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comments4.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9.xml" ContentType="application/vnd.openxmlformats-officedocument.spreadsheetml.comments+xml"/>
  <Override PartName="/xl/drawings/drawing17.xml" ContentType="application/vnd.openxmlformats-officedocument.drawing+xml"/>
  <Override PartName="/xl/comments10.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tables/table56.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11.xml" ContentType="application/vnd.openxmlformats-officedocument.spreadsheetml.comments+xml"/>
  <Override PartName="/xl/drawings/drawing2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4.xml" ContentType="application/vnd.openxmlformats-officedocument.drawing+xml"/>
  <Override PartName="/xl/comments12.xml" ContentType="application/vnd.openxmlformats-officedocument.spreadsheetml.comments+xml"/>
  <Override PartName="/xl/drawings/drawing25.xml" ContentType="application/vnd.openxmlformats-officedocument.drawing+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comments13.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14.xml" ContentType="application/vnd.openxmlformats-officedocument.spreadsheetml.comments+xml"/>
  <Override PartName="/xl/drawings/drawing29.xml" ContentType="application/vnd.openxmlformats-officedocument.drawing+xml"/>
  <Override PartName="/xl/comments1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114"/>
  <workbookPr dateCompatibility="0" updateLinks="never" codeName="ThisWorkbook"/>
  <mc:AlternateContent xmlns:mc="http://schemas.openxmlformats.org/markup-compatibility/2006">
    <mc:Choice Requires="x15">
      <x15ac:absPath xmlns:x15ac="http://schemas.microsoft.com/office/spreadsheetml/2010/11/ac" url="/Users/claudiolavacca/Developer/exact-django-webapp/djangoexact/math_model/excel_reference_version/"/>
    </mc:Choice>
  </mc:AlternateContent>
  <xr:revisionPtr revIDLastSave="0" documentId="8_{F48E48BC-1AF0-2D49-BB44-0AA07A9341C7}" xr6:coauthVersionLast="47" xr6:coauthVersionMax="47" xr10:uidLastSave="{00000000-0000-0000-0000-000000000000}"/>
  <bookViews>
    <workbookView xWindow="0" yWindow="880" windowWidth="36000" windowHeight="22500" tabRatio="915" firstSheet="3" activeTab="12" xr2:uid="{00000000-000D-0000-FFFF-FFFF00000000}"/>
  </bookViews>
  <sheets>
    <sheet name="0.Start" sheetId="20" r:id="rId1"/>
    <sheet name="1.Description" sheetId="21" r:id="rId2"/>
    <sheet name="defo" sheetId="30" state="hidden" r:id="rId3"/>
    <sheet name="affo" sheetId="32" state="hidden" r:id="rId4"/>
    <sheet name="luc" sheetId="35" r:id="rId5"/>
    <sheet name="IPCC" sheetId="16" r:id="rId6"/>
    <sheet name="2.LUC" sheetId="29" r:id="rId7"/>
    <sheet name="3.Cropland" sheetId="15" r:id="rId8"/>
    <sheet name="crop H2O" sheetId="39" state="hidden" r:id="rId9"/>
    <sheet name="rice" sheetId="25" r:id="rId10"/>
    <sheet name="annual" sheetId="14" r:id="rId11"/>
    <sheet name="perennial" sheetId="23" r:id="rId12"/>
    <sheet name="4.Grassland" sheetId="26" r:id="rId13"/>
    <sheet name="grass" sheetId="27" r:id="rId14"/>
    <sheet name="Livestock" sheetId="54" r:id="rId15"/>
    <sheet name="5.Management" sheetId="36" r:id="rId16"/>
    <sheet name="6.Inland wetlands" sheetId="43" r:id="rId17"/>
    <sheet name="Inl. wetlands" sheetId="47" r:id="rId18"/>
    <sheet name="degradation" sheetId="37" state="hidden" r:id="rId19"/>
    <sheet name="Sheet1" sheetId="66" state="hidden" r:id="rId20"/>
    <sheet name="7.Coastal wetlands" sheetId="50" r:id="rId21"/>
    <sheet name="Coastal" sheetId="55" r:id="rId22"/>
    <sheet name="8. Fisheries and aquaculture" sheetId="67" r:id="rId23"/>
    <sheet name="Fish and aqua" sheetId="68" r:id="rId24"/>
    <sheet name="Database fish" sheetId="56" state="hidden" r:id="rId25"/>
    <sheet name="Atwood" sheetId="58" state="hidden" r:id="rId26"/>
    <sheet name="List countries GLEAM" sheetId="53" state="hidden" r:id="rId27"/>
    <sheet name="9.Inputs" sheetId="40" r:id="rId28"/>
    <sheet name="Inputs" sheetId="42" r:id="rId29"/>
    <sheet name="Energy DB" sheetId="38" r:id="rId30"/>
    <sheet name="BALANCE" sheetId="49" state="hidden" r:id="rId31"/>
    <sheet name="10.Results" sheetId="57" r:id="rId32"/>
    <sheet name="YEARLY" sheetId="69" state="hidden" r:id="rId33"/>
    <sheet name="Gross results" sheetId="59" state="hidden" r:id="rId34"/>
    <sheet name="Graph" sheetId="60" state="hidden" r:id="rId35"/>
    <sheet name="Elec" sheetId="63" state="hidden" r:id="rId36"/>
    <sheet name="Languages" sheetId="28" state="hidden" r:id="rId37"/>
    <sheet name="Matrix" sheetId="31" state="hidden" r:id="rId38"/>
    <sheet name="list" sheetId="2" r:id="rId39"/>
    <sheet name="Calculations" sheetId="64" r:id="rId40"/>
    <sheet name="Earth Map" sheetId="65" r:id="rId41"/>
    <sheet name="Definitions" sheetId="48" r:id="rId42"/>
    <sheet name="HELP" sheetId="52" r:id="rId43"/>
    <sheet name="Stats_yield_ton_per_ha" sheetId="13" state="hidden" r:id="rId44"/>
    <sheet name="list_region_country" sheetId="19" state="hidden" r:id="rId45"/>
  </sheets>
  <externalReferences>
    <externalReference r:id="rId46"/>
    <externalReference r:id="rId47"/>
  </externalReferences>
  <definedNames>
    <definedName name="_xlnm._FilterDatabase" localSheetId="12" hidden="1">'4.Grassland'!$W$56:$AA$66</definedName>
    <definedName name="_xlnm._FilterDatabase" localSheetId="5" hidden="1">IPCC!$A$1515:$Y$1683</definedName>
    <definedName name="_xlnm._FilterDatabase" localSheetId="19" hidden="1">'Inl. wetlands'!$AB$296:$AG$296</definedName>
    <definedName name="_xlnm._FilterDatabase" localSheetId="43" hidden="1">Stats_yield_ton_per_ha!$C$1:$C$2640</definedName>
    <definedName name="Activitiesbalance">Graph!$G$29:INDEX(Graph!$G$29:$G$40,COUNT(Graph!$G$29:$G$40))</definedName>
    <definedName name="ActivitiesWith">Graph!$G$59:INDEX(Graph!$G$59:$G$70,COUNT(Graph!$G$59:$G$70))</definedName>
    <definedName name="ActivitiesWithout">Graph!$G$44:INDEX(Graph!$G$44:$G$55,COUNT(Graph!$G$44:$G$55))</definedName>
    <definedName name="AMWS_Breeding_Swine_HP_titles">IPCC!$A$2487:$P$2487</definedName>
    <definedName name="AMWS_Chicken_broiler_LP_titles">IPCC!$A$2640:$P$2640</definedName>
    <definedName name="AMWS_Growing_Swine_HP_titles">IPCC!$A$2521:$P$2521</definedName>
    <definedName name="AWMS_Breeding_Swine_LP_titles">IPCC!$A$2504:$P$2504</definedName>
    <definedName name="AWMS_Chicken_broiler_HP_titles">IPCC!$A$2623:$P$2623</definedName>
    <definedName name="AWMS_Chicken_Layer_Default_titles">IPCC!$A$2606:$P$2606</definedName>
    <definedName name="AWMS_Dairy_Buffalo_titles">IPCC!$A$2453:$P$2453</definedName>
    <definedName name="AWMS_Dairy_Cattle_titles">IPCC!$A$2419:$P$2419</definedName>
    <definedName name="AWMS_Deer_titles">IPCC!$A$2691:$P$2691</definedName>
    <definedName name="AWMS_Goat_titles">IPCC!$A$2589:$P$2589</definedName>
    <definedName name="AWMS_Growing_Swine_LP_titles">IPCC!$A$2538:$P$2538</definedName>
    <definedName name="AWMS_Ostrich_titles">IPCC!$A$2674:$P$2674</definedName>
    <definedName name="AWMS_Other_Buffalo_titles">IPCC!$A$2470:$P$2470</definedName>
    <definedName name="AWMS_Other_Cattle_titles">IPCC!$A$2436:$P$2436</definedName>
    <definedName name="AWMS_Other_Grazing_titles">IPCC!$A$2657:$P$2657</definedName>
    <definedName name="AWMS_Other_Sheep_titles">IPCC!$A$2555:$P$2555</definedName>
    <definedName name="AWMS_Sheep_dairy_titles">IPCC!$A$2572:$P$2572</definedName>
    <definedName name="Boreal">defo!$D$9:$D$14</definedName>
    <definedName name="Boreal2">affo!$D$8:$D$13</definedName>
    <definedName name="CH4_man_Camel_HP_titles">IPCC!$A$2912:$P$2912</definedName>
    <definedName name="CH4_man_Camel_LP_titles">IPCC!$A$2929:$P$2929</definedName>
    <definedName name="CH4_man_Dairy_Cattle_HP_titles">IPCC!$A$2708:$P$2708</definedName>
    <definedName name="CH4_man_Dairy_Cattle_LP_titles">IPCC!$A$2725:$P$2725</definedName>
    <definedName name="CH4_man_Goat_HP_titles">IPCC!$A$2878:$P$2878</definedName>
    <definedName name="CH4_man_Goat_LP_titles">IPCC!$A$2895:$P$2895</definedName>
    <definedName name="CH4_man_Horse_HP_titles">IPCC!$A$2946:$P$2946</definedName>
    <definedName name="CH4_man_Horse_LP_titles">IPCC!$A$2963:$P$2963</definedName>
    <definedName name="CH4_man_Mule_HP_titles">IPCC!$A$2980:$P$2980</definedName>
    <definedName name="CH4_man_Mule_LP_titles">IPCC!$A$2997:$P$2997</definedName>
    <definedName name="CH4_man_Other_Cattle_HP_titles">IPCC!$A$2742:$P$2742</definedName>
    <definedName name="CH4_man_Other_Cattle_LP_titles">IPCC!$A$2759:$P$2759</definedName>
    <definedName name="CH4_man_Poultry_HP_titles">IPCC!$A$2810:$P$2810</definedName>
    <definedName name="CH4_man_Poultry_LP_titles">IPCC!$A$2827:$P$2827</definedName>
    <definedName name="CH4_man_Sheep_HP_titles">IPCC!$A$2844:$P$2844</definedName>
    <definedName name="CH4_man_Sheep_LP_titles">IPCC!$A$2861:$P$2861</definedName>
    <definedName name="CH4_man_Swine_HP_titles">IPCC!$A$2776:$P$2776</definedName>
    <definedName name="CH4_man_Swine_LP_titles">IPCC!$A$2793:$P$2793</definedName>
    <definedName name="clim_moist">list!$I$8</definedName>
    <definedName name="clim_moist_cont">list!$I$9</definedName>
    <definedName name="clim3">list!$I$12</definedName>
    <definedName name="climate">'1.Description'!$Q$10</definedName>
    <definedName name="climate2">list!$I$11</definedName>
    <definedName name="continent">'1.Description'!$Q$8</definedName>
    <definedName name="continent_selected">'1.Description'!$Q$8</definedName>
    <definedName name="CoolTemperate">defo!$C$9:$C$18</definedName>
    <definedName name="CoolTemperate2">affo!$C$8:$C$17</definedName>
    <definedName name="country_selected">'1.Description'!$Q$9</definedName>
    <definedName name="EF_DIRECT_N2O_manure_mngt_cattle_poultry_pigs_titles">IPCC!$A$3065:$P$3065</definedName>
    <definedName name="EF_DIRECT_N2O_manure_mngt_Sheeps_others_titles">IPCC!$A$3082:$P$3082</definedName>
    <definedName name="eq_agrof_systems">OFFSET(list!$F$73, 1, MATCH(clim_moist, list!$F$73:$O$73,0)-1,COUNTA(OFFSET(list!$F$73, 1,MATCH(clim_moist, list!$F$73:$O$73,0)-1,10,1)),1)</definedName>
    <definedName name="equation">INDEX((TabBoreal[Boreal],Tabcooltemp[Cool Temperate],TabTrop[Tropical],TabTrMon[Tropical Montane],TabWarm[Warm Temperate]),,,MATCH(climate, list!$F$21:$J$21,0))</definedName>
    <definedName name="Error_Message" comment="Total area must remain the same at the start, without and with the project scenario.  Please correct areas!">'3.Cropland'!$R$37</definedName>
    <definedName name="fluxesbalance">Graph!$H$29:INDEX(Graph!$H$29:$H$40,COUNT(Graph!$H$29:$H$40))</definedName>
    <definedName name="Frac_leach_all_categories_titles">IPCC!$A$3184:$P$3184</definedName>
    <definedName name="Frac_vol_dairy_cow_titles">IPCC!$A$3116:$P$3116</definedName>
    <definedName name="Frac_vol_Other_Animal_titles">IPCC!$A$3167:$P$3167</definedName>
    <definedName name="Frac_vol_Other_Cattle_titles">IPCC!$A$3150:$P$3150</definedName>
    <definedName name="Frac_vol_swine_titles">IPCC!$A$3099:$P$3099</definedName>
    <definedName name="GFWith">Graph!$H$59:INDEX(Graph!$H$59:$H$70,COUNT(Graph!$H$59:$H$70))</definedName>
    <definedName name="GFWithout">Graph!$H$44:INDEX(Graph!$H$44:$H$55,COUNT(Graph!$H$44:$H$55))</definedName>
    <definedName name="Lab.Without">Graph!$K$44:INDEX(Graph!$K$44:$K$55,COUNT(Graph!$K$44:$K$55))</definedName>
    <definedName name="labelsbalance">Graph!$K$29:INDEX(Graph!$K$29:$K$40,COUNT(Graph!$K$29:$K$40))</definedName>
    <definedName name="labelwith">Graph!$K$59:INDEX(Graph!$K$59:$K$70,COUNT(Graph!$K$59:$K$70))</definedName>
    <definedName name="methane">'1.Description'!$G$26</definedName>
    <definedName name="methanefossil">'1.Description'!$G$28</definedName>
    <definedName name="moist_type">'1.Description'!$Q$11</definedName>
    <definedName name="N2O_N_conversion">list!$G$57</definedName>
    <definedName name="negativefluxesbalance">Graph!$J$29:INDEX(Graph!$J$29:$J$40,COUNT(Graph!$J$29:$J$40))</definedName>
    <definedName name="negativefluxeswith">Graph!$J$59:INDEX(Graph!$J$59:$J$70,COUNT(Graph!$J$59:$J$70))</definedName>
    <definedName name="negativefluxeswithout">Graph!$J$44:INDEX(Graph!$J$44:$J$55,COUNT(Graph!$J$44:$J$55))</definedName>
    <definedName name="Nitrous">'1.Description'!$G$27</definedName>
    <definedName name="positivefluxesbalance">Graph!$I$29:INDEX(Graph!$I$29:$I$40,COUNT(Graph!$I$29:$I$40))</definedName>
    <definedName name="positivefluxeswith">Graph!$I$59:INDEX(Graph!$I$59:$I$70,COUNT(Graph!$I$59:$I$70))</definedName>
    <definedName name="positivefluxeswithout">Graph!$I$44:INDEX(Graph!$I$44:$I$55,COUNT(Graph!$I$44:$I$55))</definedName>
    <definedName name="SOCref">list!$I$14</definedName>
    <definedName name="soil">list!$I$13</definedName>
    <definedName name="soil_full">'1.Description'!$Q$12</definedName>
    <definedName name="till_?">list!$I$67:$I$70</definedName>
    <definedName name="till_conv">list!$H$67:$H$70</definedName>
    <definedName name="till_impr">list!$G$67:$G$70</definedName>
    <definedName name="time">'1.Description'!$T$13</definedName>
    <definedName name="time_cap">'1.Description'!$T$14</definedName>
    <definedName name="time_tot">'1.Description'!$T$15</definedName>
    <definedName name="Tropical">defo!$A$9:$A$17</definedName>
    <definedName name="Tropical2">affo!$A$8:$A$15</definedName>
    <definedName name="TropicalMontane">defo!$E$9:$E$10</definedName>
    <definedName name="TropicalMontane2">affo!$E$8:$E$9</definedName>
    <definedName name="WarmTemperate">defo!$B$9:$B$17</definedName>
    <definedName name="WarmTemperate2">affo!$B$8:$B$15</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T23" i="25" l="1"/>
  <c r="T22" i="25"/>
  <c r="C36" i="47"/>
  <c r="B157" i="28"/>
  <c r="C62" i="15" s="1"/>
  <c r="B158" i="28"/>
  <c r="C83" i="15" s="1"/>
  <c r="AP79" i="15" l="1"/>
  <c r="AP75" i="15"/>
  <c r="AP71" i="15"/>
  <c r="AP67" i="15"/>
  <c r="M25" i="32"/>
  <c r="M26" i="32"/>
  <c r="M27" i="32"/>
  <c r="M28" i="32"/>
  <c r="M29" i="32"/>
  <c r="M30" i="32"/>
  <c r="M31" i="32"/>
  <c r="P23" i="30"/>
  <c r="K24" i="32"/>
  <c r="P24" i="30"/>
  <c r="P25" i="30"/>
  <c r="P26" i="30"/>
  <c r="P27" i="30"/>
  <c r="P28" i="30"/>
  <c r="P29" i="30"/>
  <c r="P30" i="30"/>
  <c r="B155" i="28"/>
  <c r="B156" i="28"/>
  <c r="AJ129" i="57"/>
  <c r="AJ128" i="57"/>
  <c r="AH128" i="57"/>
  <c r="AI127" i="57"/>
  <c r="AH124" i="57"/>
  <c r="AE129" i="57"/>
  <c r="AE128" i="57"/>
  <c r="AD127" i="57"/>
  <c r="AC128" i="57"/>
  <c r="AC124" i="57"/>
  <c r="AM128" i="57" l="1"/>
  <c r="AF114" i="69"/>
  <c r="AF115" i="69"/>
  <c r="AF116" i="69"/>
  <c r="AF117" i="69"/>
  <c r="AF118" i="69"/>
  <c r="AF119" i="69"/>
  <c r="AE114" i="69"/>
  <c r="AE115" i="69"/>
  <c r="AE116" i="69"/>
  <c r="AE117" i="69"/>
  <c r="AE118" i="69"/>
  <c r="AE119" i="69"/>
  <c r="BO65" i="69"/>
  <c r="BP65" i="69"/>
  <c r="BQ65" i="69"/>
  <c r="BR65" i="69"/>
  <c r="BS65" i="69"/>
  <c r="BT65" i="69"/>
  <c r="BU65" i="69"/>
  <c r="BV65" i="69"/>
  <c r="BW65" i="69"/>
  <c r="BX65" i="69"/>
  <c r="BY65" i="69"/>
  <c r="BZ65" i="69"/>
  <c r="CA65" i="69"/>
  <c r="CB65" i="69"/>
  <c r="CC65" i="69"/>
  <c r="CD65" i="69"/>
  <c r="CE65" i="69"/>
  <c r="CF65" i="69"/>
  <c r="CG65" i="69"/>
  <c r="CH65" i="69"/>
  <c r="BO66" i="69"/>
  <c r="BP66" i="69"/>
  <c r="BQ66" i="69"/>
  <c r="BR66" i="69"/>
  <c r="BS66" i="69"/>
  <c r="BT66" i="69"/>
  <c r="BU66" i="69"/>
  <c r="BV66" i="69"/>
  <c r="BW66" i="69"/>
  <c r="BX66" i="69"/>
  <c r="BY66" i="69"/>
  <c r="BZ66" i="69"/>
  <c r="CA66" i="69"/>
  <c r="CB66" i="69"/>
  <c r="CC66" i="69"/>
  <c r="CD66" i="69"/>
  <c r="CE66" i="69"/>
  <c r="CF66" i="69"/>
  <c r="CG66" i="69"/>
  <c r="CH66" i="69"/>
  <c r="BO67" i="69"/>
  <c r="BP67" i="69"/>
  <c r="BQ67" i="69"/>
  <c r="BR67" i="69"/>
  <c r="BS67" i="69"/>
  <c r="BT67" i="69"/>
  <c r="BU67" i="69"/>
  <c r="BV67" i="69"/>
  <c r="BW67" i="69"/>
  <c r="BX67" i="69"/>
  <c r="BY67" i="69"/>
  <c r="BZ67" i="69"/>
  <c r="CA67" i="69"/>
  <c r="CB67" i="69"/>
  <c r="CC67" i="69"/>
  <c r="CD67" i="69"/>
  <c r="CE67" i="69"/>
  <c r="CF67" i="69"/>
  <c r="CG67" i="69"/>
  <c r="CH67" i="69"/>
  <c r="BO68" i="69"/>
  <c r="BP68" i="69"/>
  <c r="BQ68" i="69"/>
  <c r="BR68" i="69"/>
  <c r="BS68" i="69"/>
  <c r="BT68" i="69"/>
  <c r="BU68" i="69"/>
  <c r="BV68" i="69"/>
  <c r="BW68" i="69"/>
  <c r="BX68" i="69"/>
  <c r="BY68" i="69"/>
  <c r="BZ68" i="69"/>
  <c r="CA68" i="69"/>
  <c r="CB68" i="69"/>
  <c r="CC68" i="69"/>
  <c r="CD68" i="69"/>
  <c r="CE68" i="69"/>
  <c r="CF68" i="69"/>
  <c r="CG68" i="69"/>
  <c r="CH68" i="69"/>
  <c r="BO69" i="69"/>
  <c r="BP69" i="69"/>
  <c r="BQ69" i="69"/>
  <c r="BR69" i="69"/>
  <c r="BS69" i="69"/>
  <c r="BT69" i="69"/>
  <c r="BU69" i="69"/>
  <c r="BV69" i="69"/>
  <c r="BW69" i="69"/>
  <c r="BX69" i="69"/>
  <c r="BY69" i="69"/>
  <c r="BZ69" i="69"/>
  <c r="CA69" i="69"/>
  <c r="CB69" i="69"/>
  <c r="CC69" i="69"/>
  <c r="CD69" i="69"/>
  <c r="CE69" i="69"/>
  <c r="CF69" i="69"/>
  <c r="CG69" i="69"/>
  <c r="CH69" i="69"/>
  <c r="BO70" i="69"/>
  <c r="BP70" i="69"/>
  <c r="BQ70" i="69"/>
  <c r="BR70" i="69"/>
  <c r="BS70" i="69"/>
  <c r="BT70" i="69"/>
  <c r="BU70" i="69"/>
  <c r="BV70" i="69"/>
  <c r="BW70" i="69"/>
  <c r="BX70" i="69"/>
  <c r="BY70" i="69"/>
  <c r="BZ70" i="69"/>
  <c r="CA70" i="69"/>
  <c r="CB70" i="69"/>
  <c r="CC70" i="69"/>
  <c r="CD70" i="69"/>
  <c r="CE70" i="69"/>
  <c r="CF70" i="69"/>
  <c r="CG70" i="69"/>
  <c r="CH70" i="69"/>
  <c r="BO71" i="69"/>
  <c r="BP71" i="69"/>
  <c r="BQ71" i="69"/>
  <c r="BR71" i="69"/>
  <c r="BS71" i="69"/>
  <c r="BT71" i="69"/>
  <c r="BU71" i="69"/>
  <c r="BV71" i="69"/>
  <c r="BW71" i="69"/>
  <c r="BX71" i="69"/>
  <c r="BY71" i="69"/>
  <c r="BZ71" i="69"/>
  <c r="CA71" i="69"/>
  <c r="CB71" i="69"/>
  <c r="CC71" i="69"/>
  <c r="CD71" i="69"/>
  <c r="CE71" i="69"/>
  <c r="CF71" i="69"/>
  <c r="CG71" i="69"/>
  <c r="CH71" i="69"/>
  <c r="BO72" i="69"/>
  <c r="BP72" i="69"/>
  <c r="BQ72" i="69"/>
  <c r="BR72" i="69"/>
  <c r="BS72" i="69"/>
  <c r="BT72" i="69"/>
  <c r="BU72" i="69"/>
  <c r="BV72" i="69"/>
  <c r="BW72" i="69"/>
  <c r="BX72" i="69"/>
  <c r="BY72" i="69"/>
  <c r="BZ72" i="69"/>
  <c r="CA72" i="69"/>
  <c r="CB72" i="69"/>
  <c r="CC72" i="69"/>
  <c r="CD72" i="69"/>
  <c r="CE72" i="69"/>
  <c r="CF72" i="69"/>
  <c r="CG72" i="69"/>
  <c r="CH72" i="69"/>
  <c r="BO73" i="69"/>
  <c r="BP73" i="69"/>
  <c r="BQ73" i="69"/>
  <c r="BR73" i="69"/>
  <c r="BS73" i="69"/>
  <c r="BT73" i="69"/>
  <c r="BU73" i="69"/>
  <c r="BV73" i="69"/>
  <c r="BW73" i="69"/>
  <c r="BX73" i="69"/>
  <c r="BY73" i="69"/>
  <c r="BZ73" i="69"/>
  <c r="CA73" i="69"/>
  <c r="CB73" i="69"/>
  <c r="CC73" i="69"/>
  <c r="CD73" i="69"/>
  <c r="CE73" i="69"/>
  <c r="CF73" i="69"/>
  <c r="CG73" i="69"/>
  <c r="CH73" i="69"/>
  <c r="BO74" i="69"/>
  <c r="BP74" i="69"/>
  <c r="BQ74" i="69"/>
  <c r="BR74" i="69"/>
  <c r="BS74" i="69"/>
  <c r="BT74" i="69"/>
  <c r="BU74" i="69"/>
  <c r="BV74" i="69"/>
  <c r="BW74" i="69"/>
  <c r="BX74" i="69"/>
  <c r="BY74" i="69"/>
  <c r="BZ74" i="69"/>
  <c r="CA74" i="69"/>
  <c r="CB74" i="69"/>
  <c r="CC74" i="69"/>
  <c r="CD74" i="69"/>
  <c r="CE74" i="69"/>
  <c r="CF74" i="69"/>
  <c r="CG74" i="69"/>
  <c r="CH74" i="69"/>
  <c r="AF74" i="69"/>
  <c r="AF73" i="69"/>
  <c r="AF72" i="69"/>
  <c r="AF71" i="69"/>
  <c r="AF70" i="69"/>
  <c r="AF69" i="69"/>
  <c r="AF68" i="69"/>
  <c r="AF67" i="69"/>
  <c r="AF66" i="69"/>
  <c r="AF65" i="69"/>
  <c r="AF64" i="69"/>
  <c r="AF63" i="69"/>
  <c r="AF62" i="69"/>
  <c r="AF61" i="69"/>
  <c r="AF60" i="69"/>
  <c r="AF59" i="69"/>
  <c r="AF58" i="69"/>
  <c r="AF57" i="69"/>
  <c r="AF56" i="69"/>
  <c r="AF55" i="69"/>
  <c r="AE68" i="69"/>
  <c r="AE69" i="69"/>
  <c r="AE70" i="69"/>
  <c r="AE71" i="69"/>
  <c r="AE72" i="69"/>
  <c r="AE73" i="69"/>
  <c r="AE74" i="69"/>
  <c r="AE67" i="69"/>
  <c r="AE65" i="69"/>
  <c r="AE66" i="69"/>
  <c r="AE64" i="69"/>
  <c r="AE62" i="69"/>
  <c r="AE63" i="69"/>
  <c r="AE61" i="69"/>
  <c r="AE59" i="69"/>
  <c r="AE60" i="69"/>
  <c r="AE58" i="69"/>
  <c r="AE56" i="69"/>
  <c r="AE57" i="69"/>
  <c r="AD65" i="69"/>
  <c r="AD66" i="69"/>
  <c r="AD67" i="69"/>
  <c r="AD68" i="69"/>
  <c r="AD69" i="69"/>
  <c r="AD70" i="69"/>
  <c r="AD71" i="69"/>
  <c r="AD72" i="69"/>
  <c r="AD73" i="69"/>
  <c r="AD74" i="69"/>
  <c r="AC68" i="69"/>
  <c r="AC69" i="69"/>
  <c r="AC70" i="69"/>
  <c r="AC71" i="69"/>
  <c r="AC72" i="69"/>
  <c r="AC73" i="69"/>
  <c r="AC74" i="69"/>
  <c r="AC67" i="69"/>
  <c r="AC65" i="69"/>
  <c r="AC66" i="69"/>
  <c r="AC64" i="69"/>
  <c r="AC62" i="69"/>
  <c r="AC63" i="69"/>
  <c r="AC61" i="69"/>
  <c r="AC59" i="69"/>
  <c r="AC60" i="69"/>
  <c r="AC58" i="69"/>
  <c r="AC56" i="69"/>
  <c r="AC57" i="69"/>
  <c r="AC55" i="69"/>
  <c r="AG57" i="69" l="1"/>
  <c r="AG66" i="69"/>
  <c r="AG61" i="69"/>
  <c r="AG67" i="69"/>
  <c r="AG60" i="69"/>
  <c r="AG56" i="69"/>
  <c r="AG58" i="69"/>
  <c r="AG71" i="69"/>
  <c r="AG72" i="69"/>
  <c r="AG73" i="69"/>
  <c r="AG68" i="69"/>
  <c r="AG62" i="69"/>
  <c r="AG74" i="69"/>
  <c r="AG63" i="69"/>
  <c r="AG59" i="69"/>
  <c r="AG70" i="69"/>
  <c r="AG64" i="69"/>
  <c r="AG69" i="69"/>
  <c r="AG65" i="69"/>
  <c r="X53" i="67" l="1"/>
  <c r="K8" i="54"/>
  <c r="C61" i="69"/>
  <c r="C62" i="69"/>
  <c r="C63" i="69"/>
  <c r="C64" i="69"/>
  <c r="C65" i="69"/>
  <c r="C66" i="69"/>
  <c r="C67" i="69"/>
  <c r="C68" i="69"/>
  <c r="C69" i="69"/>
  <c r="C70" i="69"/>
  <c r="C71" i="69"/>
  <c r="C72" i="69"/>
  <c r="C73" i="69"/>
  <c r="C74" i="69"/>
  <c r="M69" i="69"/>
  <c r="M70" i="69"/>
  <c r="M71" i="69"/>
  <c r="M72" i="69"/>
  <c r="M73" i="69"/>
  <c r="M74" i="69"/>
  <c r="U69" i="69"/>
  <c r="U70" i="69"/>
  <c r="U71" i="69"/>
  <c r="U72" i="69"/>
  <c r="U73" i="69"/>
  <c r="U74" i="69"/>
  <c r="G94" i="68" l="1"/>
  <c r="L9" i="14"/>
  <c r="L11" i="14"/>
  <c r="L8" i="14"/>
  <c r="M61" i="29"/>
  <c r="M62" i="29"/>
  <c r="M63" i="29"/>
  <c r="M64" i="29"/>
  <c r="M65" i="29"/>
  <c r="M66" i="29"/>
  <c r="M67" i="29"/>
  <c r="M68" i="29"/>
  <c r="M69" i="29"/>
  <c r="M70" i="29"/>
  <c r="Z61" i="29"/>
  <c r="E81" i="15"/>
  <c r="E77" i="15"/>
  <c r="E73" i="15"/>
  <c r="E69" i="15"/>
  <c r="C57" i="23"/>
  <c r="D57" i="23"/>
  <c r="E57" i="23"/>
  <c r="F57" i="23"/>
  <c r="G57" i="23"/>
  <c r="C54" i="23"/>
  <c r="D54" i="23"/>
  <c r="E54" i="23"/>
  <c r="F54" i="23"/>
  <c r="G54" i="23"/>
  <c r="C51" i="23"/>
  <c r="D51" i="23"/>
  <c r="E51" i="23"/>
  <c r="F51" i="23"/>
  <c r="G51" i="23"/>
  <c r="E48" i="23"/>
  <c r="C48" i="23"/>
  <c r="D48" i="23"/>
  <c r="F48" i="23"/>
  <c r="G48" i="23"/>
  <c r="Z26" i="23"/>
  <c r="Z23" i="23"/>
  <c r="Z20" i="23"/>
  <c r="Z17" i="23"/>
  <c r="B26" i="23"/>
  <c r="B57" i="23" s="1"/>
  <c r="B17" i="23"/>
  <c r="B48" i="23" s="1"/>
  <c r="B20" i="23"/>
  <c r="B51" i="23" s="1"/>
  <c r="B23" i="23"/>
  <c r="B54" i="23" s="1"/>
  <c r="E26" i="23"/>
  <c r="E23" i="23"/>
  <c r="E20" i="23"/>
  <c r="E17" i="23"/>
  <c r="D20" i="23"/>
  <c r="D23" i="23"/>
  <c r="D26" i="23"/>
  <c r="D18" i="23"/>
  <c r="D19" i="23"/>
  <c r="D17" i="23"/>
  <c r="E76" i="15"/>
  <c r="AY76" i="15" s="1"/>
  <c r="C22" i="23"/>
  <c r="B18" i="23"/>
  <c r="E18" i="23"/>
  <c r="B19" i="23"/>
  <c r="E19" i="23"/>
  <c r="B21" i="23"/>
  <c r="D21" i="23"/>
  <c r="E21" i="23"/>
  <c r="B22" i="23"/>
  <c r="D22" i="23"/>
  <c r="E22" i="23"/>
  <c r="B24" i="23"/>
  <c r="D24" i="23"/>
  <c r="E24" i="23"/>
  <c r="B25" i="23"/>
  <c r="D25" i="23"/>
  <c r="E25" i="23"/>
  <c r="B27" i="23"/>
  <c r="D27" i="23"/>
  <c r="E27" i="23"/>
  <c r="B153" i="28"/>
  <c r="B154" i="28"/>
  <c r="BB90" i="15"/>
  <c r="BB91" i="15"/>
  <c r="BB92" i="15"/>
  <c r="BB93" i="15"/>
  <c r="BB94" i="15"/>
  <c r="AY90" i="15"/>
  <c r="P31" i="23" s="1"/>
  <c r="AY91" i="15"/>
  <c r="AY92" i="15"/>
  <c r="AY93" i="15"/>
  <c r="AY94" i="15"/>
  <c r="AP89" i="15"/>
  <c r="AP90" i="15"/>
  <c r="AP91" i="15"/>
  <c r="AP92" i="15"/>
  <c r="AP93" i="15"/>
  <c r="AP94" i="15"/>
  <c r="AU90" i="15"/>
  <c r="J31" i="23" s="1"/>
  <c r="AU91" i="15"/>
  <c r="J32" i="23" s="1"/>
  <c r="AU92" i="15"/>
  <c r="J33" i="23" s="1"/>
  <c r="AU93" i="15"/>
  <c r="J34" i="23" s="1"/>
  <c r="AU94" i="15"/>
  <c r="J35" i="23" s="1"/>
  <c r="AS90" i="15"/>
  <c r="BH90" i="15" s="1"/>
  <c r="AS91" i="15"/>
  <c r="H32" i="23" s="1"/>
  <c r="AS92" i="15"/>
  <c r="BH92" i="15" s="1"/>
  <c r="AS93" i="15"/>
  <c r="BH93" i="15" s="1"/>
  <c r="AS94" i="15"/>
  <c r="C61" i="23"/>
  <c r="D61" i="23"/>
  <c r="E61" i="23"/>
  <c r="F61" i="23"/>
  <c r="G61" i="23"/>
  <c r="C62" i="23"/>
  <c r="D62" i="23"/>
  <c r="E62" i="23"/>
  <c r="F62" i="23"/>
  <c r="G62" i="23"/>
  <c r="C63" i="23"/>
  <c r="D63" i="23"/>
  <c r="E63" i="23"/>
  <c r="F63" i="23"/>
  <c r="G63" i="23"/>
  <c r="C64" i="23"/>
  <c r="D64" i="23"/>
  <c r="E64" i="23"/>
  <c r="F64" i="23"/>
  <c r="G64" i="23"/>
  <c r="C65" i="23"/>
  <c r="D65" i="23"/>
  <c r="E65" i="23"/>
  <c r="F65" i="23"/>
  <c r="G65" i="23"/>
  <c r="C66" i="23"/>
  <c r="D66" i="23"/>
  <c r="E66" i="23"/>
  <c r="F66" i="23"/>
  <c r="G66" i="23"/>
  <c r="Z30" i="23"/>
  <c r="Q31" i="23"/>
  <c r="Z31" i="23"/>
  <c r="P32" i="23"/>
  <c r="Q32" i="23"/>
  <c r="Z32" i="23"/>
  <c r="P33" i="23"/>
  <c r="Q33" i="23"/>
  <c r="Z33" i="23"/>
  <c r="P34" i="23"/>
  <c r="Q34" i="23"/>
  <c r="Z34" i="23"/>
  <c r="P35" i="23"/>
  <c r="Q35" i="23"/>
  <c r="Z35" i="23"/>
  <c r="D30" i="23"/>
  <c r="E30" i="23"/>
  <c r="D31" i="23"/>
  <c r="E31" i="23"/>
  <c r="I31" i="23"/>
  <c r="D32" i="23"/>
  <c r="E32" i="23"/>
  <c r="I32" i="23"/>
  <c r="D33" i="23"/>
  <c r="E33" i="23"/>
  <c r="I33" i="23"/>
  <c r="D34" i="23"/>
  <c r="E34" i="23"/>
  <c r="I34" i="23"/>
  <c r="D35" i="23"/>
  <c r="E35" i="23"/>
  <c r="I35" i="23"/>
  <c r="C30" i="23"/>
  <c r="C31" i="23"/>
  <c r="C32" i="23"/>
  <c r="C33" i="23"/>
  <c r="C34" i="23"/>
  <c r="C35" i="23"/>
  <c r="B30" i="23"/>
  <c r="B61" i="23" s="1"/>
  <c r="B31" i="23"/>
  <c r="B62" i="23" s="1"/>
  <c r="B32" i="23"/>
  <c r="B63" i="23" s="1"/>
  <c r="B33" i="23"/>
  <c r="B64" i="23" s="1"/>
  <c r="B34" i="23"/>
  <c r="B65" i="23" s="1"/>
  <c r="B35" i="23"/>
  <c r="B66" i="23" s="1"/>
  <c r="U86" i="15"/>
  <c r="S86" i="15"/>
  <c r="F85" i="15"/>
  <c r="H85" i="15"/>
  <c r="J85" i="15"/>
  <c r="L85" i="15"/>
  <c r="F86" i="15"/>
  <c r="H86" i="15"/>
  <c r="J86" i="15"/>
  <c r="L86" i="15"/>
  <c r="E80" i="15"/>
  <c r="I26" i="23" s="1"/>
  <c r="I22" i="23"/>
  <c r="C19" i="23"/>
  <c r="E68" i="15"/>
  <c r="K17" i="60"/>
  <c r="X26" i="23" l="1"/>
  <c r="I24" i="23"/>
  <c r="AP76" i="15"/>
  <c r="C21" i="23"/>
  <c r="D60" i="69" s="1"/>
  <c r="AP72" i="15"/>
  <c r="H34" i="23"/>
  <c r="K34" i="23" s="1"/>
  <c r="I18" i="23"/>
  <c r="AP68" i="15"/>
  <c r="X20" i="23"/>
  <c r="I27" i="23"/>
  <c r="AP80" i="15"/>
  <c r="C18" i="23"/>
  <c r="D57" i="69" s="1"/>
  <c r="C24" i="23"/>
  <c r="D63" i="69" s="1"/>
  <c r="G22" i="23"/>
  <c r="D61" i="69"/>
  <c r="G21" i="23"/>
  <c r="I21" i="23"/>
  <c r="G19" i="23"/>
  <c r="D58" i="69"/>
  <c r="BH91" i="15"/>
  <c r="F32" i="23" s="1"/>
  <c r="G34" i="23"/>
  <c r="D73" i="69"/>
  <c r="G33" i="23"/>
  <c r="D72" i="69"/>
  <c r="G32" i="23"/>
  <c r="L32" i="23" s="1"/>
  <c r="D71" i="69"/>
  <c r="G35" i="23"/>
  <c r="D74" i="69"/>
  <c r="F34" i="23"/>
  <c r="F31" i="23"/>
  <c r="G31" i="23"/>
  <c r="D70" i="69"/>
  <c r="D69" i="69"/>
  <c r="H35" i="23"/>
  <c r="K35" i="23" s="1"/>
  <c r="BH94" i="15"/>
  <c r="F35" i="23" s="1"/>
  <c r="F33" i="23"/>
  <c r="C27" i="23"/>
  <c r="AS76" i="15"/>
  <c r="P23" i="23"/>
  <c r="I19" i="23"/>
  <c r="E72" i="15"/>
  <c r="BB72" i="15" s="1"/>
  <c r="AU76" i="15"/>
  <c r="J23" i="23" s="1"/>
  <c r="BB76" i="15"/>
  <c r="C23" i="23"/>
  <c r="I23" i="23"/>
  <c r="Q23" i="23"/>
  <c r="Q17" i="23"/>
  <c r="I17" i="23"/>
  <c r="X17" i="23"/>
  <c r="W23" i="23"/>
  <c r="C26" i="23"/>
  <c r="W20" i="23"/>
  <c r="W26" i="23"/>
  <c r="Q26" i="23"/>
  <c r="W17" i="23"/>
  <c r="X23" i="23"/>
  <c r="BB68" i="15"/>
  <c r="C17" i="23"/>
  <c r="AY80" i="15"/>
  <c r="P26" i="23" s="1"/>
  <c r="AS80" i="15"/>
  <c r="BH80" i="15" s="1"/>
  <c r="BB80" i="15"/>
  <c r="C25" i="23"/>
  <c r="I25" i="23"/>
  <c r="AU80" i="15"/>
  <c r="J26" i="23" s="1"/>
  <c r="AS68" i="15"/>
  <c r="BH68" i="15" s="1"/>
  <c r="AU68" i="15"/>
  <c r="J17" i="23" s="1"/>
  <c r="AY68" i="15"/>
  <c r="P17" i="23" s="1"/>
  <c r="G24" i="23"/>
  <c r="X35" i="23"/>
  <c r="U62" i="23"/>
  <c r="H33" i="23"/>
  <c r="W33" i="23"/>
  <c r="U65" i="23"/>
  <c r="X34" i="23"/>
  <c r="W31" i="23"/>
  <c r="U64" i="23"/>
  <c r="U66" i="23"/>
  <c r="V63" i="23"/>
  <c r="W34" i="23"/>
  <c r="U63" i="23"/>
  <c r="U61" i="23"/>
  <c r="W30" i="23"/>
  <c r="V66" i="23"/>
  <c r="X31" i="23"/>
  <c r="V65" i="23"/>
  <c r="V64" i="23"/>
  <c r="W32" i="23"/>
  <c r="V62" i="23"/>
  <c r="V61" i="23"/>
  <c r="H31" i="23"/>
  <c r="X30" i="23"/>
  <c r="W35" i="23"/>
  <c r="X33" i="23"/>
  <c r="X32" i="23"/>
  <c r="K32" i="23"/>
  <c r="L86" i="40"/>
  <c r="L34" i="23" l="1"/>
  <c r="AW93" i="15" s="1"/>
  <c r="L35" i="23"/>
  <c r="AW94" i="15" s="1"/>
  <c r="G18" i="23"/>
  <c r="G27" i="23"/>
  <c r="D66" i="69"/>
  <c r="G25" i="23"/>
  <c r="D64" i="69"/>
  <c r="G26" i="23"/>
  <c r="D65" i="69"/>
  <c r="BH76" i="15"/>
  <c r="F23" i="23" s="1"/>
  <c r="G23" i="23"/>
  <c r="D62" i="69"/>
  <c r="Q20" i="23"/>
  <c r="AU72" i="15"/>
  <c r="J20" i="23" s="1"/>
  <c r="G17" i="23"/>
  <c r="D56" i="69"/>
  <c r="L33" i="23"/>
  <c r="AW92" i="15" s="1"/>
  <c r="L31" i="23"/>
  <c r="AW90" i="15" s="1"/>
  <c r="H23" i="23"/>
  <c r="K23" i="23" s="1"/>
  <c r="AY72" i="15"/>
  <c r="P20" i="23" s="1"/>
  <c r="I20" i="23"/>
  <c r="C20" i="23"/>
  <c r="AS72" i="15"/>
  <c r="F17" i="23"/>
  <c r="H17" i="23"/>
  <c r="K17" i="23" s="1"/>
  <c r="K33" i="23"/>
  <c r="F26" i="23"/>
  <c r="H26" i="23"/>
  <c r="W62" i="23"/>
  <c r="W65" i="23"/>
  <c r="W64" i="23"/>
  <c r="W66" i="23"/>
  <c r="W63" i="23"/>
  <c r="W61" i="23"/>
  <c r="K31" i="23"/>
  <c r="M32" i="23"/>
  <c r="AW91" i="15"/>
  <c r="N32" i="23"/>
  <c r="AY56" i="15"/>
  <c r="B825" i="28"/>
  <c r="A3" i="65" s="1"/>
  <c r="B822" i="28"/>
  <c r="B823" i="28"/>
  <c r="A1" i="64" s="1"/>
  <c r="B824" i="28"/>
  <c r="A1" i="65" s="1"/>
  <c r="B709" i="28"/>
  <c r="B710" i="28"/>
  <c r="B184" i="57" s="1"/>
  <c r="B711" i="28"/>
  <c r="B185" i="57" s="1"/>
  <c r="B567" i="28"/>
  <c r="B568" i="28"/>
  <c r="B566" i="28"/>
  <c r="C41" i="50" s="1"/>
  <c r="B268" i="28"/>
  <c r="B269" i="28"/>
  <c r="M34" i="23" l="1"/>
  <c r="N34" i="23"/>
  <c r="N35" i="23"/>
  <c r="M33" i="23"/>
  <c r="M35" i="23"/>
  <c r="N33" i="23"/>
  <c r="BH72" i="15"/>
  <c r="F20" i="23" s="1"/>
  <c r="G20" i="23"/>
  <c r="D59" i="69"/>
  <c r="N31" i="23"/>
  <c r="M31" i="23"/>
  <c r="L23" i="23"/>
  <c r="AW76" i="15" s="1"/>
  <c r="H20" i="23"/>
  <c r="K20" i="23" s="1"/>
  <c r="L17" i="23"/>
  <c r="AW68" i="15" s="1"/>
  <c r="K26" i="23"/>
  <c r="L26" i="23"/>
  <c r="B10" i="28"/>
  <c r="B11" i="28"/>
  <c r="W24" i="43" s="1"/>
  <c r="B12" i="28"/>
  <c r="B13" i="28"/>
  <c r="B14" i="28"/>
  <c r="B15" i="28"/>
  <c r="B16" i="28"/>
  <c r="B17" i="28"/>
  <c r="B18" i="28"/>
  <c r="B19"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R24" i="21" s="1"/>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9" i="28"/>
  <c r="B160" i="28"/>
  <c r="B161" i="28"/>
  <c r="B162"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193" i="28"/>
  <c r="B194" i="28"/>
  <c r="B195" i="28"/>
  <c r="B196" i="28"/>
  <c r="B197" i="28"/>
  <c r="B198" i="28"/>
  <c r="B199" i="28"/>
  <c r="B200" i="28"/>
  <c r="B201" i="28"/>
  <c r="B202" i="28"/>
  <c r="B203" i="28"/>
  <c r="B204" i="28"/>
  <c r="B205" i="28"/>
  <c r="B206" i="28"/>
  <c r="B207" i="28"/>
  <c r="B208" i="28"/>
  <c r="B209" i="28"/>
  <c r="B210" i="28"/>
  <c r="B211" i="28"/>
  <c r="B212" i="28"/>
  <c r="B213" i="28"/>
  <c r="B214" i="28"/>
  <c r="B215" i="28"/>
  <c r="B216" i="28"/>
  <c r="B217" i="28"/>
  <c r="B218" i="28"/>
  <c r="B219" i="28"/>
  <c r="B220" i="28"/>
  <c r="B221" i="28"/>
  <c r="B222" i="28"/>
  <c r="B223" i="28"/>
  <c r="B224" i="28"/>
  <c r="B225" i="28"/>
  <c r="B226" i="28"/>
  <c r="B227" i="28"/>
  <c r="B228" i="28"/>
  <c r="B229" i="28"/>
  <c r="B230" i="28"/>
  <c r="B231" i="28"/>
  <c r="B232" i="28"/>
  <c r="B233" i="28"/>
  <c r="B234" i="28"/>
  <c r="B235" i="28"/>
  <c r="B236" i="28"/>
  <c r="B237" i="28"/>
  <c r="B238" i="28"/>
  <c r="B239" i="28"/>
  <c r="B240" i="28"/>
  <c r="B241" i="28"/>
  <c r="B242" i="28"/>
  <c r="B243" i="28"/>
  <c r="B244" i="28"/>
  <c r="B245" i="28"/>
  <c r="B246" i="28"/>
  <c r="B247" i="28"/>
  <c r="B248" i="28"/>
  <c r="B249" i="28"/>
  <c r="B250" i="28"/>
  <c r="B251" i="28"/>
  <c r="B252" i="28"/>
  <c r="B253" i="28"/>
  <c r="B254" i="28"/>
  <c r="B255" i="28"/>
  <c r="B256" i="28"/>
  <c r="B257" i="28"/>
  <c r="B258" i="28"/>
  <c r="B259" i="28"/>
  <c r="B260" i="28"/>
  <c r="B261" i="28"/>
  <c r="B262" i="28"/>
  <c r="B263" i="28"/>
  <c r="B264" i="28"/>
  <c r="B265" i="28"/>
  <c r="B266" i="28"/>
  <c r="B267" i="28"/>
  <c r="B270" i="28"/>
  <c r="B271" i="28"/>
  <c r="B272" i="28"/>
  <c r="B273" i="28"/>
  <c r="B274" i="28"/>
  <c r="B275" i="28"/>
  <c r="B276" i="28"/>
  <c r="B277" i="28"/>
  <c r="B278" i="28"/>
  <c r="B279" i="28"/>
  <c r="B280" i="28"/>
  <c r="B281" i="28"/>
  <c r="B282" i="28"/>
  <c r="B283" i="28"/>
  <c r="B284" i="28"/>
  <c r="B285" i="28"/>
  <c r="B286" i="28"/>
  <c r="B287" i="28"/>
  <c r="B288" i="28"/>
  <c r="B289" i="28"/>
  <c r="B290" i="28"/>
  <c r="B291" i="28"/>
  <c r="B292" i="28"/>
  <c r="B293" i="28"/>
  <c r="B294" i="28"/>
  <c r="B295" i="28"/>
  <c r="B296" i="28"/>
  <c r="B297" i="28"/>
  <c r="B298" i="28"/>
  <c r="B299" i="28"/>
  <c r="B300" i="28"/>
  <c r="B301" i="28"/>
  <c r="B302" i="28"/>
  <c r="B303" i="28"/>
  <c r="B304" i="28"/>
  <c r="B305" i="28"/>
  <c r="B306" i="28"/>
  <c r="B307" i="28"/>
  <c r="B308" i="28"/>
  <c r="B309" i="28"/>
  <c r="B310" i="28"/>
  <c r="B311" i="28"/>
  <c r="B312" i="28"/>
  <c r="B313" i="28"/>
  <c r="B314" i="28"/>
  <c r="B315" i="28"/>
  <c r="B316" i="28"/>
  <c r="B317" i="28"/>
  <c r="B318" i="28"/>
  <c r="B319" i="28"/>
  <c r="B320" i="28"/>
  <c r="B321" i="28"/>
  <c r="B322" i="28"/>
  <c r="B323" i="28"/>
  <c r="B324" i="28"/>
  <c r="B325" i="28"/>
  <c r="B326" i="28"/>
  <c r="B327" i="28"/>
  <c r="B328" i="28"/>
  <c r="B329" i="28"/>
  <c r="B330" i="28"/>
  <c r="B331" i="28"/>
  <c r="B332" i="28"/>
  <c r="B333" i="28"/>
  <c r="B334" i="28"/>
  <c r="B335" i="28"/>
  <c r="B336" i="28"/>
  <c r="B337" i="28"/>
  <c r="B338" i="28"/>
  <c r="B339" i="28"/>
  <c r="B340" i="28"/>
  <c r="B341" i="28"/>
  <c r="B342" i="28"/>
  <c r="B343" i="28"/>
  <c r="B344" i="28"/>
  <c r="B345" i="28"/>
  <c r="B346" i="28"/>
  <c r="B347" i="28"/>
  <c r="B348" i="28"/>
  <c r="B349" i="28"/>
  <c r="B350" i="28"/>
  <c r="B351" i="28"/>
  <c r="B352" i="28"/>
  <c r="B353" i="28"/>
  <c r="B354" i="28"/>
  <c r="B355" i="28"/>
  <c r="B356" i="28"/>
  <c r="B357" i="28"/>
  <c r="B358" i="28"/>
  <c r="B359" i="28"/>
  <c r="B360" i="28"/>
  <c r="B361" i="28"/>
  <c r="B362" i="28"/>
  <c r="B363" i="28"/>
  <c r="B364" i="28"/>
  <c r="B365" i="28"/>
  <c r="B366" i="28"/>
  <c r="B367" i="28"/>
  <c r="B368" i="28"/>
  <c r="B369" i="28"/>
  <c r="B370" i="28"/>
  <c r="B371" i="28"/>
  <c r="B372" i="28"/>
  <c r="B373" i="28"/>
  <c r="B374" i="28"/>
  <c r="B375" i="28"/>
  <c r="B376" i="28"/>
  <c r="B377" i="28"/>
  <c r="B378" i="28"/>
  <c r="B379" i="28"/>
  <c r="B380" i="28"/>
  <c r="B381" i="28"/>
  <c r="B382" i="28"/>
  <c r="B383" i="28"/>
  <c r="B384" i="28"/>
  <c r="B385" i="28"/>
  <c r="B386" i="28"/>
  <c r="B387" i="28"/>
  <c r="B388" i="28"/>
  <c r="B389" i="28"/>
  <c r="B390" i="28"/>
  <c r="B391" i="28"/>
  <c r="B392" i="28"/>
  <c r="B393" i="28"/>
  <c r="B394" i="28"/>
  <c r="B395" i="28"/>
  <c r="B396" i="28"/>
  <c r="B397" i="28"/>
  <c r="B398" i="28"/>
  <c r="B399" i="28"/>
  <c r="B400" i="28"/>
  <c r="B401" i="28"/>
  <c r="B402" i="28"/>
  <c r="B403" i="28"/>
  <c r="B404" i="28"/>
  <c r="B405" i="28"/>
  <c r="I173" i="43" s="1"/>
  <c r="B406" i="28"/>
  <c r="B407" i="28"/>
  <c r="B408" i="28"/>
  <c r="B410" i="28"/>
  <c r="B411" i="28"/>
  <c r="B412" i="28"/>
  <c r="B413" i="28"/>
  <c r="B414" i="28"/>
  <c r="B415" i="28"/>
  <c r="B416" i="28"/>
  <c r="B417" i="28"/>
  <c r="B418" i="28"/>
  <c r="B419" i="28"/>
  <c r="B420" i="28"/>
  <c r="B421" i="28"/>
  <c r="B422" i="28"/>
  <c r="B423" i="28"/>
  <c r="B424" i="28"/>
  <c r="B425" i="28"/>
  <c r="B426" i="28"/>
  <c r="B427" i="28"/>
  <c r="B428" i="28"/>
  <c r="B429" i="28"/>
  <c r="B430" i="28"/>
  <c r="B431" i="28"/>
  <c r="B432" i="28"/>
  <c r="B433" i="28"/>
  <c r="B434" i="28"/>
  <c r="B435" i="28"/>
  <c r="B436" i="28"/>
  <c r="B437" i="28"/>
  <c r="B438" i="28"/>
  <c r="B439" i="28"/>
  <c r="B440" i="28"/>
  <c r="B441" i="28"/>
  <c r="B442" i="28"/>
  <c r="B443" i="28"/>
  <c r="B444" i="28"/>
  <c r="B445" i="28"/>
  <c r="B446" i="28"/>
  <c r="B447" i="28"/>
  <c r="B448" i="28"/>
  <c r="B449" i="28"/>
  <c r="B450" i="28"/>
  <c r="B451" i="28"/>
  <c r="B452" i="28"/>
  <c r="B453" i="28"/>
  <c r="B454" i="28"/>
  <c r="B455" i="28"/>
  <c r="B456" i="28"/>
  <c r="B457" i="28"/>
  <c r="B458" i="28"/>
  <c r="B459" i="28"/>
  <c r="B460" i="28"/>
  <c r="B461" i="28"/>
  <c r="B462" i="28"/>
  <c r="B463" i="28"/>
  <c r="B464" i="28"/>
  <c r="B465" i="28"/>
  <c r="B466" i="28"/>
  <c r="B467" i="28"/>
  <c r="C50" i="40" s="1"/>
  <c r="B468" i="28"/>
  <c r="B469" i="28"/>
  <c r="B470" i="28"/>
  <c r="B471" i="28"/>
  <c r="B472" i="28"/>
  <c r="B473" i="28"/>
  <c r="B474" i="28"/>
  <c r="B475" i="28"/>
  <c r="B476" i="28"/>
  <c r="B477" i="28"/>
  <c r="B478" i="28"/>
  <c r="B479" i="28"/>
  <c r="B480" i="28"/>
  <c r="B481" i="28"/>
  <c r="B482" i="28"/>
  <c r="B483" i="28"/>
  <c r="B484" i="28"/>
  <c r="B485" i="28"/>
  <c r="B486" i="28"/>
  <c r="B487" i="28"/>
  <c r="B488" i="28"/>
  <c r="B489" i="28"/>
  <c r="B490" i="28"/>
  <c r="B491" i="28"/>
  <c r="B492" i="28"/>
  <c r="B493" i="28"/>
  <c r="B494" i="28"/>
  <c r="B495" i="28"/>
  <c r="B496" i="28"/>
  <c r="B497" i="28"/>
  <c r="B498" i="28"/>
  <c r="B499" i="28"/>
  <c r="B500" i="28"/>
  <c r="B501" i="28"/>
  <c r="B502" i="28"/>
  <c r="B503" i="28"/>
  <c r="B504" i="28"/>
  <c r="B505" i="28"/>
  <c r="B506" i="28"/>
  <c r="B507" i="28"/>
  <c r="B508" i="28"/>
  <c r="B509" i="28"/>
  <c r="B510" i="28"/>
  <c r="B511" i="28"/>
  <c r="B512" i="28"/>
  <c r="B513" i="28"/>
  <c r="B514" i="28"/>
  <c r="B515" i="28"/>
  <c r="B516" i="28"/>
  <c r="B517" i="28"/>
  <c r="B518" i="28"/>
  <c r="B519" i="28"/>
  <c r="B520" i="28"/>
  <c r="B521" i="28"/>
  <c r="B522" i="28"/>
  <c r="B523" i="28"/>
  <c r="B524" i="28"/>
  <c r="B525" i="28"/>
  <c r="B526" i="28"/>
  <c r="B527" i="28"/>
  <c r="B528" i="28"/>
  <c r="B529" i="28"/>
  <c r="B530" i="28"/>
  <c r="B531" i="28"/>
  <c r="B532" i="28"/>
  <c r="B533" i="28"/>
  <c r="B534" i="28"/>
  <c r="B535" i="28"/>
  <c r="B536" i="28"/>
  <c r="B537" i="28"/>
  <c r="B538" i="28"/>
  <c r="B539" i="28"/>
  <c r="B540" i="28"/>
  <c r="B541" i="28"/>
  <c r="B542" i="28"/>
  <c r="B543" i="28"/>
  <c r="B544" i="28"/>
  <c r="B545" i="28"/>
  <c r="B546" i="28"/>
  <c r="B547" i="28"/>
  <c r="B548" i="28"/>
  <c r="B549" i="28"/>
  <c r="B550" i="28"/>
  <c r="B551" i="28"/>
  <c r="B552" i="28"/>
  <c r="B553" i="28"/>
  <c r="B554" i="28"/>
  <c r="B555" i="28"/>
  <c r="B556" i="28"/>
  <c r="B557" i="28"/>
  <c r="B558" i="28"/>
  <c r="B559" i="28"/>
  <c r="B560" i="28"/>
  <c r="B561" i="28"/>
  <c r="B562" i="28"/>
  <c r="B563" i="28"/>
  <c r="B564" i="28"/>
  <c r="B565" i="28"/>
  <c r="B569" i="28"/>
  <c r="B570" i="28"/>
  <c r="B571" i="28"/>
  <c r="B572" i="28"/>
  <c r="B573" i="28"/>
  <c r="B574" i="28"/>
  <c r="B575" i="28"/>
  <c r="B576" i="28"/>
  <c r="B577" i="28"/>
  <c r="B578" i="28"/>
  <c r="B579" i="28"/>
  <c r="B580" i="28"/>
  <c r="B581" i="28"/>
  <c r="B582" i="28"/>
  <c r="B583" i="28"/>
  <c r="B584" i="28"/>
  <c r="B585" i="28"/>
  <c r="B586" i="28"/>
  <c r="B587" i="28"/>
  <c r="B588" i="28"/>
  <c r="B589" i="28"/>
  <c r="B590" i="28"/>
  <c r="B591" i="28"/>
  <c r="B592" i="28"/>
  <c r="B593" i="28"/>
  <c r="B594" i="28"/>
  <c r="B595" i="28"/>
  <c r="B596" i="28"/>
  <c r="B597" i="28"/>
  <c r="B598" i="28"/>
  <c r="B599" i="28"/>
  <c r="B600" i="28"/>
  <c r="B601" i="28"/>
  <c r="B602" i="28"/>
  <c r="B603" i="28"/>
  <c r="B604" i="28"/>
  <c r="B605" i="28"/>
  <c r="B606" i="28"/>
  <c r="B607" i="28"/>
  <c r="B608" i="28"/>
  <c r="B609" i="28"/>
  <c r="B610" i="28"/>
  <c r="B611" i="28"/>
  <c r="B612" i="28"/>
  <c r="B613" i="28"/>
  <c r="B614" i="28"/>
  <c r="B615" i="28"/>
  <c r="B616" i="28"/>
  <c r="B617" i="28"/>
  <c r="B618" i="28"/>
  <c r="B619" i="28"/>
  <c r="B620" i="28"/>
  <c r="B621" i="28"/>
  <c r="B622" i="28"/>
  <c r="B623" i="28"/>
  <c r="B624" i="28"/>
  <c r="B625" i="28"/>
  <c r="B626" i="28"/>
  <c r="B627" i="28"/>
  <c r="B628" i="28"/>
  <c r="B629" i="28"/>
  <c r="B630" i="28"/>
  <c r="B631" i="28"/>
  <c r="B632" i="28"/>
  <c r="B633" i="28"/>
  <c r="B634" i="28"/>
  <c r="B635" i="28"/>
  <c r="B636" i="28"/>
  <c r="B637" i="28"/>
  <c r="B638" i="28"/>
  <c r="B639" i="28"/>
  <c r="B640" i="28"/>
  <c r="B641" i="28"/>
  <c r="B642" i="28"/>
  <c r="B643" i="28"/>
  <c r="B644" i="28"/>
  <c r="B645" i="28"/>
  <c r="B646" i="28"/>
  <c r="B647" i="28"/>
  <c r="B648" i="28"/>
  <c r="B649" i="28"/>
  <c r="B650" i="28"/>
  <c r="B651" i="28"/>
  <c r="B652" i="28"/>
  <c r="B653" i="28"/>
  <c r="B654" i="28"/>
  <c r="B655" i="28"/>
  <c r="B656" i="28"/>
  <c r="B657" i="28"/>
  <c r="B658" i="28"/>
  <c r="B659" i="28"/>
  <c r="B660" i="28"/>
  <c r="B661" i="28"/>
  <c r="B662" i="28"/>
  <c r="B663" i="28"/>
  <c r="B664" i="28"/>
  <c r="B665" i="28"/>
  <c r="B666" i="28"/>
  <c r="B667" i="28"/>
  <c r="B668" i="28"/>
  <c r="B669" i="28"/>
  <c r="B670" i="28"/>
  <c r="B671" i="28"/>
  <c r="B672" i="28"/>
  <c r="B673" i="28"/>
  <c r="B674" i="28"/>
  <c r="B675" i="28"/>
  <c r="B676" i="28"/>
  <c r="B677" i="28"/>
  <c r="B678" i="28"/>
  <c r="B679" i="28"/>
  <c r="B680" i="28"/>
  <c r="B681" i="28"/>
  <c r="B682" i="28"/>
  <c r="B683" i="28"/>
  <c r="B684" i="28"/>
  <c r="B685" i="28"/>
  <c r="B686" i="28"/>
  <c r="B687" i="28"/>
  <c r="B688" i="28"/>
  <c r="B689" i="28"/>
  <c r="B690" i="28"/>
  <c r="B691" i="28"/>
  <c r="B692" i="28"/>
  <c r="B693" i="28"/>
  <c r="B694" i="28"/>
  <c r="B695" i="28"/>
  <c r="B696" i="28"/>
  <c r="B697" i="28"/>
  <c r="B698" i="28"/>
  <c r="B699" i="28"/>
  <c r="B700" i="28"/>
  <c r="B701" i="28"/>
  <c r="B702" i="28"/>
  <c r="B703" i="28"/>
  <c r="B704" i="28"/>
  <c r="B705" i="28"/>
  <c r="B706" i="28"/>
  <c r="B707" i="28"/>
  <c r="B708" i="28"/>
  <c r="B712" i="28"/>
  <c r="B713" i="28"/>
  <c r="B714" i="28"/>
  <c r="B715" i="28"/>
  <c r="B716" i="28"/>
  <c r="B717" i="28"/>
  <c r="B718" i="28"/>
  <c r="B719" i="28"/>
  <c r="B720" i="28"/>
  <c r="B721" i="28"/>
  <c r="B722" i="28"/>
  <c r="B723" i="28"/>
  <c r="B724" i="28"/>
  <c r="B725" i="28"/>
  <c r="B726" i="28"/>
  <c r="B727" i="28"/>
  <c r="B728" i="28"/>
  <c r="B729" i="28"/>
  <c r="B730" i="28"/>
  <c r="B731" i="28"/>
  <c r="B732" i="28"/>
  <c r="B733" i="28"/>
  <c r="B734" i="28"/>
  <c r="B735" i="28"/>
  <c r="B736" i="28"/>
  <c r="B737" i="28"/>
  <c r="B738" i="28"/>
  <c r="B739" i="28"/>
  <c r="B740" i="28"/>
  <c r="B741" i="28"/>
  <c r="B742" i="28"/>
  <c r="B743" i="28"/>
  <c r="B744" i="28"/>
  <c r="B745" i="28"/>
  <c r="B746" i="28"/>
  <c r="B747" i="28"/>
  <c r="B748" i="28"/>
  <c r="B749" i="28"/>
  <c r="B750" i="28"/>
  <c r="B751" i="28"/>
  <c r="B752" i="28"/>
  <c r="B753" i="28"/>
  <c r="B754" i="28"/>
  <c r="B755" i="28"/>
  <c r="B756" i="28"/>
  <c r="B757" i="28"/>
  <c r="B758" i="28"/>
  <c r="B759" i="28"/>
  <c r="B760" i="28"/>
  <c r="B761" i="28"/>
  <c r="B762" i="28"/>
  <c r="B763" i="28"/>
  <c r="B764" i="28"/>
  <c r="B765" i="28"/>
  <c r="B766" i="28"/>
  <c r="B767" i="28"/>
  <c r="B768" i="28"/>
  <c r="B769" i="28"/>
  <c r="B770" i="28"/>
  <c r="B771" i="28"/>
  <c r="B772" i="28"/>
  <c r="B773" i="28"/>
  <c r="B774" i="28"/>
  <c r="B775" i="28"/>
  <c r="B776" i="28"/>
  <c r="B777" i="28"/>
  <c r="B778" i="28"/>
  <c r="B779" i="28"/>
  <c r="B780" i="28"/>
  <c r="B781" i="28"/>
  <c r="B782" i="28"/>
  <c r="B783" i="28"/>
  <c r="B784" i="28"/>
  <c r="B785" i="28"/>
  <c r="B786" i="28"/>
  <c r="B787" i="28"/>
  <c r="B788" i="28"/>
  <c r="B789" i="28"/>
  <c r="B790" i="28"/>
  <c r="B791" i="28"/>
  <c r="B792" i="28"/>
  <c r="B793" i="28"/>
  <c r="B794" i="28"/>
  <c r="B795" i="28"/>
  <c r="B796" i="28"/>
  <c r="B797" i="28"/>
  <c r="B798" i="28"/>
  <c r="B799" i="28"/>
  <c r="B800" i="28"/>
  <c r="B801" i="28"/>
  <c r="B802" i="28"/>
  <c r="B803" i="28"/>
  <c r="B804" i="28"/>
  <c r="B805" i="28"/>
  <c r="B806" i="28"/>
  <c r="B807" i="28"/>
  <c r="B808" i="28"/>
  <c r="B809" i="28"/>
  <c r="B810" i="28"/>
  <c r="B811" i="28"/>
  <c r="B812" i="28"/>
  <c r="B813" i="28"/>
  <c r="B814" i="28"/>
  <c r="B815" i="28"/>
  <c r="B816" i="28"/>
  <c r="B817" i="28"/>
  <c r="B818" i="28"/>
  <c r="B819" i="28"/>
  <c r="B820" i="28"/>
  <c r="B821" i="28"/>
  <c r="B9" i="28"/>
  <c r="L20" i="23" l="1"/>
  <c r="M20" i="23" s="1"/>
  <c r="M23" i="23"/>
  <c r="N23" i="23"/>
  <c r="A91" i="69"/>
  <c r="A90" i="69"/>
  <c r="A92" i="69"/>
  <c r="C123" i="57"/>
  <c r="AA123" i="57" s="1"/>
  <c r="A93" i="69"/>
  <c r="A95" i="69"/>
  <c r="A99" i="69"/>
  <c r="A94" i="69"/>
  <c r="A96" i="69"/>
  <c r="A101" i="69"/>
  <c r="A97" i="69"/>
  <c r="A98" i="69"/>
  <c r="A100" i="69"/>
  <c r="A89" i="69"/>
  <c r="A102" i="69"/>
  <c r="A214" i="69"/>
  <c r="A226" i="69"/>
  <c r="A238" i="69"/>
  <c r="A250" i="69"/>
  <c r="A215" i="69"/>
  <c r="A227" i="69"/>
  <c r="A239" i="69"/>
  <c r="A251" i="69"/>
  <c r="A212" i="69"/>
  <c r="A247" i="69"/>
  <c r="A248" i="69"/>
  <c r="A237" i="69"/>
  <c r="A216" i="69"/>
  <c r="A228" i="69"/>
  <c r="A240" i="69"/>
  <c r="A252" i="69"/>
  <c r="A218" i="69"/>
  <c r="A242" i="69"/>
  <c r="A219" i="69"/>
  <c r="A255" i="69"/>
  <c r="C129" i="57"/>
  <c r="AA129" i="57" s="1"/>
  <c r="A224" i="69"/>
  <c r="A249" i="69"/>
  <c r="A217" i="69"/>
  <c r="A229" i="69"/>
  <c r="A241" i="69"/>
  <c r="A253" i="69"/>
  <c r="A230" i="69"/>
  <c r="A254" i="69"/>
  <c r="A231" i="69"/>
  <c r="A243" i="69"/>
  <c r="A235" i="69"/>
  <c r="A236" i="69"/>
  <c r="A213" i="69"/>
  <c r="A220" i="69"/>
  <c r="A232" i="69"/>
  <c r="A244" i="69"/>
  <c r="A256" i="69"/>
  <c r="A221" i="69"/>
  <c r="A233" i="69"/>
  <c r="A245" i="69"/>
  <c r="A257" i="69"/>
  <c r="A222" i="69"/>
  <c r="A234" i="69"/>
  <c r="A246" i="69"/>
  <c r="A223" i="69"/>
  <c r="A225" i="69"/>
  <c r="N17" i="23"/>
  <c r="M17" i="23"/>
  <c r="N26" i="23"/>
  <c r="AW80" i="15"/>
  <c r="M26" i="23"/>
  <c r="H12" i="38"/>
  <c r="C8" i="48"/>
  <c r="C9" i="48"/>
  <c r="C10" i="48"/>
  <c r="C11" i="48"/>
  <c r="C12" i="48"/>
  <c r="C13" i="48"/>
  <c r="C14" i="48"/>
  <c r="C15" i="48"/>
  <c r="C16" i="48"/>
  <c r="C19" i="48"/>
  <c r="C22" i="48"/>
  <c r="C24" i="48"/>
  <c r="C25" i="48"/>
  <c r="C26" i="48"/>
  <c r="C29" i="48"/>
  <c r="C30" i="48"/>
  <c r="C31" i="48"/>
  <c r="C32" i="48"/>
  <c r="C34" i="48"/>
  <c r="C35" i="48"/>
  <c r="C36" i="48"/>
  <c r="C37" i="48"/>
  <c r="C38" i="48"/>
  <c r="C39" i="48"/>
  <c r="C40" i="48"/>
  <c r="C41" i="48"/>
  <c r="C42" i="48"/>
  <c r="C46" i="48"/>
  <c r="C48" i="48"/>
  <c r="C49" i="48"/>
  <c r="C50" i="48"/>
  <c r="C51" i="48"/>
  <c r="C52" i="48"/>
  <c r="C53" i="48"/>
  <c r="C57" i="48"/>
  <c r="C58" i="48"/>
  <c r="C59" i="48"/>
  <c r="C60" i="48"/>
  <c r="C61" i="48"/>
  <c r="C62" i="48"/>
  <c r="C63" i="48"/>
  <c r="C64" i="48"/>
  <c r="C65" i="48"/>
  <c r="C72" i="48"/>
  <c r="C73" i="48"/>
  <c r="C74" i="48"/>
  <c r="C75" i="48"/>
  <c r="C76" i="48"/>
  <c r="C77" i="48"/>
  <c r="C78" i="48"/>
  <c r="C80" i="48"/>
  <c r="C81" i="48"/>
  <c r="C82" i="48"/>
  <c r="C83" i="48"/>
  <c r="C88" i="48"/>
  <c r="C89" i="48"/>
  <c r="C90" i="48"/>
  <c r="C91" i="48"/>
  <c r="C92" i="48"/>
  <c r="C93" i="48"/>
  <c r="C97" i="48"/>
  <c r="C98" i="48"/>
  <c r="C100" i="48"/>
  <c r="C101" i="48"/>
  <c r="C104" i="48"/>
  <c r="C105" i="48"/>
  <c r="C106" i="48"/>
  <c r="C107" i="48"/>
  <c r="C108" i="48"/>
  <c r="C109" i="48"/>
  <c r="C110" i="48"/>
  <c r="C111" i="48"/>
  <c r="C112" i="48"/>
  <c r="C116" i="48"/>
  <c r="C117" i="48"/>
  <c r="C118" i="48"/>
  <c r="C119" i="48"/>
  <c r="C120" i="48"/>
  <c r="C121" i="48"/>
  <c r="C123" i="48"/>
  <c r="C124" i="48"/>
  <c r="C127" i="48"/>
  <c r="C128" i="48"/>
  <c r="C129" i="48"/>
  <c r="C130" i="48"/>
  <c r="C131" i="48"/>
  <c r="C132" i="48"/>
  <c r="C133" i="48"/>
  <c r="C6" i="48"/>
  <c r="C7" i="48"/>
  <c r="C122" i="48"/>
  <c r="C99" i="48"/>
  <c r="C79" i="48"/>
  <c r="C47" i="48"/>
  <c r="C33" i="48"/>
  <c r="C23" i="48"/>
  <c r="C21" i="48"/>
  <c r="C20" i="48"/>
  <c r="C5" i="48"/>
  <c r="N20" i="23" l="1"/>
  <c r="AW72" i="15"/>
  <c r="D409" i="28"/>
  <c r="C17" i="15" l="1"/>
  <c r="X12" i="43"/>
  <c r="X45" i="43" s="1"/>
  <c r="K21" i="43"/>
  <c r="K54" i="43" s="1"/>
  <c r="K87" i="43" s="1"/>
  <c r="K125" i="43" s="1"/>
  <c r="K22" i="43"/>
  <c r="K55" i="43" s="1"/>
  <c r="K88" i="43" s="1"/>
  <c r="K126" i="43" s="1"/>
  <c r="M22" i="43"/>
  <c r="S22" i="43"/>
  <c r="AC33" i="43"/>
  <c r="AC67" i="43"/>
  <c r="W76" i="43"/>
  <c r="Z87" i="43" s="1"/>
  <c r="T114" i="43"/>
  <c r="AB124" i="43" s="1"/>
  <c r="AA147" i="43" s="1"/>
  <c r="AD137" i="43"/>
  <c r="K148" i="43"/>
  <c r="M172" i="43"/>
  <c r="W172" i="43"/>
  <c r="AA172" i="43"/>
  <c r="DH9" i="43"/>
  <c r="DH42" i="43" s="1"/>
  <c r="DH76" i="43" s="1"/>
  <c r="CR172" i="43"/>
  <c r="CU173" i="43"/>
  <c r="CF193" i="43"/>
  <c r="CE62" i="50"/>
  <c r="CU180" i="43"/>
  <c r="N9" i="50"/>
  <c r="V27" i="50"/>
  <c r="R9" i="50"/>
  <c r="F27" i="50" s="1"/>
  <c r="C59" i="50"/>
  <c r="K71" i="50"/>
  <c r="AB73" i="50"/>
  <c r="CI27" i="50"/>
  <c r="CC44" i="50"/>
  <c r="CE44" i="50"/>
  <c r="C6" i="67"/>
  <c r="C37" i="67"/>
  <c r="C67" i="67"/>
  <c r="C8" i="67"/>
  <c r="C39" i="67" s="1"/>
  <c r="C69" i="67" s="1"/>
  <c r="C10" i="67"/>
  <c r="C41" i="67" s="1"/>
  <c r="C12" i="67"/>
  <c r="E12" i="67"/>
  <c r="E43" i="67" s="1"/>
  <c r="H11" i="67"/>
  <c r="H42" i="67" s="1"/>
  <c r="P11" i="67"/>
  <c r="P42" i="67" s="1"/>
  <c r="X11" i="67"/>
  <c r="X42" i="67" s="1"/>
  <c r="P19" i="67"/>
  <c r="P50" i="67" s="1"/>
  <c r="P20" i="67"/>
  <c r="P51" i="67" s="1"/>
  <c r="C21" i="67"/>
  <c r="C52" i="67" s="1"/>
  <c r="C22" i="67"/>
  <c r="C53" i="67" s="1"/>
  <c r="C24" i="67"/>
  <c r="C55" i="67" s="1"/>
  <c r="H24" i="67"/>
  <c r="H55" i="67" s="1"/>
  <c r="C26" i="67"/>
  <c r="AB30" i="67"/>
  <c r="N12" i="67"/>
  <c r="N43" i="67" s="1"/>
  <c r="C43" i="67"/>
  <c r="C57" i="67"/>
  <c r="AB61" i="67"/>
  <c r="C71" i="67"/>
  <c r="O72" i="67"/>
  <c r="X72" i="67"/>
  <c r="BU8" i="67"/>
  <c r="BU39" i="67" s="1"/>
  <c r="BV11" i="67"/>
  <c r="BV42" i="67" s="1"/>
  <c r="CE8" i="67"/>
  <c r="CE39" i="67" s="1"/>
  <c r="CE10" i="67"/>
  <c r="CE41" i="67" s="1"/>
  <c r="CH9" i="67"/>
  <c r="CH40" i="67" s="1"/>
  <c r="CE15" i="67"/>
  <c r="CE46" i="67" s="1"/>
  <c r="CI15" i="67"/>
  <c r="CI23" i="67" s="1"/>
  <c r="CI54" i="67" s="1"/>
  <c r="CC23" i="67"/>
  <c r="CC54" i="67" s="1"/>
  <c r="BU23" i="67"/>
  <c r="BU54" i="67" s="1"/>
  <c r="BR25" i="67"/>
  <c r="BR56" i="67" s="1"/>
  <c r="CA25" i="67"/>
  <c r="CA56" i="67" s="1"/>
  <c r="CA26" i="67"/>
  <c r="CA57" i="67" s="1"/>
  <c r="CI27" i="67"/>
  <c r="CI58" i="67" s="1"/>
  <c r="BV9" i="67"/>
  <c r="BV40" i="67" s="1"/>
  <c r="BR70" i="67"/>
  <c r="BR71" i="67"/>
  <c r="BW70" i="67"/>
  <c r="B26" i="57"/>
  <c r="J26" i="57"/>
  <c r="B196" i="57" s="1"/>
  <c r="B62" i="57"/>
  <c r="J62" i="57"/>
  <c r="W66" i="57"/>
  <c r="W68" i="57"/>
  <c r="W70" i="57"/>
  <c r="W74" i="57"/>
  <c r="W94" i="57" s="1"/>
  <c r="B145" i="57"/>
  <c r="B148" i="57"/>
  <c r="B149" i="57"/>
  <c r="B160" i="57" s="1"/>
  <c r="B150" i="57"/>
  <c r="B151" i="57"/>
  <c r="B152" i="57"/>
  <c r="B153" i="57"/>
  <c r="B278" i="57" s="1"/>
  <c r="B289" i="57" s="1"/>
  <c r="B154" i="57"/>
  <c r="B165" i="57" s="1"/>
  <c r="B155" i="57"/>
  <c r="B166" i="57" s="1"/>
  <c r="B156" i="57"/>
  <c r="B281" i="57" s="1"/>
  <c r="B159" i="57"/>
  <c r="B167" i="57"/>
  <c r="B292" i="57" s="1"/>
  <c r="D148" i="57"/>
  <c r="E148" i="57"/>
  <c r="E273" i="57" s="1"/>
  <c r="E284" i="57" s="1"/>
  <c r="F148" i="57"/>
  <c r="G148" i="57"/>
  <c r="I148" i="57"/>
  <c r="J148" i="57"/>
  <c r="K148" i="57"/>
  <c r="J179" i="57"/>
  <c r="K179" i="57"/>
  <c r="L179" i="57"/>
  <c r="J196" i="57"/>
  <c r="B232" i="57"/>
  <c r="B270" i="57"/>
  <c r="N135" i="57"/>
  <c r="O191" i="57" s="1"/>
  <c r="O135" i="57"/>
  <c r="P191" i="57" s="1"/>
  <c r="P135" i="57"/>
  <c r="Q191" i="57" s="1"/>
  <c r="CH11" i="43"/>
  <c r="CO11" i="43" s="1"/>
  <c r="CO23" i="43" s="1"/>
  <c r="CJ11" i="43"/>
  <c r="CJ23" i="43" s="1"/>
  <c r="C409" i="28"/>
  <c r="J232" i="57"/>
  <c r="B15" i="57"/>
  <c r="BW71" i="67"/>
  <c r="BT20" i="67"/>
  <c r="BT51" i="67" s="1"/>
  <c r="CI16" i="67"/>
  <c r="CI47" i="67" s="1"/>
  <c r="CI44" i="50"/>
  <c r="CR171" i="43"/>
  <c r="DJ44" i="43"/>
  <c r="DJ78" i="43" s="1"/>
  <c r="DJ116" i="43" s="1"/>
  <c r="DJ149" i="43" s="1"/>
  <c r="DL44" i="43"/>
  <c r="DL78" i="43" s="1"/>
  <c r="DL116" i="43" s="1"/>
  <c r="DL149" i="43" s="1"/>
  <c r="DH44" i="43"/>
  <c r="DH78" i="43" s="1"/>
  <c r="DH116" i="43" s="1"/>
  <c r="DH149" i="43" s="1"/>
  <c r="DJ43" i="43"/>
  <c r="DJ77" i="43" s="1"/>
  <c r="DJ115" i="43" s="1"/>
  <c r="DJ148" i="43" s="1"/>
  <c r="DN43" i="43"/>
  <c r="DN77" i="43" s="1"/>
  <c r="DN115" i="43" s="1"/>
  <c r="DN148" i="43" s="1"/>
  <c r="DN11" i="43"/>
  <c r="DN44" i="43" s="1"/>
  <c r="DN78" i="43" s="1"/>
  <c r="DN116" i="43" s="1"/>
  <c r="DN149" i="43" s="1"/>
  <c r="DL10" i="43"/>
  <c r="DL43" i="43" s="1"/>
  <c r="DL77" i="43" s="1"/>
  <c r="DL115" i="43" s="1"/>
  <c r="DL148" i="43" s="1"/>
  <c r="DH10" i="43"/>
  <c r="DH43" i="43" s="1"/>
  <c r="DH77" i="43" s="1"/>
  <c r="DH115" i="43" s="1"/>
  <c r="DH148" i="43" s="1"/>
  <c r="CZ11" i="43"/>
  <c r="CZ44" i="43" s="1"/>
  <c r="CZ78" i="43" s="1"/>
  <c r="CZ116" i="43" s="1"/>
  <c r="CZ149" i="43" s="1"/>
  <c r="BG55" i="43"/>
  <c r="AX43" i="43"/>
  <c r="AA24" i="43"/>
  <c r="AA57" i="43" s="1"/>
  <c r="AA90" i="43" s="1"/>
  <c r="AB128" i="43" s="1"/>
  <c r="AA23" i="43"/>
  <c r="AA56" i="43" s="1"/>
  <c r="AA89" i="43" s="1"/>
  <c r="AB127" i="43" s="1"/>
  <c r="AB148" i="43" s="1"/>
  <c r="X11" i="43"/>
  <c r="X44" i="43" s="1"/>
  <c r="B273" i="57" l="1"/>
  <c r="AC114" i="57"/>
  <c r="B284" i="57"/>
  <c r="AH114" i="57"/>
  <c r="B409" i="28"/>
  <c r="AY21" i="43" s="1"/>
  <c r="B277" i="57"/>
  <c r="B288" i="57" s="1"/>
  <c r="B163" i="57"/>
  <c r="B274" i="57"/>
  <c r="B285" i="57" s="1"/>
  <c r="B276" i="57"/>
  <c r="B287" i="57" s="1"/>
  <c r="B162" i="57"/>
  <c r="B275" i="57"/>
  <c r="B286" i="57" s="1"/>
  <c r="B161" i="57"/>
  <c r="CP194" i="43"/>
  <c r="BT61" i="50"/>
  <c r="B164" i="57"/>
  <c r="B279" i="57"/>
  <c r="B290" i="57" s="1"/>
  <c r="B280" i="57"/>
  <c r="B291" i="57" s="1"/>
  <c r="CI24" i="67"/>
  <c r="CI55" i="67" s="1"/>
  <c r="BR22" i="67"/>
  <c r="BR53" i="67" s="1"/>
  <c r="CI46" i="67"/>
  <c r="CH23" i="43"/>
  <c r="CH10" i="67" l="1"/>
  <c r="CH41" i="67" s="1"/>
  <c r="AY10" i="43"/>
  <c r="BA10" i="43"/>
  <c r="BC10" i="43"/>
  <c r="BE10" i="43"/>
  <c r="Z7" i="21"/>
  <c r="C73" i="67"/>
  <c r="AW55" i="43"/>
  <c r="BB55" i="43" s="1"/>
  <c r="AY55" i="43"/>
  <c r="BD55" i="43" s="1"/>
  <c r="CF11" i="43"/>
  <c r="AY11" i="43"/>
  <c r="CF9" i="43"/>
  <c r="AZ12" i="43" l="1"/>
  <c r="AZ23" i="43" s="1"/>
  <c r="AZ46" i="43" s="1"/>
  <c r="AX56" i="43" s="1"/>
  <c r="AZ56" i="43" s="1"/>
  <c r="BC56" i="43" s="1"/>
  <c r="BE56" i="43" s="1"/>
  <c r="BH56" i="43" s="1"/>
  <c r="BL56" i="43" s="1"/>
  <c r="CI10" i="67"/>
  <c r="CI41" i="67" s="1"/>
  <c r="AY12" i="43"/>
  <c r="BA12" i="43" s="1"/>
  <c r="BC12" i="43" s="1"/>
  <c r="BE12" i="43" s="1"/>
  <c r="P12" i="67"/>
  <c r="P43" i="67" s="1"/>
  <c r="BT7" i="50"/>
  <c r="BT25" i="50" s="1"/>
  <c r="BT42" i="50" s="1"/>
  <c r="AS8" i="29"/>
  <c r="CF23" i="43"/>
  <c r="CM11" i="43"/>
  <c r="CM23" i="43" s="1"/>
  <c r="AT124" i="15"/>
  <c r="BO56" i="43" l="1"/>
  <c r="AY23" i="43"/>
  <c r="AY46" i="43" s="1"/>
  <c r="BD56" i="43" s="1"/>
  <c r="BC10" i="36"/>
  <c r="AY10" i="36"/>
  <c r="BH10" i="36"/>
  <c r="AS11" i="15"/>
  <c r="AS22" i="15" s="1"/>
  <c r="AY53" i="15"/>
  <c r="AY64" i="15" s="1"/>
  <c r="BP34" i="29"/>
  <c r="BS34" i="29" s="1"/>
  <c r="AV9" i="29"/>
  <c r="M12" i="26"/>
  <c r="P12" i="26" s="1"/>
  <c r="K12" i="36"/>
  <c r="M12" i="36" s="1"/>
  <c r="AS12" i="36"/>
  <c r="C22" i="21"/>
  <c r="AT55" i="15"/>
  <c r="AT66" i="15" s="1"/>
  <c r="AS115" i="15" s="1"/>
  <c r="AS126" i="15" s="1"/>
  <c r="AU126" i="15" s="1"/>
  <c r="AT13" i="15"/>
  <c r="AT24" i="15" s="1"/>
  <c r="AS13" i="15"/>
  <c r="AS24" i="15" s="1"/>
  <c r="AS55" i="15"/>
  <c r="AS66" i="15" s="1"/>
  <c r="AR115" i="15" s="1"/>
  <c r="AT115" i="15" s="1"/>
  <c r="BH58" i="29"/>
  <c r="BH33" i="29"/>
  <c r="BM33" i="29" s="1"/>
  <c r="BE9" i="29"/>
  <c r="AV34" i="29" s="1"/>
  <c r="AY59" i="29" s="1"/>
  <c r="BK59" i="29" s="1"/>
  <c r="AY9" i="29"/>
  <c r="AS10" i="29"/>
  <c r="AS9" i="29"/>
  <c r="D24" i="21"/>
  <c r="O22" i="21"/>
  <c r="N58" i="29"/>
  <c r="N77" i="43" s="1"/>
  <c r="CV76" i="43" s="1"/>
  <c r="G9" i="29"/>
  <c r="G34" i="29" s="1"/>
  <c r="G59" i="29" s="1"/>
  <c r="AW56" i="43" l="1"/>
  <c r="AY56" i="43"/>
  <c r="BB56" i="43"/>
  <c r="AR126" i="15"/>
  <c r="AT126" i="15" s="1"/>
  <c r="AU55" i="15"/>
  <c r="AW55" i="15" s="1"/>
  <c r="AS33" i="29"/>
  <c r="AV58" i="29" s="1"/>
  <c r="G22" i="15"/>
  <c r="BA10" i="36"/>
  <c r="AY54" i="15"/>
  <c r="BH11" i="36"/>
  <c r="AV8" i="26"/>
  <c r="AS12" i="15"/>
  <c r="AS23" i="15" s="1"/>
  <c r="BK58" i="29"/>
  <c r="K33" i="29"/>
  <c r="BC34" i="29"/>
  <c r="I23" i="15"/>
  <c r="BE33" i="29"/>
  <c r="BK33" i="29" s="1"/>
  <c r="G11" i="36"/>
  <c r="AU115" i="15"/>
  <c r="N12" i="21"/>
  <c r="BW34" i="29"/>
  <c r="BY34" i="29"/>
  <c r="AY65" i="15" l="1"/>
  <c r="AW54" i="15"/>
  <c r="C12" i="15"/>
  <c r="C54" i="15" s="1"/>
  <c r="C114" i="15" s="1"/>
  <c r="AP126" i="15" s="1"/>
  <c r="X11" i="36"/>
  <c r="AC11" i="36" s="1"/>
  <c r="AT11" i="36" s="1"/>
  <c r="BM11" i="36" s="1"/>
  <c r="K11" i="36"/>
  <c r="Z23" i="15"/>
  <c r="BE10" i="36"/>
  <c r="BB9" i="29"/>
  <c r="AT114" i="15" l="1"/>
  <c r="AW65" i="15"/>
  <c r="C15" i="15"/>
  <c r="AP15" i="15" s="1"/>
  <c r="S11" i="36"/>
  <c r="O11" i="36"/>
  <c r="AS7" i="29"/>
  <c r="I22" i="15"/>
  <c r="AS34" i="29" l="1"/>
  <c r="AV59" i="29" s="1"/>
  <c r="BH59" i="29" s="1"/>
  <c r="K23" i="15"/>
  <c r="AA149" i="43" s="1"/>
  <c r="C24" i="15"/>
  <c r="AT10" i="29" l="1"/>
  <c r="E11" i="36"/>
  <c r="W11" i="36" s="1"/>
  <c r="AR11" i="36" s="1"/>
  <c r="BL11" i="36" s="1"/>
  <c r="AS54" i="15"/>
  <c r="BE34" i="29"/>
  <c r="BH34" i="29" s="1"/>
  <c r="G23" i="15" l="1"/>
  <c r="C14" i="15"/>
  <c r="AP14" i="15" s="1"/>
  <c r="E22" i="15"/>
  <c r="AU54" i="15"/>
  <c r="AU65" i="15" s="1"/>
  <c r="AS65" i="15"/>
  <c r="AP55" i="15" l="1"/>
  <c r="AP17" i="15"/>
  <c r="K22" i="15"/>
  <c r="X9" i="26" l="1"/>
  <c r="R21" i="15"/>
  <c r="AY11" i="15"/>
  <c r="AY22" i="15" s="1"/>
  <c r="BF53" i="15" s="1"/>
  <c r="BF64" i="15" s="1"/>
  <c r="P35" i="15"/>
  <c r="P95" i="15" s="1"/>
  <c r="C56" i="15" l="1"/>
  <c r="AP56" i="15" s="1"/>
  <c r="R11" i="15"/>
  <c r="Q52" i="15"/>
  <c r="R64" i="15" s="1"/>
  <c r="I11" i="36"/>
  <c r="M22" i="15"/>
  <c r="G11" i="15" l="1"/>
  <c r="G21" i="15" s="1"/>
  <c r="C16" i="15"/>
  <c r="AP16" i="15" s="1"/>
  <c r="Z11" i="36"/>
  <c r="AD11" i="36" s="1"/>
  <c r="AV11" i="36" s="1"/>
  <c r="BN11" i="36" s="1"/>
  <c r="M11" i="36"/>
  <c r="C59" i="15"/>
  <c r="AP59" i="15" s="1"/>
  <c r="C118" i="15" l="1"/>
  <c r="AP118" i="15" s="1"/>
  <c r="U11" i="36"/>
  <c r="Q11" i="36"/>
  <c r="AW11" i="15"/>
  <c r="AW22" i="15" s="1"/>
  <c r="BD53" i="15" s="1"/>
  <c r="BD64" i="15" s="1"/>
  <c r="E54" i="15"/>
  <c r="E66" i="15" s="1"/>
  <c r="E86" i="15" l="1"/>
  <c r="BA11" i="15"/>
  <c r="AS53" i="15"/>
  <c r="AS64" i="15" s="1"/>
  <c r="C121" i="15"/>
  <c r="AP121" i="15" s="1"/>
  <c r="K54" i="15" l="1"/>
  <c r="K66" i="15" s="1"/>
  <c r="K86" i="15" s="1"/>
  <c r="BJ53" i="15"/>
  <c r="BJ64" i="15" s="1"/>
  <c r="E13" i="15"/>
  <c r="E23" i="15" s="1"/>
  <c r="BA22" i="15"/>
  <c r="BK11" i="15"/>
  <c r="BK22" i="15" s="1"/>
  <c r="BH10" i="15" l="1"/>
  <c r="E124" i="15"/>
  <c r="AR113" i="15" s="1"/>
  <c r="AR124" i="15" s="1"/>
  <c r="BH11" i="15"/>
  <c r="BH22" i="15" s="1"/>
  <c r="C58" i="15" l="1"/>
  <c r="AP58" i="15" s="1"/>
  <c r="K124" i="15"/>
  <c r="E53" i="15"/>
  <c r="E65" i="15" s="1"/>
  <c r="E85" i="15" s="1"/>
  <c r="G112" i="15" l="1"/>
  <c r="G122" i="15" s="1"/>
  <c r="C117" i="15"/>
  <c r="AP117" i="15" s="1"/>
  <c r="G51" i="15"/>
  <c r="G63" i="15" s="1"/>
  <c r="BH53" i="15" l="1"/>
  <c r="BH64" i="15" s="1"/>
  <c r="AP65" i="15"/>
  <c r="P123" i="15"/>
  <c r="AU53" i="15" l="1"/>
  <c r="AU64" i="15" s="1"/>
  <c r="AX112" i="15"/>
  <c r="AX123" i="15" s="1"/>
  <c r="M13" i="15"/>
  <c r="P137" i="15" l="1"/>
  <c r="BI13" i="15"/>
  <c r="BI23" i="15" s="1"/>
  <c r="M23" i="15"/>
  <c r="M54" i="15" s="1"/>
  <c r="M66" i="15" s="1"/>
  <c r="BB113" i="15"/>
  <c r="BB124" i="15" s="1"/>
  <c r="AU22" i="15"/>
  <c r="BB64" i="15" s="1"/>
  <c r="AV124" i="15" s="1"/>
  <c r="M114" i="15" l="1"/>
  <c r="M125" i="15" s="1"/>
  <c r="M86" i="15"/>
  <c r="BH113" i="15"/>
  <c r="BH124" i="15" s="1"/>
  <c r="K53" i="15"/>
  <c r="K65" i="15" s="1"/>
  <c r="K85" i="15" s="1"/>
  <c r="AP125" i="15"/>
  <c r="AS10" i="15" l="1"/>
  <c r="AS21" i="15" s="1"/>
  <c r="D57" i="26"/>
  <c r="AX111" i="15"/>
  <c r="AX122" i="15" s="1"/>
  <c r="D60" i="26" l="1"/>
  <c r="C57" i="15"/>
  <c r="AP57" i="15" s="1"/>
  <c r="AZ113" i="15"/>
  <c r="AZ124" i="15" s="1"/>
  <c r="BF113" i="15" l="1"/>
  <c r="BF124" i="15" s="1"/>
  <c r="C116" i="15"/>
  <c r="AP116" i="15" s="1"/>
  <c r="D63" i="26"/>
  <c r="C119" i="15" l="1"/>
  <c r="AP119" i="15" s="1"/>
  <c r="D66" i="26"/>
  <c r="D56" i="26"/>
  <c r="D69" i="26" l="1"/>
  <c r="D59" i="26"/>
  <c r="E125" i="15"/>
  <c r="D62" i="26" l="1"/>
  <c r="C143" i="15"/>
  <c r="D72" i="26"/>
  <c r="D75" i="26" l="1"/>
  <c r="AP114" i="15"/>
  <c r="D65" i="26"/>
  <c r="D68" i="26" l="1"/>
  <c r="AX113" i="15"/>
  <c r="AX124" i="15" s="1"/>
  <c r="S52" i="26"/>
  <c r="BD113" i="15" l="1"/>
  <c r="BD124" i="15" s="1"/>
  <c r="W53" i="26"/>
  <c r="D71" i="26"/>
  <c r="K53" i="26" l="1"/>
  <c r="BB53" i="26" s="1"/>
  <c r="AT9" i="26"/>
  <c r="D58" i="26"/>
  <c r="D61" i="26" l="1"/>
  <c r="AT12" i="26"/>
  <c r="C81" i="26"/>
  <c r="BC9" i="26" l="1"/>
  <c r="W52" i="26"/>
  <c r="D64" i="26"/>
  <c r="AT7" i="26" l="1"/>
  <c r="D67" i="26"/>
  <c r="BH53" i="26"/>
  <c r="BR54" i="26" l="1"/>
  <c r="CB54" i="26" s="1"/>
  <c r="D70" i="26"/>
  <c r="AT11" i="26"/>
  <c r="AT14" i="26" l="1"/>
  <c r="I53" i="26"/>
  <c r="BM52" i="26"/>
  <c r="D38" i="26" l="1"/>
  <c r="BY53" i="26"/>
  <c r="BH52" i="26"/>
  <c r="BC54" i="26" l="1"/>
  <c r="BM54" i="26" s="1"/>
  <c r="BY54" i="26" s="1"/>
  <c r="C10" i="36"/>
  <c r="S53" i="26"/>
  <c r="AQ10" i="36" l="1"/>
  <c r="C115" i="43"/>
  <c r="AT5" i="26"/>
  <c r="K9" i="36"/>
  <c r="O9" i="36" s="1"/>
  <c r="S9" i="36" s="1"/>
  <c r="BM53" i="26"/>
  <c r="S10" i="36" l="1"/>
  <c r="BW52" i="26"/>
  <c r="AT10" i="26"/>
  <c r="AT13" i="26" l="1"/>
  <c r="E10" i="36"/>
  <c r="G115" i="43" s="1"/>
  <c r="C29" i="36"/>
  <c r="O10" i="36" l="1"/>
  <c r="C32" i="36"/>
  <c r="BC53" i="26"/>
  <c r="BA76" i="26" l="1"/>
  <c r="C28" i="36"/>
  <c r="C35" i="36"/>
  <c r="BH9" i="36" l="1"/>
  <c r="C31" i="36"/>
  <c r="BR53" i="26"/>
  <c r="CB53" i="26" l="1"/>
  <c r="BJ54" i="15"/>
  <c r="BJ65" i="15" s="1"/>
  <c r="C34" i="36"/>
  <c r="AR9" i="36" l="1"/>
  <c r="AL34" i="40"/>
  <c r="C11" i="36"/>
  <c r="AQ11" i="36" l="1"/>
  <c r="C116" i="43"/>
  <c r="AT83" i="40"/>
  <c r="B93" i="40"/>
  <c r="K10" i="36"/>
  <c r="W10" i="36" l="1"/>
  <c r="AT60" i="40"/>
  <c r="AT61" i="40" s="1"/>
  <c r="AT62" i="40" s="1"/>
  <c r="J4" i="57"/>
  <c r="B4" i="57" l="1"/>
  <c r="C30" i="36"/>
  <c r="D115" i="57"/>
  <c r="H115" i="57" l="1"/>
  <c r="H178" i="57" s="1"/>
  <c r="D178" i="57"/>
  <c r="N114" i="57"/>
  <c r="N177" i="57" s="1"/>
  <c r="C33" i="36"/>
  <c r="D114" i="57"/>
  <c r="D177" i="57" s="1"/>
  <c r="H114" i="57" l="1"/>
  <c r="H177" i="57" s="1"/>
  <c r="E29" i="36"/>
  <c r="J108" i="57"/>
  <c r="B116" i="57" l="1"/>
  <c r="Z116" i="57" s="1"/>
  <c r="BK10" i="36"/>
  <c r="J107" i="57"/>
  <c r="L148" i="57" s="1"/>
  <c r="L273" i="57" s="1"/>
  <c r="B179" i="57" l="1"/>
  <c r="W78" i="57"/>
  <c r="J110" i="57"/>
  <c r="C33" i="40"/>
  <c r="C119" i="57"/>
  <c r="B113" i="49" l="1"/>
  <c r="AA119" i="57"/>
  <c r="X81" i="57"/>
  <c r="B183" i="57"/>
  <c r="C122" i="57"/>
  <c r="AT45" i="40"/>
  <c r="C118" i="57"/>
  <c r="AA118" i="57" l="1"/>
  <c r="B112" i="49"/>
  <c r="X84" i="57"/>
  <c r="AA122" i="57"/>
  <c r="X80" i="57"/>
  <c r="B182" i="57"/>
  <c r="C121" i="57"/>
  <c r="B102" i="57"/>
  <c r="C125" i="57"/>
  <c r="B111" i="49" l="1"/>
  <c r="AA125" i="57"/>
  <c r="X83" i="57"/>
  <c r="AA121" i="57"/>
  <c r="X87" i="57"/>
  <c r="B181" i="57"/>
  <c r="C128" i="57"/>
  <c r="N115" i="57"/>
  <c r="N178" i="57" s="1"/>
  <c r="C124" i="57"/>
  <c r="X90" i="57" l="1"/>
  <c r="AA128" i="57"/>
  <c r="X86" i="57"/>
  <c r="AA124" i="57"/>
  <c r="C127" i="57"/>
  <c r="N107" i="57"/>
  <c r="B120" i="57"/>
  <c r="W82" i="57" l="1"/>
  <c r="Z120" i="57"/>
  <c r="X89" i="57"/>
  <c r="AA127" i="57"/>
  <c r="B132" i="57"/>
  <c r="J109" i="57"/>
  <c r="B117" i="57"/>
  <c r="W79" i="57" l="1"/>
  <c r="Z117" i="57"/>
  <c r="B188" i="57"/>
  <c r="Z132" i="57"/>
  <c r="B131" i="57"/>
  <c r="C117" i="57"/>
  <c r="B135" i="57"/>
  <c r="AG116" i="57" l="1"/>
  <c r="AL116" i="57" s="1"/>
  <c r="AQ116" i="57" s="1"/>
  <c r="K302" i="57"/>
  <c r="K304" i="57" s="1"/>
  <c r="AA117" i="57"/>
  <c r="B110" i="49"/>
  <c r="B187" i="57"/>
  <c r="Z131" i="57"/>
  <c r="X79" i="57"/>
  <c r="B180" i="57"/>
  <c r="D116" i="57"/>
  <c r="H116" i="57"/>
  <c r="H179" i="57" s="1"/>
  <c r="C120" i="57"/>
  <c r="B134" i="57"/>
  <c r="N304" i="57" l="1"/>
  <c r="K306" i="57"/>
  <c r="X82" i="57"/>
  <c r="AA120" i="57"/>
  <c r="N116" i="57"/>
  <c r="N179" i="57" s="1"/>
  <c r="D179" i="57"/>
  <c r="N136" i="57"/>
  <c r="O192" i="57" s="1"/>
  <c r="B137" i="57"/>
  <c r="X85" i="57"/>
  <c r="C126" i="57" l="1"/>
  <c r="L116" i="57"/>
  <c r="F116" i="57"/>
  <c r="AM114" i="57" s="1"/>
  <c r="X88" i="57" l="1"/>
  <c r="AA126" i="57"/>
  <c r="P116" i="57"/>
  <c r="P179" i="57" s="1"/>
  <c r="N138" i="57"/>
  <c r="O194" i="57" s="1"/>
  <c r="F179" i="57"/>
  <c r="X91" i="57"/>
  <c r="B123" i="57" l="1"/>
  <c r="W85" i="57" l="1"/>
  <c r="Z123" i="57"/>
  <c r="B133" i="57"/>
  <c r="B189" i="57" l="1"/>
  <c r="Z133" i="57"/>
  <c r="B136" i="57"/>
  <c r="I116" i="57" l="1"/>
  <c r="I179" i="57" s="1"/>
  <c r="E116" i="57"/>
  <c r="O116" i="57" l="1"/>
  <c r="O179" i="57" s="1"/>
  <c r="N137" i="57"/>
  <c r="O193" i="57" s="1"/>
  <c r="E179" i="57"/>
  <c r="L19" i="14"/>
  <c r="L20" i="14"/>
  <c r="L21" i="14"/>
  <c r="L24" i="14"/>
  <c r="L25" i="14"/>
  <c r="AB8" i="38"/>
  <c r="AB9" i="38"/>
  <c r="AB10" i="38"/>
  <c r="AB7" i="38"/>
  <c r="G28" i="21" l="1"/>
  <c r="AG114" i="69"/>
  <c r="AG115" i="69"/>
  <c r="AG116" i="69"/>
  <c r="AG117" i="69"/>
  <c r="AG118" i="69"/>
  <c r="AG119" i="69"/>
  <c r="AD114" i="69"/>
  <c r="AD115" i="69"/>
  <c r="AD116" i="69"/>
  <c r="AD117" i="69"/>
  <c r="AD118" i="69"/>
  <c r="AD119" i="69"/>
  <c r="AC114" i="69"/>
  <c r="AC115" i="69"/>
  <c r="AC116" i="69"/>
  <c r="AC117" i="69"/>
  <c r="AC118" i="69"/>
  <c r="AC119" i="69"/>
  <c r="C114" i="69"/>
  <c r="C115" i="69"/>
  <c r="C116" i="69"/>
  <c r="C117" i="69"/>
  <c r="C118" i="69"/>
  <c r="D114" i="69"/>
  <c r="D115" i="69"/>
  <c r="D116" i="69"/>
  <c r="D117" i="69"/>
  <c r="D118" i="69"/>
  <c r="D119" i="69"/>
  <c r="H6" i="25"/>
  <c r="M73" i="54"/>
  <c r="M101" i="54" s="1"/>
  <c r="M74" i="54"/>
  <c r="M102" i="54" s="1"/>
  <c r="M75" i="54"/>
  <c r="N75" i="54" s="1"/>
  <c r="M76" i="54"/>
  <c r="N76" i="54" s="1"/>
  <c r="M77" i="54"/>
  <c r="N77" i="54" s="1"/>
  <c r="M78" i="54"/>
  <c r="M106" i="54" s="1"/>
  <c r="H19" i="54"/>
  <c r="I19" i="54"/>
  <c r="J19" i="54"/>
  <c r="K19" i="54"/>
  <c r="L19" i="54"/>
  <c r="H20" i="54"/>
  <c r="I20" i="54"/>
  <c r="J20" i="54"/>
  <c r="K20" i="54"/>
  <c r="L20" i="54"/>
  <c r="H21" i="54"/>
  <c r="I21" i="54"/>
  <c r="J21" i="54"/>
  <c r="K21" i="54"/>
  <c r="L21" i="54"/>
  <c r="H22" i="54"/>
  <c r="I22" i="54"/>
  <c r="J22" i="54"/>
  <c r="K22" i="54"/>
  <c r="L22" i="54"/>
  <c r="H23" i="54"/>
  <c r="I23" i="54"/>
  <c r="J23" i="54"/>
  <c r="K23" i="54"/>
  <c r="L23" i="54"/>
  <c r="H24" i="54"/>
  <c r="I24" i="54"/>
  <c r="J24" i="54"/>
  <c r="K24" i="54"/>
  <c r="L24" i="54"/>
  <c r="C19" i="54"/>
  <c r="C20" i="54"/>
  <c r="C21" i="54"/>
  <c r="C22" i="54"/>
  <c r="C23" i="54"/>
  <c r="C24" i="54"/>
  <c r="B19" i="54"/>
  <c r="B73" i="54" s="1"/>
  <c r="B20" i="54"/>
  <c r="B74" i="54" s="1"/>
  <c r="B21" i="54"/>
  <c r="B75" i="54" s="1"/>
  <c r="B22" i="54"/>
  <c r="B76" i="54" s="1"/>
  <c r="B23" i="54"/>
  <c r="B77" i="54" s="1"/>
  <c r="B24" i="54"/>
  <c r="B78" i="54" s="1"/>
  <c r="BA67" i="26"/>
  <c r="BA68" i="26"/>
  <c r="BA69" i="26"/>
  <c r="BA70" i="26"/>
  <c r="BA71" i="26"/>
  <c r="BA72" i="26"/>
  <c r="BB67" i="26"/>
  <c r="BB68" i="26"/>
  <c r="BB69" i="26"/>
  <c r="BB70" i="26"/>
  <c r="BB71" i="26"/>
  <c r="BB72" i="26"/>
  <c r="D23" i="54" l="1"/>
  <c r="BC71" i="26" s="1"/>
  <c r="G76" i="54"/>
  <c r="H76" i="54"/>
  <c r="D20" i="54"/>
  <c r="BC68" i="26" s="1"/>
  <c r="H75" i="54"/>
  <c r="G75" i="54"/>
  <c r="H74" i="54"/>
  <c r="G74" i="54"/>
  <c r="H73" i="54"/>
  <c r="G73" i="54"/>
  <c r="Q78" i="54"/>
  <c r="H78" i="54"/>
  <c r="G78" i="54"/>
  <c r="BC70" i="26"/>
  <c r="E22" i="54" s="1"/>
  <c r="D22" i="54"/>
  <c r="H77" i="54"/>
  <c r="G77" i="54"/>
  <c r="D21" i="54"/>
  <c r="BC69" i="26" s="1"/>
  <c r="D19" i="54"/>
  <c r="BC67" i="26" s="1"/>
  <c r="BC72" i="26"/>
  <c r="E24" i="54" s="1"/>
  <c r="D24" i="54"/>
  <c r="O77" i="54"/>
  <c r="O76" i="54"/>
  <c r="O75" i="54"/>
  <c r="N73" i="54"/>
  <c r="M105" i="54"/>
  <c r="M133" i="54" s="1"/>
  <c r="N133" i="54" s="1"/>
  <c r="O133" i="54" s="1"/>
  <c r="M104" i="54"/>
  <c r="M132" i="54" s="1"/>
  <c r="N132" i="54" s="1"/>
  <c r="O132" i="54" s="1"/>
  <c r="N102" i="54"/>
  <c r="M130" i="54"/>
  <c r="N130" i="54" s="1"/>
  <c r="O130" i="54" s="1"/>
  <c r="N101" i="54"/>
  <c r="M129" i="54"/>
  <c r="M155" i="54" s="1"/>
  <c r="N155" i="54" s="1"/>
  <c r="O155" i="54" s="1"/>
  <c r="N74" i="54"/>
  <c r="M103" i="54"/>
  <c r="M131" i="54" s="1"/>
  <c r="N131" i="54" s="1"/>
  <c r="O131" i="54" s="1"/>
  <c r="B101" i="54"/>
  <c r="H101" i="54" s="1"/>
  <c r="C73" i="54"/>
  <c r="C101" i="54" s="1"/>
  <c r="C129" i="54" s="1"/>
  <c r="C155" i="54" s="1"/>
  <c r="M134" i="54"/>
  <c r="N106" i="54"/>
  <c r="N78" i="54"/>
  <c r="C77" i="54"/>
  <c r="C105" i="54" s="1"/>
  <c r="C133" i="54" s="1"/>
  <c r="C159" i="54" s="1"/>
  <c r="C74" i="54"/>
  <c r="C102" i="54" s="1"/>
  <c r="C130" i="54" s="1"/>
  <c r="C156" i="54" s="1"/>
  <c r="C76" i="54"/>
  <c r="C104" i="54" s="1"/>
  <c r="C132" i="54" s="1"/>
  <c r="C158" i="54" s="1"/>
  <c r="C75" i="54"/>
  <c r="C103" i="54" s="1"/>
  <c r="C131" i="54" s="1"/>
  <c r="C157" i="54" s="1"/>
  <c r="C78" i="54"/>
  <c r="E78" i="54" s="1"/>
  <c r="B104" i="54"/>
  <c r="H104" i="54" s="1"/>
  <c r="E76" i="54"/>
  <c r="F76" i="54"/>
  <c r="F104" i="54" s="1"/>
  <c r="F132" i="54" s="1"/>
  <c r="F158" i="54" s="1"/>
  <c r="Q77" i="54"/>
  <c r="BY71" i="26" s="1"/>
  <c r="B105" i="54"/>
  <c r="H105" i="54" s="1"/>
  <c r="B102" i="54"/>
  <c r="H102" i="54" s="1"/>
  <c r="B106" i="54"/>
  <c r="H106" i="54" s="1"/>
  <c r="B103" i="54"/>
  <c r="H103" i="54" s="1"/>
  <c r="AG252" i="69"/>
  <c r="AG253" i="69"/>
  <c r="AG254" i="69"/>
  <c r="AG255" i="69"/>
  <c r="AG256" i="69"/>
  <c r="AG257" i="69"/>
  <c r="AD252" i="69"/>
  <c r="AD253" i="69"/>
  <c r="AD254" i="69"/>
  <c r="AD255" i="69"/>
  <c r="AD256" i="69"/>
  <c r="AD257" i="69"/>
  <c r="AC252" i="69"/>
  <c r="AC253" i="69"/>
  <c r="AC254" i="69"/>
  <c r="AC255" i="69"/>
  <c r="AC256" i="69"/>
  <c r="AC257" i="69"/>
  <c r="D252" i="69"/>
  <c r="D253" i="69"/>
  <c r="D254" i="69"/>
  <c r="D255" i="69"/>
  <c r="D256" i="69"/>
  <c r="D257" i="69"/>
  <c r="AK113" i="40"/>
  <c r="AK114" i="40"/>
  <c r="AK115" i="40"/>
  <c r="AK116" i="40"/>
  <c r="AK117" i="40"/>
  <c r="AK118" i="40"/>
  <c r="E20" i="54" l="1"/>
  <c r="G20" i="54"/>
  <c r="F20" i="54"/>
  <c r="E19" i="54"/>
  <c r="F19" i="54"/>
  <c r="G19" i="54"/>
  <c r="E21" i="54"/>
  <c r="G21" i="54"/>
  <c r="F21" i="54"/>
  <c r="E23" i="54"/>
  <c r="F23" i="54"/>
  <c r="G23" i="54"/>
  <c r="F24" i="54"/>
  <c r="G24" i="54"/>
  <c r="G22" i="54"/>
  <c r="BY72" i="26"/>
  <c r="F22" i="54"/>
  <c r="M156" i="54"/>
  <c r="N156" i="54" s="1"/>
  <c r="O156" i="54" s="1"/>
  <c r="E73" i="54"/>
  <c r="G101" i="54"/>
  <c r="G129" i="54" s="1"/>
  <c r="G155" i="54" s="1"/>
  <c r="F73" i="54"/>
  <c r="F101" i="54" s="1"/>
  <c r="F129" i="54" s="1"/>
  <c r="F155" i="54" s="1"/>
  <c r="O101" i="54"/>
  <c r="O102" i="54"/>
  <c r="O106" i="54"/>
  <c r="O78" i="54"/>
  <c r="O73" i="54"/>
  <c r="O74" i="54"/>
  <c r="M159" i="54"/>
  <c r="N159" i="54" s="1"/>
  <c r="O159" i="54" s="1"/>
  <c r="M157" i="54"/>
  <c r="N157" i="54" s="1"/>
  <c r="O157" i="54" s="1"/>
  <c r="N105" i="54"/>
  <c r="N103" i="54"/>
  <c r="N129" i="54"/>
  <c r="O129" i="54" s="1"/>
  <c r="N104" i="54"/>
  <c r="M158" i="54"/>
  <c r="N158" i="54" s="1"/>
  <c r="O158" i="54" s="1"/>
  <c r="H129" i="54"/>
  <c r="B129" i="54"/>
  <c r="E129" i="54" s="1"/>
  <c r="E101" i="54"/>
  <c r="G106" i="54"/>
  <c r="G134" i="54" s="1"/>
  <c r="G160" i="54" s="1"/>
  <c r="G104" i="54"/>
  <c r="G132" i="54" s="1"/>
  <c r="G158" i="54" s="1"/>
  <c r="E75" i="54"/>
  <c r="G105" i="54"/>
  <c r="G133" i="54" s="1"/>
  <c r="G159" i="54" s="1"/>
  <c r="G103" i="54"/>
  <c r="G131" i="54" s="1"/>
  <c r="G157" i="54" s="1"/>
  <c r="E74" i="54"/>
  <c r="M160" i="54"/>
  <c r="N160" i="54" s="1"/>
  <c r="O160" i="54" s="1"/>
  <c r="N134" i="54"/>
  <c r="O134" i="54" s="1"/>
  <c r="F74" i="54"/>
  <c r="F78" i="54"/>
  <c r="C106" i="54"/>
  <c r="C134" i="54" s="1"/>
  <c r="C160" i="54" s="1"/>
  <c r="F77" i="54"/>
  <c r="F105" i="54" s="1"/>
  <c r="F133" i="54" s="1"/>
  <c r="F159" i="54" s="1"/>
  <c r="E77" i="54"/>
  <c r="F75" i="54"/>
  <c r="H134" i="54"/>
  <c r="H160" i="54" s="1"/>
  <c r="E106" i="54"/>
  <c r="B134" i="54"/>
  <c r="B130" i="54"/>
  <c r="H130" i="54"/>
  <c r="H156" i="54" s="1"/>
  <c r="E102" i="54"/>
  <c r="E104" i="54"/>
  <c r="B132" i="54"/>
  <c r="H132" i="54"/>
  <c r="H158" i="54" s="1"/>
  <c r="E103" i="54"/>
  <c r="B131" i="54"/>
  <c r="H131" i="54"/>
  <c r="H157" i="54" s="1"/>
  <c r="E105" i="54"/>
  <c r="B133" i="54"/>
  <c r="H133" i="54"/>
  <c r="H159" i="54" s="1"/>
  <c r="H144" i="42"/>
  <c r="H145" i="42"/>
  <c r="H146" i="42"/>
  <c r="H147" i="42"/>
  <c r="H148" i="42"/>
  <c r="H149" i="42"/>
  <c r="F144" i="42"/>
  <c r="F145" i="42"/>
  <c r="F146" i="42"/>
  <c r="F147" i="42"/>
  <c r="F148" i="42"/>
  <c r="F149" i="42"/>
  <c r="B149" i="42"/>
  <c r="C149" i="42" s="1"/>
  <c r="AM118" i="40" s="1"/>
  <c r="D149" i="42" s="1"/>
  <c r="B144" i="42"/>
  <c r="C144" i="42" s="1"/>
  <c r="AM113" i="40" s="1"/>
  <c r="D144" i="42" s="1"/>
  <c r="B145" i="42"/>
  <c r="C145" i="42" s="1"/>
  <c r="AM114" i="40" s="1"/>
  <c r="D145" i="42" s="1"/>
  <c r="B146" i="42"/>
  <c r="C146" i="42" s="1"/>
  <c r="AM115" i="40" s="1"/>
  <c r="D146" i="42" s="1"/>
  <c r="B147" i="42"/>
  <c r="C147" i="42" s="1"/>
  <c r="AM116" i="40" s="1"/>
  <c r="D147" i="42" s="1"/>
  <c r="B148" i="42"/>
  <c r="C148" i="42" s="1"/>
  <c r="AM117" i="40" s="1"/>
  <c r="D148" i="42" s="1"/>
  <c r="I78" i="54"/>
  <c r="I75" i="54"/>
  <c r="I77" i="54"/>
  <c r="Q75" i="54"/>
  <c r="BY69" i="26" s="1"/>
  <c r="I76" i="54"/>
  <c r="I73" i="54"/>
  <c r="I74" i="54"/>
  <c r="K73" i="54" l="1"/>
  <c r="K101" i="54" s="1"/>
  <c r="K129" i="54" s="1"/>
  <c r="K155" i="54" s="1"/>
  <c r="J73" i="54"/>
  <c r="J101" i="54" s="1"/>
  <c r="J129" i="54" s="1"/>
  <c r="L73" i="54"/>
  <c r="L101" i="54" s="1"/>
  <c r="L129" i="54" s="1"/>
  <c r="I101" i="54"/>
  <c r="I129" i="54" s="1"/>
  <c r="I155" i="54" s="1"/>
  <c r="BH67" i="26"/>
  <c r="O105" i="54"/>
  <c r="O104" i="54"/>
  <c r="O103" i="54"/>
  <c r="L144" i="42"/>
  <c r="O144" i="42" s="1"/>
  <c r="S113" i="40" s="1"/>
  <c r="L149" i="42"/>
  <c r="O149" i="42" s="1"/>
  <c r="S118" i="40" s="1"/>
  <c r="B155" i="54"/>
  <c r="H155" i="54"/>
  <c r="M145" i="42"/>
  <c r="P145" i="42" s="1"/>
  <c r="BH71" i="26"/>
  <c r="BH70" i="26"/>
  <c r="BH69" i="26"/>
  <c r="BH72" i="26"/>
  <c r="BH68" i="26"/>
  <c r="L75" i="54"/>
  <c r="L103" i="54" s="1"/>
  <c r="L131" i="54" s="1"/>
  <c r="L157" i="54" s="1"/>
  <c r="I103" i="54"/>
  <c r="J75" i="54"/>
  <c r="J103" i="54" s="1"/>
  <c r="J131" i="54" s="1"/>
  <c r="J157" i="54" s="1"/>
  <c r="K75" i="54"/>
  <c r="K103" i="54" s="1"/>
  <c r="K131" i="54" s="1"/>
  <c r="K157" i="54" s="1"/>
  <c r="K78" i="54"/>
  <c r="K106" i="54" s="1"/>
  <c r="K134" i="54" s="1"/>
  <c r="K160" i="54" s="1"/>
  <c r="L78" i="54"/>
  <c r="L106" i="54" s="1"/>
  <c r="L134" i="54" s="1"/>
  <c r="L160" i="54" s="1"/>
  <c r="I106" i="54"/>
  <c r="J78" i="54"/>
  <c r="J106" i="54" s="1"/>
  <c r="J134" i="54" s="1"/>
  <c r="K74" i="54"/>
  <c r="K102" i="54" s="1"/>
  <c r="K130" i="54" s="1"/>
  <c r="K156" i="54" s="1"/>
  <c r="I102" i="54"/>
  <c r="I130" i="54" s="1"/>
  <c r="I156" i="54" s="1"/>
  <c r="L74" i="54"/>
  <c r="L102" i="54" s="1"/>
  <c r="L130" i="54" s="1"/>
  <c r="J74" i="54"/>
  <c r="F103" i="54"/>
  <c r="F131" i="54" s="1"/>
  <c r="F157" i="54" s="1"/>
  <c r="G102" i="54"/>
  <c r="F106" i="54"/>
  <c r="F134" i="54" s="1"/>
  <c r="F160" i="54" s="1"/>
  <c r="F102" i="54"/>
  <c r="K77" i="54"/>
  <c r="K105" i="54" s="1"/>
  <c r="K133" i="54" s="1"/>
  <c r="K159" i="54" s="1"/>
  <c r="J77" i="54"/>
  <c r="L77" i="54"/>
  <c r="L105" i="54" s="1"/>
  <c r="L133" i="54" s="1"/>
  <c r="L159" i="54" s="1"/>
  <c r="I105" i="54"/>
  <c r="J76" i="54"/>
  <c r="I104" i="54"/>
  <c r="L76" i="54"/>
  <c r="L104" i="54" s="1"/>
  <c r="L132" i="54" s="1"/>
  <c r="L158" i="54" s="1"/>
  <c r="K76" i="54"/>
  <c r="K104" i="54" s="1"/>
  <c r="K132" i="54" s="1"/>
  <c r="K158" i="54" s="1"/>
  <c r="B158" i="54"/>
  <c r="E132" i="54"/>
  <c r="B159" i="54"/>
  <c r="E133" i="54"/>
  <c r="B157" i="54"/>
  <c r="E131" i="54"/>
  <c r="B160" i="54"/>
  <c r="E134" i="54"/>
  <c r="B156" i="54"/>
  <c r="E130" i="54"/>
  <c r="L148" i="42"/>
  <c r="O148" i="42" s="1"/>
  <c r="S117" i="40" s="1"/>
  <c r="M146" i="42"/>
  <c r="P146" i="42" s="1"/>
  <c r="L254" i="69" s="1"/>
  <c r="L147" i="42"/>
  <c r="O147" i="42" s="1"/>
  <c r="M144" i="42"/>
  <c r="P144" i="42" s="1"/>
  <c r="L252" i="69" s="1"/>
  <c r="L145" i="42"/>
  <c r="O145" i="42" s="1"/>
  <c r="M149" i="42"/>
  <c r="P149" i="42" s="1"/>
  <c r="M148" i="42"/>
  <c r="P148" i="42" s="1"/>
  <c r="L146" i="42"/>
  <c r="O146" i="42" s="1"/>
  <c r="M147" i="42"/>
  <c r="P147" i="42" s="1"/>
  <c r="E62" i="29"/>
  <c r="E63" i="29"/>
  <c r="E64" i="29"/>
  <c r="E65" i="29"/>
  <c r="E66" i="29"/>
  <c r="E67" i="29"/>
  <c r="E68" i="29"/>
  <c r="E69" i="29"/>
  <c r="E70" i="29"/>
  <c r="E61" i="29"/>
  <c r="M37" i="29"/>
  <c r="M38" i="29"/>
  <c r="M39" i="29"/>
  <c r="M40" i="29"/>
  <c r="M41" i="29"/>
  <c r="M42" i="29"/>
  <c r="M43" i="29"/>
  <c r="M36" i="29"/>
  <c r="A12" i="29"/>
  <c r="A13" i="29"/>
  <c r="A14" i="29"/>
  <c r="A15" i="29"/>
  <c r="A16" i="29"/>
  <c r="A17" i="29"/>
  <c r="A18" i="29"/>
  <c r="A11" i="29"/>
  <c r="I22" i="29" s="1"/>
  <c r="Q103" i="54"/>
  <c r="CB69" i="26" s="1"/>
  <c r="Q106" i="54"/>
  <c r="CB72" i="26" s="1"/>
  <c r="Q105" i="54"/>
  <c r="CB71" i="26" s="1"/>
  <c r="T118" i="40" l="1"/>
  <c r="V118" i="40" s="1"/>
  <c r="E257" i="69" s="1"/>
  <c r="L257" i="69"/>
  <c r="L255" i="69"/>
  <c r="T114" i="40"/>
  <c r="L253" i="69"/>
  <c r="T117" i="40"/>
  <c r="V117" i="40" s="1"/>
  <c r="E256" i="69" s="1"/>
  <c r="AB256" i="69" s="1"/>
  <c r="L256" i="69"/>
  <c r="I73" i="29"/>
  <c r="I47" i="29"/>
  <c r="Q149" i="42"/>
  <c r="F130" i="54"/>
  <c r="G130" i="54"/>
  <c r="I131" i="54"/>
  <c r="J102" i="54"/>
  <c r="J130" i="54" s="1"/>
  <c r="J156" i="54" s="1"/>
  <c r="I134" i="54"/>
  <c r="J104" i="54"/>
  <c r="J132" i="54" s="1"/>
  <c r="J158" i="54" s="1"/>
  <c r="I133" i="54"/>
  <c r="J105" i="54"/>
  <c r="J133" i="54" s="1"/>
  <c r="J159" i="54" s="1"/>
  <c r="I132" i="54"/>
  <c r="L155" i="54"/>
  <c r="L156" i="54"/>
  <c r="J160" i="54"/>
  <c r="J155" i="54"/>
  <c r="Q148" i="42"/>
  <c r="Q145" i="42"/>
  <c r="S114" i="40"/>
  <c r="Q147" i="42"/>
  <c r="T116" i="40"/>
  <c r="Q146" i="42"/>
  <c r="S115" i="40"/>
  <c r="T115" i="40"/>
  <c r="S116" i="40"/>
  <c r="AH257" i="69"/>
  <c r="AI257" i="69"/>
  <c r="T113" i="40"/>
  <c r="V113" i="40" s="1"/>
  <c r="E252" i="69" s="1"/>
  <c r="AB252" i="69" s="1"/>
  <c r="Q144" i="42"/>
  <c r="BP32" i="29"/>
  <c r="BG54" i="43" s="1"/>
  <c r="Q131" i="54"/>
  <c r="Q133" i="54"/>
  <c r="Q134" i="54"/>
  <c r="AB257" i="69" l="1"/>
  <c r="BV257" i="69"/>
  <c r="CH257" i="69"/>
  <c r="BO257" i="69"/>
  <c r="BW257" i="69"/>
  <c r="BZ257" i="69"/>
  <c r="BQ257" i="69"/>
  <c r="BX257" i="69"/>
  <c r="BY257" i="69"/>
  <c r="CG257" i="69"/>
  <c r="CB257" i="69"/>
  <c r="BS257" i="69"/>
  <c r="BT257" i="69"/>
  <c r="CA257" i="69"/>
  <c r="CD257" i="69"/>
  <c r="CC257" i="69"/>
  <c r="BP257" i="69"/>
  <c r="CE257" i="69"/>
  <c r="CF257" i="69"/>
  <c r="BR257" i="69"/>
  <c r="BU257" i="69"/>
  <c r="BN257" i="69"/>
  <c r="BL257" i="69"/>
  <c r="BJ257" i="69"/>
  <c r="BK257" i="69"/>
  <c r="BM257" i="69"/>
  <c r="BG257" i="69"/>
  <c r="BE257" i="69"/>
  <c r="BI257" i="69"/>
  <c r="BF257" i="69"/>
  <c r="BH257" i="69"/>
  <c r="I157" i="54"/>
  <c r="G156" i="54"/>
  <c r="F156" i="54"/>
  <c r="I160" i="54"/>
  <c r="I159" i="54"/>
  <c r="I158" i="54"/>
  <c r="AH252" i="69"/>
  <c r="AI252" i="69"/>
  <c r="V115" i="40"/>
  <c r="E254" i="69" s="1"/>
  <c r="AB254" i="69" s="1"/>
  <c r="AY257" i="69"/>
  <c r="AX257" i="69"/>
  <c r="AS257" i="69"/>
  <c r="AU257" i="69"/>
  <c r="BB257" i="69"/>
  <c r="AZ257" i="69"/>
  <c r="BD257" i="69"/>
  <c r="AW257" i="69"/>
  <c r="AP257" i="69"/>
  <c r="AQ257" i="69"/>
  <c r="AR257" i="69"/>
  <c r="AV257" i="69"/>
  <c r="AT257" i="69"/>
  <c r="BA257" i="69"/>
  <c r="BC257" i="69"/>
  <c r="AM257" i="69"/>
  <c r="AL257" i="69"/>
  <c r="AK257" i="69"/>
  <c r="AO257" i="69"/>
  <c r="AN257" i="69"/>
  <c r="AH256" i="69"/>
  <c r="AI256" i="69"/>
  <c r="O64" i="14"/>
  <c r="P64" i="14" s="1"/>
  <c r="Q159" i="54"/>
  <c r="Q160" i="54"/>
  <c r="Q157" i="54"/>
  <c r="BZ252" i="69" l="1"/>
  <c r="BO252" i="69"/>
  <c r="CA252" i="69"/>
  <c r="BP252" i="69"/>
  <c r="CB252" i="69"/>
  <c r="BQ252" i="69"/>
  <c r="CC252" i="69"/>
  <c r="BR252" i="69"/>
  <c r="CD252" i="69"/>
  <c r="BS252" i="69"/>
  <c r="CE252" i="69"/>
  <c r="BT252" i="69"/>
  <c r="CF252" i="69"/>
  <c r="BX252" i="69"/>
  <c r="BU252" i="69"/>
  <c r="CG252" i="69"/>
  <c r="BV252" i="69"/>
  <c r="CH252" i="69"/>
  <c r="BW252" i="69"/>
  <c r="BY252" i="69"/>
  <c r="BR256" i="69"/>
  <c r="CD256" i="69"/>
  <c r="CA256" i="69"/>
  <c r="CB256" i="69"/>
  <c r="BS256" i="69"/>
  <c r="CE256" i="69"/>
  <c r="BT256" i="69"/>
  <c r="CF256" i="69"/>
  <c r="BU256" i="69"/>
  <c r="CG256" i="69"/>
  <c r="BV256" i="69"/>
  <c r="CH256" i="69"/>
  <c r="BP256" i="69"/>
  <c r="BW256" i="69"/>
  <c r="BX256" i="69"/>
  <c r="BZ256" i="69"/>
  <c r="BY256" i="69"/>
  <c r="BO256" i="69"/>
  <c r="BQ256" i="69"/>
  <c r="CC256" i="69"/>
  <c r="BJ252" i="69"/>
  <c r="BK252" i="69"/>
  <c r="BL252" i="69"/>
  <c r="BM252" i="69"/>
  <c r="BN252" i="69"/>
  <c r="BM256" i="69"/>
  <c r="BJ256" i="69"/>
  <c r="BK256" i="69"/>
  <c r="BL256" i="69"/>
  <c r="BN256" i="69"/>
  <c r="BE252" i="69"/>
  <c r="BF252" i="69"/>
  <c r="BG252" i="69"/>
  <c r="BH252" i="69"/>
  <c r="BI252" i="69"/>
  <c r="BF256" i="69"/>
  <c r="BI256" i="69"/>
  <c r="BE256" i="69"/>
  <c r="BG256" i="69"/>
  <c r="BH256" i="69"/>
  <c r="AY252" i="69"/>
  <c r="AZ252" i="69"/>
  <c r="AS252" i="69"/>
  <c r="BC252" i="69"/>
  <c r="AQ252" i="69"/>
  <c r="BB252" i="69"/>
  <c r="AP252" i="69"/>
  <c r="BD252" i="69"/>
  <c r="AV252" i="69"/>
  <c r="AW252" i="69"/>
  <c r="BA252" i="69"/>
  <c r="AR252" i="69"/>
  <c r="AT252" i="69"/>
  <c r="AX252" i="69"/>
  <c r="AU252" i="69"/>
  <c r="AK252" i="69"/>
  <c r="AM252" i="69"/>
  <c r="AL252" i="69"/>
  <c r="AO252" i="69"/>
  <c r="AN252" i="69"/>
  <c r="AI254" i="69"/>
  <c r="AH254" i="69"/>
  <c r="AS256" i="69"/>
  <c r="AW256" i="69"/>
  <c r="AX256" i="69"/>
  <c r="AZ256" i="69"/>
  <c r="BB256" i="69"/>
  <c r="BC256" i="69"/>
  <c r="AP256" i="69"/>
  <c r="BD256" i="69"/>
  <c r="AQ256" i="69"/>
  <c r="AR256" i="69"/>
  <c r="AT256" i="69"/>
  <c r="AU256" i="69"/>
  <c r="AV256" i="69"/>
  <c r="AY256" i="69"/>
  <c r="BA256" i="69"/>
  <c r="AO256" i="69"/>
  <c r="AL256" i="69"/>
  <c r="AM256" i="69"/>
  <c r="AN256" i="69"/>
  <c r="AK256" i="69"/>
  <c r="V64" i="14"/>
  <c r="W64" i="14"/>
  <c r="U64" i="14"/>
  <c r="L2" i="13"/>
  <c r="BV254" i="69" l="1"/>
  <c r="CH254" i="69"/>
  <c r="BW254" i="69"/>
  <c r="BT254" i="69"/>
  <c r="BX254" i="69"/>
  <c r="BY254" i="69"/>
  <c r="BZ254" i="69"/>
  <c r="BO254" i="69"/>
  <c r="CA254" i="69"/>
  <c r="BP254" i="69"/>
  <c r="CB254" i="69"/>
  <c r="BQ254" i="69"/>
  <c r="CC254" i="69"/>
  <c r="BR254" i="69"/>
  <c r="CD254" i="69"/>
  <c r="BS254" i="69"/>
  <c r="CE254" i="69"/>
  <c r="CF254" i="69"/>
  <c r="BU254" i="69"/>
  <c r="CG254" i="69"/>
  <c r="BJ254" i="69"/>
  <c r="BK254" i="69"/>
  <c r="BL254" i="69"/>
  <c r="BM254" i="69"/>
  <c r="BN254" i="69"/>
  <c r="BG254" i="69"/>
  <c r="BH254" i="69"/>
  <c r="BI254" i="69"/>
  <c r="BE254" i="69"/>
  <c r="BF254" i="69"/>
  <c r="AM254" i="69"/>
  <c r="AL254" i="69"/>
  <c r="AK254" i="69"/>
  <c r="AN254" i="69"/>
  <c r="AO254" i="69"/>
  <c r="AS254" i="69"/>
  <c r="BD254" i="69"/>
  <c r="BA254" i="69"/>
  <c r="AP254" i="69"/>
  <c r="AZ254" i="69"/>
  <c r="AV254" i="69"/>
  <c r="AU254" i="69"/>
  <c r="AR254" i="69"/>
  <c r="AQ254" i="69"/>
  <c r="BC254" i="69"/>
  <c r="AY254" i="69"/>
  <c r="BB254" i="69"/>
  <c r="AT254" i="69"/>
  <c r="AX254" i="69"/>
  <c r="AW254" i="69"/>
  <c r="L252" i="13"/>
  <c r="D64" i="14"/>
  <c r="K64" i="14" s="1"/>
  <c r="L64" i="14" l="1"/>
  <c r="E64" i="14"/>
  <c r="J64" i="14"/>
  <c r="D289" i="13"/>
  <c r="L288" i="13"/>
  <c r="D288" i="13"/>
  <c r="E288" i="13" s="1"/>
  <c r="A288" i="13"/>
  <c r="L287" i="13"/>
  <c r="D287" i="13"/>
  <c r="E287" i="13" s="1"/>
  <c r="A287" i="13"/>
  <c r="L286" i="13"/>
  <c r="D286" i="13"/>
  <c r="E286" i="13" s="1"/>
  <c r="A286" i="13"/>
  <c r="L285" i="13"/>
  <c r="D285" i="13"/>
  <c r="E285" i="13" s="1"/>
  <c r="A285" i="13"/>
  <c r="L284" i="13"/>
  <c r="D284" i="13"/>
  <c r="E284" i="13" s="1"/>
  <c r="A284" i="13"/>
  <c r="L283" i="13"/>
  <c r="D283" i="13"/>
  <c r="E283" i="13" s="1"/>
  <c r="A283" i="13"/>
  <c r="L282" i="13"/>
  <c r="D282" i="13"/>
  <c r="E282" i="13" s="1"/>
  <c r="A282" i="13"/>
  <c r="L281" i="13"/>
  <c r="D281" i="13"/>
  <c r="E281" i="13" s="1"/>
  <c r="A281" i="13"/>
  <c r="L280" i="13"/>
  <c r="D280" i="13"/>
  <c r="E280" i="13" s="1"/>
  <c r="A280" i="13"/>
  <c r="L279" i="13"/>
  <c r="D279" i="13"/>
  <c r="E279" i="13" s="1"/>
  <c r="A279" i="13"/>
  <c r="L278" i="13"/>
  <c r="D278" i="13"/>
  <c r="E278" i="13" s="1"/>
  <c r="A278" i="13"/>
  <c r="L277" i="13"/>
  <c r="D277" i="13"/>
  <c r="E277" i="13" s="1"/>
  <c r="A277" i="13"/>
  <c r="L276" i="13"/>
  <c r="D276" i="13"/>
  <c r="E276" i="13" s="1"/>
  <c r="A276" i="13"/>
  <c r="L275" i="13"/>
  <c r="D275" i="13"/>
  <c r="E275" i="13" s="1"/>
  <c r="A275" i="13"/>
  <c r="L274" i="13"/>
  <c r="D274" i="13"/>
  <c r="E274" i="13" s="1"/>
  <c r="A274" i="13"/>
  <c r="L273" i="13"/>
  <c r="D273" i="13"/>
  <c r="E273" i="13" s="1"/>
  <c r="A273" i="13"/>
  <c r="L272" i="13"/>
  <c r="D272" i="13"/>
  <c r="E272" i="13" s="1"/>
  <c r="A272" i="13"/>
  <c r="D271" i="13"/>
  <c r="L270" i="13"/>
  <c r="D270" i="13"/>
  <c r="E270" i="13" s="1"/>
  <c r="A270" i="13"/>
  <c r="L269" i="13"/>
  <c r="D269" i="13"/>
  <c r="E269" i="13" s="1"/>
  <c r="A269" i="13"/>
  <c r="L268" i="13"/>
  <c r="D268" i="13"/>
  <c r="E268" i="13" s="1"/>
  <c r="A268" i="13"/>
  <c r="L267" i="13"/>
  <c r="D267" i="13"/>
  <c r="E267" i="13" s="1"/>
  <c r="A267" i="13"/>
  <c r="L266" i="13"/>
  <c r="D266" i="13"/>
  <c r="E266" i="13" s="1"/>
  <c r="A266" i="13"/>
  <c r="L265" i="13"/>
  <c r="D265" i="13"/>
  <c r="E265" i="13" s="1"/>
  <c r="A265" i="13"/>
  <c r="L264" i="13"/>
  <c r="D264" i="13"/>
  <c r="E264" i="13" s="1"/>
  <c r="A264" i="13"/>
  <c r="L263" i="13"/>
  <c r="D263" i="13"/>
  <c r="E263" i="13" s="1"/>
  <c r="A263" i="13"/>
  <c r="L262" i="13"/>
  <c r="D262" i="13"/>
  <c r="E262" i="13" s="1"/>
  <c r="A262" i="13"/>
  <c r="L261" i="13"/>
  <c r="D261" i="13"/>
  <c r="E261" i="13" s="1"/>
  <c r="A261" i="13"/>
  <c r="L260" i="13"/>
  <c r="D260" i="13"/>
  <c r="E260" i="13" s="1"/>
  <c r="A260" i="13"/>
  <c r="L259" i="13"/>
  <c r="D259" i="13"/>
  <c r="E259" i="13" s="1"/>
  <c r="A259" i="13"/>
  <c r="L258" i="13"/>
  <c r="D258" i="13"/>
  <c r="E258" i="13" s="1"/>
  <c r="A258" i="13"/>
  <c r="L257" i="13"/>
  <c r="D257" i="13"/>
  <c r="E257" i="13" s="1"/>
  <c r="A257" i="13"/>
  <c r="L256" i="13"/>
  <c r="D256" i="13"/>
  <c r="E256" i="13" s="1"/>
  <c r="A256" i="13"/>
  <c r="L255" i="13"/>
  <c r="D255" i="13"/>
  <c r="E255" i="13" s="1"/>
  <c r="A255" i="13"/>
  <c r="L254" i="13"/>
  <c r="D254" i="13"/>
  <c r="E254" i="13" s="1"/>
  <c r="A254" i="13"/>
  <c r="D253" i="13"/>
  <c r="D252" i="13"/>
  <c r="E252" i="13" s="1"/>
  <c r="A252" i="13"/>
  <c r="L251" i="13"/>
  <c r="D251" i="13"/>
  <c r="E251" i="13" s="1"/>
  <c r="A251" i="13"/>
  <c r="L250" i="13"/>
  <c r="D250" i="13"/>
  <c r="E250" i="13" s="1"/>
  <c r="A250" i="13"/>
  <c r="L249" i="13"/>
  <c r="D249" i="13"/>
  <c r="E249" i="13" s="1"/>
  <c r="A249" i="13"/>
  <c r="L248" i="13"/>
  <c r="D248" i="13"/>
  <c r="E248" i="13" s="1"/>
  <c r="A248" i="13"/>
  <c r="L247" i="13"/>
  <c r="D247" i="13"/>
  <c r="E247" i="13" s="1"/>
  <c r="A247" i="13"/>
  <c r="L246" i="13"/>
  <c r="D246" i="13"/>
  <c r="E246" i="13" s="1"/>
  <c r="A246" i="13"/>
  <c r="L245" i="13"/>
  <c r="D245" i="13"/>
  <c r="E245" i="13" s="1"/>
  <c r="A245" i="13"/>
  <c r="L244" i="13"/>
  <c r="D244" i="13"/>
  <c r="E244" i="13" s="1"/>
  <c r="A244" i="13"/>
  <c r="L243" i="13"/>
  <c r="D243" i="13"/>
  <c r="E243" i="13" s="1"/>
  <c r="A243" i="13"/>
  <c r="L242" i="13"/>
  <c r="D242" i="13"/>
  <c r="E242" i="13" s="1"/>
  <c r="A242" i="13"/>
  <c r="L241" i="13"/>
  <c r="D241" i="13"/>
  <c r="E241" i="13" s="1"/>
  <c r="A241" i="13"/>
  <c r="L240" i="13"/>
  <c r="D240" i="13"/>
  <c r="E240" i="13" s="1"/>
  <c r="A240" i="13"/>
  <c r="L239" i="13"/>
  <c r="D239" i="13"/>
  <c r="E239" i="13" s="1"/>
  <c r="A239" i="13"/>
  <c r="L238" i="13"/>
  <c r="D238" i="13"/>
  <c r="E238" i="13" s="1"/>
  <c r="A238" i="13"/>
  <c r="L237" i="13"/>
  <c r="D237" i="13"/>
  <c r="E237" i="13" s="1"/>
  <c r="A237" i="13"/>
  <c r="L236" i="13"/>
  <c r="D236" i="13"/>
  <c r="E236" i="13" s="1"/>
  <c r="A236" i="13"/>
  <c r="D235" i="13"/>
  <c r="L234" i="13"/>
  <c r="D234" i="13"/>
  <c r="E234" i="13" s="1"/>
  <c r="A234" i="13"/>
  <c r="L233" i="13"/>
  <c r="D233" i="13"/>
  <c r="E233" i="13" s="1"/>
  <c r="A233" i="13"/>
  <c r="L232" i="13"/>
  <c r="D232" i="13"/>
  <c r="E232" i="13" s="1"/>
  <c r="A232" i="13"/>
  <c r="L231" i="13"/>
  <c r="D231" i="13"/>
  <c r="E231" i="13" s="1"/>
  <c r="A231" i="13"/>
  <c r="L230" i="13"/>
  <c r="D230" i="13"/>
  <c r="E230" i="13" s="1"/>
  <c r="A230" i="13"/>
  <c r="L229" i="13"/>
  <c r="D229" i="13"/>
  <c r="E229" i="13" s="1"/>
  <c r="A229" i="13"/>
  <c r="L228" i="13"/>
  <c r="D228" i="13"/>
  <c r="E228" i="13" s="1"/>
  <c r="A228" i="13"/>
  <c r="L227" i="13"/>
  <c r="D227" i="13"/>
  <c r="E227" i="13" s="1"/>
  <c r="A227" i="13"/>
  <c r="L226" i="13"/>
  <c r="D226" i="13"/>
  <c r="E226" i="13" s="1"/>
  <c r="A226" i="13"/>
  <c r="L225" i="13"/>
  <c r="D225" i="13"/>
  <c r="E225" i="13" s="1"/>
  <c r="A225" i="13"/>
  <c r="L224" i="13"/>
  <c r="D224" i="13"/>
  <c r="E224" i="13" s="1"/>
  <c r="A224" i="13"/>
  <c r="L223" i="13"/>
  <c r="D223" i="13"/>
  <c r="E223" i="13" s="1"/>
  <c r="A223" i="13"/>
  <c r="L222" i="13"/>
  <c r="D222" i="13"/>
  <c r="E222" i="13" s="1"/>
  <c r="A222" i="13"/>
  <c r="L221" i="13"/>
  <c r="D221" i="13"/>
  <c r="E221" i="13" s="1"/>
  <c r="A221" i="13"/>
  <c r="L220" i="13"/>
  <c r="D220" i="13"/>
  <c r="E220" i="13" s="1"/>
  <c r="A220" i="13"/>
  <c r="L219" i="13"/>
  <c r="D219" i="13"/>
  <c r="E219" i="13" s="1"/>
  <c r="A219" i="13"/>
  <c r="L218" i="13"/>
  <c r="D218" i="13"/>
  <c r="E218" i="13" s="1"/>
  <c r="A218" i="13"/>
  <c r="D217" i="13"/>
  <c r="L216" i="13"/>
  <c r="D216" i="13"/>
  <c r="E216" i="13" s="1"/>
  <c r="A216" i="13"/>
  <c r="L215" i="13"/>
  <c r="D215" i="13"/>
  <c r="E215" i="13" s="1"/>
  <c r="A215" i="13"/>
  <c r="L214" i="13"/>
  <c r="D214" i="13"/>
  <c r="E214" i="13" s="1"/>
  <c r="A214" i="13"/>
  <c r="L213" i="13"/>
  <c r="D213" i="13"/>
  <c r="E213" i="13" s="1"/>
  <c r="A213" i="13"/>
  <c r="L212" i="13"/>
  <c r="D212" i="13"/>
  <c r="E212" i="13" s="1"/>
  <c r="A212" i="13"/>
  <c r="L211" i="13"/>
  <c r="D211" i="13"/>
  <c r="E211" i="13" s="1"/>
  <c r="A211" i="13"/>
  <c r="L210" i="13"/>
  <c r="D210" i="13"/>
  <c r="E210" i="13" s="1"/>
  <c r="A210" i="13"/>
  <c r="L209" i="13"/>
  <c r="D209" i="13"/>
  <c r="E209" i="13" s="1"/>
  <c r="A209" i="13"/>
  <c r="L208" i="13"/>
  <c r="D208" i="13"/>
  <c r="E208" i="13" s="1"/>
  <c r="A208" i="13"/>
  <c r="L207" i="13"/>
  <c r="D207" i="13"/>
  <c r="E207" i="13" s="1"/>
  <c r="A207" i="13"/>
  <c r="L206" i="13"/>
  <c r="D206" i="13"/>
  <c r="E206" i="13" s="1"/>
  <c r="A206" i="13"/>
  <c r="L205" i="13"/>
  <c r="D205" i="13"/>
  <c r="E205" i="13" s="1"/>
  <c r="A205" i="13"/>
  <c r="L204" i="13"/>
  <c r="D204" i="13"/>
  <c r="E204" i="13" s="1"/>
  <c r="A204" i="13"/>
  <c r="L203" i="13"/>
  <c r="D203" i="13"/>
  <c r="E203" i="13" s="1"/>
  <c r="A203" i="13"/>
  <c r="L202" i="13"/>
  <c r="D202" i="13"/>
  <c r="E202" i="13" s="1"/>
  <c r="A202" i="13"/>
  <c r="L201" i="13"/>
  <c r="D201" i="13"/>
  <c r="E201" i="13" s="1"/>
  <c r="A201" i="13"/>
  <c r="L200" i="13"/>
  <c r="D200" i="13"/>
  <c r="E200" i="13" s="1"/>
  <c r="A200" i="13"/>
  <c r="D199" i="13"/>
  <c r="L198" i="13"/>
  <c r="D198" i="13"/>
  <c r="E198" i="13" s="1"/>
  <c r="A198" i="13"/>
  <c r="L197" i="13"/>
  <c r="D197" i="13"/>
  <c r="E197" i="13" s="1"/>
  <c r="A197" i="13"/>
  <c r="L196" i="13"/>
  <c r="D196" i="13"/>
  <c r="E196" i="13" s="1"/>
  <c r="A196" i="13"/>
  <c r="L195" i="13"/>
  <c r="D195" i="13"/>
  <c r="E195" i="13" s="1"/>
  <c r="A195" i="13"/>
  <c r="L194" i="13"/>
  <c r="D194" i="13"/>
  <c r="E194" i="13" s="1"/>
  <c r="A194" i="13"/>
  <c r="L193" i="13"/>
  <c r="D193" i="13"/>
  <c r="E193" i="13" s="1"/>
  <c r="A193" i="13"/>
  <c r="L192" i="13"/>
  <c r="D192" i="13"/>
  <c r="E192" i="13" s="1"/>
  <c r="A192" i="13"/>
  <c r="L191" i="13"/>
  <c r="D191" i="13"/>
  <c r="E191" i="13" s="1"/>
  <c r="A191" i="13"/>
  <c r="L190" i="13"/>
  <c r="D190" i="13"/>
  <c r="E190" i="13" s="1"/>
  <c r="A190" i="13"/>
  <c r="L189" i="13"/>
  <c r="D189" i="13"/>
  <c r="E189" i="13" s="1"/>
  <c r="A189" i="13"/>
  <c r="L188" i="13"/>
  <c r="D188" i="13"/>
  <c r="E188" i="13" s="1"/>
  <c r="A188" i="13"/>
  <c r="L187" i="13"/>
  <c r="D187" i="13"/>
  <c r="E187" i="13" s="1"/>
  <c r="A187" i="13"/>
  <c r="L186" i="13"/>
  <c r="D186" i="13"/>
  <c r="E186" i="13" s="1"/>
  <c r="A186" i="13"/>
  <c r="L185" i="13"/>
  <c r="D185" i="13"/>
  <c r="E185" i="13" s="1"/>
  <c r="A185" i="13"/>
  <c r="L184" i="13"/>
  <c r="D184" i="13"/>
  <c r="E184" i="13" s="1"/>
  <c r="A184" i="13"/>
  <c r="L183" i="13"/>
  <c r="D183" i="13"/>
  <c r="E183" i="13" s="1"/>
  <c r="A183" i="13"/>
  <c r="L182" i="13"/>
  <c r="D182" i="13"/>
  <c r="E182" i="13" s="1"/>
  <c r="A182" i="13"/>
  <c r="D181" i="13"/>
  <c r="L180" i="13"/>
  <c r="D180" i="13"/>
  <c r="E180" i="13" s="1"/>
  <c r="A180" i="13"/>
  <c r="L179" i="13"/>
  <c r="D179" i="13"/>
  <c r="E179" i="13" s="1"/>
  <c r="A179" i="13"/>
  <c r="L178" i="13"/>
  <c r="D178" i="13"/>
  <c r="E178" i="13" s="1"/>
  <c r="A178" i="13"/>
  <c r="L177" i="13"/>
  <c r="D177" i="13"/>
  <c r="E177" i="13" s="1"/>
  <c r="A177" i="13"/>
  <c r="L176" i="13"/>
  <c r="D176" i="13"/>
  <c r="E176" i="13" s="1"/>
  <c r="A176" i="13"/>
  <c r="L175" i="13"/>
  <c r="D175" i="13"/>
  <c r="E175" i="13" s="1"/>
  <c r="A175" i="13"/>
  <c r="L174" i="13"/>
  <c r="D174" i="13"/>
  <c r="E174" i="13" s="1"/>
  <c r="A174" i="13"/>
  <c r="L173" i="13"/>
  <c r="D173" i="13"/>
  <c r="E173" i="13" s="1"/>
  <c r="A173" i="13"/>
  <c r="L172" i="13"/>
  <c r="D172" i="13"/>
  <c r="E172" i="13" s="1"/>
  <c r="A172" i="13"/>
  <c r="L171" i="13"/>
  <c r="D171" i="13"/>
  <c r="E171" i="13" s="1"/>
  <c r="A171" i="13"/>
  <c r="L170" i="13"/>
  <c r="D170" i="13"/>
  <c r="E170" i="13" s="1"/>
  <c r="A170" i="13"/>
  <c r="L169" i="13"/>
  <c r="D169" i="13"/>
  <c r="E169" i="13" s="1"/>
  <c r="A169" i="13"/>
  <c r="L168" i="13"/>
  <c r="D168" i="13"/>
  <c r="E168" i="13" s="1"/>
  <c r="A168" i="13"/>
  <c r="L167" i="13"/>
  <c r="D167" i="13"/>
  <c r="E167" i="13" s="1"/>
  <c r="A167" i="13"/>
  <c r="L166" i="13"/>
  <c r="D166" i="13"/>
  <c r="E166" i="13" s="1"/>
  <c r="A166" i="13"/>
  <c r="L165" i="13"/>
  <c r="D165" i="13"/>
  <c r="E165" i="13" s="1"/>
  <c r="A165" i="13"/>
  <c r="L164" i="13"/>
  <c r="D164" i="13"/>
  <c r="E164" i="13" s="1"/>
  <c r="A164" i="13"/>
  <c r="D163" i="13"/>
  <c r="L162" i="13"/>
  <c r="D162" i="13"/>
  <c r="E162" i="13" s="1"/>
  <c r="A162" i="13"/>
  <c r="L161" i="13"/>
  <c r="D161" i="13"/>
  <c r="E161" i="13" s="1"/>
  <c r="A161" i="13"/>
  <c r="L160" i="13"/>
  <c r="D160" i="13"/>
  <c r="E160" i="13" s="1"/>
  <c r="A160" i="13"/>
  <c r="L159" i="13"/>
  <c r="D159" i="13"/>
  <c r="E159" i="13" s="1"/>
  <c r="A159" i="13"/>
  <c r="L158" i="13"/>
  <c r="D158" i="13"/>
  <c r="E158" i="13" s="1"/>
  <c r="A158" i="13"/>
  <c r="L157" i="13"/>
  <c r="D157" i="13"/>
  <c r="E157" i="13" s="1"/>
  <c r="A157" i="13"/>
  <c r="L156" i="13"/>
  <c r="D156" i="13"/>
  <c r="E156" i="13" s="1"/>
  <c r="A156" i="13"/>
  <c r="L155" i="13"/>
  <c r="D155" i="13"/>
  <c r="E155" i="13" s="1"/>
  <c r="A155" i="13"/>
  <c r="L154" i="13"/>
  <c r="D154" i="13"/>
  <c r="E154" i="13" s="1"/>
  <c r="A154" i="13"/>
  <c r="L153" i="13"/>
  <c r="D153" i="13"/>
  <c r="E153" i="13" s="1"/>
  <c r="A153" i="13"/>
  <c r="L152" i="13"/>
  <c r="D152" i="13"/>
  <c r="E152" i="13" s="1"/>
  <c r="A152" i="13"/>
  <c r="L151" i="13"/>
  <c r="D151" i="13"/>
  <c r="E151" i="13" s="1"/>
  <c r="A151" i="13"/>
  <c r="L150" i="13"/>
  <c r="D150" i="13"/>
  <c r="E150" i="13" s="1"/>
  <c r="A150" i="13"/>
  <c r="L149" i="13"/>
  <c r="D149" i="13"/>
  <c r="E149" i="13" s="1"/>
  <c r="A149" i="13"/>
  <c r="L148" i="13"/>
  <c r="D148" i="13"/>
  <c r="E148" i="13" s="1"/>
  <c r="A148" i="13"/>
  <c r="L147" i="13"/>
  <c r="D147" i="13"/>
  <c r="E147" i="13" s="1"/>
  <c r="A147" i="13"/>
  <c r="L146" i="13"/>
  <c r="D146" i="13"/>
  <c r="E146" i="13" s="1"/>
  <c r="A146" i="13"/>
  <c r="D145" i="13"/>
  <c r="L144" i="13"/>
  <c r="D144" i="13"/>
  <c r="E144" i="13" s="1"/>
  <c r="A144" i="13"/>
  <c r="L143" i="13"/>
  <c r="D143" i="13"/>
  <c r="E143" i="13" s="1"/>
  <c r="A143" i="13"/>
  <c r="L142" i="13"/>
  <c r="D142" i="13"/>
  <c r="E142" i="13" s="1"/>
  <c r="A142" i="13"/>
  <c r="L141" i="13"/>
  <c r="D141" i="13"/>
  <c r="E141" i="13" s="1"/>
  <c r="A141" i="13"/>
  <c r="L140" i="13"/>
  <c r="D140" i="13"/>
  <c r="E140" i="13" s="1"/>
  <c r="A140" i="13"/>
  <c r="L139" i="13"/>
  <c r="D139" i="13"/>
  <c r="E139" i="13" s="1"/>
  <c r="A139" i="13"/>
  <c r="L138" i="13"/>
  <c r="D138" i="13"/>
  <c r="E138" i="13" s="1"/>
  <c r="A138" i="13"/>
  <c r="L137" i="13"/>
  <c r="D137" i="13"/>
  <c r="E137" i="13" s="1"/>
  <c r="A137" i="13"/>
  <c r="L136" i="13"/>
  <c r="D136" i="13"/>
  <c r="E136" i="13" s="1"/>
  <c r="A136" i="13"/>
  <c r="L135" i="13"/>
  <c r="D135" i="13"/>
  <c r="E135" i="13" s="1"/>
  <c r="A135" i="13"/>
  <c r="L134" i="13"/>
  <c r="D134" i="13"/>
  <c r="E134" i="13" s="1"/>
  <c r="A134" i="13"/>
  <c r="L133" i="13"/>
  <c r="D133" i="13"/>
  <c r="E133" i="13" s="1"/>
  <c r="A133" i="13"/>
  <c r="L132" i="13"/>
  <c r="D132" i="13"/>
  <c r="E132" i="13" s="1"/>
  <c r="A132" i="13"/>
  <c r="L131" i="13"/>
  <c r="D131" i="13"/>
  <c r="E131" i="13" s="1"/>
  <c r="A131" i="13"/>
  <c r="L130" i="13"/>
  <c r="D130" i="13"/>
  <c r="E130" i="13" s="1"/>
  <c r="A130" i="13"/>
  <c r="L129" i="13"/>
  <c r="D129" i="13"/>
  <c r="E129" i="13" s="1"/>
  <c r="A129" i="13"/>
  <c r="L128" i="13"/>
  <c r="D128" i="13"/>
  <c r="E128" i="13" s="1"/>
  <c r="A128" i="13"/>
  <c r="D127" i="13"/>
  <c r="L126" i="13"/>
  <c r="D126" i="13"/>
  <c r="E126" i="13" s="1"/>
  <c r="A126" i="13"/>
  <c r="L125" i="13"/>
  <c r="D125" i="13"/>
  <c r="E125" i="13" s="1"/>
  <c r="A125" i="13"/>
  <c r="L124" i="13"/>
  <c r="D124" i="13"/>
  <c r="E124" i="13" s="1"/>
  <c r="A124" i="13"/>
  <c r="L123" i="13"/>
  <c r="D123" i="13"/>
  <c r="E123" i="13" s="1"/>
  <c r="A123" i="13"/>
  <c r="L122" i="13"/>
  <c r="D122" i="13"/>
  <c r="E122" i="13" s="1"/>
  <c r="A122" i="13"/>
  <c r="L121" i="13"/>
  <c r="D121" i="13"/>
  <c r="E121" i="13" s="1"/>
  <c r="A121" i="13"/>
  <c r="L120" i="13"/>
  <c r="D120" i="13"/>
  <c r="E120" i="13" s="1"/>
  <c r="A120" i="13"/>
  <c r="L119" i="13"/>
  <c r="D119" i="13"/>
  <c r="E119" i="13" s="1"/>
  <c r="A119" i="13"/>
  <c r="L118" i="13"/>
  <c r="D118" i="13"/>
  <c r="E118" i="13" s="1"/>
  <c r="A118" i="13"/>
  <c r="L117" i="13"/>
  <c r="D117" i="13"/>
  <c r="E117" i="13" s="1"/>
  <c r="A117" i="13"/>
  <c r="L116" i="13"/>
  <c r="D116" i="13"/>
  <c r="E116" i="13" s="1"/>
  <c r="A116" i="13"/>
  <c r="L115" i="13"/>
  <c r="D115" i="13"/>
  <c r="E115" i="13" s="1"/>
  <c r="A115" i="13"/>
  <c r="L114" i="13"/>
  <c r="D114" i="13"/>
  <c r="E114" i="13" s="1"/>
  <c r="A114" i="13"/>
  <c r="L113" i="13"/>
  <c r="D113" i="13"/>
  <c r="E113" i="13" s="1"/>
  <c r="A113" i="13"/>
  <c r="L112" i="13"/>
  <c r="D112" i="13"/>
  <c r="E112" i="13" s="1"/>
  <c r="A112" i="13"/>
  <c r="L111" i="13"/>
  <c r="D111" i="13"/>
  <c r="E111" i="13" s="1"/>
  <c r="A111" i="13"/>
  <c r="L110" i="13"/>
  <c r="D110" i="13"/>
  <c r="E110" i="13" s="1"/>
  <c r="A110" i="13"/>
  <c r="D109" i="13"/>
  <c r="L108" i="13"/>
  <c r="D108" i="13"/>
  <c r="E108" i="13" s="1"/>
  <c r="A108" i="13"/>
  <c r="L107" i="13"/>
  <c r="D107" i="13"/>
  <c r="E107" i="13" s="1"/>
  <c r="A107" i="13"/>
  <c r="L106" i="13"/>
  <c r="D106" i="13"/>
  <c r="E106" i="13" s="1"/>
  <c r="A106" i="13"/>
  <c r="L105" i="13"/>
  <c r="D105" i="13"/>
  <c r="E105" i="13" s="1"/>
  <c r="A105" i="13"/>
  <c r="L104" i="13"/>
  <c r="D104" i="13"/>
  <c r="E104" i="13" s="1"/>
  <c r="A104" i="13"/>
  <c r="L103" i="13"/>
  <c r="D103" i="13"/>
  <c r="E103" i="13" s="1"/>
  <c r="A103" i="13"/>
  <c r="L102" i="13"/>
  <c r="D102" i="13"/>
  <c r="E102" i="13" s="1"/>
  <c r="A102" i="13"/>
  <c r="L101" i="13"/>
  <c r="D101" i="13"/>
  <c r="E101" i="13" s="1"/>
  <c r="A101" i="13"/>
  <c r="L100" i="13"/>
  <c r="D100" i="13"/>
  <c r="E100" i="13" s="1"/>
  <c r="A100" i="13"/>
  <c r="L99" i="13"/>
  <c r="D99" i="13"/>
  <c r="E99" i="13" s="1"/>
  <c r="A99" i="13"/>
  <c r="L98" i="13"/>
  <c r="D98" i="13"/>
  <c r="E98" i="13" s="1"/>
  <c r="A98" i="13"/>
  <c r="L97" i="13"/>
  <c r="D97" i="13"/>
  <c r="E97" i="13" s="1"/>
  <c r="A97" i="13"/>
  <c r="L96" i="13"/>
  <c r="D96" i="13"/>
  <c r="E96" i="13" s="1"/>
  <c r="A96" i="13"/>
  <c r="L95" i="13"/>
  <c r="D95" i="13"/>
  <c r="E95" i="13" s="1"/>
  <c r="A95" i="13"/>
  <c r="L94" i="13"/>
  <c r="D94" i="13"/>
  <c r="E94" i="13" s="1"/>
  <c r="A94" i="13"/>
  <c r="L93" i="13"/>
  <c r="D93" i="13"/>
  <c r="E93" i="13" s="1"/>
  <c r="A93" i="13"/>
  <c r="L92" i="13"/>
  <c r="D92" i="13"/>
  <c r="E92" i="13" s="1"/>
  <c r="A92" i="13"/>
  <c r="D91" i="13"/>
  <c r="L90" i="13"/>
  <c r="D90" i="13"/>
  <c r="E90" i="13" s="1"/>
  <c r="A90" i="13"/>
  <c r="L89" i="13"/>
  <c r="D89" i="13"/>
  <c r="E89" i="13" s="1"/>
  <c r="A89" i="13"/>
  <c r="L88" i="13"/>
  <c r="D88" i="13"/>
  <c r="E88" i="13" s="1"/>
  <c r="A88" i="13"/>
  <c r="L87" i="13"/>
  <c r="D87" i="13"/>
  <c r="E87" i="13" s="1"/>
  <c r="A87" i="13"/>
  <c r="L86" i="13"/>
  <c r="D86" i="13"/>
  <c r="E86" i="13" s="1"/>
  <c r="A86" i="13"/>
  <c r="L85" i="13"/>
  <c r="D85" i="13"/>
  <c r="E85" i="13" s="1"/>
  <c r="A85" i="13"/>
  <c r="L84" i="13"/>
  <c r="D84" i="13"/>
  <c r="E84" i="13" s="1"/>
  <c r="A84" i="13"/>
  <c r="L83" i="13"/>
  <c r="D83" i="13"/>
  <c r="E83" i="13" s="1"/>
  <c r="A83" i="13"/>
  <c r="L82" i="13"/>
  <c r="D82" i="13"/>
  <c r="E82" i="13" s="1"/>
  <c r="A82" i="13"/>
  <c r="L81" i="13"/>
  <c r="D81" i="13"/>
  <c r="E81" i="13" s="1"/>
  <c r="A81" i="13"/>
  <c r="L80" i="13"/>
  <c r="D80" i="13"/>
  <c r="E80" i="13" s="1"/>
  <c r="A80" i="13"/>
  <c r="L79" i="13"/>
  <c r="D79" i="13"/>
  <c r="E79" i="13" s="1"/>
  <c r="A79" i="13"/>
  <c r="L78" i="13"/>
  <c r="D78" i="13"/>
  <c r="E78" i="13" s="1"/>
  <c r="A78" i="13"/>
  <c r="L77" i="13"/>
  <c r="D77" i="13"/>
  <c r="E77" i="13" s="1"/>
  <c r="A77" i="13"/>
  <c r="L76" i="13"/>
  <c r="D76" i="13"/>
  <c r="E76" i="13" s="1"/>
  <c r="A76" i="13"/>
  <c r="L75" i="13"/>
  <c r="D75" i="13"/>
  <c r="E75" i="13" s="1"/>
  <c r="A75" i="13"/>
  <c r="L74" i="13"/>
  <c r="D74" i="13"/>
  <c r="E74" i="13" s="1"/>
  <c r="A74" i="13"/>
  <c r="D73" i="13"/>
  <c r="L72" i="13"/>
  <c r="D72" i="13"/>
  <c r="E72" i="13" s="1"/>
  <c r="A72" i="13"/>
  <c r="L71" i="13"/>
  <c r="D71" i="13"/>
  <c r="E71" i="13" s="1"/>
  <c r="A71" i="13"/>
  <c r="L70" i="13"/>
  <c r="D70" i="13"/>
  <c r="E70" i="13" s="1"/>
  <c r="A70" i="13"/>
  <c r="L69" i="13"/>
  <c r="D69" i="13"/>
  <c r="E69" i="13" s="1"/>
  <c r="A69" i="13"/>
  <c r="L68" i="13"/>
  <c r="D68" i="13"/>
  <c r="E68" i="13" s="1"/>
  <c r="A68" i="13"/>
  <c r="L67" i="13"/>
  <c r="D67" i="13"/>
  <c r="E67" i="13" s="1"/>
  <c r="A67" i="13"/>
  <c r="L66" i="13"/>
  <c r="D66" i="13"/>
  <c r="E66" i="13" s="1"/>
  <c r="A66" i="13"/>
  <c r="L65" i="13"/>
  <c r="D65" i="13"/>
  <c r="E65" i="13" s="1"/>
  <c r="A65" i="13"/>
  <c r="L64" i="13"/>
  <c r="D64" i="13"/>
  <c r="E64" i="13" s="1"/>
  <c r="A64" i="13"/>
  <c r="L63" i="13"/>
  <c r="D63" i="13"/>
  <c r="E63" i="13" s="1"/>
  <c r="A63" i="13"/>
  <c r="L62" i="13"/>
  <c r="D62" i="13"/>
  <c r="E62" i="13" s="1"/>
  <c r="A62" i="13"/>
  <c r="L61" i="13"/>
  <c r="D61" i="13"/>
  <c r="E61" i="13" s="1"/>
  <c r="A61" i="13"/>
  <c r="L60" i="13"/>
  <c r="D60" i="13"/>
  <c r="E60" i="13" s="1"/>
  <c r="A60" i="13"/>
  <c r="L59" i="13"/>
  <c r="D59" i="13"/>
  <c r="E59" i="13" s="1"/>
  <c r="A59" i="13"/>
  <c r="L58" i="13"/>
  <c r="D58" i="13"/>
  <c r="E58" i="13" s="1"/>
  <c r="A58" i="13"/>
  <c r="L57" i="13"/>
  <c r="D57" i="13"/>
  <c r="E57" i="13" s="1"/>
  <c r="A57" i="13"/>
  <c r="L56" i="13"/>
  <c r="D56" i="13"/>
  <c r="E56" i="13" s="1"/>
  <c r="A56" i="13"/>
  <c r="D55" i="13"/>
  <c r="L54" i="13"/>
  <c r="D54" i="13"/>
  <c r="E54" i="13" s="1"/>
  <c r="A54" i="13"/>
  <c r="L53" i="13"/>
  <c r="D53" i="13"/>
  <c r="E53" i="13" s="1"/>
  <c r="A53" i="13"/>
  <c r="L52" i="13"/>
  <c r="D52" i="13"/>
  <c r="E52" i="13" s="1"/>
  <c r="A52" i="13"/>
  <c r="L51" i="13"/>
  <c r="D51" i="13"/>
  <c r="E51" i="13" s="1"/>
  <c r="A51" i="13"/>
  <c r="L50" i="13"/>
  <c r="D50" i="13"/>
  <c r="E50" i="13" s="1"/>
  <c r="A50" i="13"/>
  <c r="L49" i="13"/>
  <c r="D49" i="13"/>
  <c r="E49" i="13" s="1"/>
  <c r="A49" i="13"/>
  <c r="L48" i="13"/>
  <c r="D48" i="13"/>
  <c r="E48" i="13" s="1"/>
  <c r="A48" i="13"/>
  <c r="L47" i="13"/>
  <c r="D47" i="13"/>
  <c r="E47" i="13" s="1"/>
  <c r="A47" i="13"/>
  <c r="L46" i="13"/>
  <c r="D46" i="13"/>
  <c r="E46" i="13" s="1"/>
  <c r="A46" i="13"/>
  <c r="L45" i="13"/>
  <c r="D45" i="13"/>
  <c r="E45" i="13" s="1"/>
  <c r="A45" i="13"/>
  <c r="L44" i="13"/>
  <c r="D44" i="13"/>
  <c r="E44" i="13" s="1"/>
  <c r="A44" i="13"/>
  <c r="L43" i="13"/>
  <c r="D43" i="13"/>
  <c r="E43" i="13" s="1"/>
  <c r="A43" i="13"/>
  <c r="L42" i="13"/>
  <c r="D42" i="13"/>
  <c r="E42" i="13" s="1"/>
  <c r="A42" i="13"/>
  <c r="L41" i="13"/>
  <c r="D41" i="13"/>
  <c r="E41" i="13" s="1"/>
  <c r="A41" i="13"/>
  <c r="L40" i="13"/>
  <c r="D40" i="13"/>
  <c r="E40" i="13" s="1"/>
  <c r="A40" i="13"/>
  <c r="L39" i="13"/>
  <c r="D39" i="13"/>
  <c r="E39" i="13" s="1"/>
  <c r="A39" i="13"/>
  <c r="L38" i="13"/>
  <c r="D38" i="13"/>
  <c r="E38" i="13" s="1"/>
  <c r="A38" i="13"/>
  <c r="D37" i="13"/>
  <c r="C37" i="13"/>
  <c r="C55" i="13" s="1"/>
  <c r="L36" i="13"/>
  <c r="D36" i="13"/>
  <c r="E36" i="13" s="1"/>
  <c r="A36" i="13"/>
  <c r="L35" i="13"/>
  <c r="D35" i="13"/>
  <c r="E35" i="13" s="1"/>
  <c r="A35" i="13"/>
  <c r="L34" i="13"/>
  <c r="D34" i="13"/>
  <c r="E34" i="13" s="1"/>
  <c r="A34" i="13"/>
  <c r="L33" i="13"/>
  <c r="D33" i="13"/>
  <c r="E33" i="13" s="1"/>
  <c r="A33" i="13"/>
  <c r="L32" i="13"/>
  <c r="D32" i="13"/>
  <c r="E32" i="13" s="1"/>
  <c r="A32" i="13"/>
  <c r="L31" i="13"/>
  <c r="D31" i="13"/>
  <c r="E31" i="13" s="1"/>
  <c r="A31" i="13"/>
  <c r="L30" i="13"/>
  <c r="D30" i="13"/>
  <c r="E30" i="13" s="1"/>
  <c r="A30" i="13"/>
  <c r="L29" i="13"/>
  <c r="D29" i="13"/>
  <c r="E29" i="13" s="1"/>
  <c r="A29" i="13"/>
  <c r="L28" i="13"/>
  <c r="D28" i="13"/>
  <c r="E28" i="13" s="1"/>
  <c r="A28" i="13"/>
  <c r="L27" i="13"/>
  <c r="D27" i="13"/>
  <c r="E27" i="13" s="1"/>
  <c r="A27" i="13"/>
  <c r="L26" i="13"/>
  <c r="D26" i="13"/>
  <c r="E26" i="13" s="1"/>
  <c r="A26" i="13"/>
  <c r="L25" i="13"/>
  <c r="D25" i="13"/>
  <c r="E25" i="13" s="1"/>
  <c r="A25" i="13"/>
  <c r="L24" i="13"/>
  <c r="D24" i="13"/>
  <c r="E24" i="13" s="1"/>
  <c r="A24" i="13"/>
  <c r="L23" i="13"/>
  <c r="D23" i="13"/>
  <c r="E23" i="13" s="1"/>
  <c r="A23" i="13"/>
  <c r="L22" i="13"/>
  <c r="D22" i="13"/>
  <c r="E22" i="13" s="1"/>
  <c r="A22" i="13"/>
  <c r="L21" i="13"/>
  <c r="D21" i="13"/>
  <c r="E21" i="13" s="1"/>
  <c r="A21" i="13"/>
  <c r="L20" i="13"/>
  <c r="D20" i="13"/>
  <c r="E20" i="13" s="1"/>
  <c r="A20" i="13"/>
  <c r="D19" i="13"/>
  <c r="E19" i="13" s="1"/>
  <c r="A19" i="13"/>
  <c r="L18" i="13"/>
  <c r="D18" i="13"/>
  <c r="E18" i="13" s="1"/>
  <c r="A18" i="13"/>
  <c r="L17" i="13"/>
  <c r="D17" i="13"/>
  <c r="E17" i="13" s="1"/>
  <c r="A17" i="13"/>
  <c r="L16" i="13"/>
  <c r="D16" i="13"/>
  <c r="E16" i="13" s="1"/>
  <c r="A16" i="13"/>
  <c r="L15" i="13"/>
  <c r="D15" i="13"/>
  <c r="E15" i="13" s="1"/>
  <c r="A15" i="13"/>
  <c r="L14" i="13"/>
  <c r="D14" i="13"/>
  <c r="E14" i="13" s="1"/>
  <c r="A14" i="13"/>
  <c r="L13" i="13"/>
  <c r="D13" i="13"/>
  <c r="E13" i="13" s="1"/>
  <c r="A13" i="13"/>
  <c r="L12" i="13"/>
  <c r="D12" i="13"/>
  <c r="E12" i="13" s="1"/>
  <c r="A12" i="13"/>
  <c r="L11" i="13"/>
  <c r="D11" i="13"/>
  <c r="E11" i="13" s="1"/>
  <c r="A11" i="13"/>
  <c r="L10" i="13"/>
  <c r="D10" i="13"/>
  <c r="E10" i="13" s="1"/>
  <c r="A10" i="13"/>
  <c r="L9" i="13"/>
  <c r="D9" i="13"/>
  <c r="E9" i="13" s="1"/>
  <c r="A9" i="13"/>
  <c r="L8" i="13"/>
  <c r="D8" i="13"/>
  <c r="E8" i="13" s="1"/>
  <c r="A8" i="13"/>
  <c r="L7" i="13"/>
  <c r="D7" i="13"/>
  <c r="E7" i="13" s="1"/>
  <c r="A7" i="13"/>
  <c r="L6" i="13"/>
  <c r="D6" i="13"/>
  <c r="E6" i="13" s="1"/>
  <c r="A6" i="13"/>
  <c r="L5" i="13"/>
  <c r="D5" i="13"/>
  <c r="E5" i="13" s="1"/>
  <c r="A5" i="13"/>
  <c r="L4" i="13"/>
  <c r="D4" i="13"/>
  <c r="E4" i="13" s="1"/>
  <c r="A4" i="13"/>
  <c r="L3" i="13"/>
  <c r="D3" i="13"/>
  <c r="E3" i="13" s="1"/>
  <c r="A3" i="13"/>
  <c r="D2" i="13"/>
  <c r="E2" i="13" s="1"/>
  <c r="A2" i="13"/>
  <c r="L253" i="13" l="1"/>
  <c r="L73" i="13"/>
  <c r="L163" i="13"/>
  <c r="L217" i="13"/>
  <c r="L127" i="13"/>
  <c r="L235" i="13"/>
  <c r="L55" i="13"/>
  <c r="L145" i="13"/>
  <c r="L19" i="13"/>
  <c r="E37" i="13"/>
  <c r="L91" i="13"/>
  <c r="L271" i="13"/>
  <c r="L109" i="13"/>
  <c r="L181" i="13"/>
  <c r="L199" i="13"/>
  <c r="L289" i="13"/>
  <c r="L37" i="13"/>
  <c r="A55" i="13"/>
  <c r="C73" i="13"/>
  <c r="E73" i="13" s="1"/>
  <c r="E55" i="13"/>
  <c r="A37" i="13"/>
  <c r="A73" i="13" l="1"/>
  <c r="C91" i="13"/>
  <c r="E91" i="13" l="1"/>
  <c r="A91" i="13"/>
  <c r="C109" i="13"/>
  <c r="C127" i="13" l="1"/>
  <c r="A109" i="13"/>
  <c r="E109" i="13"/>
  <c r="C145" i="13" l="1"/>
  <c r="A127" i="13"/>
  <c r="E127" i="13"/>
  <c r="A145" i="13" l="1"/>
  <c r="C163" i="13"/>
  <c r="E145" i="13"/>
  <c r="E163" i="13" l="1"/>
  <c r="C181" i="13"/>
  <c r="A163" i="13"/>
  <c r="C199" i="13" l="1"/>
  <c r="A181" i="13"/>
  <c r="E181" i="13"/>
  <c r="A199" i="13" l="1"/>
  <c r="C217" i="13"/>
  <c r="E199" i="13"/>
  <c r="A217" i="13" l="1"/>
  <c r="C235" i="13"/>
  <c r="E217" i="13"/>
  <c r="E235" i="13" l="1"/>
  <c r="C253" i="13"/>
  <c r="A235" i="13"/>
  <c r="C271" i="13" l="1"/>
  <c r="A253" i="13"/>
  <c r="E253" i="13"/>
  <c r="C289" i="13" l="1"/>
  <c r="A271" i="13"/>
  <c r="E271" i="13"/>
  <c r="A289" i="13" l="1"/>
  <c r="E289" i="13"/>
  <c r="Q64" i="14" l="1"/>
  <c r="R64" i="14" s="1"/>
  <c r="F64" i="14"/>
  <c r="G64" i="14" s="1"/>
  <c r="H64" i="14" s="1"/>
  <c r="BH130" i="15"/>
  <c r="BH131" i="15"/>
  <c r="BH132" i="15"/>
  <c r="BH133" i="15"/>
  <c r="BH134" i="15"/>
  <c r="BH135" i="15"/>
  <c r="BH136" i="15"/>
  <c r="H15" i="25"/>
  <c r="BH128" i="15" s="1"/>
  <c r="H16" i="25"/>
  <c r="BH129" i="15" s="1"/>
  <c r="H17" i="25"/>
  <c r="H18" i="25"/>
  <c r="H19" i="25"/>
  <c r="H20" i="25"/>
  <c r="H21" i="25"/>
  <c r="H22" i="25"/>
  <c r="H23" i="25"/>
  <c r="H14" i="25"/>
  <c r="BH127" i="15" s="1"/>
  <c r="H7" i="25"/>
  <c r="H8" i="25"/>
  <c r="H9" i="25"/>
  <c r="I12" i="14" l="1"/>
  <c r="M64" i="14"/>
  <c r="G27" i="21"/>
  <c r="G26" i="21"/>
  <c r="AW26" i="23" l="1"/>
  <c r="AW20" i="23"/>
  <c r="AV20" i="23"/>
  <c r="AL26" i="23"/>
  <c r="AV26" i="23"/>
  <c r="AL23" i="23"/>
  <c r="AV32" i="23"/>
  <c r="AV31" i="23"/>
  <c r="AL20" i="23"/>
  <c r="AW32" i="23"/>
  <c r="AV23" i="23"/>
  <c r="AV34" i="23"/>
  <c r="AW17" i="23"/>
  <c r="AV33" i="23"/>
  <c r="AW33" i="23"/>
  <c r="AV17" i="23"/>
  <c r="AW35" i="23"/>
  <c r="AW34" i="23"/>
  <c r="AL17" i="23"/>
  <c r="AV35" i="23"/>
  <c r="AW31" i="23"/>
  <c r="AW23" i="23"/>
  <c r="AV30" i="23"/>
  <c r="AW30" i="23"/>
  <c r="Y30" i="23"/>
  <c r="AJ17" i="23"/>
  <c r="Y33" i="23"/>
  <c r="Y17" i="23"/>
  <c r="Y35" i="23"/>
  <c r="Y20" i="23"/>
  <c r="AJ20" i="23"/>
  <c r="Y31" i="23"/>
  <c r="AJ23" i="23"/>
  <c r="Y26" i="23"/>
  <c r="Y34" i="23"/>
  <c r="Y23" i="23"/>
  <c r="Y32" i="23"/>
  <c r="AJ26" i="23"/>
  <c r="V22" i="54"/>
  <c r="V21" i="54"/>
  <c r="V19" i="54"/>
  <c r="V24" i="54"/>
  <c r="V23" i="54"/>
  <c r="V20" i="54"/>
  <c r="W20" i="54"/>
  <c r="X20" i="54"/>
  <c r="W22" i="54"/>
  <c r="X24" i="54"/>
  <c r="W21" i="54"/>
  <c r="X19" i="54"/>
  <c r="W19" i="54"/>
  <c r="X21" i="54"/>
  <c r="W23" i="54"/>
  <c r="W24" i="54"/>
  <c r="X22" i="54"/>
  <c r="X23" i="54"/>
  <c r="D29" i="21"/>
  <c r="C97" i="42"/>
  <c r="C96" i="42"/>
  <c r="C98" i="42"/>
  <c r="F146" i="63"/>
  <c r="F6" i="63"/>
  <c r="F7" i="63"/>
  <c r="F8" i="63"/>
  <c r="F9" i="63"/>
  <c r="F10" i="63"/>
  <c r="F11" i="63"/>
  <c r="F12" i="63"/>
  <c r="F13" i="63"/>
  <c r="F14" i="63"/>
  <c r="F15" i="63"/>
  <c r="F16" i="63"/>
  <c r="F17" i="63"/>
  <c r="F18" i="63"/>
  <c r="F19" i="63"/>
  <c r="F20" i="63"/>
  <c r="F21" i="63"/>
  <c r="F22" i="63"/>
  <c r="F23" i="63"/>
  <c r="F24" i="63"/>
  <c r="F25" i="63"/>
  <c r="F26" i="63"/>
  <c r="F27" i="63"/>
  <c r="F28" i="63"/>
  <c r="F29" i="63"/>
  <c r="F30" i="63"/>
  <c r="F31" i="63"/>
  <c r="F32" i="63"/>
  <c r="F33" i="63"/>
  <c r="F34" i="63"/>
  <c r="F35" i="63"/>
  <c r="F36" i="63"/>
  <c r="F37" i="63"/>
  <c r="F38" i="63"/>
  <c r="F39" i="63"/>
  <c r="F40" i="63"/>
  <c r="F41" i="63"/>
  <c r="F42" i="63"/>
  <c r="F43" i="63"/>
  <c r="F44" i="63"/>
  <c r="F45" i="63"/>
  <c r="F46" i="63"/>
  <c r="F47" i="63"/>
  <c r="F48" i="63"/>
  <c r="F49" i="63"/>
  <c r="F50" i="63"/>
  <c r="F51" i="63"/>
  <c r="F52" i="63"/>
  <c r="F53" i="63"/>
  <c r="F54" i="63"/>
  <c r="F55" i="63"/>
  <c r="F56" i="63"/>
  <c r="F57" i="63"/>
  <c r="F58" i="63"/>
  <c r="F59" i="63"/>
  <c r="F60" i="63"/>
  <c r="F61" i="63"/>
  <c r="F62" i="63"/>
  <c r="F63" i="63"/>
  <c r="F64" i="63"/>
  <c r="F65" i="63"/>
  <c r="F66" i="63"/>
  <c r="F67" i="63"/>
  <c r="F68" i="63"/>
  <c r="F69" i="63"/>
  <c r="F70" i="63"/>
  <c r="F71" i="63"/>
  <c r="F72" i="63"/>
  <c r="F73" i="63"/>
  <c r="F74" i="63"/>
  <c r="F75" i="63"/>
  <c r="F76" i="63"/>
  <c r="F77" i="63"/>
  <c r="F78" i="63"/>
  <c r="F79" i="63"/>
  <c r="F80" i="63"/>
  <c r="F81" i="63"/>
  <c r="F82" i="63"/>
  <c r="F83" i="63"/>
  <c r="F84" i="63"/>
  <c r="F85" i="63"/>
  <c r="F86" i="63"/>
  <c r="F87" i="63"/>
  <c r="F88" i="63"/>
  <c r="F89" i="63"/>
  <c r="F90" i="63"/>
  <c r="F91" i="63"/>
  <c r="F92" i="63"/>
  <c r="F93" i="63"/>
  <c r="F94" i="63"/>
  <c r="F95" i="63"/>
  <c r="F96" i="63"/>
  <c r="F97" i="63"/>
  <c r="F98" i="63"/>
  <c r="F99" i="63"/>
  <c r="F100" i="63"/>
  <c r="F101" i="63"/>
  <c r="F102" i="63"/>
  <c r="F103" i="63"/>
  <c r="F104" i="63"/>
  <c r="F105" i="63"/>
  <c r="F106" i="63"/>
  <c r="F107" i="63"/>
  <c r="F108" i="63"/>
  <c r="F109" i="63"/>
  <c r="F110" i="63"/>
  <c r="F111" i="63"/>
  <c r="F112" i="63"/>
  <c r="F113" i="63"/>
  <c r="F114" i="63"/>
  <c r="F115" i="63"/>
  <c r="F116" i="63"/>
  <c r="F117" i="63"/>
  <c r="F118" i="63"/>
  <c r="F119" i="63"/>
  <c r="F120" i="63"/>
  <c r="F121" i="63"/>
  <c r="F122" i="63"/>
  <c r="F123" i="63"/>
  <c r="F124" i="63"/>
  <c r="F125" i="63"/>
  <c r="F126" i="63"/>
  <c r="F127" i="63"/>
  <c r="F128" i="63"/>
  <c r="F129" i="63"/>
  <c r="F130" i="63"/>
  <c r="F131" i="63"/>
  <c r="F132" i="63"/>
  <c r="F133" i="63"/>
  <c r="F134" i="63"/>
  <c r="F135" i="63"/>
  <c r="F136" i="63"/>
  <c r="F137" i="63"/>
  <c r="F138" i="63"/>
  <c r="F139" i="63"/>
  <c r="F140" i="63"/>
  <c r="F141" i="63"/>
  <c r="F142" i="63"/>
  <c r="F143" i="63"/>
  <c r="F144" i="63"/>
  <c r="F145" i="63"/>
  <c r="F147" i="63"/>
  <c r="F148" i="63"/>
  <c r="F149" i="63"/>
  <c r="F150" i="63"/>
  <c r="F151" i="63"/>
  <c r="F152" i="63"/>
  <c r="F153" i="63"/>
  <c r="F154" i="63"/>
  <c r="F155" i="63"/>
  <c r="F156" i="63"/>
  <c r="F157" i="63"/>
  <c r="F158" i="63"/>
  <c r="F159" i="63"/>
  <c r="F160" i="63"/>
  <c r="F161" i="63"/>
  <c r="F162" i="63"/>
  <c r="F163" i="63"/>
  <c r="F164" i="63"/>
  <c r="F165" i="63"/>
  <c r="F166" i="63"/>
  <c r="F167" i="63"/>
  <c r="F168" i="63"/>
  <c r="F169" i="63"/>
  <c r="F170" i="63"/>
  <c r="F171" i="63"/>
  <c r="F172" i="63"/>
  <c r="F173" i="63"/>
  <c r="F174" i="63"/>
  <c r="F175" i="63"/>
  <c r="F176" i="63"/>
  <c r="F177" i="63"/>
  <c r="F178" i="63"/>
  <c r="F179" i="63"/>
  <c r="F180" i="63"/>
  <c r="F181" i="63"/>
  <c r="F182" i="63"/>
  <c r="F183" i="63"/>
  <c r="F184" i="63"/>
  <c r="F185" i="63"/>
  <c r="F186" i="63"/>
  <c r="F187" i="63"/>
  <c r="F188" i="63"/>
  <c r="F189" i="63"/>
  <c r="F190" i="63"/>
  <c r="F191" i="63"/>
  <c r="F192" i="63"/>
  <c r="F193" i="63"/>
  <c r="F194" i="63"/>
  <c r="F195" i="63"/>
  <c r="F196" i="63"/>
  <c r="F197" i="63"/>
  <c r="F198" i="63"/>
  <c r="F199" i="63"/>
  <c r="F200" i="63"/>
  <c r="F201" i="63"/>
  <c r="F202" i="63"/>
  <c r="F203" i="63"/>
  <c r="F204" i="63"/>
  <c r="F205" i="63"/>
  <c r="F206" i="63"/>
  <c r="F207" i="63"/>
  <c r="F208" i="63"/>
  <c r="F209" i="63"/>
  <c r="F210" i="63"/>
  <c r="F211" i="63"/>
  <c r="F212" i="63"/>
  <c r="F213" i="63"/>
  <c r="F214" i="63"/>
  <c r="F215" i="63"/>
  <c r="F216" i="63"/>
  <c r="F217" i="63"/>
  <c r="F218" i="63"/>
  <c r="F219" i="63"/>
  <c r="F220" i="63"/>
  <c r="F221" i="63"/>
  <c r="F222" i="63"/>
  <c r="F223" i="63"/>
  <c r="F224" i="63"/>
  <c r="F225" i="63"/>
  <c r="F226" i="63"/>
  <c r="F227" i="63"/>
  <c r="F228" i="63"/>
  <c r="F229" i="63"/>
  <c r="F230" i="63"/>
  <c r="F231" i="63"/>
  <c r="F232" i="63"/>
  <c r="F233" i="63"/>
  <c r="F234" i="63"/>
  <c r="F235" i="63"/>
  <c r="F236" i="63"/>
  <c r="F237" i="63"/>
  <c r="F238" i="63"/>
  <c r="F239" i="63"/>
  <c r="F240" i="63"/>
  <c r="F241" i="63"/>
  <c r="F242" i="63"/>
  <c r="F243" i="63"/>
  <c r="F244" i="63"/>
  <c r="F245" i="63"/>
  <c r="F246" i="63"/>
  <c r="F247" i="63"/>
  <c r="F248" i="63"/>
  <c r="F249" i="63"/>
  <c r="F250" i="63"/>
  <c r="F251" i="63"/>
  <c r="F252" i="63"/>
  <c r="F5" i="63"/>
  <c r="AE425" i="47"/>
  <c r="AE426" i="47"/>
  <c r="AE427" i="47"/>
  <c r="AE428" i="47"/>
  <c r="AE429" i="47"/>
  <c r="AE430" i="47"/>
  <c r="AD426" i="47"/>
  <c r="AD427" i="47"/>
  <c r="AD428" i="47"/>
  <c r="AD429" i="47"/>
  <c r="AD430" i="47"/>
  <c r="AD425" i="47"/>
  <c r="AD357" i="47"/>
  <c r="AE256" i="47"/>
  <c r="AE257" i="47"/>
  <c r="AE258" i="47"/>
  <c r="AE259" i="47"/>
  <c r="AE260" i="47"/>
  <c r="AE255" i="47"/>
  <c r="AD256" i="47"/>
  <c r="AD257" i="47"/>
  <c r="AD258" i="47"/>
  <c r="AD259" i="47"/>
  <c r="AD260" i="47"/>
  <c r="AD255" i="47"/>
  <c r="AE152" i="47"/>
  <c r="AE153" i="47"/>
  <c r="AE154" i="47"/>
  <c r="AE155" i="47"/>
  <c r="AE156" i="47"/>
  <c r="AE151" i="47"/>
  <c r="AD152" i="47"/>
  <c r="AD153" i="47"/>
  <c r="AD154" i="47"/>
  <c r="AD155" i="47"/>
  <c r="AD156" i="47"/>
  <c r="AD151" i="47"/>
  <c r="AF54" i="47"/>
  <c r="AF55" i="47"/>
  <c r="AF56" i="47"/>
  <c r="AF57" i="47"/>
  <c r="AF58" i="47"/>
  <c r="AE54" i="47"/>
  <c r="AE55" i="47"/>
  <c r="AE56" i="47"/>
  <c r="AE57" i="47"/>
  <c r="AE58" i="47"/>
  <c r="AE358" i="47"/>
  <c r="AE359" i="47"/>
  <c r="AE360" i="47"/>
  <c r="AE361" i="47"/>
  <c r="AE362" i="47"/>
  <c r="AE357" i="47"/>
  <c r="AD358" i="47"/>
  <c r="AD359" i="47"/>
  <c r="AD360" i="47"/>
  <c r="AD361" i="47"/>
  <c r="AD362" i="47"/>
  <c r="M358" i="47"/>
  <c r="M359" i="47"/>
  <c r="M360" i="47"/>
  <c r="M361" i="47"/>
  <c r="M362" i="47"/>
  <c r="M357" i="47"/>
  <c r="L358" i="47"/>
  <c r="L359" i="47"/>
  <c r="L360" i="47"/>
  <c r="L361" i="47"/>
  <c r="L362" i="47"/>
  <c r="L357" i="47"/>
  <c r="I358" i="47"/>
  <c r="I359" i="47"/>
  <c r="I360" i="47"/>
  <c r="I361" i="47"/>
  <c r="I362" i="47"/>
  <c r="I357" i="47"/>
  <c r="H358" i="47"/>
  <c r="H359" i="47"/>
  <c r="H360" i="47"/>
  <c r="H361" i="47"/>
  <c r="H362" i="47"/>
  <c r="H357" i="47"/>
  <c r="H136" i="69" l="1"/>
  <c r="H150" i="69"/>
  <c r="H142" i="69"/>
  <c r="H154" i="69"/>
  <c r="H130" i="69"/>
  <c r="H129" i="69"/>
  <c r="H153" i="69"/>
  <c r="H151" i="69"/>
  <c r="H137" i="69"/>
  <c r="H155" i="69"/>
  <c r="H149" i="69"/>
  <c r="H148" i="69"/>
  <c r="H131" i="69"/>
  <c r="H135" i="69"/>
  <c r="H141" i="69"/>
  <c r="H132" i="69"/>
  <c r="H147" i="69"/>
  <c r="H133" i="69"/>
  <c r="H139" i="69"/>
  <c r="H138" i="69"/>
  <c r="H145" i="69"/>
  <c r="H157" i="69"/>
  <c r="H144" i="69"/>
  <c r="H143" i="69"/>
  <c r="H156" i="69"/>
  <c r="H152" i="69"/>
  <c r="H146" i="69"/>
  <c r="H134" i="69"/>
  <c r="H140" i="69"/>
  <c r="BL346" i="47"/>
  <c r="BL231" i="47"/>
  <c r="BL141" i="47"/>
  <c r="I27" i="32"/>
  <c r="AS39" i="29" s="1"/>
  <c r="I29" i="32"/>
  <c r="AS41" i="29" s="1"/>
  <c r="I30" i="32"/>
  <c r="AS42" i="29" s="1"/>
  <c r="I31" i="32"/>
  <c r="AS43" i="29" s="1"/>
  <c r="AT35" i="29"/>
  <c r="AS35" i="29"/>
  <c r="AR37" i="29"/>
  <c r="AV37" i="29" s="1"/>
  <c r="AR38" i="29"/>
  <c r="AV38" i="29" s="1"/>
  <c r="AR39" i="29"/>
  <c r="AV39" i="29" s="1"/>
  <c r="AR40" i="29"/>
  <c r="AV40" i="29" s="1"/>
  <c r="AR41" i="29"/>
  <c r="AV41" i="29" s="1"/>
  <c r="AR42" i="29"/>
  <c r="AV42" i="29" s="1"/>
  <c r="AR43" i="29"/>
  <c r="AV43" i="29" s="1"/>
  <c r="AR36" i="29"/>
  <c r="AV36" i="29" s="1"/>
  <c r="J30" i="30"/>
  <c r="BL12" i="29"/>
  <c r="BR12" i="29" s="1"/>
  <c r="BL13" i="29"/>
  <c r="BR13" i="29" s="1"/>
  <c r="BL14" i="29"/>
  <c r="BR14" i="29" s="1"/>
  <c r="BL15" i="29"/>
  <c r="BR15" i="29" s="1"/>
  <c r="BL16" i="29"/>
  <c r="BR16" i="29" s="1"/>
  <c r="BL17" i="29"/>
  <c r="BR17" i="29" s="1"/>
  <c r="BL18" i="29"/>
  <c r="BR18" i="29" s="1"/>
  <c r="BL11" i="29"/>
  <c r="BR11" i="29" s="1"/>
  <c r="AV35" i="29" l="1"/>
  <c r="AV60" i="29"/>
  <c r="AY60" i="29" s="1"/>
  <c r="AW35" i="29"/>
  <c r="AW60" i="29"/>
  <c r="AZ60" i="29" s="1"/>
  <c r="BO18" i="29"/>
  <c r="D68" i="14"/>
  <c r="BI60" i="29" l="1"/>
  <c r="BL60" i="29" s="1"/>
  <c r="BO60" i="29" s="1"/>
  <c r="BC60" i="29"/>
  <c r="BF35" i="29"/>
  <c r="BI35" i="29" s="1"/>
  <c r="BL35" i="29" s="1"/>
  <c r="BN35" i="29" s="1"/>
  <c r="BQ35" i="29" s="1"/>
  <c r="BT35" i="29" s="1"/>
  <c r="BW35" i="29" s="1"/>
  <c r="BZ35" i="29" s="1"/>
  <c r="CC35" i="29" s="1"/>
  <c r="BA35" i="29"/>
  <c r="BH60" i="29"/>
  <c r="BK60" i="29" s="1"/>
  <c r="BN60" i="29" s="1"/>
  <c r="BB60" i="29"/>
  <c r="BE35" i="29"/>
  <c r="BH35" i="29" s="1"/>
  <c r="BK35" i="29" s="1"/>
  <c r="BM35" i="29" s="1"/>
  <c r="BP35" i="29" s="1"/>
  <c r="AZ35" i="29"/>
  <c r="E68" i="14"/>
  <c r="F68" i="14" s="1"/>
  <c r="G68" i="14" s="1"/>
  <c r="H68" i="14" s="1"/>
  <c r="I16" i="14" s="1"/>
  <c r="K68" i="14"/>
  <c r="L68" i="14"/>
  <c r="J68" i="14"/>
  <c r="C38" i="42"/>
  <c r="C37" i="42"/>
  <c r="BV35" i="29" l="1"/>
  <c r="BY35" i="29" s="1"/>
  <c r="CB35" i="29" s="1"/>
  <c r="BS35" i="29"/>
  <c r="G200" i="63"/>
  <c r="G201" i="63"/>
  <c r="G202" i="63"/>
  <c r="G203" i="63"/>
  <c r="G204" i="63"/>
  <c r="G205" i="63"/>
  <c r="G206" i="63"/>
  <c r="G207" i="63"/>
  <c r="G208" i="63"/>
  <c r="G209" i="63"/>
  <c r="G210" i="63"/>
  <c r="G211" i="63"/>
  <c r="G213" i="63"/>
  <c r="G214" i="63"/>
  <c r="G215" i="63"/>
  <c r="G216" i="63"/>
  <c r="G217" i="63"/>
  <c r="G218" i="63"/>
  <c r="G220" i="63"/>
  <c r="G221" i="63"/>
  <c r="G222" i="63"/>
  <c r="G223" i="63"/>
  <c r="G224" i="63"/>
  <c r="G225" i="63"/>
  <c r="G226" i="63"/>
  <c r="G228" i="63"/>
  <c r="G229" i="63"/>
  <c r="G230" i="63"/>
  <c r="G231" i="63"/>
  <c r="G232" i="63"/>
  <c r="G233" i="63"/>
  <c r="G234" i="63"/>
  <c r="G235" i="63"/>
  <c r="G236" i="63"/>
  <c r="G237" i="63"/>
  <c r="G238" i="63"/>
  <c r="G239" i="63"/>
  <c r="G241" i="63"/>
  <c r="G242" i="63"/>
  <c r="G243" i="63"/>
  <c r="G244" i="63"/>
  <c r="G245" i="63"/>
  <c r="G246" i="63"/>
  <c r="G247" i="63"/>
  <c r="G250" i="63"/>
  <c r="G251" i="63"/>
  <c r="G252" i="63"/>
  <c r="G67" i="63" l="1"/>
  <c r="BG56" i="43"/>
  <c r="BN56" i="43" l="1"/>
  <c r="BK56" i="43"/>
  <c r="O181" i="63"/>
  <c r="O192" i="63"/>
  <c r="O215" i="63"/>
  <c r="O216" i="63"/>
  <c r="O222" i="63"/>
  <c r="O230" i="63"/>
  <c r="O243" i="63"/>
  <c r="O251" i="63"/>
  <c r="O252" i="63"/>
  <c r="O9" i="63"/>
  <c r="G8" i="63"/>
  <c r="G9" i="63"/>
  <c r="G10" i="63"/>
  <c r="G11" i="63"/>
  <c r="G12" i="63"/>
  <c r="G13" i="63"/>
  <c r="G14" i="63"/>
  <c r="G15" i="63"/>
  <c r="G16" i="63"/>
  <c r="G17" i="63"/>
  <c r="G18" i="63"/>
  <c r="G19" i="63"/>
  <c r="G20" i="63"/>
  <c r="G21" i="63"/>
  <c r="G22" i="63"/>
  <c r="G23" i="63"/>
  <c r="G24" i="63"/>
  <c r="G25" i="63"/>
  <c r="G26" i="63"/>
  <c r="G27" i="63"/>
  <c r="G28" i="63"/>
  <c r="G30" i="63"/>
  <c r="G31" i="63"/>
  <c r="G32" i="63"/>
  <c r="G33" i="63"/>
  <c r="G35" i="63"/>
  <c r="G37" i="63"/>
  <c r="G38" i="63"/>
  <c r="G39" i="63"/>
  <c r="G40" i="63"/>
  <c r="G41" i="63"/>
  <c r="G42" i="63"/>
  <c r="G43" i="63"/>
  <c r="G44" i="63"/>
  <c r="G45" i="63"/>
  <c r="G46" i="63"/>
  <c r="G47" i="63"/>
  <c r="G48" i="63"/>
  <c r="G49" i="63"/>
  <c r="G50" i="63"/>
  <c r="G51" i="63"/>
  <c r="G55" i="63"/>
  <c r="G56" i="63"/>
  <c r="G57" i="63"/>
  <c r="G58" i="63"/>
  <c r="G59" i="63"/>
  <c r="G60" i="63"/>
  <c r="G61" i="63"/>
  <c r="G62" i="63"/>
  <c r="G63" i="63"/>
  <c r="G64" i="63"/>
  <c r="G65" i="63"/>
  <c r="G66" i="63"/>
  <c r="G68" i="63"/>
  <c r="G69" i="63"/>
  <c r="G70" i="63"/>
  <c r="G71" i="63"/>
  <c r="G72" i="63"/>
  <c r="G73" i="63"/>
  <c r="G74" i="63"/>
  <c r="G75" i="63"/>
  <c r="G76" i="63"/>
  <c r="G77" i="63"/>
  <c r="G79" i="63"/>
  <c r="G80" i="63"/>
  <c r="G81" i="63"/>
  <c r="G82" i="63"/>
  <c r="G83" i="63"/>
  <c r="G84" i="63"/>
  <c r="G85" i="63"/>
  <c r="G86" i="63"/>
  <c r="G88" i="63"/>
  <c r="G89" i="63"/>
  <c r="G90" i="63"/>
  <c r="G91" i="63"/>
  <c r="G92" i="63"/>
  <c r="G93" i="63"/>
  <c r="G94" i="63"/>
  <c r="G95" i="63"/>
  <c r="G96" i="63"/>
  <c r="G97" i="63"/>
  <c r="G98" i="63"/>
  <c r="G99" i="63"/>
  <c r="G101" i="63"/>
  <c r="G102" i="63"/>
  <c r="G103" i="63"/>
  <c r="G104" i="63"/>
  <c r="G107" i="63"/>
  <c r="G108" i="63"/>
  <c r="G109" i="63"/>
  <c r="G110" i="63"/>
  <c r="G111" i="63"/>
  <c r="G112" i="63"/>
  <c r="G113" i="63"/>
  <c r="G114" i="63"/>
  <c r="G115" i="63"/>
  <c r="G116" i="63"/>
  <c r="G117" i="63"/>
  <c r="G118" i="63"/>
  <c r="G119" i="63"/>
  <c r="G121" i="63"/>
  <c r="G122" i="63"/>
  <c r="G123" i="63"/>
  <c r="G124" i="63"/>
  <c r="G125" i="63"/>
  <c r="G126" i="63"/>
  <c r="G127" i="63"/>
  <c r="G128" i="63"/>
  <c r="G129" i="63"/>
  <c r="G131" i="63"/>
  <c r="G132" i="63"/>
  <c r="G133" i="63"/>
  <c r="G134" i="63"/>
  <c r="G135" i="63"/>
  <c r="G136" i="63"/>
  <c r="G137" i="63"/>
  <c r="G138" i="63"/>
  <c r="G139" i="63"/>
  <c r="G140" i="63"/>
  <c r="G141" i="63"/>
  <c r="G142" i="63"/>
  <c r="G143" i="63"/>
  <c r="G144" i="63"/>
  <c r="G145" i="63"/>
  <c r="G146" i="63"/>
  <c r="G147" i="63"/>
  <c r="G149" i="63"/>
  <c r="G150" i="63"/>
  <c r="G151" i="63"/>
  <c r="G152" i="63"/>
  <c r="G153" i="63"/>
  <c r="G154" i="63"/>
  <c r="G155" i="63"/>
  <c r="G156" i="63"/>
  <c r="G157" i="63"/>
  <c r="G158" i="63"/>
  <c r="G159" i="63"/>
  <c r="G160" i="63"/>
  <c r="G161" i="63"/>
  <c r="G162" i="63"/>
  <c r="G163" i="63"/>
  <c r="G164" i="63"/>
  <c r="G165" i="63"/>
  <c r="G167" i="63"/>
  <c r="G168" i="63"/>
  <c r="G169" i="63"/>
  <c r="G170" i="63"/>
  <c r="G171" i="63"/>
  <c r="G172" i="63"/>
  <c r="G173" i="63"/>
  <c r="G174" i="63"/>
  <c r="G175" i="63"/>
  <c r="G176" i="63"/>
  <c r="G177" i="63"/>
  <c r="G179" i="63"/>
  <c r="G180" i="63"/>
  <c r="G181" i="63"/>
  <c r="G182" i="63"/>
  <c r="G183" i="63"/>
  <c r="G184" i="63"/>
  <c r="G185" i="63"/>
  <c r="G186" i="63"/>
  <c r="G187" i="63"/>
  <c r="G188" i="63"/>
  <c r="G190" i="63"/>
  <c r="G191" i="63"/>
  <c r="G192" i="63"/>
  <c r="G193" i="63"/>
  <c r="G194" i="63"/>
  <c r="G196" i="63"/>
  <c r="G197" i="63"/>
  <c r="G198" i="63"/>
  <c r="G5" i="63"/>
  <c r="O169" i="63"/>
  <c r="O178" i="63"/>
  <c r="O249" i="63"/>
  <c r="O248" i="63"/>
  <c r="O245" i="63"/>
  <c r="O244" i="63"/>
  <c r="O242" i="63"/>
  <c r="O250" i="63"/>
  <c r="O253" i="63"/>
  <c r="O254" i="63"/>
  <c r="O246" i="63"/>
  <c r="O247" i="63"/>
  <c r="O241" i="63"/>
  <c r="O236" i="63"/>
  <c r="O219" i="63"/>
  <c r="O210" i="63"/>
  <c r="O209" i="63"/>
  <c r="O202" i="63"/>
  <c r="O198" i="63"/>
  <c r="O196" i="63"/>
  <c r="O193" i="63"/>
  <c r="O188" i="63"/>
  <c r="O187" i="63"/>
  <c r="O186" i="63"/>
  <c r="O184" i="63"/>
  <c r="O171" i="63"/>
  <c r="O170" i="63"/>
  <c r="O163" i="63"/>
  <c r="O151" i="63"/>
  <c r="O149" i="63"/>
  <c r="O146" i="63"/>
  <c r="O123" i="63"/>
  <c r="O118" i="63"/>
  <c r="O115" i="63"/>
  <c r="O109" i="63"/>
  <c r="O108" i="63"/>
  <c r="O103" i="63"/>
  <c r="O100" i="63"/>
  <c r="O96" i="63"/>
  <c r="O90" i="63"/>
  <c r="O83" i="63"/>
  <c r="O56" i="63"/>
  <c r="O69" i="63"/>
  <c r="O66" i="63"/>
  <c r="O63" i="63"/>
  <c r="O60" i="63"/>
  <c r="O57" i="63"/>
  <c r="O55" i="63"/>
  <c r="O45" i="63"/>
  <c r="O39" i="63"/>
  <c r="O37" i="63"/>
  <c r="O33" i="63"/>
  <c r="O8" i="63"/>
  <c r="O10" i="63"/>
  <c r="O11" i="63"/>
  <c r="O12" i="63"/>
  <c r="O13" i="63"/>
  <c r="O14" i="63"/>
  <c r="O15" i="63"/>
  <c r="O16" i="63"/>
  <c r="O17" i="63"/>
  <c r="O18" i="63"/>
  <c r="O19" i="63"/>
  <c r="O20" i="63"/>
  <c r="O21" i="63"/>
  <c r="O22" i="63"/>
  <c r="O23" i="63"/>
  <c r="O24" i="63"/>
  <c r="O25" i="63"/>
  <c r="O26" i="63"/>
  <c r="O27" i="63"/>
  <c r="O28" i="63"/>
  <c r="O29" i="63"/>
  <c r="O30" i="63"/>
  <c r="O31" i="63"/>
  <c r="O32" i="63"/>
  <c r="O34" i="63"/>
  <c r="O35" i="63"/>
  <c r="O36" i="63"/>
  <c r="O38" i="63"/>
  <c r="O40" i="63"/>
  <c r="O41" i="63"/>
  <c r="O42" i="63"/>
  <c r="O43" i="63"/>
  <c r="O44" i="63"/>
  <c r="O46" i="63"/>
  <c r="O47" i="63"/>
  <c r="O48" i="63"/>
  <c r="O49" i="63"/>
  <c r="O50" i="63"/>
  <c r="O51" i="63"/>
  <c r="O52" i="63"/>
  <c r="O53" i="63"/>
  <c r="O54" i="63"/>
  <c r="O58" i="63"/>
  <c r="O59" i="63"/>
  <c r="O61" i="63"/>
  <c r="O62" i="63"/>
  <c r="O64" i="63"/>
  <c r="O65" i="63"/>
  <c r="O67" i="63"/>
  <c r="O68" i="63"/>
  <c r="O70" i="63"/>
  <c r="O71" i="63"/>
  <c r="O72" i="63"/>
  <c r="O73" i="63"/>
  <c r="O74" i="63"/>
  <c r="O75" i="63"/>
  <c r="O76" i="63"/>
  <c r="O77" i="63"/>
  <c r="O78" i="63"/>
  <c r="O79" i="63"/>
  <c r="O80" i="63"/>
  <c r="O81" i="63"/>
  <c r="O82" i="63"/>
  <c r="O84" i="63"/>
  <c r="O85" i="63"/>
  <c r="O86" i="63"/>
  <c r="O87" i="63"/>
  <c r="O88" i="63"/>
  <c r="O89" i="63"/>
  <c r="O91" i="63"/>
  <c r="O92" i="63"/>
  <c r="O93" i="63"/>
  <c r="O94" i="63"/>
  <c r="O95" i="63"/>
  <c r="O97" i="63"/>
  <c r="O98" i="63"/>
  <c r="O99" i="63"/>
  <c r="O101" i="63"/>
  <c r="O102" i="63"/>
  <c r="O104" i="63"/>
  <c r="O105" i="63"/>
  <c r="O106" i="63"/>
  <c r="O107" i="63"/>
  <c r="O110" i="63"/>
  <c r="O111" i="63"/>
  <c r="O112" i="63"/>
  <c r="O113" i="63"/>
  <c r="O114" i="63"/>
  <c r="O116" i="63"/>
  <c r="O117" i="63"/>
  <c r="O119" i="63"/>
  <c r="O120" i="63"/>
  <c r="O121" i="63"/>
  <c r="O122" i="63"/>
  <c r="O124" i="63"/>
  <c r="O125" i="63"/>
  <c r="O126" i="63"/>
  <c r="O127" i="63"/>
  <c r="O128" i="63"/>
  <c r="O129" i="63"/>
  <c r="O130" i="63"/>
  <c r="O131" i="63"/>
  <c r="O132" i="63"/>
  <c r="O133" i="63"/>
  <c r="O134" i="63"/>
  <c r="O135" i="63"/>
  <c r="O136" i="63"/>
  <c r="O137" i="63"/>
  <c r="O138" i="63"/>
  <c r="O139" i="63"/>
  <c r="O140" i="63"/>
  <c r="O141" i="63"/>
  <c r="O142" i="63"/>
  <c r="O143" i="63"/>
  <c r="O144" i="63"/>
  <c r="O145" i="63"/>
  <c r="O147" i="63"/>
  <c r="O148" i="63"/>
  <c r="O150" i="63"/>
  <c r="O152" i="63"/>
  <c r="O153" i="63"/>
  <c r="O154" i="63"/>
  <c r="O155" i="63"/>
  <c r="O156" i="63"/>
  <c r="O157" i="63"/>
  <c r="O158" i="63"/>
  <c r="O159" i="63"/>
  <c r="O160" i="63"/>
  <c r="O161" i="63"/>
  <c r="O162" i="63"/>
  <c r="O164" i="63"/>
  <c r="O165" i="63"/>
  <c r="O166" i="63"/>
  <c r="O167" i="63"/>
  <c r="O168" i="63"/>
  <c r="O172" i="63"/>
  <c r="O173" i="63"/>
  <c r="O174" i="63"/>
  <c r="O175" i="63"/>
  <c r="O176" i="63"/>
  <c r="O177" i="63"/>
  <c r="O179" i="63"/>
  <c r="O180" i="63"/>
  <c r="O182" i="63"/>
  <c r="O183" i="63"/>
  <c r="O185" i="63"/>
  <c r="O189" i="63"/>
  <c r="O190" i="63"/>
  <c r="O191" i="63"/>
  <c r="O194" i="63"/>
  <c r="O195" i="63"/>
  <c r="O197" i="63"/>
  <c r="O200" i="63"/>
  <c r="O201" i="63"/>
  <c r="O203" i="63"/>
  <c r="O204" i="63"/>
  <c r="O205" i="63"/>
  <c r="O206" i="63"/>
  <c r="O207" i="63"/>
  <c r="O208" i="63"/>
  <c r="O211" i="63"/>
  <c r="O212" i="63"/>
  <c r="O213" i="63"/>
  <c r="O214" i="63"/>
  <c r="O217" i="63"/>
  <c r="O218" i="63"/>
  <c r="O220" i="63"/>
  <c r="O221" i="63"/>
  <c r="O223" i="63"/>
  <c r="O224" i="63"/>
  <c r="O225" i="63"/>
  <c r="O226" i="63"/>
  <c r="O227" i="63"/>
  <c r="O228" i="63"/>
  <c r="O229" i="63"/>
  <c r="O231" i="63"/>
  <c r="O232" i="63"/>
  <c r="O233" i="63"/>
  <c r="O234" i="63"/>
  <c r="O235" i="63"/>
  <c r="O237" i="63"/>
  <c r="O238" i="63"/>
  <c r="O239" i="63"/>
  <c r="O240" i="63"/>
  <c r="C34" i="40"/>
  <c r="AC11" i="69"/>
  <c r="AG37" i="69" l="1"/>
  <c r="AG38" i="69"/>
  <c r="AG39" i="69"/>
  <c r="AG40" i="69"/>
  <c r="AG51" i="69"/>
  <c r="AG52" i="69"/>
  <c r="AG53" i="69"/>
  <c r="AG54" i="69"/>
  <c r="AG75" i="69"/>
  <c r="AG76" i="69"/>
  <c r="AG77" i="69"/>
  <c r="AG78" i="69"/>
  <c r="AG89" i="69"/>
  <c r="AG90" i="69"/>
  <c r="AG91" i="69"/>
  <c r="AG92" i="69"/>
  <c r="AG170" i="69"/>
  <c r="AG171" i="69"/>
  <c r="AG172" i="69"/>
  <c r="AG173" i="69"/>
  <c r="AG174" i="69"/>
  <c r="AG175" i="69"/>
  <c r="AG240" i="69"/>
  <c r="AG241" i="69"/>
  <c r="AG242" i="69"/>
  <c r="AG243" i="69"/>
  <c r="AG248" i="69"/>
  <c r="AG249" i="69"/>
  <c r="AG250" i="69"/>
  <c r="AG251" i="69"/>
  <c r="AC12" i="69"/>
  <c r="AE11" i="69"/>
  <c r="AE12" i="69"/>
  <c r="AE13" i="69"/>
  <c r="AE14" i="69"/>
  <c r="AE15" i="69"/>
  <c r="AE16" i="69"/>
  <c r="AE17" i="69"/>
  <c r="AE18" i="69"/>
  <c r="AE19" i="69"/>
  <c r="AE20" i="69"/>
  <c r="AE21" i="69"/>
  <c r="AE22" i="69"/>
  <c r="AE23" i="69"/>
  <c r="AE24" i="69"/>
  <c r="AE25" i="69"/>
  <c r="AE26" i="69"/>
  <c r="AE27" i="69"/>
  <c r="AE28" i="69"/>
  <c r="AE29" i="69"/>
  <c r="AE30" i="69"/>
  <c r="AE31" i="69"/>
  <c r="AE32" i="69"/>
  <c r="AE33" i="69"/>
  <c r="AE34" i="69"/>
  <c r="AE35" i="69"/>
  <c r="AE36" i="69"/>
  <c r="AE41" i="69"/>
  <c r="AE42" i="69"/>
  <c r="AE43" i="69"/>
  <c r="AE44" i="69"/>
  <c r="AE45" i="69"/>
  <c r="AE46" i="69"/>
  <c r="AE47" i="69"/>
  <c r="AE48" i="69"/>
  <c r="AE49" i="69"/>
  <c r="AE50" i="69"/>
  <c r="AE55" i="69"/>
  <c r="AE79" i="69"/>
  <c r="AE80" i="69"/>
  <c r="AE81" i="69"/>
  <c r="AE82" i="69"/>
  <c r="AE83" i="69"/>
  <c r="AE84" i="69"/>
  <c r="AE85" i="69"/>
  <c r="AE86" i="69"/>
  <c r="AE87" i="69"/>
  <c r="AE88" i="69"/>
  <c r="AE93" i="69"/>
  <c r="AE94" i="69"/>
  <c r="AE95" i="69"/>
  <c r="AE96" i="69"/>
  <c r="AE97" i="69"/>
  <c r="AE98" i="69"/>
  <c r="AE99" i="69"/>
  <c r="AE100" i="69"/>
  <c r="AE101" i="69"/>
  <c r="AE102" i="69"/>
  <c r="AE103" i="69"/>
  <c r="AE104" i="69"/>
  <c r="AE105" i="69"/>
  <c r="AE106" i="69"/>
  <c r="AE107" i="69"/>
  <c r="AE108" i="69"/>
  <c r="AE109" i="69"/>
  <c r="AE110" i="69"/>
  <c r="AE111" i="69"/>
  <c r="AE112" i="69"/>
  <c r="AE113" i="69"/>
  <c r="AE120" i="69"/>
  <c r="AE121" i="69"/>
  <c r="AE122" i="69"/>
  <c r="AE123" i="69"/>
  <c r="AE124" i="69"/>
  <c r="AE125" i="69"/>
  <c r="AE126" i="69"/>
  <c r="AE127" i="69"/>
  <c r="AE128" i="69"/>
  <c r="AE129" i="69"/>
  <c r="AE130" i="69"/>
  <c r="AE131" i="69"/>
  <c r="AE132" i="69"/>
  <c r="AE133" i="69"/>
  <c r="AE134" i="69"/>
  <c r="AE135" i="69"/>
  <c r="AE136" i="69"/>
  <c r="AE137" i="69"/>
  <c r="AE138" i="69"/>
  <c r="AE139" i="69"/>
  <c r="AE140" i="69"/>
  <c r="AE141" i="69"/>
  <c r="AE142" i="69"/>
  <c r="AE143" i="69"/>
  <c r="AE144" i="69"/>
  <c r="AE145" i="69"/>
  <c r="AE146" i="69"/>
  <c r="AE147" i="69"/>
  <c r="AE148" i="69"/>
  <c r="AE149" i="69"/>
  <c r="AE150" i="69"/>
  <c r="AE151" i="69"/>
  <c r="AE152" i="69"/>
  <c r="AE153" i="69"/>
  <c r="AE154" i="69"/>
  <c r="AE155" i="69"/>
  <c r="AE156" i="69"/>
  <c r="AE157" i="69"/>
  <c r="AE158" i="69"/>
  <c r="AE159" i="69"/>
  <c r="AE160" i="69"/>
  <c r="AE161" i="69"/>
  <c r="AE162" i="69"/>
  <c r="AE163" i="69"/>
  <c r="AE164" i="69"/>
  <c r="AE165" i="69"/>
  <c r="AE166" i="69"/>
  <c r="AE167" i="69"/>
  <c r="AE168" i="69"/>
  <c r="AE169" i="69"/>
  <c r="AE176" i="69"/>
  <c r="AE177" i="69"/>
  <c r="AE178" i="69"/>
  <c r="AE179" i="69"/>
  <c r="AE180" i="69"/>
  <c r="AE181" i="69"/>
  <c r="AE182" i="69"/>
  <c r="AE183" i="69"/>
  <c r="AE184" i="69"/>
  <c r="AE185" i="69"/>
  <c r="AE186" i="69"/>
  <c r="AE187" i="69"/>
  <c r="AE188" i="69"/>
  <c r="AE189" i="69"/>
  <c r="AE190" i="69"/>
  <c r="AE191" i="69"/>
  <c r="AE192" i="69"/>
  <c r="AE193" i="69"/>
  <c r="AE194" i="69"/>
  <c r="AE195" i="69"/>
  <c r="AE196" i="69"/>
  <c r="AE197" i="69"/>
  <c r="AE198" i="69"/>
  <c r="AE199" i="69"/>
  <c r="AE200" i="69"/>
  <c r="AE201" i="69"/>
  <c r="AE202" i="69"/>
  <c r="AE203" i="69"/>
  <c r="AE204" i="69"/>
  <c r="AE205" i="69"/>
  <c r="AE206" i="69"/>
  <c r="AE207" i="69"/>
  <c r="AE208" i="69"/>
  <c r="AE209" i="69"/>
  <c r="AE210" i="69"/>
  <c r="AE211" i="69"/>
  <c r="AE212" i="69"/>
  <c r="AE213" i="69"/>
  <c r="AE214" i="69"/>
  <c r="AE215" i="69"/>
  <c r="AE216" i="69"/>
  <c r="AE217" i="69"/>
  <c r="AE218" i="69"/>
  <c r="AE219" i="69"/>
  <c r="AE220" i="69"/>
  <c r="AE221" i="69"/>
  <c r="AE222" i="69"/>
  <c r="AE223" i="69"/>
  <c r="AE224" i="69"/>
  <c r="AE225" i="69"/>
  <c r="AE226" i="69"/>
  <c r="AE227" i="69"/>
  <c r="AE228" i="69"/>
  <c r="AE229" i="69"/>
  <c r="AE230" i="69"/>
  <c r="AE231" i="69"/>
  <c r="AE232" i="69"/>
  <c r="AE233" i="69"/>
  <c r="AE234" i="69"/>
  <c r="AE235" i="69"/>
  <c r="AE236" i="69"/>
  <c r="AE237" i="69"/>
  <c r="AE238" i="69"/>
  <c r="AE239" i="69"/>
  <c r="AE244" i="69"/>
  <c r="AE245" i="69"/>
  <c r="AE246" i="69"/>
  <c r="AE247" i="69"/>
  <c r="AF11" i="69" l="1"/>
  <c r="AG11" i="69" s="1"/>
  <c r="C63" i="50" l="1"/>
  <c r="BR64" i="50" s="1"/>
  <c r="I156" i="43" a="1"/>
  <c r="I156" i="43" s="1"/>
  <c r="I86" i="43" a="1"/>
  <c r="I86" i="43" s="1"/>
  <c r="I52" i="43" a="1"/>
  <c r="I52" i="43" s="1"/>
  <c r="I19" i="43" a="1"/>
  <c r="I19" i="43" s="1"/>
  <c r="E59" i="43"/>
  <c r="E60" i="43"/>
  <c r="E61" i="43"/>
  <c r="E62" i="43"/>
  <c r="E63" i="43"/>
  <c r="E58" i="43"/>
  <c r="E26" i="43"/>
  <c r="E27" i="43"/>
  <c r="E28" i="43"/>
  <c r="E29" i="43"/>
  <c r="E30" i="43"/>
  <c r="E25" i="43"/>
  <c r="AF245" i="69"/>
  <c r="AG245" i="69" s="1"/>
  <c r="AF246" i="69"/>
  <c r="AG246" i="69" s="1"/>
  <c r="AF247" i="69"/>
  <c r="AG247" i="69" s="1"/>
  <c r="AF244" i="69"/>
  <c r="AG244" i="69" s="1"/>
  <c r="AF236" i="69"/>
  <c r="AG236" i="69" s="1"/>
  <c r="AF237" i="69"/>
  <c r="AG237" i="69" s="1"/>
  <c r="AF238" i="69"/>
  <c r="AG238" i="69" s="1"/>
  <c r="AF239" i="69"/>
  <c r="AG239" i="69" s="1"/>
  <c r="AF235" i="69"/>
  <c r="AG235" i="69" s="1"/>
  <c r="AF231" i="69"/>
  <c r="AG231" i="69" s="1"/>
  <c r="AF232" i="69"/>
  <c r="AG232" i="69" s="1"/>
  <c r="AF233" i="69"/>
  <c r="AG233" i="69" s="1"/>
  <c r="AF234" i="69"/>
  <c r="AG234" i="69" s="1"/>
  <c r="AF230" i="69"/>
  <c r="AG230" i="69" s="1"/>
  <c r="AF229" i="69"/>
  <c r="AG229" i="69" s="1"/>
  <c r="AF228" i="69"/>
  <c r="AG228" i="69" s="1"/>
  <c r="AF227" i="69"/>
  <c r="AG227" i="69" s="1"/>
  <c r="AF225" i="69"/>
  <c r="AG225" i="69" s="1"/>
  <c r="AF226" i="69"/>
  <c r="AG226" i="69" s="1"/>
  <c r="AF224" i="69"/>
  <c r="AG224" i="69" s="1"/>
  <c r="AF222" i="69"/>
  <c r="AG222" i="69" s="1"/>
  <c r="AF223" i="69"/>
  <c r="AG223" i="69" s="1"/>
  <c r="AF221" i="69"/>
  <c r="AG221" i="69" s="1"/>
  <c r="AF220" i="69"/>
  <c r="AG220" i="69" s="1"/>
  <c r="AF219" i="69"/>
  <c r="AG219" i="69" s="1"/>
  <c r="AC219" i="69"/>
  <c r="AC220" i="69"/>
  <c r="AF216" i="69"/>
  <c r="AG216" i="69" s="1"/>
  <c r="AF217" i="69"/>
  <c r="AG217" i="69" s="1"/>
  <c r="AF218" i="69"/>
  <c r="AG218" i="69" s="1"/>
  <c r="AF215" i="69"/>
  <c r="AG215" i="69" s="1"/>
  <c r="AF213" i="69"/>
  <c r="AG213" i="69" s="1"/>
  <c r="AF214" i="69"/>
  <c r="AG214" i="69" s="1"/>
  <c r="AF212" i="69"/>
  <c r="AG212" i="69" s="1"/>
  <c r="AF207" i="69"/>
  <c r="AG207" i="69" s="1"/>
  <c r="AF208" i="69"/>
  <c r="AG208" i="69" s="1"/>
  <c r="AF209" i="69"/>
  <c r="AG209" i="69" s="1"/>
  <c r="AF210" i="69"/>
  <c r="AG210" i="69" s="1"/>
  <c r="AF211" i="69"/>
  <c r="AG211" i="69" s="1"/>
  <c r="AF206" i="69"/>
  <c r="AG206" i="69" s="1"/>
  <c r="AF201" i="69"/>
  <c r="AG201" i="69" s="1"/>
  <c r="AF202" i="69"/>
  <c r="AG202" i="69" s="1"/>
  <c r="AF203" i="69"/>
  <c r="AG203" i="69" s="1"/>
  <c r="AF204" i="69"/>
  <c r="AG204" i="69" s="1"/>
  <c r="AF205" i="69"/>
  <c r="AG205" i="69" s="1"/>
  <c r="AF200" i="69"/>
  <c r="AG200" i="69" s="1"/>
  <c r="AF195" i="69"/>
  <c r="AG195" i="69" s="1"/>
  <c r="AF196" i="69"/>
  <c r="AG196" i="69" s="1"/>
  <c r="AF197" i="69"/>
  <c r="AG197" i="69" s="1"/>
  <c r="AF198" i="69"/>
  <c r="AG198" i="69" s="1"/>
  <c r="AF199" i="69"/>
  <c r="AG199" i="69" s="1"/>
  <c r="AF194" i="69"/>
  <c r="AG194" i="69" s="1"/>
  <c r="AF189" i="69"/>
  <c r="AG189" i="69" s="1"/>
  <c r="AF190" i="69"/>
  <c r="AG190" i="69" s="1"/>
  <c r="AF191" i="69"/>
  <c r="AG191" i="69" s="1"/>
  <c r="AF192" i="69"/>
  <c r="AG192" i="69" s="1"/>
  <c r="AF193" i="69"/>
  <c r="AG193" i="69" s="1"/>
  <c r="AF188" i="69"/>
  <c r="AG188" i="69" s="1"/>
  <c r="AF183" i="69"/>
  <c r="AG183" i="69" s="1"/>
  <c r="AF184" i="69"/>
  <c r="AG184" i="69" s="1"/>
  <c r="AF185" i="69"/>
  <c r="AG185" i="69" s="1"/>
  <c r="AF186" i="69"/>
  <c r="AG186" i="69" s="1"/>
  <c r="AF187" i="69"/>
  <c r="AG187" i="69" s="1"/>
  <c r="AF182" i="69"/>
  <c r="AG182" i="69" s="1"/>
  <c r="AF177" i="69"/>
  <c r="AG177" i="69" s="1"/>
  <c r="AF178" i="69"/>
  <c r="AG178" i="69" s="1"/>
  <c r="AF179" i="69"/>
  <c r="AG179" i="69" s="1"/>
  <c r="AF180" i="69"/>
  <c r="AG180" i="69" s="1"/>
  <c r="AF181" i="69"/>
  <c r="AG181" i="69" s="1"/>
  <c r="AF176" i="69"/>
  <c r="AG176" i="69" s="1"/>
  <c r="AF163" i="69"/>
  <c r="AG163" i="69" s="1"/>
  <c r="AF164" i="69"/>
  <c r="AG164" i="69" s="1"/>
  <c r="AF165" i="69"/>
  <c r="AG165" i="69" s="1"/>
  <c r="AF166" i="69"/>
  <c r="AG166" i="69" s="1"/>
  <c r="AF167" i="69"/>
  <c r="AG167" i="69" s="1"/>
  <c r="AF168" i="69"/>
  <c r="AG168" i="69" s="1"/>
  <c r="AF169" i="69"/>
  <c r="AG169" i="69" s="1"/>
  <c r="AF162" i="69"/>
  <c r="AG162" i="69" s="1"/>
  <c r="AF159" i="69"/>
  <c r="AG159" i="69" s="1"/>
  <c r="AF160" i="69"/>
  <c r="AG160" i="69" s="1"/>
  <c r="AF161" i="69"/>
  <c r="AG161" i="69" s="1"/>
  <c r="AF158" i="69"/>
  <c r="AG158" i="69" s="1"/>
  <c r="AF153" i="69"/>
  <c r="AG153" i="69" s="1"/>
  <c r="AF154" i="69"/>
  <c r="AG154" i="69" s="1"/>
  <c r="AF155" i="69"/>
  <c r="AG155" i="69" s="1"/>
  <c r="AF156" i="69"/>
  <c r="AG156" i="69" s="1"/>
  <c r="AF157" i="69"/>
  <c r="AG157" i="69" s="1"/>
  <c r="AF152" i="69"/>
  <c r="AG152" i="69" s="1"/>
  <c r="AF147" i="69"/>
  <c r="AG147" i="69" s="1"/>
  <c r="AF148" i="69"/>
  <c r="AG148" i="69" s="1"/>
  <c r="AF149" i="69"/>
  <c r="AG149" i="69" s="1"/>
  <c r="AF150" i="69"/>
  <c r="AG150" i="69" s="1"/>
  <c r="AF151" i="69"/>
  <c r="AG151" i="69" s="1"/>
  <c r="AF146" i="69"/>
  <c r="AG146" i="69" s="1"/>
  <c r="AF141" i="69"/>
  <c r="AG141" i="69" s="1"/>
  <c r="AF142" i="69"/>
  <c r="AG142" i="69" s="1"/>
  <c r="AF143" i="69"/>
  <c r="AG143" i="69" s="1"/>
  <c r="AF144" i="69"/>
  <c r="AG144" i="69" s="1"/>
  <c r="AF145" i="69"/>
  <c r="AG145" i="69" s="1"/>
  <c r="AF140" i="69"/>
  <c r="AG140" i="69" s="1"/>
  <c r="AF135" i="69"/>
  <c r="AG135" i="69" s="1"/>
  <c r="AF136" i="69"/>
  <c r="AG136" i="69" s="1"/>
  <c r="AF137" i="69"/>
  <c r="AG137" i="69" s="1"/>
  <c r="AF138" i="69"/>
  <c r="AG138" i="69" s="1"/>
  <c r="AF139" i="69"/>
  <c r="AG139" i="69" s="1"/>
  <c r="AF134" i="69"/>
  <c r="AG134" i="69" s="1"/>
  <c r="AF129" i="69"/>
  <c r="AG129" i="69" s="1"/>
  <c r="AF130" i="69"/>
  <c r="AG130" i="69" s="1"/>
  <c r="AF131" i="69"/>
  <c r="AG131" i="69" s="1"/>
  <c r="AF132" i="69"/>
  <c r="AG132" i="69" s="1"/>
  <c r="AF133" i="69"/>
  <c r="AG133" i="69" s="1"/>
  <c r="AF128" i="69"/>
  <c r="AG128" i="69" s="1"/>
  <c r="AF121" i="69"/>
  <c r="AG121" i="69" s="1"/>
  <c r="AF122" i="69"/>
  <c r="AG122" i="69" s="1"/>
  <c r="AF123" i="69"/>
  <c r="AG123" i="69" s="1"/>
  <c r="AF124" i="69"/>
  <c r="AG124" i="69" s="1"/>
  <c r="AF125" i="69"/>
  <c r="AG125" i="69" s="1"/>
  <c r="AF126" i="69"/>
  <c r="AG126" i="69" s="1"/>
  <c r="AF127" i="69"/>
  <c r="AG127" i="69" s="1"/>
  <c r="AF120" i="69"/>
  <c r="AG120" i="69" s="1"/>
  <c r="AF104" i="69"/>
  <c r="AG104" i="69" s="1"/>
  <c r="AF105" i="69"/>
  <c r="AG105" i="69" s="1"/>
  <c r="AF106" i="69"/>
  <c r="AG106" i="69" s="1"/>
  <c r="AF107" i="69"/>
  <c r="AG107" i="69" s="1"/>
  <c r="AF108" i="69"/>
  <c r="AG108" i="69" s="1"/>
  <c r="AF109" i="69"/>
  <c r="AG109" i="69" s="1"/>
  <c r="AF110" i="69"/>
  <c r="AG110" i="69" s="1"/>
  <c r="AF111" i="69"/>
  <c r="AG111" i="69" s="1"/>
  <c r="AF112" i="69"/>
  <c r="AG112" i="69" s="1"/>
  <c r="AF113" i="69"/>
  <c r="AG113" i="69" s="1"/>
  <c r="AF103" i="69"/>
  <c r="AG103" i="69" s="1"/>
  <c r="AF94" i="69"/>
  <c r="AG94" i="69" s="1"/>
  <c r="AF95" i="69"/>
  <c r="AG95" i="69" s="1"/>
  <c r="AF96" i="69"/>
  <c r="AG96" i="69" s="1"/>
  <c r="AF97" i="69"/>
  <c r="AG97" i="69" s="1"/>
  <c r="AF98" i="69"/>
  <c r="AG98" i="69" s="1"/>
  <c r="AF99" i="69"/>
  <c r="AG99" i="69" s="1"/>
  <c r="AF100" i="69"/>
  <c r="AG100" i="69" s="1"/>
  <c r="AF101" i="69"/>
  <c r="AG101" i="69" s="1"/>
  <c r="AF102" i="69"/>
  <c r="AG102" i="69" s="1"/>
  <c r="AF93" i="69"/>
  <c r="AG93" i="69" s="1"/>
  <c r="AF80" i="69"/>
  <c r="AG80" i="69" s="1"/>
  <c r="AF81" i="69"/>
  <c r="AG81" i="69" s="1"/>
  <c r="AF82" i="69"/>
  <c r="AG82" i="69" s="1"/>
  <c r="AF83" i="69"/>
  <c r="AG83" i="69" s="1"/>
  <c r="AF84" i="69"/>
  <c r="AG84" i="69" s="1"/>
  <c r="AF85" i="69"/>
  <c r="AG85" i="69" s="1"/>
  <c r="AF86" i="69"/>
  <c r="AG86" i="69" s="1"/>
  <c r="AF87" i="69"/>
  <c r="AG87" i="69" s="1"/>
  <c r="AF88" i="69"/>
  <c r="AG88" i="69" s="1"/>
  <c r="AF79" i="69"/>
  <c r="AG79" i="69" s="1"/>
  <c r="AG55" i="69"/>
  <c r="AF42" i="69"/>
  <c r="AG42" i="69" s="1"/>
  <c r="AF43" i="69"/>
  <c r="AG43" i="69" s="1"/>
  <c r="AF44" i="69"/>
  <c r="AG44" i="69" s="1"/>
  <c r="AF45" i="69"/>
  <c r="AG45" i="69" s="1"/>
  <c r="AF46" i="69"/>
  <c r="AG46" i="69" s="1"/>
  <c r="AF47" i="69"/>
  <c r="AG47" i="69" s="1"/>
  <c r="AF48" i="69"/>
  <c r="AG48" i="69" s="1"/>
  <c r="AF49" i="69"/>
  <c r="AG49" i="69" s="1"/>
  <c r="AF50" i="69"/>
  <c r="AG50" i="69" s="1"/>
  <c r="AF41" i="69"/>
  <c r="AG41" i="69" s="1"/>
  <c r="AF28" i="69"/>
  <c r="AG28" i="69" s="1"/>
  <c r="AF29" i="69"/>
  <c r="AG29" i="69" s="1"/>
  <c r="AF30" i="69"/>
  <c r="AG30" i="69" s="1"/>
  <c r="AF31" i="69"/>
  <c r="AG31" i="69" s="1"/>
  <c r="AF32" i="69"/>
  <c r="AG32" i="69" s="1"/>
  <c r="AF33" i="69"/>
  <c r="AG33" i="69" s="1"/>
  <c r="AF34" i="69"/>
  <c r="AG34" i="69" s="1"/>
  <c r="AF35" i="69"/>
  <c r="AG35" i="69" s="1"/>
  <c r="AF36" i="69"/>
  <c r="AG36" i="69" s="1"/>
  <c r="AF27" i="69"/>
  <c r="AG27" i="69" s="1"/>
  <c r="AF20" i="69"/>
  <c r="AG20" i="69" s="1"/>
  <c r="AF21" i="69"/>
  <c r="AG21" i="69" s="1"/>
  <c r="AF22" i="69"/>
  <c r="AG22" i="69" s="1"/>
  <c r="AF23" i="69"/>
  <c r="AG23" i="69" s="1"/>
  <c r="AF24" i="69"/>
  <c r="AG24" i="69" s="1"/>
  <c r="AF25" i="69"/>
  <c r="AG25" i="69" s="1"/>
  <c r="AF26" i="69"/>
  <c r="AG26" i="69" s="1"/>
  <c r="AF19" i="69"/>
  <c r="AG19" i="69" s="1"/>
  <c r="AF12" i="69"/>
  <c r="AG12" i="69" s="1"/>
  <c r="AF13" i="69"/>
  <c r="AG13" i="69" s="1"/>
  <c r="AF14" i="69"/>
  <c r="AG14" i="69" s="1"/>
  <c r="AF15" i="69"/>
  <c r="AG15" i="69" s="1"/>
  <c r="AF16" i="69"/>
  <c r="AG16" i="69" s="1"/>
  <c r="AF17" i="69"/>
  <c r="AG17" i="69" s="1"/>
  <c r="AF18" i="69"/>
  <c r="AG18" i="69" s="1"/>
  <c r="AD251" i="69"/>
  <c r="AC249" i="69"/>
  <c r="AC250" i="69"/>
  <c r="AC251" i="69"/>
  <c r="AC248" i="69"/>
  <c r="AC245" i="69"/>
  <c r="AC246" i="69"/>
  <c r="AC247" i="69"/>
  <c r="AC244" i="69"/>
  <c r="AC241" i="69"/>
  <c r="AC242" i="69"/>
  <c r="AC243" i="69"/>
  <c r="AC240" i="69"/>
  <c r="AC236" i="69"/>
  <c r="AC237" i="69"/>
  <c r="AC238" i="69"/>
  <c r="AC239" i="69"/>
  <c r="AC235" i="69"/>
  <c r="AC231" i="69"/>
  <c r="AC232" i="69"/>
  <c r="AC233" i="69"/>
  <c r="AC234" i="69"/>
  <c r="AC230" i="69"/>
  <c r="AC229" i="69"/>
  <c r="AC228" i="69"/>
  <c r="AC227" i="69"/>
  <c r="AC225" i="69"/>
  <c r="AC226" i="69"/>
  <c r="AC224" i="69"/>
  <c r="AC223" i="69"/>
  <c r="AC221" i="69"/>
  <c r="AC222" i="69"/>
  <c r="AC216" i="69"/>
  <c r="AC217" i="69"/>
  <c r="AC218" i="69"/>
  <c r="AC215" i="69"/>
  <c r="AC213" i="69"/>
  <c r="AC214" i="69"/>
  <c r="AC212" i="69"/>
  <c r="AC207" i="69"/>
  <c r="AC208" i="69"/>
  <c r="AC209" i="69"/>
  <c r="AC210" i="69"/>
  <c r="AC211" i="69"/>
  <c r="AC206" i="69"/>
  <c r="AC201" i="69"/>
  <c r="AC202" i="69"/>
  <c r="AC203" i="69"/>
  <c r="AC204" i="69"/>
  <c r="AC205" i="69"/>
  <c r="AC200" i="69"/>
  <c r="AC195" i="69"/>
  <c r="AC196" i="69"/>
  <c r="AC197" i="69"/>
  <c r="AC198" i="69"/>
  <c r="AC199" i="69"/>
  <c r="AC194" i="69"/>
  <c r="AC189" i="69"/>
  <c r="AC190" i="69"/>
  <c r="AC191" i="69"/>
  <c r="AC192" i="69"/>
  <c r="AC193" i="69"/>
  <c r="AC188" i="69"/>
  <c r="AC183" i="69"/>
  <c r="AC184" i="69"/>
  <c r="AC185" i="69"/>
  <c r="AC186" i="69"/>
  <c r="AC187" i="69"/>
  <c r="AC182" i="69"/>
  <c r="AC177" i="69"/>
  <c r="AC178" i="69"/>
  <c r="AC179" i="69"/>
  <c r="AC180" i="69"/>
  <c r="AC181" i="69"/>
  <c r="AC176" i="69"/>
  <c r="AC171" i="69"/>
  <c r="AC172" i="69"/>
  <c r="AC173" i="69"/>
  <c r="AC174" i="69"/>
  <c r="AC175" i="69"/>
  <c r="AC170" i="69"/>
  <c r="AC163" i="69"/>
  <c r="AC164" i="69"/>
  <c r="AC165" i="69"/>
  <c r="AC166" i="69"/>
  <c r="AC167" i="69"/>
  <c r="AC168" i="69"/>
  <c r="AC169" i="69"/>
  <c r="AC162" i="69"/>
  <c r="AC159" i="69"/>
  <c r="AC160" i="69"/>
  <c r="AC161" i="69"/>
  <c r="AC158" i="69"/>
  <c r="AC153" i="69"/>
  <c r="AC154" i="69"/>
  <c r="AC155" i="69"/>
  <c r="AC156" i="69"/>
  <c r="AC157" i="69"/>
  <c r="AC152" i="69"/>
  <c r="AC147" i="69"/>
  <c r="AC148" i="69"/>
  <c r="AC149" i="69"/>
  <c r="AC150" i="69"/>
  <c r="AC151" i="69"/>
  <c r="AC146" i="69"/>
  <c r="AC141" i="69"/>
  <c r="AC142" i="69"/>
  <c r="AC143" i="69"/>
  <c r="AC144" i="69"/>
  <c r="AC145" i="69"/>
  <c r="AC140" i="69"/>
  <c r="AC135" i="69"/>
  <c r="AC136" i="69"/>
  <c r="AC137" i="69"/>
  <c r="AC138" i="69"/>
  <c r="AC139" i="69"/>
  <c r="AC134" i="69"/>
  <c r="AC133" i="69"/>
  <c r="AC129" i="69"/>
  <c r="AC130" i="69"/>
  <c r="AC131" i="69"/>
  <c r="AC132" i="69"/>
  <c r="AC128" i="69"/>
  <c r="AC121" i="69"/>
  <c r="AC122" i="69"/>
  <c r="AC123" i="69"/>
  <c r="AC124" i="69"/>
  <c r="AC125" i="69"/>
  <c r="AC126" i="69"/>
  <c r="AC127" i="69"/>
  <c r="AC120" i="69"/>
  <c r="AC104" i="69"/>
  <c r="AC105" i="69"/>
  <c r="AC106" i="69"/>
  <c r="AC107" i="69"/>
  <c r="AC108" i="69"/>
  <c r="AC109" i="69"/>
  <c r="AC110" i="69"/>
  <c r="AC111" i="69"/>
  <c r="AC112" i="69"/>
  <c r="AC113" i="69"/>
  <c r="AC103" i="69"/>
  <c r="AC94" i="69"/>
  <c r="AC95" i="69"/>
  <c r="AC96" i="69"/>
  <c r="AC97" i="69"/>
  <c r="AC98" i="69"/>
  <c r="AC99" i="69"/>
  <c r="AC100" i="69"/>
  <c r="AC101" i="69"/>
  <c r="AC102" i="69"/>
  <c r="AC93" i="69"/>
  <c r="AC90" i="69"/>
  <c r="AC91" i="69"/>
  <c r="AC92" i="69"/>
  <c r="AC89" i="69"/>
  <c r="AC80" i="69"/>
  <c r="AC81" i="69"/>
  <c r="AC82" i="69"/>
  <c r="AC83" i="69"/>
  <c r="AC84" i="69"/>
  <c r="AC85" i="69"/>
  <c r="AC86" i="69"/>
  <c r="AC87" i="69"/>
  <c r="AC88" i="69"/>
  <c r="AC79" i="69"/>
  <c r="AC76" i="69"/>
  <c r="AC77" i="69"/>
  <c r="AC78" i="69"/>
  <c r="AC75" i="69"/>
  <c r="AC52" i="69"/>
  <c r="AC53" i="69"/>
  <c r="AC54" i="69"/>
  <c r="AC51" i="69"/>
  <c r="AC50" i="69"/>
  <c r="AC42" i="69"/>
  <c r="AC43" i="69"/>
  <c r="AC44" i="69"/>
  <c r="AC45" i="69"/>
  <c r="AC46" i="69"/>
  <c r="AC47" i="69"/>
  <c r="AC48" i="69"/>
  <c r="AC49" i="69"/>
  <c r="AC41" i="69"/>
  <c r="AC38" i="69"/>
  <c r="AC39" i="69"/>
  <c r="AC40" i="69"/>
  <c r="AC37" i="69"/>
  <c r="AC28" i="69"/>
  <c r="AC29" i="69"/>
  <c r="AC30" i="69"/>
  <c r="AC31" i="69"/>
  <c r="AC32" i="69"/>
  <c r="AC33" i="69"/>
  <c r="AC34" i="69"/>
  <c r="AC35" i="69"/>
  <c r="AC36" i="69"/>
  <c r="AC27" i="69"/>
  <c r="AC20" i="69"/>
  <c r="AC21" i="69"/>
  <c r="AC22" i="69"/>
  <c r="AC23" i="69"/>
  <c r="AC24" i="69"/>
  <c r="AC25" i="69"/>
  <c r="AC26" i="69"/>
  <c r="AC19" i="69"/>
  <c r="AC13" i="69"/>
  <c r="AC14" i="69"/>
  <c r="AC15" i="69"/>
  <c r="AC16" i="69"/>
  <c r="AC17" i="69"/>
  <c r="AC18" i="69"/>
  <c r="D249" i="69"/>
  <c r="D250" i="69"/>
  <c r="D251" i="69"/>
  <c r="D248" i="69"/>
  <c r="D245" i="69"/>
  <c r="D246" i="69"/>
  <c r="D247" i="69"/>
  <c r="D244" i="69"/>
  <c r="D241" i="69"/>
  <c r="D242" i="69"/>
  <c r="D243" i="69"/>
  <c r="D240" i="69"/>
  <c r="D231" i="69"/>
  <c r="D232" i="69"/>
  <c r="D233" i="69"/>
  <c r="D230" i="69"/>
  <c r="D228" i="69"/>
  <c r="D227" i="69"/>
  <c r="C207" i="69"/>
  <c r="C208" i="69"/>
  <c r="C209" i="69"/>
  <c r="C210" i="69"/>
  <c r="C211" i="69"/>
  <c r="C206" i="69"/>
  <c r="D207" i="69"/>
  <c r="D208" i="69"/>
  <c r="D209" i="69"/>
  <c r="D210" i="69"/>
  <c r="D211" i="69"/>
  <c r="D206" i="69"/>
  <c r="D201" i="69"/>
  <c r="D202" i="69"/>
  <c r="D203" i="69"/>
  <c r="D204" i="69"/>
  <c r="D205" i="69"/>
  <c r="D200" i="69"/>
  <c r="D195" i="69"/>
  <c r="D196" i="69"/>
  <c r="D197" i="69"/>
  <c r="D198" i="69"/>
  <c r="D199" i="69"/>
  <c r="D194" i="69"/>
  <c r="D189" i="69"/>
  <c r="D190" i="69"/>
  <c r="D191" i="69"/>
  <c r="D192" i="69"/>
  <c r="D193" i="69"/>
  <c r="D188" i="69"/>
  <c r="D183" i="69"/>
  <c r="D184" i="69"/>
  <c r="D185" i="69"/>
  <c r="D186" i="69"/>
  <c r="D187" i="69"/>
  <c r="D182" i="69"/>
  <c r="D175" i="69"/>
  <c r="D171" i="69"/>
  <c r="D172" i="69"/>
  <c r="D173" i="69"/>
  <c r="D174" i="69"/>
  <c r="D170" i="69"/>
  <c r="AD178" i="69"/>
  <c r="AD179" i="69"/>
  <c r="AD180" i="69"/>
  <c r="AD181" i="69"/>
  <c r="AD182" i="69"/>
  <c r="AD183" i="69"/>
  <c r="AD184" i="69"/>
  <c r="AD185" i="69"/>
  <c r="AD186" i="69"/>
  <c r="AD187" i="69"/>
  <c r="AD188" i="69"/>
  <c r="AD189" i="69"/>
  <c r="AD190" i="69"/>
  <c r="AD191" i="69"/>
  <c r="AD192" i="69"/>
  <c r="AD193" i="69"/>
  <c r="AD194" i="69"/>
  <c r="AD195" i="69"/>
  <c r="AD196" i="69"/>
  <c r="AD197" i="69"/>
  <c r="AD198" i="69"/>
  <c r="AD199" i="69"/>
  <c r="AD200" i="69"/>
  <c r="AD201" i="69"/>
  <c r="AD202" i="69"/>
  <c r="AD203" i="69"/>
  <c r="AD204" i="69"/>
  <c r="AD205" i="69"/>
  <c r="AD206" i="69"/>
  <c r="AD207" i="69"/>
  <c r="AD208" i="69"/>
  <c r="AD209" i="69"/>
  <c r="AD210" i="69"/>
  <c r="AD211" i="69"/>
  <c r="D163" i="69"/>
  <c r="D164" i="69"/>
  <c r="D165" i="69"/>
  <c r="D166" i="69"/>
  <c r="D167" i="69"/>
  <c r="D168" i="69"/>
  <c r="D169" i="69"/>
  <c r="D162" i="69"/>
  <c r="C163" i="69"/>
  <c r="C164" i="69"/>
  <c r="C165" i="69"/>
  <c r="C166" i="69"/>
  <c r="C167" i="69"/>
  <c r="C168" i="69"/>
  <c r="C169" i="69"/>
  <c r="C162" i="69"/>
  <c r="C159" i="69"/>
  <c r="C160" i="69"/>
  <c r="C161" i="69"/>
  <c r="C158" i="69"/>
  <c r="D159" i="69"/>
  <c r="D160" i="69"/>
  <c r="D161" i="69"/>
  <c r="D158" i="69"/>
  <c r="C153" i="69"/>
  <c r="C154" i="69"/>
  <c r="C155" i="69"/>
  <c r="C156" i="69"/>
  <c r="C157" i="69"/>
  <c r="C152" i="69"/>
  <c r="D153" i="69"/>
  <c r="D154" i="69"/>
  <c r="D155" i="69"/>
  <c r="D156" i="69"/>
  <c r="D157" i="69"/>
  <c r="D152" i="69"/>
  <c r="D147" i="69"/>
  <c r="D148" i="69"/>
  <c r="D149" i="69"/>
  <c r="D150" i="69"/>
  <c r="D151" i="69"/>
  <c r="D146" i="69"/>
  <c r="C141" i="69"/>
  <c r="C142" i="69"/>
  <c r="C143" i="69"/>
  <c r="C144" i="69"/>
  <c r="C145" i="69"/>
  <c r="C140" i="69"/>
  <c r="D141" i="69"/>
  <c r="D142" i="69"/>
  <c r="D143" i="69"/>
  <c r="D144" i="69"/>
  <c r="D145" i="69"/>
  <c r="D140" i="69"/>
  <c r="D135" i="69"/>
  <c r="D136" i="69"/>
  <c r="D137" i="69"/>
  <c r="D138" i="69"/>
  <c r="D139" i="69"/>
  <c r="D134" i="69"/>
  <c r="D129" i="69"/>
  <c r="D130" i="69"/>
  <c r="D131" i="69"/>
  <c r="D132" i="69"/>
  <c r="D133" i="69"/>
  <c r="D128" i="69"/>
  <c r="AD129" i="69"/>
  <c r="AD130" i="69"/>
  <c r="AD131" i="69"/>
  <c r="AD132" i="69"/>
  <c r="AD133" i="69"/>
  <c r="AD134" i="69"/>
  <c r="AD135" i="69"/>
  <c r="AD136" i="69"/>
  <c r="AD137" i="69"/>
  <c r="AD138" i="69"/>
  <c r="AD139" i="69"/>
  <c r="AD140" i="69"/>
  <c r="AD141" i="69"/>
  <c r="AD142" i="69"/>
  <c r="AD143" i="69"/>
  <c r="AD144" i="69"/>
  <c r="AD145" i="69"/>
  <c r="AD146" i="69"/>
  <c r="AD147" i="69"/>
  <c r="AD148" i="69"/>
  <c r="AD149" i="69"/>
  <c r="AD150" i="69"/>
  <c r="AD151" i="69"/>
  <c r="AD152" i="69"/>
  <c r="AD153" i="69"/>
  <c r="AD154" i="69"/>
  <c r="AD155" i="69"/>
  <c r="AD156" i="69"/>
  <c r="AD157" i="69"/>
  <c r="AD158" i="69"/>
  <c r="AD159" i="69"/>
  <c r="AD160" i="69"/>
  <c r="AD161" i="69"/>
  <c r="AD162" i="69"/>
  <c r="AD163" i="69"/>
  <c r="AD164" i="69"/>
  <c r="AD165" i="69"/>
  <c r="AD166" i="69"/>
  <c r="AD167" i="69"/>
  <c r="AD168" i="69"/>
  <c r="AD169" i="69"/>
  <c r="AD170" i="69"/>
  <c r="AD171" i="69"/>
  <c r="AD172" i="69"/>
  <c r="AD173" i="69"/>
  <c r="AD174" i="69"/>
  <c r="AD175" i="69"/>
  <c r="AD176" i="69"/>
  <c r="AD177" i="69"/>
  <c r="AD128" i="69"/>
  <c r="D127" i="69" l="1"/>
  <c r="D126" i="69"/>
  <c r="D125" i="69"/>
  <c r="D124" i="69"/>
  <c r="D123" i="69"/>
  <c r="D122" i="69"/>
  <c r="D121" i="69"/>
  <c r="D120" i="69"/>
  <c r="D113" i="69"/>
  <c r="C113" i="69"/>
  <c r="D112" i="69"/>
  <c r="C112" i="69"/>
  <c r="D111" i="69"/>
  <c r="C111" i="69"/>
  <c r="D110" i="69"/>
  <c r="C110" i="69"/>
  <c r="D109" i="69"/>
  <c r="C109" i="69"/>
  <c r="D108" i="69"/>
  <c r="C108" i="69"/>
  <c r="D107" i="69"/>
  <c r="C107" i="69"/>
  <c r="D106" i="69"/>
  <c r="C106" i="69"/>
  <c r="D105" i="69"/>
  <c r="C105" i="69"/>
  <c r="D104" i="69"/>
  <c r="C104" i="69"/>
  <c r="D103" i="69"/>
  <c r="C103" i="69"/>
  <c r="D102" i="69"/>
  <c r="C102" i="69"/>
  <c r="D101" i="69"/>
  <c r="C101" i="69"/>
  <c r="D100" i="69"/>
  <c r="C100" i="69"/>
  <c r="D99" i="69"/>
  <c r="C99" i="69"/>
  <c r="D98" i="69"/>
  <c r="C98" i="69"/>
  <c r="D97" i="69"/>
  <c r="C97" i="69"/>
  <c r="D96" i="69"/>
  <c r="C96" i="69"/>
  <c r="D95" i="69"/>
  <c r="C95" i="69"/>
  <c r="D94" i="69"/>
  <c r="C94" i="69"/>
  <c r="D93" i="69"/>
  <c r="C93" i="69"/>
  <c r="D92" i="69"/>
  <c r="D91" i="69"/>
  <c r="D90" i="69"/>
  <c r="D89" i="69"/>
  <c r="D88" i="69"/>
  <c r="C88" i="69"/>
  <c r="D87" i="69"/>
  <c r="C87" i="69"/>
  <c r="D86" i="69"/>
  <c r="C86" i="69"/>
  <c r="D85" i="69"/>
  <c r="C85" i="69"/>
  <c r="D84" i="69"/>
  <c r="C84" i="69"/>
  <c r="D83" i="69"/>
  <c r="C83" i="69"/>
  <c r="D82" i="69"/>
  <c r="C82" i="69"/>
  <c r="D81" i="69"/>
  <c r="C81" i="69"/>
  <c r="D80" i="69"/>
  <c r="C80" i="69"/>
  <c r="D79" i="69"/>
  <c r="C79" i="69"/>
  <c r="D78" i="69"/>
  <c r="D77" i="69"/>
  <c r="D76" i="69"/>
  <c r="D75" i="69"/>
  <c r="D50" i="69"/>
  <c r="C50" i="69"/>
  <c r="D49" i="69"/>
  <c r="C49" i="69"/>
  <c r="D48" i="69"/>
  <c r="C48" i="69"/>
  <c r="D47" i="69"/>
  <c r="C47" i="69"/>
  <c r="D46" i="69"/>
  <c r="C46" i="69"/>
  <c r="D45" i="69"/>
  <c r="C45" i="69"/>
  <c r="D44" i="69"/>
  <c r="C44" i="69"/>
  <c r="D43" i="69"/>
  <c r="C43" i="69"/>
  <c r="D42" i="69"/>
  <c r="C42" i="69"/>
  <c r="D41" i="69"/>
  <c r="C41" i="69"/>
  <c r="D40" i="69"/>
  <c r="D39" i="69"/>
  <c r="D38" i="69"/>
  <c r="D37" i="69"/>
  <c r="D36" i="69"/>
  <c r="C36" i="69"/>
  <c r="D35" i="69"/>
  <c r="C35" i="69"/>
  <c r="D34" i="69"/>
  <c r="C34" i="69"/>
  <c r="D33" i="69"/>
  <c r="C33" i="69"/>
  <c r="D32" i="69"/>
  <c r="C32" i="69"/>
  <c r="D31" i="69"/>
  <c r="C31" i="69"/>
  <c r="D30" i="69"/>
  <c r="C30" i="69"/>
  <c r="D29" i="69"/>
  <c r="C29" i="69"/>
  <c r="D28" i="69"/>
  <c r="C28" i="69"/>
  <c r="D27" i="69"/>
  <c r="C27" i="69"/>
  <c r="D26" i="69"/>
  <c r="D25" i="69"/>
  <c r="D24" i="69"/>
  <c r="D23" i="69"/>
  <c r="D22" i="69"/>
  <c r="D21" i="69"/>
  <c r="D20" i="69"/>
  <c r="D19" i="69"/>
  <c r="D18" i="69"/>
  <c r="D17" i="69"/>
  <c r="D16" i="69"/>
  <c r="D15" i="69"/>
  <c r="D14" i="69"/>
  <c r="D13" i="69"/>
  <c r="D12" i="69"/>
  <c r="D11" i="69"/>
  <c r="AD250" i="69"/>
  <c r="AD249" i="69"/>
  <c r="AD248" i="69"/>
  <c r="AD247" i="69"/>
  <c r="AD246" i="69"/>
  <c r="AD245" i="69"/>
  <c r="AD244" i="69"/>
  <c r="AD243" i="69"/>
  <c r="AD242" i="69"/>
  <c r="AD241" i="69"/>
  <c r="AD240" i="69"/>
  <c r="AD239" i="69"/>
  <c r="AD238" i="69"/>
  <c r="AD237" i="69"/>
  <c r="AD236" i="69"/>
  <c r="AD235" i="69"/>
  <c r="AD234" i="69"/>
  <c r="AD233" i="69"/>
  <c r="AD232" i="69"/>
  <c r="AD231" i="69"/>
  <c r="AD230" i="69"/>
  <c r="AD229" i="69"/>
  <c r="AD228" i="69"/>
  <c r="AD227" i="69"/>
  <c r="AD226" i="69"/>
  <c r="AD225" i="69"/>
  <c r="AD224" i="69"/>
  <c r="AD223" i="69"/>
  <c r="AD222" i="69"/>
  <c r="AD221" i="69"/>
  <c r="AD220" i="69"/>
  <c r="AD219" i="69"/>
  <c r="AD218" i="69"/>
  <c r="AD217" i="69"/>
  <c r="AD216" i="69"/>
  <c r="AD215" i="69"/>
  <c r="AD214" i="69"/>
  <c r="AD213" i="69"/>
  <c r="AD212" i="69"/>
  <c r="AD127" i="69"/>
  <c r="AD126" i="69"/>
  <c r="AD125" i="69"/>
  <c r="AD124" i="69"/>
  <c r="AD123" i="69"/>
  <c r="AD122" i="69"/>
  <c r="AD121" i="69"/>
  <c r="AD120" i="69"/>
  <c r="AD113" i="69"/>
  <c r="AD112" i="69"/>
  <c r="AD111" i="69"/>
  <c r="AD110" i="69"/>
  <c r="AD109" i="69"/>
  <c r="AD108" i="69"/>
  <c r="AD107" i="69"/>
  <c r="AD106" i="69"/>
  <c r="AD105" i="69"/>
  <c r="AD104" i="69"/>
  <c r="AD103" i="69"/>
  <c r="AD102" i="69"/>
  <c r="AD101" i="69"/>
  <c r="AD100" i="69"/>
  <c r="AD99" i="69"/>
  <c r="AD98" i="69"/>
  <c r="AD97" i="69"/>
  <c r="AD96" i="69"/>
  <c r="AD95" i="69"/>
  <c r="AD94" i="69"/>
  <c r="AD93" i="69"/>
  <c r="AD92" i="69"/>
  <c r="AD91" i="69"/>
  <c r="AD90" i="69"/>
  <c r="AD89" i="69"/>
  <c r="AD88" i="69"/>
  <c r="AD87" i="69"/>
  <c r="AD86" i="69"/>
  <c r="AD85" i="69"/>
  <c r="AD84" i="69"/>
  <c r="AD83" i="69"/>
  <c r="AD82" i="69"/>
  <c r="AD81" i="69"/>
  <c r="AD80" i="69"/>
  <c r="AD79" i="69"/>
  <c r="AD78" i="69"/>
  <c r="AD77" i="69"/>
  <c r="AD76" i="69"/>
  <c r="AD75" i="69"/>
  <c r="AD64" i="69"/>
  <c r="AD63" i="69"/>
  <c r="AD62" i="69"/>
  <c r="AD61" i="69"/>
  <c r="AD60" i="69"/>
  <c r="AD59" i="69"/>
  <c r="AD58" i="69"/>
  <c r="AD57" i="69"/>
  <c r="AD56" i="69"/>
  <c r="AD55" i="69"/>
  <c r="AD54" i="69"/>
  <c r="AD53" i="69"/>
  <c r="AD52" i="69"/>
  <c r="AD51" i="69"/>
  <c r="AD50" i="69"/>
  <c r="AD49" i="69"/>
  <c r="AD48" i="69"/>
  <c r="AD47" i="69"/>
  <c r="AD46" i="69"/>
  <c r="AD45" i="69"/>
  <c r="AD44" i="69"/>
  <c r="AD43" i="69"/>
  <c r="AD42" i="69"/>
  <c r="AD41" i="69"/>
  <c r="AD40" i="69"/>
  <c r="AD39" i="69"/>
  <c r="AD38" i="69"/>
  <c r="AD37" i="69"/>
  <c r="AD36" i="69"/>
  <c r="AD35" i="69"/>
  <c r="AD34" i="69"/>
  <c r="AD33" i="69"/>
  <c r="AD32" i="69"/>
  <c r="AD31" i="69"/>
  <c r="AD30" i="69"/>
  <c r="AD29" i="69"/>
  <c r="AD28" i="69"/>
  <c r="AD27" i="69"/>
  <c r="AD26" i="69"/>
  <c r="AD25" i="69"/>
  <c r="AD24" i="69"/>
  <c r="AD23" i="69"/>
  <c r="AD22" i="69"/>
  <c r="AD21" i="69"/>
  <c r="AD20" i="69"/>
  <c r="AD19" i="69"/>
  <c r="AD18" i="69"/>
  <c r="AD17" i="69"/>
  <c r="AD16" i="69"/>
  <c r="AD15" i="69"/>
  <c r="AD14" i="69"/>
  <c r="AD13" i="69"/>
  <c r="AD12" i="69"/>
  <c r="AD11" i="69"/>
  <c r="AD7" i="69"/>
  <c r="AD4" i="69"/>
  <c r="D71" i="42" l="1"/>
  <c r="I71" i="42"/>
  <c r="G71" i="42"/>
  <c r="H71" i="42"/>
  <c r="F71" i="42"/>
  <c r="E71" i="42"/>
  <c r="AK34" i="40"/>
  <c r="M71" i="42" l="1"/>
  <c r="L71" i="42"/>
  <c r="K71" i="42"/>
  <c r="CE173" i="43"/>
  <c r="I195" i="43"/>
  <c r="CE194" i="43" s="1"/>
  <c r="W55" i="43"/>
  <c r="W88" i="43" s="1"/>
  <c r="W126" i="43" s="1"/>
  <c r="W147" i="43" s="1"/>
  <c r="S172" i="43" s="1"/>
  <c r="W22" i="43"/>
  <c r="L71" i="50"/>
  <c r="N71" i="50" l="1"/>
  <c r="P71" i="50"/>
  <c r="B126" i="55"/>
  <c r="B115" i="55" s="1"/>
  <c r="C126" i="55"/>
  <c r="B127" i="55"/>
  <c r="B116" i="55" s="1"/>
  <c r="C127" i="55"/>
  <c r="B128" i="55"/>
  <c r="B117" i="55" s="1"/>
  <c r="C128" i="55"/>
  <c r="B129" i="55"/>
  <c r="B118" i="55" s="1"/>
  <c r="C129" i="55"/>
  <c r="B130" i="55"/>
  <c r="B119" i="55" s="1"/>
  <c r="C130" i="55"/>
  <c r="B131" i="55"/>
  <c r="B120" i="55" s="1"/>
  <c r="C131" i="55"/>
  <c r="H126" i="55"/>
  <c r="F126" i="55" s="1"/>
  <c r="H127" i="55"/>
  <c r="H128" i="55"/>
  <c r="F129" i="55"/>
  <c r="H129" i="55"/>
  <c r="F130" i="55"/>
  <c r="H130" i="55"/>
  <c r="F131" i="55"/>
  <c r="H131" i="55"/>
  <c r="BS70" i="50"/>
  <c r="BR70" i="50"/>
  <c r="BS69" i="50"/>
  <c r="BR69" i="50"/>
  <c r="BS68" i="50"/>
  <c r="BR68" i="50"/>
  <c r="BS67" i="50"/>
  <c r="BR67" i="50"/>
  <c r="BS66" i="50"/>
  <c r="BR66" i="50"/>
  <c r="BS65" i="50"/>
  <c r="BR65" i="50"/>
  <c r="BR58" i="50"/>
  <c r="D113" i="55"/>
  <c r="D115" i="55"/>
  <c r="E115" i="55"/>
  <c r="F115" i="55"/>
  <c r="G115" i="55"/>
  <c r="H115" i="55"/>
  <c r="D116" i="55"/>
  <c r="E116" i="55"/>
  <c r="F116" i="55"/>
  <c r="G116" i="55"/>
  <c r="H116" i="55"/>
  <c r="D117" i="55"/>
  <c r="E117" i="55"/>
  <c r="F117" i="55"/>
  <c r="G117" i="55"/>
  <c r="H117" i="55"/>
  <c r="D118" i="55"/>
  <c r="E118" i="55"/>
  <c r="F118" i="55"/>
  <c r="G118" i="55"/>
  <c r="H118" i="55"/>
  <c r="D119" i="55"/>
  <c r="E119" i="55"/>
  <c r="F119" i="55"/>
  <c r="G119" i="55"/>
  <c r="H119" i="55"/>
  <c r="D120" i="55"/>
  <c r="E120" i="55"/>
  <c r="F120" i="55"/>
  <c r="G120" i="55"/>
  <c r="H120" i="55"/>
  <c r="E7" i="63"/>
  <c r="L63" i="50"/>
  <c r="B125" i="55"/>
  <c r="CE202" i="43"/>
  <c r="CE203" i="43"/>
  <c r="CE204" i="43"/>
  <c r="E63" i="50"/>
  <c r="T194" i="43"/>
  <c r="CM193" i="43" s="1"/>
  <c r="CA61" i="50" s="1"/>
  <c r="M194" i="43"/>
  <c r="C192" i="43"/>
  <c r="C125" i="55" l="1"/>
  <c r="BS64" i="50"/>
  <c r="L72" i="50"/>
  <c r="C27" i="68"/>
  <c r="C79" i="68"/>
  <c r="M12" i="43"/>
  <c r="Y283" i="47"/>
  <c r="K86" i="43" a="1"/>
  <c r="K86" i="43" s="1"/>
  <c r="L165" i="47"/>
  <c r="AF358" i="47"/>
  <c r="AF357" i="47"/>
  <c r="X358" i="47"/>
  <c r="AA31" i="43"/>
  <c r="AA97" i="43"/>
  <c r="AA64" i="43"/>
  <c r="S55" i="43"/>
  <c r="S88" i="43" s="1"/>
  <c r="S126" i="43" s="1"/>
  <c r="S147" i="43" s="1"/>
  <c r="M55" i="43"/>
  <c r="M88" i="43" s="1"/>
  <c r="M126" i="43" s="1"/>
  <c r="I128" i="57" l="1"/>
  <c r="H128" i="57"/>
  <c r="E65" i="49"/>
  <c r="F65" i="49"/>
  <c r="H65" i="49"/>
  <c r="J65" i="49"/>
  <c r="K65" i="49"/>
  <c r="L65" i="49"/>
  <c r="M65" i="49"/>
  <c r="N65" i="49"/>
  <c r="X57" i="67"/>
  <c r="C95" i="68"/>
  <c r="BU56" i="67"/>
  <c r="D94" i="68" s="1"/>
  <c r="CH42" i="67"/>
  <c r="D79" i="68" s="1"/>
  <c r="CE48" i="67"/>
  <c r="G79" i="68" l="1"/>
  <c r="K79" i="68" s="1"/>
  <c r="N46" i="67"/>
  <c r="N47" i="67"/>
  <c r="N48" i="67"/>
  <c r="N45" i="67"/>
  <c r="N49" i="67"/>
  <c r="K82" i="68" l="1"/>
  <c r="M84" i="68"/>
  <c r="K85" i="68"/>
  <c r="L86" i="68"/>
  <c r="M81" i="68"/>
  <c r="K84" i="68"/>
  <c r="M86" i="68"/>
  <c r="M80" i="68"/>
  <c r="L84" i="68"/>
  <c r="K83" i="68"/>
  <c r="M85" i="68"/>
  <c r="L82" i="68"/>
  <c r="K80" i="68"/>
  <c r="M82" i="68"/>
  <c r="L80" i="68"/>
  <c r="L85" i="68"/>
  <c r="L79" i="68"/>
  <c r="L83" i="68"/>
  <c r="M79" i="68"/>
  <c r="K86" i="68"/>
  <c r="U79" i="68"/>
  <c r="K81" i="68"/>
  <c r="L81" i="68"/>
  <c r="M83" i="68"/>
  <c r="CI48" i="67"/>
  <c r="H59" i="68"/>
  <c r="H60" i="68"/>
  <c r="H61" i="68"/>
  <c r="H62" i="68"/>
  <c r="H63" i="68"/>
  <c r="H58" i="68"/>
  <c r="G59" i="68"/>
  <c r="G60" i="68"/>
  <c r="G61" i="68"/>
  <c r="G62" i="68"/>
  <c r="G63" i="68"/>
  <c r="G58" i="68"/>
  <c r="F59" i="68"/>
  <c r="F60" i="68"/>
  <c r="F61" i="68"/>
  <c r="F62" i="68"/>
  <c r="F63" i="68"/>
  <c r="F58" i="68"/>
  <c r="E59" i="68"/>
  <c r="E60" i="68"/>
  <c r="E61" i="68"/>
  <c r="E62" i="68"/>
  <c r="E63" i="68"/>
  <c r="E58" i="68"/>
  <c r="D59" i="68"/>
  <c r="D60" i="68"/>
  <c r="D61" i="68"/>
  <c r="D62" i="68"/>
  <c r="D63" i="68"/>
  <c r="D58" i="68"/>
  <c r="C59" i="68"/>
  <c r="C69" i="68" s="1"/>
  <c r="C60" i="68"/>
  <c r="C70" i="68" s="1"/>
  <c r="C61" i="68"/>
  <c r="C71" i="68" s="1"/>
  <c r="C62" i="68"/>
  <c r="C63" i="68"/>
  <c r="C73" i="68" s="1"/>
  <c r="C58" i="68"/>
  <c r="B59" i="68"/>
  <c r="B60" i="68"/>
  <c r="B70" i="68" s="1"/>
  <c r="B61" i="68"/>
  <c r="B62" i="68"/>
  <c r="B63" i="68"/>
  <c r="B58" i="68"/>
  <c r="N44" i="67"/>
  <c r="I103" i="49"/>
  <c r="G93" i="68"/>
  <c r="F93" i="68"/>
  <c r="G78" i="68"/>
  <c r="F78" i="68"/>
  <c r="C67" i="68"/>
  <c r="B67" i="68"/>
  <c r="H139" i="68"/>
  <c r="G139" i="68"/>
  <c r="F139" i="68"/>
  <c r="E139" i="68"/>
  <c r="D139" i="68"/>
  <c r="H138" i="68"/>
  <c r="G138" i="68"/>
  <c r="F138" i="68"/>
  <c r="E138" i="68"/>
  <c r="D138" i="68"/>
  <c r="H137" i="68"/>
  <c r="G137" i="68"/>
  <c r="F137" i="68"/>
  <c r="E137" i="68"/>
  <c r="D137" i="68"/>
  <c r="H136" i="68"/>
  <c r="G136" i="68"/>
  <c r="F136" i="68"/>
  <c r="E136" i="68"/>
  <c r="D136" i="68"/>
  <c r="H135" i="68"/>
  <c r="G135" i="68"/>
  <c r="F135" i="68"/>
  <c r="E135" i="68"/>
  <c r="D135" i="68"/>
  <c r="H134" i="68"/>
  <c r="G134" i="68"/>
  <c r="F134" i="68"/>
  <c r="E134" i="68"/>
  <c r="D134" i="68"/>
  <c r="H133" i="68"/>
  <c r="G133" i="68"/>
  <c r="F133" i="68"/>
  <c r="E133" i="68"/>
  <c r="D133" i="68"/>
  <c r="H128" i="68"/>
  <c r="G128" i="68"/>
  <c r="F128" i="68"/>
  <c r="E128" i="68"/>
  <c r="D128" i="68"/>
  <c r="H127" i="68"/>
  <c r="G127" i="68"/>
  <c r="F127" i="68"/>
  <c r="E127" i="68"/>
  <c r="D127" i="68"/>
  <c r="H126" i="68"/>
  <c r="G126" i="68"/>
  <c r="F126" i="68"/>
  <c r="E126" i="68"/>
  <c r="D126" i="68"/>
  <c r="H125" i="68"/>
  <c r="G125" i="68"/>
  <c r="F125" i="68"/>
  <c r="E125" i="68"/>
  <c r="D125" i="68"/>
  <c r="H124" i="68"/>
  <c r="G124" i="68"/>
  <c r="F124" i="68"/>
  <c r="E124" i="68"/>
  <c r="D124" i="68"/>
  <c r="H123" i="68"/>
  <c r="G123" i="68"/>
  <c r="F123" i="68"/>
  <c r="E123" i="68"/>
  <c r="D123" i="68"/>
  <c r="CA70" i="50"/>
  <c r="G131" i="55" s="1"/>
  <c r="O116" i="68"/>
  <c r="BT70" i="50" s="1"/>
  <c r="BV70" i="50" s="1"/>
  <c r="BX70" i="50" s="1"/>
  <c r="CA69" i="50"/>
  <c r="G130" i="55" s="1"/>
  <c r="CA68" i="50"/>
  <c r="G129" i="55" s="1"/>
  <c r="CA65" i="50"/>
  <c r="G126" i="55" s="1"/>
  <c r="C40" i="68"/>
  <c r="G39" i="68"/>
  <c r="G38" i="68"/>
  <c r="F38" i="68"/>
  <c r="G26" i="68"/>
  <c r="F26" i="68"/>
  <c r="C15" i="68"/>
  <c r="B15" i="68"/>
  <c r="H11" i="68"/>
  <c r="G11" i="68"/>
  <c r="F11" i="68"/>
  <c r="E11" i="68"/>
  <c r="D11" i="68"/>
  <c r="C11" i="68"/>
  <c r="C21" i="68" s="1"/>
  <c r="B11" i="68"/>
  <c r="B21" i="68" s="1"/>
  <c r="AF55" i="68"/>
  <c r="H10" i="68"/>
  <c r="G10" i="68"/>
  <c r="F10" i="68"/>
  <c r="E10" i="68"/>
  <c r="D10" i="68"/>
  <c r="C10" i="68"/>
  <c r="C20" i="68" s="1"/>
  <c r="B10" i="68"/>
  <c r="H9" i="68"/>
  <c r="G9" i="68"/>
  <c r="F9" i="68"/>
  <c r="E9" i="68"/>
  <c r="D9" i="68"/>
  <c r="C9" i="68"/>
  <c r="C19" i="68" s="1"/>
  <c r="B9" i="68"/>
  <c r="B19" i="68" s="1"/>
  <c r="H8" i="68"/>
  <c r="G8" i="68"/>
  <c r="F8" i="68"/>
  <c r="E8" i="68"/>
  <c r="D8" i="68"/>
  <c r="C8" i="68"/>
  <c r="C18" i="68" s="1"/>
  <c r="B8" i="68"/>
  <c r="B18" i="68" s="1"/>
  <c r="H7" i="68"/>
  <c r="G7" i="68"/>
  <c r="F7" i="68"/>
  <c r="E7" i="68"/>
  <c r="D7" i="68"/>
  <c r="C7" i="68"/>
  <c r="C17" i="68" s="1"/>
  <c r="B7" i="68"/>
  <c r="B17" i="68" s="1"/>
  <c r="H6" i="68"/>
  <c r="G6" i="68"/>
  <c r="F6" i="68"/>
  <c r="E6" i="68"/>
  <c r="D6" i="68"/>
  <c r="C6" i="68"/>
  <c r="C16" i="68" s="1"/>
  <c r="B6" i="68"/>
  <c r="Y30" i="56"/>
  <c r="B30" i="56" s="1"/>
  <c r="B8" i="56"/>
  <c r="C8" i="56"/>
  <c r="D8" i="56"/>
  <c r="E8" i="56"/>
  <c r="F8" i="56"/>
  <c r="G8" i="56"/>
  <c r="H8" i="56"/>
  <c r="I8" i="56"/>
  <c r="J8" i="56"/>
  <c r="B9" i="56"/>
  <c r="C9" i="56"/>
  <c r="D9" i="56"/>
  <c r="E9" i="56"/>
  <c r="F9" i="56"/>
  <c r="G9" i="56"/>
  <c r="H9" i="56"/>
  <c r="I9" i="56"/>
  <c r="J9" i="56"/>
  <c r="B10" i="56"/>
  <c r="C10" i="56"/>
  <c r="D10" i="56"/>
  <c r="E10" i="56"/>
  <c r="F10" i="56"/>
  <c r="G10" i="56"/>
  <c r="H10" i="56"/>
  <c r="I10" i="56"/>
  <c r="J10" i="56"/>
  <c r="B11" i="56"/>
  <c r="C11" i="56"/>
  <c r="D11" i="56"/>
  <c r="E11" i="56"/>
  <c r="F11" i="56"/>
  <c r="G11" i="56"/>
  <c r="H11" i="56"/>
  <c r="I11" i="56"/>
  <c r="J11" i="56"/>
  <c r="B12" i="56"/>
  <c r="C12" i="56"/>
  <c r="D12" i="56"/>
  <c r="E12" i="56"/>
  <c r="F12" i="56"/>
  <c r="G12" i="56"/>
  <c r="H12" i="56"/>
  <c r="I12" i="56"/>
  <c r="J12" i="56"/>
  <c r="B13" i="56"/>
  <c r="C13" i="56"/>
  <c r="D13" i="56"/>
  <c r="E13" i="56"/>
  <c r="F13" i="56"/>
  <c r="G13" i="56"/>
  <c r="H13" i="56"/>
  <c r="I13" i="56"/>
  <c r="J13" i="56"/>
  <c r="B14" i="56"/>
  <c r="C14" i="56"/>
  <c r="D14" i="56"/>
  <c r="E14" i="56"/>
  <c r="F14" i="56"/>
  <c r="G14" i="56"/>
  <c r="H14" i="56"/>
  <c r="I14" i="56"/>
  <c r="J14" i="56"/>
  <c r="B15" i="56"/>
  <c r="C15" i="56"/>
  <c r="D15" i="56"/>
  <c r="E15" i="56"/>
  <c r="F15" i="56"/>
  <c r="G15" i="56"/>
  <c r="H15" i="56"/>
  <c r="I15" i="56"/>
  <c r="J15" i="56"/>
  <c r="B16" i="56"/>
  <c r="C16" i="56"/>
  <c r="D16" i="56"/>
  <c r="E16" i="56"/>
  <c r="F16" i="56"/>
  <c r="G16" i="56"/>
  <c r="H16" i="56"/>
  <c r="I16" i="56"/>
  <c r="J16" i="56"/>
  <c r="B17" i="56"/>
  <c r="C17" i="56"/>
  <c r="D17" i="56"/>
  <c r="E17" i="56"/>
  <c r="F17" i="56"/>
  <c r="G17" i="56"/>
  <c r="H17" i="56"/>
  <c r="I17" i="56"/>
  <c r="J17" i="56"/>
  <c r="B18" i="56"/>
  <c r="C18" i="56"/>
  <c r="D18" i="56"/>
  <c r="E18" i="56"/>
  <c r="F18" i="56"/>
  <c r="G18" i="56"/>
  <c r="H18" i="56"/>
  <c r="I18" i="56"/>
  <c r="J18" i="56"/>
  <c r="B19" i="56"/>
  <c r="C19" i="56"/>
  <c r="D19" i="56"/>
  <c r="E19" i="56"/>
  <c r="F19" i="56"/>
  <c r="G19" i="56"/>
  <c r="H19" i="56"/>
  <c r="I19" i="56"/>
  <c r="J19" i="56"/>
  <c r="B20" i="56"/>
  <c r="C20" i="56"/>
  <c r="D20" i="56"/>
  <c r="E20" i="56"/>
  <c r="F20" i="56"/>
  <c r="G20" i="56"/>
  <c r="H20" i="56"/>
  <c r="I20" i="56"/>
  <c r="J20" i="56"/>
  <c r="B21" i="56"/>
  <c r="C21" i="56"/>
  <c r="D21" i="56"/>
  <c r="E21" i="56"/>
  <c r="F21" i="56"/>
  <c r="G21" i="56"/>
  <c r="H21" i="56"/>
  <c r="I21" i="56"/>
  <c r="J21" i="56"/>
  <c r="B22" i="56"/>
  <c r="C22" i="56"/>
  <c r="D22" i="56"/>
  <c r="E22" i="56"/>
  <c r="F22" i="56"/>
  <c r="G22" i="56"/>
  <c r="H22" i="56"/>
  <c r="I22" i="56"/>
  <c r="J22" i="56"/>
  <c r="B23" i="56"/>
  <c r="C23" i="56"/>
  <c r="D23" i="56"/>
  <c r="E23" i="56"/>
  <c r="F23" i="56"/>
  <c r="G23" i="56"/>
  <c r="H23" i="56"/>
  <c r="I23" i="56"/>
  <c r="J23" i="56"/>
  <c r="B24" i="56"/>
  <c r="C24" i="56"/>
  <c r="D24" i="56"/>
  <c r="E24" i="56"/>
  <c r="F24" i="56"/>
  <c r="G24" i="56"/>
  <c r="H24" i="56"/>
  <c r="I24" i="56"/>
  <c r="J24" i="56"/>
  <c r="B25" i="56"/>
  <c r="C25" i="56"/>
  <c r="D25" i="56"/>
  <c r="E25" i="56"/>
  <c r="F25" i="56"/>
  <c r="G25" i="56"/>
  <c r="H25" i="56"/>
  <c r="I25" i="56"/>
  <c r="J25" i="56"/>
  <c r="B26" i="56"/>
  <c r="C26" i="56"/>
  <c r="D26" i="56"/>
  <c r="E26" i="56"/>
  <c r="F26" i="56"/>
  <c r="G26" i="56"/>
  <c r="H26" i="56"/>
  <c r="I26" i="56"/>
  <c r="J26" i="56"/>
  <c r="B27" i="56"/>
  <c r="C27" i="56"/>
  <c r="D27" i="56"/>
  <c r="E27" i="56"/>
  <c r="F27" i="56"/>
  <c r="G27" i="56"/>
  <c r="H27" i="56"/>
  <c r="I27" i="56"/>
  <c r="J27" i="56"/>
  <c r="B28" i="56"/>
  <c r="C28" i="56"/>
  <c r="D28" i="56"/>
  <c r="E28" i="56"/>
  <c r="F28" i="56"/>
  <c r="G28" i="56"/>
  <c r="H28" i="56"/>
  <c r="I28" i="56"/>
  <c r="J28" i="56"/>
  <c r="B29" i="56"/>
  <c r="C29" i="56"/>
  <c r="D29" i="56"/>
  <c r="E29" i="56"/>
  <c r="F29" i="56"/>
  <c r="G29" i="56"/>
  <c r="H29" i="56"/>
  <c r="I29" i="56"/>
  <c r="J29" i="56"/>
  <c r="J7" i="56"/>
  <c r="I7" i="56"/>
  <c r="H7" i="56"/>
  <c r="G7" i="56"/>
  <c r="F7" i="56"/>
  <c r="E7" i="56"/>
  <c r="D7" i="56"/>
  <c r="D30" i="56"/>
  <c r="F30" i="56"/>
  <c r="H30" i="56"/>
  <c r="J30" i="56"/>
  <c r="C7" i="56"/>
  <c r="B7" i="56"/>
  <c r="AP8" i="56"/>
  <c r="AQ8" i="56" s="1"/>
  <c r="K8" i="56" s="1"/>
  <c r="AP9" i="56"/>
  <c r="AQ9" i="56" s="1"/>
  <c r="K9" i="56" s="1"/>
  <c r="AP10" i="56"/>
  <c r="AQ10" i="56" s="1"/>
  <c r="K10" i="56" s="1"/>
  <c r="AP11" i="56"/>
  <c r="AQ11" i="56" s="1"/>
  <c r="K11" i="56" s="1"/>
  <c r="AP12" i="56"/>
  <c r="AQ12" i="56" s="1"/>
  <c r="K12" i="56" s="1"/>
  <c r="AP13" i="56"/>
  <c r="AQ13" i="56" s="1"/>
  <c r="K13" i="56" s="1"/>
  <c r="AP14" i="56"/>
  <c r="AQ14" i="56" s="1"/>
  <c r="K14" i="56" s="1"/>
  <c r="AP15" i="56"/>
  <c r="AQ15" i="56" s="1"/>
  <c r="K15" i="56" s="1"/>
  <c r="AP16" i="56"/>
  <c r="AQ16" i="56" s="1"/>
  <c r="K16" i="56" s="1"/>
  <c r="AP17" i="56"/>
  <c r="AQ17" i="56" s="1"/>
  <c r="K17" i="56" s="1"/>
  <c r="AP18" i="56"/>
  <c r="AQ18" i="56" s="1"/>
  <c r="K18" i="56" s="1"/>
  <c r="AP19" i="56"/>
  <c r="AQ19" i="56" s="1"/>
  <c r="K19" i="56" s="1"/>
  <c r="AP20" i="56"/>
  <c r="AQ20" i="56" s="1"/>
  <c r="K20" i="56" s="1"/>
  <c r="AP21" i="56"/>
  <c r="AQ21" i="56" s="1"/>
  <c r="K21" i="56" s="1"/>
  <c r="AP22" i="56"/>
  <c r="AQ22" i="56" s="1"/>
  <c r="K22" i="56" s="1"/>
  <c r="AP23" i="56"/>
  <c r="AQ23" i="56" s="1"/>
  <c r="K23" i="56" s="1"/>
  <c r="AP24" i="56"/>
  <c r="AQ24" i="56" s="1"/>
  <c r="K24" i="56" s="1"/>
  <c r="AP25" i="56"/>
  <c r="AQ25" i="56" s="1"/>
  <c r="K25" i="56" s="1"/>
  <c r="AP26" i="56"/>
  <c r="AQ26" i="56" s="1"/>
  <c r="K26" i="56" s="1"/>
  <c r="AP27" i="56"/>
  <c r="AQ27" i="56" s="1"/>
  <c r="K27" i="56" s="1"/>
  <c r="AP28" i="56"/>
  <c r="AQ28" i="56" s="1"/>
  <c r="K28" i="56" s="1"/>
  <c r="AP29" i="56"/>
  <c r="AQ29" i="56" s="1"/>
  <c r="K29" i="56" s="1"/>
  <c r="AP7" i="56"/>
  <c r="AQ7" i="56" s="1"/>
  <c r="K7" i="56" s="1"/>
  <c r="AM30" i="56"/>
  <c r="AK30" i="56"/>
  <c r="AI30" i="56"/>
  <c r="K30" i="56" s="1"/>
  <c r="AG30" i="56"/>
  <c r="I30" i="56" s="1"/>
  <c r="AE30" i="56"/>
  <c r="G30" i="56" s="1"/>
  <c r="AC30" i="56"/>
  <c r="E30" i="56" s="1"/>
  <c r="AA30" i="56"/>
  <c r="C30" i="56" s="1"/>
  <c r="I38" i="56"/>
  <c r="I37" i="56"/>
  <c r="BV55" i="67"/>
  <c r="CE55" i="67" s="1"/>
  <c r="BU55" i="67"/>
  <c r="CC55" i="67" s="1"/>
  <c r="AB57" i="67"/>
  <c r="Z57" i="67"/>
  <c r="CF47" i="67"/>
  <c r="CE47" i="67"/>
  <c r="AB53" i="67"/>
  <c r="Z53" i="67"/>
  <c r="BR37" i="67"/>
  <c r="AB81" i="67"/>
  <c r="BR79" i="67"/>
  <c r="E116" i="68" s="1"/>
  <c r="BR78" i="67"/>
  <c r="E115" i="68" s="1"/>
  <c r="BR77" i="67"/>
  <c r="E114" i="68" s="1"/>
  <c r="BR76" i="67"/>
  <c r="E113" i="68" s="1"/>
  <c r="BR75" i="67"/>
  <c r="E112" i="68" s="1"/>
  <c r="BR74" i="67"/>
  <c r="E111" i="68" s="1"/>
  <c r="BS73" i="67"/>
  <c r="BX73" i="67" s="1"/>
  <c r="BR73" i="67"/>
  <c r="BW73" i="67" s="1"/>
  <c r="R80" i="67"/>
  <c r="P80" i="67"/>
  <c r="N80" i="67"/>
  <c r="BW79" i="67"/>
  <c r="H116" i="68" s="1"/>
  <c r="BW78" i="67"/>
  <c r="H115" i="68" s="1"/>
  <c r="BW77" i="67"/>
  <c r="H114" i="68" s="1"/>
  <c r="BW76" i="67"/>
  <c r="H113" i="68" s="1"/>
  <c r="BW75" i="67"/>
  <c r="H112" i="68" s="1"/>
  <c r="BW74" i="67"/>
  <c r="H111" i="68" s="1"/>
  <c r="AE72" i="67"/>
  <c r="BR67" i="67"/>
  <c r="C32" i="67"/>
  <c r="C83" i="67" s="1"/>
  <c r="BU25" i="67"/>
  <c r="D39" i="68" s="1"/>
  <c r="BV24" i="67"/>
  <c r="CE24" i="67" s="1"/>
  <c r="BU24" i="67"/>
  <c r="CC24" i="67" s="1"/>
  <c r="AB26" i="67"/>
  <c r="Z26" i="67"/>
  <c r="X26" i="67"/>
  <c r="CE17" i="67"/>
  <c r="G27" i="68" s="1"/>
  <c r="CH11" i="67"/>
  <c r="D27" i="68" s="1"/>
  <c r="CF16" i="67"/>
  <c r="CE16" i="67"/>
  <c r="AB22" i="67"/>
  <c r="Z22" i="67"/>
  <c r="X22" i="67"/>
  <c r="L12" i="67"/>
  <c r="L25" i="67" s="1"/>
  <c r="J12" i="67"/>
  <c r="H12" i="67"/>
  <c r="R12" i="67" s="1"/>
  <c r="AI11" i="67"/>
  <c r="AI72" i="67" s="1"/>
  <c r="AE11" i="67"/>
  <c r="AE42" i="67" s="1"/>
  <c r="BR6" i="67"/>
  <c r="I94" i="68" l="1"/>
  <c r="L32" i="68"/>
  <c r="M28" i="68"/>
  <c r="K28" i="68"/>
  <c r="L29" i="68"/>
  <c r="M29" i="68"/>
  <c r="K29" i="68"/>
  <c r="K27" i="68"/>
  <c r="L31" i="68"/>
  <c r="M30" i="68"/>
  <c r="K30" i="68"/>
  <c r="K32" i="68"/>
  <c r="M31" i="68"/>
  <c r="K31" i="68"/>
  <c r="M32" i="68"/>
  <c r="L27" i="68"/>
  <c r="L30" i="68"/>
  <c r="M27" i="68"/>
  <c r="L28" i="68"/>
  <c r="L95" i="68"/>
  <c r="L96" i="68"/>
  <c r="L99" i="68"/>
  <c r="L97" i="68"/>
  <c r="L98" i="68"/>
  <c r="M95" i="68"/>
  <c r="K96" i="68"/>
  <c r="M97" i="68"/>
  <c r="K98" i="68"/>
  <c r="M94" i="68"/>
  <c r="L94" i="68"/>
  <c r="M96" i="68"/>
  <c r="K97" i="68"/>
  <c r="K99" i="68"/>
  <c r="K95" i="68"/>
  <c r="M98" i="68"/>
  <c r="M99" i="68"/>
  <c r="K94" i="68"/>
  <c r="I39" i="68"/>
  <c r="L58" i="68"/>
  <c r="V44" i="67" s="1"/>
  <c r="L63" i="68"/>
  <c r="V49" i="67" s="1"/>
  <c r="K63" i="68"/>
  <c r="P49" i="67" s="1"/>
  <c r="K59" i="68"/>
  <c r="P45" i="67" s="1"/>
  <c r="L59" i="68"/>
  <c r="V45" i="67" s="1"/>
  <c r="K62" i="68"/>
  <c r="P48" i="67" s="1"/>
  <c r="L62" i="68"/>
  <c r="V48" i="67" s="1"/>
  <c r="L61" i="68"/>
  <c r="V47" i="67" s="1"/>
  <c r="K61" i="68"/>
  <c r="P47" i="67" s="1"/>
  <c r="L60" i="68"/>
  <c r="V46" i="67" s="1"/>
  <c r="K60" i="68"/>
  <c r="P46" i="67" s="1"/>
  <c r="K58" i="68"/>
  <c r="P44" i="67" s="1"/>
  <c r="B68" i="68"/>
  <c r="N18" i="67"/>
  <c r="N15" i="67"/>
  <c r="N14" i="67"/>
  <c r="N17" i="67"/>
  <c r="N13" i="67"/>
  <c r="N16" i="67"/>
  <c r="H43" i="67"/>
  <c r="J43" i="67"/>
  <c r="J56" i="67" s="1"/>
  <c r="AI42" i="67"/>
  <c r="L43" i="67"/>
  <c r="AB52" i="67" s="1"/>
  <c r="C63" i="67"/>
  <c r="K138" i="68"/>
  <c r="L137" i="68"/>
  <c r="B72" i="68"/>
  <c r="B73" i="68"/>
  <c r="C68" i="68"/>
  <c r="C72" i="68"/>
  <c r="B69" i="68"/>
  <c r="B71" i="68"/>
  <c r="K136" i="68"/>
  <c r="L10" i="68"/>
  <c r="V17" i="67" s="1"/>
  <c r="K7" i="68"/>
  <c r="M138" i="68"/>
  <c r="O115" i="68"/>
  <c r="BT69" i="50" s="1"/>
  <c r="BV69" i="50" s="1"/>
  <c r="BX69" i="50" s="1"/>
  <c r="M134" i="68"/>
  <c r="L6" i="68"/>
  <c r="V13" i="67" s="1"/>
  <c r="K8" i="68"/>
  <c r="L9" i="68"/>
  <c r="V16" i="67" s="1"/>
  <c r="K11" i="68"/>
  <c r="B16" i="68"/>
  <c r="B20" i="68"/>
  <c r="K134" i="68"/>
  <c r="L135" i="68"/>
  <c r="M139" i="68"/>
  <c r="L8" i="68"/>
  <c r="V15" i="67" s="1"/>
  <c r="L11" i="68"/>
  <c r="V18" i="67" s="1"/>
  <c r="O114" i="68"/>
  <c r="BT68" i="50" s="1"/>
  <c r="BV68" i="50" s="1"/>
  <c r="BX68" i="50" s="1"/>
  <c r="L134" i="68"/>
  <c r="M136" i="68"/>
  <c r="M137" i="68"/>
  <c r="K139" i="68"/>
  <c r="K6" i="68"/>
  <c r="P13" i="67" s="1"/>
  <c r="L7" i="68"/>
  <c r="V14" i="67" s="1"/>
  <c r="K10" i="68"/>
  <c r="M135" i="68"/>
  <c r="K137" i="68"/>
  <c r="L139" i="68"/>
  <c r="K9" i="68"/>
  <c r="K135" i="68"/>
  <c r="L136" i="68"/>
  <c r="L138" i="68"/>
  <c r="AQ30" i="56"/>
  <c r="H25" i="67"/>
  <c r="X21" i="67"/>
  <c r="X25" i="67" s="1"/>
  <c r="X12" i="67"/>
  <c r="Z12" i="67"/>
  <c r="Z73" i="67" s="1"/>
  <c r="J25" i="67"/>
  <c r="T12" i="67"/>
  <c r="N64" i="50" s="1"/>
  <c r="BW63" i="50" s="1"/>
  <c r="Z21" i="67"/>
  <c r="Z25" i="67" s="1"/>
  <c r="AB12" i="67"/>
  <c r="AB73" i="67" s="1"/>
  <c r="AB21" i="67"/>
  <c r="AB25" i="67" s="1"/>
  <c r="U12" i="67"/>
  <c r="P64" i="50" s="1"/>
  <c r="BY63" i="50" s="1"/>
  <c r="L41" i="68" l="1"/>
  <c r="M40" i="68"/>
  <c r="K42" i="68"/>
  <c r="M39" i="68"/>
  <c r="L42" i="68"/>
  <c r="L43" i="68"/>
  <c r="L44" i="68"/>
  <c r="K40" i="68"/>
  <c r="M41" i="68"/>
  <c r="K39" i="68"/>
  <c r="L39" i="68"/>
  <c r="K41" i="68"/>
  <c r="M43" i="68"/>
  <c r="K44" i="68"/>
  <c r="L40" i="68"/>
  <c r="M42" i="68"/>
  <c r="M44" i="68"/>
  <c r="K43" i="68"/>
  <c r="H56" i="67"/>
  <c r="R43" i="67"/>
  <c r="AB43" i="67"/>
  <c r="M61" i="68"/>
  <c r="N61" i="68"/>
  <c r="O61" i="68"/>
  <c r="M59" i="68"/>
  <c r="O59" i="68"/>
  <c r="N59" i="68"/>
  <c r="U134" i="68"/>
  <c r="M63" i="68"/>
  <c r="O63" i="68"/>
  <c r="N63" i="68"/>
  <c r="M62" i="68"/>
  <c r="O62" i="68"/>
  <c r="N62" i="68"/>
  <c r="M60" i="68"/>
  <c r="N60" i="68"/>
  <c r="O60" i="68"/>
  <c r="M58" i="68"/>
  <c r="N58" i="68"/>
  <c r="O58" i="68"/>
  <c r="BX12" i="67"/>
  <c r="BX43" i="67" s="1"/>
  <c r="X52" i="67"/>
  <c r="X56" i="67" s="1"/>
  <c r="BZ12" i="67"/>
  <c r="BZ43" i="67" s="1"/>
  <c r="X73" i="67"/>
  <c r="L64" i="50" s="1"/>
  <c r="BT63" i="50" s="1"/>
  <c r="BV12" i="67"/>
  <c r="BV43" i="67" s="1"/>
  <c r="O6" i="68"/>
  <c r="N6" i="68"/>
  <c r="X43" i="67"/>
  <c r="Z43" i="67"/>
  <c r="V79" i="68"/>
  <c r="U137" i="68"/>
  <c r="T43" i="67"/>
  <c r="AB56" i="67"/>
  <c r="L56" i="67"/>
  <c r="U43" i="67"/>
  <c r="Z52" i="67"/>
  <c r="U138" i="68"/>
  <c r="V138" i="68"/>
  <c r="U136" i="68"/>
  <c r="V136" i="68"/>
  <c r="V27" i="68"/>
  <c r="U139" i="68"/>
  <c r="U27" i="68"/>
  <c r="V135" i="68"/>
  <c r="V137" i="68"/>
  <c r="V139" i="68"/>
  <c r="U135" i="68"/>
  <c r="V134" i="68"/>
  <c r="R73" i="67"/>
  <c r="AG73" i="67"/>
  <c r="P73" i="67"/>
  <c r="AE73" i="67"/>
  <c r="O73" i="67" l="1"/>
  <c r="Z56" i="67"/>
  <c r="AB112" i="68"/>
  <c r="BC225" i="47" l="1"/>
  <c r="BC226" i="47"/>
  <c r="BC227" i="47"/>
  <c r="BC228" i="47"/>
  <c r="BC229" i="47"/>
  <c r="BC224" i="47"/>
  <c r="AZ225" i="47"/>
  <c r="AZ226" i="47"/>
  <c r="AZ227" i="47"/>
  <c r="AZ228" i="47"/>
  <c r="AZ229" i="47"/>
  <c r="AZ224" i="47"/>
  <c r="BB225" i="47"/>
  <c r="BB226" i="47"/>
  <c r="BB227" i="47"/>
  <c r="BB228" i="47"/>
  <c r="BB229" i="47"/>
  <c r="BB224" i="47"/>
  <c r="BA224" i="47"/>
  <c r="BA225" i="47"/>
  <c r="BA226" i="47"/>
  <c r="BA227" i="47"/>
  <c r="BA228" i="47"/>
  <c r="BA229" i="47"/>
  <c r="F237" i="47"/>
  <c r="F238" i="47"/>
  <c r="F239" i="47"/>
  <c r="F240" i="47"/>
  <c r="F241" i="47"/>
  <c r="G237" i="47"/>
  <c r="G238" i="47"/>
  <c r="G239" i="47"/>
  <c r="G240" i="47"/>
  <c r="G241" i="47"/>
  <c r="E237" i="47"/>
  <c r="E238" i="47"/>
  <c r="E239" i="47"/>
  <c r="E240" i="47"/>
  <c r="E241" i="47"/>
  <c r="E236" i="47"/>
  <c r="D237" i="47"/>
  <c r="D238" i="47"/>
  <c r="D239" i="47"/>
  <c r="D240" i="47"/>
  <c r="D241" i="47"/>
  <c r="D236" i="47"/>
  <c r="F224" i="47"/>
  <c r="K235" i="47"/>
  <c r="J235" i="47"/>
  <c r="I235" i="47"/>
  <c r="H235" i="47"/>
  <c r="K234" i="47"/>
  <c r="J234" i="47"/>
  <c r="I234" i="47"/>
  <c r="H234" i="47"/>
  <c r="V224" i="47"/>
  <c r="X78" i="43"/>
  <c r="T116" i="43" s="1"/>
  <c r="AA148" i="43" s="1"/>
  <c r="X79" i="43"/>
  <c r="T117" i="43" s="1"/>
  <c r="Q119" i="47" l="1"/>
  <c r="Q120" i="47"/>
  <c r="Q121" i="47"/>
  <c r="Q122" i="47"/>
  <c r="Q123" i="47"/>
  <c r="Q118" i="47"/>
  <c r="P119" i="47"/>
  <c r="P120" i="47"/>
  <c r="P121" i="47"/>
  <c r="P122" i="47"/>
  <c r="P123" i="47"/>
  <c r="P118" i="47"/>
  <c r="O119" i="47"/>
  <c r="O120" i="47"/>
  <c r="O121" i="47"/>
  <c r="O122" i="47"/>
  <c r="O123" i="47"/>
  <c r="O118" i="47"/>
  <c r="N119" i="47"/>
  <c r="N120" i="47"/>
  <c r="N121" i="47"/>
  <c r="N122" i="47"/>
  <c r="N123" i="47"/>
  <c r="N118" i="47"/>
  <c r="F37" i="47"/>
  <c r="F38" i="47"/>
  <c r="F39" i="47"/>
  <c r="F40" i="47"/>
  <c r="F41" i="47"/>
  <c r="E37" i="47"/>
  <c r="E38" i="47"/>
  <c r="E39" i="47"/>
  <c r="E40" i="47"/>
  <c r="E41" i="47"/>
  <c r="D37" i="47"/>
  <c r="D38" i="47"/>
  <c r="D39" i="47"/>
  <c r="D40" i="47"/>
  <c r="D41" i="47"/>
  <c r="C37" i="47"/>
  <c r="C38" i="47"/>
  <c r="C39" i="47"/>
  <c r="C40" i="47"/>
  <c r="C41" i="47"/>
  <c r="U116" i="47" l="1"/>
  <c r="T116" i="47"/>
  <c r="S116" i="47"/>
  <c r="R116" i="47"/>
  <c r="G35" i="47"/>
  <c r="H35" i="47"/>
  <c r="I35" i="47"/>
  <c r="J35" i="47"/>
  <c r="J34" i="47"/>
  <c r="I34" i="47"/>
  <c r="H34" i="47"/>
  <c r="G34" i="47"/>
  <c r="H25" i="47" l="1"/>
  <c r="H26" i="47"/>
  <c r="H27" i="47"/>
  <c r="H28" i="47"/>
  <c r="H29" i="47"/>
  <c r="H24" i="47"/>
  <c r="G24" i="47"/>
  <c r="T14" i="47" l="1"/>
  <c r="U14" i="47"/>
  <c r="S14" i="47"/>
  <c r="Z440" i="47" l="1"/>
  <c r="Z441" i="47"/>
  <c r="Z443" i="47"/>
  <c r="Z444" i="47"/>
  <c r="Z439" i="47"/>
  <c r="W440" i="47"/>
  <c r="W441" i="47"/>
  <c r="W443" i="47"/>
  <c r="W444" i="47"/>
  <c r="W439" i="47"/>
  <c r="T440" i="47"/>
  <c r="T441" i="47"/>
  <c r="T443" i="47"/>
  <c r="T444" i="47"/>
  <c r="T439" i="47"/>
  <c r="Q440" i="47"/>
  <c r="Q441" i="47"/>
  <c r="Q443" i="47"/>
  <c r="Q444" i="47"/>
  <c r="Q439" i="47"/>
  <c r="N440" i="47"/>
  <c r="N441" i="47"/>
  <c r="N443" i="47"/>
  <c r="N444" i="47"/>
  <c r="N439" i="47"/>
  <c r="Y441" i="47"/>
  <c r="Y442" i="47"/>
  <c r="Y443" i="47"/>
  <c r="Y444" i="47"/>
  <c r="V441" i="47"/>
  <c r="V442" i="47"/>
  <c r="V443" i="47"/>
  <c r="V444" i="47"/>
  <c r="S441" i="47"/>
  <c r="S442" i="47"/>
  <c r="S443" i="47"/>
  <c r="S444" i="47"/>
  <c r="P441" i="47"/>
  <c r="P442" i="47"/>
  <c r="P443" i="47"/>
  <c r="P444" i="47"/>
  <c r="M441" i="47"/>
  <c r="M442" i="47"/>
  <c r="M443" i="47"/>
  <c r="M444" i="47"/>
  <c r="X441" i="47"/>
  <c r="X443" i="47"/>
  <c r="X444" i="47"/>
  <c r="U441" i="47"/>
  <c r="U443" i="47"/>
  <c r="U444" i="47"/>
  <c r="R441" i="47"/>
  <c r="R443" i="47"/>
  <c r="R444" i="47"/>
  <c r="O441" i="47"/>
  <c r="O443" i="47"/>
  <c r="O444" i="47"/>
  <c r="L441" i="47"/>
  <c r="L443" i="47"/>
  <c r="L444" i="47"/>
  <c r="F461" i="47"/>
  <c r="Z375" i="47"/>
  <c r="Z376" i="47"/>
  <c r="Z377" i="47"/>
  <c r="Z378" i="47"/>
  <c r="Y374" i="47"/>
  <c r="Y375" i="47"/>
  <c r="Y376" i="47"/>
  <c r="Y377" i="47"/>
  <c r="Y378" i="47"/>
  <c r="X375" i="47"/>
  <c r="X376" i="47"/>
  <c r="X377" i="47"/>
  <c r="X378" i="47"/>
  <c r="W375" i="47"/>
  <c r="W376" i="47"/>
  <c r="W377" i="47"/>
  <c r="W378" i="47"/>
  <c r="V374" i="47"/>
  <c r="V375" i="47"/>
  <c r="V376" i="47"/>
  <c r="V377" i="47"/>
  <c r="V378" i="47"/>
  <c r="U375" i="47"/>
  <c r="U376" i="47"/>
  <c r="U377" i="47"/>
  <c r="U378" i="47"/>
  <c r="T375" i="47"/>
  <c r="T376" i="47"/>
  <c r="T377" i="47"/>
  <c r="T378" i="47"/>
  <c r="S374" i="47"/>
  <c r="S375" i="47"/>
  <c r="S376" i="47"/>
  <c r="S377" i="47"/>
  <c r="S378" i="47"/>
  <c r="R375" i="47"/>
  <c r="R376" i="47"/>
  <c r="R377" i="47"/>
  <c r="R378" i="47"/>
  <c r="Q375" i="47"/>
  <c r="Q376" i="47"/>
  <c r="Q377" i="47"/>
  <c r="Q378" i="47"/>
  <c r="P374" i="47"/>
  <c r="P375" i="47"/>
  <c r="P376" i="47"/>
  <c r="P377" i="47"/>
  <c r="P378" i="47"/>
  <c r="O375" i="47"/>
  <c r="O376" i="47"/>
  <c r="O377" i="47"/>
  <c r="O378" i="47"/>
  <c r="N375" i="47"/>
  <c r="N376" i="47"/>
  <c r="N377" i="47"/>
  <c r="N378" i="47"/>
  <c r="M374" i="47"/>
  <c r="M375" i="47"/>
  <c r="M376" i="47"/>
  <c r="M377" i="47"/>
  <c r="M378" i="47"/>
  <c r="L375" i="47"/>
  <c r="L376" i="47"/>
  <c r="L377" i="47"/>
  <c r="L378" i="47"/>
  <c r="E358" i="47"/>
  <c r="E359" i="47"/>
  <c r="E360" i="47"/>
  <c r="E361" i="47"/>
  <c r="E362" i="47"/>
  <c r="E357" i="47"/>
  <c r="X359" i="47"/>
  <c r="X360" i="47"/>
  <c r="X361" i="47"/>
  <c r="X362" i="47"/>
  <c r="J358" i="47"/>
  <c r="J359" i="47"/>
  <c r="J360" i="47"/>
  <c r="J361" i="47"/>
  <c r="J362" i="47"/>
  <c r="J357" i="47"/>
  <c r="F358" i="47"/>
  <c r="F359" i="47"/>
  <c r="F360" i="47"/>
  <c r="F361" i="47"/>
  <c r="F362" i="47"/>
  <c r="F357" i="47"/>
  <c r="S413" i="47" l="1"/>
  <c r="T151" i="43"/>
  <c r="U152" i="43"/>
  <c r="U153" i="43"/>
  <c r="S154" i="43"/>
  <c r="E457" i="47" s="1"/>
  <c r="T155" i="43"/>
  <c r="S150" i="43"/>
  <c r="E453" i="47" s="1"/>
  <c r="M147" i="43"/>
  <c r="K130" i="43"/>
  <c r="K131" i="43"/>
  <c r="K132" i="43"/>
  <c r="K133" i="43"/>
  <c r="K134" i="43"/>
  <c r="K129" i="43"/>
  <c r="K91" i="43"/>
  <c r="C130" i="43"/>
  <c r="C131" i="43"/>
  <c r="C132" i="43"/>
  <c r="C133" i="43"/>
  <c r="C134" i="43"/>
  <c r="C129" i="43"/>
  <c r="C127" i="43"/>
  <c r="C126" i="43"/>
  <c r="EF98" i="43"/>
  <c r="EF87" i="43"/>
  <c r="D303" i="47"/>
  <c r="M282" i="47"/>
  <c r="P282" i="47"/>
  <c r="S282" i="47"/>
  <c r="V282" i="47"/>
  <c r="Y282" i="47"/>
  <c r="M283" i="47"/>
  <c r="P283" i="47"/>
  <c r="S283" i="47"/>
  <c r="V283" i="47"/>
  <c r="M284" i="47"/>
  <c r="N284" i="47"/>
  <c r="P284" i="47"/>
  <c r="Q284" i="47"/>
  <c r="S284" i="47"/>
  <c r="T284" i="47"/>
  <c r="V284" i="47"/>
  <c r="W284" i="47"/>
  <c r="Y284" i="47"/>
  <c r="Z284" i="47"/>
  <c r="M285" i="47"/>
  <c r="N285" i="47"/>
  <c r="P285" i="47"/>
  <c r="Q285" i="47"/>
  <c r="S285" i="47"/>
  <c r="T285" i="47"/>
  <c r="V285" i="47"/>
  <c r="W285" i="47"/>
  <c r="Y285" i="47"/>
  <c r="Z285" i="47"/>
  <c r="M281" i="47"/>
  <c r="P281" i="47"/>
  <c r="S281" i="47"/>
  <c r="V281" i="47"/>
  <c r="Y281" i="47"/>
  <c r="L271" i="47"/>
  <c r="O271" i="47"/>
  <c r="R271" i="47"/>
  <c r="U271" i="47"/>
  <c r="X271" i="47"/>
  <c r="L272" i="47"/>
  <c r="O272" i="47"/>
  <c r="R272" i="47"/>
  <c r="U272" i="47"/>
  <c r="X272" i="47"/>
  <c r="L273" i="47"/>
  <c r="O273" i="47"/>
  <c r="R273" i="47"/>
  <c r="U273" i="47"/>
  <c r="X273" i="47"/>
  <c r="L274" i="47"/>
  <c r="O274" i="47"/>
  <c r="R274" i="47"/>
  <c r="U274" i="47"/>
  <c r="X274" i="47"/>
  <c r="J306" i="47"/>
  <c r="L306" i="47" s="1"/>
  <c r="N306" i="47" s="1"/>
  <c r="J249" i="47"/>
  <c r="U134" i="43" l="1"/>
  <c r="D362" i="47"/>
  <c r="T134" i="43"/>
  <c r="S134" i="43"/>
  <c r="C393" i="47" s="1"/>
  <c r="U133" i="43"/>
  <c r="D361" i="47"/>
  <c r="T133" i="43"/>
  <c r="S133" i="43"/>
  <c r="C392" i="47" s="1"/>
  <c r="T132" i="43"/>
  <c r="S132" i="43"/>
  <c r="C391" i="47" s="1"/>
  <c r="D360" i="47"/>
  <c r="U132" i="43"/>
  <c r="T129" i="43"/>
  <c r="D357" i="47"/>
  <c r="U129" i="43"/>
  <c r="S129" i="43"/>
  <c r="C388" i="47" s="1"/>
  <c r="T131" i="43"/>
  <c r="S131" i="43"/>
  <c r="C390" i="47" s="1"/>
  <c r="U131" i="43"/>
  <c r="D359" i="47"/>
  <c r="U130" i="43"/>
  <c r="T130" i="43"/>
  <c r="S130" i="43"/>
  <c r="C389" i="47" s="1"/>
  <c r="D358" i="47"/>
  <c r="S151" i="43"/>
  <c r="E454" i="47" s="1"/>
  <c r="F454" i="47" s="1"/>
  <c r="U150" i="43"/>
  <c r="G453" i="47" s="1"/>
  <c r="T150" i="43"/>
  <c r="F453" i="47" s="1"/>
  <c r="U155" i="43"/>
  <c r="U151" i="43"/>
  <c r="T154" i="43"/>
  <c r="F457" i="47" s="1"/>
  <c r="S152" i="43"/>
  <c r="E455" i="47" s="1"/>
  <c r="T153" i="43"/>
  <c r="U154" i="43"/>
  <c r="G457" i="47" s="1"/>
  <c r="S153" i="43"/>
  <c r="E456" i="47" s="1"/>
  <c r="G456" i="47" s="1"/>
  <c r="T152" i="43"/>
  <c r="S155" i="43"/>
  <c r="E458" i="47" s="1"/>
  <c r="G458" i="47" l="1"/>
  <c r="F388" i="47"/>
  <c r="F392" i="47"/>
  <c r="R457" i="47"/>
  <c r="X457" i="47"/>
  <c r="U457" i="47"/>
  <c r="U458" i="47"/>
  <c r="X458" i="47"/>
  <c r="R458" i="47"/>
  <c r="W457" i="47"/>
  <c r="Q457" i="47"/>
  <c r="D393" i="47"/>
  <c r="T457" i="47"/>
  <c r="F458" i="47"/>
  <c r="X456" i="47"/>
  <c r="U456" i="47"/>
  <c r="R456" i="47"/>
  <c r="F455" i="47"/>
  <c r="G455" i="47"/>
  <c r="G454" i="47"/>
  <c r="F456" i="47"/>
  <c r="X390" i="47"/>
  <c r="U390" i="47"/>
  <c r="R390" i="47"/>
  <c r="F390" i="47"/>
  <c r="W392" i="47"/>
  <c r="T392" i="47"/>
  <c r="Q392" i="47"/>
  <c r="D392" i="47"/>
  <c r="W393" i="47"/>
  <c r="T393" i="47"/>
  <c r="Q393" i="47"/>
  <c r="F391" i="47"/>
  <c r="X391" i="47"/>
  <c r="U391" i="47"/>
  <c r="R391" i="47"/>
  <c r="W390" i="47"/>
  <c r="T390" i="47"/>
  <c r="Q390" i="47"/>
  <c r="D390" i="47"/>
  <c r="D388" i="47"/>
  <c r="W391" i="47"/>
  <c r="T391" i="47"/>
  <c r="Q391" i="47"/>
  <c r="D391" i="47"/>
  <c r="X392" i="47"/>
  <c r="U392" i="47"/>
  <c r="R392" i="47"/>
  <c r="U393" i="47"/>
  <c r="R393" i="47"/>
  <c r="X393" i="47"/>
  <c r="F393" i="47"/>
  <c r="D389" i="47"/>
  <c r="F389" i="47"/>
  <c r="R90" i="43"/>
  <c r="U91" i="43"/>
  <c r="T458" i="47" l="1"/>
  <c r="W458" i="47"/>
  <c r="Q458" i="47"/>
  <c r="H396" i="47"/>
  <c r="G396" i="47"/>
  <c r="R455" i="47"/>
  <c r="X455" i="47"/>
  <c r="U455" i="47"/>
  <c r="T455" i="47"/>
  <c r="Q455" i="47"/>
  <c r="W455" i="47"/>
  <c r="S91" i="43"/>
  <c r="T91" i="43"/>
  <c r="F396" i="47" l="1"/>
  <c r="D296" i="47"/>
  <c r="F296" i="47"/>
  <c r="D102" i="47"/>
  <c r="D200" i="47"/>
  <c r="EF53" i="43"/>
  <c r="AT48" i="43"/>
  <c r="DV47" i="43" s="1"/>
  <c r="AT49" i="43"/>
  <c r="DV48" i="43" s="1"/>
  <c r="AT50" i="43"/>
  <c r="DV49" i="43" s="1"/>
  <c r="AT51" i="43"/>
  <c r="DV50" i="43" s="1"/>
  <c r="AT52" i="43"/>
  <c r="DV51" i="43" s="1"/>
  <c r="AT47" i="43"/>
  <c r="DV46" i="43" s="1"/>
  <c r="CE47" i="43"/>
  <c r="CE48" i="43"/>
  <c r="CE49" i="43"/>
  <c r="CE50" i="43"/>
  <c r="CE51" i="43"/>
  <c r="CE46" i="43"/>
  <c r="J145" i="47"/>
  <c r="CH43" i="43"/>
  <c r="CJ43" i="43"/>
  <c r="CM43" i="43"/>
  <c r="CO43" i="43"/>
  <c r="CH44" i="43"/>
  <c r="CJ44" i="43"/>
  <c r="CM44" i="43"/>
  <c r="CO44" i="43"/>
  <c r="CF44" i="43"/>
  <c r="CF43" i="43"/>
  <c r="CF42" i="43"/>
  <c r="M177" i="47"/>
  <c r="P177" i="47"/>
  <c r="S177" i="47"/>
  <c r="V177" i="47"/>
  <c r="Y177" i="47"/>
  <c r="M178" i="47"/>
  <c r="P178" i="47"/>
  <c r="S178" i="47"/>
  <c r="V178" i="47"/>
  <c r="Y178" i="47"/>
  <c r="M179" i="47"/>
  <c r="N179" i="47"/>
  <c r="P179" i="47"/>
  <c r="Q179" i="47"/>
  <c r="S179" i="47"/>
  <c r="T179" i="47"/>
  <c r="V179" i="47"/>
  <c r="W179" i="47"/>
  <c r="Y179" i="47"/>
  <c r="Z179" i="47"/>
  <c r="M180" i="47"/>
  <c r="N180" i="47"/>
  <c r="P180" i="47"/>
  <c r="Q180" i="47"/>
  <c r="S180" i="47"/>
  <c r="T180" i="47"/>
  <c r="V180" i="47"/>
  <c r="W180" i="47"/>
  <c r="Y180" i="47"/>
  <c r="Z180" i="47"/>
  <c r="M181" i="47"/>
  <c r="N181" i="47"/>
  <c r="P181" i="47"/>
  <c r="Q181" i="47"/>
  <c r="S181" i="47"/>
  <c r="T181" i="47"/>
  <c r="V181" i="47"/>
  <c r="W181" i="47"/>
  <c r="Y181" i="47"/>
  <c r="Z181" i="47"/>
  <c r="L168" i="47"/>
  <c r="O168" i="47"/>
  <c r="R168" i="47"/>
  <c r="U168" i="47"/>
  <c r="X168" i="47"/>
  <c r="L169" i="47"/>
  <c r="O169" i="47"/>
  <c r="R169" i="47"/>
  <c r="U169" i="47"/>
  <c r="X169" i="47"/>
  <c r="L170" i="47"/>
  <c r="O170" i="47"/>
  <c r="R170" i="47"/>
  <c r="U170" i="47"/>
  <c r="X170" i="47"/>
  <c r="C192" i="47" l="1"/>
  <c r="C203" i="47"/>
  <c r="B203" i="47"/>
  <c r="B306" i="47" s="1"/>
  <c r="B202" i="47"/>
  <c r="B305" i="47" s="1"/>
  <c r="B192" i="47"/>
  <c r="B295" i="47" s="1"/>
  <c r="B191" i="47"/>
  <c r="B294" i="47" s="1"/>
  <c r="B89" i="47"/>
  <c r="K92" i="43"/>
  <c r="K93" i="43"/>
  <c r="K94" i="43"/>
  <c r="K95" i="43"/>
  <c r="K96" i="43"/>
  <c r="K58" i="43"/>
  <c r="T58" i="43" s="1"/>
  <c r="E92" i="43"/>
  <c r="E93" i="43"/>
  <c r="E94" i="43"/>
  <c r="E95" i="43"/>
  <c r="E96" i="43"/>
  <c r="E91" i="43"/>
  <c r="C92" i="43"/>
  <c r="C93" i="43"/>
  <c r="C94" i="43"/>
  <c r="C95" i="43"/>
  <c r="C96" i="43"/>
  <c r="C91" i="43"/>
  <c r="O57" i="43"/>
  <c r="O90" i="43" s="1"/>
  <c r="Q57" i="43"/>
  <c r="Q90" i="43" s="1"/>
  <c r="R57" i="43"/>
  <c r="K59" i="43"/>
  <c r="U59" i="43" s="1"/>
  <c r="K60" i="43"/>
  <c r="U60" i="43" s="1"/>
  <c r="K61" i="43"/>
  <c r="T61" i="43" s="1"/>
  <c r="K62" i="43"/>
  <c r="T62" i="43" s="1"/>
  <c r="K63" i="43"/>
  <c r="U63" i="43" s="1"/>
  <c r="C59" i="43"/>
  <c r="C60" i="43"/>
  <c r="C61" i="43"/>
  <c r="C62" i="43"/>
  <c r="C63" i="43"/>
  <c r="C58" i="43"/>
  <c r="J47" i="47"/>
  <c r="EE31" i="43"/>
  <c r="W90" i="47"/>
  <c r="D92" i="47"/>
  <c r="D93" i="47"/>
  <c r="D94" i="47"/>
  <c r="D95" i="47"/>
  <c r="D96" i="47"/>
  <c r="D91" i="47"/>
  <c r="H53" i="47"/>
  <c r="D107" i="47"/>
  <c r="D106" i="47"/>
  <c r="D105" i="47"/>
  <c r="D104" i="47"/>
  <c r="D103" i="47"/>
  <c r="AT24" i="43" l="1"/>
  <c r="DV24" i="43"/>
  <c r="S93" i="43"/>
  <c r="F309" i="47" s="1"/>
  <c r="U93" i="43"/>
  <c r="T93" i="43"/>
  <c r="T96" i="43"/>
  <c r="S96" i="43"/>
  <c r="F312" i="47" s="1"/>
  <c r="U96" i="43"/>
  <c r="T92" i="43"/>
  <c r="U92" i="43"/>
  <c r="S92" i="43"/>
  <c r="F308" i="47" s="1"/>
  <c r="U95" i="43"/>
  <c r="S95" i="43"/>
  <c r="F311" i="47" s="1"/>
  <c r="T95" i="43"/>
  <c r="T94" i="43"/>
  <c r="S94" i="43"/>
  <c r="F310" i="47" s="1"/>
  <c r="U94" i="43"/>
  <c r="S59" i="43"/>
  <c r="F205" i="47" s="1"/>
  <c r="T59" i="43"/>
  <c r="S60" i="43"/>
  <c r="U61" i="43"/>
  <c r="S62" i="43"/>
  <c r="F208" i="47" s="1"/>
  <c r="U62" i="43"/>
  <c r="T60" i="43"/>
  <c r="S63" i="43"/>
  <c r="T63" i="43"/>
  <c r="S61" i="43"/>
  <c r="F207" i="47" s="1"/>
  <c r="U58" i="43"/>
  <c r="S58" i="43"/>
  <c r="F204" i="47" s="1"/>
  <c r="X67" i="47"/>
  <c r="X69" i="47"/>
  <c r="X70" i="47"/>
  <c r="X71" i="47"/>
  <c r="U67" i="47"/>
  <c r="U69" i="47"/>
  <c r="U70" i="47"/>
  <c r="U71" i="47"/>
  <c r="R67" i="47"/>
  <c r="R69" i="47"/>
  <c r="R70" i="47"/>
  <c r="R71" i="47"/>
  <c r="O67" i="47"/>
  <c r="O69" i="47"/>
  <c r="O70" i="47"/>
  <c r="O71" i="47"/>
  <c r="L67" i="47"/>
  <c r="L69" i="47"/>
  <c r="L70" i="47"/>
  <c r="L71" i="47"/>
  <c r="CF21" i="43"/>
  <c r="CE10" i="43"/>
  <c r="CE44" i="43" s="1"/>
  <c r="I43" i="43"/>
  <c r="I44" i="43"/>
  <c r="CE22" i="43"/>
  <c r="CE56" i="43" s="1"/>
  <c r="F198" i="47" l="1"/>
  <c r="F209" i="47"/>
  <c r="F301" i="47"/>
  <c r="F298" i="47"/>
  <c r="F300" i="47"/>
  <c r="D193" i="47"/>
  <c r="F299" i="47"/>
  <c r="D311" i="47"/>
  <c r="D300" i="47"/>
  <c r="F193" i="47"/>
  <c r="F307" i="47" s="1"/>
  <c r="D310" i="47"/>
  <c r="D299" i="47"/>
  <c r="D312" i="47"/>
  <c r="D301" i="47"/>
  <c r="D309" i="47"/>
  <c r="D298" i="47"/>
  <c r="F297" i="47"/>
  <c r="D297" i="47"/>
  <c r="D195" i="47"/>
  <c r="D206" i="47" s="1"/>
  <c r="D207" i="47"/>
  <c r="D196" i="47"/>
  <c r="F197" i="47"/>
  <c r="D208" i="47"/>
  <c r="D197" i="47"/>
  <c r="D209" i="47"/>
  <c r="D198" i="47"/>
  <c r="F196" i="47"/>
  <c r="F195" i="47"/>
  <c r="F206" i="47" s="1"/>
  <c r="F194" i="47"/>
  <c r="D194" i="47"/>
  <c r="D308" i="47" s="1"/>
  <c r="E56" i="43"/>
  <c r="AT43" i="43"/>
  <c r="C26" i="43"/>
  <c r="C27" i="43"/>
  <c r="C28" i="43"/>
  <c r="C29" i="43"/>
  <c r="C30" i="43"/>
  <c r="C25" i="43"/>
  <c r="DV26" i="43"/>
  <c r="DV27" i="43"/>
  <c r="DV28" i="43"/>
  <c r="DV29" i="43"/>
  <c r="CE25" i="43"/>
  <c r="K26" i="43"/>
  <c r="K27" i="43"/>
  <c r="K28" i="43"/>
  <c r="K29" i="43"/>
  <c r="K30" i="43"/>
  <c r="K25" i="43"/>
  <c r="W225" i="47"/>
  <c r="W226" i="47"/>
  <c r="W227" i="47"/>
  <c r="W228" i="47"/>
  <c r="W229" i="47"/>
  <c r="W224" i="47"/>
  <c r="V225" i="47"/>
  <c r="V226" i="47"/>
  <c r="V227" i="47"/>
  <c r="V228" i="47"/>
  <c r="V229" i="47"/>
  <c r="DV25" i="43" l="1"/>
  <c r="D307" i="47"/>
  <c r="G315" i="47" s="1"/>
  <c r="D204" i="47"/>
  <c r="D205" i="47"/>
  <c r="CE28" i="43"/>
  <c r="AT27" i="43"/>
  <c r="CE27" i="43"/>
  <c r="AT26" i="43"/>
  <c r="CE29" i="43"/>
  <c r="AT28" i="43"/>
  <c r="CE26" i="43"/>
  <c r="AT25" i="43"/>
  <c r="CE30" i="43"/>
  <c r="AT29" i="43"/>
  <c r="T29" i="43"/>
  <c r="S29" i="43"/>
  <c r="G106" i="47" s="1"/>
  <c r="U29" i="43"/>
  <c r="S28" i="43"/>
  <c r="G105" i="47" s="1"/>
  <c r="U28" i="43"/>
  <c r="T28" i="43"/>
  <c r="T27" i="43"/>
  <c r="S27" i="43"/>
  <c r="U27" i="43"/>
  <c r="U30" i="43"/>
  <c r="S30" i="43"/>
  <c r="G107" i="47" s="1"/>
  <c r="T30" i="43"/>
  <c r="U26" i="43"/>
  <c r="S26" i="43"/>
  <c r="G103" i="47" s="1"/>
  <c r="T26" i="43"/>
  <c r="S25" i="43"/>
  <c r="U25" i="43"/>
  <c r="T25" i="43"/>
  <c r="D135" i="47"/>
  <c r="D136" i="47"/>
  <c r="D137" i="47"/>
  <c r="D138" i="47"/>
  <c r="D139" i="47"/>
  <c r="D134" i="47"/>
  <c r="BB135" i="47" l="1"/>
  <c r="BA135" i="47"/>
  <c r="BC135" i="47"/>
  <c r="M135" i="69" s="1"/>
  <c r="AZ135" i="47"/>
  <c r="BC138" i="47"/>
  <c r="AZ138" i="47"/>
  <c r="BB138" i="47"/>
  <c r="BA138" i="47"/>
  <c r="BA134" i="47"/>
  <c r="AZ134" i="47"/>
  <c r="BC134" i="47"/>
  <c r="BB134" i="47"/>
  <c r="BB139" i="47"/>
  <c r="BA139" i="47"/>
  <c r="BC139" i="47"/>
  <c r="M139" i="69" s="1"/>
  <c r="AZ139" i="47"/>
  <c r="AZ137" i="47"/>
  <c r="BC137" i="47"/>
  <c r="BB137" i="47"/>
  <c r="BA137" i="47"/>
  <c r="U137" i="69" s="1"/>
  <c r="BB136" i="47"/>
  <c r="BA136" i="47"/>
  <c r="BC136" i="47"/>
  <c r="M136" i="69" s="1"/>
  <c r="AZ136" i="47"/>
  <c r="H315" i="47"/>
  <c r="F315" i="47" s="1"/>
  <c r="G213" i="47"/>
  <c r="H213" i="47"/>
  <c r="E105" i="47"/>
  <c r="E94" i="47"/>
  <c r="E107" i="47"/>
  <c r="E96" i="47"/>
  <c r="E103" i="47"/>
  <c r="E92" i="47"/>
  <c r="E95" i="47"/>
  <c r="E106" i="47"/>
  <c r="E25" i="47"/>
  <c r="E26" i="47"/>
  <c r="O26" i="47" s="1"/>
  <c r="E27" i="47"/>
  <c r="R27" i="47" s="1"/>
  <c r="E28" i="47"/>
  <c r="R28" i="47" s="1"/>
  <c r="E29" i="47"/>
  <c r="R29" i="47" s="1"/>
  <c r="E24" i="47"/>
  <c r="G78" i="43"/>
  <c r="G77" i="43"/>
  <c r="G44" i="43"/>
  <c r="G43" i="43"/>
  <c r="G11" i="43"/>
  <c r="G10" i="43"/>
  <c r="U138" i="69" l="1"/>
  <c r="M134" i="69"/>
  <c r="U134" i="69"/>
  <c r="M137" i="69"/>
  <c r="U135" i="69"/>
  <c r="U136" i="69"/>
  <c r="M138" i="69"/>
  <c r="U139" i="69"/>
  <c r="F213" i="47"/>
  <c r="O25" i="47"/>
  <c r="R25" i="47"/>
  <c r="S25" i="47" s="1"/>
  <c r="R26" i="47"/>
  <c r="O29" i="47"/>
  <c r="O28" i="47"/>
  <c r="O27" i="47"/>
  <c r="G151" i="47"/>
  <c r="I99" i="42" l="1"/>
  <c r="H99" i="42"/>
  <c r="G99" i="42"/>
  <c r="F99" i="42"/>
  <c r="E99" i="42"/>
  <c r="D99" i="42"/>
  <c r="M99" i="42" s="1"/>
  <c r="C64" i="40"/>
  <c r="B99" i="42" l="1"/>
  <c r="D239" i="69"/>
  <c r="AK64" i="40"/>
  <c r="L99" i="42"/>
  <c r="V99" i="42" s="1"/>
  <c r="K99" i="42"/>
  <c r="U99" i="42" l="1"/>
  <c r="AY71" i="15" l="1"/>
  <c r="P19" i="23" s="1"/>
  <c r="AY73" i="15"/>
  <c r="P21" i="23" s="1"/>
  <c r="AY75" i="15"/>
  <c r="P22" i="23" s="1"/>
  <c r="AY77" i="15"/>
  <c r="P24" i="23" s="1"/>
  <c r="AY79" i="15"/>
  <c r="P25" i="23" s="1"/>
  <c r="AY81" i="15"/>
  <c r="P27" i="23" s="1"/>
  <c r="AT136" i="15"/>
  <c r="AT134" i="15"/>
  <c r="AT133" i="15"/>
  <c r="AT132" i="15"/>
  <c r="AT131" i="15"/>
  <c r="AT130" i="15"/>
  <c r="AT135" i="15" l="1"/>
  <c r="G25" i="21" l="1"/>
  <c r="I113" i="68" l="1"/>
  <c r="I114" i="68"/>
  <c r="I115" i="68"/>
  <c r="I116" i="68"/>
  <c r="I111" i="68"/>
  <c r="M123" i="68" s="1"/>
  <c r="I112" i="68"/>
  <c r="E119" i="15"/>
  <c r="E118" i="15"/>
  <c r="E117" i="15"/>
  <c r="E116" i="15"/>
  <c r="K124" i="68" l="1"/>
  <c r="L124" i="68"/>
  <c r="M124" i="68"/>
  <c r="L128" i="68"/>
  <c r="M128" i="68"/>
  <c r="K128" i="68"/>
  <c r="L123" i="68"/>
  <c r="K123" i="68"/>
  <c r="M127" i="68"/>
  <c r="L127" i="68"/>
  <c r="K127" i="68"/>
  <c r="K126" i="68"/>
  <c r="L126" i="68"/>
  <c r="M126" i="68"/>
  <c r="L125" i="68"/>
  <c r="K125" i="68"/>
  <c r="M125" i="68"/>
  <c r="Z70" i="29"/>
  <c r="Z69" i="29"/>
  <c r="Z68" i="29"/>
  <c r="Z67" i="29"/>
  <c r="Z66" i="29"/>
  <c r="Z65" i="29"/>
  <c r="Z64" i="29"/>
  <c r="Z63" i="29"/>
  <c r="Z62" i="29"/>
  <c r="U125" i="68" l="1"/>
  <c r="V126" i="68"/>
  <c r="U127" i="68"/>
  <c r="V124" i="68"/>
  <c r="V125" i="68"/>
  <c r="U126" i="68"/>
  <c r="V127" i="68"/>
  <c r="U124" i="68"/>
  <c r="V128" i="68"/>
  <c r="U128" i="68"/>
  <c r="U123" i="68"/>
  <c r="V123" i="68"/>
  <c r="K227" i="47"/>
  <c r="CE54" i="31"/>
  <c r="AB113" i="68" l="1"/>
  <c r="C52" i="40"/>
  <c r="AX358" i="47" l="1"/>
  <c r="AY358" i="47"/>
  <c r="AZ358" i="47"/>
  <c r="BA358" i="47"/>
  <c r="AX359" i="47"/>
  <c r="AY359" i="47"/>
  <c r="AZ359" i="47"/>
  <c r="BA359" i="47"/>
  <c r="AX360" i="47"/>
  <c r="AY360" i="47"/>
  <c r="AZ360" i="47"/>
  <c r="BA360" i="47"/>
  <c r="AX361" i="47"/>
  <c r="AY361" i="47"/>
  <c r="AZ361" i="47"/>
  <c r="BA361" i="47"/>
  <c r="AX362" i="47"/>
  <c r="AY362" i="47"/>
  <c r="AZ362" i="47"/>
  <c r="BA362" i="47"/>
  <c r="BQ477" i="47" l="1"/>
  <c r="BQ478" i="47"/>
  <c r="BQ479" i="47"/>
  <c r="BQ480" i="47"/>
  <c r="BQ481" i="47"/>
  <c r="BQ482" i="47"/>
  <c r="T137" i="15" l="1"/>
  <c r="R137" i="15"/>
  <c r="Q137" i="15"/>
  <c r="O489" i="47"/>
  <c r="O490" i="47"/>
  <c r="O491" i="47"/>
  <c r="O488" i="47"/>
  <c r="Q2311" i="16"/>
  <c r="P2311" i="16"/>
  <c r="Q2310" i="16"/>
  <c r="P2310" i="16"/>
  <c r="Q2309" i="16"/>
  <c r="P2309" i="16"/>
  <c r="Q2308" i="16"/>
  <c r="P2308" i="16"/>
  <c r="Q2307" i="16"/>
  <c r="P2307" i="16"/>
  <c r="Q2306" i="16"/>
  <c r="P2306" i="16"/>
  <c r="Q2305" i="16"/>
  <c r="P2305" i="16"/>
  <c r="Q2304" i="16"/>
  <c r="P2304" i="16"/>
  <c r="Q2303" i="16"/>
  <c r="P2303" i="16"/>
  <c r="Q2302" i="16"/>
  <c r="P2302" i="16"/>
  <c r="Q2294" i="16"/>
  <c r="P2294" i="16"/>
  <c r="Q2293" i="16"/>
  <c r="P2293" i="16"/>
  <c r="Q2292" i="16"/>
  <c r="P2292" i="16"/>
  <c r="Q2291" i="16"/>
  <c r="P2291" i="16"/>
  <c r="Q2290" i="16"/>
  <c r="P2290" i="16"/>
  <c r="Q2289" i="16"/>
  <c r="P2289" i="16"/>
  <c r="Q2288" i="16"/>
  <c r="P2288" i="16"/>
  <c r="Q2287" i="16"/>
  <c r="P2287" i="16"/>
  <c r="Q2286" i="16"/>
  <c r="P2286" i="16"/>
  <c r="Q2285" i="16"/>
  <c r="P2285" i="16"/>
  <c r="Q2277" i="16"/>
  <c r="Q2276" i="16"/>
  <c r="Q2275" i="16"/>
  <c r="Q2274" i="16"/>
  <c r="Q2273" i="16"/>
  <c r="Q2272" i="16"/>
  <c r="Q2271" i="16"/>
  <c r="Q2270" i="16"/>
  <c r="Q2269" i="16"/>
  <c r="Q2268" i="16"/>
  <c r="P2277" i="16"/>
  <c r="P2276" i="16"/>
  <c r="P2275" i="16"/>
  <c r="P2274" i="16"/>
  <c r="P2273" i="16"/>
  <c r="P2272" i="16"/>
  <c r="P2271" i="16"/>
  <c r="P2270" i="16"/>
  <c r="P2269" i="16"/>
  <c r="P2268" i="16"/>
  <c r="C1847" i="16"/>
  <c r="C1846" i="16"/>
  <c r="C1845" i="16"/>
  <c r="C1844" i="16"/>
  <c r="C1829" i="16"/>
  <c r="C1828" i="16"/>
  <c r="C1827" i="16"/>
  <c r="C1826" i="16"/>
  <c r="C1792" i="16"/>
  <c r="C1791" i="16"/>
  <c r="C1790" i="16"/>
  <c r="C1789" i="16"/>
  <c r="C1773" i="16"/>
  <c r="C1772" i="16"/>
  <c r="C1771" i="16"/>
  <c r="C1770" i="16"/>
  <c r="Q3241" i="16" l="1"/>
  <c r="P3241" i="16"/>
  <c r="O3241" i="16"/>
  <c r="N3241" i="16"/>
  <c r="M3241" i="16"/>
  <c r="L3241" i="16"/>
  <c r="K3241" i="16"/>
  <c r="J3241" i="16"/>
  <c r="I3241" i="16"/>
  <c r="H3241" i="16"/>
  <c r="G3241" i="16"/>
  <c r="F3241" i="16"/>
  <c r="E3241" i="16"/>
  <c r="D3241" i="16"/>
  <c r="C3241" i="16"/>
  <c r="AA156" i="43" l="1"/>
  <c r="AA135" i="43"/>
  <c r="R8" i="38" l="1"/>
  <c r="S8" i="38" s="1"/>
  <c r="P83" i="40"/>
  <c r="H24" i="32" l="1"/>
  <c r="I24" i="32" s="1"/>
  <c r="AU58" i="15"/>
  <c r="G13" i="23"/>
  <c r="G14" i="23" l="1"/>
  <c r="AY58" i="15"/>
  <c r="AU57" i="15"/>
  <c r="I13" i="23"/>
  <c r="AS57" i="15"/>
  <c r="BH57" i="15" s="1"/>
  <c r="AY57" i="15"/>
  <c r="AS56" i="15"/>
  <c r="BH56" i="15" s="1"/>
  <c r="G12" i="23"/>
  <c r="I12" i="23"/>
  <c r="AU56" i="15"/>
  <c r="H31" i="32" l="1"/>
  <c r="H30" i="32"/>
  <c r="H29" i="32"/>
  <c r="H28" i="32"/>
  <c r="I28" i="32" s="1"/>
  <c r="AS40" i="29" s="1"/>
  <c r="H27" i="32"/>
  <c r="H26" i="32"/>
  <c r="I26" i="32" s="1"/>
  <c r="AS38" i="29" s="1"/>
  <c r="H25" i="32"/>
  <c r="I30" i="30"/>
  <c r="Q30" i="30" s="1"/>
  <c r="I29" i="30"/>
  <c r="I28" i="30"/>
  <c r="I27" i="30"/>
  <c r="I26" i="30"/>
  <c r="I25" i="30"/>
  <c r="I24" i="30"/>
  <c r="Q24" i="30" s="1"/>
  <c r="I23" i="30"/>
  <c r="G23" i="30"/>
  <c r="J27" i="30" l="1"/>
  <c r="BO15" i="29" s="1"/>
  <c r="Q27" i="30"/>
  <c r="J29" i="30"/>
  <c r="BO17" i="29" s="1"/>
  <c r="Q29" i="30"/>
  <c r="J26" i="30"/>
  <c r="BO14" i="29" s="1"/>
  <c r="Q26" i="30"/>
  <c r="J28" i="30"/>
  <c r="BO16" i="29" s="1"/>
  <c r="Q28" i="30"/>
  <c r="J25" i="30"/>
  <c r="BO13" i="29" s="1"/>
  <c r="O23" i="30"/>
  <c r="BU11" i="29" s="1"/>
  <c r="O27" i="30"/>
  <c r="BU15" i="29" s="1"/>
  <c r="O29" i="30"/>
  <c r="BU17" i="29" s="1"/>
  <c r="O30" i="30"/>
  <c r="BU18" i="29" s="1"/>
  <c r="O28" i="30"/>
  <c r="BU16" i="29" s="1"/>
  <c r="O26" i="30"/>
  <c r="BU14" i="29" s="1"/>
  <c r="O25" i="30"/>
  <c r="BU13" i="29" s="1"/>
  <c r="N8" i="21"/>
  <c r="Q56" i="15"/>
  <c r="Q25" i="30" l="1"/>
  <c r="U414" i="47"/>
  <c r="V414" i="47"/>
  <c r="U415" i="47"/>
  <c r="V415" i="47"/>
  <c r="U416" i="47"/>
  <c r="V416" i="47"/>
  <c r="U417" i="47"/>
  <c r="V417" i="47"/>
  <c r="U418" i="47"/>
  <c r="V418" i="47"/>
  <c r="S414" i="47"/>
  <c r="T414" i="47"/>
  <c r="S415" i="47"/>
  <c r="T415" i="47"/>
  <c r="S416" i="47"/>
  <c r="T416" i="47"/>
  <c r="S417" i="47"/>
  <c r="T417" i="47"/>
  <c r="S418" i="47"/>
  <c r="T418" i="47"/>
  <c r="X426" i="47"/>
  <c r="X427" i="47"/>
  <c r="X428" i="47"/>
  <c r="X429" i="47"/>
  <c r="X430" i="47"/>
  <c r="M85" i="43"/>
  <c r="M84" i="43"/>
  <c r="M83" i="43"/>
  <c r="M82" i="43"/>
  <c r="M81" i="43"/>
  <c r="M80" i="43"/>
  <c r="AE5" i="26"/>
  <c r="AE48" i="26" s="1"/>
  <c r="E128" i="15"/>
  <c r="E129" i="15"/>
  <c r="E130" i="15"/>
  <c r="E131" i="15"/>
  <c r="E132" i="15"/>
  <c r="E133" i="15"/>
  <c r="E134" i="15"/>
  <c r="E135" i="15"/>
  <c r="E136" i="15"/>
  <c r="E127" i="15"/>
  <c r="M154" i="69" l="1"/>
  <c r="U155" i="69"/>
  <c r="U154" i="69"/>
  <c r="U157" i="69"/>
  <c r="M155" i="69"/>
  <c r="M153" i="69"/>
  <c r="U156" i="69"/>
  <c r="M157" i="69"/>
  <c r="U153" i="69"/>
  <c r="M156" i="69"/>
  <c r="Q14" i="15"/>
  <c r="AX72" i="31"/>
  <c r="AX71" i="31"/>
  <c r="AX70" i="31"/>
  <c r="AX69" i="31"/>
  <c r="AX68" i="31"/>
  <c r="AX67" i="31"/>
  <c r="AX56" i="31"/>
  <c r="AX55" i="31"/>
  <c r="AX54" i="31"/>
  <c r="AX53" i="31"/>
  <c r="AX52" i="31"/>
  <c r="AX51" i="31"/>
  <c r="DJ72" i="31" l="1"/>
  <c r="DJ71" i="31"/>
  <c r="DJ69" i="31"/>
  <c r="DJ68" i="31"/>
  <c r="DJ67" i="31"/>
  <c r="DJ56" i="31"/>
  <c r="DJ55" i="31"/>
  <c r="DJ53" i="31"/>
  <c r="DJ54" i="31" s="1"/>
  <c r="DJ52" i="31"/>
  <c r="DJ51" i="31"/>
  <c r="CY72" i="31"/>
  <c r="CY71" i="31"/>
  <c r="CY70" i="31"/>
  <c r="CY69" i="31"/>
  <c r="CY68" i="31"/>
  <c r="CY67" i="31"/>
  <c r="CY56" i="31"/>
  <c r="CY55" i="31"/>
  <c r="CY54" i="31"/>
  <c r="CY53" i="31"/>
  <c r="CY52" i="31"/>
  <c r="CY51" i="31"/>
  <c r="CN72" i="31"/>
  <c r="CN71" i="31"/>
  <c r="CN70" i="31"/>
  <c r="CN69" i="31"/>
  <c r="CN68" i="31"/>
  <c r="CN67" i="31"/>
  <c r="CN56" i="31"/>
  <c r="CN55" i="31"/>
  <c r="CN54" i="31"/>
  <c r="CN53" i="31"/>
  <c r="CN52" i="31"/>
  <c r="CN51" i="31"/>
  <c r="CC72" i="31"/>
  <c r="CC71" i="31"/>
  <c r="CC70" i="31"/>
  <c r="CC69" i="31"/>
  <c r="CC68" i="31"/>
  <c r="CC67" i="31"/>
  <c r="CC56" i="31"/>
  <c r="CC55" i="31"/>
  <c r="CC54" i="31"/>
  <c r="CC53" i="31"/>
  <c r="CC52" i="31"/>
  <c r="CC51" i="31"/>
  <c r="CC33" i="31"/>
  <c r="CC32" i="31"/>
  <c r="CC31" i="31"/>
  <c r="CC30" i="31"/>
  <c r="CC29" i="31"/>
  <c r="CC28" i="31"/>
  <c r="CC27" i="31"/>
  <c r="CC26" i="31"/>
  <c r="CC25" i="31"/>
  <c r="CC24" i="31"/>
  <c r="CC15" i="31"/>
  <c r="CC14" i="31"/>
  <c r="CC13" i="31"/>
  <c r="CC12" i="31"/>
  <c r="CC11" i="31"/>
  <c r="CC10" i="31"/>
  <c r="CC9" i="31"/>
  <c r="CC8" i="31"/>
  <c r="CC7" i="31"/>
  <c r="CC6" i="31"/>
  <c r="BR72" i="31"/>
  <c r="BR71" i="31"/>
  <c r="BR70" i="31"/>
  <c r="BR69" i="31"/>
  <c r="BR68" i="31"/>
  <c r="BR67" i="31"/>
  <c r="BR56" i="31"/>
  <c r="BR55" i="31"/>
  <c r="BR54" i="31"/>
  <c r="BR53" i="31"/>
  <c r="BR52" i="31"/>
  <c r="BR51" i="31"/>
  <c r="BR33" i="31"/>
  <c r="BR32" i="31"/>
  <c r="BR31" i="31"/>
  <c r="BR30" i="31"/>
  <c r="BR29" i="31"/>
  <c r="BR28" i="31"/>
  <c r="BR27" i="31"/>
  <c r="BR26" i="31"/>
  <c r="BR25" i="31"/>
  <c r="BR15" i="31"/>
  <c r="BR14" i="31"/>
  <c r="BR13" i="31"/>
  <c r="BR12" i="31"/>
  <c r="BR11" i="31"/>
  <c r="BR10" i="31"/>
  <c r="BR9" i="31"/>
  <c r="BR8" i="31"/>
  <c r="BR7" i="31"/>
  <c r="BR6" i="31"/>
  <c r="DJ70" i="31" l="1"/>
  <c r="H25" i="37"/>
  <c r="H51" i="42" l="1"/>
  <c r="F51" i="42"/>
  <c r="E51" i="42"/>
  <c r="H28" i="42"/>
  <c r="H19" i="42"/>
  <c r="F28" i="42"/>
  <c r="F19" i="42"/>
  <c r="E28" i="42"/>
  <c r="E19" i="42"/>
  <c r="AA25" i="15"/>
  <c r="AA26" i="15"/>
  <c r="AA27" i="15"/>
  <c r="AA28" i="15"/>
  <c r="AA29" i="15"/>
  <c r="AA30" i="15"/>
  <c r="AA31" i="15"/>
  <c r="AA32" i="15"/>
  <c r="AA33" i="15"/>
  <c r="AA34" i="15"/>
  <c r="AG362" i="47" l="1"/>
  <c r="AF362" i="47"/>
  <c r="BE362" i="47" s="1"/>
  <c r="AG361" i="47"/>
  <c r="AF361" i="47"/>
  <c r="BE361" i="47" s="1"/>
  <c r="AG360" i="47"/>
  <c r="AF360" i="47"/>
  <c r="BE360" i="47" s="1"/>
  <c r="AG359" i="47"/>
  <c r="AF359" i="47"/>
  <c r="BE359" i="47" s="1"/>
  <c r="AG358" i="47"/>
  <c r="BE358" i="47"/>
  <c r="AD6" i="36"/>
  <c r="BF360" i="47" l="1"/>
  <c r="Y149" i="69"/>
  <c r="BF358" i="47"/>
  <c r="Y147" i="69"/>
  <c r="BF359" i="47"/>
  <c r="Y148" i="69"/>
  <c r="BF361" i="47"/>
  <c r="Y150" i="69"/>
  <c r="BF362" i="47"/>
  <c r="Y151" i="69"/>
  <c r="B3238" i="16"/>
  <c r="E119" i="16" l="1"/>
  <c r="B39" i="38" l="1"/>
  <c r="B37" i="38"/>
  <c r="C106" i="57"/>
  <c r="B7" i="57" s="1"/>
  <c r="C36" i="42"/>
  <c r="T14" i="52"/>
  <c r="T15" i="52" s="1"/>
  <c r="AS15" i="15"/>
  <c r="AY115" i="15"/>
  <c r="AX115" i="15"/>
  <c r="AV127" i="15"/>
  <c r="AX13" i="15"/>
  <c r="AW13" i="15"/>
  <c r="D273" i="57" l="1"/>
  <c r="D284" i="57" s="1"/>
  <c r="B1752" i="16" l="1"/>
  <c r="B1753" i="16"/>
  <c r="B1751" i="16"/>
  <c r="E8" i="63"/>
  <c r="E11" i="63"/>
  <c r="E14" i="63"/>
  <c r="E15" i="63"/>
  <c r="E17" i="63"/>
  <c r="E18" i="63"/>
  <c r="E19" i="63"/>
  <c r="E21" i="63"/>
  <c r="E22" i="63"/>
  <c r="E24" i="63"/>
  <c r="E25" i="63"/>
  <c r="E26" i="63"/>
  <c r="E27" i="63"/>
  <c r="E30" i="63"/>
  <c r="E32" i="63"/>
  <c r="E33" i="63"/>
  <c r="E35" i="63"/>
  <c r="E38" i="63"/>
  <c r="E39" i="63"/>
  <c r="E40" i="63"/>
  <c r="E43" i="63"/>
  <c r="E44" i="63"/>
  <c r="E45" i="63"/>
  <c r="E49" i="63"/>
  <c r="E50" i="63"/>
  <c r="E55" i="63"/>
  <c r="E57" i="63"/>
  <c r="E59" i="63"/>
  <c r="E60" i="63"/>
  <c r="E61" i="63"/>
  <c r="E62" i="63"/>
  <c r="E64" i="63"/>
  <c r="E65" i="63"/>
  <c r="E66" i="63"/>
  <c r="E67" i="63"/>
  <c r="E68" i="63"/>
  <c r="E71" i="63"/>
  <c r="E72" i="63"/>
  <c r="E73" i="63"/>
  <c r="E74" i="63"/>
  <c r="E76" i="63"/>
  <c r="E77" i="63"/>
  <c r="E78" i="63"/>
  <c r="E79" i="63"/>
  <c r="E82" i="63"/>
  <c r="E83" i="63"/>
  <c r="E84" i="63"/>
  <c r="E88" i="63"/>
  <c r="E89" i="63"/>
  <c r="E90" i="63"/>
  <c r="E91" i="63"/>
  <c r="E92" i="63"/>
  <c r="E93" i="63"/>
  <c r="E94" i="63"/>
  <c r="E99" i="63"/>
  <c r="E103" i="63"/>
  <c r="E104" i="63"/>
  <c r="E107" i="63"/>
  <c r="E108" i="63"/>
  <c r="E109" i="63"/>
  <c r="E110" i="63"/>
  <c r="E111" i="63"/>
  <c r="E112" i="63"/>
  <c r="E113" i="63"/>
  <c r="E114" i="63"/>
  <c r="E116" i="63"/>
  <c r="E117" i="63"/>
  <c r="E118" i="63"/>
  <c r="E119" i="63"/>
  <c r="E121" i="63"/>
  <c r="E122" i="63"/>
  <c r="E123" i="63"/>
  <c r="E125" i="63"/>
  <c r="E126" i="63"/>
  <c r="E127" i="63"/>
  <c r="E128" i="63"/>
  <c r="E129" i="63"/>
  <c r="E130" i="63"/>
  <c r="E132" i="63"/>
  <c r="E134" i="63"/>
  <c r="E135" i="63"/>
  <c r="E136" i="63"/>
  <c r="E138" i="63"/>
  <c r="E140" i="63"/>
  <c r="E141" i="63"/>
  <c r="E145" i="63"/>
  <c r="E147" i="63"/>
  <c r="E150" i="63"/>
  <c r="E151" i="63"/>
  <c r="E153" i="63"/>
  <c r="E154" i="63"/>
  <c r="E155" i="63"/>
  <c r="E156" i="63"/>
  <c r="E158" i="63"/>
  <c r="E159" i="63"/>
  <c r="E161" i="63"/>
  <c r="E162" i="63"/>
  <c r="E163" i="63"/>
  <c r="E164" i="63"/>
  <c r="E167" i="63"/>
  <c r="E169" i="63"/>
  <c r="E170" i="63"/>
  <c r="E171" i="63"/>
  <c r="E173" i="63"/>
  <c r="E174" i="63"/>
  <c r="E175" i="63"/>
  <c r="E176" i="63"/>
  <c r="E177" i="63"/>
  <c r="E179" i="63"/>
  <c r="E180" i="63"/>
  <c r="E182" i="63"/>
  <c r="E183" i="63"/>
  <c r="E184" i="63"/>
  <c r="E186" i="63"/>
  <c r="E187" i="63"/>
  <c r="E188" i="63"/>
  <c r="E200" i="63"/>
  <c r="E201" i="63"/>
  <c r="E202" i="63"/>
  <c r="E204" i="63"/>
  <c r="E205" i="63"/>
  <c r="E207" i="63"/>
  <c r="E208" i="63"/>
  <c r="E210" i="63"/>
  <c r="E214" i="63"/>
  <c r="E215" i="63"/>
  <c r="E217" i="63"/>
  <c r="E220" i="63"/>
  <c r="E221" i="63"/>
  <c r="E222" i="63"/>
  <c r="E223" i="63"/>
  <c r="E224" i="63"/>
  <c r="E226" i="63"/>
  <c r="E229" i="63"/>
  <c r="E230" i="63"/>
  <c r="E231" i="63"/>
  <c r="E232" i="63"/>
  <c r="E235" i="63"/>
  <c r="E236" i="63"/>
  <c r="E237" i="63"/>
  <c r="E238" i="63"/>
  <c r="E239" i="63"/>
  <c r="E241" i="63"/>
  <c r="E243" i="63"/>
  <c r="E244" i="63"/>
  <c r="E246" i="63"/>
  <c r="E247" i="63"/>
  <c r="E250" i="63"/>
  <c r="E251" i="63"/>
  <c r="E252" i="63"/>
  <c r="R102" i="49" l="1"/>
  <c r="S102" i="49"/>
  <c r="F102" i="49"/>
  <c r="G102" i="49"/>
  <c r="I102" i="49"/>
  <c r="AD157" i="43"/>
  <c r="AC101" i="43"/>
  <c r="E114" i="15"/>
  <c r="AR114" i="15" s="1"/>
  <c r="AR125" i="15" s="1"/>
  <c r="E113" i="15"/>
  <c r="C3224" i="16" l="1"/>
  <c r="C3227" i="16"/>
  <c r="C3226" i="16"/>
  <c r="C3225" i="16"/>
  <c r="DU145" i="43" l="1"/>
  <c r="DU112" i="43"/>
  <c r="DU74" i="43"/>
  <c r="DU41" i="43"/>
  <c r="DU7" i="43"/>
  <c r="CT145" i="43"/>
  <c r="CT112" i="43"/>
  <c r="CT74" i="43"/>
  <c r="CT41" i="43"/>
  <c r="CT7" i="43"/>
  <c r="CD190" i="43"/>
  <c r="CD169" i="43"/>
  <c r="CD145" i="43"/>
  <c r="CD112" i="43"/>
  <c r="CD74" i="43"/>
  <c r="CD41" i="43"/>
  <c r="CD7" i="43"/>
  <c r="N3154" i="16" l="1"/>
  <c r="T23" i="15" l="1"/>
  <c r="T54" i="15" s="1"/>
  <c r="R23" i="15"/>
  <c r="R54" i="15" s="1"/>
  <c r="Q23" i="15"/>
  <c r="Q54" i="15" s="1"/>
  <c r="K125" i="15"/>
  <c r="K114" i="15" s="1"/>
  <c r="K113" i="15"/>
  <c r="I124" i="15"/>
  <c r="I113" i="15" s="1"/>
  <c r="G125" i="15"/>
  <c r="G114" i="15" s="1"/>
  <c r="G124" i="15"/>
  <c r="G113" i="15" s="1"/>
  <c r="I140" i="15"/>
  <c r="V140" i="15"/>
  <c r="V98" i="15"/>
  <c r="C110" i="15"/>
  <c r="C108" i="15"/>
  <c r="AP108" i="15" s="1"/>
  <c r="C61" i="15"/>
  <c r="C50" i="15"/>
  <c r="C48" i="15"/>
  <c r="AP48" i="15" s="1"/>
  <c r="C19" i="15"/>
  <c r="C8" i="15"/>
  <c r="C6" i="15"/>
  <c r="C48" i="26"/>
  <c r="BA26" i="26"/>
  <c r="BA27" i="26"/>
  <c r="BA28" i="26"/>
  <c r="BA29" i="26"/>
  <c r="BA30" i="26"/>
  <c r="BA31" i="26"/>
  <c r="BA32" i="26"/>
  <c r="BA33" i="26"/>
  <c r="BA34" i="26"/>
  <c r="BA35" i="26"/>
  <c r="Q66" i="15" l="1"/>
  <c r="Q86" i="15" s="1"/>
  <c r="Q114" i="15"/>
  <c r="R66" i="15"/>
  <c r="R86" i="15" s="1"/>
  <c r="R114" i="15"/>
  <c r="W114" i="15" s="1"/>
  <c r="T66" i="15"/>
  <c r="T86" i="15" s="1"/>
  <c r="T114" i="15"/>
  <c r="X114" i="15" s="1"/>
  <c r="I125" i="15"/>
  <c r="I114" i="15" s="1"/>
  <c r="I32" i="25" l="1"/>
  <c r="I30" i="25"/>
  <c r="E443" i="16" l="1"/>
  <c r="E202" i="16"/>
  <c r="E201" i="16"/>
  <c r="E200" i="16"/>
  <c r="E199" i="16"/>
  <c r="C199" i="16"/>
  <c r="C200" i="16"/>
  <c r="C201" i="16"/>
  <c r="C202" i="16"/>
  <c r="E411" i="16" l="1"/>
  <c r="B3240" i="16"/>
  <c r="B3239" i="16"/>
  <c r="B3237" i="16"/>
  <c r="B3241" i="16" s="1"/>
  <c r="AF256" i="47" l="1"/>
  <c r="BC256" i="47" s="1"/>
  <c r="AG256" i="47"/>
  <c r="AF257" i="47"/>
  <c r="BC257" i="47" s="1"/>
  <c r="AG257" i="47"/>
  <c r="AF258" i="47"/>
  <c r="BC258" i="47" s="1"/>
  <c r="AG258" i="47"/>
  <c r="AF259" i="47"/>
  <c r="BC259" i="47" s="1"/>
  <c r="AG259" i="47"/>
  <c r="AF260" i="47"/>
  <c r="BC260" i="47" s="1"/>
  <c r="AG260" i="47"/>
  <c r="AG255" i="47"/>
  <c r="BD260" i="47" l="1"/>
  <c r="Y145" i="69"/>
  <c r="BD255" i="47"/>
  <c r="BD259" i="47"/>
  <c r="Y144" i="69"/>
  <c r="BD258" i="47"/>
  <c r="Y143" i="69"/>
  <c r="BD256" i="47"/>
  <c r="Y141" i="69"/>
  <c r="BD257" i="47"/>
  <c r="Y142" i="69"/>
  <c r="BM231" i="47"/>
  <c r="K185" i="57"/>
  <c r="K85" i="60" s="1"/>
  <c r="L185" i="57"/>
  <c r="L85" i="60" s="1"/>
  <c r="G193" i="57"/>
  <c r="B81" i="60"/>
  <c r="B82" i="60"/>
  <c r="B83" i="60"/>
  <c r="B84" i="60"/>
  <c r="B85" i="60"/>
  <c r="B80" i="60"/>
  <c r="O149" i="57"/>
  <c r="O150" i="57"/>
  <c r="O151" i="57"/>
  <c r="O148" i="57"/>
  <c r="K159" i="57"/>
  <c r="K273" i="57" s="1"/>
  <c r="K284" i="57" s="1"/>
  <c r="D159" i="57"/>
  <c r="E159" i="57"/>
  <c r="F159" i="57"/>
  <c r="F273" i="57" s="1"/>
  <c r="F284" i="57" s="1"/>
  <c r="G159" i="57"/>
  <c r="G273" i="57" s="1"/>
  <c r="G284" i="57" s="1"/>
  <c r="B71" i="60"/>
  <c r="H58" i="60"/>
  <c r="M41" i="60"/>
  <c r="I157" i="49"/>
  <c r="U157" i="49" s="1"/>
  <c r="E156" i="49"/>
  <c r="E147" i="49"/>
  <c r="Q147" i="49" s="1"/>
  <c r="E146" i="49"/>
  <c r="Q146" i="49" s="1"/>
  <c r="E144" i="49"/>
  <c r="Q144" i="49" s="1"/>
  <c r="I128" i="49"/>
  <c r="U128" i="49" s="1"/>
  <c r="E127" i="49"/>
  <c r="E118" i="49"/>
  <c r="Q118" i="49" s="1"/>
  <c r="Q7" i="25"/>
  <c r="Q8" i="25"/>
  <c r="Q9" i="25"/>
  <c r="Q6" i="25"/>
  <c r="R7" i="25"/>
  <c r="R8" i="25"/>
  <c r="R9" i="25"/>
  <c r="R6" i="25"/>
  <c r="O17" i="25"/>
  <c r="O18" i="25"/>
  <c r="O19" i="25"/>
  <c r="O20" i="25"/>
  <c r="O21" i="25"/>
  <c r="O22" i="25"/>
  <c r="O23" i="25"/>
  <c r="P17" i="25"/>
  <c r="P18" i="25"/>
  <c r="P19" i="25"/>
  <c r="P20" i="25"/>
  <c r="P21" i="25"/>
  <c r="P22" i="25"/>
  <c r="P23" i="25"/>
  <c r="E117" i="49"/>
  <c r="Q117" i="49" s="1"/>
  <c r="E115" i="49"/>
  <c r="Q115" i="49" s="1"/>
  <c r="L159" i="57" l="1"/>
  <c r="L284" i="57"/>
  <c r="J159" i="57"/>
  <c r="J273" i="57" s="1"/>
  <c r="J284" i="57" s="1"/>
  <c r="O128" i="49"/>
  <c r="O157" i="49"/>
  <c r="T100" i="49" l="1"/>
  <c r="H89" i="49"/>
  <c r="F89" i="49"/>
  <c r="I106" i="49"/>
  <c r="I105" i="49"/>
  <c r="I104" i="49"/>
  <c r="H91" i="49"/>
  <c r="G91" i="49"/>
  <c r="H92" i="49"/>
  <c r="G92" i="49"/>
  <c r="F92" i="49"/>
  <c r="E92" i="49"/>
  <c r="F90" i="49"/>
  <c r="E90" i="49"/>
  <c r="E89" i="49"/>
  <c r="E88" i="49"/>
  <c r="F87" i="49"/>
  <c r="E87" i="49"/>
  <c r="E82" i="49"/>
  <c r="F85" i="49"/>
  <c r="E85" i="49"/>
  <c r="F83" i="49"/>
  <c r="E83" i="49"/>
  <c r="F84" i="49"/>
  <c r="E84" i="49"/>
  <c r="F82" i="49"/>
  <c r="H93" i="49"/>
  <c r="H100" i="49"/>
  <c r="G100" i="49"/>
  <c r="F100" i="49"/>
  <c r="I99" i="49"/>
  <c r="H99" i="49"/>
  <c r="G99" i="49"/>
  <c r="F99" i="49"/>
  <c r="I96" i="49"/>
  <c r="H96" i="49"/>
  <c r="G96" i="49"/>
  <c r="F96" i="49"/>
  <c r="E96" i="49"/>
  <c r="I98" i="49"/>
  <c r="H98" i="49"/>
  <c r="G98" i="49"/>
  <c r="F98" i="49"/>
  <c r="E98" i="49"/>
  <c r="I97" i="49"/>
  <c r="H97" i="49"/>
  <c r="G97" i="49"/>
  <c r="F97" i="49"/>
  <c r="E97" i="49"/>
  <c r="I95" i="49"/>
  <c r="H95" i="49"/>
  <c r="G95" i="49"/>
  <c r="F95" i="49"/>
  <c r="E95" i="49"/>
  <c r="AK461" i="47"/>
  <c r="AK460" i="47"/>
  <c r="AK400" i="47"/>
  <c r="AK399" i="47"/>
  <c r="AY315" i="47"/>
  <c r="AY314" i="47"/>
  <c r="AK214" i="47"/>
  <c r="AK213" i="47"/>
  <c r="AK111" i="47"/>
  <c r="AK110" i="47"/>
  <c r="R67" i="37"/>
  <c r="AB30" i="54"/>
  <c r="N46" i="27"/>
  <c r="V47" i="25"/>
  <c r="Q51" i="14"/>
  <c r="P70" i="23"/>
  <c r="U37" i="15"/>
  <c r="O54" i="35"/>
  <c r="U49" i="32"/>
  <c r="U46" i="30"/>
  <c r="K144" i="49" l="1"/>
  <c r="K115" i="49"/>
  <c r="K146" i="49"/>
  <c r="K117" i="49"/>
  <c r="N100" i="49"/>
  <c r="K147" i="49"/>
  <c r="K118" i="49"/>
  <c r="CI9" i="50" l="1"/>
  <c r="CE10" i="50"/>
  <c r="CE28" i="50" s="1"/>
  <c r="CE9" i="50"/>
  <c r="CE27" i="50" s="1"/>
  <c r="CC9" i="50"/>
  <c r="CC27" i="50" s="1"/>
  <c r="BZ9" i="50"/>
  <c r="BZ27" i="50" s="1"/>
  <c r="BZ44" i="50" s="1"/>
  <c r="BX9" i="50"/>
  <c r="BX27" i="50" s="1"/>
  <c r="BX44" i="50" s="1"/>
  <c r="BV9" i="50"/>
  <c r="BV27" i="50" s="1"/>
  <c r="BV44" i="50" s="1"/>
  <c r="BT9" i="50"/>
  <c r="BT27" i="50" s="1"/>
  <c r="BT44" i="50" s="1"/>
  <c r="BU10" i="50"/>
  <c r="BU28" i="50" s="1"/>
  <c r="BU45" i="50" s="1"/>
  <c r="BU64" i="50" s="1"/>
  <c r="BW64" i="50" s="1"/>
  <c r="BY64" i="50" s="1"/>
  <c r="BT10" i="50"/>
  <c r="BT28" i="50" s="1"/>
  <c r="BT45" i="50" s="1"/>
  <c r="BT64" i="50" s="1"/>
  <c r="AB53" i="50"/>
  <c r="N44" i="50"/>
  <c r="H44" i="50"/>
  <c r="AB36" i="50"/>
  <c r="AB19" i="50"/>
  <c r="N27" i="50"/>
  <c r="F9" i="50"/>
  <c r="C9" i="50"/>
  <c r="C27" i="50" s="1"/>
  <c r="C44" i="50" s="1"/>
  <c r="C25" i="50"/>
  <c r="C24" i="50"/>
  <c r="AI9" i="50"/>
  <c r="AI27" i="50" s="1"/>
  <c r="AI44" i="50" s="1"/>
  <c r="AI62" i="50" s="1"/>
  <c r="J10" i="50"/>
  <c r="P10" i="50" s="1"/>
  <c r="H10" i="50"/>
  <c r="P28" i="50" s="1"/>
  <c r="X28" i="50" s="1"/>
  <c r="F10" i="50"/>
  <c r="R10" i="50" s="1"/>
  <c r="F28" i="50" s="1"/>
  <c r="AE9" i="50"/>
  <c r="AE27" i="50" s="1"/>
  <c r="AE44" i="50" s="1"/>
  <c r="AE62" i="50" s="1"/>
  <c r="H9" i="50"/>
  <c r="C6" i="50"/>
  <c r="C4" i="50"/>
  <c r="F25" i="49"/>
  <c r="Q90" i="49" s="1"/>
  <c r="F49" i="49"/>
  <c r="H184" i="57" s="1"/>
  <c r="H84" i="60" s="1"/>
  <c r="F24" i="49"/>
  <c r="F22" i="49"/>
  <c r="Q87" i="49" s="1"/>
  <c r="P205" i="43"/>
  <c r="N205" i="43"/>
  <c r="M205" i="43"/>
  <c r="CE33" i="31"/>
  <c r="CE24" i="31"/>
  <c r="B33" i="27"/>
  <c r="B31" i="27"/>
  <c r="B32" i="27"/>
  <c r="B30" i="27"/>
  <c r="CA64" i="50" l="1"/>
  <c r="BV64" i="50"/>
  <c r="BX64" i="50" s="1"/>
  <c r="M206" i="43"/>
  <c r="Q89" i="49"/>
  <c r="H122" i="57"/>
  <c r="G12" i="60"/>
  <c r="K89" i="49"/>
  <c r="G10" i="60"/>
  <c r="K87" i="49"/>
  <c r="G13" i="60"/>
  <c r="K90" i="49"/>
  <c r="H120" i="57"/>
  <c r="H123" i="57"/>
  <c r="N28" i="50"/>
  <c r="V28" i="50" s="1"/>
  <c r="R28" i="50"/>
  <c r="H45" i="50"/>
  <c r="T10" i="50"/>
  <c r="N10" i="50"/>
  <c r="V10" i="50"/>
  <c r="BI29" i="26"/>
  <c r="BI30" i="26"/>
  <c r="BI31" i="26"/>
  <c r="BI32" i="26"/>
  <c r="BI33" i="26"/>
  <c r="BI34" i="26"/>
  <c r="BI35" i="26"/>
  <c r="C6" i="59"/>
  <c r="O4" i="59"/>
  <c r="C4" i="59"/>
  <c r="O3" i="59"/>
  <c r="C3" i="59"/>
  <c r="AE10" i="50" l="1"/>
  <c r="AE28" i="50" s="1"/>
  <c r="H28" i="50"/>
  <c r="AG10" i="50"/>
  <c r="AG28" i="50" s="1"/>
  <c r="J28" i="50"/>
  <c r="Z28" i="50"/>
  <c r="J45" i="50"/>
  <c r="T12" i="52" l="1"/>
  <c r="T10" i="52"/>
  <c r="T8" i="52"/>
  <c r="T6" i="52"/>
  <c r="AC5" i="52"/>
  <c r="AB5" i="52"/>
  <c r="AA5" i="52"/>
  <c r="Z5" i="52"/>
  <c r="Z4" i="52"/>
  <c r="AB26" i="47"/>
  <c r="AB28" i="47"/>
  <c r="AB29" i="47"/>
  <c r="Z26" i="47"/>
  <c r="Z28" i="47"/>
  <c r="Z29" i="47"/>
  <c r="C112" i="43"/>
  <c r="C145" i="43"/>
  <c r="AD28" i="47" l="1"/>
  <c r="AD26" i="47"/>
  <c r="AD29" i="47"/>
  <c r="AG31" i="30" l="1"/>
  <c r="L26" i="35"/>
  <c r="L27" i="35"/>
  <c r="L28" i="35"/>
  <c r="L29" i="35"/>
  <c r="L30" i="35"/>
  <c r="L31" i="35"/>
  <c r="L32" i="35"/>
  <c r="L33" i="35"/>
  <c r="L24" i="35"/>
  <c r="D1310" i="16" l="1"/>
  <c r="E1250" i="16"/>
  <c r="E1275" i="16"/>
  <c r="D1275" i="16"/>
  <c r="E1339" i="16"/>
  <c r="D1339" i="16"/>
  <c r="E1323" i="16"/>
  <c r="D1323" i="16"/>
  <c r="E1307" i="16"/>
  <c r="D1307" i="16"/>
  <c r="E1291" i="16"/>
  <c r="D1291" i="16"/>
  <c r="E1259" i="16"/>
  <c r="D1259" i="16"/>
  <c r="E1243" i="16"/>
  <c r="D1243" i="16"/>
  <c r="E1227" i="16"/>
  <c r="D1227" i="16"/>
  <c r="E1211" i="16"/>
  <c r="D1211" i="16"/>
  <c r="C928" i="16" l="1"/>
  <c r="C108" i="57" l="1"/>
  <c r="C10" i="57" s="1"/>
  <c r="C110" i="57"/>
  <c r="C12" i="57" s="1"/>
  <c r="C109" i="57"/>
  <c r="C11" i="57" s="1"/>
  <c r="C107" i="57"/>
  <c r="C9" i="57" s="1"/>
  <c r="H109" i="57"/>
  <c r="D20" i="57" s="1"/>
  <c r="H108" i="57"/>
  <c r="D19" i="57" s="1"/>
  <c r="N13" i="21"/>
  <c r="F107" i="57" s="1"/>
  <c r="B18" i="57" s="1"/>
  <c r="D4" i="21"/>
  <c r="D10" i="21"/>
  <c r="B106" i="57" s="1"/>
  <c r="D11" i="21"/>
  <c r="D12" i="21"/>
  <c r="D13" i="21"/>
  <c r="D14" i="21"/>
  <c r="D15" i="21"/>
  <c r="D9" i="21"/>
  <c r="D8" i="21"/>
  <c r="N7" i="21"/>
  <c r="B107" i="57"/>
  <c r="B9" i="57" s="1"/>
  <c r="N9" i="21"/>
  <c r="B108" i="57" s="1"/>
  <c r="B10" i="57" s="1"/>
  <c r="N10" i="21"/>
  <c r="B109" i="57" s="1"/>
  <c r="B11" i="57" s="1"/>
  <c r="N11" i="21"/>
  <c r="B110" i="57" s="1"/>
  <c r="B12" i="57" s="1"/>
  <c r="S15" i="21"/>
  <c r="F110" i="57" s="1"/>
  <c r="B21" i="57" s="1"/>
  <c r="S14" i="21"/>
  <c r="S13" i="21"/>
  <c r="O110" i="57"/>
  <c r="O109" i="57"/>
  <c r="F109" i="57" l="1"/>
  <c r="B20" i="57" s="1"/>
  <c r="F108" i="57"/>
  <c r="B19" i="57" s="1"/>
  <c r="BI627" i="16"/>
  <c r="BI626" i="16"/>
  <c r="BI625" i="16"/>
  <c r="BI624" i="16"/>
  <c r="BI623" i="16"/>
  <c r="BH627" i="16"/>
  <c r="BH626" i="16"/>
  <c r="BH625" i="16"/>
  <c r="BH624" i="16"/>
  <c r="BH623" i="16"/>
  <c r="BG627" i="16"/>
  <c r="BG626" i="16"/>
  <c r="BG625" i="16"/>
  <c r="BG624" i="16"/>
  <c r="BG623" i="16"/>
  <c r="BG629" i="16"/>
  <c r="BG628" i="16"/>
  <c r="BD627" i="16"/>
  <c r="BD626" i="16"/>
  <c r="BD625" i="16"/>
  <c r="BD624" i="16"/>
  <c r="BD623" i="16"/>
  <c r="BD631" i="16"/>
  <c r="BD632" i="16"/>
  <c r="BD633" i="16"/>
  <c r="BD630" i="16"/>
  <c r="BC627" i="16"/>
  <c r="BC626" i="16"/>
  <c r="BC625" i="16"/>
  <c r="BC624" i="16"/>
  <c r="BC623" i="16"/>
  <c r="BB633" i="16"/>
  <c r="BB632" i="16"/>
  <c r="BB631" i="16"/>
  <c r="BB630" i="16"/>
  <c r="Y627" i="16"/>
  <c r="Y626" i="16"/>
  <c r="Y625" i="16"/>
  <c r="Y624" i="16"/>
  <c r="Y623" i="16"/>
  <c r="W629" i="16"/>
  <c r="W628" i="16"/>
  <c r="T627" i="16"/>
  <c r="T626" i="16"/>
  <c r="T625" i="16"/>
  <c r="T624" i="16"/>
  <c r="T623" i="16"/>
  <c r="T633" i="16"/>
  <c r="T632" i="16"/>
  <c r="T631" i="16"/>
  <c r="T630" i="16"/>
  <c r="R624" i="16"/>
  <c r="R625" i="16"/>
  <c r="R626" i="16"/>
  <c r="R627" i="16"/>
  <c r="R623" i="16"/>
  <c r="S627" i="16"/>
  <c r="S626" i="16"/>
  <c r="S625" i="16"/>
  <c r="S624" i="16"/>
  <c r="S623" i="16"/>
  <c r="R630" i="16"/>
  <c r="R628" i="16"/>
  <c r="R629" i="16"/>
  <c r="AL606" i="16"/>
  <c r="AK606" i="16"/>
  <c r="AJ606" i="16"/>
  <c r="AL605" i="16"/>
  <c r="AK605" i="16"/>
  <c r="AJ605" i="16"/>
  <c r="AA606" i="16"/>
  <c r="Z606" i="16"/>
  <c r="Y606" i="16"/>
  <c r="AA605" i="16"/>
  <c r="Z605" i="16"/>
  <c r="Y605" i="16"/>
  <c r="R606" i="16"/>
  <c r="R605" i="16"/>
  <c r="Q606" i="16"/>
  <c r="P606" i="16"/>
  <c r="O606" i="16"/>
  <c r="Q605" i="16"/>
  <c r="P605" i="16"/>
  <c r="O605" i="16"/>
  <c r="J606" i="16"/>
  <c r="I606" i="16"/>
  <c r="H606" i="16"/>
  <c r="G606" i="16"/>
  <c r="J605" i="16"/>
  <c r="I605" i="16"/>
  <c r="H605" i="16"/>
  <c r="G605" i="16"/>
  <c r="G801" i="16"/>
  <c r="AP62" i="40" l="1"/>
  <c r="AP61" i="40"/>
  <c r="C95" i="42"/>
  <c r="AP63" i="40"/>
  <c r="F14" i="49" l="1"/>
  <c r="L14" i="49"/>
  <c r="Q14" i="49"/>
  <c r="T14" i="49"/>
  <c r="F15" i="49"/>
  <c r="G15" i="49"/>
  <c r="J15" i="49"/>
  <c r="L15" i="49"/>
  <c r="M15" i="49"/>
  <c r="Q15" i="49"/>
  <c r="R15" i="49"/>
  <c r="T15" i="49"/>
  <c r="U15" i="49"/>
  <c r="V15" i="49"/>
  <c r="D15" i="49"/>
  <c r="D14" i="49"/>
  <c r="B14" i="49"/>
  <c r="B15" i="59" s="1"/>
  <c r="O4" i="49"/>
  <c r="O3" i="49"/>
  <c r="C6" i="49"/>
  <c r="C4" i="49"/>
  <c r="C3" i="49"/>
  <c r="BK14" i="36"/>
  <c r="W26" i="37" s="1"/>
  <c r="BK15" i="36"/>
  <c r="W27" i="37" s="1"/>
  <c r="BK16" i="36"/>
  <c r="BK17" i="36"/>
  <c r="W29" i="37" s="1"/>
  <c r="BK18" i="36"/>
  <c r="W30" i="37" s="1"/>
  <c r="BK19" i="36"/>
  <c r="W31" i="37" s="1"/>
  <c r="BK20" i="36"/>
  <c r="U32" i="37" s="1"/>
  <c r="BK13" i="36"/>
  <c r="W25" i="37" s="1"/>
  <c r="AY9" i="36"/>
  <c r="AF10" i="36"/>
  <c r="AC10" i="36"/>
  <c r="AB24" i="36"/>
  <c r="U28" i="37" l="1"/>
  <c r="W28" i="37"/>
  <c r="W32" i="37"/>
  <c r="V32" i="37"/>
  <c r="V28" i="37"/>
  <c r="U31" i="37"/>
  <c r="U27" i="37"/>
  <c r="V27" i="37"/>
  <c r="V31" i="37"/>
  <c r="U30" i="37"/>
  <c r="U26" i="37"/>
  <c r="U25" i="37"/>
  <c r="U29" i="37"/>
  <c r="V25" i="37"/>
  <c r="V29" i="37"/>
  <c r="V26" i="37"/>
  <c r="V30" i="37"/>
  <c r="AE181" i="43" l="1"/>
  <c r="AE206" i="43"/>
  <c r="C9" i="55" l="1"/>
  <c r="C10" i="55"/>
  <c r="C11" i="55"/>
  <c r="C12" i="55"/>
  <c r="C13" i="55"/>
  <c r="C8" i="55"/>
  <c r="J505" i="47"/>
  <c r="J506" i="47"/>
  <c r="J507" i="47"/>
  <c r="J508" i="47"/>
  <c r="J509" i="47"/>
  <c r="J510" i="47"/>
  <c r="J511" i="47"/>
  <c r="J504" i="47"/>
  <c r="BO503" i="47" l="1"/>
  <c r="P115" i="68" l="1"/>
  <c r="K119" i="55" s="1"/>
  <c r="P116" i="68"/>
  <c r="K120" i="55" s="1"/>
  <c r="P114" i="68"/>
  <c r="K118" i="55" s="1"/>
  <c r="H505" i="47"/>
  <c r="H506" i="47"/>
  <c r="H507" i="47"/>
  <c r="H508" i="47"/>
  <c r="H509" i="47"/>
  <c r="CM202" i="43" s="1"/>
  <c r="H510" i="47"/>
  <c r="CM203" i="43" s="1"/>
  <c r="H511" i="47"/>
  <c r="CM204" i="43" s="1"/>
  <c r="CE197" i="43"/>
  <c r="CE198" i="43"/>
  <c r="CE199" i="43"/>
  <c r="CE200" i="43"/>
  <c r="CE201" i="43"/>
  <c r="R116" i="68" l="1"/>
  <c r="M120" i="55" s="1"/>
  <c r="Q116" i="68"/>
  <c r="L120" i="55" s="1"/>
  <c r="R114" i="68"/>
  <c r="M118" i="55" s="1"/>
  <c r="Q114" i="68"/>
  <c r="L118" i="55" s="1"/>
  <c r="R115" i="68"/>
  <c r="M119" i="55" s="1"/>
  <c r="Q115" i="68"/>
  <c r="L119" i="55" s="1"/>
  <c r="CM198" i="43"/>
  <c r="I505" i="47" s="1"/>
  <c r="CM199" i="43"/>
  <c r="I506" i="47" s="1"/>
  <c r="CM200" i="43"/>
  <c r="I507" i="47" s="1"/>
  <c r="CM201" i="43"/>
  <c r="I508" i="47" s="1"/>
  <c r="I509" i="47"/>
  <c r="I510" i="47"/>
  <c r="I511" i="47"/>
  <c r="G505" i="47"/>
  <c r="G506" i="47"/>
  <c r="G507" i="47"/>
  <c r="G508" i="47"/>
  <c r="G509" i="47"/>
  <c r="G510" i="47"/>
  <c r="G511" i="47"/>
  <c r="G504" i="47"/>
  <c r="E505" i="47"/>
  <c r="E506" i="47"/>
  <c r="E507" i="47"/>
  <c r="E508" i="47"/>
  <c r="E509" i="47"/>
  <c r="E510" i="47"/>
  <c r="E511" i="47"/>
  <c r="E504" i="47"/>
  <c r="E468" i="47"/>
  <c r="F511" i="47"/>
  <c r="F505" i="47"/>
  <c r="F506" i="47"/>
  <c r="F507" i="47"/>
  <c r="F508" i="47"/>
  <c r="F509" i="47"/>
  <c r="F510" i="47"/>
  <c r="F504" i="47"/>
  <c r="D505" i="47"/>
  <c r="D506" i="47"/>
  <c r="D507" i="47"/>
  <c r="D508" i="47"/>
  <c r="D509" i="47"/>
  <c r="D510" i="47"/>
  <c r="D511" i="47"/>
  <c r="D504" i="47"/>
  <c r="C505" i="47"/>
  <c r="C506" i="47"/>
  <c r="C507" i="47"/>
  <c r="C508" i="47"/>
  <c r="C509" i="47"/>
  <c r="C510" i="47"/>
  <c r="C511" i="47"/>
  <c r="C504" i="47"/>
  <c r="C485" i="47"/>
  <c r="B505" i="47"/>
  <c r="B506" i="47"/>
  <c r="B507" i="47"/>
  <c r="K507" i="47" s="1"/>
  <c r="CF200" i="43" s="1"/>
  <c r="B508" i="47"/>
  <c r="K508" i="47" s="1"/>
  <c r="CF201" i="43" s="1"/>
  <c r="B509" i="47"/>
  <c r="K509" i="47" s="1"/>
  <c r="CF202" i="43" s="1"/>
  <c r="CH202" i="43" s="1"/>
  <c r="CJ202" i="43" s="1"/>
  <c r="B510" i="47"/>
  <c r="K510" i="47" s="1"/>
  <c r="CF203" i="43" s="1"/>
  <c r="CH203" i="43" s="1"/>
  <c r="CJ203" i="43" s="1"/>
  <c r="B511" i="47"/>
  <c r="K511" i="47" s="1"/>
  <c r="CF204" i="43" s="1"/>
  <c r="CH204" i="43" s="1"/>
  <c r="CJ204" i="43" s="1"/>
  <c r="B504" i="47"/>
  <c r="B3227" i="16"/>
  <c r="B3226" i="16"/>
  <c r="F128" i="55" s="1"/>
  <c r="CA67" i="50" s="1"/>
  <c r="G128" i="55" s="1"/>
  <c r="B3225" i="16"/>
  <c r="F127" i="55" l="1"/>
  <c r="CA66" i="50" s="1"/>
  <c r="G127" i="55" s="1"/>
  <c r="H504" i="47"/>
  <c r="CM197" i="43" s="1"/>
  <c r="I504" i="47" s="1"/>
  <c r="U129" i="55"/>
  <c r="V129" i="55"/>
  <c r="U128" i="55"/>
  <c r="U130" i="55"/>
  <c r="V130" i="55"/>
  <c r="C513" i="47"/>
  <c r="D513" i="47"/>
  <c r="F513" i="47"/>
  <c r="L511" i="47"/>
  <c r="P511" i="47" s="1"/>
  <c r="CH200" i="43"/>
  <c r="L507" i="47"/>
  <c r="P507" i="47" s="1"/>
  <c r="L509" i="47"/>
  <c r="P509" i="47" s="1"/>
  <c r="L510" i="47"/>
  <c r="P510" i="47" s="1"/>
  <c r="L508" i="47"/>
  <c r="P508" i="47" s="1"/>
  <c r="CH201" i="43"/>
  <c r="C190" i="43"/>
  <c r="S5" i="59" l="1"/>
  <c r="S5" i="49"/>
  <c r="K110" i="57" s="1"/>
  <c r="P151" i="57" s="1"/>
  <c r="M508" i="47"/>
  <c r="Q508" i="47" s="1"/>
  <c r="CJ201" i="43"/>
  <c r="N508" i="47" s="1"/>
  <c r="R508" i="47" s="1"/>
  <c r="AY508" i="47" s="1"/>
  <c r="CJ200" i="43"/>
  <c r="N507" i="47" s="1"/>
  <c r="R507" i="47" s="1"/>
  <c r="M507" i="47"/>
  <c r="Q507" i="47" s="1"/>
  <c r="M510" i="47"/>
  <c r="Q510" i="47" s="1"/>
  <c r="N510" i="47"/>
  <c r="R510" i="47" s="1"/>
  <c r="M509" i="47"/>
  <c r="Q509" i="47" s="1"/>
  <c r="N509" i="47"/>
  <c r="R509" i="47" s="1"/>
  <c r="N511" i="47"/>
  <c r="R511" i="47" s="1"/>
  <c r="M511" i="47"/>
  <c r="Q511" i="47" s="1"/>
  <c r="C3093" i="16"/>
  <c r="C3092" i="16"/>
  <c r="C3091" i="16"/>
  <c r="C3090" i="16"/>
  <c r="C3089" i="16"/>
  <c r="C3088" i="16"/>
  <c r="C3087" i="16"/>
  <c r="C3086" i="16"/>
  <c r="C3085" i="16"/>
  <c r="C3084" i="16"/>
  <c r="C3076" i="16"/>
  <c r="C3075" i="16"/>
  <c r="C3074" i="16"/>
  <c r="C3073" i="16"/>
  <c r="C3072" i="16"/>
  <c r="C3071" i="16"/>
  <c r="C3070" i="16"/>
  <c r="C3069" i="16"/>
  <c r="C3068" i="16"/>
  <c r="C3067" i="16"/>
  <c r="AX509" i="47" l="1"/>
  <c r="AY510" i="47"/>
  <c r="AY509" i="47"/>
  <c r="AX510" i="47"/>
  <c r="AX511" i="47"/>
  <c r="AX507" i="47"/>
  <c r="AX508" i="47"/>
  <c r="AY511" i="47"/>
  <c r="AY507" i="47"/>
  <c r="T73" i="29"/>
  <c r="T21" i="29"/>
  <c r="T47" i="29"/>
  <c r="V34" i="29"/>
  <c r="V59" i="29" s="1"/>
  <c r="P34" i="29"/>
  <c r="W34" i="29" s="1"/>
  <c r="W59" i="29" s="1"/>
  <c r="N34" i="29"/>
  <c r="N59" i="29" s="1"/>
  <c r="Y33" i="29"/>
  <c r="Y58" i="29" s="1"/>
  <c r="V33" i="29"/>
  <c r="V58" i="29" s="1"/>
  <c r="W11" i="15" s="1"/>
  <c r="W21" i="15" s="1"/>
  <c r="W52" i="15" s="1"/>
  <c r="W64" i="15" s="1"/>
  <c r="W112" i="15" s="1"/>
  <c r="W123" i="15" s="1"/>
  <c r="N33" i="29"/>
  <c r="B30" i="29"/>
  <c r="AR30" i="29" s="1"/>
  <c r="AB38" i="26"/>
  <c r="BA24" i="26"/>
  <c r="BC22" i="26"/>
  <c r="BL9" i="26"/>
  <c r="BL22" i="26" s="1"/>
  <c r="BI9" i="26"/>
  <c r="BI22" i="26" s="1"/>
  <c r="BD11" i="26"/>
  <c r="BD24" i="26" s="1"/>
  <c r="BC11" i="26"/>
  <c r="BC24" i="26" s="1"/>
  <c r="BC55" i="26" s="1"/>
  <c r="BH55" i="26" s="1"/>
  <c r="BM55" i="26" s="1"/>
  <c r="BR55" i="26" s="1"/>
  <c r="BY55" i="26" s="1"/>
  <c r="CB55" i="26" s="1"/>
  <c r="C11" i="26"/>
  <c r="BA11" i="26" s="1"/>
  <c r="C9" i="26"/>
  <c r="BA9" i="26" s="1"/>
  <c r="C19" i="26"/>
  <c r="N12" i="26"/>
  <c r="X22" i="26"/>
  <c r="AG9" i="26"/>
  <c r="AG22" i="26" s="1"/>
  <c r="AG52" i="26" s="1"/>
  <c r="AD9" i="26"/>
  <c r="AD22" i="26" s="1"/>
  <c r="AD52" i="26" s="1"/>
  <c r="S9" i="26"/>
  <c r="S22" i="26" s="1"/>
  <c r="M9" i="26"/>
  <c r="M22" i="26" s="1"/>
  <c r="I9" i="26"/>
  <c r="I22" i="26" s="1"/>
  <c r="K11" i="26"/>
  <c r="K24" i="26" s="1"/>
  <c r="I11" i="26"/>
  <c r="I24" i="26" s="1"/>
  <c r="G11" i="26"/>
  <c r="G24" i="26" s="1"/>
  <c r="C15" i="26"/>
  <c r="BA15" i="26" s="1"/>
  <c r="C14" i="26"/>
  <c r="BA14" i="26" s="1"/>
  <c r="C16" i="26"/>
  <c r="BA16" i="26" s="1"/>
  <c r="C13" i="26"/>
  <c r="BA13" i="26" s="1"/>
  <c r="C7" i="26"/>
  <c r="C5" i="26"/>
  <c r="C40" i="26"/>
  <c r="C82" i="26" s="1"/>
  <c r="Q12" i="26" l="1"/>
  <c r="Q25" i="26" s="1"/>
  <c r="O12" i="36"/>
  <c r="Q12" i="36" s="1"/>
  <c r="P59" i="29"/>
  <c r="T11" i="26"/>
  <c r="X11" i="26" s="1"/>
  <c r="X24" i="26" s="1"/>
  <c r="N25" i="26"/>
  <c r="BE11" i="26"/>
  <c r="BE24" i="26" s="1"/>
  <c r="BE10" i="26"/>
  <c r="BE23" i="26" s="1"/>
  <c r="M11" i="26"/>
  <c r="M24" i="26" s="1"/>
  <c r="BG10" i="26"/>
  <c r="BG23" i="26" s="1"/>
  <c r="BF11" i="26"/>
  <c r="BC10" i="26"/>
  <c r="BC23" i="26" s="1"/>
  <c r="P11" i="26"/>
  <c r="P24" i="26" s="1"/>
  <c r="U11" i="26"/>
  <c r="S11" i="26"/>
  <c r="N3195" i="16"/>
  <c r="N3194" i="16"/>
  <c r="N3193" i="16"/>
  <c r="N3192" i="16"/>
  <c r="N3191" i="16"/>
  <c r="N3190" i="16"/>
  <c r="N3189" i="16"/>
  <c r="N3188" i="16"/>
  <c r="N3187" i="16"/>
  <c r="N3186" i="16"/>
  <c r="D3187" i="16"/>
  <c r="D3188" i="16"/>
  <c r="D3189" i="16"/>
  <c r="D3190" i="16"/>
  <c r="D3191" i="16"/>
  <c r="D3192" i="16"/>
  <c r="D3193" i="16"/>
  <c r="D3194" i="16"/>
  <c r="D3195" i="16"/>
  <c r="D3186" i="16"/>
  <c r="T143" i="54"/>
  <c r="S143" i="54"/>
  <c r="R143" i="54"/>
  <c r="Q143" i="54"/>
  <c r="O143" i="54"/>
  <c r="N143" i="54"/>
  <c r="M142" i="54"/>
  <c r="Q141" i="54"/>
  <c r="P141" i="54"/>
  <c r="N141" i="54"/>
  <c r="M140" i="54"/>
  <c r="K143" i="54"/>
  <c r="L143" i="54"/>
  <c r="J143" i="54"/>
  <c r="I143" i="54"/>
  <c r="H143" i="54"/>
  <c r="G143" i="54"/>
  <c r="H142" i="54"/>
  <c r="G142" i="54"/>
  <c r="I141" i="54"/>
  <c r="H141" i="54"/>
  <c r="G141" i="54"/>
  <c r="H140" i="54"/>
  <c r="T24" i="26" l="1"/>
  <c r="T54" i="26" s="1"/>
  <c r="X54" i="26" s="1"/>
  <c r="BE55" i="26" s="1"/>
  <c r="BJ55" i="26" s="1"/>
  <c r="BO55" i="26" s="1"/>
  <c r="BT55" i="26" s="1"/>
  <c r="AD11" i="26"/>
  <c r="AD24" i="26" s="1"/>
  <c r="AD54" i="26" s="1"/>
  <c r="BG11" i="26"/>
  <c r="BG24" i="26" s="1"/>
  <c r="BF24" i="26"/>
  <c r="BH11" i="26"/>
  <c r="Z11" i="26"/>
  <c r="U24" i="26"/>
  <c r="U54" i="26" s="1"/>
  <c r="Z54" i="26" s="1"/>
  <c r="BF55" i="26" s="1"/>
  <c r="BK55" i="26" s="1"/>
  <c r="BP55" i="26" s="1"/>
  <c r="BU55" i="26" s="1"/>
  <c r="W11" i="26"/>
  <c r="W24" i="26" s="1"/>
  <c r="S24" i="26"/>
  <c r="S54" i="26" s="1"/>
  <c r="W54" i="26" s="1"/>
  <c r="BD55" i="26" s="1"/>
  <c r="BI55" i="26" s="1"/>
  <c r="BN55" i="26" s="1"/>
  <c r="BS55" i="26" s="1"/>
  <c r="S8" i="29"/>
  <c r="V8" i="29"/>
  <c r="Y8" i="29"/>
  <c r="P9" i="29"/>
  <c r="BI11" i="26" l="1"/>
  <c r="BI24" i="26" s="1"/>
  <c r="BH24" i="26"/>
  <c r="BJ11" i="26"/>
  <c r="Z24" i="26"/>
  <c r="AE11" i="26"/>
  <c r="AE24" i="26" s="1"/>
  <c r="AE54" i="26" s="1"/>
  <c r="H8" i="38"/>
  <c r="F79" i="55"/>
  <c r="Z67" i="55"/>
  <c r="C34" i="43"/>
  <c r="CI17" i="67" l="1"/>
  <c r="BL11" i="26"/>
  <c r="BL24" i="26" s="1"/>
  <c r="BJ24" i="26"/>
  <c r="BM11" i="26"/>
  <c r="BM24" i="26" s="1"/>
  <c r="BZ55" i="26" s="1"/>
  <c r="CC55" i="26" s="1"/>
  <c r="P15" i="67"/>
  <c r="P14" i="67"/>
  <c r="P17" i="67"/>
  <c r="P16" i="67"/>
  <c r="N10" i="68" l="1"/>
  <c r="O10" i="68"/>
  <c r="N7" i="68"/>
  <c r="O7" i="68"/>
  <c r="N11" i="68"/>
  <c r="O11" i="68"/>
  <c r="O9" i="68"/>
  <c r="N9" i="68"/>
  <c r="O8" i="68"/>
  <c r="N8" i="68"/>
  <c r="M7" i="68"/>
  <c r="M9" i="68"/>
  <c r="M11" i="68"/>
  <c r="M8" i="68"/>
  <c r="M10" i="68"/>
  <c r="M6" i="68"/>
  <c r="D105" i="55"/>
  <c r="D104" i="55"/>
  <c r="D103" i="55"/>
  <c r="D102" i="55"/>
  <c r="D101" i="55"/>
  <c r="D100" i="55"/>
  <c r="C77" i="55" l="1"/>
  <c r="C87" i="55" s="1"/>
  <c r="C98" i="55" s="1"/>
  <c r="C67" i="55"/>
  <c r="C80" i="55" s="1"/>
  <c r="C90" i="55" s="1"/>
  <c r="C101" i="55" s="1"/>
  <c r="C68" i="55"/>
  <c r="C81" i="55" s="1"/>
  <c r="C91" i="55" s="1"/>
  <c r="C102" i="55" s="1"/>
  <c r="C69" i="55"/>
  <c r="C82" i="55" s="1"/>
  <c r="C92" i="55" s="1"/>
  <c r="C103" i="55" s="1"/>
  <c r="C70" i="55"/>
  <c r="C83" i="55" s="1"/>
  <c r="C93" i="55" s="1"/>
  <c r="C104" i="55" s="1"/>
  <c r="C71" i="55"/>
  <c r="C84" i="55" s="1"/>
  <c r="C94" i="55" s="1"/>
  <c r="C105" i="55" s="1"/>
  <c r="C66" i="55"/>
  <c r="C79" i="55" s="1"/>
  <c r="B66" i="55"/>
  <c r="B67" i="55"/>
  <c r="B68" i="55"/>
  <c r="B69" i="55"/>
  <c r="B70" i="55"/>
  <c r="B71" i="55"/>
  <c r="Z68" i="55"/>
  <c r="Z66" i="55"/>
  <c r="G80" i="55"/>
  <c r="G90" i="55" s="1"/>
  <c r="G101" i="55" s="1"/>
  <c r="G81" i="55"/>
  <c r="G91" i="55" s="1"/>
  <c r="G102" i="55" s="1"/>
  <c r="G82" i="55"/>
  <c r="G92" i="55" s="1"/>
  <c r="G103" i="55" s="1"/>
  <c r="G83" i="55"/>
  <c r="G93" i="55" s="1"/>
  <c r="G104" i="55" s="1"/>
  <c r="G84" i="55"/>
  <c r="G94" i="55" s="1"/>
  <c r="G105" i="55" s="1"/>
  <c r="G79" i="55"/>
  <c r="G89" i="55" s="1"/>
  <c r="G100" i="55" s="1"/>
  <c r="H84" i="55"/>
  <c r="H94" i="55" s="1"/>
  <c r="H105" i="55" s="1"/>
  <c r="H83" i="55"/>
  <c r="H93" i="55" s="1"/>
  <c r="H104" i="55" s="1"/>
  <c r="H82" i="55"/>
  <c r="H92" i="55" s="1"/>
  <c r="H103" i="55" s="1"/>
  <c r="H81" i="55"/>
  <c r="H91" i="55" s="1"/>
  <c r="H102" i="55" s="1"/>
  <c r="H80" i="55"/>
  <c r="H90" i="55" s="1"/>
  <c r="H101" i="55" s="1"/>
  <c r="H79" i="55"/>
  <c r="H89" i="55" s="1"/>
  <c r="H100" i="55" s="1"/>
  <c r="F80" i="55"/>
  <c r="F90" i="55" s="1"/>
  <c r="F101" i="55" s="1"/>
  <c r="F81" i="55"/>
  <c r="F91" i="55" s="1"/>
  <c r="F102" i="55" s="1"/>
  <c r="F82" i="55"/>
  <c r="F92" i="55" s="1"/>
  <c r="F103" i="55" s="1"/>
  <c r="F83" i="55"/>
  <c r="F93" i="55" s="1"/>
  <c r="F104" i="55" s="1"/>
  <c r="F84" i="55"/>
  <c r="F94" i="55" s="1"/>
  <c r="F105" i="55" s="1"/>
  <c r="F89" i="55"/>
  <c r="F100" i="55" s="1"/>
  <c r="G41" i="55"/>
  <c r="E80" i="55"/>
  <c r="E90" i="55" s="1"/>
  <c r="E101" i="55" s="1"/>
  <c r="E81" i="55"/>
  <c r="E91" i="55" s="1"/>
  <c r="E102" i="55" s="1"/>
  <c r="E82" i="55"/>
  <c r="E92" i="55" s="1"/>
  <c r="E103" i="55" s="1"/>
  <c r="E83" i="55"/>
  <c r="E93" i="55" s="1"/>
  <c r="E104" i="55" s="1"/>
  <c r="E84" i="55"/>
  <c r="E94" i="55" s="1"/>
  <c r="E105" i="55" s="1"/>
  <c r="E79" i="55"/>
  <c r="E89" i="55" s="1"/>
  <c r="E100" i="55" s="1"/>
  <c r="BR51" i="50"/>
  <c r="BR50" i="50"/>
  <c r="BR49" i="50"/>
  <c r="BR48" i="50"/>
  <c r="BR47" i="50"/>
  <c r="BR46" i="50"/>
  <c r="BW45" i="50"/>
  <c r="BY45" i="50" s="1"/>
  <c r="CA45" i="50" s="1"/>
  <c r="BV45" i="50"/>
  <c r="BX45" i="50" s="1"/>
  <c r="BZ45" i="50" s="1"/>
  <c r="BR41" i="50"/>
  <c r="AG4" i="50"/>
  <c r="Z7" i="43"/>
  <c r="C21" i="50"/>
  <c r="AG58" i="50" l="1"/>
  <c r="AG24" i="50"/>
  <c r="AG41" i="50" s="1"/>
  <c r="AG6" i="67"/>
  <c r="AG37" i="67" s="1"/>
  <c r="CE45" i="50"/>
  <c r="CI45" i="50" s="1"/>
  <c r="CF45" i="50"/>
  <c r="CJ45" i="50" s="1"/>
  <c r="C89" i="55"/>
  <c r="C100" i="55" s="1"/>
  <c r="B84" i="55"/>
  <c r="B94" i="55" s="1"/>
  <c r="B105" i="55" s="1"/>
  <c r="B80" i="55"/>
  <c r="B90" i="55" s="1"/>
  <c r="B101" i="55" s="1"/>
  <c r="B82" i="55"/>
  <c r="B92" i="55" s="1"/>
  <c r="B103" i="55" s="1"/>
  <c r="B79" i="55"/>
  <c r="B89" i="55" s="1"/>
  <c r="B100" i="55" s="1"/>
  <c r="B83" i="55"/>
  <c r="B93" i="55" s="1"/>
  <c r="B104" i="55" s="1"/>
  <c r="B81" i="55"/>
  <c r="B91" i="55" s="1"/>
  <c r="B102" i="55" s="1"/>
  <c r="AG67" i="67" l="1"/>
  <c r="Z32" i="55"/>
  <c r="Z31" i="55"/>
  <c r="I50" i="55" l="1"/>
  <c r="H77" i="55" s="1"/>
  <c r="H87" i="55" s="1"/>
  <c r="H98" i="55" s="1"/>
  <c r="H50" i="55"/>
  <c r="G77" i="55" s="1"/>
  <c r="G87" i="55" s="1"/>
  <c r="G98" i="55" s="1"/>
  <c r="G50" i="55"/>
  <c r="F77" i="55" s="1"/>
  <c r="F87" i="55" s="1"/>
  <c r="F98" i="55" s="1"/>
  <c r="F50" i="55"/>
  <c r="E77" i="55" s="1"/>
  <c r="E87" i="55" s="1"/>
  <c r="E98" i="55" s="1"/>
  <c r="E50" i="55"/>
  <c r="D77" i="55" s="1"/>
  <c r="D87" i="55" s="1"/>
  <c r="D98" i="55" s="1"/>
  <c r="I46" i="55"/>
  <c r="I56" i="55" s="1"/>
  <c r="I45" i="55"/>
  <c r="I55" i="55" s="1"/>
  <c r="I44" i="55"/>
  <c r="I54" i="55" s="1"/>
  <c r="I43" i="55"/>
  <c r="I53" i="55" s="1"/>
  <c r="I42" i="55"/>
  <c r="I52" i="55" s="1"/>
  <c r="I41" i="55"/>
  <c r="I51" i="55" s="1"/>
  <c r="G42" i="55"/>
  <c r="G52" i="55" s="1"/>
  <c r="G43" i="55"/>
  <c r="G53" i="55" s="1"/>
  <c r="G44" i="55"/>
  <c r="G54" i="55" s="1"/>
  <c r="G45" i="55"/>
  <c r="G55" i="55" s="1"/>
  <c r="G46" i="55"/>
  <c r="G56" i="55" s="1"/>
  <c r="G51" i="55"/>
  <c r="J8" i="54"/>
  <c r="BW28" i="50"/>
  <c r="BY28" i="50" s="1"/>
  <c r="CA28" i="50" s="1"/>
  <c r="CG28" i="50" s="1"/>
  <c r="CJ28" i="50" s="1"/>
  <c r="BV28" i="50"/>
  <c r="BX28" i="50" s="1"/>
  <c r="BZ28" i="50" s="1"/>
  <c r="CF28" i="50" s="1"/>
  <c r="CI28" i="50" s="1"/>
  <c r="BR24" i="50"/>
  <c r="Z9" i="55"/>
  <c r="Z8" i="55"/>
  <c r="C16" i="55"/>
  <c r="C30" i="55" s="1"/>
  <c r="C40" i="55" s="1"/>
  <c r="C50" i="55" s="1"/>
  <c r="C19" i="55"/>
  <c r="C33" i="55" s="1"/>
  <c r="C20" i="55"/>
  <c r="C34" i="55" s="1"/>
  <c r="C17" i="55"/>
  <c r="B16" i="55"/>
  <c r="B30" i="55" s="1"/>
  <c r="B40" i="55" s="1"/>
  <c r="B50" i="55" s="1"/>
  <c r="P9" i="55"/>
  <c r="P10" i="55"/>
  <c r="P11" i="55"/>
  <c r="P12" i="55"/>
  <c r="P13" i="55"/>
  <c r="P8" i="55"/>
  <c r="C7" i="43"/>
  <c r="C5" i="43"/>
  <c r="AS7" i="43" s="1"/>
  <c r="C41" i="43"/>
  <c r="AS41" i="43" s="1"/>
  <c r="C74" i="43"/>
  <c r="AS74" i="43" s="1"/>
  <c r="BW10" i="50"/>
  <c r="BY10" i="50" s="1"/>
  <c r="CA10" i="50" s="1"/>
  <c r="CG10" i="50" s="1"/>
  <c r="CJ10" i="50" s="1"/>
  <c r="BV10" i="50"/>
  <c r="BX10" i="50" s="1"/>
  <c r="BZ10" i="50" s="1"/>
  <c r="CF10" i="50" s="1"/>
  <c r="CI10" i="50" s="1"/>
  <c r="BR12" i="50"/>
  <c r="BR13" i="50"/>
  <c r="BR14" i="50"/>
  <c r="BR15" i="50"/>
  <c r="BR16" i="50"/>
  <c r="BR9" i="50"/>
  <c r="BR11" i="50"/>
  <c r="BR6" i="50"/>
  <c r="C31" i="55" l="1"/>
  <c r="C44" i="55"/>
  <c r="C54" i="55" s="1"/>
  <c r="C43" i="55"/>
  <c r="C53" i="55" s="1"/>
  <c r="C21" i="55"/>
  <c r="C35" i="55" s="1"/>
  <c r="C18" i="55"/>
  <c r="C22" i="55"/>
  <c r="C36" i="55" s="1"/>
  <c r="C41" i="55" l="1"/>
  <c r="C51" i="55" s="1"/>
  <c r="C46" i="55"/>
  <c r="C56" i="55" s="1"/>
  <c r="C32" i="55"/>
  <c r="C45" i="55"/>
  <c r="C55" i="55" s="1"/>
  <c r="C42" i="55" l="1"/>
  <c r="C52" i="55" l="1"/>
  <c r="BR4" i="50"/>
  <c r="F117" i="54"/>
  <c r="F143" i="54" s="1"/>
  <c r="O3076" i="16"/>
  <c r="O3075" i="16"/>
  <c r="O3074" i="16"/>
  <c r="O3073" i="16"/>
  <c r="O3072" i="16"/>
  <c r="O3071" i="16"/>
  <c r="O3070" i="16"/>
  <c r="O3069" i="16"/>
  <c r="O3068" i="16"/>
  <c r="O3067" i="16"/>
  <c r="D3076" i="16"/>
  <c r="D3075" i="16"/>
  <c r="D3074" i="16"/>
  <c r="D3073" i="16"/>
  <c r="D3072" i="16"/>
  <c r="D3071" i="16"/>
  <c r="D3070" i="16"/>
  <c r="D3069" i="16"/>
  <c r="D3068" i="16"/>
  <c r="D3067" i="16"/>
  <c r="O3085" i="16"/>
  <c r="O3086" i="16"/>
  <c r="O3087" i="16"/>
  <c r="O3088" i="16"/>
  <c r="O3089" i="16"/>
  <c r="O3090" i="16"/>
  <c r="O3091" i="16"/>
  <c r="O3092" i="16"/>
  <c r="O3093" i="16"/>
  <c r="O3084" i="16"/>
  <c r="N3170" i="16"/>
  <c r="N3171" i="16"/>
  <c r="N3172" i="16"/>
  <c r="N3173" i="16"/>
  <c r="N3174" i="16"/>
  <c r="N3175" i="16"/>
  <c r="N3176" i="16"/>
  <c r="N3177" i="16"/>
  <c r="N3178" i="16"/>
  <c r="N3169" i="16"/>
  <c r="N3161" i="16"/>
  <c r="N3160" i="16"/>
  <c r="N3159" i="16"/>
  <c r="N3158" i="16"/>
  <c r="N3157" i="16"/>
  <c r="N3156" i="16"/>
  <c r="N3155" i="16"/>
  <c r="N3153" i="16"/>
  <c r="N3152" i="16"/>
  <c r="N3144" i="16"/>
  <c r="N3143" i="16"/>
  <c r="N3142" i="16"/>
  <c r="N3141" i="16"/>
  <c r="N3140" i="16"/>
  <c r="N3139" i="16"/>
  <c r="N3138" i="16"/>
  <c r="N3137" i="16"/>
  <c r="N3136" i="16"/>
  <c r="N3135" i="16"/>
  <c r="N3127" i="16"/>
  <c r="N3126" i="16"/>
  <c r="N3125" i="16"/>
  <c r="N3124" i="16"/>
  <c r="N3123" i="16"/>
  <c r="N3122" i="16"/>
  <c r="N3121" i="16"/>
  <c r="N3120" i="16"/>
  <c r="N3119" i="16"/>
  <c r="N3118" i="16"/>
  <c r="N3110" i="16"/>
  <c r="N3109" i="16"/>
  <c r="N3108" i="16"/>
  <c r="N3107" i="16"/>
  <c r="N3106" i="16"/>
  <c r="N3105" i="16"/>
  <c r="N3104" i="16"/>
  <c r="N3103" i="16"/>
  <c r="N3102" i="16"/>
  <c r="N3101" i="16"/>
  <c r="N3093" i="16"/>
  <c r="M3093" i="16"/>
  <c r="N3092" i="16"/>
  <c r="M3092" i="16"/>
  <c r="N3091" i="16"/>
  <c r="M3091" i="16"/>
  <c r="N3090" i="16"/>
  <c r="M3090" i="16"/>
  <c r="N3089" i="16"/>
  <c r="M3089" i="16"/>
  <c r="N3088" i="16"/>
  <c r="M3088" i="16"/>
  <c r="N3087" i="16"/>
  <c r="M3087" i="16"/>
  <c r="N3086" i="16"/>
  <c r="M3086" i="16"/>
  <c r="N3085" i="16"/>
  <c r="M3085" i="16"/>
  <c r="N3084" i="16"/>
  <c r="M3084" i="16"/>
  <c r="N3076" i="16"/>
  <c r="N3075" i="16"/>
  <c r="N3074" i="16"/>
  <c r="N3073" i="16"/>
  <c r="N3072" i="16"/>
  <c r="N3071" i="16"/>
  <c r="N3070" i="16"/>
  <c r="N3069" i="16"/>
  <c r="N3068" i="16"/>
  <c r="N3067" i="16"/>
  <c r="M3076" i="16"/>
  <c r="M3075" i="16"/>
  <c r="M3074" i="16"/>
  <c r="M3073" i="16"/>
  <c r="M3072" i="16"/>
  <c r="M3071" i="16"/>
  <c r="M3070" i="16"/>
  <c r="M3069" i="16"/>
  <c r="M3068" i="16"/>
  <c r="M3067" i="16"/>
  <c r="B8" i="55" l="1"/>
  <c r="B17" i="55" l="1"/>
  <c r="AP11" i="15"/>
  <c r="AV24" i="15"/>
  <c r="AX24" i="15" s="1"/>
  <c r="AU24" i="15"/>
  <c r="AW24" i="15" s="1"/>
  <c r="AY24" i="15" s="1"/>
  <c r="AP19" i="15"/>
  <c r="B31" i="55" l="1"/>
  <c r="B41" i="55" s="1"/>
  <c r="B51" i="55" s="1"/>
  <c r="AZ24" i="15"/>
  <c r="BB24" i="15"/>
  <c r="BL24" i="15" s="1"/>
  <c r="BA24" i="15"/>
  <c r="BK24" i="15" s="1"/>
  <c r="AP8" i="15"/>
  <c r="AP6" i="15"/>
  <c r="AP61" i="15"/>
  <c r="AP50" i="15"/>
  <c r="AV66" i="15"/>
  <c r="AX66" i="15" s="1"/>
  <c r="AU66" i="15"/>
  <c r="AW66" i="15" s="1"/>
  <c r="AP110" i="15"/>
  <c r="AW126" i="15"/>
  <c r="AY126" i="15" s="1"/>
  <c r="BA126" i="15" s="1"/>
  <c r="BC126" i="15" s="1"/>
  <c r="BE126" i="15" s="1"/>
  <c r="BG126" i="15" s="1"/>
  <c r="BI126" i="15" s="1"/>
  <c r="AV126" i="15"/>
  <c r="AX126" i="15" s="1"/>
  <c r="AZ126" i="15" s="1"/>
  <c r="BB126" i="15" s="1"/>
  <c r="BD126" i="15" s="1"/>
  <c r="BF126" i="15" s="1"/>
  <c r="BH126" i="15" s="1"/>
  <c r="T4" i="40" l="1"/>
  <c r="T41" i="40" s="1"/>
  <c r="T70" i="40" s="1"/>
  <c r="T102" i="40" s="1"/>
  <c r="AA14" i="15" l="1"/>
  <c r="W108" i="15"/>
  <c r="AR12" i="29"/>
  <c r="BE12" i="29" s="1"/>
  <c r="S10" i="30" s="1"/>
  <c r="T10" i="30" s="1"/>
  <c r="AR13" i="29"/>
  <c r="BE13" i="29" s="1"/>
  <c r="S11" i="30" s="1"/>
  <c r="T11" i="30" s="1"/>
  <c r="AR14" i="29"/>
  <c r="BE14" i="29" s="1"/>
  <c r="S12" i="30" s="1"/>
  <c r="T12" i="30" s="1"/>
  <c r="AR15" i="29"/>
  <c r="BE15" i="29" s="1"/>
  <c r="S13" i="30" s="1"/>
  <c r="T13" i="30" s="1"/>
  <c r="AR16" i="29"/>
  <c r="BE16" i="29" s="1"/>
  <c r="S14" i="30" s="1"/>
  <c r="T14" i="30" s="1"/>
  <c r="AR17" i="29"/>
  <c r="BE17" i="29" s="1"/>
  <c r="S15" i="30" s="1"/>
  <c r="T15" i="30" s="1"/>
  <c r="AR18" i="29"/>
  <c r="BE18" i="29" s="1"/>
  <c r="S16" i="30" s="1"/>
  <c r="T16" i="30" s="1"/>
  <c r="AR11" i="29"/>
  <c r="BE11" i="29" s="1"/>
  <c r="S9" i="30" s="1"/>
  <c r="T9" i="30" s="1"/>
  <c r="V55" i="29" l="1"/>
  <c r="V30" i="29"/>
  <c r="V5" i="29"/>
  <c r="W6" i="15" s="1"/>
  <c r="W48" i="15" s="1"/>
  <c r="M61" i="15" s="1"/>
  <c r="I116" i="54"/>
  <c r="I142" i="54" s="1"/>
  <c r="M64" i="54" l="1"/>
  <c r="N64" i="54"/>
  <c r="O64" i="54" l="1"/>
  <c r="B9" i="55"/>
  <c r="B10" i="55"/>
  <c r="B11" i="55"/>
  <c r="B12" i="55"/>
  <c r="B13" i="55"/>
  <c r="AG45" i="50"/>
  <c r="AE45" i="50"/>
  <c r="C38" i="50"/>
  <c r="C55" i="50" s="1"/>
  <c r="C75" i="50" s="1"/>
  <c r="C29" i="50"/>
  <c r="C30" i="50"/>
  <c r="C31" i="50"/>
  <c r="C32" i="50"/>
  <c r="C33" i="50"/>
  <c r="C34" i="50"/>
  <c r="V12" i="50"/>
  <c r="V13" i="50"/>
  <c r="V14" i="50"/>
  <c r="V15" i="50"/>
  <c r="V16" i="50"/>
  <c r="V11" i="50"/>
  <c r="T12" i="50"/>
  <c r="T13" i="50"/>
  <c r="T14" i="50"/>
  <c r="T15" i="50"/>
  <c r="T16" i="50"/>
  <c r="T11" i="50"/>
  <c r="R12" i="50"/>
  <c r="R13" i="50"/>
  <c r="R14" i="50"/>
  <c r="R15" i="50"/>
  <c r="R16" i="50"/>
  <c r="R11" i="50"/>
  <c r="P12" i="50"/>
  <c r="G18" i="55" s="1"/>
  <c r="P13" i="50"/>
  <c r="G19" i="55" s="1"/>
  <c r="P14" i="50"/>
  <c r="G20" i="55" s="1"/>
  <c r="P15" i="50"/>
  <c r="G21" i="55" s="1"/>
  <c r="P16" i="50"/>
  <c r="G22" i="55" s="1"/>
  <c r="P11" i="50"/>
  <c r="G17" i="55" s="1"/>
  <c r="N12" i="50"/>
  <c r="F18" i="55" s="1"/>
  <c r="N13" i="50"/>
  <c r="F19" i="55" s="1"/>
  <c r="N14" i="50"/>
  <c r="F20" i="55" s="1"/>
  <c r="N15" i="50"/>
  <c r="F21" i="55" s="1"/>
  <c r="N16" i="50"/>
  <c r="F22" i="55" s="1"/>
  <c r="N11" i="50"/>
  <c r="F17" i="55" s="1"/>
  <c r="C24" i="32"/>
  <c r="D3178" i="16"/>
  <c r="D3177" i="16"/>
  <c r="D3176" i="16"/>
  <c r="D3175" i="16"/>
  <c r="D3174" i="16"/>
  <c r="D3173" i="16"/>
  <c r="D3172" i="16"/>
  <c r="D3171" i="16"/>
  <c r="D3170" i="16"/>
  <c r="D3169" i="16"/>
  <c r="C3178" i="16"/>
  <c r="C3177" i="16"/>
  <c r="C3176" i="16"/>
  <c r="C3175" i="16"/>
  <c r="C3174" i="16"/>
  <c r="C3173" i="16"/>
  <c r="C3172" i="16"/>
  <c r="C3171" i="16"/>
  <c r="C3170" i="16"/>
  <c r="C3169" i="16"/>
  <c r="H3178" i="16"/>
  <c r="H3177" i="16"/>
  <c r="H3176" i="16"/>
  <c r="H3175" i="16"/>
  <c r="H3174" i="16"/>
  <c r="H3173" i="16"/>
  <c r="H3172" i="16"/>
  <c r="H3171" i="16"/>
  <c r="H3170" i="16"/>
  <c r="H3169" i="16"/>
  <c r="D3161" i="16"/>
  <c r="D3160" i="16"/>
  <c r="D3159" i="16"/>
  <c r="D3158" i="16"/>
  <c r="D3157" i="16"/>
  <c r="D3156" i="16"/>
  <c r="D3155" i="16"/>
  <c r="D3154" i="16"/>
  <c r="D3153" i="16"/>
  <c r="D3152" i="16"/>
  <c r="H3161" i="16"/>
  <c r="C3161" i="16"/>
  <c r="H3160" i="16"/>
  <c r="C3160" i="16"/>
  <c r="H3159" i="16"/>
  <c r="C3159" i="16"/>
  <c r="H3158" i="16"/>
  <c r="C3158" i="16"/>
  <c r="H3157" i="16"/>
  <c r="C3157" i="16"/>
  <c r="H3156" i="16"/>
  <c r="C3156" i="16"/>
  <c r="H3155" i="16"/>
  <c r="C3155" i="16"/>
  <c r="H3154" i="16"/>
  <c r="C3154" i="16"/>
  <c r="H3153" i="16"/>
  <c r="C3153" i="16"/>
  <c r="H3152" i="16"/>
  <c r="C3152" i="16"/>
  <c r="L3136" i="16"/>
  <c r="L3137" i="16"/>
  <c r="L3138" i="16"/>
  <c r="L3139" i="16"/>
  <c r="L3140" i="16"/>
  <c r="L3141" i="16"/>
  <c r="L3142" i="16"/>
  <c r="L3143" i="16"/>
  <c r="L3144" i="16"/>
  <c r="L3135" i="16"/>
  <c r="D3144" i="16"/>
  <c r="D3143" i="16"/>
  <c r="D3142" i="16"/>
  <c r="D3141" i="16"/>
  <c r="D3140" i="16"/>
  <c r="D3139" i="16"/>
  <c r="D3138" i="16"/>
  <c r="D3137" i="16"/>
  <c r="D3136" i="16"/>
  <c r="D3135" i="16"/>
  <c r="H3144" i="16"/>
  <c r="H3143" i="16"/>
  <c r="H3142" i="16"/>
  <c r="H3141" i="16"/>
  <c r="H3140" i="16"/>
  <c r="H3139" i="16"/>
  <c r="H3138" i="16"/>
  <c r="H3137" i="16"/>
  <c r="H3136" i="16"/>
  <c r="H3135" i="16"/>
  <c r="D3127" i="16"/>
  <c r="D3126" i="16"/>
  <c r="D3125" i="16"/>
  <c r="D3124" i="16"/>
  <c r="D3123" i="16"/>
  <c r="D3122" i="16"/>
  <c r="D3121" i="16"/>
  <c r="D3120" i="16"/>
  <c r="D3119" i="16"/>
  <c r="D3118" i="16"/>
  <c r="H3127" i="16"/>
  <c r="C3127" i="16"/>
  <c r="H3126" i="16"/>
  <c r="C3126" i="16"/>
  <c r="H3125" i="16"/>
  <c r="C3125" i="16"/>
  <c r="H3124" i="16"/>
  <c r="C3124" i="16"/>
  <c r="H3123" i="16"/>
  <c r="C3123" i="16"/>
  <c r="H3122" i="16"/>
  <c r="C3122" i="16"/>
  <c r="H3121" i="16"/>
  <c r="C3121" i="16"/>
  <c r="H3120" i="16"/>
  <c r="C3120" i="16"/>
  <c r="H3119" i="16"/>
  <c r="C3119" i="16"/>
  <c r="H3118" i="16"/>
  <c r="C3118" i="16"/>
  <c r="H3110" i="16"/>
  <c r="H3109" i="16"/>
  <c r="H3108" i="16"/>
  <c r="H3107" i="16"/>
  <c r="H3106" i="16"/>
  <c r="H3105" i="16"/>
  <c r="H3104" i="16"/>
  <c r="H3103" i="16"/>
  <c r="H3102" i="16"/>
  <c r="H3101" i="16"/>
  <c r="D3110" i="16"/>
  <c r="D3109" i="16"/>
  <c r="D3108" i="16"/>
  <c r="D3107" i="16"/>
  <c r="D3106" i="16"/>
  <c r="D3105" i="16"/>
  <c r="D3104" i="16"/>
  <c r="D3103" i="16"/>
  <c r="D3102" i="16"/>
  <c r="D3101" i="16"/>
  <c r="C3110" i="16"/>
  <c r="C3109" i="16"/>
  <c r="C3108" i="16"/>
  <c r="C3107" i="16"/>
  <c r="C3106" i="16"/>
  <c r="C3105" i="16"/>
  <c r="C3104" i="16"/>
  <c r="C3103" i="16"/>
  <c r="C3102" i="16"/>
  <c r="C3101" i="16"/>
  <c r="M63" i="54"/>
  <c r="N63" i="54" s="1"/>
  <c r="M65" i="54"/>
  <c r="N65" i="54" s="1"/>
  <c r="M66" i="54"/>
  <c r="M67" i="54"/>
  <c r="N67" i="54" s="1"/>
  <c r="M68" i="54"/>
  <c r="N68" i="54" s="1"/>
  <c r="M69" i="54"/>
  <c r="N69" i="54" s="1"/>
  <c r="M70" i="54"/>
  <c r="N70" i="54" s="1"/>
  <c r="M71" i="54"/>
  <c r="N71" i="54" s="1"/>
  <c r="M72" i="54"/>
  <c r="I88" i="54"/>
  <c r="N72" i="54"/>
  <c r="N66" i="54"/>
  <c r="V33" i="50" l="1"/>
  <c r="E45" i="55" s="1"/>
  <c r="F33" i="50"/>
  <c r="V32" i="50"/>
  <c r="E44" i="55" s="1"/>
  <c r="F32" i="50"/>
  <c r="V31" i="50"/>
  <c r="E43" i="55" s="1"/>
  <c r="F31" i="50"/>
  <c r="O70" i="54"/>
  <c r="O72" i="54"/>
  <c r="O67" i="54"/>
  <c r="O69" i="54"/>
  <c r="O65" i="54"/>
  <c r="O63" i="54"/>
  <c r="O68" i="54"/>
  <c r="O66" i="54"/>
  <c r="O71" i="54"/>
  <c r="V30" i="50"/>
  <c r="E42" i="55" s="1"/>
  <c r="F30" i="50"/>
  <c r="V29" i="50"/>
  <c r="E41" i="55" s="1"/>
  <c r="F29" i="50"/>
  <c r="Z29" i="50"/>
  <c r="H41" i="55" s="1"/>
  <c r="H51" i="55" s="1"/>
  <c r="J29" i="50"/>
  <c r="Z31" i="50"/>
  <c r="H43" i="55" s="1"/>
  <c r="H53" i="55" s="1"/>
  <c r="J31" i="50"/>
  <c r="Z30" i="50"/>
  <c r="H42" i="55" s="1"/>
  <c r="H52" i="55" s="1"/>
  <c r="J30" i="50"/>
  <c r="Z32" i="50"/>
  <c r="H44" i="55" s="1"/>
  <c r="H54" i="55" s="1"/>
  <c r="J32" i="50"/>
  <c r="Z33" i="50"/>
  <c r="H45" i="55" s="1"/>
  <c r="H55" i="55" s="1"/>
  <c r="J33" i="50"/>
  <c r="X32" i="50"/>
  <c r="F44" i="55" s="1"/>
  <c r="F54" i="55" s="1"/>
  <c r="H32" i="50"/>
  <c r="X30" i="50"/>
  <c r="F42" i="55" s="1"/>
  <c r="F52" i="55" s="1"/>
  <c r="H30" i="50"/>
  <c r="X31" i="50"/>
  <c r="F43" i="55" s="1"/>
  <c r="F53" i="55" s="1"/>
  <c r="H31" i="50"/>
  <c r="X29" i="50"/>
  <c r="F41" i="55" s="1"/>
  <c r="F51" i="55" s="1"/>
  <c r="H29" i="50"/>
  <c r="X33" i="50"/>
  <c r="F45" i="55" s="1"/>
  <c r="F55" i="55" s="1"/>
  <c r="H33" i="50"/>
  <c r="Z34" i="50"/>
  <c r="H46" i="55" s="1"/>
  <c r="H56" i="55" s="1"/>
  <c r="J34" i="50"/>
  <c r="V34" i="50"/>
  <c r="E46" i="55" s="1"/>
  <c r="F34" i="50"/>
  <c r="X34" i="50"/>
  <c r="F46" i="55" s="1"/>
  <c r="F56" i="55" s="1"/>
  <c r="H34" i="50"/>
  <c r="BR32" i="50"/>
  <c r="D179" i="69"/>
  <c r="BR31" i="50"/>
  <c r="D178" i="69"/>
  <c r="BR33" i="50"/>
  <c r="D180" i="69"/>
  <c r="BR30" i="50"/>
  <c r="D177" i="69"/>
  <c r="BR29" i="50"/>
  <c r="D176" i="69"/>
  <c r="BR34" i="50"/>
  <c r="D181" i="69"/>
  <c r="AE12" i="67"/>
  <c r="AE43" i="67" s="1"/>
  <c r="AE63" i="50"/>
  <c r="AG12" i="67"/>
  <c r="AG21" i="67" s="1"/>
  <c r="AG63" i="50"/>
  <c r="H8" i="32"/>
  <c r="AB8" i="32" s="1"/>
  <c r="BR27" i="50"/>
  <c r="B20" i="55"/>
  <c r="B34" i="55" s="1"/>
  <c r="B19" i="55"/>
  <c r="B33" i="55" s="1"/>
  <c r="B21" i="55"/>
  <c r="B35" i="55" s="1"/>
  <c r="B22" i="55"/>
  <c r="B36" i="55" s="1"/>
  <c r="B18" i="55"/>
  <c r="R45" i="50"/>
  <c r="P45" i="50"/>
  <c r="M91" i="54"/>
  <c r="N91" i="54" s="1"/>
  <c r="M92" i="54"/>
  <c r="N92" i="54" s="1"/>
  <c r="M93" i="54"/>
  <c r="M94" i="54"/>
  <c r="M95" i="54"/>
  <c r="N95" i="54" s="1"/>
  <c r="M96" i="54"/>
  <c r="M97" i="54"/>
  <c r="N97" i="54" s="1"/>
  <c r="M98" i="54"/>
  <c r="N98" i="54" s="1"/>
  <c r="M99" i="54"/>
  <c r="N99" i="54" s="1"/>
  <c r="M100" i="54"/>
  <c r="M62" i="54"/>
  <c r="N62" i="54" s="1"/>
  <c r="N100" i="54"/>
  <c r="N96" i="54"/>
  <c r="N94" i="54"/>
  <c r="N93" i="54"/>
  <c r="O62" i="54" l="1"/>
  <c r="O100" i="54"/>
  <c r="O95" i="54"/>
  <c r="O98" i="54"/>
  <c r="O94" i="54"/>
  <c r="O92" i="54"/>
  <c r="O91" i="54"/>
  <c r="O99" i="54"/>
  <c r="O97" i="54"/>
  <c r="O96" i="54"/>
  <c r="O93" i="54"/>
  <c r="AC8" i="32"/>
  <c r="CB36" i="29"/>
  <c r="V8" i="32"/>
  <c r="BS36" i="29" s="1"/>
  <c r="W8" i="32" s="1"/>
  <c r="AE21" i="67"/>
  <c r="AE52" i="67" s="1"/>
  <c r="AE56" i="67" s="1"/>
  <c r="AG43" i="67"/>
  <c r="AG25" i="67"/>
  <c r="AG52" i="67"/>
  <c r="AG56" i="67" s="1"/>
  <c r="I8" i="32"/>
  <c r="X8" i="32"/>
  <c r="BV36" i="29" s="1"/>
  <c r="Y8" i="32" s="1"/>
  <c r="AB73" i="55"/>
  <c r="AA74" i="55"/>
  <c r="AB74" i="55"/>
  <c r="AA73" i="55"/>
  <c r="AB75" i="55"/>
  <c r="AC73" i="55"/>
  <c r="AA75" i="55"/>
  <c r="B32" i="55"/>
  <c r="B42" i="55" s="1"/>
  <c r="B52" i="55" s="1"/>
  <c r="AC16" i="55"/>
  <c r="AA16" i="55"/>
  <c r="AA15" i="55"/>
  <c r="AB14" i="55"/>
  <c r="AA14" i="55"/>
  <c r="AB15" i="55"/>
  <c r="AC14" i="55"/>
  <c r="AB16" i="55"/>
  <c r="B64" i="55"/>
  <c r="B77" i="55" s="1"/>
  <c r="B87" i="55" s="1"/>
  <c r="B98" i="55" s="1"/>
  <c r="BR44" i="50"/>
  <c r="B45" i="55"/>
  <c r="B55" i="55" s="1"/>
  <c r="B44" i="55"/>
  <c r="B54" i="55" s="1"/>
  <c r="B46" i="55"/>
  <c r="B56" i="55" s="1"/>
  <c r="B43" i="55"/>
  <c r="B53" i="55" s="1"/>
  <c r="M124" i="54"/>
  <c r="M127" i="54"/>
  <c r="N127" i="54" s="1"/>
  <c r="M123" i="54"/>
  <c r="M126" i="54"/>
  <c r="N126" i="54" s="1"/>
  <c r="M128" i="54"/>
  <c r="N128" i="54" s="1"/>
  <c r="M122" i="54"/>
  <c r="N122" i="54" s="1"/>
  <c r="M125" i="54"/>
  <c r="N125" i="54" s="1"/>
  <c r="M121" i="54"/>
  <c r="N121" i="54" s="1"/>
  <c r="M119" i="54"/>
  <c r="N119" i="54" s="1"/>
  <c r="M120" i="54"/>
  <c r="N120" i="54" s="1"/>
  <c r="M90" i="54"/>
  <c r="N124" i="54"/>
  <c r="N123" i="54"/>
  <c r="AB24" i="32" l="1"/>
  <c r="AD24" i="32" s="1"/>
  <c r="AE24" i="32" s="1"/>
  <c r="AE25" i="67"/>
  <c r="M149" i="54"/>
  <c r="N149" i="54" s="1"/>
  <c r="O123" i="54"/>
  <c r="M151" i="54"/>
  <c r="N151" i="54" s="1"/>
  <c r="O125" i="54"/>
  <c r="M147" i="54"/>
  <c r="N147" i="54" s="1"/>
  <c r="O121" i="54"/>
  <c r="M148" i="54"/>
  <c r="N148" i="54" s="1"/>
  <c r="O122" i="54"/>
  <c r="M152" i="54"/>
  <c r="N152" i="54" s="1"/>
  <c r="O126" i="54"/>
  <c r="M153" i="54"/>
  <c r="N153" i="54" s="1"/>
  <c r="O127" i="54"/>
  <c r="M145" i="54"/>
  <c r="N145" i="54" s="1"/>
  <c r="O119" i="54"/>
  <c r="M154" i="54"/>
  <c r="O128" i="54"/>
  <c r="M150" i="54"/>
  <c r="N150" i="54" s="1"/>
  <c r="O124" i="54"/>
  <c r="M146" i="54"/>
  <c r="N146" i="54" s="1"/>
  <c r="O120" i="54"/>
  <c r="M118" i="54"/>
  <c r="N154" i="54"/>
  <c r="AC24" i="32" l="1"/>
  <c r="O150" i="54"/>
  <c r="O154" i="54"/>
  <c r="O148" i="54"/>
  <c r="O147" i="54"/>
  <c r="O152" i="54"/>
  <c r="O149" i="54"/>
  <c r="O146" i="54"/>
  <c r="O151" i="54"/>
  <c r="O145" i="54"/>
  <c r="O153" i="54"/>
  <c r="M144" i="54"/>
  <c r="N144" i="54" s="1"/>
  <c r="I60" i="54"/>
  <c r="L18" i="54" l="1"/>
  <c r="K18" i="54"/>
  <c r="J18" i="54"/>
  <c r="I18" i="54"/>
  <c r="H18" i="54"/>
  <c r="C18" i="54"/>
  <c r="D18" i="54" s="1"/>
  <c r="B18" i="54"/>
  <c r="B72" i="54" s="1"/>
  <c r="B9" i="54"/>
  <c r="B10" i="54"/>
  <c r="B11" i="54"/>
  <c r="B12" i="54"/>
  <c r="B13" i="54"/>
  <c r="B14" i="54"/>
  <c r="B15" i="54"/>
  <c r="B16" i="54"/>
  <c r="B17" i="54"/>
  <c r="G72" i="54" l="1"/>
  <c r="H72" i="54"/>
  <c r="C72" i="54"/>
  <c r="C100" i="54" s="1"/>
  <c r="C128" i="54" s="1"/>
  <c r="C154" i="54" s="1"/>
  <c r="B100" i="54"/>
  <c r="H100" i="54" s="1"/>
  <c r="B128" i="54" l="1"/>
  <c r="BB57" i="26"/>
  <c r="BB58" i="26"/>
  <c r="BB59" i="26"/>
  <c r="BB60" i="26"/>
  <c r="BB61" i="26"/>
  <c r="BB62" i="26"/>
  <c r="BB63" i="26"/>
  <c r="BB64" i="26"/>
  <c r="BB65" i="26"/>
  <c r="BB66" i="26"/>
  <c r="BB56" i="26"/>
  <c r="BA66" i="26"/>
  <c r="BA65" i="26"/>
  <c r="BA64" i="26"/>
  <c r="BA63" i="26"/>
  <c r="BA62" i="26"/>
  <c r="BA61" i="26"/>
  <c r="BA60" i="26"/>
  <c r="BA59" i="26"/>
  <c r="BA58" i="26"/>
  <c r="BA57" i="26"/>
  <c r="BA56" i="26"/>
  <c r="BA53" i="26"/>
  <c r="BA48" i="26"/>
  <c r="BA7" i="26"/>
  <c r="BA19" i="26"/>
  <c r="BA5" i="26"/>
  <c r="B154" i="54" l="1"/>
  <c r="C117" i="54"/>
  <c r="C143" i="54" s="1"/>
  <c r="B117" i="54"/>
  <c r="B143" i="54" s="1"/>
  <c r="AG427" i="47" l="1"/>
  <c r="AG428" i="47"/>
  <c r="AG429" i="47"/>
  <c r="AG430" i="47"/>
  <c r="AF426" i="47"/>
  <c r="AF427" i="47"/>
  <c r="AF428" i="47"/>
  <c r="AF429" i="47"/>
  <c r="AF430" i="47"/>
  <c r="AG152" i="47"/>
  <c r="AG153" i="47"/>
  <c r="AG154" i="47"/>
  <c r="AG155" i="47"/>
  <c r="AG156" i="47"/>
  <c r="AF152" i="47"/>
  <c r="AF153" i="47"/>
  <c r="AF154" i="47"/>
  <c r="AF155" i="47"/>
  <c r="AF156" i="47"/>
  <c r="AH56" i="47"/>
  <c r="AH57" i="47"/>
  <c r="AH58" i="47"/>
  <c r="AG56" i="47"/>
  <c r="AG57" i="47"/>
  <c r="AG58" i="47"/>
  <c r="Y133" i="69" l="1"/>
  <c r="Y137" i="69"/>
  <c r="Y136" i="69"/>
  <c r="Y135" i="69"/>
  <c r="Y157" i="69"/>
  <c r="Y132" i="69"/>
  <c r="Y156" i="69"/>
  <c r="Y139" i="69"/>
  <c r="Y155" i="69"/>
  <c r="Y131" i="69"/>
  <c r="Y138" i="69"/>
  <c r="Y154" i="69"/>
  <c r="D249" i="53"/>
  <c r="D248" i="53"/>
  <c r="D247" i="53"/>
  <c r="D246" i="53"/>
  <c r="D245" i="53"/>
  <c r="D244" i="53"/>
  <c r="D243" i="53"/>
  <c r="D242" i="53"/>
  <c r="D241" i="53"/>
  <c r="D240" i="53"/>
  <c r="D239" i="53"/>
  <c r="D238" i="53"/>
  <c r="D237" i="53"/>
  <c r="D236" i="53"/>
  <c r="D235" i="53"/>
  <c r="D234" i="53"/>
  <c r="D233" i="53"/>
  <c r="D232" i="53"/>
  <c r="D231" i="53"/>
  <c r="D230" i="53"/>
  <c r="D229" i="53"/>
  <c r="D228" i="53"/>
  <c r="D227" i="53"/>
  <c r="D226" i="53"/>
  <c r="D225" i="53"/>
  <c r="D224" i="53"/>
  <c r="D223" i="53"/>
  <c r="D222" i="53"/>
  <c r="D221" i="53"/>
  <c r="D220" i="53"/>
  <c r="D219" i="53"/>
  <c r="D218" i="53"/>
  <c r="D217" i="53"/>
  <c r="D216" i="53"/>
  <c r="D215" i="53"/>
  <c r="D214" i="53"/>
  <c r="D213" i="53"/>
  <c r="D212" i="53"/>
  <c r="D211" i="53"/>
  <c r="D210" i="53"/>
  <c r="D209" i="53"/>
  <c r="D208" i="53"/>
  <c r="D143" i="53"/>
  <c r="D144" i="53"/>
  <c r="D142" i="53"/>
  <c r="D141" i="53"/>
  <c r="D140" i="53"/>
  <c r="D139" i="53"/>
  <c r="D138" i="53"/>
  <c r="D151" i="53"/>
  <c r="D137" i="53"/>
  <c r="D134" i="53"/>
  <c r="D132" i="53"/>
  <c r="D129" i="53"/>
  <c r="D125" i="53"/>
  <c r="D124" i="53"/>
  <c r="D123" i="53"/>
  <c r="D120" i="53"/>
  <c r="D118" i="53"/>
  <c r="D116" i="53"/>
  <c r="D114" i="53"/>
  <c r="D111" i="53"/>
  <c r="D110" i="53"/>
  <c r="D112" i="53"/>
  <c r="D106" i="53"/>
  <c r="D105" i="53"/>
  <c r="D101" i="53"/>
  <c r="D100" i="53"/>
  <c r="D92" i="53"/>
  <c r="D91" i="53"/>
  <c r="D82" i="53"/>
  <c r="D78" i="53"/>
  <c r="D77" i="53"/>
  <c r="D75" i="53"/>
  <c r="D69" i="53"/>
  <c r="D68" i="53"/>
  <c r="D65" i="53"/>
  <c r="D90" i="53"/>
  <c r="D89" i="53"/>
  <c r="D87" i="53"/>
  <c r="D84" i="53"/>
  <c r="D81" i="53"/>
  <c r="D76" i="53"/>
  <c r="D70" i="53"/>
  <c r="D64" i="53"/>
  <c r="D62" i="53"/>
  <c r="D61" i="53"/>
  <c r="D57" i="53"/>
  <c r="D104" i="53"/>
  <c r="D103" i="53"/>
  <c r="D102" i="53"/>
  <c r="D99" i="53"/>
  <c r="D98" i="53"/>
  <c r="D97" i="53"/>
  <c r="D96" i="53"/>
  <c r="D95" i="53"/>
  <c r="D94" i="53"/>
  <c r="D93" i="53"/>
  <c r="D88" i="53"/>
  <c r="D86" i="53"/>
  <c r="D85" i="53"/>
  <c r="D83" i="53"/>
  <c r="D80" i="53"/>
  <c r="D79" i="53"/>
  <c r="D74" i="53"/>
  <c r="D73" i="53"/>
  <c r="D72" i="53"/>
  <c r="D71" i="53"/>
  <c r="D67" i="53"/>
  <c r="D66" i="53"/>
  <c r="D63" i="53"/>
  <c r="D60" i="53"/>
  <c r="D59" i="53"/>
  <c r="D58" i="53"/>
  <c r="D56" i="53"/>
  <c r="D55" i="53"/>
  <c r="D147" i="53"/>
  <c r="D156" i="53"/>
  <c r="D154" i="53"/>
  <c r="D153" i="53"/>
  <c r="D152" i="53"/>
  <c r="D150" i="53"/>
  <c r="D145" i="53"/>
  <c r="D54" i="53"/>
  <c r="D53" i="53"/>
  <c r="D52" i="53"/>
  <c r="D51" i="53"/>
  <c r="D50" i="53"/>
  <c r="D49" i="53"/>
  <c r="D48" i="53"/>
  <c r="D47" i="53"/>
  <c r="D46" i="53"/>
  <c r="D155" i="53"/>
  <c r="D148" i="53"/>
  <c r="D146" i="53"/>
  <c r="D127" i="53"/>
  <c r="D115" i="53"/>
  <c r="D113" i="53"/>
  <c r="D109" i="53"/>
  <c r="D108" i="53"/>
  <c r="D135" i="53"/>
  <c r="D133" i="53"/>
  <c r="D130" i="53"/>
  <c r="D119" i="53"/>
  <c r="D117" i="53"/>
  <c r="D44" i="53"/>
  <c r="D35" i="53"/>
  <c r="D32" i="53"/>
  <c r="D24" i="53"/>
  <c r="D20" i="53"/>
  <c r="D19" i="53"/>
  <c r="D16" i="53"/>
  <c r="D38" i="53"/>
  <c r="D37" i="53"/>
  <c r="D4" i="53"/>
  <c r="D3" i="53"/>
  <c r="D45" i="53"/>
  <c r="D43" i="53"/>
  <c r="D42" i="53"/>
  <c r="D41" i="53"/>
  <c r="D40" i="53"/>
  <c r="D39" i="53"/>
  <c r="D36" i="53"/>
  <c r="D34" i="53"/>
  <c r="D31" i="53"/>
  <c r="D30" i="53"/>
  <c r="D29" i="53"/>
  <c r="D28" i="53"/>
  <c r="D27" i="53"/>
  <c r="D26" i="53"/>
  <c r="D25" i="53"/>
  <c r="D22" i="53"/>
  <c r="D21" i="53"/>
  <c r="D18" i="53"/>
  <c r="D15" i="53"/>
  <c r="D14" i="53"/>
  <c r="D12" i="53"/>
  <c r="D10" i="53"/>
  <c r="D9" i="53"/>
  <c r="D8" i="53"/>
  <c r="D2" i="53"/>
  <c r="D13" i="53"/>
  <c r="D33" i="53"/>
  <c r="D23" i="53"/>
  <c r="D17" i="53"/>
  <c r="D11" i="53"/>
  <c r="D7" i="53"/>
  <c r="D6" i="53"/>
  <c r="D5" i="53"/>
  <c r="D203" i="53"/>
  <c r="D200" i="53"/>
  <c r="D198" i="53"/>
  <c r="D196" i="53"/>
  <c r="D193" i="53"/>
  <c r="D192" i="53"/>
  <c r="D187" i="53"/>
  <c r="D186" i="53"/>
  <c r="D183" i="53"/>
  <c r="D180" i="53"/>
  <c r="D179" i="53"/>
  <c r="D178" i="53"/>
  <c r="D177" i="53"/>
  <c r="D168" i="53"/>
  <c r="D162" i="53"/>
  <c r="D161" i="53"/>
  <c r="D160" i="53"/>
  <c r="D158" i="53"/>
  <c r="D202" i="53"/>
  <c r="D191" i="53"/>
  <c r="D182" i="53"/>
  <c r="D173" i="53"/>
  <c r="D159" i="53"/>
  <c r="D201" i="53"/>
  <c r="D199" i="53"/>
  <c r="D189" i="53"/>
  <c r="D188" i="53"/>
  <c r="D185" i="53"/>
  <c r="D184" i="53"/>
  <c r="D207" i="53"/>
  <c r="D206" i="53"/>
  <c r="D205" i="53"/>
  <c r="D204" i="53"/>
  <c r="D195" i="53"/>
  <c r="D194" i="53"/>
  <c r="D190" i="53"/>
  <c r="D181" i="53"/>
  <c r="D166" i="53"/>
  <c r="D197" i="53"/>
  <c r="D176" i="53"/>
  <c r="D171" i="53"/>
  <c r="D169" i="53"/>
  <c r="D167" i="53"/>
  <c r="D165" i="53"/>
  <c r="D164" i="53"/>
  <c r="D163" i="53"/>
  <c r="D157" i="53"/>
  <c r="D136" i="53"/>
  <c r="D131" i="53"/>
  <c r="D128" i="53"/>
  <c r="D126" i="53"/>
  <c r="D122" i="53"/>
  <c r="D121" i="53"/>
  <c r="D107" i="53"/>
  <c r="D175" i="53"/>
  <c r="D174" i="53"/>
  <c r="D172" i="53"/>
  <c r="D170" i="53"/>
  <c r="D149" i="53"/>
  <c r="G2" i="53"/>
  <c r="F2" i="53"/>
  <c r="F3" i="53" s="1"/>
  <c r="F4" i="53" s="1"/>
  <c r="H3" i="53" l="1"/>
  <c r="H4" i="53"/>
  <c r="G3" i="53"/>
  <c r="G4" i="53" s="1"/>
  <c r="F5" i="53"/>
  <c r="H5" i="53" l="1"/>
  <c r="G5" i="53"/>
  <c r="G6" i="53" s="1"/>
  <c r="H6" i="53"/>
  <c r="F6" i="53"/>
  <c r="F7" i="53" s="1"/>
  <c r="G7" i="53" l="1"/>
  <c r="G8" i="53" s="1"/>
  <c r="H7" i="53"/>
  <c r="H8" i="53" s="1"/>
  <c r="F8" i="53"/>
  <c r="H9" i="53" l="1"/>
  <c r="H10" i="53" s="1"/>
  <c r="G9" i="53"/>
  <c r="F9" i="53"/>
  <c r="G10" i="53" l="1"/>
  <c r="H11" i="53"/>
  <c r="F10" i="53"/>
  <c r="F11" i="53" s="1"/>
  <c r="G11" i="53" l="1"/>
  <c r="G12" i="53" s="1"/>
  <c r="G13" i="53" s="1"/>
  <c r="G14" i="53" s="1"/>
  <c r="G15" i="53" s="1"/>
  <c r="G16" i="53" s="1"/>
  <c r="B2" i="54" l="1"/>
  <c r="C2" i="54" s="1"/>
  <c r="BC66" i="26" s="1"/>
  <c r="E18" i="54" s="1"/>
  <c r="V18" i="54" s="1"/>
  <c r="E100" i="54" l="1"/>
  <c r="E128" i="54"/>
  <c r="F72" i="54"/>
  <c r="G100" i="54"/>
  <c r="G128" i="54" s="1"/>
  <c r="G154" i="54" s="1"/>
  <c r="E72" i="54"/>
  <c r="C9" i="54"/>
  <c r="D9" i="54" s="1"/>
  <c r="C10" i="54"/>
  <c r="C11" i="54"/>
  <c r="D11" i="54" s="1"/>
  <c r="C12" i="54"/>
  <c r="C13" i="54"/>
  <c r="C14" i="54"/>
  <c r="C15" i="54"/>
  <c r="C16" i="54"/>
  <c r="C17" i="54"/>
  <c r="D17" i="54" s="1"/>
  <c r="C8" i="54"/>
  <c r="L9" i="54"/>
  <c r="L10" i="54"/>
  <c r="L11" i="54"/>
  <c r="L12" i="54"/>
  <c r="L13" i="54"/>
  <c r="L14" i="54"/>
  <c r="L15" i="54"/>
  <c r="L16" i="54"/>
  <c r="L17" i="54"/>
  <c r="L8" i="54"/>
  <c r="J9" i="54"/>
  <c r="J10" i="54"/>
  <c r="J11" i="54"/>
  <c r="J12" i="54"/>
  <c r="J13" i="54"/>
  <c r="J14" i="54"/>
  <c r="J15" i="54"/>
  <c r="J16" i="54"/>
  <c r="J17" i="54"/>
  <c r="K9" i="54"/>
  <c r="K10" i="54"/>
  <c r="K11" i="54"/>
  <c r="K12" i="54"/>
  <c r="K13" i="54"/>
  <c r="K14" i="54"/>
  <c r="K15" i="54"/>
  <c r="K16" i="54"/>
  <c r="K17" i="54"/>
  <c r="I9" i="54"/>
  <c r="I10" i="54"/>
  <c r="I11" i="54"/>
  <c r="I12" i="54"/>
  <c r="I13" i="54"/>
  <c r="I14" i="54"/>
  <c r="I15" i="54"/>
  <c r="I16" i="54"/>
  <c r="I17" i="54"/>
  <c r="I8" i="54"/>
  <c r="H9" i="54"/>
  <c r="H10" i="54"/>
  <c r="H11" i="54"/>
  <c r="H12" i="54"/>
  <c r="H13" i="54"/>
  <c r="H14" i="54"/>
  <c r="H15" i="54"/>
  <c r="H16" i="54"/>
  <c r="H17" i="54"/>
  <c r="H8" i="54"/>
  <c r="B63" i="54"/>
  <c r="B66" i="54"/>
  <c r="B67" i="54"/>
  <c r="B68" i="54"/>
  <c r="B69" i="54"/>
  <c r="B70" i="54"/>
  <c r="B71" i="54"/>
  <c r="B8" i="54"/>
  <c r="I72" i="54"/>
  <c r="H63" i="54" l="1"/>
  <c r="D8" i="54"/>
  <c r="H71" i="54"/>
  <c r="G71" i="54"/>
  <c r="BC62" i="26"/>
  <c r="D14" i="54"/>
  <c r="H70" i="54"/>
  <c r="G70" i="54"/>
  <c r="BC64" i="26"/>
  <c r="D16" i="54"/>
  <c r="H69" i="54"/>
  <c r="G69" i="54"/>
  <c r="D15" i="54"/>
  <c r="BC63" i="26" s="1"/>
  <c r="G68" i="54"/>
  <c r="H68" i="54"/>
  <c r="H67" i="54"/>
  <c r="G67" i="54"/>
  <c r="D13" i="54"/>
  <c r="BC61" i="26" s="1"/>
  <c r="H66" i="54"/>
  <c r="G66" i="54"/>
  <c r="BC60" i="26"/>
  <c r="D12" i="54"/>
  <c r="BC58" i="26"/>
  <c r="D10" i="54"/>
  <c r="BC57" i="26"/>
  <c r="BH66" i="26"/>
  <c r="C65" i="54"/>
  <c r="C93" i="54" s="1"/>
  <c r="C121" i="54" s="1"/>
  <c r="C147" i="54" s="1"/>
  <c r="BC59" i="26"/>
  <c r="C71" i="54"/>
  <c r="C99" i="54" s="1"/>
  <c r="C127" i="54" s="1"/>
  <c r="C153" i="54" s="1"/>
  <c r="BC65" i="26"/>
  <c r="B62" i="54"/>
  <c r="G18" i="54"/>
  <c r="X18" i="54" s="1"/>
  <c r="C64" i="54"/>
  <c r="H128" i="54"/>
  <c r="H154" i="54" s="1"/>
  <c r="I100" i="54"/>
  <c r="L72" i="54"/>
  <c r="K72" i="54"/>
  <c r="J72" i="54"/>
  <c r="F100" i="54"/>
  <c r="B97" i="54"/>
  <c r="H97" i="54" s="1"/>
  <c r="B96" i="54"/>
  <c r="H96" i="54" s="1"/>
  <c r="B99" i="54"/>
  <c r="H99" i="54" s="1"/>
  <c r="B95" i="54"/>
  <c r="H95" i="54" s="1"/>
  <c r="B91" i="54"/>
  <c r="B98" i="54"/>
  <c r="H98" i="54" s="1"/>
  <c r="B94" i="54"/>
  <c r="H94" i="54" s="1"/>
  <c r="B65" i="54"/>
  <c r="C68" i="54"/>
  <c r="C96" i="54" s="1"/>
  <c r="C124" i="54" s="1"/>
  <c r="C150" i="54" s="1"/>
  <c r="C70" i="54"/>
  <c r="C98" i="54" s="1"/>
  <c r="C126" i="54" s="1"/>
  <c r="C152" i="54" s="1"/>
  <c r="B64" i="54"/>
  <c r="C69" i="54"/>
  <c r="C97" i="54" s="1"/>
  <c r="C125" i="54" s="1"/>
  <c r="C151" i="54" s="1"/>
  <c r="C67" i="54"/>
  <c r="C95" i="54" s="1"/>
  <c r="C123" i="54" s="1"/>
  <c r="C149" i="54" s="1"/>
  <c r="C66" i="54"/>
  <c r="C94" i="54" s="1"/>
  <c r="C122" i="54" s="1"/>
  <c r="C148" i="54" s="1"/>
  <c r="C63" i="54"/>
  <c r="G63" i="54" s="1"/>
  <c r="C62" i="54"/>
  <c r="H65" i="54" l="1"/>
  <c r="G65" i="54"/>
  <c r="H62" i="54"/>
  <c r="G62" i="54"/>
  <c r="G90" i="54" s="1"/>
  <c r="G118" i="54" s="1"/>
  <c r="G144" i="54" s="1"/>
  <c r="C92" i="54"/>
  <c r="G64" i="54"/>
  <c r="G92" i="54" s="1"/>
  <c r="G120" i="54" s="1"/>
  <c r="G146" i="54" s="1"/>
  <c r="H64" i="54"/>
  <c r="C91" i="54"/>
  <c r="H91" i="54" s="1"/>
  <c r="G91" i="54"/>
  <c r="G119" i="54" s="1"/>
  <c r="G145" i="54" s="1"/>
  <c r="F71" i="54"/>
  <c r="F99" i="54" s="1"/>
  <c r="F127" i="54" s="1"/>
  <c r="F153" i="54" s="1"/>
  <c r="E71" i="54"/>
  <c r="G99" i="54"/>
  <c r="G127" i="54" s="1"/>
  <c r="G153" i="54" s="1"/>
  <c r="G98" i="54"/>
  <c r="G126" i="54" s="1"/>
  <c r="G152" i="54" s="1"/>
  <c r="G93" i="54"/>
  <c r="G121" i="54" s="1"/>
  <c r="G147" i="54" s="1"/>
  <c r="F128" i="54"/>
  <c r="B90" i="54"/>
  <c r="AF18" i="54"/>
  <c r="F18" i="54"/>
  <c r="W18" i="54" s="1"/>
  <c r="G97" i="54"/>
  <c r="G125" i="54" s="1"/>
  <c r="G151" i="54" s="1"/>
  <c r="G95" i="54"/>
  <c r="G123" i="54" s="1"/>
  <c r="G149" i="54" s="1"/>
  <c r="G94" i="54"/>
  <c r="G122" i="54" s="1"/>
  <c r="G148" i="54" s="1"/>
  <c r="E99" i="54"/>
  <c r="G96" i="54"/>
  <c r="G124" i="54" s="1"/>
  <c r="G150" i="54" s="1"/>
  <c r="I128" i="54"/>
  <c r="F62" i="54"/>
  <c r="E95" i="54"/>
  <c r="E97" i="54"/>
  <c r="E70" i="54"/>
  <c r="E94" i="54"/>
  <c r="E62" i="54"/>
  <c r="E98" i="54"/>
  <c r="E96" i="54"/>
  <c r="E91" i="54"/>
  <c r="J100" i="54"/>
  <c r="K100" i="54"/>
  <c r="K128" i="54" s="1"/>
  <c r="K154" i="54" s="1"/>
  <c r="L100" i="54"/>
  <c r="E63" i="54"/>
  <c r="F63" i="54"/>
  <c r="BC56" i="26"/>
  <c r="G8" i="54" s="1"/>
  <c r="X8" i="54" s="1"/>
  <c r="E69" i="54"/>
  <c r="E66" i="54"/>
  <c r="F70" i="54"/>
  <c r="F69" i="54"/>
  <c r="E68" i="54"/>
  <c r="B92" i="54"/>
  <c r="E64" i="54"/>
  <c r="F64" i="54"/>
  <c r="B122" i="54"/>
  <c r="H122" i="54"/>
  <c r="H148" i="54" s="1"/>
  <c r="B127" i="54"/>
  <c r="B124" i="54"/>
  <c r="H124" i="54"/>
  <c r="H150" i="54" s="1"/>
  <c r="B119" i="54"/>
  <c r="E67" i="54"/>
  <c r="F68" i="54"/>
  <c r="F67" i="54"/>
  <c r="B126" i="54"/>
  <c r="H126" i="54"/>
  <c r="H152" i="54" s="1"/>
  <c r="F65" i="54"/>
  <c r="E65" i="54"/>
  <c r="F66" i="54"/>
  <c r="B123" i="54"/>
  <c r="H123" i="54"/>
  <c r="H149" i="54" s="1"/>
  <c r="B125" i="54"/>
  <c r="H125" i="54"/>
  <c r="H151" i="54" s="1"/>
  <c r="C90" i="54"/>
  <c r="B93" i="54"/>
  <c r="H93" i="54" s="1"/>
  <c r="I70" i="54"/>
  <c r="I66" i="54"/>
  <c r="I68" i="54"/>
  <c r="I71" i="54"/>
  <c r="I69" i="54"/>
  <c r="I67" i="54"/>
  <c r="I65" i="54"/>
  <c r="I64" i="54"/>
  <c r="I63" i="54"/>
  <c r="I62" i="54"/>
  <c r="H90" i="54" l="1"/>
  <c r="C120" i="54"/>
  <c r="C146" i="54" s="1"/>
  <c r="H92" i="54"/>
  <c r="C119" i="54"/>
  <c r="C145" i="54" s="1"/>
  <c r="H119" i="54"/>
  <c r="H145" i="54" s="1"/>
  <c r="C118" i="54"/>
  <c r="C144" i="54" s="1"/>
  <c r="BH61" i="26"/>
  <c r="BH63" i="26"/>
  <c r="BH64" i="26"/>
  <c r="BH62" i="26"/>
  <c r="BH65" i="26"/>
  <c r="BH57" i="26"/>
  <c r="BH58" i="26"/>
  <c r="BH59" i="26"/>
  <c r="BH60" i="26"/>
  <c r="L71" i="54"/>
  <c r="K71" i="54"/>
  <c r="J71" i="54"/>
  <c r="I99" i="54"/>
  <c r="I127" i="54" s="1"/>
  <c r="B118" i="54"/>
  <c r="E93" i="54"/>
  <c r="I154" i="54"/>
  <c r="F154" i="54"/>
  <c r="F90" i="54"/>
  <c r="F118" i="54" s="1"/>
  <c r="F144" i="54" s="1"/>
  <c r="AE18" i="54"/>
  <c r="E119" i="54"/>
  <c r="B145" i="54"/>
  <c r="E126" i="54"/>
  <c r="B152" i="54"/>
  <c r="E127" i="54"/>
  <c r="B153" i="54"/>
  <c r="E122" i="54"/>
  <c r="B148" i="54"/>
  <c r="E125" i="54"/>
  <c r="B151" i="54"/>
  <c r="E123" i="54"/>
  <c r="B149" i="54"/>
  <c r="E124" i="54"/>
  <c r="B150" i="54"/>
  <c r="J128" i="54"/>
  <c r="J154" i="54" s="1"/>
  <c r="K63" i="54"/>
  <c r="K91" i="54" s="1"/>
  <c r="K119" i="54" s="1"/>
  <c r="K145" i="54" s="1"/>
  <c r="H127" i="54"/>
  <c r="H153" i="54" s="1"/>
  <c r="B120" i="54"/>
  <c r="E92" i="54"/>
  <c r="E90" i="54"/>
  <c r="L70" i="54"/>
  <c r="L98" i="54" s="1"/>
  <c r="L126" i="54" s="1"/>
  <c r="L152" i="54" s="1"/>
  <c r="L128" i="54"/>
  <c r="L154" i="54" s="1"/>
  <c r="E118" i="54" l="1"/>
  <c r="B144" i="54"/>
  <c r="I153" i="54"/>
  <c r="L62" i="54"/>
  <c r="L90" i="54" s="1"/>
  <c r="L118" i="54" s="1"/>
  <c r="L144" i="54" s="1"/>
  <c r="J62" i="54"/>
  <c r="BH56" i="26"/>
  <c r="I90" i="54"/>
  <c r="K62" i="54"/>
  <c r="K90" i="54" s="1"/>
  <c r="K118" i="54" s="1"/>
  <c r="K144" i="54" s="1"/>
  <c r="E120" i="54"/>
  <c r="B146" i="54"/>
  <c r="L99" i="54"/>
  <c r="J99" i="54"/>
  <c r="K99" i="54"/>
  <c r="I94" i="54"/>
  <c r="I93" i="54"/>
  <c r="I95" i="54"/>
  <c r="I97" i="54"/>
  <c r="I96" i="54"/>
  <c r="I92" i="54"/>
  <c r="I91" i="54"/>
  <c r="I98" i="54"/>
  <c r="K70" i="54"/>
  <c r="L69" i="54"/>
  <c r="L65" i="54"/>
  <c r="L68" i="54"/>
  <c r="L64" i="54"/>
  <c r="L63" i="54"/>
  <c r="L67" i="54"/>
  <c r="L66" i="54"/>
  <c r="K65" i="54"/>
  <c r="K68" i="54"/>
  <c r="K64" i="54"/>
  <c r="K67" i="54"/>
  <c r="K69" i="54"/>
  <c r="K66" i="54"/>
  <c r="J65" i="54"/>
  <c r="J68" i="54"/>
  <c r="J64" i="54"/>
  <c r="J63" i="54"/>
  <c r="J67" i="54"/>
  <c r="J69" i="54"/>
  <c r="J66" i="54"/>
  <c r="J70" i="54"/>
  <c r="F91" i="54"/>
  <c r="F94" i="54"/>
  <c r="F98" i="54"/>
  <c r="F96" i="54"/>
  <c r="F97" i="54"/>
  <c r="F95" i="54"/>
  <c r="F93" i="54"/>
  <c r="F92" i="54"/>
  <c r="F8" i="54"/>
  <c r="W8" i="54" s="1"/>
  <c r="E8" i="54"/>
  <c r="V8" i="54" s="1"/>
  <c r="G9" i="54"/>
  <c r="X9" i="54" s="1"/>
  <c r="E9" i="54"/>
  <c r="V9" i="54" s="1"/>
  <c r="F9" i="54"/>
  <c r="W9" i="54" s="1"/>
  <c r="G15" i="54"/>
  <c r="X15" i="54" s="1"/>
  <c r="E15" i="54"/>
  <c r="V15" i="54" s="1"/>
  <c r="F15" i="54"/>
  <c r="W15" i="54" s="1"/>
  <c r="F13" i="54"/>
  <c r="W13" i="54" s="1"/>
  <c r="G13" i="54"/>
  <c r="X13" i="54" s="1"/>
  <c r="E13" i="54"/>
  <c r="V13" i="54" s="1"/>
  <c r="G16" i="54"/>
  <c r="X16" i="54" s="1"/>
  <c r="F16" i="54"/>
  <c r="W16" i="54" s="1"/>
  <c r="E16" i="54"/>
  <c r="V16" i="54" s="1"/>
  <c r="G17" i="54"/>
  <c r="X17" i="54" s="1"/>
  <c r="E17" i="54"/>
  <c r="V17" i="54" s="1"/>
  <c r="F17" i="54"/>
  <c r="W17" i="54" s="1"/>
  <c r="F11" i="54"/>
  <c r="W11" i="54" s="1"/>
  <c r="G11" i="54"/>
  <c r="X11" i="54" s="1"/>
  <c r="E11" i="54"/>
  <c r="V11" i="54" s="1"/>
  <c r="G12" i="54"/>
  <c r="X12" i="54" s="1"/>
  <c r="E12" i="54"/>
  <c r="V12" i="54" s="1"/>
  <c r="F12" i="54"/>
  <c r="W12" i="54" s="1"/>
  <c r="F14" i="54"/>
  <c r="W14" i="54" s="1"/>
  <c r="E14" i="54"/>
  <c r="V14" i="54" s="1"/>
  <c r="G14" i="54"/>
  <c r="X14" i="54" s="1"/>
  <c r="F10" i="54"/>
  <c r="E10" i="54"/>
  <c r="V10" i="54" s="1"/>
  <c r="G10" i="54"/>
  <c r="X10" i="54" s="1"/>
  <c r="B121" i="54"/>
  <c r="J90" i="54" l="1"/>
  <c r="J118" i="54" s="1"/>
  <c r="J144" i="54" s="1"/>
  <c r="F124" i="54"/>
  <c r="F126" i="54"/>
  <c r="F123" i="54"/>
  <c r="F122" i="54"/>
  <c r="F121" i="54"/>
  <c r="F147" i="54" s="1"/>
  <c r="F120" i="54"/>
  <c r="F119" i="54"/>
  <c r="I118" i="54"/>
  <c r="F125" i="54"/>
  <c r="E121" i="54"/>
  <c r="B147" i="54"/>
  <c r="I120" i="54"/>
  <c r="I121" i="54"/>
  <c r="L127" i="54"/>
  <c r="L153" i="54" s="1"/>
  <c r="K127" i="54"/>
  <c r="K153" i="54" s="1"/>
  <c r="I119" i="54"/>
  <c r="I123" i="54"/>
  <c r="J127" i="54"/>
  <c r="J153" i="54" s="1"/>
  <c r="I124" i="54"/>
  <c r="I122" i="54"/>
  <c r="I126" i="54"/>
  <c r="I125" i="54"/>
  <c r="AF12" i="54"/>
  <c r="AE12" i="54"/>
  <c r="AF16" i="54"/>
  <c r="AE16" i="54"/>
  <c r="AE8" i="54"/>
  <c r="AF8" i="54"/>
  <c r="AE14" i="54"/>
  <c r="AF14" i="54"/>
  <c r="AE11" i="54"/>
  <c r="AF11" i="54"/>
  <c r="AE17" i="54"/>
  <c r="AF17" i="54"/>
  <c r="AE9" i="54"/>
  <c r="AF9" i="54"/>
  <c r="W10" i="54"/>
  <c r="AE13" i="54"/>
  <c r="AF13" i="54"/>
  <c r="AE15" i="54"/>
  <c r="AF15" i="54"/>
  <c r="H120" i="54"/>
  <c r="H146" i="54" s="1"/>
  <c r="H121" i="54"/>
  <c r="H147" i="54" s="1"/>
  <c r="H118" i="54"/>
  <c r="K95" i="54"/>
  <c r="K123" i="54" s="1"/>
  <c r="K149" i="54" s="1"/>
  <c r="J95" i="54"/>
  <c r="J123" i="54" s="1"/>
  <c r="J149" i="54" s="1"/>
  <c r="J93" i="54"/>
  <c r="J121" i="54" s="1"/>
  <c r="J147" i="54" s="1"/>
  <c r="J98" i="54"/>
  <c r="J126" i="54" s="1"/>
  <c r="J152" i="54" s="1"/>
  <c r="J91" i="54"/>
  <c r="J119" i="54" s="1"/>
  <c r="J145" i="54" s="1"/>
  <c r="J94" i="54"/>
  <c r="J122" i="54" s="1"/>
  <c r="J148" i="54" s="1"/>
  <c r="J92" i="54"/>
  <c r="J120" i="54" s="1"/>
  <c r="J146" i="54" s="1"/>
  <c r="J97" i="54"/>
  <c r="J125" i="54" s="1"/>
  <c r="J151" i="54" s="1"/>
  <c r="J96" i="54"/>
  <c r="J124" i="54" s="1"/>
  <c r="J150" i="54" s="1"/>
  <c r="K97" i="54"/>
  <c r="K125" i="54" s="1"/>
  <c r="K151" i="54" s="1"/>
  <c r="K93" i="54"/>
  <c r="K121" i="54" s="1"/>
  <c r="K147" i="54" s="1"/>
  <c r="L92" i="54"/>
  <c r="L120" i="54" s="1"/>
  <c r="L146" i="54" s="1"/>
  <c r="L94" i="54"/>
  <c r="L122" i="54" s="1"/>
  <c r="L148" i="54" s="1"/>
  <c r="L96" i="54"/>
  <c r="K92" i="54"/>
  <c r="K120" i="54" s="1"/>
  <c r="K146" i="54" s="1"/>
  <c r="L95" i="54"/>
  <c r="L123" i="54" s="1"/>
  <c r="L149" i="54" s="1"/>
  <c r="L93" i="54"/>
  <c r="L121" i="54" s="1"/>
  <c r="L147" i="54" s="1"/>
  <c r="L97" i="54"/>
  <c r="K94" i="54"/>
  <c r="K122" i="54" s="1"/>
  <c r="K148" i="54" s="1"/>
  <c r="K96" i="54"/>
  <c r="K124" i="54" s="1"/>
  <c r="K150" i="54" s="1"/>
  <c r="L91" i="54"/>
  <c r="K98" i="54"/>
  <c r="K126" i="54" s="1"/>
  <c r="K152" i="54" s="1"/>
  <c r="D84" i="43"/>
  <c r="F149" i="54" l="1"/>
  <c r="F152" i="54"/>
  <c r="F148" i="54"/>
  <c r="F150" i="54"/>
  <c r="F146" i="54"/>
  <c r="F145" i="54"/>
  <c r="I147" i="54"/>
  <c r="I150" i="54"/>
  <c r="I152" i="54"/>
  <c r="I148" i="54"/>
  <c r="I149" i="54"/>
  <c r="I151" i="54"/>
  <c r="I146" i="54"/>
  <c r="I145" i="54"/>
  <c r="I144" i="54"/>
  <c r="F151" i="54"/>
  <c r="H144" i="54"/>
  <c r="AE10" i="54"/>
  <c r="AF10" i="54"/>
  <c r="L125" i="54"/>
  <c r="L151" i="54" s="1"/>
  <c r="L124" i="54"/>
  <c r="L150" i="54" s="1"/>
  <c r="L119" i="54"/>
  <c r="L145" i="54" s="1"/>
  <c r="N489" i="47"/>
  <c r="N490" i="47"/>
  <c r="N491" i="47"/>
  <c r="N488" i="47"/>
  <c r="M491" i="47"/>
  <c r="M490" i="47"/>
  <c r="M489" i="47"/>
  <c r="M488" i="47"/>
  <c r="B486" i="47" l="1"/>
  <c r="BS482" i="47"/>
  <c r="BT482" i="47" s="1"/>
  <c r="BP482" i="47"/>
  <c r="BN482" i="47"/>
  <c r="BS481" i="47"/>
  <c r="BT481" i="47" s="1"/>
  <c r="BP481" i="47"/>
  <c r="BN481" i="47"/>
  <c r="BS480" i="47"/>
  <c r="BP480" i="47"/>
  <c r="BN480" i="47"/>
  <c r="BS479" i="47"/>
  <c r="BT479" i="47" s="1"/>
  <c r="BP479" i="47"/>
  <c r="BN479" i="47"/>
  <c r="BS478" i="47"/>
  <c r="BT478" i="47" s="1"/>
  <c r="BP478" i="47"/>
  <c r="BN478" i="47"/>
  <c r="BS477" i="47"/>
  <c r="BT477" i="47" s="1"/>
  <c r="BP477" i="47"/>
  <c r="BN477" i="47"/>
  <c r="BP476" i="47"/>
  <c r="BP475" i="47"/>
  <c r="BP474" i="47"/>
  <c r="BP473" i="47"/>
  <c r="BN473" i="47"/>
  <c r="CE178" i="43"/>
  <c r="CE177" i="43"/>
  <c r="CE176" i="43"/>
  <c r="CE175" i="43"/>
  <c r="G469" i="47"/>
  <c r="G489" i="47" s="1"/>
  <c r="G470" i="47"/>
  <c r="G490" i="47" s="1"/>
  <c r="G471" i="47"/>
  <c r="G491" i="47" s="1"/>
  <c r="G468" i="47"/>
  <c r="G488" i="47" s="1"/>
  <c r="E469" i="47"/>
  <c r="E489" i="47" s="1"/>
  <c r="E470" i="47"/>
  <c r="E490" i="47" s="1"/>
  <c r="E471" i="47"/>
  <c r="E491" i="47" s="1"/>
  <c r="E488" i="47"/>
  <c r="G413" i="47"/>
  <c r="D468" i="47"/>
  <c r="D488" i="47" s="1"/>
  <c r="D469" i="47"/>
  <c r="D489" i="47" s="1"/>
  <c r="D470" i="47"/>
  <c r="D490" i="47" s="1"/>
  <c r="D471" i="47"/>
  <c r="D491" i="47" s="1"/>
  <c r="G414" i="47"/>
  <c r="F471" i="47"/>
  <c r="F491" i="47" s="1"/>
  <c r="C471" i="47"/>
  <c r="C491" i="47" s="1"/>
  <c r="F470" i="47"/>
  <c r="F490" i="47" s="1"/>
  <c r="C470" i="47"/>
  <c r="C490" i="47" s="1"/>
  <c r="F469" i="47"/>
  <c r="F489" i="47" s="1"/>
  <c r="C469" i="47"/>
  <c r="C489" i="47" s="1"/>
  <c r="F468" i="47"/>
  <c r="F488" i="47" s="1"/>
  <c r="C468" i="47"/>
  <c r="C488" i="47" s="1"/>
  <c r="B469" i="47"/>
  <c r="B489" i="47" s="1"/>
  <c r="B470" i="47"/>
  <c r="J470" i="47" s="1"/>
  <c r="CH177" i="43" s="1"/>
  <c r="K470" i="47" s="1"/>
  <c r="B471" i="47"/>
  <c r="J471" i="47" s="1"/>
  <c r="CH178" i="43" s="1"/>
  <c r="K471" i="47" s="1"/>
  <c r="B468" i="47"/>
  <c r="B488" i="47" s="1"/>
  <c r="C169" i="43"/>
  <c r="V471" i="47" l="1"/>
  <c r="V470" i="47"/>
  <c r="W471" i="47"/>
  <c r="U471" i="47"/>
  <c r="W470" i="47"/>
  <c r="U470" i="47"/>
  <c r="P471" i="47"/>
  <c r="CO178" i="43" s="1"/>
  <c r="Q471" i="47" s="1"/>
  <c r="AE471" i="47" s="1"/>
  <c r="P470" i="47"/>
  <c r="CO177" i="43" s="1"/>
  <c r="Q470" i="47" s="1"/>
  <c r="B491" i="47"/>
  <c r="B490" i="47"/>
  <c r="H490" i="47" s="1"/>
  <c r="K490" i="47" s="1"/>
  <c r="CR177" i="43" s="1"/>
  <c r="L490" i="47" s="1"/>
  <c r="Q490" i="47" s="1"/>
  <c r="BT480" i="47"/>
  <c r="BT473" i="47"/>
  <c r="N471" i="47"/>
  <c r="CM178" i="43" s="1"/>
  <c r="O471" i="47" s="1"/>
  <c r="AB471" i="47" s="1"/>
  <c r="H470" i="47"/>
  <c r="CF177" i="43" s="1"/>
  <c r="I470" i="47" s="1"/>
  <c r="S470" i="47" s="1"/>
  <c r="H471" i="47"/>
  <c r="CF178" i="43" s="1"/>
  <c r="I471" i="47" s="1"/>
  <c r="R471" i="47" s="1"/>
  <c r="L471" i="47"/>
  <c r="CJ178" i="43" s="1"/>
  <c r="M471" i="47" s="1"/>
  <c r="X471" i="47" s="1"/>
  <c r="L470" i="47"/>
  <c r="CJ177" i="43" s="1"/>
  <c r="M470" i="47" s="1"/>
  <c r="X470" i="47" s="1"/>
  <c r="N470" i="47"/>
  <c r="CM177" i="43" s="1"/>
  <c r="O470" i="47" s="1"/>
  <c r="AA470" i="47" s="1"/>
  <c r="H491" i="47" l="1"/>
  <c r="K491" i="47" s="1"/>
  <c r="CR178" i="43" s="1"/>
  <c r="L491" i="47" s="1"/>
  <c r="AF470" i="47"/>
  <c r="AE470" i="47"/>
  <c r="R490" i="47"/>
  <c r="U490" i="47" s="1"/>
  <c r="T490" i="47"/>
  <c r="AB178" i="43"/>
  <c r="AF471" i="47"/>
  <c r="P490" i="47"/>
  <c r="AD470" i="47"/>
  <c r="AD471" i="47"/>
  <c r="BF480" i="47" s="1"/>
  <c r="Y471" i="47"/>
  <c r="BA480" i="47" s="1"/>
  <c r="AB470" i="47"/>
  <c r="BD479" i="47" s="1"/>
  <c r="AC470" i="47"/>
  <c r="BE479" i="47" s="1"/>
  <c r="Y470" i="47"/>
  <c r="BA479" i="47" s="1"/>
  <c r="S471" i="47"/>
  <c r="AX480" i="47" s="1"/>
  <c r="T471" i="47"/>
  <c r="AY480" i="47" s="1"/>
  <c r="AC471" i="47"/>
  <c r="Z471" i="47"/>
  <c r="R470" i="47"/>
  <c r="AX479" i="47" s="1"/>
  <c r="Z470" i="47"/>
  <c r="BC479" i="47" s="1"/>
  <c r="T470" i="47"/>
  <c r="AZ479" i="47"/>
  <c r="AA471" i="47"/>
  <c r="BD480" i="47" s="1"/>
  <c r="AZ480" i="47"/>
  <c r="P491" i="47" l="1"/>
  <c r="S491" i="47" s="1"/>
  <c r="R491" i="47"/>
  <c r="Q491" i="47"/>
  <c r="BG479" i="47"/>
  <c r="BB480" i="47"/>
  <c r="BG480" i="47"/>
  <c r="AC178" i="43"/>
  <c r="BE480" i="47"/>
  <c r="S490" i="47"/>
  <c r="AA178" i="43"/>
  <c r="BF479" i="47"/>
  <c r="BB479" i="47"/>
  <c r="AY479" i="47"/>
  <c r="BC480" i="47"/>
  <c r="AA179" i="43" l="1"/>
  <c r="T491" i="47"/>
  <c r="AB179" i="43"/>
  <c r="U491" i="47"/>
  <c r="AC179" i="43"/>
  <c r="AY492" i="47"/>
  <c r="AX492" i="47"/>
  <c r="AY493" i="47" l="1"/>
  <c r="AX493" i="47"/>
  <c r="BA413" i="47"/>
  <c r="BA414" i="47"/>
  <c r="BA415" i="47"/>
  <c r="BA416" i="47"/>
  <c r="BA417" i="47"/>
  <c r="BA412" i="47"/>
  <c r="AZ413" i="47"/>
  <c r="AZ414" i="47"/>
  <c r="AZ415" i="47"/>
  <c r="AZ416" i="47"/>
  <c r="AZ417" i="47"/>
  <c r="AZ412" i="47"/>
  <c r="AY413" i="47"/>
  <c r="AY414" i="47"/>
  <c r="AY415" i="47"/>
  <c r="AY416" i="47"/>
  <c r="AY417" i="47"/>
  <c r="AY412" i="47"/>
  <c r="AX413" i="47"/>
  <c r="AX414" i="47"/>
  <c r="AX415" i="47"/>
  <c r="AX416" i="47"/>
  <c r="AX417" i="47"/>
  <c r="AX412" i="47"/>
  <c r="AX428" i="47"/>
  <c r="AX429" i="47"/>
  <c r="AX430" i="47"/>
  <c r="Y428" i="47"/>
  <c r="Z428" i="47"/>
  <c r="Y429" i="47"/>
  <c r="Z429" i="47"/>
  <c r="Y430" i="47"/>
  <c r="Z430" i="47"/>
  <c r="BP424" i="47"/>
  <c r="BP423" i="47"/>
  <c r="BP422" i="47"/>
  <c r="BP421" i="47"/>
  <c r="BP420" i="47"/>
  <c r="BP419" i="47"/>
  <c r="BP418" i="47"/>
  <c r="BP417" i="47"/>
  <c r="BP416" i="47"/>
  <c r="BP415" i="47"/>
  <c r="BG374" i="47"/>
  <c r="BG375" i="47"/>
  <c r="BG376" i="47"/>
  <c r="BG377" i="47"/>
  <c r="BG378" i="47"/>
  <c r="BF374" i="47"/>
  <c r="BF375" i="47"/>
  <c r="BF376" i="47"/>
  <c r="BF377" i="47"/>
  <c r="BF378" i="47"/>
  <c r="AZ374" i="47"/>
  <c r="AZ375" i="47"/>
  <c r="AZ376" i="47"/>
  <c r="AZ377" i="47"/>
  <c r="AZ378" i="47"/>
  <c r="BD374" i="47"/>
  <c r="BE374" i="47"/>
  <c r="BD375" i="47"/>
  <c r="BE375" i="47"/>
  <c r="BD376" i="47"/>
  <c r="BE376" i="47"/>
  <c r="BD377" i="47"/>
  <c r="BE377" i="47"/>
  <c r="BD378" i="47"/>
  <c r="BE378" i="47"/>
  <c r="BC374" i="47"/>
  <c r="BC375" i="47"/>
  <c r="BC376" i="47"/>
  <c r="BC377" i="47"/>
  <c r="BC378" i="47"/>
  <c r="BB374" i="47"/>
  <c r="BB375" i="47"/>
  <c r="BB376" i="47"/>
  <c r="BB377" i="47"/>
  <c r="BB378" i="47"/>
  <c r="BA374" i="47"/>
  <c r="BA375" i="47"/>
  <c r="BA376" i="47"/>
  <c r="BA377" i="47"/>
  <c r="BA378" i="47"/>
  <c r="AY374" i="47"/>
  <c r="AY375" i="47"/>
  <c r="AY376" i="47"/>
  <c r="AY377" i="47"/>
  <c r="AY378" i="47"/>
  <c r="AX374" i="47"/>
  <c r="AX375" i="47"/>
  <c r="AX376" i="47"/>
  <c r="AX377" i="47"/>
  <c r="AX378" i="47"/>
  <c r="AI417" i="47" l="1"/>
  <c r="AI416" i="47"/>
  <c r="AI418" i="47"/>
  <c r="AI414" i="47"/>
  <c r="AI415" i="47"/>
  <c r="AJ417" i="47"/>
  <c r="AJ415" i="47"/>
  <c r="AJ414" i="47"/>
  <c r="AJ418" i="47"/>
  <c r="BR424" i="47"/>
  <c r="AJ416" i="47"/>
  <c r="AK417" i="47" l="1"/>
  <c r="AK416" i="47"/>
  <c r="AK414" i="47"/>
  <c r="AK418" i="47"/>
  <c r="Z152" i="47"/>
  <c r="Z153" i="47"/>
  <c r="Z154" i="47"/>
  <c r="Z155" i="47"/>
  <c r="Z156" i="47"/>
  <c r="P119" i="43"/>
  <c r="P120" i="43"/>
  <c r="P121" i="43"/>
  <c r="P122" i="43"/>
  <c r="P123" i="43"/>
  <c r="P118" i="43"/>
  <c r="N119" i="43"/>
  <c r="N120" i="43"/>
  <c r="N121" i="43"/>
  <c r="N122" i="43"/>
  <c r="N123" i="43"/>
  <c r="N118" i="43"/>
  <c r="J387" i="47"/>
  <c r="L387" i="47" s="1"/>
  <c r="N387" i="47" s="1"/>
  <c r="Z361" i="47"/>
  <c r="Z362" i="47"/>
  <c r="Y361" i="47"/>
  <c r="Y362" i="47"/>
  <c r="J355" i="47"/>
  <c r="AJ362" i="47" l="1"/>
  <c r="AI361" i="47"/>
  <c r="AI362" i="47"/>
  <c r="AJ361" i="47"/>
  <c r="Z256" i="47"/>
  <c r="Z257" i="47"/>
  <c r="Z258" i="47"/>
  <c r="Z259" i="47"/>
  <c r="Z260" i="47"/>
  <c r="Y256" i="47"/>
  <c r="Y257" i="47"/>
  <c r="Y258" i="47"/>
  <c r="Y259" i="47"/>
  <c r="Y260" i="47"/>
  <c r="Y152" i="47"/>
  <c r="Y153" i="47"/>
  <c r="Y154" i="47"/>
  <c r="Y155" i="47"/>
  <c r="Y156" i="47"/>
  <c r="C294" i="47"/>
  <c r="C306" i="47"/>
  <c r="C295" i="47"/>
  <c r="BB56" i="47"/>
  <c r="BB57" i="47"/>
  <c r="BB58" i="47"/>
  <c r="BA56" i="47"/>
  <c r="BA57" i="47"/>
  <c r="BA58" i="47"/>
  <c r="AZ56" i="47"/>
  <c r="AZ57" i="47"/>
  <c r="AZ58" i="47"/>
  <c r="AY56" i="47"/>
  <c r="AY57" i="47"/>
  <c r="AY58" i="47"/>
  <c r="Z56" i="47"/>
  <c r="AA56" i="47"/>
  <c r="Z57" i="47"/>
  <c r="AA57" i="47"/>
  <c r="Z58" i="47"/>
  <c r="AA58" i="47"/>
  <c r="BP348" i="47"/>
  <c r="BP347" i="47"/>
  <c r="BP346" i="47"/>
  <c r="BP345" i="47"/>
  <c r="BP344" i="47"/>
  <c r="BP343" i="47"/>
  <c r="BP342" i="47"/>
  <c r="BP341" i="47"/>
  <c r="BP340" i="47"/>
  <c r="BP339" i="47"/>
  <c r="AK362" i="47" l="1"/>
  <c r="AK361" i="47"/>
  <c r="BP233" i="47" l="1"/>
  <c r="BP232" i="47"/>
  <c r="BP231" i="47"/>
  <c r="BP230" i="47"/>
  <c r="BP229" i="47"/>
  <c r="BP228" i="47"/>
  <c r="BP227" i="47"/>
  <c r="BP226" i="47"/>
  <c r="BP225" i="47"/>
  <c r="BP224" i="47"/>
  <c r="BP143" i="47" l="1"/>
  <c r="BP142" i="47"/>
  <c r="BP141" i="47"/>
  <c r="BP140" i="47"/>
  <c r="BP139" i="47"/>
  <c r="BP138" i="47"/>
  <c r="BP137" i="47"/>
  <c r="BP136" i="47"/>
  <c r="BP135" i="47"/>
  <c r="BP134" i="47"/>
  <c r="BP36" i="47"/>
  <c r="BP37" i="47"/>
  <c r="BP38" i="47"/>
  <c r="BP39" i="47"/>
  <c r="BP40" i="47"/>
  <c r="BP41" i="47"/>
  <c r="BP42" i="47"/>
  <c r="BP43" i="47"/>
  <c r="BP44" i="47"/>
  <c r="BP35" i="47"/>
  <c r="DV13" i="43" l="1"/>
  <c r="DV14" i="43"/>
  <c r="DV15" i="43"/>
  <c r="DV16" i="43"/>
  <c r="DV17" i="43"/>
  <c r="DV12" i="43"/>
  <c r="EF19" i="43"/>
  <c r="EF66" i="43"/>
  <c r="CU14" i="43"/>
  <c r="CU15" i="43"/>
  <c r="CU16" i="43"/>
  <c r="CU17" i="43"/>
  <c r="CU18" i="43"/>
  <c r="CU13" i="43"/>
  <c r="G90" i="47"/>
  <c r="G101" i="47" s="1"/>
  <c r="H90" i="47"/>
  <c r="H101" i="47" s="1"/>
  <c r="E90" i="47"/>
  <c r="E101" i="47" s="1"/>
  <c r="F90" i="47"/>
  <c r="F101" i="47" s="1"/>
  <c r="B90" i="47"/>
  <c r="B101" i="47" s="1"/>
  <c r="C90" i="47"/>
  <c r="C101" i="47" s="1"/>
  <c r="M23" i="31" l="1"/>
  <c r="M6" i="31"/>
  <c r="O65" i="31"/>
  <c r="M65" i="31"/>
  <c r="BI56" i="31"/>
  <c r="BH56" i="31"/>
  <c r="BG56" i="31"/>
  <c r="BF56" i="31"/>
  <c r="BE56" i="31"/>
  <c r="BD56" i="31"/>
  <c r="BI55" i="31"/>
  <c r="BH55" i="31"/>
  <c r="BG55" i="31"/>
  <c r="BF55" i="31"/>
  <c r="BE55" i="31"/>
  <c r="BD55" i="31"/>
  <c r="BI54" i="31"/>
  <c r="BH54" i="31"/>
  <c r="BG54" i="31"/>
  <c r="BF54" i="31"/>
  <c r="BE54" i="31"/>
  <c r="BD54" i="31"/>
  <c r="BI53" i="31"/>
  <c r="BH53" i="31"/>
  <c r="BG53" i="31"/>
  <c r="BF53" i="31"/>
  <c r="BE53" i="31"/>
  <c r="BD53" i="31"/>
  <c r="BI52" i="31"/>
  <c r="BH52" i="31"/>
  <c r="BG52" i="31"/>
  <c r="BF52" i="31"/>
  <c r="BE52" i="31"/>
  <c r="BD52" i="31"/>
  <c r="BI51" i="31"/>
  <c r="BH51" i="31"/>
  <c r="BG51" i="31"/>
  <c r="BF51" i="31"/>
  <c r="BE51" i="31"/>
  <c r="DL56" i="31"/>
  <c r="DK56" i="31"/>
  <c r="DL55" i="31"/>
  <c r="DK55" i="31"/>
  <c r="DL54" i="31"/>
  <c r="DK54" i="31"/>
  <c r="DL53" i="31"/>
  <c r="DK53" i="31"/>
  <c r="DL52" i="31"/>
  <c r="DK52" i="31"/>
  <c r="DL51" i="31"/>
  <c r="DK51" i="31"/>
  <c r="DI56" i="31"/>
  <c r="DH56" i="31"/>
  <c r="DG56" i="31"/>
  <c r="DI55" i="31"/>
  <c r="DH55" i="31"/>
  <c r="DG55" i="31"/>
  <c r="DI54" i="31"/>
  <c r="DH54" i="31"/>
  <c r="DG54" i="31"/>
  <c r="DI53" i="31"/>
  <c r="DH53" i="31"/>
  <c r="DG53" i="31"/>
  <c r="DI52" i="31"/>
  <c r="DH52" i="31"/>
  <c r="DG52" i="31"/>
  <c r="DI51" i="31"/>
  <c r="DH51" i="31"/>
  <c r="DG51" i="31"/>
  <c r="CV51" i="31"/>
  <c r="DL72" i="31"/>
  <c r="DK72" i="31"/>
  <c r="DL71" i="31"/>
  <c r="DK71" i="31"/>
  <c r="DL70" i="31"/>
  <c r="DK70" i="31"/>
  <c r="DL69" i="31"/>
  <c r="DK69" i="31"/>
  <c r="DL68" i="31"/>
  <c r="DK68" i="31"/>
  <c r="DL67" i="31"/>
  <c r="DK67" i="31"/>
  <c r="DI72" i="31"/>
  <c r="DH72" i="31"/>
  <c r="DG72" i="31"/>
  <c r="DI71" i="31"/>
  <c r="DH71" i="31"/>
  <c r="DG71" i="31"/>
  <c r="DI70" i="31"/>
  <c r="DH70" i="31"/>
  <c r="DG70" i="31"/>
  <c r="DI69" i="31"/>
  <c r="DH69" i="31"/>
  <c r="DG69" i="31"/>
  <c r="DI68" i="31"/>
  <c r="DH68" i="31"/>
  <c r="DG68" i="31"/>
  <c r="DI67" i="31"/>
  <c r="DH67" i="31"/>
  <c r="DG67" i="31"/>
  <c r="CV67" i="31"/>
  <c r="DA72" i="31"/>
  <c r="CZ72" i="31"/>
  <c r="DA71" i="31"/>
  <c r="CZ71" i="31"/>
  <c r="DA70" i="31"/>
  <c r="CZ70" i="31"/>
  <c r="DA69" i="31"/>
  <c r="CZ69" i="31"/>
  <c r="DA68" i="31"/>
  <c r="CZ68" i="31"/>
  <c r="DA67" i="31"/>
  <c r="CZ67" i="31"/>
  <c r="CX72" i="31"/>
  <c r="CW72" i="31"/>
  <c r="CV72" i="31"/>
  <c r="CX71" i="31"/>
  <c r="CW71" i="31"/>
  <c r="CV71" i="31"/>
  <c r="CX70" i="31"/>
  <c r="CW70" i="31"/>
  <c r="CV70" i="31"/>
  <c r="CX69" i="31"/>
  <c r="CW69" i="31"/>
  <c r="CV69" i="31"/>
  <c r="CX68" i="31"/>
  <c r="CW68" i="31"/>
  <c r="CV68" i="31"/>
  <c r="CX67" i="31"/>
  <c r="CW67" i="31"/>
  <c r="DA56" i="31"/>
  <c r="CZ56" i="31"/>
  <c r="DA55" i="31"/>
  <c r="CZ55" i="31"/>
  <c r="DA54" i="31"/>
  <c r="CZ54" i="31"/>
  <c r="DA53" i="31"/>
  <c r="CZ53" i="31"/>
  <c r="DA52" i="31"/>
  <c r="CZ52" i="31"/>
  <c r="DA51" i="31"/>
  <c r="CZ51" i="31"/>
  <c r="CX56" i="31"/>
  <c r="CW56" i="31"/>
  <c r="CV56" i="31"/>
  <c r="CX55" i="31"/>
  <c r="CW55" i="31"/>
  <c r="CV55" i="31"/>
  <c r="CX54" i="31"/>
  <c r="CW54" i="31"/>
  <c r="CV54" i="31"/>
  <c r="CX53" i="31"/>
  <c r="CW53" i="31"/>
  <c r="CV53" i="31"/>
  <c r="CX52" i="31"/>
  <c r="CW52" i="31"/>
  <c r="CV52" i="31"/>
  <c r="CX51" i="31"/>
  <c r="CW51" i="31"/>
  <c r="CK51" i="31"/>
  <c r="CP72" i="31"/>
  <c r="CO72" i="31"/>
  <c r="CP71" i="31"/>
  <c r="CO71" i="31"/>
  <c r="CP70" i="31"/>
  <c r="CO70" i="31"/>
  <c r="CP69" i="31"/>
  <c r="CO69" i="31"/>
  <c r="CP68" i="31"/>
  <c r="CO68" i="31"/>
  <c r="CP67" i="31"/>
  <c r="CO67" i="31"/>
  <c r="CM72" i="31"/>
  <c r="CL72" i="31"/>
  <c r="CK72" i="31"/>
  <c r="CM71" i="31"/>
  <c r="CL71" i="31"/>
  <c r="CK71" i="31"/>
  <c r="CM70" i="31"/>
  <c r="CL70" i="31"/>
  <c r="CK70" i="31"/>
  <c r="CM69" i="31"/>
  <c r="CL69" i="31"/>
  <c r="CK69" i="31"/>
  <c r="CM68" i="31"/>
  <c r="CL68" i="31"/>
  <c r="CK68" i="31"/>
  <c r="CM67" i="31"/>
  <c r="CL67" i="31"/>
  <c r="CK67" i="31"/>
  <c r="CP56" i="31"/>
  <c r="CO56" i="31"/>
  <c r="CP55" i="31"/>
  <c r="CO55" i="31"/>
  <c r="CP54" i="31"/>
  <c r="CO54" i="31"/>
  <c r="CP53" i="31"/>
  <c r="CO53" i="31"/>
  <c r="CP52" i="31"/>
  <c r="CO52" i="31"/>
  <c r="CP51" i="31"/>
  <c r="CO51" i="31"/>
  <c r="CM56" i="31"/>
  <c r="CL56" i="31"/>
  <c r="CK56" i="31"/>
  <c r="CM55" i="31"/>
  <c r="CL55" i="31"/>
  <c r="CK55" i="31"/>
  <c r="CM54" i="31"/>
  <c r="CL54" i="31"/>
  <c r="CK54" i="31"/>
  <c r="CM53" i="31"/>
  <c r="CL53" i="31"/>
  <c r="CK53" i="31"/>
  <c r="CM52" i="31"/>
  <c r="CL52" i="31"/>
  <c r="CK52" i="31"/>
  <c r="CM51" i="31"/>
  <c r="CL51" i="31"/>
  <c r="BD68" i="31"/>
  <c r="BI72" i="31"/>
  <c r="BH72" i="31"/>
  <c r="BG72" i="31"/>
  <c r="BF72" i="31"/>
  <c r="BE72" i="31"/>
  <c r="BD72" i="31"/>
  <c r="BI71" i="31"/>
  <c r="BH71" i="31"/>
  <c r="BG71" i="31"/>
  <c r="BF71" i="31"/>
  <c r="BE71" i="31"/>
  <c r="BD71" i="31"/>
  <c r="BI70" i="31"/>
  <c r="BH70" i="31"/>
  <c r="BG70" i="31"/>
  <c r="BF70" i="31"/>
  <c r="BE70" i="31"/>
  <c r="BD70" i="31"/>
  <c r="BI69" i="31"/>
  <c r="BH69" i="31"/>
  <c r="BG69" i="31"/>
  <c r="BF69" i="31"/>
  <c r="BE69" i="31"/>
  <c r="BD69" i="31"/>
  <c r="BI68" i="31"/>
  <c r="BH68" i="31"/>
  <c r="BG68" i="31"/>
  <c r="BF68" i="31"/>
  <c r="BE68" i="31"/>
  <c r="BI67" i="31"/>
  <c r="BG67" i="31"/>
  <c r="BF67" i="31"/>
  <c r="BE67" i="31"/>
  <c r="BD67" i="31"/>
  <c r="BH67" i="31"/>
  <c r="BD51" i="31"/>
  <c r="CE72" i="31"/>
  <c r="CD72" i="31"/>
  <c r="CE71" i="31"/>
  <c r="CD71" i="31"/>
  <c r="CE70" i="31"/>
  <c r="CD70" i="31"/>
  <c r="CE69" i="31"/>
  <c r="CD69" i="31"/>
  <c r="CE68" i="31"/>
  <c r="CD68" i="31"/>
  <c r="CE67" i="31"/>
  <c r="CD67" i="31"/>
  <c r="CB72" i="31"/>
  <c r="CA72" i="31"/>
  <c r="BZ72" i="31"/>
  <c r="CB71" i="31"/>
  <c r="CA71" i="31"/>
  <c r="BZ71" i="31"/>
  <c r="CB70" i="31"/>
  <c r="CA70" i="31"/>
  <c r="BZ70" i="31"/>
  <c r="CB69" i="31"/>
  <c r="CA69" i="31"/>
  <c r="BZ69" i="31"/>
  <c r="CB68" i="31"/>
  <c r="CA68" i="31"/>
  <c r="BZ68" i="31"/>
  <c r="CB67" i="31"/>
  <c r="CA67" i="31"/>
  <c r="BZ67" i="31"/>
  <c r="CE56" i="31"/>
  <c r="CD56" i="31"/>
  <c r="CE55" i="31"/>
  <c r="CD55" i="31"/>
  <c r="CD54" i="31"/>
  <c r="CE53" i="31"/>
  <c r="CD53" i="31"/>
  <c r="CE52" i="31"/>
  <c r="CD52" i="31"/>
  <c r="CE51" i="31"/>
  <c r="CD51" i="31"/>
  <c r="CB56" i="31"/>
  <c r="CA56" i="31"/>
  <c r="BZ56" i="31"/>
  <c r="CB55" i="31"/>
  <c r="CA55" i="31"/>
  <c r="BZ55" i="31"/>
  <c r="CB54" i="31"/>
  <c r="CA54" i="31"/>
  <c r="BZ54" i="31"/>
  <c r="CB53" i="31"/>
  <c r="CA53" i="31"/>
  <c r="BZ53" i="31"/>
  <c r="CB52" i="31"/>
  <c r="CA52" i="31"/>
  <c r="BZ52" i="31"/>
  <c r="CB51" i="31"/>
  <c r="CA51" i="31"/>
  <c r="BZ51" i="31"/>
  <c r="BT56" i="31"/>
  <c r="BS56" i="31"/>
  <c r="BT55" i="31"/>
  <c r="BS55" i="31"/>
  <c r="BT54" i="31"/>
  <c r="BS54" i="31"/>
  <c r="BT53" i="31"/>
  <c r="BS53" i="31"/>
  <c r="BT52" i="31"/>
  <c r="BS52" i="31"/>
  <c r="BT51" i="31"/>
  <c r="BS51" i="31"/>
  <c r="BQ56" i="31"/>
  <c r="BP56" i="31"/>
  <c r="BO56" i="31"/>
  <c r="BQ55" i="31"/>
  <c r="BP55" i="31"/>
  <c r="BO55" i="31"/>
  <c r="BQ54" i="31"/>
  <c r="BP54" i="31"/>
  <c r="BO54" i="31"/>
  <c r="BQ53" i="31"/>
  <c r="BP53" i="31"/>
  <c r="BO53" i="31"/>
  <c r="BQ52" i="31"/>
  <c r="BP52" i="31"/>
  <c r="BO52" i="31"/>
  <c r="BQ51" i="31"/>
  <c r="BP51" i="31"/>
  <c r="BO51" i="31"/>
  <c r="BT72" i="31"/>
  <c r="BS72" i="31"/>
  <c r="BT71" i="31"/>
  <c r="BS71" i="31"/>
  <c r="BT70" i="31"/>
  <c r="BS70" i="31"/>
  <c r="BT69" i="31"/>
  <c r="BS69" i="31"/>
  <c r="BT68" i="31"/>
  <c r="BS68" i="31"/>
  <c r="BT67" i="31"/>
  <c r="BS67" i="31"/>
  <c r="BQ72" i="31"/>
  <c r="BP72" i="31"/>
  <c r="BO72" i="31"/>
  <c r="BQ71" i="31"/>
  <c r="BP71" i="31"/>
  <c r="BO71" i="31"/>
  <c r="BQ70" i="31"/>
  <c r="BP70" i="31"/>
  <c r="BO70" i="31"/>
  <c r="BQ69" i="31"/>
  <c r="BP69" i="31"/>
  <c r="BO69" i="31"/>
  <c r="BQ68" i="31"/>
  <c r="BP68" i="31"/>
  <c r="BO68" i="31"/>
  <c r="BQ67" i="31"/>
  <c r="BP67" i="31"/>
  <c r="BO67" i="31"/>
  <c r="AW72" i="31"/>
  <c r="AV72" i="31"/>
  <c r="AU72" i="31"/>
  <c r="AT72" i="31"/>
  <c r="AS72" i="31"/>
  <c r="AW71" i="31"/>
  <c r="AV71" i="31"/>
  <c r="AU71" i="31"/>
  <c r="AT71" i="31"/>
  <c r="AS71" i="31"/>
  <c r="AW70" i="31"/>
  <c r="AV70" i="31"/>
  <c r="AU70" i="31"/>
  <c r="AT70" i="31"/>
  <c r="AS70" i="31"/>
  <c r="AW69" i="31"/>
  <c r="AV69" i="31"/>
  <c r="AU69" i="31"/>
  <c r="AT69" i="31"/>
  <c r="AS69" i="31"/>
  <c r="AW68" i="31"/>
  <c r="AV68" i="31"/>
  <c r="AU68" i="31"/>
  <c r="AT68" i="31"/>
  <c r="AS68" i="31"/>
  <c r="AW67" i="31"/>
  <c r="AV67" i="31"/>
  <c r="AU67" i="31"/>
  <c r="AT67" i="31"/>
  <c r="AS67" i="31"/>
  <c r="AS56" i="31"/>
  <c r="AT56" i="31"/>
  <c r="AU56" i="31"/>
  <c r="AV56" i="31"/>
  <c r="AW56" i="31"/>
  <c r="AW55" i="31"/>
  <c r="AV55" i="31"/>
  <c r="AU55" i="31"/>
  <c r="AT55" i="31"/>
  <c r="AS55" i="31"/>
  <c r="AW54" i="31"/>
  <c r="AV54" i="31"/>
  <c r="AU54" i="31"/>
  <c r="AT54" i="31"/>
  <c r="AS54" i="31"/>
  <c r="AW53" i="31"/>
  <c r="AV53" i="31"/>
  <c r="AU53" i="31"/>
  <c r="AT53" i="31"/>
  <c r="AS53" i="31"/>
  <c r="AW52" i="31"/>
  <c r="AV52" i="31"/>
  <c r="AU52" i="31"/>
  <c r="AT52" i="31"/>
  <c r="AS52" i="31"/>
  <c r="AW51" i="31"/>
  <c r="AV51" i="31"/>
  <c r="AU51" i="31"/>
  <c r="AT51" i="31"/>
  <c r="AS51" i="31"/>
  <c r="AK69" i="31"/>
  <c r="AM72" i="31"/>
  <c r="AL72" i="31"/>
  <c r="AK72" i="31"/>
  <c r="AJ72" i="31"/>
  <c r="AI72" i="31"/>
  <c r="AH72" i="31"/>
  <c r="AG72" i="31"/>
  <c r="AM71" i="31"/>
  <c r="AL71" i="31"/>
  <c r="AK71" i="31"/>
  <c r="AJ71" i="31"/>
  <c r="AI71" i="31"/>
  <c r="AH71" i="31"/>
  <c r="AG71" i="31"/>
  <c r="AM70" i="31"/>
  <c r="AL70" i="31"/>
  <c r="AK70" i="31"/>
  <c r="AJ70" i="31"/>
  <c r="AI70" i="31"/>
  <c r="AH70" i="31"/>
  <c r="AG70" i="31"/>
  <c r="AM69" i="31"/>
  <c r="AL69" i="31"/>
  <c r="AJ69" i="31"/>
  <c r="AI69" i="31"/>
  <c r="AH69" i="31"/>
  <c r="AG69" i="31"/>
  <c r="AM68" i="31"/>
  <c r="AL68" i="31"/>
  <c r="AK68" i="31"/>
  <c r="AJ68" i="31"/>
  <c r="AI68" i="31"/>
  <c r="AH68" i="31"/>
  <c r="AG68" i="31"/>
  <c r="AM67" i="31"/>
  <c r="AL67" i="31"/>
  <c r="AK67" i="31"/>
  <c r="AJ67" i="31"/>
  <c r="AI67" i="31"/>
  <c r="AH67" i="31"/>
  <c r="AG67" i="31"/>
  <c r="AM56" i="31"/>
  <c r="AL56" i="31"/>
  <c r="AK56" i="31"/>
  <c r="AJ56" i="31"/>
  <c r="AI56" i="31"/>
  <c r="AH56" i="31"/>
  <c r="AG56" i="31"/>
  <c r="AM55" i="31"/>
  <c r="AL55" i="31"/>
  <c r="AK55" i="31"/>
  <c r="AJ55" i="31"/>
  <c r="AI55" i="31"/>
  <c r="AH55" i="31"/>
  <c r="AG55" i="31"/>
  <c r="AM54" i="31"/>
  <c r="AL54" i="31"/>
  <c r="AK54" i="31"/>
  <c r="AJ54" i="31"/>
  <c r="AI54" i="31"/>
  <c r="AH54" i="31"/>
  <c r="AG54" i="31"/>
  <c r="AM53" i="31"/>
  <c r="AL53" i="31"/>
  <c r="AK53" i="31"/>
  <c r="AJ53" i="31"/>
  <c r="AI53" i="31"/>
  <c r="AH53" i="31"/>
  <c r="AG53" i="31"/>
  <c r="AM52" i="31"/>
  <c r="AL52" i="31"/>
  <c r="AK52" i="31"/>
  <c r="AJ52" i="31"/>
  <c r="AI52" i="31"/>
  <c r="AH52" i="31"/>
  <c r="AG52" i="31"/>
  <c r="AM51" i="31"/>
  <c r="AL51" i="31"/>
  <c r="AK51" i="31"/>
  <c r="AJ51" i="31"/>
  <c r="AI51" i="31"/>
  <c r="AH51" i="31"/>
  <c r="AG51" i="31"/>
  <c r="AG7" i="31"/>
  <c r="AG6" i="31"/>
  <c r="M49" i="31"/>
  <c r="AT14" i="43"/>
  <c r="CE14" i="43" s="1"/>
  <c r="AT15" i="43"/>
  <c r="CE15" i="43" s="1"/>
  <c r="AT16" i="43"/>
  <c r="CE16" i="43" s="1"/>
  <c r="AT17" i="43"/>
  <c r="CE17" i="43" s="1"/>
  <c r="AT18" i="43"/>
  <c r="CE18" i="43" s="1"/>
  <c r="AT13" i="43"/>
  <c r="CE13" i="43" s="1"/>
  <c r="H54" i="47"/>
  <c r="I54" i="47"/>
  <c r="J54" i="47"/>
  <c r="L54" i="47"/>
  <c r="M54" i="47"/>
  <c r="N54" i="47"/>
  <c r="H55" i="47"/>
  <c r="I55" i="47"/>
  <c r="J55" i="47"/>
  <c r="L55" i="47"/>
  <c r="M55" i="47"/>
  <c r="N55" i="47"/>
  <c r="H56" i="47"/>
  <c r="I56" i="47"/>
  <c r="J56" i="47"/>
  <c r="L56" i="47"/>
  <c r="M56" i="47"/>
  <c r="N56" i="47"/>
  <c r="H57" i="47"/>
  <c r="I57" i="47"/>
  <c r="J57" i="47"/>
  <c r="L57" i="47"/>
  <c r="M57" i="47"/>
  <c r="N57" i="47"/>
  <c r="H58" i="47"/>
  <c r="I58" i="47"/>
  <c r="J58" i="47"/>
  <c r="L58" i="47"/>
  <c r="M58" i="47"/>
  <c r="N58" i="47"/>
  <c r="I159" i="57" l="1"/>
  <c r="I273" i="57" s="1"/>
  <c r="I284" i="57" s="1"/>
  <c r="H94" i="47"/>
  <c r="H105" i="47" s="1"/>
  <c r="F95" i="47"/>
  <c r="F106" i="47" s="1"/>
  <c r="F93" i="47"/>
  <c r="F104" i="47" s="1"/>
  <c r="H95" i="47"/>
  <c r="H106" i="47" s="1"/>
  <c r="H93" i="47"/>
  <c r="H104" i="47" s="1"/>
  <c r="H96" i="47"/>
  <c r="H107" i="47" s="1"/>
  <c r="H92" i="47"/>
  <c r="H103" i="47" s="1"/>
  <c r="F96" i="47"/>
  <c r="F107" i="47" s="1"/>
  <c r="F94" i="47"/>
  <c r="F105" i="47" s="1"/>
  <c r="F92" i="47"/>
  <c r="F103" i="47" s="1"/>
  <c r="DA73" i="31"/>
  <c r="DK57" i="31"/>
  <c r="AS57" i="31"/>
  <c r="DL73" i="31"/>
  <c r="CP57" i="31"/>
  <c r="CV57" i="31"/>
  <c r="J55" i="31" s="1"/>
  <c r="DL57" i="31"/>
  <c r="CP73" i="31"/>
  <c r="CZ73" i="31"/>
  <c r="DI73" i="31"/>
  <c r="DG73" i="31"/>
  <c r="DH73" i="31"/>
  <c r="DK73" i="31"/>
  <c r="DI57" i="31"/>
  <c r="CK57" i="31"/>
  <c r="J54" i="31" s="1"/>
  <c r="CM73" i="31"/>
  <c r="N70" i="31" s="1"/>
  <c r="J289" i="57" s="1"/>
  <c r="CL73" i="31"/>
  <c r="L70" i="31" s="1"/>
  <c r="G289" i="57" s="1"/>
  <c r="DG57" i="31"/>
  <c r="DH57" i="31"/>
  <c r="CW57" i="31"/>
  <c r="L55" i="31" s="1"/>
  <c r="G279" i="57" s="1"/>
  <c r="CX73" i="31"/>
  <c r="M71" i="31" s="1"/>
  <c r="I290" i="57" s="1"/>
  <c r="CW73" i="31"/>
  <c r="L71" i="31" s="1"/>
  <c r="G290" i="57" s="1"/>
  <c r="DJ57" i="31"/>
  <c r="AK73" i="31"/>
  <c r="I69" i="31" s="1"/>
  <c r="D288" i="57" s="1"/>
  <c r="DJ73" i="31"/>
  <c r="CV73" i="31"/>
  <c r="J71" i="31" s="1"/>
  <c r="CO73" i="31"/>
  <c r="CX57" i="31"/>
  <c r="M55" i="31" s="1"/>
  <c r="I279" i="57" s="1"/>
  <c r="CZ57" i="31"/>
  <c r="DA57" i="31"/>
  <c r="CO57" i="31"/>
  <c r="CN73" i="31"/>
  <c r="K70" i="31" s="1"/>
  <c r="F289" i="57" s="1"/>
  <c r="CK73" i="31"/>
  <c r="J70" i="31" s="1"/>
  <c r="CM57" i="31"/>
  <c r="N54" i="31" s="1"/>
  <c r="J278" i="57" s="1"/>
  <c r="CL57" i="31"/>
  <c r="L54" i="31" s="1"/>
  <c r="G278" i="57" s="1"/>
  <c r="CN57" i="31"/>
  <c r="K54" i="31" s="1"/>
  <c r="F278" i="57" s="1"/>
  <c r="AG73" i="31"/>
  <c r="I68" i="31" s="1"/>
  <c r="D287" i="57" s="1"/>
  <c r="CC73" i="31"/>
  <c r="BT73" i="31"/>
  <c r="BP73" i="31"/>
  <c r="AT73" i="31"/>
  <c r="N67" i="31" s="1"/>
  <c r="AX73" i="31"/>
  <c r="K67" i="31" s="1"/>
  <c r="BG73" i="31"/>
  <c r="L68" i="31" s="1"/>
  <c r="G287" i="57" s="1"/>
  <c r="AL57" i="31"/>
  <c r="I54" i="31" s="1"/>
  <c r="D278" i="57" s="1"/>
  <c r="BD57" i="31"/>
  <c r="J52" i="31" s="1"/>
  <c r="BZ57" i="31"/>
  <c r="AH57" i="31"/>
  <c r="I51" i="31" s="1"/>
  <c r="AU57" i="31"/>
  <c r="L51" i="31" s="1"/>
  <c r="BH57" i="31"/>
  <c r="M52" i="31" s="1"/>
  <c r="I276" i="57" s="1"/>
  <c r="BQ57" i="31"/>
  <c r="N53" i="31" s="1"/>
  <c r="J277" i="57" s="1"/>
  <c r="CD57" i="31"/>
  <c r="AH73" i="31"/>
  <c r="I67" i="31" s="1"/>
  <c r="AL73" i="31"/>
  <c r="I70" i="31" s="1"/>
  <c r="D289" i="57" s="1"/>
  <c r="AU73" i="31"/>
  <c r="L67" i="31" s="1"/>
  <c r="BD73" i="31"/>
  <c r="J68" i="31" s="1"/>
  <c r="BH73" i="31"/>
  <c r="M68" i="31" s="1"/>
  <c r="I287" i="57" s="1"/>
  <c r="BQ73" i="31"/>
  <c r="N69" i="31" s="1"/>
  <c r="J288" i="57" s="1"/>
  <c r="BZ73" i="31"/>
  <c r="CD73" i="31"/>
  <c r="AM57" i="31"/>
  <c r="CA57" i="31"/>
  <c r="AJ57" i="31"/>
  <c r="I55" i="31" s="1"/>
  <c r="D279" i="57" s="1"/>
  <c r="AW57" i="31"/>
  <c r="BF57" i="31"/>
  <c r="N52" i="31" s="1"/>
  <c r="J276" i="57" s="1"/>
  <c r="BO57" i="31"/>
  <c r="J53" i="31" s="1"/>
  <c r="BS57" i="31"/>
  <c r="M53" i="31" s="1"/>
  <c r="I277" i="57" s="1"/>
  <c r="CB57" i="31"/>
  <c r="AI73" i="31"/>
  <c r="AM73" i="31"/>
  <c r="AV73" i="31"/>
  <c r="M67" i="31" s="1"/>
  <c r="BE73" i="31"/>
  <c r="BI73" i="31"/>
  <c r="BR73" i="31"/>
  <c r="K69" i="31" s="1"/>
  <c r="F288" i="57" s="1"/>
  <c r="CA73" i="31"/>
  <c r="CE73" i="31"/>
  <c r="AI57" i="31"/>
  <c r="AV57" i="31"/>
  <c r="M51" i="31" s="1"/>
  <c r="BE57" i="31"/>
  <c r="BR57" i="31"/>
  <c r="K53" i="31" s="1"/>
  <c r="F277" i="57" s="1"/>
  <c r="CE57" i="31"/>
  <c r="AG57" i="31"/>
  <c r="I52" i="31" s="1"/>
  <c r="D276" i="57" s="1"/>
  <c r="AK57" i="31"/>
  <c r="I53" i="31" s="1"/>
  <c r="D277" i="57" s="1"/>
  <c r="AT57" i="31"/>
  <c r="AX57" i="31"/>
  <c r="K51" i="31" s="1"/>
  <c r="BG57" i="31"/>
  <c r="L52" i="31" s="1"/>
  <c r="G276" i="57" s="1"/>
  <c r="BP57" i="31"/>
  <c r="BT57" i="31"/>
  <c r="CC57" i="31"/>
  <c r="AJ73" i="31"/>
  <c r="I71" i="31" s="1"/>
  <c r="D290" i="57" s="1"/>
  <c r="AS73" i="31"/>
  <c r="AW73" i="31"/>
  <c r="BF73" i="31"/>
  <c r="N68" i="31" s="1"/>
  <c r="J287" i="57" s="1"/>
  <c r="BO73" i="31"/>
  <c r="J69" i="31" s="1"/>
  <c r="BS73" i="31"/>
  <c r="M69" i="31" s="1"/>
  <c r="I288" i="57" s="1"/>
  <c r="CB73" i="31"/>
  <c r="O51" i="31" l="1"/>
  <c r="K275" i="57" s="1"/>
  <c r="O55" i="31"/>
  <c r="K279" i="57" s="1"/>
  <c r="O71" i="31"/>
  <c r="K290" i="57" s="1"/>
  <c r="J56" i="31"/>
  <c r="K72" i="31"/>
  <c r="F291" i="57" s="1"/>
  <c r="O54" i="31"/>
  <c r="K278" i="57" s="1"/>
  <c r="M72" i="31"/>
  <c r="I291" i="57" s="1"/>
  <c r="O68" i="31"/>
  <c r="K287" i="57" s="1"/>
  <c r="L72" i="31"/>
  <c r="G291" i="57" s="1"/>
  <c r="O70" i="31"/>
  <c r="K289" i="57" s="1"/>
  <c r="N72" i="31"/>
  <c r="J291" i="57" s="1"/>
  <c r="M56" i="31"/>
  <c r="I280" i="57" s="1"/>
  <c r="O67" i="31"/>
  <c r="K286" i="57" s="1"/>
  <c r="O53" i="31"/>
  <c r="K277" i="57" s="1"/>
  <c r="N51" i="31"/>
  <c r="O69" i="31"/>
  <c r="K288" i="57" s="1"/>
  <c r="K56" i="31"/>
  <c r="F280" i="57" s="1"/>
  <c r="L56" i="31"/>
  <c r="G280" i="57" s="1"/>
  <c r="J72" i="31"/>
  <c r="E291" i="57" s="1"/>
  <c r="N56" i="31"/>
  <c r="J280" i="57" s="1"/>
  <c r="I56" i="31"/>
  <c r="I72" i="31"/>
  <c r="E279" i="57"/>
  <c r="G286" i="57"/>
  <c r="E289" i="57"/>
  <c r="E278" i="57"/>
  <c r="J286" i="57"/>
  <c r="E290" i="57"/>
  <c r="E288" i="57"/>
  <c r="F286" i="57"/>
  <c r="I286" i="57"/>
  <c r="I275" i="57"/>
  <c r="G275" i="57"/>
  <c r="E277" i="57"/>
  <c r="F275" i="57"/>
  <c r="E287" i="57"/>
  <c r="E276" i="57"/>
  <c r="D275" i="57"/>
  <c r="D286" i="57"/>
  <c r="D280" i="57" l="1"/>
  <c r="E280" i="57"/>
  <c r="J275" i="57"/>
  <c r="D291" i="57"/>
  <c r="CY57" i="31"/>
  <c r="K55" i="31" s="1"/>
  <c r="CY73" i="31"/>
  <c r="F279" i="57" l="1"/>
  <c r="K71" i="31"/>
  <c r="F290" i="57" s="1"/>
  <c r="U452" i="47" l="1"/>
  <c r="X452" i="47" s="1"/>
  <c r="T452" i="47"/>
  <c r="W452" i="47" s="1"/>
  <c r="J452" i="47"/>
  <c r="L452" i="47" s="1"/>
  <c r="N452" i="47" s="1"/>
  <c r="G295" i="47"/>
  <c r="G306" i="47" s="1"/>
  <c r="F295" i="47"/>
  <c r="F306" i="47" s="1"/>
  <c r="E295" i="47"/>
  <c r="E306" i="47" s="1"/>
  <c r="D295" i="47"/>
  <c r="D306" i="47" s="1"/>
  <c r="D249" i="47"/>
  <c r="J253" i="47"/>
  <c r="B147" i="47"/>
  <c r="G192" i="47"/>
  <c r="G203" i="47" s="1"/>
  <c r="F192" i="47"/>
  <c r="F203" i="47" s="1"/>
  <c r="E192" i="47"/>
  <c r="E203" i="47" s="1"/>
  <c r="D192" i="47"/>
  <c r="D203" i="47" s="1"/>
  <c r="EF158" i="43"/>
  <c r="M418" i="47"/>
  <c r="L418" i="47"/>
  <c r="M417" i="47"/>
  <c r="L417" i="47"/>
  <c r="M416" i="47"/>
  <c r="L416" i="47"/>
  <c r="M415" i="47"/>
  <c r="L415" i="47"/>
  <c r="M414" i="47"/>
  <c r="L414" i="47"/>
  <c r="M413" i="47"/>
  <c r="L413" i="47"/>
  <c r="I418" i="47"/>
  <c r="H418" i="47"/>
  <c r="I417" i="47"/>
  <c r="H417" i="47"/>
  <c r="I416" i="47"/>
  <c r="H416" i="47"/>
  <c r="I415" i="47"/>
  <c r="H415" i="47"/>
  <c r="I414" i="47"/>
  <c r="H414" i="47"/>
  <c r="I413" i="47"/>
  <c r="H413" i="47"/>
  <c r="DB77" i="43"/>
  <c r="CV79" i="43" s="1"/>
  <c r="CX152" i="43"/>
  <c r="CX153" i="43"/>
  <c r="CX154" i="43"/>
  <c r="CX155" i="43"/>
  <c r="CX156" i="43"/>
  <c r="CX151" i="43"/>
  <c r="CW156" i="43"/>
  <c r="CV156" i="43"/>
  <c r="CW155" i="43"/>
  <c r="CV155" i="43"/>
  <c r="CW154" i="43"/>
  <c r="CV154" i="43"/>
  <c r="CW153" i="43"/>
  <c r="CV153" i="43"/>
  <c r="CW152" i="43"/>
  <c r="CV152" i="43"/>
  <c r="CW151" i="43"/>
  <c r="CV151" i="43"/>
  <c r="K414" i="47"/>
  <c r="K415" i="47"/>
  <c r="K416" i="47"/>
  <c r="K417" i="47"/>
  <c r="K418" i="47"/>
  <c r="K413" i="47"/>
  <c r="G415" i="47"/>
  <c r="G416" i="47"/>
  <c r="G417" i="47"/>
  <c r="G418" i="47"/>
  <c r="J414" i="47"/>
  <c r="J415" i="47"/>
  <c r="J416" i="47"/>
  <c r="J417" i="47"/>
  <c r="J418" i="47"/>
  <c r="J413" i="47"/>
  <c r="F414" i="47"/>
  <c r="F415" i="47"/>
  <c r="F416" i="47"/>
  <c r="F417" i="47"/>
  <c r="F418" i="47"/>
  <c r="F413" i="47"/>
  <c r="E414" i="47"/>
  <c r="E415" i="47"/>
  <c r="E416" i="47"/>
  <c r="E417" i="47"/>
  <c r="E418" i="47"/>
  <c r="E413" i="47"/>
  <c r="C405" i="47"/>
  <c r="CE148" i="43"/>
  <c r="CU148" i="43" s="1"/>
  <c r="CE151" i="43"/>
  <c r="CU152" i="43" s="1"/>
  <c r="CE152" i="43"/>
  <c r="CU153" i="43" s="1"/>
  <c r="CE153" i="43"/>
  <c r="CU154" i="43" s="1"/>
  <c r="CE154" i="43"/>
  <c r="DV155" i="43" s="1"/>
  <c r="CE155" i="43"/>
  <c r="CU156" i="43" s="1"/>
  <c r="CE150" i="43"/>
  <c r="CU151" i="43" s="1"/>
  <c r="B405" i="47"/>
  <c r="J222" i="47"/>
  <c r="J295" i="47"/>
  <c r="L295" i="47" s="1"/>
  <c r="N295" i="47" s="1"/>
  <c r="B414" i="47"/>
  <c r="C454" i="47" s="1"/>
  <c r="B415" i="47"/>
  <c r="C455" i="47" s="1"/>
  <c r="B416" i="47"/>
  <c r="C456" i="47" s="1"/>
  <c r="B417" i="47"/>
  <c r="C457" i="47" s="1"/>
  <c r="B418" i="47"/>
  <c r="C458" i="47" s="1"/>
  <c r="B413" i="47"/>
  <c r="C453" i="47" l="1"/>
  <c r="Y427" i="47"/>
  <c r="Y426" i="47"/>
  <c r="BB458" i="47"/>
  <c r="BA456" i="47"/>
  <c r="Z427" i="47"/>
  <c r="AX457" i="47"/>
  <c r="AY457" i="47"/>
  <c r="Z426" i="47"/>
  <c r="AY458" i="47"/>
  <c r="C415" i="47"/>
  <c r="C418" i="47"/>
  <c r="C414" i="47"/>
  <c r="D416" i="47"/>
  <c r="C416" i="47"/>
  <c r="D417" i="47"/>
  <c r="C417" i="47"/>
  <c r="BC457" i="47"/>
  <c r="BA457" i="47"/>
  <c r="BA458" i="47"/>
  <c r="BC456" i="47"/>
  <c r="BB457" i="47"/>
  <c r="AZ455" i="47"/>
  <c r="AZ457" i="47"/>
  <c r="AX455" i="47"/>
  <c r="AZ458" i="47"/>
  <c r="AY456" i="47"/>
  <c r="BC458" i="47"/>
  <c r="AX458" i="47"/>
  <c r="BB455" i="47"/>
  <c r="BE444" i="47"/>
  <c r="BA444" i="47"/>
  <c r="BF443" i="47"/>
  <c r="BD444" i="47"/>
  <c r="AZ444" i="47"/>
  <c r="BB443" i="47"/>
  <c r="AZ443" i="47"/>
  <c r="BG444" i="47"/>
  <c r="BC444" i="47"/>
  <c r="AY444" i="47"/>
  <c r="AX443" i="47"/>
  <c r="BF444" i="47"/>
  <c r="BB444" i="47"/>
  <c r="AX444" i="47"/>
  <c r="BD443" i="47"/>
  <c r="CU155" i="43"/>
  <c r="DV148" i="43"/>
  <c r="DV154" i="43"/>
  <c r="DV151" i="43"/>
  <c r="DV153" i="43"/>
  <c r="DV156" i="43"/>
  <c r="DV152" i="43"/>
  <c r="D418" i="47"/>
  <c r="C413" i="47"/>
  <c r="D456" i="47" l="1"/>
  <c r="N416" i="47"/>
  <c r="O416" i="47" s="1"/>
  <c r="Q416" i="47" s="1"/>
  <c r="D454" i="47"/>
  <c r="D458" i="47"/>
  <c r="N418" i="47"/>
  <c r="D455" i="47"/>
  <c r="D457" i="47"/>
  <c r="N417" i="47"/>
  <c r="D453" i="47"/>
  <c r="O56" i="31"/>
  <c r="O72" i="31"/>
  <c r="J51" i="31"/>
  <c r="L53" i="31"/>
  <c r="J67" i="31"/>
  <c r="M54" i="31"/>
  <c r="N55" i="31"/>
  <c r="M70" i="31"/>
  <c r="L69" i="31"/>
  <c r="G288" i="57" s="1"/>
  <c r="N71" i="31"/>
  <c r="N458" i="47"/>
  <c r="EE156" i="43" s="1"/>
  <c r="O458" i="47" s="1"/>
  <c r="J458" i="47"/>
  <c r="L458" i="47"/>
  <c r="EB156" i="43" s="1"/>
  <c r="M458" i="47" s="1"/>
  <c r="H458" i="47"/>
  <c r="N456" i="47"/>
  <c r="EE154" i="43" s="1"/>
  <c r="O456" i="47" s="1"/>
  <c r="H456" i="47"/>
  <c r="L457" i="47"/>
  <c r="EB155" i="43" s="1"/>
  <c r="M457" i="47" s="1"/>
  <c r="H457" i="47"/>
  <c r="N457" i="47"/>
  <c r="EE155" i="43" s="1"/>
  <c r="O457" i="47" s="1"/>
  <c r="J457" i="47"/>
  <c r="P69" i="31" l="1"/>
  <c r="L288" i="57" s="1"/>
  <c r="P51" i="31"/>
  <c r="L275" i="57" s="1"/>
  <c r="E275" i="57"/>
  <c r="P56" i="31"/>
  <c r="L280" i="57" s="1"/>
  <c r="K280" i="57"/>
  <c r="P53" i="31"/>
  <c r="L277" i="57" s="1"/>
  <c r="G277" i="57"/>
  <c r="P54" i="31"/>
  <c r="L278" i="57" s="1"/>
  <c r="I278" i="57"/>
  <c r="P55" i="31"/>
  <c r="L279" i="57" s="1"/>
  <c r="J279" i="57"/>
  <c r="P70" i="31"/>
  <c r="L289" i="57" s="1"/>
  <c r="I289" i="57"/>
  <c r="P71" i="31"/>
  <c r="L290" i="57" s="1"/>
  <c r="J290" i="57"/>
  <c r="P67" i="31"/>
  <c r="L286" i="57" s="1"/>
  <c r="E286" i="57"/>
  <c r="P72" i="31"/>
  <c r="L291" i="57" s="1"/>
  <c r="K291" i="57"/>
  <c r="P416" i="47"/>
  <c r="R416" i="47" s="1"/>
  <c r="O417" i="47"/>
  <c r="Q417" i="47" s="1"/>
  <c r="P417" i="47"/>
  <c r="R417" i="47" s="1"/>
  <c r="P418" i="47"/>
  <c r="R418" i="47" s="1"/>
  <c r="O418" i="47"/>
  <c r="Q418" i="47" s="1"/>
  <c r="DX154" i="43"/>
  <c r="I456" i="47" s="1"/>
  <c r="Q456" i="47" s="1"/>
  <c r="AX456" i="47" s="1"/>
  <c r="DX155" i="43"/>
  <c r="I457" i="47" s="1"/>
  <c r="DX156" i="43"/>
  <c r="I458" i="47" s="1"/>
  <c r="DZ155" i="43"/>
  <c r="K457" i="47" s="1"/>
  <c r="DZ156" i="43"/>
  <c r="K458" i="47" s="1"/>
  <c r="J456" i="47"/>
  <c r="L456" i="47"/>
  <c r="EB154" i="43" s="1"/>
  <c r="M456" i="47" s="1"/>
  <c r="W456" i="47" s="1"/>
  <c r="BB456" i="47" s="1"/>
  <c r="BA455" i="47" l="1"/>
  <c r="DZ154" i="43"/>
  <c r="K456" i="47" s="1"/>
  <c r="T456" i="47" s="1"/>
  <c r="AZ456" i="47" s="1"/>
  <c r="AY455" i="47"/>
  <c r="I77" i="43"/>
  <c r="AB149" i="43" l="1"/>
  <c r="I148" i="43"/>
  <c r="Y41" i="43"/>
  <c r="AA74" i="43" l="1"/>
  <c r="AA112" i="43" s="1"/>
  <c r="AB145" i="43" s="1"/>
  <c r="AE169" i="43" s="1"/>
  <c r="AE190" i="43" s="1"/>
  <c r="EF126" i="43"/>
  <c r="DV119" i="43" l="1"/>
  <c r="DV120" i="43"/>
  <c r="DV121" i="43"/>
  <c r="DV122" i="43"/>
  <c r="DV123" i="43"/>
  <c r="DV118" i="43"/>
  <c r="CW119" i="43"/>
  <c r="CW120" i="43"/>
  <c r="CW121" i="43"/>
  <c r="CW122" i="43"/>
  <c r="CW123" i="43"/>
  <c r="CW118" i="43"/>
  <c r="C351" i="47"/>
  <c r="CE119" i="43"/>
  <c r="CU119" i="43" s="1"/>
  <c r="CE120" i="43"/>
  <c r="CU120" i="43" s="1"/>
  <c r="CE121" i="43"/>
  <c r="CU121" i="43" s="1"/>
  <c r="CE122" i="43"/>
  <c r="CU122" i="43" s="1"/>
  <c r="CE123" i="43"/>
  <c r="CU123" i="43" s="1"/>
  <c r="CE118" i="43"/>
  <c r="CU118" i="43" s="1"/>
  <c r="CO116" i="43"/>
  <c r="L340" i="47" l="1"/>
  <c r="N340" i="47"/>
  <c r="P340" i="47"/>
  <c r="L341" i="47"/>
  <c r="N341" i="47"/>
  <c r="P341" i="47"/>
  <c r="L342" i="47"/>
  <c r="N342" i="47"/>
  <c r="P342" i="47"/>
  <c r="L343" i="47"/>
  <c r="N343" i="47"/>
  <c r="P343" i="47"/>
  <c r="L344" i="47"/>
  <c r="N344" i="47"/>
  <c r="P344" i="47"/>
  <c r="L339" i="47"/>
  <c r="P339" i="47"/>
  <c r="N339" i="47"/>
  <c r="S327" i="47"/>
  <c r="K328" i="47"/>
  <c r="M328" i="47"/>
  <c r="O328" i="47"/>
  <c r="Q328" i="47"/>
  <c r="R328" i="47"/>
  <c r="S328" i="47"/>
  <c r="T328" i="47"/>
  <c r="K329" i="47"/>
  <c r="M329" i="47"/>
  <c r="O329" i="47"/>
  <c r="Q329" i="47"/>
  <c r="R329" i="47"/>
  <c r="S329" i="47"/>
  <c r="T329" i="47"/>
  <c r="K330" i="47"/>
  <c r="M330" i="47"/>
  <c r="O330" i="47"/>
  <c r="Q330" i="47"/>
  <c r="R330" i="47"/>
  <c r="S330" i="47"/>
  <c r="T330" i="47"/>
  <c r="K331" i="47"/>
  <c r="M331" i="47"/>
  <c r="O331" i="47"/>
  <c r="Q331" i="47"/>
  <c r="R331" i="47"/>
  <c r="S331" i="47"/>
  <c r="T331" i="47"/>
  <c r="K332" i="47"/>
  <c r="M332" i="47"/>
  <c r="O332" i="47"/>
  <c r="Q332" i="47"/>
  <c r="R332" i="47"/>
  <c r="S332" i="47"/>
  <c r="T332" i="47"/>
  <c r="T327" i="47"/>
  <c r="R327" i="47"/>
  <c r="Q327" i="47"/>
  <c r="O327" i="47"/>
  <c r="M327" i="47"/>
  <c r="K327" i="47"/>
  <c r="D145" i="47"/>
  <c r="D326" i="47"/>
  <c r="F326" i="47" s="1"/>
  <c r="H326" i="47" s="1"/>
  <c r="J326" i="47" s="1"/>
  <c r="E326" i="47"/>
  <c r="G326" i="47" s="1"/>
  <c r="I326" i="47" s="1"/>
  <c r="B328" i="47"/>
  <c r="B329" i="47"/>
  <c r="B330" i="47"/>
  <c r="B331" i="47"/>
  <c r="B332" i="47"/>
  <c r="B327" i="47"/>
  <c r="BQ115" i="43"/>
  <c r="BO117" i="43"/>
  <c r="BR117" i="43" s="1"/>
  <c r="BN117" i="43"/>
  <c r="BQ117" i="43" s="1"/>
  <c r="BO116" i="43"/>
  <c r="BR116" i="43" s="1"/>
  <c r="BN116" i="43"/>
  <c r="BQ116" i="43" s="1"/>
  <c r="BN115" i="43"/>
  <c r="BN114" i="43"/>
  <c r="AS112" i="43"/>
  <c r="AW117" i="43"/>
  <c r="AY117" i="43" s="1"/>
  <c r="BA117" i="43" s="1"/>
  <c r="BD117" i="43" s="1"/>
  <c r="BF117" i="43" s="1"/>
  <c r="BH117" i="43" s="1"/>
  <c r="BJ117" i="43" s="1"/>
  <c r="AV117" i="43"/>
  <c r="AX117" i="43" s="1"/>
  <c r="AZ117" i="43" s="1"/>
  <c r="BC117" i="43" s="1"/>
  <c r="BE117" i="43" s="1"/>
  <c r="BG117" i="43" s="1"/>
  <c r="BI117" i="43" s="1"/>
  <c r="AS119" i="43"/>
  <c r="AS120" i="43"/>
  <c r="AS121" i="43"/>
  <c r="AS122" i="43"/>
  <c r="AS123" i="43"/>
  <c r="AS118" i="43"/>
  <c r="AZ123" i="43"/>
  <c r="P332" i="47" s="1"/>
  <c r="AX123" i="43"/>
  <c r="N332" i="47" s="1"/>
  <c r="AV123" i="43"/>
  <c r="L332" i="47" s="1"/>
  <c r="AZ122" i="43"/>
  <c r="P331" i="47" s="1"/>
  <c r="AX122" i="43"/>
  <c r="N331" i="47" s="1"/>
  <c r="AV122" i="43"/>
  <c r="L331" i="47" s="1"/>
  <c r="AZ121" i="43"/>
  <c r="P330" i="47" s="1"/>
  <c r="AX121" i="43"/>
  <c r="N330" i="47" s="1"/>
  <c r="AV121" i="43"/>
  <c r="L330" i="47" s="1"/>
  <c r="AZ120" i="43"/>
  <c r="P329" i="47" s="1"/>
  <c r="AX120" i="43"/>
  <c r="N329" i="47" s="1"/>
  <c r="AV120" i="43"/>
  <c r="L329" i="47" s="1"/>
  <c r="AZ119" i="43"/>
  <c r="P328" i="47" s="1"/>
  <c r="AX119" i="43"/>
  <c r="N328" i="47" s="1"/>
  <c r="AV119" i="43"/>
  <c r="L328" i="47" s="1"/>
  <c r="AZ118" i="43"/>
  <c r="P327" i="47" s="1"/>
  <c r="AX118" i="43"/>
  <c r="N327" i="47" s="1"/>
  <c r="AV118" i="43"/>
  <c r="L327" i="47" s="1"/>
  <c r="K361" i="47" l="1"/>
  <c r="AZ391" i="47"/>
  <c r="BB391" i="47"/>
  <c r="AX391" i="47"/>
  <c r="BA391" i="47"/>
  <c r="AY391" i="47"/>
  <c r="BC391" i="47"/>
  <c r="AZ344" i="47"/>
  <c r="BA344" i="47"/>
  <c r="BB344" i="47"/>
  <c r="BC344" i="47"/>
  <c r="AZ343" i="47"/>
  <c r="BA343" i="47"/>
  <c r="BB343" i="47"/>
  <c r="BC343" i="47"/>
  <c r="AZ342" i="47"/>
  <c r="BA342" i="47"/>
  <c r="BB342" i="47"/>
  <c r="BC342" i="47"/>
  <c r="AZ341" i="47"/>
  <c r="BA341" i="47"/>
  <c r="BB341" i="47"/>
  <c r="BC341" i="47"/>
  <c r="AZ340" i="47"/>
  <c r="BA340" i="47"/>
  <c r="BB340" i="47"/>
  <c r="BC340" i="47"/>
  <c r="AH332" i="47"/>
  <c r="AG332" i="47"/>
  <c r="AH331" i="47"/>
  <c r="AG331" i="47"/>
  <c r="AH330" i="47"/>
  <c r="AG330" i="47"/>
  <c r="AH329" i="47"/>
  <c r="AG329" i="47"/>
  <c r="AH328" i="47"/>
  <c r="AG328" i="47"/>
  <c r="E391" i="47"/>
  <c r="G360" i="47"/>
  <c r="G393" i="47"/>
  <c r="K362" i="47"/>
  <c r="E392" i="47"/>
  <c r="G361" i="47"/>
  <c r="G389" i="47"/>
  <c r="K358" i="47"/>
  <c r="E388" i="47"/>
  <c r="G357" i="47"/>
  <c r="E393" i="47"/>
  <c r="G362" i="47"/>
  <c r="G390" i="47"/>
  <c r="K359" i="47"/>
  <c r="E389" i="47"/>
  <c r="G358" i="47"/>
  <c r="G388" i="47"/>
  <c r="K357" i="47"/>
  <c r="G391" i="47"/>
  <c r="K360" i="47"/>
  <c r="E390" i="47"/>
  <c r="G359" i="47"/>
  <c r="AD331" i="47"/>
  <c r="AE331" i="47"/>
  <c r="M341" i="47"/>
  <c r="AD330" i="47"/>
  <c r="AE330" i="47"/>
  <c r="O342" i="47"/>
  <c r="G392" i="47"/>
  <c r="AD329" i="47"/>
  <c r="AE329" i="47"/>
  <c r="M343" i="47"/>
  <c r="O339" i="47"/>
  <c r="AE332" i="47"/>
  <c r="AD332" i="47"/>
  <c r="M344" i="47"/>
  <c r="O340" i="47"/>
  <c r="G328" i="47"/>
  <c r="BG119" i="43" s="1"/>
  <c r="H328" i="47" s="1"/>
  <c r="G330" i="47"/>
  <c r="BG121" i="43" s="1"/>
  <c r="H330" i="47" s="1"/>
  <c r="G331" i="47"/>
  <c r="BG122" i="43" s="1"/>
  <c r="H331" i="47" s="1"/>
  <c r="G329" i="47"/>
  <c r="BG120" i="43" s="1"/>
  <c r="H329" i="47" s="1"/>
  <c r="G332" i="47"/>
  <c r="BG123" i="43" s="1"/>
  <c r="H332" i="47" s="1"/>
  <c r="AY393" i="47"/>
  <c r="BC393" i="47"/>
  <c r="BA393" i="47"/>
  <c r="BB392" i="47"/>
  <c r="AX392" i="47"/>
  <c r="AZ392" i="47"/>
  <c r="BB393" i="47"/>
  <c r="AZ393" i="47"/>
  <c r="AX393" i="47"/>
  <c r="AY390" i="47"/>
  <c r="BA390" i="47"/>
  <c r="BC390" i="47"/>
  <c r="BB390" i="47"/>
  <c r="AZ390" i="47"/>
  <c r="AX390" i="47"/>
  <c r="C327" i="47"/>
  <c r="BC118" i="43" s="1"/>
  <c r="D327" i="47" s="1"/>
  <c r="E327" i="47" s="1"/>
  <c r="BE118" i="43" s="1"/>
  <c r="F327" i="47" s="1"/>
  <c r="U327" i="47" s="1"/>
  <c r="O341" i="47"/>
  <c r="I328" i="47"/>
  <c r="BI119" i="43" s="1"/>
  <c r="J328" i="47" s="1"/>
  <c r="K341" i="47"/>
  <c r="B359" i="47" s="1"/>
  <c r="M342" i="47"/>
  <c r="O344" i="47"/>
  <c r="I332" i="47"/>
  <c r="BI123" i="43" s="1"/>
  <c r="J332" i="47" s="1"/>
  <c r="Z332" i="47" s="1"/>
  <c r="K339" i="47"/>
  <c r="B357" i="47" s="1"/>
  <c r="I331" i="47"/>
  <c r="BI122" i="43" s="1"/>
  <c r="J331" i="47" s="1"/>
  <c r="Y331" i="47" s="1"/>
  <c r="K344" i="47"/>
  <c r="B362" i="47" s="1"/>
  <c r="K340" i="47"/>
  <c r="B358" i="47" s="1"/>
  <c r="M339" i="47"/>
  <c r="I330" i="47"/>
  <c r="BI121" i="43" s="1"/>
  <c r="J330" i="47" s="1"/>
  <c r="Y330" i="47" s="1"/>
  <c r="K343" i="47"/>
  <c r="B361" i="47" s="1"/>
  <c r="M340" i="47"/>
  <c r="I327" i="47"/>
  <c r="BI118" i="43" s="1"/>
  <c r="J327" i="47" s="1"/>
  <c r="I329" i="47"/>
  <c r="BI120" i="43" s="1"/>
  <c r="J329" i="47" s="1"/>
  <c r="X329" i="47" s="1"/>
  <c r="K342" i="47"/>
  <c r="B360" i="47" s="1"/>
  <c r="O343" i="47"/>
  <c r="C332" i="47"/>
  <c r="BC123" i="43" s="1"/>
  <c r="D332" i="47" s="1"/>
  <c r="C331" i="47"/>
  <c r="BC122" i="43" s="1"/>
  <c r="D331" i="47" s="1"/>
  <c r="E331" i="47" s="1"/>
  <c r="BE122" i="43" s="1"/>
  <c r="F331" i="47" s="1"/>
  <c r="C330" i="47"/>
  <c r="BC121" i="43" s="1"/>
  <c r="D330" i="47" s="1"/>
  <c r="E330" i="47" s="1"/>
  <c r="BE121" i="43" s="1"/>
  <c r="F330" i="47" s="1"/>
  <c r="C329" i="47"/>
  <c r="BC120" i="43" s="1"/>
  <c r="D329" i="47" s="1"/>
  <c r="C328" i="47"/>
  <c r="BC119" i="43" s="1"/>
  <c r="D328" i="47" s="1"/>
  <c r="E328" i="47" s="1"/>
  <c r="G327" i="47"/>
  <c r="BG118" i="43" s="1"/>
  <c r="H327" i="47" s="1"/>
  <c r="BG341" i="47" l="1"/>
  <c r="V327" i="47"/>
  <c r="BE341" i="47"/>
  <c r="BE344" i="47"/>
  <c r="BG344" i="47"/>
  <c r="BG342" i="47"/>
  <c r="BE342" i="47"/>
  <c r="BG343" i="47"/>
  <c r="BE343" i="47"/>
  <c r="BF340" i="47"/>
  <c r="BH340" i="47"/>
  <c r="BF341" i="47"/>
  <c r="BH341" i="47"/>
  <c r="M148" i="69" s="1"/>
  <c r="BF342" i="47"/>
  <c r="BH342" i="47"/>
  <c r="BF343" i="47"/>
  <c r="BH343" i="47"/>
  <c r="BF344" i="47"/>
  <c r="BH344" i="47"/>
  <c r="BG443" i="47"/>
  <c r="BC443" i="47"/>
  <c r="BN415" i="47"/>
  <c r="Y328" i="47"/>
  <c r="Z327" i="47"/>
  <c r="V330" i="47"/>
  <c r="Z329" i="47"/>
  <c r="T341" i="47" s="1"/>
  <c r="Z331" i="47"/>
  <c r="X331" i="47"/>
  <c r="Y327" i="47"/>
  <c r="X330" i="47"/>
  <c r="S342" i="47" s="1"/>
  <c r="X328" i="47"/>
  <c r="Y332" i="47"/>
  <c r="Y329" i="47"/>
  <c r="S341" i="47" s="1"/>
  <c r="Z330" i="47"/>
  <c r="Z328" i="47"/>
  <c r="W327" i="47"/>
  <c r="R339" i="47" s="1"/>
  <c r="U330" i="47"/>
  <c r="V331" i="47"/>
  <c r="W330" i="47"/>
  <c r="X327" i="47"/>
  <c r="AA327" i="47" s="1"/>
  <c r="U331" i="47"/>
  <c r="X332" i="47"/>
  <c r="T344" i="47" s="1"/>
  <c r="W331" i="47"/>
  <c r="C358" i="47"/>
  <c r="C360" i="47"/>
  <c r="C361" i="47"/>
  <c r="C362" i="47"/>
  <c r="C357" i="47"/>
  <c r="C359" i="47"/>
  <c r="BE119" i="43"/>
  <c r="F328" i="47" s="1"/>
  <c r="W328" i="47" s="1"/>
  <c r="E332" i="47"/>
  <c r="BE123" i="43" s="1"/>
  <c r="F332" i="47" s="1"/>
  <c r="U332" i="47" s="1"/>
  <c r="E329" i="47"/>
  <c r="BE120" i="43" s="1"/>
  <c r="F329" i="47" s="1"/>
  <c r="W329" i="47" s="1"/>
  <c r="U148" i="69" l="1"/>
  <c r="U151" i="69"/>
  <c r="M151" i="69"/>
  <c r="M149" i="69"/>
  <c r="U149" i="69"/>
  <c r="M150" i="69"/>
  <c r="U150" i="69"/>
  <c r="AB327" i="47"/>
  <c r="AD327" i="47"/>
  <c r="BC339" i="47"/>
  <c r="BB339" i="47"/>
  <c r="BA339" i="47"/>
  <c r="AZ339" i="47"/>
  <c r="B393" i="47"/>
  <c r="B388" i="47"/>
  <c r="B392" i="47"/>
  <c r="B389" i="47"/>
  <c r="B390" i="47"/>
  <c r="B391" i="47"/>
  <c r="BS415" i="47"/>
  <c r="S340" i="47"/>
  <c r="BE441" i="47"/>
  <c r="BD441" i="47"/>
  <c r="AX441" i="47"/>
  <c r="AY441" i="47"/>
  <c r="BG441" i="47"/>
  <c r="BF441" i="47"/>
  <c r="BA441" i="47"/>
  <c r="AZ441" i="47"/>
  <c r="BC441" i="47"/>
  <c r="BB441" i="47"/>
  <c r="AC327" i="47"/>
  <c r="T343" i="47"/>
  <c r="U328" i="47"/>
  <c r="AA328" i="47" s="1"/>
  <c r="U329" i="47"/>
  <c r="AA329" i="47" s="1"/>
  <c r="V332" i="47"/>
  <c r="W332" i="47"/>
  <c r="V329" i="47"/>
  <c r="V328" i="47"/>
  <c r="T340" i="47"/>
  <c r="S339" i="47"/>
  <c r="AA332" i="47"/>
  <c r="S344" i="47"/>
  <c r="R342" i="47"/>
  <c r="S343" i="47"/>
  <c r="AC328" i="47"/>
  <c r="AC331" i="47"/>
  <c r="R343" i="47"/>
  <c r="AB330" i="47"/>
  <c r="Q342" i="47"/>
  <c r="AX342" i="47" s="1"/>
  <c r="T339" i="47"/>
  <c r="AY339" i="47" s="1"/>
  <c r="Q343" i="47"/>
  <c r="T342" i="47"/>
  <c r="Q339" i="47"/>
  <c r="AA331" i="47"/>
  <c r="AB331" i="47"/>
  <c r="AA330" i="47"/>
  <c r="AC330" i="47"/>
  <c r="F150" i="69" l="1"/>
  <c r="F146" i="69"/>
  <c r="F149" i="69"/>
  <c r="BT415" i="47"/>
  <c r="AX339" i="47"/>
  <c r="AX343" i="47"/>
  <c r="AY343" i="47"/>
  <c r="AY342" i="47"/>
  <c r="AB332" i="47"/>
  <c r="Q344" i="47"/>
  <c r="AB328" i="47"/>
  <c r="Q340" i="47"/>
  <c r="AC329" i="47"/>
  <c r="R341" i="47"/>
  <c r="R340" i="47"/>
  <c r="AC332" i="47"/>
  <c r="R344" i="47"/>
  <c r="AB329" i="47"/>
  <c r="Q341" i="47"/>
  <c r="AX341" i="47" s="1"/>
  <c r="F147" i="69" l="1"/>
  <c r="AY341" i="47"/>
  <c r="F148" i="69"/>
  <c r="F151" i="69"/>
  <c r="BL339" i="47"/>
  <c r="E124" i="49" s="1"/>
  <c r="AX340" i="47"/>
  <c r="AY340" i="47"/>
  <c r="BM339" i="47"/>
  <c r="AY344" i="47"/>
  <c r="AX344" i="47"/>
  <c r="E153" i="49" l="1"/>
  <c r="K153" i="49" s="1"/>
  <c r="Q153" i="49" s="1"/>
  <c r="BQ339" i="47"/>
  <c r="F46" i="49" s="1"/>
  <c r="H181" i="57" s="1"/>
  <c r="H81" i="60" s="1"/>
  <c r="K124" i="49"/>
  <c r="Q124" i="49" s="1"/>
  <c r="AX346" i="47"/>
  <c r="AY346" i="47"/>
  <c r="BN339" i="47"/>
  <c r="K96" i="49" l="1"/>
  <c r="Q96" i="49" s="1"/>
  <c r="BR339" i="47"/>
  <c r="BS339" i="47" s="1"/>
  <c r="AY347" i="47"/>
  <c r="D222" i="47"/>
  <c r="M229" i="47"/>
  <c r="L229" i="47"/>
  <c r="M228" i="47"/>
  <c r="L228" i="47"/>
  <c r="M227" i="47"/>
  <c r="L227" i="47"/>
  <c r="M226" i="47"/>
  <c r="L226" i="47"/>
  <c r="M225" i="47"/>
  <c r="L225" i="47"/>
  <c r="M224" i="47"/>
  <c r="L224" i="47"/>
  <c r="I229" i="47"/>
  <c r="H229" i="47"/>
  <c r="I228" i="47"/>
  <c r="H228" i="47"/>
  <c r="I227" i="47"/>
  <c r="H227" i="47"/>
  <c r="I226" i="47"/>
  <c r="H226" i="47"/>
  <c r="I225" i="47"/>
  <c r="H225" i="47"/>
  <c r="I224" i="47"/>
  <c r="H224" i="47"/>
  <c r="CU81" i="43"/>
  <c r="CU82" i="43"/>
  <c r="CU83" i="43"/>
  <c r="CU84" i="43"/>
  <c r="CU85" i="43"/>
  <c r="CU80" i="43"/>
  <c r="CU47" i="43"/>
  <c r="CU48" i="43"/>
  <c r="CU49" i="43"/>
  <c r="CU50" i="43"/>
  <c r="CU51" i="43"/>
  <c r="CU46" i="43"/>
  <c r="DV59" i="43"/>
  <c r="DV60" i="43"/>
  <c r="DV61" i="43"/>
  <c r="DV62" i="43"/>
  <c r="DV63" i="43"/>
  <c r="DV58" i="43"/>
  <c r="DV92" i="43"/>
  <c r="DV93" i="43"/>
  <c r="DV94" i="43"/>
  <c r="DV95" i="43"/>
  <c r="DV96" i="43"/>
  <c r="DV91" i="43"/>
  <c r="CW85" i="43"/>
  <c r="CV85" i="43"/>
  <c r="C33" i="29"/>
  <c r="BC33" i="29" s="1"/>
  <c r="I33" i="29"/>
  <c r="AR33" i="29" s="1"/>
  <c r="B223" i="47"/>
  <c r="B254" i="47" s="1"/>
  <c r="D254" i="47" s="1"/>
  <c r="CW84" i="43"/>
  <c r="CV84" i="43"/>
  <c r="CW83" i="43"/>
  <c r="CV83" i="43"/>
  <c r="CW82" i="43"/>
  <c r="CV82" i="43"/>
  <c r="CW81" i="43"/>
  <c r="CV81" i="43"/>
  <c r="CW80" i="43"/>
  <c r="CV80" i="43"/>
  <c r="BT339" i="47" l="1"/>
  <c r="I256" i="47"/>
  <c r="H255" i="47"/>
  <c r="H257" i="47"/>
  <c r="H259" i="47"/>
  <c r="L255" i="47"/>
  <c r="L257" i="47"/>
  <c r="L259" i="47"/>
  <c r="M256" i="47"/>
  <c r="I255" i="47"/>
  <c r="I257" i="47"/>
  <c r="I259" i="47"/>
  <c r="M255" i="47"/>
  <c r="M257" i="47"/>
  <c r="M259" i="47"/>
  <c r="I258" i="47"/>
  <c r="I260" i="47"/>
  <c r="M258" i="47"/>
  <c r="M260" i="47"/>
  <c r="H256" i="47"/>
  <c r="H258" i="47"/>
  <c r="H260" i="47"/>
  <c r="L256" i="47"/>
  <c r="L258" i="47"/>
  <c r="L260" i="47"/>
  <c r="D253" i="47"/>
  <c r="C305" i="47" s="1"/>
  <c r="D223" i="47"/>
  <c r="C67" i="43" l="1"/>
  <c r="C102" i="43" s="1"/>
  <c r="C138" i="43" s="1"/>
  <c r="C159" i="43" s="1"/>
  <c r="C182" i="43" s="1"/>
  <c r="C208" i="43" s="1"/>
  <c r="B24" i="29"/>
  <c r="B75" i="29"/>
  <c r="B26" i="36"/>
  <c r="AU12" i="36"/>
  <c r="AW12" i="36" s="1"/>
  <c r="AZ12" i="36" s="1"/>
  <c r="BB12" i="36" s="1"/>
  <c r="BD12" i="36" s="1"/>
  <c r="BF12" i="36" s="1"/>
  <c r="BI12" i="36" s="1"/>
  <c r="BL12" i="36" s="1"/>
  <c r="AR12" i="36"/>
  <c r="AT12" i="36" s="1"/>
  <c r="AV12" i="36" s="1"/>
  <c r="AY12" i="36" s="1"/>
  <c r="BA12" i="36" s="1"/>
  <c r="BC12" i="36" s="1"/>
  <c r="BE12" i="36" s="1"/>
  <c r="BH12" i="36" s="1"/>
  <c r="BK12" i="36" s="1"/>
  <c r="AQ24" i="36"/>
  <c r="BR21" i="50" s="1"/>
  <c r="BR38" i="50" s="1"/>
  <c r="BR55" i="50" s="1"/>
  <c r="AQ23" i="36"/>
  <c r="B6" i="36"/>
  <c r="AQ6" i="36" s="1"/>
  <c r="C110" i="43"/>
  <c r="B49" i="29" l="1"/>
  <c r="C39" i="15"/>
  <c r="BR28" i="67"/>
  <c r="BR83" i="67" s="1"/>
  <c r="BR73" i="50"/>
  <c r="BM12" i="36"/>
  <c r="BN12" i="36" s="1"/>
  <c r="AS33" i="43"/>
  <c r="CD34" i="43" s="1"/>
  <c r="BR20" i="50"/>
  <c r="BR37" i="50" s="1"/>
  <c r="BR54" i="50" s="1"/>
  <c r="AP37" i="15"/>
  <c r="AP98" i="15" s="1"/>
  <c r="AP141" i="15" s="1"/>
  <c r="BA39" i="26"/>
  <c r="BA81" i="26" s="1"/>
  <c r="BA38" i="26"/>
  <c r="BA79" i="26" s="1"/>
  <c r="AP36" i="15"/>
  <c r="AP97" i="15" s="1"/>
  <c r="AP140" i="15" s="1"/>
  <c r="AR20" i="29"/>
  <c r="AR47" i="29" s="1"/>
  <c r="AS66" i="43"/>
  <c r="AS136" i="43"/>
  <c r="AS101" i="43"/>
  <c r="AS138" i="43"/>
  <c r="AR21" i="29"/>
  <c r="AR48" i="29" s="1"/>
  <c r="AS34" i="43"/>
  <c r="CD35" i="43" s="1"/>
  <c r="AS102" i="43"/>
  <c r="AS67" i="43"/>
  <c r="K225" i="47"/>
  <c r="K226" i="47"/>
  <c r="K228" i="47"/>
  <c r="K229" i="47"/>
  <c r="K224" i="47"/>
  <c r="J225" i="47"/>
  <c r="J226" i="47"/>
  <c r="J227" i="47"/>
  <c r="J228" i="47"/>
  <c r="J229" i="47"/>
  <c r="J224" i="47"/>
  <c r="G225" i="47"/>
  <c r="G226" i="47"/>
  <c r="G227" i="47"/>
  <c r="G228" i="47"/>
  <c r="G229" i="47"/>
  <c r="G224" i="47"/>
  <c r="F225" i="47"/>
  <c r="F226" i="47"/>
  <c r="F227" i="47"/>
  <c r="F228" i="47"/>
  <c r="F229" i="47"/>
  <c r="D225" i="47"/>
  <c r="D226" i="47"/>
  <c r="D227" i="47"/>
  <c r="D228" i="47"/>
  <c r="D229" i="47"/>
  <c r="D224" i="47"/>
  <c r="O224" i="47" s="1"/>
  <c r="B225" i="47"/>
  <c r="B226" i="47"/>
  <c r="B227" i="47"/>
  <c r="B228" i="47"/>
  <c r="B229" i="47"/>
  <c r="B224" i="47"/>
  <c r="B255" i="47" s="1"/>
  <c r="B296" i="47" s="1"/>
  <c r="B236" i="47" l="1"/>
  <c r="C236" i="47" s="1"/>
  <c r="BR59" i="67"/>
  <c r="BR27" i="67"/>
  <c r="BR58" i="67" s="1"/>
  <c r="BR72" i="50"/>
  <c r="I241" i="47"/>
  <c r="H241" i="47"/>
  <c r="H237" i="47"/>
  <c r="I237" i="47"/>
  <c r="K241" i="47"/>
  <c r="J241" i="47"/>
  <c r="J237" i="47"/>
  <c r="K237" i="47"/>
  <c r="I240" i="47"/>
  <c r="H240" i="47"/>
  <c r="H236" i="47"/>
  <c r="I236" i="47"/>
  <c r="J240" i="47"/>
  <c r="K240" i="47"/>
  <c r="I239" i="47"/>
  <c r="H239" i="47"/>
  <c r="K239" i="47"/>
  <c r="J239" i="47"/>
  <c r="I238" i="47"/>
  <c r="H238" i="47"/>
  <c r="K238" i="47"/>
  <c r="J238" i="47"/>
  <c r="P241" i="47"/>
  <c r="N241" i="47"/>
  <c r="O241" i="47"/>
  <c r="P237" i="47"/>
  <c r="N237" i="47"/>
  <c r="O237" i="47"/>
  <c r="O240" i="47"/>
  <c r="P240" i="47"/>
  <c r="N240" i="47"/>
  <c r="P239" i="47"/>
  <c r="N239" i="47"/>
  <c r="O239" i="47"/>
  <c r="D255" i="47"/>
  <c r="B307" i="47" s="1"/>
  <c r="O236" i="47"/>
  <c r="N236" i="47"/>
  <c r="G236" i="47" s="1"/>
  <c r="K236" i="47" s="1"/>
  <c r="P236" i="47"/>
  <c r="P238" i="47"/>
  <c r="N238" i="47"/>
  <c r="O238" i="47"/>
  <c r="CT34" i="43"/>
  <c r="CT54" i="43" s="1"/>
  <c r="CD67" i="43"/>
  <c r="CD101" i="43" s="1"/>
  <c r="CT35" i="43"/>
  <c r="CT67" i="43" s="1"/>
  <c r="CD68" i="43"/>
  <c r="CD102" i="43" s="1"/>
  <c r="G255" i="47"/>
  <c r="E296" i="47" s="1"/>
  <c r="E307" i="47" s="1"/>
  <c r="G257" i="47"/>
  <c r="E298" i="47" s="1"/>
  <c r="E309" i="47" s="1"/>
  <c r="K255" i="47"/>
  <c r="K257" i="47"/>
  <c r="G258" i="47"/>
  <c r="E299" i="47" s="1"/>
  <c r="E310" i="47" s="1"/>
  <c r="G260" i="47"/>
  <c r="E301" i="47" s="1"/>
  <c r="E312" i="47" s="1"/>
  <c r="G256" i="47"/>
  <c r="E297" i="47" s="1"/>
  <c r="E308" i="47" s="1"/>
  <c r="K260" i="47"/>
  <c r="K256" i="47"/>
  <c r="K258" i="47"/>
  <c r="G259" i="47"/>
  <c r="E300" i="47" s="1"/>
  <c r="E311" i="47" s="1"/>
  <c r="K259" i="47"/>
  <c r="J256" i="47"/>
  <c r="B259" i="47"/>
  <c r="B300" i="47" s="1"/>
  <c r="D257" i="47"/>
  <c r="B309" i="47" s="1"/>
  <c r="F259" i="47"/>
  <c r="J259" i="47"/>
  <c r="B260" i="47"/>
  <c r="B301" i="47" s="1"/>
  <c r="B256" i="47"/>
  <c r="B297" i="47" s="1"/>
  <c r="D258" i="47"/>
  <c r="B310" i="47" s="1"/>
  <c r="F260" i="47"/>
  <c r="F256" i="47"/>
  <c r="J260" i="47"/>
  <c r="B258" i="47"/>
  <c r="B299" i="47" s="1"/>
  <c r="D260" i="47"/>
  <c r="B312" i="47" s="1"/>
  <c r="D256" i="47"/>
  <c r="B308" i="47" s="1"/>
  <c r="F258" i="47"/>
  <c r="J258" i="47"/>
  <c r="B257" i="47"/>
  <c r="B298" i="47" s="1"/>
  <c r="D259" i="47"/>
  <c r="B311" i="47" s="1"/>
  <c r="F255" i="47"/>
  <c r="F257" i="47"/>
  <c r="J255" i="47"/>
  <c r="J257" i="47"/>
  <c r="C224" i="47"/>
  <c r="E229" i="47"/>
  <c r="E260" i="47" s="1"/>
  <c r="E225" i="47"/>
  <c r="E256" i="47" s="1"/>
  <c r="E228" i="47"/>
  <c r="E259" i="47" s="1"/>
  <c r="E227" i="47"/>
  <c r="E258" i="47" s="1"/>
  <c r="E224" i="47"/>
  <c r="E226" i="47"/>
  <c r="E257" i="47" s="1"/>
  <c r="C227" i="47"/>
  <c r="C228" i="47"/>
  <c r="C226" i="47"/>
  <c r="C229" i="47"/>
  <c r="C225" i="47"/>
  <c r="U145" i="69" l="1"/>
  <c r="U144" i="69"/>
  <c r="M145" i="69"/>
  <c r="M140" i="69"/>
  <c r="U141" i="69"/>
  <c r="M141" i="69"/>
  <c r="M143" i="69"/>
  <c r="M142" i="69"/>
  <c r="U143" i="69"/>
  <c r="M144" i="69"/>
  <c r="U142" i="69"/>
  <c r="BR82" i="67"/>
  <c r="BM233" i="47"/>
  <c r="F236" i="47"/>
  <c r="J236" i="47" s="1"/>
  <c r="BL233" i="47"/>
  <c r="CD136" i="43"/>
  <c r="CT101" i="43"/>
  <c r="DU101" i="43" s="1"/>
  <c r="DU67" i="43" s="1"/>
  <c r="DU33" i="43" s="1"/>
  <c r="CD138" i="43"/>
  <c r="CT102" i="43"/>
  <c r="DU102" i="43" s="1"/>
  <c r="C311" i="47"/>
  <c r="C309" i="47"/>
  <c r="C308" i="47"/>
  <c r="C312" i="47"/>
  <c r="C310" i="47"/>
  <c r="G300" i="47"/>
  <c r="G311" i="47" s="1"/>
  <c r="G299" i="47"/>
  <c r="G310" i="47" s="1"/>
  <c r="G301" i="47"/>
  <c r="G312" i="47" s="1"/>
  <c r="G298" i="47"/>
  <c r="G309" i="47" s="1"/>
  <c r="AI257" i="47"/>
  <c r="G297" i="47"/>
  <c r="G308" i="47" s="1"/>
  <c r="G296" i="47"/>
  <c r="G307" i="47" s="1"/>
  <c r="E255" i="47"/>
  <c r="C256" i="47"/>
  <c r="C258" i="47"/>
  <c r="C257" i="47"/>
  <c r="C259" i="47"/>
  <c r="C255" i="47"/>
  <c r="C260" i="47"/>
  <c r="AW89" i="43"/>
  <c r="AW77" i="43"/>
  <c r="AT92" i="43"/>
  <c r="CE93" i="43" s="1"/>
  <c r="AT93" i="43"/>
  <c r="CE94" i="43" s="1"/>
  <c r="AT94" i="43"/>
  <c r="CE95" i="43" s="1"/>
  <c r="AT95" i="43"/>
  <c r="CE96" i="43" s="1"/>
  <c r="AT96" i="43"/>
  <c r="CE97" i="43" s="1"/>
  <c r="AT97" i="43"/>
  <c r="CE98" i="43" s="1"/>
  <c r="AT80" i="43"/>
  <c r="CE80" i="43" s="1"/>
  <c r="DV80" i="43" s="1"/>
  <c r="AT81" i="43"/>
  <c r="CE81" i="43" s="1"/>
  <c r="DV81" i="43" s="1"/>
  <c r="AT82" i="43"/>
  <c r="CE82" i="43" s="1"/>
  <c r="DV82" i="43" s="1"/>
  <c r="AT83" i="43"/>
  <c r="CE83" i="43" s="1"/>
  <c r="DV83" i="43" s="1"/>
  <c r="AT84" i="43"/>
  <c r="CE84" i="43" s="1"/>
  <c r="DV84" i="43" s="1"/>
  <c r="AT85" i="43"/>
  <c r="CE85" i="43" s="1"/>
  <c r="DV85" i="43" s="1"/>
  <c r="K58" i="29"/>
  <c r="BF57" i="29" s="1"/>
  <c r="I58" i="29"/>
  <c r="AS57" i="29" s="1"/>
  <c r="G58" i="29"/>
  <c r="G33" i="29" s="1"/>
  <c r="K78" i="43"/>
  <c r="I78" i="43"/>
  <c r="C58" i="29"/>
  <c r="C22" i="15" s="1"/>
  <c r="C65" i="15" s="1"/>
  <c r="C85" i="15" s="1"/>
  <c r="S139" i="47"/>
  <c r="S138" i="47"/>
  <c r="S137" i="47"/>
  <c r="S136" i="47"/>
  <c r="S135" i="47"/>
  <c r="S134" i="47"/>
  <c r="Q135" i="47"/>
  <c r="Q136" i="47"/>
  <c r="Q137" i="47"/>
  <c r="Q138" i="47"/>
  <c r="Q139" i="47"/>
  <c r="Q134" i="47"/>
  <c r="R139" i="47"/>
  <c r="P139" i="47"/>
  <c r="R138" i="47"/>
  <c r="P138" i="47"/>
  <c r="R137" i="47"/>
  <c r="P137" i="47"/>
  <c r="R136" i="47"/>
  <c r="P136" i="47"/>
  <c r="R135" i="47"/>
  <c r="P135" i="47"/>
  <c r="R134" i="47"/>
  <c r="P134" i="47"/>
  <c r="N133" i="47"/>
  <c r="BM232" i="47" l="1"/>
  <c r="U140" i="69"/>
  <c r="D22" i="26"/>
  <c r="E53" i="26" s="1"/>
  <c r="C78" i="43"/>
  <c r="C148" i="43" s="1"/>
  <c r="C173" i="43" s="1"/>
  <c r="C124" i="15"/>
  <c r="AR59" i="29"/>
  <c r="U119" i="47"/>
  <c r="S118" i="47"/>
  <c r="U123" i="47"/>
  <c r="S120" i="47"/>
  <c r="U118" i="47"/>
  <c r="U120" i="47"/>
  <c r="U122" i="47"/>
  <c r="S123" i="47"/>
  <c r="U121" i="47"/>
  <c r="S119" i="47"/>
  <c r="S121" i="47"/>
  <c r="S122" i="47"/>
  <c r="T118" i="47"/>
  <c r="T120" i="47"/>
  <c r="T122" i="47"/>
  <c r="R121" i="47"/>
  <c r="R123" i="47"/>
  <c r="R119" i="47"/>
  <c r="T119" i="47"/>
  <c r="T121" i="47"/>
  <c r="T123" i="47"/>
  <c r="R118" i="47"/>
  <c r="R120" i="47"/>
  <c r="R122" i="47"/>
  <c r="Z281" i="47"/>
  <c r="W281" i="47"/>
  <c r="C301" i="47"/>
  <c r="C297" i="47"/>
  <c r="AT78" i="43"/>
  <c r="CE77" i="43" s="1"/>
  <c r="DV77" i="43" s="1"/>
  <c r="C89" i="43"/>
  <c r="AT90" i="43"/>
  <c r="CE90" i="43" s="1"/>
  <c r="E89" i="43"/>
  <c r="CD159" i="43"/>
  <c r="CT138" i="43"/>
  <c r="DU138" i="43" s="1"/>
  <c r="DU160" i="43" s="1"/>
  <c r="CT136" i="43"/>
  <c r="DU136" i="43" s="1"/>
  <c r="DU159" i="43" s="1"/>
  <c r="CD158" i="43"/>
  <c r="AI258" i="47"/>
  <c r="AI259" i="47"/>
  <c r="AI260" i="47"/>
  <c r="AI256" i="47"/>
  <c r="C300" i="47"/>
  <c r="C298" i="47"/>
  <c r="C307" i="47"/>
  <c r="C299" i="47"/>
  <c r="C296" i="47"/>
  <c r="E193" i="47"/>
  <c r="E204" i="47" s="1"/>
  <c r="DU68" i="43"/>
  <c r="DU34" i="43" s="1"/>
  <c r="C135" i="47"/>
  <c r="E135" i="47" s="1"/>
  <c r="AY48" i="43" s="1"/>
  <c r="C136" i="47"/>
  <c r="E136" i="47" s="1"/>
  <c r="AY49" i="43" s="1"/>
  <c r="C137" i="47"/>
  <c r="E137" i="47" s="1"/>
  <c r="AY50" i="43" s="1"/>
  <c r="C138" i="47"/>
  <c r="E138" i="47" s="1"/>
  <c r="AY51" i="43" s="1"/>
  <c r="C139" i="47"/>
  <c r="E139" i="47" s="1"/>
  <c r="AY52" i="43" s="1"/>
  <c r="C134" i="47"/>
  <c r="X134" i="47" l="1"/>
  <c r="X139" i="47"/>
  <c r="Y134" i="47"/>
  <c r="X135" i="47"/>
  <c r="X138" i="47"/>
  <c r="Y137" i="47"/>
  <c r="X137" i="47"/>
  <c r="Y136" i="47"/>
  <c r="X136" i="47"/>
  <c r="Y139" i="47"/>
  <c r="Y135" i="47"/>
  <c r="Y138" i="47"/>
  <c r="N280" i="47"/>
  <c r="M280" i="47"/>
  <c r="Z280" i="47"/>
  <c r="Y280" i="47"/>
  <c r="CT158" i="43"/>
  <c r="CD180" i="43"/>
  <c r="CT159" i="43"/>
  <c r="CD181" i="43"/>
  <c r="G139" i="47"/>
  <c r="G135" i="47"/>
  <c r="G134" i="47"/>
  <c r="G138" i="47"/>
  <c r="G137" i="47"/>
  <c r="G136" i="47"/>
  <c r="T280" i="47" l="1"/>
  <c r="S280" i="47"/>
  <c r="W280" i="47"/>
  <c r="V280" i="47"/>
  <c r="Q280" i="47"/>
  <c r="P280" i="47"/>
  <c r="B135" i="47"/>
  <c r="B119" i="47" s="1"/>
  <c r="AD119" i="47" s="1"/>
  <c r="BG59" i="43" s="1"/>
  <c r="B136" i="47"/>
  <c r="B120" i="47" s="1"/>
  <c r="AD120" i="47" s="1"/>
  <c r="BG60" i="43" s="1"/>
  <c r="B137" i="47"/>
  <c r="B121" i="47" s="1"/>
  <c r="AD121" i="47" s="1"/>
  <c r="BG61" i="43" s="1"/>
  <c r="B138" i="47"/>
  <c r="B122" i="47" s="1"/>
  <c r="AD122" i="47" s="1"/>
  <c r="BG62" i="43" s="1"/>
  <c r="B139" i="47"/>
  <c r="B123" i="47" s="1"/>
  <c r="AD123" i="47" s="1"/>
  <c r="BG63" i="43" s="1"/>
  <c r="B134" i="47"/>
  <c r="AY57" i="43"/>
  <c r="BK57" i="43"/>
  <c r="BN57" i="43" s="1"/>
  <c r="AW57" i="43"/>
  <c r="BB57" i="43" s="1"/>
  <c r="BD57" i="43" s="1"/>
  <c r="BY32" i="29"/>
  <c r="BV32" i="29"/>
  <c r="BN54" i="43" s="1"/>
  <c r="BS32" i="29"/>
  <c r="BK54" i="43" s="1"/>
  <c r="BK32" i="29"/>
  <c r="BB54" i="43" s="1"/>
  <c r="BE32" i="29"/>
  <c r="AW54" i="43" s="1"/>
  <c r="C117" i="47"/>
  <c r="AF120" i="47" l="1"/>
  <c r="AE120" i="47"/>
  <c r="AF119" i="47"/>
  <c r="AE119" i="47"/>
  <c r="AE122" i="47"/>
  <c r="AF122" i="47"/>
  <c r="AF123" i="47"/>
  <c r="AE123" i="47"/>
  <c r="AE121" i="47"/>
  <c r="AF121" i="47"/>
  <c r="Y119" i="47"/>
  <c r="Z119" i="47"/>
  <c r="X119" i="47"/>
  <c r="Y122" i="47"/>
  <c r="Z122" i="47"/>
  <c r="X122" i="47"/>
  <c r="Y120" i="47"/>
  <c r="Z120" i="47"/>
  <c r="X120" i="47"/>
  <c r="Y123" i="47"/>
  <c r="Z123" i="47"/>
  <c r="X123" i="47"/>
  <c r="Z121" i="47"/>
  <c r="X121" i="47"/>
  <c r="Y121" i="47"/>
  <c r="C122" i="47"/>
  <c r="E122" i="47"/>
  <c r="D122" i="47"/>
  <c r="L122" i="47" s="1"/>
  <c r="M122" i="47" s="1"/>
  <c r="C121" i="47"/>
  <c r="D121" i="47"/>
  <c r="L121" i="47" s="1"/>
  <c r="M121" i="47" s="1"/>
  <c r="E121" i="47"/>
  <c r="C120" i="47"/>
  <c r="D120" i="47" s="1"/>
  <c r="L120" i="47" s="1"/>
  <c r="M120" i="47" s="1"/>
  <c r="C123" i="47"/>
  <c r="D123" i="47"/>
  <c r="L123" i="47" s="1"/>
  <c r="M123" i="47" s="1"/>
  <c r="E123" i="47"/>
  <c r="C119" i="47"/>
  <c r="E119" i="47" s="1"/>
  <c r="N134" i="47"/>
  <c r="B118" i="47"/>
  <c r="AD118" i="47" s="1"/>
  <c r="BG58" i="43" s="1"/>
  <c r="N136" i="47"/>
  <c r="M139" i="47"/>
  <c r="L139" i="47"/>
  <c r="K139" i="47"/>
  <c r="N139" i="47"/>
  <c r="N135" i="47"/>
  <c r="L138" i="47"/>
  <c r="M138" i="47"/>
  <c r="K138" i="47"/>
  <c r="N138" i="47"/>
  <c r="K137" i="47"/>
  <c r="N137" i="47"/>
  <c r="M137" i="47"/>
  <c r="L137" i="47"/>
  <c r="M156" i="47"/>
  <c r="L156" i="47"/>
  <c r="M155" i="47"/>
  <c r="L155" i="47"/>
  <c r="M154" i="47"/>
  <c r="L154" i="47"/>
  <c r="M153" i="47"/>
  <c r="L153" i="47"/>
  <c r="M152" i="47"/>
  <c r="L152" i="47"/>
  <c r="M151" i="47"/>
  <c r="L151" i="47"/>
  <c r="I156" i="47"/>
  <c r="H156" i="47"/>
  <c r="I155" i="47"/>
  <c r="H155" i="47"/>
  <c r="I154" i="47"/>
  <c r="H154" i="47"/>
  <c r="I153" i="47"/>
  <c r="H153" i="47"/>
  <c r="I152" i="47"/>
  <c r="H152" i="47"/>
  <c r="I151" i="47"/>
  <c r="H151" i="47"/>
  <c r="M149" i="47"/>
  <c r="L149" i="47"/>
  <c r="CF54" i="43"/>
  <c r="CF75" i="43" s="1"/>
  <c r="CM9" i="43"/>
  <c r="DC12" i="43"/>
  <c r="DC45" i="43" s="1"/>
  <c r="DC79" i="43" s="1"/>
  <c r="CW47" i="43"/>
  <c r="CW48" i="43"/>
  <c r="CW49" i="43"/>
  <c r="CW50" i="43"/>
  <c r="CW51" i="43"/>
  <c r="CW46" i="43"/>
  <c r="CV47" i="43"/>
  <c r="CV48" i="43"/>
  <c r="CV49" i="43"/>
  <c r="CV50" i="43"/>
  <c r="CV51" i="43"/>
  <c r="CV46" i="43"/>
  <c r="AT58" i="43"/>
  <c r="AT59" i="43"/>
  <c r="AT60" i="43"/>
  <c r="AT61" i="43"/>
  <c r="AT62" i="43"/>
  <c r="AT63" i="43"/>
  <c r="DF45" i="43" l="1"/>
  <c r="DC117" i="43"/>
  <c r="DF79" i="43"/>
  <c r="AE118" i="47"/>
  <c r="AF118" i="47"/>
  <c r="Y118" i="47"/>
  <c r="X118" i="47"/>
  <c r="Z118" i="47"/>
  <c r="CF113" i="43"/>
  <c r="CF146" i="43" s="1"/>
  <c r="CF171" i="43" s="1"/>
  <c r="CF88" i="43"/>
  <c r="CM21" i="43"/>
  <c r="CM42" i="43"/>
  <c r="D119" i="47"/>
  <c r="L119" i="47" s="1"/>
  <c r="M119" i="47" s="1"/>
  <c r="E120" i="47"/>
  <c r="C118" i="47"/>
  <c r="BK63" i="43"/>
  <c r="AW63" i="43"/>
  <c r="BD63" i="43"/>
  <c r="BN63" i="43"/>
  <c r="AY63" i="43"/>
  <c r="BB63" i="43"/>
  <c r="BN62" i="43"/>
  <c r="AY62" i="43"/>
  <c r="BB62" i="43"/>
  <c r="BK62" i="43"/>
  <c r="BD62" i="43"/>
  <c r="AW62" i="43"/>
  <c r="BB61" i="43"/>
  <c r="BN61" i="43"/>
  <c r="BD61" i="43"/>
  <c r="AY61" i="43"/>
  <c r="BK61" i="43"/>
  <c r="AW61" i="43"/>
  <c r="DC150" i="43" l="1"/>
  <c r="DF150" i="43" s="1"/>
  <c r="DF117" i="43"/>
  <c r="CO56" i="43"/>
  <c r="CO77" i="43" s="1"/>
  <c r="CM56" i="43"/>
  <c r="CM77" i="43" s="1"/>
  <c r="CO55" i="43"/>
  <c r="CO76" i="43" s="1"/>
  <c r="CM55" i="43"/>
  <c r="CM76" i="43" s="1"/>
  <c r="CM54" i="43"/>
  <c r="CM75" i="43" s="1"/>
  <c r="CH56" i="43"/>
  <c r="CH77" i="43" s="1"/>
  <c r="CJ56" i="43"/>
  <c r="CJ77" i="43" s="1"/>
  <c r="CF56" i="43"/>
  <c r="CF77" i="43" s="1"/>
  <c r="CH55" i="43"/>
  <c r="CH76" i="43" s="1"/>
  <c r="CJ55" i="43"/>
  <c r="CJ76" i="43" s="1"/>
  <c r="CF55" i="43"/>
  <c r="CF76" i="43" s="1"/>
  <c r="CE59" i="43"/>
  <c r="CE60" i="43"/>
  <c r="CE61" i="43"/>
  <c r="CE62" i="43"/>
  <c r="CE63" i="43"/>
  <c r="CE58" i="43"/>
  <c r="CF115" i="43" l="1"/>
  <c r="CF148" i="43" s="1"/>
  <c r="CF173" i="43" s="1"/>
  <c r="CF90" i="43"/>
  <c r="CF114" i="43"/>
  <c r="CF147" i="43" s="1"/>
  <c r="CF172" i="43" s="1"/>
  <c r="CF89" i="43"/>
  <c r="CJ115" i="43"/>
  <c r="CJ148" i="43" s="1"/>
  <c r="CJ173" i="43" s="1"/>
  <c r="CJ90" i="43"/>
  <c r="CO114" i="43"/>
  <c r="CO147" i="43" s="1"/>
  <c r="CO172" i="43" s="1"/>
  <c r="CO89" i="43"/>
  <c r="CJ114" i="43"/>
  <c r="CJ147" i="43" s="1"/>
  <c r="CJ172" i="43" s="1"/>
  <c r="CJ89" i="43"/>
  <c r="CM115" i="43"/>
  <c r="CM148" i="43" s="1"/>
  <c r="CM173" i="43" s="1"/>
  <c r="CM90" i="43"/>
  <c r="CH115" i="43"/>
  <c r="CH148" i="43" s="1"/>
  <c r="CH173" i="43" s="1"/>
  <c r="CH90" i="43"/>
  <c r="CH114" i="43"/>
  <c r="CH147" i="43" s="1"/>
  <c r="CH172" i="43" s="1"/>
  <c r="CH89" i="43"/>
  <c r="CM113" i="43"/>
  <c r="CM146" i="43" s="1"/>
  <c r="CM171" i="43" s="1"/>
  <c r="CM88" i="43"/>
  <c r="CO115" i="43"/>
  <c r="CO148" i="43" s="1"/>
  <c r="CO173" i="43" s="1"/>
  <c r="CF194" i="43" s="1"/>
  <c r="BT62" i="50" s="1"/>
  <c r="CO90" i="43"/>
  <c r="CM114" i="43"/>
  <c r="CM147" i="43" s="1"/>
  <c r="CM172" i="43" s="1"/>
  <c r="CM89" i="43"/>
  <c r="K152" i="47"/>
  <c r="K153" i="47"/>
  <c r="K154" i="47"/>
  <c r="K155" i="47"/>
  <c r="K156" i="47"/>
  <c r="K151" i="47"/>
  <c r="G152" i="47"/>
  <c r="G153" i="47"/>
  <c r="G154" i="47"/>
  <c r="G155" i="47"/>
  <c r="G156" i="47"/>
  <c r="J156" i="47"/>
  <c r="F156" i="47"/>
  <c r="J155" i="47"/>
  <c r="F155" i="47"/>
  <c r="J154" i="47"/>
  <c r="F154" i="47"/>
  <c r="J153" i="47"/>
  <c r="F153" i="47"/>
  <c r="J152" i="47"/>
  <c r="F152" i="47"/>
  <c r="J151" i="47"/>
  <c r="F151" i="47"/>
  <c r="D152" i="47"/>
  <c r="D153" i="47"/>
  <c r="D154" i="47"/>
  <c r="D155" i="47"/>
  <c r="D156" i="47"/>
  <c r="D151" i="47"/>
  <c r="B152" i="47"/>
  <c r="B205" i="47" s="1"/>
  <c r="B153" i="47"/>
  <c r="B206" i="47" s="1"/>
  <c r="B154" i="47"/>
  <c r="B207" i="47" s="1"/>
  <c r="B155" i="47"/>
  <c r="B208" i="47" s="1"/>
  <c r="B156" i="47"/>
  <c r="B209" i="47" s="1"/>
  <c r="B151" i="47"/>
  <c r="B204" i="47" s="1"/>
  <c r="Z21" i="43"/>
  <c r="W9" i="43" s="1"/>
  <c r="W42" i="43" s="1"/>
  <c r="N43" i="43"/>
  <c r="CV43" i="43" s="1"/>
  <c r="C43" i="43"/>
  <c r="B193" i="47" l="1"/>
  <c r="L207" i="47"/>
  <c r="H207" i="47"/>
  <c r="J207" i="47"/>
  <c r="B198" i="47"/>
  <c r="L198" i="47"/>
  <c r="EB51" i="43" s="1"/>
  <c r="M198" i="47" s="1"/>
  <c r="H198" i="47"/>
  <c r="DX51" i="43" s="1"/>
  <c r="I198" i="47" s="1"/>
  <c r="N198" i="47"/>
  <c r="EE51" i="43" s="1"/>
  <c r="O198" i="47" s="1"/>
  <c r="J198" i="47"/>
  <c r="DZ51" i="43" s="1"/>
  <c r="K198" i="47" s="1"/>
  <c r="B194" i="47"/>
  <c r="B197" i="47"/>
  <c r="N197" i="47"/>
  <c r="EE50" i="43" s="1"/>
  <c r="O197" i="47" s="1"/>
  <c r="L197" i="47"/>
  <c r="EB50" i="43" s="1"/>
  <c r="M197" i="47" s="1"/>
  <c r="H197" i="47"/>
  <c r="DX50" i="43" s="1"/>
  <c r="I197" i="47" s="1"/>
  <c r="J197" i="47"/>
  <c r="DZ50" i="43" s="1"/>
  <c r="K197" i="47" s="1"/>
  <c r="J209" i="47"/>
  <c r="H209" i="47"/>
  <c r="L209" i="47"/>
  <c r="B196" i="47"/>
  <c r="L196" i="47"/>
  <c r="EB49" i="43" s="1"/>
  <c r="M196" i="47" s="1"/>
  <c r="H196" i="47"/>
  <c r="DX49" i="43" s="1"/>
  <c r="I196" i="47" s="1"/>
  <c r="J196" i="47"/>
  <c r="DZ49" i="43" s="1"/>
  <c r="K196" i="47" s="1"/>
  <c r="N196" i="47"/>
  <c r="EE49" i="43" s="1"/>
  <c r="O196" i="47" s="1"/>
  <c r="J208" i="47"/>
  <c r="H208" i="47"/>
  <c r="L208" i="47"/>
  <c r="B195" i="47"/>
  <c r="AT55" i="43"/>
  <c r="C56" i="43"/>
  <c r="F91" i="47"/>
  <c r="F102" i="47" s="1"/>
  <c r="G193" i="47"/>
  <c r="G204" i="47" s="1"/>
  <c r="G194" i="47"/>
  <c r="G205" i="47" s="1"/>
  <c r="C151" i="47"/>
  <c r="E195" i="47"/>
  <c r="E206" i="47" s="1"/>
  <c r="C152" i="47"/>
  <c r="E154" i="47"/>
  <c r="E198" i="47"/>
  <c r="E209" i="47" s="1"/>
  <c r="E194" i="47"/>
  <c r="E205" i="47" s="1"/>
  <c r="G196" i="47"/>
  <c r="G207" i="47" s="1"/>
  <c r="E155" i="47"/>
  <c r="C156" i="47"/>
  <c r="C155" i="47"/>
  <c r="E151" i="47"/>
  <c r="E153" i="47"/>
  <c r="E197" i="47"/>
  <c r="E208" i="47" s="1"/>
  <c r="G195" i="47"/>
  <c r="G206" i="47" s="1"/>
  <c r="C153" i="47"/>
  <c r="G197" i="47"/>
  <c r="G208" i="47" s="1"/>
  <c r="C154" i="47"/>
  <c r="E156" i="47"/>
  <c r="E152" i="47"/>
  <c r="E196" i="47"/>
  <c r="E207" i="47" s="1"/>
  <c r="G198" i="47"/>
  <c r="G209" i="47" s="1"/>
  <c r="AJ156" i="47"/>
  <c r="C59" i="40"/>
  <c r="H194" i="47" l="1"/>
  <c r="DX47" i="43" s="1"/>
  <c r="I194" i="47" s="1"/>
  <c r="N195" i="47"/>
  <c r="EE48" i="43" s="1"/>
  <c r="O195" i="47" s="1"/>
  <c r="T198" i="47"/>
  <c r="U198" i="47"/>
  <c r="X196" i="47"/>
  <c r="W196" i="47"/>
  <c r="BB194" i="47" s="1"/>
  <c r="R197" i="47"/>
  <c r="AY195" i="47" s="1"/>
  <c r="Q197" i="47"/>
  <c r="R196" i="47"/>
  <c r="Q196" i="47"/>
  <c r="W197" i="47"/>
  <c r="X197" i="47"/>
  <c r="U197" i="47"/>
  <c r="BA195" i="47" s="1"/>
  <c r="T197" i="47"/>
  <c r="AZ195" i="47" s="1"/>
  <c r="Q198" i="47"/>
  <c r="AX196" i="47" s="1"/>
  <c r="R198" i="47"/>
  <c r="AY196" i="47" s="1"/>
  <c r="T196" i="47"/>
  <c r="U196" i="47"/>
  <c r="X198" i="47"/>
  <c r="W198" i="47"/>
  <c r="BB196" i="47" s="1"/>
  <c r="H195" i="47"/>
  <c r="DX48" i="43" s="1"/>
  <c r="I195" i="47" s="1"/>
  <c r="J194" i="47"/>
  <c r="DZ47" i="43" s="1"/>
  <c r="K194" i="47" s="1"/>
  <c r="N194" i="47"/>
  <c r="EE47" i="43" s="1"/>
  <c r="O194" i="47" s="1"/>
  <c r="L195" i="47"/>
  <c r="EB48" i="43" s="1"/>
  <c r="M195" i="47" s="1"/>
  <c r="J195" i="47"/>
  <c r="DZ48" i="43" s="1"/>
  <c r="K195" i="47" s="1"/>
  <c r="L194" i="47"/>
  <c r="EB47" i="43" s="1"/>
  <c r="M194" i="47" s="1"/>
  <c r="C197" i="47"/>
  <c r="C195" i="47"/>
  <c r="N206" i="47" s="1"/>
  <c r="C198" i="47"/>
  <c r="C196" i="47"/>
  <c r="C194" i="47"/>
  <c r="N205" i="47" s="1"/>
  <c r="C193" i="47"/>
  <c r="C208" i="47"/>
  <c r="C207" i="47"/>
  <c r="C209" i="47"/>
  <c r="C206" i="47"/>
  <c r="C205" i="47"/>
  <c r="C204" i="47"/>
  <c r="AI156" i="47"/>
  <c r="AK156" i="47" s="1"/>
  <c r="AI154" i="47"/>
  <c r="AI155" i="47"/>
  <c r="AJ155" i="47"/>
  <c r="AJ154" i="47"/>
  <c r="DZ61" i="43"/>
  <c r="K207" i="47" s="1"/>
  <c r="EB61" i="43"/>
  <c r="M207" i="47" s="1"/>
  <c r="DZ62" i="43"/>
  <c r="K208" i="47" s="1"/>
  <c r="DX61" i="43"/>
  <c r="I207" i="47" s="1"/>
  <c r="AK59" i="40"/>
  <c r="AK52" i="40"/>
  <c r="R194" i="47" l="1"/>
  <c r="AY194" i="47"/>
  <c r="AZ194" i="47"/>
  <c r="BA194" i="47"/>
  <c r="BA196" i="47"/>
  <c r="BC195" i="47"/>
  <c r="AZ196" i="47"/>
  <c r="BB195" i="47"/>
  <c r="BC196" i="47"/>
  <c r="Q194" i="47"/>
  <c r="AX192" i="47" s="1"/>
  <c r="AX194" i="47"/>
  <c r="W195" i="47"/>
  <c r="X195" i="47"/>
  <c r="Q195" i="47"/>
  <c r="R195" i="47"/>
  <c r="U207" i="47"/>
  <c r="T207" i="47"/>
  <c r="T208" i="47"/>
  <c r="U208" i="47"/>
  <c r="W207" i="47"/>
  <c r="X207" i="47"/>
  <c r="X194" i="47"/>
  <c r="W194" i="47"/>
  <c r="U195" i="47"/>
  <c r="T195" i="47"/>
  <c r="T194" i="47"/>
  <c r="U194" i="47"/>
  <c r="BC194" i="47"/>
  <c r="AX195" i="47"/>
  <c r="H205" i="47"/>
  <c r="L205" i="47"/>
  <c r="J205" i="47"/>
  <c r="H206" i="47"/>
  <c r="L206" i="47"/>
  <c r="J206" i="47"/>
  <c r="DX63" i="43"/>
  <c r="I209" i="47" s="1"/>
  <c r="N208" i="47"/>
  <c r="EE62" i="43" s="1"/>
  <c r="O208" i="47" s="1"/>
  <c r="DZ63" i="43"/>
  <c r="K209" i="47" s="1"/>
  <c r="N207" i="47"/>
  <c r="EE61" i="43" s="1"/>
  <c r="O207" i="47" s="1"/>
  <c r="Q207" i="47" s="1"/>
  <c r="EB62" i="43"/>
  <c r="M208" i="47" s="1"/>
  <c r="N209" i="47"/>
  <c r="EE63" i="43" s="1"/>
  <c r="O209" i="47" s="1"/>
  <c r="DX62" i="43"/>
  <c r="I208" i="47" s="1"/>
  <c r="AK154" i="47"/>
  <c r="AK155" i="47"/>
  <c r="EB63" i="43"/>
  <c r="M209" i="47" s="1"/>
  <c r="R41" i="47"/>
  <c r="R40" i="47"/>
  <c r="R39" i="47"/>
  <c r="R38" i="47"/>
  <c r="R37" i="47"/>
  <c r="R36" i="47"/>
  <c r="P37" i="47"/>
  <c r="P38" i="47"/>
  <c r="P39" i="47"/>
  <c r="P40" i="47"/>
  <c r="P41" i="47"/>
  <c r="P36" i="47"/>
  <c r="Q41" i="47"/>
  <c r="O41" i="47"/>
  <c r="N41" i="47"/>
  <c r="Q40" i="47"/>
  <c r="O40" i="47"/>
  <c r="N40" i="47"/>
  <c r="Q39" i="47"/>
  <c r="O39" i="47"/>
  <c r="N39" i="47"/>
  <c r="Q38" i="47"/>
  <c r="O38" i="47"/>
  <c r="N38" i="47"/>
  <c r="Q37" i="47"/>
  <c r="O37" i="47"/>
  <c r="N37" i="47"/>
  <c r="Q36" i="47"/>
  <c r="O36" i="47"/>
  <c r="N36" i="47"/>
  <c r="H23" i="30"/>
  <c r="G25" i="47"/>
  <c r="G26" i="47"/>
  <c r="G27" i="47"/>
  <c r="G28" i="47"/>
  <c r="G29" i="47"/>
  <c r="B25" i="47"/>
  <c r="K25" i="47" s="1"/>
  <c r="B26" i="47"/>
  <c r="B27" i="47"/>
  <c r="B28" i="47"/>
  <c r="K28" i="47" s="1"/>
  <c r="B29" i="47"/>
  <c r="K29" i="47" s="1"/>
  <c r="C25" i="47"/>
  <c r="C26" i="47"/>
  <c r="C27" i="47"/>
  <c r="C28" i="47"/>
  <c r="C29" i="47"/>
  <c r="C24" i="47"/>
  <c r="B24" i="47"/>
  <c r="BA11" i="43"/>
  <c r="BC11" i="43" s="1"/>
  <c r="BE11" i="43" s="1"/>
  <c r="B7" i="47"/>
  <c r="A41" i="47" l="1"/>
  <c r="B41" i="47" s="1"/>
  <c r="T19" i="47"/>
  <c r="U19" i="47"/>
  <c r="S19" i="47"/>
  <c r="T15" i="47"/>
  <c r="U15" i="47"/>
  <c r="S15" i="47"/>
  <c r="A39" i="47"/>
  <c r="B39" i="47" s="1"/>
  <c r="U17" i="47"/>
  <c r="S17" i="47"/>
  <c r="T17" i="47"/>
  <c r="A38" i="47"/>
  <c r="B38" i="47" s="1"/>
  <c r="T16" i="47"/>
  <c r="U16" i="47"/>
  <c r="S16" i="47"/>
  <c r="A40" i="47"/>
  <c r="B40" i="47" s="1"/>
  <c r="T18" i="47"/>
  <c r="U18" i="47"/>
  <c r="S18" i="47"/>
  <c r="A37" i="47"/>
  <c r="B37" i="47" s="1"/>
  <c r="AB25" i="47"/>
  <c r="Z25" i="47"/>
  <c r="W209" i="47"/>
  <c r="X209" i="47"/>
  <c r="X208" i="47"/>
  <c r="W208" i="47"/>
  <c r="Q209" i="47"/>
  <c r="R209" i="47"/>
  <c r="Q208" i="47"/>
  <c r="R208" i="47"/>
  <c r="U209" i="47"/>
  <c r="T209" i="47"/>
  <c r="R207" i="47"/>
  <c r="BC193" i="47"/>
  <c r="BA192" i="47"/>
  <c r="BA193" i="47"/>
  <c r="AY193" i="47"/>
  <c r="AZ193" i="47"/>
  <c r="AX193" i="47"/>
  <c r="AY192" i="47"/>
  <c r="BB192" i="47"/>
  <c r="BC192" i="47"/>
  <c r="BB193" i="47"/>
  <c r="AZ192" i="47"/>
  <c r="J25" i="47"/>
  <c r="AY25" i="43" s="1"/>
  <c r="J28" i="47"/>
  <c r="AY28" i="43" s="1"/>
  <c r="J29" i="47"/>
  <c r="AY29" i="43" s="1"/>
  <c r="J27" i="47"/>
  <c r="AY27" i="43" s="1"/>
  <c r="J26" i="47"/>
  <c r="AY26" i="43" s="1"/>
  <c r="F24" i="47"/>
  <c r="B14" i="47"/>
  <c r="M36" i="47"/>
  <c r="Z24" i="47"/>
  <c r="AB24" i="47"/>
  <c r="Z27" i="47"/>
  <c r="AB27" i="47"/>
  <c r="F58" i="47"/>
  <c r="F56" i="47"/>
  <c r="F54" i="47"/>
  <c r="F57" i="47"/>
  <c r="F55" i="47"/>
  <c r="S26" i="47"/>
  <c r="T27" i="47"/>
  <c r="T28" i="47"/>
  <c r="F25" i="47"/>
  <c r="B18" i="47"/>
  <c r="Q18" i="47" s="1"/>
  <c r="B17" i="47"/>
  <c r="Q17" i="47" s="1"/>
  <c r="B16" i="47"/>
  <c r="Q16" i="47" s="1"/>
  <c r="M41" i="47"/>
  <c r="B19" i="47"/>
  <c r="Q19" i="47" s="1"/>
  <c r="M37" i="47"/>
  <c r="B15" i="47"/>
  <c r="T37" i="47"/>
  <c r="J37" i="47" s="1"/>
  <c r="S39" i="47"/>
  <c r="H39" i="47" s="1"/>
  <c r="T41" i="47"/>
  <c r="J41" i="47" s="1"/>
  <c r="F27" i="47"/>
  <c r="T38" i="47"/>
  <c r="J38" i="47" s="1"/>
  <c r="S37" i="47"/>
  <c r="H37" i="47" s="1"/>
  <c r="S41" i="47"/>
  <c r="H41" i="47" s="1"/>
  <c r="F26" i="47"/>
  <c r="M40" i="47"/>
  <c r="M39" i="47"/>
  <c r="S38" i="47"/>
  <c r="H38" i="47" s="1"/>
  <c r="S36" i="47"/>
  <c r="T40" i="47"/>
  <c r="J40" i="47" s="1"/>
  <c r="T36" i="47"/>
  <c r="S40" i="47"/>
  <c r="H40" i="47" s="1"/>
  <c r="F28" i="47"/>
  <c r="T39" i="47"/>
  <c r="J39" i="47" s="1"/>
  <c r="M38" i="47"/>
  <c r="F29" i="47"/>
  <c r="G36" i="47" l="1"/>
  <c r="D36" i="47"/>
  <c r="H36" i="47" s="1"/>
  <c r="F36" i="47"/>
  <c r="J36" i="47" s="1"/>
  <c r="E36" i="47"/>
  <c r="I36" i="47" s="1"/>
  <c r="O14" i="47"/>
  <c r="P14" i="47"/>
  <c r="G40" i="47"/>
  <c r="G38" i="47"/>
  <c r="G41" i="47"/>
  <c r="I41" i="47"/>
  <c r="AD25" i="47"/>
  <c r="G37" i="47"/>
  <c r="G39" i="47"/>
  <c r="I39" i="47"/>
  <c r="I40" i="47"/>
  <c r="I38" i="47"/>
  <c r="I37" i="47"/>
  <c r="Q14" i="47"/>
  <c r="AD24" i="47"/>
  <c r="AD27" i="47"/>
  <c r="I50" i="31"/>
  <c r="I66" i="31"/>
  <c r="T26" i="47"/>
  <c r="BC38" i="47" s="1"/>
  <c r="S28" i="47"/>
  <c r="S27" i="47"/>
  <c r="Q15" i="47"/>
  <c r="D15" i="47"/>
  <c r="G15" i="47" s="1"/>
  <c r="P15" i="47"/>
  <c r="O15" i="47"/>
  <c r="P16" i="47"/>
  <c r="O16" i="47"/>
  <c r="O17" i="47"/>
  <c r="P17" i="47"/>
  <c r="P19" i="47"/>
  <c r="O19" i="47"/>
  <c r="P18" i="47"/>
  <c r="O18" i="47"/>
  <c r="P28" i="47"/>
  <c r="Q28" i="47"/>
  <c r="P29" i="47"/>
  <c r="Q29" i="47"/>
  <c r="Q27" i="47"/>
  <c r="P27" i="47"/>
  <c r="S29" i="47"/>
  <c r="BA41" i="47" s="1"/>
  <c r="T29" i="47"/>
  <c r="BC41" i="47" s="1"/>
  <c r="BC39" i="47"/>
  <c r="BC40" i="47"/>
  <c r="AA51" i="31"/>
  <c r="U51" i="31"/>
  <c r="Z51" i="31"/>
  <c r="W51" i="31"/>
  <c r="Y51" i="31"/>
  <c r="V51" i="31"/>
  <c r="X51" i="31"/>
  <c r="Z56" i="31"/>
  <c r="X56" i="31"/>
  <c r="W56" i="31"/>
  <c r="AA56" i="31"/>
  <c r="Y56" i="31"/>
  <c r="U56" i="31"/>
  <c r="V56" i="31"/>
  <c r="Z52" i="31"/>
  <c r="X52" i="31"/>
  <c r="W52" i="31"/>
  <c r="AA52" i="31"/>
  <c r="Y52" i="31"/>
  <c r="U52" i="31"/>
  <c r="V52" i="31"/>
  <c r="AA54" i="31"/>
  <c r="Y54" i="31"/>
  <c r="U54" i="31"/>
  <c r="V54" i="31"/>
  <c r="Z54" i="31"/>
  <c r="X54" i="31"/>
  <c r="W54" i="31"/>
  <c r="AA55" i="31"/>
  <c r="Y55" i="31"/>
  <c r="U55" i="31"/>
  <c r="V55" i="31"/>
  <c r="Z55" i="31"/>
  <c r="X55" i="31"/>
  <c r="W55" i="31"/>
  <c r="Z53" i="31"/>
  <c r="X53" i="31"/>
  <c r="W53" i="31"/>
  <c r="AA53" i="31"/>
  <c r="Y53" i="31"/>
  <c r="U53" i="31"/>
  <c r="V53" i="31"/>
  <c r="D19" i="47"/>
  <c r="AY18" i="43" s="1"/>
  <c r="E19" i="47" s="1"/>
  <c r="I19" i="47"/>
  <c r="BC18" i="43" s="1"/>
  <c r="J19" i="47" s="1"/>
  <c r="K19" i="47"/>
  <c r="BE18" i="43" s="1"/>
  <c r="L19" i="47" s="1"/>
  <c r="K18" i="47"/>
  <c r="BE17" i="43" s="1"/>
  <c r="L18" i="47" s="1"/>
  <c r="D18" i="47"/>
  <c r="AY17" i="43" s="1"/>
  <c r="E18" i="47" s="1"/>
  <c r="I18" i="47"/>
  <c r="BC17" i="43" s="1"/>
  <c r="J18" i="47" s="1"/>
  <c r="I17" i="47"/>
  <c r="BC16" i="43" s="1"/>
  <c r="J17" i="47" s="1"/>
  <c r="D17" i="47"/>
  <c r="AY16" i="43" s="1"/>
  <c r="E17" i="47" s="1"/>
  <c r="K17" i="47"/>
  <c r="BE16" i="43" s="1"/>
  <c r="L17" i="47" s="1"/>
  <c r="D16" i="47"/>
  <c r="AY15" i="43" s="1"/>
  <c r="E16" i="47" s="1"/>
  <c r="I16" i="47"/>
  <c r="BC15" i="43" s="1"/>
  <c r="J16" i="47" s="1"/>
  <c r="K16" i="47"/>
  <c r="BE15" i="43" s="1"/>
  <c r="L16" i="47" s="1"/>
  <c r="I15" i="47"/>
  <c r="BC14" i="43" s="1"/>
  <c r="J15" i="47" s="1"/>
  <c r="K15" i="47"/>
  <c r="BE14" i="43" s="1"/>
  <c r="L15" i="47" s="1"/>
  <c r="I14" i="47"/>
  <c r="BC13" i="43" s="1"/>
  <c r="D14" i="47"/>
  <c r="AY13" i="43" s="1"/>
  <c r="E14" i="47" s="1"/>
  <c r="D24" i="47" s="1"/>
  <c r="K14" i="47"/>
  <c r="BE13" i="43" s="1"/>
  <c r="L14" i="47" s="1"/>
  <c r="C16" i="47" l="1"/>
  <c r="AF40" i="47"/>
  <c r="AF41" i="47"/>
  <c r="AG39" i="47"/>
  <c r="AG40" i="47"/>
  <c r="AG38" i="47"/>
  <c r="AG41" i="47"/>
  <c r="AF39" i="47"/>
  <c r="BB39" i="47"/>
  <c r="M131" i="69" s="1"/>
  <c r="I73" i="31"/>
  <c r="D292" i="57" s="1"/>
  <c r="D285" i="57"/>
  <c r="I57" i="31"/>
  <c r="D281" i="57" s="1"/>
  <c r="D274" i="57"/>
  <c r="AZ39" i="47"/>
  <c r="BA39" i="47"/>
  <c r="BA40" i="47"/>
  <c r="W57" i="31"/>
  <c r="X57" i="31"/>
  <c r="Z57" i="31"/>
  <c r="V57" i="31"/>
  <c r="J50" i="31" s="1"/>
  <c r="U57" i="31"/>
  <c r="Y57" i="31"/>
  <c r="AA57" i="31"/>
  <c r="M28" i="47"/>
  <c r="N28" i="47" s="1"/>
  <c r="M29" i="47"/>
  <c r="N29" i="47" s="1"/>
  <c r="AE41" i="47" s="1"/>
  <c r="C19" i="47"/>
  <c r="D29" i="47"/>
  <c r="G19" i="47"/>
  <c r="BA18" i="43" s="1"/>
  <c r="H19" i="47" s="1"/>
  <c r="F19" i="47" s="1"/>
  <c r="C18" i="47"/>
  <c r="D28" i="47"/>
  <c r="G18" i="47"/>
  <c r="BA17" i="43" s="1"/>
  <c r="H18" i="47" s="1"/>
  <c r="F18" i="47" s="1"/>
  <c r="M26" i="47"/>
  <c r="C17" i="47"/>
  <c r="D27" i="47"/>
  <c r="M27" i="47"/>
  <c r="G17" i="47"/>
  <c r="BA16" i="43" s="1"/>
  <c r="H17" i="47" s="1"/>
  <c r="F17" i="47" s="1"/>
  <c r="D26" i="47"/>
  <c r="K26" i="47" s="1"/>
  <c r="G16" i="47"/>
  <c r="BA15" i="43" s="1"/>
  <c r="H16" i="47" s="1"/>
  <c r="F16" i="47" s="1"/>
  <c r="G14" i="47"/>
  <c r="BA13" i="43" s="1"/>
  <c r="U131" i="69" l="1"/>
  <c r="K27" i="47"/>
  <c r="O50" i="31"/>
  <c r="AD40" i="47"/>
  <c r="AE40" i="47"/>
  <c r="L29" i="47"/>
  <c r="AD41" i="47"/>
  <c r="L28" i="47"/>
  <c r="M24" i="43" l="1"/>
  <c r="AA41" i="47"/>
  <c r="Z41" i="47"/>
  <c r="AA40" i="47"/>
  <c r="Z40" i="47"/>
  <c r="N53" i="47"/>
  <c r="M53" i="47"/>
  <c r="J53" i="47"/>
  <c r="I53" i="47"/>
  <c r="DF12" i="43"/>
  <c r="DB12" i="43"/>
  <c r="DC11" i="43"/>
  <c r="DB11" i="43"/>
  <c r="CZ9" i="43"/>
  <c r="CZ42" i="43" s="1"/>
  <c r="CZ76" i="43" s="1"/>
  <c r="CZ114" i="43" s="1"/>
  <c r="CZ147" i="43" s="1"/>
  <c r="S24" i="43" l="1"/>
  <c r="M57" i="43"/>
  <c r="DE12" i="43"/>
  <c r="DB45" i="43"/>
  <c r="DF11" i="43"/>
  <c r="DC44" i="43"/>
  <c r="DE11" i="43"/>
  <c r="DB44" i="43"/>
  <c r="L53" i="47"/>
  <c r="D35" i="30"/>
  <c r="S57" i="43" l="1"/>
  <c r="M90" i="43"/>
  <c r="S90" i="43" s="1"/>
  <c r="H91" i="47"/>
  <c r="H102" i="47" s="1"/>
  <c r="DF44" i="43"/>
  <c r="DC78" i="43"/>
  <c r="DE44" i="43"/>
  <c r="DB78" i="43"/>
  <c r="DE45" i="43"/>
  <c r="DB79" i="43"/>
  <c r="D54" i="47"/>
  <c r="B103" i="47" s="1"/>
  <c r="D55" i="47"/>
  <c r="B104" i="47" s="1"/>
  <c r="D56" i="47"/>
  <c r="B105" i="47" s="1"/>
  <c r="I105" i="47" s="1"/>
  <c r="D57" i="47"/>
  <c r="B106" i="47" s="1"/>
  <c r="D58" i="47"/>
  <c r="B107" i="47" s="1"/>
  <c r="D53" i="47"/>
  <c r="B102" i="47" s="1"/>
  <c r="D51" i="47"/>
  <c r="B100" i="47" s="1"/>
  <c r="W90" i="43" l="1"/>
  <c r="G116" i="43"/>
  <c r="I106" i="47"/>
  <c r="DX28" i="43" s="1"/>
  <c r="J106" i="47" s="1"/>
  <c r="M106" i="47"/>
  <c r="EB28" i="43" s="1"/>
  <c r="N106" i="47" s="1"/>
  <c r="O106" i="47"/>
  <c r="EE28" i="43" s="1"/>
  <c r="P106" i="47" s="1"/>
  <c r="K106" i="47"/>
  <c r="DZ28" i="43" s="1"/>
  <c r="L106" i="47" s="1"/>
  <c r="K107" i="47"/>
  <c r="DZ29" i="43" s="1"/>
  <c r="L107" i="47" s="1"/>
  <c r="M107" i="47"/>
  <c r="EB29" i="43" s="1"/>
  <c r="N107" i="47" s="1"/>
  <c r="O107" i="47"/>
  <c r="EE29" i="43" s="1"/>
  <c r="P107" i="47" s="1"/>
  <c r="I107" i="47"/>
  <c r="DX29" i="43" s="1"/>
  <c r="J107" i="47" s="1"/>
  <c r="AK58" i="47"/>
  <c r="AK56" i="47"/>
  <c r="AJ58" i="47"/>
  <c r="E53" i="47"/>
  <c r="E55" i="47"/>
  <c r="E57" i="47"/>
  <c r="AJ57" i="47"/>
  <c r="AJ56" i="47"/>
  <c r="AK57" i="47"/>
  <c r="DE79" i="43"/>
  <c r="DB117" i="43"/>
  <c r="DF78" i="43"/>
  <c r="DC116" i="43"/>
  <c r="DE78" i="43"/>
  <c r="DB116" i="43"/>
  <c r="E56" i="47"/>
  <c r="E58" i="47"/>
  <c r="E54" i="47"/>
  <c r="M117" i="43" l="1"/>
  <c r="W128" i="43"/>
  <c r="C107" i="47"/>
  <c r="C102" i="47"/>
  <c r="C103" i="47"/>
  <c r="C106" i="47"/>
  <c r="C105" i="47"/>
  <c r="C104" i="47"/>
  <c r="AL56" i="47"/>
  <c r="AL57" i="47"/>
  <c r="AL58" i="47"/>
  <c r="DF116" i="43"/>
  <c r="DF149" i="43" s="1"/>
  <c r="DC149" i="43"/>
  <c r="DE116" i="43"/>
  <c r="DE149" i="43" s="1"/>
  <c r="DB149" i="43"/>
  <c r="DE117" i="43"/>
  <c r="DB150" i="43"/>
  <c r="DE150" i="43" s="1"/>
  <c r="D47" i="47"/>
  <c r="CG12" i="43"/>
  <c r="CF12" i="43"/>
  <c r="CD20" i="43"/>
  <c r="CD53" i="43" s="1"/>
  <c r="CD87" i="43" s="1"/>
  <c r="B54" i="47"/>
  <c r="B92" i="47" s="1"/>
  <c r="B55" i="47"/>
  <c r="B93" i="47" s="1"/>
  <c r="B56" i="47"/>
  <c r="B94" i="47" s="1"/>
  <c r="B57" i="47"/>
  <c r="B95" i="47" s="1"/>
  <c r="I95" i="47" s="1"/>
  <c r="B58" i="47"/>
  <c r="B96" i="47" s="1"/>
  <c r="B53" i="47"/>
  <c r="B91" i="47" s="1"/>
  <c r="CF45" i="43" l="1"/>
  <c r="CF24" i="43"/>
  <c r="CH24" i="43" s="1"/>
  <c r="CJ24" i="43" s="1"/>
  <c r="CM24" i="43" s="1"/>
  <c r="CO24" i="43" s="1"/>
  <c r="CG45" i="43"/>
  <c r="CG24" i="43"/>
  <c r="CI24" i="43" s="1"/>
  <c r="CK24" i="43" s="1"/>
  <c r="CN24" i="43" s="1"/>
  <c r="CP24" i="43" s="1"/>
  <c r="M128" i="43"/>
  <c r="S128" i="43" s="1"/>
  <c r="M149" i="43"/>
  <c r="M105" i="47"/>
  <c r="EB27" i="43" s="1"/>
  <c r="N105" i="47" s="1"/>
  <c r="O105" i="47"/>
  <c r="EE27" i="43" s="1"/>
  <c r="P105" i="47" s="1"/>
  <c r="DX27" i="43"/>
  <c r="J105" i="47" s="1"/>
  <c r="K105" i="47"/>
  <c r="DZ27" i="43" s="1"/>
  <c r="L105" i="47" s="1"/>
  <c r="O104" i="47"/>
  <c r="EE26" i="43" s="1"/>
  <c r="P104" i="47" s="1"/>
  <c r="K104" i="47"/>
  <c r="DZ26" i="43" s="1"/>
  <c r="L104" i="47" s="1"/>
  <c r="I104" i="47"/>
  <c r="DX26" i="43" s="1"/>
  <c r="J104" i="47" s="1"/>
  <c r="M104" i="47"/>
  <c r="EB26" i="43" s="1"/>
  <c r="N104" i="47" s="1"/>
  <c r="K103" i="47"/>
  <c r="DZ25" i="43" s="1"/>
  <c r="L103" i="47" s="1"/>
  <c r="M103" i="47"/>
  <c r="EB25" i="43" s="1"/>
  <c r="N103" i="47" s="1"/>
  <c r="O103" i="47"/>
  <c r="EE25" i="43" s="1"/>
  <c r="P103" i="47" s="1"/>
  <c r="I103" i="47"/>
  <c r="DX25" i="43" s="1"/>
  <c r="J103" i="47" s="1"/>
  <c r="CD33" i="43"/>
  <c r="CD65" i="43" s="1"/>
  <c r="CD100" i="43" s="1"/>
  <c r="O95" i="47"/>
  <c r="M95" i="47"/>
  <c r="K95" i="47"/>
  <c r="K96" i="47"/>
  <c r="I96" i="47"/>
  <c r="O96" i="47"/>
  <c r="M96" i="47"/>
  <c r="C53" i="47"/>
  <c r="CD126" i="43"/>
  <c r="CD157" i="43" s="1"/>
  <c r="CU10" i="43"/>
  <c r="CH12" i="43"/>
  <c r="CH45" i="43" s="1"/>
  <c r="CF57" i="43"/>
  <c r="CF78" i="43" s="1"/>
  <c r="CI12" i="43"/>
  <c r="CI45" i="43" s="1"/>
  <c r="CG57" i="43"/>
  <c r="CG78" i="43" s="1"/>
  <c r="C58" i="47"/>
  <c r="C96" i="47" s="1"/>
  <c r="C57" i="47"/>
  <c r="C95" i="47" s="1"/>
  <c r="C54" i="47"/>
  <c r="C56" i="47"/>
  <c r="C94" i="47" s="1"/>
  <c r="I94" i="47" s="1"/>
  <c r="C55" i="47"/>
  <c r="M175" i="43" l="1"/>
  <c r="S149" i="43"/>
  <c r="CV150" i="43"/>
  <c r="W149" i="43"/>
  <c r="S105" i="47"/>
  <c r="K94" i="47"/>
  <c r="M94" i="47"/>
  <c r="O94" i="47"/>
  <c r="CF116" i="43"/>
  <c r="CH116" i="43" s="1"/>
  <c r="CF91" i="43"/>
  <c r="CG116" i="43"/>
  <c r="CI116" i="43" s="1"/>
  <c r="CG91" i="43"/>
  <c r="C91" i="47"/>
  <c r="C92" i="47"/>
  <c r="C93" i="47"/>
  <c r="EE16" i="43"/>
  <c r="P95" i="47" s="1"/>
  <c r="EE17" i="43"/>
  <c r="P96" i="47" s="1"/>
  <c r="CE115" i="43"/>
  <c r="CU115" i="43" s="1"/>
  <c r="DV56" i="43"/>
  <c r="CJ12" i="43"/>
  <c r="CJ45" i="43" s="1"/>
  <c r="CH57" i="43"/>
  <c r="CH78" i="43" s="1"/>
  <c r="CH91" i="43" s="1"/>
  <c r="CK12" i="43"/>
  <c r="CK45" i="43" s="1"/>
  <c r="CI57" i="43"/>
  <c r="CI78" i="43" s="1"/>
  <c r="CI91" i="43" s="1"/>
  <c r="B5" i="47"/>
  <c r="B55" i="29"/>
  <c r="AR55" i="29" s="1"/>
  <c r="K9" i="29"/>
  <c r="I9" i="29"/>
  <c r="I8" i="29"/>
  <c r="M196" i="43" l="1"/>
  <c r="CF195" i="43" s="1"/>
  <c r="W175" i="43"/>
  <c r="AA175" i="43" s="1"/>
  <c r="S175" i="43"/>
  <c r="I93" i="47"/>
  <c r="DX14" i="43" s="1"/>
  <c r="J93" i="47" s="1"/>
  <c r="O93" i="47"/>
  <c r="EE14" i="43" s="1"/>
  <c r="P93" i="47" s="1"/>
  <c r="M93" i="47"/>
  <c r="EB14" i="43" s="1"/>
  <c r="N93" i="47" s="1"/>
  <c r="K93" i="47"/>
  <c r="DZ14" i="43" s="1"/>
  <c r="L93" i="47" s="1"/>
  <c r="M92" i="47"/>
  <c r="EB13" i="43" s="1"/>
  <c r="N92" i="47" s="1"/>
  <c r="O92" i="47"/>
  <c r="EE13" i="43" s="1"/>
  <c r="P92" i="47" s="1"/>
  <c r="K92" i="47"/>
  <c r="DZ13" i="43" s="1"/>
  <c r="L92" i="47" s="1"/>
  <c r="I92" i="47"/>
  <c r="DX13" i="43" s="1"/>
  <c r="J92" i="47" s="1"/>
  <c r="CF149" i="43"/>
  <c r="CF174" i="43" s="1"/>
  <c r="CH174" i="43" s="1"/>
  <c r="CJ174" i="43" s="1"/>
  <c r="CM174" i="43" s="1"/>
  <c r="CO174" i="43" s="1"/>
  <c r="CR174" i="43" s="1"/>
  <c r="CG149" i="43"/>
  <c r="CG174" i="43" s="1"/>
  <c r="CI174" i="43" s="1"/>
  <c r="CK174" i="43" s="1"/>
  <c r="CN174" i="43" s="1"/>
  <c r="CP174" i="43" s="1"/>
  <c r="CS174" i="43" s="1"/>
  <c r="EB15" i="43"/>
  <c r="N94" i="47" s="1"/>
  <c r="DZ15" i="43"/>
  <c r="L94" i="47" s="1"/>
  <c r="DX15" i="43"/>
  <c r="J94" i="47" s="1"/>
  <c r="DX17" i="43"/>
  <c r="J96" i="47" s="1"/>
  <c r="DZ17" i="43"/>
  <c r="L96" i="47" s="1"/>
  <c r="EB17" i="43"/>
  <c r="N96" i="47" s="1"/>
  <c r="EB16" i="43"/>
  <c r="N95" i="47" s="1"/>
  <c r="DX16" i="43"/>
  <c r="J95" i="47" s="1"/>
  <c r="DZ16" i="43"/>
  <c r="L95" i="47" s="1"/>
  <c r="EE15" i="43"/>
  <c r="P94" i="47" s="1"/>
  <c r="CJ116" i="43"/>
  <c r="CH149" i="43"/>
  <c r="CK116" i="43"/>
  <c r="CI149" i="43"/>
  <c r="CU44" i="43"/>
  <c r="CU77" i="43" s="1"/>
  <c r="DV88" i="43"/>
  <c r="DV115" i="43" s="1"/>
  <c r="CN12" i="43"/>
  <c r="CN45" i="43" s="1"/>
  <c r="CK57" i="43"/>
  <c r="CK78" i="43" s="1"/>
  <c r="CK91" i="43" s="1"/>
  <c r="CM12" i="43"/>
  <c r="CM45" i="43" s="1"/>
  <c r="CJ57" i="43"/>
  <c r="CJ78" i="43" s="1"/>
  <c r="CJ91" i="43" s="1"/>
  <c r="Z54" i="43"/>
  <c r="S8" i="40"/>
  <c r="T18" i="43"/>
  <c r="S18" i="43"/>
  <c r="K11" i="43"/>
  <c r="K44" i="43" s="1"/>
  <c r="I11" i="43"/>
  <c r="I10" i="43"/>
  <c r="DV22" i="43" s="1"/>
  <c r="AG12" i="43"/>
  <c r="AG24" i="43" s="1"/>
  <c r="AE10" i="43"/>
  <c r="AE43" i="43" s="1"/>
  <c r="AE77" i="43" s="1"/>
  <c r="AE115" i="43" s="1"/>
  <c r="AE147" i="43" s="1"/>
  <c r="AF172" i="43" s="1"/>
  <c r="AF194" i="43" s="1"/>
  <c r="AF12" i="43"/>
  <c r="AE12" i="43"/>
  <c r="T14" i="43"/>
  <c r="T15" i="43"/>
  <c r="T16" i="43"/>
  <c r="G94" i="47" s="1"/>
  <c r="T17" i="43"/>
  <c r="T13" i="43"/>
  <c r="S14" i="43"/>
  <c r="S15" i="43"/>
  <c r="E93" i="47" s="1"/>
  <c r="E104" i="47" s="1"/>
  <c r="S16" i="43"/>
  <c r="S17" i="43"/>
  <c r="S13" i="43"/>
  <c r="S10" i="43"/>
  <c r="CV9" i="43" s="1"/>
  <c r="M10" i="43"/>
  <c r="M115" i="43" s="1"/>
  <c r="Y24" i="43"/>
  <c r="X24" i="43"/>
  <c r="E91" i="47" l="1"/>
  <c r="G91" i="47"/>
  <c r="CG196" i="43"/>
  <c r="CI196" i="43" s="1"/>
  <c r="CK196" i="43" s="1"/>
  <c r="CF196" i="43"/>
  <c r="CH196" i="43" s="1"/>
  <c r="CJ196" i="43" s="1"/>
  <c r="AG45" i="43"/>
  <c r="AE45" i="43"/>
  <c r="AE57" i="43" s="1"/>
  <c r="AE24" i="43"/>
  <c r="AF45" i="43"/>
  <c r="AF57" i="43" s="1"/>
  <c r="AF24" i="43"/>
  <c r="P81" i="47"/>
  <c r="Y81" i="47"/>
  <c r="V81" i="47"/>
  <c r="M81" i="47"/>
  <c r="S81" i="47"/>
  <c r="Q78" i="47"/>
  <c r="Z78" i="47"/>
  <c r="W78" i="47"/>
  <c r="T78" i="47"/>
  <c r="N78" i="47"/>
  <c r="G92" i="47"/>
  <c r="Z81" i="47"/>
  <c r="W81" i="47"/>
  <c r="Q81" i="47"/>
  <c r="N81" i="47"/>
  <c r="T81" i="47"/>
  <c r="G95" i="47"/>
  <c r="Z82" i="47"/>
  <c r="W82" i="47"/>
  <c r="Q82" i="47"/>
  <c r="T82" i="47"/>
  <c r="N82" i="47"/>
  <c r="G96" i="47"/>
  <c r="P78" i="47"/>
  <c r="Y78" i="47"/>
  <c r="V78" i="47"/>
  <c r="S78" i="47"/>
  <c r="M78" i="47"/>
  <c r="G93" i="47"/>
  <c r="G104" i="47" s="1"/>
  <c r="P82" i="47"/>
  <c r="Y82" i="47"/>
  <c r="V82" i="47"/>
  <c r="S82" i="47"/>
  <c r="M82" i="47"/>
  <c r="CV13" i="43"/>
  <c r="G22" i="47"/>
  <c r="D22" i="43"/>
  <c r="AT22" i="43" s="1"/>
  <c r="CW13" i="43"/>
  <c r="AA67" i="31"/>
  <c r="W67" i="31"/>
  <c r="Z67" i="31"/>
  <c r="V67" i="31"/>
  <c r="Y67" i="31"/>
  <c r="U67" i="31"/>
  <c r="X67" i="31"/>
  <c r="K58" i="47"/>
  <c r="Y72" i="31"/>
  <c r="U72" i="31"/>
  <c r="AA72" i="31"/>
  <c r="W72" i="31"/>
  <c r="CW18" i="43"/>
  <c r="Z72" i="31"/>
  <c r="V72" i="31"/>
  <c r="X72" i="31"/>
  <c r="G56" i="47"/>
  <c r="CV16" i="43"/>
  <c r="K57" i="47"/>
  <c r="X71" i="31"/>
  <c r="Z71" i="31"/>
  <c r="V71" i="31"/>
  <c r="Y71" i="31"/>
  <c r="U71" i="31"/>
  <c r="AA71" i="31"/>
  <c r="W71" i="31"/>
  <c r="CW17" i="43"/>
  <c r="K56" i="47"/>
  <c r="AA70" i="31"/>
  <c r="W70" i="31"/>
  <c r="CW16" i="43"/>
  <c r="Y70" i="31"/>
  <c r="U70" i="31"/>
  <c r="X70" i="31"/>
  <c r="Z70" i="31"/>
  <c r="V70" i="31"/>
  <c r="Z69" i="31"/>
  <c r="V69" i="31"/>
  <c r="X69" i="31"/>
  <c r="AA69" i="31"/>
  <c r="W69" i="31"/>
  <c r="Y69" i="31"/>
  <c r="U69" i="31"/>
  <c r="G57" i="47"/>
  <c r="CV17" i="43"/>
  <c r="Y68" i="31"/>
  <c r="U68" i="31"/>
  <c r="AA68" i="31"/>
  <c r="W68" i="31"/>
  <c r="Z68" i="31"/>
  <c r="V68" i="31"/>
  <c r="X68" i="31"/>
  <c r="G58" i="47"/>
  <c r="CV18" i="43"/>
  <c r="K55" i="47"/>
  <c r="CW15" i="43"/>
  <c r="G55" i="47"/>
  <c r="CV15" i="43"/>
  <c r="G54" i="47"/>
  <c r="CV14" i="43"/>
  <c r="K54" i="47"/>
  <c r="CW14" i="43"/>
  <c r="CN116" i="43"/>
  <c r="CN149" i="43" s="1"/>
  <c r="CK149" i="43"/>
  <c r="CM116" i="43"/>
  <c r="CJ149" i="43"/>
  <c r="CO12" i="43"/>
  <c r="CO45" i="43" s="1"/>
  <c r="CM57" i="43"/>
  <c r="CM78" i="43" s="1"/>
  <c r="CM91" i="43" s="1"/>
  <c r="CP12" i="43"/>
  <c r="CP45" i="43" s="1"/>
  <c r="CN57" i="43"/>
  <c r="CN78" i="43" s="1"/>
  <c r="CN91" i="43" s="1"/>
  <c r="G23" i="47"/>
  <c r="K53" i="47"/>
  <c r="G53" i="47"/>
  <c r="N12" i="43"/>
  <c r="S12" i="43" s="1"/>
  <c r="CV10" i="43" s="1"/>
  <c r="X57" i="43"/>
  <c r="P12" i="43"/>
  <c r="T12" i="43" s="1"/>
  <c r="CW10" i="43" s="1"/>
  <c r="Y57" i="43"/>
  <c r="E102" i="47" l="1"/>
  <c r="G110" i="47" s="1"/>
  <c r="G102" i="47"/>
  <c r="H110" i="47" s="1"/>
  <c r="AG79" i="43"/>
  <c r="AG90" i="43" s="1"/>
  <c r="AG117" i="43" s="1"/>
  <c r="AG57" i="43"/>
  <c r="X95" i="47"/>
  <c r="BB95" i="47" s="1"/>
  <c r="U95" i="47"/>
  <c r="AZ95" i="47" s="1"/>
  <c r="R95" i="47"/>
  <c r="S96" i="47"/>
  <c r="X94" i="47"/>
  <c r="BB94" i="47" s="1"/>
  <c r="U94" i="47"/>
  <c r="AZ94" i="47" s="1"/>
  <c r="Y94" i="47"/>
  <c r="BC94" i="47" s="1"/>
  <c r="S95" i="47"/>
  <c r="S94" i="47"/>
  <c r="Y96" i="47"/>
  <c r="U96" i="47"/>
  <c r="AZ96" i="47" s="1"/>
  <c r="R94" i="47"/>
  <c r="AX94" i="47" s="1"/>
  <c r="X96" i="47"/>
  <c r="BB96" i="47" s="1"/>
  <c r="V96" i="47"/>
  <c r="BA96" i="47" s="1"/>
  <c r="R96" i="47"/>
  <c r="AX96" i="47" s="1"/>
  <c r="V94" i="47"/>
  <c r="U93" i="47"/>
  <c r="X93" i="47"/>
  <c r="V93" i="47"/>
  <c r="Y93" i="47"/>
  <c r="S92" i="47"/>
  <c r="V92" i="47"/>
  <c r="Y92" i="47"/>
  <c r="R93" i="47"/>
  <c r="U106" i="47"/>
  <c r="X106" i="47"/>
  <c r="R106" i="47"/>
  <c r="V106" i="47"/>
  <c r="Y106" i="47"/>
  <c r="S106" i="47"/>
  <c r="V95" i="47"/>
  <c r="BA95" i="47" s="1"/>
  <c r="Y95" i="47"/>
  <c r="BC95" i="47" s="1"/>
  <c r="Y105" i="47"/>
  <c r="V105" i="47"/>
  <c r="U107" i="47"/>
  <c r="R107" i="47"/>
  <c r="X107" i="47"/>
  <c r="R92" i="47"/>
  <c r="U92" i="47"/>
  <c r="X92" i="47"/>
  <c r="V107" i="47"/>
  <c r="Y107" i="47"/>
  <c r="S107" i="47"/>
  <c r="R105" i="47"/>
  <c r="X105" i="47"/>
  <c r="U105" i="47"/>
  <c r="S93" i="47"/>
  <c r="N45" i="43"/>
  <c r="N79" i="43" s="1"/>
  <c r="N24" i="43"/>
  <c r="P45" i="43"/>
  <c r="P79" i="43" s="1"/>
  <c r="P24" i="43"/>
  <c r="Y90" i="43"/>
  <c r="X90" i="43"/>
  <c r="Z73" i="31"/>
  <c r="M66" i="31" s="1"/>
  <c r="Y73" i="31"/>
  <c r="L66" i="31" s="1"/>
  <c r="X73" i="31"/>
  <c r="N66" i="31" s="1"/>
  <c r="AA73" i="31"/>
  <c r="V73" i="31"/>
  <c r="J66" i="31" s="1"/>
  <c r="U73" i="31"/>
  <c r="W73" i="31"/>
  <c r="CP116" i="43"/>
  <c r="CP149" i="43" s="1"/>
  <c r="CM149" i="43"/>
  <c r="DI12" i="43"/>
  <c r="CP57" i="43"/>
  <c r="CP78" i="43" s="1"/>
  <c r="CP91" i="43" s="1"/>
  <c r="DH12" i="43"/>
  <c r="CO57" i="43"/>
  <c r="CO78" i="43" s="1"/>
  <c r="CO91" i="43" s="1"/>
  <c r="E11" i="43"/>
  <c r="N9" i="29"/>
  <c r="M9" i="29"/>
  <c r="M8" i="29"/>
  <c r="G8" i="29"/>
  <c r="E8" i="29"/>
  <c r="E10" i="43" s="1"/>
  <c r="C9" i="29"/>
  <c r="C8" i="29"/>
  <c r="B5" i="29"/>
  <c r="AR5" i="29" s="1"/>
  <c r="F110" i="47" l="1"/>
  <c r="AG128" i="43"/>
  <c r="AG149" i="43"/>
  <c r="AH175" i="43" s="1"/>
  <c r="AH196" i="43" s="1"/>
  <c r="C11" i="43"/>
  <c r="C23" i="43" s="1"/>
  <c r="AR9" i="29"/>
  <c r="C10" i="43"/>
  <c r="C22" i="43" s="1"/>
  <c r="AR8" i="29"/>
  <c r="C120" i="60"/>
  <c r="AY95" i="47"/>
  <c r="BA94" i="47"/>
  <c r="U24" i="43"/>
  <c r="P57" i="43"/>
  <c r="T24" i="43"/>
  <c r="N57" i="43"/>
  <c r="AX95" i="47"/>
  <c r="AX93" i="47"/>
  <c r="BC96" i="47"/>
  <c r="AY96" i="47"/>
  <c r="AY94" i="47"/>
  <c r="S103" i="47"/>
  <c r="Y103" i="47"/>
  <c r="V103" i="47"/>
  <c r="BB93" i="47"/>
  <c r="AY92" i="47"/>
  <c r="AY93" i="47"/>
  <c r="AX92" i="47"/>
  <c r="BC92" i="47"/>
  <c r="BC93" i="47"/>
  <c r="AZ93" i="47"/>
  <c r="BB92" i="47"/>
  <c r="S104" i="47"/>
  <c r="V104" i="47"/>
  <c r="Y104" i="47"/>
  <c r="AZ92" i="47"/>
  <c r="R103" i="47"/>
  <c r="U103" i="47"/>
  <c r="X103" i="47"/>
  <c r="BA92" i="47"/>
  <c r="BA93" i="47"/>
  <c r="R104" i="47"/>
  <c r="U104" i="47"/>
  <c r="X104" i="47"/>
  <c r="Y128" i="43"/>
  <c r="AF79" i="43"/>
  <c r="AF90" i="43" s="1"/>
  <c r="AF117" i="43" s="1"/>
  <c r="AF128" i="43" s="1"/>
  <c r="AE79" i="43"/>
  <c r="AE90" i="43" s="1"/>
  <c r="AE117" i="43" s="1"/>
  <c r="AE128" i="43" s="1"/>
  <c r="X128" i="43"/>
  <c r="O66" i="31"/>
  <c r="O73" i="31" s="1"/>
  <c r="K292" i="57" s="1"/>
  <c r="M73" i="31"/>
  <c r="I292" i="57" s="1"/>
  <c r="I285" i="57"/>
  <c r="N73" i="31"/>
  <c r="J292" i="57" s="1"/>
  <c r="J285" i="57"/>
  <c r="L73" i="31"/>
  <c r="G292" i="57" s="1"/>
  <c r="G285" i="57"/>
  <c r="K66" i="31"/>
  <c r="F285" i="57" s="1"/>
  <c r="E285" i="57"/>
  <c r="DJ12" i="43"/>
  <c r="DL12" i="43" s="1"/>
  <c r="DN12" i="43" s="1"/>
  <c r="DH45" i="43"/>
  <c r="DE10" i="43"/>
  <c r="DE43" i="43" s="1"/>
  <c r="DE77" i="43" s="1"/>
  <c r="CW44" i="43"/>
  <c r="DB10" i="43"/>
  <c r="CV44" i="43"/>
  <c r="DK12" i="43"/>
  <c r="DM12" i="43" s="1"/>
  <c r="DO12" i="43" s="1"/>
  <c r="DI45" i="43"/>
  <c r="G1897" i="16"/>
  <c r="G1896" i="16"/>
  <c r="G1895" i="16"/>
  <c r="G1894" i="16"/>
  <c r="C1901" i="16"/>
  <c r="C1900" i="16"/>
  <c r="C1899" i="16"/>
  <c r="C1898" i="16"/>
  <c r="C1897" i="16"/>
  <c r="C1896" i="16"/>
  <c r="C1895" i="16"/>
  <c r="C1894" i="16"/>
  <c r="C1893" i="16"/>
  <c r="C1892" i="16"/>
  <c r="G1788" i="16"/>
  <c r="G1787" i="16"/>
  <c r="G1786" i="16"/>
  <c r="G1785" i="16"/>
  <c r="G1843" i="16"/>
  <c r="G1842" i="16"/>
  <c r="G1841" i="16"/>
  <c r="G1840" i="16"/>
  <c r="C1843" i="16"/>
  <c r="C1842" i="16"/>
  <c r="C1841" i="16"/>
  <c r="C1840" i="16"/>
  <c r="C1839" i="16"/>
  <c r="C1838" i="16"/>
  <c r="C1788" i="16"/>
  <c r="C1787" i="16"/>
  <c r="C1786" i="16"/>
  <c r="C1785" i="16"/>
  <c r="C1784" i="16"/>
  <c r="C1883" i="16"/>
  <c r="C1882" i="16"/>
  <c r="C1881" i="16"/>
  <c r="C1880" i="16"/>
  <c r="C1861" i="16"/>
  <c r="C1860" i="16"/>
  <c r="C1859" i="16"/>
  <c r="C1858" i="16"/>
  <c r="C1857" i="16"/>
  <c r="C1856" i="16"/>
  <c r="C1879" i="16"/>
  <c r="C1878" i="16"/>
  <c r="C1877" i="16"/>
  <c r="C1876" i="16"/>
  <c r="C1875" i="16"/>
  <c r="C1874" i="16"/>
  <c r="C1821" i="16"/>
  <c r="C1822" i="16"/>
  <c r="C1823" i="16"/>
  <c r="C1824" i="16"/>
  <c r="C1825" i="16"/>
  <c r="C1820" i="16"/>
  <c r="B23" i="47" l="1"/>
  <c r="AT11" i="43"/>
  <c r="B22" i="47"/>
  <c r="M35" i="47" s="1"/>
  <c r="AT10" i="43"/>
  <c r="DV10" i="43" s="1"/>
  <c r="DV44" i="43" s="1"/>
  <c r="T57" i="43"/>
  <c r="N90" i="43"/>
  <c r="T90" i="43" s="1"/>
  <c r="I116" i="43" s="1"/>
  <c r="N117" i="43" s="1"/>
  <c r="U57" i="43"/>
  <c r="P90" i="43"/>
  <c r="U90" i="43" s="1"/>
  <c r="K116" i="43" s="1"/>
  <c r="P117" i="43" s="1"/>
  <c r="K285" i="57"/>
  <c r="J73" i="31"/>
  <c r="E292" i="57" s="1"/>
  <c r="P66" i="31"/>
  <c r="L285" i="57" s="1"/>
  <c r="DE115" i="43"/>
  <c r="CW79" i="43"/>
  <c r="DB43" i="43"/>
  <c r="DJ45" i="43"/>
  <c r="DL45" i="43" s="1"/>
  <c r="DN45" i="43" s="1"/>
  <c r="DH79" i="43"/>
  <c r="DK45" i="43"/>
  <c r="DM45" i="43" s="1"/>
  <c r="DO45" i="43" s="1"/>
  <c r="DI79" i="43"/>
  <c r="C1783" i="16"/>
  <c r="C1766" i="16"/>
  <c r="C1767" i="16"/>
  <c r="C1768" i="16"/>
  <c r="C1769" i="16"/>
  <c r="B1764" i="16"/>
  <c r="C1764" i="16" s="1"/>
  <c r="D45" i="40"/>
  <c r="AT21" i="43" l="1"/>
  <c r="N128" i="43"/>
  <c r="T128" i="43" s="1"/>
  <c r="N149" i="43"/>
  <c r="P128" i="43"/>
  <c r="U128" i="43" s="1"/>
  <c r="P149" i="43"/>
  <c r="DE148" i="43"/>
  <c r="CX150" i="43"/>
  <c r="DB115" i="43"/>
  <c r="DB148" i="43" s="1"/>
  <c r="DJ79" i="43"/>
  <c r="DL79" i="43" s="1"/>
  <c r="DN79" i="43" s="1"/>
  <c r="DH117" i="43"/>
  <c r="DK79" i="43"/>
  <c r="DM79" i="43" s="1"/>
  <c r="DO79" i="43" s="1"/>
  <c r="DI117" i="43"/>
  <c r="B1765" i="16"/>
  <c r="C1765" i="16" s="1"/>
  <c r="D128" i="42"/>
  <c r="C128" i="42"/>
  <c r="B128" i="42"/>
  <c r="AO91" i="40"/>
  <c r="AZ37" i="40"/>
  <c r="C102" i="40"/>
  <c r="F95" i="42"/>
  <c r="E95" i="42"/>
  <c r="F92" i="42"/>
  <c r="E92" i="42"/>
  <c r="F91" i="42"/>
  <c r="E91" i="42"/>
  <c r="F90" i="42"/>
  <c r="E90" i="42"/>
  <c r="F89" i="42"/>
  <c r="E89" i="42"/>
  <c r="F88" i="42"/>
  <c r="E88" i="42"/>
  <c r="H84" i="42"/>
  <c r="H82" i="42"/>
  <c r="F84" i="42"/>
  <c r="E84" i="42"/>
  <c r="F82" i="42"/>
  <c r="E82" i="42"/>
  <c r="I19" i="42"/>
  <c r="G19" i="42"/>
  <c r="AM16" i="40"/>
  <c r="P175" i="43" l="1"/>
  <c r="U149" i="43"/>
  <c r="Y149" i="43"/>
  <c r="AF149" i="43" s="1"/>
  <c r="N175" i="43"/>
  <c r="T149" i="43"/>
  <c r="X149" i="43"/>
  <c r="AE149" i="43" s="1"/>
  <c r="CW150" i="43"/>
  <c r="DK117" i="43"/>
  <c r="DM117" i="43" s="1"/>
  <c r="DO117" i="43" s="1"/>
  <c r="DI150" i="43"/>
  <c r="DK150" i="43" s="1"/>
  <c r="DM150" i="43" s="1"/>
  <c r="DO150" i="43" s="1"/>
  <c r="DJ117" i="43"/>
  <c r="DL117" i="43" s="1"/>
  <c r="DN117" i="43" s="1"/>
  <c r="DH150" i="43"/>
  <c r="DJ150" i="43" s="1"/>
  <c r="DL150" i="43" s="1"/>
  <c r="DN150" i="43" s="1"/>
  <c r="R120" i="40"/>
  <c r="F141" i="42"/>
  <c r="H141" i="42"/>
  <c r="F142" i="42"/>
  <c r="H142" i="42"/>
  <c r="F143" i="42"/>
  <c r="H143" i="42"/>
  <c r="H140" i="42"/>
  <c r="F140" i="42"/>
  <c r="E105" i="40"/>
  <c r="C107" i="40"/>
  <c r="B141" i="42"/>
  <c r="B142" i="42"/>
  <c r="B143" i="42"/>
  <c r="B140" i="42"/>
  <c r="F137" i="42"/>
  <c r="H137" i="42" s="1"/>
  <c r="N196" i="43" l="1"/>
  <c r="CH195" i="43" s="1"/>
  <c r="X175" i="43"/>
  <c r="T175" i="43"/>
  <c r="P196" i="43"/>
  <c r="CJ195" i="43" s="1"/>
  <c r="Y175" i="43"/>
  <c r="U175" i="43"/>
  <c r="C143" i="42"/>
  <c r="AM112" i="40" s="1"/>
  <c r="D143" i="42" s="1"/>
  <c r="C141" i="42"/>
  <c r="AM110" i="40" s="1"/>
  <c r="D141" i="42" s="1"/>
  <c r="M141" i="42" s="1"/>
  <c r="C140" i="42"/>
  <c r="AM109" i="40" s="1"/>
  <c r="D140" i="42" s="1"/>
  <c r="M140" i="42" s="1"/>
  <c r="C142" i="42"/>
  <c r="AM111" i="40" s="1"/>
  <c r="D142" i="42" s="1"/>
  <c r="AF175" i="43" l="1"/>
  <c r="AF196" i="43" s="1"/>
  <c r="AB175" i="43"/>
  <c r="AG175" i="43"/>
  <c r="AG196" i="43" s="1"/>
  <c r="AC175" i="43"/>
  <c r="L143" i="42"/>
  <c r="O143" i="42" s="1"/>
  <c r="U143" i="42" s="1"/>
  <c r="M143" i="42"/>
  <c r="P143" i="42" s="1"/>
  <c r="L140" i="42"/>
  <c r="O140" i="42" s="1"/>
  <c r="P140" i="42"/>
  <c r="M142" i="42"/>
  <c r="P142" i="42" s="1"/>
  <c r="L142" i="42"/>
  <c r="O142" i="42" s="1"/>
  <c r="L141" i="42"/>
  <c r="O141" i="42" s="1"/>
  <c r="U141" i="42" s="1"/>
  <c r="P141" i="42"/>
  <c r="V141" i="42" l="1"/>
  <c r="L249" i="69"/>
  <c r="T111" i="40"/>
  <c r="L250" i="69"/>
  <c r="V143" i="42"/>
  <c r="L251" i="69"/>
  <c r="T112" i="40"/>
  <c r="S112" i="40"/>
  <c r="Q143" i="42"/>
  <c r="P151" i="42"/>
  <c r="P153" i="42" s="1"/>
  <c r="V142" i="42"/>
  <c r="S110" i="40"/>
  <c r="T110" i="40"/>
  <c r="M151" i="42"/>
  <c r="Q141" i="42"/>
  <c r="O151" i="42"/>
  <c r="O153" i="42" s="1"/>
  <c r="L151" i="42"/>
  <c r="Q142" i="42"/>
  <c r="U142" i="42"/>
  <c r="S111" i="40"/>
  <c r="V111" i="40" s="1"/>
  <c r="E250" i="69" s="1"/>
  <c r="AB250" i="69" s="1"/>
  <c r="V140" i="42"/>
  <c r="T109" i="40"/>
  <c r="V112" i="40" l="1"/>
  <c r="L248" i="69"/>
  <c r="E251" i="69"/>
  <c r="AB251" i="69" s="1"/>
  <c r="AI250" i="69"/>
  <c r="AH250" i="69"/>
  <c r="V110" i="40"/>
  <c r="E249" i="69" s="1"/>
  <c r="AB249" i="69" s="1"/>
  <c r="Q140" i="42"/>
  <c r="Q151" i="42" s="1"/>
  <c r="Q153" i="42" s="1"/>
  <c r="U140" i="42"/>
  <c r="W144" i="42" s="1"/>
  <c r="Q63" i="49" s="1"/>
  <c r="S109" i="40"/>
  <c r="AI251" i="69" l="1"/>
  <c r="BO250" i="69"/>
  <c r="CA250" i="69"/>
  <c r="BP250" i="69"/>
  <c r="CB250" i="69"/>
  <c r="BQ250" i="69"/>
  <c r="CC250" i="69"/>
  <c r="BR250" i="69"/>
  <c r="CD250" i="69"/>
  <c r="BS250" i="69"/>
  <c r="CE250" i="69"/>
  <c r="BT250" i="69"/>
  <c r="CF250" i="69"/>
  <c r="BU250" i="69"/>
  <c r="CG250" i="69"/>
  <c r="BV250" i="69"/>
  <c r="CH250" i="69"/>
  <c r="BW250" i="69"/>
  <c r="BX250" i="69"/>
  <c r="BY250" i="69"/>
  <c r="BZ250" i="69"/>
  <c r="BS251" i="69"/>
  <c r="CE251" i="69"/>
  <c r="BT251" i="69"/>
  <c r="CF251" i="69"/>
  <c r="BU251" i="69"/>
  <c r="CG251" i="69"/>
  <c r="BV251" i="69"/>
  <c r="CH251" i="69"/>
  <c r="BW251" i="69"/>
  <c r="BX251" i="69"/>
  <c r="BY251" i="69"/>
  <c r="BZ251" i="69"/>
  <c r="BO251" i="69"/>
  <c r="CA251" i="69"/>
  <c r="BP251" i="69"/>
  <c r="CB251" i="69"/>
  <c r="BQ251" i="69"/>
  <c r="CC251" i="69"/>
  <c r="BR251" i="69"/>
  <c r="CD251" i="69"/>
  <c r="BL250" i="69"/>
  <c r="BM250" i="69"/>
  <c r="BN250" i="69"/>
  <c r="BJ250" i="69"/>
  <c r="BK250" i="69"/>
  <c r="BK251" i="69"/>
  <c r="BL251" i="69"/>
  <c r="BM251" i="69"/>
  <c r="BN251" i="69"/>
  <c r="BJ251" i="69"/>
  <c r="AH251" i="69"/>
  <c r="BG250" i="69"/>
  <c r="BE250" i="69"/>
  <c r="BF250" i="69"/>
  <c r="BH250" i="69"/>
  <c r="BI250" i="69"/>
  <c r="BE251" i="69"/>
  <c r="BH251" i="69"/>
  <c r="BF251" i="69"/>
  <c r="BG251" i="69"/>
  <c r="BI251" i="69"/>
  <c r="D63" i="49"/>
  <c r="I163" i="49"/>
  <c r="T120" i="40"/>
  <c r="V114" i="40"/>
  <c r="E253" i="69" s="1"/>
  <c r="AB253" i="69" s="1"/>
  <c r="I134" i="49"/>
  <c r="V116" i="40"/>
  <c r="E255" i="69" s="1"/>
  <c r="AB255" i="69" s="1"/>
  <c r="AH249" i="69"/>
  <c r="AI249" i="69"/>
  <c r="BD251" i="69"/>
  <c r="BA251" i="69"/>
  <c r="AL250" i="69"/>
  <c r="AM250" i="69"/>
  <c r="AK250" i="69"/>
  <c r="AN250" i="69"/>
  <c r="AO250" i="69"/>
  <c r="BD250" i="69"/>
  <c r="AY250" i="69"/>
  <c r="AP250" i="69"/>
  <c r="AQ250" i="69"/>
  <c r="AT250" i="69"/>
  <c r="AR250" i="69"/>
  <c r="AX250" i="69"/>
  <c r="BB250" i="69"/>
  <c r="BA250" i="69"/>
  <c r="AZ250" i="69"/>
  <c r="AS250" i="69"/>
  <c r="AU250" i="69"/>
  <c r="AV250" i="69"/>
  <c r="AW250" i="69"/>
  <c r="BC250" i="69"/>
  <c r="AK112" i="40"/>
  <c r="AK111" i="40"/>
  <c r="AK110" i="40"/>
  <c r="AK109" i="40"/>
  <c r="V109" i="40"/>
  <c r="AK107" i="40"/>
  <c r="AK102" i="40"/>
  <c r="Y15" i="38"/>
  <c r="Z15" i="38" s="1"/>
  <c r="Y16" i="38"/>
  <c r="Z16" i="38" s="1"/>
  <c r="Y17" i="38"/>
  <c r="Z17" i="38" s="1"/>
  <c r="Y14" i="38"/>
  <c r="Z14" i="38" s="1"/>
  <c r="U15" i="38"/>
  <c r="U16" i="38"/>
  <c r="U17" i="38"/>
  <c r="U14" i="38"/>
  <c r="B124" i="42"/>
  <c r="B125" i="42"/>
  <c r="B126" i="42"/>
  <c r="B123" i="42"/>
  <c r="AZ84" i="40"/>
  <c r="AV84" i="40"/>
  <c r="AS84" i="40"/>
  <c r="AN84" i="40"/>
  <c r="BG83" i="40"/>
  <c r="BC83" i="40"/>
  <c r="I118" i="42"/>
  <c r="AG8" i="38" s="1"/>
  <c r="AG15" i="38" s="1"/>
  <c r="I119" i="42"/>
  <c r="I120" i="42"/>
  <c r="I117" i="42"/>
  <c r="G118" i="42"/>
  <c r="G124" i="42" s="1"/>
  <c r="G119" i="42"/>
  <c r="G125" i="42" s="1"/>
  <c r="G120" i="42"/>
  <c r="G126" i="42" s="1"/>
  <c r="G117" i="42"/>
  <c r="AE7" i="38" s="1"/>
  <c r="AE14" i="38" s="1"/>
  <c r="G95" i="42"/>
  <c r="H120" i="42"/>
  <c r="H126" i="42" s="1"/>
  <c r="F120" i="42"/>
  <c r="AD10" i="38" s="1"/>
  <c r="AD17" i="38" s="1"/>
  <c r="E120" i="42"/>
  <c r="E126" i="42" s="1"/>
  <c r="H119" i="42"/>
  <c r="AF9" i="38" s="1"/>
  <c r="AF16" i="38" s="1"/>
  <c r="F119" i="42"/>
  <c r="AD9" i="38" s="1"/>
  <c r="AD16" i="38" s="1"/>
  <c r="E119" i="42"/>
  <c r="E125" i="42" s="1"/>
  <c r="H118" i="42"/>
  <c r="AF8" i="38" s="1"/>
  <c r="AF15" i="38" s="1"/>
  <c r="F118" i="42"/>
  <c r="AD8" i="38" s="1"/>
  <c r="AD15" i="38" s="1"/>
  <c r="E118" i="42"/>
  <c r="AC8" i="38" s="1"/>
  <c r="AC15" i="38" s="1"/>
  <c r="H117" i="42"/>
  <c r="H123" i="42" s="1"/>
  <c r="F117" i="42"/>
  <c r="F123" i="42" s="1"/>
  <c r="E117" i="42"/>
  <c r="E123" i="42" s="1"/>
  <c r="H111" i="42"/>
  <c r="H112" i="42"/>
  <c r="H113" i="42"/>
  <c r="H110" i="42"/>
  <c r="F111" i="42"/>
  <c r="F112" i="42"/>
  <c r="F113" i="42"/>
  <c r="F110" i="42"/>
  <c r="AJ8" i="38"/>
  <c r="AK8" i="38" s="1"/>
  <c r="AM8" i="38" s="1"/>
  <c r="AJ9" i="38"/>
  <c r="AK9" i="38" s="1"/>
  <c r="AM9" i="38" s="1"/>
  <c r="AJ10" i="38"/>
  <c r="AK10" i="38" s="1"/>
  <c r="AM10" i="38" s="1"/>
  <c r="AJ7" i="38"/>
  <c r="Y8" i="38"/>
  <c r="Z8" i="38" s="1"/>
  <c r="Y9" i="38"/>
  <c r="Z9" i="38" s="1"/>
  <c r="Y10" i="38"/>
  <c r="Z10" i="38" s="1"/>
  <c r="Y7" i="38"/>
  <c r="Z7" i="38" s="1"/>
  <c r="U8" i="38"/>
  <c r="U9" i="38"/>
  <c r="U10" i="38"/>
  <c r="U7" i="38"/>
  <c r="B115" i="42"/>
  <c r="B111" i="42"/>
  <c r="C111" i="42" s="1"/>
  <c r="AP79" i="40" s="1"/>
  <c r="D111" i="42" s="1"/>
  <c r="B112" i="42"/>
  <c r="C112" i="42" s="1"/>
  <c r="AP80" i="40" s="1"/>
  <c r="D112" i="42" s="1"/>
  <c r="B113" i="42"/>
  <c r="C113" i="42" s="1"/>
  <c r="AP81" i="40" s="1"/>
  <c r="D113" i="42" s="1"/>
  <c r="B110" i="42"/>
  <c r="C110" i="42" s="1"/>
  <c r="AP78" i="40" s="1"/>
  <c r="D110" i="42" s="1"/>
  <c r="R92" i="40"/>
  <c r="J91" i="40"/>
  <c r="Q85" i="40"/>
  <c r="Q84" i="40"/>
  <c r="P85" i="40"/>
  <c r="P84" i="40"/>
  <c r="K85" i="40"/>
  <c r="K84" i="40"/>
  <c r="C83" i="40"/>
  <c r="E74" i="40"/>
  <c r="D83" i="40" s="1"/>
  <c r="C77" i="40"/>
  <c r="C85" i="40" s="1"/>
  <c r="C76" i="40"/>
  <c r="AW251" i="69" l="1"/>
  <c r="BB251" i="69"/>
  <c r="AZ251" i="69"/>
  <c r="BC251" i="69"/>
  <c r="BW249" i="69"/>
  <c r="BX249" i="69"/>
  <c r="BY249" i="69"/>
  <c r="BZ249" i="69"/>
  <c r="BO249" i="69"/>
  <c r="CA249" i="69"/>
  <c r="BP249" i="69"/>
  <c r="CB249" i="69"/>
  <c r="BQ249" i="69"/>
  <c r="CC249" i="69"/>
  <c r="BR249" i="69"/>
  <c r="CD249" i="69"/>
  <c r="BS249" i="69"/>
  <c r="CE249" i="69"/>
  <c r="BT249" i="69"/>
  <c r="CF249" i="69"/>
  <c r="BU249" i="69"/>
  <c r="CG249" i="69"/>
  <c r="BV249" i="69"/>
  <c r="CH249" i="69"/>
  <c r="AS251" i="69"/>
  <c r="AT251" i="69"/>
  <c r="AU251" i="69"/>
  <c r="AV251" i="69"/>
  <c r="AY251" i="69"/>
  <c r="AK251" i="69"/>
  <c r="AN251" i="69"/>
  <c r="AL251" i="69"/>
  <c r="AP251" i="69"/>
  <c r="AO251" i="69"/>
  <c r="AQ251" i="69"/>
  <c r="AM251" i="69"/>
  <c r="BM249" i="69"/>
  <c r="BN249" i="69"/>
  <c r="BJ249" i="69"/>
  <c r="BK249" i="69"/>
  <c r="BL249" i="69"/>
  <c r="AR251" i="69"/>
  <c r="AX251" i="69"/>
  <c r="BE249" i="69"/>
  <c r="BF249" i="69"/>
  <c r="BH249" i="69"/>
  <c r="BG249" i="69"/>
  <c r="BI249" i="69"/>
  <c r="O63" i="49"/>
  <c r="O106" i="49" s="1"/>
  <c r="U106" i="49" s="1"/>
  <c r="R63" i="49"/>
  <c r="AH255" i="69"/>
  <c r="AI255" i="69"/>
  <c r="AH253" i="69"/>
  <c r="AI253" i="69"/>
  <c r="O163" i="49"/>
  <c r="U163" i="49" s="1"/>
  <c r="O134" i="49"/>
  <c r="U134" i="49" s="1"/>
  <c r="S120" i="40"/>
  <c r="V120" i="40"/>
  <c r="AQ249" i="69"/>
  <c r="BC249" i="69"/>
  <c r="AX249" i="69"/>
  <c r="BD249" i="69"/>
  <c r="AV249" i="69"/>
  <c r="AT249" i="69"/>
  <c r="AU249" i="69"/>
  <c r="AZ249" i="69"/>
  <c r="BB249" i="69"/>
  <c r="AW249" i="69"/>
  <c r="AS249" i="69"/>
  <c r="BA249" i="69"/>
  <c r="AP249" i="69"/>
  <c r="AY249" i="69"/>
  <c r="AR249" i="69"/>
  <c r="AL249" i="69"/>
  <c r="AO249" i="69"/>
  <c r="AK249" i="69"/>
  <c r="AM249" i="69"/>
  <c r="AN249" i="69"/>
  <c r="E248" i="69"/>
  <c r="AB248" i="69" s="1"/>
  <c r="AF7" i="38"/>
  <c r="AF14" i="38" s="1"/>
  <c r="AE8" i="38"/>
  <c r="AE15" i="38" s="1"/>
  <c r="AE9" i="38"/>
  <c r="AE16" i="38" s="1"/>
  <c r="AC7" i="38"/>
  <c r="AC14" i="38" s="1"/>
  <c r="AF10" i="38"/>
  <c r="AF17" i="38" s="1"/>
  <c r="AC9" i="38"/>
  <c r="AC16" i="38" s="1"/>
  <c r="AJ14" i="38"/>
  <c r="AJ15" i="38"/>
  <c r="AK15" i="38" s="1"/>
  <c r="AJ17" i="38"/>
  <c r="AK17" i="38" s="1"/>
  <c r="AC10" i="38"/>
  <c r="AC17" i="38" s="1"/>
  <c r="AJ16" i="38"/>
  <c r="AK16" i="38" s="1"/>
  <c r="M111" i="42"/>
  <c r="P111" i="42" s="1"/>
  <c r="L110" i="42"/>
  <c r="O110" i="42" s="1"/>
  <c r="M110" i="42"/>
  <c r="P110" i="42" s="1"/>
  <c r="L111" i="42"/>
  <c r="O111" i="42" s="1"/>
  <c r="L113" i="42"/>
  <c r="M113" i="42"/>
  <c r="AE10" i="38"/>
  <c r="AE17" i="38" s="1"/>
  <c r="L112" i="42"/>
  <c r="O112" i="42" s="1"/>
  <c r="M112" i="42"/>
  <c r="P112" i="42" s="1"/>
  <c r="I124" i="42"/>
  <c r="I125" i="42"/>
  <c r="AG7" i="38"/>
  <c r="AG14" i="38" s="1"/>
  <c r="AG9" i="38"/>
  <c r="AG16" i="38" s="1"/>
  <c r="AG10" i="38"/>
  <c r="AG17" i="38" s="1"/>
  <c r="I123" i="42"/>
  <c r="H124" i="42"/>
  <c r="F126" i="42"/>
  <c r="E124" i="42"/>
  <c r="H125" i="42"/>
  <c r="G123" i="42"/>
  <c r="F124" i="42"/>
  <c r="F125" i="42"/>
  <c r="I126" i="42"/>
  <c r="AD7" i="38"/>
  <c r="AD14" i="38" s="1"/>
  <c r="L240" i="69" l="1"/>
  <c r="V111" i="42"/>
  <c r="L241" i="69"/>
  <c r="V112" i="42"/>
  <c r="L242" i="69"/>
  <c r="BZ255" i="69"/>
  <c r="BO255" i="69"/>
  <c r="CA255" i="69"/>
  <c r="BP255" i="69"/>
  <c r="CB255" i="69"/>
  <c r="CH255" i="69"/>
  <c r="BQ255" i="69"/>
  <c r="CC255" i="69"/>
  <c r="BR255" i="69"/>
  <c r="CD255" i="69"/>
  <c r="BS255" i="69"/>
  <c r="CE255" i="69"/>
  <c r="BT255" i="69"/>
  <c r="CF255" i="69"/>
  <c r="BU255" i="69"/>
  <c r="CG255" i="69"/>
  <c r="BV255" i="69"/>
  <c r="BX255" i="69"/>
  <c r="BW255" i="69"/>
  <c r="BY255" i="69"/>
  <c r="BR253" i="69"/>
  <c r="CD253" i="69"/>
  <c r="BS253" i="69"/>
  <c r="CE253" i="69"/>
  <c r="BT253" i="69"/>
  <c r="CF253" i="69"/>
  <c r="CB253" i="69"/>
  <c r="BU253" i="69"/>
  <c r="CG253" i="69"/>
  <c r="BV253" i="69"/>
  <c r="CH253" i="69"/>
  <c r="BW253" i="69"/>
  <c r="BP253" i="69"/>
  <c r="BX253" i="69"/>
  <c r="BY253" i="69"/>
  <c r="BZ253" i="69"/>
  <c r="BO253" i="69"/>
  <c r="CA253" i="69"/>
  <c r="BQ253" i="69"/>
  <c r="CC253" i="69"/>
  <c r="BJ255" i="69"/>
  <c r="BK255" i="69"/>
  <c r="BN255" i="69"/>
  <c r="BL255" i="69"/>
  <c r="BM255" i="69"/>
  <c r="BJ253" i="69"/>
  <c r="BK253" i="69"/>
  <c r="BL253" i="69"/>
  <c r="BM253" i="69"/>
  <c r="BN253" i="69"/>
  <c r="BI253" i="69"/>
  <c r="BE253" i="69"/>
  <c r="BF253" i="69"/>
  <c r="BG253" i="69"/>
  <c r="BH253" i="69"/>
  <c r="BI255" i="69"/>
  <c r="BH255" i="69"/>
  <c r="BE255" i="69"/>
  <c r="BG255" i="69"/>
  <c r="BF255" i="69"/>
  <c r="AQ253" i="69"/>
  <c r="BC253" i="69"/>
  <c r="AR253" i="69"/>
  <c r="BD253" i="69"/>
  <c r="AS253" i="69"/>
  <c r="AT253" i="69"/>
  <c r="AU253" i="69"/>
  <c r="AV253" i="69"/>
  <c r="AW253" i="69"/>
  <c r="AX253" i="69"/>
  <c r="AP253" i="69"/>
  <c r="AY253" i="69"/>
  <c r="AZ253" i="69"/>
  <c r="BA253" i="69"/>
  <c r="BB253" i="69"/>
  <c r="AM253" i="69"/>
  <c r="AK253" i="69"/>
  <c r="AL253" i="69"/>
  <c r="AN253" i="69"/>
  <c r="AO253" i="69"/>
  <c r="AU255" i="69"/>
  <c r="AV255" i="69"/>
  <c r="BD255" i="69"/>
  <c r="AX255" i="69"/>
  <c r="AT255" i="69"/>
  <c r="AR255" i="69"/>
  <c r="AS255" i="69"/>
  <c r="BB255" i="69"/>
  <c r="AP255" i="69"/>
  <c r="AZ255" i="69"/>
  <c r="AY255" i="69"/>
  <c r="AQ255" i="69"/>
  <c r="BC255" i="69"/>
  <c r="AW255" i="69"/>
  <c r="BA255" i="69"/>
  <c r="AK255" i="69"/>
  <c r="AL255" i="69"/>
  <c r="AM255" i="69"/>
  <c r="AN255" i="69"/>
  <c r="AO255" i="69"/>
  <c r="AH248" i="69"/>
  <c r="AI248" i="69"/>
  <c r="T80" i="40"/>
  <c r="T79" i="40"/>
  <c r="Q112" i="42"/>
  <c r="V80" i="40" s="1"/>
  <c r="E242" i="69" s="1"/>
  <c r="AB242" i="69" s="1"/>
  <c r="Q111" i="42"/>
  <c r="V79" i="40" s="1"/>
  <c r="E241" i="69" s="1"/>
  <c r="AB241" i="69" s="1"/>
  <c r="S80" i="40"/>
  <c r="U112" i="42"/>
  <c r="S79" i="40"/>
  <c r="U111" i="42"/>
  <c r="S78" i="40"/>
  <c r="U110" i="42"/>
  <c r="T78" i="40"/>
  <c r="V110" i="42"/>
  <c r="Q110" i="42"/>
  <c r="V78" i="40" s="1"/>
  <c r="E240" i="69" s="1"/>
  <c r="AB240" i="69" s="1"/>
  <c r="BS248" i="69" l="1"/>
  <c r="CE248" i="69"/>
  <c r="BT248" i="69"/>
  <c r="CF248" i="69"/>
  <c r="BU248" i="69"/>
  <c r="CG248" i="69"/>
  <c r="BV248" i="69"/>
  <c r="CH248" i="69"/>
  <c r="BW248" i="69"/>
  <c r="BX248" i="69"/>
  <c r="BY248" i="69"/>
  <c r="BZ248" i="69"/>
  <c r="BO248" i="69"/>
  <c r="CA248" i="69"/>
  <c r="BP248" i="69"/>
  <c r="CB248" i="69"/>
  <c r="BQ248" i="69"/>
  <c r="CC248" i="69"/>
  <c r="BR248" i="69"/>
  <c r="CD248" i="69"/>
  <c r="BN248" i="69"/>
  <c r="BJ248" i="69"/>
  <c r="BK248" i="69"/>
  <c r="BL248" i="69"/>
  <c r="BM248" i="69"/>
  <c r="BE248" i="69"/>
  <c r="BF248" i="69"/>
  <c r="BG248" i="69"/>
  <c r="BI248" i="69"/>
  <c r="BH248" i="69"/>
  <c r="AI242" i="69"/>
  <c r="AH242" i="69"/>
  <c r="AI241" i="69"/>
  <c r="AH241" i="69"/>
  <c r="AH240" i="69"/>
  <c r="AI240" i="69"/>
  <c r="AT248" i="69"/>
  <c r="AU248" i="69"/>
  <c r="AY248" i="69"/>
  <c r="AR248" i="69"/>
  <c r="BC248" i="69"/>
  <c r="AZ248" i="69"/>
  <c r="BA248" i="69"/>
  <c r="BD248" i="69"/>
  <c r="AW248" i="69"/>
  <c r="BB248" i="69"/>
  <c r="AS248" i="69"/>
  <c r="AV248" i="69"/>
  <c r="AP248" i="69"/>
  <c r="AX248" i="69"/>
  <c r="AQ248" i="69"/>
  <c r="AL248" i="69"/>
  <c r="AN248" i="69"/>
  <c r="AO248" i="69"/>
  <c r="AM248" i="69"/>
  <c r="AK248" i="69"/>
  <c r="C70" i="40"/>
  <c r="AK70" i="40" s="1"/>
  <c r="BC89" i="40"/>
  <c r="B120" i="42" s="1"/>
  <c r="AL89" i="40"/>
  <c r="AK89" i="40"/>
  <c r="BC88" i="40"/>
  <c r="B119" i="42" s="1"/>
  <c r="AL88" i="40"/>
  <c r="AK88" i="40"/>
  <c r="BC87" i="40"/>
  <c r="B118" i="42" s="1"/>
  <c r="AL87" i="40"/>
  <c r="AK87" i="40"/>
  <c r="BC86" i="40"/>
  <c r="B117" i="42" s="1"/>
  <c r="AL86" i="40"/>
  <c r="AK86" i="40"/>
  <c r="AN81" i="40"/>
  <c r="AK81" i="40"/>
  <c r="AN80" i="40"/>
  <c r="AK80" i="40"/>
  <c r="AN79" i="40"/>
  <c r="AK79" i="40"/>
  <c r="AK78" i="40"/>
  <c r="BI85" i="40"/>
  <c r="BI84" i="40"/>
  <c r="BG84" i="40"/>
  <c r="AL85" i="40"/>
  <c r="AK83" i="40"/>
  <c r="AK76" i="40"/>
  <c r="C108" i="42"/>
  <c r="C138" i="42" s="1"/>
  <c r="C107" i="42"/>
  <c r="C137" i="42" s="1"/>
  <c r="F107" i="42"/>
  <c r="H107" i="42" s="1"/>
  <c r="G92" i="42"/>
  <c r="H92" i="42"/>
  <c r="I92" i="42"/>
  <c r="D92" i="42"/>
  <c r="D84" i="42"/>
  <c r="L84" i="42" s="1"/>
  <c r="AP50" i="40"/>
  <c r="D85" i="42" s="1"/>
  <c r="AP48" i="40"/>
  <c r="D83" i="42" s="1"/>
  <c r="I98" i="42"/>
  <c r="I97" i="42"/>
  <c r="I96" i="42"/>
  <c r="I95" i="42"/>
  <c r="G98" i="42"/>
  <c r="G97" i="42"/>
  <c r="G96" i="42"/>
  <c r="H97" i="42"/>
  <c r="F97" i="42"/>
  <c r="E97" i="42"/>
  <c r="H96" i="42"/>
  <c r="F96" i="42"/>
  <c r="E96" i="42"/>
  <c r="H95" i="42"/>
  <c r="G89" i="42"/>
  <c r="H89" i="42"/>
  <c r="I89" i="42"/>
  <c r="G90" i="42"/>
  <c r="H90" i="42"/>
  <c r="I90" i="42"/>
  <c r="G91" i="42"/>
  <c r="H91" i="42"/>
  <c r="I91" i="42"/>
  <c r="I88" i="42"/>
  <c r="H88" i="42"/>
  <c r="G88" i="42"/>
  <c r="I84" i="42"/>
  <c r="I82" i="42"/>
  <c r="G84" i="42"/>
  <c r="G82" i="42"/>
  <c r="G66" i="42"/>
  <c r="D80" i="42"/>
  <c r="D108" i="42" s="1"/>
  <c r="D138" i="42" s="1"/>
  <c r="D79" i="42"/>
  <c r="D107" i="42" s="1"/>
  <c r="D137" i="42" s="1"/>
  <c r="B89" i="42"/>
  <c r="B90" i="42"/>
  <c r="B91" i="42"/>
  <c r="B88" i="42"/>
  <c r="B83" i="42"/>
  <c r="B85" i="42" s="1"/>
  <c r="B82" i="42"/>
  <c r="C82" i="42" s="1"/>
  <c r="AK49" i="40"/>
  <c r="AK48" i="40"/>
  <c r="AK50" i="40" s="1"/>
  <c r="AK47" i="40"/>
  <c r="AK46" i="40"/>
  <c r="C44" i="40"/>
  <c r="C73" i="40" s="1"/>
  <c r="R66" i="40"/>
  <c r="R37" i="40"/>
  <c r="C47" i="40"/>
  <c r="C63" i="40"/>
  <c r="C62" i="40"/>
  <c r="C61" i="40"/>
  <c r="C60" i="40"/>
  <c r="C57" i="40"/>
  <c r="F79" i="42"/>
  <c r="H79" i="42" s="1"/>
  <c r="C48" i="40"/>
  <c r="C41" i="40"/>
  <c r="AK41" i="40" s="1"/>
  <c r="AK56" i="40"/>
  <c r="AN55" i="40"/>
  <c r="AK55" i="40"/>
  <c r="AN54" i="40"/>
  <c r="AK54" i="40"/>
  <c r="AN56" i="40"/>
  <c r="AK53" i="40"/>
  <c r="AN50" i="40"/>
  <c r="AN49" i="40"/>
  <c r="AT9" i="40"/>
  <c r="AP9" i="40"/>
  <c r="AL9" i="40"/>
  <c r="AN10" i="40"/>
  <c r="AQ46" i="40" s="1"/>
  <c r="AQ77" i="40" s="1"/>
  <c r="AM10" i="40"/>
  <c r="AQ10" i="40" s="1"/>
  <c r="AL10" i="40"/>
  <c r="AP10" i="40" s="1"/>
  <c r="AT7" i="40"/>
  <c r="AN7" i="40"/>
  <c r="AK6" i="40"/>
  <c r="AM37" i="40"/>
  <c r="AM36" i="40"/>
  <c r="AL36" i="40"/>
  <c r="I67" i="42"/>
  <c r="I66" i="42"/>
  <c r="I65" i="42"/>
  <c r="I57" i="42"/>
  <c r="I56" i="42"/>
  <c r="I54" i="42"/>
  <c r="I53" i="42"/>
  <c r="I52" i="42"/>
  <c r="I51" i="42"/>
  <c r="I49" i="42"/>
  <c r="I48" i="42"/>
  <c r="I47" i="42"/>
  <c r="G67" i="42"/>
  <c r="G65" i="42"/>
  <c r="G57" i="42"/>
  <c r="G56" i="42"/>
  <c r="G54" i="42"/>
  <c r="G53" i="42"/>
  <c r="G52" i="42"/>
  <c r="G51" i="42"/>
  <c r="G49" i="42"/>
  <c r="G48" i="42"/>
  <c r="G47" i="42"/>
  <c r="H67" i="42"/>
  <c r="F67" i="42"/>
  <c r="E67" i="42"/>
  <c r="H66" i="42"/>
  <c r="F66" i="42"/>
  <c r="E66" i="42"/>
  <c r="H65" i="42"/>
  <c r="F65" i="42"/>
  <c r="E65" i="42"/>
  <c r="H57" i="42"/>
  <c r="F57" i="42"/>
  <c r="E57" i="42"/>
  <c r="H56" i="42"/>
  <c r="F56" i="42"/>
  <c r="E56" i="42"/>
  <c r="F55" i="42"/>
  <c r="E55" i="42"/>
  <c r="H54" i="42"/>
  <c r="F54" i="42"/>
  <c r="E54" i="42"/>
  <c r="H53" i="42"/>
  <c r="F53" i="42"/>
  <c r="E53" i="42"/>
  <c r="H52" i="42"/>
  <c r="F52" i="42"/>
  <c r="E52" i="42"/>
  <c r="F50" i="42"/>
  <c r="E50" i="42"/>
  <c r="H49" i="42"/>
  <c r="F49" i="42"/>
  <c r="E49" i="42"/>
  <c r="H48" i="42"/>
  <c r="F48" i="42"/>
  <c r="E48" i="42"/>
  <c r="H47" i="42"/>
  <c r="F47" i="42"/>
  <c r="E47" i="42"/>
  <c r="C67" i="42"/>
  <c r="AU31" i="40" s="1"/>
  <c r="D67" i="42" s="1"/>
  <c r="C66" i="42"/>
  <c r="AU30" i="40" s="1"/>
  <c r="D66" i="42" s="1"/>
  <c r="C65" i="42"/>
  <c r="AU29" i="40" s="1"/>
  <c r="D65" i="42" s="1"/>
  <c r="C57" i="42"/>
  <c r="AU22" i="40" s="1"/>
  <c r="D57" i="42" s="1"/>
  <c r="C56" i="42"/>
  <c r="AU21" i="40" s="1"/>
  <c r="D56" i="42" s="1"/>
  <c r="C54" i="42"/>
  <c r="AU19" i="40" s="1"/>
  <c r="D54" i="42" s="1"/>
  <c r="C53" i="42"/>
  <c r="AU18" i="40" s="1"/>
  <c r="D53" i="42" s="1"/>
  <c r="C52" i="42"/>
  <c r="AU17" i="40" s="1"/>
  <c r="D52" i="42" s="1"/>
  <c r="C51" i="42"/>
  <c r="AU16" i="40" s="1"/>
  <c r="D51" i="42" s="1"/>
  <c r="C49" i="42"/>
  <c r="AU14" i="40" s="1"/>
  <c r="D49" i="42" s="1"/>
  <c r="C48" i="42"/>
  <c r="AU13" i="40" s="1"/>
  <c r="D48" i="42" s="1"/>
  <c r="C47" i="42"/>
  <c r="AU12" i="40" s="1"/>
  <c r="D47" i="42" s="1"/>
  <c r="F44" i="42"/>
  <c r="H44" i="42" s="1"/>
  <c r="I38" i="42"/>
  <c r="I37" i="42"/>
  <c r="I36" i="42"/>
  <c r="I34" i="42"/>
  <c r="I33" i="42"/>
  <c r="I29" i="42"/>
  <c r="I28" i="42"/>
  <c r="G29" i="42"/>
  <c r="G33" i="42"/>
  <c r="G34" i="42"/>
  <c r="G36" i="42"/>
  <c r="G37" i="42"/>
  <c r="G38" i="42"/>
  <c r="G28" i="42"/>
  <c r="H38" i="42"/>
  <c r="F38" i="42"/>
  <c r="E38" i="42"/>
  <c r="H37" i="42"/>
  <c r="F37" i="42"/>
  <c r="E37" i="42"/>
  <c r="H36" i="42"/>
  <c r="F36" i="42"/>
  <c r="E36" i="42"/>
  <c r="H34" i="42"/>
  <c r="F34" i="42"/>
  <c r="E34" i="42"/>
  <c r="H33" i="42"/>
  <c r="F33" i="42"/>
  <c r="E33" i="42"/>
  <c r="H29" i="42"/>
  <c r="F29" i="42"/>
  <c r="E29" i="42"/>
  <c r="AP26" i="40"/>
  <c r="AP25" i="40"/>
  <c r="AP24" i="40"/>
  <c r="AP22" i="40"/>
  <c r="AP21" i="40"/>
  <c r="C1709" i="16"/>
  <c r="B1709" i="16"/>
  <c r="C34" i="42"/>
  <c r="AQ22" i="40" s="1"/>
  <c r="D34" i="42" s="1"/>
  <c r="C33" i="42"/>
  <c r="AQ21" i="40" s="1"/>
  <c r="D33" i="42" s="1"/>
  <c r="BW240" i="69" l="1"/>
  <c r="BX240" i="69"/>
  <c r="BY240" i="69"/>
  <c r="BZ240" i="69"/>
  <c r="BO240" i="69"/>
  <c r="CA240" i="69"/>
  <c r="BP240" i="69"/>
  <c r="CB240" i="69"/>
  <c r="BQ240" i="69"/>
  <c r="CC240" i="69"/>
  <c r="BR240" i="69"/>
  <c r="CD240" i="69"/>
  <c r="BS240" i="69"/>
  <c r="CE240" i="69"/>
  <c r="BT240" i="69"/>
  <c r="CF240" i="69"/>
  <c r="BU240" i="69"/>
  <c r="CG240" i="69"/>
  <c r="BV240" i="69"/>
  <c r="CH240" i="69"/>
  <c r="BO241" i="69"/>
  <c r="CA241" i="69"/>
  <c r="BP241" i="69"/>
  <c r="CB241" i="69"/>
  <c r="BQ241" i="69"/>
  <c r="CC241" i="69"/>
  <c r="BR241" i="69"/>
  <c r="CD241" i="69"/>
  <c r="BS241" i="69"/>
  <c r="CE241" i="69"/>
  <c r="BT241" i="69"/>
  <c r="CF241" i="69"/>
  <c r="BU241" i="69"/>
  <c r="CG241" i="69"/>
  <c r="BV241" i="69"/>
  <c r="CH241" i="69"/>
  <c r="BW241" i="69"/>
  <c r="BX241" i="69"/>
  <c r="BY241" i="69"/>
  <c r="BZ241" i="69"/>
  <c r="BS242" i="69"/>
  <c r="CE242" i="69"/>
  <c r="BT242" i="69"/>
  <c r="CF242" i="69"/>
  <c r="BU242" i="69"/>
  <c r="CG242" i="69"/>
  <c r="BV242" i="69"/>
  <c r="CH242" i="69"/>
  <c r="BW242" i="69"/>
  <c r="BX242" i="69"/>
  <c r="BY242" i="69"/>
  <c r="BZ242" i="69"/>
  <c r="BO242" i="69"/>
  <c r="CA242" i="69"/>
  <c r="BP242" i="69"/>
  <c r="CB242" i="69"/>
  <c r="BQ242" i="69"/>
  <c r="CC242" i="69"/>
  <c r="BR242" i="69"/>
  <c r="CD242" i="69"/>
  <c r="BJ242" i="69"/>
  <c r="BK242" i="69"/>
  <c r="BL242" i="69"/>
  <c r="BM242" i="69"/>
  <c r="BN242" i="69"/>
  <c r="BJ240" i="69"/>
  <c r="BK240" i="69"/>
  <c r="BL240" i="69"/>
  <c r="BM240" i="69"/>
  <c r="BN240" i="69"/>
  <c r="BJ241" i="69"/>
  <c r="BK241" i="69"/>
  <c r="BL241" i="69"/>
  <c r="BM241" i="69"/>
  <c r="BN241" i="69"/>
  <c r="BE240" i="69"/>
  <c r="BH240" i="69"/>
  <c r="BF240" i="69"/>
  <c r="BG240" i="69"/>
  <c r="BI240" i="69"/>
  <c r="BE241" i="69"/>
  <c r="BF241" i="69"/>
  <c r="BG241" i="69"/>
  <c r="BH241" i="69"/>
  <c r="BI241" i="69"/>
  <c r="BH242" i="69"/>
  <c r="BE242" i="69"/>
  <c r="BF242" i="69"/>
  <c r="BG242" i="69"/>
  <c r="BI242" i="69"/>
  <c r="AZ240" i="69"/>
  <c r="AS240" i="69"/>
  <c r="BB240" i="69"/>
  <c r="BC240" i="69"/>
  <c r="AV240" i="69"/>
  <c r="AU240" i="69"/>
  <c r="BD240" i="69"/>
  <c r="AT240" i="69"/>
  <c r="AW240" i="69"/>
  <c r="AP240" i="69"/>
  <c r="AX240" i="69"/>
  <c r="AQ240" i="69"/>
  <c r="AR240" i="69"/>
  <c r="AY240" i="69"/>
  <c r="BA240" i="69"/>
  <c r="AM240" i="69"/>
  <c r="AO240" i="69"/>
  <c r="AN240" i="69"/>
  <c r="AK240" i="69"/>
  <c r="AL240" i="69"/>
  <c r="AM241" i="69"/>
  <c r="AO241" i="69"/>
  <c r="AN241" i="69"/>
  <c r="AL241" i="69"/>
  <c r="AK241" i="69"/>
  <c r="AX241" i="69"/>
  <c r="AZ241" i="69"/>
  <c r="BC241" i="69"/>
  <c r="AU241" i="69"/>
  <c r="BD241" i="69"/>
  <c r="AP241" i="69"/>
  <c r="AS241" i="69"/>
  <c r="AW241" i="69"/>
  <c r="AV241" i="69"/>
  <c r="BB241" i="69"/>
  <c r="AR241" i="69"/>
  <c r="BA241" i="69"/>
  <c r="AY241" i="69"/>
  <c r="AT241" i="69"/>
  <c r="AQ241" i="69"/>
  <c r="AL242" i="69"/>
  <c r="AO242" i="69"/>
  <c r="AM242" i="69"/>
  <c r="AK242" i="69"/>
  <c r="AN242" i="69"/>
  <c r="AW242" i="69"/>
  <c r="AS242" i="69"/>
  <c r="AQ242" i="69"/>
  <c r="AP242" i="69"/>
  <c r="AX242" i="69"/>
  <c r="BB242" i="69"/>
  <c r="BC242" i="69"/>
  <c r="AY242" i="69"/>
  <c r="AR242" i="69"/>
  <c r="BD242" i="69"/>
  <c r="AT242" i="69"/>
  <c r="AZ242" i="69"/>
  <c r="AU242" i="69"/>
  <c r="BA242" i="69"/>
  <c r="AV242" i="69"/>
  <c r="B92" i="42"/>
  <c r="D234" i="69"/>
  <c r="B84" i="42"/>
  <c r="D229" i="69"/>
  <c r="B95" i="42"/>
  <c r="D235" i="69"/>
  <c r="AK61" i="40"/>
  <c r="AN61" i="40" s="1"/>
  <c r="D236" i="69"/>
  <c r="B97" i="42"/>
  <c r="D237" i="69"/>
  <c r="AK63" i="40"/>
  <c r="D238" i="69"/>
  <c r="K49" i="42"/>
  <c r="AS88" i="40"/>
  <c r="AV88" i="40" s="1"/>
  <c r="AS87" i="40"/>
  <c r="AV87" i="40" s="1"/>
  <c r="AN86" i="40"/>
  <c r="AS89" i="40"/>
  <c r="AV89" i="40" s="1"/>
  <c r="M57" i="42"/>
  <c r="AK62" i="40"/>
  <c r="AN62" i="40" s="1"/>
  <c r="K84" i="42"/>
  <c r="U84" i="42" s="1"/>
  <c r="L56" i="42"/>
  <c r="L67" i="42"/>
  <c r="M84" i="42"/>
  <c r="V84" i="42" s="1"/>
  <c r="K66" i="42"/>
  <c r="K92" i="42"/>
  <c r="L92" i="42"/>
  <c r="M47" i="42"/>
  <c r="AR10" i="40"/>
  <c r="AV10" i="40" s="1"/>
  <c r="C105" i="40"/>
  <c r="AK105" i="40" s="1"/>
  <c r="AK73" i="40"/>
  <c r="AQ85" i="40"/>
  <c r="AT85" i="40" s="1"/>
  <c r="AW85" i="40" s="1"/>
  <c r="BA85" i="40" s="1"/>
  <c r="AN107" i="40"/>
  <c r="AK57" i="40"/>
  <c r="AK44" i="40"/>
  <c r="AK60" i="40"/>
  <c r="AN60" i="40" s="1"/>
  <c r="K48" i="42"/>
  <c r="L52" i="42"/>
  <c r="M53" i="42"/>
  <c r="K65" i="42"/>
  <c r="M92" i="42"/>
  <c r="P113" i="42"/>
  <c r="L243" i="69" s="1"/>
  <c r="O113" i="42"/>
  <c r="AN87" i="40"/>
  <c r="AN88" i="40"/>
  <c r="AN89" i="40"/>
  <c r="AK77" i="40"/>
  <c r="AK85" i="40" s="1"/>
  <c r="AN46" i="40"/>
  <c r="B96" i="42"/>
  <c r="AP46" i="40"/>
  <c r="AP77" i="40" s="1"/>
  <c r="B98" i="42"/>
  <c r="K52" i="42"/>
  <c r="L53" i="42"/>
  <c r="L66" i="42"/>
  <c r="M67" i="42"/>
  <c r="M34" i="42"/>
  <c r="K34" i="42"/>
  <c r="L34" i="42"/>
  <c r="M54" i="42"/>
  <c r="M33" i="42"/>
  <c r="L33" i="42"/>
  <c r="K33" i="42"/>
  <c r="K51" i="42"/>
  <c r="K47" i="42"/>
  <c r="L48" i="42"/>
  <c r="M49" i="42"/>
  <c r="L51" i="42"/>
  <c r="M52" i="42"/>
  <c r="K54" i="42"/>
  <c r="K57" i="42"/>
  <c r="L65" i="42"/>
  <c r="M66" i="42"/>
  <c r="L49" i="42"/>
  <c r="M56" i="42"/>
  <c r="L47" i="42"/>
  <c r="M48" i="42"/>
  <c r="M51" i="42"/>
  <c r="K53" i="42"/>
  <c r="L54" i="42"/>
  <c r="K56" i="42"/>
  <c r="L57" i="42"/>
  <c r="M65" i="42"/>
  <c r="K67" i="42"/>
  <c r="AN57" i="40"/>
  <c r="D97" i="42"/>
  <c r="L97" i="42" s="1"/>
  <c r="B1741" i="16"/>
  <c r="B1740" i="16"/>
  <c r="B1739" i="16"/>
  <c r="B1738" i="16"/>
  <c r="B1737" i="16"/>
  <c r="C91" i="42" s="1"/>
  <c r="AP56" i="40" s="1"/>
  <c r="D91" i="42" s="1"/>
  <c r="B1736" i="16"/>
  <c r="B1735" i="16"/>
  <c r="C90" i="42" s="1"/>
  <c r="AP55" i="40" s="1"/>
  <c r="D90" i="42" s="1"/>
  <c r="B1734" i="16"/>
  <c r="B1733" i="16"/>
  <c r="B1732" i="16"/>
  <c r="C89" i="42" s="1"/>
  <c r="AP54" i="40" s="1"/>
  <c r="D89" i="42" s="1"/>
  <c r="B1731" i="16"/>
  <c r="B1730" i="16"/>
  <c r="C88" i="42" s="1"/>
  <c r="AP53" i="40" s="1"/>
  <c r="D88" i="42" s="1"/>
  <c r="B1729" i="16"/>
  <c r="B1728" i="16"/>
  <c r="B1708" i="16"/>
  <c r="C29" i="42" s="1"/>
  <c r="F25" i="42"/>
  <c r="H25" i="42" s="1"/>
  <c r="I10" i="42"/>
  <c r="I9" i="42"/>
  <c r="I8" i="42"/>
  <c r="G8" i="42"/>
  <c r="G9" i="42"/>
  <c r="G10" i="42"/>
  <c r="H10" i="42"/>
  <c r="F10" i="42"/>
  <c r="E10" i="42"/>
  <c r="H9" i="42"/>
  <c r="F9" i="42"/>
  <c r="E9" i="42"/>
  <c r="H8" i="42"/>
  <c r="F8" i="42"/>
  <c r="E8" i="42"/>
  <c r="D19" i="42"/>
  <c r="D9" i="42"/>
  <c r="D8" i="42"/>
  <c r="H16" i="42"/>
  <c r="F16" i="42"/>
  <c r="AM13" i="40"/>
  <c r="AM12" i="40"/>
  <c r="AT30" i="40"/>
  <c r="AT31" i="40" s="1"/>
  <c r="AT22" i="40"/>
  <c r="AT21" i="40"/>
  <c r="AT17" i="40"/>
  <c r="AP17" i="40"/>
  <c r="AT14" i="40"/>
  <c r="AT13" i="40"/>
  <c r="AL13" i="40"/>
  <c r="AL14" i="40" s="1"/>
  <c r="AU10" i="40"/>
  <c r="AT10" i="40"/>
  <c r="C10" i="42"/>
  <c r="D10" i="42" s="1"/>
  <c r="H5" i="42"/>
  <c r="F5" i="42"/>
  <c r="C30" i="40"/>
  <c r="C31" i="40"/>
  <c r="C29" i="40"/>
  <c r="C25" i="40"/>
  <c r="C26" i="40"/>
  <c r="C24" i="40"/>
  <c r="C22" i="40"/>
  <c r="C21" i="40"/>
  <c r="C17" i="40"/>
  <c r="C18" i="40"/>
  <c r="C19" i="40"/>
  <c r="C16" i="40"/>
  <c r="C13" i="40"/>
  <c r="C14" i="40"/>
  <c r="C12" i="40"/>
  <c r="G10" i="40"/>
  <c r="E10" i="40"/>
  <c r="D10" i="40"/>
  <c r="D47" i="40" s="1"/>
  <c r="D84" i="40" s="1"/>
  <c r="C28" i="40"/>
  <c r="B64" i="42" s="1"/>
  <c r="C23" i="40"/>
  <c r="B58" i="42" s="1"/>
  <c r="C20" i="40"/>
  <c r="B55" i="42" s="1"/>
  <c r="C15" i="40"/>
  <c r="B50" i="42" s="1"/>
  <c r="C11" i="40"/>
  <c r="B46" i="42" s="1"/>
  <c r="V10" i="40"/>
  <c r="V45" i="40" s="1"/>
  <c r="V74" i="40" s="1"/>
  <c r="V105" i="40" s="1"/>
  <c r="S45" i="40"/>
  <c r="S74" i="40" s="1"/>
  <c r="S105" i="40" s="1"/>
  <c r="P9" i="40"/>
  <c r="P8" i="40"/>
  <c r="J8" i="40"/>
  <c r="D8" i="40"/>
  <c r="C8" i="40"/>
  <c r="AK8" i="40" s="1"/>
  <c r="C4" i="40"/>
  <c r="AK4" i="40" s="1"/>
  <c r="B38" i="38"/>
  <c r="E24" i="39"/>
  <c r="D24" i="39"/>
  <c r="F24" i="39" s="1"/>
  <c r="E23" i="39"/>
  <c r="D23" i="39"/>
  <c r="F23" i="39" s="1"/>
  <c r="E22" i="39"/>
  <c r="D22" i="39"/>
  <c r="F22" i="39" s="1"/>
  <c r="E21" i="39"/>
  <c r="D21" i="39"/>
  <c r="F21" i="39" s="1"/>
  <c r="E20" i="39"/>
  <c r="D20" i="39"/>
  <c r="F20" i="39" s="1"/>
  <c r="E19" i="39"/>
  <c r="D19" i="39"/>
  <c r="F19" i="39" s="1"/>
  <c r="E18" i="39"/>
  <c r="D18" i="39"/>
  <c r="F18" i="39" s="1"/>
  <c r="E17" i="39"/>
  <c r="D17" i="39"/>
  <c r="F17" i="39" s="1"/>
  <c r="E16" i="39"/>
  <c r="D16" i="39"/>
  <c r="F16" i="39" s="1"/>
  <c r="E15" i="39"/>
  <c r="D15" i="39"/>
  <c r="F15" i="39" s="1"/>
  <c r="E14" i="39"/>
  <c r="D14" i="39"/>
  <c r="F14" i="39" s="1"/>
  <c r="E13" i="39"/>
  <c r="D13" i="39"/>
  <c r="F13" i="39" s="1"/>
  <c r="E12" i="39"/>
  <c r="W10" i="38" s="1"/>
  <c r="D12" i="39"/>
  <c r="E11" i="39"/>
  <c r="W9" i="38" s="1"/>
  <c r="D11" i="39"/>
  <c r="E10" i="39"/>
  <c r="D10" i="39"/>
  <c r="F10" i="39" s="1"/>
  <c r="E9" i="39"/>
  <c r="D9" i="39"/>
  <c r="F9" i="39" s="1"/>
  <c r="E8" i="39"/>
  <c r="D8" i="39"/>
  <c r="F8" i="39" s="1"/>
  <c r="E7" i="39"/>
  <c r="D7" i="39"/>
  <c r="F7" i="39" s="1"/>
  <c r="E6" i="39"/>
  <c r="D6" i="39"/>
  <c r="E5" i="39"/>
  <c r="D5" i="39"/>
  <c r="F5" i="39" s="1"/>
  <c r="E4" i="39"/>
  <c r="D4" i="39"/>
  <c r="F4" i="39" s="1"/>
  <c r="R11" i="38"/>
  <c r="S11" i="38" s="1"/>
  <c r="R10" i="38"/>
  <c r="S10" i="38" s="1"/>
  <c r="R9" i="38"/>
  <c r="S9" i="38" s="1"/>
  <c r="R7" i="38"/>
  <c r="S7" i="38" s="1"/>
  <c r="H9" i="38"/>
  <c r="H10" i="38"/>
  <c r="H11" i="38"/>
  <c r="H7" i="38"/>
  <c r="AP86" i="40" s="1"/>
  <c r="AJ3" i="38"/>
  <c r="AJ4" i="38" s="1"/>
  <c r="AP88" i="40" l="1"/>
  <c r="AN63" i="40"/>
  <c r="B47" i="42"/>
  <c r="D212" i="69"/>
  <c r="B57" i="42"/>
  <c r="D220" i="69"/>
  <c r="B56" i="42"/>
  <c r="D219" i="69"/>
  <c r="B49" i="42"/>
  <c r="D214" i="69"/>
  <c r="B59" i="42"/>
  <c r="D221" i="69"/>
  <c r="B67" i="42"/>
  <c r="D226" i="69"/>
  <c r="B48" i="42"/>
  <c r="D213" i="69"/>
  <c r="B61" i="42"/>
  <c r="D223" i="69"/>
  <c r="B53" i="42"/>
  <c r="D217" i="69"/>
  <c r="B66" i="42"/>
  <c r="D225" i="69"/>
  <c r="B51" i="42"/>
  <c r="D215" i="69"/>
  <c r="B60" i="42"/>
  <c r="D222" i="69"/>
  <c r="B52" i="42"/>
  <c r="D216" i="69"/>
  <c r="B54" i="42"/>
  <c r="D218" i="69"/>
  <c r="B65" i="42"/>
  <c r="D224" i="69"/>
  <c r="BX40" i="67"/>
  <c r="X57" i="68" s="1"/>
  <c r="BX9" i="67"/>
  <c r="X5" i="68" s="1"/>
  <c r="W57" i="68"/>
  <c r="W5" i="68"/>
  <c r="AQ17" i="40"/>
  <c r="D29" i="42" s="1"/>
  <c r="C28" i="42"/>
  <c r="AQ16" i="40" s="1"/>
  <c r="D28" i="42" s="1"/>
  <c r="K28" i="42" s="1"/>
  <c r="V10" i="38"/>
  <c r="X10" i="38" s="1"/>
  <c r="AA10" i="38" s="1"/>
  <c r="AN10" i="38" s="1"/>
  <c r="AO10" i="38" s="1"/>
  <c r="F12" i="39"/>
  <c r="K19" i="42"/>
  <c r="L19" i="42"/>
  <c r="M19" i="42"/>
  <c r="M21" i="42" s="1"/>
  <c r="V67" i="42"/>
  <c r="D96" i="42"/>
  <c r="M96" i="42" s="1"/>
  <c r="V57" i="42"/>
  <c r="AS86" i="40"/>
  <c r="AV86" i="40" s="1"/>
  <c r="AK7" i="38"/>
  <c r="AM7" i="38" s="1"/>
  <c r="AK14" i="38"/>
  <c r="D25" i="39"/>
  <c r="F25" i="39" s="1"/>
  <c r="V8" i="38"/>
  <c r="X8" i="38" s="1"/>
  <c r="AA8" i="38" s="1"/>
  <c r="F11" i="39"/>
  <c r="V9" i="38"/>
  <c r="X9" i="38" s="1"/>
  <c r="AA9" i="38" s="1"/>
  <c r="E25" i="39"/>
  <c r="W8" i="38"/>
  <c r="F6" i="39"/>
  <c r="V17" i="38"/>
  <c r="X17" i="38" s="1"/>
  <c r="AA17" i="38" s="1"/>
  <c r="AM17" i="38" s="1"/>
  <c r="AN17" i="38" s="1"/>
  <c r="AO17" i="38" s="1"/>
  <c r="AP17" i="38" s="1"/>
  <c r="D126" i="42" s="1"/>
  <c r="L126" i="42" s="1"/>
  <c r="V7" i="38"/>
  <c r="X7" i="38" s="1"/>
  <c r="AA7" i="38" s="1"/>
  <c r="V16" i="38"/>
  <c r="X16" i="38" s="1"/>
  <c r="AA16" i="38" s="1"/>
  <c r="AM16" i="38" s="1"/>
  <c r="AN16" i="38" s="1"/>
  <c r="AO16" i="38" s="1"/>
  <c r="AP16" i="38" s="1"/>
  <c r="D125" i="42" s="1"/>
  <c r="V14" i="38"/>
  <c r="X14" i="38" s="1"/>
  <c r="AA14" i="38" s="1"/>
  <c r="V15" i="38"/>
  <c r="X15" i="38" s="1"/>
  <c r="AA15" i="38" s="1"/>
  <c r="AM15" i="38" s="1"/>
  <c r="AN15" i="38" s="1"/>
  <c r="AO15" i="38" s="1"/>
  <c r="W15" i="38"/>
  <c r="W7" i="38"/>
  <c r="W14" i="38"/>
  <c r="W17" i="38"/>
  <c r="W16" i="38"/>
  <c r="AP89" i="40"/>
  <c r="AP87" i="40"/>
  <c r="V56" i="42"/>
  <c r="M91" i="42"/>
  <c r="L91" i="42"/>
  <c r="K91" i="42"/>
  <c r="K90" i="42"/>
  <c r="M90" i="42"/>
  <c r="L90" i="42"/>
  <c r="AQ25" i="40"/>
  <c r="D37" i="42" s="1"/>
  <c r="AQ26" i="40"/>
  <c r="D38" i="42" s="1"/>
  <c r="AQ24" i="40"/>
  <c r="D36" i="42" s="1"/>
  <c r="AP60" i="40"/>
  <c r="D95" i="42" s="1"/>
  <c r="M95" i="42" s="1"/>
  <c r="K97" i="42"/>
  <c r="U97" i="42" s="1"/>
  <c r="L88" i="42"/>
  <c r="K88" i="42"/>
  <c r="M88" i="42"/>
  <c r="M89" i="42"/>
  <c r="L89" i="42"/>
  <c r="K89" i="42"/>
  <c r="M97" i="42"/>
  <c r="V97" i="42" s="1"/>
  <c r="V49" i="42"/>
  <c r="V54" i="42"/>
  <c r="U67" i="42"/>
  <c r="U53" i="42"/>
  <c r="U54" i="42"/>
  <c r="V48" i="42"/>
  <c r="V51" i="42"/>
  <c r="U51" i="42"/>
  <c r="U56" i="42"/>
  <c r="U52" i="42"/>
  <c r="V34" i="42"/>
  <c r="V66" i="42"/>
  <c r="V52" i="42"/>
  <c r="V65" i="42"/>
  <c r="U33" i="42"/>
  <c r="U34" i="42"/>
  <c r="V53" i="42"/>
  <c r="U48" i="42"/>
  <c r="V92" i="42"/>
  <c r="U66" i="42"/>
  <c r="U57" i="42"/>
  <c r="V33" i="42"/>
  <c r="U113" i="42"/>
  <c r="S81" i="40"/>
  <c r="U65" i="42"/>
  <c r="U49" i="42"/>
  <c r="V113" i="42"/>
  <c r="T81" i="40"/>
  <c r="U92" i="42"/>
  <c r="B10" i="42"/>
  <c r="AN77" i="40"/>
  <c r="AN85" i="40" s="1"/>
  <c r="AL107" i="40"/>
  <c r="AP85" i="40"/>
  <c r="AS85" i="40" s="1"/>
  <c r="AV85" i="40" s="1"/>
  <c r="AZ85" i="40" s="1"/>
  <c r="AM107" i="40"/>
  <c r="M8" i="42"/>
  <c r="M69" i="42"/>
  <c r="Q113" i="42"/>
  <c r="V81" i="40" s="1"/>
  <c r="E243" i="69" s="1"/>
  <c r="AB243" i="69" s="1"/>
  <c r="K9" i="42"/>
  <c r="L10" i="42"/>
  <c r="J10" i="40"/>
  <c r="M10" i="40" s="1"/>
  <c r="P10" i="40" s="1"/>
  <c r="S10" i="40" s="1"/>
  <c r="S47" i="40" s="1"/>
  <c r="E47" i="40"/>
  <c r="K10" i="40"/>
  <c r="N10" i="40" s="1"/>
  <c r="Q10" i="40" s="1"/>
  <c r="T10" i="40" s="1"/>
  <c r="T47" i="40" s="1"/>
  <c r="G47" i="40"/>
  <c r="AK18" i="40"/>
  <c r="AK31" i="40"/>
  <c r="K8" i="42"/>
  <c r="L9" i="42"/>
  <c r="M10" i="42"/>
  <c r="L8" i="42"/>
  <c r="M9" i="42"/>
  <c r="L69" i="42"/>
  <c r="K69" i="42"/>
  <c r="K10" i="42"/>
  <c r="AM14" i="40"/>
  <c r="B33" i="42"/>
  <c r="AK17" i="40"/>
  <c r="B9" i="42"/>
  <c r="B38" i="42"/>
  <c r="B28" i="42"/>
  <c r="AK26" i="40"/>
  <c r="B37" i="42"/>
  <c r="AK22" i="40"/>
  <c r="AK12" i="40"/>
  <c r="AK14" i="40"/>
  <c r="AK19" i="40"/>
  <c r="AK29" i="40"/>
  <c r="B31" i="42"/>
  <c r="AK13" i="40"/>
  <c r="AK21" i="40"/>
  <c r="AK24" i="40"/>
  <c r="B30" i="42"/>
  <c r="B36" i="42"/>
  <c r="B8" i="42"/>
  <c r="AK16" i="40"/>
  <c r="AK25" i="40"/>
  <c r="AK30" i="40"/>
  <c r="B29" i="42"/>
  <c r="B34" i="42"/>
  <c r="R12" i="38"/>
  <c r="S12" i="38" s="1"/>
  <c r="AI243" i="69" l="1"/>
  <c r="AH243" i="69"/>
  <c r="R62" i="68"/>
  <c r="R58" i="68"/>
  <c r="L68" i="68" s="1"/>
  <c r="Q63" i="68"/>
  <c r="S62" i="68"/>
  <c r="R60" i="68"/>
  <c r="S58" i="68"/>
  <c r="S63" i="68"/>
  <c r="Q59" i="68"/>
  <c r="R59" i="68"/>
  <c r="R63" i="68"/>
  <c r="Q61" i="68"/>
  <c r="S61" i="68"/>
  <c r="S59" i="68"/>
  <c r="S6" i="68"/>
  <c r="M16" i="68" s="1"/>
  <c r="Q60" i="68"/>
  <c r="R61" i="68"/>
  <c r="Q58" i="68"/>
  <c r="Q62" i="68"/>
  <c r="R6" i="68"/>
  <c r="L16" i="68" s="1"/>
  <c r="S60" i="68"/>
  <c r="S11" i="68"/>
  <c r="M21" i="68" s="1"/>
  <c r="S9" i="68"/>
  <c r="M19" i="68" s="1"/>
  <c r="Q8" i="68"/>
  <c r="K18" i="68" s="1"/>
  <c r="S7" i="68"/>
  <c r="M17" i="68" s="1"/>
  <c r="R7" i="68"/>
  <c r="L17" i="68" s="1"/>
  <c r="Q7" i="68"/>
  <c r="K17" i="68" s="1"/>
  <c r="R8" i="68"/>
  <c r="L18" i="68" s="1"/>
  <c r="Q11" i="68"/>
  <c r="K21" i="68" s="1"/>
  <c r="S10" i="68"/>
  <c r="M20" i="68" s="1"/>
  <c r="Q6" i="68"/>
  <c r="K16" i="68" s="1"/>
  <c r="Q9" i="68"/>
  <c r="K19" i="68" s="1"/>
  <c r="R9" i="68"/>
  <c r="L19" i="68" s="1"/>
  <c r="S8" i="68"/>
  <c r="M18" i="68" s="1"/>
  <c r="Q10" i="68"/>
  <c r="K20" i="68" s="1"/>
  <c r="R11" i="68"/>
  <c r="L21" i="68" s="1"/>
  <c r="R10" i="68"/>
  <c r="L20" i="68" s="1"/>
  <c r="K29" i="42"/>
  <c r="M29" i="42"/>
  <c r="L29" i="42"/>
  <c r="V19" i="42"/>
  <c r="W68" i="42"/>
  <c r="D98" i="42"/>
  <c r="K126" i="42"/>
  <c r="U126" i="42" s="1"/>
  <c r="L96" i="42"/>
  <c r="V96" i="42" s="1"/>
  <c r="K96" i="42"/>
  <c r="M126" i="42"/>
  <c r="V126" i="42" s="1"/>
  <c r="AN9" i="38"/>
  <c r="AO9" i="38" s="1"/>
  <c r="AP9" i="38" s="1"/>
  <c r="D119" i="42" s="1"/>
  <c r="M119" i="42" s="1"/>
  <c r="V90" i="42"/>
  <c r="AM14" i="38"/>
  <c r="AN14" i="38" s="1"/>
  <c r="AO14" i="38" s="1"/>
  <c r="AP14" i="38" s="1"/>
  <c r="D123" i="42" s="1"/>
  <c r="K125" i="42"/>
  <c r="L125" i="42"/>
  <c r="M125" i="42"/>
  <c r="AN8" i="38"/>
  <c r="AO8" i="38" s="1"/>
  <c r="AP8" i="38" s="1"/>
  <c r="D118" i="42" s="1"/>
  <c r="AN7" i="38"/>
  <c r="AO7" i="38" s="1"/>
  <c r="AP7" i="38" s="1"/>
  <c r="D117" i="42" s="1"/>
  <c r="AP15" i="38"/>
  <c r="D124" i="42" s="1"/>
  <c r="AP10" i="38"/>
  <c r="D120" i="42" s="1"/>
  <c r="L28" i="42"/>
  <c r="U28" i="42" s="1"/>
  <c r="M28" i="42"/>
  <c r="L12" i="42"/>
  <c r="U89" i="42"/>
  <c r="U88" i="42"/>
  <c r="M12" i="42"/>
  <c r="V91" i="42"/>
  <c r="U91" i="42"/>
  <c r="V88" i="42"/>
  <c r="L37" i="42"/>
  <c r="M37" i="42"/>
  <c r="K37" i="42"/>
  <c r="M36" i="42"/>
  <c r="K36" i="42"/>
  <c r="L36" i="42"/>
  <c r="U90" i="42"/>
  <c r="L38" i="42"/>
  <c r="K38" i="42"/>
  <c r="M38" i="42"/>
  <c r="K95" i="42"/>
  <c r="L95" i="42"/>
  <c r="V89" i="42"/>
  <c r="U10" i="42"/>
  <c r="U9" i="42"/>
  <c r="U19" i="42"/>
  <c r="U8" i="42"/>
  <c r="V10" i="42"/>
  <c r="V8" i="42"/>
  <c r="V9" i="42"/>
  <c r="E84" i="40"/>
  <c r="E76" i="40"/>
  <c r="G76" i="40"/>
  <c r="G84" i="40"/>
  <c r="L21" i="42"/>
  <c r="K12" i="42"/>
  <c r="K21" i="42"/>
  <c r="BX14" i="67" l="1"/>
  <c r="BW243" i="69"/>
  <c r="BX243" i="69"/>
  <c r="BY243" i="69"/>
  <c r="BZ243" i="69"/>
  <c r="BO243" i="69"/>
  <c r="CA243" i="69"/>
  <c r="BP243" i="69"/>
  <c r="CB243" i="69"/>
  <c r="BQ243" i="69"/>
  <c r="CC243" i="69"/>
  <c r="BR243" i="69"/>
  <c r="CD243" i="69"/>
  <c r="BS243" i="69"/>
  <c r="CE243" i="69"/>
  <c r="BT243" i="69"/>
  <c r="CF243" i="69"/>
  <c r="BU243" i="69"/>
  <c r="CG243" i="69"/>
  <c r="BV243" i="69"/>
  <c r="CH243" i="69"/>
  <c r="BJ243" i="69"/>
  <c r="BK243" i="69"/>
  <c r="BL243" i="69"/>
  <c r="BM243" i="69"/>
  <c r="BN243" i="69"/>
  <c r="E107" i="40"/>
  <c r="S76" i="40"/>
  <c r="S107" i="40" s="1"/>
  <c r="G107" i="40"/>
  <c r="T76" i="40"/>
  <c r="T107" i="40" s="1"/>
  <c r="BE243" i="69"/>
  <c r="BF243" i="69"/>
  <c r="BG243" i="69"/>
  <c r="BH243" i="69"/>
  <c r="BI243" i="69"/>
  <c r="BV15" i="67"/>
  <c r="U18" i="68"/>
  <c r="BZ15" i="67"/>
  <c r="AK243" i="69"/>
  <c r="AO243" i="69"/>
  <c r="AL243" i="69"/>
  <c r="AM243" i="69"/>
  <c r="AN243" i="69"/>
  <c r="BA243" i="69"/>
  <c r="AY243" i="69"/>
  <c r="AZ243" i="69"/>
  <c r="AT243" i="69"/>
  <c r="AS243" i="69"/>
  <c r="AU243" i="69"/>
  <c r="AR243" i="69"/>
  <c r="AV243" i="69"/>
  <c r="AX243" i="69"/>
  <c r="AP243" i="69"/>
  <c r="AW243" i="69"/>
  <c r="AQ243" i="69"/>
  <c r="BD243" i="69"/>
  <c r="BB243" i="69"/>
  <c r="BC243" i="69"/>
  <c r="BV16" i="67"/>
  <c r="V19" i="68"/>
  <c r="BX15" i="67"/>
  <c r="M69" i="68"/>
  <c r="BZ45" i="67"/>
  <c r="L70" i="68"/>
  <c r="BX46" i="67"/>
  <c r="U20" i="68"/>
  <c r="M70" i="68"/>
  <c r="BZ46" i="67"/>
  <c r="M71" i="68"/>
  <c r="BZ47" i="67"/>
  <c r="M72" i="68"/>
  <c r="BZ48" i="67"/>
  <c r="BZ16" i="67"/>
  <c r="K71" i="68"/>
  <c r="BV47" i="67"/>
  <c r="K73" i="68"/>
  <c r="BV49" i="67"/>
  <c r="M68" i="68"/>
  <c r="BZ44" i="67"/>
  <c r="K72" i="68"/>
  <c r="BV48" i="67"/>
  <c r="L73" i="68"/>
  <c r="BX49" i="67"/>
  <c r="BX44" i="67"/>
  <c r="K68" i="68"/>
  <c r="BV44" i="67"/>
  <c r="L69" i="68"/>
  <c r="BX45" i="67"/>
  <c r="L72" i="68"/>
  <c r="BX48" i="67"/>
  <c r="L71" i="68"/>
  <c r="BX47" i="67"/>
  <c r="K69" i="68"/>
  <c r="BV45" i="67"/>
  <c r="BZ18" i="67"/>
  <c r="K70" i="68"/>
  <c r="BV46" i="67"/>
  <c r="M73" i="68"/>
  <c r="BZ49" i="67"/>
  <c r="BX13" i="67"/>
  <c r="V18" i="68"/>
  <c r="U19" i="68"/>
  <c r="BZ13" i="67"/>
  <c r="M23" i="68"/>
  <c r="BX18" i="67"/>
  <c r="BZ14" i="67"/>
  <c r="V20" i="68"/>
  <c r="V21" i="68"/>
  <c r="BX16" i="67"/>
  <c r="BZ17" i="67"/>
  <c r="BV18" i="67"/>
  <c r="BV17" i="67"/>
  <c r="U21" i="68"/>
  <c r="BX17" i="67"/>
  <c r="U17" i="68"/>
  <c r="V17" i="68"/>
  <c r="BV14" i="67"/>
  <c r="L23" i="68"/>
  <c r="K23" i="68"/>
  <c r="BV13" i="67"/>
  <c r="V29" i="42"/>
  <c r="U29" i="42"/>
  <c r="W20" i="42"/>
  <c r="U125" i="42"/>
  <c r="U96" i="42"/>
  <c r="M118" i="42"/>
  <c r="L118" i="42"/>
  <c r="K118" i="42"/>
  <c r="V125" i="42"/>
  <c r="L123" i="42"/>
  <c r="K123" i="42"/>
  <c r="M123" i="42"/>
  <c r="K117" i="42"/>
  <c r="M117" i="42"/>
  <c r="L117" i="42"/>
  <c r="L119" i="42"/>
  <c r="V119" i="42" s="1"/>
  <c r="K119" i="42"/>
  <c r="K120" i="42"/>
  <c r="M120" i="42"/>
  <c r="L120" i="42"/>
  <c r="M124" i="42"/>
  <c r="L124" i="42"/>
  <c r="K124" i="42"/>
  <c r="V28" i="42"/>
  <c r="M40" i="42"/>
  <c r="L40" i="42"/>
  <c r="V36" i="42"/>
  <c r="U37" i="42"/>
  <c r="K40" i="42"/>
  <c r="V37" i="42"/>
  <c r="U38" i="42"/>
  <c r="U36" i="42"/>
  <c r="V38" i="42"/>
  <c r="U95" i="42"/>
  <c r="V95" i="42"/>
  <c r="W11" i="42"/>
  <c r="V16" i="68" l="1"/>
  <c r="U71" i="68"/>
  <c r="U72" i="68"/>
  <c r="V70" i="68"/>
  <c r="V72" i="68"/>
  <c r="U70" i="68"/>
  <c r="U68" i="68"/>
  <c r="U73" i="68"/>
  <c r="V73" i="68"/>
  <c r="U69" i="68"/>
  <c r="V71" i="68"/>
  <c r="K75" i="68"/>
  <c r="BV51" i="67" s="1"/>
  <c r="V68" i="68"/>
  <c r="V69" i="68"/>
  <c r="M75" i="68"/>
  <c r="BZ51" i="67" s="1"/>
  <c r="L75" i="68"/>
  <c r="BX51" i="67" s="1"/>
  <c r="U16" i="68"/>
  <c r="BZ20" i="67"/>
  <c r="BV20" i="67"/>
  <c r="BX20" i="67"/>
  <c r="U124" i="42"/>
  <c r="U123" i="42"/>
  <c r="V118" i="42"/>
  <c r="U119" i="42"/>
  <c r="U118" i="42"/>
  <c r="U117" i="42"/>
  <c r="V123" i="42"/>
  <c r="V117" i="42"/>
  <c r="V120" i="42"/>
  <c r="L130" i="42"/>
  <c r="M130" i="42"/>
  <c r="V124" i="42"/>
  <c r="U120" i="42"/>
  <c r="K130" i="42"/>
  <c r="W40" i="42"/>
  <c r="Q59" i="49" s="1"/>
  <c r="S7" i="25"/>
  <c r="S8" i="25"/>
  <c r="S9" i="25"/>
  <c r="S6" i="25"/>
  <c r="W129" i="42" l="1"/>
  <c r="Q62" i="49" s="1"/>
  <c r="G7" i="25" l="1"/>
  <c r="G8" i="25"/>
  <c r="AK32" i="25" s="1"/>
  <c r="G9" i="25"/>
  <c r="G6" i="25"/>
  <c r="AK30" i="25" s="1"/>
  <c r="F7" i="25"/>
  <c r="F8" i="25"/>
  <c r="F9" i="25"/>
  <c r="F6" i="25"/>
  <c r="E7" i="25"/>
  <c r="E8" i="25"/>
  <c r="E9" i="25"/>
  <c r="E6" i="25"/>
  <c r="Z9" i="23" l="1"/>
  <c r="Z10" i="23"/>
  <c r="Z11" i="23"/>
  <c r="Z8" i="23"/>
  <c r="AA15" i="15" l="1"/>
  <c r="AA16" i="15"/>
  <c r="AA17" i="15"/>
  <c r="C50" i="35"/>
  <c r="C17" i="14"/>
  <c r="C18" i="14"/>
  <c r="C19" i="14"/>
  <c r="C20" i="14"/>
  <c r="C21" i="14"/>
  <c r="C22" i="14"/>
  <c r="C23" i="14"/>
  <c r="C24" i="14"/>
  <c r="C25" i="14"/>
  <c r="C16" i="14"/>
  <c r="AP26" i="15" l="1"/>
  <c r="AP27" i="15"/>
  <c r="AP28" i="15"/>
  <c r="AP29" i="15"/>
  <c r="AP30" i="15"/>
  <c r="AP31" i="15"/>
  <c r="AP32" i="15"/>
  <c r="AP33" i="15"/>
  <c r="AP34" i="15"/>
  <c r="AP25" i="15"/>
  <c r="K26" i="35"/>
  <c r="K28" i="35"/>
  <c r="K29" i="35"/>
  <c r="K30" i="35"/>
  <c r="K31" i="35"/>
  <c r="K32" i="35"/>
  <c r="K33" i="35"/>
  <c r="AR62" i="29" l="1"/>
  <c r="AR63" i="29"/>
  <c r="AR64" i="29"/>
  <c r="AR65" i="29"/>
  <c r="AR66" i="29"/>
  <c r="AR67" i="29"/>
  <c r="AR68" i="29"/>
  <c r="AR69" i="29"/>
  <c r="AR70" i="29"/>
  <c r="AR61" i="29"/>
  <c r="O43" i="37" l="1"/>
  <c r="O44" i="37"/>
  <c r="O45" i="37"/>
  <c r="O46" i="37"/>
  <c r="O47" i="37"/>
  <c r="O48" i="37"/>
  <c r="O49" i="37"/>
  <c r="O42" i="37"/>
  <c r="N43" i="37"/>
  <c r="N44" i="37"/>
  <c r="N45" i="37"/>
  <c r="N46" i="37"/>
  <c r="N47" i="37"/>
  <c r="N48" i="37"/>
  <c r="N49" i="37"/>
  <c r="N42" i="37"/>
  <c r="H56" i="37" l="1"/>
  <c r="H57" i="37"/>
  <c r="H58" i="37"/>
  <c r="H59" i="37"/>
  <c r="H60" i="37"/>
  <c r="H61" i="37"/>
  <c r="H62" i="37"/>
  <c r="H55" i="37"/>
  <c r="F55" i="37"/>
  <c r="F56" i="37"/>
  <c r="F57" i="37"/>
  <c r="F58" i="37"/>
  <c r="F59" i="37"/>
  <c r="F60" i="37"/>
  <c r="F61" i="37"/>
  <c r="F62" i="37"/>
  <c r="F38" i="14"/>
  <c r="D56" i="37"/>
  <c r="D57" i="37"/>
  <c r="D58" i="37"/>
  <c r="D59" i="37"/>
  <c r="D60" i="37"/>
  <c r="D61" i="37"/>
  <c r="D62" i="37"/>
  <c r="D55" i="37"/>
  <c r="C56" i="37"/>
  <c r="C57" i="37"/>
  <c r="C58" i="37"/>
  <c r="C59" i="37"/>
  <c r="C60" i="37"/>
  <c r="C61" i="37"/>
  <c r="C62" i="37"/>
  <c r="C55" i="37"/>
  <c r="M43" i="37"/>
  <c r="M44" i="37"/>
  <c r="M45" i="37"/>
  <c r="M46" i="37"/>
  <c r="M47" i="37"/>
  <c r="M48" i="37"/>
  <c r="M49" i="37"/>
  <c r="M42" i="37"/>
  <c r="L43" i="37"/>
  <c r="L44" i="37"/>
  <c r="L45" i="37"/>
  <c r="L46" i="37"/>
  <c r="L47" i="37"/>
  <c r="L48" i="37"/>
  <c r="L49" i="37"/>
  <c r="L42" i="37"/>
  <c r="K43" i="37"/>
  <c r="K44" i="37"/>
  <c r="K45" i="37"/>
  <c r="K46" i="37"/>
  <c r="K47" i="37"/>
  <c r="K48" i="37"/>
  <c r="K49" i="37"/>
  <c r="K42" i="37"/>
  <c r="J43" i="37"/>
  <c r="J44" i="37"/>
  <c r="J45" i="37"/>
  <c r="J46" i="37"/>
  <c r="J47" i="37"/>
  <c r="J48" i="37"/>
  <c r="J49" i="37"/>
  <c r="J42" i="37"/>
  <c r="G55" i="37" l="1"/>
  <c r="G56" i="37"/>
  <c r="G62" i="37"/>
  <c r="G60" i="37"/>
  <c r="G59" i="37"/>
  <c r="G58" i="37"/>
  <c r="G61" i="37"/>
  <c r="G57" i="37"/>
  <c r="E62" i="37"/>
  <c r="E61" i="37"/>
  <c r="E60" i="37"/>
  <c r="E59" i="37"/>
  <c r="E58" i="37"/>
  <c r="E57" i="37"/>
  <c r="E56" i="37"/>
  <c r="E55" i="37"/>
  <c r="Z17" i="36" l="1"/>
  <c r="X14" i="36"/>
  <c r="Z18" i="36"/>
  <c r="X20" i="36"/>
  <c r="X13" i="36"/>
  <c r="Z15" i="36"/>
  <c r="X15" i="36"/>
  <c r="X16" i="36"/>
  <c r="Z20" i="36"/>
  <c r="X18" i="36"/>
  <c r="Z16" i="36"/>
  <c r="Z14" i="36"/>
  <c r="Z13" i="36"/>
  <c r="Z19" i="36"/>
  <c r="X17" i="36"/>
  <c r="X19" i="36"/>
  <c r="AP128" i="15"/>
  <c r="AP129" i="15"/>
  <c r="AP130" i="15"/>
  <c r="AP131" i="15"/>
  <c r="AP132" i="15"/>
  <c r="AP133" i="15"/>
  <c r="AP134" i="15"/>
  <c r="AP135" i="15"/>
  <c r="AP136" i="15"/>
  <c r="AP127" i="15"/>
  <c r="H43" i="37"/>
  <c r="H44" i="37"/>
  <c r="H45" i="37"/>
  <c r="H46" i="37"/>
  <c r="H47" i="37"/>
  <c r="H48" i="37"/>
  <c r="H49" i="37"/>
  <c r="H42" i="37"/>
  <c r="F43" i="37"/>
  <c r="F44" i="37"/>
  <c r="F45" i="37"/>
  <c r="F46" i="37"/>
  <c r="F47" i="37"/>
  <c r="F48" i="37"/>
  <c r="F49" i="37"/>
  <c r="F42" i="37"/>
  <c r="D43" i="37"/>
  <c r="D44" i="37"/>
  <c r="D45" i="37"/>
  <c r="D46" i="37"/>
  <c r="D47" i="37"/>
  <c r="D48" i="37"/>
  <c r="D49" i="37"/>
  <c r="D42" i="37"/>
  <c r="C43" i="37"/>
  <c r="C44" i="37"/>
  <c r="C45" i="37"/>
  <c r="C46" i="37"/>
  <c r="C47" i="37"/>
  <c r="C48" i="37"/>
  <c r="C49" i="37"/>
  <c r="C42" i="37"/>
  <c r="H26" i="37"/>
  <c r="H27" i="37"/>
  <c r="H28" i="37"/>
  <c r="H29" i="37"/>
  <c r="H30" i="37"/>
  <c r="H31" i="37"/>
  <c r="H32" i="37"/>
  <c r="AV14" i="36"/>
  <c r="I43" i="37" s="1"/>
  <c r="BF43" i="37" s="1"/>
  <c r="AV15" i="36"/>
  <c r="I44" i="37" s="1"/>
  <c r="BF44" i="37" s="1"/>
  <c r="AV16" i="36"/>
  <c r="I45" i="37" s="1"/>
  <c r="BF45" i="37" s="1"/>
  <c r="AV17" i="36"/>
  <c r="I46" i="37" s="1"/>
  <c r="BF46" i="37" s="1"/>
  <c r="AV18" i="36"/>
  <c r="I47" i="37" s="1"/>
  <c r="BF47" i="37" s="1"/>
  <c r="AV19" i="36"/>
  <c r="I48" i="37" s="1"/>
  <c r="BF48" i="37" s="1"/>
  <c r="AV20" i="36"/>
  <c r="I49" i="37" s="1"/>
  <c r="BF49" i="37" s="1"/>
  <c r="AV13" i="36"/>
  <c r="I42" i="37" s="1"/>
  <c r="BF42" i="37" s="1"/>
  <c r="AT13" i="36"/>
  <c r="G42" i="37" s="1"/>
  <c r="BE42" i="37" s="1"/>
  <c r="AT14" i="36"/>
  <c r="G43" i="37" s="1"/>
  <c r="BE43" i="37" s="1"/>
  <c r="AT15" i="36"/>
  <c r="G44" i="37" s="1"/>
  <c r="BE44" i="37" s="1"/>
  <c r="AT16" i="36"/>
  <c r="G45" i="37" s="1"/>
  <c r="BE45" i="37" s="1"/>
  <c r="AT17" i="36"/>
  <c r="G46" i="37" s="1"/>
  <c r="BE46" i="37" s="1"/>
  <c r="AT18" i="36"/>
  <c r="G47" i="37" s="1"/>
  <c r="BE47" i="37" s="1"/>
  <c r="AT19" i="36"/>
  <c r="G48" i="37" s="1"/>
  <c r="BE48" i="37" s="1"/>
  <c r="AT20" i="36"/>
  <c r="G49" i="37" s="1"/>
  <c r="BE49" i="37" s="1"/>
  <c r="AR13" i="36"/>
  <c r="E42" i="37" s="1"/>
  <c r="BD42" i="37" s="1"/>
  <c r="AR14" i="36"/>
  <c r="E43" i="37" s="1"/>
  <c r="BD43" i="37" s="1"/>
  <c r="AR15" i="36"/>
  <c r="E44" i="37" s="1"/>
  <c r="BD44" i="37" s="1"/>
  <c r="AR16" i="36"/>
  <c r="E45" i="37" s="1"/>
  <c r="BD45" i="37" s="1"/>
  <c r="AR17" i="36"/>
  <c r="E46" i="37" s="1"/>
  <c r="BD46" i="37" s="1"/>
  <c r="AR18" i="36"/>
  <c r="E47" i="37" s="1"/>
  <c r="BD47" i="37" s="1"/>
  <c r="AR19" i="36"/>
  <c r="E48" i="37" s="1"/>
  <c r="BD48" i="37" s="1"/>
  <c r="AR20" i="36"/>
  <c r="E49" i="37" s="1"/>
  <c r="BD49" i="37" s="1"/>
  <c r="AD49" i="37" l="1"/>
  <c r="AG49" i="37"/>
  <c r="AE49" i="37"/>
  <c r="AH49" i="37"/>
  <c r="AD48" i="37"/>
  <c r="AE48" i="37"/>
  <c r="AG48" i="37"/>
  <c r="AH48" i="37"/>
  <c r="AD46" i="37"/>
  <c r="AE46" i="37"/>
  <c r="AG46" i="37"/>
  <c r="AH46" i="37"/>
  <c r="AG44" i="37"/>
  <c r="AH44" i="37"/>
  <c r="AD44" i="37"/>
  <c r="AE44" i="37"/>
  <c r="AD47" i="37"/>
  <c r="AE47" i="37"/>
  <c r="AG47" i="37"/>
  <c r="AH47" i="37"/>
  <c r="AG43" i="37"/>
  <c r="AH43" i="37"/>
  <c r="AD43" i="37"/>
  <c r="AE43" i="37"/>
  <c r="AG45" i="37"/>
  <c r="AH45" i="37"/>
  <c r="AD45" i="37"/>
  <c r="AE45" i="37"/>
  <c r="AE42" i="37"/>
  <c r="AG42" i="37"/>
  <c r="AD42" i="37"/>
  <c r="AH42" i="37"/>
  <c r="S48" i="37"/>
  <c r="P48" i="37"/>
  <c r="AA48" i="37" s="1"/>
  <c r="V48" i="37"/>
  <c r="P47" i="37"/>
  <c r="V47" i="37"/>
  <c r="S47" i="37"/>
  <c r="V46" i="37"/>
  <c r="S46" i="37"/>
  <c r="P46" i="37"/>
  <c r="V45" i="37"/>
  <c r="P45" i="37"/>
  <c r="S45" i="37"/>
  <c r="R49" i="37"/>
  <c r="AC49" i="37" s="1"/>
  <c r="X49" i="37"/>
  <c r="U49" i="37"/>
  <c r="X48" i="37"/>
  <c r="U48" i="37"/>
  <c r="R48" i="37"/>
  <c r="AC48" i="37" s="1"/>
  <c r="X47" i="37"/>
  <c r="U47" i="37"/>
  <c r="R47" i="37"/>
  <c r="AC47" i="37" s="1"/>
  <c r="X46" i="37"/>
  <c r="U46" i="37"/>
  <c r="R46" i="37"/>
  <c r="AC46" i="37" s="1"/>
  <c r="W49" i="37"/>
  <c r="T49" i="37"/>
  <c r="Q49" i="37"/>
  <c r="AB49" i="37" s="1"/>
  <c r="W48" i="37"/>
  <c r="Q48" i="37"/>
  <c r="AB48" i="37" s="1"/>
  <c r="T48" i="37"/>
  <c r="T47" i="37"/>
  <c r="Q47" i="37"/>
  <c r="AB47" i="37" s="1"/>
  <c r="W47" i="37"/>
  <c r="Q46" i="37"/>
  <c r="AB46" i="37" s="1"/>
  <c r="T46" i="37"/>
  <c r="W46" i="37"/>
  <c r="V49" i="37"/>
  <c r="S49" i="37"/>
  <c r="P49" i="37"/>
  <c r="AA49" i="37" s="1"/>
  <c r="X45" i="37"/>
  <c r="R45" i="37"/>
  <c r="AC45" i="37" s="1"/>
  <c r="U45" i="37"/>
  <c r="T45" i="37"/>
  <c r="W45" i="37"/>
  <c r="Q45" i="37"/>
  <c r="AB45" i="37" s="1"/>
  <c r="BE50" i="37"/>
  <c r="BF50" i="37"/>
  <c r="BD50" i="37"/>
  <c r="AW49" i="37"/>
  <c r="AW46" i="37"/>
  <c r="AW48" i="37"/>
  <c r="AW47" i="37"/>
  <c r="AW45" i="37"/>
  <c r="AW44" i="37"/>
  <c r="AW43" i="37"/>
  <c r="AQ14" i="36"/>
  <c r="AQ15" i="36"/>
  <c r="AQ16" i="36"/>
  <c r="AQ17" i="36"/>
  <c r="AQ18" i="36"/>
  <c r="AQ19" i="36"/>
  <c r="AQ20" i="36"/>
  <c r="AQ13" i="36"/>
  <c r="BE13" i="36" s="1"/>
  <c r="AF49" i="37" l="1"/>
  <c r="AF46" i="37"/>
  <c r="AF47" i="37"/>
  <c r="AF44" i="37"/>
  <c r="AF43" i="37"/>
  <c r="AF48" i="37"/>
  <c r="AF45" i="37"/>
  <c r="AI42" i="37"/>
  <c r="AF42" i="37"/>
  <c r="Z46" i="37"/>
  <c r="N25" i="37"/>
  <c r="AY13" i="36"/>
  <c r="BA13" i="36" s="1"/>
  <c r="BC13" i="36"/>
  <c r="M25" i="37" s="1"/>
  <c r="BE19" i="36"/>
  <c r="N31" i="37" s="1"/>
  <c r="BC19" i="36"/>
  <c r="M31" i="37" s="1"/>
  <c r="AY19" i="36"/>
  <c r="J31" i="37" s="1"/>
  <c r="I31" i="37" s="1"/>
  <c r="BE20" i="36"/>
  <c r="N32" i="37" s="1"/>
  <c r="BC20" i="36"/>
  <c r="M32" i="37" s="1"/>
  <c r="AY20" i="36"/>
  <c r="J32" i="37" s="1"/>
  <c r="I32" i="37" s="1"/>
  <c r="BE18" i="36"/>
  <c r="N30" i="37" s="1"/>
  <c r="BC18" i="36"/>
  <c r="M30" i="37" s="1"/>
  <c r="AY18" i="36"/>
  <c r="J30" i="37" s="1"/>
  <c r="I62" i="37"/>
  <c r="I61" i="37"/>
  <c r="K62" i="37"/>
  <c r="L62" i="37"/>
  <c r="K61" i="37"/>
  <c r="J62" i="37"/>
  <c r="L61" i="37"/>
  <c r="J61" i="37"/>
  <c r="Z48" i="37"/>
  <c r="Z49" i="37"/>
  <c r="Y48" i="37"/>
  <c r="Y49" i="37"/>
  <c r="BE14" i="36"/>
  <c r="N26" i="37" s="1"/>
  <c r="BC14" i="36"/>
  <c r="M26" i="37" s="1"/>
  <c r="AY14" i="36"/>
  <c r="BA14" i="36" s="1"/>
  <c r="AY16" i="36"/>
  <c r="BA16" i="36" s="1"/>
  <c r="BC16" i="36"/>
  <c r="M28" i="37" s="1"/>
  <c r="BE16" i="36"/>
  <c r="N28" i="37" s="1"/>
  <c r="BE15" i="36"/>
  <c r="N27" i="37" s="1"/>
  <c r="BC15" i="36"/>
  <c r="M27" i="37" s="1"/>
  <c r="AY15" i="36"/>
  <c r="BA15" i="36" s="1"/>
  <c r="I14" i="25"/>
  <c r="BF131" i="15"/>
  <c r="BF132" i="15"/>
  <c r="BF133" i="15"/>
  <c r="BF134" i="15"/>
  <c r="BF136" i="15"/>
  <c r="F126" i="69" l="1"/>
  <c r="F127" i="69"/>
  <c r="O14" i="25"/>
  <c r="P14" i="25"/>
  <c r="Q31" i="37"/>
  <c r="Q25" i="37"/>
  <c r="BA20" i="36"/>
  <c r="L32" i="37" s="1"/>
  <c r="K32" i="37" s="1"/>
  <c r="BA19" i="36"/>
  <c r="L31" i="37" s="1"/>
  <c r="K31" i="37" s="1"/>
  <c r="I30" i="37"/>
  <c r="BA18" i="36"/>
  <c r="L30" i="37" s="1"/>
  <c r="K30" i="37" s="1"/>
  <c r="Q30" i="37"/>
  <c r="Q32" i="37"/>
  <c r="Q27" i="37"/>
  <c r="Q26" i="37"/>
  <c r="AU49" i="37"/>
  <c r="AU48" i="37"/>
  <c r="AV48" i="37"/>
  <c r="AV49" i="37"/>
  <c r="Q28" i="37"/>
  <c r="L28" i="37"/>
  <c r="K28" i="37" s="1"/>
  <c r="J28" i="37"/>
  <c r="L25" i="37"/>
  <c r="K25" i="37" s="1"/>
  <c r="J25" i="37"/>
  <c r="L26" i="37"/>
  <c r="K26" i="37" s="1"/>
  <c r="J26" i="37"/>
  <c r="L27" i="37"/>
  <c r="K27" i="37" s="1"/>
  <c r="J27" i="37"/>
  <c r="U43" i="37" l="1"/>
  <c r="T43" i="37"/>
  <c r="S43" i="37"/>
  <c r="U44" i="37"/>
  <c r="T44" i="37"/>
  <c r="S44" i="37"/>
  <c r="S42" i="37"/>
  <c r="T42" i="37"/>
  <c r="U42" i="37"/>
  <c r="L60" i="37"/>
  <c r="K60" i="37"/>
  <c r="P31" i="37"/>
  <c r="K58" i="37"/>
  <c r="L58" i="37"/>
  <c r="P32" i="37"/>
  <c r="P30" i="37"/>
  <c r="AA47" i="37" s="1"/>
  <c r="P25" i="37"/>
  <c r="I27" i="37"/>
  <c r="P27" i="37"/>
  <c r="I26" i="37"/>
  <c r="P26" i="37"/>
  <c r="I28" i="37"/>
  <c r="P28" i="37"/>
  <c r="AA45" i="37" s="1"/>
  <c r="I25" i="37"/>
  <c r="W12" i="27"/>
  <c r="W11" i="27"/>
  <c r="W13" i="27"/>
  <c r="W10" i="27"/>
  <c r="K56" i="37" l="1"/>
  <c r="L56" i="37"/>
  <c r="K57" i="37"/>
  <c r="L57" i="37"/>
  <c r="R44" i="37"/>
  <c r="AC44" i="37" s="1"/>
  <c r="P44" i="37"/>
  <c r="AA44" i="37" s="1"/>
  <c r="Q44" i="37"/>
  <c r="AB44" i="37" s="1"/>
  <c r="R43" i="37"/>
  <c r="AC43" i="37" s="1"/>
  <c r="P43" i="37"/>
  <c r="AA43" i="37" s="1"/>
  <c r="Q43" i="37"/>
  <c r="AB43" i="37" s="1"/>
  <c r="R42" i="37"/>
  <c r="AC42" i="37" s="1"/>
  <c r="P42" i="37"/>
  <c r="AA42" i="37" s="1"/>
  <c r="Q42" i="37"/>
  <c r="AB42" i="37" s="1"/>
  <c r="L55" i="37"/>
  <c r="K55" i="37"/>
  <c r="I58" i="37"/>
  <c r="J60" i="37"/>
  <c r="I60" i="37"/>
  <c r="F12" i="27"/>
  <c r="F11" i="27"/>
  <c r="F13" i="27"/>
  <c r="F10" i="27"/>
  <c r="E12" i="27"/>
  <c r="E11" i="27"/>
  <c r="E13" i="27"/>
  <c r="E10" i="27"/>
  <c r="D12" i="27"/>
  <c r="D11" i="27"/>
  <c r="D13" i="27"/>
  <c r="D10" i="27"/>
  <c r="F125" i="69" l="1"/>
  <c r="J56" i="37"/>
  <c r="I55" i="37"/>
  <c r="J58" i="37"/>
  <c r="F123" i="69" s="1"/>
  <c r="J55" i="37"/>
  <c r="J57" i="37"/>
  <c r="I56" i="37"/>
  <c r="I57" i="37"/>
  <c r="Z31" i="14"/>
  <c r="AS28" i="15"/>
  <c r="AS29" i="15"/>
  <c r="AS30" i="15"/>
  <c r="AS31" i="15"/>
  <c r="L22" i="14" s="1"/>
  <c r="AS32" i="15"/>
  <c r="L23" i="14" s="1"/>
  <c r="AS33" i="15"/>
  <c r="AS34" i="15"/>
  <c r="F120" i="69" l="1"/>
  <c r="F122" i="69"/>
  <c r="F121" i="69"/>
  <c r="AW42" i="37"/>
  <c r="DJ32" i="31"/>
  <c r="DL25" i="31"/>
  <c r="DL26" i="31"/>
  <c r="DL27" i="31"/>
  <c r="DL28" i="31"/>
  <c r="DL29" i="31"/>
  <c r="DL30" i="31"/>
  <c r="DL31" i="31"/>
  <c r="DL24" i="31"/>
  <c r="DK24" i="31"/>
  <c r="DK25" i="31"/>
  <c r="DK26" i="31"/>
  <c r="DK27" i="31"/>
  <c r="DK28" i="31"/>
  <c r="DK29" i="31"/>
  <c r="DK30" i="31"/>
  <c r="DK31" i="31"/>
  <c r="DK32" i="31"/>
  <c r="DK33" i="31"/>
  <c r="DI24" i="31"/>
  <c r="DI25" i="31"/>
  <c r="DI26" i="31"/>
  <c r="DI28" i="31"/>
  <c r="DI29" i="31"/>
  <c r="DI30" i="31"/>
  <c r="DI31" i="31"/>
  <c r="DI32" i="31"/>
  <c r="DI33" i="31"/>
  <c r="DH24" i="31"/>
  <c r="DH25" i="31"/>
  <c r="DH26" i="31"/>
  <c r="DH27" i="31"/>
  <c r="DH28" i="31"/>
  <c r="DH30" i="31"/>
  <c r="DH31" i="31"/>
  <c r="DH32" i="31"/>
  <c r="DH33" i="31"/>
  <c r="DG24" i="31"/>
  <c r="DG25" i="31"/>
  <c r="DG26" i="31"/>
  <c r="DG29" i="31"/>
  <c r="DG30" i="31"/>
  <c r="DG31" i="31"/>
  <c r="DG32" i="31"/>
  <c r="DG33" i="31"/>
  <c r="DG6" i="31"/>
  <c r="DL7" i="31"/>
  <c r="DL8" i="31"/>
  <c r="DL9" i="31"/>
  <c r="DL10" i="31"/>
  <c r="DL11" i="31"/>
  <c r="DL12" i="31"/>
  <c r="DL13" i="31"/>
  <c r="DL6" i="31"/>
  <c r="DK6" i="31"/>
  <c r="DK7" i="31"/>
  <c r="DK8" i="31"/>
  <c r="DK9" i="31"/>
  <c r="DK10" i="31"/>
  <c r="DK11" i="31"/>
  <c r="DK12" i="31"/>
  <c r="DK13" i="31"/>
  <c r="DK14" i="31"/>
  <c r="DK15" i="31"/>
  <c r="DI6" i="31"/>
  <c r="DI7" i="31"/>
  <c r="DI8" i="31"/>
  <c r="DI9" i="31"/>
  <c r="DI10" i="31"/>
  <c r="DI11" i="31"/>
  <c r="DI12" i="31"/>
  <c r="DI13" i="31"/>
  <c r="DI14" i="31"/>
  <c r="DI15" i="31"/>
  <c r="DH6" i="31"/>
  <c r="DH7" i="31"/>
  <c r="DH8" i="31"/>
  <c r="DH9" i="31"/>
  <c r="DH10" i="31"/>
  <c r="DH12" i="31"/>
  <c r="DH13" i="31"/>
  <c r="DH14" i="31"/>
  <c r="DH15" i="31"/>
  <c r="DG7" i="31"/>
  <c r="DG8" i="31"/>
  <c r="DG11" i="31"/>
  <c r="DG12" i="31"/>
  <c r="DG13" i="31"/>
  <c r="DG14" i="31"/>
  <c r="DG15" i="31"/>
  <c r="CY25" i="31"/>
  <c r="CY27" i="31"/>
  <c r="CY29" i="31"/>
  <c r="CY30" i="31"/>
  <c r="CY32" i="31"/>
  <c r="CY33" i="31"/>
  <c r="DA25" i="31"/>
  <c r="DA26" i="31"/>
  <c r="DA27" i="31"/>
  <c r="DA28" i="31"/>
  <c r="DA30" i="31"/>
  <c r="DA31" i="31"/>
  <c r="DA32" i="31"/>
  <c r="DA33" i="31"/>
  <c r="DA24" i="31"/>
  <c r="CZ24" i="31"/>
  <c r="CZ25" i="31"/>
  <c r="CZ26" i="31"/>
  <c r="CZ27" i="31"/>
  <c r="CZ28" i="31"/>
  <c r="CZ29" i="31"/>
  <c r="CZ30" i="31"/>
  <c r="CZ31" i="31"/>
  <c r="CZ32" i="31"/>
  <c r="CZ33" i="31"/>
  <c r="CX28" i="31"/>
  <c r="CX29" i="31"/>
  <c r="CX30" i="31"/>
  <c r="CX31" i="31"/>
  <c r="CX32" i="31"/>
  <c r="CX33" i="31"/>
  <c r="CW24" i="31"/>
  <c r="CW26" i="31"/>
  <c r="CW27" i="31"/>
  <c r="CW28" i="31"/>
  <c r="CW29" i="31"/>
  <c r="CW30" i="31"/>
  <c r="CW31" i="31"/>
  <c r="CW32" i="31"/>
  <c r="CW33" i="31"/>
  <c r="CV27" i="31"/>
  <c r="CV28" i="31"/>
  <c r="CV30" i="31"/>
  <c r="CV31" i="31"/>
  <c r="CV32" i="31"/>
  <c r="CV33" i="31"/>
  <c r="CY7" i="31"/>
  <c r="CY8" i="31"/>
  <c r="CY9" i="31"/>
  <c r="CY11" i="31"/>
  <c r="DA6" i="31"/>
  <c r="DA7" i="31"/>
  <c r="DA10" i="31"/>
  <c r="DA11" i="31"/>
  <c r="DA12" i="31"/>
  <c r="DA13" i="31"/>
  <c r="DA14" i="31"/>
  <c r="DA15" i="31"/>
  <c r="CZ8" i="31"/>
  <c r="CZ9" i="31"/>
  <c r="CZ10" i="31"/>
  <c r="CZ11" i="31"/>
  <c r="CZ12" i="31"/>
  <c r="CZ13" i="31"/>
  <c r="CZ14" i="31"/>
  <c r="CZ15" i="31"/>
  <c r="CX9" i="31"/>
  <c r="CX12" i="31"/>
  <c r="CX13" i="31"/>
  <c r="CX14" i="31"/>
  <c r="CX15" i="31"/>
  <c r="CW6" i="31"/>
  <c r="CW8" i="31"/>
  <c r="CW9" i="31"/>
  <c r="CW10" i="31"/>
  <c r="CW11" i="31"/>
  <c r="CW12" i="31"/>
  <c r="CW13" i="31"/>
  <c r="CW14" i="31"/>
  <c r="CW15" i="31"/>
  <c r="CV9" i="31"/>
  <c r="CV10" i="31"/>
  <c r="CV12" i="31"/>
  <c r="CV13" i="31"/>
  <c r="CV14" i="31"/>
  <c r="CV15" i="31"/>
  <c r="CP25" i="31"/>
  <c r="CP26" i="31"/>
  <c r="CP27" i="31"/>
  <c r="CP29" i="31"/>
  <c r="CP30" i="31"/>
  <c r="CP31" i="31"/>
  <c r="CP32" i="31"/>
  <c r="CP33" i="31"/>
  <c r="CP24" i="31"/>
  <c r="CO24" i="31"/>
  <c r="CO26" i="31"/>
  <c r="CO27" i="31"/>
  <c r="CO28" i="31"/>
  <c r="CO29" i="31"/>
  <c r="CO30" i="31"/>
  <c r="CO31" i="31"/>
  <c r="CO32" i="31"/>
  <c r="CO33" i="31"/>
  <c r="CM27" i="31"/>
  <c r="CM28" i="31"/>
  <c r="CM29" i="31"/>
  <c r="CM30" i="31"/>
  <c r="CM31" i="31"/>
  <c r="CM32" i="31"/>
  <c r="CM33" i="31"/>
  <c r="CL24" i="31"/>
  <c r="CL26" i="31"/>
  <c r="CL29" i="31"/>
  <c r="CL30" i="31"/>
  <c r="CL32" i="31"/>
  <c r="CL33" i="31"/>
  <c r="CK26" i="31"/>
  <c r="CK28" i="31"/>
  <c r="CK29" i="31"/>
  <c r="CN15" i="31"/>
  <c r="CP7" i="31"/>
  <c r="CP8" i="31"/>
  <c r="CP9" i="31"/>
  <c r="CP11" i="31"/>
  <c r="CP12" i="31"/>
  <c r="CP13" i="31"/>
  <c r="CP14" i="31"/>
  <c r="CP15" i="31"/>
  <c r="CP6" i="31"/>
  <c r="CO6" i="31"/>
  <c r="CO8" i="31"/>
  <c r="CO9" i="31"/>
  <c r="CO10" i="31"/>
  <c r="CO11" i="31"/>
  <c r="CO12" i="31"/>
  <c r="CO13" i="31"/>
  <c r="CO14" i="31"/>
  <c r="CO15" i="31"/>
  <c r="CM9" i="31"/>
  <c r="CM10" i="31"/>
  <c r="CM11" i="31"/>
  <c r="CM12" i="31"/>
  <c r="CM13" i="31"/>
  <c r="CM14" i="31"/>
  <c r="CM15" i="31"/>
  <c r="CL6" i="31"/>
  <c r="CL15" i="31"/>
  <c r="CL14" i="31"/>
  <c r="CL8" i="31"/>
  <c r="CL11" i="31"/>
  <c r="CL12" i="31"/>
  <c r="CK15" i="31"/>
  <c r="CE25" i="31"/>
  <c r="CE26" i="31"/>
  <c r="CE27" i="31"/>
  <c r="CE28" i="31"/>
  <c r="CE30" i="31"/>
  <c r="CE31" i="31"/>
  <c r="CE32" i="31"/>
  <c r="CD27" i="31"/>
  <c r="CD28" i="31"/>
  <c r="CD29" i="31"/>
  <c r="CD30" i="31"/>
  <c r="CD31" i="31"/>
  <c r="CD32" i="31"/>
  <c r="CD33" i="31"/>
  <c r="CB25" i="31"/>
  <c r="CB27" i="31"/>
  <c r="CB29" i="31"/>
  <c r="CB31" i="31"/>
  <c r="CB33" i="31"/>
  <c r="CA24" i="31"/>
  <c r="CA26" i="31"/>
  <c r="CA6" i="31"/>
  <c r="BZ28" i="31"/>
  <c r="BZ29" i="31"/>
  <c r="BZ30" i="31"/>
  <c r="BZ31" i="31"/>
  <c r="BZ32" i="31"/>
  <c r="BZ33" i="31"/>
  <c r="CE7" i="31"/>
  <c r="CE8" i="31"/>
  <c r="CE9" i="31"/>
  <c r="CE10" i="31"/>
  <c r="CE12" i="31"/>
  <c r="CE13" i="31"/>
  <c r="CE14" i="31"/>
  <c r="CE15" i="31"/>
  <c r="CE6" i="31"/>
  <c r="CD6" i="31"/>
  <c r="CD10" i="31"/>
  <c r="CD11" i="31"/>
  <c r="CD12" i="31"/>
  <c r="CD13" i="31"/>
  <c r="CD14" i="31"/>
  <c r="CD15" i="31"/>
  <c r="CB7" i="31"/>
  <c r="CB9" i="31"/>
  <c r="CB11" i="31"/>
  <c r="CB13" i="31"/>
  <c r="CB15" i="31"/>
  <c r="CA8" i="31"/>
  <c r="BZ10" i="31"/>
  <c r="BZ11" i="31"/>
  <c r="BZ15" i="31"/>
  <c r="BO6" i="31"/>
  <c r="BT25" i="31"/>
  <c r="BT26" i="31"/>
  <c r="BT27" i="31"/>
  <c r="BT28" i="31"/>
  <c r="BT29" i="31"/>
  <c r="BT30" i="31"/>
  <c r="BT31" i="31"/>
  <c r="BT33" i="31"/>
  <c r="BS25" i="31"/>
  <c r="BS28" i="31"/>
  <c r="BS30" i="31"/>
  <c r="BS32" i="31"/>
  <c r="BS33" i="31"/>
  <c r="BQ24" i="31"/>
  <c r="BQ25" i="31"/>
  <c r="BQ28" i="31"/>
  <c r="BQ29" i="31"/>
  <c r="BQ30" i="31"/>
  <c r="BQ31" i="31"/>
  <c r="BQ32" i="31"/>
  <c r="BQ33" i="31"/>
  <c r="BP26" i="31"/>
  <c r="BP27" i="31"/>
  <c r="BP28" i="31"/>
  <c r="BP31" i="31"/>
  <c r="BP32" i="31"/>
  <c r="BP33" i="31"/>
  <c r="BO25" i="31"/>
  <c r="BO29" i="31"/>
  <c r="BO31" i="31"/>
  <c r="BO32" i="31"/>
  <c r="BO33" i="31"/>
  <c r="BT7" i="31"/>
  <c r="BT8" i="31"/>
  <c r="BT9" i="31"/>
  <c r="BT10" i="31"/>
  <c r="BT11" i="31"/>
  <c r="BT12" i="31"/>
  <c r="BT13" i="31"/>
  <c r="BT15" i="31"/>
  <c r="BS7" i="31"/>
  <c r="BS8" i="31"/>
  <c r="BS10" i="31"/>
  <c r="BS12" i="31"/>
  <c r="BS14" i="31"/>
  <c r="BS15" i="31"/>
  <c r="BQ7" i="31"/>
  <c r="BQ8" i="31"/>
  <c r="BQ9" i="31"/>
  <c r="BQ10" i="31"/>
  <c r="BQ11" i="31"/>
  <c r="BQ12" i="31"/>
  <c r="BQ13" i="31"/>
  <c r="BQ14" i="31"/>
  <c r="BQ15" i="31"/>
  <c r="BP7" i="31"/>
  <c r="BP8" i="31"/>
  <c r="BP9" i="31"/>
  <c r="BP10" i="31"/>
  <c r="BP11" i="31"/>
  <c r="BP13" i="31"/>
  <c r="BP14" i="31"/>
  <c r="BP15" i="31"/>
  <c r="BO15" i="31"/>
  <c r="BO7" i="31"/>
  <c r="BO10" i="31"/>
  <c r="BO11" i="31"/>
  <c r="BO13" i="31"/>
  <c r="BO14" i="31"/>
  <c r="BD33" i="31"/>
  <c r="BI25" i="31"/>
  <c r="BI26" i="31"/>
  <c r="BI27" i="31"/>
  <c r="BI28" i="31"/>
  <c r="BI29" i="31"/>
  <c r="BI30" i="31"/>
  <c r="BI31" i="31"/>
  <c r="BI32" i="31"/>
  <c r="BI33" i="31"/>
  <c r="BH25" i="31"/>
  <c r="BH26" i="31"/>
  <c r="BH27" i="31"/>
  <c r="BH28" i="31"/>
  <c r="BH29" i="31"/>
  <c r="BH30" i="31"/>
  <c r="BH31" i="31"/>
  <c r="BH32" i="31"/>
  <c r="BH33" i="31"/>
  <c r="BG25" i="31"/>
  <c r="BG26" i="31"/>
  <c r="BG27" i="31"/>
  <c r="BG28" i="31"/>
  <c r="BG29" i="31"/>
  <c r="BG30" i="31"/>
  <c r="BG31" i="31"/>
  <c r="BG32" i="31"/>
  <c r="BG33" i="31"/>
  <c r="BF25" i="31"/>
  <c r="BF26" i="31"/>
  <c r="BF27" i="31"/>
  <c r="BF28" i="31"/>
  <c r="BF29" i="31"/>
  <c r="BF30" i="31"/>
  <c r="BF31" i="31"/>
  <c r="BF32" i="31"/>
  <c r="BF33" i="31"/>
  <c r="BE25" i="31"/>
  <c r="BE26" i="31"/>
  <c r="BE27" i="31"/>
  <c r="BE28" i="31"/>
  <c r="BE29" i="31"/>
  <c r="BE30" i="31"/>
  <c r="BE31" i="31"/>
  <c r="BE32" i="31"/>
  <c r="BE33" i="31"/>
  <c r="BD24" i="31"/>
  <c r="BD32" i="31"/>
  <c r="BD25" i="31"/>
  <c r="BD26" i="31"/>
  <c r="BD27" i="31"/>
  <c r="BD28" i="31"/>
  <c r="BD29" i="31"/>
  <c r="BD30" i="31"/>
  <c r="BD31" i="31"/>
  <c r="BD15" i="31"/>
  <c r="BI7" i="31"/>
  <c r="BI8" i="31"/>
  <c r="BI9" i="31"/>
  <c r="BI10" i="31"/>
  <c r="BI11" i="31"/>
  <c r="BI12" i="31"/>
  <c r="BI13" i="31"/>
  <c r="BI14" i="31"/>
  <c r="BI15" i="31"/>
  <c r="BH7" i="31"/>
  <c r="BH8" i="31"/>
  <c r="BH9" i="31"/>
  <c r="BH11" i="31"/>
  <c r="BH12" i="31"/>
  <c r="BH13" i="31"/>
  <c r="BH14" i="31"/>
  <c r="BH15" i="31"/>
  <c r="BG7" i="31"/>
  <c r="BG10" i="31"/>
  <c r="BG13" i="31"/>
  <c r="BG15" i="31"/>
  <c r="BF7" i="31"/>
  <c r="BF9" i="31"/>
  <c r="BF10" i="31"/>
  <c r="BF11" i="31"/>
  <c r="BF13" i="31"/>
  <c r="BF14" i="31"/>
  <c r="BF15" i="31"/>
  <c r="BE9" i="31"/>
  <c r="BE10" i="31"/>
  <c r="BE11" i="31"/>
  <c r="BE12" i="31"/>
  <c r="BE14" i="31"/>
  <c r="BE15" i="31"/>
  <c r="BD7" i="31"/>
  <c r="BD8" i="31"/>
  <c r="AU25" i="31"/>
  <c r="AW25" i="31"/>
  <c r="AT26" i="31"/>
  <c r="AW26" i="31"/>
  <c r="AS27" i="31"/>
  <c r="AT27" i="31"/>
  <c r="AU27" i="31"/>
  <c r="AV27" i="31"/>
  <c r="AS28" i="31"/>
  <c r="AT28" i="31"/>
  <c r="AW28" i="31"/>
  <c r="AT29" i="31"/>
  <c r="AV29" i="31"/>
  <c r="AS30" i="31"/>
  <c r="AU30" i="31"/>
  <c r="AV30" i="31"/>
  <c r="AW30" i="31"/>
  <c r="AT31" i="31"/>
  <c r="AU31" i="31"/>
  <c r="AV31" i="31"/>
  <c r="AW31" i="31"/>
  <c r="AS32" i="31"/>
  <c r="AT32" i="31"/>
  <c r="AU32" i="31"/>
  <c r="AV32" i="31"/>
  <c r="AW32" i="31"/>
  <c r="AS33" i="31"/>
  <c r="AU33" i="31"/>
  <c r="AV33" i="31"/>
  <c r="AW33" i="31"/>
  <c r="AS9" i="31"/>
  <c r="AS10" i="31"/>
  <c r="AS12" i="31"/>
  <c r="AS14" i="31"/>
  <c r="AS15" i="31"/>
  <c r="CA15" i="31"/>
  <c r="AT15" i="31"/>
  <c r="AU15" i="31"/>
  <c r="AV15" i="31"/>
  <c r="AW15" i="31"/>
  <c r="AX15" i="31"/>
  <c r="AT14" i="31"/>
  <c r="AU14" i="31"/>
  <c r="AV14" i="31"/>
  <c r="AW14" i="31"/>
  <c r="BP24" i="31"/>
  <c r="BQ6" i="31"/>
  <c r="BP6" i="31"/>
  <c r="AW50" i="37" l="1"/>
  <c r="DK34" i="31"/>
  <c r="DK16" i="31"/>
  <c r="DL15" i="31"/>
  <c r="DI16" i="31"/>
  <c r="DJ15" i="31"/>
  <c r="CZ34" i="31"/>
  <c r="CY15" i="31"/>
  <c r="BQ16" i="31"/>
  <c r="N10" i="31" s="1"/>
  <c r="J152" i="57" s="1"/>
  <c r="BD34" i="31"/>
  <c r="J26" i="31" s="1"/>
  <c r="BI24" i="31" l="1"/>
  <c r="BI34" i="31" s="1"/>
  <c r="BH24" i="31"/>
  <c r="BH34" i="31" s="1"/>
  <c r="M26" i="31" s="1"/>
  <c r="I162" i="57" s="1"/>
  <c r="BG24" i="31"/>
  <c r="BG34" i="31" s="1"/>
  <c r="L26" i="31" s="1"/>
  <c r="G162" i="57" s="1"/>
  <c r="BF24" i="31"/>
  <c r="BF34" i="31" s="1"/>
  <c r="N26" i="31" s="1"/>
  <c r="J162" i="57" s="1"/>
  <c r="BE24" i="31"/>
  <c r="BE34" i="31" s="1"/>
  <c r="E162" i="57" s="1"/>
  <c r="BI6" i="31"/>
  <c r="BI16" i="31" s="1"/>
  <c r="BG6" i="31"/>
  <c r="O26" i="31" l="1"/>
  <c r="K162" i="57" s="1"/>
  <c r="AW6" i="31"/>
  <c r="AM24" i="31"/>
  <c r="AW7" i="31"/>
  <c r="AW8" i="31"/>
  <c r="AW10" i="31"/>
  <c r="AW12" i="31"/>
  <c r="AW13" i="31"/>
  <c r="AV9" i="31"/>
  <c r="AV11" i="31"/>
  <c r="AV12" i="31"/>
  <c r="AV13" i="31"/>
  <c r="AU7" i="31"/>
  <c r="AU9" i="31"/>
  <c r="AU12" i="31"/>
  <c r="AU13" i="31"/>
  <c r="AT8" i="31"/>
  <c r="AT9" i="31"/>
  <c r="AT10" i="31"/>
  <c r="AT11" i="31"/>
  <c r="AT13" i="31"/>
  <c r="M26" i="35" l="1"/>
  <c r="M28" i="35"/>
  <c r="M29" i="35"/>
  <c r="Z30" i="35"/>
  <c r="M31" i="35"/>
  <c r="M32" i="35"/>
  <c r="M33" i="35"/>
  <c r="Y28" i="35" l="1"/>
  <c r="Y30" i="35"/>
  <c r="Y26" i="35"/>
  <c r="Z31" i="35"/>
  <c r="Z29" i="35"/>
  <c r="Z28" i="35"/>
  <c r="Y33" i="35"/>
  <c r="Y32" i="35"/>
  <c r="M30" i="35"/>
  <c r="Y31" i="35"/>
  <c r="Z26" i="35"/>
  <c r="Z33" i="35"/>
  <c r="Y29" i="35"/>
  <c r="Z32" i="35"/>
  <c r="L61" i="29" l="1"/>
  <c r="L63" i="29"/>
  <c r="L64" i="29"/>
  <c r="L65" i="29"/>
  <c r="L67" i="29"/>
  <c r="L70" i="29"/>
  <c r="L62" i="29"/>
  <c r="L66" i="29"/>
  <c r="L69" i="29"/>
  <c r="F42" i="35"/>
  <c r="F43" i="35"/>
  <c r="F44" i="35"/>
  <c r="F45" i="35"/>
  <c r="F46" i="35"/>
  <c r="F47" i="35"/>
  <c r="F48" i="35"/>
  <c r="F49" i="35"/>
  <c r="F50" i="35"/>
  <c r="F41" i="35"/>
  <c r="D41" i="35"/>
  <c r="D42" i="35"/>
  <c r="D43" i="35"/>
  <c r="D44" i="35"/>
  <c r="D45" i="35"/>
  <c r="D46" i="35"/>
  <c r="D47" i="35"/>
  <c r="D48" i="35"/>
  <c r="D49" i="35"/>
  <c r="D50" i="35"/>
  <c r="E42" i="35"/>
  <c r="CL25" i="31" s="1"/>
  <c r="E43" i="35"/>
  <c r="E44" i="35"/>
  <c r="CA27" i="31" s="1"/>
  <c r="E45" i="35"/>
  <c r="CB28" i="31" s="1"/>
  <c r="E46" i="35"/>
  <c r="DA29" i="31" s="1"/>
  <c r="DA34" i="31" s="1"/>
  <c r="E47" i="35"/>
  <c r="CB30" i="31" s="1"/>
  <c r="E48" i="35"/>
  <c r="BS31" i="31" s="1"/>
  <c r="E49" i="35"/>
  <c r="E50" i="35"/>
  <c r="E41" i="35"/>
  <c r="C42" i="35"/>
  <c r="CL7" i="31" s="1"/>
  <c r="C43" i="35"/>
  <c r="AS8" i="31" s="1"/>
  <c r="C44" i="35"/>
  <c r="C45" i="35"/>
  <c r="C46" i="35"/>
  <c r="CE11" i="31" s="1"/>
  <c r="CE16" i="31" s="1"/>
  <c r="C47" i="35"/>
  <c r="CB12" i="31" s="1"/>
  <c r="C48" i="35"/>
  <c r="BS13" i="31" s="1"/>
  <c r="C49" i="35"/>
  <c r="C41" i="35"/>
  <c r="L68" i="29"/>
  <c r="F10" i="35"/>
  <c r="F11" i="35"/>
  <c r="F12" i="35"/>
  <c r="F13" i="35"/>
  <c r="F14" i="35"/>
  <c r="R14" i="35" s="1"/>
  <c r="BN66" i="29" s="1"/>
  <c r="S14" i="35" s="1"/>
  <c r="F15" i="35"/>
  <c r="R15" i="35" s="1"/>
  <c r="BN67" i="29" s="1"/>
  <c r="S15" i="35" s="1"/>
  <c r="F16" i="35"/>
  <c r="R16" i="35" s="1"/>
  <c r="BN68" i="29" s="1"/>
  <c r="S16" i="35" s="1"/>
  <c r="F17" i="35"/>
  <c r="R17" i="35" s="1"/>
  <c r="BN69" i="29" s="1"/>
  <c r="S17" i="35" s="1"/>
  <c r="F18" i="35"/>
  <c r="R18" i="35" s="1"/>
  <c r="BN70" i="29" s="1"/>
  <c r="S18" i="35" s="1"/>
  <c r="F9" i="35"/>
  <c r="E10" i="35"/>
  <c r="E11" i="35"/>
  <c r="P11" i="35" s="1"/>
  <c r="BB63" i="29" s="1"/>
  <c r="Q11" i="35" s="1"/>
  <c r="E12" i="35"/>
  <c r="E13" i="35"/>
  <c r="E14" i="35"/>
  <c r="P14" i="35" s="1"/>
  <c r="BB66" i="29" s="1"/>
  <c r="Q14" i="35" s="1"/>
  <c r="E15" i="35"/>
  <c r="P15" i="35" s="1"/>
  <c r="BB67" i="29" s="1"/>
  <c r="Q15" i="35" s="1"/>
  <c r="E16" i="35"/>
  <c r="P16" i="35" s="1"/>
  <c r="BB68" i="29" s="1"/>
  <c r="Q16" i="35" s="1"/>
  <c r="E17" i="35"/>
  <c r="P17" i="35" s="1"/>
  <c r="BB69" i="29" s="1"/>
  <c r="Q17" i="35" s="1"/>
  <c r="E18" i="35"/>
  <c r="P18" i="35" s="1"/>
  <c r="BB70" i="29" s="1"/>
  <c r="Q18" i="35" s="1"/>
  <c r="E9" i="35"/>
  <c r="D10" i="35"/>
  <c r="D11" i="35"/>
  <c r="J26" i="35" s="1"/>
  <c r="D12" i="35"/>
  <c r="D13" i="35"/>
  <c r="J28" i="35" s="1"/>
  <c r="D14" i="35"/>
  <c r="J29" i="35" s="1"/>
  <c r="D15" i="35"/>
  <c r="J30" i="35" s="1"/>
  <c r="D16" i="35"/>
  <c r="J31" i="35" s="1"/>
  <c r="D17" i="35"/>
  <c r="J32" i="35" s="1"/>
  <c r="D18" i="35"/>
  <c r="J33" i="35" s="1"/>
  <c r="D9" i="35"/>
  <c r="C10" i="35"/>
  <c r="C11" i="35"/>
  <c r="C12" i="35"/>
  <c r="C13" i="35"/>
  <c r="C14" i="35"/>
  <c r="C15" i="35"/>
  <c r="C16" i="35"/>
  <c r="C17" i="35"/>
  <c r="C18" i="35"/>
  <c r="C9" i="35"/>
  <c r="BF62" i="29"/>
  <c r="BK62" i="29" s="1"/>
  <c r="N10" i="35" s="1"/>
  <c r="BF63" i="29"/>
  <c r="BK63" i="29" s="1"/>
  <c r="N11" i="35" s="1"/>
  <c r="BF64" i="29"/>
  <c r="BK64" i="29" s="1"/>
  <c r="N12" i="35" s="1"/>
  <c r="BF65" i="29"/>
  <c r="BK65" i="29" s="1"/>
  <c r="N13" i="35" s="1"/>
  <c r="BF66" i="29"/>
  <c r="BK66" i="29" s="1"/>
  <c r="N14" i="35" s="1"/>
  <c r="BF67" i="29"/>
  <c r="BK67" i="29" s="1"/>
  <c r="N15" i="35" s="1"/>
  <c r="BF68" i="29"/>
  <c r="BK68" i="29" s="1"/>
  <c r="N16" i="35" s="1"/>
  <c r="BF69" i="29"/>
  <c r="BK69" i="29" s="1"/>
  <c r="N17" i="35" s="1"/>
  <c r="BF70" i="29"/>
  <c r="BK70" i="29" s="1"/>
  <c r="N18" i="35" s="1"/>
  <c r="BF61" i="29"/>
  <c r="P854" i="16"/>
  <c r="C25" i="35" l="1"/>
  <c r="P10" i="35"/>
  <c r="BB62" i="29" s="1"/>
  <c r="Q10" i="35" s="1"/>
  <c r="D28" i="35"/>
  <c r="R13" i="35"/>
  <c r="BN65" i="29" s="1"/>
  <c r="S13" i="35" s="1"/>
  <c r="D27" i="35"/>
  <c r="R12" i="35"/>
  <c r="BN64" i="29" s="1"/>
  <c r="S12" i="35" s="1"/>
  <c r="C28" i="35"/>
  <c r="P13" i="35"/>
  <c r="BB65" i="29" s="1"/>
  <c r="Q13" i="35" s="1"/>
  <c r="D26" i="35"/>
  <c r="R11" i="35"/>
  <c r="BN63" i="29" s="1"/>
  <c r="S11" i="35" s="1"/>
  <c r="C27" i="35"/>
  <c r="P12" i="35"/>
  <c r="BB64" i="29" s="1"/>
  <c r="Q12" i="35" s="1"/>
  <c r="D25" i="35"/>
  <c r="R10" i="35"/>
  <c r="BN62" i="29" s="1"/>
  <c r="S10" i="35" s="1"/>
  <c r="BR24" i="31"/>
  <c r="AW24" i="31"/>
  <c r="D24" i="35"/>
  <c r="C24" i="35"/>
  <c r="AS6" i="31"/>
  <c r="BT6" i="31"/>
  <c r="CB24" i="31"/>
  <c r="BT24" i="31"/>
  <c r="CM7" i="31"/>
  <c r="AV7" i="31"/>
  <c r="CB6" i="31"/>
  <c r="CM6" i="31"/>
  <c r="CB26" i="31"/>
  <c r="AS26" i="31"/>
  <c r="BT14" i="31"/>
  <c r="CB14" i="31"/>
  <c r="CY10" i="31"/>
  <c r="CB10" i="31"/>
  <c r="CD9" i="31"/>
  <c r="CA9" i="31"/>
  <c r="BF8" i="31"/>
  <c r="CB8" i="31"/>
  <c r="BE7" i="31"/>
  <c r="CA7" i="31"/>
  <c r="BT32" i="31"/>
  <c r="CB32" i="31"/>
  <c r="CM25" i="31"/>
  <c r="CA25" i="31"/>
  <c r="O29" i="31"/>
  <c r="K165" i="57" s="1"/>
  <c r="BE6" i="31"/>
  <c r="BD6" i="31"/>
  <c r="H18" i="35"/>
  <c r="AV70" i="29" s="1"/>
  <c r="I18" i="35" s="1"/>
  <c r="H17" i="35"/>
  <c r="AV69" i="29" s="1"/>
  <c r="I17" i="35" s="1"/>
  <c r="H16" i="35"/>
  <c r="AV68" i="29" s="1"/>
  <c r="I16" i="35" s="1"/>
  <c r="H15" i="35"/>
  <c r="AV67" i="29" s="1"/>
  <c r="I15" i="35" s="1"/>
  <c r="H14" i="35"/>
  <c r="J18" i="35"/>
  <c r="BH70" i="29" s="1"/>
  <c r="K18" i="35" s="1"/>
  <c r="O18" i="35"/>
  <c r="J17" i="35"/>
  <c r="BH69" i="29" s="1"/>
  <c r="K17" i="35" s="1"/>
  <c r="O17" i="35"/>
  <c r="J16" i="35"/>
  <c r="BH68" i="29" s="1"/>
  <c r="K16" i="35" s="1"/>
  <c r="O16" i="35"/>
  <c r="J15" i="35"/>
  <c r="BH67" i="29" s="1"/>
  <c r="K15" i="35" s="1"/>
  <c r="O15" i="35"/>
  <c r="J14" i="35"/>
  <c r="DG27" i="31"/>
  <c r="CX27" i="31"/>
  <c r="AW29" i="31"/>
  <c r="CE29" i="31"/>
  <c r="CE34" i="31" s="1"/>
  <c r="D32" i="35"/>
  <c r="K27" i="35"/>
  <c r="M27" i="35" s="1"/>
  <c r="J27" i="35"/>
  <c r="C33" i="35"/>
  <c r="D31" i="35"/>
  <c r="AS11" i="31"/>
  <c r="AW11" i="31"/>
  <c r="S24" i="35"/>
  <c r="J24" i="35"/>
  <c r="C32" i="35"/>
  <c r="D30" i="35"/>
  <c r="C30" i="35"/>
  <c r="C31" i="35"/>
  <c r="D33" i="35"/>
  <c r="BS29" i="31"/>
  <c r="AS29" i="31"/>
  <c r="D29" i="35"/>
  <c r="C29" i="35"/>
  <c r="C26" i="35"/>
  <c r="CY28" i="31"/>
  <c r="CY6" i="31"/>
  <c r="AX6" i="31"/>
  <c r="DG9" i="31"/>
  <c r="BE8" i="31"/>
  <c r="BS24" i="31"/>
  <c r="CY24" i="31"/>
  <c r="BS6" i="31"/>
  <c r="CV6" i="31"/>
  <c r="BG12" i="31"/>
  <c r="BP12" i="31"/>
  <c r="BP16" i="31" s="1"/>
  <c r="CL10" i="31"/>
  <c r="DH11" i="31"/>
  <c r="DH16" i="31" s="1"/>
  <c r="BS11" i="31"/>
  <c r="CW7" i="31"/>
  <c r="CW16" i="31" s="1"/>
  <c r="L12" i="31" s="1"/>
  <c r="G154" i="57" s="1"/>
  <c r="CW25" i="31"/>
  <c r="CW34" i="31" s="1"/>
  <c r="L29" i="31" s="1"/>
  <c r="G165" i="57" s="1"/>
  <c r="AT33" i="31"/>
  <c r="AT30" i="31"/>
  <c r="BP30" i="31"/>
  <c r="AS31" i="31"/>
  <c r="CL31" i="31"/>
  <c r="AU28" i="31"/>
  <c r="CL28" i="31"/>
  <c r="AU29" i="31"/>
  <c r="DH29" i="31"/>
  <c r="DH34" i="31" s="1"/>
  <c r="AT24" i="31"/>
  <c r="AU24" i="31"/>
  <c r="BD14" i="31"/>
  <c r="BG14" i="31"/>
  <c r="BO9" i="31"/>
  <c r="BG9" i="31"/>
  <c r="BE13" i="31"/>
  <c r="CL13" i="31"/>
  <c r="AV8" i="31"/>
  <c r="BG8" i="31"/>
  <c r="BF6" i="31"/>
  <c r="AU6" i="31"/>
  <c r="AT12" i="31"/>
  <c r="BF12" i="31"/>
  <c r="AU11" i="31"/>
  <c r="BG11" i="31"/>
  <c r="AU10" i="31"/>
  <c r="BH10" i="31"/>
  <c r="CY26" i="31"/>
  <c r="AX26" i="31"/>
  <c r="AX25" i="31"/>
  <c r="BD13" i="31"/>
  <c r="AS13" i="31"/>
  <c r="AX33" i="31"/>
  <c r="DJ33" i="31"/>
  <c r="AX32" i="31"/>
  <c r="AX31" i="31"/>
  <c r="CY31" i="31"/>
  <c r="BO27" i="31"/>
  <c r="BD9" i="31"/>
  <c r="AW9" i="31"/>
  <c r="AT7" i="31"/>
  <c r="AS7" i="31"/>
  <c r="AT6" i="31"/>
  <c r="AX27" i="31"/>
  <c r="AW27" i="31"/>
  <c r="CV26" i="31"/>
  <c r="AV26" i="31"/>
  <c r="CK25" i="31"/>
  <c r="AS25" i="31"/>
  <c r="BD12" i="31"/>
  <c r="BO12" i="31"/>
  <c r="BD11" i="31"/>
  <c r="CV11" i="31"/>
  <c r="BD10" i="31"/>
  <c r="DG10" i="31"/>
  <c r="AU8" i="31"/>
  <c r="CV8" i="31"/>
  <c r="AX30" i="31"/>
  <c r="BO30" i="31"/>
  <c r="AX29" i="31"/>
  <c r="CV29" i="31"/>
  <c r="DG28" i="31"/>
  <c r="AX28" i="31"/>
  <c r="CN14" i="31"/>
  <c r="AX14" i="31"/>
  <c r="BO26" i="31"/>
  <c r="AU26" i="31"/>
  <c r="CV25" i="31"/>
  <c r="AT25" i="31"/>
  <c r="CM8" i="31"/>
  <c r="BO8" i="31"/>
  <c r="CO7" i="31"/>
  <c r="CO16" i="31" s="1"/>
  <c r="CV7" i="31"/>
  <c r="AV6" i="31"/>
  <c r="BZ6" i="31"/>
  <c r="CL27" i="31"/>
  <c r="CK27" i="31"/>
  <c r="CO25" i="31"/>
  <c r="CO34" i="31" s="1"/>
  <c r="AV25" i="31"/>
  <c r="CP10" i="31"/>
  <c r="CP16" i="31" s="1"/>
  <c r="AV10" i="31"/>
  <c r="CP28" i="31"/>
  <c r="CP34" i="31" s="1"/>
  <c r="AV28" i="31"/>
  <c r="DJ13" i="31"/>
  <c r="CN13" i="31"/>
  <c r="DJ12" i="31"/>
  <c r="CN12" i="31"/>
  <c r="DL33" i="31"/>
  <c r="CN33" i="31"/>
  <c r="DL32" i="31"/>
  <c r="CN32" i="31"/>
  <c r="DJ31" i="31"/>
  <c r="CN31" i="31"/>
  <c r="DJ30" i="31"/>
  <c r="CN30" i="31"/>
  <c r="CX26" i="31"/>
  <c r="CM26" i="31"/>
  <c r="BS9" i="31"/>
  <c r="CL9" i="31"/>
  <c r="CD8" i="31"/>
  <c r="CX8" i="31"/>
  <c r="CX7" i="31"/>
  <c r="CD7" i="31"/>
  <c r="DI27" i="31"/>
  <c r="DI34" i="31" s="1"/>
  <c r="BS27" i="31"/>
  <c r="BS26" i="31"/>
  <c r="CD26" i="31"/>
  <c r="CD25" i="31"/>
  <c r="CX25" i="31"/>
  <c r="CD24" i="31"/>
  <c r="CX24" i="31"/>
  <c r="CX6" i="31"/>
  <c r="AS24" i="31"/>
  <c r="AX24" i="31"/>
  <c r="AV24" i="31"/>
  <c r="CV24" i="31"/>
  <c r="BH6" i="31"/>
  <c r="CN6" i="31"/>
  <c r="DJ6" i="31"/>
  <c r="CK6" i="31"/>
  <c r="CM24" i="31"/>
  <c r="CK24" i="31"/>
  <c r="CN26" i="31"/>
  <c r="DJ26" i="31"/>
  <c r="CN29" i="31"/>
  <c r="DJ29" i="31"/>
  <c r="CN28" i="31"/>
  <c r="DJ28" i="31"/>
  <c r="CN27" i="31"/>
  <c r="DJ27" i="31"/>
  <c r="DJ14" i="31"/>
  <c r="DL14" i="31"/>
  <c r="DL16" i="31" s="1"/>
  <c r="CN25" i="31"/>
  <c r="DJ25" i="31"/>
  <c r="CN24" i="31"/>
  <c r="DJ24" i="31"/>
  <c r="CX11" i="31"/>
  <c r="DJ11" i="31"/>
  <c r="CX10" i="31"/>
  <c r="DJ10" i="31"/>
  <c r="DA9" i="31"/>
  <c r="DJ9" i="31"/>
  <c r="DA8" i="31"/>
  <c r="DJ8" i="31"/>
  <c r="CZ7" i="31"/>
  <c r="DJ7" i="31"/>
  <c r="CZ6" i="31"/>
  <c r="CK14" i="31"/>
  <c r="CY14" i="31"/>
  <c r="CK13" i="31"/>
  <c r="CY13" i="31"/>
  <c r="CK12" i="31"/>
  <c r="CY12" i="31"/>
  <c r="CK10" i="31"/>
  <c r="CN10" i="31"/>
  <c r="CK7" i="31"/>
  <c r="CN7" i="31"/>
  <c r="CK11" i="31"/>
  <c r="CN11" i="31"/>
  <c r="CK9" i="31"/>
  <c r="CN9" i="31"/>
  <c r="CK8" i="31"/>
  <c r="CN8" i="31"/>
  <c r="CA33" i="31"/>
  <c r="CK33" i="31"/>
  <c r="CA32" i="31"/>
  <c r="CK32" i="31"/>
  <c r="CA31" i="31"/>
  <c r="CK31" i="31"/>
  <c r="CA30" i="31"/>
  <c r="CK30" i="31"/>
  <c r="S32" i="35"/>
  <c r="T32" i="35"/>
  <c r="Q32" i="35"/>
  <c r="R32" i="35"/>
  <c r="T26" i="35"/>
  <c r="Q26" i="35"/>
  <c r="S26" i="35"/>
  <c r="R26" i="35"/>
  <c r="S33" i="35"/>
  <c r="R33" i="35"/>
  <c r="T33" i="35"/>
  <c r="Q33" i="35"/>
  <c r="S31" i="35"/>
  <c r="T31" i="35"/>
  <c r="Q31" i="35"/>
  <c r="R31" i="35"/>
  <c r="R30" i="35"/>
  <c r="T30" i="35"/>
  <c r="Q30" i="35"/>
  <c r="S30" i="35"/>
  <c r="R29" i="35"/>
  <c r="T29" i="35"/>
  <c r="Q29" i="35"/>
  <c r="S29" i="35"/>
  <c r="T28" i="35"/>
  <c r="Q28" i="35"/>
  <c r="S28" i="35"/>
  <c r="R28" i="35"/>
  <c r="T27" i="35"/>
  <c r="Q27" i="35"/>
  <c r="S27" i="35"/>
  <c r="R27" i="35"/>
  <c r="BZ14" i="31"/>
  <c r="CA14" i="31"/>
  <c r="BZ12" i="31"/>
  <c r="CA12" i="31"/>
  <c r="CA11" i="31"/>
  <c r="BZ13" i="31"/>
  <c r="CA13" i="31"/>
  <c r="BZ9" i="31"/>
  <c r="BZ8" i="31"/>
  <c r="CA10" i="31"/>
  <c r="BZ7" i="31"/>
  <c r="BO24" i="31"/>
  <c r="BZ24" i="31"/>
  <c r="BQ26" i="31"/>
  <c r="BZ26" i="31"/>
  <c r="BP25" i="31"/>
  <c r="BZ25" i="31"/>
  <c r="BP29" i="31"/>
  <c r="CA29" i="31"/>
  <c r="BO28" i="31"/>
  <c r="CA28" i="31"/>
  <c r="BQ27" i="31"/>
  <c r="BZ27" i="31"/>
  <c r="AX10" i="31"/>
  <c r="AX11" i="31"/>
  <c r="AX9" i="31"/>
  <c r="AX13" i="31"/>
  <c r="AX12" i="31"/>
  <c r="AX8" i="31"/>
  <c r="AX7" i="31"/>
  <c r="I1521" i="16"/>
  <c r="I1680" i="16"/>
  <c r="G1680" i="16"/>
  <c r="C1680" i="16"/>
  <c r="I1679" i="16"/>
  <c r="G1679" i="16"/>
  <c r="C1679" i="16"/>
  <c r="I1678" i="16"/>
  <c r="G1678" i="16"/>
  <c r="C1678" i="16"/>
  <c r="I1677" i="16"/>
  <c r="G1677" i="16"/>
  <c r="C1677" i="16"/>
  <c r="I1676" i="16"/>
  <c r="G1676" i="16"/>
  <c r="C1676" i="16"/>
  <c r="I1675" i="16"/>
  <c r="G1675" i="16"/>
  <c r="C1675" i="16"/>
  <c r="I1674" i="16"/>
  <c r="G1674" i="16"/>
  <c r="C1674" i="16"/>
  <c r="I1673" i="16"/>
  <c r="G1673" i="16"/>
  <c r="C1673" i="16"/>
  <c r="I1672" i="16"/>
  <c r="G1672" i="16"/>
  <c r="C1672" i="16"/>
  <c r="I1671" i="16"/>
  <c r="G1671" i="16"/>
  <c r="C1671" i="16"/>
  <c r="I1670" i="16"/>
  <c r="G1670" i="16"/>
  <c r="C1670" i="16"/>
  <c r="I1669" i="16"/>
  <c r="G1669" i="16"/>
  <c r="C1669" i="16"/>
  <c r="I1668" i="16"/>
  <c r="G1668" i="16"/>
  <c r="C1668" i="16"/>
  <c r="I1667" i="16"/>
  <c r="G1667" i="16"/>
  <c r="C1667" i="16"/>
  <c r="I1666" i="16"/>
  <c r="G1666" i="16"/>
  <c r="C1666" i="16"/>
  <c r="I1665" i="16"/>
  <c r="G1665" i="16"/>
  <c r="C1665" i="16"/>
  <c r="I1664" i="16"/>
  <c r="G1664" i="16"/>
  <c r="C1664" i="16"/>
  <c r="I1663" i="16"/>
  <c r="G1663" i="16"/>
  <c r="C1663" i="16"/>
  <c r="I1662" i="16"/>
  <c r="G1662" i="16"/>
  <c r="C1662" i="16"/>
  <c r="I1661" i="16"/>
  <c r="G1661" i="16"/>
  <c r="C1661" i="16"/>
  <c r="I1660" i="16"/>
  <c r="G1660" i="16"/>
  <c r="C1660" i="16"/>
  <c r="I1659" i="16"/>
  <c r="G1659" i="16"/>
  <c r="C1659" i="16"/>
  <c r="I1658" i="16"/>
  <c r="G1658" i="16"/>
  <c r="C1658" i="16"/>
  <c r="I1657" i="16"/>
  <c r="G1657" i="16"/>
  <c r="C1657" i="16"/>
  <c r="I1656" i="16"/>
  <c r="G1656" i="16"/>
  <c r="C1656" i="16"/>
  <c r="I1655" i="16"/>
  <c r="G1655" i="16"/>
  <c r="C1655" i="16"/>
  <c r="I1654" i="16"/>
  <c r="G1654" i="16"/>
  <c r="C1654" i="16"/>
  <c r="I1653" i="16"/>
  <c r="G1653" i="16"/>
  <c r="C1653" i="16"/>
  <c r="I1652" i="16"/>
  <c r="G1652" i="16"/>
  <c r="C1652" i="16"/>
  <c r="I1651" i="16"/>
  <c r="G1651" i="16"/>
  <c r="C1651" i="16"/>
  <c r="I1650" i="16"/>
  <c r="G1650" i="16"/>
  <c r="C1650" i="16"/>
  <c r="I1649" i="16"/>
  <c r="G1649" i="16"/>
  <c r="C1649" i="16"/>
  <c r="I1648" i="16"/>
  <c r="G1648" i="16"/>
  <c r="C1648" i="16"/>
  <c r="I1647" i="16"/>
  <c r="G1647" i="16"/>
  <c r="C1647" i="16"/>
  <c r="I1646" i="16"/>
  <c r="G1646" i="16"/>
  <c r="C1646" i="16"/>
  <c r="I1645" i="16"/>
  <c r="G1645" i="16"/>
  <c r="C1645" i="16"/>
  <c r="I1644" i="16"/>
  <c r="G1644" i="16"/>
  <c r="C1644" i="16"/>
  <c r="I1643" i="16"/>
  <c r="G1643" i="16"/>
  <c r="C1643" i="16"/>
  <c r="I1642" i="16"/>
  <c r="G1642" i="16"/>
  <c r="C1642" i="16"/>
  <c r="I1641" i="16"/>
  <c r="G1641" i="16"/>
  <c r="C1641" i="16"/>
  <c r="I1640" i="16"/>
  <c r="G1640" i="16"/>
  <c r="C1640" i="16"/>
  <c r="I1639" i="16"/>
  <c r="G1639" i="16"/>
  <c r="C1639" i="16"/>
  <c r="I1638" i="16"/>
  <c r="G1638" i="16"/>
  <c r="C1638" i="16"/>
  <c r="I1637" i="16"/>
  <c r="G1637" i="16"/>
  <c r="C1637" i="16"/>
  <c r="I1636" i="16"/>
  <c r="G1636" i="16"/>
  <c r="C1636" i="16"/>
  <c r="I1635" i="16"/>
  <c r="G1635" i="16"/>
  <c r="C1635" i="16"/>
  <c r="I1634" i="16"/>
  <c r="G1634" i="16"/>
  <c r="C1634" i="16"/>
  <c r="I1633" i="16"/>
  <c r="G1633" i="16"/>
  <c r="C1633" i="16"/>
  <c r="I1632" i="16"/>
  <c r="I1631" i="16"/>
  <c r="I1630" i="16"/>
  <c r="I1629" i="16"/>
  <c r="I1628" i="16"/>
  <c r="I1627" i="16"/>
  <c r="I1626" i="16"/>
  <c r="I1625" i="16"/>
  <c r="I1624" i="16"/>
  <c r="I1623" i="16"/>
  <c r="I1622" i="16"/>
  <c r="I1621" i="16"/>
  <c r="I1620" i="16"/>
  <c r="I1619" i="16"/>
  <c r="I1618" i="16"/>
  <c r="I1617" i="16"/>
  <c r="I1616" i="16"/>
  <c r="G1616" i="16"/>
  <c r="C1616" i="16"/>
  <c r="I1615" i="16"/>
  <c r="G1615" i="16"/>
  <c r="C1615" i="16"/>
  <c r="I1614" i="16"/>
  <c r="G1614" i="16"/>
  <c r="C1614" i="16"/>
  <c r="I1613" i="16"/>
  <c r="G1613" i="16"/>
  <c r="C1613" i="16"/>
  <c r="I1612" i="16"/>
  <c r="G1612" i="16"/>
  <c r="C1612" i="16"/>
  <c r="I1611" i="16"/>
  <c r="G1611" i="16"/>
  <c r="C1611" i="16"/>
  <c r="I1610" i="16"/>
  <c r="G1610" i="16"/>
  <c r="C1610" i="16"/>
  <c r="I1609" i="16"/>
  <c r="G1609" i="16"/>
  <c r="C1609" i="16"/>
  <c r="I1608" i="16"/>
  <c r="G1608" i="16"/>
  <c r="C1608" i="16"/>
  <c r="I1607" i="16"/>
  <c r="G1607" i="16"/>
  <c r="C1607" i="16"/>
  <c r="I1606" i="16"/>
  <c r="G1606" i="16"/>
  <c r="C1606" i="16"/>
  <c r="I1605" i="16"/>
  <c r="G1605" i="16"/>
  <c r="C1605" i="16"/>
  <c r="I1604" i="16"/>
  <c r="G1604" i="16"/>
  <c r="C1604" i="16"/>
  <c r="I1603" i="16"/>
  <c r="G1603" i="16"/>
  <c r="C1603" i="16"/>
  <c r="I1602" i="16"/>
  <c r="G1602" i="16"/>
  <c r="C1602" i="16"/>
  <c r="I1601" i="16"/>
  <c r="G1601" i="16"/>
  <c r="C1601" i="16"/>
  <c r="I1600" i="16"/>
  <c r="G1600" i="16"/>
  <c r="C1600" i="16"/>
  <c r="I1599" i="16"/>
  <c r="G1599" i="16"/>
  <c r="C1599" i="16"/>
  <c r="I1598" i="16"/>
  <c r="G1598" i="16"/>
  <c r="C1598" i="16"/>
  <c r="I1597" i="16"/>
  <c r="G1597" i="16"/>
  <c r="C1597" i="16"/>
  <c r="I1596" i="16"/>
  <c r="G1596" i="16"/>
  <c r="C1596" i="16"/>
  <c r="I1595" i="16"/>
  <c r="G1595" i="16"/>
  <c r="C1595" i="16"/>
  <c r="I1594" i="16"/>
  <c r="G1594" i="16"/>
  <c r="C1594" i="16"/>
  <c r="I1593" i="16"/>
  <c r="G1593" i="16"/>
  <c r="C1593" i="16"/>
  <c r="I1592" i="16"/>
  <c r="G1592" i="16"/>
  <c r="C1592" i="16"/>
  <c r="I1591" i="16"/>
  <c r="G1591" i="16"/>
  <c r="C1591" i="16"/>
  <c r="I1590" i="16"/>
  <c r="G1590" i="16"/>
  <c r="C1590" i="16"/>
  <c r="I1589" i="16"/>
  <c r="G1589" i="16"/>
  <c r="C1589" i="16"/>
  <c r="I1588" i="16"/>
  <c r="G1588" i="16"/>
  <c r="C1588" i="16"/>
  <c r="I1587" i="16"/>
  <c r="G1587" i="16"/>
  <c r="C1587" i="16"/>
  <c r="I1586" i="16"/>
  <c r="G1586" i="16"/>
  <c r="C1586" i="16"/>
  <c r="I1585" i="16"/>
  <c r="G1585" i="16"/>
  <c r="C1585" i="16"/>
  <c r="I1584" i="16"/>
  <c r="G1584" i="16"/>
  <c r="C1584" i="16"/>
  <c r="I1583" i="16"/>
  <c r="G1583" i="16"/>
  <c r="C1583" i="16"/>
  <c r="I1582" i="16"/>
  <c r="G1582" i="16"/>
  <c r="C1582" i="16"/>
  <c r="I1581" i="16"/>
  <c r="G1581" i="16"/>
  <c r="C1581" i="16"/>
  <c r="I1580" i="16"/>
  <c r="G1580" i="16"/>
  <c r="C1580" i="16"/>
  <c r="I1579" i="16"/>
  <c r="G1579" i="16"/>
  <c r="C1579" i="16"/>
  <c r="I1578" i="16"/>
  <c r="G1578" i="16"/>
  <c r="C1578" i="16"/>
  <c r="I1577" i="16"/>
  <c r="G1577" i="16"/>
  <c r="C1577" i="16"/>
  <c r="I1576" i="16"/>
  <c r="G1576" i="16"/>
  <c r="C1576" i="16"/>
  <c r="I1575" i="16"/>
  <c r="G1575" i="16"/>
  <c r="C1575" i="16"/>
  <c r="I1574" i="16"/>
  <c r="G1574" i="16"/>
  <c r="C1574" i="16"/>
  <c r="I1573" i="16"/>
  <c r="G1573" i="16"/>
  <c r="C1573" i="16"/>
  <c r="I1572" i="16"/>
  <c r="G1572" i="16"/>
  <c r="C1572" i="16"/>
  <c r="I1571" i="16"/>
  <c r="G1571" i="16"/>
  <c r="C1571" i="16"/>
  <c r="I1570" i="16"/>
  <c r="G1570" i="16"/>
  <c r="C1570" i="16"/>
  <c r="I1569" i="16"/>
  <c r="G1569" i="16"/>
  <c r="C1569" i="16"/>
  <c r="I1568" i="16"/>
  <c r="G1568" i="16"/>
  <c r="C1568" i="16"/>
  <c r="I1567" i="16"/>
  <c r="G1567" i="16"/>
  <c r="C1567" i="16"/>
  <c r="I1566" i="16"/>
  <c r="G1566" i="16"/>
  <c r="C1566" i="16"/>
  <c r="I1565" i="16"/>
  <c r="G1565" i="16"/>
  <c r="C1565" i="16"/>
  <c r="I1564" i="16"/>
  <c r="G1564" i="16"/>
  <c r="C1564" i="16"/>
  <c r="I1563" i="16"/>
  <c r="G1563" i="16"/>
  <c r="C1563" i="16"/>
  <c r="I1562" i="16"/>
  <c r="G1562" i="16"/>
  <c r="C1562" i="16"/>
  <c r="I1561" i="16"/>
  <c r="G1561" i="16"/>
  <c r="C1561" i="16"/>
  <c r="I1560" i="16"/>
  <c r="G1560" i="16"/>
  <c r="C1560" i="16"/>
  <c r="I1559" i="16"/>
  <c r="G1559" i="16"/>
  <c r="C1559" i="16"/>
  <c r="I1558" i="16"/>
  <c r="G1558" i="16"/>
  <c r="C1558" i="16"/>
  <c r="I1557" i="16"/>
  <c r="G1557" i="16"/>
  <c r="C1557" i="16"/>
  <c r="I1556" i="16"/>
  <c r="G1556" i="16"/>
  <c r="C1556" i="16"/>
  <c r="I1555" i="16"/>
  <c r="G1555" i="16"/>
  <c r="C1555" i="16"/>
  <c r="I1554" i="16"/>
  <c r="G1554" i="16"/>
  <c r="C1554" i="16"/>
  <c r="I1553" i="16"/>
  <c r="G1553" i="16"/>
  <c r="C1553" i="16"/>
  <c r="I1552" i="16"/>
  <c r="G1552" i="16"/>
  <c r="C1552" i="16"/>
  <c r="I1551" i="16"/>
  <c r="G1551" i="16"/>
  <c r="C1551" i="16"/>
  <c r="I1550" i="16"/>
  <c r="G1550" i="16"/>
  <c r="C1550" i="16"/>
  <c r="I1549" i="16"/>
  <c r="G1549" i="16"/>
  <c r="C1549" i="16"/>
  <c r="I1548" i="16"/>
  <c r="G1548" i="16"/>
  <c r="C1548" i="16"/>
  <c r="I1547" i="16"/>
  <c r="G1547" i="16"/>
  <c r="C1547" i="16"/>
  <c r="I1546" i="16"/>
  <c r="G1546" i="16"/>
  <c r="C1546" i="16"/>
  <c r="I1545" i="16"/>
  <c r="G1545" i="16"/>
  <c r="C1545" i="16"/>
  <c r="I1544" i="16"/>
  <c r="G1544" i="16"/>
  <c r="C1544" i="16"/>
  <c r="I1543" i="16"/>
  <c r="G1543" i="16"/>
  <c r="C1543" i="16"/>
  <c r="I1542" i="16"/>
  <c r="G1542" i="16"/>
  <c r="C1542" i="16"/>
  <c r="I1541" i="16"/>
  <c r="G1541" i="16"/>
  <c r="C1541" i="16"/>
  <c r="I1540" i="16"/>
  <c r="G1540" i="16"/>
  <c r="C1540" i="16"/>
  <c r="I1539" i="16"/>
  <c r="G1539" i="16"/>
  <c r="C1539" i="16"/>
  <c r="I1538" i="16"/>
  <c r="G1538" i="16"/>
  <c r="C1538" i="16"/>
  <c r="I1537" i="16"/>
  <c r="G1537" i="16"/>
  <c r="C1537" i="16"/>
  <c r="I1536" i="16"/>
  <c r="G1536" i="16"/>
  <c r="C1536" i="16"/>
  <c r="I1535" i="16"/>
  <c r="G1535" i="16"/>
  <c r="C1535" i="16"/>
  <c r="I1534" i="16"/>
  <c r="G1534" i="16"/>
  <c r="C1534" i="16"/>
  <c r="I1533" i="16"/>
  <c r="G1533" i="16"/>
  <c r="C1533" i="16"/>
  <c r="I1532" i="16"/>
  <c r="G1532" i="16"/>
  <c r="C1532" i="16"/>
  <c r="I1531" i="16"/>
  <c r="G1531" i="16"/>
  <c r="C1531" i="16"/>
  <c r="I1530" i="16"/>
  <c r="G1530" i="16"/>
  <c r="C1530" i="16"/>
  <c r="I1529" i="16"/>
  <c r="G1529" i="16"/>
  <c r="C1529" i="16"/>
  <c r="I1528" i="16"/>
  <c r="G1528" i="16"/>
  <c r="C1528" i="16"/>
  <c r="I1527" i="16"/>
  <c r="G1527" i="16"/>
  <c r="C1527" i="16"/>
  <c r="I1526" i="16"/>
  <c r="G1526" i="16"/>
  <c r="C1526" i="16"/>
  <c r="I1525" i="16"/>
  <c r="G1525" i="16"/>
  <c r="C1525" i="16"/>
  <c r="I1524" i="16"/>
  <c r="G1524" i="16"/>
  <c r="C1524" i="16"/>
  <c r="I1523" i="16"/>
  <c r="G1523" i="16"/>
  <c r="C1523" i="16"/>
  <c r="I1522" i="16"/>
  <c r="G1522" i="16"/>
  <c r="C1522" i="16"/>
  <c r="G1521" i="16"/>
  <c r="C1521" i="16"/>
  <c r="U35" i="69" l="1"/>
  <c r="U34" i="69"/>
  <c r="U32" i="69"/>
  <c r="M33" i="69"/>
  <c r="U33" i="69"/>
  <c r="U31" i="69"/>
  <c r="BT16" i="31"/>
  <c r="O10" i="31" s="1"/>
  <c r="K152" i="57" s="1"/>
  <c r="BT34" i="31"/>
  <c r="M34" i="69"/>
  <c r="M35" i="69"/>
  <c r="M36" i="69"/>
  <c r="U36" i="69"/>
  <c r="M29" i="69"/>
  <c r="M32" i="69"/>
  <c r="M31" i="69"/>
  <c r="M30" i="69"/>
  <c r="U30" i="69"/>
  <c r="U29" i="69"/>
  <c r="CM16" i="31"/>
  <c r="N11" i="31" s="1"/>
  <c r="J153" i="57" s="1"/>
  <c r="CB34" i="31"/>
  <c r="DG16" i="31"/>
  <c r="CB16" i="31"/>
  <c r="N13" i="31" s="1"/>
  <c r="J155" i="57" s="1"/>
  <c r="O11" i="31"/>
  <c r="K153" i="57" s="1"/>
  <c r="O28" i="31"/>
  <c r="K164" i="57" s="1"/>
  <c r="DG34" i="31"/>
  <c r="CC34" i="31"/>
  <c r="AW16" i="31"/>
  <c r="AW34" i="31"/>
  <c r="Y27" i="35"/>
  <c r="E33" i="35"/>
  <c r="Z27" i="35"/>
  <c r="E32" i="35"/>
  <c r="E31" i="35"/>
  <c r="E30" i="35"/>
  <c r="BE16" i="31"/>
  <c r="O9" i="31" s="1"/>
  <c r="K151" i="57" s="1"/>
  <c r="BR16" i="31"/>
  <c r="K10" i="31" s="1"/>
  <c r="F152" i="57" s="1"/>
  <c r="BS16" i="31"/>
  <c r="M10" i="31" s="1"/>
  <c r="I152" i="57" s="1"/>
  <c r="CL34" i="31"/>
  <c r="L28" i="31" s="1"/>
  <c r="G164" i="57" s="1"/>
  <c r="BG16" i="31"/>
  <c r="L9" i="31" s="1"/>
  <c r="G151" i="57" s="1"/>
  <c r="AT34" i="31"/>
  <c r="AU34" i="31"/>
  <c r="L25" i="31" s="1"/>
  <c r="BF16" i="31"/>
  <c r="N9" i="31" s="1"/>
  <c r="J151" i="57" s="1"/>
  <c r="CL16" i="31"/>
  <c r="L11" i="31" s="1"/>
  <c r="G153" i="57" s="1"/>
  <c r="AU16" i="31"/>
  <c r="L8" i="31" s="1"/>
  <c r="BH16" i="31"/>
  <c r="M9" i="31" s="1"/>
  <c r="I151" i="57" s="1"/>
  <c r="CY34" i="31"/>
  <c r="K29" i="31" s="1"/>
  <c r="BR34" i="31"/>
  <c r="K27" i="31" s="1"/>
  <c r="F163" i="57" s="1"/>
  <c r="AT16" i="31"/>
  <c r="AS16" i="31"/>
  <c r="AS34" i="31"/>
  <c r="BO16" i="31"/>
  <c r="CV16" i="31"/>
  <c r="J12" i="31" s="1"/>
  <c r="BD16" i="31"/>
  <c r="AX34" i="31"/>
  <c r="K25" i="31" s="1"/>
  <c r="CV34" i="31"/>
  <c r="AV16" i="31"/>
  <c r="M8" i="31" s="1"/>
  <c r="AV34" i="31"/>
  <c r="M25" i="31" s="1"/>
  <c r="DL34" i="31"/>
  <c r="CM34" i="31"/>
  <c r="N28" i="31" s="1"/>
  <c r="J164" i="57" s="1"/>
  <c r="CD16" i="31"/>
  <c r="M13" i="31" s="1"/>
  <c r="I155" i="57" s="1"/>
  <c r="BS34" i="31"/>
  <c r="M27" i="31" s="1"/>
  <c r="I163" i="57" s="1"/>
  <c r="CD34" i="31"/>
  <c r="M30" i="31" s="1"/>
  <c r="I166" i="57" s="1"/>
  <c r="CX34" i="31"/>
  <c r="M29" i="31" s="1"/>
  <c r="I165" i="57" s="1"/>
  <c r="DA16" i="31"/>
  <c r="CX16" i="31"/>
  <c r="M12" i="31" s="1"/>
  <c r="I154" i="57" s="1"/>
  <c r="DJ34" i="31"/>
  <c r="CN34" i="31"/>
  <c r="DJ16" i="31"/>
  <c r="CZ16" i="31"/>
  <c r="CY16" i="31"/>
  <c r="K12" i="31" s="1"/>
  <c r="CK16" i="31"/>
  <c r="CK34" i="31"/>
  <c r="CN16" i="31"/>
  <c r="BZ16" i="31"/>
  <c r="BP34" i="31"/>
  <c r="CA34" i="31"/>
  <c r="L30" i="31" s="1"/>
  <c r="G166" i="57" s="1"/>
  <c r="BZ34" i="31"/>
  <c r="CA16" i="31"/>
  <c r="L13" i="31" s="1"/>
  <c r="G155" i="57" s="1"/>
  <c r="CC16" i="31"/>
  <c r="BQ34" i="31"/>
  <c r="N27" i="31" s="1"/>
  <c r="J163" i="57" s="1"/>
  <c r="BO34" i="31"/>
  <c r="J27" i="31" s="1"/>
  <c r="AX16" i="31"/>
  <c r="K8" i="31" s="1"/>
  <c r="Y845" i="16"/>
  <c r="X845" i="16"/>
  <c r="W845" i="16"/>
  <c r="V845" i="16"/>
  <c r="U845" i="16"/>
  <c r="T845" i="16"/>
  <c r="S845" i="16"/>
  <c r="Q845" i="16"/>
  <c r="P845" i="16"/>
  <c r="L845" i="16"/>
  <c r="Y844" i="16"/>
  <c r="X844" i="16"/>
  <c r="W844" i="16"/>
  <c r="V844" i="16"/>
  <c r="U844" i="16"/>
  <c r="T844" i="16"/>
  <c r="S844" i="16"/>
  <c r="Q844" i="16"/>
  <c r="P844" i="16"/>
  <c r="L844" i="16"/>
  <c r="Y843" i="16"/>
  <c r="X843" i="16"/>
  <c r="W843" i="16"/>
  <c r="V843" i="16"/>
  <c r="U843" i="16"/>
  <c r="T843" i="16"/>
  <c r="S843" i="16"/>
  <c r="Q843" i="16"/>
  <c r="P843" i="16"/>
  <c r="L843" i="16"/>
  <c r="Y842" i="16"/>
  <c r="X842" i="16"/>
  <c r="W842" i="16"/>
  <c r="V842" i="16"/>
  <c r="U842" i="16"/>
  <c r="T842" i="16"/>
  <c r="S842" i="16"/>
  <c r="Q842" i="16"/>
  <c r="P842" i="16"/>
  <c r="L842" i="16"/>
  <c r="Y841" i="16"/>
  <c r="X841" i="16"/>
  <c r="W841" i="16"/>
  <c r="V841" i="16"/>
  <c r="U841" i="16"/>
  <c r="T841" i="16"/>
  <c r="S841" i="16"/>
  <c r="Q841" i="16"/>
  <c r="P841" i="16"/>
  <c r="L841" i="16"/>
  <c r="Y840" i="16"/>
  <c r="X840" i="16"/>
  <c r="W840" i="16"/>
  <c r="V840" i="16"/>
  <c r="U840" i="16"/>
  <c r="T840" i="16"/>
  <c r="S840" i="16"/>
  <c r="Q840" i="16"/>
  <c r="P840" i="16"/>
  <c r="L840" i="16"/>
  <c r="Y839" i="16"/>
  <c r="X839" i="16"/>
  <c r="W839" i="16"/>
  <c r="V839" i="16"/>
  <c r="U839" i="16"/>
  <c r="T839" i="16"/>
  <c r="S839" i="16"/>
  <c r="Q839" i="16"/>
  <c r="P839" i="16"/>
  <c r="L839" i="16"/>
  <c r="Y838" i="16"/>
  <c r="X838" i="16"/>
  <c r="W838" i="16"/>
  <c r="V838" i="16"/>
  <c r="U838" i="16"/>
  <c r="T838" i="16"/>
  <c r="S838" i="16"/>
  <c r="Q838" i="16"/>
  <c r="P838" i="16"/>
  <c r="L838" i="16"/>
  <c r="Y837" i="16"/>
  <c r="X837" i="16"/>
  <c r="W837" i="16"/>
  <c r="V837" i="16"/>
  <c r="U837" i="16"/>
  <c r="T837" i="16"/>
  <c r="S837" i="16"/>
  <c r="Q837" i="16"/>
  <c r="P837" i="16"/>
  <c r="L837" i="16"/>
  <c r="Y836" i="16"/>
  <c r="X836" i="16"/>
  <c r="W836" i="16"/>
  <c r="V836" i="16"/>
  <c r="U836" i="16"/>
  <c r="T836" i="16"/>
  <c r="S836" i="16"/>
  <c r="Q836" i="16"/>
  <c r="P836" i="16"/>
  <c r="L836" i="16"/>
  <c r="Y835" i="16"/>
  <c r="X835" i="16"/>
  <c r="W835" i="16"/>
  <c r="V835" i="16"/>
  <c r="U835" i="16"/>
  <c r="T835" i="16"/>
  <c r="S835" i="16"/>
  <c r="Q835" i="16"/>
  <c r="P835" i="16"/>
  <c r="L835" i="16"/>
  <c r="Y834" i="16"/>
  <c r="X834" i="16"/>
  <c r="W834" i="16"/>
  <c r="V834" i="16"/>
  <c r="U834" i="16"/>
  <c r="T834" i="16"/>
  <c r="S834" i="16"/>
  <c r="Q834" i="16"/>
  <c r="P834" i="16"/>
  <c r="L834" i="16"/>
  <c r="Y833" i="16"/>
  <c r="X833" i="16"/>
  <c r="W833" i="16"/>
  <c r="V833" i="16"/>
  <c r="U833" i="16"/>
  <c r="T833" i="16"/>
  <c r="S833" i="16"/>
  <c r="Q833" i="16"/>
  <c r="P833" i="16"/>
  <c r="L833" i="16"/>
  <c r="Y832" i="16"/>
  <c r="X832" i="16"/>
  <c r="W832" i="16"/>
  <c r="V832" i="16"/>
  <c r="U832" i="16"/>
  <c r="T832" i="16"/>
  <c r="S832" i="16"/>
  <c r="Q832" i="16"/>
  <c r="P832" i="16"/>
  <c r="L832" i="16"/>
  <c r="Y831" i="16"/>
  <c r="X831" i="16"/>
  <c r="W831" i="16"/>
  <c r="V831" i="16"/>
  <c r="U831" i="16"/>
  <c r="T831" i="16"/>
  <c r="S831" i="16"/>
  <c r="Q831" i="16"/>
  <c r="P831" i="16"/>
  <c r="L831" i="16"/>
  <c r="Y830" i="16"/>
  <c r="X830" i="16"/>
  <c r="W830" i="16"/>
  <c r="V830" i="16"/>
  <c r="U830" i="16"/>
  <c r="T830" i="16"/>
  <c r="S830" i="16"/>
  <c r="Q830" i="16"/>
  <c r="P830" i="16"/>
  <c r="L830" i="16"/>
  <c r="Y829" i="16"/>
  <c r="X829" i="16"/>
  <c r="W829" i="16"/>
  <c r="V829" i="16"/>
  <c r="U829" i="16"/>
  <c r="T829" i="16"/>
  <c r="S829" i="16"/>
  <c r="Q829" i="16"/>
  <c r="P829" i="16"/>
  <c r="L829" i="16"/>
  <c r="Y828" i="16"/>
  <c r="X828" i="16"/>
  <c r="W828" i="16"/>
  <c r="V828" i="16"/>
  <c r="U828" i="16"/>
  <c r="T828" i="16"/>
  <c r="S828" i="16"/>
  <c r="Q828" i="16"/>
  <c r="P828" i="16"/>
  <c r="L828" i="16"/>
  <c r="Y827" i="16"/>
  <c r="X827" i="16"/>
  <c r="W827" i="16"/>
  <c r="V827" i="16"/>
  <c r="U827" i="16"/>
  <c r="T827" i="16"/>
  <c r="S827" i="16"/>
  <c r="Q827" i="16"/>
  <c r="P827" i="16"/>
  <c r="L827" i="16"/>
  <c r="Y826" i="16"/>
  <c r="X826" i="16"/>
  <c r="W826" i="16"/>
  <c r="V826" i="16"/>
  <c r="U826" i="16"/>
  <c r="T826" i="16"/>
  <c r="S826" i="16"/>
  <c r="Q826" i="16"/>
  <c r="P826" i="16"/>
  <c r="L826" i="16"/>
  <c r="Y825" i="16"/>
  <c r="X825" i="16"/>
  <c r="W825" i="16"/>
  <c r="V825" i="16"/>
  <c r="U825" i="16"/>
  <c r="T825" i="16"/>
  <c r="S825" i="16"/>
  <c r="Q825" i="16"/>
  <c r="P825" i="16"/>
  <c r="L825" i="16"/>
  <c r="Y824" i="16"/>
  <c r="X824" i="16"/>
  <c r="W824" i="16"/>
  <c r="V824" i="16"/>
  <c r="U824" i="16"/>
  <c r="T824" i="16"/>
  <c r="S824" i="16"/>
  <c r="Q824" i="16"/>
  <c r="P824" i="16"/>
  <c r="L824" i="16"/>
  <c r="Y823" i="16"/>
  <c r="X823" i="16"/>
  <c r="W823" i="16"/>
  <c r="V823" i="16"/>
  <c r="U823" i="16"/>
  <c r="T823" i="16"/>
  <c r="S823" i="16"/>
  <c r="Q823" i="16"/>
  <c r="P823" i="16"/>
  <c r="L823" i="16"/>
  <c r="Y822" i="16"/>
  <c r="X822" i="16"/>
  <c r="W822" i="16"/>
  <c r="V822" i="16"/>
  <c r="U822" i="16"/>
  <c r="T822" i="16"/>
  <c r="S822" i="16"/>
  <c r="Q822" i="16"/>
  <c r="P822" i="16"/>
  <c r="L822" i="16"/>
  <c r="Y821" i="16"/>
  <c r="X821" i="16"/>
  <c r="W821" i="16"/>
  <c r="V821" i="16"/>
  <c r="U821" i="16"/>
  <c r="T821" i="16"/>
  <c r="S821" i="16"/>
  <c r="Q821" i="16"/>
  <c r="P821" i="16"/>
  <c r="L821" i="16"/>
  <c r="Y820" i="16"/>
  <c r="X820" i="16"/>
  <c r="W820" i="16"/>
  <c r="V820" i="16"/>
  <c r="U820" i="16"/>
  <c r="T820" i="16"/>
  <c r="S820" i="16"/>
  <c r="Q820" i="16"/>
  <c r="P820" i="16"/>
  <c r="L820" i="16"/>
  <c r="Y819" i="16"/>
  <c r="X819" i="16"/>
  <c r="W819" i="16"/>
  <c r="V819" i="16"/>
  <c r="U819" i="16"/>
  <c r="T819" i="16"/>
  <c r="S819" i="16"/>
  <c r="Q819" i="16"/>
  <c r="P819" i="16"/>
  <c r="L819" i="16"/>
  <c r="Y818" i="16"/>
  <c r="X818" i="16"/>
  <c r="W818" i="16"/>
  <c r="V818" i="16"/>
  <c r="U818" i="16"/>
  <c r="T818" i="16"/>
  <c r="S818" i="16"/>
  <c r="Q818" i="16"/>
  <c r="P818" i="16"/>
  <c r="L818" i="16"/>
  <c r="Y817" i="16"/>
  <c r="X817" i="16"/>
  <c r="W817" i="16"/>
  <c r="V817" i="16"/>
  <c r="U817" i="16"/>
  <c r="T817" i="16"/>
  <c r="S817" i="16"/>
  <c r="Q817" i="16"/>
  <c r="P817" i="16"/>
  <c r="L817" i="16"/>
  <c r="Y816" i="16"/>
  <c r="X816" i="16"/>
  <c r="W816" i="16"/>
  <c r="V816" i="16"/>
  <c r="U816" i="16"/>
  <c r="T816" i="16"/>
  <c r="S816" i="16"/>
  <c r="Q816" i="16"/>
  <c r="P816" i="16"/>
  <c r="L816" i="16"/>
  <c r="Y815" i="16"/>
  <c r="X815" i="16"/>
  <c r="W815" i="16"/>
  <c r="V815" i="16"/>
  <c r="U815" i="16"/>
  <c r="T815" i="16"/>
  <c r="S815" i="16"/>
  <c r="Q815" i="16"/>
  <c r="P815" i="16"/>
  <c r="L815" i="16"/>
  <c r="Y814" i="16"/>
  <c r="X814" i="16"/>
  <c r="W814" i="16"/>
  <c r="V814" i="16"/>
  <c r="U814" i="16"/>
  <c r="T814" i="16"/>
  <c r="S814" i="16"/>
  <c r="Q814" i="16"/>
  <c r="P814" i="16"/>
  <c r="L814" i="16"/>
  <c r="Y813" i="16"/>
  <c r="X813" i="16"/>
  <c r="W813" i="16"/>
  <c r="V813" i="16"/>
  <c r="U813" i="16"/>
  <c r="T813" i="16"/>
  <c r="S813" i="16"/>
  <c r="Q813" i="16"/>
  <c r="P813" i="16"/>
  <c r="O813" i="16"/>
  <c r="N813" i="16"/>
  <c r="M813" i="16"/>
  <c r="L813" i="16"/>
  <c r="K813" i="16"/>
  <c r="J813" i="16"/>
  <c r="Y812" i="16"/>
  <c r="X812" i="16"/>
  <c r="W812" i="16"/>
  <c r="V812" i="16"/>
  <c r="U812" i="16"/>
  <c r="T812" i="16"/>
  <c r="S812" i="16"/>
  <c r="Q812" i="16"/>
  <c r="P812" i="16"/>
  <c r="O812" i="16"/>
  <c r="N812" i="16"/>
  <c r="M812" i="16"/>
  <c r="L812" i="16"/>
  <c r="K812" i="16"/>
  <c r="J812" i="16"/>
  <c r="Y811" i="16"/>
  <c r="X811" i="16"/>
  <c r="W811" i="16"/>
  <c r="V811" i="16"/>
  <c r="U811" i="16"/>
  <c r="T811" i="16"/>
  <c r="S811" i="16"/>
  <c r="Q811" i="16"/>
  <c r="P811" i="16"/>
  <c r="O811" i="16"/>
  <c r="N811" i="16"/>
  <c r="M811" i="16"/>
  <c r="L811" i="16"/>
  <c r="K811" i="16"/>
  <c r="J811" i="16"/>
  <c r="Y810" i="16"/>
  <c r="X810" i="16"/>
  <c r="W810" i="16"/>
  <c r="V810" i="16"/>
  <c r="U810" i="16"/>
  <c r="T810" i="16"/>
  <c r="S810" i="16"/>
  <c r="Q810" i="16"/>
  <c r="P810" i="16"/>
  <c r="O810" i="16"/>
  <c r="N810" i="16"/>
  <c r="M810" i="16"/>
  <c r="L810" i="16"/>
  <c r="K810" i="16"/>
  <c r="J810" i="16"/>
  <c r="Y809" i="16"/>
  <c r="X809" i="16"/>
  <c r="W809" i="16"/>
  <c r="V809" i="16"/>
  <c r="U809" i="16"/>
  <c r="T809" i="16"/>
  <c r="S809" i="16"/>
  <c r="Q809" i="16"/>
  <c r="P809" i="16"/>
  <c r="O809" i="16"/>
  <c r="N809" i="16"/>
  <c r="M809" i="16"/>
  <c r="L809" i="16"/>
  <c r="K809" i="16"/>
  <c r="J809" i="16"/>
  <c r="Y808" i="16"/>
  <c r="X808" i="16"/>
  <c r="W808" i="16"/>
  <c r="V808" i="16"/>
  <c r="U808" i="16"/>
  <c r="T808" i="16"/>
  <c r="S808" i="16"/>
  <c r="Q808" i="16"/>
  <c r="P808" i="16"/>
  <c r="O808" i="16"/>
  <c r="N808" i="16"/>
  <c r="M808" i="16"/>
  <c r="L808" i="16"/>
  <c r="K808" i="16"/>
  <c r="J808" i="16"/>
  <c r="Y807" i="16"/>
  <c r="X807" i="16"/>
  <c r="W807" i="16"/>
  <c r="V807" i="16"/>
  <c r="U807" i="16"/>
  <c r="T807" i="16"/>
  <c r="S807" i="16"/>
  <c r="Q807" i="16"/>
  <c r="P807" i="16"/>
  <c r="O807" i="16"/>
  <c r="N807" i="16"/>
  <c r="M807" i="16"/>
  <c r="L807" i="16"/>
  <c r="K807" i="16"/>
  <c r="J807" i="16"/>
  <c r="Y806" i="16"/>
  <c r="X806" i="16"/>
  <c r="W806" i="16"/>
  <c r="V806" i="16"/>
  <c r="U806" i="16"/>
  <c r="T806" i="16"/>
  <c r="S806" i="16"/>
  <c r="Q806" i="16"/>
  <c r="P806" i="16"/>
  <c r="O806" i="16"/>
  <c r="N806" i="16"/>
  <c r="M806" i="16"/>
  <c r="L806" i="16"/>
  <c r="K806" i="16"/>
  <c r="J806" i="16"/>
  <c r="Y805" i="16"/>
  <c r="X805" i="16"/>
  <c r="W805" i="16"/>
  <c r="V805" i="16"/>
  <c r="U805" i="16"/>
  <c r="T805" i="16"/>
  <c r="S805" i="16"/>
  <c r="Q805" i="16"/>
  <c r="P805" i="16"/>
  <c r="O805" i="16"/>
  <c r="N805" i="16"/>
  <c r="M805" i="16"/>
  <c r="L805" i="16"/>
  <c r="K805" i="16"/>
  <c r="J805" i="16"/>
  <c r="Y804" i="16"/>
  <c r="X804" i="16"/>
  <c r="W804" i="16"/>
  <c r="V804" i="16"/>
  <c r="U804" i="16"/>
  <c r="T804" i="16"/>
  <c r="S804" i="16"/>
  <c r="Q804" i="16"/>
  <c r="P804" i="16"/>
  <c r="O804" i="16"/>
  <c r="N804" i="16"/>
  <c r="M804" i="16"/>
  <c r="L804" i="16"/>
  <c r="K804" i="16"/>
  <c r="J804" i="16"/>
  <c r="Y803" i="16"/>
  <c r="X803" i="16"/>
  <c r="W803" i="16"/>
  <c r="V803" i="16"/>
  <c r="U803" i="16"/>
  <c r="T803" i="16"/>
  <c r="S803" i="16"/>
  <c r="Q803" i="16"/>
  <c r="P803" i="16"/>
  <c r="O803" i="16"/>
  <c r="N803" i="16"/>
  <c r="M803" i="16"/>
  <c r="L803" i="16"/>
  <c r="K803" i="16"/>
  <c r="J803" i="16"/>
  <c r="Y802" i="16"/>
  <c r="X802" i="16"/>
  <c r="W802" i="16"/>
  <c r="V802" i="16"/>
  <c r="U802" i="16"/>
  <c r="T802" i="16"/>
  <c r="S802" i="16"/>
  <c r="Q802" i="16"/>
  <c r="P802" i="16"/>
  <c r="O802" i="16"/>
  <c r="N802" i="16"/>
  <c r="M802" i="16"/>
  <c r="L802" i="16"/>
  <c r="K802" i="16"/>
  <c r="J802" i="16"/>
  <c r="Y801" i="16"/>
  <c r="X801" i="16"/>
  <c r="W801" i="16"/>
  <c r="V801" i="16"/>
  <c r="U801" i="16"/>
  <c r="T801" i="16"/>
  <c r="S801" i="16"/>
  <c r="Q801" i="16"/>
  <c r="P801" i="16"/>
  <c r="O801" i="16"/>
  <c r="N801" i="16"/>
  <c r="M801" i="16"/>
  <c r="L801" i="16"/>
  <c r="K801" i="16"/>
  <c r="J801" i="16"/>
  <c r="Y800" i="16"/>
  <c r="X800" i="16"/>
  <c r="W800" i="16"/>
  <c r="V800" i="16"/>
  <c r="U800" i="16"/>
  <c r="T800" i="16"/>
  <c r="S800" i="16"/>
  <c r="Q800" i="16"/>
  <c r="P800" i="16"/>
  <c r="O800" i="16"/>
  <c r="N800" i="16"/>
  <c r="M800" i="16"/>
  <c r="L800" i="16"/>
  <c r="K800" i="16"/>
  <c r="J800" i="16"/>
  <c r="Y799" i="16"/>
  <c r="X799" i="16"/>
  <c r="W799" i="16"/>
  <c r="V799" i="16"/>
  <c r="U799" i="16"/>
  <c r="T799" i="16"/>
  <c r="S799" i="16"/>
  <c r="Q799" i="16"/>
  <c r="P799" i="16"/>
  <c r="O799" i="16"/>
  <c r="N799" i="16"/>
  <c r="M799" i="16"/>
  <c r="L799" i="16"/>
  <c r="K799" i="16"/>
  <c r="J799" i="16"/>
  <c r="Y798" i="16"/>
  <c r="X798" i="16"/>
  <c r="W798" i="16"/>
  <c r="V798" i="16"/>
  <c r="U798" i="16"/>
  <c r="T798" i="16"/>
  <c r="S798" i="16"/>
  <c r="Q798" i="16"/>
  <c r="P798" i="16"/>
  <c r="O798" i="16"/>
  <c r="N798" i="16"/>
  <c r="M798" i="16"/>
  <c r="L798" i="16"/>
  <c r="K798" i="16"/>
  <c r="J798" i="16"/>
  <c r="Y797" i="16"/>
  <c r="X797" i="16"/>
  <c r="W797" i="16"/>
  <c r="V797" i="16"/>
  <c r="U797" i="16"/>
  <c r="T797" i="16"/>
  <c r="S797" i="16"/>
  <c r="Y796" i="16"/>
  <c r="X796" i="16"/>
  <c r="W796" i="16"/>
  <c r="V796" i="16"/>
  <c r="U796" i="16"/>
  <c r="T796" i="16"/>
  <c r="S796" i="16"/>
  <c r="Y795" i="16"/>
  <c r="X795" i="16"/>
  <c r="W795" i="16"/>
  <c r="V795" i="16"/>
  <c r="U795" i="16"/>
  <c r="T795" i="16"/>
  <c r="S795" i="16"/>
  <c r="Y794" i="16"/>
  <c r="X794" i="16"/>
  <c r="W794" i="16"/>
  <c r="V794" i="16"/>
  <c r="U794" i="16"/>
  <c r="T794" i="16"/>
  <c r="S794" i="16"/>
  <c r="Y793" i="16"/>
  <c r="X793" i="16"/>
  <c r="W793" i="16"/>
  <c r="V793" i="16"/>
  <c r="U793" i="16"/>
  <c r="T793" i="16"/>
  <c r="S793" i="16"/>
  <c r="Y792" i="16"/>
  <c r="X792" i="16"/>
  <c r="W792" i="16"/>
  <c r="V792" i="16"/>
  <c r="U792" i="16"/>
  <c r="T792" i="16"/>
  <c r="S792" i="16"/>
  <c r="Y791" i="16"/>
  <c r="X791" i="16"/>
  <c r="W791" i="16"/>
  <c r="V791" i="16"/>
  <c r="U791" i="16"/>
  <c r="T791" i="16"/>
  <c r="S791" i="16"/>
  <c r="Y790" i="16"/>
  <c r="X790" i="16"/>
  <c r="W790" i="16"/>
  <c r="V790" i="16"/>
  <c r="U790" i="16"/>
  <c r="T790" i="16"/>
  <c r="S790" i="16"/>
  <c r="Y789" i="16"/>
  <c r="X789" i="16"/>
  <c r="W789" i="16"/>
  <c r="V789" i="16"/>
  <c r="U789" i="16"/>
  <c r="T789" i="16"/>
  <c r="S789" i="16"/>
  <c r="Y788" i="16"/>
  <c r="X788" i="16"/>
  <c r="W788" i="16"/>
  <c r="V788" i="16"/>
  <c r="U788" i="16"/>
  <c r="T788" i="16"/>
  <c r="S788" i="16"/>
  <c r="Y787" i="16"/>
  <c r="X787" i="16"/>
  <c r="W787" i="16"/>
  <c r="V787" i="16"/>
  <c r="U787" i="16"/>
  <c r="T787" i="16"/>
  <c r="S787" i="16"/>
  <c r="Y786" i="16"/>
  <c r="X786" i="16"/>
  <c r="W786" i="16"/>
  <c r="V786" i="16"/>
  <c r="U786" i="16"/>
  <c r="T786" i="16"/>
  <c r="S786" i="16"/>
  <c r="K786" i="16"/>
  <c r="Y785" i="16"/>
  <c r="X785" i="16"/>
  <c r="W785" i="16"/>
  <c r="V785" i="16"/>
  <c r="U785" i="16"/>
  <c r="T785" i="16"/>
  <c r="S785" i="16"/>
  <c r="K785" i="16"/>
  <c r="Y784" i="16"/>
  <c r="X784" i="16"/>
  <c r="W784" i="16"/>
  <c r="V784" i="16"/>
  <c r="U784" i="16"/>
  <c r="T784" i="16"/>
  <c r="S784" i="16"/>
  <c r="K784" i="16"/>
  <c r="Y783" i="16"/>
  <c r="X783" i="16"/>
  <c r="W783" i="16"/>
  <c r="V783" i="16"/>
  <c r="U783" i="16"/>
  <c r="T783" i="16"/>
  <c r="S783" i="16"/>
  <c r="K783" i="16"/>
  <c r="Y782" i="16"/>
  <c r="X782" i="16"/>
  <c r="W782" i="16"/>
  <c r="V782" i="16"/>
  <c r="U782" i="16"/>
  <c r="T782" i="16"/>
  <c r="S782" i="16"/>
  <c r="K782" i="16"/>
  <c r="Y781" i="16"/>
  <c r="X781" i="16"/>
  <c r="W781" i="16"/>
  <c r="V781" i="16"/>
  <c r="U781" i="16"/>
  <c r="T781" i="16"/>
  <c r="S781" i="16"/>
  <c r="Q781" i="16"/>
  <c r="P781" i="16"/>
  <c r="O781" i="16"/>
  <c r="N781" i="16"/>
  <c r="M781" i="16"/>
  <c r="L781" i="16"/>
  <c r="K781" i="16"/>
  <c r="J781" i="16"/>
  <c r="Y780" i="16"/>
  <c r="X780" i="16"/>
  <c r="W780" i="16"/>
  <c r="V780" i="16"/>
  <c r="U780" i="16"/>
  <c r="T780" i="16"/>
  <c r="S780" i="16"/>
  <c r="Q780" i="16"/>
  <c r="P780" i="16"/>
  <c r="O780" i="16"/>
  <c r="N780" i="16"/>
  <c r="M780" i="16"/>
  <c r="L780" i="16"/>
  <c r="K780" i="16"/>
  <c r="J780" i="16"/>
  <c r="Y779" i="16"/>
  <c r="X779" i="16"/>
  <c r="W779" i="16"/>
  <c r="V779" i="16"/>
  <c r="U779" i="16"/>
  <c r="T779" i="16"/>
  <c r="S779" i="16"/>
  <c r="Q779" i="16"/>
  <c r="P779" i="16"/>
  <c r="O779" i="16"/>
  <c r="N779" i="16"/>
  <c r="M779" i="16"/>
  <c r="L779" i="16"/>
  <c r="K779" i="16"/>
  <c r="J779" i="16"/>
  <c r="Y778" i="16"/>
  <c r="X778" i="16"/>
  <c r="W778" i="16"/>
  <c r="V778" i="16"/>
  <c r="U778" i="16"/>
  <c r="T778" i="16"/>
  <c r="S778" i="16"/>
  <c r="Q778" i="16"/>
  <c r="P778" i="16"/>
  <c r="O778" i="16"/>
  <c r="N778" i="16"/>
  <c r="M778" i="16"/>
  <c r="L778" i="16"/>
  <c r="K778" i="16"/>
  <c r="J778" i="16"/>
  <c r="Y777" i="16"/>
  <c r="X777" i="16"/>
  <c r="W777" i="16"/>
  <c r="V777" i="16"/>
  <c r="U777" i="16"/>
  <c r="T777" i="16"/>
  <c r="S777" i="16"/>
  <c r="Q777" i="16"/>
  <c r="P777" i="16"/>
  <c r="O777" i="16"/>
  <c r="N777" i="16"/>
  <c r="M777" i="16"/>
  <c r="L777" i="16"/>
  <c r="K777" i="16"/>
  <c r="J777" i="16"/>
  <c r="Y776" i="16"/>
  <c r="X776" i="16"/>
  <c r="W776" i="16"/>
  <c r="V776" i="16"/>
  <c r="U776" i="16"/>
  <c r="T776" i="16"/>
  <c r="S776" i="16"/>
  <c r="Q776" i="16"/>
  <c r="P776" i="16"/>
  <c r="O776" i="16"/>
  <c r="N776" i="16"/>
  <c r="M776" i="16"/>
  <c r="L776" i="16"/>
  <c r="K776" i="16"/>
  <c r="J776" i="16"/>
  <c r="Y775" i="16"/>
  <c r="X775" i="16"/>
  <c r="W775" i="16"/>
  <c r="V775" i="16"/>
  <c r="U775" i="16"/>
  <c r="T775" i="16"/>
  <c r="S775" i="16"/>
  <c r="Q775" i="16"/>
  <c r="P775" i="16"/>
  <c r="O775" i="16"/>
  <c r="N775" i="16"/>
  <c r="M775" i="16"/>
  <c r="L775" i="16"/>
  <c r="K775" i="16"/>
  <c r="J775" i="16"/>
  <c r="Y774" i="16"/>
  <c r="X774" i="16"/>
  <c r="W774" i="16"/>
  <c r="V774" i="16"/>
  <c r="U774" i="16"/>
  <c r="T774" i="16"/>
  <c r="S774" i="16"/>
  <c r="Q774" i="16"/>
  <c r="P774" i="16"/>
  <c r="O774" i="16"/>
  <c r="N774" i="16"/>
  <c r="M774" i="16"/>
  <c r="L774" i="16"/>
  <c r="K774" i="16"/>
  <c r="J774" i="16"/>
  <c r="Y773" i="16"/>
  <c r="X773" i="16"/>
  <c r="W773" i="16"/>
  <c r="V773" i="16"/>
  <c r="U773" i="16"/>
  <c r="T773" i="16"/>
  <c r="S773" i="16"/>
  <c r="Q773" i="16"/>
  <c r="P773" i="16"/>
  <c r="O773" i="16"/>
  <c r="N773" i="16"/>
  <c r="M773" i="16"/>
  <c r="L773" i="16"/>
  <c r="K773" i="16"/>
  <c r="J773" i="16"/>
  <c r="Y772" i="16"/>
  <c r="X772" i="16"/>
  <c r="W772" i="16"/>
  <c r="V772" i="16"/>
  <c r="U772" i="16"/>
  <c r="T772" i="16"/>
  <c r="S772" i="16"/>
  <c r="Q772" i="16"/>
  <c r="P772" i="16"/>
  <c r="O772" i="16"/>
  <c r="N772" i="16"/>
  <c r="M772" i="16"/>
  <c r="L772" i="16"/>
  <c r="K772" i="16"/>
  <c r="J772" i="16"/>
  <c r="Y771" i="16"/>
  <c r="X771" i="16"/>
  <c r="W771" i="16"/>
  <c r="V771" i="16"/>
  <c r="U771" i="16"/>
  <c r="T771" i="16"/>
  <c r="S771" i="16"/>
  <c r="Q771" i="16"/>
  <c r="P771" i="16"/>
  <c r="O771" i="16"/>
  <c r="N771" i="16"/>
  <c r="M771" i="16"/>
  <c r="L771" i="16"/>
  <c r="K771" i="16"/>
  <c r="J771" i="16"/>
  <c r="Y770" i="16"/>
  <c r="X770" i="16"/>
  <c r="W770" i="16"/>
  <c r="V770" i="16"/>
  <c r="U770" i="16"/>
  <c r="T770" i="16"/>
  <c r="S770" i="16"/>
  <c r="Q770" i="16"/>
  <c r="P770" i="16"/>
  <c r="O770" i="16"/>
  <c r="N770" i="16"/>
  <c r="M770" i="16"/>
  <c r="L770" i="16"/>
  <c r="K770" i="16"/>
  <c r="J770" i="16"/>
  <c r="Y769" i="16"/>
  <c r="X769" i="16"/>
  <c r="W769" i="16"/>
  <c r="V769" i="16"/>
  <c r="U769" i="16"/>
  <c r="T769" i="16"/>
  <c r="S769" i="16"/>
  <c r="Q769" i="16"/>
  <c r="P769" i="16"/>
  <c r="O769" i="16"/>
  <c r="N769" i="16"/>
  <c r="M769" i="16"/>
  <c r="L769" i="16"/>
  <c r="K769" i="16"/>
  <c r="J769" i="16"/>
  <c r="Y768" i="16"/>
  <c r="X768" i="16"/>
  <c r="W768" i="16"/>
  <c r="V768" i="16"/>
  <c r="U768" i="16"/>
  <c r="T768" i="16"/>
  <c r="S768" i="16"/>
  <c r="Q768" i="16"/>
  <c r="P768" i="16"/>
  <c r="O768" i="16"/>
  <c r="N768" i="16"/>
  <c r="M768" i="16"/>
  <c r="L768" i="16"/>
  <c r="K768" i="16"/>
  <c r="J768" i="16"/>
  <c r="Y767" i="16"/>
  <c r="X767" i="16"/>
  <c r="W767" i="16"/>
  <c r="V767" i="16"/>
  <c r="U767" i="16"/>
  <c r="T767" i="16"/>
  <c r="S767" i="16"/>
  <c r="Q767" i="16"/>
  <c r="P767" i="16"/>
  <c r="O767" i="16"/>
  <c r="N767" i="16"/>
  <c r="M767" i="16"/>
  <c r="L767" i="16"/>
  <c r="K767" i="16"/>
  <c r="J767" i="16"/>
  <c r="Y766" i="16"/>
  <c r="X766" i="16"/>
  <c r="W766" i="16"/>
  <c r="V766" i="16"/>
  <c r="U766" i="16"/>
  <c r="T766" i="16"/>
  <c r="S766" i="16"/>
  <c r="Q766" i="16"/>
  <c r="P766" i="16"/>
  <c r="O766" i="16"/>
  <c r="N766" i="16"/>
  <c r="M766" i="16"/>
  <c r="L766" i="16"/>
  <c r="K766" i="16"/>
  <c r="J766" i="16"/>
  <c r="Y765" i="16"/>
  <c r="X765" i="16"/>
  <c r="W765" i="16"/>
  <c r="V765" i="16"/>
  <c r="U765" i="16"/>
  <c r="T765" i="16"/>
  <c r="S765" i="16"/>
  <c r="Q765" i="16"/>
  <c r="P765" i="16"/>
  <c r="O765" i="16"/>
  <c r="N765" i="16"/>
  <c r="M765" i="16"/>
  <c r="L765" i="16"/>
  <c r="K765" i="16"/>
  <c r="J765" i="16"/>
  <c r="Y764" i="16"/>
  <c r="X764" i="16"/>
  <c r="W764" i="16"/>
  <c r="V764" i="16"/>
  <c r="U764" i="16"/>
  <c r="T764" i="16"/>
  <c r="S764" i="16"/>
  <c r="Q764" i="16"/>
  <c r="P764" i="16"/>
  <c r="O764" i="16"/>
  <c r="N764" i="16"/>
  <c r="M764" i="16"/>
  <c r="L764" i="16"/>
  <c r="K764" i="16"/>
  <c r="J764" i="16"/>
  <c r="Y763" i="16"/>
  <c r="X763" i="16"/>
  <c r="W763" i="16"/>
  <c r="V763" i="16"/>
  <c r="U763" i="16"/>
  <c r="T763" i="16"/>
  <c r="S763" i="16"/>
  <c r="Q763" i="16"/>
  <c r="P763" i="16"/>
  <c r="O763" i="16"/>
  <c r="N763" i="16"/>
  <c r="M763" i="16"/>
  <c r="L763" i="16"/>
  <c r="K763" i="16"/>
  <c r="J763" i="16"/>
  <c r="Y762" i="16"/>
  <c r="X762" i="16"/>
  <c r="W762" i="16"/>
  <c r="V762" i="16"/>
  <c r="U762" i="16"/>
  <c r="T762" i="16"/>
  <c r="S762" i="16"/>
  <c r="Q762" i="16"/>
  <c r="P762" i="16"/>
  <c r="O762" i="16"/>
  <c r="N762" i="16"/>
  <c r="M762" i="16"/>
  <c r="L762" i="16"/>
  <c r="K762" i="16"/>
  <c r="J762" i="16"/>
  <c r="Y761" i="16"/>
  <c r="X761" i="16"/>
  <c r="W761" i="16"/>
  <c r="V761" i="16"/>
  <c r="U761" i="16"/>
  <c r="T761" i="16"/>
  <c r="S761" i="16"/>
  <c r="Q761" i="16"/>
  <c r="P761" i="16"/>
  <c r="O761" i="16"/>
  <c r="N761" i="16"/>
  <c r="M761" i="16"/>
  <c r="L761" i="16"/>
  <c r="K761" i="16"/>
  <c r="J761" i="16"/>
  <c r="Y760" i="16"/>
  <c r="X760" i="16"/>
  <c r="W760" i="16"/>
  <c r="V760" i="16"/>
  <c r="U760" i="16"/>
  <c r="T760" i="16"/>
  <c r="S760" i="16"/>
  <c r="Q760" i="16"/>
  <c r="P760" i="16"/>
  <c r="O760" i="16"/>
  <c r="N760" i="16"/>
  <c r="M760" i="16"/>
  <c r="L760" i="16"/>
  <c r="K760" i="16"/>
  <c r="J760" i="16"/>
  <c r="Y759" i="16"/>
  <c r="X759" i="16"/>
  <c r="W759" i="16"/>
  <c r="V759" i="16"/>
  <c r="U759" i="16"/>
  <c r="T759" i="16"/>
  <c r="S759" i="16"/>
  <c r="Q759" i="16"/>
  <c r="P759" i="16"/>
  <c r="O759" i="16"/>
  <c r="N759" i="16"/>
  <c r="M759" i="16"/>
  <c r="L759" i="16"/>
  <c r="K759" i="16"/>
  <c r="J759" i="16"/>
  <c r="Y758" i="16"/>
  <c r="X758" i="16"/>
  <c r="W758" i="16"/>
  <c r="V758" i="16"/>
  <c r="U758" i="16"/>
  <c r="T758" i="16"/>
  <c r="S758" i="16"/>
  <c r="Q758" i="16"/>
  <c r="P758" i="16"/>
  <c r="O758" i="16"/>
  <c r="N758" i="16"/>
  <c r="M758" i="16"/>
  <c r="L758" i="16"/>
  <c r="K758" i="16"/>
  <c r="J758" i="16"/>
  <c r="Y757" i="16"/>
  <c r="X757" i="16"/>
  <c r="W757" i="16"/>
  <c r="U757" i="16"/>
  <c r="T757" i="16"/>
  <c r="S757" i="16"/>
  <c r="Q757" i="16"/>
  <c r="P757" i="16"/>
  <c r="O757" i="16"/>
  <c r="N757" i="16"/>
  <c r="M757" i="16"/>
  <c r="L757" i="16"/>
  <c r="K757" i="16"/>
  <c r="J757" i="16"/>
  <c r="Y756" i="16"/>
  <c r="X756" i="16"/>
  <c r="W756" i="16"/>
  <c r="V756" i="16"/>
  <c r="U756" i="16"/>
  <c r="T756" i="16"/>
  <c r="S756" i="16"/>
  <c r="Q756" i="16"/>
  <c r="P756" i="16"/>
  <c r="O756" i="16"/>
  <c r="N756" i="16"/>
  <c r="M756" i="16"/>
  <c r="L756" i="16"/>
  <c r="K756" i="16"/>
  <c r="J756" i="16"/>
  <c r="Y755" i="16"/>
  <c r="X755" i="16"/>
  <c r="W755" i="16"/>
  <c r="V755" i="16"/>
  <c r="U755" i="16"/>
  <c r="T755" i="16"/>
  <c r="S755" i="16"/>
  <c r="Q755" i="16"/>
  <c r="P755" i="16"/>
  <c r="O755" i="16"/>
  <c r="N755" i="16"/>
  <c r="M755" i="16"/>
  <c r="L755" i="16"/>
  <c r="K755" i="16"/>
  <c r="J755" i="16"/>
  <c r="Y754" i="16"/>
  <c r="X754" i="16"/>
  <c r="W754" i="16"/>
  <c r="V754" i="16"/>
  <c r="U754" i="16"/>
  <c r="T754" i="16"/>
  <c r="S754" i="16"/>
  <c r="Q754" i="16"/>
  <c r="P754" i="16"/>
  <c r="O754" i="16"/>
  <c r="N754" i="16"/>
  <c r="M754" i="16"/>
  <c r="L754" i="16"/>
  <c r="K754" i="16"/>
  <c r="J754" i="16"/>
  <c r="Y753" i="16"/>
  <c r="X753" i="16"/>
  <c r="W753" i="16"/>
  <c r="V753" i="16"/>
  <c r="U753" i="16"/>
  <c r="T753" i="16"/>
  <c r="S753" i="16"/>
  <c r="Q753" i="16"/>
  <c r="P753" i="16"/>
  <c r="O753" i="16"/>
  <c r="N753" i="16"/>
  <c r="M753" i="16"/>
  <c r="L753" i="16"/>
  <c r="K753" i="16"/>
  <c r="J753" i="16"/>
  <c r="Y752" i="16"/>
  <c r="X752" i="16"/>
  <c r="W752" i="16"/>
  <c r="V752" i="16"/>
  <c r="U752" i="16"/>
  <c r="T752" i="16"/>
  <c r="S752" i="16"/>
  <c r="Q752" i="16"/>
  <c r="P752" i="16"/>
  <c r="O752" i="16"/>
  <c r="N752" i="16"/>
  <c r="M752" i="16"/>
  <c r="L752" i="16"/>
  <c r="K752" i="16"/>
  <c r="J752" i="16"/>
  <c r="Y751" i="16"/>
  <c r="X751" i="16"/>
  <c r="W751" i="16"/>
  <c r="V751" i="16"/>
  <c r="U751" i="16"/>
  <c r="T751" i="16"/>
  <c r="S751" i="16"/>
  <c r="Q751" i="16"/>
  <c r="P751" i="16"/>
  <c r="O751" i="16"/>
  <c r="N751" i="16"/>
  <c r="M751" i="16"/>
  <c r="L751" i="16"/>
  <c r="K751" i="16"/>
  <c r="J751" i="16"/>
  <c r="Y750" i="16"/>
  <c r="X750" i="16"/>
  <c r="W750" i="16"/>
  <c r="V750" i="16"/>
  <c r="U750" i="16"/>
  <c r="T750" i="16"/>
  <c r="S750" i="16"/>
  <c r="Q750" i="16"/>
  <c r="P750" i="16"/>
  <c r="O750" i="16"/>
  <c r="N750" i="16"/>
  <c r="M750" i="16"/>
  <c r="L750" i="16"/>
  <c r="K750" i="16"/>
  <c r="J750" i="16"/>
  <c r="W749" i="16"/>
  <c r="V749" i="16"/>
  <c r="U749" i="16"/>
  <c r="T749" i="16"/>
  <c r="S749" i="16"/>
  <c r="Q749" i="16"/>
  <c r="P749" i="16"/>
  <c r="L749" i="16"/>
  <c r="W748" i="16"/>
  <c r="V748" i="16"/>
  <c r="U748" i="16"/>
  <c r="T748" i="16"/>
  <c r="S748" i="16"/>
  <c r="Q748" i="16"/>
  <c r="P748" i="16"/>
  <c r="L748" i="16"/>
  <c r="W747" i="16"/>
  <c r="V747" i="16"/>
  <c r="U747" i="16"/>
  <c r="T747" i="16"/>
  <c r="S747" i="16"/>
  <c r="Q747" i="16"/>
  <c r="P747" i="16"/>
  <c r="L747" i="16"/>
  <c r="W746" i="16"/>
  <c r="V746" i="16"/>
  <c r="U746" i="16"/>
  <c r="T746" i="16"/>
  <c r="S746" i="16"/>
  <c r="Q746" i="16"/>
  <c r="P746" i="16"/>
  <c r="L746" i="16"/>
  <c r="W745" i="16"/>
  <c r="V745" i="16"/>
  <c r="U745" i="16"/>
  <c r="T745" i="16"/>
  <c r="S745" i="16"/>
  <c r="Q745" i="16"/>
  <c r="P745" i="16"/>
  <c r="L745" i="16"/>
  <c r="W744" i="16"/>
  <c r="V744" i="16"/>
  <c r="U744" i="16"/>
  <c r="T744" i="16"/>
  <c r="S744" i="16"/>
  <c r="Q744" i="16"/>
  <c r="P744" i="16"/>
  <c r="L744" i="16"/>
  <c r="W743" i="16"/>
  <c r="V743" i="16"/>
  <c r="U743" i="16"/>
  <c r="T743" i="16"/>
  <c r="S743" i="16"/>
  <c r="Q743" i="16"/>
  <c r="P743" i="16"/>
  <c r="L743" i="16"/>
  <c r="W742" i="16"/>
  <c r="V742" i="16"/>
  <c r="U742" i="16"/>
  <c r="T742" i="16"/>
  <c r="S742" i="16"/>
  <c r="Q742" i="16"/>
  <c r="P742" i="16"/>
  <c r="L742" i="16"/>
  <c r="W741" i="16"/>
  <c r="V741" i="16"/>
  <c r="U741" i="16"/>
  <c r="T741" i="16"/>
  <c r="S741" i="16"/>
  <c r="Q741" i="16"/>
  <c r="P741" i="16"/>
  <c r="L741" i="16"/>
  <c r="W740" i="16"/>
  <c r="V740" i="16"/>
  <c r="U740" i="16"/>
  <c r="T740" i="16"/>
  <c r="S740" i="16"/>
  <c r="Q740" i="16"/>
  <c r="P740" i="16"/>
  <c r="L740" i="16"/>
  <c r="W739" i="16"/>
  <c r="V739" i="16"/>
  <c r="U739" i="16"/>
  <c r="T739" i="16"/>
  <c r="S739" i="16"/>
  <c r="Q739" i="16"/>
  <c r="P739" i="16"/>
  <c r="L739" i="16"/>
  <c r="W738" i="16"/>
  <c r="V738" i="16"/>
  <c r="U738" i="16"/>
  <c r="T738" i="16"/>
  <c r="S738" i="16"/>
  <c r="Q738" i="16"/>
  <c r="P738" i="16"/>
  <c r="L738" i="16"/>
  <c r="W737" i="16"/>
  <c r="V737" i="16"/>
  <c r="U737" i="16"/>
  <c r="T737" i="16"/>
  <c r="S737" i="16"/>
  <c r="Q737" i="16"/>
  <c r="P737" i="16"/>
  <c r="L737" i="16"/>
  <c r="W736" i="16"/>
  <c r="V736" i="16"/>
  <c r="U736" i="16"/>
  <c r="T736" i="16"/>
  <c r="S736" i="16"/>
  <c r="Q736" i="16"/>
  <c r="P736" i="16"/>
  <c r="L736" i="16"/>
  <c r="W735" i="16"/>
  <c r="V735" i="16"/>
  <c r="U735" i="16"/>
  <c r="T735" i="16"/>
  <c r="S735" i="16"/>
  <c r="Q735" i="16"/>
  <c r="P735" i="16"/>
  <c r="L735" i="16"/>
  <c r="W734" i="16"/>
  <c r="V734" i="16"/>
  <c r="U734" i="16"/>
  <c r="T734" i="16"/>
  <c r="S734" i="16"/>
  <c r="Q734" i="16"/>
  <c r="P734" i="16"/>
  <c r="L734" i="16"/>
  <c r="W733" i="16"/>
  <c r="V733" i="16"/>
  <c r="U733" i="16"/>
  <c r="T733" i="16"/>
  <c r="S733" i="16"/>
  <c r="Q733" i="16"/>
  <c r="P733" i="16"/>
  <c r="L733" i="16"/>
  <c r="W732" i="16"/>
  <c r="V732" i="16"/>
  <c r="U732" i="16"/>
  <c r="T732" i="16"/>
  <c r="S732" i="16"/>
  <c r="Q732" i="16"/>
  <c r="P732" i="16"/>
  <c r="L732" i="16"/>
  <c r="W731" i="16"/>
  <c r="V731" i="16"/>
  <c r="U731" i="16"/>
  <c r="T731" i="16"/>
  <c r="S731" i="16"/>
  <c r="Q731" i="16"/>
  <c r="P731" i="16"/>
  <c r="L731" i="16"/>
  <c r="W730" i="16"/>
  <c r="V730" i="16"/>
  <c r="U730" i="16"/>
  <c r="T730" i="16"/>
  <c r="S730" i="16"/>
  <c r="Q730" i="16"/>
  <c r="P730" i="16"/>
  <c r="L730" i="16"/>
  <c r="W729" i="16"/>
  <c r="V729" i="16"/>
  <c r="U729" i="16"/>
  <c r="T729" i="16"/>
  <c r="S729" i="16"/>
  <c r="Q729" i="16"/>
  <c r="P729" i="16"/>
  <c r="L729" i="16"/>
  <c r="W728" i="16"/>
  <c r="V728" i="16"/>
  <c r="U728" i="16"/>
  <c r="T728" i="16"/>
  <c r="S728" i="16"/>
  <c r="Q728" i="16"/>
  <c r="P728" i="16"/>
  <c r="L728" i="16"/>
  <c r="W727" i="16"/>
  <c r="V727" i="16"/>
  <c r="U727" i="16"/>
  <c r="T727" i="16"/>
  <c r="S727" i="16"/>
  <c r="Q727" i="16"/>
  <c r="P727" i="16"/>
  <c r="L727" i="16"/>
  <c r="W726" i="16"/>
  <c r="V726" i="16"/>
  <c r="U726" i="16"/>
  <c r="T726" i="16"/>
  <c r="S726" i="16"/>
  <c r="Q726" i="16"/>
  <c r="P726" i="16"/>
  <c r="L726" i="16"/>
  <c r="W725" i="16"/>
  <c r="V725" i="16"/>
  <c r="U725" i="16"/>
  <c r="T725" i="16"/>
  <c r="S725" i="16"/>
  <c r="Q725" i="16"/>
  <c r="P725" i="16"/>
  <c r="L725" i="16"/>
  <c r="W724" i="16"/>
  <c r="V724" i="16"/>
  <c r="U724" i="16"/>
  <c r="T724" i="16"/>
  <c r="S724" i="16"/>
  <c r="Q724" i="16"/>
  <c r="P724" i="16"/>
  <c r="L724" i="16"/>
  <c r="W723" i="16"/>
  <c r="V723" i="16"/>
  <c r="U723" i="16"/>
  <c r="T723" i="16"/>
  <c r="S723" i="16"/>
  <c r="Q723" i="16"/>
  <c r="P723" i="16"/>
  <c r="L723" i="16"/>
  <c r="W722" i="16"/>
  <c r="V722" i="16"/>
  <c r="U722" i="16"/>
  <c r="T722" i="16"/>
  <c r="S722" i="16"/>
  <c r="Q722" i="16"/>
  <c r="P722" i="16"/>
  <c r="L722" i="16"/>
  <c r="W721" i="16"/>
  <c r="V721" i="16"/>
  <c r="U721" i="16"/>
  <c r="T721" i="16"/>
  <c r="S721" i="16"/>
  <c r="Q721" i="16"/>
  <c r="P721" i="16"/>
  <c r="L721" i="16"/>
  <c r="W720" i="16"/>
  <c r="V720" i="16"/>
  <c r="U720" i="16"/>
  <c r="T720" i="16"/>
  <c r="S720" i="16"/>
  <c r="Q720" i="16"/>
  <c r="P720" i="16"/>
  <c r="L720" i="16"/>
  <c r="W719" i="16"/>
  <c r="V719" i="16"/>
  <c r="U719" i="16"/>
  <c r="T719" i="16"/>
  <c r="S719" i="16"/>
  <c r="Q719" i="16"/>
  <c r="P719" i="16"/>
  <c r="L719" i="16"/>
  <c r="W718" i="16"/>
  <c r="V718" i="16"/>
  <c r="U718" i="16"/>
  <c r="T718" i="16"/>
  <c r="S718" i="16"/>
  <c r="Q718" i="16"/>
  <c r="P718" i="16"/>
  <c r="L718" i="16"/>
  <c r="W717" i="16"/>
  <c r="V717" i="16"/>
  <c r="U717" i="16"/>
  <c r="T717" i="16"/>
  <c r="S717" i="16"/>
  <c r="Q717" i="16"/>
  <c r="P717" i="16"/>
  <c r="L717" i="16"/>
  <c r="W716" i="16"/>
  <c r="V716" i="16"/>
  <c r="U716" i="16"/>
  <c r="T716" i="16"/>
  <c r="S716" i="16"/>
  <c r="Q716" i="16"/>
  <c r="P716" i="16"/>
  <c r="L716" i="16"/>
  <c r="W715" i="16"/>
  <c r="V715" i="16"/>
  <c r="U715" i="16"/>
  <c r="T715" i="16"/>
  <c r="S715" i="16"/>
  <c r="Q715" i="16"/>
  <c r="P715" i="16"/>
  <c r="L715" i="16"/>
  <c r="W714" i="16"/>
  <c r="V714" i="16"/>
  <c r="U714" i="16"/>
  <c r="T714" i="16"/>
  <c r="S714" i="16"/>
  <c r="Q714" i="16"/>
  <c r="P714" i="16"/>
  <c r="L714" i="16"/>
  <c r="W713" i="16"/>
  <c r="V713" i="16"/>
  <c r="U713" i="16"/>
  <c r="T713" i="16"/>
  <c r="S713" i="16"/>
  <c r="Q713" i="16"/>
  <c r="P713" i="16"/>
  <c r="L713" i="16"/>
  <c r="W712" i="16"/>
  <c r="V712" i="16"/>
  <c r="U712" i="16"/>
  <c r="T712" i="16"/>
  <c r="S712" i="16"/>
  <c r="Q712" i="16"/>
  <c r="P712" i="16"/>
  <c r="L712" i="16"/>
  <c r="W711" i="16"/>
  <c r="V711" i="16"/>
  <c r="U711" i="16"/>
  <c r="T711" i="16"/>
  <c r="S711" i="16"/>
  <c r="Q711" i="16"/>
  <c r="P711" i="16"/>
  <c r="L711" i="16"/>
  <c r="W710" i="16"/>
  <c r="V710" i="16"/>
  <c r="U710" i="16"/>
  <c r="T710" i="16"/>
  <c r="S710" i="16"/>
  <c r="Q710" i="16"/>
  <c r="P710" i="16"/>
  <c r="L710" i="16"/>
  <c r="W709" i="16"/>
  <c r="V709" i="16"/>
  <c r="U709" i="16"/>
  <c r="T709" i="16"/>
  <c r="S709" i="16"/>
  <c r="Q709" i="16"/>
  <c r="P709" i="16"/>
  <c r="L709" i="16"/>
  <c r="W708" i="16"/>
  <c r="V708" i="16"/>
  <c r="U708" i="16"/>
  <c r="T708" i="16"/>
  <c r="S708" i="16"/>
  <c r="Q708" i="16"/>
  <c r="P708" i="16"/>
  <c r="L708" i="16"/>
  <c r="W707" i="16"/>
  <c r="V707" i="16"/>
  <c r="U707" i="16"/>
  <c r="T707" i="16"/>
  <c r="S707" i="16"/>
  <c r="Q707" i="16"/>
  <c r="P707" i="16"/>
  <c r="L707" i="16"/>
  <c r="W706" i="16"/>
  <c r="V706" i="16"/>
  <c r="U706" i="16"/>
  <c r="T706" i="16"/>
  <c r="S706" i="16"/>
  <c r="Q706" i="16"/>
  <c r="P706" i="16"/>
  <c r="L706" i="16"/>
  <c r="W705" i="16"/>
  <c r="V705" i="16"/>
  <c r="U705" i="16"/>
  <c r="T705" i="16"/>
  <c r="S705" i="16"/>
  <c r="Q705" i="16"/>
  <c r="P705" i="16"/>
  <c r="L705" i="16"/>
  <c r="W704" i="16"/>
  <c r="V704" i="16"/>
  <c r="U704" i="16"/>
  <c r="T704" i="16"/>
  <c r="S704" i="16"/>
  <c r="Q704" i="16"/>
  <c r="P704" i="16"/>
  <c r="L704" i="16"/>
  <c r="W703" i="16"/>
  <c r="V703" i="16"/>
  <c r="U703" i="16"/>
  <c r="T703" i="16"/>
  <c r="S703" i="16"/>
  <c r="Q703" i="16"/>
  <c r="P703" i="16"/>
  <c r="L703" i="16"/>
  <c r="W702" i="16"/>
  <c r="V702" i="16"/>
  <c r="U702" i="16"/>
  <c r="T702" i="16"/>
  <c r="S702" i="16"/>
  <c r="Q702" i="16"/>
  <c r="P702" i="16"/>
  <c r="L702" i="16"/>
  <c r="W701" i="16"/>
  <c r="V701" i="16"/>
  <c r="U701" i="16"/>
  <c r="T701" i="16"/>
  <c r="S701" i="16"/>
  <c r="Q701" i="16"/>
  <c r="P701" i="16"/>
  <c r="L701" i="16"/>
  <c r="W700" i="16"/>
  <c r="V700" i="16"/>
  <c r="U700" i="16"/>
  <c r="T700" i="16"/>
  <c r="S700" i="16"/>
  <c r="Q700" i="16"/>
  <c r="P700" i="16"/>
  <c r="L700" i="16"/>
  <c r="W699" i="16"/>
  <c r="V699" i="16"/>
  <c r="U699" i="16"/>
  <c r="T699" i="16"/>
  <c r="S699" i="16"/>
  <c r="Q699" i="16"/>
  <c r="P699" i="16"/>
  <c r="L699" i="16"/>
  <c r="W698" i="16"/>
  <c r="V698" i="16"/>
  <c r="U698" i="16"/>
  <c r="T698" i="16"/>
  <c r="S698" i="16"/>
  <c r="Q698" i="16"/>
  <c r="P698" i="16"/>
  <c r="L698" i="16"/>
  <c r="W697" i="16"/>
  <c r="V697" i="16"/>
  <c r="U697" i="16"/>
  <c r="T697" i="16"/>
  <c r="S697" i="16"/>
  <c r="Q697" i="16"/>
  <c r="P697" i="16"/>
  <c r="L697" i="16"/>
  <c r="W696" i="16"/>
  <c r="V696" i="16"/>
  <c r="U696" i="16"/>
  <c r="T696" i="16"/>
  <c r="S696" i="16"/>
  <c r="Q696" i="16"/>
  <c r="P696" i="16"/>
  <c r="L696" i="16"/>
  <c r="W695" i="16"/>
  <c r="V695" i="16"/>
  <c r="U695" i="16"/>
  <c r="T695" i="16"/>
  <c r="S695" i="16"/>
  <c r="Q695" i="16"/>
  <c r="P695" i="16"/>
  <c r="L695" i="16"/>
  <c r="W694" i="16"/>
  <c r="V694" i="16"/>
  <c r="U694" i="16"/>
  <c r="T694" i="16"/>
  <c r="S694" i="16"/>
  <c r="Q694" i="16"/>
  <c r="P694" i="16"/>
  <c r="L694" i="16"/>
  <c r="W693" i="16"/>
  <c r="V693" i="16"/>
  <c r="U693" i="16"/>
  <c r="T693" i="16"/>
  <c r="S693" i="16"/>
  <c r="Q693" i="16"/>
  <c r="P693" i="16"/>
  <c r="L693" i="16"/>
  <c r="W692" i="16"/>
  <c r="V692" i="16"/>
  <c r="U692" i="16"/>
  <c r="T692" i="16"/>
  <c r="S692" i="16"/>
  <c r="Q692" i="16"/>
  <c r="P692" i="16"/>
  <c r="L692" i="16"/>
  <c r="W691" i="16"/>
  <c r="V691" i="16"/>
  <c r="U691" i="16"/>
  <c r="T691" i="16"/>
  <c r="S691" i="16"/>
  <c r="Q691" i="16"/>
  <c r="P691" i="16"/>
  <c r="L691" i="16"/>
  <c r="W690" i="16"/>
  <c r="V690" i="16"/>
  <c r="U690" i="16"/>
  <c r="T690" i="16"/>
  <c r="S690" i="16"/>
  <c r="Q690" i="16"/>
  <c r="P690" i="16"/>
  <c r="L690" i="16"/>
  <c r="W689" i="16"/>
  <c r="V689" i="16"/>
  <c r="U689" i="16"/>
  <c r="T689" i="16"/>
  <c r="S689" i="16"/>
  <c r="Q689" i="16"/>
  <c r="P689" i="16"/>
  <c r="L689" i="16"/>
  <c r="W688" i="16"/>
  <c r="V688" i="16"/>
  <c r="U688" i="16"/>
  <c r="T688" i="16"/>
  <c r="S688" i="16"/>
  <c r="Q688" i="16"/>
  <c r="P688" i="16"/>
  <c r="L688" i="16"/>
  <c r="W687" i="16"/>
  <c r="V687" i="16"/>
  <c r="U687" i="16"/>
  <c r="T687" i="16"/>
  <c r="S687" i="16"/>
  <c r="Q687" i="16"/>
  <c r="P687" i="16"/>
  <c r="L687" i="16"/>
  <c r="W686" i="16"/>
  <c r="V686" i="16"/>
  <c r="U686" i="16"/>
  <c r="T686" i="16"/>
  <c r="S686" i="16"/>
  <c r="Q686" i="16"/>
  <c r="P686" i="16"/>
  <c r="L686" i="16"/>
  <c r="O27" i="31" l="1"/>
  <c r="K163" i="57" s="1"/>
  <c r="C33" i="27"/>
  <c r="O25" i="31"/>
  <c r="K161" i="57" s="1"/>
  <c r="J13" i="31"/>
  <c r="O8" i="31"/>
  <c r="K150" i="57" s="1"/>
  <c r="D37" i="14"/>
  <c r="G37" i="14"/>
  <c r="E37" i="14"/>
  <c r="J30" i="31"/>
  <c r="J9" i="31"/>
  <c r="E151" i="57" s="1"/>
  <c r="E36" i="14"/>
  <c r="J28" i="31"/>
  <c r="E164" i="57" s="1"/>
  <c r="K13" i="31"/>
  <c r="F155" i="57" s="1"/>
  <c r="O12" i="31"/>
  <c r="K154" i="57" s="1"/>
  <c r="N8" i="31"/>
  <c r="J150" i="57" s="1"/>
  <c r="N25" i="31"/>
  <c r="J161" i="57" s="1"/>
  <c r="J11" i="31"/>
  <c r="E153" i="57" s="1"/>
  <c r="J29" i="31"/>
  <c r="E165" i="57" s="1"/>
  <c r="J10" i="31"/>
  <c r="E152" i="57" s="1"/>
  <c r="K30" i="31"/>
  <c r="F166" i="57" s="1"/>
  <c r="N30" i="31"/>
  <c r="J166" i="57" s="1"/>
  <c r="D46" i="23"/>
  <c r="F161" i="57"/>
  <c r="F45" i="23"/>
  <c r="G36" i="14"/>
  <c r="D45" i="23"/>
  <c r="C46" i="23"/>
  <c r="F46" i="23"/>
  <c r="F150" i="57"/>
  <c r="E163" i="57"/>
  <c r="F154" i="57"/>
  <c r="K11" i="31"/>
  <c r="F153" i="57" s="1"/>
  <c r="I161" i="57"/>
  <c r="G161" i="57"/>
  <c r="I150" i="57"/>
  <c r="E154" i="57"/>
  <c r="G150" i="57"/>
  <c r="F165" i="57"/>
  <c r="K28" i="31"/>
  <c r="F164" i="57" s="1"/>
  <c r="BI57" i="31"/>
  <c r="O52" i="31" s="1"/>
  <c r="K52" i="31" s="1"/>
  <c r="C33" i="25"/>
  <c r="F32" i="25"/>
  <c r="D32" i="25"/>
  <c r="D32" i="27"/>
  <c r="AU37" i="31"/>
  <c r="AU38" i="31"/>
  <c r="F32" i="27"/>
  <c r="F33" i="27"/>
  <c r="D33" i="27"/>
  <c r="AS67" i="29"/>
  <c r="AY67" i="29" s="1"/>
  <c r="AS68" i="29"/>
  <c r="AY68" i="29" s="1"/>
  <c r="L16" i="35" l="1"/>
  <c r="M16" i="35"/>
  <c r="L15" i="35"/>
  <c r="M15" i="35"/>
  <c r="E166" i="57"/>
  <c r="I33" i="25"/>
  <c r="J32" i="25"/>
  <c r="L32" i="25"/>
  <c r="E155" i="57"/>
  <c r="K276" i="57"/>
  <c r="AS12" i="25"/>
  <c r="Z32" i="25"/>
  <c r="AL32" i="25"/>
  <c r="AU12" i="25"/>
  <c r="AV12" i="25"/>
  <c r="AT12" i="25"/>
  <c r="AA32" i="25"/>
  <c r="AM32" i="25"/>
  <c r="D33" i="25"/>
  <c r="AK33" i="25"/>
  <c r="F33" i="25"/>
  <c r="U46" i="23"/>
  <c r="U45" i="23"/>
  <c r="V46" i="23"/>
  <c r="V45" i="23"/>
  <c r="AV38" i="31"/>
  <c r="AS62" i="29"/>
  <c r="AY62" i="29" s="1"/>
  <c r="L10" i="35" s="1"/>
  <c r="AS63" i="29"/>
  <c r="AY63" i="29" s="1"/>
  <c r="L11" i="35" s="1"/>
  <c r="AS64" i="29"/>
  <c r="AY64" i="29" s="1"/>
  <c r="L12" i="35" s="1"/>
  <c r="AS65" i="29"/>
  <c r="AY65" i="29" s="1"/>
  <c r="L13" i="35" s="1"/>
  <c r="AS66" i="29"/>
  <c r="AY66" i="29" s="1"/>
  <c r="L14" i="35" s="1"/>
  <c r="AS69" i="29"/>
  <c r="AY69" i="29" s="1"/>
  <c r="AS70" i="29"/>
  <c r="AY70" i="29" s="1"/>
  <c r="AS61" i="29"/>
  <c r="L17" i="35" l="1"/>
  <c r="M17" i="35"/>
  <c r="L18" i="35"/>
  <c r="M18" i="35"/>
  <c r="F30" i="35"/>
  <c r="G30" i="35"/>
  <c r="H30" i="35" s="1"/>
  <c r="F31" i="35"/>
  <c r="G31" i="35"/>
  <c r="H31" i="35" s="1"/>
  <c r="L33" i="25"/>
  <c r="J33" i="25"/>
  <c r="AU13" i="25"/>
  <c r="AV13" i="25"/>
  <c r="K68" i="31"/>
  <c r="F287" i="57" s="1"/>
  <c r="AB32" i="25"/>
  <c r="AS13" i="25"/>
  <c r="AT13" i="25"/>
  <c r="Z33" i="25"/>
  <c r="AL33" i="25"/>
  <c r="AA33" i="25"/>
  <c r="AM33" i="25"/>
  <c r="W46" i="23"/>
  <c r="W45" i="23"/>
  <c r="I10" i="2"/>
  <c r="I13" i="2"/>
  <c r="I11" i="2"/>
  <c r="I12" i="2"/>
  <c r="B117" i="47" s="1"/>
  <c r="F33" i="35" l="1"/>
  <c r="G33" i="35"/>
  <c r="H33" i="35" s="1"/>
  <c r="F32" i="35"/>
  <c r="G32" i="35"/>
  <c r="H32" i="35" s="1"/>
  <c r="P52" i="31"/>
  <c r="L276" i="57" s="1"/>
  <c r="F276" i="57"/>
  <c r="P68" i="31"/>
  <c r="K73" i="31"/>
  <c r="F292" i="57" s="1"/>
  <c r="B13" i="47"/>
  <c r="AB33" i="25"/>
  <c r="H8" i="37"/>
  <c r="H7" i="32"/>
  <c r="C1506" i="16"/>
  <c r="D1506" i="16" s="1"/>
  <c r="G1506" i="16" s="1"/>
  <c r="C1505" i="16"/>
  <c r="D1505" i="16" s="1"/>
  <c r="G1505" i="16" s="1"/>
  <c r="C1504" i="16"/>
  <c r="D1504" i="16" s="1"/>
  <c r="G1504" i="16" s="1"/>
  <c r="C1503" i="16"/>
  <c r="D1503" i="16" s="1"/>
  <c r="G1503" i="16" s="1"/>
  <c r="C1502" i="16"/>
  <c r="D1502" i="16" s="1"/>
  <c r="G1502" i="16" s="1"/>
  <c r="E15" i="25"/>
  <c r="E16" i="25"/>
  <c r="E17" i="25"/>
  <c r="E18" i="25"/>
  <c r="E19" i="25"/>
  <c r="E20" i="25"/>
  <c r="E21" i="25"/>
  <c r="E22" i="25"/>
  <c r="E23" i="25"/>
  <c r="E14" i="25"/>
  <c r="F15" i="25"/>
  <c r="F16" i="25"/>
  <c r="F17" i="25"/>
  <c r="F18" i="25"/>
  <c r="F19" i="25"/>
  <c r="F20" i="25"/>
  <c r="F21" i="25"/>
  <c r="F22" i="25"/>
  <c r="F23" i="25"/>
  <c r="F14" i="25"/>
  <c r="G15" i="25"/>
  <c r="G16" i="25"/>
  <c r="G17" i="25"/>
  <c r="G18" i="25"/>
  <c r="G19" i="25"/>
  <c r="G20" i="25"/>
  <c r="G21" i="25"/>
  <c r="G22" i="25"/>
  <c r="G23" i="25"/>
  <c r="G14" i="25"/>
  <c r="H10" i="37"/>
  <c r="P73" i="31" l="1"/>
  <c r="L292" i="57" s="1"/>
  <c r="L287" i="57"/>
  <c r="N10" i="37"/>
  <c r="M10" i="37"/>
  <c r="BC36" i="29"/>
  <c r="BY36" i="29" s="1"/>
  <c r="Z8" i="32" s="1"/>
  <c r="AA8" i="32" s="1"/>
  <c r="M24" i="32" s="1"/>
  <c r="C43" i="27"/>
  <c r="H12" i="37"/>
  <c r="H13" i="37"/>
  <c r="H16" i="37"/>
  <c r="H14" i="37"/>
  <c r="H15" i="37"/>
  <c r="H18" i="37"/>
  <c r="H17" i="37"/>
  <c r="H11" i="37"/>
  <c r="H9" i="37"/>
  <c r="N14" i="37" l="1"/>
  <c r="M14" i="37"/>
  <c r="I12" i="37"/>
  <c r="J12" i="37" s="1"/>
  <c r="L12" i="37" s="1"/>
  <c r="K12" i="37" s="1"/>
  <c r="N12" i="37"/>
  <c r="M12" i="37"/>
  <c r="M15" i="37"/>
  <c r="N15" i="37"/>
  <c r="M11" i="37"/>
  <c r="N11" i="37"/>
  <c r="I11" i="37"/>
  <c r="J11" i="37" s="1"/>
  <c r="N16" i="37"/>
  <c r="M16" i="37"/>
  <c r="N18" i="37"/>
  <c r="M18" i="37"/>
  <c r="N9" i="37"/>
  <c r="I9" i="37"/>
  <c r="J9" i="37" s="1"/>
  <c r="L9" i="37" s="1"/>
  <c r="K9" i="37" s="1"/>
  <c r="M9" i="37"/>
  <c r="H118" i="47"/>
  <c r="I118" i="47"/>
  <c r="E24" i="32"/>
  <c r="E25" i="32"/>
  <c r="E26" i="32"/>
  <c r="E27" i="32"/>
  <c r="E28" i="32"/>
  <c r="E29" i="32"/>
  <c r="E30" i="32"/>
  <c r="E31" i="32"/>
  <c r="C60" i="23"/>
  <c r="B49" i="23"/>
  <c r="B50" i="23"/>
  <c r="B52" i="23"/>
  <c r="B53" i="23"/>
  <c r="B55" i="23"/>
  <c r="B56" i="23"/>
  <c r="B58" i="23"/>
  <c r="B28" i="23"/>
  <c r="B59" i="23" s="1"/>
  <c r="B29" i="23"/>
  <c r="B60" i="23" s="1"/>
  <c r="B16" i="23"/>
  <c r="B47" i="23" s="1"/>
  <c r="F60" i="23"/>
  <c r="F13" i="23"/>
  <c r="M134" i="47" l="1"/>
  <c r="BK58" i="43"/>
  <c r="BN58" i="43"/>
  <c r="P24" i="32"/>
  <c r="E13" i="23" l="1"/>
  <c r="E14" i="23"/>
  <c r="E15" i="23"/>
  <c r="D13" i="23"/>
  <c r="D14" i="23"/>
  <c r="D15" i="23"/>
  <c r="T58" i="15"/>
  <c r="T59" i="15"/>
  <c r="R58" i="15"/>
  <c r="R59" i="15"/>
  <c r="Q58" i="15"/>
  <c r="Q59" i="15"/>
  <c r="J13" i="14"/>
  <c r="X9" i="23" l="1"/>
  <c r="W9" i="23"/>
  <c r="W11" i="23"/>
  <c r="X11" i="23"/>
  <c r="W10" i="23"/>
  <c r="X10" i="23"/>
  <c r="Y9" i="23" l="1"/>
  <c r="AP43" i="23" s="1"/>
  <c r="AL14" i="23"/>
  <c r="AV14" i="23"/>
  <c r="AW14" i="23"/>
  <c r="AV15" i="23"/>
  <c r="AW15" i="23"/>
  <c r="AL15" i="23"/>
  <c r="Y11" i="23"/>
  <c r="AU15" i="23"/>
  <c r="AJ15" i="23"/>
  <c r="AT15" i="23"/>
  <c r="Y10" i="23"/>
  <c r="AT14" i="23"/>
  <c r="AU14" i="23"/>
  <c r="AJ14" i="23"/>
  <c r="AM25" i="31"/>
  <c r="AM26" i="31"/>
  <c r="AM27" i="31"/>
  <c r="AM28" i="31"/>
  <c r="AM29" i="31"/>
  <c r="AM30" i="31"/>
  <c r="AM31" i="31"/>
  <c r="AL25" i="31"/>
  <c r="AL26" i="31"/>
  <c r="AL27" i="31"/>
  <c r="AL28" i="31"/>
  <c r="AL29" i="31"/>
  <c r="AL30" i="31"/>
  <c r="AL31" i="31"/>
  <c r="AL24" i="31"/>
  <c r="AK25" i="31"/>
  <c r="AK26" i="31"/>
  <c r="AK27" i="31"/>
  <c r="AK28" i="31"/>
  <c r="AK29" i="31"/>
  <c r="AK30" i="31"/>
  <c r="AK31" i="31"/>
  <c r="AK24" i="31"/>
  <c r="AJ25" i="31"/>
  <c r="AJ26" i="31"/>
  <c r="AJ27" i="31"/>
  <c r="AJ28" i="31"/>
  <c r="AJ29" i="31"/>
  <c r="AJ30" i="31"/>
  <c r="AJ31" i="31"/>
  <c r="AJ24" i="31"/>
  <c r="AI25" i="31"/>
  <c r="AI26" i="31"/>
  <c r="AI27" i="31"/>
  <c r="AI28" i="31"/>
  <c r="AI29" i="31"/>
  <c r="AI30" i="31"/>
  <c r="AI31" i="31"/>
  <c r="AI24" i="31"/>
  <c r="AH25" i="31"/>
  <c r="AH26" i="31"/>
  <c r="AH27" i="31"/>
  <c r="AH28" i="31"/>
  <c r="AH29" i="31"/>
  <c r="AH30" i="31"/>
  <c r="AH31" i="31"/>
  <c r="AH24" i="31"/>
  <c r="AG25" i="31"/>
  <c r="AG26" i="31"/>
  <c r="AG27" i="31"/>
  <c r="AG28" i="31"/>
  <c r="AG29" i="31"/>
  <c r="AG30" i="31"/>
  <c r="AG31" i="31"/>
  <c r="AG24" i="31"/>
  <c r="AI12" i="31"/>
  <c r="AI9" i="31"/>
  <c r="AI8" i="31"/>
  <c r="AM7" i="31"/>
  <c r="AM8" i="31"/>
  <c r="AM9" i="31"/>
  <c r="AM10" i="31"/>
  <c r="AM11" i="31"/>
  <c r="AM12" i="31"/>
  <c r="AM13" i="31"/>
  <c r="AM6" i="31"/>
  <c r="AL7" i="31"/>
  <c r="AL8" i="31"/>
  <c r="AL9" i="31"/>
  <c r="AL10" i="31"/>
  <c r="AL11" i="31"/>
  <c r="AL12" i="31"/>
  <c r="AL13" i="31"/>
  <c r="AL6" i="31"/>
  <c r="AK7" i="31"/>
  <c r="AK8" i="31"/>
  <c r="AK9" i="31"/>
  <c r="AK10" i="31"/>
  <c r="AK11" i="31"/>
  <c r="AK12" i="31"/>
  <c r="AK13" i="31"/>
  <c r="AK6" i="31"/>
  <c r="AJ7" i="31"/>
  <c r="AJ8" i="31"/>
  <c r="AJ9" i="31"/>
  <c r="AJ10" i="31"/>
  <c r="AJ11" i="31"/>
  <c r="AJ12" i="31"/>
  <c r="AJ13" i="31"/>
  <c r="AJ6" i="31"/>
  <c r="AI7" i="31"/>
  <c r="AI10" i="31"/>
  <c r="AI11" i="31"/>
  <c r="AI13" i="31"/>
  <c r="AI6" i="31"/>
  <c r="AH7" i="31"/>
  <c r="AH8" i="31"/>
  <c r="AH9" i="31"/>
  <c r="AH10" i="31"/>
  <c r="AH11" i="31"/>
  <c r="AH12" i="31"/>
  <c r="AH13" i="31"/>
  <c r="AH6" i="31"/>
  <c r="AG8" i="31"/>
  <c r="AG9" i="31"/>
  <c r="AG10" i="31"/>
  <c r="AG11" i="31"/>
  <c r="AG12" i="31"/>
  <c r="AG13" i="31"/>
  <c r="AG32" i="31" l="1"/>
  <c r="I26" i="31" s="1"/>
  <c r="AH32" i="31"/>
  <c r="I25" i="31" s="1"/>
  <c r="AI32" i="31"/>
  <c r="AJ32" i="31"/>
  <c r="I29" i="31" s="1"/>
  <c r="AK32" i="31"/>
  <c r="I27" i="31" s="1"/>
  <c r="D163" i="57" s="1"/>
  <c r="AL32" i="31"/>
  <c r="I28" i="31" s="1"/>
  <c r="D164" i="57" s="1"/>
  <c r="AM32" i="31"/>
  <c r="AO43" i="23"/>
  <c r="AO44" i="23"/>
  <c r="AP44" i="23"/>
  <c r="AG14" i="31"/>
  <c r="I9" i="31" s="1"/>
  <c r="AH14" i="31"/>
  <c r="I8" i="31" s="1"/>
  <c r="AI14" i="31"/>
  <c r="AJ14" i="31"/>
  <c r="I12" i="31" s="1"/>
  <c r="AK14" i="31"/>
  <c r="AL14" i="31"/>
  <c r="I11" i="31" s="1"/>
  <c r="AM14" i="31"/>
  <c r="I13" i="31" l="1"/>
  <c r="C31" i="27"/>
  <c r="D153" i="57"/>
  <c r="I30" i="31"/>
  <c r="O30" i="31" s="1"/>
  <c r="D150" i="57"/>
  <c r="D151" i="57"/>
  <c r="D44" i="23"/>
  <c r="C44" i="23"/>
  <c r="D162" i="57"/>
  <c r="F44" i="23"/>
  <c r="D154" i="57"/>
  <c r="N12" i="31"/>
  <c r="J154" i="57" s="1"/>
  <c r="D165" i="57"/>
  <c r="N29" i="31"/>
  <c r="J165" i="57" s="1"/>
  <c r="I10" i="31"/>
  <c r="D152" i="57" s="1"/>
  <c r="F31" i="27"/>
  <c r="D31" i="27"/>
  <c r="T15" i="21"/>
  <c r="G38" i="32"/>
  <c r="G39" i="32"/>
  <c r="G40" i="32"/>
  <c r="G41" i="32"/>
  <c r="G42" i="32"/>
  <c r="G43" i="32"/>
  <c r="G44" i="32"/>
  <c r="G37" i="32"/>
  <c r="E37" i="32"/>
  <c r="J37" i="32" s="1"/>
  <c r="E38" i="32"/>
  <c r="E39" i="32"/>
  <c r="E40" i="32"/>
  <c r="E41" i="32"/>
  <c r="E42" i="32"/>
  <c r="E43" i="32"/>
  <c r="E44" i="32"/>
  <c r="F38" i="32"/>
  <c r="F39" i="32"/>
  <c r="F40" i="32"/>
  <c r="F41" i="32"/>
  <c r="F42" i="32"/>
  <c r="F43" i="32"/>
  <c r="F44" i="32"/>
  <c r="F37" i="32"/>
  <c r="M37" i="32" s="1"/>
  <c r="D38" i="32"/>
  <c r="D39" i="32"/>
  <c r="D40" i="32"/>
  <c r="D41" i="32"/>
  <c r="D42" i="32"/>
  <c r="D43" i="32"/>
  <c r="D44" i="32"/>
  <c r="D37" i="32"/>
  <c r="H48" i="23" l="1"/>
  <c r="I48" i="23"/>
  <c r="H51" i="23"/>
  <c r="I51" i="23"/>
  <c r="H54" i="23"/>
  <c r="I54" i="23"/>
  <c r="H57" i="23"/>
  <c r="I57" i="23"/>
  <c r="I62" i="23"/>
  <c r="I63" i="23"/>
  <c r="I64" i="23"/>
  <c r="I65" i="23"/>
  <c r="H62" i="23"/>
  <c r="I66" i="23"/>
  <c r="H63" i="23"/>
  <c r="H64" i="23"/>
  <c r="H66" i="23"/>
  <c r="H65" i="23"/>
  <c r="O28" i="68"/>
  <c r="P40" i="68"/>
  <c r="P44" i="68"/>
  <c r="O40" i="68"/>
  <c r="O41" i="68"/>
  <c r="O42" i="68"/>
  <c r="O44" i="68"/>
  <c r="P32" i="68"/>
  <c r="O43" i="68"/>
  <c r="P28" i="68"/>
  <c r="P29" i="68"/>
  <c r="P31" i="68"/>
  <c r="O29" i="68"/>
  <c r="O31" i="68"/>
  <c r="O32" i="68"/>
  <c r="P41" i="68"/>
  <c r="O39" i="68"/>
  <c r="O79" i="68"/>
  <c r="P30" i="68"/>
  <c r="P43" i="68"/>
  <c r="P42" i="68"/>
  <c r="O27" i="68"/>
  <c r="P39" i="68"/>
  <c r="P27" i="68"/>
  <c r="O30" i="68"/>
  <c r="AK26" i="23"/>
  <c r="M65" i="69" s="1"/>
  <c r="AK20" i="23"/>
  <c r="M59" i="69" s="1"/>
  <c r="AI17" i="23"/>
  <c r="U56" i="69" s="1"/>
  <c r="AI23" i="23"/>
  <c r="U62" i="69" s="1"/>
  <c r="AI20" i="23"/>
  <c r="U59" i="69" s="1"/>
  <c r="AK17" i="23"/>
  <c r="M56" i="69" s="1"/>
  <c r="AK23" i="23"/>
  <c r="M62" i="69" s="1"/>
  <c r="AI26" i="23"/>
  <c r="U65" i="69" s="1"/>
  <c r="P79" i="68"/>
  <c r="O84" i="68"/>
  <c r="O82" i="68"/>
  <c r="P81" i="68"/>
  <c r="O81" i="68"/>
  <c r="P84" i="68"/>
  <c r="P85" i="68"/>
  <c r="P82" i="68"/>
  <c r="P83" i="68"/>
  <c r="O83" i="68"/>
  <c r="P80" i="68"/>
  <c r="O86" i="68"/>
  <c r="O80" i="68"/>
  <c r="P86" i="68"/>
  <c r="O85" i="68"/>
  <c r="O94" i="68"/>
  <c r="P97" i="68"/>
  <c r="P96" i="68"/>
  <c r="P94" i="68"/>
  <c r="O98" i="68"/>
  <c r="P95" i="68"/>
  <c r="O95" i="68"/>
  <c r="O99" i="68"/>
  <c r="O96" i="68"/>
  <c r="P98" i="68"/>
  <c r="P99" i="68"/>
  <c r="O97" i="68"/>
  <c r="P123" i="68"/>
  <c r="P118" i="42"/>
  <c r="P117" i="42"/>
  <c r="P123" i="42"/>
  <c r="L51" i="23"/>
  <c r="M48" i="23"/>
  <c r="L54" i="23"/>
  <c r="M57" i="23"/>
  <c r="L57" i="23"/>
  <c r="M51" i="23"/>
  <c r="M54" i="23"/>
  <c r="L48" i="23"/>
  <c r="L64" i="23"/>
  <c r="M64" i="23"/>
  <c r="M65" i="23"/>
  <c r="L61" i="23"/>
  <c r="L66" i="23"/>
  <c r="M61" i="23"/>
  <c r="M63" i="23"/>
  <c r="L65" i="23"/>
  <c r="L63" i="23"/>
  <c r="M62" i="23"/>
  <c r="M66" i="23"/>
  <c r="L62" i="23"/>
  <c r="L37" i="32"/>
  <c r="K37" i="32"/>
  <c r="O13" i="31"/>
  <c r="K155" i="57" s="1"/>
  <c r="AA23" i="54"/>
  <c r="AA19" i="54"/>
  <c r="Z22" i="54"/>
  <c r="AA22" i="54"/>
  <c r="AA21" i="54"/>
  <c r="Z24" i="54"/>
  <c r="Z23" i="54"/>
  <c r="Z20" i="54"/>
  <c r="Z19" i="54"/>
  <c r="AA20" i="54"/>
  <c r="Z21" i="54"/>
  <c r="AA24" i="54"/>
  <c r="D166" i="57"/>
  <c r="K166" i="57"/>
  <c r="AL12" i="25"/>
  <c r="AK12" i="25"/>
  <c r="AM12" i="25"/>
  <c r="AN12" i="25"/>
  <c r="AK13" i="25"/>
  <c r="AL13" i="25"/>
  <c r="AN13" i="25"/>
  <c r="AM13" i="25"/>
  <c r="AC121" i="47"/>
  <c r="AB122" i="47"/>
  <c r="AB121" i="47"/>
  <c r="AC122" i="47"/>
  <c r="AB123" i="47"/>
  <c r="AC123" i="47"/>
  <c r="J47" i="35"/>
  <c r="J48" i="35"/>
  <c r="J49" i="35"/>
  <c r="I47" i="35"/>
  <c r="J50" i="35"/>
  <c r="I48" i="35"/>
  <c r="I49" i="35"/>
  <c r="I50" i="35"/>
  <c r="P71" i="42"/>
  <c r="O71" i="42"/>
  <c r="S34" i="40" s="1"/>
  <c r="O128" i="68"/>
  <c r="P138" i="68"/>
  <c r="P127" i="68"/>
  <c r="O127" i="68"/>
  <c r="P125" i="68"/>
  <c r="P134" i="68"/>
  <c r="O124" i="68"/>
  <c r="O135" i="68"/>
  <c r="P126" i="68"/>
  <c r="P139" i="68"/>
  <c r="O138" i="68"/>
  <c r="O139" i="68"/>
  <c r="P128" i="68"/>
  <c r="P136" i="68"/>
  <c r="O125" i="68"/>
  <c r="O134" i="68"/>
  <c r="P135" i="68"/>
  <c r="P137" i="68"/>
  <c r="O136" i="68"/>
  <c r="O123" i="68"/>
  <c r="O137" i="68"/>
  <c r="P124" i="68"/>
  <c r="O126" i="68"/>
  <c r="P70" i="68"/>
  <c r="O69" i="68"/>
  <c r="AE45" i="67" s="1"/>
  <c r="P68" i="68"/>
  <c r="O73" i="68"/>
  <c r="AE49" i="67" s="1"/>
  <c r="O68" i="68"/>
  <c r="P72" i="68"/>
  <c r="P69" i="68"/>
  <c r="O72" i="68"/>
  <c r="AE48" i="67" s="1"/>
  <c r="P73" i="68"/>
  <c r="O70" i="68"/>
  <c r="AE46" i="67" s="1"/>
  <c r="P71" i="68"/>
  <c r="O71" i="68"/>
  <c r="AE47" i="67" s="1"/>
  <c r="AF285" i="47"/>
  <c r="AG285" i="47"/>
  <c r="AB285" i="47"/>
  <c r="AC285" i="47"/>
  <c r="AC284" i="47"/>
  <c r="AD283" i="47"/>
  <c r="AB283" i="47"/>
  <c r="AE285" i="47"/>
  <c r="AB284" i="47"/>
  <c r="AF283" i="47"/>
  <c r="AF281" i="47"/>
  <c r="AD284" i="47"/>
  <c r="AE284" i="47"/>
  <c r="AB281" i="47"/>
  <c r="AB282" i="47"/>
  <c r="AF284" i="47"/>
  <c r="AD281" i="47"/>
  <c r="AF282" i="47"/>
  <c r="AD282" i="47"/>
  <c r="AG284" i="47"/>
  <c r="AD285" i="47"/>
  <c r="AG181" i="47"/>
  <c r="AF178" i="47"/>
  <c r="AF180" i="47"/>
  <c r="AB180" i="47"/>
  <c r="AE180" i="47"/>
  <c r="AD180" i="47"/>
  <c r="AE179" i="47"/>
  <c r="AF179" i="47"/>
  <c r="AC179" i="47"/>
  <c r="AD181" i="47"/>
  <c r="AG179" i="47"/>
  <c r="AB179" i="47"/>
  <c r="AC180" i="47"/>
  <c r="AF181" i="47"/>
  <c r="AC181" i="47"/>
  <c r="AD179" i="47"/>
  <c r="AD177" i="47"/>
  <c r="AE181" i="47"/>
  <c r="AG180" i="47"/>
  <c r="AB177" i="47"/>
  <c r="AD178" i="47"/>
  <c r="AF177" i="47"/>
  <c r="AB178" i="47"/>
  <c r="AB181" i="47"/>
  <c r="O119" i="55"/>
  <c r="AE69" i="50" s="1"/>
  <c r="P120" i="55"/>
  <c r="P119" i="55"/>
  <c r="O118" i="55"/>
  <c r="AE68" i="50" s="1"/>
  <c r="O120" i="55"/>
  <c r="AE70" i="50" s="1"/>
  <c r="P118" i="55"/>
  <c r="O16" i="68"/>
  <c r="P21" i="68"/>
  <c r="P19" i="68"/>
  <c r="O18" i="68"/>
  <c r="AE15" i="67" s="1"/>
  <c r="P17" i="68"/>
  <c r="P20" i="68"/>
  <c r="P16" i="68"/>
  <c r="P18" i="68"/>
  <c r="O19" i="68"/>
  <c r="AE16" i="67" s="1"/>
  <c r="O21" i="68"/>
  <c r="AE18" i="67" s="1"/>
  <c r="O20" i="68"/>
  <c r="AE17" i="67" s="1"/>
  <c r="O17" i="68"/>
  <c r="AE14" i="67" s="1"/>
  <c r="AJ491" i="47"/>
  <c r="AI491" i="47"/>
  <c r="AF443" i="47"/>
  <c r="AF444" i="47"/>
  <c r="AB441" i="47"/>
  <c r="AB443" i="47"/>
  <c r="AD444" i="47"/>
  <c r="AF441" i="47"/>
  <c r="AD443" i="47"/>
  <c r="AD441" i="47"/>
  <c r="AB444" i="47"/>
  <c r="AB376" i="47"/>
  <c r="AG378" i="47"/>
  <c r="AB377" i="47"/>
  <c r="AG375" i="47"/>
  <c r="AE376" i="47"/>
  <c r="AD375" i="47"/>
  <c r="AG377" i="47"/>
  <c r="AD376" i="47"/>
  <c r="AE378" i="47"/>
  <c r="AB378" i="47"/>
  <c r="AC375" i="47"/>
  <c r="AG376" i="47"/>
  <c r="AC377" i="47"/>
  <c r="AF378" i="47"/>
  <c r="AB375" i="47"/>
  <c r="AE377" i="47"/>
  <c r="AF376" i="47"/>
  <c r="AD377" i="47"/>
  <c r="AD378" i="47"/>
  <c r="AE375" i="47"/>
  <c r="AF375" i="47"/>
  <c r="AC378" i="47"/>
  <c r="AF377" i="47"/>
  <c r="AC376" i="47"/>
  <c r="AF391" i="47"/>
  <c r="AC391" i="47"/>
  <c r="AD391" i="47"/>
  <c r="AG391" i="47"/>
  <c r="AE391" i="47"/>
  <c r="AB391" i="47"/>
  <c r="AG280" i="47"/>
  <c r="AC280" i="47"/>
  <c r="AD280" i="47"/>
  <c r="AB280" i="47"/>
  <c r="AE280" i="47"/>
  <c r="AF280" i="47"/>
  <c r="BA151" i="47"/>
  <c r="AG198" i="47"/>
  <c r="AE198" i="47"/>
  <c r="AC196" i="47"/>
  <c r="AB198" i="47"/>
  <c r="AC197" i="47"/>
  <c r="AF196" i="47"/>
  <c r="AF197" i="47"/>
  <c r="AE196" i="47"/>
  <c r="AG196" i="47"/>
  <c r="AE197" i="47"/>
  <c r="AF198" i="47"/>
  <c r="AB197" i="47"/>
  <c r="AD196" i="47"/>
  <c r="AD198" i="47"/>
  <c r="AB196" i="47"/>
  <c r="AD197" i="47"/>
  <c r="AC198" i="47"/>
  <c r="AG197" i="47"/>
  <c r="AF207" i="47"/>
  <c r="AB207" i="47"/>
  <c r="AG207" i="47"/>
  <c r="AE194" i="47"/>
  <c r="AC195" i="47"/>
  <c r="AB195" i="47"/>
  <c r="AF194" i="47"/>
  <c r="AF195" i="47"/>
  <c r="AE207" i="47"/>
  <c r="AE195" i="47"/>
  <c r="AC194" i="47"/>
  <c r="AE208" i="47"/>
  <c r="AD208" i="47"/>
  <c r="AD207" i="47"/>
  <c r="AB194" i="47"/>
  <c r="AG195" i="47"/>
  <c r="AD195" i="47"/>
  <c r="AG194" i="47"/>
  <c r="AD194" i="47"/>
  <c r="AE209" i="47"/>
  <c r="AF209" i="47"/>
  <c r="AG208" i="47"/>
  <c r="AG209" i="47"/>
  <c r="AB208" i="47"/>
  <c r="AC208" i="47"/>
  <c r="AB209" i="47"/>
  <c r="AF208" i="47"/>
  <c r="AC207" i="47"/>
  <c r="AD209" i="47"/>
  <c r="AC209" i="47"/>
  <c r="AC105" i="47"/>
  <c r="AG82" i="47"/>
  <c r="AE82" i="47"/>
  <c r="AG78" i="47"/>
  <c r="AC82" i="47"/>
  <c r="AF81" i="47"/>
  <c r="AG81" i="47"/>
  <c r="AB82" i="47"/>
  <c r="AD82" i="47"/>
  <c r="AC78" i="47"/>
  <c r="AC81" i="47"/>
  <c r="AB81" i="47"/>
  <c r="AF82" i="47"/>
  <c r="AF78" i="47"/>
  <c r="AE81" i="47"/>
  <c r="AD81" i="47"/>
  <c r="AD78" i="47"/>
  <c r="AE78" i="47"/>
  <c r="AB78" i="47"/>
  <c r="AG106" i="47"/>
  <c r="AE106" i="47"/>
  <c r="AE105" i="47"/>
  <c r="AB107" i="47"/>
  <c r="AE107" i="47"/>
  <c r="AC106" i="47"/>
  <c r="AG94" i="47"/>
  <c r="AG95" i="47"/>
  <c r="AB94" i="47"/>
  <c r="AF93" i="47"/>
  <c r="AC93" i="47"/>
  <c r="AG92" i="47"/>
  <c r="AD93" i="47"/>
  <c r="AE92" i="47"/>
  <c r="AF92" i="47"/>
  <c r="AF105" i="47"/>
  <c r="AF107" i="47"/>
  <c r="AD107" i="47"/>
  <c r="AD95" i="47"/>
  <c r="AF96" i="47"/>
  <c r="AC92" i="47"/>
  <c r="AB105" i="47"/>
  <c r="AB93" i="47"/>
  <c r="AD106" i="47"/>
  <c r="AB106" i="47"/>
  <c r="AG107" i="47"/>
  <c r="AD105" i="47"/>
  <c r="AF106" i="47"/>
  <c r="AF95" i="47"/>
  <c r="AB96" i="47"/>
  <c r="AD96" i="47"/>
  <c r="AE95" i="47"/>
  <c r="AG93" i="47"/>
  <c r="AE93" i="47"/>
  <c r="AC96" i="47"/>
  <c r="AB95" i="47"/>
  <c r="AE96" i="47"/>
  <c r="AD92" i="47"/>
  <c r="AG105" i="47"/>
  <c r="AE94" i="47"/>
  <c r="AC94" i="47"/>
  <c r="AC95" i="47"/>
  <c r="AC107" i="47"/>
  <c r="AG96" i="47"/>
  <c r="AF94" i="47"/>
  <c r="AD94" i="47"/>
  <c r="AB92" i="47"/>
  <c r="AG104" i="47"/>
  <c r="AE104" i="47"/>
  <c r="AD103" i="47"/>
  <c r="AB104" i="47"/>
  <c r="AF104" i="47"/>
  <c r="AE103" i="47"/>
  <c r="AC103" i="47"/>
  <c r="AG103" i="47"/>
  <c r="AF103" i="47"/>
  <c r="AB103" i="47"/>
  <c r="AC104" i="47"/>
  <c r="AD104" i="47"/>
  <c r="P99" i="42"/>
  <c r="O99" i="42"/>
  <c r="S64" i="40" s="1"/>
  <c r="D155" i="57"/>
  <c r="P120" i="42"/>
  <c r="O120" i="42"/>
  <c r="O119" i="42"/>
  <c r="P119" i="42"/>
  <c r="O118" i="42"/>
  <c r="O117" i="42"/>
  <c r="BA260" i="47"/>
  <c r="BA258" i="47"/>
  <c r="BA256" i="47"/>
  <c r="AZ260" i="47"/>
  <c r="AZ258" i="47"/>
  <c r="AZ256" i="47"/>
  <c r="BA259" i="47"/>
  <c r="BA257" i="47"/>
  <c r="BA255" i="47"/>
  <c r="AZ259" i="47"/>
  <c r="AZ257" i="47"/>
  <c r="AX151" i="47"/>
  <c r="AF255" i="47"/>
  <c r="AH327" i="47"/>
  <c r="AG327" i="47"/>
  <c r="BF339" i="47" s="1"/>
  <c r="G35" i="14"/>
  <c r="D35" i="14"/>
  <c r="Q15" i="15" s="1"/>
  <c r="D161" i="57"/>
  <c r="E35" i="14"/>
  <c r="U63" i="49"/>
  <c r="T63" i="49"/>
  <c r="V63" i="49"/>
  <c r="U59" i="49"/>
  <c r="U62" i="49"/>
  <c r="C31" i="25"/>
  <c r="F31" i="25" s="1"/>
  <c r="S31" i="25" s="1"/>
  <c r="P29" i="31"/>
  <c r="L165" i="57" s="1"/>
  <c r="P12" i="31"/>
  <c r="H110" i="57"/>
  <c r="P85" i="60"/>
  <c r="O85" i="60"/>
  <c r="N85" i="60"/>
  <c r="O5" i="59"/>
  <c r="AG426" i="47"/>
  <c r="Y153" i="69" s="1"/>
  <c r="AY42" i="37"/>
  <c r="BA42" i="37" s="1"/>
  <c r="S32" i="25"/>
  <c r="AO32" i="25" s="1"/>
  <c r="R32" i="25"/>
  <c r="AN32" i="25" s="1"/>
  <c r="R33" i="25"/>
  <c r="AN33" i="25" s="1"/>
  <c r="S33" i="25"/>
  <c r="AO33" i="25" s="1"/>
  <c r="O5" i="49"/>
  <c r="AI511" i="47"/>
  <c r="AF204" i="43" s="1"/>
  <c r="AJ507" i="47"/>
  <c r="AI508" i="47"/>
  <c r="AF201" i="43" s="1"/>
  <c r="AJ509" i="47"/>
  <c r="AJ510" i="47"/>
  <c r="AJ508" i="47"/>
  <c r="AI507" i="47"/>
  <c r="AF200" i="43" s="1"/>
  <c r="AJ511" i="47"/>
  <c r="AI509" i="47"/>
  <c r="AF202" i="43" s="1"/>
  <c r="AI510" i="47"/>
  <c r="AF203" i="43" s="1"/>
  <c r="Z10" i="54"/>
  <c r="AB393" i="47"/>
  <c r="AC393" i="47"/>
  <c r="AE392" i="47"/>
  <c r="AB390" i="47"/>
  <c r="AB392" i="47"/>
  <c r="AG393" i="47"/>
  <c r="AC392" i="47"/>
  <c r="AE390" i="47"/>
  <c r="AF392" i="47"/>
  <c r="AD393" i="47"/>
  <c r="AE393" i="47"/>
  <c r="AD390" i="47"/>
  <c r="AG390" i="47"/>
  <c r="AF393" i="47"/>
  <c r="AG392" i="47"/>
  <c r="AF390" i="47"/>
  <c r="AC390" i="47"/>
  <c r="AD392" i="47"/>
  <c r="Z8" i="54"/>
  <c r="AA18" i="54"/>
  <c r="Z18" i="54"/>
  <c r="Z12" i="54"/>
  <c r="Z11" i="54"/>
  <c r="AA11" i="54"/>
  <c r="Z15" i="54"/>
  <c r="AA13" i="54"/>
  <c r="Z17" i="54"/>
  <c r="AA17" i="54"/>
  <c r="AA8" i="54"/>
  <c r="AA12" i="54"/>
  <c r="AA10" i="54"/>
  <c r="Z16" i="54"/>
  <c r="AA16" i="54"/>
  <c r="AA14" i="54"/>
  <c r="Z14" i="54"/>
  <c r="Z9" i="54"/>
  <c r="Z13" i="54"/>
  <c r="AA9" i="54"/>
  <c r="AA15" i="54"/>
  <c r="AI490" i="47"/>
  <c r="AJ490" i="47"/>
  <c r="AF481" i="47"/>
  <c r="AF480" i="47"/>
  <c r="AG480" i="47"/>
  <c r="AD481" i="47"/>
  <c r="AE481" i="47"/>
  <c r="AE480" i="47"/>
  <c r="AB481" i="47"/>
  <c r="AD480" i="47"/>
  <c r="AC481" i="47"/>
  <c r="AB480" i="47"/>
  <c r="AC480" i="47"/>
  <c r="AG481" i="47"/>
  <c r="AD458" i="47"/>
  <c r="AE456" i="47"/>
  <c r="AF457" i="47"/>
  <c r="AC455" i="47"/>
  <c r="AF455" i="47"/>
  <c r="AG457" i="47"/>
  <c r="AF456" i="47"/>
  <c r="AC458" i="47"/>
  <c r="AF458" i="47"/>
  <c r="AG456" i="47"/>
  <c r="AD457" i="47"/>
  <c r="AE455" i="47"/>
  <c r="AI430" i="47"/>
  <c r="AB455" i="47"/>
  <c r="AE457" i="47"/>
  <c r="AB456" i="47"/>
  <c r="AE458" i="47"/>
  <c r="AX427" i="47"/>
  <c r="AB457" i="47"/>
  <c r="AI428" i="47"/>
  <c r="AB458" i="47"/>
  <c r="AC456" i="47"/>
  <c r="AG455" i="47"/>
  <c r="AD455" i="47"/>
  <c r="AC457" i="47"/>
  <c r="AI429" i="47"/>
  <c r="AX426" i="47"/>
  <c r="AD456" i="47"/>
  <c r="AG458" i="47"/>
  <c r="AD328" i="47"/>
  <c r="BE340" i="47" s="1"/>
  <c r="U147" i="69" s="1"/>
  <c r="AE328" i="47"/>
  <c r="BG340" i="47" s="1"/>
  <c r="M147" i="69" s="1"/>
  <c r="AE327" i="47"/>
  <c r="BA152" i="47"/>
  <c r="AE444" i="47"/>
  <c r="AG443" i="47"/>
  <c r="AE443" i="47"/>
  <c r="AC444" i="47"/>
  <c r="AG444" i="47"/>
  <c r="AE441" i="47"/>
  <c r="AG441" i="47"/>
  <c r="AC441" i="47"/>
  <c r="AY259" i="47"/>
  <c r="AY257" i="47"/>
  <c r="AX259" i="47"/>
  <c r="AX256" i="47"/>
  <c r="AY260" i="47"/>
  <c r="AX258" i="47"/>
  <c r="AY258" i="47"/>
  <c r="AX260" i="47"/>
  <c r="AX257" i="47"/>
  <c r="AY256" i="47"/>
  <c r="AZ156" i="47"/>
  <c r="AZ155" i="47"/>
  <c r="BA156" i="47"/>
  <c r="BA155" i="47"/>
  <c r="BA154" i="47"/>
  <c r="AZ154" i="47"/>
  <c r="AY155" i="47"/>
  <c r="AY154" i="47"/>
  <c r="AX154" i="47"/>
  <c r="AX156" i="47"/>
  <c r="AX155" i="47"/>
  <c r="AY156" i="47"/>
  <c r="AX49" i="37"/>
  <c r="AY46" i="37"/>
  <c r="BA46" i="37" s="1"/>
  <c r="AY48" i="37"/>
  <c r="BA48" i="37" s="1"/>
  <c r="AY47" i="37"/>
  <c r="BA47" i="37" s="1"/>
  <c r="AP45" i="37"/>
  <c r="AY45" i="37"/>
  <c r="BA45" i="37" s="1"/>
  <c r="AX44" i="37"/>
  <c r="AO43" i="37"/>
  <c r="AP48" i="37"/>
  <c r="AP44" i="37"/>
  <c r="AO44" i="37"/>
  <c r="AZ43" i="37"/>
  <c r="AO48" i="37"/>
  <c r="AX45" i="37"/>
  <c r="AY49" i="37"/>
  <c r="BA49" i="37" s="1"/>
  <c r="AO49" i="37"/>
  <c r="AP46" i="37"/>
  <c r="AP47" i="37"/>
  <c r="AP43" i="37"/>
  <c r="AZ49" i="37"/>
  <c r="AX46" i="37"/>
  <c r="AX48" i="37"/>
  <c r="AO47" i="37"/>
  <c r="AY44" i="37"/>
  <c r="BA44" i="37" s="1"/>
  <c r="AY43" i="37"/>
  <c r="BA43" i="37" s="1"/>
  <c r="AP49" i="37"/>
  <c r="AZ46" i="37"/>
  <c r="AZ48" i="37"/>
  <c r="AZ47" i="37"/>
  <c r="AZ45" i="37"/>
  <c r="AX43" i="37"/>
  <c r="AO46" i="37"/>
  <c r="AX47" i="37"/>
  <c r="AO45" i="37"/>
  <c r="AZ44" i="37"/>
  <c r="AP42" i="37"/>
  <c r="AZ42" i="37"/>
  <c r="AX42" i="37"/>
  <c r="AO42" i="37"/>
  <c r="O125" i="42"/>
  <c r="AQ16" i="38" s="1"/>
  <c r="P125" i="42"/>
  <c r="O124" i="42"/>
  <c r="AQ15" i="38" s="1"/>
  <c r="O126" i="42"/>
  <c r="AQ17" i="38" s="1"/>
  <c r="P124" i="42"/>
  <c r="P126" i="42"/>
  <c r="P19" i="42"/>
  <c r="O19" i="42"/>
  <c r="O21" i="42" s="1"/>
  <c r="P57" i="42"/>
  <c r="P47" i="42"/>
  <c r="P34" i="42"/>
  <c r="P96" i="42"/>
  <c r="P53" i="42"/>
  <c r="P38" i="42"/>
  <c r="P56" i="42"/>
  <c r="P66" i="42"/>
  <c r="P49" i="42"/>
  <c r="O123" i="42"/>
  <c r="AQ14" i="38" s="1"/>
  <c r="P29" i="42"/>
  <c r="P92" i="42"/>
  <c r="P37" i="42"/>
  <c r="P51" i="42"/>
  <c r="Q16" i="40" s="1"/>
  <c r="P36" i="42"/>
  <c r="P91" i="42"/>
  <c r="P33" i="42"/>
  <c r="P90" i="42"/>
  <c r="P84" i="42"/>
  <c r="O91" i="42"/>
  <c r="S56" i="40" s="1"/>
  <c r="P67" i="42"/>
  <c r="P65" i="42"/>
  <c r="P54" i="42"/>
  <c r="P48" i="42"/>
  <c r="P52" i="42"/>
  <c r="P8" i="42"/>
  <c r="O88" i="42"/>
  <c r="S53" i="40" s="1"/>
  <c r="P89" i="42"/>
  <c r="P97" i="42"/>
  <c r="P88" i="42"/>
  <c r="P10" i="42"/>
  <c r="P28" i="42"/>
  <c r="P9" i="42"/>
  <c r="P95" i="42"/>
  <c r="O84" i="42"/>
  <c r="S50" i="40" s="1"/>
  <c r="O66" i="42"/>
  <c r="O92" i="42"/>
  <c r="O53" i="42"/>
  <c r="P18" i="40" s="1"/>
  <c r="S18" i="40" s="1"/>
  <c r="O52" i="42"/>
  <c r="P17" i="40" s="1"/>
  <c r="O96" i="42"/>
  <c r="S61" i="40" s="1"/>
  <c r="O8" i="42"/>
  <c r="O56" i="42"/>
  <c r="P21" i="40" s="1"/>
  <c r="O38" i="42"/>
  <c r="M26" i="40" s="1"/>
  <c r="S26" i="40" s="1"/>
  <c r="O89" i="42"/>
  <c r="S54" i="40" s="1"/>
  <c r="O57" i="42"/>
  <c r="P22" i="40" s="1"/>
  <c r="O29" i="42"/>
  <c r="M17" i="40" s="1"/>
  <c r="O51" i="42"/>
  <c r="P16" i="40" s="1"/>
  <c r="O95" i="42"/>
  <c r="S60" i="40" s="1"/>
  <c r="O54" i="42"/>
  <c r="P19" i="40" s="1"/>
  <c r="S19" i="40" s="1"/>
  <c r="O37" i="42"/>
  <c r="M25" i="40" s="1"/>
  <c r="S25" i="40" s="1"/>
  <c r="O49" i="42"/>
  <c r="P14" i="40" s="1"/>
  <c r="O90" i="42"/>
  <c r="S55" i="40" s="1"/>
  <c r="O65" i="42"/>
  <c r="P29" i="40" s="1"/>
  <c r="S29" i="40" s="1"/>
  <c r="O36" i="42"/>
  <c r="M24" i="40" s="1"/>
  <c r="S24" i="40" s="1"/>
  <c r="O67" i="42"/>
  <c r="P31" i="40" s="1"/>
  <c r="S31" i="40" s="1"/>
  <c r="O97" i="42"/>
  <c r="S62" i="40" s="1"/>
  <c r="O33" i="42"/>
  <c r="M21" i="40" s="1"/>
  <c r="O47" i="42"/>
  <c r="O9" i="42"/>
  <c r="J13" i="40" s="1"/>
  <c r="O48" i="42"/>
  <c r="O34" i="42"/>
  <c r="M22" i="40" s="1"/>
  <c r="O28" i="42"/>
  <c r="M16" i="40" s="1"/>
  <c r="O10" i="42"/>
  <c r="L44" i="23"/>
  <c r="M44" i="23"/>
  <c r="M45" i="23"/>
  <c r="L45" i="23"/>
  <c r="AK15" i="23"/>
  <c r="M54" i="69" s="1"/>
  <c r="AI14" i="23"/>
  <c r="U53" i="69" s="1"/>
  <c r="L46" i="23"/>
  <c r="AO45" i="23" s="1"/>
  <c r="AK14" i="23"/>
  <c r="M53" i="69" s="1"/>
  <c r="M46" i="23"/>
  <c r="AP45" i="23" s="1"/>
  <c r="AI15" i="23"/>
  <c r="U54" i="69" s="1"/>
  <c r="AW13" i="23"/>
  <c r="AL13" i="23"/>
  <c r="AJ13" i="23"/>
  <c r="AU13" i="23"/>
  <c r="AT13" i="23"/>
  <c r="AV13" i="23"/>
  <c r="U44" i="23"/>
  <c r="AK13" i="23"/>
  <c r="AI13" i="23"/>
  <c r="V44" i="23"/>
  <c r="M62" i="37"/>
  <c r="M61" i="37"/>
  <c r="N61" i="37"/>
  <c r="N62" i="37"/>
  <c r="R57" i="15"/>
  <c r="T57" i="15"/>
  <c r="Q57" i="15"/>
  <c r="G127" i="69" l="1"/>
  <c r="S206" i="69"/>
  <c r="I154" i="69"/>
  <c r="L239" i="69"/>
  <c r="F59" i="69"/>
  <c r="F62" i="69"/>
  <c r="F72" i="69"/>
  <c r="F70" i="69"/>
  <c r="Q97" i="68"/>
  <c r="F71" i="69"/>
  <c r="Z157" i="69"/>
  <c r="R154" i="69"/>
  <c r="F65" i="69"/>
  <c r="F74" i="69"/>
  <c r="F73" i="69"/>
  <c r="Q43" i="68"/>
  <c r="Q30" i="68"/>
  <c r="W114" i="69"/>
  <c r="S207" i="69"/>
  <c r="Q99" i="68"/>
  <c r="Q86" i="68"/>
  <c r="W110" i="69"/>
  <c r="L219" i="69"/>
  <c r="T219" i="69"/>
  <c r="L231" i="69"/>
  <c r="L233" i="69"/>
  <c r="Z160" i="69"/>
  <c r="M52" i="69"/>
  <c r="K195" i="69"/>
  <c r="L220" i="69"/>
  <c r="K202" i="69"/>
  <c r="L236" i="69"/>
  <c r="M127" i="69"/>
  <c r="Z161" i="69"/>
  <c r="L227" i="69"/>
  <c r="W105" i="69"/>
  <c r="Q31" i="68"/>
  <c r="G35" i="69"/>
  <c r="Q95" i="68"/>
  <c r="Q83" i="68"/>
  <c r="Q29" i="68"/>
  <c r="T215" i="69"/>
  <c r="L225" i="69"/>
  <c r="AA165" i="69"/>
  <c r="I149" i="69"/>
  <c r="G34" i="69"/>
  <c r="O35" i="68"/>
  <c r="AE22" i="67" s="1"/>
  <c r="Q28" i="68"/>
  <c r="L214" i="69"/>
  <c r="I161" i="69"/>
  <c r="I148" i="69"/>
  <c r="Q42" i="68"/>
  <c r="Q96" i="68"/>
  <c r="Q84" i="68"/>
  <c r="Q32" i="68"/>
  <c r="R149" i="69"/>
  <c r="P35" i="68"/>
  <c r="Q27" i="68"/>
  <c r="P48" i="68"/>
  <c r="Q39" i="68"/>
  <c r="L230" i="69"/>
  <c r="L232" i="69"/>
  <c r="T223" i="69"/>
  <c r="I151" i="69"/>
  <c r="T50" i="40"/>
  <c r="L229" i="69"/>
  <c r="L237" i="69"/>
  <c r="L217" i="69"/>
  <c r="W106" i="69"/>
  <c r="Z151" i="69"/>
  <c r="K196" i="69"/>
  <c r="G33" i="69"/>
  <c r="Q94" i="68"/>
  <c r="P102" i="68"/>
  <c r="BC255" i="47"/>
  <c r="BL232" i="47" s="1"/>
  <c r="Y140" i="69"/>
  <c r="Z148" i="69"/>
  <c r="T221" i="69"/>
  <c r="T220" i="69"/>
  <c r="L244" i="69"/>
  <c r="R150" i="69"/>
  <c r="K198" i="69"/>
  <c r="L212" i="69"/>
  <c r="W111" i="69"/>
  <c r="AA169" i="69"/>
  <c r="L245" i="69"/>
  <c r="O102" i="68"/>
  <c r="Q81" i="68"/>
  <c r="O89" i="68"/>
  <c r="AE53" i="67" s="1"/>
  <c r="L216" i="69"/>
  <c r="T222" i="69"/>
  <c r="Z154" i="69"/>
  <c r="R160" i="69"/>
  <c r="Z149" i="69"/>
  <c r="K205" i="69"/>
  <c r="W118" i="69"/>
  <c r="Q85" i="68"/>
  <c r="Q82" i="68"/>
  <c r="O48" i="68"/>
  <c r="D21" i="57"/>
  <c r="AB129" i="57"/>
  <c r="AB118" i="57"/>
  <c r="AB117" i="57"/>
  <c r="AB120" i="57"/>
  <c r="AB121" i="57"/>
  <c r="AB126" i="57"/>
  <c r="AB119" i="57"/>
  <c r="AB124" i="57"/>
  <c r="AB125" i="57"/>
  <c r="AB122" i="57"/>
  <c r="AB123" i="57"/>
  <c r="AB127" i="57"/>
  <c r="AB128" i="57"/>
  <c r="L234" i="69"/>
  <c r="R157" i="69"/>
  <c r="AG201" i="43"/>
  <c r="AH201" i="43" s="1"/>
  <c r="E166" i="69" s="1"/>
  <c r="AA166" i="69"/>
  <c r="Z150" i="69"/>
  <c r="R148" i="69"/>
  <c r="K197" i="69"/>
  <c r="W119" i="69"/>
  <c r="Q41" i="68"/>
  <c r="L218" i="69"/>
  <c r="T216" i="69"/>
  <c r="L215" i="69"/>
  <c r="I157" i="69"/>
  <c r="AG203" i="43"/>
  <c r="AH203" i="43" s="1"/>
  <c r="E168" i="69" s="1"/>
  <c r="AA168" i="69"/>
  <c r="K201" i="69"/>
  <c r="Q98" i="68"/>
  <c r="Q79" i="68"/>
  <c r="P89" i="68"/>
  <c r="AG53" i="67" s="1"/>
  <c r="K199" i="69"/>
  <c r="Q44" i="68"/>
  <c r="L235" i="69"/>
  <c r="L224" i="69"/>
  <c r="Z156" i="69"/>
  <c r="R161" i="69"/>
  <c r="J160" i="69"/>
  <c r="AG202" i="43"/>
  <c r="AH202" i="43" s="1"/>
  <c r="E167" i="69" s="1"/>
  <c r="AA167" i="69"/>
  <c r="L247" i="69"/>
  <c r="R151" i="69"/>
  <c r="J161" i="69"/>
  <c r="K204" i="69"/>
  <c r="W115" i="69"/>
  <c r="Q40" i="68"/>
  <c r="L226" i="69"/>
  <c r="R156" i="69"/>
  <c r="I160" i="69"/>
  <c r="W112" i="69"/>
  <c r="I150" i="69"/>
  <c r="G36" i="69"/>
  <c r="Q80" i="68"/>
  <c r="K203" i="69"/>
  <c r="K200" i="69"/>
  <c r="L246" i="69"/>
  <c r="W113" i="69"/>
  <c r="W108" i="69"/>
  <c r="W116" i="69"/>
  <c r="W117" i="69"/>
  <c r="W107" i="69"/>
  <c r="G126" i="69"/>
  <c r="M77" i="69"/>
  <c r="U52" i="69"/>
  <c r="L213" i="69"/>
  <c r="K194" i="69"/>
  <c r="AE13" i="67"/>
  <c r="M120" i="69"/>
  <c r="M122" i="69"/>
  <c r="M126" i="69"/>
  <c r="M121" i="69"/>
  <c r="M125" i="69"/>
  <c r="M124" i="69"/>
  <c r="M123" i="69"/>
  <c r="W109" i="69"/>
  <c r="W104" i="69"/>
  <c r="W103" i="69"/>
  <c r="U78" i="69"/>
  <c r="U77" i="69"/>
  <c r="M78" i="69"/>
  <c r="AA191" i="69"/>
  <c r="S208" i="69"/>
  <c r="S210" i="69"/>
  <c r="K211" i="69"/>
  <c r="S209" i="69"/>
  <c r="AG16" i="67"/>
  <c r="AI16" i="67" s="1"/>
  <c r="AG18" i="67"/>
  <c r="AI18" i="67" s="1"/>
  <c r="K209" i="69"/>
  <c r="K207" i="69"/>
  <c r="K206" i="69"/>
  <c r="AG17" i="67"/>
  <c r="AI17" i="67" s="1"/>
  <c r="K208" i="69"/>
  <c r="AA192" i="69"/>
  <c r="S211" i="69"/>
  <c r="AG15" i="67"/>
  <c r="AI15" i="67" s="1"/>
  <c r="AA193" i="69"/>
  <c r="K210" i="69"/>
  <c r="AG13" i="67"/>
  <c r="AB22" i="54"/>
  <c r="AB19" i="54"/>
  <c r="AB24" i="54"/>
  <c r="AB20" i="54"/>
  <c r="AB21" i="54"/>
  <c r="AB23" i="54"/>
  <c r="Z27" i="54"/>
  <c r="AA27" i="54"/>
  <c r="AL11" i="25"/>
  <c r="AN11" i="25"/>
  <c r="AB137" i="47"/>
  <c r="T137" i="47"/>
  <c r="U139" i="47"/>
  <c r="AC139" i="47"/>
  <c r="T138" i="47"/>
  <c r="AB138" i="47"/>
  <c r="T139" i="47"/>
  <c r="AB139" i="47"/>
  <c r="U137" i="47"/>
  <c r="AC137" i="47"/>
  <c r="U138" i="47"/>
  <c r="AC138" i="47"/>
  <c r="P13" i="31"/>
  <c r="T34" i="40"/>
  <c r="Q71" i="42"/>
  <c r="V34" i="40" s="1"/>
  <c r="E227" i="69" s="1"/>
  <c r="AB227" i="69" s="1"/>
  <c r="P30" i="40"/>
  <c r="S30" i="40" s="1"/>
  <c r="Q135" i="68"/>
  <c r="Q18" i="68"/>
  <c r="AK491" i="47"/>
  <c r="AE75" i="67"/>
  <c r="AJ205" i="47"/>
  <c r="AI102" i="47"/>
  <c r="AI101" i="47"/>
  <c r="AJ204" i="47"/>
  <c r="AI391" i="47"/>
  <c r="AJ391" i="47"/>
  <c r="AJ378" i="47"/>
  <c r="Q17" i="68"/>
  <c r="AJ377" i="47"/>
  <c r="Q139" i="68"/>
  <c r="AG48" i="67"/>
  <c r="AI48" i="67" s="1"/>
  <c r="Q72" i="68"/>
  <c r="AI376" i="47"/>
  <c r="AG68" i="50"/>
  <c r="AI68" i="50" s="1"/>
  <c r="E191" i="69" s="1"/>
  <c r="Q118" i="55"/>
  <c r="AG70" i="50"/>
  <c r="AI70" i="50" s="1"/>
  <c r="E193" i="69" s="1"/>
  <c r="Q120" i="55"/>
  <c r="AG49" i="67"/>
  <c r="AI49" i="67" s="1"/>
  <c r="Q73" i="68"/>
  <c r="AE44" i="67"/>
  <c r="AG46" i="67"/>
  <c r="AI46" i="67" s="1"/>
  <c r="Q70" i="68"/>
  <c r="AE74" i="67"/>
  <c r="V113" i="68"/>
  <c r="G131" i="49" s="1"/>
  <c r="AD128" i="57" s="1"/>
  <c r="V112" i="68"/>
  <c r="Q134" i="68"/>
  <c r="W112" i="68"/>
  <c r="AJ99" i="47"/>
  <c r="AI378" i="47"/>
  <c r="AG14" i="67"/>
  <c r="AI14" i="67" s="1"/>
  <c r="AJ102" i="47"/>
  <c r="AI100" i="47"/>
  <c r="AJ100" i="47"/>
  <c r="AJ101" i="47"/>
  <c r="AJ376" i="47"/>
  <c r="Q16" i="68"/>
  <c r="Q19" i="68"/>
  <c r="AE77" i="67"/>
  <c r="AE76" i="67"/>
  <c r="Q126" i="68"/>
  <c r="AG77" i="67"/>
  <c r="AG76" i="67"/>
  <c r="Q125" i="68"/>
  <c r="Q138" i="68"/>
  <c r="AI99" i="47"/>
  <c r="AG69" i="50"/>
  <c r="AI69" i="50" s="1"/>
  <c r="E192" i="69" s="1"/>
  <c r="Q119" i="55"/>
  <c r="AG79" i="67"/>
  <c r="Q128" i="68"/>
  <c r="AG78" i="67"/>
  <c r="Q127" i="68"/>
  <c r="Q123" i="68"/>
  <c r="W113" i="68"/>
  <c r="AG74" i="67"/>
  <c r="AJ103" i="47"/>
  <c r="AI103" i="47"/>
  <c r="AJ203" i="47"/>
  <c r="AI375" i="47"/>
  <c r="AJ375" i="47"/>
  <c r="AI377" i="47"/>
  <c r="Q20" i="68"/>
  <c r="Q21" i="68"/>
  <c r="AG47" i="67"/>
  <c r="AI47" i="67" s="1"/>
  <c r="Q71" i="68"/>
  <c r="AG45" i="67"/>
  <c r="AI45" i="67" s="1"/>
  <c r="Q69" i="68"/>
  <c r="AG44" i="67"/>
  <c r="Q68" i="68"/>
  <c r="AG75" i="67"/>
  <c r="Q124" i="68"/>
  <c r="Q137" i="68"/>
  <c r="Q136" i="68"/>
  <c r="AE78" i="67"/>
  <c r="AE79" i="67"/>
  <c r="AI205" i="47"/>
  <c r="AI204" i="47"/>
  <c r="AI203" i="47"/>
  <c r="T64" i="40"/>
  <c r="Q99" i="42"/>
  <c r="V64" i="40" s="1"/>
  <c r="E239" i="69" s="1"/>
  <c r="AB239" i="69" s="1"/>
  <c r="S57" i="40"/>
  <c r="P30" i="31"/>
  <c r="AN13" i="14"/>
  <c r="T35" i="14"/>
  <c r="S35" i="14"/>
  <c r="BG339" i="47"/>
  <c r="BL348" i="47" s="1"/>
  <c r="BA346" i="47"/>
  <c r="AZ346" i="47"/>
  <c r="BE339" i="47"/>
  <c r="U146" i="69" s="1"/>
  <c r="BC346" i="47"/>
  <c r="BH339" i="47"/>
  <c r="BB346" i="47"/>
  <c r="AI255" i="47"/>
  <c r="I31" i="25"/>
  <c r="AM13" i="14"/>
  <c r="S17" i="40"/>
  <c r="O130" i="42"/>
  <c r="O133" i="42" s="1"/>
  <c r="I133" i="49" s="1"/>
  <c r="L154" i="57"/>
  <c r="K8" i="59"/>
  <c r="K8" i="49"/>
  <c r="L31" i="25"/>
  <c r="L27" i="31"/>
  <c r="AK508" i="47"/>
  <c r="AG200" i="43"/>
  <c r="AH200" i="43" s="1"/>
  <c r="E165" i="69" s="1"/>
  <c r="AK507" i="47"/>
  <c r="AK510" i="47"/>
  <c r="AG204" i="43"/>
  <c r="AH204" i="43" s="1"/>
  <c r="E169" i="69" s="1"/>
  <c r="AK511" i="47"/>
  <c r="AK509" i="47"/>
  <c r="O55" i="37"/>
  <c r="AB13" i="54"/>
  <c r="AB17" i="54"/>
  <c r="AB18" i="54"/>
  <c r="AB15" i="54"/>
  <c r="AB9" i="54"/>
  <c r="AB10" i="54"/>
  <c r="AB12" i="54"/>
  <c r="AB14" i="54"/>
  <c r="AB11" i="54"/>
  <c r="AB16" i="54"/>
  <c r="AB8" i="54"/>
  <c r="AK490" i="47"/>
  <c r="AI457" i="47"/>
  <c r="AI458" i="47"/>
  <c r="AJ480" i="47"/>
  <c r="AG178" i="43" s="1"/>
  <c r="AJ427" i="47"/>
  <c r="AI481" i="47"/>
  <c r="AF179" i="43" s="1"/>
  <c r="AI480" i="47"/>
  <c r="AF178" i="43" s="1"/>
  <c r="AJ481" i="47"/>
  <c r="AG179" i="43" s="1"/>
  <c r="AI427" i="47"/>
  <c r="AI455" i="47"/>
  <c r="AJ428" i="47"/>
  <c r="AK428" i="47" s="1"/>
  <c r="AJ429" i="47"/>
  <c r="AK429" i="47" s="1"/>
  <c r="AI426" i="47"/>
  <c r="AI456" i="47"/>
  <c r="AJ430" i="47"/>
  <c r="AK430" i="47" s="1"/>
  <c r="AJ426" i="47"/>
  <c r="AJ455" i="47"/>
  <c r="BB43" i="37"/>
  <c r="AJ457" i="47"/>
  <c r="AJ456" i="47"/>
  <c r="AJ458" i="47"/>
  <c r="AI392" i="47"/>
  <c r="AI443" i="47"/>
  <c r="AJ441" i="47"/>
  <c r="AI441" i="47"/>
  <c r="AI444" i="47"/>
  <c r="AJ444" i="47"/>
  <c r="AJ390" i="47"/>
  <c r="AJ393" i="47"/>
  <c r="AJ392" i="47"/>
  <c r="AI393" i="47"/>
  <c r="AI390" i="47"/>
  <c r="AI327" i="47"/>
  <c r="X339" i="47" s="1"/>
  <c r="AJ339" i="47" s="1"/>
  <c r="AF118" i="43" s="1"/>
  <c r="AF327" i="47"/>
  <c r="W339" i="47" s="1"/>
  <c r="AI339" i="47" s="1"/>
  <c r="AE118" i="43" s="1"/>
  <c r="AI330" i="47"/>
  <c r="X342" i="47" s="1"/>
  <c r="AJ342" i="47" s="1"/>
  <c r="AF121" i="43" s="1"/>
  <c r="AZ50" i="37"/>
  <c r="BB47" i="37"/>
  <c r="AF328" i="47"/>
  <c r="AF331" i="47"/>
  <c r="W343" i="47" s="1"/>
  <c r="AI343" i="47" s="1"/>
  <c r="AE122" i="43" s="1"/>
  <c r="AF332" i="47"/>
  <c r="W344" i="47" s="1"/>
  <c r="AI344" i="47" s="1"/>
  <c r="AE123" i="43" s="1"/>
  <c r="BB44" i="37"/>
  <c r="AI328" i="47"/>
  <c r="X340" i="47" s="1"/>
  <c r="AJ340" i="47" s="1"/>
  <c r="AF119" i="43" s="1"/>
  <c r="AF330" i="47"/>
  <c r="W342" i="47" s="1"/>
  <c r="AI342" i="47" s="1"/>
  <c r="AE121" i="43" s="1"/>
  <c r="AF329" i="47"/>
  <c r="W341" i="47" s="1"/>
  <c r="AI341" i="47" s="1"/>
  <c r="AE120" i="43" s="1"/>
  <c r="AM45" i="37"/>
  <c r="BB49" i="37"/>
  <c r="AM42" i="37"/>
  <c r="AY50" i="37"/>
  <c r="AN42" i="37"/>
  <c r="AN47" i="37"/>
  <c r="AI47" i="37"/>
  <c r="AI332" i="47"/>
  <c r="AM46" i="37"/>
  <c r="AM47" i="37"/>
  <c r="AI46" i="37"/>
  <c r="AN46" i="37"/>
  <c r="AM48" i="37"/>
  <c r="AM43" i="37"/>
  <c r="O56" i="37"/>
  <c r="AI44" i="37"/>
  <c r="AN44" i="37"/>
  <c r="AV60" i="37"/>
  <c r="J18" i="49" s="1"/>
  <c r="BB60" i="37"/>
  <c r="G111" i="49" s="1"/>
  <c r="AD125" i="57" s="1"/>
  <c r="AO50" i="37"/>
  <c r="AP50" i="37"/>
  <c r="BC60" i="37"/>
  <c r="G140" i="49" s="1"/>
  <c r="AI125" i="57" s="1"/>
  <c r="AN45" i="37"/>
  <c r="AI45" i="37"/>
  <c r="BB48" i="37"/>
  <c r="AN43" i="37"/>
  <c r="AI43" i="37"/>
  <c r="AX50" i="37"/>
  <c r="AW59" i="37" s="1"/>
  <c r="BB42" i="37"/>
  <c r="BB46" i="37"/>
  <c r="BB45" i="37"/>
  <c r="AN48" i="37"/>
  <c r="AI48" i="37"/>
  <c r="AI49" i="37"/>
  <c r="AN49" i="37"/>
  <c r="AI331" i="47"/>
  <c r="X343" i="47" s="1"/>
  <c r="AJ343" i="47" s="1"/>
  <c r="AF122" i="43" s="1"/>
  <c r="AI329" i="47"/>
  <c r="X341" i="47" s="1"/>
  <c r="AJ341" i="47" s="1"/>
  <c r="AF120" i="43" s="1"/>
  <c r="AM49" i="37"/>
  <c r="AM44" i="37"/>
  <c r="S22" i="40"/>
  <c r="S21" i="40"/>
  <c r="J16" i="40"/>
  <c r="S16" i="40" s="1"/>
  <c r="P13" i="40"/>
  <c r="S13" i="40" s="1"/>
  <c r="O69" i="42"/>
  <c r="Q84" i="42"/>
  <c r="V50" i="40" s="1"/>
  <c r="E229" i="69" s="1"/>
  <c r="Q10" i="42"/>
  <c r="J14" i="40"/>
  <c r="S14" i="40" s="1"/>
  <c r="Q120" i="42"/>
  <c r="T89" i="40"/>
  <c r="AR10" i="38"/>
  <c r="P12" i="42"/>
  <c r="F159" i="49" s="1"/>
  <c r="AH129" i="57" s="1"/>
  <c r="K14" i="40"/>
  <c r="Q14" i="40"/>
  <c r="Q49" i="42"/>
  <c r="P12" i="40"/>
  <c r="N26" i="40"/>
  <c r="Q38" i="42"/>
  <c r="T53" i="40"/>
  <c r="Q88" i="42"/>
  <c r="V53" i="40" s="1"/>
  <c r="E230" i="69" s="1"/>
  <c r="AQ7" i="38"/>
  <c r="S86" i="40"/>
  <c r="Q51" i="42"/>
  <c r="T56" i="40"/>
  <c r="Q91" i="42"/>
  <c r="V56" i="40" s="1"/>
  <c r="E233" i="69" s="1"/>
  <c r="Q31" i="40"/>
  <c r="Q67" i="42"/>
  <c r="Q33" i="42"/>
  <c r="N21" i="40"/>
  <c r="AR14" i="38"/>
  <c r="Q123" i="42"/>
  <c r="Q92" i="42"/>
  <c r="T57" i="40"/>
  <c r="K12" i="40"/>
  <c r="Q8" i="42"/>
  <c r="N24" i="40"/>
  <c r="T24" i="40" s="1"/>
  <c r="Q36" i="42"/>
  <c r="T62" i="40"/>
  <c r="Q97" i="42"/>
  <c r="V62" i="40" s="1"/>
  <c r="E237" i="69" s="1"/>
  <c r="AB237" i="69" s="1"/>
  <c r="Q37" i="42"/>
  <c r="N25" i="40"/>
  <c r="T54" i="40"/>
  <c r="Q89" i="42"/>
  <c r="V54" i="40" s="1"/>
  <c r="E231" i="69" s="1"/>
  <c r="K13" i="40"/>
  <c r="Q9" i="42"/>
  <c r="S88" i="40"/>
  <c r="AQ9" i="38"/>
  <c r="Q21" i="40"/>
  <c r="Q56" i="42"/>
  <c r="P40" i="42"/>
  <c r="G159" i="49" s="1"/>
  <c r="AI129" i="57" s="1"/>
  <c r="N16" i="40"/>
  <c r="Q28" i="42"/>
  <c r="AR17" i="38"/>
  <c r="Q126" i="42"/>
  <c r="AQ10" i="38"/>
  <c r="S89" i="40"/>
  <c r="Q90" i="42"/>
  <c r="V55" i="40" s="1"/>
  <c r="E232" i="69" s="1"/>
  <c r="AB232" i="69" s="1"/>
  <c r="T55" i="40"/>
  <c r="Q22" i="40"/>
  <c r="Q57" i="42"/>
  <c r="Q48" i="42"/>
  <c r="Q13" i="40"/>
  <c r="Q18" i="40"/>
  <c r="T18" i="40" s="1"/>
  <c r="Q53" i="42"/>
  <c r="Q66" i="42"/>
  <c r="Q30" i="40"/>
  <c r="T30" i="40" s="1"/>
  <c r="T88" i="40"/>
  <c r="AR9" i="38"/>
  <c r="Q119" i="42"/>
  <c r="Q29" i="42"/>
  <c r="N17" i="40"/>
  <c r="J12" i="40"/>
  <c r="O12" i="42"/>
  <c r="F130" i="49" s="1"/>
  <c r="AC129" i="57" s="1"/>
  <c r="N22" i="40"/>
  <c r="Q34" i="42"/>
  <c r="AR16" i="38"/>
  <c r="Q125" i="42"/>
  <c r="P21" i="42"/>
  <c r="K16" i="40" s="1"/>
  <c r="Q19" i="42"/>
  <c r="Q21" i="42" s="1"/>
  <c r="Q118" i="42"/>
  <c r="S87" i="40"/>
  <c r="AQ8" i="38"/>
  <c r="O40" i="42"/>
  <c r="G130" i="49" s="1"/>
  <c r="AD129" i="57" s="1"/>
  <c r="AR8" i="38"/>
  <c r="T87" i="40"/>
  <c r="T60" i="40"/>
  <c r="Q95" i="42"/>
  <c r="V60" i="40" s="1"/>
  <c r="E235" i="69" s="1"/>
  <c r="T61" i="40"/>
  <c r="Q96" i="42"/>
  <c r="V61" i="40" s="1"/>
  <c r="E236" i="69" s="1"/>
  <c r="Q124" i="42"/>
  <c r="AR15" i="38"/>
  <c r="Q47" i="42"/>
  <c r="P69" i="42"/>
  <c r="Q12" i="40"/>
  <c r="Q117" i="42"/>
  <c r="T86" i="40"/>
  <c r="AR7" i="38"/>
  <c r="P130" i="42"/>
  <c r="P133" i="42" s="1"/>
  <c r="I162" i="49" s="1"/>
  <c r="Q29" i="40"/>
  <c r="Q65" i="42"/>
  <c r="Q19" i="40"/>
  <c r="T19" i="40" s="1"/>
  <c r="Q54" i="42"/>
  <c r="Q17" i="40"/>
  <c r="Q52" i="42"/>
  <c r="W44" i="23"/>
  <c r="F25" i="32"/>
  <c r="F26" i="32"/>
  <c r="F27" i="32"/>
  <c r="F28" i="32"/>
  <c r="F29" i="32"/>
  <c r="F30" i="32"/>
  <c r="F31" i="32"/>
  <c r="F24" i="32"/>
  <c r="D25" i="32"/>
  <c r="D26" i="32"/>
  <c r="D27" i="32"/>
  <c r="D28" i="32"/>
  <c r="D29" i="32"/>
  <c r="D30" i="32"/>
  <c r="D31" i="32"/>
  <c r="D24" i="32"/>
  <c r="C25" i="32"/>
  <c r="C26" i="32"/>
  <c r="C27" i="32"/>
  <c r="C28" i="32"/>
  <c r="C29" i="32"/>
  <c r="C30" i="32"/>
  <c r="C31" i="32"/>
  <c r="E196" i="69" l="1"/>
  <c r="AB230" i="69"/>
  <c r="AB233" i="69"/>
  <c r="U121" i="69"/>
  <c r="AB231" i="69"/>
  <c r="AB235" i="69"/>
  <c r="E203" i="69"/>
  <c r="AB203" i="69" s="1"/>
  <c r="E197" i="69"/>
  <c r="AB197" i="69" s="1"/>
  <c r="AB169" i="69"/>
  <c r="E198" i="69"/>
  <c r="AB198" i="69" s="1"/>
  <c r="E194" i="69"/>
  <c r="AB194" i="69" s="1"/>
  <c r="Q37" i="32"/>
  <c r="P37" i="32"/>
  <c r="AJ8" i="32"/>
  <c r="AB191" i="69"/>
  <c r="E205" i="69"/>
  <c r="AB205" i="69" s="1"/>
  <c r="AC55" i="68"/>
  <c r="AC58" i="68" s="1"/>
  <c r="AB167" i="69"/>
  <c r="AI53" i="67"/>
  <c r="U120" i="69"/>
  <c r="AB166" i="69"/>
  <c r="E204" i="69"/>
  <c r="AB204" i="69" s="1"/>
  <c r="E200" i="69"/>
  <c r="AB200" i="69" s="1"/>
  <c r="AB196" i="69"/>
  <c r="O51" i="68"/>
  <c r="E201" i="69"/>
  <c r="AB201" i="69" s="1"/>
  <c r="AB165" i="69"/>
  <c r="AB236" i="69"/>
  <c r="E195" i="69"/>
  <c r="AB195" i="69" s="1"/>
  <c r="AB168" i="69"/>
  <c r="AB193" i="69"/>
  <c r="G303" i="57"/>
  <c r="H305" i="57"/>
  <c r="U122" i="69"/>
  <c r="AB55" i="68"/>
  <c r="AI13" i="67"/>
  <c r="U124" i="69"/>
  <c r="AB192" i="69"/>
  <c r="E202" i="69"/>
  <c r="AB202" i="69" s="1"/>
  <c r="BM348" i="47"/>
  <c r="BQ348" i="47" s="1"/>
  <c r="J46" i="49" s="1"/>
  <c r="M146" i="69"/>
  <c r="AB229" i="69"/>
  <c r="E199" i="69"/>
  <c r="AB199" i="69" s="1"/>
  <c r="Q102" i="68"/>
  <c r="Q89" i="68"/>
  <c r="AM129" i="57"/>
  <c r="Q35" i="68"/>
  <c r="AG22" i="67"/>
  <c r="AI22" i="67" s="1"/>
  <c r="I305" i="57"/>
  <c r="M149" i="49"/>
  <c r="S149" i="49" s="1"/>
  <c r="G160" i="49"/>
  <c r="AI128" i="57" s="1"/>
  <c r="D307" i="57"/>
  <c r="U127" i="69"/>
  <c r="U126" i="69"/>
  <c r="U123" i="69"/>
  <c r="U125" i="69"/>
  <c r="L166" i="57"/>
  <c r="AB27" i="54"/>
  <c r="K9" i="49"/>
  <c r="AI230" i="69"/>
  <c r="AH230" i="69"/>
  <c r="AI231" i="69"/>
  <c r="AH231" i="69"/>
  <c r="AI165" i="69"/>
  <c r="AH165" i="69"/>
  <c r="AH239" i="69"/>
  <c r="AI239" i="69"/>
  <c r="AH236" i="69"/>
  <c r="AI236" i="69"/>
  <c r="AH232" i="69"/>
  <c r="AI232" i="69"/>
  <c r="AI233" i="69"/>
  <c r="AH233" i="69"/>
  <c r="AI192" i="69"/>
  <c r="AH192" i="69"/>
  <c r="AI193" i="69"/>
  <c r="AH193" i="69"/>
  <c r="AI227" i="69"/>
  <c r="AH227" i="69"/>
  <c r="AI235" i="69"/>
  <c r="AH235" i="69"/>
  <c r="AH237" i="69"/>
  <c r="AI237" i="69"/>
  <c r="AH167" i="69"/>
  <c r="AI167" i="69"/>
  <c r="AI166" i="69"/>
  <c r="AH166" i="69"/>
  <c r="AH229" i="69"/>
  <c r="AI229" i="69"/>
  <c r="AH169" i="69"/>
  <c r="AI169" i="69"/>
  <c r="AH168" i="69"/>
  <c r="AI168" i="69"/>
  <c r="AH191" i="69"/>
  <c r="AI191" i="69"/>
  <c r="AF133" i="43"/>
  <c r="L155" i="57"/>
  <c r="AI76" i="67"/>
  <c r="E208" i="69" s="1"/>
  <c r="AB208" i="69" s="1"/>
  <c r="K9" i="59"/>
  <c r="P75" i="42"/>
  <c r="I130" i="49"/>
  <c r="O75" i="42"/>
  <c r="Y31" i="32"/>
  <c r="X31" i="32"/>
  <c r="Y30" i="32"/>
  <c r="X30" i="32"/>
  <c r="AE134" i="43"/>
  <c r="AF134" i="43"/>
  <c r="AA113" i="68"/>
  <c r="D28" i="49" s="1"/>
  <c r="AI79" i="67"/>
  <c r="E211" i="69" s="1"/>
  <c r="AB211" i="69" s="1"/>
  <c r="AI77" i="67"/>
  <c r="E209" i="69" s="1"/>
  <c r="AB209" i="69" s="1"/>
  <c r="AK391" i="47"/>
  <c r="AI44" i="67"/>
  <c r="X112" i="68"/>
  <c r="AE81" i="67"/>
  <c r="AE133" i="43"/>
  <c r="AG81" i="67"/>
  <c r="AA112" i="68"/>
  <c r="AC112" i="68" s="1"/>
  <c r="AI78" i="67"/>
  <c r="E210" i="69" s="1"/>
  <c r="AB210" i="69" s="1"/>
  <c r="AK203" i="47"/>
  <c r="AK204" i="47"/>
  <c r="AK205" i="47"/>
  <c r="I159" i="49"/>
  <c r="V57" i="40"/>
  <c r="E234" i="69" s="1"/>
  <c r="AB234" i="69" s="1"/>
  <c r="AB31" i="32"/>
  <c r="U31" i="32"/>
  <c r="T31" i="32"/>
  <c r="U30" i="32"/>
  <c r="AB30" i="32"/>
  <c r="T30" i="32"/>
  <c r="U35" i="14"/>
  <c r="BA347" i="47"/>
  <c r="BC347" i="47"/>
  <c r="BR348" i="47"/>
  <c r="H15" i="32"/>
  <c r="AB15" i="32" s="1"/>
  <c r="H14" i="32"/>
  <c r="AB14" i="32" s="1"/>
  <c r="H13" i="32"/>
  <c r="AB13" i="32" s="1"/>
  <c r="H12" i="32"/>
  <c r="AB12" i="32" s="1"/>
  <c r="H11" i="32"/>
  <c r="AB11" i="32" s="1"/>
  <c r="H10" i="32"/>
  <c r="AB10" i="32" s="1"/>
  <c r="H9" i="32"/>
  <c r="AB9" i="32" s="1"/>
  <c r="T17" i="40"/>
  <c r="V17" i="40" s="1"/>
  <c r="E216" i="69" s="1"/>
  <c r="AB216" i="69" s="1"/>
  <c r="T16" i="40"/>
  <c r="V16" i="40" s="1"/>
  <c r="E215" i="69" s="1"/>
  <c r="AB215" i="69" s="1"/>
  <c r="AK8" i="32"/>
  <c r="M120" i="49"/>
  <c r="S120" i="49" s="1"/>
  <c r="L130" i="49"/>
  <c r="R130" i="49" s="1"/>
  <c r="M130" i="49"/>
  <c r="S130" i="49" s="1"/>
  <c r="M159" i="49"/>
  <c r="S159" i="49" s="1"/>
  <c r="L159" i="49"/>
  <c r="R159" i="49" s="1"/>
  <c r="O133" i="49"/>
  <c r="U133" i="49" s="1"/>
  <c r="O162" i="49"/>
  <c r="U162" i="49" s="1"/>
  <c r="M111" i="49"/>
  <c r="S111" i="49" s="1"/>
  <c r="S140" i="49"/>
  <c r="M140" i="49"/>
  <c r="M83" i="49"/>
  <c r="S83" i="49" s="1"/>
  <c r="J125" i="57"/>
  <c r="I15" i="60"/>
  <c r="Q130" i="42"/>
  <c r="Q133" i="42" s="1"/>
  <c r="D62" i="49" s="1"/>
  <c r="AE154" i="43"/>
  <c r="AK427" i="47"/>
  <c r="AE155" i="43"/>
  <c r="AK458" i="47"/>
  <c r="AK457" i="47"/>
  <c r="AK481" i="47"/>
  <c r="AH179" i="43" s="1"/>
  <c r="E161" i="69" s="1"/>
  <c r="AB161" i="69" s="1"/>
  <c r="AK480" i="47"/>
  <c r="AH178" i="43" s="1"/>
  <c r="E160" i="69" s="1"/>
  <c r="AB160" i="69" s="1"/>
  <c r="AF152" i="43"/>
  <c r="AK456" i="47"/>
  <c r="AK455" i="47"/>
  <c r="AF155" i="43"/>
  <c r="AE152" i="43"/>
  <c r="AK426" i="47"/>
  <c r="W340" i="47"/>
  <c r="AI340" i="47" s="1"/>
  <c r="AE119" i="43" s="1"/>
  <c r="AK393" i="47"/>
  <c r="AK390" i="47"/>
  <c r="AK100" i="47"/>
  <c r="AK101" i="47"/>
  <c r="AK342" i="47"/>
  <c r="AW60" i="37"/>
  <c r="AX60" i="37" s="1"/>
  <c r="AK341" i="47"/>
  <c r="X344" i="47"/>
  <c r="AJ344" i="47" s="1"/>
  <c r="AF123" i="43" s="1"/>
  <c r="AK343" i="47"/>
  <c r="AK102" i="47"/>
  <c r="P58" i="37"/>
  <c r="BI45" i="37"/>
  <c r="P57" i="37"/>
  <c r="BI44" i="37"/>
  <c r="AK441" i="47"/>
  <c r="AK99" i="47"/>
  <c r="P55" i="37"/>
  <c r="BI42" i="37"/>
  <c r="AK444" i="47"/>
  <c r="O58" i="37"/>
  <c r="BH45" i="37"/>
  <c r="O57" i="37"/>
  <c r="BH44" i="37"/>
  <c r="P62" i="37"/>
  <c r="R62" i="37" s="1"/>
  <c r="BI49" i="37"/>
  <c r="P56" i="37"/>
  <c r="BI43" i="37"/>
  <c r="O61" i="37"/>
  <c r="Q61" i="37" s="1"/>
  <c r="AC19" i="36" s="1"/>
  <c r="BH48" i="37"/>
  <c r="P60" i="37"/>
  <c r="BI47" i="37"/>
  <c r="BH42" i="37"/>
  <c r="P61" i="37"/>
  <c r="R61" i="37" s="1"/>
  <c r="BI48" i="37"/>
  <c r="AK103" i="47"/>
  <c r="P59" i="37"/>
  <c r="BI46" i="37"/>
  <c r="O59" i="37"/>
  <c r="BH46" i="37"/>
  <c r="AM50" i="37"/>
  <c r="BB59" i="37"/>
  <c r="H111" i="49" s="1"/>
  <c r="O62" i="37"/>
  <c r="Q62" i="37" s="1"/>
  <c r="AC20" i="36" s="1"/>
  <c r="BH49" i="37"/>
  <c r="BH43" i="37"/>
  <c r="O60" i="37"/>
  <c r="BH47" i="37"/>
  <c r="BC59" i="37"/>
  <c r="H140" i="49" s="1"/>
  <c r="AJ125" i="57" s="1"/>
  <c r="AN50" i="37"/>
  <c r="AV59" i="37"/>
  <c r="S12" i="40"/>
  <c r="S37" i="40" s="1"/>
  <c r="T31" i="40"/>
  <c r="V31" i="40" s="1"/>
  <c r="E226" i="69" s="1"/>
  <c r="AB226" i="69" s="1"/>
  <c r="T29" i="40"/>
  <c r="V29" i="40" s="1"/>
  <c r="E224" i="69" s="1"/>
  <c r="AB224" i="69" s="1"/>
  <c r="T21" i="40"/>
  <c r="V21" i="40" s="1"/>
  <c r="E219" i="69" s="1"/>
  <c r="AB219" i="69" s="1"/>
  <c r="V19" i="40"/>
  <c r="E218" i="69" s="1"/>
  <c r="AB218" i="69" s="1"/>
  <c r="V18" i="40"/>
  <c r="E217" i="69" s="1"/>
  <c r="AB217" i="69" s="1"/>
  <c r="T14" i="40"/>
  <c r="V14" i="40" s="1"/>
  <c r="E214" i="69" s="1"/>
  <c r="AB214" i="69" s="1"/>
  <c r="T13" i="40"/>
  <c r="V13" i="40" s="1"/>
  <c r="E213" i="69" s="1"/>
  <c r="AB213" i="69" s="1"/>
  <c r="T12" i="40"/>
  <c r="T25" i="40"/>
  <c r="V25" i="40" s="1"/>
  <c r="E222" i="69" s="1"/>
  <c r="AB222" i="69" s="1"/>
  <c r="T26" i="40"/>
  <c r="V26" i="40" s="1"/>
  <c r="E223" i="69" s="1"/>
  <c r="AB223" i="69" s="1"/>
  <c r="T22" i="40"/>
  <c r="V22" i="40" s="1"/>
  <c r="E220" i="69" s="1"/>
  <c r="AB220" i="69" s="1"/>
  <c r="S92" i="40"/>
  <c r="V30" i="40"/>
  <c r="E225" i="69" s="1"/>
  <c r="AB225" i="69" s="1"/>
  <c r="Q12" i="42"/>
  <c r="G59" i="49" s="1"/>
  <c r="V87" i="40"/>
  <c r="E245" i="69" s="1"/>
  <c r="AB245" i="69" s="1"/>
  <c r="V89" i="40"/>
  <c r="E247" i="69" s="1"/>
  <c r="AB247" i="69" s="1"/>
  <c r="T92" i="40"/>
  <c r="Q40" i="42"/>
  <c r="V86" i="40"/>
  <c r="E244" i="69" s="1"/>
  <c r="AB244" i="69" s="1"/>
  <c r="V88" i="40"/>
  <c r="E246" i="69" s="1"/>
  <c r="AB246" i="69" s="1"/>
  <c r="Q69" i="42"/>
  <c r="V24" i="40"/>
  <c r="E221" i="69" s="1"/>
  <c r="AB221" i="69" s="1"/>
  <c r="O31" i="32"/>
  <c r="J31" i="32"/>
  <c r="O30" i="32"/>
  <c r="J30" i="32"/>
  <c r="O29" i="32"/>
  <c r="J29" i="32"/>
  <c r="J28" i="32"/>
  <c r="P30" i="32"/>
  <c r="P29" i="32"/>
  <c r="P28" i="32"/>
  <c r="P27" i="32"/>
  <c r="P26" i="32"/>
  <c r="P31" i="32"/>
  <c r="P25" i="32"/>
  <c r="E494" i="16"/>
  <c r="BN348" i="47" l="1"/>
  <c r="CB40" i="29"/>
  <c r="AC12" i="32"/>
  <c r="AC13" i="32"/>
  <c r="CB41" i="29"/>
  <c r="CB42" i="29"/>
  <c r="AC14" i="32"/>
  <c r="AC15" i="32"/>
  <c r="CB43" i="29"/>
  <c r="CB37" i="29"/>
  <c r="AC9" i="32"/>
  <c r="CB38" i="29"/>
  <c r="AC10" i="32"/>
  <c r="CB39" i="29"/>
  <c r="AC11" i="32"/>
  <c r="K30" i="32"/>
  <c r="L30" i="32" s="1"/>
  <c r="AZ42" i="29"/>
  <c r="AZ40" i="29"/>
  <c r="K28" i="32"/>
  <c r="L28" i="32" s="1"/>
  <c r="AZ41" i="29"/>
  <c r="K29" i="32"/>
  <c r="L29" i="32" s="1"/>
  <c r="AZ43" i="29"/>
  <c r="K31" i="32"/>
  <c r="L31" i="32" s="1"/>
  <c r="N111" i="49"/>
  <c r="T111" i="49" s="1"/>
  <c r="AE125" i="57"/>
  <c r="AC31" i="32"/>
  <c r="AD31" i="32"/>
  <c r="AE31" i="32" s="1"/>
  <c r="AC30" i="32"/>
  <c r="AD30" i="32"/>
  <c r="AE30" i="32" s="1"/>
  <c r="BR169" i="69"/>
  <c r="CD169" i="69"/>
  <c r="BS169" i="69"/>
  <c r="CE169" i="69"/>
  <c r="BT169" i="69"/>
  <c r="CF169" i="69"/>
  <c r="BU169" i="69"/>
  <c r="CG169" i="69"/>
  <c r="BV169" i="69"/>
  <c r="CH169" i="69"/>
  <c r="BW169" i="69"/>
  <c r="BX169" i="69"/>
  <c r="BY169" i="69"/>
  <c r="BZ169" i="69"/>
  <c r="BO169" i="69"/>
  <c r="CA169" i="69"/>
  <c r="BP169" i="69"/>
  <c r="CB169" i="69"/>
  <c r="BQ169" i="69"/>
  <c r="CC169" i="69"/>
  <c r="BS236" i="69"/>
  <c r="CE236" i="69"/>
  <c r="BT236" i="69"/>
  <c r="CF236" i="69"/>
  <c r="BU236" i="69"/>
  <c r="CG236" i="69"/>
  <c r="BV236" i="69"/>
  <c r="CH236" i="69"/>
  <c r="BW236" i="69"/>
  <c r="BX236" i="69"/>
  <c r="BY236" i="69"/>
  <c r="BZ236" i="69"/>
  <c r="BO236" i="69"/>
  <c r="CA236" i="69"/>
  <c r="BP236" i="69"/>
  <c r="CB236" i="69"/>
  <c r="BQ236" i="69"/>
  <c r="CC236" i="69"/>
  <c r="BR236" i="69"/>
  <c r="CD236" i="69"/>
  <c r="BO235" i="69"/>
  <c r="CA235" i="69"/>
  <c r="BP235" i="69"/>
  <c r="CB235" i="69"/>
  <c r="BQ235" i="69"/>
  <c r="CC235" i="69"/>
  <c r="BR235" i="69"/>
  <c r="CD235" i="69"/>
  <c r="BS235" i="69"/>
  <c r="CE235" i="69"/>
  <c r="BT235" i="69"/>
  <c r="CF235" i="69"/>
  <c r="BU235" i="69"/>
  <c r="CG235" i="69"/>
  <c r="BV235" i="69"/>
  <c r="CH235" i="69"/>
  <c r="BW235" i="69"/>
  <c r="BX235" i="69"/>
  <c r="BY235" i="69"/>
  <c r="BZ235" i="69"/>
  <c r="BU229" i="69"/>
  <c r="CG229" i="69"/>
  <c r="BV229" i="69"/>
  <c r="CH229" i="69"/>
  <c r="BW229" i="69"/>
  <c r="BX229" i="69"/>
  <c r="BY229" i="69"/>
  <c r="BO229" i="69"/>
  <c r="CA229" i="69"/>
  <c r="BP229" i="69"/>
  <c r="CB229" i="69"/>
  <c r="CF229" i="69"/>
  <c r="BQ229" i="69"/>
  <c r="BR229" i="69"/>
  <c r="BS229" i="69"/>
  <c r="BT229" i="69"/>
  <c r="BZ229" i="69"/>
  <c r="CC229" i="69"/>
  <c r="CD229" i="69"/>
  <c r="CE229" i="69"/>
  <c r="BS239" i="69"/>
  <c r="CE239" i="69"/>
  <c r="BT239" i="69"/>
  <c r="CF239" i="69"/>
  <c r="BU239" i="69"/>
  <c r="CG239" i="69"/>
  <c r="BV239" i="69"/>
  <c r="CH239" i="69"/>
  <c r="BW239" i="69"/>
  <c r="BX239" i="69"/>
  <c r="BY239" i="69"/>
  <c r="BZ239" i="69"/>
  <c r="BO239" i="69"/>
  <c r="CA239" i="69"/>
  <c r="BP239" i="69"/>
  <c r="CB239" i="69"/>
  <c r="BQ239" i="69"/>
  <c r="CC239" i="69"/>
  <c r="BR239" i="69"/>
  <c r="CD239" i="69"/>
  <c r="BY227" i="69"/>
  <c r="BZ227" i="69"/>
  <c r="BO227" i="69"/>
  <c r="CA227" i="69"/>
  <c r="BP227" i="69"/>
  <c r="CB227" i="69"/>
  <c r="BQ227" i="69"/>
  <c r="CC227" i="69"/>
  <c r="BR227" i="69"/>
  <c r="CD227" i="69"/>
  <c r="BS227" i="69"/>
  <c r="CE227" i="69"/>
  <c r="BT227" i="69"/>
  <c r="CF227" i="69"/>
  <c r="BU227" i="69"/>
  <c r="CG227" i="69"/>
  <c r="BV227" i="69"/>
  <c r="CH227" i="69"/>
  <c r="BW227" i="69"/>
  <c r="BX227" i="69"/>
  <c r="BR166" i="69"/>
  <c r="CD166" i="69"/>
  <c r="BS166" i="69"/>
  <c r="CE166" i="69"/>
  <c r="BT166" i="69"/>
  <c r="CF166" i="69"/>
  <c r="BU166" i="69"/>
  <c r="CG166" i="69"/>
  <c r="BV166" i="69"/>
  <c r="CH166" i="69"/>
  <c r="BW166" i="69"/>
  <c r="BX166" i="69"/>
  <c r="BY166" i="69"/>
  <c r="BZ166" i="69"/>
  <c r="BO166" i="69"/>
  <c r="CA166" i="69"/>
  <c r="BP166" i="69"/>
  <c r="CB166" i="69"/>
  <c r="BQ166" i="69"/>
  <c r="CC166" i="69"/>
  <c r="BU193" i="69"/>
  <c r="CG193" i="69"/>
  <c r="BV193" i="69"/>
  <c r="CH193" i="69"/>
  <c r="BW193" i="69"/>
  <c r="BX193" i="69"/>
  <c r="BY193" i="69"/>
  <c r="BZ193" i="69"/>
  <c r="BO193" i="69"/>
  <c r="CA193" i="69"/>
  <c r="BP193" i="69"/>
  <c r="CB193" i="69"/>
  <c r="BQ193" i="69"/>
  <c r="CC193" i="69"/>
  <c r="BR193" i="69"/>
  <c r="CD193" i="69"/>
  <c r="BS193" i="69"/>
  <c r="CE193" i="69"/>
  <c r="BT193" i="69"/>
  <c r="CF193" i="69"/>
  <c r="BZ165" i="69"/>
  <c r="BO165" i="69"/>
  <c r="CA165" i="69"/>
  <c r="BP165" i="69"/>
  <c r="CB165" i="69"/>
  <c r="BQ165" i="69"/>
  <c r="CC165" i="69"/>
  <c r="BR165" i="69"/>
  <c r="CD165" i="69"/>
  <c r="BS165" i="69"/>
  <c r="CE165" i="69"/>
  <c r="BT165" i="69"/>
  <c r="CF165" i="69"/>
  <c r="BU165" i="69"/>
  <c r="CG165" i="69"/>
  <c r="BV165" i="69"/>
  <c r="CH165" i="69"/>
  <c r="BW165" i="69"/>
  <c r="BX165" i="69"/>
  <c r="BY165" i="69"/>
  <c r="BU190" i="69"/>
  <c r="CG190" i="69"/>
  <c r="BV190" i="69"/>
  <c r="CH190" i="69"/>
  <c r="BW190" i="69"/>
  <c r="BX190" i="69"/>
  <c r="BY190" i="69"/>
  <c r="BZ190" i="69"/>
  <c r="BO190" i="69"/>
  <c r="CA190" i="69"/>
  <c r="BP190" i="69"/>
  <c r="CB190" i="69"/>
  <c r="BQ190" i="69"/>
  <c r="CC190" i="69"/>
  <c r="BR190" i="69"/>
  <c r="CD190" i="69"/>
  <c r="BS190" i="69"/>
  <c r="CE190" i="69"/>
  <c r="BT190" i="69"/>
  <c r="CF190" i="69"/>
  <c r="BQ192" i="69"/>
  <c r="CC192" i="69"/>
  <c r="BR192" i="69"/>
  <c r="CD192" i="69"/>
  <c r="BS192" i="69"/>
  <c r="CE192" i="69"/>
  <c r="BT192" i="69"/>
  <c r="CF192" i="69"/>
  <c r="BU192" i="69"/>
  <c r="CG192" i="69"/>
  <c r="BV192" i="69"/>
  <c r="CH192" i="69"/>
  <c r="BW192" i="69"/>
  <c r="BX192" i="69"/>
  <c r="BY192" i="69"/>
  <c r="BZ192" i="69"/>
  <c r="BO192" i="69"/>
  <c r="CA192" i="69"/>
  <c r="BP192" i="69"/>
  <c r="CB192" i="69"/>
  <c r="BW231" i="69"/>
  <c r="BX231" i="69"/>
  <c r="BY231" i="69"/>
  <c r="BZ231" i="69"/>
  <c r="BO231" i="69"/>
  <c r="CA231" i="69"/>
  <c r="BP231" i="69"/>
  <c r="CB231" i="69"/>
  <c r="BQ231" i="69"/>
  <c r="CC231" i="69"/>
  <c r="BR231" i="69"/>
  <c r="CD231" i="69"/>
  <c r="BS231" i="69"/>
  <c r="CE231" i="69"/>
  <c r="BT231" i="69"/>
  <c r="CF231" i="69"/>
  <c r="BU231" i="69"/>
  <c r="CG231" i="69"/>
  <c r="BV231" i="69"/>
  <c r="CH231" i="69"/>
  <c r="BY191" i="69"/>
  <c r="BZ191" i="69"/>
  <c r="BO191" i="69"/>
  <c r="CA191" i="69"/>
  <c r="BP191" i="69"/>
  <c r="CB191" i="69"/>
  <c r="BQ191" i="69"/>
  <c r="CC191" i="69"/>
  <c r="BR191" i="69"/>
  <c r="CD191" i="69"/>
  <c r="BS191" i="69"/>
  <c r="CE191" i="69"/>
  <c r="BT191" i="69"/>
  <c r="CF191" i="69"/>
  <c r="BU191" i="69"/>
  <c r="CG191" i="69"/>
  <c r="BV191" i="69"/>
  <c r="CH191" i="69"/>
  <c r="BW191" i="69"/>
  <c r="BX191" i="69"/>
  <c r="BV167" i="69"/>
  <c r="CH167" i="69"/>
  <c r="BW167" i="69"/>
  <c r="BX167" i="69"/>
  <c r="BY167" i="69"/>
  <c r="BZ167" i="69"/>
  <c r="BO167" i="69"/>
  <c r="CA167" i="69"/>
  <c r="BP167" i="69"/>
  <c r="CB167" i="69"/>
  <c r="BQ167" i="69"/>
  <c r="CC167" i="69"/>
  <c r="BR167" i="69"/>
  <c r="CD167" i="69"/>
  <c r="BS167" i="69"/>
  <c r="CE167" i="69"/>
  <c r="BT167" i="69"/>
  <c r="CF167" i="69"/>
  <c r="BU167" i="69"/>
  <c r="CG167" i="69"/>
  <c r="BS233" i="69"/>
  <c r="CE233" i="69"/>
  <c r="BT233" i="69"/>
  <c r="CF233" i="69"/>
  <c r="BU233" i="69"/>
  <c r="CG233" i="69"/>
  <c r="BV233" i="69"/>
  <c r="CH233" i="69"/>
  <c r="BW233" i="69"/>
  <c r="BX233" i="69"/>
  <c r="BY233" i="69"/>
  <c r="BZ233" i="69"/>
  <c r="BO233" i="69"/>
  <c r="CA233" i="69"/>
  <c r="BP233" i="69"/>
  <c r="CB233" i="69"/>
  <c r="BQ233" i="69"/>
  <c r="CC233" i="69"/>
  <c r="BR233" i="69"/>
  <c r="CD233" i="69"/>
  <c r="BZ230" i="69"/>
  <c r="BO230" i="69"/>
  <c r="BQ230" i="69"/>
  <c r="BS230" i="69"/>
  <c r="BT230" i="69"/>
  <c r="CE230" i="69"/>
  <c r="BP230" i="69"/>
  <c r="CF230" i="69"/>
  <c r="BR230" i="69"/>
  <c r="CG230" i="69"/>
  <c r="BU230" i="69"/>
  <c r="CH230" i="69"/>
  <c r="BV230" i="69"/>
  <c r="BW230" i="69"/>
  <c r="BX230" i="69"/>
  <c r="BY230" i="69"/>
  <c r="CA230" i="69"/>
  <c r="CB230" i="69"/>
  <c r="CC230" i="69"/>
  <c r="CD230" i="69"/>
  <c r="BZ168" i="69"/>
  <c r="BO168" i="69"/>
  <c r="CA168" i="69"/>
  <c r="BP168" i="69"/>
  <c r="CB168" i="69"/>
  <c r="BQ168" i="69"/>
  <c r="CC168" i="69"/>
  <c r="BR168" i="69"/>
  <c r="CD168" i="69"/>
  <c r="BS168" i="69"/>
  <c r="CE168" i="69"/>
  <c r="BT168" i="69"/>
  <c r="CF168" i="69"/>
  <c r="BU168" i="69"/>
  <c r="CG168" i="69"/>
  <c r="BV168" i="69"/>
  <c r="CH168" i="69"/>
  <c r="BW168" i="69"/>
  <c r="BX168" i="69"/>
  <c r="BY168" i="69"/>
  <c r="BW237" i="69"/>
  <c r="BX237" i="69"/>
  <c r="BY237" i="69"/>
  <c r="BZ237" i="69"/>
  <c r="BO237" i="69"/>
  <c r="CA237" i="69"/>
  <c r="BP237" i="69"/>
  <c r="CB237" i="69"/>
  <c r="BQ237" i="69"/>
  <c r="CC237" i="69"/>
  <c r="BR237" i="69"/>
  <c r="CD237" i="69"/>
  <c r="BS237" i="69"/>
  <c r="CE237" i="69"/>
  <c r="BT237" i="69"/>
  <c r="CF237" i="69"/>
  <c r="BU237" i="69"/>
  <c r="CG237" i="69"/>
  <c r="BV237" i="69"/>
  <c r="CH237" i="69"/>
  <c r="BO232" i="69"/>
  <c r="CA232" i="69"/>
  <c r="BP232" i="69"/>
  <c r="CB232" i="69"/>
  <c r="BQ232" i="69"/>
  <c r="CC232" i="69"/>
  <c r="BR232" i="69"/>
  <c r="CD232" i="69"/>
  <c r="BS232" i="69"/>
  <c r="CE232" i="69"/>
  <c r="BT232" i="69"/>
  <c r="CF232" i="69"/>
  <c r="BU232" i="69"/>
  <c r="CG232" i="69"/>
  <c r="BV232" i="69"/>
  <c r="CH232" i="69"/>
  <c r="BW232" i="69"/>
  <c r="BX232" i="69"/>
  <c r="BY232" i="69"/>
  <c r="BZ232" i="69"/>
  <c r="BJ169" i="69"/>
  <c r="BK169" i="69"/>
  <c r="BL169" i="69"/>
  <c r="BM169" i="69"/>
  <c r="BN169" i="69"/>
  <c r="BN236" i="69"/>
  <c r="BJ236" i="69"/>
  <c r="BK236" i="69"/>
  <c r="BL236" i="69"/>
  <c r="BM236" i="69"/>
  <c r="BJ235" i="69"/>
  <c r="BK235" i="69"/>
  <c r="BL235" i="69"/>
  <c r="BM235" i="69"/>
  <c r="BN235" i="69"/>
  <c r="BJ229" i="69"/>
  <c r="BK229" i="69"/>
  <c r="BL229" i="69"/>
  <c r="BM229" i="69"/>
  <c r="BN229" i="69"/>
  <c r="BK239" i="69"/>
  <c r="BL239" i="69"/>
  <c r="BM239" i="69"/>
  <c r="BN239" i="69"/>
  <c r="BJ239" i="69"/>
  <c r="BK227" i="69"/>
  <c r="BL227" i="69"/>
  <c r="BM227" i="69"/>
  <c r="BN227" i="69"/>
  <c r="BJ227" i="69"/>
  <c r="BJ166" i="69"/>
  <c r="BK166" i="69"/>
  <c r="BL166" i="69"/>
  <c r="BM166" i="69"/>
  <c r="BN166" i="69"/>
  <c r="BJ193" i="69"/>
  <c r="BK193" i="69"/>
  <c r="BL193" i="69"/>
  <c r="BM193" i="69"/>
  <c r="BN193" i="69"/>
  <c r="BJ165" i="69"/>
  <c r="BK165" i="69"/>
  <c r="BL165" i="69"/>
  <c r="BM165" i="69"/>
  <c r="BN165" i="69"/>
  <c r="BJ190" i="69"/>
  <c r="BK190" i="69"/>
  <c r="BL190" i="69"/>
  <c r="BM190" i="69"/>
  <c r="BN190" i="69"/>
  <c r="BJ192" i="69"/>
  <c r="BK192" i="69"/>
  <c r="BL192" i="69"/>
  <c r="BM192" i="69"/>
  <c r="BN192" i="69"/>
  <c r="BJ231" i="69"/>
  <c r="BK231" i="69"/>
  <c r="BL231" i="69"/>
  <c r="BM231" i="69"/>
  <c r="BN231" i="69"/>
  <c r="BJ191" i="69"/>
  <c r="BK191" i="69"/>
  <c r="BL191" i="69"/>
  <c r="BM191" i="69"/>
  <c r="BN191" i="69"/>
  <c r="BJ167" i="69"/>
  <c r="BK167" i="69"/>
  <c r="BL167" i="69"/>
  <c r="BM167" i="69"/>
  <c r="BN167" i="69"/>
  <c r="BJ233" i="69"/>
  <c r="BK233" i="69"/>
  <c r="BL233" i="69"/>
  <c r="BM233" i="69"/>
  <c r="BN233" i="69"/>
  <c r="BJ230" i="69"/>
  <c r="BK230" i="69"/>
  <c r="BL230" i="69"/>
  <c r="BM230" i="69"/>
  <c r="BN230" i="69"/>
  <c r="BJ168" i="69"/>
  <c r="BK168" i="69"/>
  <c r="BL168" i="69"/>
  <c r="BM168" i="69"/>
  <c r="BN168" i="69"/>
  <c r="BM237" i="69"/>
  <c r="BN237" i="69"/>
  <c r="BJ237" i="69"/>
  <c r="BK237" i="69"/>
  <c r="BL237" i="69"/>
  <c r="BJ232" i="69"/>
  <c r="BK232" i="69"/>
  <c r="BL232" i="69"/>
  <c r="BM232" i="69"/>
  <c r="BN232" i="69"/>
  <c r="BE168" i="69"/>
  <c r="BF168" i="69"/>
  <c r="BG168" i="69"/>
  <c r="BH168" i="69"/>
  <c r="BI168" i="69"/>
  <c r="BE237" i="69"/>
  <c r="BF237" i="69"/>
  <c r="BG237" i="69"/>
  <c r="BH237" i="69"/>
  <c r="BI237" i="69"/>
  <c r="BH232" i="69"/>
  <c r="BE232" i="69"/>
  <c r="BF232" i="69"/>
  <c r="BG232" i="69"/>
  <c r="BI232" i="69"/>
  <c r="BE169" i="69"/>
  <c r="BF169" i="69"/>
  <c r="BG169" i="69"/>
  <c r="BH169" i="69"/>
  <c r="BI169" i="69"/>
  <c r="BH236" i="69"/>
  <c r="BE236" i="69"/>
  <c r="BF236" i="69"/>
  <c r="BG236" i="69"/>
  <c r="BI236" i="69"/>
  <c r="BE235" i="69"/>
  <c r="BF235" i="69"/>
  <c r="BG235" i="69"/>
  <c r="BH235" i="69"/>
  <c r="BI235" i="69"/>
  <c r="BE229" i="69"/>
  <c r="BF229" i="69"/>
  <c r="BG229" i="69"/>
  <c r="BH229" i="69"/>
  <c r="BI229" i="69"/>
  <c r="BE239" i="69"/>
  <c r="BH239" i="69"/>
  <c r="BF239" i="69"/>
  <c r="BG239" i="69"/>
  <c r="BI239" i="69"/>
  <c r="BE227" i="69"/>
  <c r="BF227" i="69"/>
  <c r="BG227" i="69"/>
  <c r="BH227" i="69"/>
  <c r="BI227" i="69"/>
  <c r="BE166" i="69"/>
  <c r="BF166" i="69"/>
  <c r="BG166" i="69"/>
  <c r="BH166" i="69"/>
  <c r="BI166" i="69"/>
  <c r="BI193" i="69"/>
  <c r="BE193" i="69"/>
  <c r="BF193" i="69"/>
  <c r="BG193" i="69"/>
  <c r="BH193" i="69"/>
  <c r="BE165" i="69"/>
  <c r="BF165" i="69"/>
  <c r="BG165" i="69"/>
  <c r="BH165" i="69"/>
  <c r="BI165" i="69"/>
  <c r="BH190" i="69"/>
  <c r="BI190" i="69"/>
  <c r="BF190" i="69"/>
  <c r="BE190" i="69"/>
  <c r="BG190" i="69"/>
  <c r="BI192" i="69"/>
  <c r="BE192" i="69"/>
  <c r="BG192" i="69"/>
  <c r="BF192" i="69"/>
  <c r="BH192" i="69"/>
  <c r="BE231" i="69"/>
  <c r="BF231" i="69"/>
  <c r="BG231" i="69"/>
  <c r="BH231" i="69"/>
  <c r="BI231" i="69"/>
  <c r="BI191" i="69"/>
  <c r="BE191" i="69"/>
  <c r="BF191" i="69"/>
  <c r="BG191" i="69"/>
  <c r="BH191" i="69"/>
  <c r="BE167" i="69"/>
  <c r="BF167" i="69"/>
  <c r="BG167" i="69"/>
  <c r="BH167" i="69"/>
  <c r="BI167" i="69"/>
  <c r="BE233" i="69"/>
  <c r="BF233" i="69"/>
  <c r="BG233" i="69"/>
  <c r="BH233" i="69"/>
  <c r="BI233" i="69"/>
  <c r="BH230" i="69"/>
  <c r="BE230" i="69"/>
  <c r="BF230" i="69"/>
  <c r="BG230" i="69"/>
  <c r="BI230" i="69"/>
  <c r="AD12" i="32"/>
  <c r="BP40" i="29" s="1"/>
  <c r="AD13" i="32"/>
  <c r="BP41" i="29" s="1"/>
  <c r="AD11" i="32"/>
  <c r="BP39" i="29" s="1"/>
  <c r="AD14" i="32"/>
  <c r="BP42" i="29" s="1"/>
  <c r="AD15" i="32"/>
  <c r="BP43" i="29" s="1"/>
  <c r="AD10" i="32"/>
  <c r="BP38" i="29" s="1"/>
  <c r="BD229" i="69"/>
  <c r="BC229" i="69"/>
  <c r="BC237" i="69"/>
  <c r="BD237" i="69"/>
  <c r="BC239" i="69"/>
  <c r="BD239" i="69"/>
  <c r="BC192" i="69"/>
  <c r="BD192" i="69"/>
  <c r="BC191" i="69"/>
  <c r="BD191" i="69"/>
  <c r="BC166" i="69"/>
  <c r="BD166" i="69"/>
  <c r="BD235" i="69"/>
  <c r="BC235" i="69"/>
  <c r="BC233" i="69"/>
  <c r="BD233" i="69"/>
  <c r="BD165" i="69"/>
  <c r="BC165" i="69"/>
  <c r="BC168" i="69"/>
  <c r="BD168" i="69"/>
  <c r="BD232" i="69"/>
  <c r="BC232" i="69"/>
  <c r="AG133" i="43"/>
  <c r="BD227" i="69"/>
  <c r="BC227" i="69"/>
  <c r="BD231" i="69"/>
  <c r="BC231" i="69"/>
  <c r="BC169" i="69"/>
  <c r="BD169" i="69"/>
  <c r="BC167" i="69"/>
  <c r="BD167" i="69"/>
  <c r="BC236" i="69"/>
  <c r="BD236" i="69"/>
  <c r="BC193" i="69"/>
  <c r="BD193" i="69"/>
  <c r="BD230" i="69"/>
  <c r="BC230" i="69"/>
  <c r="AT239" i="69"/>
  <c r="BB239" i="69"/>
  <c r="AU239" i="69"/>
  <c r="AN239" i="69"/>
  <c r="AV239" i="69"/>
  <c r="AZ239" i="69"/>
  <c r="AO239" i="69"/>
  <c r="AW239" i="69"/>
  <c r="AQ239" i="69"/>
  <c r="AP239" i="69"/>
  <c r="AX239" i="69"/>
  <c r="AY239" i="69"/>
  <c r="AR239" i="69"/>
  <c r="AS239" i="69"/>
  <c r="BA239" i="69"/>
  <c r="AH246" i="69"/>
  <c r="AI246" i="69"/>
  <c r="AH218" i="69"/>
  <c r="AI218" i="69"/>
  <c r="AI215" i="69"/>
  <c r="AH215" i="69"/>
  <c r="AK229" i="69"/>
  <c r="AL229" i="69"/>
  <c r="AM229" i="69"/>
  <c r="AK237" i="69"/>
  <c r="AM237" i="69"/>
  <c r="AL237" i="69"/>
  <c r="AU192" i="69"/>
  <c r="AP192" i="69"/>
  <c r="AY192" i="69"/>
  <c r="AQ192" i="69"/>
  <c r="AZ192" i="69"/>
  <c r="AR192" i="69"/>
  <c r="BA192" i="69"/>
  <c r="AS192" i="69"/>
  <c r="BB192" i="69"/>
  <c r="AV192" i="69"/>
  <c r="AN192" i="69"/>
  <c r="AW192" i="69"/>
  <c r="AT192" i="69"/>
  <c r="AX192" i="69"/>
  <c r="AO192" i="69"/>
  <c r="AL239" i="69"/>
  <c r="AM239" i="69"/>
  <c r="AK239" i="69"/>
  <c r="AI219" i="69"/>
  <c r="AH219" i="69"/>
  <c r="AH216" i="69"/>
  <c r="AI216" i="69"/>
  <c r="AI210" i="69"/>
  <c r="AH210" i="69"/>
  <c r="AI209" i="69"/>
  <c r="AH209" i="69"/>
  <c r="AN191" i="69"/>
  <c r="AV191" i="69"/>
  <c r="AO191" i="69"/>
  <c r="AW191" i="69"/>
  <c r="AY191" i="69"/>
  <c r="AP191" i="69"/>
  <c r="AZ191" i="69"/>
  <c r="AQ191" i="69"/>
  <c r="BA191" i="69"/>
  <c r="AR191" i="69"/>
  <c r="BB191" i="69"/>
  <c r="AT191" i="69"/>
  <c r="AU191" i="69"/>
  <c r="AS191" i="69"/>
  <c r="AX191" i="69"/>
  <c r="AK166" i="69"/>
  <c r="AL166" i="69"/>
  <c r="AM166" i="69"/>
  <c r="AK235" i="69"/>
  <c r="AL235" i="69"/>
  <c r="AM235" i="69"/>
  <c r="AM233" i="69"/>
  <c r="AL233" i="69"/>
  <c r="AK233" i="69"/>
  <c r="AL165" i="69"/>
  <c r="AM165" i="69"/>
  <c r="AK165" i="69"/>
  <c r="AH244" i="69"/>
  <c r="AI244" i="69"/>
  <c r="AI223" i="69"/>
  <c r="AH223" i="69"/>
  <c r="AH224" i="69"/>
  <c r="AI224" i="69"/>
  <c r="AI211" i="69"/>
  <c r="AH211" i="69"/>
  <c r="AM191" i="69"/>
  <c r="AK191" i="69"/>
  <c r="AL191" i="69"/>
  <c r="AQ166" i="69"/>
  <c r="AY166" i="69"/>
  <c r="AS166" i="69"/>
  <c r="BA166" i="69"/>
  <c r="AT166" i="69"/>
  <c r="BB166" i="69"/>
  <c r="AU166" i="69"/>
  <c r="AN166" i="69"/>
  <c r="AV166" i="69"/>
  <c r="AP166" i="69"/>
  <c r="AR166" i="69"/>
  <c r="AW166" i="69"/>
  <c r="AX166" i="69"/>
  <c r="AO166" i="69"/>
  <c r="AZ166" i="69"/>
  <c r="AT235" i="69"/>
  <c r="AR235" i="69"/>
  <c r="AY235" i="69"/>
  <c r="AP235" i="69"/>
  <c r="BB235" i="69"/>
  <c r="AV235" i="69"/>
  <c r="AQ235" i="69"/>
  <c r="AZ235" i="69"/>
  <c r="BA235" i="69"/>
  <c r="AU235" i="69"/>
  <c r="AS235" i="69"/>
  <c r="AO235" i="69"/>
  <c r="AN235" i="69"/>
  <c r="AX235" i="69"/>
  <c r="AW235" i="69"/>
  <c r="AN233" i="69"/>
  <c r="AU233" i="69"/>
  <c r="AR233" i="69"/>
  <c r="AT233" i="69"/>
  <c r="BA233" i="69"/>
  <c r="AX233" i="69"/>
  <c r="AS233" i="69"/>
  <c r="BB233" i="69"/>
  <c r="AY233" i="69"/>
  <c r="AP233" i="69"/>
  <c r="AW233" i="69"/>
  <c r="AQ233" i="69"/>
  <c r="AO233" i="69"/>
  <c r="AZ233" i="69"/>
  <c r="AV233" i="69"/>
  <c r="AO165" i="69"/>
  <c r="AV165" i="69"/>
  <c r="AN165" i="69"/>
  <c r="AY165" i="69"/>
  <c r="AS165" i="69"/>
  <c r="AR165" i="69"/>
  <c r="AU165" i="69"/>
  <c r="AX165" i="69"/>
  <c r="BB165" i="69"/>
  <c r="AP165" i="69"/>
  <c r="AW165" i="69"/>
  <c r="AT165" i="69"/>
  <c r="AZ165" i="69"/>
  <c r="AQ165" i="69"/>
  <c r="BA165" i="69"/>
  <c r="AM192" i="69"/>
  <c r="AL192" i="69"/>
  <c r="AK192" i="69"/>
  <c r="AI222" i="69"/>
  <c r="AH222" i="69"/>
  <c r="AH226" i="69"/>
  <c r="AI226" i="69"/>
  <c r="AU168" i="69"/>
  <c r="AO168" i="69"/>
  <c r="AW168" i="69"/>
  <c r="AP168" i="69"/>
  <c r="AX168" i="69"/>
  <c r="AQ168" i="69"/>
  <c r="AY168" i="69"/>
  <c r="AR168" i="69"/>
  <c r="AZ168" i="69"/>
  <c r="AV168" i="69"/>
  <c r="BA168" i="69"/>
  <c r="BB168" i="69"/>
  <c r="AN168" i="69"/>
  <c r="AS168" i="69"/>
  <c r="AT168" i="69"/>
  <c r="AM227" i="69"/>
  <c r="AK227" i="69"/>
  <c r="AL227" i="69"/>
  <c r="AV232" i="69"/>
  <c r="AO232" i="69"/>
  <c r="AW232" i="69"/>
  <c r="AS232" i="69"/>
  <c r="AQ232" i="69"/>
  <c r="AT232" i="69"/>
  <c r="AU232" i="69"/>
  <c r="AX232" i="69"/>
  <c r="BB232" i="69"/>
  <c r="AY232" i="69"/>
  <c r="AZ232" i="69"/>
  <c r="BA232" i="69"/>
  <c r="AP232" i="69"/>
  <c r="AR232" i="69"/>
  <c r="AN232" i="69"/>
  <c r="AL231" i="69"/>
  <c r="AM231" i="69"/>
  <c r="AK231" i="69"/>
  <c r="AH225" i="69"/>
  <c r="AI225" i="69"/>
  <c r="AP229" i="69"/>
  <c r="AX229" i="69"/>
  <c r="AQ229" i="69"/>
  <c r="AY229" i="69"/>
  <c r="AR229" i="69"/>
  <c r="AZ229" i="69"/>
  <c r="AT229" i="69"/>
  <c r="AU229" i="69"/>
  <c r="AV229" i="69"/>
  <c r="AW229" i="69"/>
  <c r="BA229" i="69"/>
  <c r="BB229" i="69"/>
  <c r="AS229" i="69"/>
  <c r="AN229" i="69"/>
  <c r="AO229" i="69"/>
  <c r="AI220" i="69"/>
  <c r="AH220" i="69"/>
  <c r="AH247" i="69"/>
  <c r="AI247" i="69"/>
  <c r="AH234" i="69"/>
  <c r="AI234" i="69"/>
  <c r="AM168" i="69"/>
  <c r="AK168" i="69"/>
  <c r="AL168" i="69"/>
  <c r="AR227" i="69"/>
  <c r="BA227" i="69"/>
  <c r="AQ227" i="69"/>
  <c r="AU227" i="69"/>
  <c r="BB227" i="69"/>
  <c r="AS227" i="69"/>
  <c r="AO227" i="69"/>
  <c r="AY227" i="69"/>
  <c r="AW227" i="69"/>
  <c r="AT227" i="69"/>
  <c r="AZ227" i="69"/>
  <c r="AP227" i="69"/>
  <c r="AX227" i="69"/>
  <c r="AV227" i="69"/>
  <c r="AN227" i="69"/>
  <c r="AM232" i="69"/>
  <c r="AK232" i="69"/>
  <c r="AL232" i="69"/>
  <c r="AT231" i="69"/>
  <c r="BB231" i="69"/>
  <c r="AU231" i="69"/>
  <c r="AN231" i="69"/>
  <c r="AV231" i="69"/>
  <c r="AW231" i="69"/>
  <c r="AS231" i="69"/>
  <c r="AX231" i="69"/>
  <c r="AY231" i="69"/>
  <c r="AO231" i="69"/>
  <c r="AZ231" i="69"/>
  <c r="AQ231" i="69"/>
  <c r="AP231" i="69"/>
  <c r="BA231" i="69"/>
  <c r="AR231" i="69"/>
  <c r="AP237" i="69"/>
  <c r="AX237" i="69"/>
  <c r="AN237" i="69"/>
  <c r="AQ237" i="69"/>
  <c r="AY237" i="69"/>
  <c r="AR237" i="69"/>
  <c r="AZ237" i="69"/>
  <c r="AS237" i="69"/>
  <c r="BA237" i="69"/>
  <c r="AT237" i="69"/>
  <c r="BB237" i="69"/>
  <c r="AU237" i="69"/>
  <c r="AV237" i="69"/>
  <c r="AO237" i="69"/>
  <c r="AW237" i="69"/>
  <c r="AH245" i="69"/>
  <c r="AI245" i="69"/>
  <c r="AI213" i="69"/>
  <c r="AH213" i="69"/>
  <c r="AS169" i="69"/>
  <c r="BA169" i="69"/>
  <c r="AU169" i="69"/>
  <c r="AN169" i="69"/>
  <c r="AV169" i="69"/>
  <c r="AO169" i="69"/>
  <c r="AW169" i="69"/>
  <c r="AP169" i="69"/>
  <c r="AX169" i="69"/>
  <c r="AZ169" i="69"/>
  <c r="BB169" i="69"/>
  <c r="AR169" i="69"/>
  <c r="AT169" i="69"/>
  <c r="AQ169" i="69"/>
  <c r="AY169" i="69"/>
  <c r="AO167" i="69"/>
  <c r="AW167" i="69"/>
  <c r="AQ167" i="69"/>
  <c r="AY167" i="69"/>
  <c r="AR167" i="69"/>
  <c r="AZ167" i="69"/>
  <c r="AS167" i="69"/>
  <c r="BA167" i="69"/>
  <c r="AT167" i="69"/>
  <c r="BB167" i="69"/>
  <c r="AU167" i="69"/>
  <c r="AV167" i="69"/>
  <c r="AX167" i="69"/>
  <c r="AN167" i="69"/>
  <c r="AP167" i="69"/>
  <c r="AK193" i="69"/>
  <c r="AM193" i="69"/>
  <c r="AL193" i="69"/>
  <c r="AS236" i="69"/>
  <c r="AQ236" i="69"/>
  <c r="AZ236" i="69"/>
  <c r="AX236" i="69"/>
  <c r="AR236" i="69"/>
  <c r="BA236" i="69"/>
  <c r="AT236" i="69"/>
  <c r="BB236" i="69"/>
  <c r="AU236" i="69"/>
  <c r="AW236" i="69"/>
  <c r="AV236" i="69"/>
  <c r="AN236" i="69"/>
  <c r="AO236" i="69"/>
  <c r="AP236" i="69"/>
  <c r="AY236" i="69"/>
  <c r="AM230" i="69"/>
  <c r="AK230" i="69"/>
  <c r="AL230" i="69"/>
  <c r="AH217" i="69"/>
  <c r="AI217" i="69"/>
  <c r="AI161" i="69"/>
  <c r="AH161" i="69"/>
  <c r="AI221" i="69"/>
  <c r="AH221" i="69"/>
  <c r="AI214" i="69"/>
  <c r="AH214" i="69"/>
  <c r="AI160" i="69"/>
  <c r="AH160" i="69"/>
  <c r="AH208" i="69"/>
  <c r="AI208" i="69"/>
  <c r="AK169" i="69"/>
  <c r="AM169" i="69"/>
  <c r="AL169" i="69"/>
  <c r="AK167" i="69"/>
  <c r="AL167" i="69"/>
  <c r="AM167" i="69"/>
  <c r="AS193" i="69"/>
  <c r="BA193" i="69"/>
  <c r="AP193" i="69"/>
  <c r="AY193" i="69"/>
  <c r="AQ193" i="69"/>
  <c r="AZ193" i="69"/>
  <c r="AR193" i="69"/>
  <c r="BB193" i="69"/>
  <c r="AT193" i="69"/>
  <c r="AV193" i="69"/>
  <c r="AN193" i="69"/>
  <c r="AW193" i="69"/>
  <c r="AO193" i="69"/>
  <c r="AU193" i="69"/>
  <c r="AX193" i="69"/>
  <c r="AK236" i="69"/>
  <c r="AL236" i="69"/>
  <c r="AM236" i="69"/>
  <c r="AN230" i="69"/>
  <c r="AV230" i="69"/>
  <c r="AO230" i="69"/>
  <c r="AW230" i="69"/>
  <c r="AP230" i="69"/>
  <c r="AX230" i="69"/>
  <c r="BA230" i="69"/>
  <c r="AQ230" i="69"/>
  <c r="BB230" i="69"/>
  <c r="AR230" i="69"/>
  <c r="AS230" i="69"/>
  <c r="AT230" i="69"/>
  <c r="AU230" i="69"/>
  <c r="AY230" i="69"/>
  <c r="AZ230" i="69"/>
  <c r="T37" i="40"/>
  <c r="O59" i="49"/>
  <c r="O102" i="49" s="1"/>
  <c r="U102" i="49" s="1"/>
  <c r="Q75" i="42"/>
  <c r="D59" i="49" s="1"/>
  <c r="T59" i="49" s="1"/>
  <c r="AG134" i="43"/>
  <c r="I28" i="49"/>
  <c r="J128" i="57" s="1"/>
  <c r="AC113" i="68"/>
  <c r="I59" i="49"/>
  <c r="I65" i="49" s="1"/>
  <c r="L102" i="49"/>
  <c r="G65" i="49"/>
  <c r="W31" i="32"/>
  <c r="V31" i="32"/>
  <c r="V30" i="32"/>
  <c r="W30" i="32"/>
  <c r="X12" i="32"/>
  <c r="BV40" i="29" s="1"/>
  <c r="Y12" i="32" s="1"/>
  <c r="V15" i="32"/>
  <c r="BS43" i="29" s="1"/>
  <c r="W15" i="32" s="1"/>
  <c r="BC37" i="29"/>
  <c r="BY37" i="29" s="1"/>
  <c r="Z9" i="32" s="1"/>
  <c r="AA9" i="32" s="1"/>
  <c r="I13" i="32"/>
  <c r="M13" i="32" s="1"/>
  <c r="V11" i="32"/>
  <c r="BS39" i="29" s="1"/>
  <c r="W11" i="32" s="1"/>
  <c r="AB27" i="32" s="1"/>
  <c r="BC38" i="29"/>
  <c r="BY38" i="29" s="1"/>
  <c r="Z10" i="32" s="1"/>
  <c r="AA10" i="32" s="1"/>
  <c r="BC42" i="29"/>
  <c r="BY42" i="29" s="1"/>
  <c r="Z14" i="32" s="1"/>
  <c r="AA14" i="32" s="1"/>
  <c r="X15" i="32"/>
  <c r="BV43" i="29" s="1"/>
  <c r="Y15" i="32" s="1"/>
  <c r="I10" i="32"/>
  <c r="BC43" i="29"/>
  <c r="BY43" i="29" s="1"/>
  <c r="Z15" i="32" s="1"/>
  <c r="AA15" i="32" s="1"/>
  <c r="I15" i="32"/>
  <c r="M15" i="32" s="1"/>
  <c r="X11" i="32"/>
  <c r="BV39" i="29" s="1"/>
  <c r="Y11" i="32" s="1"/>
  <c r="I11" i="32"/>
  <c r="BC39" i="29"/>
  <c r="BY39" i="29" s="1"/>
  <c r="Z11" i="32" s="1"/>
  <c r="V13" i="32"/>
  <c r="BS41" i="29" s="1"/>
  <c r="W13" i="32" s="1"/>
  <c r="BC41" i="29"/>
  <c r="BY41" i="29" s="1"/>
  <c r="Z13" i="32" s="1"/>
  <c r="AA13" i="32" s="1"/>
  <c r="X13" i="32"/>
  <c r="BV41" i="29" s="1"/>
  <c r="Y13" i="32" s="1"/>
  <c r="I14" i="32"/>
  <c r="M14" i="32" s="1"/>
  <c r="X9" i="32"/>
  <c r="BV37" i="29" s="1"/>
  <c r="Y9" i="32" s="1"/>
  <c r="BC40" i="29"/>
  <c r="BY40" i="29" s="1"/>
  <c r="Z12" i="32" s="1"/>
  <c r="AA12" i="32" s="1"/>
  <c r="X10" i="32"/>
  <c r="BV38" i="29" s="1"/>
  <c r="Y10" i="32" s="1"/>
  <c r="I12" i="32"/>
  <c r="V14" i="32"/>
  <c r="BS42" i="29" s="1"/>
  <c r="W14" i="32" s="1"/>
  <c r="V12" i="32"/>
  <c r="BS40" i="29" s="1"/>
  <c r="W12" i="32" s="1"/>
  <c r="AB28" i="32" s="1"/>
  <c r="X14" i="32"/>
  <c r="BV42" i="29" s="1"/>
  <c r="Y14" i="32" s="1"/>
  <c r="V10" i="32"/>
  <c r="BS38" i="29" s="1"/>
  <c r="W10" i="32" s="1"/>
  <c r="V9" i="32"/>
  <c r="BS37" i="29" s="1"/>
  <c r="W9" i="32" s="1"/>
  <c r="AB25" i="32" s="1"/>
  <c r="I9" i="32"/>
  <c r="O28" i="32"/>
  <c r="L41" i="32"/>
  <c r="BS348" i="47"/>
  <c r="BT348" i="47" s="1"/>
  <c r="O62" i="49"/>
  <c r="O105" i="49" s="1"/>
  <c r="T62" i="49"/>
  <c r="H18" i="60"/>
  <c r="I129" i="57"/>
  <c r="J127" i="57"/>
  <c r="M92" i="49"/>
  <c r="S92" i="49" s="1"/>
  <c r="AX59" i="37"/>
  <c r="M18" i="49"/>
  <c r="T140" i="49"/>
  <c r="N140" i="49"/>
  <c r="H120" i="47"/>
  <c r="I120" i="47"/>
  <c r="BN60" i="43" s="1"/>
  <c r="G123" i="47"/>
  <c r="H123" i="47"/>
  <c r="F123" i="47"/>
  <c r="I123" i="47"/>
  <c r="I119" i="47"/>
  <c r="BN59" i="43" s="1"/>
  <c r="H119" i="47"/>
  <c r="H122" i="47"/>
  <c r="I122" i="47"/>
  <c r="G122" i="47"/>
  <c r="F122" i="47"/>
  <c r="R62" i="49"/>
  <c r="V62" i="49" s="1"/>
  <c r="I121" i="47"/>
  <c r="H121" i="47"/>
  <c r="AG152" i="43"/>
  <c r="E154" i="69" s="1"/>
  <c r="AB154" i="69" s="1"/>
  <c r="AG155" i="43"/>
  <c r="E157" i="69" s="1"/>
  <c r="AB157" i="69" s="1"/>
  <c r="AK340" i="47"/>
  <c r="AK344" i="47"/>
  <c r="AD19" i="36"/>
  <c r="S61" i="37"/>
  <c r="AF19" i="36" s="1"/>
  <c r="E126" i="69" s="1"/>
  <c r="AB126" i="69" s="1"/>
  <c r="BH50" i="37"/>
  <c r="S62" i="37"/>
  <c r="AF20" i="36" s="1"/>
  <c r="E127" i="69" s="1"/>
  <c r="AB127" i="69" s="1"/>
  <c r="AD20" i="36"/>
  <c r="AK339" i="47"/>
  <c r="BI50" i="37"/>
  <c r="V92" i="40"/>
  <c r="V12" i="40"/>
  <c r="I7" i="32"/>
  <c r="I8" i="2"/>
  <c r="E1338" i="16"/>
  <c r="D1338" i="16"/>
  <c r="E1322" i="16"/>
  <c r="D1322" i="16"/>
  <c r="E1306" i="16"/>
  <c r="D1306" i="16"/>
  <c r="E1290" i="16"/>
  <c r="D1290" i="16"/>
  <c r="E1274" i="16"/>
  <c r="D1274" i="16"/>
  <c r="E1258" i="16"/>
  <c r="D1258" i="16"/>
  <c r="E1242" i="16"/>
  <c r="D1242" i="16"/>
  <c r="E1226" i="16"/>
  <c r="D1226" i="16"/>
  <c r="E1210" i="16"/>
  <c r="D1210" i="16"/>
  <c r="N90" i="54"/>
  <c r="N118" i="54"/>
  <c r="P70" i="54"/>
  <c r="P64" i="54"/>
  <c r="P76" i="54"/>
  <c r="P73" i="54"/>
  <c r="P72" i="54"/>
  <c r="P68" i="54"/>
  <c r="P77" i="54"/>
  <c r="P62" i="54"/>
  <c r="P66" i="54"/>
  <c r="P75" i="54"/>
  <c r="P74" i="54"/>
  <c r="P78" i="54"/>
  <c r="P67" i="54"/>
  <c r="P71" i="54"/>
  <c r="P65" i="54"/>
  <c r="P69" i="54"/>
  <c r="P63" i="54"/>
  <c r="R9" i="35" l="1"/>
  <c r="BN61" i="29" s="1"/>
  <c r="S9" i="35" s="1"/>
  <c r="P9" i="35"/>
  <c r="BB61" i="29" s="1"/>
  <c r="Q9" i="35" s="1"/>
  <c r="BI28" i="26"/>
  <c r="M8" i="55"/>
  <c r="O113" i="68"/>
  <c r="BT67" i="50" s="1"/>
  <c r="BB89" i="15"/>
  <c r="Q30" i="23"/>
  <c r="O24" i="30"/>
  <c r="BU12" i="29" s="1"/>
  <c r="R23" i="23"/>
  <c r="BF80" i="15"/>
  <c r="BD89" i="15"/>
  <c r="R31" i="23"/>
  <c r="R20" i="23"/>
  <c r="R34" i="23"/>
  <c r="S23" i="23"/>
  <c r="BD76" i="15"/>
  <c r="BD90" i="15"/>
  <c r="S31" i="23"/>
  <c r="S20" i="23"/>
  <c r="BD93" i="15"/>
  <c r="BD72" i="15"/>
  <c r="BD91" i="15"/>
  <c r="BD92" i="15"/>
  <c r="BF76" i="15"/>
  <c r="BF72" i="15"/>
  <c r="S34" i="23"/>
  <c r="BD80" i="15"/>
  <c r="BD94" i="15"/>
  <c r="R32" i="23"/>
  <c r="S30" i="23"/>
  <c r="R17" i="23"/>
  <c r="BF68" i="15"/>
  <c r="BF89" i="15"/>
  <c r="S32" i="23"/>
  <c r="BD68" i="15"/>
  <c r="BF92" i="15"/>
  <c r="S17" i="23"/>
  <c r="BF90" i="15"/>
  <c r="S35" i="23"/>
  <c r="BF91" i="15"/>
  <c r="R30" i="23"/>
  <c r="R35" i="23"/>
  <c r="R33" i="23"/>
  <c r="R26" i="23"/>
  <c r="S26" i="23"/>
  <c r="BF93" i="15"/>
  <c r="BF94" i="15"/>
  <c r="S33" i="23"/>
  <c r="Q73" i="54"/>
  <c r="T73" i="54" s="1"/>
  <c r="X73" i="54" s="1"/>
  <c r="Q74" i="54"/>
  <c r="S74" i="54" s="1"/>
  <c r="W74" i="54" s="1"/>
  <c r="T78" i="54"/>
  <c r="X78" i="54" s="1"/>
  <c r="T77" i="54"/>
  <c r="X77" i="54" s="1"/>
  <c r="T75" i="54"/>
  <c r="X75" i="54" s="1"/>
  <c r="S78" i="54"/>
  <c r="W78" i="54" s="1"/>
  <c r="S77" i="54"/>
  <c r="W77" i="54" s="1"/>
  <c r="S75" i="54"/>
  <c r="W75" i="54" s="1"/>
  <c r="R78" i="54"/>
  <c r="V78" i="54" s="1"/>
  <c r="R77" i="54"/>
  <c r="V77" i="54" s="1"/>
  <c r="R75" i="54"/>
  <c r="V75" i="54" s="1"/>
  <c r="O90" i="54"/>
  <c r="AA11" i="32"/>
  <c r="BJ65" i="69"/>
  <c r="BK65" i="69"/>
  <c r="BL65" i="69"/>
  <c r="BM65" i="69"/>
  <c r="BN65" i="69"/>
  <c r="Q76" i="54"/>
  <c r="R76" i="54" s="1"/>
  <c r="AD27" i="32"/>
  <c r="AE27" i="32" s="1"/>
  <c r="AC27" i="32"/>
  <c r="AD25" i="32"/>
  <c r="AE25" i="32" s="1"/>
  <c r="AC25" i="32"/>
  <c r="AD28" i="32"/>
  <c r="AE28" i="32" s="1"/>
  <c r="AC28" i="32"/>
  <c r="K43" i="32"/>
  <c r="J43" i="32"/>
  <c r="K44" i="32"/>
  <c r="J44" i="32"/>
  <c r="BV161" i="69"/>
  <c r="CH161" i="69"/>
  <c r="BW161" i="69"/>
  <c r="BX161" i="69"/>
  <c r="BY161" i="69"/>
  <c r="BZ161" i="69"/>
  <c r="BO161" i="69"/>
  <c r="CA161" i="69"/>
  <c r="BP161" i="69"/>
  <c r="CB161" i="69"/>
  <c r="BQ161" i="69"/>
  <c r="CC161" i="69"/>
  <c r="BR161" i="69"/>
  <c r="CD161" i="69"/>
  <c r="BS161" i="69"/>
  <c r="CE161" i="69"/>
  <c r="BT161" i="69"/>
  <c r="CF161" i="69"/>
  <c r="BU161" i="69"/>
  <c r="CG161" i="69"/>
  <c r="BY215" i="69"/>
  <c r="BZ215" i="69"/>
  <c r="BO215" i="69"/>
  <c r="CA215" i="69"/>
  <c r="BP215" i="69"/>
  <c r="CB215" i="69"/>
  <c r="BQ215" i="69"/>
  <c r="CC215" i="69"/>
  <c r="BR215" i="69"/>
  <c r="CD215" i="69"/>
  <c r="BS215" i="69"/>
  <c r="CE215" i="69"/>
  <c r="BT215" i="69"/>
  <c r="CF215" i="69"/>
  <c r="BU215" i="69"/>
  <c r="CG215" i="69"/>
  <c r="BV215" i="69"/>
  <c r="CH215" i="69"/>
  <c r="BW215" i="69"/>
  <c r="BX215" i="69"/>
  <c r="BU217" i="69"/>
  <c r="CG217" i="69"/>
  <c r="BV217" i="69"/>
  <c r="CH217" i="69"/>
  <c r="BW217" i="69"/>
  <c r="BX217" i="69"/>
  <c r="BY217" i="69"/>
  <c r="BZ217" i="69"/>
  <c r="BO217" i="69"/>
  <c r="CA217" i="69"/>
  <c r="BP217" i="69"/>
  <c r="CB217" i="69"/>
  <c r="BQ217" i="69"/>
  <c r="CC217" i="69"/>
  <c r="BR217" i="69"/>
  <c r="CD217" i="69"/>
  <c r="BS217" i="69"/>
  <c r="CE217" i="69"/>
  <c r="BT217" i="69"/>
  <c r="CF217" i="69"/>
  <c r="BQ225" i="69"/>
  <c r="CC225" i="69"/>
  <c r="BR225" i="69"/>
  <c r="CD225" i="69"/>
  <c r="BS225" i="69"/>
  <c r="CE225" i="69"/>
  <c r="BT225" i="69"/>
  <c r="CF225" i="69"/>
  <c r="BU225" i="69"/>
  <c r="CG225" i="69"/>
  <c r="BV225" i="69"/>
  <c r="CH225" i="69"/>
  <c r="BW225" i="69"/>
  <c r="BX225" i="69"/>
  <c r="BY225" i="69"/>
  <c r="BZ225" i="69"/>
  <c r="BO225" i="69"/>
  <c r="CA225" i="69"/>
  <c r="BP225" i="69"/>
  <c r="CB225" i="69"/>
  <c r="BY218" i="69"/>
  <c r="BZ218" i="69"/>
  <c r="BO218" i="69"/>
  <c r="CA218" i="69"/>
  <c r="BP218" i="69"/>
  <c r="CB218" i="69"/>
  <c r="BQ218" i="69"/>
  <c r="CC218" i="69"/>
  <c r="BR218" i="69"/>
  <c r="CD218" i="69"/>
  <c r="BS218" i="69"/>
  <c r="CE218" i="69"/>
  <c r="BT218" i="69"/>
  <c r="CF218" i="69"/>
  <c r="BU218" i="69"/>
  <c r="CG218" i="69"/>
  <c r="BV218" i="69"/>
  <c r="CH218" i="69"/>
  <c r="BW218" i="69"/>
  <c r="BX218" i="69"/>
  <c r="BU208" i="69"/>
  <c r="CG208" i="69"/>
  <c r="BV208" i="69"/>
  <c r="CH208" i="69"/>
  <c r="BW208" i="69"/>
  <c r="BX208" i="69"/>
  <c r="BY208" i="69"/>
  <c r="BZ208" i="69"/>
  <c r="BO208" i="69"/>
  <c r="CA208" i="69"/>
  <c r="BP208" i="69"/>
  <c r="CB208" i="69"/>
  <c r="BQ208" i="69"/>
  <c r="CC208" i="69"/>
  <c r="BR208" i="69"/>
  <c r="CD208" i="69"/>
  <c r="BS208" i="69"/>
  <c r="CE208" i="69"/>
  <c r="BT208" i="69"/>
  <c r="CF208" i="69"/>
  <c r="BW246" i="69"/>
  <c r="BX246" i="69"/>
  <c r="BY246" i="69"/>
  <c r="BZ246" i="69"/>
  <c r="BO246" i="69"/>
  <c r="CA246" i="69"/>
  <c r="BP246" i="69"/>
  <c r="CB246" i="69"/>
  <c r="BQ246" i="69"/>
  <c r="CC246" i="69"/>
  <c r="BR246" i="69"/>
  <c r="CD246" i="69"/>
  <c r="BS246" i="69"/>
  <c r="CE246" i="69"/>
  <c r="BT246" i="69"/>
  <c r="CF246" i="69"/>
  <c r="BU246" i="69"/>
  <c r="CG246" i="69"/>
  <c r="BV246" i="69"/>
  <c r="CH246" i="69"/>
  <c r="BW234" i="69"/>
  <c r="BX234" i="69"/>
  <c r="BY234" i="69"/>
  <c r="BZ234" i="69"/>
  <c r="BO234" i="69"/>
  <c r="CA234" i="69"/>
  <c r="BP234" i="69"/>
  <c r="CB234" i="69"/>
  <c r="BQ234" i="69"/>
  <c r="CC234" i="69"/>
  <c r="BR234" i="69"/>
  <c r="CD234" i="69"/>
  <c r="BS234" i="69"/>
  <c r="CE234" i="69"/>
  <c r="BT234" i="69"/>
  <c r="CF234" i="69"/>
  <c r="BU234" i="69"/>
  <c r="CG234" i="69"/>
  <c r="BV234" i="69"/>
  <c r="CH234" i="69"/>
  <c r="BY209" i="69"/>
  <c r="BZ209" i="69"/>
  <c r="BO209" i="69"/>
  <c r="CA209" i="69"/>
  <c r="BP209" i="69"/>
  <c r="CB209" i="69"/>
  <c r="BQ209" i="69"/>
  <c r="CC209" i="69"/>
  <c r="BR209" i="69"/>
  <c r="CD209" i="69"/>
  <c r="BS209" i="69"/>
  <c r="CE209" i="69"/>
  <c r="BT209" i="69"/>
  <c r="CF209" i="69"/>
  <c r="BU209" i="69"/>
  <c r="CG209" i="69"/>
  <c r="BV209" i="69"/>
  <c r="CH209" i="69"/>
  <c r="BW209" i="69"/>
  <c r="BX209" i="69"/>
  <c r="BU211" i="69"/>
  <c r="CG211" i="69"/>
  <c r="BV211" i="69"/>
  <c r="CH211" i="69"/>
  <c r="BW211" i="69"/>
  <c r="BX211" i="69"/>
  <c r="BY211" i="69"/>
  <c r="BZ211" i="69"/>
  <c r="BO211" i="69"/>
  <c r="CA211" i="69"/>
  <c r="BP211" i="69"/>
  <c r="CB211" i="69"/>
  <c r="BQ211" i="69"/>
  <c r="CC211" i="69"/>
  <c r="BR211" i="69"/>
  <c r="CD211" i="69"/>
  <c r="BS211" i="69"/>
  <c r="CE211" i="69"/>
  <c r="BT211" i="69"/>
  <c r="CF211" i="69"/>
  <c r="BR160" i="69"/>
  <c r="CD160" i="69"/>
  <c r="BS160" i="69"/>
  <c r="CE160" i="69"/>
  <c r="BT160" i="69"/>
  <c r="CF160" i="69"/>
  <c r="BU160" i="69"/>
  <c r="CG160" i="69"/>
  <c r="BV160" i="69"/>
  <c r="CH160" i="69"/>
  <c r="BW160" i="69"/>
  <c r="BX160" i="69"/>
  <c r="BY160" i="69"/>
  <c r="BZ160" i="69"/>
  <c r="BO160" i="69"/>
  <c r="CA160" i="69"/>
  <c r="BP160" i="69"/>
  <c r="CB160" i="69"/>
  <c r="BQ160" i="69"/>
  <c r="CC160" i="69"/>
  <c r="BO247" i="69"/>
  <c r="CA247" i="69"/>
  <c r="BP247" i="69"/>
  <c r="CB247" i="69"/>
  <c r="BQ247" i="69"/>
  <c r="CC247" i="69"/>
  <c r="BR247" i="69"/>
  <c r="CD247" i="69"/>
  <c r="BS247" i="69"/>
  <c r="CE247" i="69"/>
  <c r="BT247" i="69"/>
  <c r="CF247" i="69"/>
  <c r="BU247" i="69"/>
  <c r="CG247" i="69"/>
  <c r="BV247" i="69"/>
  <c r="CH247" i="69"/>
  <c r="BW247" i="69"/>
  <c r="BX247" i="69"/>
  <c r="BY247" i="69"/>
  <c r="BZ247" i="69"/>
  <c r="BU226" i="69"/>
  <c r="CG226" i="69"/>
  <c r="BV226" i="69"/>
  <c r="CH226" i="69"/>
  <c r="BW226" i="69"/>
  <c r="BX226" i="69"/>
  <c r="BY226" i="69"/>
  <c r="BZ226" i="69"/>
  <c r="BO226" i="69"/>
  <c r="CA226" i="69"/>
  <c r="BP226" i="69"/>
  <c r="CB226" i="69"/>
  <c r="BQ226" i="69"/>
  <c r="CC226" i="69"/>
  <c r="BR226" i="69"/>
  <c r="CD226" i="69"/>
  <c r="BS226" i="69"/>
  <c r="CE226" i="69"/>
  <c r="BT226" i="69"/>
  <c r="CF226" i="69"/>
  <c r="BY224" i="69"/>
  <c r="BZ224" i="69"/>
  <c r="BO224" i="69"/>
  <c r="CA224" i="69"/>
  <c r="BP224" i="69"/>
  <c r="CB224" i="69"/>
  <c r="BQ224" i="69"/>
  <c r="CC224" i="69"/>
  <c r="BR224" i="69"/>
  <c r="CD224" i="69"/>
  <c r="BS224" i="69"/>
  <c r="CE224" i="69"/>
  <c r="BT224" i="69"/>
  <c r="CF224" i="69"/>
  <c r="BU224" i="69"/>
  <c r="CG224" i="69"/>
  <c r="BV224" i="69"/>
  <c r="CH224" i="69"/>
  <c r="BW224" i="69"/>
  <c r="BX224" i="69"/>
  <c r="BQ210" i="69"/>
  <c r="CC210" i="69"/>
  <c r="BR210" i="69"/>
  <c r="CD210" i="69"/>
  <c r="BS210" i="69"/>
  <c r="CE210" i="69"/>
  <c r="BT210" i="69"/>
  <c r="CF210" i="69"/>
  <c r="BU210" i="69"/>
  <c r="CG210" i="69"/>
  <c r="BV210" i="69"/>
  <c r="CH210" i="69"/>
  <c r="BW210" i="69"/>
  <c r="BX210" i="69"/>
  <c r="BY210" i="69"/>
  <c r="BZ210" i="69"/>
  <c r="BO210" i="69"/>
  <c r="CA210" i="69"/>
  <c r="BP210" i="69"/>
  <c r="CB210" i="69"/>
  <c r="BQ213" i="69"/>
  <c r="CC213" i="69"/>
  <c r="BR213" i="69"/>
  <c r="CD213" i="69"/>
  <c r="BS213" i="69"/>
  <c r="CE213" i="69"/>
  <c r="BT213" i="69"/>
  <c r="CF213" i="69"/>
  <c r="BU213" i="69"/>
  <c r="CG213" i="69"/>
  <c r="BV213" i="69"/>
  <c r="CH213" i="69"/>
  <c r="BW213" i="69"/>
  <c r="BX213" i="69"/>
  <c r="BY213" i="69"/>
  <c r="BZ213" i="69"/>
  <c r="BO213" i="69"/>
  <c r="CA213" i="69"/>
  <c r="BP213" i="69"/>
  <c r="CB213" i="69"/>
  <c r="BQ216" i="69"/>
  <c r="CC216" i="69"/>
  <c r="BR216" i="69"/>
  <c r="CD216" i="69"/>
  <c r="BS216" i="69"/>
  <c r="CE216" i="69"/>
  <c r="BT216" i="69"/>
  <c r="CF216" i="69"/>
  <c r="BU216" i="69"/>
  <c r="CG216" i="69"/>
  <c r="BV216" i="69"/>
  <c r="CH216" i="69"/>
  <c r="BW216" i="69"/>
  <c r="BX216" i="69"/>
  <c r="BY216" i="69"/>
  <c r="BZ216" i="69"/>
  <c r="BO216" i="69"/>
  <c r="CA216" i="69"/>
  <c r="BP216" i="69"/>
  <c r="CB216" i="69"/>
  <c r="BU214" i="69"/>
  <c r="CG214" i="69"/>
  <c r="BV214" i="69"/>
  <c r="CH214" i="69"/>
  <c r="BW214" i="69"/>
  <c r="BX214" i="69"/>
  <c r="BY214" i="69"/>
  <c r="BZ214" i="69"/>
  <c r="BO214" i="69"/>
  <c r="CA214" i="69"/>
  <c r="BP214" i="69"/>
  <c r="CB214" i="69"/>
  <c r="BQ214" i="69"/>
  <c r="CC214" i="69"/>
  <c r="BR214" i="69"/>
  <c r="CD214" i="69"/>
  <c r="BS214" i="69"/>
  <c r="CE214" i="69"/>
  <c r="BT214" i="69"/>
  <c r="CF214" i="69"/>
  <c r="BS245" i="69"/>
  <c r="CE245" i="69"/>
  <c r="BT245" i="69"/>
  <c r="CF245" i="69"/>
  <c r="BU245" i="69"/>
  <c r="CG245" i="69"/>
  <c r="BV245" i="69"/>
  <c r="CH245" i="69"/>
  <c r="BW245" i="69"/>
  <c r="BX245" i="69"/>
  <c r="BY245" i="69"/>
  <c r="BZ245" i="69"/>
  <c r="BO245" i="69"/>
  <c r="CA245" i="69"/>
  <c r="BP245" i="69"/>
  <c r="CB245" i="69"/>
  <c r="BQ245" i="69"/>
  <c r="CC245" i="69"/>
  <c r="BR245" i="69"/>
  <c r="CD245" i="69"/>
  <c r="BU220" i="69"/>
  <c r="CG220" i="69"/>
  <c r="BV220" i="69"/>
  <c r="CH220" i="69"/>
  <c r="BW220" i="69"/>
  <c r="BX220" i="69"/>
  <c r="BY220" i="69"/>
  <c r="BZ220" i="69"/>
  <c r="BO220" i="69"/>
  <c r="CA220" i="69"/>
  <c r="BP220" i="69"/>
  <c r="CB220" i="69"/>
  <c r="BQ220" i="69"/>
  <c r="CC220" i="69"/>
  <c r="BR220" i="69"/>
  <c r="CD220" i="69"/>
  <c r="BS220" i="69"/>
  <c r="CE220" i="69"/>
  <c r="BT220" i="69"/>
  <c r="CF220" i="69"/>
  <c r="BQ222" i="69"/>
  <c r="CC222" i="69"/>
  <c r="BR222" i="69"/>
  <c r="CD222" i="69"/>
  <c r="BS222" i="69"/>
  <c r="CE222" i="69"/>
  <c r="BT222" i="69"/>
  <c r="CF222" i="69"/>
  <c r="BU222" i="69"/>
  <c r="CG222" i="69"/>
  <c r="BV222" i="69"/>
  <c r="CH222" i="69"/>
  <c r="BW222" i="69"/>
  <c r="BX222" i="69"/>
  <c r="BY222" i="69"/>
  <c r="BZ222" i="69"/>
  <c r="BO222" i="69"/>
  <c r="CA222" i="69"/>
  <c r="BP222" i="69"/>
  <c r="CB222" i="69"/>
  <c r="BU223" i="69"/>
  <c r="CG223" i="69"/>
  <c r="BV223" i="69"/>
  <c r="CH223" i="69"/>
  <c r="BW223" i="69"/>
  <c r="BX223" i="69"/>
  <c r="BY223" i="69"/>
  <c r="BZ223" i="69"/>
  <c r="BO223" i="69"/>
  <c r="CA223" i="69"/>
  <c r="BP223" i="69"/>
  <c r="CB223" i="69"/>
  <c r="BQ223" i="69"/>
  <c r="CC223" i="69"/>
  <c r="BR223" i="69"/>
  <c r="CD223" i="69"/>
  <c r="BS223" i="69"/>
  <c r="CE223" i="69"/>
  <c r="BT223" i="69"/>
  <c r="CF223" i="69"/>
  <c r="BY221" i="69"/>
  <c r="BZ221" i="69"/>
  <c r="BO221" i="69"/>
  <c r="CA221" i="69"/>
  <c r="BP221" i="69"/>
  <c r="CB221" i="69"/>
  <c r="BQ221" i="69"/>
  <c r="CC221" i="69"/>
  <c r="BR221" i="69"/>
  <c r="CD221" i="69"/>
  <c r="BS221" i="69"/>
  <c r="CE221" i="69"/>
  <c r="BT221" i="69"/>
  <c r="CF221" i="69"/>
  <c r="BU221" i="69"/>
  <c r="CG221" i="69"/>
  <c r="BV221" i="69"/>
  <c r="CH221" i="69"/>
  <c r="BW221" i="69"/>
  <c r="BX221" i="69"/>
  <c r="BO244" i="69"/>
  <c r="CA244" i="69"/>
  <c r="BP244" i="69"/>
  <c r="CB244" i="69"/>
  <c r="BQ244" i="69"/>
  <c r="CC244" i="69"/>
  <c r="BR244" i="69"/>
  <c r="CD244" i="69"/>
  <c r="BS244" i="69"/>
  <c r="CE244" i="69"/>
  <c r="BT244" i="69"/>
  <c r="CF244" i="69"/>
  <c r="BU244" i="69"/>
  <c r="CG244" i="69"/>
  <c r="BV244" i="69"/>
  <c r="CH244" i="69"/>
  <c r="BW244" i="69"/>
  <c r="BX244" i="69"/>
  <c r="BY244" i="69"/>
  <c r="BZ244" i="69"/>
  <c r="BQ219" i="69"/>
  <c r="CC219" i="69"/>
  <c r="BR219" i="69"/>
  <c r="CD219" i="69"/>
  <c r="BS219" i="69"/>
  <c r="CE219" i="69"/>
  <c r="BT219" i="69"/>
  <c r="CF219" i="69"/>
  <c r="BU219" i="69"/>
  <c r="CG219" i="69"/>
  <c r="BV219" i="69"/>
  <c r="CH219" i="69"/>
  <c r="BW219" i="69"/>
  <c r="BX219" i="69"/>
  <c r="BY219" i="69"/>
  <c r="BZ219" i="69"/>
  <c r="BO219" i="69"/>
  <c r="CA219" i="69"/>
  <c r="BP219" i="69"/>
  <c r="CB219" i="69"/>
  <c r="BN161" i="69"/>
  <c r="BJ161" i="69"/>
  <c r="BK161" i="69"/>
  <c r="BL161" i="69"/>
  <c r="BM161" i="69"/>
  <c r="BJ215" i="69"/>
  <c r="BK215" i="69"/>
  <c r="BL215" i="69"/>
  <c r="BM215" i="69"/>
  <c r="BN215" i="69"/>
  <c r="BJ217" i="69"/>
  <c r="BK217" i="69"/>
  <c r="BL217" i="69"/>
  <c r="BM217" i="69"/>
  <c r="BN217" i="69"/>
  <c r="BK225" i="69"/>
  <c r="BL225" i="69"/>
  <c r="BN225" i="69"/>
  <c r="BJ225" i="69"/>
  <c r="BM225" i="69"/>
  <c r="BJ218" i="69"/>
  <c r="BK218" i="69"/>
  <c r="BL218" i="69"/>
  <c r="BM218" i="69"/>
  <c r="BN218" i="69"/>
  <c r="BJ208" i="69"/>
  <c r="BK208" i="69"/>
  <c r="BL208" i="69"/>
  <c r="BM208" i="69"/>
  <c r="BN208" i="69"/>
  <c r="BJ246" i="69"/>
  <c r="BK246" i="69"/>
  <c r="BL246" i="69"/>
  <c r="BM246" i="69"/>
  <c r="BN246" i="69"/>
  <c r="BJ234" i="69"/>
  <c r="BK234" i="69"/>
  <c r="BL234" i="69"/>
  <c r="BM234" i="69"/>
  <c r="BN234" i="69"/>
  <c r="BN209" i="69"/>
  <c r="BJ209" i="69"/>
  <c r="BK209" i="69"/>
  <c r="BL209" i="69"/>
  <c r="BM209" i="69"/>
  <c r="BL211" i="69"/>
  <c r="BM211" i="69"/>
  <c r="BN211" i="69"/>
  <c r="BJ211" i="69"/>
  <c r="BK211" i="69"/>
  <c r="BJ160" i="69"/>
  <c r="BK160" i="69"/>
  <c r="BL160" i="69"/>
  <c r="BM160" i="69"/>
  <c r="BN160" i="69"/>
  <c r="BJ247" i="69"/>
  <c r="BK247" i="69"/>
  <c r="BL247" i="69"/>
  <c r="BM247" i="69"/>
  <c r="BN247" i="69"/>
  <c r="BL226" i="69"/>
  <c r="BM226" i="69"/>
  <c r="BN226" i="69"/>
  <c r="BJ226" i="69"/>
  <c r="BK226" i="69"/>
  <c r="BK224" i="69"/>
  <c r="BL224" i="69"/>
  <c r="BM224" i="69"/>
  <c r="BJ224" i="69"/>
  <c r="BN224" i="69"/>
  <c r="BM210" i="69"/>
  <c r="BN210" i="69"/>
  <c r="BJ210" i="69"/>
  <c r="BK210" i="69"/>
  <c r="BL210" i="69"/>
  <c r="BJ213" i="69"/>
  <c r="BK213" i="69"/>
  <c r="BL213" i="69"/>
  <c r="BM213" i="69"/>
  <c r="BN213" i="69"/>
  <c r="BJ216" i="69"/>
  <c r="BK216" i="69"/>
  <c r="BL216" i="69"/>
  <c r="BM216" i="69"/>
  <c r="BN216" i="69"/>
  <c r="BJ214" i="69"/>
  <c r="BK214" i="69"/>
  <c r="BL214" i="69"/>
  <c r="BM214" i="69"/>
  <c r="BN214" i="69"/>
  <c r="BJ245" i="69"/>
  <c r="BK245" i="69"/>
  <c r="BL245" i="69"/>
  <c r="BM245" i="69"/>
  <c r="BN245" i="69"/>
  <c r="BJ220" i="69"/>
  <c r="BK220" i="69"/>
  <c r="BL220" i="69"/>
  <c r="BM220" i="69"/>
  <c r="BN220" i="69"/>
  <c r="BM222" i="69"/>
  <c r="BN222" i="69"/>
  <c r="BJ222" i="69"/>
  <c r="BK222" i="69"/>
  <c r="BL222" i="69"/>
  <c r="BL223" i="69"/>
  <c r="BM223" i="69"/>
  <c r="BN223" i="69"/>
  <c r="BJ223" i="69"/>
  <c r="BK223" i="69"/>
  <c r="BN221" i="69"/>
  <c r="BJ221" i="69"/>
  <c r="BK221" i="69"/>
  <c r="BL221" i="69"/>
  <c r="BM221" i="69"/>
  <c r="BJ244" i="69"/>
  <c r="BK244" i="69"/>
  <c r="BL244" i="69"/>
  <c r="BM244" i="69"/>
  <c r="BN244" i="69"/>
  <c r="BJ219" i="69"/>
  <c r="BK219" i="69"/>
  <c r="BL219" i="69"/>
  <c r="BM219" i="69"/>
  <c r="BN219" i="69"/>
  <c r="Z30" i="32"/>
  <c r="AA30" i="32"/>
  <c r="Z31" i="32"/>
  <c r="BM67" i="26"/>
  <c r="BM68" i="26"/>
  <c r="BM70" i="26"/>
  <c r="BM71" i="26"/>
  <c r="BM72" i="26"/>
  <c r="BM69" i="26"/>
  <c r="J453" i="47"/>
  <c r="DZ151" i="43" s="1"/>
  <c r="K453" i="47" s="1"/>
  <c r="BE161" i="69"/>
  <c r="BF161" i="69"/>
  <c r="BG161" i="69"/>
  <c r="BH161" i="69"/>
  <c r="BI161" i="69"/>
  <c r="BE215" i="69"/>
  <c r="BF215" i="69"/>
  <c r="BG215" i="69"/>
  <c r="BH215" i="69"/>
  <c r="BI215" i="69"/>
  <c r="BE217" i="69"/>
  <c r="BF217" i="69"/>
  <c r="BG217" i="69"/>
  <c r="BH217" i="69"/>
  <c r="BI217" i="69"/>
  <c r="BE225" i="69"/>
  <c r="BF225" i="69"/>
  <c r="BG225" i="69"/>
  <c r="BH225" i="69"/>
  <c r="BI225" i="69"/>
  <c r="BH218" i="69"/>
  <c r="BE218" i="69"/>
  <c r="BF218" i="69"/>
  <c r="BG218" i="69"/>
  <c r="BI218" i="69"/>
  <c r="BH208" i="69"/>
  <c r="BE208" i="69"/>
  <c r="BF208" i="69"/>
  <c r="BG208" i="69"/>
  <c r="BI208" i="69"/>
  <c r="BE246" i="69"/>
  <c r="BF246" i="69"/>
  <c r="BG246" i="69"/>
  <c r="BH246" i="69"/>
  <c r="BI246" i="69"/>
  <c r="BH234" i="69"/>
  <c r="BE234" i="69"/>
  <c r="BF234" i="69"/>
  <c r="BG234" i="69"/>
  <c r="BI234" i="69"/>
  <c r="BE209" i="69"/>
  <c r="BF209" i="69"/>
  <c r="BG209" i="69"/>
  <c r="BH209" i="69"/>
  <c r="BI209" i="69"/>
  <c r="BE211" i="69"/>
  <c r="BF211" i="69"/>
  <c r="BG211" i="69"/>
  <c r="BH211" i="69"/>
  <c r="BI211" i="69"/>
  <c r="BE160" i="69"/>
  <c r="BF160" i="69"/>
  <c r="BG160" i="69"/>
  <c r="BH160" i="69"/>
  <c r="BI160" i="69"/>
  <c r="BE247" i="69"/>
  <c r="BF247" i="69"/>
  <c r="BG247" i="69"/>
  <c r="BH247" i="69"/>
  <c r="BI247" i="69"/>
  <c r="BE226" i="69"/>
  <c r="BF226" i="69"/>
  <c r="BH226" i="69"/>
  <c r="BG226" i="69"/>
  <c r="BI226" i="69"/>
  <c r="BH224" i="69"/>
  <c r="BE224" i="69"/>
  <c r="BF224" i="69"/>
  <c r="BG224" i="69"/>
  <c r="BI224" i="69"/>
  <c r="BE210" i="69"/>
  <c r="BH210" i="69"/>
  <c r="BF210" i="69"/>
  <c r="BG210" i="69"/>
  <c r="BI210" i="69"/>
  <c r="BE213" i="69"/>
  <c r="BF213" i="69"/>
  <c r="BG213" i="69"/>
  <c r="BH213" i="69"/>
  <c r="BI213" i="69"/>
  <c r="BH216" i="69"/>
  <c r="BE216" i="69"/>
  <c r="BF216" i="69"/>
  <c r="BG216" i="69"/>
  <c r="BI216" i="69"/>
  <c r="BH214" i="69"/>
  <c r="BE214" i="69"/>
  <c r="BF214" i="69"/>
  <c r="BG214" i="69"/>
  <c r="BI214" i="69"/>
  <c r="BE245" i="69"/>
  <c r="BF245" i="69"/>
  <c r="BH245" i="69"/>
  <c r="BG245" i="69"/>
  <c r="BI245" i="69"/>
  <c r="BE220" i="69"/>
  <c r="BH220" i="69"/>
  <c r="BF220" i="69"/>
  <c r="BG220" i="69"/>
  <c r="BI220" i="69"/>
  <c r="BH222" i="69"/>
  <c r="BE222" i="69"/>
  <c r="BF222" i="69"/>
  <c r="BG222" i="69"/>
  <c r="BI222" i="69"/>
  <c r="BE223" i="69"/>
  <c r="BF223" i="69"/>
  <c r="BG223" i="69"/>
  <c r="BH223" i="69"/>
  <c r="BI223" i="69"/>
  <c r="BE221" i="69"/>
  <c r="BF221" i="69"/>
  <c r="BG221" i="69"/>
  <c r="BH221" i="69"/>
  <c r="BI221" i="69"/>
  <c r="BH244" i="69"/>
  <c r="BE244" i="69"/>
  <c r="BF244" i="69"/>
  <c r="BG244" i="69"/>
  <c r="BI244" i="69"/>
  <c r="BE219" i="69"/>
  <c r="BF219" i="69"/>
  <c r="BG219" i="69"/>
  <c r="BH219" i="69"/>
  <c r="BI219" i="69"/>
  <c r="BM62" i="26"/>
  <c r="BM64" i="26"/>
  <c r="BM60" i="26"/>
  <c r="BM66" i="26"/>
  <c r="BM61" i="26"/>
  <c r="BM63" i="26"/>
  <c r="BM59" i="26"/>
  <c r="BM58" i="26"/>
  <c r="BM65" i="26"/>
  <c r="BM57" i="26"/>
  <c r="AA31" i="32"/>
  <c r="O111" i="68"/>
  <c r="BT65" i="50" s="1"/>
  <c r="BV65" i="50" s="1"/>
  <c r="O112" i="68"/>
  <c r="BT66" i="50" s="1"/>
  <c r="BV66" i="50" s="1"/>
  <c r="BX66" i="50" s="1"/>
  <c r="BC208" i="69"/>
  <c r="BD208" i="69"/>
  <c r="BC213" i="69"/>
  <c r="BD213" i="69"/>
  <c r="BC216" i="69"/>
  <c r="BD216" i="69"/>
  <c r="BC246" i="69"/>
  <c r="BD246" i="69"/>
  <c r="BC161" i="69"/>
  <c r="BD161" i="69"/>
  <c r="BC245" i="69"/>
  <c r="BD245" i="69"/>
  <c r="BC220" i="69"/>
  <c r="BD220" i="69"/>
  <c r="BD225" i="69"/>
  <c r="BC225" i="69"/>
  <c r="BC211" i="69"/>
  <c r="BD211" i="69"/>
  <c r="BC217" i="69"/>
  <c r="BD217" i="69"/>
  <c r="BC160" i="69"/>
  <c r="BD160" i="69"/>
  <c r="BC226" i="69"/>
  <c r="BD226" i="69"/>
  <c r="BC224" i="69"/>
  <c r="BD224" i="69"/>
  <c r="BD219" i="69"/>
  <c r="BC219" i="69"/>
  <c r="BC214" i="69"/>
  <c r="BD214" i="69"/>
  <c r="BC234" i="69"/>
  <c r="BD234" i="69"/>
  <c r="BD209" i="69"/>
  <c r="BC209" i="69"/>
  <c r="BC215" i="69"/>
  <c r="BD215" i="69"/>
  <c r="BC222" i="69"/>
  <c r="BD222" i="69"/>
  <c r="BC223" i="69"/>
  <c r="BD223" i="69"/>
  <c r="BC218" i="69"/>
  <c r="BD218" i="69"/>
  <c r="BC221" i="69"/>
  <c r="BD221" i="69"/>
  <c r="BC247" i="69"/>
  <c r="BD247" i="69"/>
  <c r="BC244" i="69"/>
  <c r="BD244" i="69"/>
  <c r="BC210" i="69"/>
  <c r="BD210" i="69"/>
  <c r="AI157" i="69"/>
  <c r="AH157" i="69"/>
  <c r="AK208" i="69"/>
  <c r="AL208" i="69"/>
  <c r="AM208" i="69"/>
  <c r="AK211" i="69"/>
  <c r="AM211" i="69"/>
  <c r="AL211" i="69"/>
  <c r="AH154" i="69"/>
  <c r="AI154" i="69"/>
  <c r="AK160" i="69"/>
  <c r="AL160" i="69"/>
  <c r="AM160" i="69"/>
  <c r="AN217" i="69"/>
  <c r="AU217" i="69"/>
  <c r="AX217" i="69"/>
  <c r="AY217" i="69"/>
  <c r="AW217" i="69"/>
  <c r="AS217" i="69"/>
  <c r="AQ217" i="69"/>
  <c r="AO217" i="69"/>
  <c r="AZ217" i="69"/>
  <c r="AV217" i="69"/>
  <c r="AR217" i="69"/>
  <c r="BB217" i="69"/>
  <c r="AT217" i="69"/>
  <c r="BA217" i="69"/>
  <c r="AP217" i="69"/>
  <c r="AK245" i="69"/>
  <c r="AL245" i="69"/>
  <c r="AM245" i="69"/>
  <c r="AO220" i="69"/>
  <c r="AW220" i="69"/>
  <c r="AP220" i="69"/>
  <c r="AX220" i="69"/>
  <c r="AQ220" i="69"/>
  <c r="AY220" i="69"/>
  <c r="AR220" i="69"/>
  <c r="AZ220" i="69"/>
  <c r="AU220" i="69"/>
  <c r="AT220" i="69"/>
  <c r="AV220" i="69"/>
  <c r="BA220" i="69"/>
  <c r="AN220" i="69"/>
  <c r="BB220" i="69"/>
  <c r="AS220" i="69"/>
  <c r="AR225" i="69"/>
  <c r="AQ225" i="69"/>
  <c r="AY225" i="69"/>
  <c r="AP225" i="69"/>
  <c r="AN225" i="69"/>
  <c r="AZ225" i="69"/>
  <c r="AV225" i="69"/>
  <c r="BB225" i="69"/>
  <c r="AX225" i="69"/>
  <c r="AW225" i="69"/>
  <c r="AT225" i="69"/>
  <c r="BA225" i="69"/>
  <c r="AS225" i="69"/>
  <c r="AO225" i="69"/>
  <c r="AU225" i="69"/>
  <c r="AP211" i="69"/>
  <c r="AW211" i="69"/>
  <c r="BB211" i="69"/>
  <c r="AV211" i="69"/>
  <c r="AT211" i="69"/>
  <c r="AQ211" i="69"/>
  <c r="AO211" i="69"/>
  <c r="AZ211" i="69"/>
  <c r="AY211" i="69"/>
  <c r="AU211" i="69"/>
  <c r="BA211" i="69"/>
  <c r="AS211" i="69"/>
  <c r="AR211" i="69"/>
  <c r="AX211" i="69"/>
  <c r="AN211" i="69"/>
  <c r="AK219" i="69"/>
  <c r="AM219" i="69"/>
  <c r="AL219" i="69"/>
  <c r="AM246" i="69"/>
  <c r="AL246" i="69"/>
  <c r="AK246" i="69"/>
  <c r="AP160" i="69"/>
  <c r="AX160" i="69"/>
  <c r="AR160" i="69"/>
  <c r="AZ160" i="69"/>
  <c r="AS160" i="69"/>
  <c r="BA160" i="69"/>
  <c r="AT160" i="69"/>
  <c r="BB160" i="69"/>
  <c r="AU160" i="69"/>
  <c r="AN160" i="69"/>
  <c r="AV160" i="69"/>
  <c r="AW160" i="69"/>
  <c r="AY160" i="69"/>
  <c r="AO160" i="69"/>
  <c r="AQ160" i="69"/>
  <c r="AM217" i="69"/>
  <c r="AL217" i="69"/>
  <c r="AK217" i="69"/>
  <c r="AL225" i="69"/>
  <c r="AK225" i="69"/>
  <c r="AM225" i="69"/>
  <c r="AQ226" i="69"/>
  <c r="AR226" i="69"/>
  <c r="AZ226" i="69"/>
  <c r="AS226" i="69"/>
  <c r="BA226" i="69"/>
  <c r="AT226" i="69"/>
  <c r="BB226" i="69"/>
  <c r="AO226" i="69"/>
  <c r="AW226" i="69"/>
  <c r="AX226" i="69"/>
  <c r="AU226" i="69"/>
  <c r="AY226" i="69"/>
  <c r="AN226" i="69"/>
  <c r="AP226" i="69"/>
  <c r="AV226" i="69"/>
  <c r="AS224" i="69"/>
  <c r="BA224" i="69"/>
  <c r="AT224" i="69"/>
  <c r="BB224" i="69"/>
  <c r="AU224" i="69"/>
  <c r="AV224" i="69"/>
  <c r="AQ224" i="69"/>
  <c r="AY224" i="69"/>
  <c r="AP224" i="69"/>
  <c r="AR224" i="69"/>
  <c r="AW224" i="69"/>
  <c r="AX224" i="69"/>
  <c r="AZ224" i="69"/>
  <c r="AO224" i="69"/>
  <c r="AN224" i="69"/>
  <c r="AU219" i="69"/>
  <c r="AS219" i="69"/>
  <c r="AZ219" i="69"/>
  <c r="AQ219" i="69"/>
  <c r="AX219" i="69"/>
  <c r="AY219" i="69"/>
  <c r="AR219" i="69"/>
  <c r="AP219" i="69"/>
  <c r="AW219" i="69"/>
  <c r="AV219" i="69"/>
  <c r="BA219" i="69"/>
  <c r="AO219" i="69"/>
  <c r="BB219" i="69"/>
  <c r="AT219" i="69"/>
  <c r="AN219" i="69"/>
  <c r="AM220" i="69"/>
  <c r="AK220" i="69"/>
  <c r="AL220" i="69"/>
  <c r="AH127" i="69"/>
  <c r="AI127" i="69"/>
  <c r="AK214" i="69"/>
  <c r="AL214" i="69"/>
  <c r="AM214" i="69"/>
  <c r="AK226" i="69"/>
  <c r="AL226" i="69"/>
  <c r="AM226" i="69"/>
  <c r="AK224" i="69"/>
  <c r="AL224" i="69"/>
  <c r="AM224" i="69"/>
  <c r="AM209" i="69"/>
  <c r="AL209" i="69"/>
  <c r="AK209" i="69"/>
  <c r="AK215" i="69"/>
  <c r="AL215" i="69"/>
  <c r="AM215" i="69"/>
  <c r="AR214" i="69"/>
  <c r="AZ214" i="69"/>
  <c r="AS214" i="69"/>
  <c r="BA214" i="69"/>
  <c r="AT214" i="69"/>
  <c r="BB214" i="69"/>
  <c r="AU214" i="69"/>
  <c r="AP214" i="69"/>
  <c r="AX214" i="69"/>
  <c r="AW214" i="69"/>
  <c r="AQ214" i="69"/>
  <c r="AY214" i="69"/>
  <c r="AV214" i="69"/>
  <c r="AN214" i="69"/>
  <c r="AO214" i="69"/>
  <c r="AS234" i="69"/>
  <c r="BA234" i="69"/>
  <c r="AT234" i="69"/>
  <c r="AW234" i="69"/>
  <c r="AN234" i="69"/>
  <c r="AX234" i="69"/>
  <c r="AO234" i="69"/>
  <c r="AY234" i="69"/>
  <c r="AU234" i="69"/>
  <c r="AP234" i="69"/>
  <c r="AZ234" i="69"/>
  <c r="AQ234" i="69"/>
  <c r="BB234" i="69"/>
  <c r="AR234" i="69"/>
  <c r="AV234" i="69"/>
  <c r="AK222" i="69"/>
  <c r="AL222" i="69"/>
  <c r="AM222" i="69"/>
  <c r="AK223" i="69"/>
  <c r="AL223" i="69"/>
  <c r="AM223" i="69"/>
  <c r="AR209" i="69"/>
  <c r="AQ209" i="69"/>
  <c r="AY209" i="69"/>
  <c r="AP209" i="69"/>
  <c r="AW209" i="69"/>
  <c r="AX209" i="69"/>
  <c r="BB209" i="69"/>
  <c r="AT209" i="69"/>
  <c r="AO209" i="69"/>
  <c r="BA209" i="69"/>
  <c r="AU209" i="69"/>
  <c r="AS209" i="69"/>
  <c r="AZ209" i="69"/>
  <c r="AV209" i="69"/>
  <c r="AN209" i="69"/>
  <c r="AP215" i="69"/>
  <c r="AX215" i="69"/>
  <c r="AQ215" i="69"/>
  <c r="AY215" i="69"/>
  <c r="AR215" i="69"/>
  <c r="AZ215" i="69"/>
  <c r="AS215" i="69"/>
  <c r="BA215" i="69"/>
  <c r="AN215" i="69"/>
  <c r="AV215" i="69"/>
  <c r="BB215" i="69"/>
  <c r="AU215" i="69"/>
  <c r="AW215" i="69"/>
  <c r="AO215" i="69"/>
  <c r="AT215" i="69"/>
  <c r="AM221" i="69"/>
  <c r="AK221" i="69"/>
  <c r="AL221" i="69"/>
  <c r="AK234" i="69"/>
  <c r="AL234" i="69"/>
  <c r="AM234" i="69"/>
  <c r="AS222" i="69"/>
  <c r="BA222" i="69"/>
  <c r="AT222" i="69"/>
  <c r="BB222" i="69"/>
  <c r="AU222" i="69"/>
  <c r="AN222" i="69"/>
  <c r="AV222" i="69"/>
  <c r="AQ222" i="69"/>
  <c r="AY222" i="69"/>
  <c r="AZ222" i="69"/>
  <c r="AW222" i="69"/>
  <c r="AX222" i="69"/>
  <c r="AO222" i="69"/>
  <c r="AP222" i="69"/>
  <c r="AR222" i="69"/>
  <c r="AQ223" i="69"/>
  <c r="AY223" i="69"/>
  <c r="AR223" i="69"/>
  <c r="AZ223" i="69"/>
  <c r="AS223" i="69"/>
  <c r="BA223" i="69"/>
  <c r="AT223" i="69"/>
  <c r="BB223" i="69"/>
  <c r="AO223" i="69"/>
  <c r="AW223" i="69"/>
  <c r="AX223" i="69"/>
  <c r="AN223" i="69"/>
  <c r="AP223" i="69"/>
  <c r="AU223" i="69"/>
  <c r="AV223" i="69"/>
  <c r="AK210" i="69"/>
  <c r="AL210" i="69"/>
  <c r="AM210" i="69"/>
  <c r="AO218" i="69"/>
  <c r="AW218" i="69"/>
  <c r="AP218" i="69"/>
  <c r="AX218" i="69"/>
  <c r="AQ218" i="69"/>
  <c r="AY218" i="69"/>
  <c r="AR218" i="69"/>
  <c r="AZ218" i="69"/>
  <c r="AU218" i="69"/>
  <c r="AN218" i="69"/>
  <c r="AS218" i="69"/>
  <c r="AT218" i="69"/>
  <c r="AV218" i="69"/>
  <c r="BA218" i="69"/>
  <c r="BB218" i="69"/>
  <c r="AN161" i="69"/>
  <c r="AV161" i="69"/>
  <c r="AP161" i="69"/>
  <c r="AX161" i="69"/>
  <c r="AQ161" i="69"/>
  <c r="AY161" i="69"/>
  <c r="AR161" i="69"/>
  <c r="AZ161" i="69"/>
  <c r="AS161" i="69"/>
  <c r="BA161" i="69"/>
  <c r="AT161" i="69"/>
  <c r="AO161" i="69"/>
  <c r="AW161" i="69"/>
  <c r="BB161" i="69"/>
  <c r="AU161" i="69"/>
  <c r="AU221" i="69"/>
  <c r="AN221" i="69"/>
  <c r="AV221" i="69"/>
  <c r="AO221" i="69"/>
  <c r="AW221" i="69"/>
  <c r="AP221" i="69"/>
  <c r="AX221" i="69"/>
  <c r="AS221" i="69"/>
  <c r="BA221" i="69"/>
  <c r="AY221" i="69"/>
  <c r="AZ221" i="69"/>
  <c r="AT221" i="69"/>
  <c r="BB221" i="69"/>
  <c r="AR221" i="69"/>
  <c r="AQ221" i="69"/>
  <c r="AL213" i="69"/>
  <c r="AM213" i="69"/>
  <c r="AK213" i="69"/>
  <c r="AU247" i="69"/>
  <c r="AS247" i="69"/>
  <c r="AN247" i="69"/>
  <c r="AV247" i="69"/>
  <c r="BA247" i="69"/>
  <c r="AO247" i="69"/>
  <c r="AW247" i="69"/>
  <c r="AP247" i="69"/>
  <c r="AX247" i="69"/>
  <c r="AQ247" i="69"/>
  <c r="AZ247" i="69"/>
  <c r="AY247" i="69"/>
  <c r="AR247" i="69"/>
  <c r="BB247" i="69"/>
  <c r="AT247" i="69"/>
  <c r="AS244" i="69"/>
  <c r="BA244" i="69"/>
  <c r="AY244" i="69"/>
  <c r="AT244" i="69"/>
  <c r="BB244" i="69"/>
  <c r="AU244" i="69"/>
  <c r="AN244" i="69"/>
  <c r="AV244" i="69"/>
  <c r="AX244" i="69"/>
  <c r="AO244" i="69"/>
  <c r="AW244" i="69"/>
  <c r="AP244" i="69"/>
  <c r="AQ244" i="69"/>
  <c r="AR244" i="69"/>
  <c r="AZ244" i="69"/>
  <c r="AN210" i="69"/>
  <c r="AV210" i="69"/>
  <c r="AO210" i="69"/>
  <c r="AW210" i="69"/>
  <c r="AP210" i="69"/>
  <c r="AX210" i="69"/>
  <c r="AQ210" i="69"/>
  <c r="AY210" i="69"/>
  <c r="AS210" i="69"/>
  <c r="BA210" i="69"/>
  <c r="AT210" i="69"/>
  <c r="BB210" i="69"/>
  <c r="AR210" i="69"/>
  <c r="AU210" i="69"/>
  <c r="AZ210" i="69"/>
  <c r="AM218" i="69"/>
  <c r="AL218" i="69"/>
  <c r="AK218" i="69"/>
  <c r="AQ245" i="69"/>
  <c r="AY245" i="69"/>
  <c r="AR245" i="69"/>
  <c r="AZ245" i="69"/>
  <c r="AS245" i="69"/>
  <c r="BA245" i="69"/>
  <c r="AO245" i="69"/>
  <c r="AT245" i="69"/>
  <c r="BB245" i="69"/>
  <c r="AU245" i="69"/>
  <c r="AN245" i="69"/>
  <c r="AV245" i="69"/>
  <c r="AW245" i="69"/>
  <c r="AP245" i="69"/>
  <c r="AX245" i="69"/>
  <c r="AM216" i="69"/>
  <c r="AK216" i="69"/>
  <c r="AL216" i="69"/>
  <c r="AI126" i="69"/>
  <c r="AH126" i="69"/>
  <c r="AP208" i="69"/>
  <c r="AX208" i="69"/>
  <c r="AQ208" i="69"/>
  <c r="AY208" i="69"/>
  <c r="AR208" i="69"/>
  <c r="AZ208" i="69"/>
  <c r="AS208" i="69"/>
  <c r="BA208" i="69"/>
  <c r="AU208" i="69"/>
  <c r="AV208" i="69"/>
  <c r="AT208" i="69"/>
  <c r="AW208" i="69"/>
  <c r="BB208" i="69"/>
  <c r="AN208" i="69"/>
  <c r="AO208" i="69"/>
  <c r="AK161" i="69"/>
  <c r="AL161" i="69"/>
  <c r="AM161" i="69"/>
  <c r="AT213" i="69"/>
  <c r="BB213" i="69"/>
  <c r="AU213" i="69"/>
  <c r="AN213" i="69"/>
  <c r="AV213" i="69"/>
  <c r="AO213" i="69"/>
  <c r="AW213" i="69"/>
  <c r="AQ213" i="69"/>
  <c r="AY213" i="69"/>
  <c r="AR213" i="69"/>
  <c r="AZ213" i="69"/>
  <c r="AP213" i="69"/>
  <c r="AS213" i="69"/>
  <c r="AX213" i="69"/>
  <c r="BA213" i="69"/>
  <c r="AM247" i="69"/>
  <c r="AK247" i="69"/>
  <c r="AL247" i="69"/>
  <c r="AK244" i="69"/>
  <c r="AL244" i="69"/>
  <c r="AM244" i="69"/>
  <c r="AR216" i="69"/>
  <c r="AZ216" i="69"/>
  <c r="AS216" i="69"/>
  <c r="BA216" i="69"/>
  <c r="AT216" i="69"/>
  <c r="BB216" i="69"/>
  <c r="AU216" i="69"/>
  <c r="AP216" i="69"/>
  <c r="AX216" i="69"/>
  <c r="AO216" i="69"/>
  <c r="AQ216" i="69"/>
  <c r="AV216" i="69"/>
  <c r="AW216" i="69"/>
  <c r="AY216" i="69"/>
  <c r="AN216" i="69"/>
  <c r="AO246" i="69"/>
  <c r="AW246" i="69"/>
  <c r="AP246" i="69"/>
  <c r="AX246" i="69"/>
  <c r="AQ246" i="69"/>
  <c r="AY246" i="69"/>
  <c r="AT246" i="69"/>
  <c r="AR246" i="69"/>
  <c r="AZ246" i="69"/>
  <c r="AS246" i="69"/>
  <c r="BA246" i="69"/>
  <c r="BB246" i="69"/>
  <c r="AU246" i="69"/>
  <c r="AN246" i="69"/>
  <c r="AV246" i="69"/>
  <c r="M16" i="14"/>
  <c r="V37" i="40"/>
  <c r="E212" i="69"/>
  <c r="AB212" i="69" s="1"/>
  <c r="H193" i="47"/>
  <c r="DX46" i="43" s="1"/>
  <c r="I193" i="47" s="1"/>
  <c r="N193" i="47"/>
  <c r="EE46" i="43" s="1"/>
  <c r="O193" i="47" s="1"/>
  <c r="J193" i="47"/>
  <c r="DZ46" i="43" s="1"/>
  <c r="K193" i="47" s="1"/>
  <c r="L193" i="47"/>
  <c r="EB46" i="43" s="1"/>
  <c r="M193" i="47" s="1"/>
  <c r="N204" i="47"/>
  <c r="EE58" i="43" s="1"/>
  <c r="O204" i="47" s="1"/>
  <c r="L204" i="47"/>
  <c r="EB58" i="43" s="1"/>
  <c r="M204" i="47" s="1"/>
  <c r="H204" i="47"/>
  <c r="DX58" i="43" s="1"/>
  <c r="I204" i="47" s="1"/>
  <c r="J204" i="47"/>
  <c r="DZ58" i="43" s="1"/>
  <c r="K204" i="47" s="1"/>
  <c r="M102" i="47"/>
  <c r="EB24" i="43" s="1"/>
  <c r="N102" i="47" s="1"/>
  <c r="I102" i="47"/>
  <c r="DX24" i="43" s="1"/>
  <c r="J102" i="47" s="1"/>
  <c r="O102" i="47"/>
  <c r="EE24" i="43" s="1"/>
  <c r="P102" i="47" s="1"/>
  <c r="K102" i="47"/>
  <c r="DZ24" i="43" s="1"/>
  <c r="L102" i="47" s="1"/>
  <c r="O91" i="47"/>
  <c r="EE12" i="43" s="1"/>
  <c r="P91" i="47" s="1"/>
  <c r="K91" i="47"/>
  <c r="DZ12" i="43" s="1"/>
  <c r="L91" i="47" s="1"/>
  <c r="I91" i="47"/>
  <c r="DX12" i="43" s="1"/>
  <c r="J91" i="47" s="1"/>
  <c r="J129" i="57"/>
  <c r="O357" i="47"/>
  <c r="DH118" i="43" s="1"/>
  <c r="P357" i="47" s="1"/>
  <c r="J388" i="47"/>
  <c r="DZ118" i="43" s="1"/>
  <c r="K388" i="47" s="1"/>
  <c r="J391" i="47"/>
  <c r="DZ121" i="43" s="1"/>
  <c r="K391" i="47" s="1"/>
  <c r="J392" i="47"/>
  <c r="DZ122" i="43" s="1"/>
  <c r="K392" i="47" s="1"/>
  <c r="BA392" i="47" s="1"/>
  <c r="L392" i="47"/>
  <c r="EB122" i="43" s="1"/>
  <c r="M392" i="47" s="1"/>
  <c r="N392" i="47"/>
  <c r="EE122" i="43" s="1"/>
  <c r="O392" i="47" s="1"/>
  <c r="H392" i="47"/>
  <c r="DX122" i="43" s="1"/>
  <c r="I392" i="47" s="1"/>
  <c r="H391" i="47"/>
  <c r="DX121" i="43" s="1"/>
  <c r="I391" i="47" s="1"/>
  <c r="N391" i="47"/>
  <c r="EE121" i="43" s="1"/>
  <c r="O391" i="47" s="1"/>
  <c r="L391" i="47"/>
  <c r="EB121" i="43" s="1"/>
  <c r="M391" i="47" s="1"/>
  <c r="J282" i="47"/>
  <c r="CO95" i="43" s="1"/>
  <c r="K282" i="47" s="1"/>
  <c r="Z282" i="47" s="1"/>
  <c r="H285" i="47"/>
  <c r="H284" i="47"/>
  <c r="F282" i="47"/>
  <c r="CJ95" i="43" s="1"/>
  <c r="G282" i="47" s="1"/>
  <c r="T282" i="47" s="1"/>
  <c r="AG282" i="47" s="1"/>
  <c r="H282" i="47"/>
  <c r="CM95" i="43" s="1"/>
  <c r="I282" i="47" s="1"/>
  <c r="W282" i="47" s="1"/>
  <c r="F284" i="47"/>
  <c r="J285" i="47"/>
  <c r="B284" i="47"/>
  <c r="D281" i="47"/>
  <c r="CH94" i="43" s="1"/>
  <c r="E281" i="47" s="1"/>
  <c r="Q281" i="47" s="1"/>
  <c r="AE281" i="47" s="1"/>
  <c r="H283" i="47"/>
  <c r="J284" i="47"/>
  <c r="F281" i="47"/>
  <c r="CJ94" i="43" s="1"/>
  <c r="G281" i="47" s="1"/>
  <c r="T281" i="47" s="1"/>
  <c r="AG281" i="47" s="1"/>
  <c r="D282" i="47"/>
  <c r="CH95" i="43" s="1"/>
  <c r="E282" i="47" s="1"/>
  <c r="Q282" i="47" s="1"/>
  <c r="B283" i="47"/>
  <c r="D284" i="47"/>
  <c r="H281" i="47"/>
  <c r="CM94" i="43" s="1"/>
  <c r="I281" i="47" s="1"/>
  <c r="J283" i="47"/>
  <c r="B282" i="47"/>
  <c r="CF95" i="43" s="1"/>
  <c r="C282" i="47" s="1"/>
  <c r="N282" i="47" s="1"/>
  <c r="B281" i="47"/>
  <c r="CF94" i="43" s="1"/>
  <c r="C281" i="47" s="1"/>
  <c r="N281" i="47" s="1"/>
  <c r="AC281" i="47" s="1"/>
  <c r="F283" i="47"/>
  <c r="D285" i="47"/>
  <c r="D283" i="47"/>
  <c r="J281" i="47"/>
  <c r="CO94" i="43" s="1"/>
  <c r="K281" i="47" s="1"/>
  <c r="B285" i="47"/>
  <c r="F285" i="47"/>
  <c r="J269" i="47"/>
  <c r="CO80" i="43" s="1"/>
  <c r="K269" i="47" s="1"/>
  <c r="L308" i="47"/>
  <c r="EB92" i="43" s="1"/>
  <c r="N310" i="47"/>
  <c r="EE94" i="43" s="1"/>
  <c r="H271" i="47"/>
  <c r="CM82" i="43" s="1"/>
  <c r="I271" i="47" s="1"/>
  <c r="B274" i="47"/>
  <c r="CF85" i="43" s="1"/>
  <c r="C274" i="47" s="1"/>
  <c r="J270" i="47"/>
  <c r="CO81" i="43" s="1"/>
  <c r="K270" i="47" s="1"/>
  <c r="Z270" i="47" s="1"/>
  <c r="BG270" i="47" s="1"/>
  <c r="F273" i="47"/>
  <c r="CJ84" i="43" s="1"/>
  <c r="G273" i="47" s="1"/>
  <c r="D269" i="47"/>
  <c r="CH80" i="43" s="1"/>
  <c r="F274" i="47"/>
  <c r="CJ85" i="43" s="1"/>
  <c r="G274" i="47" s="1"/>
  <c r="J272" i="47"/>
  <c r="CO83" i="43" s="1"/>
  <c r="K272" i="47" s="1"/>
  <c r="H309" i="47"/>
  <c r="DX93" i="43" s="1"/>
  <c r="J308" i="47"/>
  <c r="DZ92" i="43" s="1"/>
  <c r="J311" i="47"/>
  <c r="DZ95" i="43" s="1"/>
  <c r="B271" i="47"/>
  <c r="CF82" i="43" s="1"/>
  <c r="C271" i="47" s="1"/>
  <c r="J274" i="47"/>
  <c r="CO85" i="43" s="1"/>
  <c r="K274" i="47" s="1"/>
  <c r="H270" i="47"/>
  <c r="CM81" i="43" s="1"/>
  <c r="I270" i="47" s="1"/>
  <c r="W270" i="47" s="1"/>
  <c r="BE270" i="47" s="1"/>
  <c r="B280" i="47"/>
  <c r="CF93" i="43" s="1"/>
  <c r="C280" i="47" s="1"/>
  <c r="F269" i="47"/>
  <c r="CJ80" i="43" s="1"/>
  <c r="L312" i="47"/>
  <c r="EB96" i="43" s="1"/>
  <c r="H273" i="47"/>
  <c r="CM84" i="43" s="1"/>
  <c r="I273" i="47" s="1"/>
  <c r="H310" i="47"/>
  <c r="DX94" i="43" s="1"/>
  <c r="N308" i="47"/>
  <c r="EE92" i="43" s="1"/>
  <c r="L311" i="47"/>
  <c r="EB95" i="43" s="1"/>
  <c r="J271" i="47"/>
  <c r="CO82" i="43" s="1"/>
  <c r="K271" i="47" s="1"/>
  <c r="F272" i="47"/>
  <c r="CJ83" i="43" s="1"/>
  <c r="G272" i="47" s="1"/>
  <c r="D270" i="47"/>
  <c r="CH81" i="43" s="1"/>
  <c r="E270" i="47" s="1"/>
  <c r="Q270" i="47" s="1"/>
  <c r="BA270" i="47" s="1"/>
  <c r="F280" i="47"/>
  <c r="CJ93" i="43" s="1"/>
  <c r="G280" i="47" s="1"/>
  <c r="B272" i="47"/>
  <c r="CF83" i="43" s="1"/>
  <c r="C272" i="47" s="1"/>
  <c r="J310" i="47"/>
  <c r="DZ94" i="43" s="1"/>
  <c r="H311" i="47"/>
  <c r="DX95" i="43" s="1"/>
  <c r="J309" i="47"/>
  <c r="DZ93" i="43" s="1"/>
  <c r="N311" i="47"/>
  <c r="EE95" i="43" s="1"/>
  <c r="D271" i="47"/>
  <c r="CH82" i="43" s="1"/>
  <c r="E271" i="47" s="1"/>
  <c r="D272" i="47"/>
  <c r="CH83" i="43" s="1"/>
  <c r="E272" i="47" s="1"/>
  <c r="F270" i="47"/>
  <c r="CJ81" i="43" s="1"/>
  <c r="G270" i="47" s="1"/>
  <c r="T270" i="47" s="1"/>
  <c r="BC270" i="47" s="1"/>
  <c r="D280" i="47"/>
  <c r="CH93" i="43" s="1"/>
  <c r="E280" i="47" s="1"/>
  <c r="N309" i="47"/>
  <c r="EE93" i="43" s="1"/>
  <c r="N312" i="47"/>
  <c r="EE96" i="43" s="1"/>
  <c r="B269" i="47"/>
  <c r="CF80" i="43" s="1"/>
  <c r="C269" i="47" s="1"/>
  <c r="J312" i="47"/>
  <c r="DZ96" i="43" s="1"/>
  <c r="L309" i="47"/>
  <c r="EB93" i="43" s="1"/>
  <c r="H308" i="47"/>
  <c r="DX92" i="43" s="1"/>
  <c r="F271" i="47"/>
  <c r="CJ82" i="43" s="1"/>
  <c r="G271" i="47" s="1"/>
  <c r="H272" i="47"/>
  <c r="CM83" i="43" s="1"/>
  <c r="I272" i="47" s="1"/>
  <c r="B273" i="47"/>
  <c r="CF84" i="43" s="1"/>
  <c r="C273" i="47" s="1"/>
  <c r="H280" i="47"/>
  <c r="CM93" i="43" s="1"/>
  <c r="I280" i="47" s="1"/>
  <c r="J273" i="47"/>
  <c r="CO84" i="43" s="1"/>
  <c r="K273" i="47" s="1"/>
  <c r="J280" i="47"/>
  <c r="CO93" i="43" s="1"/>
  <c r="K280" i="47" s="1"/>
  <c r="L310" i="47"/>
  <c r="EB94" i="43" s="1"/>
  <c r="H274" i="47"/>
  <c r="CM85" i="43" s="1"/>
  <c r="I274" i="47" s="1"/>
  <c r="B270" i="47"/>
  <c r="CF81" i="43" s="1"/>
  <c r="C270" i="47" s="1"/>
  <c r="N270" i="47" s="1"/>
  <c r="AY270" i="47" s="1"/>
  <c r="D273" i="47"/>
  <c r="CH84" i="43" s="1"/>
  <c r="E273" i="47" s="1"/>
  <c r="H269" i="47"/>
  <c r="CM80" i="43" s="1"/>
  <c r="H312" i="47"/>
  <c r="DX96" i="43" s="1"/>
  <c r="D274" i="47"/>
  <c r="CH85" i="43" s="1"/>
  <c r="E274" i="47" s="1"/>
  <c r="N307" i="47"/>
  <c r="EE91" i="43" s="1"/>
  <c r="H296" i="47"/>
  <c r="DX80" i="43" s="1"/>
  <c r="I296" i="47" s="1"/>
  <c r="H299" i="47"/>
  <c r="DX83" i="43" s="1"/>
  <c r="I299" i="47" s="1"/>
  <c r="H298" i="47"/>
  <c r="DX82" i="43" s="1"/>
  <c r="I298" i="47" s="1"/>
  <c r="J298" i="47"/>
  <c r="DZ82" i="43" s="1"/>
  <c r="K298" i="47" s="1"/>
  <c r="J299" i="47"/>
  <c r="DZ83" i="43" s="1"/>
  <c r="K299" i="47" s="1"/>
  <c r="L300" i="47"/>
  <c r="EB84" i="43" s="1"/>
  <c r="M300" i="47" s="1"/>
  <c r="N297" i="47"/>
  <c r="EE81" i="43" s="1"/>
  <c r="O297" i="47" s="1"/>
  <c r="N301" i="47"/>
  <c r="EE85" i="43" s="1"/>
  <c r="O301" i="47" s="1"/>
  <c r="J296" i="47"/>
  <c r="DZ80" i="43" s="1"/>
  <c r="K296" i="47" s="1"/>
  <c r="N300" i="47"/>
  <c r="EE84" i="43" s="1"/>
  <c r="O300" i="47" s="1"/>
  <c r="J297" i="47"/>
  <c r="DZ81" i="43" s="1"/>
  <c r="K297" i="47" s="1"/>
  <c r="J301" i="47"/>
  <c r="DZ85" i="43" s="1"/>
  <c r="K301" i="47" s="1"/>
  <c r="J300" i="47"/>
  <c r="DZ84" i="43" s="1"/>
  <c r="K300" i="47" s="1"/>
  <c r="L297" i="47"/>
  <c r="EB81" i="43" s="1"/>
  <c r="M297" i="47" s="1"/>
  <c r="L301" i="47"/>
  <c r="EB85" i="43" s="1"/>
  <c r="M301" i="47" s="1"/>
  <c r="N299" i="47"/>
  <c r="EE83" i="43" s="1"/>
  <c r="O299" i="47" s="1"/>
  <c r="N296" i="47"/>
  <c r="EE80" i="43" s="1"/>
  <c r="O296" i="47" s="1"/>
  <c r="H300" i="47"/>
  <c r="DX84" i="43" s="1"/>
  <c r="I300" i="47" s="1"/>
  <c r="H297" i="47"/>
  <c r="DX81" i="43" s="1"/>
  <c r="I297" i="47" s="1"/>
  <c r="H301" i="47"/>
  <c r="DX85" i="43" s="1"/>
  <c r="I301" i="47" s="1"/>
  <c r="L296" i="47"/>
  <c r="EB80" i="43" s="1"/>
  <c r="M296" i="47" s="1"/>
  <c r="L299" i="47"/>
  <c r="EB83" i="43" s="1"/>
  <c r="M299" i="47" s="1"/>
  <c r="N298" i="47"/>
  <c r="EE82" i="43" s="1"/>
  <c r="O298" i="47" s="1"/>
  <c r="H307" i="47"/>
  <c r="DX91" i="43" s="1"/>
  <c r="L298" i="47"/>
  <c r="EB82" i="43" s="1"/>
  <c r="M298" i="47" s="1"/>
  <c r="B178" i="47"/>
  <c r="CF60" i="43" s="1"/>
  <c r="F168" i="47"/>
  <c r="B170" i="47"/>
  <c r="F167" i="47"/>
  <c r="J180" i="47"/>
  <c r="CO62" i="43" s="1"/>
  <c r="B181" i="47"/>
  <c r="CF63" i="43" s="1"/>
  <c r="H179" i="47"/>
  <c r="CM61" i="43" s="1"/>
  <c r="D177" i="47"/>
  <c r="CH59" i="43" s="1"/>
  <c r="B166" i="47"/>
  <c r="H168" i="47"/>
  <c r="J166" i="47"/>
  <c r="D165" i="47"/>
  <c r="B165" i="47"/>
  <c r="CF46" i="43" s="1"/>
  <c r="C165" i="47" s="1"/>
  <c r="M165" i="47" s="1"/>
  <c r="H166" i="47"/>
  <c r="F170" i="47"/>
  <c r="D167" i="47"/>
  <c r="H180" i="47"/>
  <c r="CM62" i="43" s="1"/>
  <c r="J181" i="47"/>
  <c r="CO63" i="43" s="1"/>
  <c r="F178" i="47"/>
  <c r="CJ60" i="43" s="1"/>
  <c r="B177" i="47"/>
  <c r="CF59" i="43" s="1"/>
  <c r="F179" i="47"/>
  <c r="CJ61" i="43" s="1"/>
  <c r="B180" i="47"/>
  <c r="CF62" i="43" s="1"/>
  <c r="D176" i="47"/>
  <c r="CH58" i="43" s="1"/>
  <c r="F166" i="47"/>
  <c r="D169" i="47"/>
  <c r="J167" i="47"/>
  <c r="H181" i="47"/>
  <c r="CM63" i="43" s="1"/>
  <c r="D178" i="47"/>
  <c r="CH60" i="43" s="1"/>
  <c r="J177" i="47"/>
  <c r="CO59" i="43" s="1"/>
  <c r="J178" i="47"/>
  <c r="CO60" i="43" s="1"/>
  <c r="H178" i="47"/>
  <c r="CM60" i="43" s="1"/>
  <c r="J179" i="47"/>
  <c r="CO61" i="43" s="1"/>
  <c r="D166" i="47"/>
  <c r="H169" i="47"/>
  <c r="J165" i="47"/>
  <c r="F176" i="47"/>
  <c r="CJ58" i="43" s="1"/>
  <c r="F181" i="47"/>
  <c r="CJ63" i="43" s="1"/>
  <c r="J169" i="47"/>
  <c r="H176" i="47"/>
  <c r="CM58" i="43" s="1"/>
  <c r="F177" i="47"/>
  <c r="CJ59" i="43" s="1"/>
  <c r="B168" i="47"/>
  <c r="H170" i="47"/>
  <c r="B169" i="47"/>
  <c r="F165" i="47"/>
  <c r="F180" i="47"/>
  <c r="CJ62" i="43" s="1"/>
  <c r="B176" i="47"/>
  <c r="CF58" i="43" s="1"/>
  <c r="C176" i="47" s="1"/>
  <c r="D179" i="47"/>
  <c r="CH61" i="43" s="1"/>
  <c r="B167" i="47"/>
  <c r="D168" i="47"/>
  <c r="D170" i="47"/>
  <c r="F169" i="47"/>
  <c r="H165" i="47"/>
  <c r="D180" i="47"/>
  <c r="CH62" i="43" s="1"/>
  <c r="J176" i="47"/>
  <c r="CO58" i="43" s="1"/>
  <c r="B179" i="47"/>
  <c r="CF61" i="43" s="1"/>
  <c r="H177" i="47"/>
  <c r="CM59" i="43" s="1"/>
  <c r="J168" i="47"/>
  <c r="J170" i="47"/>
  <c r="H167" i="47"/>
  <c r="D181" i="47"/>
  <c r="CH63" i="43" s="1"/>
  <c r="B78" i="47"/>
  <c r="CF26" i="43" s="1"/>
  <c r="C78" i="47" s="1"/>
  <c r="D82" i="47"/>
  <c r="F80" i="47"/>
  <c r="D79" i="47"/>
  <c r="J78" i="47"/>
  <c r="CO26" i="43" s="1"/>
  <c r="K78" i="47" s="1"/>
  <c r="H82" i="47"/>
  <c r="H80" i="47"/>
  <c r="F79" i="47"/>
  <c r="H77" i="47"/>
  <c r="CM25" i="43" s="1"/>
  <c r="I77" i="47" s="1"/>
  <c r="J81" i="47"/>
  <c r="H78" i="47"/>
  <c r="CM26" i="43" s="1"/>
  <c r="I78" i="47" s="1"/>
  <c r="F82" i="47"/>
  <c r="J80" i="47"/>
  <c r="B77" i="47"/>
  <c r="CF25" i="43" s="1"/>
  <c r="C77" i="47" s="1"/>
  <c r="M77" i="47" s="1"/>
  <c r="B82" i="47"/>
  <c r="D78" i="47"/>
  <c r="CH26" i="43" s="1"/>
  <c r="E78" i="47" s="1"/>
  <c r="D81" i="47"/>
  <c r="D80" i="47"/>
  <c r="F77" i="47"/>
  <c r="CJ25" i="43" s="1"/>
  <c r="G77" i="47" s="1"/>
  <c r="B79" i="47"/>
  <c r="J82" i="47"/>
  <c r="F78" i="47"/>
  <c r="CJ26" i="43" s="1"/>
  <c r="G78" i="47" s="1"/>
  <c r="F81" i="47"/>
  <c r="B80" i="47"/>
  <c r="J77" i="47"/>
  <c r="CO25" i="43" s="1"/>
  <c r="K77" i="47" s="1"/>
  <c r="H81" i="47"/>
  <c r="H79" i="47"/>
  <c r="D77" i="47"/>
  <c r="CH25" i="43" s="1"/>
  <c r="E77" i="47" s="1"/>
  <c r="B81" i="47"/>
  <c r="J79" i="47"/>
  <c r="B66" i="47"/>
  <c r="CF13" i="43" s="1"/>
  <c r="C66" i="47" s="1"/>
  <c r="F66" i="47"/>
  <c r="CJ13" i="43" s="1"/>
  <c r="H66" i="47"/>
  <c r="D66" i="47"/>
  <c r="CH13" i="43" s="1"/>
  <c r="AB29" i="32"/>
  <c r="AB26" i="32"/>
  <c r="M102" i="49"/>
  <c r="I18" i="60"/>
  <c r="H44" i="32"/>
  <c r="AE15" i="32" s="1"/>
  <c r="I43" i="32"/>
  <c r="I44" i="32"/>
  <c r="H43" i="32"/>
  <c r="AE14" i="32" s="1"/>
  <c r="BK60" i="43"/>
  <c r="M136" i="47"/>
  <c r="BK59" i="43"/>
  <c r="M135" i="47"/>
  <c r="J13" i="32"/>
  <c r="K13" i="32" s="1"/>
  <c r="J15" i="32"/>
  <c r="K15" i="32" s="1"/>
  <c r="J12" i="32"/>
  <c r="K12" i="32" s="1"/>
  <c r="M12" i="32"/>
  <c r="N12" i="32" s="1"/>
  <c r="BH40" i="29" s="1"/>
  <c r="O12" i="32" s="1"/>
  <c r="J14" i="32"/>
  <c r="K14" i="32" s="1"/>
  <c r="CF11" i="50"/>
  <c r="AS14" i="15"/>
  <c r="AS17" i="15"/>
  <c r="P15" i="32"/>
  <c r="Q15" i="32" s="1"/>
  <c r="BK43" i="29" s="1"/>
  <c r="R15" i="32" s="1"/>
  <c r="P14" i="32"/>
  <c r="Q14" i="32" s="1"/>
  <c r="BK42" i="29" s="1"/>
  <c r="R14" i="32" s="1"/>
  <c r="P13" i="32"/>
  <c r="Q13" i="32" s="1"/>
  <c r="BK41" i="29" s="1"/>
  <c r="R13" i="32" s="1"/>
  <c r="N15" i="32"/>
  <c r="BH43" i="29" s="1"/>
  <c r="O15" i="32" s="1"/>
  <c r="S15" i="32"/>
  <c r="T15" i="32" s="1"/>
  <c r="BM43" i="29" s="1"/>
  <c r="U15" i="32" s="1"/>
  <c r="N13" i="32"/>
  <c r="BH41" i="29" s="1"/>
  <c r="O13" i="32" s="1"/>
  <c r="U29" i="32" s="1"/>
  <c r="S13" i="32"/>
  <c r="T13" i="32" s="1"/>
  <c r="BM41" i="29" s="1"/>
  <c r="U13" i="32" s="1"/>
  <c r="N14" i="32"/>
  <c r="BH42" i="29" s="1"/>
  <c r="O14" i="32" s="1"/>
  <c r="S14" i="32"/>
  <c r="T14" i="32" s="1"/>
  <c r="BM42" i="29" s="1"/>
  <c r="U14" i="32" s="1"/>
  <c r="O70" i="55"/>
  <c r="CI50" i="50" s="1"/>
  <c r="P70" i="55" s="1"/>
  <c r="O69" i="55"/>
  <c r="CI49" i="50" s="1"/>
  <c r="P69" i="55" s="1"/>
  <c r="O68" i="55"/>
  <c r="CI48" i="50" s="1"/>
  <c r="P68" i="55" s="1"/>
  <c r="O71" i="55"/>
  <c r="CI51" i="50" s="1"/>
  <c r="P71" i="55" s="1"/>
  <c r="U105" i="49"/>
  <c r="O118" i="54"/>
  <c r="O144" i="54"/>
  <c r="AW14" i="15"/>
  <c r="U428" i="47"/>
  <c r="DN154" i="43" s="1"/>
  <c r="V428" i="47" s="1"/>
  <c r="U425" i="47"/>
  <c r="DN151" i="43" s="1"/>
  <c r="U429" i="47"/>
  <c r="DN155" i="43" s="1"/>
  <c r="V429" i="47" s="1"/>
  <c r="U426" i="47"/>
  <c r="DN152" i="43" s="1"/>
  <c r="V426" i="47" s="1"/>
  <c r="U430" i="47"/>
  <c r="DN156" i="43" s="1"/>
  <c r="V430" i="47" s="1"/>
  <c r="U427" i="47"/>
  <c r="DN153" i="43" s="1"/>
  <c r="V427" i="47" s="1"/>
  <c r="R59" i="49"/>
  <c r="V59" i="49" s="1"/>
  <c r="O159" i="49"/>
  <c r="U159" i="49" s="1"/>
  <c r="O19" i="14"/>
  <c r="O23" i="14"/>
  <c r="N17" i="14"/>
  <c r="N21" i="14"/>
  <c r="N25" i="14"/>
  <c r="O16" i="14"/>
  <c r="N24" i="14"/>
  <c r="O20" i="14"/>
  <c r="O24" i="14"/>
  <c r="N18" i="14"/>
  <c r="N22" i="14"/>
  <c r="N16" i="14"/>
  <c r="O18" i="14"/>
  <c r="N20" i="14"/>
  <c r="O17" i="14"/>
  <c r="O21" i="14"/>
  <c r="O25" i="14"/>
  <c r="N19" i="14"/>
  <c r="N23" i="14"/>
  <c r="O22" i="14"/>
  <c r="M34" i="55"/>
  <c r="CF32" i="50" s="1"/>
  <c r="M35" i="55"/>
  <c r="CF33" i="50" s="1"/>
  <c r="M32" i="55"/>
  <c r="CF30" i="50" s="1"/>
  <c r="M36" i="55"/>
  <c r="CF34" i="50" s="1"/>
  <c r="M33" i="55"/>
  <c r="CF31" i="50" s="1"/>
  <c r="M31" i="55"/>
  <c r="CF29" i="50" s="1"/>
  <c r="H488" i="47"/>
  <c r="K488" i="47" s="1"/>
  <c r="CR175" i="43" s="1"/>
  <c r="L488" i="47" s="1"/>
  <c r="P488" i="47" s="1"/>
  <c r="S488" i="47" s="1"/>
  <c r="J455" i="47"/>
  <c r="DZ153" i="43" s="1"/>
  <c r="K455" i="47" s="1"/>
  <c r="L455" i="47"/>
  <c r="EB153" i="43" s="1"/>
  <c r="M455" i="47" s="1"/>
  <c r="BC455" i="47" s="1"/>
  <c r="L453" i="47"/>
  <c r="EB151" i="43" s="1"/>
  <c r="M453" i="47" s="1"/>
  <c r="H455" i="47"/>
  <c r="DX153" i="43" s="1"/>
  <c r="I455" i="47" s="1"/>
  <c r="N455" i="47"/>
  <c r="EE153" i="43" s="1"/>
  <c r="O455" i="47" s="1"/>
  <c r="L454" i="47"/>
  <c r="EB152" i="43" s="1"/>
  <c r="M454" i="47" s="1"/>
  <c r="N454" i="47"/>
  <c r="EE152" i="43" s="1"/>
  <c r="O454" i="47" s="1"/>
  <c r="J454" i="47"/>
  <c r="DZ152" i="43" s="1"/>
  <c r="K454" i="47" s="1"/>
  <c r="N453" i="47"/>
  <c r="EE151" i="43" s="1"/>
  <c r="O453" i="47" s="1"/>
  <c r="H453" i="47"/>
  <c r="DX151" i="43" s="1"/>
  <c r="I453" i="47" s="1"/>
  <c r="H454" i="47"/>
  <c r="DX152" i="43" s="1"/>
  <c r="I454" i="47" s="1"/>
  <c r="O130" i="49"/>
  <c r="U130" i="49" s="1"/>
  <c r="N83" i="49"/>
  <c r="T83" i="49" s="1"/>
  <c r="K125" i="57"/>
  <c r="J15" i="60"/>
  <c r="M10" i="55"/>
  <c r="CF13" i="50" s="1"/>
  <c r="M13" i="55"/>
  <c r="CF16" i="50" s="1"/>
  <c r="M11" i="55"/>
  <c r="CF14" i="50" s="1"/>
  <c r="M12" i="55"/>
  <c r="CF15" i="50" s="1"/>
  <c r="M9" i="55"/>
  <c r="CF12" i="50" s="1"/>
  <c r="C5" i="59"/>
  <c r="S22" i="23"/>
  <c r="S28" i="23"/>
  <c r="R19" i="23"/>
  <c r="R25" i="23"/>
  <c r="R16" i="23"/>
  <c r="S24" i="23"/>
  <c r="S29" i="23"/>
  <c r="R27" i="23"/>
  <c r="S19" i="23"/>
  <c r="S25" i="23"/>
  <c r="R22" i="23"/>
  <c r="R18" i="23"/>
  <c r="BI27" i="26"/>
  <c r="S18" i="23"/>
  <c r="R21" i="23"/>
  <c r="BI26" i="26"/>
  <c r="S16" i="23"/>
  <c r="R28" i="23"/>
  <c r="S21" i="23"/>
  <c r="S27" i="23"/>
  <c r="R24" i="23"/>
  <c r="R29" i="23"/>
  <c r="M91" i="47"/>
  <c r="EB12" i="43" s="1"/>
  <c r="N91" i="47" s="1"/>
  <c r="J27" i="32"/>
  <c r="L307" i="47"/>
  <c r="EB91" i="43" s="1"/>
  <c r="J307" i="47"/>
  <c r="DZ91" i="43" s="1"/>
  <c r="C5" i="49"/>
  <c r="J25" i="32"/>
  <c r="J26" i="32"/>
  <c r="K506" i="47"/>
  <c r="CF199" i="43" s="1"/>
  <c r="K504" i="47"/>
  <c r="CF197" i="43" s="1"/>
  <c r="K505" i="47"/>
  <c r="CF198" i="43" s="1"/>
  <c r="M67" i="55"/>
  <c r="CE47" i="50" s="1"/>
  <c r="N67" i="55" s="1"/>
  <c r="I70" i="55"/>
  <c r="BX50" i="50" s="1"/>
  <c r="J70" i="55" s="1"/>
  <c r="I71" i="55"/>
  <c r="BX51" i="50" s="1"/>
  <c r="J71" i="55" s="1"/>
  <c r="I68" i="55"/>
  <c r="BX48" i="50" s="1"/>
  <c r="J68" i="55" s="1"/>
  <c r="M68" i="55"/>
  <c r="CE48" i="50" s="1"/>
  <c r="N68" i="55" s="1"/>
  <c r="E71" i="55"/>
  <c r="BT51" i="50" s="1"/>
  <c r="F71" i="55" s="1"/>
  <c r="O67" i="55"/>
  <c r="CI47" i="50" s="1"/>
  <c r="P67" i="55" s="1"/>
  <c r="M70" i="55"/>
  <c r="CE50" i="50" s="1"/>
  <c r="N70" i="55" s="1"/>
  <c r="I66" i="55"/>
  <c r="BX46" i="50" s="1"/>
  <c r="J66" i="55" s="1"/>
  <c r="M69" i="55"/>
  <c r="CE49" i="50" s="1"/>
  <c r="N69" i="55" s="1"/>
  <c r="I67" i="55"/>
  <c r="BX47" i="50" s="1"/>
  <c r="J67" i="55" s="1"/>
  <c r="K66" i="55"/>
  <c r="BZ46" i="50" s="1"/>
  <c r="L66" i="55" s="1"/>
  <c r="K68" i="55"/>
  <c r="BZ48" i="50" s="1"/>
  <c r="L68" i="55" s="1"/>
  <c r="K71" i="55"/>
  <c r="BZ51" i="50" s="1"/>
  <c r="L71" i="55" s="1"/>
  <c r="K70" i="55"/>
  <c r="BZ50" i="50" s="1"/>
  <c r="L70" i="55" s="1"/>
  <c r="E66" i="55"/>
  <c r="BT46" i="50" s="1"/>
  <c r="F66" i="55" s="1"/>
  <c r="O66" i="55"/>
  <c r="CI46" i="50" s="1"/>
  <c r="P66" i="55" s="1"/>
  <c r="M100" i="55" s="1"/>
  <c r="P100" i="55" s="1"/>
  <c r="E67" i="55"/>
  <c r="BT47" i="50" s="1"/>
  <c r="F67" i="55" s="1"/>
  <c r="K69" i="55"/>
  <c r="BZ49" i="50" s="1"/>
  <c r="L69" i="55" s="1"/>
  <c r="I69" i="55"/>
  <c r="BX49" i="50" s="1"/>
  <c r="J69" i="55" s="1"/>
  <c r="E70" i="55"/>
  <c r="BT50" i="50" s="1"/>
  <c r="F70" i="55" s="1"/>
  <c r="E69" i="55"/>
  <c r="BT49" i="50" s="1"/>
  <c r="F69" i="55" s="1"/>
  <c r="M66" i="55"/>
  <c r="CE46" i="50" s="1"/>
  <c r="N66" i="55" s="1"/>
  <c r="E68" i="55"/>
  <c r="BT48" i="50" s="1"/>
  <c r="F68" i="55" s="1"/>
  <c r="M71" i="55"/>
  <c r="CE51" i="50" s="1"/>
  <c r="N71" i="55" s="1"/>
  <c r="K67" i="55"/>
  <c r="BZ47" i="50" s="1"/>
  <c r="L67" i="55" s="1"/>
  <c r="K8" i="55"/>
  <c r="BZ11" i="50" s="1"/>
  <c r="L8" i="55" s="1"/>
  <c r="I8" i="55"/>
  <c r="BX11" i="50" s="1"/>
  <c r="J8" i="55" s="1"/>
  <c r="E8" i="55"/>
  <c r="E31" i="55"/>
  <c r="I31" i="55"/>
  <c r="BX29" i="50" s="1"/>
  <c r="J31" i="55" s="1"/>
  <c r="O31" i="55"/>
  <c r="CI29" i="50" s="1"/>
  <c r="P31" i="55" s="1"/>
  <c r="K31" i="55"/>
  <c r="BZ29" i="50" s="1"/>
  <c r="L31" i="55" s="1"/>
  <c r="E11" i="55"/>
  <c r="BT14" i="50" s="1"/>
  <c r="F11" i="55" s="1"/>
  <c r="E13" i="55"/>
  <c r="BT16" i="50" s="1"/>
  <c r="F13" i="55" s="1"/>
  <c r="K10" i="55"/>
  <c r="BZ13" i="50" s="1"/>
  <c r="L10" i="55" s="1"/>
  <c r="I13" i="55"/>
  <c r="BX16" i="50" s="1"/>
  <c r="J13" i="55" s="1"/>
  <c r="K11" i="55"/>
  <c r="BZ14" i="50" s="1"/>
  <c r="L11" i="55" s="1"/>
  <c r="K9" i="55"/>
  <c r="BZ12" i="50" s="1"/>
  <c r="L9" i="55" s="1"/>
  <c r="I10" i="55"/>
  <c r="BX13" i="50" s="1"/>
  <c r="J10" i="55" s="1"/>
  <c r="K13" i="55"/>
  <c r="BZ16" i="50" s="1"/>
  <c r="L13" i="55" s="1"/>
  <c r="I11" i="55"/>
  <c r="BX14" i="50" s="1"/>
  <c r="J11" i="55" s="1"/>
  <c r="K12" i="55"/>
  <c r="BZ15" i="50" s="1"/>
  <c r="L12" i="55" s="1"/>
  <c r="I9" i="55"/>
  <c r="BX12" i="50" s="1"/>
  <c r="J9" i="55" s="1"/>
  <c r="E12" i="55"/>
  <c r="BT15" i="50" s="1"/>
  <c r="F12" i="55" s="1"/>
  <c r="E10" i="55"/>
  <c r="BT13" i="50" s="1"/>
  <c r="F10" i="55" s="1"/>
  <c r="E9" i="55"/>
  <c r="BT12" i="50" s="1"/>
  <c r="F9" i="55" s="1"/>
  <c r="I12" i="55"/>
  <c r="BX15" i="50" s="1"/>
  <c r="J12" i="55" s="1"/>
  <c r="K35" i="55"/>
  <c r="BZ33" i="50" s="1"/>
  <c r="L35" i="55" s="1"/>
  <c r="O35" i="55"/>
  <c r="CI33" i="50" s="1"/>
  <c r="P35" i="55" s="1"/>
  <c r="K55" i="55" s="1"/>
  <c r="I34" i="55"/>
  <c r="BX32" i="50" s="1"/>
  <c r="J34" i="55" s="1"/>
  <c r="O36" i="55"/>
  <c r="CI34" i="50" s="1"/>
  <c r="P36" i="55" s="1"/>
  <c r="K56" i="55" s="1"/>
  <c r="I36" i="55"/>
  <c r="BX34" i="50" s="1"/>
  <c r="J36" i="55" s="1"/>
  <c r="E33" i="55"/>
  <c r="BT31" i="50" s="1"/>
  <c r="F33" i="55" s="1"/>
  <c r="I32" i="55"/>
  <c r="BX30" i="50" s="1"/>
  <c r="J32" i="55" s="1"/>
  <c r="E35" i="55"/>
  <c r="BT33" i="50" s="1"/>
  <c r="F35" i="55" s="1"/>
  <c r="O34" i="55"/>
  <c r="CI32" i="50" s="1"/>
  <c r="P34" i="55" s="1"/>
  <c r="K54" i="55" s="1"/>
  <c r="E36" i="55"/>
  <c r="BT34" i="50" s="1"/>
  <c r="F36" i="55" s="1"/>
  <c r="O32" i="55"/>
  <c r="CI30" i="50" s="1"/>
  <c r="P32" i="55" s="1"/>
  <c r="K32" i="55"/>
  <c r="BZ30" i="50" s="1"/>
  <c r="L32" i="55" s="1"/>
  <c r="I35" i="55"/>
  <c r="BX33" i="50" s="1"/>
  <c r="J35" i="55" s="1"/>
  <c r="K34" i="55"/>
  <c r="BZ32" i="50" s="1"/>
  <c r="L34" i="55" s="1"/>
  <c r="E34" i="55"/>
  <c r="BT32" i="50" s="1"/>
  <c r="F34" i="55" s="1"/>
  <c r="K36" i="55"/>
  <c r="BZ34" i="50" s="1"/>
  <c r="L36" i="55" s="1"/>
  <c r="I33" i="55"/>
  <c r="BX31" i="50" s="1"/>
  <c r="J33" i="55" s="1"/>
  <c r="K33" i="55"/>
  <c r="BZ31" i="50" s="1"/>
  <c r="L33" i="55" s="1"/>
  <c r="E32" i="55"/>
  <c r="BT30" i="50" s="1"/>
  <c r="F32" i="55" s="1"/>
  <c r="O33" i="55"/>
  <c r="CI31" i="50" s="1"/>
  <c r="P33" i="55" s="1"/>
  <c r="BM56" i="26"/>
  <c r="BF75" i="15"/>
  <c r="BF87" i="15"/>
  <c r="BD71" i="15"/>
  <c r="BD79" i="15"/>
  <c r="BD67" i="15"/>
  <c r="BF56" i="15"/>
  <c r="BD56" i="15"/>
  <c r="AY29" i="15"/>
  <c r="AY33" i="15"/>
  <c r="AW27" i="15"/>
  <c r="AW31" i="15"/>
  <c r="AW25" i="15"/>
  <c r="AY14" i="15"/>
  <c r="BF79" i="15"/>
  <c r="BD75" i="15"/>
  <c r="BF58" i="15"/>
  <c r="AY27" i="15"/>
  <c r="AY25" i="15"/>
  <c r="AW33" i="15"/>
  <c r="AW16" i="15"/>
  <c r="BF81" i="15"/>
  <c r="BD69" i="15"/>
  <c r="BD88" i="15"/>
  <c r="BD59" i="15"/>
  <c r="AW26" i="15"/>
  <c r="AW34" i="15"/>
  <c r="AW17" i="15"/>
  <c r="BF69" i="15"/>
  <c r="BF77" i="15"/>
  <c r="BF88" i="15"/>
  <c r="BD73" i="15"/>
  <c r="BD81" i="15"/>
  <c r="BF57" i="15"/>
  <c r="BD57" i="15"/>
  <c r="AY26" i="15"/>
  <c r="AY30" i="15"/>
  <c r="AY34" i="15"/>
  <c r="AW28" i="15"/>
  <c r="AW32" i="15"/>
  <c r="AY15" i="15"/>
  <c r="AW15" i="15"/>
  <c r="BF71" i="15"/>
  <c r="BF67" i="15"/>
  <c r="BD87" i="15"/>
  <c r="BD58" i="15"/>
  <c r="AY31" i="15"/>
  <c r="AW29" i="15"/>
  <c r="AY16" i="15"/>
  <c r="BF73" i="15"/>
  <c r="BD77" i="15"/>
  <c r="BF59" i="15"/>
  <c r="AY28" i="15"/>
  <c r="AY32" i="15"/>
  <c r="AW30" i="15"/>
  <c r="AY17" i="15"/>
  <c r="H489" i="47"/>
  <c r="K489" i="47" s="1"/>
  <c r="CR176" i="43" s="1"/>
  <c r="L489" i="47" s="1"/>
  <c r="N468" i="47"/>
  <c r="CM175" i="43" s="1"/>
  <c r="O468" i="47" s="1"/>
  <c r="AB468" i="47" s="1"/>
  <c r="P468" i="47"/>
  <c r="CO175" i="43" s="1"/>
  <c r="Q468" i="47" s="1"/>
  <c r="P469" i="47"/>
  <c r="CO176" i="43" s="1"/>
  <c r="Q469" i="47" s="1"/>
  <c r="AE469" i="47" s="1"/>
  <c r="J439" i="47"/>
  <c r="CO150" i="43" s="1"/>
  <c r="K439" i="47" s="1"/>
  <c r="L468" i="47"/>
  <c r="CJ175" i="43" s="1"/>
  <c r="M468" i="47" s="1"/>
  <c r="X468" i="47" s="1"/>
  <c r="L469" i="47"/>
  <c r="CJ176" i="43" s="1"/>
  <c r="M469" i="47" s="1"/>
  <c r="N469" i="47"/>
  <c r="CM176" i="43" s="1"/>
  <c r="O469" i="47" s="1"/>
  <c r="J469" i="47"/>
  <c r="CH176" i="43" s="1"/>
  <c r="K469" i="47" s="1"/>
  <c r="V469" i="47" s="1"/>
  <c r="H468" i="47"/>
  <c r="CF175" i="43" s="1"/>
  <c r="I468" i="47" s="1"/>
  <c r="J468" i="47"/>
  <c r="CH175" i="43" s="1"/>
  <c r="K468" i="47" s="1"/>
  <c r="V468" i="47" s="1"/>
  <c r="H469" i="47"/>
  <c r="CF176" i="43" s="1"/>
  <c r="I469" i="47" s="1"/>
  <c r="S469" i="47" s="1"/>
  <c r="Q255" i="47"/>
  <c r="DJ80" i="43" s="1"/>
  <c r="R255" i="47" s="1"/>
  <c r="O151" i="47"/>
  <c r="DH46" i="43" s="1"/>
  <c r="P151" i="47" s="1"/>
  <c r="O255" i="47"/>
  <c r="DH80" i="43" s="1"/>
  <c r="P255" i="47" s="1"/>
  <c r="U255" i="47"/>
  <c r="DN80" i="43" s="1"/>
  <c r="V255" i="47" s="1"/>
  <c r="S255" i="47"/>
  <c r="DL80" i="43" s="1"/>
  <c r="T255" i="47" s="1"/>
  <c r="P54" i="47"/>
  <c r="DH14" i="43" s="1"/>
  <c r="Q54" i="47" s="1"/>
  <c r="P55" i="47"/>
  <c r="DH15" i="43" s="1"/>
  <c r="Q55" i="47" s="1"/>
  <c r="P56" i="47"/>
  <c r="DH16" i="43" s="1"/>
  <c r="Q56" i="47" s="1"/>
  <c r="P57" i="47"/>
  <c r="DH17" i="43" s="1"/>
  <c r="Q57" i="47" s="1"/>
  <c r="P58" i="47"/>
  <c r="DH18" i="43" s="1"/>
  <c r="Q58" i="47" s="1"/>
  <c r="R54" i="47"/>
  <c r="DJ14" i="43" s="1"/>
  <c r="S54" i="47" s="1"/>
  <c r="R55" i="47"/>
  <c r="DJ15" i="43" s="1"/>
  <c r="S55" i="47" s="1"/>
  <c r="R56" i="47"/>
  <c r="DJ16" i="43" s="1"/>
  <c r="S56" i="47" s="1"/>
  <c r="R57" i="47"/>
  <c r="DJ17" i="43" s="1"/>
  <c r="S57" i="47" s="1"/>
  <c r="R58" i="47"/>
  <c r="DJ18" i="43" s="1"/>
  <c r="S58" i="47" s="1"/>
  <c r="V55" i="47"/>
  <c r="DN15" i="43" s="1"/>
  <c r="W55" i="47" s="1"/>
  <c r="V57" i="47"/>
  <c r="DN17" i="43" s="1"/>
  <c r="W57" i="47" s="1"/>
  <c r="V58" i="47"/>
  <c r="DN18" i="43" s="1"/>
  <c r="W58" i="47" s="1"/>
  <c r="V54" i="47"/>
  <c r="DN14" i="43" s="1"/>
  <c r="W54" i="47" s="1"/>
  <c r="T54" i="47"/>
  <c r="DL14" i="43" s="1"/>
  <c r="U54" i="47" s="1"/>
  <c r="T55" i="47"/>
  <c r="DL15" i="43" s="1"/>
  <c r="U55" i="47" s="1"/>
  <c r="T56" i="47"/>
  <c r="DL16" i="43" s="1"/>
  <c r="U56" i="47" s="1"/>
  <c r="T57" i="47"/>
  <c r="DL17" i="43" s="1"/>
  <c r="U57" i="47" s="1"/>
  <c r="T58" i="47"/>
  <c r="DL18" i="43" s="1"/>
  <c r="U58" i="47" s="1"/>
  <c r="V56" i="47"/>
  <c r="DN16" i="43" s="1"/>
  <c r="W56" i="47" s="1"/>
  <c r="S426" i="47"/>
  <c r="DL152" i="43" s="1"/>
  <c r="T426" i="47" s="1"/>
  <c r="U257" i="47"/>
  <c r="DN82" i="43" s="1"/>
  <c r="V257" i="47" s="1"/>
  <c r="S256" i="47"/>
  <c r="DL81" i="43" s="1"/>
  <c r="T256" i="47" s="1"/>
  <c r="S260" i="47"/>
  <c r="DL85" i="43" s="1"/>
  <c r="T260" i="47" s="1"/>
  <c r="Q259" i="47"/>
  <c r="DJ84" i="43" s="1"/>
  <c r="R259" i="47" s="1"/>
  <c r="O258" i="47"/>
  <c r="DH83" i="43" s="1"/>
  <c r="P258" i="47" s="1"/>
  <c r="S428" i="47"/>
  <c r="DL154" i="43" s="1"/>
  <c r="T428" i="47" s="1"/>
  <c r="Q429" i="47"/>
  <c r="DJ155" i="43" s="1"/>
  <c r="R429" i="47" s="1"/>
  <c r="O428" i="47"/>
  <c r="DH154" i="43" s="1"/>
  <c r="P428" i="47" s="1"/>
  <c r="Q425" i="47"/>
  <c r="DJ151" i="43" s="1"/>
  <c r="R425" i="47" s="1"/>
  <c r="U258" i="47"/>
  <c r="DN83" i="43" s="1"/>
  <c r="V258" i="47" s="1"/>
  <c r="S257" i="47"/>
  <c r="DL82" i="43" s="1"/>
  <c r="T257" i="47" s="1"/>
  <c r="Q256" i="47"/>
  <c r="DJ81" i="43" s="1"/>
  <c r="R256" i="47" s="1"/>
  <c r="Q260" i="47"/>
  <c r="DJ85" i="43" s="1"/>
  <c r="R260" i="47" s="1"/>
  <c r="O259" i="47"/>
  <c r="DH84" i="43" s="1"/>
  <c r="P259" i="47" s="1"/>
  <c r="S429" i="47"/>
  <c r="DL155" i="43" s="1"/>
  <c r="T429" i="47" s="1"/>
  <c r="Q426" i="47"/>
  <c r="DJ152" i="43" s="1"/>
  <c r="R426" i="47" s="1"/>
  <c r="Q430" i="47"/>
  <c r="DJ156" i="43" s="1"/>
  <c r="R430" i="47" s="1"/>
  <c r="O429" i="47"/>
  <c r="DH155" i="43" s="1"/>
  <c r="P429" i="47" s="1"/>
  <c r="U256" i="47"/>
  <c r="DN81" i="43" s="1"/>
  <c r="V256" i="47" s="1"/>
  <c r="S259" i="47"/>
  <c r="DL84" i="43" s="1"/>
  <c r="T259" i="47" s="1"/>
  <c r="O257" i="47"/>
  <c r="DH82" i="43" s="1"/>
  <c r="P257" i="47" s="1"/>
  <c r="Q428" i="47"/>
  <c r="DJ154" i="43" s="1"/>
  <c r="R428" i="47" s="1"/>
  <c r="O425" i="47"/>
  <c r="DH151" i="43" s="1"/>
  <c r="P425" i="47" s="1"/>
  <c r="U259" i="47"/>
  <c r="DN84" i="43" s="1"/>
  <c r="V259" i="47" s="1"/>
  <c r="S258" i="47"/>
  <c r="DL83" i="43" s="1"/>
  <c r="T258" i="47" s="1"/>
  <c r="Q257" i="47"/>
  <c r="DJ82" i="43" s="1"/>
  <c r="R257" i="47" s="1"/>
  <c r="O256" i="47"/>
  <c r="DH81" i="43" s="1"/>
  <c r="P256" i="47" s="1"/>
  <c r="O260" i="47"/>
  <c r="DH85" i="43" s="1"/>
  <c r="P260" i="47" s="1"/>
  <c r="S430" i="47"/>
  <c r="DL156" i="43" s="1"/>
  <c r="T430" i="47" s="1"/>
  <c r="Q427" i="47"/>
  <c r="DJ153" i="43" s="1"/>
  <c r="R427" i="47" s="1"/>
  <c r="O426" i="47"/>
  <c r="DH152" i="43" s="1"/>
  <c r="P426" i="47" s="1"/>
  <c r="O430" i="47"/>
  <c r="DH156" i="43" s="1"/>
  <c r="P430" i="47" s="1"/>
  <c r="U260" i="47"/>
  <c r="DN85" i="43" s="1"/>
  <c r="V260" i="47" s="1"/>
  <c r="Q258" i="47"/>
  <c r="DJ83" i="43" s="1"/>
  <c r="R258" i="47" s="1"/>
  <c r="S427" i="47"/>
  <c r="DL153" i="43" s="1"/>
  <c r="T427" i="47" s="1"/>
  <c r="S425" i="47"/>
  <c r="DL151" i="43" s="1"/>
  <c r="T425" i="47" s="1"/>
  <c r="O427" i="47"/>
  <c r="DH153" i="43" s="1"/>
  <c r="P427" i="47" s="1"/>
  <c r="B444" i="47"/>
  <c r="CF155" i="43" s="1"/>
  <c r="C444" i="47" s="1"/>
  <c r="F442" i="47"/>
  <c r="CJ153" i="43" s="1"/>
  <c r="G442" i="47" s="1"/>
  <c r="F440" i="47"/>
  <c r="CJ151" i="43" s="1"/>
  <c r="G440" i="47" s="1"/>
  <c r="D439" i="47"/>
  <c r="CH150" i="43" s="1"/>
  <c r="E439" i="47" s="1"/>
  <c r="F439" i="47"/>
  <c r="CJ150" i="43" s="1"/>
  <c r="G439" i="47" s="1"/>
  <c r="D442" i="47"/>
  <c r="CH153" i="43" s="1"/>
  <c r="E442" i="47" s="1"/>
  <c r="J444" i="47"/>
  <c r="CO155" i="43" s="1"/>
  <c r="K444" i="47" s="1"/>
  <c r="J441" i="47"/>
  <c r="CO152" i="43" s="1"/>
  <c r="K441" i="47" s="1"/>
  <c r="B440" i="47"/>
  <c r="CF151" i="43" s="1"/>
  <c r="C440" i="47" s="1"/>
  <c r="B442" i="47"/>
  <c r="CF153" i="43" s="1"/>
  <c r="C442" i="47" s="1"/>
  <c r="F444" i="47"/>
  <c r="CJ155" i="43" s="1"/>
  <c r="G444" i="47" s="1"/>
  <c r="F443" i="47"/>
  <c r="CJ154" i="43" s="1"/>
  <c r="G443" i="47" s="1"/>
  <c r="D444" i="47"/>
  <c r="CH155" i="43" s="1"/>
  <c r="E444" i="47" s="1"/>
  <c r="F441" i="47"/>
  <c r="CJ152" i="43" s="1"/>
  <c r="G441" i="47" s="1"/>
  <c r="D441" i="47"/>
  <c r="CH152" i="43" s="1"/>
  <c r="E441" i="47" s="1"/>
  <c r="H439" i="47"/>
  <c r="CM150" i="43" s="1"/>
  <c r="I439" i="47" s="1"/>
  <c r="J442" i="47"/>
  <c r="CO153" i="43" s="1"/>
  <c r="K442" i="47" s="1"/>
  <c r="H440" i="47"/>
  <c r="CM151" i="43" s="1"/>
  <c r="I440" i="47" s="1"/>
  <c r="J443" i="47"/>
  <c r="CO154" i="43" s="1"/>
  <c r="K443" i="47" s="1"/>
  <c r="D443" i="47"/>
  <c r="CH154" i="43" s="1"/>
  <c r="E443" i="47" s="1"/>
  <c r="BA443" i="47" s="1"/>
  <c r="D440" i="47"/>
  <c r="CH151" i="43" s="1"/>
  <c r="E440" i="47" s="1"/>
  <c r="B439" i="47"/>
  <c r="CF150" i="43" s="1"/>
  <c r="C439" i="47" s="1"/>
  <c r="H444" i="47"/>
  <c r="CM155" i="43" s="1"/>
  <c r="I444" i="47" s="1"/>
  <c r="J440" i="47"/>
  <c r="CO151" i="43" s="1"/>
  <c r="K440" i="47" s="1"/>
  <c r="B441" i="47"/>
  <c r="CF152" i="43" s="1"/>
  <c r="C441" i="47" s="1"/>
  <c r="H441" i="47"/>
  <c r="CM152" i="43" s="1"/>
  <c r="I441" i="47" s="1"/>
  <c r="H443" i="47"/>
  <c r="CM154" i="43" s="1"/>
  <c r="I443" i="47" s="1"/>
  <c r="BE443" i="47" s="1"/>
  <c r="H442" i="47"/>
  <c r="CM153" i="43" s="1"/>
  <c r="I442" i="47" s="1"/>
  <c r="B443" i="47"/>
  <c r="CF154" i="43" s="1"/>
  <c r="C443" i="47" s="1"/>
  <c r="B373" i="47"/>
  <c r="CF118" i="43" s="1"/>
  <c r="C373" i="47" s="1"/>
  <c r="D377" i="47"/>
  <c r="CH122" i="43" s="1"/>
  <c r="D373" i="47"/>
  <c r="CH118" i="43" s="1"/>
  <c r="E373" i="47" s="1"/>
  <c r="D374" i="47"/>
  <c r="CH119" i="43" s="1"/>
  <c r="E374" i="47" s="1"/>
  <c r="D376" i="47"/>
  <c r="CH121" i="43" s="1"/>
  <c r="F373" i="47"/>
  <c r="CJ118" i="43" s="1"/>
  <c r="G373" i="47" s="1"/>
  <c r="H373" i="47"/>
  <c r="CM118" i="43" s="1"/>
  <c r="I373" i="47" s="1"/>
  <c r="D378" i="47"/>
  <c r="CH123" i="43" s="1"/>
  <c r="D375" i="47"/>
  <c r="CH120" i="43" s="1"/>
  <c r="J373" i="47"/>
  <c r="CO118" i="43" s="1"/>
  <c r="K373" i="47" s="1"/>
  <c r="F69" i="47"/>
  <c r="CJ16" i="43" s="1"/>
  <c r="G69" i="47" s="1"/>
  <c r="D69" i="47"/>
  <c r="H70" i="47"/>
  <c r="CM17" i="43" s="1"/>
  <c r="I70" i="47" s="1"/>
  <c r="V70" i="47" s="1"/>
  <c r="BD70" i="47" s="1"/>
  <c r="J70" i="47"/>
  <c r="CO17" i="43" s="1"/>
  <c r="K70" i="47" s="1"/>
  <c r="H69" i="47"/>
  <c r="D70" i="47"/>
  <c r="CH17" i="43" s="1"/>
  <c r="E70" i="47" s="1"/>
  <c r="F70" i="47"/>
  <c r="CJ17" i="43" s="1"/>
  <c r="G70" i="47" s="1"/>
  <c r="B70" i="47"/>
  <c r="CF17" i="43" s="1"/>
  <c r="C70" i="47" s="1"/>
  <c r="J69" i="47"/>
  <c r="CO16" i="43" s="1"/>
  <c r="K69" i="47" s="1"/>
  <c r="B69" i="47"/>
  <c r="CF16" i="43" s="1"/>
  <c r="C69" i="47" s="1"/>
  <c r="F71" i="47"/>
  <c r="CJ18" i="43" s="1"/>
  <c r="G71" i="47" s="1"/>
  <c r="H68" i="47"/>
  <c r="J71" i="47"/>
  <c r="CO18" i="43" s="1"/>
  <c r="K71" i="47" s="1"/>
  <c r="J67" i="47"/>
  <c r="CO14" i="43" s="1"/>
  <c r="K67" i="47" s="1"/>
  <c r="D68" i="47"/>
  <c r="F68" i="47"/>
  <c r="CJ15" i="43" s="1"/>
  <c r="G68" i="47" s="1"/>
  <c r="R68" i="47" s="1"/>
  <c r="H71" i="47"/>
  <c r="CM18" i="43" s="1"/>
  <c r="I71" i="47" s="1"/>
  <c r="J66" i="47"/>
  <c r="CO13" i="43" s="1"/>
  <c r="B68" i="47"/>
  <c r="CF15" i="43" s="1"/>
  <c r="C68" i="47" s="1"/>
  <c r="L68" i="47" s="1"/>
  <c r="B71" i="47"/>
  <c r="CF18" i="43" s="1"/>
  <c r="C71" i="47" s="1"/>
  <c r="H67" i="47"/>
  <c r="D71" i="47"/>
  <c r="CH18" i="43" s="1"/>
  <c r="E71" i="47" s="1"/>
  <c r="F67" i="47"/>
  <c r="CJ14" i="43" s="1"/>
  <c r="G67" i="47" s="1"/>
  <c r="D67" i="47"/>
  <c r="J68" i="47"/>
  <c r="CO15" i="43" s="1"/>
  <c r="K68" i="47" s="1"/>
  <c r="X68" i="47" s="1"/>
  <c r="B67" i="47"/>
  <c r="CF14" i="43" s="1"/>
  <c r="C67" i="47" s="1"/>
  <c r="U358" i="47"/>
  <c r="DN119" i="43" s="1"/>
  <c r="V358" i="47" s="1"/>
  <c r="U362" i="47"/>
  <c r="DN123" i="43" s="1"/>
  <c r="S360" i="47"/>
  <c r="DL121" i="43" s="1"/>
  <c r="T360" i="47" s="1"/>
  <c r="Q358" i="47"/>
  <c r="DJ119" i="43" s="1"/>
  <c r="R358" i="47" s="1"/>
  <c r="Q362" i="47"/>
  <c r="DJ123" i="43" s="1"/>
  <c r="O360" i="47"/>
  <c r="DH121" i="43" s="1"/>
  <c r="U359" i="47"/>
  <c r="DN120" i="43" s="1"/>
  <c r="U357" i="47"/>
  <c r="DN118" i="43" s="1"/>
  <c r="V357" i="47" s="1"/>
  <c r="S361" i="47"/>
  <c r="DL122" i="43" s="1"/>
  <c r="T361" i="47" s="1"/>
  <c r="Q359" i="47"/>
  <c r="DJ120" i="43" s="1"/>
  <c r="Q357" i="47"/>
  <c r="DJ118" i="43" s="1"/>
  <c r="R357" i="47" s="1"/>
  <c r="O361" i="47"/>
  <c r="DH122" i="43" s="1"/>
  <c r="U360" i="47"/>
  <c r="DN121" i="43" s="1"/>
  <c r="S358" i="47"/>
  <c r="DL119" i="43" s="1"/>
  <c r="T358" i="47" s="1"/>
  <c r="S362" i="47"/>
  <c r="DL123" i="43" s="1"/>
  <c r="T362" i="47" s="1"/>
  <c r="Q360" i="47"/>
  <c r="DJ121" i="43" s="1"/>
  <c r="O358" i="47"/>
  <c r="DH119" i="43" s="1"/>
  <c r="P358" i="47" s="1"/>
  <c r="O362" i="47"/>
  <c r="DH123" i="43" s="1"/>
  <c r="U361" i="47"/>
  <c r="DN122" i="43" s="1"/>
  <c r="S359" i="47"/>
  <c r="DL120" i="43" s="1"/>
  <c r="T359" i="47" s="1"/>
  <c r="S357" i="47"/>
  <c r="DL118" i="43" s="1"/>
  <c r="T357" i="47" s="1"/>
  <c r="Q361" i="47"/>
  <c r="DJ122" i="43" s="1"/>
  <c r="O359" i="47"/>
  <c r="DH120" i="43" s="1"/>
  <c r="B375" i="47"/>
  <c r="CF120" i="43" s="1"/>
  <c r="H378" i="47"/>
  <c r="CM123" i="43" s="1"/>
  <c r="F378" i="47"/>
  <c r="CJ123" i="43" s="1"/>
  <c r="J374" i="47"/>
  <c r="CO119" i="43" s="1"/>
  <c r="K374" i="47" s="1"/>
  <c r="B374" i="47"/>
  <c r="CF119" i="43" s="1"/>
  <c r="C374" i="47" s="1"/>
  <c r="B377" i="47"/>
  <c r="CF122" i="43" s="1"/>
  <c r="B376" i="47"/>
  <c r="CF121" i="43" s="1"/>
  <c r="J378" i="47"/>
  <c r="CO123" i="43" s="1"/>
  <c r="J375" i="47"/>
  <c r="CO120" i="43" s="1"/>
  <c r="F374" i="47"/>
  <c r="CJ119" i="43" s="1"/>
  <c r="G374" i="47" s="1"/>
  <c r="B378" i="47"/>
  <c r="CF123" i="43" s="1"/>
  <c r="J376" i="47"/>
  <c r="CO121" i="43" s="1"/>
  <c r="F376" i="47"/>
  <c r="CJ121" i="43" s="1"/>
  <c r="F377" i="47"/>
  <c r="CJ122" i="43" s="1"/>
  <c r="H375" i="47"/>
  <c r="CM120" i="43" s="1"/>
  <c r="H376" i="47"/>
  <c r="CM121" i="43" s="1"/>
  <c r="J377" i="47"/>
  <c r="CO122" i="43" s="1"/>
  <c r="H374" i="47"/>
  <c r="CM119" i="43" s="1"/>
  <c r="I374" i="47" s="1"/>
  <c r="H377" i="47"/>
  <c r="CM122" i="43" s="1"/>
  <c r="F375" i="47"/>
  <c r="CJ120" i="43" s="1"/>
  <c r="H388" i="47"/>
  <c r="DX118" i="43" s="1"/>
  <c r="I388" i="47" s="1"/>
  <c r="H393" i="47"/>
  <c r="DX123" i="43" s="1"/>
  <c r="I393" i="47" s="1"/>
  <c r="N388" i="47"/>
  <c r="EE118" i="43" s="1"/>
  <c r="O388" i="47" s="1"/>
  <c r="N390" i="47"/>
  <c r="EE120" i="43" s="1"/>
  <c r="O390" i="47" s="1"/>
  <c r="J390" i="47"/>
  <c r="DZ120" i="43" s="1"/>
  <c r="K390" i="47" s="1"/>
  <c r="J389" i="47"/>
  <c r="DZ119" i="43" s="1"/>
  <c r="K389" i="47" s="1"/>
  <c r="L388" i="47"/>
  <c r="EB118" i="43" s="1"/>
  <c r="M388" i="47" s="1"/>
  <c r="W388" i="47" s="1"/>
  <c r="N389" i="47"/>
  <c r="EE119" i="43" s="1"/>
  <c r="O389" i="47" s="1"/>
  <c r="H389" i="47"/>
  <c r="DX119" i="43" s="1"/>
  <c r="I389" i="47" s="1"/>
  <c r="N393" i="47"/>
  <c r="EE123" i="43" s="1"/>
  <c r="O393" i="47" s="1"/>
  <c r="J393" i="47"/>
  <c r="DZ123" i="43" s="1"/>
  <c r="K393" i="47" s="1"/>
  <c r="L393" i="47"/>
  <c r="EB123" i="43" s="1"/>
  <c r="M393" i="47" s="1"/>
  <c r="L389" i="47"/>
  <c r="EB119" i="43" s="1"/>
  <c r="M389" i="47" s="1"/>
  <c r="L390" i="47"/>
  <c r="EB120" i="43" s="1"/>
  <c r="M390" i="47" s="1"/>
  <c r="H390" i="47"/>
  <c r="DX120" i="43" s="1"/>
  <c r="I390" i="47" s="1"/>
  <c r="DX59" i="43"/>
  <c r="I205" i="47" s="1"/>
  <c r="DZ59" i="43"/>
  <c r="K205" i="47" s="1"/>
  <c r="DX60" i="43"/>
  <c r="I206" i="47" s="1"/>
  <c r="DZ60" i="43"/>
  <c r="K206" i="47" s="1"/>
  <c r="BA17" i="36"/>
  <c r="L29" i="37" s="1"/>
  <c r="K29" i="37" s="1"/>
  <c r="BC17" i="36"/>
  <c r="M29" i="37" s="1"/>
  <c r="BE17" i="36"/>
  <c r="N29" i="37" s="1"/>
  <c r="AY17" i="36"/>
  <c r="J29" i="37" s="1"/>
  <c r="BH17" i="36"/>
  <c r="O29" i="37" s="1"/>
  <c r="U155" i="47"/>
  <c r="DN50" i="43" s="1"/>
  <c r="V155" i="47" s="1"/>
  <c r="S151" i="47"/>
  <c r="DL46" i="43" s="1"/>
  <c r="T151" i="47" s="1"/>
  <c r="U152" i="47"/>
  <c r="DN47" i="43" s="1"/>
  <c r="V152" i="47" s="1"/>
  <c r="U156" i="47"/>
  <c r="DN51" i="43" s="1"/>
  <c r="Q151" i="47"/>
  <c r="DJ46" i="43" s="1"/>
  <c r="R151" i="47" s="1"/>
  <c r="U153" i="47"/>
  <c r="DN48" i="43" s="1"/>
  <c r="V153" i="47" s="1"/>
  <c r="U151" i="47"/>
  <c r="DN46" i="43" s="1"/>
  <c r="V151" i="47" s="1"/>
  <c r="Z151" i="47" s="1"/>
  <c r="AZ151" i="47" s="1"/>
  <c r="U154" i="47"/>
  <c r="DN49" i="43" s="1"/>
  <c r="V154" i="47" s="1"/>
  <c r="V53" i="47"/>
  <c r="DN13" i="43" s="1"/>
  <c r="W53" i="47" s="1"/>
  <c r="Z53" i="47" s="1"/>
  <c r="S154" i="47"/>
  <c r="DL49" i="43" s="1"/>
  <c r="T154" i="47" s="1"/>
  <c r="Q152" i="47"/>
  <c r="DJ47" i="43" s="1"/>
  <c r="R152" i="47" s="1"/>
  <c r="Q156" i="47"/>
  <c r="DJ51" i="43" s="1"/>
  <c r="R156" i="47" s="1"/>
  <c r="O154" i="47"/>
  <c r="DH49" i="43" s="1"/>
  <c r="P154" i="47" s="1"/>
  <c r="Q154" i="47"/>
  <c r="DJ49" i="43" s="1"/>
  <c r="R154" i="47" s="1"/>
  <c r="O156" i="47"/>
  <c r="DH51" i="43" s="1"/>
  <c r="P156" i="47" s="1"/>
  <c r="S153" i="47"/>
  <c r="DL48" i="43" s="1"/>
  <c r="T153" i="47" s="1"/>
  <c r="T53" i="47"/>
  <c r="DL13" i="43" s="1"/>
  <c r="U53" i="47" s="1"/>
  <c r="Q155" i="47"/>
  <c r="DJ50" i="43" s="1"/>
  <c r="R155" i="47" s="1"/>
  <c r="P53" i="47"/>
  <c r="DH13" i="43" s="1"/>
  <c r="Q53" i="47" s="1"/>
  <c r="S155" i="47"/>
  <c r="DL50" i="43" s="1"/>
  <c r="T155" i="47" s="1"/>
  <c r="Q153" i="47"/>
  <c r="DJ48" i="43" s="1"/>
  <c r="R153" i="47" s="1"/>
  <c r="R53" i="47"/>
  <c r="DJ13" i="43" s="1"/>
  <c r="S53" i="47" s="1"/>
  <c r="O155" i="47"/>
  <c r="DH50" i="43" s="1"/>
  <c r="P155" i="47" s="1"/>
  <c r="S152" i="47"/>
  <c r="DL47" i="43" s="1"/>
  <c r="T152" i="47" s="1"/>
  <c r="S156" i="47"/>
  <c r="DL51" i="43" s="1"/>
  <c r="T156" i="47" s="1"/>
  <c r="O152" i="47"/>
  <c r="DH47" i="43" s="1"/>
  <c r="P152" i="47" s="1"/>
  <c r="O153" i="47"/>
  <c r="DH48" i="43" s="1"/>
  <c r="P153" i="47" s="1"/>
  <c r="EE60" i="43"/>
  <c r="O206" i="47" s="1"/>
  <c r="EB59" i="43"/>
  <c r="M205" i="47" s="1"/>
  <c r="EB60" i="43"/>
  <c r="M206" i="47" s="1"/>
  <c r="EE59" i="43"/>
  <c r="O205" i="47" s="1"/>
  <c r="J24" i="32"/>
  <c r="L24" i="32" s="1"/>
  <c r="N17" i="37"/>
  <c r="M17" i="37"/>
  <c r="N13" i="37"/>
  <c r="M13" i="37"/>
  <c r="I9" i="2"/>
  <c r="E1179" i="16"/>
  <c r="D1179" i="16"/>
  <c r="E1178" i="16"/>
  <c r="D1178" i="16"/>
  <c r="E1177" i="16"/>
  <c r="D1177" i="16"/>
  <c r="E1175" i="16"/>
  <c r="D1175" i="16"/>
  <c r="E1176" i="16"/>
  <c r="E1174" i="16"/>
  <c r="E1173" i="16"/>
  <c r="E1172" i="16"/>
  <c r="E1171" i="16"/>
  <c r="E1170" i="16"/>
  <c r="E1169" i="16"/>
  <c r="D1140" i="16"/>
  <c r="E1147" i="16"/>
  <c r="E1146" i="16"/>
  <c r="E1145" i="16"/>
  <c r="E1144" i="16"/>
  <c r="E1143" i="16"/>
  <c r="E1142" i="16"/>
  <c r="E1141" i="16"/>
  <c r="E1140" i="16"/>
  <c r="E1139" i="16"/>
  <c r="E1138" i="16"/>
  <c r="E1137" i="16"/>
  <c r="D1137" i="16"/>
  <c r="D1142" i="16"/>
  <c r="D1147" i="16"/>
  <c r="D1146" i="16"/>
  <c r="D1145" i="16"/>
  <c r="D1144" i="16"/>
  <c r="D1143" i="16"/>
  <c r="D1141" i="16"/>
  <c r="D1139" i="16"/>
  <c r="D1138" i="16"/>
  <c r="E1029" i="16"/>
  <c r="E1028" i="16"/>
  <c r="E1027" i="16"/>
  <c r="E1026" i="16"/>
  <c r="E1025" i="16"/>
  <c r="D1029" i="16"/>
  <c r="D1028" i="16"/>
  <c r="D1027" i="16"/>
  <c r="D1026" i="16"/>
  <c r="D1025" i="16"/>
  <c r="E1013" i="16"/>
  <c r="E1012" i="16"/>
  <c r="E1011" i="16"/>
  <c r="E1009" i="16"/>
  <c r="E1010" i="16"/>
  <c r="D1010" i="16"/>
  <c r="D1009" i="16"/>
  <c r="D1013" i="16"/>
  <c r="D1012" i="16"/>
  <c r="D1011" i="16"/>
  <c r="E981" i="16"/>
  <c r="E980" i="16"/>
  <c r="E979" i="16"/>
  <c r="E978" i="16"/>
  <c r="E977" i="16"/>
  <c r="D981" i="16"/>
  <c r="D980" i="16"/>
  <c r="D979" i="16"/>
  <c r="D978" i="16"/>
  <c r="D977" i="16"/>
  <c r="E976" i="16"/>
  <c r="E975" i="16"/>
  <c r="E974" i="16"/>
  <c r="E973" i="16"/>
  <c r="E972" i="16"/>
  <c r="C929" i="16"/>
  <c r="C927" i="16"/>
  <c r="C926" i="16"/>
  <c r="C925" i="16"/>
  <c r="C924" i="16"/>
  <c r="Q70" i="54"/>
  <c r="Q67" i="54"/>
  <c r="Q71" i="54"/>
  <c r="Q69" i="54"/>
  <c r="Q72" i="54"/>
  <c r="Q68" i="54"/>
  <c r="Q66" i="54"/>
  <c r="Q65" i="54"/>
  <c r="Q64" i="54"/>
  <c r="Q63" i="54"/>
  <c r="Q62" i="54"/>
  <c r="P90" i="54"/>
  <c r="P102" i="54"/>
  <c r="P118" i="54"/>
  <c r="P92" i="54"/>
  <c r="P125" i="54"/>
  <c r="P133" i="54"/>
  <c r="P160" i="54"/>
  <c r="P131" i="54"/>
  <c r="P130" i="54"/>
  <c r="P124" i="54"/>
  <c r="P105" i="54"/>
  <c r="P128" i="54"/>
  <c r="P120" i="54"/>
  <c r="P147" i="54"/>
  <c r="P132" i="54"/>
  <c r="P144" i="54"/>
  <c r="P104" i="54"/>
  <c r="P91" i="54"/>
  <c r="P134" i="54"/>
  <c r="P103" i="54"/>
  <c r="P123" i="54"/>
  <c r="P93" i="54"/>
  <c r="P152" i="54"/>
  <c r="P96" i="54"/>
  <c r="P148" i="54"/>
  <c r="P97" i="54"/>
  <c r="P119" i="54"/>
  <c r="P94" i="54"/>
  <c r="P129" i="54"/>
  <c r="P157" i="54"/>
  <c r="P101" i="54"/>
  <c r="P158" i="54"/>
  <c r="P98" i="54"/>
  <c r="P159" i="54"/>
  <c r="P149" i="54"/>
  <c r="P121" i="54"/>
  <c r="P151" i="54"/>
  <c r="P154" i="54"/>
  <c r="P153" i="54"/>
  <c r="P122" i="54"/>
  <c r="P106" i="54"/>
  <c r="P100" i="54"/>
  <c r="P95" i="54"/>
  <c r="P146" i="54"/>
  <c r="P99" i="54"/>
  <c r="P150" i="54"/>
  <c r="P155" i="54"/>
  <c r="P127" i="54"/>
  <c r="P126" i="54"/>
  <c r="P156" i="54"/>
  <c r="P145" i="54"/>
  <c r="T62" i="54" l="1"/>
  <c r="BV67" i="50"/>
  <c r="P113" i="68"/>
  <c r="K117" i="55" s="1"/>
  <c r="R62" i="54"/>
  <c r="V62" i="54" s="1"/>
  <c r="S62" i="54"/>
  <c r="W62" i="54" s="1"/>
  <c r="AE468" i="47"/>
  <c r="AD468" i="47"/>
  <c r="N66" i="47"/>
  <c r="L66" i="47"/>
  <c r="T468" i="47"/>
  <c r="R468" i="47"/>
  <c r="S468" i="47"/>
  <c r="R91" i="47"/>
  <c r="S91" i="47"/>
  <c r="AE53" i="47"/>
  <c r="BL42" i="47" s="1"/>
  <c r="V77" i="47"/>
  <c r="AB77" i="47" s="1"/>
  <c r="W77" i="47"/>
  <c r="S77" i="47"/>
  <c r="AF77" i="47" s="1"/>
  <c r="T77" i="47"/>
  <c r="AG77" i="47" s="1"/>
  <c r="P77" i="47"/>
  <c r="Q77" i="47"/>
  <c r="N77" i="47"/>
  <c r="Y77" i="47"/>
  <c r="Z77" i="47"/>
  <c r="BY67" i="26"/>
  <c r="F88" i="49"/>
  <c r="S73" i="54"/>
  <c r="W73" i="54" s="1"/>
  <c r="T34" i="23"/>
  <c r="T20" i="23"/>
  <c r="T26" i="23"/>
  <c r="T31" i="23"/>
  <c r="T33" i="23"/>
  <c r="T17" i="23"/>
  <c r="R74" i="54"/>
  <c r="V74" i="54" s="1"/>
  <c r="T74" i="54"/>
  <c r="X74" i="54" s="1"/>
  <c r="T35" i="23"/>
  <c r="T32" i="23"/>
  <c r="T23" i="23"/>
  <c r="R73" i="54"/>
  <c r="V73" i="54" s="1"/>
  <c r="BY68" i="26"/>
  <c r="Q154" i="54"/>
  <c r="T154" i="54" s="1"/>
  <c r="X154" i="54" s="1"/>
  <c r="Q152" i="54"/>
  <c r="R152" i="54" s="1"/>
  <c r="V152" i="54" s="1"/>
  <c r="Q155" i="54"/>
  <c r="T155" i="54" s="1"/>
  <c r="X155" i="54" s="1"/>
  <c r="Q102" i="54"/>
  <c r="R102" i="54" s="1"/>
  <c r="V102" i="54" s="1"/>
  <c r="Q130" i="54"/>
  <c r="T130" i="54" s="1"/>
  <c r="X130" i="54" s="1"/>
  <c r="Q125" i="54"/>
  <c r="R125" i="54" s="1"/>
  <c r="V125" i="54" s="1"/>
  <c r="Q100" i="54"/>
  <c r="CB66" i="26" s="1"/>
  <c r="Q126" i="54"/>
  <c r="T126" i="54" s="1"/>
  <c r="X126" i="54" s="1"/>
  <c r="Q98" i="54"/>
  <c r="R98" i="54" s="1"/>
  <c r="V98" i="54" s="1"/>
  <c r="Q94" i="54"/>
  <c r="CB60" i="26" s="1"/>
  <c r="Q101" i="54"/>
  <c r="S101" i="54" s="1"/>
  <c r="W101" i="54" s="1"/>
  <c r="Q156" i="54"/>
  <c r="T156" i="54" s="1"/>
  <c r="X156" i="54" s="1"/>
  <c r="Q97" i="54"/>
  <c r="CB63" i="26" s="1"/>
  <c r="Q93" i="54"/>
  <c r="CB59" i="26" s="1"/>
  <c r="Q128" i="54"/>
  <c r="T128" i="54" s="1"/>
  <c r="X128" i="54" s="1"/>
  <c r="Q149" i="54"/>
  <c r="R149" i="54" s="1"/>
  <c r="V149" i="54" s="1"/>
  <c r="Q123" i="54"/>
  <c r="R123" i="54" s="1"/>
  <c r="V123" i="54" s="1"/>
  <c r="Q95" i="54"/>
  <c r="R95" i="54" s="1"/>
  <c r="V95" i="54" s="1"/>
  <c r="Q151" i="54"/>
  <c r="R151" i="54" s="1"/>
  <c r="V151" i="54" s="1"/>
  <c r="Q129" i="54"/>
  <c r="S129" i="54" s="1"/>
  <c r="W129" i="54" s="1"/>
  <c r="BY58" i="26"/>
  <c r="BY59" i="26"/>
  <c r="BY60" i="26"/>
  <c r="R68" i="54"/>
  <c r="V68" i="54" s="1"/>
  <c r="R72" i="54"/>
  <c r="V72" i="54" s="1"/>
  <c r="R69" i="54"/>
  <c r="V69" i="54" s="1"/>
  <c r="BY57" i="26"/>
  <c r="BY65" i="26"/>
  <c r="BY61" i="26"/>
  <c r="R70" i="54"/>
  <c r="V70" i="54" s="1"/>
  <c r="R103" i="54"/>
  <c r="V103" i="54" s="1"/>
  <c r="R106" i="54"/>
  <c r="V106" i="54" s="1"/>
  <c r="R105" i="54"/>
  <c r="V105" i="54" s="1"/>
  <c r="S103" i="54"/>
  <c r="W103" i="54" s="1"/>
  <c r="S106" i="54"/>
  <c r="W106" i="54" s="1"/>
  <c r="S105" i="54"/>
  <c r="W105" i="54" s="1"/>
  <c r="T103" i="54"/>
  <c r="X103" i="54" s="1"/>
  <c r="T106" i="54"/>
  <c r="X106" i="54" s="1"/>
  <c r="T105" i="54"/>
  <c r="X105" i="54" s="1"/>
  <c r="T72" i="54"/>
  <c r="X72" i="54" s="1"/>
  <c r="T66" i="54"/>
  <c r="T76" i="54"/>
  <c r="X76" i="54" s="1"/>
  <c r="T64" i="54"/>
  <c r="T68" i="54"/>
  <c r="X68" i="54" s="1"/>
  <c r="T69" i="54"/>
  <c r="X69" i="54" s="1"/>
  <c r="T65" i="54"/>
  <c r="X65" i="54" s="1"/>
  <c r="T70" i="54"/>
  <c r="X70" i="54" s="1"/>
  <c r="T63" i="54"/>
  <c r="X63" i="54" s="1"/>
  <c r="T71" i="54"/>
  <c r="X71" i="54" s="1"/>
  <c r="T67" i="54"/>
  <c r="X67" i="54" s="1"/>
  <c r="S66" i="54"/>
  <c r="W66" i="54" s="1"/>
  <c r="S72" i="54"/>
  <c r="W72" i="54" s="1"/>
  <c r="S76" i="54"/>
  <c r="W76" i="54" s="1"/>
  <c r="S64" i="54"/>
  <c r="W64" i="54" s="1"/>
  <c r="S68" i="54"/>
  <c r="W68" i="54" s="1"/>
  <c r="S69" i="54"/>
  <c r="W69" i="54" s="1"/>
  <c r="S65" i="54"/>
  <c r="W65" i="54" s="1"/>
  <c r="S70" i="54"/>
  <c r="W70" i="54" s="1"/>
  <c r="S63" i="54"/>
  <c r="W63" i="54" s="1"/>
  <c r="S71" i="54"/>
  <c r="W71" i="54" s="1"/>
  <c r="S67" i="54"/>
  <c r="W67" i="54" s="1"/>
  <c r="R66" i="54"/>
  <c r="R64" i="54"/>
  <c r="R65" i="54"/>
  <c r="V65" i="54" s="1"/>
  <c r="R63" i="54"/>
  <c r="V63" i="54" s="1"/>
  <c r="R71" i="54"/>
  <c r="V71" i="54" s="1"/>
  <c r="R67" i="54"/>
  <c r="V67" i="54" s="1"/>
  <c r="V76" i="54"/>
  <c r="BY70" i="26"/>
  <c r="BY62" i="26"/>
  <c r="BY66" i="26"/>
  <c r="BY63" i="26"/>
  <c r="BY64" i="26"/>
  <c r="BY56" i="26"/>
  <c r="AZ39" i="29"/>
  <c r="K27" i="32"/>
  <c r="L27" i="32" s="1"/>
  <c r="AZ38" i="29"/>
  <c r="K26" i="32"/>
  <c r="L26" i="32" s="1"/>
  <c r="AZ36" i="29"/>
  <c r="AZ37" i="29"/>
  <c r="K25" i="32"/>
  <c r="L25" i="32" s="1"/>
  <c r="BK74" i="69"/>
  <c r="BL74" i="69"/>
  <c r="BJ74" i="69"/>
  <c r="BM74" i="69"/>
  <c r="BN74" i="69"/>
  <c r="BL73" i="69"/>
  <c r="BM73" i="69"/>
  <c r="BN73" i="69"/>
  <c r="BJ73" i="69"/>
  <c r="BK73" i="69"/>
  <c r="BJ71" i="69"/>
  <c r="BK71" i="69"/>
  <c r="BL71" i="69"/>
  <c r="BM71" i="69"/>
  <c r="BN71" i="69"/>
  <c r="BK70" i="69"/>
  <c r="BL70" i="69"/>
  <c r="BM70" i="69"/>
  <c r="BN70" i="69"/>
  <c r="BJ70" i="69"/>
  <c r="BJ69" i="69"/>
  <c r="BK69" i="69"/>
  <c r="BL69" i="69"/>
  <c r="BM69" i="69"/>
  <c r="BN69" i="69"/>
  <c r="BK72" i="69"/>
  <c r="BL72" i="69"/>
  <c r="BM72" i="69"/>
  <c r="BN72" i="69"/>
  <c r="BJ72" i="69"/>
  <c r="Q104" i="54"/>
  <c r="R104" i="54" s="1"/>
  <c r="Q158" i="54"/>
  <c r="T158" i="54" s="1"/>
  <c r="X158" i="54" s="1"/>
  <c r="Q132" i="54"/>
  <c r="R132" i="54" s="1"/>
  <c r="V132" i="54" s="1"/>
  <c r="AA78" i="54"/>
  <c r="Z78" i="54"/>
  <c r="S12" i="32"/>
  <c r="T12" i="32" s="1"/>
  <c r="BM40" i="29" s="1"/>
  <c r="U12" i="32" s="1"/>
  <c r="BX65" i="50"/>
  <c r="Q111" i="68"/>
  <c r="Z77" i="54"/>
  <c r="AA77" i="54"/>
  <c r="Z75" i="54"/>
  <c r="AA75" i="54"/>
  <c r="AC29" i="32"/>
  <c r="AD29" i="32"/>
  <c r="AE29" i="32" s="1"/>
  <c r="J41" i="32"/>
  <c r="K41" i="32"/>
  <c r="J38" i="32"/>
  <c r="K38" i="32"/>
  <c r="AC26" i="32"/>
  <c r="AD26" i="32"/>
  <c r="AE26" i="32" s="1"/>
  <c r="J40" i="32"/>
  <c r="K40" i="32"/>
  <c r="BR157" i="69"/>
  <c r="CD157" i="69"/>
  <c r="BS157" i="69"/>
  <c r="CE157" i="69"/>
  <c r="BT157" i="69"/>
  <c r="CF157" i="69"/>
  <c r="BU157" i="69"/>
  <c r="CG157" i="69"/>
  <c r="BV157" i="69"/>
  <c r="CH157" i="69"/>
  <c r="BW157" i="69"/>
  <c r="BX157" i="69"/>
  <c r="BY157" i="69"/>
  <c r="BZ157" i="69"/>
  <c r="BO157" i="69"/>
  <c r="CA157" i="69"/>
  <c r="BP157" i="69"/>
  <c r="CB157" i="69"/>
  <c r="BQ157" i="69"/>
  <c r="CC157" i="69"/>
  <c r="BR154" i="69"/>
  <c r="CD154" i="69"/>
  <c r="BS154" i="69"/>
  <c r="CE154" i="69"/>
  <c r="BT154" i="69"/>
  <c r="CF154" i="69"/>
  <c r="BU154" i="69"/>
  <c r="CG154" i="69"/>
  <c r="BV154" i="69"/>
  <c r="CH154" i="69"/>
  <c r="BW154" i="69"/>
  <c r="BX154" i="69"/>
  <c r="BY154" i="69"/>
  <c r="BZ154" i="69"/>
  <c r="BO154" i="69"/>
  <c r="CA154" i="69"/>
  <c r="BP154" i="69"/>
  <c r="CB154" i="69"/>
  <c r="BQ154" i="69"/>
  <c r="CC154" i="69"/>
  <c r="BZ127" i="69"/>
  <c r="BO127" i="69"/>
  <c r="CA127" i="69"/>
  <c r="BP127" i="69"/>
  <c r="CB127" i="69"/>
  <c r="BQ127" i="69"/>
  <c r="CC127" i="69"/>
  <c r="BR127" i="69"/>
  <c r="CD127" i="69"/>
  <c r="BS127" i="69"/>
  <c r="CE127" i="69"/>
  <c r="BT127" i="69"/>
  <c r="CF127" i="69"/>
  <c r="BU127" i="69"/>
  <c r="CG127" i="69"/>
  <c r="BX127" i="69"/>
  <c r="BV127" i="69"/>
  <c r="BW127" i="69"/>
  <c r="BY127" i="69"/>
  <c r="CH127" i="69"/>
  <c r="BV126" i="69"/>
  <c r="CH126" i="69"/>
  <c r="BW126" i="69"/>
  <c r="BX126" i="69"/>
  <c r="BY126" i="69"/>
  <c r="BZ126" i="69"/>
  <c r="BO126" i="69"/>
  <c r="CA126" i="69"/>
  <c r="BP126" i="69"/>
  <c r="CB126" i="69"/>
  <c r="BQ126" i="69"/>
  <c r="CC126" i="69"/>
  <c r="BR126" i="69"/>
  <c r="CD126" i="69"/>
  <c r="BS126" i="69"/>
  <c r="CE126" i="69"/>
  <c r="BT126" i="69"/>
  <c r="CF126" i="69"/>
  <c r="BU126" i="69"/>
  <c r="CG126" i="69"/>
  <c r="BJ157" i="69"/>
  <c r="BK157" i="69"/>
  <c r="BL157" i="69"/>
  <c r="BM157" i="69"/>
  <c r="BN157" i="69"/>
  <c r="BJ154" i="69"/>
  <c r="BK154" i="69"/>
  <c r="BL154" i="69"/>
  <c r="BM154" i="69"/>
  <c r="BN154" i="69"/>
  <c r="BL127" i="69"/>
  <c r="BM127" i="69"/>
  <c r="BN127" i="69"/>
  <c r="BJ127" i="69"/>
  <c r="BK127" i="69"/>
  <c r="BM126" i="69"/>
  <c r="BN126" i="69"/>
  <c r="BJ126" i="69"/>
  <c r="BK126" i="69"/>
  <c r="BL126" i="69"/>
  <c r="BR69" i="26"/>
  <c r="S133" i="54"/>
  <c r="W133" i="54" s="1"/>
  <c r="R133" i="54"/>
  <c r="V133" i="54" s="1"/>
  <c r="T133" i="54"/>
  <c r="X133" i="54" s="1"/>
  <c r="S157" i="54"/>
  <c r="W157" i="54" s="1"/>
  <c r="T157" i="54"/>
  <c r="X157" i="54" s="1"/>
  <c r="R157" i="54"/>
  <c r="V157" i="54" s="1"/>
  <c r="T131" i="54"/>
  <c r="X131" i="54" s="1"/>
  <c r="S131" i="54"/>
  <c r="W131" i="54" s="1"/>
  <c r="R131" i="54"/>
  <c r="V131" i="54" s="1"/>
  <c r="T134" i="54"/>
  <c r="X134" i="54" s="1"/>
  <c r="R134" i="54"/>
  <c r="V134" i="54" s="1"/>
  <c r="S134" i="54"/>
  <c r="W134" i="54" s="1"/>
  <c r="BR67" i="26"/>
  <c r="BR71" i="26"/>
  <c r="BR70" i="26"/>
  <c r="S159" i="54"/>
  <c r="W159" i="54" s="1"/>
  <c r="T159" i="54"/>
  <c r="X159" i="54" s="1"/>
  <c r="R159" i="54"/>
  <c r="V159" i="54" s="1"/>
  <c r="BR68" i="26"/>
  <c r="BR72" i="26"/>
  <c r="T160" i="54"/>
  <c r="X160" i="54" s="1"/>
  <c r="S160" i="54"/>
  <c r="W160" i="54" s="1"/>
  <c r="R160" i="54"/>
  <c r="V160" i="54" s="1"/>
  <c r="BE154" i="69"/>
  <c r="BF154" i="69"/>
  <c r="BG154" i="69"/>
  <c r="BH154" i="69"/>
  <c r="BI154" i="69"/>
  <c r="BE127" i="69"/>
  <c r="BF127" i="69"/>
  <c r="BG127" i="69"/>
  <c r="BH127" i="69"/>
  <c r="BI127" i="69"/>
  <c r="BE126" i="69"/>
  <c r="BF126" i="69"/>
  <c r="BG126" i="69"/>
  <c r="BH126" i="69"/>
  <c r="BI126" i="69"/>
  <c r="BE157" i="69"/>
  <c r="BF157" i="69"/>
  <c r="BG157" i="69"/>
  <c r="BH157" i="69"/>
  <c r="BI157" i="69"/>
  <c r="BR58" i="26"/>
  <c r="BR59" i="26"/>
  <c r="BR57" i="26"/>
  <c r="BR64" i="26"/>
  <c r="BR65" i="26"/>
  <c r="BR61" i="26"/>
  <c r="BR66" i="26"/>
  <c r="BR60" i="26"/>
  <c r="BR62" i="26"/>
  <c r="BR63" i="26"/>
  <c r="D413" i="47"/>
  <c r="N413" i="47" s="1"/>
  <c r="O413" i="47" s="1"/>
  <c r="Q413" i="47" s="1"/>
  <c r="I25" i="32"/>
  <c r="AS37" i="29" s="1"/>
  <c r="X357" i="47"/>
  <c r="Y357" i="47"/>
  <c r="BC126" i="69"/>
  <c r="BD126" i="69"/>
  <c r="BC154" i="69"/>
  <c r="BD154" i="69"/>
  <c r="BC127" i="69"/>
  <c r="BD127" i="69"/>
  <c r="BD157" i="69"/>
  <c r="BC157" i="69"/>
  <c r="AI212" i="69"/>
  <c r="AH212" i="69"/>
  <c r="AK126" i="69"/>
  <c r="AL126" i="69"/>
  <c r="AM126" i="69"/>
  <c r="AS126" i="69"/>
  <c r="BA126" i="69"/>
  <c r="AT126" i="69"/>
  <c r="BB126" i="69"/>
  <c r="AU126" i="69"/>
  <c r="AO126" i="69"/>
  <c r="AW126" i="69"/>
  <c r="AP126" i="69"/>
  <c r="AX126" i="69"/>
  <c r="AQ126" i="69"/>
  <c r="AY126" i="69"/>
  <c r="AZ126" i="69"/>
  <c r="AN126" i="69"/>
  <c r="AR126" i="69"/>
  <c r="AV126" i="69"/>
  <c r="AK127" i="69"/>
  <c r="AM127" i="69"/>
  <c r="AL127" i="69"/>
  <c r="AQ154" i="69"/>
  <c r="AY154" i="69"/>
  <c r="AS154" i="69"/>
  <c r="BA154" i="69"/>
  <c r="AT154" i="69"/>
  <c r="BB154" i="69"/>
  <c r="AU154" i="69"/>
  <c r="AN154" i="69"/>
  <c r="AV154" i="69"/>
  <c r="AO154" i="69"/>
  <c r="AW154" i="69"/>
  <c r="AP154" i="69"/>
  <c r="AR154" i="69"/>
  <c r="AX154" i="69"/>
  <c r="AZ154" i="69"/>
  <c r="AK157" i="69"/>
  <c r="AM157" i="69"/>
  <c r="AL157" i="69"/>
  <c r="AN127" i="69"/>
  <c r="AR127" i="69"/>
  <c r="AZ127" i="69"/>
  <c r="AS127" i="69"/>
  <c r="BA127" i="69"/>
  <c r="AT127" i="69"/>
  <c r="BB127" i="69"/>
  <c r="AV127" i="69"/>
  <c r="AO127" i="69"/>
  <c r="AW127" i="69"/>
  <c r="AP127" i="69"/>
  <c r="AX127" i="69"/>
  <c r="AQ127" i="69"/>
  <c r="AU127" i="69"/>
  <c r="AY127" i="69"/>
  <c r="AK154" i="69"/>
  <c r="AL154" i="69"/>
  <c r="AM154" i="69"/>
  <c r="AP157" i="69"/>
  <c r="AW157" i="69"/>
  <c r="AO157" i="69"/>
  <c r="AT157" i="69"/>
  <c r="BB157" i="69"/>
  <c r="AY157" i="69"/>
  <c r="AX157" i="69"/>
  <c r="AQ157" i="69"/>
  <c r="AV157" i="69"/>
  <c r="AN157" i="69"/>
  <c r="AU157" i="69"/>
  <c r="BA157" i="69"/>
  <c r="AZ157" i="69"/>
  <c r="AS157" i="69"/>
  <c r="AR157" i="69"/>
  <c r="AE282" i="47"/>
  <c r="E134" i="47"/>
  <c r="AY47" i="43" s="1"/>
  <c r="N176" i="47"/>
  <c r="M176" i="47"/>
  <c r="X193" i="47"/>
  <c r="AG193" i="47" s="1"/>
  <c r="W193" i="47"/>
  <c r="AF193" i="47" s="1"/>
  <c r="T193" i="47"/>
  <c r="AD193" i="47" s="1"/>
  <c r="U193" i="47"/>
  <c r="AE193" i="47" s="1"/>
  <c r="R193" i="47"/>
  <c r="AC193" i="47" s="1"/>
  <c r="Q193" i="47"/>
  <c r="AB193" i="47" s="1"/>
  <c r="G15" i="23"/>
  <c r="U102" i="47"/>
  <c r="AD102" i="47" s="1"/>
  <c r="V102" i="47"/>
  <c r="AE102" i="47" s="1"/>
  <c r="S102" i="47"/>
  <c r="AC102" i="47" s="1"/>
  <c r="R102" i="47"/>
  <c r="AB102" i="47" s="1"/>
  <c r="Y102" i="47"/>
  <c r="AG102" i="47" s="1"/>
  <c r="X102" i="47"/>
  <c r="AF102" i="47" s="1"/>
  <c r="AD77" i="47"/>
  <c r="R297" i="47"/>
  <c r="Q297" i="47"/>
  <c r="T297" i="47"/>
  <c r="U297" i="47"/>
  <c r="R298" i="47"/>
  <c r="Q298" i="47"/>
  <c r="U300" i="47"/>
  <c r="T300" i="47"/>
  <c r="U299" i="47"/>
  <c r="T299" i="47"/>
  <c r="Q300" i="47"/>
  <c r="R300" i="47"/>
  <c r="R299" i="47"/>
  <c r="Q299" i="47"/>
  <c r="W298" i="47"/>
  <c r="X298" i="47"/>
  <c r="T296" i="47"/>
  <c r="U296" i="47"/>
  <c r="Q296" i="47"/>
  <c r="R296" i="47"/>
  <c r="AC282" i="47"/>
  <c r="T301" i="47"/>
  <c r="U301" i="47"/>
  <c r="X301" i="47"/>
  <c r="W301" i="47"/>
  <c r="W296" i="47"/>
  <c r="X296" i="47"/>
  <c r="R301" i="47"/>
  <c r="Q301" i="47"/>
  <c r="U298" i="47"/>
  <c r="T298" i="47"/>
  <c r="X299" i="47"/>
  <c r="W299" i="47"/>
  <c r="X297" i="47"/>
  <c r="W297" i="47"/>
  <c r="W300" i="47"/>
  <c r="X300" i="47"/>
  <c r="P12" i="32"/>
  <c r="Q12" i="32" s="1"/>
  <c r="BK40" i="29" s="1"/>
  <c r="R12" i="32" s="1"/>
  <c r="Y29" i="32"/>
  <c r="X29" i="32"/>
  <c r="U28" i="32"/>
  <c r="Z274" i="47"/>
  <c r="BG274" i="47" s="1"/>
  <c r="Y274" i="47"/>
  <c r="BF274" i="47" s="1"/>
  <c r="Y273" i="47"/>
  <c r="BF273" i="47" s="1"/>
  <c r="Z273" i="47"/>
  <c r="BG273" i="47" s="1"/>
  <c r="Y272" i="47"/>
  <c r="BF272" i="47" s="1"/>
  <c r="Z272" i="47"/>
  <c r="BG272" i="47" s="1"/>
  <c r="Z269" i="47"/>
  <c r="BG269" i="47" s="1"/>
  <c r="Z55" i="47"/>
  <c r="AA55" i="47"/>
  <c r="BA53" i="47"/>
  <c r="AG53" i="47"/>
  <c r="P112" i="68"/>
  <c r="K116" i="55" s="1"/>
  <c r="P111" i="68"/>
  <c r="K115" i="55" s="1"/>
  <c r="Y440" i="47"/>
  <c r="X440" i="47"/>
  <c r="BG440" i="47" s="1"/>
  <c r="V439" i="47"/>
  <c r="U439" i="47"/>
  <c r="BE439" i="47" s="1"/>
  <c r="S440" i="47"/>
  <c r="R440" i="47"/>
  <c r="AG440" i="47" s="1"/>
  <c r="P439" i="47"/>
  <c r="O439" i="47"/>
  <c r="BA439" i="47" s="1"/>
  <c r="L439" i="47"/>
  <c r="M439" i="47"/>
  <c r="U440" i="47"/>
  <c r="BE440" i="47" s="1"/>
  <c r="V440" i="47"/>
  <c r="N442" i="47"/>
  <c r="H446" i="47" s="1"/>
  <c r="L442" i="47"/>
  <c r="Q442" i="47"/>
  <c r="O442" i="47"/>
  <c r="T442" i="47"/>
  <c r="R442" i="47"/>
  <c r="X439" i="47"/>
  <c r="BG439" i="47" s="1"/>
  <c r="Y439" i="47"/>
  <c r="W442" i="47"/>
  <c r="U442" i="47"/>
  <c r="O440" i="47"/>
  <c r="BA440" i="47" s="1"/>
  <c r="P440" i="47"/>
  <c r="Z442" i="47"/>
  <c r="X442" i="47"/>
  <c r="M440" i="47"/>
  <c r="G446" i="47" s="1"/>
  <c r="L440" i="47"/>
  <c r="R439" i="47"/>
  <c r="AG439" i="47" s="1"/>
  <c r="S439" i="47"/>
  <c r="R453" i="47"/>
  <c r="Q453" i="47"/>
  <c r="X453" i="47"/>
  <c r="W453" i="47"/>
  <c r="U454" i="47"/>
  <c r="BA454" i="47" s="1"/>
  <c r="T454" i="47"/>
  <c r="X454" i="47"/>
  <c r="BC454" i="47" s="1"/>
  <c r="W454" i="47"/>
  <c r="R454" i="47"/>
  <c r="AC454" i="47" s="1"/>
  <c r="Q454" i="47"/>
  <c r="U453" i="47"/>
  <c r="T453" i="47"/>
  <c r="X389" i="47"/>
  <c r="W389" i="47"/>
  <c r="Q388" i="47"/>
  <c r="AB388" i="47" s="1"/>
  <c r="R389" i="47"/>
  <c r="Q389" i="47"/>
  <c r="U389" i="47"/>
  <c r="T389" i="47"/>
  <c r="X388" i="47"/>
  <c r="AG388" i="47" s="1"/>
  <c r="R388" i="47"/>
  <c r="T388" i="47"/>
  <c r="U388" i="47"/>
  <c r="AE388" i="47" s="1"/>
  <c r="N374" i="47"/>
  <c r="L374" i="47"/>
  <c r="W373" i="47"/>
  <c r="U373" i="47"/>
  <c r="V373" i="47"/>
  <c r="P373" i="47"/>
  <c r="O373" i="47"/>
  <c r="Q373" i="47"/>
  <c r="X373" i="47"/>
  <c r="Y373" i="47"/>
  <c r="Z373" i="47"/>
  <c r="R373" i="47"/>
  <c r="S373" i="47"/>
  <c r="T373" i="47"/>
  <c r="Z374" i="47"/>
  <c r="X374" i="47"/>
  <c r="L373" i="47"/>
  <c r="N373" i="47"/>
  <c r="M373" i="47"/>
  <c r="G380" i="47" s="1"/>
  <c r="W374" i="47"/>
  <c r="U374" i="47"/>
  <c r="T374" i="47"/>
  <c r="R374" i="47"/>
  <c r="O374" i="47"/>
  <c r="Q374" i="47"/>
  <c r="Y270" i="47"/>
  <c r="BF270" i="47" s="1"/>
  <c r="X270" i="47"/>
  <c r="M270" i="47"/>
  <c r="L270" i="47"/>
  <c r="P270" i="47"/>
  <c r="O270" i="47"/>
  <c r="V270" i="47"/>
  <c r="BD270" i="47" s="1"/>
  <c r="U270" i="47"/>
  <c r="S270" i="47"/>
  <c r="R270" i="47"/>
  <c r="AG270" i="47" s="1"/>
  <c r="I309" i="47"/>
  <c r="I308" i="47"/>
  <c r="M312" i="47"/>
  <c r="K307" i="47"/>
  <c r="K308" i="47"/>
  <c r="M311" i="47"/>
  <c r="O311" i="47"/>
  <c r="M308" i="47"/>
  <c r="O307" i="47"/>
  <c r="M310" i="47"/>
  <c r="K311" i="47"/>
  <c r="K309" i="47"/>
  <c r="O310" i="47"/>
  <c r="O309" i="47"/>
  <c r="O312" i="47"/>
  <c r="M307" i="47"/>
  <c r="I310" i="47"/>
  <c r="I312" i="47"/>
  <c r="I311" i="47"/>
  <c r="K310" i="47"/>
  <c r="K312" i="47"/>
  <c r="O308" i="47"/>
  <c r="M309" i="47"/>
  <c r="I307" i="47"/>
  <c r="L269" i="47"/>
  <c r="N269" i="47"/>
  <c r="V271" i="47"/>
  <c r="W271" i="47"/>
  <c r="S272" i="47"/>
  <c r="AF272" i="47" s="1"/>
  <c r="T272" i="47"/>
  <c r="AG272" i="47" s="1"/>
  <c r="M272" i="47"/>
  <c r="N272" i="47"/>
  <c r="P273" i="47"/>
  <c r="Q273" i="47"/>
  <c r="V274" i="47"/>
  <c r="W274" i="47"/>
  <c r="Q274" i="47"/>
  <c r="P274" i="47"/>
  <c r="M274" i="47"/>
  <c r="N274" i="47"/>
  <c r="P271" i="47"/>
  <c r="Q271" i="47"/>
  <c r="S274" i="47"/>
  <c r="AF274" i="47" s="1"/>
  <c r="T274" i="47"/>
  <c r="AG274" i="47" s="1"/>
  <c r="W272" i="47"/>
  <c r="V272" i="47"/>
  <c r="T273" i="47"/>
  <c r="AG273" i="47" s="1"/>
  <c r="S273" i="47"/>
  <c r="AF273" i="47" s="1"/>
  <c r="S271" i="47"/>
  <c r="AF271" i="47" s="1"/>
  <c r="T271" i="47"/>
  <c r="AG271" i="47" s="1"/>
  <c r="M273" i="47"/>
  <c r="N273" i="47"/>
  <c r="V273" i="47"/>
  <c r="W273" i="47"/>
  <c r="N271" i="47"/>
  <c r="M271" i="47"/>
  <c r="P272" i="47"/>
  <c r="Q272" i="47"/>
  <c r="X269" i="47"/>
  <c r="Y269" i="47"/>
  <c r="BF269" i="47" s="1"/>
  <c r="M269" i="47"/>
  <c r="W205" i="47"/>
  <c r="AF205" i="47" s="1"/>
  <c r="X205" i="47"/>
  <c r="AG205" i="47" s="1"/>
  <c r="U205" i="47"/>
  <c r="AE205" i="47" s="1"/>
  <c r="T205" i="47"/>
  <c r="AD205" i="47" s="1"/>
  <c r="R205" i="47"/>
  <c r="AC205" i="47" s="1"/>
  <c r="Q205" i="47"/>
  <c r="AB205" i="47" s="1"/>
  <c r="T206" i="47"/>
  <c r="AD206" i="47" s="1"/>
  <c r="U206" i="47"/>
  <c r="AE206" i="47" s="1"/>
  <c r="X206" i="47"/>
  <c r="AG206" i="47" s="1"/>
  <c r="W206" i="47"/>
  <c r="AF206" i="47" s="1"/>
  <c r="Q206" i="47"/>
  <c r="AB206" i="47" s="1"/>
  <c r="R206" i="47"/>
  <c r="AC206" i="47" s="1"/>
  <c r="U204" i="47"/>
  <c r="AE204" i="47" s="1"/>
  <c r="T204" i="47"/>
  <c r="AD204" i="47" s="1"/>
  <c r="X204" i="47"/>
  <c r="AG204" i="47" s="1"/>
  <c r="W204" i="47"/>
  <c r="AF204" i="47" s="1"/>
  <c r="R204" i="47"/>
  <c r="AC204" i="47" s="1"/>
  <c r="Q204" i="47"/>
  <c r="AB204" i="47" s="1"/>
  <c r="E181" i="47"/>
  <c r="CH51" i="43"/>
  <c r="E170" i="47" s="1"/>
  <c r="P170" i="47" s="1"/>
  <c r="K179" i="47"/>
  <c r="CO49" i="43"/>
  <c r="K168" i="47" s="1"/>
  <c r="Z168" i="47" s="1"/>
  <c r="BG168" i="47" s="1"/>
  <c r="K181" i="47"/>
  <c r="CO51" i="43"/>
  <c r="K170" i="47" s="1"/>
  <c r="Z170" i="47" s="1"/>
  <c r="BG170" i="47" s="1"/>
  <c r="K180" i="47"/>
  <c r="CO50" i="43"/>
  <c r="K169" i="47" s="1"/>
  <c r="Y169" i="47" s="1"/>
  <c r="BF169" i="47" s="1"/>
  <c r="C181" i="47"/>
  <c r="CF51" i="43"/>
  <c r="C170" i="47" s="1"/>
  <c r="N170" i="47" s="1"/>
  <c r="C177" i="47"/>
  <c r="N177" i="47" s="1"/>
  <c r="CF47" i="43"/>
  <c r="C166" i="47" s="1"/>
  <c r="N166" i="47" s="1"/>
  <c r="AY166" i="47" s="1"/>
  <c r="I179" i="47"/>
  <c r="CM49" i="43"/>
  <c r="I168" i="47" s="1"/>
  <c r="V168" i="47" s="1"/>
  <c r="BD168" i="47" s="1"/>
  <c r="I176" i="47"/>
  <c r="CM46" i="43"/>
  <c r="I165" i="47" s="1"/>
  <c r="U165" i="47" s="1"/>
  <c r="I181" i="47"/>
  <c r="CM51" i="43"/>
  <c r="I170" i="47" s="1"/>
  <c r="W170" i="47" s="1"/>
  <c r="BE170" i="47" s="1"/>
  <c r="C179" i="47"/>
  <c r="CF49" i="43"/>
  <c r="C168" i="47" s="1"/>
  <c r="N168" i="47" s="1"/>
  <c r="G181" i="47"/>
  <c r="CJ51" i="43"/>
  <c r="G170" i="47" s="1"/>
  <c r="S170" i="47" s="1"/>
  <c r="AF170" i="47" s="1"/>
  <c r="K177" i="47"/>
  <c r="Z177" i="47" s="1"/>
  <c r="CO47" i="43"/>
  <c r="K166" i="47" s="1"/>
  <c r="E177" i="47"/>
  <c r="Q177" i="47" s="1"/>
  <c r="CH47" i="43"/>
  <c r="E166" i="47" s="1"/>
  <c r="Q166" i="47" s="1"/>
  <c r="BA166" i="47" s="1"/>
  <c r="I180" i="47"/>
  <c r="CM50" i="43"/>
  <c r="I169" i="47" s="1"/>
  <c r="V169" i="47" s="1"/>
  <c r="BD169" i="47" s="1"/>
  <c r="E180" i="47"/>
  <c r="CH50" i="43"/>
  <c r="E169" i="47" s="1"/>
  <c r="Q169" i="47" s="1"/>
  <c r="K176" i="47"/>
  <c r="CO46" i="43"/>
  <c r="K165" i="47" s="1"/>
  <c r="X165" i="47" s="1"/>
  <c r="G180" i="47"/>
  <c r="CJ50" i="43"/>
  <c r="G169" i="47" s="1"/>
  <c r="S169" i="47" s="1"/>
  <c r="E179" i="47"/>
  <c r="CH49" i="43"/>
  <c r="E168" i="47" s="1"/>
  <c r="Q168" i="47" s="1"/>
  <c r="G179" i="47"/>
  <c r="CJ49" i="43"/>
  <c r="G168" i="47" s="1"/>
  <c r="T168" i="47" s="1"/>
  <c r="AG168" i="47" s="1"/>
  <c r="K178" i="47"/>
  <c r="Z178" i="47" s="1"/>
  <c r="CO48" i="43"/>
  <c r="K167" i="47" s="1"/>
  <c r="G177" i="47"/>
  <c r="T177" i="47" s="1"/>
  <c r="AG177" i="47" s="1"/>
  <c r="CJ47" i="43"/>
  <c r="G166" i="47" s="1"/>
  <c r="I177" i="47"/>
  <c r="W177" i="47" s="1"/>
  <c r="CM47" i="43"/>
  <c r="I166" i="47" s="1"/>
  <c r="W166" i="47" s="1"/>
  <c r="BE166" i="47" s="1"/>
  <c r="C178" i="47"/>
  <c r="N178" i="47" s="1"/>
  <c r="CF48" i="43"/>
  <c r="C167" i="47" s="1"/>
  <c r="N167" i="47" s="1"/>
  <c r="AY167" i="47" s="1"/>
  <c r="G178" i="47"/>
  <c r="T178" i="47" s="1"/>
  <c r="AG178" i="47" s="1"/>
  <c r="CJ48" i="43"/>
  <c r="G167" i="47" s="1"/>
  <c r="I178" i="47"/>
  <c r="W178" i="47" s="1"/>
  <c r="CM48" i="43"/>
  <c r="I167" i="47" s="1"/>
  <c r="W167" i="47" s="1"/>
  <c r="BE167" i="47" s="1"/>
  <c r="E178" i="47"/>
  <c r="Q178" i="47" s="1"/>
  <c r="CH48" i="43"/>
  <c r="E167" i="47" s="1"/>
  <c r="Q167" i="47" s="1"/>
  <c r="BA167" i="47" s="1"/>
  <c r="E176" i="47"/>
  <c r="CH46" i="43"/>
  <c r="E165" i="47" s="1"/>
  <c r="O165" i="47" s="1"/>
  <c r="C180" i="47"/>
  <c r="CF50" i="43"/>
  <c r="C169" i="47" s="1"/>
  <c r="M169" i="47" s="1"/>
  <c r="G176" i="47"/>
  <c r="CJ46" i="43"/>
  <c r="G165" i="47" s="1"/>
  <c r="R165" i="47" s="1"/>
  <c r="M66" i="47"/>
  <c r="AB91" i="47"/>
  <c r="V91" i="47"/>
  <c r="AE91" i="47" s="1"/>
  <c r="U91" i="47"/>
  <c r="AD91" i="47" s="1"/>
  <c r="AC91" i="47"/>
  <c r="Y91" i="47"/>
  <c r="AG91" i="47" s="1"/>
  <c r="X91" i="47"/>
  <c r="AF91" i="47" s="1"/>
  <c r="CM14" i="43"/>
  <c r="I67" i="47" s="1"/>
  <c r="W67" i="47" s="1"/>
  <c r="BE67" i="47" s="1"/>
  <c r="CH14" i="43"/>
  <c r="E67" i="47" s="1"/>
  <c r="CM28" i="43" s="1"/>
  <c r="I80" i="47" s="1"/>
  <c r="CH15" i="43"/>
  <c r="E68" i="47" s="1"/>
  <c r="CM15" i="43"/>
  <c r="I68" i="47" s="1"/>
  <c r="CM16" i="43"/>
  <c r="I69" i="47" s="1"/>
  <c r="W69" i="47" s="1"/>
  <c r="BE69" i="47" s="1"/>
  <c r="CH16" i="43"/>
  <c r="E69" i="47" s="1"/>
  <c r="CH30" i="43" s="1"/>
  <c r="E82" i="47" s="1"/>
  <c r="Y67" i="47"/>
  <c r="Z67" i="47"/>
  <c r="Z70" i="47"/>
  <c r="BG70" i="47" s="1"/>
  <c r="Y70" i="47"/>
  <c r="BF70" i="47" s="1"/>
  <c r="Y71" i="47"/>
  <c r="BF71" i="47" s="1"/>
  <c r="Z71" i="47"/>
  <c r="BG71" i="47" s="1"/>
  <c r="Z68" i="47"/>
  <c r="BG68" i="47" s="1"/>
  <c r="Y68" i="47"/>
  <c r="BF68" i="47" s="1"/>
  <c r="Z69" i="47"/>
  <c r="BG69" i="47" s="1"/>
  <c r="Y69" i="47"/>
  <c r="BF69" i="47" s="1"/>
  <c r="N67" i="47"/>
  <c r="M67" i="47"/>
  <c r="P71" i="47"/>
  <c r="Q71" i="47"/>
  <c r="S71" i="47"/>
  <c r="AF71" i="47" s="1"/>
  <c r="T71" i="47"/>
  <c r="AG71" i="47" s="1"/>
  <c r="N70" i="47"/>
  <c r="M70" i="47"/>
  <c r="AB70" i="47" s="1"/>
  <c r="T69" i="47"/>
  <c r="AG69" i="47" s="1"/>
  <c r="S69" i="47"/>
  <c r="AF69" i="47" s="1"/>
  <c r="M69" i="47"/>
  <c r="N69" i="47"/>
  <c r="S70" i="47"/>
  <c r="AF70" i="47" s="1"/>
  <c r="T70" i="47"/>
  <c r="AG70" i="47" s="1"/>
  <c r="N71" i="47"/>
  <c r="M71" i="47"/>
  <c r="W71" i="47"/>
  <c r="V71" i="47"/>
  <c r="BD71" i="47" s="1"/>
  <c r="P70" i="47"/>
  <c r="Q70" i="47"/>
  <c r="S67" i="47"/>
  <c r="AF67" i="47" s="1"/>
  <c r="T67" i="47"/>
  <c r="AG67" i="47" s="1"/>
  <c r="N68" i="47"/>
  <c r="M68" i="47"/>
  <c r="T68" i="47"/>
  <c r="AG68" i="47" s="1"/>
  <c r="S68" i="47"/>
  <c r="AF68" i="47" s="1"/>
  <c r="CF29" i="43"/>
  <c r="C81" i="47" s="1"/>
  <c r="CM29" i="43"/>
  <c r="I81" i="47" s="1"/>
  <c r="W70" i="47"/>
  <c r="BE42" i="29"/>
  <c r="L14" i="32" s="1"/>
  <c r="BE41" i="29"/>
  <c r="L13" i="32" s="1"/>
  <c r="T29" i="32" s="1"/>
  <c r="BE43" i="29"/>
  <c r="L15" i="32" s="1"/>
  <c r="BE40" i="29"/>
  <c r="L12" i="32" s="1"/>
  <c r="BR56" i="26"/>
  <c r="N9" i="55"/>
  <c r="L18" i="55" s="1"/>
  <c r="M18" i="55" s="1"/>
  <c r="G171" i="69" s="1"/>
  <c r="CL12" i="50"/>
  <c r="N33" i="55"/>
  <c r="L53" i="55" s="1"/>
  <c r="CL31" i="50"/>
  <c r="N34" i="55"/>
  <c r="L54" i="55" s="1"/>
  <c r="P54" i="55" s="1"/>
  <c r="CL32" i="50"/>
  <c r="N12" i="55"/>
  <c r="L21" i="55" s="1"/>
  <c r="M21" i="55" s="1"/>
  <c r="G174" i="69" s="1"/>
  <c r="CL15" i="50"/>
  <c r="N10" i="55"/>
  <c r="L19" i="55" s="1"/>
  <c r="M19" i="55" s="1"/>
  <c r="G172" i="69" s="1"/>
  <c r="CL13" i="50"/>
  <c r="N36" i="55"/>
  <c r="L56" i="55" s="1"/>
  <c r="V56" i="55" s="1"/>
  <c r="CL34" i="50"/>
  <c r="N11" i="55"/>
  <c r="L20" i="55" s="1"/>
  <c r="M20" i="55" s="1"/>
  <c r="G173" i="69" s="1"/>
  <c r="CL14" i="50"/>
  <c r="N32" i="55"/>
  <c r="L52" i="55" s="1"/>
  <c r="CL30" i="50"/>
  <c r="N13" i="55"/>
  <c r="L22" i="55" s="1"/>
  <c r="M22" i="55" s="1"/>
  <c r="G175" i="69" s="1"/>
  <c r="CL16" i="50"/>
  <c r="N31" i="55"/>
  <c r="L51" i="55" s="1"/>
  <c r="CL29" i="50"/>
  <c r="N35" i="55"/>
  <c r="L55" i="55" s="1"/>
  <c r="O55" i="55" s="1"/>
  <c r="CL33" i="50"/>
  <c r="N8" i="55"/>
  <c r="L17" i="55" s="1"/>
  <c r="M17" i="55" s="1"/>
  <c r="G170" i="69" s="1"/>
  <c r="CL11" i="50"/>
  <c r="Y255" i="47"/>
  <c r="Z255" i="47"/>
  <c r="AZ255" i="47" s="1"/>
  <c r="AG151" i="47"/>
  <c r="W468" i="47"/>
  <c r="U468" i="47"/>
  <c r="W469" i="47"/>
  <c r="U469" i="47"/>
  <c r="AS59" i="15"/>
  <c r="BH59" i="15" s="1"/>
  <c r="L105" i="55"/>
  <c r="M105" i="55"/>
  <c r="M102" i="55"/>
  <c r="L102" i="55"/>
  <c r="L103" i="55"/>
  <c r="M103" i="55"/>
  <c r="M104" i="55"/>
  <c r="L104" i="55"/>
  <c r="AY430" i="47"/>
  <c r="N9" i="14"/>
  <c r="N35" i="14" s="1"/>
  <c r="M9" i="14"/>
  <c r="N8" i="14"/>
  <c r="N34" i="14" s="1"/>
  <c r="M8" i="14"/>
  <c r="M34" i="14" s="1"/>
  <c r="N11" i="14"/>
  <c r="N37" i="14" s="1"/>
  <c r="M11" i="14"/>
  <c r="AY426" i="47"/>
  <c r="AY429" i="47"/>
  <c r="AY427" i="47"/>
  <c r="AZ427" i="47"/>
  <c r="BA427" i="47"/>
  <c r="AZ430" i="47"/>
  <c r="BA430" i="47"/>
  <c r="AZ426" i="47"/>
  <c r="BA426" i="47"/>
  <c r="AZ428" i="47"/>
  <c r="BA428" i="47"/>
  <c r="AZ429" i="47"/>
  <c r="BA429" i="47"/>
  <c r="AY428" i="47"/>
  <c r="V425" i="47"/>
  <c r="X425" i="47" s="1"/>
  <c r="AD397" i="43"/>
  <c r="H11" i="35"/>
  <c r="J13" i="35"/>
  <c r="H12" i="35"/>
  <c r="H13" i="35"/>
  <c r="R488" i="47"/>
  <c r="U488" i="47" s="1"/>
  <c r="Q488" i="47"/>
  <c r="T488" i="47" s="1"/>
  <c r="D415" i="47"/>
  <c r="N415" i="47" s="1"/>
  <c r="D414" i="47"/>
  <c r="N414" i="47" s="1"/>
  <c r="AA53" i="47"/>
  <c r="BG373" i="47"/>
  <c r="BE373" i="47"/>
  <c r="BE380" i="47" s="1"/>
  <c r="AV66" i="29"/>
  <c r="I14" i="35" s="1"/>
  <c r="CH198" i="43"/>
  <c r="L505" i="47"/>
  <c r="P505" i="47" s="1"/>
  <c r="CH197" i="43"/>
  <c r="L504" i="47"/>
  <c r="P504" i="47" s="1"/>
  <c r="CH199" i="43"/>
  <c r="L506" i="47"/>
  <c r="P506" i="47" s="1"/>
  <c r="G10" i="55"/>
  <c r="BV13" i="50" s="1"/>
  <c r="H10" i="55" s="1"/>
  <c r="I19" i="55" s="1"/>
  <c r="J19" i="55" s="1"/>
  <c r="F172" i="69" s="1"/>
  <c r="G11" i="55"/>
  <c r="BV14" i="50" s="1"/>
  <c r="H11" i="55" s="1"/>
  <c r="I20" i="55" s="1"/>
  <c r="J20" i="55" s="1"/>
  <c r="F173" i="69" s="1"/>
  <c r="G35" i="55"/>
  <c r="BV33" i="50" s="1"/>
  <c r="H35" i="55" s="1"/>
  <c r="M45" i="55" s="1"/>
  <c r="P45" i="55" s="1"/>
  <c r="X62" i="54"/>
  <c r="G66" i="55"/>
  <c r="BV46" i="50" s="1"/>
  <c r="G71" i="55"/>
  <c r="BV51" i="50" s="1"/>
  <c r="G32" i="55"/>
  <c r="BV30" i="50" s="1"/>
  <c r="H32" i="55" s="1"/>
  <c r="M42" i="55" s="1"/>
  <c r="P42" i="55" s="1"/>
  <c r="G69" i="55"/>
  <c r="BV49" i="50" s="1"/>
  <c r="G67" i="55"/>
  <c r="BV47" i="50" s="1"/>
  <c r="G33" i="55"/>
  <c r="BV31" i="50" s="1"/>
  <c r="H33" i="55" s="1"/>
  <c r="L43" i="55" s="1"/>
  <c r="O43" i="55" s="1"/>
  <c r="U43" i="55" s="1"/>
  <c r="G9" i="55"/>
  <c r="BV12" i="50" s="1"/>
  <c r="H9" i="55" s="1"/>
  <c r="I18" i="55" s="1"/>
  <c r="J18" i="55" s="1"/>
  <c r="F171" i="69" s="1"/>
  <c r="G36" i="55"/>
  <c r="BV34" i="50" s="1"/>
  <c r="H36" i="55" s="1"/>
  <c r="M46" i="55" s="1"/>
  <c r="P46" i="55" s="1"/>
  <c r="G13" i="55"/>
  <c r="BV16" i="50" s="1"/>
  <c r="H13" i="55" s="1"/>
  <c r="I22" i="55" s="1"/>
  <c r="J22" i="55" s="1"/>
  <c r="F175" i="69" s="1"/>
  <c r="G70" i="55"/>
  <c r="BV50" i="50" s="1"/>
  <c r="G34" i="55"/>
  <c r="BV32" i="50" s="1"/>
  <c r="H34" i="55" s="1"/>
  <c r="L44" i="55" s="1"/>
  <c r="O44" i="55" s="1"/>
  <c r="U44" i="55" s="1"/>
  <c r="G68" i="55"/>
  <c r="BV48" i="50" s="1"/>
  <c r="G12" i="55"/>
  <c r="BV15" i="50" s="1"/>
  <c r="H12" i="55" s="1"/>
  <c r="I21" i="55" s="1"/>
  <c r="J21" i="55" s="1"/>
  <c r="F174" i="69" s="1"/>
  <c r="K53" i="55"/>
  <c r="M93" i="55"/>
  <c r="L93" i="55"/>
  <c r="G8" i="55"/>
  <c r="BV11" i="50" s="1"/>
  <c r="H8" i="55" s="1"/>
  <c r="BT11" i="50"/>
  <c r="F8" i="55" s="1"/>
  <c r="L89" i="55"/>
  <c r="M89" i="55"/>
  <c r="M101" i="55"/>
  <c r="L101" i="55"/>
  <c r="K52" i="55"/>
  <c r="L94" i="55"/>
  <c r="M94" i="55"/>
  <c r="L92" i="55"/>
  <c r="M92" i="55"/>
  <c r="G31" i="55"/>
  <c r="BV29" i="50" s="1"/>
  <c r="H31" i="55" s="1"/>
  <c r="BT29" i="50"/>
  <c r="F31" i="55" s="1"/>
  <c r="L100" i="55"/>
  <c r="L91" i="55"/>
  <c r="M91" i="55"/>
  <c r="L90" i="55"/>
  <c r="M90" i="55"/>
  <c r="AJ260" i="47"/>
  <c r="AJ255" i="47"/>
  <c r="AJ256" i="47"/>
  <c r="AJ257" i="47"/>
  <c r="AJ259" i="47"/>
  <c r="AJ258" i="47"/>
  <c r="Q489" i="47"/>
  <c r="P489" i="47"/>
  <c r="R489" i="47"/>
  <c r="AY443" i="47"/>
  <c r="AC443" i="47"/>
  <c r="Z469" i="47"/>
  <c r="Y469" i="47"/>
  <c r="X469" i="47"/>
  <c r="AD469" i="47"/>
  <c r="AF469" i="47"/>
  <c r="Z468" i="47"/>
  <c r="Y468" i="47"/>
  <c r="AF468" i="47"/>
  <c r="AA468" i="47"/>
  <c r="AC468" i="47"/>
  <c r="T469" i="47"/>
  <c r="R469" i="47"/>
  <c r="F476" i="47" s="1"/>
  <c r="AA469" i="47"/>
  <c r="AB469" i="47"/>
  <c r="AC469" i="47"/>
  <c r="Z358" i="47"/>
  <c r="Y358" i="47"/>
  <c r="AX357" i="47"/>
  <c r="Z357" i="47"/>
  <c r="AY357" i="47" s="1"/>
  <c r="Y151" i="47"/>
  <c r="AY151" i="47" s="1"/>
  <c r="Z54" i="47"/>
  <c r="AA54" i="47"/>
  <c r="Q29" i="37"/>
  <c r="L59" i="37" s="1"/>
  <c r="BC392" i="47"/>
  <c r="CM13" i="43"/>
  <c r="I66" i="47" s="1"/>
  <c r="G66" i="47"/>
  <c r="K66" i="47"/>
  <c r="Z66" i="47" s="1"/>
  <c r="E66" i="47"/>
  <c r="Q66" i="47" s="1"/>
  <c r="I269" i="47"/>
  <c r="W269" i="47" s="1"/>
  <c r="G269" i="47"/>
  <c r="T269" i="47" s="1"/>
  <c r="E269" i="47"/>
  <c r="Q269" i="47" s="1"/>
  <c r="I376" i="47"/>
  <c r="G377" i="47"/>
  <c r="C378" i="47"/>
  <c r="K378" i="47"/>
  <c r="R360" i="47"/>
  <c r="P361" i="47"/>
  <c r="K377" i="47"/>
  <c r="E375" i="47"/>
  <c r="I378" i="47"/>
  <c r="P359" i="47"/>
  <c r="V361" i="47"/>
  <c r="V359" i="47"/>
  <c r="G375" i="47"/>
  <c r="E378" i="47"/>
  <c r="I375" i="47"/>
  <c r="G376" i="47"/>
  <c r="K375" i="47"/>
  <c r="C376" i="47"/>
  <c r="C375" i="47"/>
  <c r="R361" i="47"/>
  <c r="P362" i="47"/>
  <c r="R359" i="47"/>
  <c r="P360" i="47"/>
  <c r="V362" i="47"/>
  <c r="I377" i="47"/>
  <c r="E377" i="47"/>
  <c r="K376" i="47"/>
  <c r="C377" i="47"/>
  <c r="G378" i="47"/>
  <c r="E376" i="47"/>
  <c r="V360" i="47"/>
  <c r="R362" i="47"/>
  <c r="Y46" i="37"/>
  <c r="I29" i="37"/>
  <c r="P29" i="37"/>
  <c r="AA46" i="37" s="1"/>
  <c r="AY392" i="47"/>
  <c r="AJ152" i="47"/>
  <c r="C1453" i="16"/>
  <c r="C1454" i="16"/>
  <c r="C1455" i="16"/>
  <c r="C1456" i="16"/>
  <c r="C1457" i="16"/>
  <c r="C1458" i="16"/>
  <c r="C1459" i="16"/>
  <c r="C1460" i="16"/>
  <c r="C1461" i="16"/>
  <c r="C1462" i="16"/>
  <c r="C1463" i="16"/>
  <c r="C1464" i="16"/>
  <c r="C1465" i="16"/>
  <c r="C1466" i="16"/>
  <c r="C1467" i="16"/>
  <c r="C1436" i="16"/>
  <c r="C1437" i="16"/>
  <c r="C1438" i="16"/>
  <c r="C1439" i="16"/>
  <c r="C1440" i="16"/>
  <c r="C1441" i="16"/>
  <c r="C1442" i="16"/>
  <c r="C1443" i="16"/>
  <c r="C1444" i="16"/>
  <c r="C1445" i="16"/>
  <c r="C1446" i="16"/>
  <c r="C1447" i="16"/>
  <c r="C1448" i="16"/>
  <c r="C1449" i="16"/>
  <c r="C1450" i="16"/>
  <c r="C1451" i="16"/>
  <c r="C1452" i="16"/>
  <c r="C1420" i="16"/>
  <c r="C1421" i="16"/>
  <c r="C1422" i="16"/>
  <c r="C1423" i="16"/>
  <c r="C1424" i="16"/>
  <c r="C1425" i="16"/>
  <c r="C1426" i="16"/>
  <c r="C1427" i="16"/>
  <c r="C1428" i="16"/>
  <c r="C1429" i="16"/>
  <c r="C1430" i="16"/>
  <c r="C1431" i="16"/>
  <c r="C1432" i="16"/>
  <c r="C1433" i="16"/>
  <c r="C1434" i="16"/>
  <c r="C1435" i="16"/>
  <c r="C1404" i="16"/>
  <c r="C1405" i="16"/>
  <c r="C1406" i="16"/>
  <c r="C1407" i="16"/>
  <c r="C1408" i="16"/>
  <c r="C1409" i="16"/>
  <c r="C1410" i="16"/>
  <c r="C1411" i="16"/>
  <c r="C1412" i="16"/>
  <c r="C1413" i="16"/>
  <c r="C1414" i="16"/>
  <c r="C1415" i="16"/>
  <c r="C1416" i="16"/>
  <c r="C1417" i="16"/>
  <c r="C1418" i="16"/>
  <c r="C1419" i="16"/>
  <c r="C1388" i="16"/>
  <c r="C1389" i="16"/>
  <c r="C1390" i="16"/>
  <c r="C1391" i="16"/>
  <c r="C1392" i="16"/>
  <c r="C1393" i="16"/>
  <c r="C1394" i="16"/>
  <c r="C1395" i="16"/>
  <c r="C1396" i="16"/>
  <c r="C1397" i="16"/>
  <c r="C1398" i="16"/>
  <c r="C1399" i="16"/>
  <c r="C1400" i="16"/>
  <c r="C1401" i="16"/>
  <c r="C1402" i="16"/>
  <c r="C1403" i="16"/>
  <c r="C1372" i="16"/>
  <c r="C1373" i="16"/>
  <c r="C1374" i="16"/>
  <c r="C1375" i="16"/>
  <c r="C1376" i="16"/>
  <c r="C1377" i="16"/>
  <c r="C1378" i="16"/>
  <c r="C1379" i="16"/>
  <c r="C1380" i="16"/>
  <c r="C1381" i="16"/>
  <c r="C1382" i="16"/>
  <c r="C1383" i="16"/>
  <c r="C1384" i="16"/>
  <c r="C1385" i="16"/>
  <c r="C1386" i="16"/>
  <c r="C1387" i="16"/>
  <c r="C1356" i="16"/>
  <c r="C1357" i="16"/>
  <c r="C1358" i="16"/>
  <c r="C1359" i="16"/>
  <c r="C1360" i="16"/>
  <c r="C1361" i="16"/>
  <c r="C1362" i="16"/>
  <c r="C1363" i="16"/>
  <c r="C1364" i="16"/>
  <c r="C1365" i="16"/>
  <c r="C1366" i="16"/>
  <c r="C1367" i="16"/>
  <c r="C1368" i="16"/>
  <c r="C1369" i="16"/>
  <c r="C1370" i="16"/>
  <c r="C1371" i="16"/>
  <c r="C1340" i="16"/>
  <c r="C1341" i="16"/>
  <c r="C1342" i="16"/>
  <c r="C1343" i="16"/>
  <c r="C1344" i="16"/>
  <c r="C1345" i="16"/>
  <c r="C1346" i="16"/>
  <c r="C1347" i="16"/>
  <c r="C1348" i="16"/>
  <c r="C1349" i="16"/>
  <c r="C1350" i="16"/>
  <c r="C1351" i="16"/>
  <c r="C1352" i="16"/>
  <c r="C1353" i="16"/>
  <c r="C1354" i="16"/>
  <c r="C1355" i="16"/>
  <c r="E1333" i="16"/>
  <c r="E1332" i="16"/>
  <c r="E1331" i="16"/>
  <c r="E1330" i="16"/>
  <c r="E1329" i="16"/>
  <c r="D1333" i="16"/>
  <c r="D1332" i="16"/>
  <c r="D1331" i="16"/>
  <c r="D1330" i="16"/>
  <c r="D1329" i="16"/>
  <c r="E1337" i="16"/>
  <c r="E1336" i="16"/>
  <c r="D1337" i="16"/>
  <c r="D1336" i="16"/>
  <c r="C1324" i="16"/>
  <c r="C1325" i="16"/>
  <c r="C1326" i="16"/>
  <c r="C1327" i="16"/>
  <c r="C1328" i="16"/>
  <c r="C1329" i="16"/>
  <c r="C1330" i="16"/>
  <c r="C1331" i="16"/>
  <c r="C1332" i="16"/>
  <c r="C1333" i="16"/>
  <c r="C1334" i="16"/>
  <c r="C1335" i="16"/>
  <c r="C1336" i="16"/>
  <c r="C1337" i="16"/>
  <c r="C1338" i="16"/>
  <c r="C1339" i="16"/>
  <c r="E1317" i="16"/>
  <c r="D1317" i="16"/>
  <c r="E1316" i="16"/>
  <c r="D1316" i="16"/>
  <c r="E1315" i="16"/>
  <c r="D1315" i="16"/>
  <c r="E1314" i="16"/>
  <c r="D1314" i="16"/>
  <c r="E1313" i="16"/>
  <c r="D1313" i="16"/>
  <c r="E1321" i="16"/>
  <c r="E1320" i="16"/>
  <c r="D1321" i="16"/>
  <c r="D1320" i="16"/>
  <c r="E1312" i="16"/>
  <c r="D1312" i="16"/>
  <c r="E1311" i="16"/>
  <c r="D1311" i="16"/>
  <c r="E1310" i="16"/>
  <c r="E1309" i="16"/>
  <c r="D1309" i="16"/>
  <c r="E1308" i="16"/>
  <c r="D1308" i="16"/>
  <c r="C1308" i="16"/>
  <c r="C1309" i="16"/>
  <c r="C1310" i="16"/>
  <c r="C1311" i="16"/>
  <c r="C1312" i="16"/>
  <c r="C1313" i="16"/>
  <c r="C1314" i="16"/>
  <c r="C1315" i="16"/>
  <c r="C1316" i="16"/>
  <c r="C1317" i="16"/>
  <c r="C1318" i="16"/>
  <c r="C1319" i="16"/>
  <c r="C1320" i="16"/>
  <c r="C1321" i="16"/>
  <c r="C1322" i="16"/>
  <c r="C1323" i="16"/>
  <c r="E1300" i="16"/>
  <c r="D1300" i="16"/>
  <c r="E1301" i="16"/>
  <c r="E1299" i="16"/>
  <c r="E1298" i="16"/>
  <c r="E1297" i="16"/>
  <c r="D1301" i="16"/>
  <c r="D1299" i="16"/>
  <c r="D1298" i="16"/>
  <c r="D1297" i="16"/>
  <c r="E1304" i="16"/>
  <c r="E1305" i="16"/>
  <c r="D1305" i="16"/>
  <c r="D1304" i="16"/>
  <c r="E1296" i="16"/>
  <c r="E1295" i="16"/>
  <c r="E1294" i="16"/>
  <c r="E1293" i="16"/>
  <c r="E1292" i="16"/>
  <c r="C1292" i="16"/>
  <c r="C1293" i="16"/>
  <c r="C1294" i="16"/>
  <c r="C1295" i="16"/>
  <c r="C1296" i="16"/>
  <c r="C1297" i="16"/>
  <c r="C1298" i="16"/>
  <c r="C1299" i="16"/>
  <c r="C1300" i="16"/>
  <c r="C1301" i="16"/>
  <c r="C1302" i="16"/>
  <c r="C1303" i="16"/>
  <c r="C1304" i="16"/>
  <c r="C1305" i="16"/>
  <c r="C1306" i="16"/>
  <c r="C1307" i="16"/>
  <c r="E1289" i="16"/>
  <c r="E1288" i="16"/>
  <c r="D1289" i="16"/>
  <c r="D1288" i="16"/>
  <c r="C1276" i="16"/>
  <c r="C1277" i="16"/>
  <c r="C1278" i="16"/>
  <c r="C1279" i="16"/>
  <c r="C1280" i="16"/>
  <c r="C1281" i="16"/>
  <c r="C1282" i="16"/>
  <c r="C1283" i="16"/>
  <c r="C1284" i="16"/>
  <c r="C1285" i="16"/>
  <c r="C1286" i="16"/>
  <c r="C1287" i="16"/>
  <c r="C1288" i="16"/>
  <c r="C1289" i="16"/>
  <c r="C1290" i="16"/>
  <c r="C1291" i="16"/>
  <c r="E1269" i="16"/>
  <c r="E1268" i="16"/>
  <c r="E1267" i="16"/>
  <c r="E1266" i="16"/>
  <c r="E1265" i="16"/>
  <c r="D1269" i="16"/>
  <c r="D1268" i="16"/>
  <c r="D1267" i="16"/>
  <c r="D1266" i="16"/>
  <c r="D1265" i="16"/>
  <c r="E1273" i="16"/>
  <c r="E1272" i="16"/>
  <c r="D1273" i="16"/>
  <c r="D1272" i="16"/>
  <c r="C1260" i="16"/>
  <c r="C1261" i="16"/>
  <c r="C1262" i="16"/>
  <c r="C1263" i="16"/>
  <c r="C1264" i="16"/>
  <c r="C1265" i="16"/>
  <c r="C1266" i="16"/>
  <c r="C1267" i="16"/>
  <c r="C1268" i="16"/>
  <c r="C1269" i="16"/>
  <c r="C1270" i="16"/>
  <c r="C1271" i="16"/>
  <c r="C1272" i="16"/>
  <c r="C1273" i="16"/>
  <c r="C1274" i="16"/>
  <c r="C1275" i="16"/>
  <c r="E1249" i="16"/>
  <c r="D1250" i="16"/>
  <c r="D1249" i="16"/>
  <c r="E1253" i="16"/>
  <c r="E1252" i="16"/>
  <c r="E1251" i="16"/>
  <c r="D1253" i="16"/>
  <c r="D1252" i="16"/>
  <c r="D1251" i="16"/>
  <c r="E1257" i="16"/>
  <c r="E1256" i="16"/>
  <c r="D1257" i="16"/>
  <c r="D1256" i="16"/>
  <c r="E1244" i="16"/>
  <c r="D1244" i="16"/>
  <c r="E1248" i="16"/>
  <c r="E1247" i="16"/>
  <c r="E1246" i="16"/>
  <c r="E1245" i="16"/>
  <c r="D1248" i="16"/>
  <c r="D1247" i="16"/>
  <c r="D1246" i="16"/>
  <c r="D1245" i="16"/>
  <c r="C1244" i="16"/>
  <c r="C1245" i="16"/>
  <c r="C1246" i="16"/>
  <c r="C1247" i="16"/>
  <c r="C1248" i="16"/>
  <c r="C1249" i="16"/>
  <c r="C1250" i="16"/>
  <c r="C1251" i="16"/>
  <c r="C1252" i="16"/>
  <c r="C1253" i="16"/>
  <c r="C1254" i="16"/>
  <c r="C1255" i="16"/>
  <c r="C1256" i="16"/>
  <c r="C1257" i="16"/>
  <c r="C1258" i="16"/>
  <c r="C1259" i="16"/>
  <c r="D1235" i="16"/>
  <c r="D1234" i="16"/>
  <c r="D1233" i="16"/>
  <c r="E1233" i="16"/>
  <c r="E1237" i="16"/>
  <c r="E1236" i="16"/>
  <c r="E1235" i="16"/>
  <c r="E1234" i="16"/>
  <c r="D1237" i="16"/>
  <c r="D1236" i="16"/>
  <c r="E1241" i="16"/>
  <c r="E1240" i="16"/>
  <c r="D1241" i="16"/>
  <c r="D1240" i="16"/>
  <c r="E1228" i="16"/>
  <c r="D1231" i="16"/>
  <c r="D1229" i="16"/>
  <c r="D1230" i="16"/>
  <c r="D1232" i="16"/>
  <c r="D1228" i="16"/>
  <c r="E1232" i="16"/>
  <c r="E1231" i="16"/>
  <c r="E1230" i="16"/>
  <c r="E1229" i="16"/>
  <c r="C1228" i="16"/>
  <c r="C1229" i="16"/>
  <c r="C1230" i="16"/>
  <c r="C1231" i="16"/>
  <c r="C1232" i="16"/>
  <c r="C1233" i="16"/>
  <c r="C1234" i="16"/>
  <c r="C1235" i="16"/>
  <c r="C1236" i="16"/>
  <c r="C1237" i="16"/>
  <c r="C1238" i="16"/>
  <c r="C1239" i="16"/>
  <c r="C1240" i="16"/>
  <c r="C1241" i="16"/>
  <c r="C1242" i="16"/>
  <c r="C1243" i="16"/>
  <c r="E1225" i="16"/>
  <c r="E1224" i="16"/>
  <c r="D1224" i="16"/>
  <c r="D1225" i="16"/>
  <c r="E1212" i="16"/>
  <c r="E1216" i="16"/>
  <c r="E1215" i="16"/>
  <c r="E1214" i="16"/>
  <c r="E1213" i="16"/>
  <c r="C1212" i="16"/>
  <c r="C1213" i="16"/>
  <c r="C1214" i="16"/>
  <c r="C1215" i="16"/>
  <c r="C1216" i="16"/>
  <c r="C1217" i="16"/>
  <c r="C1218" i="16"/>
  <c r="C1219" i="16"/>
  <c r="C1220" i="16"/>
  <c r="C1221" i="16"/>
  <c r="C1222" i="16"/>
  <c r="C1223" i="16"/>
  <c r="C1224" i="16"/>
  <c r="C1225" i="16"/>
  <c r="C1226" i="16"/>
  <c r="C1227" i="16"/>
  <c r="E1205" i="16"/>
  <c r="E1204" i="16"/>
  <c r="E1203" i="16"/>
  <c r="E1202" i="16"/>
  <c r="E1201" i="16"/>
  <c r="D1205" i="16"/>
  <c r="D1204" i="16"/>
  <c r="D1203" i="16"/>
  <c r="D1202" i="16"/>
  <c r="D1201" i="16"/>
  <c r="E1209" i="16"/>
  <c r="E1208" i="16"/>
  <c r="D1209" i="16"/>
  <c r="D1208" i="16"/>
  <c r="E1200" i="16"/>
  <c r="E1199" i="16"/>
  <c r="E1198" i="16"/>
  <c r="E1197" i="16"/>
  <c r="E1196" i="16"/>
  <c r="C1196" i="16"/>
  <c r="C1197" i="16"/>
  <c r="C1198" i="16"/>
  <c r="C1199" i="16"/>
  <c r="C1200" i="16"/>
  <c r="C1201" i="16"/>
  <c r="C1202" i="16"/>
  <c r="C1203" i="16"/>
  <c r="C1204" i="16"/>
  <c r="C1205" i="16"/>
  <c r="C1206" i="16"/>
  <c r="C1207" i="16"/>
  <c r="C1208" i="16"/>
  <c r="C1209" i="16"/>
  <c r="C1210" i="16"/>
  <c r="C1211" i="16"/>
  <c r="C1180" i="16"/>
  <c r="C1181" i="16"/>
  <c r="C1182" i="16"/>
  <c r="C1183" i="16"/>
  <c r="C1184" i="16"/>
  <c r="C1185" i="16"/>
  <c r="C1186" i="16"/>
  <c r="C1187" i="16"/>
  <c r="C1188" i="16"/>
  <c r="C1189" i="16"/>
  <c r="C1190" i="16"/>
  <c r="C1191" i="16"/>
  <c r="C1192" i="16"/>
  <c r="C1193" i="16"/>
  <c r="C1194" i="16"/>
  <c r="C1195" i="16"/>
  <c r="D1171" i="16"/>
  <c r="D1169" i="16"/>
  <c r="D1176" i="16"/>
  <c r="D1174" i="16"/>
  <c r="D1173" i="16"/>
  <c r="D1172" i="16"/>
  <c r="D1170" i="16"/>
  <c r="C1164" i="16"/>
  <c r="C1165" i="16"/>
  <c r="C1166" i="16"/>
  <c r="C1167" i="16"/>
  <c r="C1168" i="16"/>
  <c r="C1169" i="16"/>
  <c r="C1170" i="16"/>
  <c r="C1171" i="16"/>
  <c r="C1172" i="16"/>
  <c r="C1173" i="16"/>
  <c r="C1174" i="16"/>
  <c r="C1175" i="16"/>
  <c r="C1176" i="16"/>
  <c r="C1177" i="16"/>
  <c r="C1178" i="16"/>
  <c r="C1179" i="16"/>
  <c r="C1148" i="16"/>
  <c r="C1149" i="16"/>
  <c r="C1150" i="16"/>
  <c r="C1151" i="16"/>
  <c r="C1152" i="16"/>
  <c r="C1153" i="16"/>
  <c r="C1154" i="16"/>
  <c r="C1155" i="16"/>
  <c r="C1156" i="16"/>
  <c r="C1157" i="16"/>
  <c r="C1158" i="16"/>
  <c r="C1159" i="16"/>
  <c r="C1160" i="16"/>
  <c r="C1161" i="16"/>
  <c r="C1162" i="16"/>
  <c r="C1163" i="16"/>
  <c r="C1132" i="16"/>
  <c r="C1133" i="16"/>
  <c r="C1134" i="16"/>
  <c r="C1135" i="16"/>
  <c r="C1136" i="16"/>
  <c r="C1137" i="16"/>
  <c r="C1138" i="16"/>
  <c r="C1139" i="16"/>
  <c r="C1140" i="16"/>
  <c r="C1141" i="16"/>
  <c r="C1142" i="16"/>
  <c r="C1143" i="16"/>
  <c r="C1144" i="16"/>
  <c r="C1145" i="16"/>
  <c r="C1146" i="16"/>
  <c r="C1147" i="16"/>
  <c r="C1117" i="16"/>
  <c r="C1118" i="16"/>
  <c r="C1119" i="16"/>
  <c r="C1120" i="16"/>
  <c r="C1121" i="16"/>
  <c r="C1122" i="16"/>
  <c r="C1123" i="16"/>
  <c r="C1124" i="16"/>
  <c r="C1125" i="16"/>
  <c r="C1126" i="16"/>
  <c r="C1127" i="16"/>
  <c r="C1128" i="16"/>
  <c r="C1129" i="16"/>
  <c r="C1130" i="16"/>
  <c r="C1131" i="16"/>
  <c r="C1116" i="16"/>
  <c r="C1101" i="16"/>
  <c r="C1102" i="16"/>
  <c r="C1103" i="16"/>
  <c r="C1104" i="16"/>
  <c r="C1105" i="16"/>
  <c r="C1106" i="16"/>
  <c r="C1107" i="16"/>
  <c r="C1108" i="16"/>
  <c r="C1109" i="16"/>
  <c r="C1110" i="16"/>
  <c r="C1111" i="16"/>
  <c r="C1112" i="16"/>
  <c r="C1113" i="16"/>
  <c r="C1114" i="16"/>
  <c r="C1115" i="16"/>
  <c r="C1100" i="16"/>
  <c r="C1084" i="16"/>
  <c r="C1085" i="16"/>
  <c r="C1086" i="16"/>
  <c r="C1087" i="16"/>
  <c r="C1088" i="16"/>
  <c r="C1089" i="16"/>
  <c r="C1090" i="16"/>
  <c r="C1091" i="16"/>
  <c r="C1092" i="16"/>
  <c r="C1093" i="16"/>
  <c r="C1094" i="16"/>
  <c r="C1095" i="16"/>
  <c r="C1096" i="16"/>
  <c r="C1097" i="16"/>
  <c r="C1098" i="16"/>
  <c r="C1099" i="16"/>
  <c r="C1069" i="16"/>
  <c r="C1068" i="16"/>
  <c r="C1070" i="16"/>
  <c r="C1071" i="16"/>
  <c r="C1072" i="16"/>
  <c r="C1073" i="16"/>
  <c r="C1074" i="16"/>
  <c r="C1075" i="16"/>
  <c r="C1076" i="16"/>
  <c r="C1077" i="16"/>
  <c r="C1078" i="16"/>
  <c r="C1079" i="16"/>
  <c r="C1080" i="16"/>
  <c r="C1081" i="16"/>
  <c r="C1082" i="16"/>
  <c r="C1083" i="16"/>
  <c r="C1059" i="16"/>
  <c r="C1052" i="16"/>
  <c r="C1053" i="16"/>
  <c r="C1054" i="16"/>
  <c r="C1055" i="16"/>
  <c r="C1056" i="16"/>
  <c r="C1057" i="16"/>
  <c r="C1058" i="16"/>
  <c r="C1060" i="16"/>
  <c r="C1061" i="16"/>
  <c r="C1062" i="16"/>
  <c r="C1063" i="16"/>
  <c r="C1064" i="16"/>
  <c r="C1065" i="16"/>
  <c r="C1066" i="16"/>
  <c r="C1067" i="16"/>
  <c r="C1036" i="16"/>
  <c r="C1037" i="16"/>
  <c r="C1038" i="16"/>
  <c r="C1039" i="16"/>
  <c r="C1040" i="16"/>
  <c r="C1041" i="16"/>
  <c r="C1042" i="16"/>
  <c r="C1043" i="16"/>
  <c r="C1044" i="16"/>
  <c r="C1045" i="16"/>
  <c r="C1046" i="16"/>
  <c r="C1047" i="16"/>
  <c r="C1048" i="16"/>
  <c r="C1049" i="16"/>
  <c r="C1050" i="16"/>
  <c r="C1051" i="16"/>
  <c r="C1020" i="16"/>
  <c r="C1021" i="16"/>
  <c r="C1022" i="16"/>
  <c r="C1023" i="16"/>
  <c r="C1024" i="16"/>
  <c r="C1025" i="16"/>
  <c r="C1026" i="16"/>
  <c r="C1027" i="16"/>
  <c r="C1028" i="16"/>
  <c r="C1029" i="16"/>
  <c r="C1030" i="16"/>
  <c r="C1031" i="16"/>
  <c r="C1032" i="16"/>
  <c r="C1033" i="16"/>
  <c r="C1034" i="16"/>
  <c r="C1035" i="16"/>
  <c r="C1004" i="16"/>
  <c r="C1005" i="16"/>
  <c r="C1006" i="16"/>
  <c r="C1007" i="16"/>
  <c r="C1008" i="16"/>
  <c r="C1009" i="16"/>
  <c r="C1010" i="16"/>
  <c r="C1011" i="16"/>
  <c r="C1012" i="16"/>
  <c r="C1013" i="16"/>
  <c r="C1014" i="16"/>
  <c r="C1015" i="16"/>
  <c r="C1016" i="16"/>
  <c r="C1017" i="16"/>
  <c r="C1018" i="16"/>
  <c r="C1019" i="16"/>
  <c r="C993" i="16"/>
  <c r="C1003" i="16"/>
  <c r="C1002" i="16"/>
  <c r="C1001" i="16"/>
  <c r="C1000" i="16"/>
  <c r="C999" i="16"/>
  <c r="C998" i="16"/>
  <c r="C997" i="16"/>
  <c r="C996" i="16"/>
  <c r="C995" i="16"/>
  <c r="C994" i="16"/>
  <c r="C992" i="16"/>
  <c r="C991" i="16"/>
  <c r="C990" i="16"/>
  <c r="C989" i="16"/>
  <c r="C988" i="16"/>
  <c r="C973" i="16"/>
  <c r="C972" i="16"/>
  <c r="C974" i="16"/>
  <c r="C975" i="16"/>
  <c r="C976" i="16"/>
  <c r="C977" i="16"/>
  <c r="C978" i="16"/>
  <c r="C979" i="16"/>
  <c r="C980" i="16"/>
  <c r="C981" i="16"/>
  <c r="C982" i="16"/>
  <c r="C983" i="16"/>
  <c r="C984" i="16"/>
  <c r="C985" i="16"/>
  <c r="C986" i="16"/>
  <c r="C987" i="16"/>
  <c r="C956" i="16"/>
  <c r="C957" i="16"/>
  <c r="C958" i="16"/>
  <c r="C959" i="16"/>
  <c r="C960" i="16"/>
  <c r="C961" i="16"/>
  <c r="C962" i="16"/>
  <c r="C963" i="16"/>
  <c r="C964" i="16"/>
  <c r="C965" i="16"/>
  <c r="C966" i="16"/>
  <c r="C967" i="16"/>
  <c r="C968" i="16"/>
  <c r="C969" i="16"/>
  <c r="C970" i="16"/>
  <c r="C971" i="16"/>
  <c r="C946" i="16"/>
  <c r="C945" i="16"/>
  <c r="C944" i="16"/>
  <c r="C943" i="16"/>
  <c r="C942" i="16"/>
  <c r="C941" i="16"/>
  <c r="C940" i="16"/>
  <c r="C947" i="16"/>
  <c r="C948" i="16"/>
  <c r="C949" i="16"/>
  <c r="C950" i="16"/>
  <c r="C951" i="16"/>
  <c r="C952" i="16"/>
  <c r="C953" i="16"/>
  <c r="C954" i="16"/>
  <c r="C955" i="16"/>
  <c r="C930" i="16"/>
  <c r="E118" i="47" s="1"/>
  <c r="C937" i="16"/>
  <c r="C931" i="16"/>
  <c r="C932" i="16"/>
  <c r="C933" i="16"/>
  <c r="C934" i="16"/>
  <c r="C935" i="16"/>
  <c r="C936" i="16"/>
  <c r="C938" i="16"/>
  <c r="C939" i="16"/>
  <c r="Q127" i="54"/>
  <c r="Q147" i="54"/>
  <c r="Q148" i="54"/>
  <c r="Q122" i="54"/>
  <c r="Q153" i="54"/>
  <c r="Q121" i="54"/>
  <c r="Q99" i="54"/>
  <c r="Q124" i="54"/>
  <c r="Q150" i="54"/>
  <c r="Q96" i="54"/>
  <c r="Q146" i="54"/>
  <c r="Q92" i="54"/>
  <c r="Q120" i="54"/>
  <c r="Q119" i="54"/>
  <c r="Q145" i="54"/>
  <c r="Q91" i="54"/>
  <c r="Q144" i="54"/>
  <c r="Q118" i="54"/>
  <c r="Q90" i="54"/>
  <c r="R92" i="54" l="1"/>
  <c r="BX67" i="50"/>
  <c r="R113" i="68" s="1"/>
  <c r="M117" i="55" s="1"/>
  <c r="Q113" i="68"/>
  <c r="L117" i="55" s="1"/>
  <c r="AC77" i="47"/>
  <c r="T123" i="54"/>
  <c r="X123" i="54" s="1"/>
  <c r="S123" i="54"/>
  <c r="W123" i="54" s="1"/>
  <c r="H68" i="55"/>
  <c r="M81" i="55" s="1"/>
  <c r="H66" i="55"/>
  <c r="L79" i="55" s="1"/>
  <c r="U79" i="55" s="1"/>
  <c r="H70" i="55"/>
  <c r="L83" i="55" s="1"/>
  <c r="H67" i="55"/>
  <c r="L80" i="55" s="1"/>
  <c r="H69" i="55"/>
  <c r="M82" i="55" s="1"/>
  <c r="H71" i="55"/>
  <c r="L84" i="55" s="1"/>
  <c r="S130" i="54"/>
  <c r="W130" i="54" s="1"/>
  <c r="Z73" i="54"/>
  <c r="R130" i="54"/>
  <c r="V130" i="54" s="1"/>
  <c r="AA130" i="54" s="1"/>
  <c r="S128" i="54"/>
  <c r="W128" i="54" s="1"/>
  <c r="S102" i="54"/>
  <c r="W102" i="54" s="1"/>
  <c r="Z102" i="54" s="1"/>
  <c r="R128" i="54"/>
  <c r="V128" i="54" s="1"/>
  <c r="AE77" i="47"/>
  <c r="T102" i="54"/>
  <c r="X102" i="54" s="1"/>
  <c r="AA102" i="54" s="1"/>
  <c r="AF53" i="47"/>
  <c r="AH53" i="47"/>
  <c r="Y128" i="69" s="1"/>
  <c r="T149" i="54"/>
  <c r="X149" i="54" s="1"/>
  <c r="AA149" i="54" s="1"/>
  <c r="S152" i="54"/>
  <c r="W152" i="54" s="1"/>
  <c r="Z152" i="54" s="1"/>
  <c r="T152" i="54"/>
  <c r="X152" i="54" s="1"/>
  <c r="AF152" i="54" s="1"/>
  <c r="S97" i="54"/>
  <c r="W97" i="54" s="1"/>
  <c r="S155" i="54"/>
  <c r="W155" i="54" s="1"/>
  <c r="R155" i="54"/>
  <c r="V155" i="54" s="1"/>
  <c r="AA155" i="54" s="1"/>
  <c r="AA74" i="54"/>
  <c r="R156" i="54"/>
  <c r="V156" i="54" s="1"/>
  <c r="AA156" i="54" s="1"/>
  <c r="AA73" i="54"/>
  <c r="S156" i="54"/>
  <c r="W156" i="54" s="1"/>
  <c r="T93" i="54"/>
  <c r="X93" i="54" s="1"/>
  <c r="Z74" i="54"/>
  <c r="R154" i="54"/>
  <c r="V154" i="54" s="1"/>
  <c r="AA154" i="54" s="1"/>
  <c r="S154" i="54"/>
  <c r="W154" i="54" s="1"/>
  <c r="M41" i="55"/>
  <c r="P41" i="55" s="1"/>
  <c r="AY35" i="23"/>
  <c r="U35" i="23"/>
  <c r="V35" i="23" s="1"/>
  <c r="N66" i="23"/>
  <c r="O66" i="23"/>
  <c r="AX35" i="23"/>
  <c r="N48" i="23"/>
  <c r="O48" i="23"/>
  <c r="U17" i="23"/>
  <c r="V17" i="23" s="1"/>
  <c r="AY17" i="23"/>
  <c r="AX17" i="23"/>
  <c r="N64" i="23"/>
  <c r="U33" i="23"/>
  <c r="V33" i="23" s="1"/>
  <c r="O64" i="23"/>
  <c r="AX33" i="23"/>
  <c r="AY33" i="23"/>
  <c r="AX23" i="23"/>
  <c r="AY23" i="23"/>
  <c r="U23" i="23"/>
  <c r="V23" i="23" s="1"/>
  <c r="N54" i="23"/>
  <c r="O54" i="23"/>
  <c r="N62" i="23"/>
  <c r="U31" i="23"/>
  <c r="V31" i="23" s="1"/>
  <c r="O62" i="23"/>
  <c r="AY31" i="23"/>
  <c r="AX31" i="23"/>
  <c r="T97" i="54"/>
  <c r="X97" i="54" s="1"/>
  <c r="O63" i="23"/>
  <c r="N63" i="23"/>
  <c r="U32" i="23"/>
  <c r="V32" i="23" s="1"/>
  <c r="AY32" i="23"/>
  <c r="AX32" i="23"/>
  <c r="U26" i="23"/>
  <c r="V26" i="23" s="1"/>
  <c r="O57" i="23"/>
  <c r="AX26" i="23"/>
  <c r="N57" i="23"/>
  <c r="AY26" i="23"/>
  <c r="O51" i="23"/>
  <c r="U20" i="23"/>
  <c r="V20" i="23" s="1"/>
  <c r="N51" i="23"/>
  <c r="AY20" i="23"/>
  <c r="AX20" i="23"/>
  <c r="N65" i="23"/>
  <c r="O65" i="23"/>
  <c r="U34" i="23"/>
  <c r="V34" i="23" s="1"/>
  <c r="AX34" i="23"/>
  <c r="AY34" i="23"/>
  <c r="S93" i="54"/>
  <c r="W93" i="54" s="1"/>
  <c r="S125" i="54"/>
  <c r="W125" i="54" s="1"/>
  <c r="Z125" i="54" s="1"/>
  <c r="T125" i="54"/>
  <c r="X125" i="54" s="1"/>
  <c r="AA125" i="54" s="1"/>
  <c r="R97" i="54"/>
  <c r="V97" i="54" s="1"/>
  <c r="S149" i="54"/>
  <c r="W149" i="54" s="1"/>
  <c r="Z149" i="54" s="1"/>
  <c r="R93" i="54"/>
  <c r="V93" i="54" s="1"/>
  <c r="CB67" i="26"/>
  <c r="CB64" i="26"/>
  <c r="T129" i="54"/>
  <c r="X129" i="54" s="1"/>
  <c r="S100" i="54"/>
  <c r="W100" i="54" s="1"/>
  <c r="T94" i="54"/>
  <c r="X94" i="54" s="1"/>
  <c r="T100" i="54"/>
  <c r="X100" i="54" s="1"/>
  <c r="R94" i="54"/>
  <c r="V94" i="54" s="1"/>
  <c r="R100" i="54"/>
  <c r="V100" i="54" s="1"/>
  <c r="CB68" i="26"/>
  <c r="S94" i="54"/>
  <c r="W94" i="54" s="1"/>
  <c r="R126" i="54"/>
  <c r="V126" i="54" s="1"/>
  <c r="R129" i="54"/>
  <c r="V129" i="54" s="1"/>
  <c r="Z129" i="54" s="1"/>
  <c r="CB61" i="26"/>
  <c r="S126" i="54"/>
  <c r="W126" i="54" s="1"/>
  <c r="T95" i="54"/>
  <c r="X95" i="54" s="1"/>
  <c r="AA95" i="54" s="1"/>
  <c r="S95" i="54"/>
  <c r="W95" i="54" s="1"/>
  <c r="AE95" i="54" s="1"/>
  <c r="CB58" i="26"/>
  <c r="R101" i="54"/>
  <c r="V101" i="54" s="1"/>
  <c r="Z101" i="54" s="1"/>
  <c r="S98" i="54"/>
  <c r="W98" i="54" s="1"/>
  <c r="AE98" i="54" s="1"/>
  <c r="S151" i="54"/>
  <c r="W151" i="54" s="1"/>
  <c r="AE151" i="54" s="1"/>
  <c r="T151" i="54"/>
  <c r="X151" i="54" s="1"/>
  <c r="AF151" i="54" s="1"/>
  <c r="T92" i="54"/>
  <c r="X92" i="54" s="1"/>
  <c r="S92" i="54"/>
  <c r="W92" i="54" s="1"/>
  <c r="T101" i="54"/>
  <c r="X101" i="54" s="1"/>
  <c r="T98" i="54"/>
  <c r="X98" i="54" s="1"/>
  <c r="AA98" i="54" s="1"/>
  <c r="T90" i="54"/>
  <c r="X90" i="54" s="1"/>
  <c r="S90" i="54"/>
  <c r="W90" i="54" s="1"/>
  <c r="R90" i="54"/>
  <c r="V90" i="54" s="1"/>
  <c r="R96" i="54"/>
  <c r="V96" i="54" s="1"/>
  <c r="R150" i="54"/>
  <c r="V150" i="54" s="1"/>
  <c r="S124" i="54"/>
  <c r="W124" i="54" s="1"/>
  <c r="R99" i="54"/>
  <c r="V99" i="54" s="1"/>
  <c r="CB57" i="26"/>
  <c r="R121" i="54"/>
  <c r="V121" i="54" s="1"/>
  <c r="T153" i="54"/>
  <c r="X153" i="54" s="1"/>
  <c r="S122" i="54"/>
  <c r="W122" i="54" s="1"/>
  <c r="S148" i="54"/>
  <c r="W148" i="54" s="1"/>
  <c r="R147" i="54"/>
  <c r="V147" i="54" s="1"/>
  <c r="R127" i="54"/>
  <c r="V127" i="54" s="1"/>
  <c r="R91" i="54"/>
  <c r="V91" i="54" s="1"/>
  <c r="S99" i="54"/>
  <c r="W99" i="54" s="1"/>
  <c r="S104" i="54"/>
  <c r="W104" i="54" s="1"/>
  <c r="S91" i="54"/>
  <c r="W91" i="54" s="1"/>
  <c r="S96" i="54"/>
  <c r="W96" i="54" s="1"/>
  <c r="T99" i="54"/>
  <c r="X99" i="54" s="1"/>
  <c r="T104" i="54"/>
  <c r="X104" i="54" s="1"/>
  <c r="T91" i="54"/>
  <c r="X91" i="54" s="1"/>
  <c r="T96" i="54"/>
  <c r="X96" i="54" s="1"/>
  <c r="Z76" i="54"/>
  <c r="AA76" i="54"/>
  <c r="CB70" i="26"/>
  <c r="CB62" i="26"/>
  <c r="CB65" i="26"/>
  <c r="CB56" i="26"/>
  <c r="T124" i="54"/>
  <c r="X124" i="54" s="1"/>
  <c r="T150" i="54"/>
  <c r="X150" i="54" s="1"/>
  <c r="S150" i="54"/>
  <c r="W150" i="54" s="1"/>
  <c r="V104" i="54"/>
  <c r="S127" i="54"/>
  <c r="W127" i="54" s="1"/>
  <c r="T127" i="54"/>
  <c r="X127" i="54" s="1"/>
  <c r="T132" i="54"/>
  <c r="X132" i="54" s="1"/>
  <c r="AA132" i="54" s="1"/>
  <c r="S132" i="54"/>
  <c r="W132" i="54" s="1"/>
  <c r="Z132" i="54" s="1"/>
  <c r="S158" i="54"/>
  <c r="W158" i="54" s="1"/>
  <c r="R133" i="69"/>
  <c r="AJ443" i="47"/>
  <c r="I156" i="69"/>
  <c r="R132" i="69"/>
  <c r="R129" i="69"/>
  <c r="X119" i="69"/>
  <c r="AB78" i="54"/>
  <c r="R158" i="54"/>
  <c r="V158" i="54" s="1"/>
  <c r="AA158" i="54" s="1"/>
  <c r="R124" i="54"/>
  <c r="V124" i="54" s="1"/>
  <c r="R153" i="54"/>
  <c r="V153" i="54" s="1"/>
  <c r="S153" i="54"/>
  <c r="W153" i="54" s="1"/>
  <c r="AB77" i="54"/>
  <c r="X118" i="69"/>
  <c r="AB75" i="54"/>
  <c r="X116" i="69"/>
  <c r="AE71" i="54"/>
  <c r="AF71" i="54"/>
  <c r="J39" i="32"/>
  <c r="K39" i="32"/>
  <c r="J42" i="32"/>
  <c r="K42" i="32"/>
  <c r="AA62" i="54"/>
  <c r="BY212" i="69"/>
  <c r="BZ212" i="69"/>
  <c r="BO212" i="69"/>
  <c r="CA212" i="69"/>
  <c r="BP212" i="69"/>
  <c r="CB212" i="69"/>
  <c r="BQ212" i="69"/>
  <c r="CC212" i="69"/>
  <c r="BR212" i="69"/>
  <c r="CD212" i="69"/>
  <c r="BS212" i="69"/>
  <c r="CE212" i="69"/>
  <c r="BT212" i="69"/>
  <c r="CF212" i="69"/>
  <c r="BU212" i="69"/>
  <c r="CG212" i="69"/>
  <c r="BV212" i="69"/>
  <c r="CH212" i="69"/>
  <c r="BW212" i="69"/>
  <c r="BX212" i="69"/>
  <c r="BK212" i="69"/>
  <c r="BL212" i="69"/>
  <c r="BM212" i="69"/>
  <c r="BN212" i="69"/>
  <c r="BJ212" i="69"/>
  <c r="AA133" i="54"/>
  <c r="AA103" i="54"/>
  <c r="Z133" i="54"/>
  <c r="Z103" i="54"/>
  <c r="AA157" i="54"/>
  <c r="Z157" i="54"/>
  <c r="AA134" i="54"/>
  <c r="Z134" i="54"/>
  <c r="Z160" i="54"/>
  <c r="AA131" i="54"/>
  <c r="Z106" i="54"/>
  <c r="AA105" i="54"/>
  <c r="AA106" i="54"/>
  <c r="AA159" i="54"/>
  <c r="Z159" i="54"/>
  <c r="Z131" i="54"/>
  <c r="AA160" i="54"/>
  <c r="Z105" i="54"/>
  <c r="BH212" i="69"/>
  <c r="BE212" i="69"/>
  <c r="BF212" i="69"/>
  <c r="BG212" i="69"/>
  <c r="BI212" i="69"/>
  <c r="K51" i="55"/>
  <c r="O51" i="55" s="1"/>
  <c r="AJ53" i="47"/>
  <c r="AI98" i="47"/>
  <c r="BL40" i="47"/>
  <c r="AE71" i="47"/>
  <c r="BC212" i="69"/>
  <c r="BD212" i="69"/>
  <c r="AK212" i="69"/>
  <c r="AL212" i="69"/>
  <c r="AM212" i="69"/>
  <c r="AN212" i="69"/>
  <c r="AV212" i="69"/>
  <c r="AO212" i="69"/>
  <c r="AW212" i="69"/>
  <c r="AP212" i="69"/>
  <c r="AX212" i="69"/>
  <c r="AQ212" i="69"/>
  <c r="AY212" i="69"/>
  <c r="AS212" i="69"/>
  <c r="BA212" i="69"/>
  <c r="AT212" i="69"/>
  <c r="BB212" i="69"/>
  <c r="AZ212" i="69"/>
  <c r="AR212" i="69"/>
  <c r="AU212" i="69"/>
  <c r="AE274" i="47"/>
  <c r="BL39" i="47"/>
  <c r="BL41" i="47"/>
  <c r="BM40" i="47"/>
  <c r="BM41" i="47"/>
  <c r="Q176" i="47"/>
  <c r="P176" i="47"/>
  <c r="D118" i="47"/>
  <c r="L118" i="47" s="1"/>
  <c r="M118" i="47" s="1"/>
  <c r="T176" i="47"/>
  <c r="AG176" i="47" s="1"/>
  <c r="S176" i="47"/>
  <c r="AF176" i="47" s="1"/>
  <c r="Z176" i="47"/>
  <c r="Y176" i="47"/>
  <c r="W176" i="47"/>
  <c r="AC176" i="47" s="1"/>
  <c r="V176" i="47"/>
  <c r="AB176" i="47" s="1"/>
  <c r="BM39" i="47"/>
  <c r="BC299" i="47"/>
  <c r="AG299" i="47"/>
  <c r="BC301" i="47"/>
  <c r="AG301" i="47"/>
  <c r="BC298" i="47"/>
  <c r="AG298" i="47"/>
  <c r="AZ300" i="47"/>
  <c r="AD300" i="47"/>
  <c r="AZ298" i="47"/>
  <c r="AD298" i="47"/>
  <c r="BA301" i="47"/>
  <c r="AE301" i="47"/>
  <c r="BB298" i="47"/>
  <c r="AF298" i="47"/>
  <c r="BA300" i="47"/>
  <c r="AE300" i="47"/>
  <c r="BA298" i="47"/>
  <c r="AE298" i="47"/>
  <c r="AZ301" i="47"/>
  <c r="AD301" i="47"/>
  <c r="AX299" i="47"/>
  <c r="AB299" i="47"/>
  <c r="AX298" i="47"/>
  <c r="AB298" i="47"/>
  <c r="BC300" i="47"/>
  <c r="AG300" i="47"/>
  <c r="AX301" i="47"/>
  <c r="AB301" i="47"/>
  <c r="AY299" i="47"/>
  <c r="AC299" i="47"/>
  <c r="AY298" i="47"/>
  <c r="AC298" i="47"/>
  <c r="BB300" i="47"/>
  <c r="AF300" i="47"/>
  <c r="AY301" i="47"/>
  <c r="AC301" i="47"/>
  <c r="AY296" i="47"/>
  <c r="AC296" i="47"/>
  <c r="AY300" i="47"/>
  <c r="AC300" i="47"/>
  <c r="BA297" i="47"/>
  <c r="AE297" i="47"/>
  <c r="BB297" i="47"/>
  <c r="AF297" i="47"/>
  <c r="BC296" i="47"/>
  <c r="AG296" i="47"/>
  <c r="AX296" i="47"/>
  <c r="AB296" i="47"/>
  <c r="AX300" i="47"/>
  <c r="AB300" i="47"/>
  <c r="AZ297" i="47"/>
  <c r="AD297" i="47"/>
  <c r="BC297" i="47"/>
  <c r="AG297" i="47"/>
  <c r="BB296" i="47"/>
  <c r="AF296" i="47"/>
  <c r="BA296" i="47"/>
  <c r="AE296" i="47"/>
  <c r="AZ299" i="47"/>
  <c r="AD299" i="47"/>
  <c r="AX297" i="47"/>
  <c r="AB297" i="47"/>
  <c r="BB299" i="47"/>
  <c r="AF299" i="47"/>
  <c r="BB301" i="47"/>
  <c r="AF301" i="47"/>
  <c r="AZ296" i="47"/>
  <c r="AD296" i="47"/>
  <c r="BA299" i="47"/>
  <c r="AE299" i="47"/>
  <c r="AY297" i="47"/>
  <c r="AC297" i="47"/>
  <c r="AE272" i="47"/>
  <c r="AD274" i="47"/>
  <c r="AD272" i="47"/>
  <c r="AE270" i="47"/>
  <c r="AD273" i="47"/>
  <c r="AB274" i="47"/>
  <c r="AC274" i="47"/>
  <c r="T28" i="32"/>
  <c r="V29" i="32"/>
  <c r="W29" i="32"/>
  <c r="Y28" i="32"/>
  <c r="X28" i="32"/>
  <c r="H15" i="23"/>
  <c r="F15" i="23"/>
  <c r="BB440" i="47"/>
  <c r="AE273" i="47"/>
  <c r="S66" i="47"/>
  <c r="T66" i="47"/>
  <c r="AB271" i="47"/>
  <c r="R166" i="47"/>
  <c r="T166" i="47"/>
  <c r="BC166" i="47" s="1"/>
  <c r="R167" i="47"/>
  <c r="T167" i="47"/>
  <c r="BC167" i="47" s="1"/>
  <c r="X167" i="47"/>
  <c r="Z167" i="47"/>
  <c r="BG167" i="47" s="1"/>
  <c r="X166" i="47"/>
  <c r="Z166" i="47"/>
  <c r="BG166" i="47" s="1"/>
  <c r="P167" i="47"/>
  <c r="AZ167" i="47" s="1"/>
  <c r="O167" i="47"/>
  <c r="V167" i="47"/>
  <c r="BD167" i="47" s="1"/>
  <c r="U167" i="47"/>
  <c r="M167" i="47"/>
  <c r="AX167" i="47" s="1"/>
  <c r="L167" i="47"/>
  <c r="AH55" i="47"/>
  <c r="AZ55" i="47"/>
  <c r="BB55" i="47"/>
  <c r="AG55" i="47"/>
  <c r="BA55" i="47"/>
  <c r="AY55" i="47"/>
  <c r="AG54" i="47"/>
  <c r="AH54" i="47"/>
  <c r="V80" i="47"/>
  <c r="W80" i="47"/>
  <c r="P68" i="47"/>
  <c r="O68" i="47"/>
  <c r="W68" i="47"/>
  <c r="U68" i="47"/>
  <c r="R111" i="68"/>
  <c r="M115" i="55" s="1"/>
  <c r="V125" i="55" s="1"/>
  <c r="L115" i="55"/>
  <c r="U125" i="55" s="1"/>
  <c r="R112" i="68"/>
  <c r="M116" i="55" s="1"/>
  <c r="Q112" i="68"/>
  <c r="L116" i="55" s="1"/>
  <c r="BL140" i="47"/>
  <c r="AJ202" i="47"/>
  <c r="BM140" i="47"/>
  <c r="BL138" i="47"/>
  <c r="BL139" i="47"/>
  <c r="BM138" i="47"/>
  <c r="AJ200" i="47"/>
  <c r="BM139" i="47"/>
  <c r="AJ201" i="47"/>
  <c r="BF440" i="47"/>
  <c r="AD71" i="47"/>
  <c r="AF440" i="47"/>
  <c r="AZ440" i="47"/>
  <c r="BD440" i="47"/>
  <c r="AY454" i="47"/>
  <c r="F446" i="47"/>
  <c r="AC440" i="47"/>
  <c r="AD440" i="47"/>
  <c r="AD442" i="47"/>
  <c r="AZ442" i="47"/>
  <c r="BA442" i="47"/>
  <c r="BA446" i="47" s="1"/>
  <c r="AE442" i="47"/>
  <c r="AX440" i="47"/>
  <c r="AY440" i="47"/>
  <c r="BF442" i="47"/>
  <c r="BG442" i="47"/>
  <c r="BG446" i="47" s="1"/>
  <c r="BD442" i="47"/>
  <c r="BE442" i="47"/>
  <c r="BE446" i="47" s="1"/>
  <c r="AF442" i="47"/>
  <c r="BB442" i="47"/>
  <c r="BC442" i="47"/>
  <c r="AG442" i="47"/>
  <c r="AB442" i="47"/>
  <c r="AY442" i="47"/>
  <c r="AX442" i="47"/>
  <c r="AC442" i="47"/>
  <c r="AB440" i="47"/>
  <c r="AD439" i="47"/>
  <c r="AF439" i="47"/>
  <c r="AC439" i="47"/>
  <c r="AB439" i="47"/>
  <c r="BA388" i="47"/>
  <c r="AG454" i="47"/>
  <c r="H461" i="47"/>
  <c r="F380" i="47"/>
  <c r="AE454" i="47"/>
  <c r="AZ453" i="47"/>
  <c r="AD453" i="47"/>
  <c r="BB454" i="47"/>
  <c r="AF454" i="47"/>
  <c r="BB453" i="47"/>
  <c r="AF453" i="47"/>
  <c r="G288" i="47"/>
  <c r="BA453" i="47"/>
  <c r="BA460" i="47" s="1"/>
  <c r="AE453" i="47"/>
  <c r="BC453" i="47"/>
  <c r="BC460" i="47" s="1"/>
  <c r="AG453" i="47"/>
  <c r="AX454" i="47"/>
  <c r="AB454" i="47"/>
  <c r="AZ454" i="47"/>
  <c r="AD454" i="47"/>
  <c r="AB453" i="47"/>
  <c r="G461" i="47"/>
  <c r="D120" i="60" s="1"/>
  <c r="AX453" i="47"/>
  <c r="AY453" i="47"/>
  <c r="AC453" i="47"/>
  <c r="BM419" i="47" s="1"/>
  <c r="H380" i="47"/>
  <c r="BC388" i="47"/>
  <c r="AC373" i="47"/>
  <c r="AB373" i="47"/>
  <c r="AY389" i="47"/>
  <c r="AC389" i="47"/>
  <c r="AE374" i="47"/>
  <c r="AD374" i="47"/>
  <c r="AG373" i="47"/>
  <c r="AF373" i="47"/>
  <c r="AZ389" i="47"/>
  <c r="AD389" i="47"/>
  <c r="AG374" i="47"/>
  <c r="AF374" i="47"/>
  <c r="AE373" i="47"/>
  <c r="AD373" i="47"/>
  <c r="BA389" i="47"/>
  <c r="AE389" i="47"/>
  <c r="BM344" i="47" s="1"/>
  <c r="BB389" i="47"/>
  <c r="AF389" i="47"/>
  <c r="AC374" i="47"/>
  <c r="AB374" i="47"/>
  <c r="AX389" i="47"/>
  <c r="AB389" i="47"/>
  <c r="BL343" i="47" s="1"/>
  <c r="BC389" i="47"/>
  <c r="AG389" i="47"/>
  <c r="BM345" i="47" s="1"/>
  <c r="AX388" i="47"/>
  <c r="AZ388" i="47"/>
  <c r="AD388" i="47"/>
  <c r="BB388" i="47"/>
  <c r="AF388" i="47"/>
  <c r="AK256" i="47"/>
  <c r="AK258" i="47"/>
  <c r="AK259" i="47"/>
  <c r="AK260" i="47"/>
  <c r="AK257" i="47"/>
  <c r="R312" i="47"/>
  <c r="AC312" i="47" s="1"/>
  <c r="Q312" i="47"/>
  <c r="AB312" i="47" s="1"/>
  <c r="X310" i="47"/>
  <c r="AG310" i="47" s="1"/>
  <c r="W310" i="47"/>
  <c r="AF310" i="47" s="1"/>
  <c r="W311" i="47"/>
  <c r="AF311" i="47" s="1"/>
  <c r="X311" i="47"/>
  <c r="AG311" i="47" s="1"/>
  <c r="R308" i="47"/>
  <c r="AC308" i="47" s="1"/>
  <c r="Q308" i="47"/>
  <c r="AB308" i="47" s="1"/>
  <c r="T312" i="47"/>
  <c r="AD312" i="47" s="1"/>
  <c r="U312" i="47"/>
  <c r="AE312" i="47" s="1"/>
  <c r="R310" i="47"/>
  <c r="AC310" i="47" s="1"/>
  <c r="Q310" i="47"/>
  <c r="AB310" i="47" s="1"/>
  <c r="T308" i="47"/>
  <c r="AD308" i="47" s="1"/>
  <c r="U308" i="47"/>
  <c r="AE308" i="47" s="1"/>
  <c r="Q309" i="47"/>
  <c r="AB309" i="47" s="1"/>
  <c r="R309" i="47"/>
  <c r="AC309" i="47" s="1"/>
  <c r="R307" i="47"/>
  <c r="AC307" i="47" s="1"/>
  <c r="Q307" i="47"/>
  <c r="AB307" i="47" s="1"/>
  <c r="T310" i="47"/>
  <c r="AD310" i="47" s="1"/>
  <c r="U310" i="47"/>
  <c r="AE310" i="47" s="1"/>
  <c r="X307" i="47"/>
  <c r="AG307" i="47" s="1"/>
  <c r="W307" i="47"/>
  <c r="AF307" i="47" s="1"/>
  <c r="U309" i="47"/>
  <c r="AE309" i="47" s="1"/>
  <c r="T309" i="47"/>
  <c r="AD309" i="47" s="1"/>
  <c r="X308" i="47"/>
  <c r="AG308" i="47" s="1"/>
  <c r="W308" i="47"/>
  <c r="AF308" i="47" s="1"/>
  <c r="T307" i="47"/>
  <c r="AD307" i="47" s="1"/>
  <c r="U307" i="47"/>
  <c r="AE307" i="47" s="1"/>
  <c r="W309" i="47"/>
  <c r="AF309" i="47" s="1"/>
  <c r="X309" i="47"/>
  <c r="AG309" i="47" s="1"/>
  <c r="Q311" i="47"/>
  <c r="AB311" i="47" s="1"/>
  <c r="R311" i="47"/>
  <c r="AC311" i="47" s="1"/>
  <c r="U311" i="47"/>
  <c r="AE311" i="47" s="1"/>
  <c r="T311" i="47"/>
  <c r="AD311" i="47" s="1"/>
  <c r="X312" i="47"/>
  <c r="AG312" i="47" s="1"/>
  <c r="W312" i="47"/>
  <c r="AF312" i="47" s="1"/>
  <c r="AD270" i="47"/>
  <c r="AB270" i="47"/>
  <c r="AF270" i="47"/>
  <c r="AC270" i="47"/>
  <c r="AC273" i="47"/>
  <c r="AC271" i="47"/>
  <c r="AB273" i="47"/>
  <c r="AB272" i="47"/>
  <c r="AC272" i="47"/>
  <c r="Y271" i="47"/>
  <c r="BF271" i="47" s="1"/>
  <c r="BF276" i="47" s="1"/>
  <c r="Z271" i="47"/>
  <c r="BG271" i="47" s="1"/>
  <c r="BG276" i="47" s="1"/>
  <c r="U269" i="47"/>
  <c r="AC269" i="47" s="1"/>
  <c r="V269" i="47"/>
  <c r="S269" i="47"/>
  <c r="R269" i="47"/>
  <c r="P269" i="47"/>
  <c r="O269" i="47"/>
  <c r="BD272" i="47"/>
  <c r="BE272" i="47"/>
  <c r="BD274" i="47"/>
  <c r="BE274" i="47"/>
  <c r="BD271" i="47"/>
  <c r="BE271" i="47"/>
  <c r="AZ270" i="47"/>
  <c r="BB270" i="47"/>
  <c r="BE273" i="47"/>
  <c r="BD273" i="47"/>
  <c r="AX270" i="47"/>
  <c r="CO98" i="43"/>
  <c r="K285" i="47" s="1"/>
  <c r="CJ98" i="43"/>
  <c r="G285" i="47" s="1"/>
  <c r="CF98" i="43"/>
  <c r="C285" i="47" s="1"/>
  <c r="CM98" i="43"/>
  <c r="I285" i="47" s="1"/>
  <c r="CH98" i="43"/>
  <c r="E285" i="47" s="1"/>
  <c r="CO96" i="43"/>
  <c r="K283" i="47" s="1"/>
  <c r="Z283" i="47" s="1"/>
  <c r="CO97" i="43"/>
  <c r="K284" i="47" s="1"/>
  <c r="AI202" i="47"/>
  <c r="AI201" i="47"/>
  <c r="AI200" i="47"/>
  <c r="W169" i="47"/>
  <c r="BE169" i="47" s="1"/>
  <c r="V170" i="47"/>
  <c r="BD170" i="47" s="1"/>
  <c r="S166" i="47"/>
  <c r="V166" i="47"/>
  <c r="BD166" i="47" s="1"/>
  <c r="U166" i="47"/>
  <c r="M166" i="47"/>
  <c r="AX166" i="47" s="1"/>
  <c r="L166" i="47"/>
  <c r="P166" i="47"/>
  <c r="AZ166" i="47" s="1"/>
  <c r="O166" i="47"/>
  <c r="T165" i="47"/>
  <c r="AG165" i="47" s="1"/>
  <c r="T169" i="47"/>
  <c r="BC169" i="47" s="1"/>
  <c r="AE177" i="47"/>
  <c r="AC177" i="47"/>
  <c r="S165" i="47"/>
  <c r="AF165" i="47" s="1"/>
  <c r="P168" i="47"/>
  <c r="AZ168" i="47" s="1"/>
  <c r="AE178" i="47"/>
  <c r="AE168" i="47"/>
  <c r="N169" i="47"/>
  <c r="H159" i="47" s="1"/>
  <c r="S167" i="47"/>
  <c r="S168" i="47"/>
  <c r="AF168" i="47" s="1"/>
  <c r="R137" i="69" s="1"/>
  <c r="Y167" i="47"/>
  <c r="BF167" i="47" s="1"/>
  <c r="BA169" i="47"/>
  <c r="AX169" i="47"/>
  <c r="AB169" i="47"/>
  <c r="AC170" i="47"/>
  <c r="BB169" i="47"/>
  <c r="AF169" i="47"/>
  <c r="AC178" i="47"/>
  <c r="T170" i="47"/>
  <c r="Q165" i="47"/>
  <c r="BA165" i="47" s="1"/>
  <c r="P165" i="47"/>
  <c r="AZ165" i="47" s="1"/>
  <c r="Y170" i="47"/>
  <c r="BF170" i="47" s="1"/>
  <c r="Y168" i="47"/>
  <c r="BF168" i="47" s="1"/>
  <c r="P169" i="47"/>
  <c r="W168" i="47"/>
  <c r="BE168" i="47" s="1"/>
  <c r="W165" i="47"/>
  <c r="BE165" i="47" s="1"/>
  <c r="V165" i="47"/>
  <c r="BD165" i="47" s="1"/>
  <c r="Z169" i="47"/>
  <c r="BG169" i="47" s="1"/>
  <c r="Y166" i="47"/>
  <c r="BF166" i="47" s="1"/>
  <c r="Q170" i="47"/>
  <c r="AE170" i="47" s="1"/>
  <c r="Y165" i="47"/>
  <c r="BF165" i="47" s="1"/>
  <c r="Z165" i="47"/>
  <c r="BG165" i="47" s="1"/>
  <c r="N165" i="47"/>
  <c r="AY165" i="47" s="1"/>
  <c r="AX165" i="47"/>
  <c r="M168" i="47"/>
  <c r="AB168" i="47" s="1"/>
  <c r="M170" i="47"/>
  <c r="AZ170" i="47"/>
  <c r="AY168" i="47"/>
  <c r="BC168" i="47"/>
  <c r="BA168" i="47"/>
  <c r="BB170" i="47"/>
  <c r="AY170" i="47"/>
  <c r="O66" i="47"/>
  <c r="P66" i="47"/>
  <c r="BA91" i="47"/>
  <c r="BA98" i="47" s="1"/>
  <c r="BC91" i="47"/>
  <c r="BC98" i="47" s="1"/>
  <c r="AJ98" i="47"/>
  <c r="AE70" i="47"/>
  <c r="V67" i="47"/>
  <c r="BD67" i="47" s="1"/>
  <c r="V69" i="47"/>
  <c r="BD69" i="47" s="1"/>
  <c r="AB71" i="47"/>
  <c r="AX91" i="47"/>
  <c r="AX98" i="47" s="1"/>
  <c r="BB91" i="47"/>
  <c r="BB98" i="47" s="1"/>
  <c r="AZ91" i="47"/>
  <c r="AZ98" i="47" s="1"/>
  <c r="AY91" i="47"/>
  <c r="AY98" i="47" s="1"/>
  <c r="AC69" i="47"/>
  <c r="AD70" i="47"/>
  <c r="AC71" i="47"/>
  <c r="AC70" i="47"/>
  <c r="I132" i="69" s="1"/>
  <c r="Q68" i="47"/>
  <c r="AC67" i="47"/>
  <c r="BB67" i="47"/>
  <c r="AX71" i="47"/>
  <c r="BC70" i="47"/>
  <c r="BC67" i="47"/>
  <c r="AY71" i="47"/>
  <c r="AY70" i="47"/>
  <c r="CJ29" i="43"/>
  <c r="G81" i="47" s="1"/>
  <c r="CH29" i="43"/>
  <c r="E81" i="47" s="1"/>
  <c r="CO29" i="43"/>
  <c r="K81" i="47" s="1"/>
  <c r="CM30" i="43"/>
  <c r="I82" i="47" s="1"/>
  <c r="CF28" i="43"/>
  <c r="C80" i="47" s="1"/>
  <c r="Q69" i="47"/>
  <c r="AE69" i="47" s="1"/>
  <c r="V68" i="47"/>
  <c r="P67" i="47"/>
  <c r="AD67" i="47" s="1"/>
  <c r="CJ30" i="43"/>
  <c r="G82" i="47" s="1"/>
  <c r="CO30" i="43"/>
  <c r="K82" i="47" s="1"/>
  <c r="CJ28" i="43"/>
  <c r="G80" i="47" s="1"/>
  <c r="P69" i="47"/>
  <c r="AD69" i="47" s="1"/>
  <c r="Q67" i="47"/>
  <c r="AE67" i="47" s="1"/>
  <c r="CF30" i="43"/>
  <c r="C82" i="47" s="1"/>
  <c r="CH28" i="43"/>
  <c r="E80" i="47" s="1"/>
  <c r="CO28" i="43"/>
  <c r="K80" i="47" s="1"/>
  <c r="X66" i="47"/>
  <c r="Y66" i="47"/>
  <c r="AY68" i="47"/>
  <c r="AY69" i="47"/>
  <c r="BC69" i="47"/>
  <c r="BC68" i="47"/>
  <c r="AY67" i="47"/>
  <c r="R66" i="47"/>
  <c r="BB68" i="47"/>
  <c r="BB70" i="47"/>
  <c r="BA71" i="47"/>
  <c r="U66" i="47"/>
  <c r="V66" i="47"/>
  <c r="W66" i="47"/>
  <c r="AX70" i="47"/>
  <c r="AZ71" i="47"/>
  <c r="BA70" i="47"/>
  <c r="BB69" i="47"/>
  <c r="AX67" i="47"/>
  <c r="AX68" i="47"/>
  <c r="AZ70" i="47"/>
  <c r="AX69" i="47"/>
  <c r="CO27" i="43"/>
  <c r="K79" i="47" s="1"/>
  <c r="CM27" i="43"/>
  <c r="I79" i="47" s="1"/>
  <c r="CH27" i="43"/>
  <c r="E79" i="47" s="1"/>
  <c r="CF27" i="43"/>
  <c r="C79" i="47" s="1"/>
  <c r="CJ27" i="43"/>
  <c r="G79" i="47" s="1"/>
  <c r="BE70" i="47"/>
  <c r="AG357" i="47"/>
  <c r="Z71" i="54"/>
  <c r="AA71" i="54"/>
  <c r="O54" i="55"/>
  <c r="Q54" i="55" s="1"/>
  <c r="V54" i="55"/>
  <c r="U54" i="55"/>
  <c r="P55" i="55"/>
  <c r="V52" i="55"/>
  <c r="O20" i="55"/>
  <c r="AE14" i="50" s="1"/>
  <c r="V55" i="55"/>
  <c r="U55" i="55"/>
  <c r="O56" i="55"/>
  <c r="O22" i="55"/>
  <c r="AE16" i="50" s="1"/>
  <c r="O19" i="55"/>
  <c r="AE13" i="50" s="1"/>
  <c r="U53" i="55"/>
  <c r="U56" i="55"/>
  <c r="P56" i="55"/>
  <c r="P21" i="55"/>
  <c r="V21" i="55" s="1"/>
  <c r="R148" i="54"/>
  <c r="V148" i="54" s="1"/>
  <c r="T148" i="54"/>
  <c r="X148" i="54" s="1"/>
  <c r="T122" i="54"/>
  <c r="X122" i="54" s="1"/>
  <c r="S147" i="54"/>
  <c r="W147" i="54" s="1"/>
  <c r="R122" i="54"/>
  <c r="V122" i="54" s="1"/>
  <c r="T121" i="54"/>
  <c r="X121" i="54" s="1"/>
  <c r="S121" i="54"/>
  <c r="W121" i="54" s="1"/>
  <c r="T147" i="54"/>
  <c r="X147" i="54" s="1"/>
  <c r="S120" i="54"/>
  <c r="W120" i="54" s="1"/>
  <c r="R120" i="54"/>
  <c r="V120" i="54" s="1"/>
  <c r="T120" i="54"/>
  <c r="X120" i="54" s="1"/>
  <c r="T146" i="54"/>
  <c r="X146" i="54" s="1"/>
  <c r="V92" i="54"/>
  <c r="S145" i="54"/>
  <c r="W145" i="54" s="1"/>
  <c r="T145" i="54"/>
  <c r="X145" i="54" s="1"/>
  <c r="R145" i="54"/>
  <c r="V145" i="54" s="1"/>
  <c r="T119" i="54"/>
  <c r="X119" i="54" s="1"/>
  <c r="S119" i="54"/>
  <c r="W119" i="54" s="1"/>
  <c r="R119" i="54"/>
  <c r="V119" i="54" s="1"/>
  <c r="S146" i="54"/>
  <c r="W146" i="54" s="1"/>
  <c r="T118" i="54"/>
  <c r="X118" i="54" s="1"/>
  <c r="S118" i="54"/>
  <c r="W118" i="54" s="1"/>
  <c r="R118" i="54"/>
  <c r="V118" i="54" s="1"/>
  <c r="T144" i="54"/>
  <c r="X144" i="54" s="1"/>
  <c r="S144" i="54"/>
  <c r="W144" i="54" s="1"/>
  <c r="R144" i="54"/>
  <c r="V144" i="54" s="1"/>
  <c r="R146" i="54"/>
  <c r="V146" i="54" s="1"/>
  <c r="BA357" i="47"/>
  <c r="AZ357" i="47"/>
  <c r="AY373" i="47"/>
  <c r="AY380" i="47" s="1"/>
  <c r="BC373" i="47"/>
  <c r="BC380" i="47" s="1"/>
  <c r="BE357" i="47"/>
  <c r="BL347" i="47" s="1"/>
  <c r="BA373" i="47"/>
  <c r="BA380" i="47" s="1"/>
  <c r="BE269" i="47"/>
  <c r="AF151" i="47"/>
  <c r="BL142" i="47" s="1"/>
  <c r="U104" i="55"/>
  <c r="O104" i="55"/>
  <c r="V104" i="55"/>
  <c r="P104" i="55"/>
  <c r="V103" i="55"/>
  <c r="P103" i="55"/>
  <c r="U103" i="55"/>
  <c r="O103" i="55"/>
  <c r="U102" i="55"/>
  <c r="O102" i="55"/>
  <c r="V102" i="55"/>
  <c r="P102" i="55"/>
  <c r="V105" i="55"/>
  <c r="P105" i="55"/>
  <c r="U105" i="55"/>
  <c r="O105" i="55"/>
  <c r="BR346" i="47"/>
  <c r="L41" i="55"/>
  <c r="O41" i="55" s="1"/>
  <c r="F176" i="69" s="1"/>
  <c r="BB71" i="47"/>
  <c r="BC71" i="47"/>
  <c r="BE71" i="47"/>
  <c r="Y425" i="47"/>
  <c r="Z425" i="47"/>
  <c r="AG425" i="47" s="1"/>
  <c r="G84" i="47"/>
  <c r="H84" i="47"/>
  <c r="BC439" i="47"/>
  <c r="BD439" i="47"/>
  <c r="BD373" i="47"/>
  <c r="BD380" i="47" s="1"/>
  <c r="BE381" i="47" s="1"/>
  <c r="BB439" i="47"/>
  <c r="J11" i="32"/>
  <c r="P11" i="32" s="1"/>
  <c r="Q11" i="32" s="1"/>
  <c r="BK39" i="29" s="1"/>
  <c r="R11" i="32" s="1"/>
  <c r="M11" i="32"/>
  <c r="AE439" i="47"/>
  <c r="AC176" i="43"/>
  <c r="G63" i="40" s="1"/>
  <c r="H98" i="42" s="1"/>
  <c r="M98" i="42" s="1"/>
  <c r="G476" i="47"/>
  <c r="AJ488" i="47"/>
  <c r="AA176" i="43"/>
  <c r="D63" i="40" s="1"/>
  <c r="E98" i="42" s="1"/>
  <c r="K98" i="42" s="1"/>
  <c r="H476" i="47"/>
  <c r="AB176" i="43"/>
  <c r="E63" i="40" s="1"/>
  <c r="F98" i="42" s="1"/>
  <c r="L98" i="42" s="1"/>
  <c r="P413" i="47"/>
  <c r="R413" i="47" s="1"/>
  <c r="P414" i="47"/>
  <c r="R414" i="47" s="1"/>
  <c r="O414" i="47"/>
  <c r="Q414" i="47" s="1"/>
  <c r="O415" i="47"/>
  <c r="Q415" i="47" s="1"/>
  <c r="P415" i="47"/>
  <c r="R415" i="47" s="1"/>
  <c r="AY53" i="47"/>
  <c r="AZ53" i="47"/>
  <c r="BB53" i="47"/>
  <c r="BF439" i="47"/>
  <c r="AY439" i="47"/>
  <c r="AZ373" i="47"/>
  <c r="AZ380" i="47" s="1"/>
  <c r="AC388" i="47"/>
  <c r="AX439" i="47"/>
  <c r="AZ439" i="47"/>
  <c r="BB373" i="47"/>
  <c r="AX373" i="47"/>
  <c r="AX380" i="47" s="1"/>
  <c r="AE440" i="47"/>
  <c r="BC440" i="47"/>
  <c r="W9" i="55"/>
  <c r="V9" i="55"/>
  <c r="AA9" i="55"/>
  <c r="P18" i="55"/>
  <c r="AG12" i="50" s="1"/>
  <c r="P20" i="55"/>
  <c r="V20" i="55" s="1"/>
  <c r="J10" i="32"/>
  <c r="M8" i="32"/>
  <c r="V53" i="55"/>
  <c r="J9" i="32"/>
  <c r="J8" i="32"/>
  <c r="K8" i="32" s="1"/>
  <c r="M10" i="32"/>
  <c r="M9" i="32"/>
  <c r="U52" i="55"/>
  <c r="M506" i="47"/>
  <c r="Q506" i="47" s="1"/>
  <c r="AX506" i="47" s="1"/>
  <c r="CJ199" i="43"/>
  <c r="N506" i="47" s="1"/>
  <c r="R506" i="47" s="1"/>
  <c r="AJ506" i="47" s="1"/>
  <c r="M504" i="47"/>
  <c r="Q504" i="47" s="1"/>
  <c r="AI504" i="47" s="1"/>
  <c r="CJ197" i="43"/>
  <c r="N504" i="47" s="1"/>
  <c r="R504" i="47" s="1"/>
  <c r="AJ504" i="47" s="1"/>
  <c r="CJ198" i="43"/>
  <c r="N505" i="47" s="1"/>
  <c r="R505" i="47" s="1"/>
  <c r="AJ505" i="47" s="1"/>
  <c r="M505" i="47"/>
  <c r="Q505" i="47" s="1"/>
  <c r="AI505" i="47" s="1"/>
  <c r="AF198" i="43" s="1"/>
  <c r="O21" i="55"/>
  <c r="U21" i="55" s="1"/>
  <c r="L45" i="55"/>
  <c r="O45" i="55" s="1"/>
  <c r="U45" i="55" s="1"/>
  <c r="AB478" i="47"/>
  <c r="L46" i="55"/>
  <c r="O46" i="55" s="1"/>
  <c r="U46" i="55" s="1"/>
  <c r="M83" i="55"/>
  <c r="V83" i="55" s="1"/>
  <c r="M44" i="55"/>
  <c r="P44" i="55" s="1"/>
  <c r="M43" i="55"/>
  <c r="P43" i="55" s="1"/>
  <c r="F178" i="69" s="1"/>
  <c r="L42" i="55"/>
  <c r="O42" i="55" s="1"/>
  <c r="U42" i="55" s="1"/>
  <c r="P22" i="55"/>
  <c r="V22" i="55" s="1"/>
  <c r="M84" i="55"/>
  <c r="P84" i="55" s="1"/>
  <c r="O18" i="55"/>
  <c r="U18" i="55" s="1"/>
  <c r="P19" i="55"/>
  <c r="V19" i="55" s="1"/>
  <c r="L82" i="55"/>
  <c r="U82" i="55" s="1"/>
  <c r="O53" i="55"/>
  <c r="AE31" i="50" s="1"/>
  <c r="M80" i="55"/>
  <c r="V80" i="55" s="1"/>
  <c r="I17" i="55"/>
  <c r="J17" i="55" s="1"/>
  <c r="AE68" i="54"/>
  <c r="AE63" i="54"/>
  <c r="AF68" i="54"/>
  <c r="Z63" i="54"/>
  <c r="AF63" i="54"/>
  <c r="P53" i="55"/>
  <c r="L81" i="55"/>
  <c r="U81" i="55" s="1"/>
  <c r="V90" i="55"/>
  <c r="P90" i="55"/>
  <c r="V100" i="55"/>
  <c r="V94" i="55"/>
  <c r="P94" i="55"/>
  <c r="U89" i="55"/>
  <c r="O89" i="55"/>
  <c r="V93" i="55"/>
  <c r="P93" i="55"/>
  <c r="P51" i="55"/>
  <c r="V46" i="55"/>
  <c r="U90" i="55"/>
  <c r="O90" i="55"/>
  <c r="U100" i="55"/>
  <c r="O100" i="55"/>
  <c r="Z182" i="69" s="1"/>
  <c r="U94" i="55"/>
  <c r="O94" i="55"/>
  <c r="U101" i="55"/>
  <c r="O101" i="55"/>
  <c r="P52" i="55"/>
  <c r="V91" i="55"/>
  <c r="P91" i="55"/>
  <c r="V92" i="55"/>
  <c r="P92" i="55"/>
  <c r="V101" i="55"/>
  <c r="P101" i="55"/>
  <c r="V45" i="55"/>
  <c r="O52" i="55"/>
  <c r="U91" i="55"/>
  <c r="O91" i="55"/>
  <c r="U92" i="55"/>
  <c r="O92" i="55"/>
  <c r="V89" i="55"/>
  <c r="P89" i="55"/>
  <c r="V42" i="55"/>
  <c r="U93" i="55"/>
  <c r="O93" i="55"/>
  <c r="AF72" i="54"/>
  <c r="AE65" i="54"/>
  <c r="AE67" i="54"/>
  <c r="AF65" i="54"/>
  <c r="AF67" i="54"/>
  <c r="AF70" i="54"/>
  <c r="AE69" i="54"/>
  <c r="AE70" i="54"/>
  <c r="AF69" i="54"/>
  <c r="AF62" i="54"/>
  <c r="AE62" i="54"/>
  <c r="AE72" i="54"/>
  <c r="AA72" i="54"/>
  <c r="Z72" i="54"/>
  <c r="X64" i="54"/>
  <c r="X66" i="54"/>
  <c r="V66" i="54"/>
  <c r="Z66" i="54" s="1"/>
  <c r="V64" i="54"/>
  <c r="Z64" i="54" s="1"/>
  <c r="AA69" i="54"/>
  <c r="Z69" i="54"/>
  <c r="AA65" i="54"/>
  <c r="Z68" i="54"/>
  <c r="AA68" i="54"/>
  <c r="Z62" i="54"/>
  <c r="Z70" i="54"/>
  <c r="AA70" i="54"/>
  <c r="Z65" i="54"/>
  <c r="AA67" i="54"/>
  <c r="Z67" i="54"/>
  <c r="AA63" i="54"/>
  <c r="K59" i="37"/>
  <c r="BB57" i="37" s="1"/>
  <c r="AX477" i="47"/>
  <c r="BE478" i="47"/>
  <c r="BD477" i="47"/>
  <c r="AY477" i="47"/>
  <c r="S489" i="47"/>
  <c r="AA177" i="43"/>
  <c r="BD478" i="47"/>
  <c r="BE477" i="47"/>
  <c r="T489" i="47"/>
  <c r="AB177" i="43"/>
  <c r="U489" i="47"/>
  <c r="AC177" i="43"/>
  <c r="AF478" i="47"/>
  <c r="AD478" i="47"/>
  <c r="BG478" i="47"/>
  <c r="BG477" i="47"/>
  <c r="AG478" i="47"/>
  <c r="BC477" i="47"/>
  <c r="AC478" i="47"/>
  <c r="AX478" i="47"/>
  <c r="BF477" i="47"/>
  <c r="BF478" i="47"/>
  <c r="BB478" i="47"/>
  <c r="AF479" i="47"/>
  <c r="BA478" i="47"/>
  <c r="AZ477" i="47"/>
  <c r="AE478" i="47"/>
  <c r="AC479" i="47"/>
  <c r="AB479" i="47"/>
  <c r="BC478" i="47"/>
  <c r="AG479" i="47"/>
  <c r="AK443" i="47"/>
  <c r="AF154" i="43"/>
  <c r="AG154" i="43" s="1"/>
  <c r="E156" i="69" s="1"/>
  <c r="AB156" i="69" s="1"/>
  <c r="AY478" i="47"/>
  <c r="AZ478" i="47"/>
  <c r="AD479" i="47"/>
  <c r="AE479" i="47"/>
  <c r="BB477" i="47"/>
  <c r="BA477" i="47"/>
  <c r="AY388" i="47"/>
  <c r="BF373" i="47"/>
  <c r="BG380" i="47"/>
  <c r="Y359" i="47"/>
  <c r="Z359" i="47"/>
  <c r="Y360" i="47"/>
  <c r="Z360" i="47"/>
  <c r="BB54" i="47"/>
  <c r="AZ54" i="47"/>
  <c r="AY54" i="47"/>
  <c r="BA54" i="47"/>
  <c r="AZ191" i="47"/>
  <c r="AZ198" i="47" s="1"/>
  <c r="BB191" i="47"/>
  <c r="BB198" i="47" s="1"/>
  <c r="AY191" i="47"/>
  <c r="BA191" i="47"/>
  <c r="BC191" i="47"/>
  <c r="F84" i="47"/>
  <c r="AX191" i="47"/>
  <c r="BA262" i="47"/>
  <c r="AY152" i="47"/>
  <c r="AX153" i="47"/>
  <c r="AX152" i="47"/>
  <c r="AY153" i="47"/>
  <c r="AZ153" i="47"/>
  <c r="AZ152" i="47"/>
  <c r="BA153" i="47"/>
  <c r="BG67" i="47"/>
  <c r="BF67" i="47"/>
  <c r="J59" i="37"/>
  <c r="I59" i="37"/>
  <c r="AV46" i="37"/>
  <c r="N59" i="37"/>
  <c r="AU46" i="37"/>
  <c r="M59" i="37"/>
  <c r="BC57" i="37"/>
  <c r="Z15" i="26"/>
  <c r="Z14" i="26"/>
  <c r="Z16" i="26"/>
  <c r="X15" i="26"/>
  <c r="X14" i="26"/>
  <c r="X16" i="26"/>
  <c r="W14" i="26"/>
  <c r="W16" i="26"/>
  <c r="U127" i="55" l="1"/>
  <c r="O117" i="55"/>
  <c r="AE67" i="50" s="1"/>
  <c r="V128" i="55"/>
  <c r="P117" i="55"/>
  <c r="G176" i="69"/>
  <c r="M79" i="55"/>
  <c r="P79" i="55" s="1"/>
  <c r="O79" i="55"/>
  <c r="U84" i="55"/>
  <c r="O84" i="55"/>
  <c r="N59" i="69"/>
  <c r="AA152" i="54"/>
  <c r="AB152" i="54" s="1"/>
  <c r="Z130" i="54"/>
  <c r="P115" i="69" s="1"/>
  <c r="X114" i="69"/>
  <c r="V82" i="55"/>
  <c r="P82" i="55"/>
  <c r="U80" i="55"/>
  <c r="O80" i="55"/>
  <c r="O83" i="55"/>
  <c r="U83" i="55"/>
  <c r="P81" i="55"/>
  <c r="V81" i="55"/>
  <c r="N72" i="69"/>
  <c r="AE152" i="54"/>
  <c r="AF149" i="54"/>
  <c r="Z97" i="54"/>
  <c r="BM42" i="47"/>
  <c r="H128" i="69"/>
  <c r="D303" i="57" s="1"/>
  <c r="AK53" i="47"/>
  <c r="AE125" i="54"/>
  <c r="AB74" i="54"/>
  <c r="AE97" i="54"/>
  <c r="Z156" i="54"/>
  <c r="Q115" i="69" s="1"/>
  <c r="AE149" i="54"/>
  <c r="N56" i="69"/>
  <c r="N73" i="69"/>
  <c r="N62" i="69"/>
  <c r="G178" i="69"/>
  <c r="AF154" i="54"/>
  <c r="AB73" i="54"/>
  <c r="AE154" i="54"/>
  <c r="Z155" i="54"/>
  <c r="AD67" i="26" s="1"/>
  <c r="Z154" i="54"/>
  <c r="AB154" i="54" s="1"/>
  <c r="X115" i="69"/>
  <c r="AA97" i="54"/>
  <c r="AF97" i="54"/>
  <c r="N65" i="69"/>
  <c r="N74" i="69"/>
  <c r="AF125" i="54"/>
  <c r="Z153" i="69"/>
  <c r="K65" i="23"/>
  <c r="J65" i="23"/>
  <c r="P65" i="23" s="1"/>
  <c r="W93" i="15" s="1"/>
  <c r="J57" i="23"/>
  <c r="P57" i="23" s="1"/>
  <c r="W80" i="15" s="1"/>
  <c r="K57" i="23"/>
  <c r="Z184" i="69"/>
  <c r="J48" i="23"/>
  <c r="K48" i="23"/>
  <c r="K54" i="23"/>
  <c r="J54" i="23"/>
  <c r="P54" i="23" s="1"/>
  <c r="W76" i="15" s="1"/>
  <c r="K63" i="23"/>
  <c r="J63" i="23"/>
  <c r="P63" i="23" s="1"/>
  <c r="W91" i="15" s="1"/>
  <c r="N71" i="69"/>
  <c r="K51" i="23"/>
  <c r="J51" i="23"/>
  <c r="P51" i="23" s="1"/>
  <c r="W72" i="15" s="1"/>
  <c r="K66" i="23"/>
  <c r="J66" i="23"/>
  <c r="P66" i="23" s="1"/>
  <c r="W94" i="15" s="1"/>
  <c r="F181" i="69"/>
  <c r="J64" i="23"/>
  <c r="P64" i="23" s="1"/>
  <c r="W92" i="15" s="1"/>
  <c r="K64" i="23"/>
  <c r="Y130" i="69"/>
  <c r="N70" i="69"/>
  <c r="F180" i="69"/>
  <c r="K62" i="23"/>
  <c r="J62" i="23"/>
  <c r="P62" i="23" s="1"/>
  <c r="W90" i="15" s="1"/>
  <c r="Z95" i="54"/>
  <c r="O108" i="69" s="1"/>
  <c r="AA100" i="54"/>
  <c r="AE94" i="54"/>
  <c r="Z98" i="54"/>
  <c r="O111" i="69" s="1"/>
  <c r="AF94" i="54"/>
  <c r="Z100" i="54"/>
  <c r="AE100" i="54"/>
  <c r="Z151" i="54"/>
  <c r="AA151" i="54"/>
  <c r="AF100" i="54"/>
  <c r="AF95" i="54"/>
  <c r="AF98" i="54"/>
  <c r="AE147" i="54"/>
  <c r="AA129" i="54"/>
  <c r="P114" i="69" s="1"/>
  <c r="AA101" i="54"/>
  <c r="O114" i="69" s="1"/>
  <c r="AF150" i="54"/>
  <c r="Z148" i="54"/>
  <c r="Z150" i="54"/>
  <c r="AF153" i="54"/>
  <c r="Z99" i="54"/>
  <c r="AA99" i="54"/>
  <c r="AE99" i="54"/>
  <c r="AA150" i="54"/>
  <c r="AA147" i="54"/>
  <c r="AE150" i="54"/>
  <c r="AB76" i="54"/>
  <c r="X117" i="69"/>
  <c r="AA104" i="54"/>
  <c r="AE70" i="26" s="1"/>
  <c r="AF99" i="54"/>
  <c r="AF96" i="54"/>
  <c r="AA96" i="54"/>
  <c r="Z96" i="54"/>
  <c r="AE96" i="54"/>
  <c r="AA153" i="54"/>
  <c r="Z104" i="54"/>
  <c r="Z147" i="69"/>
  <c r="Z146" i="69"/>
  <c r="Z152" i="69"/>
  <c r="R147" i="69"/>
  <c r="R141" i="69"/>
  <c r="AA162" i="69"/>
  <c r="I147" i="69"/>
  <c r="R152" i="69"/>
  <c r="R142" i="69"/>
  <c r="R145" i="69"/>
  <c r="R153" i="69"/>
  <c r="R144" i="69"/>
  <c r="R158" i="69"/>
  <c r="Z132" i="69"/>
  <c r="R134" i="69"/>
  <c r="Z158" i="69"/>
  <c r="F187" i="69"/>
  <c r="Z153" i="54"/>
  <c r="AE153" i="54"/>
  <c r="Z145" i="69"/>
  <c r="I184" i="69"/>
  <c r="Z159" i="69"/>
  <c r="AA163" i="69"/>
  <c r="I153" i="69"/>
  <c r="Z187" i="69"/>
  <c r="Q55" i="55"/>
  <c r="G180" i="69"/>
  <c r="I133" i="69"/>
  <c r="I152" i="69"/>
  <c r="I145" i="69"/>
  <c r="R146" i="69"/>
  <c r="AG34" i="50"/>
  <c r="G181" i="69"/>
  <c r="Z129" i="69"/>
  <c r="Y129" i="69"/>
  <c r="Z144" i="69"/>
  <c r="Z141" i="69"/>
  <c r="I142" i="69"/>
  <c r="I155" i="69"/>
  <c r="AJ478" i="47"/>
  <c r="I158" i="69"/>
  <c r="I144" i="69"/>
  <c r="Y134" i="69"/>
  <c r="R159" i="69"/>
  <c r="BF357" i="47"/>
  <c r="BM347" i="47" s="1"/>
  <c r="BQ347" i="47" s="1"/>
  <c r="Y146" i="69"/>
  <c r="I141" i="69"/>
  <c r="Z155" i="69"/>
  <c r="Z133" i="69"/>
  <c r="Z158" i="54"/>
  <c r="Q117" i="69" s="1"/>
  <c r="I146" i="69"/>
  <c r="I187" i="69"/>
  <c r="I159" i="69"/>
  <c r="Z185" i="69"/>
  <c r="BM418" i="47"/>
  <c r="R155" i="69"/>
  <c r="Q44" i="55"/>
  <c r="F179" i="69"/>
  <c r="G179" i="69"/>
  <c r="I185" i="69"/>
  <c r="I186" i="69"/>
  <c r="I183" i="69"/>
  <c r="Z183" i="69"/>
  <c r="Z186" i="69"/>
  <c r="I182" i="69"/>
  <c r="F182" i="69"/>
  <c r="AG30" i="50"/>
  <c r="G177" i="69"/>
  <c r="F177" i="69"/>
  <c r="AA8" i="55"/>
  <c r="AA10" i="55" s="1"/>
  <c r="F170" i="69"/>
  <c r="P17" i="55"/>
  <c r="AG11" i="50" s="1"/>
  <c r="F124" i="69"/>
  <c r="G124" i="69"/>
  <c r="Q108" i="69"/>
  <c r="X106" i="69"/>
  <c r="P110" i="69"/>
  <c r="X109" i="69"/>
  <c r="O118" i="69"/>
  <c r="P117" i="69"/>
  <c r="O115" i="69"/>
  <c r="Q118" i="69"/>
  <c r="Q116" i="69"/>
  <c r="Q119" i="69"/>
  <c r="P116" i="69"/>
  <c r="P118" i="69"/>
  <c r="P119" i="69"/>
  <c r="O116" i="69"/>
  <c r="O119" i="69"/>
  <c r="X110" i="69"/>
  <c r="X113" i="69"/>
  <c r="X104" i="69"/>
  <c r="X108" i="69"/>
  <c r="X111" i="69"/>
  <c r="X112" i="69"/>
  <c r="X103" i="69"/>
  <c r="V51" i="55"/>
  <c r="U51" i="55"/>
  <c r="AB133" i="54"/>
  <c r="AB103" i="54"/>
  <c r="AD69" i="26"/>
  <c r="AB157" i="54"/>
  <c r="AE69" i="26"/>
  <c r="AB134" i="54"/>
  <c r="AD72" i="26"/>
  <c r="AB160" i="54"/>
  <c r="AB132" i="54"/>
  <c r="AB102" i="54"/>
  <c r="AB105" i="54"/>
  <c r="AB106" i="54"/>
  <c r="AE71" i="26"/>
  <c r="AE68" i="26"/>
  <c r="AE72" i="26"/>
  <c r="AB159" i="54"/>
  <c r="AB131" i="54"/>
  <c r="AD71" i="26"/>
  <c r="AM9" i="54"/>
  <c r="H119" i="49" s="1"/>
  <c r="AE124" i="57" s="1"/>
  <c r="Z81" i="54"/>
  <c r="BQ40" i="47"/>
  <c r="AE176" i="47"/>
  <c r="AF166" i="47"/>
  <c r="BM341" i="47"/>
  <c r="H153" i="49" s="1"/>
  <c r="AH156" i="69"/>
  <c r="AI156" i="69"/>
  <c r="AJ282" i="47"/>
  <c r="BQ41" i="47"/>
  <c r="BC312" i="47"/>
  <c r="AI280" i="47"/>
  <c r="BN41" i="47"/>
  <c r="BN40" i="47"/>
  <c r="AJ278" i="47"/>
  <c r="BL341" i="47"/>
  <c r="AY312" i="47"/>
  <c r="AD176" i="47"/>
  <c r="AI282" i="47"/>
  <c r="AX312" i="47"/>
  <c r="BR230" i="47"/>
  <c r="BR228" i="47"/>
  <c r="AF167" i="47"/>
  <c r="AZ312" i="47"/>
  <c r="BB312" i="47"/>
  <c r="BR229" i="47"/>
  <c r="BA312" i="47"/>
  <c r="AC68" i="47"/>
  <c r="AI281" i="47"/>
  <c r="AA29" i="32"/>
  <c r="I42" i="32"/>
  <c r="Z29" i="32"/>
  <c r="H42" i="32"/>
  <c r="AE13" i="32" s="1"/>
  <c r="W28" i="32"/>
  <c r="V28" i="32"/>
  <c r="AJ281" i="47"/>
  <c r="O116" i="55"/>
  <c r="AE66" i="50" s="1"/>
  <c r="U126" i="55"/>
  <c r="V126" i="55"/>
  <c r="P116" i="55"/>
  <c r="V127" i="55"/>
  <c r="P115" i="55"/>
  <c r="U22" i="55"/>
  <c r="O115" i="55"/>
  <c r="AB167" i="47"/>
  <c r="AK55" i="47"/>
  <c r="AG167" i="47"/>
  <c r="R136" i="69" s="1"/>
  <c r="AE32" i="50"/>
  <c r="BL345" i="47"/>
  <c r="BN345" i="47" s="1"/>
  <c r="AE166" i="47"/>
  <c r="AG166" i="47"/>
  <c r="AE167" i="47"/>
  <c r="AB69" i="47"/>
  <c r="BD68" i="47"/>
  <c r="AC167" i="47"/>
  <c r="BL228" i="47"/>
  <c r="AD68" i="47"/>
  <c r="AE68" i="47"/>
  <c r="M80" i="47"/>
  <c r="AB80" i="47" s="1"/>
  <c r="N80" i="47"/>
  <c r="AC80" i="47" s="1"/>
  <c r="Y80" i="47"/>
  <c r="Z80" i="47"/>
  <c r="P80" i="47"/>
  <c r="Q80" i="47"/>
  <c r="S80" i="47"/>
  <c r="AF80" i="47" s="1"/>
  <c r="T80" i="47"/>
  <c r="AG80" i="47" s="1"/>
  <c r="BE68" i="47"/>
  <c r="AZ68" i="47"/>
  <c r="M79" i="47"/>
  <c r="N79" i="47"/>
  <c r="P79" i="47"/>
  <c r="Q79" i="47"/>
  <c r="V79" i="47"/>
  <c r="W79" i="47"/>
  <c r="S79" i="47"/>
  <c r="AF79" i="47" s="1"/>
  <c r="T79" i="47"/>
  <c r="AG79" i="47" s="1"/>
  <c r="Z79" i="47"/>
  <c r="Y79" i="47"/>
  <c r="BL230" i="47"/>
  <c r="BL229" i="47"/>
  <c r="BM343" i="47"/>
  <c r="BL344" i="47"/>
  <c r="BQ344" i="47" s="1"/>
  <c r="BM421" i="47"/>
  <c r="BM230" i="47"/>
  <c r="BM228" i="47"/>
  <c r="BM342" i="47"/>
  <c r="G153" i="49" s="1"/>
  <c r="BL342" i="47"/>
  <c r="BM229" i="47"/>
  <c r="BL340" i="47"/>
  <c r="BM340" i="47"/>
  <c r="F153" i="49" s="1"/>
  <c r="L153" i="49" s="1"/>
  <c r="R153" i="49" s="1"/>
  <c r="BL416" i="47"/>
  <c r="AZ446" i="47"/>
  <c r="BA447" i="47" s="1"/>
  <c r="BM416" i="47"/>
  <c r="F156" i="49" s="1"/>
  <c r="L156" i="49" s="1"/>
  <c r="R156" i="49" s="1"/>
  <c r="BD446" i="47"/>
  <c r="BE447" i="47" s="1"/>
  <c r="AY460" i="47"/>
  <c r="AX446" i="47"/>
  <c r="AJ454" i="47"/>
  <c r="AI442" i="47"/>
  <c r="AE153" i="43" s="1"/>
  <c r="BM420" i="47"/>
  <c r="BQ419" i="47"/>
  <c r="BB446" i="47"/>
  <c r="AY446" i="47"/>
  <c r="AJ442" i="47"/>
  <c r="AF153" i="43" s="1"/>
  <c r="BA395" i="47"/>
  <c r="BR418" i="47"/>
  <c r="BR419" i="47"/>
  <c r="BQ420" i="47"/>
  <c r="BQ421" i="47"/>
  <c r="BQ418" i="47"/>
  <c r="AX460" i="47"/>
  <c r="BF446" i="47"/>
  <c r="BG447" i="47" s="1"/>
  <c r="BB395" i="47"/>
  <c r="BL421" i="47"/>
  <c r="AJ453" i="47"/>
  <c r="BC395" i="47"/>
  <c r="BR420" i="47"/>
  <c r="BR421" i="47"/>
  <c r="BR345" i="47"/>
  <c r="AI454" i="47"/>
  <c r="BB460" i="47"/>
  <c r="BC461" i="47" s="1"/>
  <c r="AI453" i="47"/>
  <c r="BL419" i="47"/>
  <c r="BL420" i="47"/>
  <c r="AZ460" i="47"/>
  <c r="BA461" i="47" s="1"/>
  <c r="AX395" i="47"/>
  <c r="BR343" i="47"/>
  <c r="AI374" i="47"/>
  <c r="AJ389" i="47"/>
  <c r="AZ395" i="47"/>
  <c r="AI389" i="47"/>
  <c r="AJ374" i="47"/>
  <c r="AI373" i="47"/>
  <c r="BR344" i="47"/>
  <c r="AI388" i="47"/>
  <c r="AJ308" i="47"/>
  <c r="AJ306" i="47"/>
  <c r="AI307" i="47"/>
  <c r="AI305" i="47"/>
  <c r="AI308" i="47"/>
  <c r="AI306" i="47"/>
  <c r="AJ307" i="47"/>
  <c r="AJ305" i="47"/>
  <c r="AI304" i="47"/>
  <c r="AI309" i="47"/>
  <c r="AJ304" i="47"/>
  <c r="AJ309" i="47"/>
  <c r="BQ231" i="47"/>
  <c r="AI278" i="47"/>
  <c r="AD271" i="47"/>
  <c r="AI279" i="47" s="1"/>
  <c r="AB269" i="47"/>
  <c r="BL225" i="47" s="1"/>
  <c r="AE271" i="47"/>
  <c r="AE269" i="47"/>
  <c r="AD269" i="47"/>
  <c r="AF269" i="47"/>
  <c r="BL227" i="47" s="1"/>
  <c r="AG269" i="47"/>
  <c r="BG289" i="47"/>
  <c r="BD269" i="47"/>
  <c r="BD276" i="47" s="1"/>
  <c r="BB167" i="47"/>
  <c r="BE276" i="47"/>
  <c r="CJ97" i="43"/>
  <c r="G284" i="47" s="1"/>
  <c r="CH97" i="43"/>
  <c r="E284" i="47" s="1"/>
  <c r="CF97" i="43"/>
  <c r="C284" i="47" s="1"/>
  <c r="CM97" i="43"/>
  <c r="I284" i="47" s="1"/>
  <c r="CJ96" i="43"/>
  <c r="G283" i="47" s="1"/>
  <c r="T283" i="47" s="1"/>
  <c r="AG283" i="47" s="1"/>
  <c r="R143" i="69" s="1"/>
  <c r="CH96" i="43"/>
  <c r="E283" i="47" s="1"/>
  <c r="Q283" i="47" s="1"/>
  <c r="AE283" i="47" s="1"/>
  <c r="Z143" i="69" s="1"/>
  <c r="CF96" i="43"/>
  <c r="C283" i="47" s="1"/>
  <c r="N283" i="47" s="1"/>
  <c r="CM96" i="43"/>
  <c r="I283" i="47" s="1"/>
  <c r="W283" i="47" s="1"/>
  <c r="BC273" i="47"/>
  <c r="BC272" i="47"/>
  <c r="BB271" i="47"/>
  <c r="BB274" i="47"/>
  <c r="BA274" i="47"/>
  <c r="AY271" i="47"/>
  <c r="AZ271" i="47"/>
  <c r="BB273" i="47"/>
  <c r="BB272" i="47"/>
  <c r="BC271" i="47"/>
  <c r="BC274" i="47"/>
  <c r="AZ274" i="47"/>
  <c r="AX271" i="47"/>
  <c r="BA271" i="47"/>
  <c r="AY273" i="47"/>
  <c r="AZ273" i="47"/>
  <c r="AY274" i="47"/>
  <c r="BA272" i="47"/>
  <c r="AX272" i="47"/>
  <c r="AX273" i="47"/>
  <c r="BA273" i="47"/>
  <c r="AX274" i="47"/>
  <c r="AZ272" i="47"/>
  <c r="AY272" i="47"/>
  <c r="AK202" i="47"/>
  <c r="AC166" i="47"/>
  <c r="BD185" i="47"/>
  <c r="AB166" i="47"/>
  <c r="BC165" i="47"/>
  <c r="BB166" i="47"/>
  <c r="AG169" i="47"/>
  <c r="R138" i="69" s="1"/>
  <c r="AB170" i="47"/>
  <c r="I139" i="69" s="1"/>
  <c r="AD167" i="47"/>
  <c r="BB165" i="47"/>
  <c r="AC169" i="47"/>
  <c r="I138" i="69" s="1"/>
  <c r="AY169" i="47"/>
  <c r="AY185" i="47" s="1"/>
  <c r="AC66" i="47"/>
  <c r="BB168" i="47"/>
  <c r="AD170" i="47"/>
  <c r="Z139" i="69" s="1"/>
  <c r="AE169" i="47"/>
  <c r="AZ169" i="47"/>
  <c r="AZ185" i="47" s="1"/>
  <c r="AD169" i="47"/>
  <c r="AI175" i="47" s="1"/>
  <c r="AE62" i="43" s="1"/>
  <c r="AD166" i="47"/>
  <c r="AD168" i="47"/>
  <c r="AI174" i="47" s="1"/>
  <c r="AE61" i="43" s="1"/>
  <c r="AB165" i="47"/>
  <c r="AC168" i="47"/>
  <c r="BC170" i="47"/>
  <c r="AG170" i="47"/>
  <c r="R139" i="69" s="1"/>
  <c r="AE165" i="47"/>
  <c r="AD165" i="47"/>
  <c r="AC165" i="47"/>
  <c r="AB66" i="47"/>
  <c r="BE185" i="47"/>
  <c r="AX168" i="47"/>
  <c r="BA170" i="47"/>
  <c r="BA185" i="47" s="1"/>
  <c r="AX170" i="47"/>
  <c r="G159" i="47"/>
  <c r="F159" i="47" s="1"/>
  <c r="BG185" i="47"/>
  <c r="BF185" i="47"/>
  <c r="BA67" i="47"/>
  <c r="AY108" i="47"/>
  <c r="AB67" i="47"/>
  <c r="I129" i="69" s="1"/>
  <c r="BR40" i="47"/>
  <c r="BC108" i="47"/>
  <c r="BA108" i="47"/>
  <c r="BR41" i="47"/>
  <c r="BA68" i="47"/>
  <c r="BR39" i="47"/>
  <c r="AK98" i="47"/>
  <c r="AB68" i="47"/>
  <c r="AF66" i="47"/>
  <c r="AG66" i="47"/>
  <c r="AD66" i="47"/>
  <c r="AE66" i="47"/>
  <c r="BA69" i="47"/>
  <c r="AZ69" i="47"/>
  <c r="AZ67" i="47"/>
  <c r="AJ75" i="47"/>
  <c r="AF29" i="43" s="1"/>
  <c r="AJ76" i="47"/>
  <c r="AF30" i="43" s="1"/>
  <c r="BG66" i="47"/>
  <c r="BG84" i="47" s="1"/>
  <c r="AI76" i="47"/>
  <c r="AE30" i="43" s="1"/>
  <c r="AJ72" i="47"/>
  <c r="AI75" i="47"/>
  <c r="AE29" i="43" s="1"/>
  <c r="BQ139" i="47"/>
  <c r="BN39" i="47"/>
  <c r="BQ39" i="47"/>
  <c r="U20" i="55"/>
  <c r="AG33" i="50"/>
  <c r="AB71" i="54"/>
  <c r="Q56" i="55"/>
  <c r="AG15" i="50"/>
  <c r="U19" i="55"/>
  <c r="AE148" i="54"/>
  <c r="AA94" i="54"/>
  <c r="Z94" i="54"/>
  <c r="AF148" i="54"/>
  <c r="Z147" i="54"/>
  <c r="AA148" i="54"/>
  <c r="AF147" i="54"/>
  <c r="AA93" i="54"/>
  <c r="Z93" i="54"/>
  <c r="AE93" i="54"/>
  <c r="AF93" i="54"/>
  <c r="AE146" i="54"/>
  <c r="BR342" i="47"/>
  <c r="AF92" i="54"/>
  <c r="AA92" i="54"/>
  <c r="AE119" i="54"/>
  <c r="Z119" i="54"/>
  <c r="AA145" i="54"/>
  <c r="AE92" i="54"/>
  <c r="AE144" i="54"/>
  <c r="Z145" i="54"/>
  <c r="AE145" i="54"/>
  <c r="AF145" i="54"/>
  <c r="Z92" i="54"/>
  <c r="AE91" i="54"/>
  <c r="AA144" i="54"/>
  <c r="AF146" i="54"/>
  <c r="AA146" i="54"/>
  <c r="AF90" i="54"/>
  <c r="AA119" i="54"/>
  <c r="AA91" i="54"/>
  <c r="Z146" i="54"/>
  <c r="AF119" i="54"/>
  <c r="Z144" i="54"/>
  <c r="AA90" i="54"/>
  <c r="AF144" i="54"/>
  <c r="Z90" i="54"/>
  <c r="Z91" i="54"/>
  <c r="AE90" i="54"/>
  <c r="AF91" i="54"/>
  <c r="AB149" i="54"/>
  <c r="AY381" i="47"/>
  <c r="BA381" i="47"/>
  <c r="U413" i="47"/>
  <c r="V413" i="47"/>
  <c r="T413" i="47"/>
  <c r="BL424" i="47" s="1"/>
  <c r="BR347" i="47"/>
  <c r="AI357" i="47"/>
  <c r="AJ373" i="47"/>
  <c r="AI151" i="47"/>
  <c r="H288" i="47"/>
  <c r="E119" i="60" s="1"/>
  <c r="AY269" i="47"/>
  <c r="BB269" i="47"/>
  <c r="AX269" i="47"/>
  <c r="BA269" i="47"/>
  <c r="AZ269" i="47"/>
  <c r="BC269" i="47"/>
  <c r="BA60" i="47"/>
  <c r="AE50" i="50"/>
  <c r="Q102" i="55"/>
  <c r="Q104" i="55"/>
  <c r="Q105" i="55"/>
  <c r="Q103" i="55"/>
  <c r="R59" i="37"/>
  <c r="AD17" i="36" s="1"/>
  <c r="X9" i="55"/>
  <c r="BC446" i="47"/>
  <c r="Q53" i="55"/>
  <c r="BD66" i="47"/>
  <c r="E120" i="60"/>
  <c r="Q20" i="55"/>
  <c r="AG14" i="50"/>
  <c r="AI14" i="50" s="1"/>
  <c r="E173" i="69" s="1"/>
  <c r="AB173" i="69" s="1"/>
  <c r="W8" i="55"/>
  <c r="AY425" i="47"/>
  <c r="BA425" i="47"/>
  <c r="AZ425" i="47"/>
  <c r="AZ432" i="47" s="1"/>
  <c r="AX425" i="47"/>
  <c r="AX432" i="47" s="1"/>
  <c r="AF425" i="47"/>
  <c r="Y152" i="69" s="1"/>
  <c r="AB9" i="55"/>
  <c r="BR341" i="47"/>
  <c r="BR417" i="47"/>
  <c r="BL418" i="47"/>
  <c r="AJ439" i="47"/>
  <c r="K11" i="32"/>
  <c r="BQ416" i="47"/>
  <c r="BM417" i="47"/>
  <c r="AX60" i="47"/>
  <c r="BR416" i="47"/>
  <c r="BB380" i="47"/>
  <c r="BC381" i="47" s="1"/>
  <c r="BL417" i="47"/>
  <c r="AI439" i="47"/>
  <c r="AY60" i="47"/>
  <c r="S11" i="32"/>
  <c r="T11" i="32" s="1"/>
  <c r="BM39" i="29" s="1"/>
  <c r="U11" i="32" s="1"/>
  <c r="X27" i="32" s="1"/>
  <c r="N11" i="32"/>
  <c r="BH39" i="29" s="1"/>
  <c r="O11" i="32" s="1"/>
  <c r="U27" i="32" s="1"/>
  <c r="AY490" i="47"/>
  <c r="BM474" i="47"/>
  <c r="O98" i="42"/>
  <c r="P98" i="42"/>
  <c r="AX490" i="47"/>
  <c r="AI488" i="47"/>
  <c r="BB56" i="37"/>
  <c r="E111" i="49"/>
  <c r="AZ60" i="47"/>
  <c r="AJ440" i="47"/>
  <c r="BR340" i="47"/>
  <c r="AI440" i="47"/>
  <c r="BQ417" i="47"/>
  <c r="V18" i="55"/>
  <c r="BI15" i="26"/>
  <c r="V12" i="27" s="1"/>
  <c r="BI16" i="26"/>
  <c r="V13" i="27" s="1"/>
  <c r="BI14" i="26"/>
  <c r="Q21" i="55"/>
  <c r="V79" i="55"/>
  <c r="Q46" i="55"/>
  <c r="N10" i="32"/>
  <c r="BH38" i="29" s="1"/>
  <c r="O10" i="32" s="1"/>
  <c r="S10" i="32"/>
  <c r="T10" i="32" s="1"/>
  <c r="BM38" i="29" s="1"/>
  <c r="U10" i="32" s="1"/>
  <c r="N9" i="32"/>
  <c r="BH37" i="29" s="1"/>
  <c r="O9" i="32" s="1"/>
  <c r="S9" i="32"/>
  <c r="T9" i="32" s="1"/>
  <c r="BM37" i="29" s="1"/>
  <c r="U9" i="32" s="1"/>
  <c r="Q18" i="55"/>
  <c r="N8" i="32"/>
  <c r="BH36" i="29" s="1"/>
  <c r="O8" i="32" s="1"/>
  <c r="K9" i="32"/>
  <c r="P9" i="32"/>
  <c r="Q9" i="32" s="1"/>
  <c r="BK37" i="29" s="1"/>
  <c r="R9" i="32" s="1"/>
  <c r="Y25" i="32" s="1"/>
  <c r="K10" i="32"/>
  <c r="P10" i="32"/>
  <c r="Q10" i="32" s="1"/>
  <c r="BK38" i="29" s="1"/>
  <c r="R10" i="32" s="1"/>
  <c r="AX505" i="47"/>
  <c r="AY504" i="47"/>
  <c r="AG198" i="43"/>
  <c r="AH198" i="43" s="1"/>
  <c r="E163" i="69" s="1"/>
  <c r="AK505" i="47"/>
  <c r="AY505" i="47"/>
  <c r="AE15" i="50"/>
  <c r="AX504" i="47"/>
  <c r="AG199" i="43"/>
  <c r="AK504" i="47"/>
  <c r="AG197" i="43"/>
  <c r="BL503" i="47"/>
  <c r="H150" i="49" s="1"/>
  <c r="N150" i="49" s="1"/>
  <c r="T150" i="49" s="1"/>
  <c r="AY506" i="47"/>
  <c r="AF197" i="43"/>
  <c r="AI506" i="47"/>
  <c r="AF199" i="43" s="1"/>
  <c r="AE12" i="50"/>
  <c r="AI12" i="50" s="1"/>
  <c r="E171" i="69" s="1"/>
  <c r="AB171" i="69" s="1"/>
  <c r="AE30" i="50"/>
  <c r="V8" i="55"/>
  <c r="Q42" i="55"/>
  <c r="O82" i="55"/>
  <c r="AE49" i="50" s="1"/>
  <c r="P83" i="55"/>
  <c r="V84" i="55"/>
  <c r="AG16" i="50"/>
  <c r="AI16" i="50" s="1"/>
  <c r="E175" i="69" s="1"/>
  <c r="AB175" i="69" s="1"/>
  <c r="AE33" i="50"/>
  <c r="Q45" i="55"/>
  <c r="Q22" i="55"/>
  <c r="AE34" i="50"/>
  <c r="AG32" i="50"/>
  <c r="V44" i="55"/>
  <c r="AG31" i="50"/>
  <c r="AI31" i="50" s="1"/>
  <c r="E178" i="69" s="1"/>
  <c r="AB178" i="69" s="1"/>
  <c r="Q43" i="55"/>
  <c r="V43" i="55"/>
  <c r="P80" i="55"/>
  <c r="AG13" i="50"/>
  <c r="AI13" i="50" s="1"/>
  <c r="E172" i="69" s="1"/>
  <c r="AB172" i="69" s="1"/>
  <c r="Q19" i="55"/>
  <c r="O17" i="55"/>
  <c r="U17" i="55" s="1"/>
  <c r="O81" i="55"/>
  <c r="Q81" i="55" s="1"/>
  <c r="Q101" i="55"/>
  <c r="AE46" i="50"/>
  <c r="AG48" i="50"/>
  <c r="Q91" i="55"/>
  <c r="Q79" i="55"/>
  <c r="AG46" i="50"/>
  <c r="AE47" i="50"/>
  <c r="AG29" i="50"/>
  <c r="P59" i="55"/>
  <c r="Q51" i="55"/>
  <c r="W32" i="55"/>
  <c r="V67" i="55"/>
  <c r="W68" i="55"/>
  <c r="Q100" i="55"/>
  <c r="O59" i="55"/>
  <c r="W67" i="55"/>
  <c r="Q89" i="55"/>
  <c r="AG49" i="50"/>
  <c r="V41" i="55"/>
  <c r="Q41" i="55"/>
  <c r="W31" i="55"/>
  <c r="Q92" i="55"/>
  <c r="Q52" i="55"/>
  <c r="AE51" i="50"/>
  <c r="V68" i="55"/>
  <c r="AB68" i="55"/>
  <c r="V32" i="55"/>
  <c r="AB67" i="55"/>
  <c r="U41" i="55"/>
  <c r="V31" i="55"/>
  <c r="Q93" i="55"/>
  <c r="Q94" i="55"/>
  <c r="Q84" i="55"/>
  <c r="AG51" i="50"/>
  <c r="Q90" i="55"/>
  <c r="AE29" i="50"/>
  <c r="AF122" i="54"/>
  <c r="AF121" i="54"/>
  <c r="AF118" i="54"/>
  <c r="AE118" i="54"/>
  <c r="AF128" i="54"/>
  <c r="AF127" i="54"/>
  <c r="AF126" i="54"/>
  <c r="AF120" i="54"/>
  <c r="AF124" i="54"/>
  <c r="AF123" i="54"/>
  <c r="AE122" i="54"/>
  <c r="AE128" i="54"/>
  <c r="AE124" i="54"/>
  <c r="AE123" i="54"/>
  <c r="AE127" i="54"/>
  <c r="AE120" i="54"/>
  <c r="AE126" i="54"/>
  <c r="AE121" i="54"/>
  <c r="AF64" i="54"/>
  <c r="AF66" i="54"/>
  <c r="AE66" i="54"/>
  <c r="AE64" i="54"/>
  <c r="AB72" i="54"/>
  <c r="AA124" i="54"/>
  <c r="AA118" i="54"/>
  <c r="Z124" i="54"/>
  <c r="Z128" i="54"/>
  <c r="AA126" i="54"/>
  <c r="AA128" i="54"/>
  <c r="Z126" i="54"/>
  <c r="Z118" i="54"/>
  <c r="AB125" i="54"/>
  <c r="Z127" i="54"/>
  <c r="AA122" i="54"/>
  <c r="AA123" i="54"/>
  <c r="Z122" i="54"/>
  <c r="Z123" i="54"/>
  <c r="Z120" i="54"/>
  <c r="AA121" i="54"/>
  <c r="Z121" i="54"/>
  <c r="AA127" i="54"/>
  <c r="AA120" i="54"/>
  <c r="AB63" i="54"/>
  <c r="AA66" i="54"/>
  <c r="X107" i="69" s="1"/>
  <c r="AA64" i="54"/>
  <c r="X105" i="69" s="1"/>
  <c r="AB69" i="54"/>
  <c r="AB65" i="54"/>
  <c r="AB68" i="54"/>
  <c r="AB62" i="54"/>
  <c r="AB67" i="54"/>
  <c r="AB70" i="54"/>
  <c r="AV57" i="37"/>
  <c r="AW57" i="37" s="1"/>
  <c r="AX57" i="37" s="1"/>
  <c r="AX482" i="47"/>
  <c r="AJ489" i="47"/>
  <c r="BB482" i="47"/>
  <c r="BD482" i="47"/>
  <c r="BE482" i="47"/>
  <c r="AY482" i="47"/>
  <c r="AX491" i="47"/>
  <c r="AI489" i="47"/>
  <c r="AY491" i="47"/>
  <c r="BL476" i="47"/>
  <c r="G128" i="49" s="1"/>
  <c r="BG482" i="47"/>
  <c r="AJ479" i="47"/>
  <c r="BF482" i="47"/>
  <c r="AI479" i="47"/>
  <c r="BL475" i="47"/>
  <c r="H128" i="49" s="1"/>
  <c r="BM476" i="47"/>
  <c r="BM475" i="47"/>
  <c r="AI478" i="47"/>
  <c r="AZ482" i="47"/>
  <c r="BA482" i="47"/>
  <c r="BR475" i="47"/>
  <c r="BC482" i="47"/>
  <c r="BR476" i="47"/>
  <c r="Q59" i="37"/>
  <c r="AC17" i="36" s="1"/>
  <c r="AZ262" i="47"/>
  <c r="BR141" i="47"/>
  <c r="AY395" i="47"/>
  <c r="BF380" i="47"/>
  <c r="BG381" i="47" s="1"/>
  <c r="AJ388" i="47"/>
  <c r="BA198" i="47"/>
  <c r="BA199" i="47" s="1"/>
  <c r="BR139" i="47"/>
  <c r="AY198" i="47"/>
  <c r="BR138" i="47"/>
  <c r="BC198" i="47"/>
  <c r="BC199" i="47" s="1"/>
  <c r="BR140" i="47"/>
  <c r="BA364" i="47"/>
  <c r="AI358" i="47"/>
  <c r="AJ357" i="47"/>
  <c r="AJ358" i="47"/>
  <c r="AI359" i="47"/>
  <c r="AX364" i="47"/>
  <c r="AJ151" i="47"/>
  <c r="AI153" i="47"/>
  <c r="AI152" i="47"/>
  <c r="AJ153" i="47"/>
  <c r="BF66" i="47"/>
  <c r="BF84" i="47" s="1"/>
  <c r="BB66" i="47"/>
  <c r="BB84" i="47" s="1"/>
  <c r="BR42" i="47"/>
  <c r="AJ54" i="47"/>
  <c r="BM141" i="47"/>
  <c r="AY158" i="47"/>
  <c r="AX198" i="47"/>
  <c r="BA158" i="47"/>
  <c r="AX158" i="47"/>
  <c r="AZ158" i="47"/>
  <c r="AJ55" i="47"/>
  <c r="BE66" i="47"/>
  <c r="AX66" i="47"/>
  <c r="AX84" i="47" s="1"/>
  <c r="AZ66" i="47"/>
  <c r="AY66" i="47"/>
  <c r="BA66" i="47"/>
  <c r="AK54" i="47"/>
  <c r="AZ364" i="47"/>
  <c r="AY364" i="47"/>
  <c r="AX255" i="47"/>
  <c r="AX262" i="47" s="1"/>
  <c r="AY255" i="47"/>
  <c r="BC66" i="47"/>
  <c r="AK392" i="47"/>
  <c r="BC56" i="37"/>
  <c r="E140" i="49" s="1"/>
  <c r="AV56" i="37"/>
  <c r="AK201" i="47"/>
  <c r="S12" i="27"/>
  <c r="P32" i="27" s="1"/>
  <c r="T12" i="27"/>
  <c r="Q32" i="27" s="1"/>
  <c r="U12" i="27"/>
  <c r="R32" i="27" s="1"/>
  <c r="S11" i="27"/>
  <c r="P31" i="27" s="1"/>
  <c r="T11" i="27"/>
  <c r="Q31" i="27" s="1"/>
  <c r="U11" i="27"/>
  <c r="R31" i="27" s="1"/>
  <c r="S13" i="27"/>
  <c r="P33" i="27" s="1"/>
  <c r="T13" i="27"/>
  <c r="Q33" i="27" s="1"/>
  <c r="U13" i="27"/>
  <c r="R33" i="27" s="1"/>
  <c r="T10" i="27"/>
  <c r="U10" i="27"/>
  <c r="S10" i="27"/>
  <c r="P30" i="27" s="1"/>
  <c r="AG67" i="50" l="1"/>
  <c r="AI67" i="50" s="1"/>
  <c r="E190" i="69" s="1"/>
  <c r="AA190" i="69"/>
  <c r="Q117" i="55"/>
  <c r="AB130" i="54"/>
  <c r="Q111" i="69"/>
  <c r="R130" i="69"/>
  <c r="AB97" i="54"/>
  <c r="AD63" i="26"/>
  <c r="AI71" i="47"/>
  <c r="AB156" i="54"/>
  <c r="AD68" i="26"/>
  <c r="AG68" i="26" s="1"/>
  <c r="E115" i="69" s="1"/>
  <c r="AB115" i="69" s="1"/>
  <c r="AB163" i="69"/>
  <c r="G56" i="69"/>
  <c r="Q114" i="69"/>
  <c r="AB155" i="54"/>
  <c r="Q113" i="69"/>
  <c r="O110" i="69"/>
  <c r="G156" i="49"/>
  <c r="AD66" i="26"/>
  <c r="AI30" i="50"/>
  <c r="E177" i="69" s="1"/>
  <c r="AB177" i="69" s="1"/>
  <c r="AE63" i="26"/>
  <c r="AB100" i="54"/>
  <c r="AB32" i="55"/>
  <c r="AD61" i="26"/>
  <c r="AB95" i="54"/>
  <c r="AB98" i="54"/>
  <c r="AD64" i="26"/>
  <c r="O113" i="69"/>
  <c r="Q63" i="23"/>
  <c r="G71" i="69"/>
  <c r="G72" i="69"/>
  <c r="Q64" i="23"/>
  <c r="Q54" i="23"/>
  <c r="G62" i="69"/>
  <c r="G74" i="69"/>
  <c r="Q66" i="23"/>
  <c r="Q57" i="23"/>
  <c r="G65" i="69"/>
  <c r="G59" i="69"/>
  <c r="Q51" i="23"/>
  <c r="G70" i="69"/>
  <c r="Q62" i="23"/>
  <c r="G73" i="69"/>
  <c r="Q65" i="23"/>
  <c r="AB101" i="54"/>
  <c r="Q110" i="69"/>
  <c r="AB151" i="54"/>
  <c r="AB129" i="54"/>
  <c r="AB150" i="54"/>
  <c r="AE67" i="26"/>
  <c r="AG67" i="26" s="1"/>
  <c r="E114" i="69" s="1"/>
  <c r="O112" i="69"/>
  <c r="AD62" i="26"/>
  <c r="AB99" i="54"/>
  <c r="Q109" i="69"/>
  <c r="AB147" i="54"/>
  <c r="AB104" i="54"/>
  <c r="O117" i="69"/>
  <c r="O109" i="69"/>
  <c r="AB96" i="54"/>
  <c r="Q112" i="69"/>
  <c r="AI34" i="50"/>
  <c r="E181" i="69" s="1"/>
  <c r="AB181" i="69" s="1"/>
  <c r="R128" i="69"/>
  <c r="R140" i="69"/>
  <c r="I134" i="69"/>
  <c r="Z128" i="69"/>
  <c r="I131" i="69"/>
  <c r="AB153" i="54"/>
  <c r="AD65" i="26"/>
  <c r="R135" i="69"/>
  <c r="I135" i="69"/>
  <c r="I128" i="69"/>
  <c r="R131" i="69"/>
  <c r="AD70" i="26"/>
  <c r="AG70" i="26" s="1"/>
  <c r="E117" i="69" s="1"/>
  <c r="AB158" i="54"/>
  <c r="L238" i="69"/>
  <c r="Z135" i="69"/>
  <c r="F307" i="57"/>
  <c r="Z134" i="69"/>
  <c r="AJ174" i="47"/>
  <c r="AF61" i="43" s="1"/>
  <c r="I137" i="69"/>
  <c r="Z140" i="69"/>
  <c r="AA164" i="69"/>
  <c r="AJ279" i="47"/>
  <c r="AF93" i="43" s="1"/>
  <c r="Z142" i="69"/>
  <c r="I136" i="69"/>
  <c r="I140" i="69"/>
  <c r="BL474" i="47"/>
  <c r="BQ474" i="47" s="1"/>
  <c r="G50" i="49" s="1"/>
  <c r="I185" i="57" s="1"/>
  <c r="I85" i="60" s="1"/>
  <c r="J158" i="69"/>
  <c r="Z136" i="69"/>
  <c r="J159" i="69"/>
  <c r="Z138" i="69"/>
  <c r="Z137" i="69"/>
  <c r="F184" i="69"/>
  <c r="F185" i="69"/>
  <c r="AA67" i="55"/>
  <c r="AC67" i="55" s="1"/>
  <c r="AG47" i="50"/>
  <c r="AI47" i="50" s="1"/>
  <c r="E183" i="69" s="1"/>
  <c r="F183" i="69"/>
  <c r="AA68" i="55"/>
  <c r="K111" i="49"/>
  <c r="Q111" i="49" s="1"/>
  <c r="E307" i="57"/>
  <c r="M152" i="69"/>
  <c r="Q83" i="55"/>
  <c r="F186" i="69"/>
  <c r="U152" i="69"/>
  <c r="AJ413" i="47"/>
  <c r="AA188" i="69"/>
  <c r="AG66" i="50"/>
  <c r="AI66" i="50" s="1"/>
  <c r="E189" i="69" s="1"/>
  <c r="AA189" i="69"/>
  <c r="O105" i="69"/>
  <c r="Q103" i="69"/>
  <c r="P104" i="69"/>
  <c r="Q104" i="69"/>
  <c r="Q105" i="69"/>
  <c r="AB148" i="54"/>
  <c r="Q107" i="69"/>
  <c r="P107" i="69"/>
  <c r="P105" i="69"/>
  <c r="Q106" i="69"/>
  <c r="AE65" i="26"/>
  <c r="P112" i="69"/>
  <c r="AE66" i="26"/>
  <c r="P113" i="69"/>
  <c r="AE64" i="26"/>
  <c r="P111" i="69"/>
  <c r="P106" i="69"/>
  <c r="O104" i="69"/>
  <c r="P103" i="69"/>
  <c r="AE61" i="26"/>
  <c r="P108" i="69"/>
  <c r="AE62" i="26"/>
  <c r="P109" i="69"/>
  <c r="O107" i="69"/>
  <c r="O103" i="69"/>
  <c r="O106" i="69"/>
  <c r="BZ156" i="69"/>
  <c r="BO156" i="69"/>
  <c r="CA156" i="69"/>
  <c r="BP156" i="69"/>
  <c r="CB156" i="69"/>
  <c r="BQ156" i="69"/>
  <c r="CC156" i="69"/>
  <c r="BR156" i="69"/>
  <c r="CD156" i="69"/>
  <c r="BS156" i="69"/>
  <c r="CE156" i="69"/>
  <c r="BT156" i="69"/>
  <c r="CF156" i="69"/>
  <c r="BU156" i="69"/>
  <c r="CG156" i="69"/>
  <c r="BV156" i="69"/>
  <c r="CH156" i="69"/>
  <c r="BW156" i="69"/>
  <c r="BX156" i="69"/>
  <c r="BY156" i="69"/>
  <c r="BJ156" i="69"/>
  <c r="BK156" i="69"/>
  <c r="BL156" i="69"/>
  <c r="BM156" i="69"/>
  <c r="BN156" i="69"/>
  <c r="AG69" i="26"/>
  <c r="E116" i="69" s="1"/>
  <c r="AB116" i="69" s="1"/>
  <c r="AG72" i="26"/>
  <c r="E119" i="69" s="1"/>
  <c r="AB119" i="69" s="1"/>
  <c r="AG71" i="26"/>
  <c r="E118" i="69" s="1"/>
  <c r="AB118" i="69" s="1"/>
  <c r="AN9" i="54"/>
  <c r="BE156" i="69"/>
  <c r="BF156" i="69"/>
  <c r="BG156" i="69"/>
  <c r="BH156" i="69"/>
  <c r="BI156" i="69"/>
  <c r="AE56" i="26"/>
  <c r="AM10" i="54"/>
  <c r="AM11" i="54" s="1"/>
  <c r="D27" i="59" s="1"/>
  <c r="AD60" i="26"/>
  <c r="AE57" i="26"/>
  <c r="AE59" i="26"/>
  <c r="AE60" i="26"/>
  <c r="AD57" i="26"/>
  <c r="AE58" i="26"/>
  <c r="AD58" i="26"/>
  <c r="AD59" i="26"/>
  <c r="AR10" i="54"/>
  <c r="AR9" i="54"/>
  <c r="AN10" i="54"/>
  <c r="G148" i="49" s="1"/>
  <c r="AI124" i="57" s="1"/>
  <c r="AA163" i="54"/>
  <c r="AA138" i="54"/>
  <c r="Z138" i="54"/>
  <c r="AA81" i="54"/>
  <c r="Z163" i="54"/>
  <c r="AA110" i="54"/>
  <c r="Z110" i="54"/>
  <c r="BS40" i="47"/>
  <c r="BT40" i="47" s="1"/>
  <c r="BS41" i="47"/>
  <c r="BT41" i="47" s="1"/>
  <c r="BL137" i="47"/>
  <c r="G125" i="49" s="1"/>
  <c r="AE94" i="43"/>
  <c r="AF96" i="43"/>
  <c r="AI173" i="69"/>
  <c r="AH173" i="69"/>
  <c r="AI171" i="69"/>
  <c r="AH171" i="69"/>
  <c r="AH175" i="69"/>
  <c r="AI175" i="69"/>
  <c r="AH172" i="69"/>
  <c r="AI172" i="69"/>
  <c r="BC156" i="69"/>
  <c r="BD156" i="69"/>
  <c r="AH163" i="69"/>
  <c r="AI163" i="69"/>
  <c r="BC313" i="47"/>
  <c r="AV156" i="69"/>
  <c r="AP156" i="69"/>
  <c r="AX156" i="69"/>
  <c r="AQ156" i="69"/>
  <c r="AY156" i="69"/>
  <c r="AR156" i="69"/>
  <c r="AZ156" i="69"/>
  <c r="AS156" i="69"/>
  <c r="BA156" i="69"/>
  <c r="AT156" i="69"/>
  <c r="BB156" i="69"/>
  <c r="AU156" i="69"/>
  <c r="AW156" i="69"/>
  <c r="AN156" i="69"/>
  <c r="AO156" i="69"/>
  <c r="AH178" i="69"/>
  <c r="AI178" i="69"/>
  <c r="AK156" i="69"/>
  <c r="AM156" i="69"/>
  <c r="AL156" i="69"/>
  <c r="AE96" i="43"/>
  <c r="AY313" i="47"/>
  <c r="BA313" i="47"/>
  <c r="BQ42" i="47"/>
  <c r="BS42" i="47" s="1"/>
  <c r="BT42" i="47" s="1"/>
  <c r="AE95" i="43"/>
  <c r="AI173" i="47"/>
  <c r="AE60" i="43" s="1"/>
  <c r="BL226" i="47"/>
  <c r="H126" i="49" s="1"/>
  <c r="BE84" i="47"/>
  <c r="AF95" i="43"/>
  <c r="AK307" i="47"/>
  <c r="Z28" i="32"/>
  <c r="H41" i="32"/>
  <c r="AE12" i="32" s="1"/>
  <c r="Y27" i="32"/>
  <c r="AA28" i="32"/>
  <c r="I41" i="32"/>
  <c r="Y26" i="32"/>
  <c r="X26" i="32"/>
  <c r="U26" i="32"/>
  <c r="X25" i="32"/>
  <c r="AE65" i="50"/>
  <c r="AE73" i="50" s="1"/>
  <c r="V115" i="55"/>
  <c r="V118" i="55" s="1"/>
  <c r="H120" i="49" s="1"/>
  <c r="AE127" i="57" s="1"/>
  <c r="AG65" i="50"/>
  <c r="W115" i="55"/>
  <c r="Q116" i="55"/>
  <c r="Q115" i="55"/>
  <c r="AI32" i="50"/>
  <c r="E179" i="69" s="1"/>
  <c r="AB179" i="69" s="1"/>
  <c r="AE80" i="47"/>
  <c r="AJ173" i="47"/>
  <c r="AF60" i="43" s="1"/>
  <c r="AJ172" i="47"/>
  <c r="AF59" i="43" s="1"/>
  <c r="BN416" i="47"/>
  <c r="AD80" i="47"/>
  <c r="AI74" i="47" s="1"/>
  <c r="AE28" i="43" s="1"/>
  <c r="F127" i="49"/>
  <c r="L127" i="49" s="1"/>
  <c r="R127" i="49" s="1"/>
  <c r="AY461" i="47"/>
  <c r="BD84" i="47"/>
  <c r="AC283" i="47"/>
  <c r="BM227" i="47"/>
  <c r="AD79" i="47"/>
  <c r="BM38" i="47"/>
  <c r="G152" i="49" s="1"/>
  <c r="BL38" i="47"/>
  <c r="G123" i="49" s="1"/>
  <c r="AE79" i="47"/>
  <c r="AC79" i="47"/>
  <c r="AB79" i="47"/>
  <c r="BL36" i="47" s="1"/>
  <c r="AI75" i="67"/>
  <c r="E207" i="69" s="1"/>
  <c r="AB207" i="69" s="1"/>
  <c r="BL135" i="47"/>
  <c r="BN421" i="47"/>
  <c r="BM136" i="47"/>
  <c r="H154" i="49" s="1"/>
  <c r="N154" i="49" s="1"/>
  <c r="T154" i="49" s="1"/>
  <c r="BM137" i="47"/>
  <c r="G49" i="49"/>
  <c r="I184" i="57" s="1"/>
  <c r="I84" i="60" s="1"/>
  <c r="BM226" i="47"/>
  <c r="BL136" i="47"/>
  <c r="H125" i="49" s="1"/>
  <c r="BM135" i="47"/>
  <c r="F154" i="49" s="1"/>
  <c r="L154" i="49" s="1"/>
  <c r="R154" i="49" s="1"/>
  <c r="BQ228" i="47"/>
  <c r="BN228" i="47"/>
  <c r="L49" i="49"/>
  <c r="K184" i="57" s="1"/>
  <c r="K84" i="60" s="1"/>
  <c r="H127" i="49"/>
  <c r="N127" i="49" s="1"/>
  <c r="T127" i="49" s="1"/>
  <c r="BN229" i="47"/>
  <c r="BQ229" i="47"/>
  <c r="BQ230" i="47"/>
  <c r="BN230" i="47"/>
  <c r="AI72" i="47"/>
  <c r="AE26" i="43" s="1"/>
  <c r="BS418" i="47"/>
  <c r="BT418" i="47" s="1"/>
  <c r="BQ343" i="47"/>
  <c r="BS343" i="47" s="1"/>
  <c r="BT343" i="47" s="1"/>
  <c r="H156" i="49"/>
  <c r="N156" i="49" s="1"/>
  <c r="T156" i="49" s="1"/>
  <c r="BN419" i="47"/>
  <c r="AK454" i="47"/>
  <c r="BC447" i="47"/>
  <c r="BS419" i="47"/>
  <c r="BT419" i="47" s="1"/>
  <c r="BQ345" i="47"/>
  <c r="BS345" i="47" s="1"/>
  <c r="BT345" i="47" s="1"/>
  <c r="AY447" i="47"/>
  <c r="AK442" i="47"/>
  <c r="AG153" i="43"/>
  <c r="E155" i="69" s="1"/>
  <c r="AB155" i="69" s="1"/>
  <c r="BN420" i="47"/>
  <c r="BA396" i="47"/>
  <c r="BS420" i="47"/>
  <c r="BT420" i="47" s="1"/>
  <c r="G127" i="49"/>
  <c r="M127" i="49" s="1"/>
  <c r="S127" i="49" s="1"/>
  <c r="I49" i="49"/>
  <c r="J184" i="57" s="1"/>
  <c r="J84" i="60" s="1"/>
  <c r="AK453" i="47"/>
  <c r="BS421" i="47"/>
  <c r="BT421" i="47" s="1"/>
  <c r="BC396" i="47"/>
  <c r="AY396" i="47"/>
  <c r="AE130" i="43"/>
  <c r="AF130" i="43"/>
  <c r="AE131" i="43"/>
  <c r="AF129" i="43"/>
  <c r="AE129" i="43"/>
  <c r="BN344" i="47"/>
  <c r="AK389" i="47"/>
  <c r="BS344" i="47"/>
  <c r="BT344" i="47" s="1"/>
  <c r="D96" i="60"/>
  <c r="D106" i="60" s="1"/>
  <c r="E106" i="60" s="1"/>
  <c r="AK305" i="47"/>
  <c r="AE93" i="43"/>
  <c r="AK304" i="47"/>
  <c r="AI176" i="47"/>
  <c r="AE63" i="43" s="1"/>
  <c r="AK309" i="47"/>
  <c r="AF92" i="43"/>
  <c r="AK278" i="47"/>
  <c r="AE92" i="43"/>
  <c r="AK306" i="47"/>
  <c r="AK308" i="47"/>
  <c r="AJ277" i="47"/>
  <c r="AF91" i="43" s="1"/>
  <c r="AI277" i="47"/>
  <c r="AE91" i="43" s="1"/>
  <c r="BE289" i="47"/>
  <c r="AI172" i="47"/>
  <c r="AE59" i="43" s="1"/>
  <c r="BB276" i="47"/>
  <c r="AX276" i="47"/>
  <c r="G126" i="49"/>
  <c r="M126" i="49" s="1"/>
  <c r="S126" i="49" s="1"/>
  <c r="AZ276" i="47"/>
  <c r="AK281" i="47"/>
  <c r="BE186" i="47"/>
  <c r="BR137" i="47"/>
  <c r="BB185" i="47"/>
  <c r="AG61" i="43"/>
  <c r="AK152" i="47"/>
  <c r="AJ175" i="47"/>
  <c r="AJ171" i="47"/>
  <c r="BR135" i="47"/>
  <c r="BC185" i="47"/>
  <c r="AI171" i="47"/>
  <c r="AE58" i="43" s="1"/>
  <c r="BR136" i="47"/>
  <c r="AJ176" i="47"/>
  <c r="AF63" i="43" s="1"/>
  <c r="AX185" i="47"/>
  <c r="AY186" i="47" s="1"/>
  <c r="BA186" i="47"/>
  <c r="BG186" i="47"/>
  <c r="AK174" i="47"/>
  <c r="AG29" i="43"/>
  <c r="AF26" i="43"/>
  <c r="AG30" i="43"/>
  <c r="BS39" i="47"/>
  <c r="BT39" i="47" s="1"/>
  <c r="AK75" i="47"/>
  <c r="AZ84" i="47"/>
  <c r="AK76" i="47"/>
  <c r="AJ71" i="47"/>
  <c r="AI33" i="50"/>
  <c r="E180" i="69" s="1"/>
  <c r="AB180" i="69" s="1"/>
  <c r="AI15" i="50"/>
  <c r="E174" i="69" s="1"/>
  <c r="AB174" i="69" s="1"/>
  <c r="T63" i="40"/>
  <c r="S63" i="40"/>
  <c r="BE37" i="29"/>
  <c r="L9" i="32" s="1"/>
  <c r="T25" i="32" s="1"/>
  <c r="BE38" i="29"/>
  <c r="L10" i="32" s="1"/>
  <c r="T26" i="32" s="1"/>
  <c r="BE36" i="29"/>
  <c r="L8" i="32" s="1"/>
  <c r="BE39" i="29"/>
  <c r="L11" i="32" s="1"/>
  <c r="T27" i="32" s="1"/>
  <c r="U25" i="32"/>
  <c r="AB94" i="54"/>
  <c r="AB93" i="54"/>
  <c r="BL423" i="47"/>
  <c r="AB119" i="54"/>
  <c r="AB92" i="54"/>
  <c r="AB145" i="54"/>
  <c r="AB146" i="54"/>
  <c r="AB144" i="54"/>
  <c r="AB90" i="54"/>
  <c r="AD56" i="26"/>
  <c r="AB91" i="54"/>
  <c r="AK151" i="47"/>
  <c r="BQ422" i="47"/>
  <c r="BQ341" i="47"/>
  <c r="L46" i="49" s="1"/>
  <c r="K181" i="57" s="1"/>
  <c r="K81" i="60" s="1"/>
  <c r="BQ138" i="47"/>
  <c r="G157" i="49"/>
  <c r="M157" i="49" s="1"/>
  <c r="S157" i="49" s="1"/>
  <c r="BQ476" i="47"/>
  <c r="I50" i="49" s="1"/>
  <c r="J185" i="57" s="1"/>
  <c r="J85" i="60" s="1"/>
  <c r="H157" i="49"/>
  <c r="N157" i="49" s="1"/>
  <c r="T157" i="49" s="1"/>
  <c r="BQ475" i="47"/>
  <c r="BS475" i="47" s="1"/>
  <c r="BT475" i="47" s="1"/>
  <c r="AJ425" i="47"/>
  <c r="BM422" i="47"/>
  <c r="F124" i="49"/>
  <c r="L124" i="49" s="1"/>
  <c r="R124" i="49" s="1"/>
  <c r="BQ340" i="47"/>
  <c r="G124" i="49"/>
  <c r="M124" i="49" s="1"/>
  <c r="S124" i="49" s="1"/>
  <c r="BQ342" i="47"/>
  <c r="BQ141" i="47"/>
  <c r="BS141" i="47" s="1"/>
  <c r="BT141" i="47" s="1"/>
  <c r="BQ140" i="47"/>
  <c r="BA61" i="47"/>
  <c r="D119" i="60"/>
  <c r="F288" i="47"/>
  <c r="C119" i="60" s="1"/>
  <c r="BR226" i="47"/>
  <c r="BA276" i="47"/>
  <c r="BC276" i="47"/>
  <c r="BR227" i="47"/>
  <c r="AY276" i="47"/>
  <c r="BR225" i="47"/>
  <c r="W66" i="55"/>
  <c r="X68" i="55"/>
  <c r="X31" i="55"/>
  <c r="X67" i="55"/>
  <c r="W10" i="55"/>
  <c r="X8" i="55"/>
  <c r="X32" i="55"/>
  <c r="E96" i="60"/>
  <c r="BM423" i="47"/>
  <c r="BQ423" i="47"/>
  <c r="BR423" i="47"/>
  <c r="BA432" i="47"/>
  <c r="BA433" i="47" s="1"/>
  <c r="BL422" i="47"/>
  <c r="AI425" i="47"/>
  <c r="AY432" i="47"/>
  <c r="AY433" i="47" s="1"/>
  <c r="BR422" i="47"/>
  <c r="AY495" i="47"/>
  <c r="BN418" i="47"/>
  <c r="AK439" i="47"/>
  <c r="T31" i="27"/>
  <c r="F18" i="49"/>
  <c r="H125" i="57" s="1"/>
  <c r="BS416" i="47"/>
  <c r="BT416" i="47" s="1"/>
  <c r="BN417" i="47"/>
  <c r="AY61" i="47"/>
  <c r="AX495" i="47"/>
  <c r="AK440" i="47"/>
  <c r="AK200" i="47"/>
  <c r="BS417" i="47"/>
  <c r="BT417" i="47" s="1"/>
  <c r="AF151" i="43"/>
  <c r="F149" i="49"/>
  <c r="L149" i="49" s="1"/>
  <c r="R149" i="49" s="1"/>
  <c r="V10" i="55"/>
  <c r="AK488" i="47"/>
  <c r="F120" i="49"/>
  <c r="L120" i="49" s="1"/>
  <c r="R120" i="49" s="1"/>
  <c r="Q98" i="42"/>
  <c r="BQ424" i="47"/>
  <c r="BM424" i="47"/>
  <c r="BN424" i="47" s="1"/>
  <c r="K140" i="49"/>
  <c r="Q140" i="49" s="1"/>
  <c r="AI413" i="47"/>
  <c r="AE151" i="43"/>
  <c r="N128" i="49"/>
  <c r="T128" i="49" s="1"/>
  <c r="M128" i="49"/>
  <c r="S128" i="49" s="1"/>
  <c r="M153" i="49"/>
  <c r="S153" i="49" s="1"/>
  <c r="N153" i="49"/>
  <c r="T153" i="49" s="1"/>
  <c r="H124" i="49"/>
  <c r="BN343" i="47"/>
  <c r="M156" i="49"/>
  <c r="S156" i="49" s="1"/>
  <c r="N119" i="49"/>
  <c r="BC483" i="47"/>
  <c r="AB66" i="55"/>
  <c r="AB69" i="55" s="1"/>
  <c r="BQ503" i="47"/>
  <c r="Q29" i="49" s="1"/>
  <c r="U29" i="49" s="1"/>
  <c r="AG50" i="50"/>
  <c r="AI50" i="50" s="1"/>
  <c r="E186" i="69" s="1"/>
  <c r="BK503" i="47"/>
  <c r="AG206" i="43"/>
  <c r="AF206" i="43"/>
  <c r="AH197" i="43"/>
  <c r="E162" i="69" s="1"/>
  <c r="AB162" i="69" s="1"/>
  <c r="AH199" i="43"/>
  <c r="E164" i="69" s="1"/>
  <c r="BL505" i="47"/>
  <c r="AK506" i="47"/>
  <c r="BP503" i="47" s="1"/>
  <c r="AB8" i="55"/>
  <c r="AB10" i="55" s="1"/>
  <c r="Q82" i="55"/>
  <c r="AE36" i="50"/>
  <c r="O108" i="55"/>
  <c r="Q80" i="55"/>
  <c r="AI51" i="50"/>
  <c r="E187" i="69" s="1"/>
  <c r="AB187" i="69" s="1"/>
  <c r="V66" i="55"/>
  <c r="E120" i="49" s="1"/>
  <c r="P108" i="55"/>
  <c r="O24" i="55"/>
  <c r="AG19" i="50"/>
  <c r="AE11" i="50"/>
  <c r="AI11" i="50" s="1"/>
  <c r="E170" i="69" s="1"/>
  <c r="AB170" i="69" s="1"/>
  <c r="AE48" i="50"/>
  <c r="AI48" i="50" s="1"/>
  <c r="E184" i="69" s="1"/>
  <c r="V17" i="55"/>
  <c r="P24" i="55"/>
  <c r="Q17" i="55"/>
  <c r="Q24" i="55" s="1"/>
  <c r="AS10" i="54"/>
  <c r="AI49" i="50"/>
  <c r="E185" i="69" s="1"/>
  <c r="W33" i="55"/>
  <c r="Q59" i="55"/>
  <c r="AA32" i="55"/>
  <c r="V33" i="55"/>
  <c r="AB31" i="55"/>
  <c r="AI29" i="50"/>
  <c r="E176" i="69" s="1"/>
  <c r="AB176" i="69" s="1"/>
  <c r="AG36" i="50"/>
  <c r="AI46" i="50"/>
  <c r="E182" i="69" s="1"/>
  <c r="AB182" i="69" s="1"/>
  <c r="AS9" i="54"/>
  <c r="AB124" i="54"/>
  <c r="AB128" i="54"/>
  <c r="AB126" i="54"/>
  <c r="AB118" i="54"/>
  <c r="AB127" i="54"/>
  <c r="AB122" i="54"/>
  <c r="AB121" i="54"/>
  <c r="AB123" i="54"/>
  <c r="AB120" i="54"/>
  <c r="AB64" i="54"/>
  <c r="AB66" i="54"/>
  <c r="AY483" i="47"/>
  <c r="AG177" i="43"/>
  <c r="BE483" i="47"/>
  <c r="BG483" i="47"/>
  <c r="BN476" i="47"/>
  <c r="S59" i="37"/>
  <c r="AF17" i="36" s="1"/>
  <c r="E124" i="69" s="1"/>
  <c r="AB124" i="69" s="1"/>
  <c r="AK489" i="47"/>
  <c r="BR474" i="47"/>
  <c r="AF177" i="43"/>
  <c r="BA483" i="47"/>
  <c r="AF176" i="43"/>
  <c r="AG176" i="43"/>
  <c r="AK479" i="47"/>
  <c r="BN475" i="47"/>
  <c r="AK478" i="47"/>
  <c r="AK388" i="47"/>
  <c r="AK358" i="47"/>
  <c r="AY199" i="47"/>
  <c r="BR231" i="47"/>
  <c r="AY262" i="47"/>
  <c r="AJ359" i="47"/>
  <c r="AF131" i="43" s="1"/>
  <c r="BA84" i="47"/>
  <c r="BR37" i="47"/>
  <c r="AY84" i="47"/>
  <c r="AY85" i="47" s="1"/>
  <c r="BR36" i="47"/>
  <c r="I124" i="49"/>
  <c r="BA365" i="47"/>
  <c r="M46" i="49"/>
  <c r="L181" i="57" s="1"/>
  <c r="L81" i="60" s="1"/>
  <c r="AK357" i="47"/>
  <c r="AY365" i="47"/>
  <c r="AI360" i="47"/>
  <c r="AJ360" i="47"/>
  <c r="AF132" i="43" s="1"/>
  <c r="AK153" i="47"/>
  <c r="BG85" i="47"/>
  <c r="AL54" i="47"/>
  <c r="AL55" i="47"/>
  <c r="BR38" i="47"/>
  <c r="BC84" i="47"/>
  <c r="BC85" i="47" s="1"/>
  <c r="AL53" i="47"/>
  <c r="BM346" i="47"/>
  <c r="BQ346" i="47" s="1"/>
  <c r="BN340" i="47"/>
  <c r="BN231" i="47"/>
  <c r="AK374" i="47"/>
  <c r="BN141" i="47"/>
  <c r="AY159" i="47"/>
  <c r="BA159" i="47"/>
  <c r="BN42" i="47"/>
  <c r="AG123" i="43"/>
  <c r="E151" i="69" s="1"/>
  <c r="AB151" i="69" s="1"/>
  <c r="AK377" i="47"/>
  <c r="AK373" i="47"/>
  <c r="AW56" i="37"/>
  <c r="AX56" i="37" s="1"/>
  <c r="T33" i="27"/>
  <c r="S33" i="27"/>
  <c r="T32" i="27"/>
  <c r="S32" i="27"/>
  <c r="V156" i="47"/>
  <c r="S31" i="27"/>
  <c r="X12" i="27"/>
  <c r="X13" i="27"/>
  <c r="V11" i="27"/>
  <c r="J12" i="27"/>
  <c r="J11" i="27"/>
  <c r="J13" i="27"/>
  <c r="J10" i="27"/>
  <c r="H12" i="27"/>
  <c r="H11" i="27"/>
  <c r="H13" i="27"/>
  <c r="H10" i="27"/>
  <c r="I12" i="27"/>
  <c r="I11" i="27"/>
  <c r="I13" i="27"/>
  <c r="I10" i="27"/>
  <c r="G12" i="27"/>
  <c r="G11" i="27"/>
  <c r="G13" i="27"/>
  <c r="G10" i="27"/>
  <c r="W15" i="27"/>
  <c r="W16" i="27"/>
  <c r="W17" i="27"/>
  <c r="W18" i="27"/>
  <c r="W19" i="27"/>
  <c r="W20" i="27"/>
  <c r="W21" i="27"/>
  <c r="W22" i="27"/>
  <c r="W23" i="27"/>
  <c r="W14" i="27"/>
  <c r="S15" i="27"/>
  <c r="T15" i="27"/>
  <c r="U15" i="27"/>
  <c r="S16" i="27"/>
  <c r="T16" i="27"/>
  <c r="U16" i="27"/>
  <c r="S17" i="27"/>
  <c r="T17" i="27"/>
  <c r="U17" i="27"/>
  <c r="S18" i="27"/>
  <c r="T18" i="27"/>
  <c r="U18" i="27"/>
  <c r="S19" i="27"/>
  <c r="T19" i="27"/>
  <c r="U19" i="27"/>
  <c r="S20" i="27"/>
  <c r="T20" i="27"/>
  <c r="U20" i="27"/>
  <c r="S21" i="27"/>
  <c r="T21" i="27"/>
  <c r="U21" i="27"/>
  <c r="S22" i="27"/>
  <c r="T22" i="27"/>
  <c r="U22" i="27"/>
  <c r="S23" i="27"/>
  <c r="T23" i="27"/>
  <c r="U23" i="27"/>
  <c r="U14" i="27"/>
  <c r="T14" i="27"/>
  <c r="S14" i="27"/>
  <c r="X3" i="27"/>
  <c r="G35" i="27"/>
  <c r="G36" i="27"/>
  <c r="G37" i="27"/>
  <c r="G38" i="27"/>
  <c r="G39" i="27"/>
  <c r="G40" i="27"/>
  <c r="G41" i="27"/>
  <c r="G42" i="27"/>
  <c r="G43" i="27"/>
  <c r="G34" i="27"/>
  <c r="E35" i="27"/>
  <c r="E36" i="27"/>
  <c r="E37" i="27"/>
  <c r="E38" i="27"/>
  <c r="E39" i="27"/>
  <c r="E40" i="27"/>
  <c r="E41" i="27"/>
  <c r="E42" i="27"/>
  <c r="E43" i="27"/>
  <c r="E34" i="27"/>
  <c r="C35" i="27"/>
  <c r="C36" i="27"/>
  <c r="F36" i="27" s="1"/>
  <c r="Z28" i="26" s="1"/>
  <c r="C37" i="27"/>
  <c r="F37" i="27" s="1"/>
  <c r="Z29" i="26" s="1"/>
  <c r="C38" i="27"/>
  <c r="D38" i="27" s="1"/>
  <c r="X30" i="26" s="1"/>
  <c r="C39" i="27"/>
  <c r="D39" i="27" s="1"/>
  <c r="X31" i="26" s="1"/>
  <c r="C40" i="27"/>
  <c r="F40" i="27" s="1"/>
  <c r="Z32" i="26" s="1"/>
  <c r="C41" i="27"/>
  <c r="F41" i="27" s="1"/>
  <c r="Z33" i="26" s="1"/>
  <c r="C42" i="27"/>
  <c r="F42" i="27" s="1"/>
  <c r="Z34" i="26" s="1"/>
  <c r="F43" i="27"/>
  <c r="Z35" i="26" s="1"/>
  <c r="C34" i="27"/>
  <c r="J15" i="27"/>
  <c r="J16" i="27"/>
  <c r="J17" i="27"/>
  <c r="J18" i="27"/>
  <c r="J19" i="27"/>
  <c r="J20" i="27"/>
  <c r="J21" i="27"/>
  <c r="J22" i="27"/>
  <c r="J23" i="27"/>
  <c r="J14" i="27"/>
  <c r="I15" i="27"/>
  <c r="I16" i="27"/>
  <c r="I17" i="27"/>
  <c r="I18" i="27"/>
  <c r="I19" i="27"/>
  <c r="I20" i="27"/>
  <c r="I21" i="27"/>
  <c r="I22" i="27"/>
  <c r="I23" i="27"/>
  <c r="I14" i="27"/>
  <c r="H15" i="27"/>
  <c r="H16" i="27"/>
  <c r="H17" i="27"/>
  <c r="H18" i="27"/>
  <c r="H19" i="27"/>
  <c r="H20" i="27"/>
  <c r="H21" i="27"/>
  <c r="H22" i="27"/>
  <c r="H23" i="27"/>
  <c r="H14" i="27"/>
  <c r="G15" i="27"/>
  <c r="G16" i="27"/>
  <c r="G17" i="27"/>
  <c r="G18" i="27"/>
  <c r="G19" i="27"/>
  <c r="G20" i="27"/>
  <c r="G21" i="27"/>
  <c r="G22" i="27"/>
  <c r="G23" i="27"/>
  <c r="G14" i="27"/>
  <c r="AB190" i="69" l="1"/>
  <c r="AI190" i="69"/>
  <c r="AH190" i="69"/>
  <c r="AI177" i="69"/>
  <c r="AH177" i="69"/>
  <c r="AK177" i="69" s="1"/>
  <c r="AB114" i="69"/>
  <c r="AG63" i="26"/>
  <c r="E110" i="69" s="1"/>
  <c r="AB110" i="69" s="1"/>
  <c r="AB184" i="69"/>
  <c r="AG66" i="26"/>
  <c r="E113" i="69" s="1"/>
  <c r="AB113" i="69" s="1"/>
  <c r="AG61" i="26"/>
  <c r="E108" i="69" s="1"/>
  <c r="AB108" i="69" s="1"/>
  <c r="AB164" i="69"/>
  <c r="AB185" i="69"/>
  <c r="AG64" i="26"/>
  <c r="E111" i="69" s="1"/>
  <c r="AH111" i="69" s="1"/>
  <c r="AH181" i="69"/>
  <c r="AN181" i="69" s="1"/>
  <c r="X72" i="15"/>
  <c r="R51" i="23"/>
  <c r="X80" i="15"/>
  <c r="R57" i="23"/>
  <c r="X94" i="15"/>
  <c r="R66" i="23"/>
  <c r="X93" i="15"/>
  <c r="R65" i="23"/>
  <c r="X76" i="15"/>
  <c r="R54" i="23"/>
  <c r="X92" i="15"/>
  <c r="R64" i="23"/>
  <c r="X90" i="15"/>
  <c r="R62" i="23"/>
  <c r="X91" i="15"/>
  <c r="R63" i="23"/>
  <c r="AI181" i="69"/>
  <c r="BC181" i="69" s="1"/>
  <c r="AG62" i="26"/>
  <c r="E109" i="69" s="1"/>
  <c r="AB109" i="69" s="1"/>
  <c r="AB117" i="69"/>
  <c r="AG65" i="26"/>
  <c r="E112" i="69" s="1"/>
  <c r="AB112" i="69" s="1"/>
  <c r="AB189" i="69"/>
  <c r="I130" i="69"/>
  <c r="AG73" i="50"/>
  <c r="Z130" i="69"/>
  <c r="G305" i="57"/>
  <c r="AB183" i="69"/>
  <c r="H307" i="57"/>
  <c r="M152" i="49"/>
  <c r="S152" i="49" s="1"/>
  <c r="AJ280" i="47"/>
  <c r="AF94" i="43" s="1"/>
  <c r="AG94" i="43" s="1"/>
  <c r="I143" i="69"/>
  <c r="F303" i="57"/>
  <c r="AD126" i="57"/>
  <c r="AJ74" i="47"/>
  <c r="AF28" i="43" s="1"/>
  <c r="Z131" i="69"/>
  <c r="AB186" i="69"/>
  <c r="K120" i="49"/>
  <c r="Q120" i="49" s="1"/>
  <c r="AC127" i="57"/>
  <c r="T119" i="49"/>
  <c r="F305" i="57"/>
  <c r="D305" i="57"/>
  <c r="E305" i="57"/>
  <c r="AI114" i="69"/>
  <c r="BG114" i="69" s="1"/>
  <c r="AH119" i="69"/>
  <c r="AI117" i="69"/>
  <c r="AH116" i="69"/>
  <c r="AI118" i="69"/>
  <c r="AI115" i="69"/>
  <c r="BN115" i="69" s="1"/>
  <c r="BZ171" i="69"/>
  <c r="BO171" i="69"/>
  <c r="CA171" i="69"/>
  <c r="BP171" i="69"/>
  <c r="CB171" i="69"/>
  <c r="BQ171" i="69"/>
  <c r="CC171" i="69"/>
  <c r="BR171" i="69"/>
  <c r="CD171" i="69"/>
  <c r="BS171" i="69"/>
  <c r="CE171" i="69"/>
  <c r="BT171" i="69"/>
  <c r="CF171" i="69"/>
  <c r="BU171" i="69"/>
  <c r="CG171" i="69"/>
  <c r="BV171" i="69"/>
  <c r="CH171" i="69"/>
  <c r="BW171" i="69"/>
  <c r="BX171" i="69"/>
  <c r="BY171" i="69"/>
  <c r="BZ177" i="69"/>
  <c r="BO177" i="69"/>
  <c r="CA177" i="69"/>
  <c r="BP177" i="69"/>
  <c r="CB177" i="69"/>
  <c r="BQ177" i="69"/>
  <c r="CC177" i="69"/>
  <c r="BR177" i="69"/>
  <c r="CD177" i="69"/>
  <c r="BS177" i="69"/>
  <c r="BT177" i="69"/>
  <c r="CF177" i="69"/>
  <c r="BU177" i="69"/>
  <c r="CG177" i="69"/>
  <c r="BV177" i="69"/>
  <c r="CH177" i="69"/>
  <c r="BW177" i="69"/>
  <c r="BX177" i="69"/>
  <c r="BY177" i="69"/>
  <c r="CE177" i="69"/>
  <c r="BV173" i="69"/>
  <c r="CH173" i="69"/>
  <c r="BW173" i="69"/>
  <c r="BX173" i="69"/>
  <c r="BY173" i="69"/>
  <c r="BZ173" i="69"/>
  <c r="BO173" i="69"/>
  <c r="CA173" i="69"/>
  <c r="BP173" i="69"/>
  <c r="CB173" i="69"/>
  <c r="BQ173" i="69"/>
  <c r="CC173" i="69"/>
  <c r="BR173" i="69"/>
  <c r="CD173" i="69"/>
  <c r="BS173" i="69"/>
  <c r="CE173" i="69"/>
  <c r="BT173" i="69"/>
  <c r="CF173" i="69"/>
  <c r="BU173" i="69"/>
  <c r="CG173" i="69"/>
  <c r="BR163" i="69"/>
  <c r="CD163" i="69"/>
  <c r="BS163" i="69"/>
  <c r="CE163" i="69"/>
  <c r="BT163" i="69"/>
  <c r="CF163" i="69"/>
  <c r="BU163" i="69"/>
  <c r="CG163" i="69"/>
  <c r="BV163" i="69"/>
  <c r="CH163" i="69"/>
  <c r="BW163" i="69"/>
  <c r="BX163" i="69"/>
  <c r="BY163" i="69"/>
  <c r="BZ163" i="69"/>
  <c r="BO163" i="69"/>
  <c r="CA163" i="69"/>
  <c r="BP163" i="69"/>
  <c r="CB163" i="69"/>
  <c r="BQ163" i="69"/>
  <c r="CC163" i="69"/>
  <c r="BS118" i="69"/>
  <c r="CE118" i="69"/>
  <c r="BO118" i="69"/>
  <c r="CC118" i="69"/>
  <c r="BT118" i="69"/>
  <c r="CF118" i="69"/>
  <c r="BU118" i="69"/>
  <c r="CG118" i="69"/>
  <c r="BP118" i="69"/>
  <c r="BQ118" i="69"/>
  <c r="BV118" i="69"/>
  <c r="CH118" i="69"/>
  <c r="BR118" i="69"/>
  <c r="BW118" i="69"/>
  <c r="BX118" i="69"/>
  <c r="BY118" i="69"/>
  <c r="CD118" i="69"/>
  <c r="BZ118" i="69"/>
  <c r="CA118" i="69"/>
  <c r="CB118" i="69"/>
  <c r="BR178" i="69"/>
  <c r="CD178" i="69"/>
  <c r="BS178" i="69"/>
  <c r="CE178" i="69"/>
  <c r="BT178" i="69"/>
  <c r="CF178" i="69"/>
  <c r="BU178" i="69"/>
  <c r="CG178" i="69"/>
  <c r="BV178" i="69"/>
  <c r="CH178" i="69"/>
  <c r="BX178" i="69"/>
  <c r="BY178" i="69"/>
  <c r="BO178" i="69"/>
  <c r="CA178" i="69"/>
  <c r="BP178" i="69"/>
  <c r="CB178" i="69"/>
  <c r="BQ178" i="69"/>
  <c r="BW178" i="69"/>
  <c r="BZ178" i="69"/>
  <c r="CC178" i="69"/>
  <c r="BR115" i="69"/>
  <c r="CD115" i="69"/>
  <c r="BS115" i="69"/>
  <c r="CE115" i="69"/>
  <c r="CB115" i="69"/>
  <c r="BT115" i="69"/>
  <c r="CF115" i="69"/>
  <c r="CA115" i="69"/>
  <c r="BU115" i="69"/>
  <c r="CG115" i="69"/>
  <c r="BV115" i="69"/>
  <c r="CH115" i="69"/>
  <c r="BO115" i="69"/>
  <c r="BW115" i="69"/>
  <c r="BX115" i="69"/>
  <c r="BY115" i="69"/>
  <c r="BZ115" i="69"/>
  <c r="BP115" i="69"/>
  <c r="BQ115" i="69"/>
  <c r="CC115" i="69"/>
  <c r="BZ114" i="69"/>
  <c r="BO114" i="69"/>
  <c r="CA114" i="69"/>
  <c r="BP114" i="69"/>
  <c r="CB114" i="69"/>
  <c r="BQ114" i="69"/>
  <c r="CC114" i="69"/>
  <c r="BR114" i="69"/>
  <c r="CD114" i="69"/>
  <c r="BS114" i="69"/>
  <c r="CE114" i="69"/>
  <c r="BT114" i="69"/>
  <c r="CF114" i="69"/>
  <c r="BU114" i="69"/>
  <c r="CG114" i="69"/>
  <c r="BV114" i="69"/>
  <c r="CH114" i="69"/>
  <c r="BW114" i="69"/>
  <c r="BX114" i="69"/>
  <c r="BY114" i="69"/>
  <c r="BR172" i="69"/>
  <c r="CD172" i="69"/>
  <c r="BS172" i="69"/>
  <c r="CE172" i="69"/>
  <c r="BT172" i="69"/>
  <c r="CF172" i="69"/>
  <c r="BU172" i="69"/>
  <c r="CG172" i="69"/>
  <c r="BV172" i="69"/>
  <c r="CH172" i="69"/>
  <c r="BW172" i="69"/>
  <c r="BX172" i="69"/>
  <c r="BY172" i="69"/>
  <c r="BZ172" i="69"/>
  <c r="BO172" i="69"/>
  <c r="CA172" i="69"/>
  <c r="BP172" i="69"/>
  <c r="CB172" i="69"/>
  <c r="BQ172" i="69"/>
  <c r="CC172" i="69"/>
  <c r="BZ117" i="69"/>
  <c r="BO117" i="69"/>
  <c r="CA117" i="69"/>
  <c r="BP117" i="69"/>
  <c r="CB117" i="69"/>
  <c r="BX117" i="69"/>
  <c r="BQ117" i="69"/>
  <c r="CC117" i="69"/>
  <c r="BR117" i="69"/>
  <c r="CD117" i="69"/>
  <c r="BS117" i="69"/>
  <c r="CE117" i="69"/>
  <c r="BW117" i="69"/>
  <c r="BT117" i="69"/>
  <c r="CF117" i="69"/>
  <c r="BU117" i="69"/>
  <c r="CG117" i="69"/>
  <c r="BV117" i="69"/>
  <c r="CH117" i="69"/>
  <c r="BY117" i="69"/>
  <c r="BR175" i="69"/>
  <c r="CD175" i="69"/>
  <c r="BS175" i="69"/>
  <c r="CE175" i="69"/>
  <c r="BT175" i="69"/>
  <c r="CF175" i="69"/>
  <c r="BU175" i="69"/>
  <c r="CG175" i="69"/>
  <c r="BV175" i="69"/>
  <c r="CH175" i="69"/>
  <c r="BW175" i="69"/>
  <c r="BX175" i="69"/>
  <c r="BY175" i="69"/>
  <c r="BZ175" i="69"/>
  <c r="BO175" i="69"/>
  <c r="CA175" i="69"/>
  <c r="BP175" i="69"/>
  <c r="CB175" i="69"/>
  <c r="BQ175" i="69"/>
  <c r="CC175" i="69"/>
  <c r="BU181" i="69"/>
  <c r="CG181" i="69"/>
  <c r="BV181" i="69"/>
  <c r="CH181" i="69"/>
  <c r="BW181" i="69"/>
  <c r="BX181" i="69"/>
  <c r="BY181" i="69"/>
  <c r="BZ181" i="69"/>
  <c r="BO181" i="69"/>
  <c r="CA181" i="69"/>
  <c r="BP181" i="69"/>
  <c r="CB181" i="69"/>
  <c r="BQ181" i="69"/>
  <c r="CC181" i="69"/>
  <c r="BR181" i="69"/>
  <c r="CD181" i="69"/>
  <c r="BS181" i="69"/>
  <c r="CE181" i="69"/>
  <c r="BT181" i="69"/>
  <c r="CF181" i="69"/>
  <c r="BL163" i="69"/>
  <c r="BM163" i="69"/>
  <c r="BN163" i="69"/>
  <c r="BJ163" i="69"/>
  <c r="BK163" i="69"/>
  <c r="BJ178" i="69"/>
  <c r="BK178" i="69"/>
  <c r="BL178" i="69"/>
  <c r="BM178" i="69"/>
  <c r="BN178" i="69"/>
  <c r="BK114" i="69"/>
  <c r="BL114" i="69"/>
  <c r="BJ172" i="69"/>
  <c r="BK172" i="69"/>
  <c r="BL172" i="69"/>
  <c r="BM172" i="69"/>
  <c r="BN172" i="69"/>
  <c r="BN117" i="69"/>
  <c r="BL175" i="69"/>
  <c r="BM175" i="69"/>
  <c r="BN175" i="69"/>
  <c r="BJ175" i="69"/>
  <c r="BK175" i="69"/>
  <c r="BJ181" i="69"/>
  <c r="BK181" i="69"/>
  <c r="BL181" i="69"/>
  <c r="BM181" i="69"/>
  <c r="BN181" i="69"/>
  <c r="BJ171" i="69"/>
  <c r="BK171" i="69"/>
  <c r="BL171" i="69"/>
  <c r="BM171" i="69"/>
  <c r="BN171" i="69"/>
  <c r="BJ177" i="69"/>
  <c r="BK177" i="69"/>
  <c r="BL177" i="69"/>
  <c r="BM177" i="69"/>
  <c r="BN177" i="69"/>
  <c r="BN173" i="69"/>
  <c r="BJ173" i="69"/>
  <c r="BK173" i="69"/>
  <c r="BL173" i="69"/>
  <c r="BM173" i="69"/>
  <c r="AH114" i="69"/>
  <c r="AH117" i="69"/>
  <c r="AI116" i="69"/>
  <c r="AI119" i="69"/>
  <c r="AH118" i="69"/>
  <c r="AH115" i="69"/>
  <c r="BE163" i="69"/>
  <c r="BF163" i="69"/>
  <c r="BG163" i="69"/>
  <c r="BH163" i="69"/>
  <c r="BI163" i="69"/>
  <c r="BE178" i="69"/>
  <c r="BF178" i="69"/>
  <c r="BG178" i="69"/>
  <c r="BH178" i="69"/>
  <c r="BI178" i="69"/>
  <c r="BE172" i="69"/>
  <c r="BF172" i="69"/>
  <c r="BG172" i="69"/>
  <c r="BH172" i="69"/>
  <c r="BI172" i="69"/>
  <c r="BE175" i="69"/>
  <c r="BF175" i="69"/>
  <c r="BG175" i="69"/>
  <c r="BH175" i="69"/>
  <c r="BI175" i="69"/>
  <c r="BF181" i="69"/>
  <c r="BG181" i="69"/>
  <c r="BH181" i="69"/>
  <c r="BI181" i="69"/>
  <c r="BE171" i="69"/>
  <c r="BF171" i="69"/>
  <c r="BG171" i="69"/>
  <c r="BH171" i="69"/>
  <c r="BI171" i="69"/>
  <c r="BE177" i="69"/>
  <c r="BF177" i="69"/>
  <c r="BG177" i="69"/>
  <c r="BH177" i="69"/>
  <c r="BI177" i="69"/>
  <c r="BE173" i="69"/>
  <c r="BF173" i="69"/>
  <c r="BG173" i="69"/>
  <c r="BH173" i="69"/>
  <c r="BI173" i="69"/>
  <c r="AD76" i="26"/>
  <c r="AE76" i="26"/>
  <c r="AG60" i="26"/>
  <c r="E107" i="69" s="1"/>
  <c r="AB107" i="69" s="1"/>
  <c r="AG58" i="26"/>
  <c r="E105" i="69" s="1"/>
  <c r="AB105" i="69" s="1"/>
  <c r="AG59" i="26"/>
  <c r="E106" i="69" s="1"/>
  <c r="AB106" i="69" s="1"/>
  <c r="AG57" i="26"/>
  <c r="E104" i="69" s="1"/>
  <c r="AB104" i="69" s="1"/>
  <c r="AR11" i="54"/>
  <c r="D26" i="49" s="1"/>
  <c r="T26" i="49" s="1"/>
  <c r="AB138" i="54"/>
  <c r="AB81" i="54"/>
  <c r="AB163" i="54"/>
  <c r="AB110" i="54"/>
  <c r="AO12" i="27"/>
  <c r="BN137" i="47"/>
  <c r="AF25" i="43"/>
  <c r="AE25" i="43"/>
  <c r="AG96" i="43"/>
  <c r="AN12" i="27"/>
  <c r="AI174" i="69"/>
  <c r="AH174" i="69"/>
  <c r="AS172" i="69"/>
  <c r="BA172" i="69"/>
  <c r="AT172" i="69"/>
  <c r="BB172" i="69"/>
  <c r="AU172" i="69"/>
  <c r="AW172" i="69"/>
  <c r="AY172" i="69"/>
  <c r="AV172" i="69"/>
  <c r="BC172" i="69"/>
  <c r="AP172" i="69"/>
  <c r="AQ172" i="69"/>
  <c r="BD172" i="69"/>
  <c r="AX172" i="69"/>
  <c r="AZ172" i="69"/>
  <c r="AR172" i="69"/>
  <c r="AK172" i="69"/>
  <c r="AO172" i="69"/>
  <c r="AM172" i="69"/>
  <c r="AL172" i="69"/>
  <c r="AN172" i="69"/>
  <c r="AP175" i="69"/>
  <c r="AX175" i="69"/>
  <c r="BB175" i="69"/>
  <c r="AQ175" i="69"/>
  <c r="AT175" i="69"/>
  <c r="AV175" i="69"/>
  <c r="AS175" i="69"/>
  <c r="AY175" i="69"/>
  <c r="BC175" i="69"/>
  <c r="BA175" i="69"/>
  <c r="AR175" i="69"/>
  <c r="BD175" i="69"/>
  <c r="AU175" i="69"/>
  <c r="AZ175" i="69"/>
  <c r="AW175" i="69"/>
  <c r="AK175" i="69"/>
  <c r="AM175" i="69"/>
  <c r="AL175" i="69"/>
  <c r="AN175" i="69"/>
  <c r="AO175" i="69"/>
  <c r="AO171" i="69"/>
  <c r="AN171" i="69"/>
  <c r="AM171" i="69"/>
  <c r="AL171" i="69"/>
  <c r="AK171" i="69"/>
  <c r="AH170" i="69"/>
  <c r="AI170" i="69"/>
  <c r="BD171" i="69"/>
  <c r="AR171" i="69"/>
  <c r="BC171" i="69"/>
  <c r="AP171" i="69"/>
  <c r="BB171" i="69"/>
  <c r="AZ171" i="69"/>
  <c r="AW171" i="69"/>
  <c r="AT171" i="69"/>
  <c r="AQ171" i="69"/>
  <c r="BA171" i="69"/>
  <c r="AV171" i="69"/>
  <c r="AX171" i="69"/>
  <c r="AU171" i="69"/>
  <c r="AY171" i="69"/>
  <c r="AS171" i="69"/>
  <c r="AN173" i="69"/>
  <c r="AM173" i="69"/>
  <c r="AO173" i="69"/>
  <c r="AL173" i="69"/>
  <c r="AK173" i="69"/>
  <c r="AO13" i="27"/>
  <c r="BC173" i="69"/>
  <c r="BD173" i="69"/>
  <c r="AV173" i="69"/>
  <c r="AW173" i="69"/>
  <c r="BB173" i="69"/>
  <c r="AY173" i="69"/>
  <c r="AQ173" i="69"/>
  <c r="AR173" i="69"/>
  <c r="AT173" i="69"/>
  <c r="AZ173" i="69"/>
  <c r="AX173" i="69"/>
  <c r="AP173" i="69"/>
  <c r="BA173" i="69"/>
  <c r="AU173" i="69"/>
  <c r="AS173" i="69"/>
  <c r="BC177" i="69"/>
  <c r="BD177" i="69"/>
  <c r="BC163" i="69"/>
  <c r="BD163" i="69"/>
  <c r="BC178" i="69"/>
  <c r="BD178" i="69"/>
  <c r="BD181" i="69"/>
  <c r="AN178" i="69"/>
  <c r="AW178" i="69"/>
  <c r="AQ178" i="69"/>
  <c r="AY178" i="69"/>
  <c r="AR178" i="69"/>
  <c r="AZ178" i="69"/>
  <c r="AS178" i="69"/>
  <c r="BA178" i="69"/>
  <c r="AP178" i="69"/>
  <c r="AT178" i="69"/>
  <c r="AV178" i="69"/>
  <c r="AX178" i="69"/>
  <c r="BB178" i="69"/>
  <c r="AU178" i="69"/>
  <c r="AO178" i="69"/>
  <c r="AL178" i="69"/>
  <c r="AM178" i="69"/>
  <c r="AK178" i="69"/>
  <c r="AH184" i="69"/>
  <c r="AI184" i="69"/>
  <c r="AH180" i="69"/>
  <c r="AI180" i="69"/>
  <c r="AM181" i="69"/>
  <c r="AI162" i="69"/>
  <c r="AH162" i="69"/>
  <c r="AI155" i="69"/>
  <c r="AH155" i="69"/>
  <c r="AH164" i="69"/>
  <c r="AI164" i="69"/>
  <c r="AK181" i="69"/>
  <c r="AZ181" i="69"/>
  <c r="AV181" i="69"/>
  <c r="AY181" i="69"/>
  <c r="AW181" i="69"/>
  <c r="BB181" i="69"/>
  <c r="AQ181" i="69"/>
  <c r="BA181" i="69"/>
  <c r="AS181" i="69"/>
  <c r="AH182" i="69"/>
  <c r="AI182" i="69"/>
  <c r="AI185" i="69"/>
  <c r="AH185" i="69"/>
  <c r="AI189" i="69"/>
  <c r="AH189" i="69"/>
  <c r="AW177" i="69"/>
  <c r="AQ177" i="69"/>
  <c r="AY177" i="69"/>
  <c r="AR177" i="69"/>
  <c r="AZ177" i="69"/>
  <c r="AS177" i="69"/>
  <c r="BA177" i="69"/>
  <c r="AP177" i="69"/>
  <c r="AT177" i="69"/>
  <c r="AV177" i="69"/>
  <c r="AX177" i="69"/>
  <c r="BB177" i="69"/>
  <c r="AU177" i="69"/>
  <c r="AI187" i="69"/>
  <c r="AH187" i="69"/>
  <c r="AH124" i="69"/>
  <c r="AI124" i="69"/>
  <c r="AH183" i="69"/>
  <c r="AI183" i="69"/>
  <c r="AH186" i="69"/>
  <c r="AI186" i="69"/>
  <c r="AM177" i="69"/>
  <c r="AH207" i="69"/>
  <c r="AI207" i="69"/>
  <c r="AS163" i="69"/>
  <c r="AQ163" i="69"/>
  <c r="AP163" i="69"/>
  <c r="AZ163" i="69"/>
  <c r="AR163" i="69"/>
  <c r="BB163" i="69"/>
  <c r="AV163" i="69"/>
  <c r="BA163" i="69"/>
  <c r="AW163" i="69"/>
  <c r="AO163" i="69"/>
  <c r="AN163" i="69"/>
  <c r="AU163" i="69"/>
  <c r="AT163" i="69"/>
  <c r="AX163" i="69"/>
  <c r="AY163" i="69"/>
  <c r="AH151" i="69"/>
  <c r="AI151" i="69"/>
  <c r="AI176" i="69"/>
  <c r="AH176" i="69"/>
  <c r="AH179" i="69"/>
  <c r="AI179" i="69"/>
  <c r="AK163" i="69"/>
  <c r="AL163" i="69"/>
  <c r="AM163" i="69"/>
  <c r="AG95" i="43"/>
  <c r="BE85" i="47"/>
  <c r="BC87" i="47" s="1"/>
  <c r="AG59" i="43"/>
  <c r="AK173" i="47"/>
  <c r="W27" i="32"/>
  <c r="V27" i="32"/>
  <c r="V26" i="32"/>
  <c r="Z26" i="32" s="1"/>
  <c r="W26" i="32"/>
  <c r="AA26" i="32" s="1"/>
  <c r="V25" i="32"/>
  <c r="W25" i="32"/>
  <c r="AI65" i="50"/>
  <c r="W118" i="55"/>
  <c r="H149" i="49" s="1"/>
  <c r="AJ127" i="57" s="1"/>
  <c r="X115" i="55"/>
  <c r="BM37" i="47"/>
  <c r="H152" i="49" s="1"/>
  <c r="AI19" i="50"/>
  <c r="AG28" i="43"/>
  <c r="AK74" i="47"/>
  <c r="BL37" i="47"/>
  <c r="H123" i="49" s="1"/>
  <c r="L99" i="49"/>
  <c r="R99" i="49" s="1"/>
  <c r="BM225" i="47"/>
  <c r="BN225" i="47" s="1"/>
  <c r="BQ137" i="47"/>
  <c r="I47" i="49" s="1"/>
  <c r="J182" i="57" s="1"/>
  <c r="J82" i="60" s="1"/>
  <c r="BQ38" i="47"/>
  <c r="I45" i="49" s="1"/>
  <c r="J180" i="57" s="1"/>
  <c r="J80" i="60" s="1"/>
  <c r="AI73" i="47"/>
  <c r="AE27" i="43" s="1"/>
  <c r="BN38" i="47"/>
  <c r="AJ73" i="47"/>
  <c r="AF27" i="43" s="1"/>
  <c r="BM36" i="47"/>
  <c r="F152" i="49" s="1"/>
  <c r="V115" i="68"/>
  <c r="O142" i="68"/>
  <c r="W115" i="68"/>
  <c r="P142" i="68"/>
  <c r="AI36" i="50"/>
  <c r="N99" i="49"/>
  <c r="T99" i="49" s="1"/>
  <c r="AG131" i="43"/>
  <c r="AK72" i="47"/>
  <c r="AF58" i="43"/>
  <c r="AG58" i="43" s="1"/>
  <c r="BN135" i="47"/>
  <c r="G46" i="49"/>
  <c r="I181" i="57" s="1"/>
  <c r="I81" i="60" s="1"/>
  <c r="I46" i="49"/>
  <c r="J181" i="57" s="1"/>
  <c r="J81" i="60" s="1"/>
  <c r="AG130" i="43"/>
  <c r="BL351" i="47"/>
  <c r="AE132" i="43"/>
  <c r="AG132" i="43" s="1"/>
  <c r="AG119" i="43"/>
  <c r="AG129" i="43"/>
  <c r="F106" i="60"/>
  <c r="F96" i="60"/>
  <c r="AG93" i="43"/>
  <c r="AG91" i="43"/>
  <c r="AG92" i="43"/>
  <c r="BQ226" i="47"/>
  <c r="L48" i="49" s="1"/>
  <c r="AK172" i="47"/>
  <c r="G154" i="49"/>
  <c r="M154" i="49" s="1"/>
  <c r="S154" i="49" s="1"/>
  <c r="AK282" i="47"/>
  <c r="BQ227" i="47"/>
  <c r="BS227" i="47" s="1"/>
  <c r="BT227" i="47" s="1"/>
  <c r="AK279" i="47"/>
  <c r="BC186" i="47"/>
  <c r="AF62" i="43"/>
  <c r="AG62" i="43" s="1"/>
  <c r="AG60" i="43"/>
  <c r="AK175" i="47"/>
  <c r="AK176" i="47"/>
  <c r="AG63" i="43"/>
  <c r="AK171" i="47"/>
  <c r="BN136" i="47"/>
  <c r="BQ136" i="47"/>
  <c r="BS136" i="47" s="1"/>
  <c r="BT136" i="47" s="1"/>
  <c r="F125" i="49"/>
  <c r="L125" i="49" s="1"/>
  <c r="R125" i="49" s="1"/>
  <c r="BQ135" i="47"/>
  <c r="G47" i="49" s="1"/>
  <c r="I182" i="57" s="1"/>
  <c r="I82" i="60" s="1"/>
  <c r="AG26" i="43"/>
  <c r="BA85" i="47"/>
  <c r="BC289" i="47"/>
  <c r="BS230" i="47"/>
  <c r="BT230" i="47" s="1"/>
  <c r="AY289" i="47"/>
  <c r="BS228" i="47"/>
  <c r="BT228" i="47" s="1"/>
  <c r="BA289" i="47"/>
  <c r="BS229" i="47"/>
  <c r="BT229" i="47" s="1"/>
  <c r="V63" i="40"/>
  <c r="E238" i="69" s="1"/>
  <c r="AB238" i="69" s="1"/>
  <c r="AP13" i="27"/>
  <c r="AG56" i="26"/>
  <c r="N126" i="49"/>
  <c r="T126" i="49" s="1"/>
  <c r="BS476" i="47"/>
  <c r="BT476" i="47" s="1"/>
  <c r="M100" i="49"/>
  <c r="S100" i="49" s="1"/>
  <c r="N96" i="49"/>
  <c r="T96" i="49" s="1"/>
  <c r="BN422" i="47"/>
  <c r="AK425" i="47"/>
  <c r="BS340" i="47"/>
  <c r="BT340" i="47" s="1"/>
  <c r="F126" i="49"/>
  <c r="H155" i="49"/>
  <c r="BN226" i="47"/>
  <c r="AK277" i="47"/>
  <c r="G155" i="49"/>
  <c r="BN227" i="47"/>
  <c r="X10" i="55"/>
  <c r="BL426" i="47"/>
  <c r="D184" i="57"/>
  <c r="N184" i="57" s="1"/>
  <c r="N84" i="60" s="1"/>
  <c r="X33" i="55"/>
  <c r="W69" i="55"/>
  <c r="X66" i="55"/>
  <c r="D113" i="60"/>
  <c r="F113" i="60" s="1"/>
  <c r="BR425" i="47"/>
  <c r="Q49" i="49" s="1"/>
  <c r="U49" i="49" s="1"/>
  <c r="AY496" i="47"/>
  <c r="AE150" i="43"/>
  <c r="AE157" i="43" s="1"/>
  <c r="BS422" i="47"/>
  <c r="BT422" i="47" s="1"/>
  <c r="I127" i="49"/>
  <c r="O127" i="49" s="1"/>
  <c r="U127" i="49" s="1"/>
  <c r="G15" i="60"/>
  <c r="K83" i="49"/>
  <c r="Q83" i="49" s="1"/>
  <c r="AH176" i="43"/>
  <c r="E158" i="69" s="1"/>
  <c r="AB158" i="69" s="1"/>
  <c r="AG151" i="43"/>
  <c r="E153" i="69" s="1"/>
  <c r="AB153" i="69" s="1"/>
  <c r="G27" i="49"/>
  <c r="L92" i="49" s="1"/>
  <c r="R92" i="49" s="1"/>
  <c r="E149" i="49"/>
  <c r="I156" i="49"/>
  <c r="O156" i="49" s="1"/>
  <c r="U156" i="49" s="1"/>
  <c r="BN423" i="47"/>
  <c r="E184" i="57"/>
  <c r="O184" i="57" s="1"/>
  <c r="BM426" i="47"/>
  <c r="M49" i="49"/>
  <c r="BS423" i="47"/>
  <c r="BQ425" i="47"/>
  <c r="AK413" i="47"/>
  <c r="AF150" i="43"/>
  <c r="BM427" i="47"/>
  <c r="BL427" i="47"/>
  <c r="J49" i="49"/>
  <c r="M99" i="49" s="1"/>
  <c r="S99" i="49" s="1"/>
  <c r="BS424" i="47"/>
  <c r="BT424" i="47" s="1"/>
  <c r="I153" i="49"/>
  <c r="F123" i="49"/>
  <c r="E185" i="57"/>
  <c r="O185" i="57" s="1"/>
  <c r="F157" i="49"/>
  <c r="BL484" i="47"/>
  <c r="F128" i="49"/>
  <c r="D185" i="57"/>
  <c r="N185" i="57" s="1"/>
  <c r="N125" i="49"/>
  <c r="T125" i="49" s="1"/>
  <c r="M125" i="49"/>
  <c r="S125" i="49" s="1"/>
  <c r="BK505" i="47"/>
  <c r="H121" i="49"/>
  <c r="N121" i="49" s="1"/>
  <c r="T121" i="49" s="1"/>
  <c r="O124" i="49"/>
  <c r="U124" i="49" s="1"/>
  <c r="E181" i="57"/>
  <c r="D181" i="57"/>
  <c r="N181" i="57" s="1"/>
  <c r="N124" i="49"/>
  <c r="T124" i="49" s="1"/>
  <c r="M123" i="49"/>
  <c r="S123" i="49" s="1"/>
  <c r="M148" i="49"/>
  <c r="S148" i="49" s="1"/>
  <c r="AO9" i="54"/>
  <c r="H148" i="49"/>
  <c r="AJ124" i="57" s="1"/>
  <c r="G119" i="49"/>
  <c r="AD124" i="57" s="1"/>
  <c r="O96" i="49"/>
  <c r="U96" i="49" s="1"/>
  <c r="L100" i="49"/>
  <c r="R100" i="49" s="1"/>
  <c r="Q50" i="49"/>
  <c r="U50" i="49" s="1"/>
  <c r="L29" i="49"/>
  <c r="D29" i="49"/>
  <c r="T29" i="49" s="1"/>
  <c r="K26" i="49"/>
  <c r="N26" i="49"/>
  <c r="AC68" i="55"/>
  <c r="AC32" i="55"/>
  <c r="BQ504" i="47"/>
  <c r="AC8" i="55"/>
  <c r="AC10" i="55" s="1"/>
  <c r="AG53" i="50"/>
  <c r="BM503" i="47"/>
  <c r="AH206" i="43"/>
  <c r="BR503" i="47"/>
  <c r="R29" i="49" s="1"/>
  <c r="V29" i="49" s="1"/>
  <c r="BP504" i="47"/>
  <c r="Q108" i="55"/>
  <c r="AA66" i="55"/>
  <c r="V69" i="55"/>
  <c r="AE53" i="50"/>
  <c r="AI53" i="50"/>
  <c r="AE19" i="50"/>
  <c r="AA31" i="55"/>
  <c r="AB33" i="55"/>
  <c r="Q27" i="49" s="1"/>
  <c r="AT9" i="54"/>
  <c r="AO10" i="54"/>
  <c r="AT10" i="54"/>
  <c r="AN11" i="54"/>
  <c r="AF181" i="43"/>
  <c r="AG181" i="43"/>
  <c r="BQ483" i="47"/>
  <c r="AH177" i="43"/>
  <c r="E159" i="69" s="1"/>
  <c r="AB159" i="69" s="1"/>
  <c r="BS474" i="47"/>
  <c r="BR483" i="47"/>
  <c r="AG118" i="43"/>
  <c r="BM484" i="47"/>
  <c r="BN474" i="47"/>
  <c r="AK359" i="47"/>
  <c r="BM351" i="47"/>
  <c r="AI396" i="47"/>
  <c r="AK360" i="47"/>
  <c r="AJ396" i="47"/>
  <c r="BN346" i="47"/>
  <c r="BS342" i="47"/>
  <c r="BT342" i="47" s="1"/>
  <c r="BS341" i="47"/>
  <c r="BT341" i="47" s="1"/>
  <c r="BN342" i="47"/>
  <c r="AK255" i="47"/>
  <c r="BS231" i="47"/>
  <c r="AK71" i="47"/>
  <c r="AK378" i="47"/>
  <c r="BS139" i="47"/>
  <c r="BT139" i="47" s="1"/>
  <c r="BN139" i="47"/>
  <c r="BS140" i="47"/>
  <c r="BT140" i="47" s="1"/>
  <c r="BN140" i="47"/>
  <c r="AG122" i="43"/>
  <c r="E150" i="69" s="1"/>
  <c r="AB150" i="69" s="1"/>
  <c r="AK376" i="47"/>
  <c r="AK375" i="47"/>
  <c r="U33" i="27"/>
  <c r="AI13" i="27"/>
  <c r="AM13" i="27"/>
  <c r="AH12" i="27"/>
  <c r="AP12" i="27"/>
  <c r="AJ13" i="27"/>
  <c r="AN13" i="27"/>
  <c r="AI12" i="27"/>
  <c r="AM12" i="27"/>
  <c r="AG13" i="27"/>
  <c r="AJ12" i="27"/>
  <c r="AH13" i="27"/>
  <c r="Y13" i="27"/>
  <c r="J33" i="27" s="1"/>
  <c r="AG12" i="27"/>
  <c r="U32" i="27"/>
  <c r="U31" i="27"/>
  <c r="D35" i="27"/>
  <c r="C44" i="27"/>
  <c r="Z12" i="27"/>
  <c r="K32" i="27" s="1"/>
  <c r="Y12" i="27"/>
  <c r="J32" i="27" s="1"/>
  <c r="Z13" i="27"/>
  <c r="K33" i="27" s="1"/>
  <c r="X11" i="27"/>
  <c r="Z11" i="27" s="1"/>
  <c r="K31" i="27" s="1"/>
  <c r="AP11" i="27"/>
  <c r="AM11" i="27"/>
  <c r="AN11" i="27"/>
  <c r="AO11" i="27"/>
  <c r="AG11" i="27"/>
  <c r="AH11" i="27"/>
  <c r="AJ11" i="27"/>
  <c r="AI11" i="27"/>
  <c r="F34" i="27"/>
  <c r="P34" i="27"/>
  <c r="D34" i="27"/>
  <c r="D37" i="27"/>
  <c r="X29" i="26" s="1"/>
  <c r="D36" i="27"/>
  <c r="X28" i="26" s="1"/>
  <c r="F38" i="27"/>
  <c r="Z30" i="26" s="1"/>
  <c r="F39" i="27"/>
  <c r="Z31" i="26" s="1"/>
  <c r="D40" i="27"/>
  <c r="X32" i="26" s="1"/>
  <c r="D42" i="27"/>
  <c r="X34" i="26" s="1"/>
  <c r="D43" i="27"/>
  <c r="X35" i="26" s="1"/>
  <c r="D41" i="27"/>
  <c r="X33" i="26" s="1"/>
  <c r="F35" i="27"/>
  <c r="Z27" i="26" s="1"/>
  <c r="AL177" i="69" l="1"/>
  <c r="AN177" i="69"/>
  <c r="AO177" i="69"/>
  <c r="AT181" i="69"/>
  <c r="AR181" i="69"/>
  <c r="AL181" i="69"/>
  <c r="AK190" i="69"/>
  <c r="AL190" i="69"/>
  <c r="AN190" i="69"/>
  <c r="AM190" i="69"/>
  <c r="AO190" i="69"/>
  <c r="AV190" i="69"/>
  <c r="AT190" i="69"/>
  <c r="AW190" i="69"/>
  <c r="BA190" i="69"/>
  <c r="AY190" i="69"/>
  <c r="AP190" i="69"/>
  <c r="AZ190" i="69"/>
  <c r="AS190" i="69"/>
  <c r="BC190" i="69"/>
  <c r="AX190" i="69"/>
  <c r="AR190" i="69"/>
  <c r="BD190" i="69"/>
  <c r="AQ190" i="69"/>
  <c r="BB190" i="69"/>
  <c r="AU190" i="69"/>
  <c r="AX181" i="69"/>
  <c r="BE181" i="69"/>
  <c r="AP181" i="69"/>
  <c r="AU181" i="69"/>
  <c r="AO181" i="69"/>
  <c r="AH110" i="69"/>
  <c r="AI110" i="69"/>
  <c r="AI113" i="69"/>
  <c r="AW113" i="69" s="1"/>
  <c r="AH113" i="69"/>
  <c r="AI108" i="69"/>
  <c r="BA108" i="69" s="1"/>
  <c r="AH108" i="69"/>
  <c r="AB111" i="69"/>
  <c r="AI111" i="69"/>
  <c r="AP111" i="69" s="1"/>
  <c r="BH115" i="69"/>
  <c r="BA117" i="69"/>
  <c r="BC118" i="69"/>
  <c r="BD114" i="69"/>
  <c r="AK280" i="47"/>
  <c r="AI112" i="69"/>
  <c r="BH112" i="69" s="1"/>
  <c r="AI109" i="69"/>
  <c r="BI109" i="69" s="1"/>
  <c r="AH109" i="69"/>
  <c r="Z76" i="15"/>
  <c r="E62" i="69"/>
  <c r="AB62" i="69" s="1"/>
  <c r="E303" i="57"/>
  <c r="Z93" i="15"/>
  <c r="E73" i="69"/>
  <c r="Z91" i="15"/>
  <c r="E71" i="69"/>
  <c r="E74" i="69"/>
  <c r="Z94" i="15"/>
  <c r="Z90" i="15"/>
  <c r="E70" i="69"/>
  <c r="Z80" i="15"/>
  <c r="E65" i="69"/>
  <c r="Z92" i="15"/>
  <c r="E72" i="69"/>
  <c r="Z72" i="15"/>
  <c r="E59" i="69"/>
  <c r="AB59" i="69" s="1"/>
  <c r="AH112" i="69"/>
  <c r="BK117" i="69"/>
  <c r="BN114" i="69"/>
  <c r="BM114" i="69"/>
  <c r="BJ114" i="69"/>
  <c r="BI114" i="69"/>
  <c r="BH114" i="69"/>
  <c r="BF114" i="69"/>
  <c r="BE114" i="69"/>
  <c r="BH117" i="69"/>
  <c r="BA115" i="69"/>
  <c r="BI117" i="69"/>
  <c r="BG117" i="69"/>
  <c r="BE117" i="69"/>
  <c r="BB115" i="69"/>
  <c r="BI115" i="69"/>
  <c r="AZ115" i="69"/>
  <c r="BD115" i="69"/>
  <c r="BK118" i="69"/>
  <c r="U92" i="69"/>
  <c r="G307" i="57"/>
  <c r="M91" i="69"/>
  <c r="BF118" i="69"/>
  <c r="BG115" i="69"/>
  <c r="BE115" i="69"/>
  <c r="BK115" i="69"/>
  <c r="BM117" i="69"/>
  <c r="BJ117" i="69"/>
  <c r="BL117" i="69"/>
  <c r="BC115" i="69"/>
  <c r="BF117" i="69"/>
  <c r="BE118" i="69"/>
  <c r="BH118" i="69"/>
  <c r="BI118" i="69"/>
  <c r="BG118" i="69"/>
  <c r="BF115" i="69"/>
  <c r="BM115" i="69"/>
  <c r="BL115" i="69"/>
  <c r="BN118" i="69"/>
  <c r="BM118" i="69"/>
  <c r="BJ115" i="69"/>
  <c r="BL118" i="69"/>
  <c r="BJ118" i="69"/>
  <c r="BB117" i="69"/>
  <c r="BB114" i="69"/>
  <c r="AZ114" i="69"/>
  <c r="BC114" i="69"/>
  <c r="BA114" i="69"/>
  <c r="BB118" i="69"/>
  <c r="BD118" i="69"/>
  <c r="BD117" i="69"/>
  <c r="AZ118" i="69"/>
  <c r="BC117" i="69"/>
  <c r="BA118" i="69"/>
  <c r="AZ117" i="69"/>
  <c r="N123" i="49"/>
  <c r="T123" i="49" s="1"/>
  <c r="AE126" i="57"/>
  <c r="N152" i="49"/>
  <c r="T152" i="49" s="1"/>
  <c r="AJ126" i="57"/>
  <c r="AI126" i="57"/>
  <c r="U90" i="69"/>
  <c r="AG127" i="57"/>
  <c r="K149" i="49"/>
  <c r="Q149" i="49" s="1"/>
  <c r="AH127" i="57"/>
  <c r="AL124" i="57"/>
  <c r="AG124" i="57"/>
  <c r="AK114" i="69"/>
  <c r="M92" i="69"/>
  <c r="U91" i="69"/>
  <c r="M90" i="69"/>
  <c r="AL117" i="69"/>
  <c r="AL118" i="69"/>
  <c r="AO115" i="69"/>
  <c r="AW117" i="69"/>
  <c r="AQ117" i="69"/>
  <c r="AR117" i="69"/>
  <c r="AP118" i="69"/>
  <c r="AS117" i="69"/>
  <c r="AW118" i="69"/>
  <c r="AY117" i="69"/>
  <c r="AU118" i="69"/>
  <c r="AP117" i="69"/>
  <c r="AU117" i="69"/>
  <c r="BW119" i="69"/>
  <c r="BX119" i="69"/>
  <c r="BY119" i="69"/>
  <c r="BV119" i="69"/>
  <c r="BZ119" i="69"/>
  <c r="CE119" i="69"/>
  <c r="BT119" i="69"/>
  <c r="BO119" i="69"/>
  <c r="CA119" i="69"/>
  <c r="BP119" i="69"/>
  <c r="CB119" i="69"/>
  <c r="BQ119" i="69"/>
  <c r="CC119" i="69"/>
  <c r="CF119" i="69"/>
  <c r="BR119" i="69"/>
  <c r="CD119" i="69"/>
  <c r="BS119" i="69"/>
  <c r="BU119" i="69"/>
  <c r="CG119" i="69"/>
  <c r="CH119" i="69"/>
  <c r="BZ112" i="69"/>
  <c r="BO112" i="69"/>
  <c r="CA112" i="69"/>
  <c r="BP112" i="69"/>
  <c r="CB112" i="69"/>
  <c r="BQ112" i="69"/>
  <c r="CC112" i="69"/>
  <c r="BR112" i="69"/>
  <c r="CD112" i="69"/>
  <c r="BS112" i="69"/>
  <c r="CE112" i="69"/>
  <c r="BT112" i="69"/>
  <c r="CF112" i="69"/>
  <c r="BU112" i="69"/>
  <c r="CG112" i="69"/>
  <c r="BV112" i="69"/>
  <c r="CH112" i="69"/>
  <c r="BW112" i="69"/>
  <c r="BX112" i="69"/>
  <c r="BY112" i="69"/>
  <c r="BQ207" i="69"/>
  <c r="CC207" i="69"/>
  <c r="BR207" i="69"/>
  <c r="CD207" i="69"/>
  <c r="BS207" i="69"/>
  <c r="CE207" i="69"/>
  <c r="BT207" i="69"/>
  <c r="CF207" i="69"/>
  <c r="BU207" i="69"/>
  <c r="CG207" i="69"/>
  <c r="BV207" i="69"/>
  <c r="CH207" i="69"/>
  <c r="BW207" i="69"/>
  <c r="BX207" i="69"/>
  <c r="BY207" i="69"/>
  <c r="BZ207" i="69"/>
  <c r="BO207" i="69"/>
  <c r="CA207" i="69"/>
  <c r="BP207" i="69"/>
  <c r="CB207" i="69"/>
  <c r="BU187" i="69"/>
  <c r="CG187" i="69"/>
  <c r="BV187" i="69"/>
  <c r="CH187" i="69"/>
  <c r="BW187" i="69"/>
  <c r="BX187" i="69"/>
  <c r="BY187" i="69"/>
  <c r="BZ187" i="69"/>
  <c r="BO187" i="69"/>
  <c r="CA187" i="69"/>
  <c r="BP187" i="69"/>
  <c r="CB187" i="69"/>
  <c r="BQ187" i="69"/>
  <c r="CC187" i="69"/>
  <c r="BR187" i="69"/>
  <c r="CD187" i="69"/>
  <c r="BS187" i="69"/>
  <c r="CE187" i="69"/>
  <c r="BT187" i="69"/>
  <c r="CF187" i="69"/>
  <c r="BU184" i="69"/>
  <c r="CG184" i="69"/>
  <c r="BV184" i="69"/>
  <c r="CH184" i="69"/>
  <c r="BW184" i="69"/>
  <c r="BX184" i="69"/>
  <c r="BY184" i="69"/>
  <c r="BZ184" i="69"/>
  <c r="BO184" i="69"/>
  <c r="CA184" i="69"/>
  <c r="BP184" i="69"/>
  <c r="CB184" i="69"/>
  <c r="BQ184" i="69"/>
  <c r="CC184" i="69"/>
  <c r="BR184" i="69"/>
  <c r="CD184" i="69"/>
  <c r="BS184" i="69"/>
  <c r="CE184" i="69"/>
  <c r="BT184" i="69"/>
  <c r="CF184" i="69"/>
  <c r="BV108" i="69"/>
  <c r="CH108" i="69"/>
  <c r="BW108" i="69"/>
  <c r="BX108" i="69"/>
  <c r="BY108" i="69"/>
  <c r="BZ108" i="69"/>
  <c r="BO108" i="69"/>
  <c r="CA108" i="69"/>
  <c r="BP108" i="69"/>
  <c r="CB108" i="69"/>
  <c r="BQ108" i="69"/>
  <c r="CC108" i="69"/>
  <c r="BR108" i="69"/>
  <c r="CD108" i="69"/>
  <c r="BS108" i="69"/>
  <c r="CE108" i="69"/>
  <c r="BT108" i="69"/>
  <c r="CF108" i="69"/>
  <c r="BU108" i="69"/>
  <c r="CG108" i="69"/>
  <c r="BV164" i="69"/>
  <c r="CH164" i="69"/>
  <c r="BW164" i="69"/>
  <c r="BX164" i="69"/>
  <c r="BY164" i="69"/>
  <c r="BZ164" i="69"/>
  <c r="BO164" i="69"/>
  <c r="CA164" i="69"/>
  <c r="BP164" i="69"/>
  <c r="CB164" i="69"/>
  <c r="BQ164" i="69"/>
  <c r="CC164" i="69"/>
  <c r="BR164" i="69"/>
  <c r="CD164" i="69"/>
  <c r="BS164" i="69"/>
  <c r="CE164" i="69"/>
  <c r="BT164" i="69"/>
  <c r="CF164" i="69"/>
  <c r="BU164" i="69"/>
  <c r="CG164" i="69"/>
  <c r="BV179" i="69"/>
  <c r="BW179" i="69"/>
  <c r="BX179" i="69"/>
  <c r="BY179" i="69"/>
  <c r="BZ179" i="69"/>
  <c r="BP179" i="69"/>
  <c r="CB179" i="69"/>
  <c r="BQ179" i="69"/>
  <c r="CC179" i="69"/>
  <c r="BS179" i="69"/>
  <c r="BO179" i="69"/>
  <c r="BR179" i="69"/>
  <c r="BT179" i="69"/>
  <c r="BU179" i="69"/>
  <c r="CA179" i="69"/>
  <c r="CD179" i="69"/>
  <c r="CE179" i="69"/>
  <c r="CF179" i="69"/>
  <c r="CG179" i="69"/>
  <c r="CH179" i="69"/>
  <c r="BZ109" i="69"/>
  <c r="BO109" i="69"/>
  <c r="CA109" i="69"/>
  <c r="BP109" i="69"/>
  <c r="CB109" i="69"/>
  <c r="BQ109" i="69"/>
  <c r="CC109" i="69"/>
  <c r="BR109" i="69"/>
  <c r="CD109" i="69"/>
  <c r="BS109" i="69"/>
  <c r="CE109" i="69"/>
  <c r="BT109" i="69"/>
  <c r="CF109" i="69"/>
  <c r="BU109" i="69"/>
  <c r="CG109" i="69"/>
  <c r="BV109" i="69"/>
  <c r="CH109" i="69"/>
  <c r="BW109" i="69"/>
  <c r="BX109" i="69"/>
  <c r="BY109" i="69"/>
  <c r="BV170" i="69"/>
  <c r="CH170" i="69"/>
  <c r="BW170" i="69"/>
  <c r="BX170" i="69"/>
  <c r="BY170" i="69"/>
  <c r="BZ170" i="69"/>
  <c r="BO170" i="69"/>
  <c r="CA170" i="69"/>
  <c r="BP170" i="69"/>
  <c r="CB170" i="69"/>
  <c r="BQ170" i="69"/>
  <c r="CC170" i="69"/>
  <c r="BR170" i="69"/>
  <c r="CD170" i="69"/>
  <c r="BS170" i="69"/>
  <c r="CE170" i="69"/>
  <c r="BT170" i="69"/>
  <c r="CF170" i="69"/>
  <c r="BU170" i="69"/>
  <c r="CG170" i="69"/>
  <c r="BZ174" i="69"/>
  <c r="BO174" i="69"/>
  <c r="CA174" i="69"/>
  <c r="BP174" i="69"/>
  <c r="CB174" i="69"/>
  <c r="BQ174" i="69"/>
  <c r="CC174" i="69"/>
  <c r="BR174" i="69"/>
  <c r="CD174" i="69"/>
  <c r="BS174" i="69"/>
  <c r="CE174" i="69"/>
  <c r="BT174" i="69"/>
  <c r="CF174" i="69"/>
  <c r="BU174" i="69"/>
  <c r="CG174" i="69"/>
  <c r="BV174" i="69"/>
  <c r="CH174" i="69"/>
  <c r="BW174" i="69"/>
  <c r="BX174" i="69"/>
  <c r="BY174" i="69"/>
  <c r="BQ186" i="69"/>
  <c r="CC186" i="69"/>
  <c r="BR186" i="69"/>
  <c r="CD186" i="69"/>
  <c r="BS186" i="69"/>
  <c r="CE186" i="69"/>
  <c r="BT186" i="69"/>
  <c r="CF186" i="69"/>
  <c r="BU186" i="69"/>
  <c r="CG186" i="69"/>
  <c r="BV186" i="69"/>
  <c r="CH186" i="69"/>
  <c r="BW186" i="69"/>
  <c r="BX186" i="69"/>
  <c r="BY186" i="69"/>
  <c r="BZ186" i="69"/>
  <c r="BO186" i="69"/>
  <c r="CA186" i="69"/>
  <c r="BP186" i="69"/>
  <c r="CB186" i="69"/>
  <c r="BQ189" i="69"/>
  <c r="CC189" i="69"/>
  <c r="BR189" i="69"/>
  <c r="CD189" i="69"/>
  <c r="BS189" i="69"/>
  <c r="CE189" i="69"/>
  <c r="BT189" i="69"/>
  <c r="CF189" i="69"/>
  <c r="BU189" i="69"/>
  <c r="CG189" i="69"/>
  <c r="BV189" i="69"/>
  <c r="CH189" i="69"/>
  <c r="BW189" i="69"/>
  <c r="BX189" i="69"/>
  <c r="BY189" i="69"/>
  <c r="BZ189" i="69"/>
  <c r="BO189" i="69"/>
  <c r="CA189" i="69"/>
  <c r="BP189" i="69"/>
  <c r="CB189" i="69"/>
  <c r="BV155" i="69"/>
  <c r="CH155" i="69"/>
  <c r="BW155" i="69"/>
  <c r="BX155" i="69"/>
  <c r="BY155" i="69"/>
  <c r="BZ155" i="69"/>
  <c r="BO155" i="69"/>
  <c r="CA155" i="69"/>
  <c r="BP155" i="69"/>
  <c r="CB155" i="69"/>
  <c r="BQ155" i="69"/>
  <c r="CC155" i="69"/>
  <c r="BR155" i="69"/>
  <c r="CD155" i="69"/>
  <c r="BS155" i="69"/>
  <c r="CE155" i="69"/>
  <c r="BT155" i="69"/>
  <c r="CF155" i="69"/>
  <c r="BU155" i="69"/>
  <c r="CG155" i="69"/>
  <c r="BR110" i="69"/>
  <c r="CD110" i="69"/>
  <c r="BS110" i="69"/>
  <c r="CE110" i="69"/>
  <c r="BT110" i="69"/>
  <c r="CF110" i="69"/>
  <c r="BU110" i="69"/>
  <c r="CG110" i="69"/>
  <c r="BV110" i="69"/>
  <c r="CH110" i="69"/>
  <c r="BW110" i="69"/>
  <c r="BX110" i="69"/>
  <c r="BY110" i="69"/>
  <c r="BZ110" i="69"/>
  <c r="BO110" i="69"/>
  <c r="CA110" i="69"/>
  <c r="BP110" i="69"/>
  <c r="CB110" i="69"/>
  <c r="BQ110" i="69"/>
  <c r="CC110" i="69"/>
  <c r="BV176" i="69"/>
  <c r="CH176" i="69"/>
  <c r="BW176" i="69"/>
  <c r="BX176" i="69"/>
  <c r="BY176" i="69"/>
  <c r="BZ176" i="69"/>
  <c r="BO176" i="69"/>
  <c r="CA176" i="69"/>
  <c r="BP176" i="69"/>
  <c r="CB176" i="69"/>
  <c r="BQ176" i="69"/>
  <c r="CC176" i="69"/>
  <c r="BR176" i="69"/>
  <c r="CD176" i="69"/>
  <c r="BS176" i="69"/>
  <c r="CE176" i="69"/>
  <c r="BT176" i="69"/>
  <c r="CF176" i="69"/>
  <c r="BU176" i="69"/>
  <c r="CG176" i="69"/>
  <c r="BR151" i="69"/>
  <c r="CD151" i="69"/>
  <c r="BS151" i="69"/>
  <c r="CE151" i="69"/>
  <c r="BT151" i="69"/>
  <c r="CF151" i="69"/>
  <c r="BU151" i="69"/>
  <c r="CG151" i="69"/>
  <c r="BV151" i="69"/>
  <c r="CH151" i="69"/>
  <c r="BW151" i="69"/>
  <c r="BX151" i="69"/>
  <c r="BY151" i="69"/>
  <c r="BZ151" i="69"/>
  <c r="BO151" i="69"/>
  <c r="CA151" i="69"/>
  <c r="BP151" i="69"/>
  <c r="CB151" i="69"/>
  <c r="BQ151" i="69"/>
  <c r="CC151" i="69"/>
  <c r="BQ183" i="69"/>
  <c r="CC183" i="69"/>
  <c r="BR183" i="69"/>
  <c r="CD183" i="69"/>
  <c r="BS183" i="69"/>
  <c r="CE183" i="69"/>
  <c r="BT183" i="69"/>
  <c r="CF183" i="69"/>
  <c r="BU183" i="69"/>
  <c r="CG183" i="69"/>
  <c r="BV183" i="69"/>
  <c r="CH183" i="69"/>
  <c r="BW183" i="69"/>
  <c r="BX183" i="69"/>
  <c r="BY183" i="69"/>
  <c r="BZ183" i="69"/>
  <c r="BO183" i="69"/>
  <c r="CA183" i="69"/>
  <c r="BP183" i="69"/>
  <c r="CB183" i="69"/>
  <c r="BY185" i="69"/>
  <c r="BZ185" i="69"/>
  <c r="BO185" i="69"/>
  <c r="CA185" i="69"/>
  <c r="BP185" i="69"/>
  <c r="CB185" i="69"/>
  <c r="BQ185" i="69"/>
  <c r="CC185" i="69"/>
  <c r="BR185" i="69"/>
  <c r="CD185" i="69"/>
  <c r="BS185" i="69"/>
  <c r="CE185" i="69"/>
  <c r="BT185" i="69"/>
  <c r="CF185" i="69"/>
  <c r="BU185" i="69"/>
  <c r="CG185" i="69"/>
  <c r="BV185" i="69"/>
  <c r="CH185" i="69"/>
  <c r="BW185" i="69"/>
  <c r="BX185" i="69"/>
  <c r="BZ162" i="69"/>
  <c r="BO162" i="69"/>
  <c r="CA162" i="69"/>
  <c r="BP162" i="69"/>
  <c r="CB162" i="69"/>
  <c r="BQ162" i="69"/>
  <c r="CC162" i="69"/>
  <c r="BR162" i="69"/>
  <c r="CD162" i="69"/>
  <c r="BS162" i="69"/>
  <c r="CE162" i="69"/>
  <c r="BT162" i="69"/>
  <c r="CF162" i="69"/>
  <c r="BU162" i="69"/>
  <c r="CG162" i="69"/>
  <c r="BV162" i="69"/>
  <c r="CH162" i="69"/>
  <c r="BW162" i="69"/>
  <c r="BX162" i="69"/>
  <c r="BY162" i="69"/>
  <c r="BV111" i="69"/>
  <c r="CH111" i="69"/>
  <c r="BW111" i="69"/>
  <c r="BX111" i="69"/>
  <c r="BY111" i="69"/>
  <c r="BZ111" i="69"/>
  <c r="BO111" i="69"/>
  <c r="CA111" i="69"/>
  <c r="BP111" i="69"/>
  <c r="CB111" i="69"/>
  <c r="BQ111" i="69"/>
  <c r="CC111" i="69"/>
  <c r="BR111" i="69"/>
  <c r="CD111" i="69"/>
  <c r="BS111" i="69"/>
  <c r="CE111" i="69"/>
  <c r="BT111" i="69"/>
  <c r="CF111" i="69"/>
  <c r="BU111" i="69"/>
  <c r="CG111" i="69"/>
  <c r="BY182" i="69"/>
  <c r="BZ182" i="69"/>
  <c r="BO182" i="69"/>
  <c r="CA182" i="69"/>
  <c r="BP182" i="69"/>
  <c r="CB182" i="69"/>
  <c r="BQ182" i="69"/>
  <c r="CC182" i="69"/>
  <c r="BR182" i="69"/>
  <c r="CD182" i="69"/>
  <c r="BS182" i="69"/>
  <c r="CE182" i="69"/>
  <c r="BT182" i="69"/>
  <c r="CF182" i="69"/>
  <c r="BU182" i="69"/>
  <c r="CG182" i="69"/>
  <c r="BV182" i="69"/>
  <c r="CH182" i="69"/>
  <c r="BW182" i="69"/>
  <c r="BX182" i="69"/>
  <c r="AQ118" i="69"/>
  <c r="BV116" i="69"/>
  <c r="CH116" i="69"/>
  <c r="BW116" i="69"/>
  <c r="BX116" i="69"/>
  <c r="BY116" i="69"/>
  <c r="BS116" i="69"/>
  <c r="BZ116" i="69"/>
  <c r="BO116" i="69"/>
  <c r="CA116" i="69"/>
  <c r="BP116" i="69"/>
  <c r="CB116" i="69"/>
  <c r="BQ116" i="69"/>
  <c r="CC116" i="69"/>
  <c r="CE116" i="69"/>
  <c r="CF116" i="69"/>
  <c r="BR116" i="69"/>
  <c r="CD116" i="69"/>
  <c r="BT116" i="69"/>
  <c r="BU116" i="69"/>
  <c r="CG116" i="69"/>
  <c r="BZ124" i="69"/>
  <c r="BO124" i="69"/>
  <c r="CA124" i="69"/>
  <c r="BP124" i="69"/>
  <c r="CB124" i="69"/>
  <c r="BQ124" i="69"/>
  <c r="CC124" i="69"/>
  <c r="BR124" i="69"/>
  <c r="CD124" i="69"/>
  <c r="BS124" i="69"/>
  <c r="CE124" i="69"/>
  <c r="BT124" i="69"/>
  <c r="CF124" i="69"/>
  <c r="BU124" i="69"/>
  <c r="CG124" i="69"/>
  <c r="BV124" i="69"/>
  <c r="CH124" i="69"/>
  <c r="BW124" i="69"/>
  <c r="BX124" i="69"/>
  <c r="BY124" i="69"/>
  <c r="BR113" i="69"/>
  <c r="CD113" i="69"/>
  <c r="BS113" i="69"/>
  <c r="CE113" i="69"/>
  <c r="BT113" i="69"/>
  <c r="CF113" i="69"/>
  <c r="BU113" i="69"/>
  <c r="CG113" i="69"/>
  <c r="BV113" i="69"/>
  <c r="CH113" i="69"/>
  <c r="BW113" i="69"/>
  <c r="BX113" i="69"/>
  <c r="BY113" i="69"/>
  <c r="BZ113" i="69"/>
  <c r="BO113" i="69"/>
  <c r="CA113" i="69"/>
  <c r="BP113" i="69"/>
  <c r="CB113" i="69"/>
  <c r="BQ113" i="69"/>
  <c r="CC113" i="69"/>
  <c r="BQ180" i="69"/>
  <c r="CC180" i="69"/>
  <c r="BR180" i="69"/>
  <c r="CD180" i="69"/>
  <c r="BS180" i="69"/>
  <c r="CE180" i="69"/>
  <c r="BT180" i="69"/>
  <c r="CF180" i="69"/>
  <c r="BU180" i="69"/>
  <c r="CG180" i="69"/>
  <c r="BV180" i="69"/>
  <c r="CH180" i="69"/>
  <c r="BW180" i="69"/>
  <c r="BX180" i="69"/>
  <c r="BY180" i="69"/>
  <c r="BZ180" i="69"/>
  <c r="BO180" i="69"/>
  <c r="CA180" i="69"/>
  <c r="BP180" i="69"/>
  <c r="CB180" i="69"/>
  <c r="AY115" i="69"/>
  <c r="AP115" i="69"/>
  <c r="AV115" i="69"/>
  <c r="AT114" i="69"/>
  <c r="AR114" i="69"/>
  <c r="AV117" i="69"/>
  <c r="BL109" i="69"/>
  <c r="BM109" i="69"/>
  <c r="BN109" i="69"/>
  <c r="BJ109" i="69"/>
  <c r="BK109" i="69"/>
  <c r="BJ170" i="69"/>
  <c r="BK170" i="69"/>
  <c r="BL170" i="69"/>
  <c r="BM170" i="69"/>
  <c r="BN170" i="69"/>
  <c r="BM174" i="69"/>
  <c r="BN174" i="69"/>
  <c r="BJ174" i="69"/>
  <c r="BK174" i="69"/>
  <c r="BL174" i="69"/>
  <c r="BM186" i="69"/>
  <c r="BN186" i="69"/>
  <c r="BJ186" i="69"/>
  <c r="BK186" i="69"/>
  <c r="BL186" i="69"/>
  <c r="BJ189" i="69"/>
  <c r="BK189" i="69"/>
  <c r="BL189" i="69"/>
  <c r="BM189" i="69"/>
  <c r="BN189" i="69"/>
  <c r="BJ155" i="69"/>
  <c r="BK155" i="69"/>
  <c r="BL155" i="69"/>
  <c r="BM155" i="69"/>
  <c r="BN155" i="69"/>
  <c r="BK110" i="69"/>
  <c r="BL110" i="69"/>
  <c r="BM110" i="69"/>
  <c r="BN110" i="69"/>
  <c r="BJ110" i="69"/>
  <c r="BK176" i="69"/>
  <c r="BL176" i="69"/>
  <c r="BM176" i="69"/>
  <c r="BN176" i="69"/>
  <c r="BJ176" i="69"/>
  <c r="BL151" i="69"/>
  <c r="BM151" i="69"/>
  <c r="BN151" i="69"/>
  <c r="BJ151" i="69"/>
  <c r="BK151" i="69"/>
  <c r="BJ183" i="69"/>
  <c r="BK183" i="69"/>
  <c r="BL183" i="69"/>
  <c r="BM183" i="69"/>
  <c r="BN183" i="69"/>
  <c r="BN185" i="69"/>
  <c r="BJ185" i="69"/>
  <c r="BK185" i="69"/>
  <c r="BL185" i="69"/>
  <c r="BM185" i="69"/>
  <c r="BM162" i="69"/>
  <c r="BN162" i="69"/>
  <c r="BJ162" i="69"/>
  <c r="BK162" i="69"/>
  <c r="BL162" i="69"/>
  <c r="AV118" i="69"/>
  <c r="AX118" i="69"/>
  <c r="BJ111" i="69"/>
  <c r="BK111" i="69"/>
  <c r="BL111" i="69"/>
  <c r="BM111" i="69"/>
  <c r="BN111" i="69"/>
  <c r="BJ182" i="69"/>
  <c r="BK182" i="69"/>
  <c r="BL182" i="69"/>
  <c r="BM182" i="69"/>
  <c r="BN182" i="69"/>
  <c r="AW114" i="69"/>
  <c r="BJ124" i="69"/>
  <c r="BK124" i="69"/>
  <c r="BL124" i="69"/>
  <c r="BM124" i="69"/>
  <c r="BN124" i="69"/>
  <c r="AK119" i="69"/>
  <c r="BJ119" i="69"/>
  <c r="BK119" i="69"/>
  <c r="BL119" i="69"/>
  <c r="BM119" i="69"/>
  <c r="BN119" i="69"/>
  <c r="BF119" i="69"/>
  <c r="BE119" i="69"/>
  <c r="BH119" i="69"/>
  <c r="BG119" i="69"/>
  <c r="BI119" i="69"/>
  <c r="AQ114" i="69"/>
  <c r="BJ113" i="69"/>
  <c r="BK113" i="69"/>
  <c r="BL113" i="69"/>
  <c r="BM113" i="69"/>
  <c r="BN113" i="69"/>
  <c r="BJ180" i="69"/>
  <c r="BK180" i="69"/>
  <c r="BL180" i="69"/>
  <c r="BM180" i="69"/>
  <c r="BN180" i="69"/>
  <c r="AX115" i="69"/>
  <c r="AS118" i="69"/>
  <c r="AY114" i="69"/>
  <c r="AX114" i="69"/>
  <c r="BA116" i="69"/>
  <c r="BJ116" i="69"/>
  <c r="BK116" i="69"/>
  <c r="BL116" i="69"/>
  <c r="BM116" i="69"/>
  <c r="BN116" i="69"/>
  <c r="BE116" i="69"/>
  <c r="BF116" i="69"/>
  <c r="BG116" i="69"/>
  <c r="BH116" i="69"/>
  <c r="BI116" i="69"/>
  <c r="AT115" i="69"/>
  <c r="AV114" i="69"/>
  <c r="AP114" i="69"/>
  <c r="BJ112" i="69"/>
  <c r="BK112" i="69"/>
  <c r="BL112" i="69"/>
  <c r="BM112" i="69"/>
  <c r="BN112" i="69"/>
  <c r="BJ207" i="69"/>
  <c r="BK207" i="69"/>
  <c r="BL207" i="69"/>
  <c r="BM207" i="69"/>
  <c r="BN207" i="69"/>
  <c r="BL187" i="69"/>
  <c r="BM187" i="69"/>
  <c r="BN187" i="69"/>
  <c r="BJ187" i="69"/>
  <c r="BK187" i="69"/>
  <c r="BJ184" i="69"/>
  <c r="BK184" i="69"/>
  <c r="BL184" i="69"/>
  <c r="BM184" i="69"/>
  <c r="BN184" i="69"/>
  <c r="AW115" i="69"/>
  <c r="AT118" i="69"/>
  <c r="AU114" i="69"/>
  <c r="AS115" i="69"/>
  <c r="BM108" i="69"/>
  <c r="BN108" i="69"/>
  <c r="BJ108" i="69"/>
  <c r="BK108" i="69"/>
  <c r="BL108" i="69"/>
  <c r="BK164" i="69"/>
  <c r="BL164" i="69"/>
  <c r="BM164" i="69"/>
  <c r="BN164" i="69"/>
  <c r="BJ164" i="69"/>
  <c r="AQ115" i="69"/>
  <c r="AR118" i="69"/>
  <c r="AX117" i="69"/>
  <c r="BJ179" i="69"/>
  <c r="BK179" i="69"/>
  <c r="BL179" i="69"/>
  <c r="BM179" i="69"/>
  <c r="BN179" i="69"/>
  <c r="AU115" i="69"/>
  <c r="AR115" i="69"/>
  <c r="AY118" i="69"/>
  <c r="AS114" i="69"/>
  <c r="AT117" i="69"/>
  <c r="AO114" i="69"/>
  <c r="AO117" i="69"/>
  <c r="AM117" i="69"/>
  <c r="AN117" i="69"/>
  <c r="AK117" i="69"/>
  <c r="AM119" i="69"/>
  <c r="AN114" i="69"/>
  <c r="AM114" i="69"/>
  <c r="AL114" i="69"/>
  <c r="AZ119" i="69"/>
  <c r="BC116" i="69"/>
  <c r="AS116" i="69"/>
  <c r="AO116" i="69"/>
  <c r="AR116" i="69"/>
  <c r="AX116" i="69"/>
  <c r="AU116" i="69"/>
  <c r="AZ116" i="69"/>
  <c r="AW116" i="69"/>
  <c r="AL116" i="69"/>
  <c r="AK116" i="69"/>
  <c r="AT116" i="69"/>
  <c r="AN116" i="69"/>
  <c r="AM116" i="69"/>
  <c r="AV116" i="69"/>
  <c r="BD116" i="69"/>
  <c r="AP116" i="69"/>
  <c r="AY116" i="69"/>
  <c r="AQ116" i="69"/>
  <c r="BB116" i="69"/>
  <c r="AS119" i="69"/>
  <c r="AP119" i="69"/>
  <c r="BC119" i="69"/>
  <c r="AW119" i="69"/>
  <c r="AY119" i="69"/>
  <c r="AR119" i="69"/>
  <c r="AN119" i="69"/>
  <c r="AU119" i="69"/>
  <c r="BB119" i="69"/>
  <c r="AO119" i="69"/>
  <c r="AX119" i="69"/>
  <c r="AT119" i="69"/>
  <c r="AL119" i="69"/>
  <c r="BD119" i="69"/>
  <c r="AV119" i="69"/>
  <c r="AQ119" i="69"/>
  <c r="BA119" i="69"/>
  <c r="AN118" i="69"/>
  <c r="AM118" i="69"/>
  <c r="AO118" i="69"/>
  <c r="AK118" i="69"/>
  <c r="AN115" i="69"/>
  <c r="AM115" i="69"/>
  <c r="AL115" i="69"/>
  <c r="AK115" i="69"/>
  <c r="BE108" i="69"/>
  <c r="BF108" i="69"/>
  <c r="BG108" i="69"/>
  <c r="BH108" i="69"/>
  <c r="BI108" i="69"/>
  <c r="BE164" i="69"/>
  <c r="BF164" i="69"/>
  <c r="BG164" i="69"/>
  <c r="BH164" i="69"/>
  <c r="BI164" i="69"/>
  <c r="BE179" i="69"/>
  <c r="BF179" i="69"/>
  <c r="BG179" i="69"/>
  <c r="BH179" i="69"/>
  <c r="BI179" i="69"/>
  <c r="BE170" i="69"/>
  <c r="BF170" i="69"/>
  <c r="BG170" i="69"/>
  <c r="BH170" i="69"/>
  <c r="BI170" i="69"/>
  <c r="BE174" i="69"/>
  <c r="BF174" i="69"/>
  <c r="BG174" i="69"/>
  <c r="BH174" i="69"/>
  <c r="BI174" i="69"/>
  <c r="BF186" i="69"/>
  <c r="BG186" i="69"/>
  <c r="BH186" i="69"/>
  <c r="BI186" i="69"/>
  <c r="BE186" i="69"/>
  <c r="BI189" i="69"/>
  <c r="BE189" i="69"/>
  <c r="BF189" i="69"/>
  <c r="BG189" i="69"/>
  <c r="BH189" i="69"/>
  <c r="BE155" i="69"/>
  <c r="BF155" i="69"/>
  <c r="BG155" i="69"/>
  <c r="BH155" i="69"/>
  <c r="BI155" i="69"/>
  <c r="BG110" i="69"/>
  <c r="BH110" i="69"/>
  <c r="BI110" i="69"/>
  <c r="BE176" i="69"/>
  <c r="BF176" i="69"/>
  <c r="BG176" i="69"/>
  <c r="BH176" i="69"/>
  <c r="BI176" i="69"/>
  <c r="BE151" i="69"/>
  <c r="BF151" i="69"/>
  <c r="BG151" i="69"/>
  <c r="BH151" i="69"/>
  <c r="BI151" i="69"/>
  <c r="BE183" i="69"/>
  <c r="BF183" i="69"/>
  <c r="BG183" i="69"/>
  <c r="BH183" i="69"/>
  <c r="BI183" i="69"/>
  <c r="BE185" i="69"/>
  <c r="BF185" i="69"/>
  <c r="BG185" i="69"/>
  <c r="BI185" i="69"/>
  <c r="BH185" i="69"/>
  <c r="BE162" i="69"/>
  <c r="BF162" i="69"/>
  <c r="BG162" i="69"/>
  <c r="BH162" i="69"/>
  <c r="BI162" i="69"/>
  <c r="BE111" i="69"/>
  <c r="BG111" i="69"/>
  <c r="BH111" i="69"/>
  <c r="BI111" i="69"/>
  <c r="BE182" i="69"/>
  <c r="BH182" i="69"/>
  <c r="BG182" i="69"/>
  <c r="BI182" i="69"/>
  <c r="BF182" i="69"/>
  <c r="BE124" i="69"/>
  <c r="BF124" i="69"/>
  <c r="BG124" i="69"/>
  <c r="BH124" i="69"/>
  <c r="BI124" i="69"/>
  <c r="BG113" i="69"/>
  <c r="BH113" i="69"/>
  <c r="BI113" i="69"/>
  <c r="BE180" i="69"/>
  <c r="BF180" i="69"/>
  <c r="BH180" i="69"/>
  <c r="BG180" i="69"/>
  <c r="BI180" i="69"/>
  <c r="BE207" i="69"/>
  <c r="BF207" i="69"/>
  <c r="BG207" i="69"/>
  <c r="BH207" i="69"/>
  <c r="BI207" i="69"/>
  <c r="BI187" i="69"/>
  <c r="BE187" i="69"/>
  <c r="BF187" i="69"/>
  <c r="BG187" i="69"/>
  <c r="BH187" i="69"/>
  <c r="BH184" i="69"/>
  <c r="BE184" i="69"/>
  <c r="BF184" i="69"/>
  <c r="BG184" i="69"/>
  <c r="BI184" i="69"/>
  <c r="AG76" i="26"/>
  <c r="E103" i="69"/>
  <c r="AB103" i="69" s="1"/>
  <c r="AG25" i="43"/>
  <c r="AN170" i="69"/>
  <c r="AO170" i="69"/>
  <c r="AK170" i="69"/>
  <c r="AM170" i="69"/>
  <c r="AL170" i="69"/>
  <c r="AK174" i="69"/>
  <c r="AL174" i="69"/>
  <c r="AO174" i="69"/>
  <c r="AN174" i="69"/>
  <c r="AM174" i="69"/>
  <c r="AT170" i="69"/>
  <c r="BA170" i="69"/>
  <c r="BB170" i="69"/>
  <c r="AU170" i="69"/>
  <c r="AV170" i="69"/>
  <c r="AY170" i="69"/>
  <c r="AS170" i="69"/>
  <c r="AW170" i="69"/>
  <c r="AP170" i="69"/>
  <c r="AX170" i="69"/>
  <c r="AQ170" i="69"/>
  <c r="BC170" i="69"/>
  <c r="AR170" i="69"/>
  <c r="BD170" i="69"/>
  <c r="AZ170" i="69"/>
  <c r="AR174" i="69"/>
  <c r="AZ174" i="69"/>
  <c r="BC174" i="69"/>
  <c r="BA174" i="69"/>
  <c r="BD174" i="69"/>
  <c r="BB174" i="69"/>
  <c r="AS174" i="69"/>
  <c r="AU174" i="69"/>
  <c r="AT174" i="69"/>
  <c r="AV174" i="69"/>
  <c r="AW174" i="69"/>
  <c r="AX174" i="69"/>
  <c r="AP174" i="69"/>
  <c r="AQ174" i="69"/>
  <c r="AY174" i="69"/>
  <c r="BC207" i="69"/>
  <c r="BD207" i="69"/>
  <c r="BC182" i="69"/>
  <c r="BD182" i="69"/>
  <c r="BC124" i="69"/>
  <c r="BD124" i="69"/>
  <c r="BC164" i="69"/>
  <c r="BD164" i="69"/>
  <c r="BC180" i="69"/>
  <c r="BD180" i="69"/>
  <c r="BD179" i="69"/>
  <c r="BC179" i="69"/>
  <c r="BC187" i="69"/>
  <c r="BD187" i="69"/>
  <c r="BC184" i="69"/>
  <c r="BD184" i="69"/>
  <c r="BC186" i="69"/>
  <c r="BD186" i="69"/>
  <c r="BD189" i="69"/>
  <c r="BC189" i="69"/>
  <c r="BC155" i="69"/>
  <c r="BD155" i="69"/>
  <c r="BC176" i="69"/>
  <c r="BD176" i="69"/>
  <c r="BC151" i="69"/>
  <c r="BD151" i="69"/>
  <c r="BC183" i="69"/>
  <c r="BD183" i="69"/>
  <c r="BC185" i="69"/>
  <c r="BD185" i="69"/>
  <c r="BC162" i="69"/>
  <c r="BD162" i="69"/>
  <c r="AN207" i="69"/>
  <c r="AV207" i="69"/>
  <c r="AO207" i="69"/>
  <c r="AW207" i="69"/>
  <c r="AP207" i="69"/>
  <c r="AX207" i="69"/>
  <c r="AQ207" i="69"/>
  <c r="AY207" i="69"/>
  <c r="AS207" i="69"/>
  <c r="BA207" i="69"/>
  <c r="AT207" i="69"/>
  <c r="BB207" i="69"/>
  <c r="AR207" i="69"/>
  <c r="AU207" i="69"/>
  <c r="AZ207" i="69"/>
  <c r="AH153" i="69"/>
  <c r="AI153" i="69"/>
  <c r="AK207" i="69"/>
  <c r="AL207" i="69"/>
  <c r="AM207" i="69"/>
  <c r="AH158" i="69"/>
  <c r="AI158" i="69"/>
  <c r="AL124" i="69"/>
  <c r="AK124" i="69"/>
  <c r="AM124" i="69"/>
  <c r="AT164" i="69"/>
  <c r="BB164" i="69"/>
  <c r="AV164" i="69"/>
  <c r="AW164" i="69"/>
  <c r="AP164" i="69"/>
  <c r="AX164" i="69"/>
  <c r="AQ164" i="69"/>
  <c r="AY164" i="69"/>
  <c r="AR164" i="69"/>
  <c r="AS164" i="69"/>
  <c r="AZ164" i="69"/>
  <c r="BA164" i="69"/>
  <c r="AU164" i="69"/>
  <c r="AO164" i="69"/>
  <c r="AN164" i="69"/>
  <c r="AT180" i="69"/>
  <c r="BB180" i="69"/>
  <c r="AU180" i="69"/>
  <c r="AV180" i="69"/>
  <c r="AP180" i="69"/>
  <c r="BA180" i="69"/>
  <c r="AQ180" i="69"/>
  <c r="AR180" i="69"/>
  <c r="AS180" i="69"/>
  <c r="AX180" i="69"/>
  <c r="AY180" i="69"/>
  <c r="AW180" i="69"/>
  <c r="AZ180" i="69"/>
  <c r="AO180" i="69"/>
  <c r="AN180" i="69"/>
  <c r="AK182" i="69"/>
  <c r="AL182" i="69"/>
  <c r="AM182" i="69"/>
  <c r="AH150" i="69"/>
  <c r="AI150" i="69"/>
  <c r="AZ179" i="69"/>
  <c r="AR179" i="69"/>
  <c r="BB179" i="69"/>
  <c r="AV179" i="69"/>
  <c r="AU179" i="69"/>
  <c r="AT179" i="69"/>
  <c r="AN179" i="69"/>
  <c r="AX179" i="69"/>
  <c r="AS179" i="69"/>
  <c r="AP179" i="69"/>
  <c r="AW179" i="69"/>
  <c r="AY179" i="69"/>
  <c r="AQ179" i="69"/>
  <c r="BA179" i="69"/>
  <c r="AO179" i="69"/>
  <c r="AK187" i="69"/>
  <c r="AM187" i="69"/>
  <c r="AL187" i="69"/>
  <c r="AK164" i="69"/>
  <c r="AM164" i="69"/>
  <c r="AL164" i="69"/>
  <c r="AM180" i="69"/>
  <c r="AL180" i="69"/>
  <c r="AK180" i="69"/>
  <c r="AS182" i="69"/>
  <c r="BA182" i="69"/>
  <c r="AT182" i="69"/>
  <c r="BB182" i="69"/>
  <c r="AN182" i="69"/>
  <c r="AX182" i="69"/>
  <c r="AO182" i="69"/>
  <c r="AY182" i="69"/>
  <c r="AP182" i="69"/>
  <c r="AZ182" i="69"/>
  <c r="AQ182" i="69"/>
  <c r="AU182" i="69"/>
  <c r="AV182" i="69"/>
  <c r="AR182" i="69"/>
  <c r="AW182" i="69"/>
  <c r="AT124" i="69"/>
  <c r="AU124" i="69"/>
  <c r="AV124" i="69"/>
  <c r="AX124" i="69"/>
  <c r="AP124" i="69"/>
  <c r="AY124" i="69"/>
  <c r="AQ124" i="69"/>
  <c r="BA124" i="69"/>
  <c r="AS124" i="69"/>
  <c r="AW124" i="69"/>
  <c r="BB124" i="69"/>
  <c r="AR124" i="69"/>
  <c r="AZ124" i="69"/>
  <c r="AO124" i="69"/>
  <c r="AN124" i="69"/>
  <c r="AK179" i="69"/>
  <c r="AL179" i="69"/>
  <c r="AM179" i="69"/>
  <c r="AR187" i="69"/>
  <c r="AS187" i="69"/>
  <c r="AV187" i="69"/>
  <c r="AU187" i="69"/>
  <c r="AX187" i="69"/>
  <c r="AZ187" i="69"/>
  <c r="AY187" i="69"/>
  <c r="AW187" i="69"/>
  <c r="AQ187" i="69"/>
  <c r="AP187" i="69"/>
  <c r="BB187" i="69"/>
  <c r="AN187" i="69"/>
  <c r="BA187" i="69"/>
  <c r="AT187" i="69"/>
  <c r="AO187" i="69"/>
  <c r="AL189" i="69"/>
  <c r="AM189" i="69"/>
  <c r="AK189" i="69"/>
  <c r="AK155" i="69"/>
  <c r="AL155" i="69"/>
  <c r="AM155" i="69"/>
  <c r="AO184" i="69"/>
  <c r="AW184" i="69"/>
  <c r="AP184" i="69"/>
  <c r="AX184" i="69"/>
  <c r="AT184" i="69"/>
  <c r="AU184" i="69"/>
  <c r="AV184" i="69"/>
  <c r="AY184" i="69"/>
  <c r="AQ184" i="69"/>
  <c r="BA184" i="69"/>
  <c r="AR184" i="69"/>
  <c r="BB184" i="69"/>
  <c r="AS184" i="69"/>
  <c r="AN184" i="69"/>
  <c r="AZ184" i="69"/>
  <c r="AK151" i="69"/>
  <c r="AL151" i="69"/>
  <c r="AM151" i="69"/>
  <c r="AH159" i="69"/>
  <c r="AI159" i="69"/>
  <c r="AK176" i="69"/>
  <c r="AL176" i="69"/>
  <c r="AM176" i="69"/>
  <c r="AV186" i="69"/>
  <c r="AO186" i="69"/>
  <c r="AW186" i="69"/>
  <c r="AS186" i="69"/>
  <c r="AT186" i="69"/>
  <c r="AU186" i="69"/>
  <c r="AX186" i="69"/>
  <c r="AP186" i="69"/>
  <c r="AZ186" i="69"/>
  <c r="AQ186" i="69"/>
  <c r="BA186" i="69"/>
  <c r="BB186" i="69"/>
  <c r="AY186" i="69"/>
  <c r="AR186" i="69"/>
  <c r="AN186" i="69"/>
  <c r="AR189" i="69"/>
  <c r="AQ189" i="69"/>
  <c r="AY189" i="69"/>
  <c r="AP189" i="69"/>
  <c r="AV189" i="69"/>
  <c r="AX189" i="69"/>
  <c r="AN189" i="69"/>
  <c r="AW189" i="69"/>
  <c r="AO189" i="69"/>
  <c r="BB189" i="69"/>
  <c r="AZ189" i="69"/>
  <c r="AT189" i="69"/>
  <c r="AU189" i="69"/>
  <c r="BA189" i="69"/>
  <c r="AS189" i="69"/>
  <c r="AT155" i="69"/>
  <c r="AV155" i="69"/>
  <c r="AY155" i="69"/>
  <c r="AX155" i="69"/>
  <c r="AQ155" i="69"/>
  <c r="AP155" i="69"/>
  <c r="AZ155" i="69"/>
  <c r="AO155" i="69"/>
  <c r="BB155" i="69"/>
  <c r="AR155" i="69"/>
  <c r="AN155" i="69"/>
  <c r="AW155" i="69"/>
  <c r="BA155" i="69"/>
  <c r="AS155" i="69"/>
  <c r="AU155" i="69"/>
  <c r="AK184" i="69"/>
  <c r="AL184" i="69"/>
  <c r="AM184" i="69"/>
  <c r="AK183" i="69"/>
  <c r="AM183" i="69"/>
  <c r="AL183" i="69"/>
  <c r="AQ176" i="69"/>
  <c r="AY176" i="69"/>
  <c r="AS176" i="69"/>
  <c r="BA176" i="69"/>
  <c r="AT176" i="69"/>
  <c r="BB176" i="69"/>
  <c r="AU176" i="69"/>
  <c r="AN176" i="69"/>
  <c r="AV176" i="69"/>
  <c r="AO176" i="69"/>
  <c r="AP176" i="69"/>
  <c r="AR176" i="69"/>
  <c r="AX176" i="69"/>
  <c r="AZ176" i="69"/>
  <c r="AW176" i="69"/>
  <c r="AL186" i="69"/>
  <c r="AK186" i="69"/>
  <c r="AM186" i="69"/>
  <c r="AM185" i="69"/>
  <c r="AL185" i="69"/>
  <c r="AK185" i="69"/>
  <c r="AM162" i="69"/>
  <c r="AL162" i="69"/>
  <c r="AK162" i="69"/>
  <c r="AH238" i="69"/>
  <c r="AI238" i="69"/>
  <c r="AO151" i="69"/>
  <c r="AW151" i="69"/>
  <c r="AR151" i="69"/>
  <c r="AZ151" i="69"/>
  <c r="AS151" i="69"/>
  <c r="BA151" i="69"/>
  <c r="AU151" i="69"/>
  <c r="AX151" i="69"/>
  <c r="AY151" i="69"/>
  <c r="AN151" i="69"/>
  <c r="BB151" i="69"/>
  <c r="AP151" i="69"/>
  <c r="AQ151" i="69"/>
  <c r="AT151" i="69"/>
  <c r="AV151" i="69"/>
  <c r="AQ183" i="69"/>
  <c r="AY183" i="69"/>
  <c r="AR183" i="69"/>
  <c r="AZ183" i="69"/>
  <c r="AP183" i="69"/>
  <c r="BB183" i="69"/>
  <c r="AS183" i="69"/>
  <c r="AT183" i="69"/>
  <c r="AU183" i="69"/>
  <c r="AW183" i="69"/>
  <c r="AN183" i="69"/>
  <c r="AX183" i="69"/>
  <c r="AO183" i="69"/>
  <c r="BA183" i="69"/>
  <c r="AV183" i="69"/>
  <c r="AU185" i="69"/>
  <c r="AN185" i="69"/>
  <c r="AV185" i="69"/>
  <c r="AX185" i="69"/>
  <c r="AO185" i="69"/>
  <c r="AY185" i="69"/>
  <c r="AP185" i="69"/>
  <c r="AZ185" i="69"/>
  <c r="AQ185" i="69"/>
  <c r="BA185" i="69"/>
  <c r="AS185" i="69"/>
  <c r="AT185" i="69"/>
  <c r="AR185" i="69"/>
  <c r="AW185" i="69"/>
  <c r="BB185" i="69"/>
  <c r="AW162" i="69"/>
  <c r="AQ162" i="69"/>
  <c r="AY162" i="69"/>
  <c r="AR162" i="69"/>
  <c r="AZ162" i="69"/>
  <c r="AS162" i="69"/>
  <c r="BA162" i="69"/>
  <c r="AT162" i="69"/>
  <c r="BB162" i="69"/>
  <c r="AP162" i="69"/>
  <c r="AU162" i="69"/>
  <c r="AV162" i="69"/>
  <c r="AX162" i="69"/>
  <c r="AO162" i="69"/>
  <c r="AN162" i="69"/>
  <c r="AH104" i="69"/>
  <c r="AI104" i="69"/>
  <c r="AH105" i="69"/>
  <c r="AI105" i="69"/>
  <c r="AH106" i="69"/>
  <c r="AI106" i="69"/>
  <c r="AH107" i="69"/>
  <c r="AI107" i="69"/>
  <c r="AZ108" i="69"/>
  <c r="E146" i="69"/>
  <c r="AB146" i="69" s="1"/>
  <c r="E147" i="69"/>
  <c r="AB147" i="69" s="1"/>
  <c r="AI73" i="50"/>
  <c r="E188" i="69"/>
  <c r="AB188" i="69" s="1"/>
  <c r="BS137" i="47"/>
  <c r="BT137" i="47" s="1"/>
  <c r="AA27" i="32"/>
  <c r="I40" i="32"/>
  <c r="Z27" i="32"/>
  <c r="H40" i="32"/>
  <c r="AE11" i="32" s="1"/>
  <c r="I39" i="32"/>
  <c r="H39" i="32"/>
  <c r="AE10" i="32" s="1"/>
  <c r="D95" i="60"/>
  <c r="D105" i="60" s="1"/>
  <c r="D30" i="59"/>
  <c r="H30" i="59" s="1"/>
  <c r="F155" i="49"/>
  <c r="L155" i="49" s="1"/>
  <c r="R155" i="49" s="1"/>
  <c r="BQ225" i="47"/>
  <c r="BS225" i="47" s="1"/>
  <c r="BT225" i="47" s="1"/>
  <c r="E30" i="59"/>
  <c r="X118" i="55"/>
  <c r="L27" i="49" s="1"/>
  <c r="J17" i="60" s="1"/>
  <c r="BQ37" i="47"/>
  <c r="L45" i="49" s="1"/>
  <c r="K180" i="57" s="1"/>
  <c r="K80" i="60" s="1"/>
  <c r="BN37" i="47"/>
  <c r="AB115" i="68"/>
  <c r="Q28" i="49"/>
  <c r="X115" i="68"/>
  <c r="BS38" i="47"/>
  <c r="BT38" i="47" s="1"/>
  <c r="BN36" i="47"/>
  <c r="E95" i="60"/>
  <c r="BQ36" i="47"/>
  <c r="BS36" i="47" s="1"/>
  <c r="BT36" i="47" s="1"/>
  <c r="AK73" i="47"/>
  <c r="AG27" i="43"/>
  <c r="D124" i="57"/>
  <c r="N149" i="49"/>
  <c r="T149" i="49" s="1"/>
  <c r="N120" i="49"/>
  <c r="T120" i="49" s="1"/>
  <c r="Q142" i="68"/>
  <c r="AI74" i="67"/>
  <c r="BS135" i="47"/>
  <c r="BT135" i="47" s="1"/>
  <c r="M96" i="49"/>
  <c r="S96" i="49" s="1"/>
  <c r="L96" i="49"/>
  <c r="R96" i="49" s="1"/>
  <c r="AE137" i="43"/>
  <c r="AF137" i="43"/>
  <c r="BS226" i="47"/>
  <c r="BT226" i="47" s="1"/>
  <c r="I48" i="49"/>
  <c r="J183" i="57" s="1"/>
  <c r="J83" i="60" s="1"/>
  <c r="J87" i="60" s="1"/>
  <c r="L47" i="49"/>
  <c r="L97" i="49"/>
  <c r="R97" i="49" s="1"/>
  <c r="L126" i="49"/>
  <c r="R126" i="49" s="1"/>
  <c r="K183" i="57"/>
  <c r="N98" i="49"/>
  <c r="T98" i="49" s="1"/>
  <c r="M155" i="49"/>
  <c r="S155" i="49" s="1"/>
  <c r="N155" i="49"/>
  <c r="T155" i="49" s="1"/>
  <c r="BN426" i="47"/>
  <c r="E113" i="60"/>
  <c r="D84" i="60"/>
  <c r="X69" i="55"/>
  <c r="E81" i="60"/>
  <c r="O181" i="57"/>
  <c r="O81" i="60" s="1"/>
  <c r="AG150" i="43"/>
  <c r="AH181" i="43"/>
  <c r="D49" i="49"/>
  <c r="T49" i="49" s="1"/>
  <c r="AF157" i="43"/>
  <c r="I127" i="57"/>
  <c r="H17" i="60"/>
  <c r="O153" i="49"/>
  <c r="U153" i="49" s="1"/>
  <c r="L123" i="49"/>
  <c r="R123" i="49" s="1"/>
  <c r="BN484" i="47"/>
  <c r="U27" i="49"/>
  <c r="O84" i="60"/>
  <c r="E84" i="60"/>
  <c r="G184" i="57"/>
  <c r="BT423" i="47"/>
  <c r="BS425" i="47"/>
  <c r="L184" i="57"/>
  <c r="L84" i="60" s="1"/>
  <c r="O99" i="49"/>
  <c r="U99" i="49" s="1"/>
  <c r="G181" i="57"/>
  <c r="L152" i="49"/>
  <c r="R152" i="49" s="1"/>
  <c r="D85" i="60"/>
  <c r="G185" i="57"/>
  <c r="E85" i="60"/>
  <c r="L157" i="49"/>
  <c r="R157" i="49" s="1"/>
  <c r="L128" i="49"/>
  <c r="R128" i="49" s="1"/>
  <c r="D81" i="60"/>
  <c r="N81" i="60"/>
  <c r="AC66" i="55"/>
  <c r="AC69" i="55" s="1"/>
  <c r="F27" i="49"/>
  <c r="N148" i="49"/>
  <c r="M119" i="49"/>
  <c r="C14" i="60"/>
  <c r="H27" i="59"/>
  <c r="M14" i="60" s="1"/>
  <c r="N93" i="49"/>
  <c r="T93" i="49" s="1"/>
  <c r="J14" i="60"/>
  <c r="N91" i="49"/>
  <c r="T91" i="49" s="1"/>
  <c r="I14" i="60"/>
  <c r="M91" i="49"/>
  <c r="S91" i="49" s="1"/>
  <c r="R50" i="49"/>
  <c r="V50" i="49" s="1"/>
  <c r="D50" i="49"/>
  <c r="T50" i="49" s="1"/>
  <c r="K124" i="57"/>
  <c r="N31" i="49"/>
  <c r="N34" i="49" s="1"/>
  <c r="K31" i="49"/>
  <c r="K34" i="49" s="1"/>
  <c r="J124" i="57"/>
  <c r="F44" i="27"/>
  <c r="D44" i="27"/>
  <c r="AO11" i="54"/>
  <c r="E27" i="59"/>
  <c r="AA69" i="55"/>
  <c r="BR504" i="47"/>
  <c r="BS504" i="47" s="1"/>
  <c r="BS503" i="47"/>
  <c r="AC31" i="55"/>
  <c r="AC33" i="55" s="1"/>
  <c r="AA33" i="55"/>
  <c r="AT11" i="54"/>
  <c r="R26" i="49" s="1"/>
  <c r="AS11" i="54"/>
  <c r="Q26" i="49" s="1"/>
  <c r="U26" i="49" s="1"/>
  <c r="BT474" i="47"/>
  <c r="BS483" i="47"/>
  <c r="BT483" i="47" s="1"/>
  <c r="AG121" i="43"/>
  <c r="E149" i="69" s="1"/>
  <c r="AB149" i="69" s="1"/>
  <c r="BN351" i="47"/>
  <c r="AK396" i="47"/>
  <c r="AG120" i="43"/>
  <c r="E148" i="69" s="1"/>
  <c r="AB148" i="69" s="1"/>
  <c r="BN341" i="47"/>
  <c r="BT231" i="47"/>
  <c r="BS138" i="47"/>
  <c r="BT138" i="47" s="1"/>
  <c r="BN138" i="47"/>
  <c r="X27" i="26"/>
  <c r="Y11" i="27"/>
  <c r="J31" i="27" s="1"/>
  <c r="AH30" i="27" s="1"/>
  <c r="X26" i="26"/>
  <c r="AI30" i="27"/>
  <c r="Z26" i="26"/>
  <c r="R34" i="27"/>
  <c r="T34" i="27" s="1"/>
  <c r="T118" i="15"/>
  <c r="T119" i="15"/>
  <c r="R118" i="15"/>
  <c r="R119" i="15"/>
  <c r="Q118" i="15"/>
  <c r="Q119" i="15"/>
  <c r="Q116" i="15"/>
  <c r="Q14" i="25"/>
  <c r="BD130" i="15"/>
  <c r="BD131" i="15"/>
  <c r="BD132" i="15"/>
  <c r="BD133" i="15"/>
  <c r="BD134" i="15"/>
  <c r="BD136" i="15"/>
  <c r="BB116" i="15"/>
  <c r="BB117" i="15"/>
  <c r="BB118" i="15"/>
  <c r="BB119" i="15"/>
  <c r="AZ117" i="15"/>
  <c r="AZ118" i="15"/>
  <c r="AZ119" i="15"/>
  <c r="AZ116" i="15"/>
  <c r="AZ131" i="15"/>
  <c r="AZ132" i="15"/>
  <c r="AZ133" i="15"/>
  <c r="AZ134" i="15"/>
  <c r="AZ136" i="15"/>
  <c r="K14" i="25"/>
  <c r="AR117" i="15"/>
  <c r="AR118" i="15"/>
  <c r="AR119" i="15"/>
  <c r="AR116" i="15"/>
  <c r="AR127" i="15"/>
  <c r="D14" i="25" s="1"/>
  <c r="R15" i="15"/>
  <c r="T15" i="15"/>
  <c r="Q16" i="15"/>
  <c r="R16" i="15"/>
  <c r="T16" i="15"/>
  <c r="Q17" i="15"/>
  <c r="R17" i="15"/>
  <c r="T17" i="15"/>
  <c r="BD108" i="69" l="1"/>
  <c r="BC108" i="69"/>
  <c r="BB108" i="69"/>
  <c r="BD111" i="69"/>
  <c r="BB111" i="69"/>
  <c r="AK110" i="69"/>
  <c r="BC111" i="69"/>
  <c r="BA111" i="69"/>
  <c r="AZ111" i="69"/>
  <c r="BF111" i="69"/>
  <c r="AX110" i="69"/>
  <c r="AP110" i="69"/>
  <c r="AU110" i="69"/>
  <c r="BB110" i="69"/>
  <c r="BC113" i="69"/>
  <c r="AL110" i="69"/>
  <c r="AM110" i="69"/>
  <c r="AW110" i="69"/>
  <c r="AT110" i="69"/>
  <c r="BA113" i="69"/>
  <c r="AZ110" i="69"/>
  <c r="BA110" i="69"/>
  <c r="BF110" i="69"/>
  <c r="BB113" i="69"/>
  <c r="BD110" i="69"/>
  <c r="AS110" i="69"/>
  <c r="BE110" i="69"/>
  <c r="AZ113" i="69"/>
  <c r="AV110" i="69"/>
  <c r="AO110" i="69"/>
  <c r="AX113" i="69"/>
  <c r="AY110" i="69"/>
  <c r="AR110" i="69"/>
  <c r="AN110" i="69"/>
  <c r="BF113" i="69"/>
  <c r="BD113" i="69"/>
  <c r="AQ110" i="69"/>
  <c r="BC110" i="69"/>
  <c r="BE113" i="69"/>
  <c r="AL113" i="69"/>
  <c r="AU108" i="69"/>
  <c r="AY108" i="69"/>
  <c r="AV108" i="69"/>
  <c r="AX108" i="69"/>
  <c r="AW108" i="69"/>
  <c r="AQ108" i="69"/>
  <c r="AL108" i="69"/>
  <c r="AM108" i="69"/>
  <c r="AS108" i="69"/>
  <c r="AO108" i="69"/>
  <c r="AM113" i="69"/>
  <c r="AT113" i="69"/>
  <c r="AY113" i="69"/>
  <c r="AU113" i="69"/>
  <c r="AV113" i="69"/>
  <c r="AR113" i="69"/>
  <c r="AK113" i="69"/>
  <c r="AQ113" i="69"/>
  <c r="AO113" i="69"/>
  <c r="AP113" i="69"/>
  <c r="AN113" i="69"/>
  <c r="AS113" i="69"/>
  <c r="AQ111" i="69"/>
  <c r="AT108" i="69"/>
  <c r="AP108" i="69"/>
  <c r="AK108" i="69"/>
  <c r="AN108" i="69"/>
  <c r="AR108" i="69"/>
  <c r="AU111" i="69"/>
  <c r="AT111" i="69"/>
  <c r="AM111" i="69"/>
  <c r="AL111" i="69"/>
  <c r="AK111" i="69"/>
  <c r="AY111" i="69"/>
  <c r="AW111" i="69"/>
  <c r="AX111" i="69"/>
  <c r="AS111" i="69"/>
  <c r="AO111" i="69"/>
  <c r="AV111" i="69"/>
  <c r="AR111" i="69"/>
  <c r="AN111" i="69"/>
  <c r="BG109" i="69"/>
  <c r="BF109" i="69"/>
  <c r="BE109" i="69"/>
  <c r="AP109" i="69"/>
  <c r="BH109" i="69"/>
  <c r="AV109" i="69"/>
  <c r="BB109" i="69"/>
  <c r="BA109" i="69"/>
  <c r="BC109" i="69"/>
  <c r="AL109" i="69"/>
  <c r="AT109" i="69"/>
  <c r="AU109" i="69"/>
  <c r="AK109" i="69"/>
  <c r="AZ109" i="69"/>
  <c r="AO109" i="69"/>
  <c r="AR109" i="69"/>
  <c r="AS109" i="69"/>
  <c r="AN109" i="69"/>
  <c r="AY109" i="69"/>
  <c r="AM109" i="69"/>
  <c r="AQ109" i="69"/>
  <c r="AX109" i="69"/>
  <c r="AW109" i="69"/>
  <c r="BD109" i="69"/>
  <c r="AW112" i="69"/>
  <c r="BB112" i="69"/>
  <c r="BE112" i="69"/>
  <c r="AT112" i="69"/>
  <c r="BA112" i="69"/>
  <c r="AP112" i="69"/>
  <c r="AS112" i="69"/>
  <c r="BF112" i="69"/>
  <c r="AZ112" i="69"/>
  <c r="AK112" i="69"/>
  <c r="BG112" i="69"/>
  <c r="AV112" i="69"/>
  <c r="AM112" i="69"/>
  <c r="AR112" i="69"/>
  <c r="AN112" i="69"/>
  <c r="AY112" i="69"/>
  <c r="AU112" i="69"/>
  <c r="AO112" i="69"/>
  <c r="AQ112" i="69"/>
  <c r="BI112" i="69"/>
  <c r="BC112" i="69"/>
  <c r="BD112" i="69"/>
  <c r="AX112" i="69"/>
  <c r="BG69" i="69"/>
  <c r="BH69" i="69"/>
  <c r="BI69" i="69"/>
  <c r="AL112" i="69"/>
  <c r="AB74" i="69"/>
  <c r="AH74" i="69"/>
  <c r="AI74" i="69"/>
  <c r="AB71" i="69"/>
  <c r="AH71" i="69"/>
  <c r="AI71" i="69"/>
  <c r="AB73" i="69"/>
  <c r="AH73" i="69"/>
  <c r="AI73" i="69"/>
  <c r="AB72" i="69"/>
  <c r="AH72" i="69"/>
  <c r="AI72" i="69"/>
  <c r="AH65" i="69"/>
  <c r="AI65" i="69"/>
  <c r="AB65" i="69"/>
  <c r="AB70" i="69"/>
  <c r="AH70" i="69"/>
  <c r="AI70" i="69"/>
  <c r="AL127" i="57"/>
  <c r="AH103" i="69"/>
  <c r="V26" i="49"/>
  <c r="BR107" i="69"/>
  <c r="CD107" i="69"/>
  <c r="BS107" i="69"/>
  <c r="CE107" i="69"/>
  <c r="BT107" i="69"/>
  <c r="CF107" i="69"/>
  <c r="BU107" i="69"/>
  <c r="CG107" i="69"/>
  <c r="BV107" i="69"/>
  <c r="CH107" i="69"/>
  <c r="BW107" i="69"/>
  <c r="BX107" i="69"/>
  <c r="BY107" i="69"/>
  <c r="BZ107" i="69"/>
  <c r="BO107" i="69"/>
  <c r="CA107" i="69"/>
  <c r="BP107" i="69"/>
  <c r="CB107" i="69"/>
  <c r="BQ107" i="69"/>
  <c r="CC107" i="69"/>
  <c r="BZ153" i="69"/>
  <c r="BO153" i="69"/>
  <c r="CA153" i="69"/>
  <c r="BP153" i="69"/>
  <c r="CB153" i="69"/>
  <c r="BQ153" i="69"/>
  <c r="CC153" i="69"/>
  <c r="BR153" i="69"/>
  <c r="CD153" i="69"/>
  <c r="BS153" i="69"/>
  <c r="CE153" i="69"/>
  <c r="BT153" i="69"/>
  <c r="CF153" i="69"/>
  <c r="BU153" i="69"/>
  <c r="CG153" i="69"/>
  <c r="BV153" i="69"/>
  <c r="CH153" i="69"/>
  <c r="BW153" i="69"/>
  <c r="BX153" i="69"/>
  <c r="BY153" i="69"/>
  <c r="BZ106" i="69"/>
  <c r="BO106" i="69"/>
  <c r="CA106" i="69"/>
  <c r="BP106" i="69"/>
  <c r="CB106" i="69"/>
  <c r="BQ106" i="69"/>
  <c r="CC106" i="69"/>
  <c r="BR106" i="69"/>
  <c r="CD106" i="69"/>
  <c r="BS106" i="69"/>
  <c r="CE106" i="69"/>
  <c r="BT106" i="69"/>
  <c r="CF106" i="69"/>
  <c r="BU106" i="69"/>
  <c r="CG106" i="69"/>
  <c r="BV106" i="69"/>
  <c r="CH106" i="69"/>
  <c r="BW106" i="69"/>
  <c r="BX106" i="69"/>
  <c r="BY106" i="69"/>
  <c r="BV105" i="69"/>
  <c r="CH105" i="69"/>
  <c r="BW105" i="69"/>
  <c r="BX105" i="69"/>
  <c r="BY105" i="69"/>
  <c r="BZ105" i="69"/>
  <c r="BO105" i="69"/>
  <c r="CA105" i="69"/>
  <c r="BP105" i="69"/>
  <c r="CB105" i="69"/>
  <c r="BQ105" i="69"/>
  <c r="CC105" i="69"/>
  <c r="BR105" i="69"/>
  <c r="CD105" i="69"/>
  <c r="BS105" i="69"/>
  <c r="CE105" i="69"/>
  <c r="BT105" i="69"/>
  <c r="CF105" i="69"/>
  <c r="BU105" i="69"/>
  <c r="CG105" i="69"/>
  <c r="BZ159" i="69"/>
  <c r="BO159" i="69"/>
  <c r="CA159" i="69"/>
  <c r="BP159" i="69"/>
  <c r="CB159" i="69"/>
  <c r="BQ159" i="69"/>
  <c r="CC159" i="69"/>
  <c r="BR159" i="69"/>
  <c r="CD159" i="69"/>
  <c r="BS159" i="69"/>
  <c r="CE159" i="69"/>
  <c r="BT159" i="69"/>
  <c r="CF159" i="69"/>
  <c r="BU159" i="69"/>
  <c r="CG159" i="69"/>
  <c r="BV159" i="69"/>
  <c r="CH159" i="69"/>
  <c r="BW159" i="69"/>
  <c r="BX159" i="69"/>
  <c r="BY159" i="69"/>
  <c r="BR104" i="69"/>
  <c r="CD104" i="69"/>
  <c r="BS104" i="69"/>
  <c r="CE104" i="69"/>
  <c r="BT104" i="69"/>
  <c r="CF104" i="69"/>
  <c r="BU104" i="69"/>
  <c r="CG104" i="69"/>
  <c r="BV104" i="69"/>
  <c r="CH104" i="69"/>
  <c r="BW104" i="69"/>
  <c r="BX104" i="69"/>
  <c r="BY104" i="69"/>
  <c r="BZ104" i="69"/>
  <c r="BO104" i="69"/>
  <c r="CA104" i="69"/>
  <c r="BP104" i="69"/>
  <c r="CB104" i="69"/>
  <c r="BQ104" i="69"/>
  <c r="CC104" i="69"/>
  <c r="BZ150" i="69"/>
  <c r="BO150" i="69"/>
  <c r="CA150" i="69"/>
  <c r="BP150" i="69"/>
  <c r="CB150" i="69"/>
  <c r="BQ150" i="69"/>
  <c r="CC150" i="69"/>
  <c r="BR150" i="69"/>
  <c r="CD150" i="69"/>
  <c r="BS150" i="69"/>
  <c r="CE150" i="69"/>
  <c r="BT150" i="69"/>
  <c r="CF150" i="69"/>
  <c r="BU150" i="69"/>
  <c r="CG150" i="69"/>
  <c r="BV150" i="69"/>
  <c r="CH150" i="69"/>
  <c r="BW150" i="69"/>
  <c r="BX150" i="69"/>
  <c r="BY150" i="69"/>
  <c r="BO238" i="69"/>
  <c r="CA238" i="69"/>
  <c r="BP238" i="69"/>
  <c r="CB238" i="69"/>
  <c r="BQ238" i="69"/>
  <c r="CC238" i="69"/>
  <c r="BR238" i="69"/>
  <c r="CD238" i="69"/>
  <c r="BS238" i="69"/>
  <c r="CE238" i="69"/>
  <c r="BT238" i="69"/>
  <c r="CF238" i="69"/>
  <c r="BU238" i="69"/>
  <c r="CG238" i="69"/>
  <c r="BV238" i="69"/>
  <c r="CH238" i="69"/>
  <c r="BW238" i="69"/>
  <c r="BX238" i="69"/>
  <c r="BY238" i="69"/>
  <c r="BZ238" i="69"/>
  <c r="BV158" i="69"/>
  <c r="CH158" i="69"/>
  <c r="BW158" i="69"/>
  <c r="BX158" i="69"/>
  <c r="BY158" i="69"/>
  <c r="BZ158" i="69"/>
  <c r="BO158" i="69"/>
  <c r="CA158" i="69"/>
  <c r="BP158" i="69"/>
  <c r="CB158" i="69"/>
  <c r="BQ158" i="69"/>
  <c r="CC158" i="69"/>
  <c r="BR158" i="69"/>
  <c r="CD158" i="69"/>
  <c r="BS158" i="69"/>
  <c r="CE158" i="69"/>
  <c r="BT158" i="69"/>
  <c r="CF158" i="69"/>
  <c r="BU158" i="69"/>
  <c r="CG158" i="69"/>
  <c r="BN107" i="69"/>
  <c r="BJ107" i="69"/>
  <c r="BK107" i="69"/>
  <c r="BL107" i="69"/>
  <c r="BM107" i="69"/>
  <c r="BJ153" i="69"/>
  <c r="BK153" i="69"/>
  <c r="BL153" i="69"/>
  <c r="BM153" i="69"/>
  <c r="BN153" i="69"/>
  <c r="BJ106" i="69"/>
  <c r="BK106" i="69"/>
  <c r="BL106" i="69"/>
  <c r="BM106" i="69"/>
  <c r="BN106" i="69"/>
  <c r="BJ105" i="69"/>
  <c r="BK105" i="69"/>
  <c r="BL105" i="69"/>
  <c r="BM105" i="69"/>
  <c r="BN105" i="69"/>
  <c r="BJ159" i="69"/>
  <c r="BK159" i="69"/>
  <c r="BL159" i="69"/>
  <c r="BM159" i="69"/>
  <c r="BN159" i="69"/>
  <c r="BJ104" i="69"/>
  <c r="BK104" i="69"/>
  <c r="BL104" i="69"/>
  <c r="BM104" i="69"/>
  <c r="BN104" i="69"/>
  <c r="BM150" i="69"/>
  <c r="BN150" i="69"/>
  <c r="BJ150" i="69"/>
  <c r="BK150" i="69"/>
  <c r="BL150" i="69"/>
  <c r="BL238" i="69"/>
  <c r="BM238" i="69"/>
  <c r="BN238" i="69"/>
  <c r="BJ238" i="69"/>
  <c r="BK238" i="69"/>
  <c r="BJ158" i="69"/>
  <c r="BK158" i="69"/>
  <c r="BL158" i="69"/>
  <c r="BM158" i="69"/>
  <c r="BN158" i="69"/>
  <c r="BE107" i="69"/>
  <c r="BF107" i="69"/>
  <c r="BG107" i="69"/>
  <c r="BH107" i="69"/>
  <c r="BI107" i="69"/>
  <c r="BE153" i="69"/>
  <c r="BF153" i="69"/>
  <c r="BG153" i="69"/>
  <c r="BH153" i="69"/>
  <c r="BI153" i="69"/>
  <c r="BE106" i="69"/>
  <c r="BF106" i="69"/>
  <c r="BG106" i="69"/>
  <c r="BH106" i="69"/>
  <c r="BI106" i="69"/>
  <c r="BE105" i="69"/>
  <c r="BF105" i="69"/>
  <c r="BG105" i="69"/>
  <c r="BH105" i="69"/>
  <c r="BI105" i="69"/>
  <c r="BE159" i="69"/>
  <c r="BF159" i="69"/>
  <c r="BG159" i="69"/>
  <c r="BH159" i="69"/>
  <c r="BI159" i="69"/>
  <c r="BE104" i="69"/>
  <c r="BF104" i="69"/>
  <c r="BG104" i="69"/>
  <c r="BH104" i="69"/>
  <c r="BI104" i="69"/>
  <c r="BE150" i="69"/>
  <c r="BF150" i="69"/>
  <c r="BG150" i="69"/>
  <c r="BH150" i="69"/>
  <c r="BI150" i="69"/>
  <c r="BH238" i="69"/>
  <c r="BE238" i="69"/>
  <c r="BF238" i="69"/>
  <c r="BG238" i="69"/>
  <c r="BI238" i="69"/>
  <c r="BE158" i="69"/>
  <c r="BF158" i="69"/>
  <c r="BG158" i="69"/>
  <c r="BH158" i="69"/>
  <c r="BI158" i="69"/>
  <c r="AI103" i="69"/>
  <c r="BH118" i="15"/>
  <c r="BH119" i="15"/>
  <c r="BC238" i="69"/>
  <c r="BD238" i="69"/>
  <c r="BC159" i="69"/>
  <c r="BD159" i="69"/>
  <c r="BC158" i="69"/>
  <c r="BD158" i="69"/>
  <c r="BC150" i="69"/>
  <c r="BD150" i="69"/>
  <c r="BC153" i="69"/>
  <c r="BD153" i="69"/>
  <c r="AI147" i="69"/>
  <c r="AH147" i="69"/>
  <c r="AN238" i="69"/>
  <c r="AV238" i="69"/>
  <c r="AO238" i="69"/>
  <c r="AW238" i="69"/>
  <c r="AP238" i="69"/>
  <c r="AX238" i="69"/>
  <c r="AQ238" i="69"/>
  <c r="AY238" i="69"/>
  <c r="BA238" i="69"/>
  <c r="AR238" i="69"/>
  <c r="AZ238" i="69"/>
  <c r="AS238" i="69"/>
  <c r="AT238" i="69"/>
  <c r="BB238" i="69"/>
  <c r="AU238" i="69"/>
  <c r="AR159" i="69"/>
  <c r="AZ159" i="69"/>
  <c r="AT159" i="69"/>
  <c r="BB159" i="69"/>
  <c r="AU159" i="69"/>
  <c r="AN159" i="69"/>
  <c r="AV159" i="69"/>
  <c r="AO159" i="69"/>
  <c r="AW159" i="69"/>
  <c r="AP159" i="69"/>
  <c r="AX159" i="69"/>
  <c r="AQ159" i="69"/>
  <c r="AS159" i="69"/>
  <c r="BA159" i="69"/>
  <c r="AY159" i="69"/>
  <c r="AT158" i="69"/>
  <c r="BB158" i="69"/>
  <c r="AN158" i="69"/>
  <c r="AV158" i="69"/>
  <c r="AO158" i="69"/>
  <c r="AW158" i="69"/>
  <c r="AP158" i="69"/>
  <c r="AX158" i="69"/>
  <c r="AQ158" i="69"/>
  <c r="AY158" i="69"/>
  <c r="AR158" i="69"/>
  <c r="AZ158" i="69"/>
  <c r="BA158" i="69"/>
  <c r="AS158" i="69"/>
  <c r="AU158" i="69"/>
  <c r="AH188" i="69"/>
  <c r="AI188" i="69"/>
  <c r="AI149" i="69"/>
  <c r="AH149" i="69"/>
  <c r="AI146" i="69"/>
  <c r="AH146" i="69"/>
  <c r="AL238" i="69"/>
  <c r="AK238" i="69"/>
  <c r="AM238" i="69"/>
  <c r="AL159" i="69"/>
  <c r="AM159" i="69"/>
  <c r="AK159" i="69"/>
  <c r="AL158" i="69"/>
  <c r="AM158" i="69"/>
  <c r="AK158" i="69"/>
  <c r="AH148" i="69"/>
  <c r="AI148" i="69"/>
  <c r="AQ150" i="69"/>
  <c r="AY150" i="69"/>
  <c r="AT150" i="69"/>
  <c r="BB150" i="69"/>
  <c r="AU150" i="69"/>
  <c r="AN150" i="69"/>
  <c r="AZ150" i="69"/>
  <c r="AP150" i="69"/>
  <c r="AR150" i="69"/>
  <c r="AS150" i="69"/>
  <c r="AV150" i="69"/>
  <c r="AW150" i="69"/>
  <c r="BA150" i="69"/>
  <c r="AO150" i="69"/>
  <c r="AX150" i="69"/>
  <c r="AL150" i="69"/>
  <c r="AM150" i="69"/>
  <c r="AK150" i="69"/>
  <c r="AK153" i="69"/>
  <c r="AM153" i="69"/>
  <c r="AL153" i="69"/>
  <c r="AS153" i="69"/>
  <c r="BA153" i="69"/>
  <c r="AN153" i="69"/>
  <c r="AV153" i="69"/>
  <c r="AO153" i="69"/>
  <c r="AW153" i="69"/>
  <c r="AY153" i="69"/>
  <c r="AP153" i="69"/>
  <c r="AZ153" i="69"/>
  <c r="AQ153" i="69"/>
  <c r="BB153" i="69"/>
  <c r="AR153" i="69"/>
  <c r="AT153" i="69"/>
  <c r="AX153" i="69"/>
  <c r="AU153" i="69"/>
  <c r="AO104" i="69"/>
  <c r="AK104" i="69"/>
  <c r="AL104" i="69"/>
  <c r="AN104" i="69"/>
  <c r="AM104" i="69"/>
  <c r="AW104" i="69"/>
  <c r="AP104" i="69"/>
  <c r="AX104" i="69"/>
  <c r="AQ104" i="69"/>
  <c r="AY104" i="69"/>
  <c r="BD104" i="69"/>
  <c r="AR104" i="69"/>
  <c r="AZ104" i="69"/>
  <c r="AS104" i="69"/>
  <c r="BA104" i="69"/>
  <c r="AV104" i="69"/>
  <c r="AT104" i="69"/>
  <c r="BB104" i="69"/>
  <c r="AU104" i="69"/>
  <c r="BC104" i="69"/>
  <c r="AQ107" i="69"/>
  <c r="AY107" i="69"/>
  <c r="AR107" i="69"/>
  <c r="AZ107" i="69"/>
  <c r="AS107" i="69"/>
  <c r="BA107" i="69"/>
  <c r="AT107" i="69"/>
  <c r="BB107" i="69"/>
  <c r="AU107" i="69"/>
  <c r="BC107" i="69"/>
  <c r="AV107" i="69"/>
  <c r="BD107" i="69"/>
  <c r="AP107" i="69"/>
  <c r="AW107" i="69"/>
  <c r="AX107" i="69"/>
  <c r="AK107" i="69"/>
  <c r="AL107" i="69"/>
  <c r="AM107" i="69"/>
  <c r="AN107" i="69"/>
  <c r="AO107" i="69"/>
  <c r="AS106" i="69"/>
  <c r="BA106" i="69"/>
  <c r="AT106" i="69"/>
  <c r="BB106" i="69"/>
  <c r="AU106" i="69"/>
  <c r="BC106" i="69"/>
  <c r="AR106" i="69"/>
  <c r="AV106" i="69"/>
  <c r="BD106" i="69"/>
  <c r="AW106" i="69"/>
  <c r="AZ106" i="69"/>
  <c r="AP106" i="69"/>
  <c r="AX106" i="69"/>
  <c r="AQ106" i="69"/>
  <c r="AY106" i="69"/>
  <c r="AK106" i="69"/>
  <c r="AL106" i="69"/>
  <c r="AM106" i="69"/>
  <c r="AN106" i="69"/>
  <c r="AO106" i="69"/>
  <c r="AU105" i="69"/>
  <c r="BC105" i="69"/>
  <c r="AV105" i="69"/>
  <c r="BD105" i="69"/>
  <c r="BB105" i="69"/>
  <c r="AW105" i="69"/>
  <c r="AP105" i="69"/>
  <c r="AX105" i="69"/>
  <c r="AQ105" i="69"/>
  <c r="AY105" i="69"/>
  <c r="AR105" i="69"/>
  <c r="AZ105" i="69"/>
  <c r="AS105" i="69"/>
  <c r="BA105" i="69"/>
  <c r="AT105" i="69"/>
  <c r="AM105" i="69"/>
  <c r="AL105" i="69"/>
  <c r="AN105" i="69"/>
  <c r="AO105" i="69"/>
  <c r="AK105" i="69"/>
  <c r="AI81" i="67"/>
  <c r="E206" i="69"/>
  <c r="AB206" i="69" s="1"/>
  <c r="AG157" i="43"/>
  <c r="E152" i="69"/>
  <c r="AB152" i="69" s="1"/>
  <c r="L53" i="49"/>
  <c r="N95" i="49"/>
  <c r="T95" i="49" s="1"/>
  <c r="BS37" i="47"/>
  <c r="BT37" i="47" s="1"/>
  <c r="R27" i="49"/>
  <c r="F95" i="60"/>
  <c r="G48" i="49"/>
  <c r="I183" i="57" s="1"/>
  <c r="I83" i="60" s="1"/>
  <c r="D27" i="49"/>
  <c r="T27" i="49" s="1"/>
  <c r="K128" i="57"/>
  <c r="D112" i="60"/>
  <c r="F112" i="60" s="1"/>
  <c r="G45" i="49"/>
  <c r="I180" i="57" s="1"/>
  <c r="I80" i="60" s="1"/>
  <c r="I53" i="49"/>
  <c r="AA115" i="68"/>
  <c r="AG137" i="43"/>
  <c r="J187" i="57"/>
  <c r="J91" i="60"/>
  <c r="J90" i="60"/>
  <c r="K182" i="57"/>
  <c r="K82" i="60" s="1"/>
  <c r="N97" i="49"/>
  <c r="T97" i="49" s="1"/>
  <c r="K83" i="60"/>
  <c r="G84" i="60"/>
  <c r="G81" i="60"/>
  <c r="F184" i="57"/>
  <c r="F84" i="60" s="1"/>
  <c r="D8" i="25"/>
  <c r="D7" i="25"/>
  <c r="D6" i="25"/>
  <c r="D9" i="25"/>
  <c r="C51" i="60"/>
  <c r="M11" i="31"/>
  <c r="I153" i="57" s="1"/>
  <c r="M28" i="31"/>
  <c r="I164" i="57" s="1"/>
  <c r="R49" i="49"/>
  <c r="V49" i="49" s="1"/>
  <c r="BT425" i="47"/>
  <c r="G85" i="60"/>
  <c r="F185" i="57"/>
  <c r="P185" i="57" s="1"/>
  <c r="E105" i="60"/>
  <c r="F105" i="60"/>
  <c r="D14" i="60"/>
  <c r="H127" i="57"/>
  <c r="G17" i="60"/>
  <c r="K92" i="49"/>
  <c r="Q92" i="49" s="1"/>
  <c r="T148" i="49"/>
  <c r="S119" i="49"/>
  <c r="N124" i="57"/>
  <c r="AE35" i="14"/>
  <c r="M35" i="14"/>
  <c r="AI13" i="14" s="1"/>
  <c r="AQ13" i="14"/>
  <c r="AJ13" i="14"/>
  <c r="AR13" i="14"/>
  <c r="I27" i="59"/>
  <c r="E124" i="57"/>
  <c r="BL350" i="47"/>
  <c r="BR349" i="47"/>
  <c r="BS346" i="47"/>
  <c r="BM350" i="47"/>
  <c r="O9" i="14"/>
  <c r="I35" i="14" s="1"/>
  <c r="P9" i="14"/>
  <c r="J35" i="14" s="1"/>
  <c r="BE71" i="69" l="1"/>
  <c r="BF71" i="69"/>
  <c r="BG71" i="69"/>
  <c r="BH71" i="69"/>
  <c r="BI71" i="69"/>
  <c r="BF74" i="69"/>
  <c r="BE74" i="69"/>
  <c r="BH74" i="69"/>
  <c r="BG74" i="69"/>
  <c r="BI74" i="69"/>
  <c r="BG65" i="69"/>
  <c r="BH65" i="69"/>
  <c r="BI65" i="69"/>
  <c r="BE65" i="69"/>
  <c r="BF65" i="69"/>
  <c r="BE72" i="69"/>
  <c r="BF72" i="69"/>
  <c r="BG72" i="69"/>
  <c r="BH72" i="69"/>
  <c r="BI72" i="69"/>
  <c r="BI70" i="69"/>
  <c r="BE70" i="69"/>
  <c r="BF70" i="69"/>
  <c r="BG70" i="69"/>
  <c r="BH70" i="69"/>
  <c r="BH73" i="69"/>
  <c r="BI73" i="69"/>
  <c r="BE73" i="69"/>
  <c r="BF73" i="69"/>
  <c r="BG73" i="69"/>
  <c r="AY72" i="69"/>
  <c r="AZ72" i="69"/>
  <c r="BB72" i="69"/>
  <c r="BA72" i="69"/>
  <c r="BC72" i="69"/>
  <c r="AT72" i="69"/>
  <c r="BD72" i="69"/>
  <c r="AP72" i="69"/>
  <c r="AU72" i="69"/>
  <c r="AQ72" i="69"/>
  <c r="AV72" i="69"/>
  <c r="AR72" i="69"/>
  <c r="AW72" i="69"/>
  <c r="AS72" i="69"/>
  <c r="AX72" i="69"/>
  <c r="AW70" i="69"/>
  <c r="AY70" i="69"/>
  <c r="AZ70" i="69"/>
  <c r="BA70" i="69"/>
  <c r="AP70" i="69"/>
  <c r="BB70" i="69"/>
  <c r="AT70" i="69"/>
  <c r="BC70" i="69"/>
  <c r="AQ70" i="69"/>
  <c r="BD70" i="69"/>
  <c r="AS70" i="69"/>
  <c r="AU70" i="69"/>
  <c r="AR70" i="69"/>
  <c r="AV70" i="69"/>
  <c r="AX70" i="69"/>
  <c r="AO72" i="69"/>
  <c r="AL72" i="69"/>
  <c r="AN72" i="69"/>
  <c r="AM72" i="69"/>
  <c r="AK72" i="69"/>
  <c r="AK70" i="69"/>
  <c r="AO70" i="69"/>
  <c r="AN70" i="69"/>
  <c r="AM70" i="69"/>
  <c r="AL70" i="69"/>
  <c r="BA73" i="69"/>
  <c r="BB73" i="69"/>
  <c r="BC73" i="69"/>
  <c r="BD73" i="69"/>
  <c r="AP73" i="69"/>
  <c r="AU73" i="69"/>
  <c r="AT73" i="69"/>
  <c r="AV73" i="69"/>
  <c r="AS73" i="69"/>
  <c r="AX73" i="69"/>
  <c r="AR73" i="69"/>
  <c r="AY73" i="69"/>
  <c r="AQ73" i="69"/>
  <c r="AZ73" i="69"/>
  <c r="AW73" i="69"/>
  <c r="AM73" i="69"/>
  <c r="AL73" i="69"/>
  <c r="AK73" i="69"/>
  <c r="AO73" i="69"/>
  <c r="AN73" i="69"/>
  <c r="AW71" i="69"/>
  <c r="AR71" i="69"/>
  <c r="AX71" i="69"/>
  <c r="AS71" i="69"/>
  <c r="AY71" i="69"/>
  <c r="AT71" i="69"/>
  <c r="AZ71" i="69"/>
  <c r="AP71" i="69"/>
  <c r="BA71" i="69"/>
  <c r="AQ71" i="69"/>
  <c r="BB71" i="69"/>
  <c r="BC71" i="69"/>
  <c r="BD71" i="69"/>
  <c r="AU71" i="69"/>
  <c r="AV71" i="69"/>
  <c r="AL71" i="69"/>
  <c r="AK71" i="69"/>
  <c r="AO71" i="69"/>
  <c r="AM71" i="69"/>
  <c r="AN71" i="69"/>
  <c r="BB74" i="69"/>
  <c r="AQ74" i="69"/>
  <c r="BC74" i="69"/>
  <c r="AP74" i="69"/>
  <c r="BD74" i="69"/>
  <c r="AU74" i="69"/>
  <c r="AV74" i="69"/>
  <c r="AW74" i="69"/>
  <c r="AY74" i="69"/>
  <c r="AX74" i="69"/>
  <c r="AR74" i="69"/>
  <c r="AZ74" i="69"/>
  <c r="AS74" i="69"/>
  <c r="BA74" i="69"/>
  <c r="AT74" i="69"/>
  <c r="BB65" i="69"/>
  <c r="AR65" i="69"/>
  <c r="BC65" i="69"/>
  <c r="AP65" i="69"/>
  <c r="BD65" i="69"/>
  <c r="AU65" i="69"/>
  <c r="AV65" i="69"/>
  <c r="AY65" i="69"/>
  <c r="AW65" i="69"/>
  <c r="AX65" i="69"/>
  <c r="AT65" i="69"/>
  <c r="AZ65" i="69"/>
  <c r="AS65" i="69"/>
  <c r="BA65" i="69"/>
  <c r="AQ65" i="69"/>
  <c r="AL74" i="69"/>
  <c r="AO74" i="69"/>
  <c r="AK74" i="69"/>
  <c r="AM74" i="69"/>
  <c r="AN74" i="69"/>
  <c r="AO65" i="69"/>
  <c r="AL65" i="69"/>
  <c r="AN65" i="69"/>
  <c r="AK65" i="69"/>
  <c r="AM65" i="69"/>
  <c r="G38" i="69"/>
  <c r="N38" i="69"/>
  <c r="G124" i="57"/>
  <c r="F124" i="57"/>
  <c r="BR148" i="69"/>
  <c r="CD148" i="69"/>
  <c r="BS148" i="69"/>
  <c r="CE148" i="69"/>
  <c r="BT148" i="69"/>
  <c r="CF148" i="69"/>
  <c r="BU148" i="69"/>
  <c r="CG148" i="69"/>
  <c r="BV148" i="69"/>
  <c r="CH148" i="69"/>
  <c r="BW148" i="69"/>
  <c r="BX148" i="69"/>
  <c r="BY148" i="69"/>
  <c r="BZ148" i="69"/>
  <c r="BO148" i="69"/>
  <c r="CA148" i="69"/>
  <c r="BP148" i="69"/>
  <c r="CB148" i="69"/>
  <c r="BQ148" i="69"/>
  <c r="CC148" i="69"/>
  <c r="BV146" i="69"/>
  <c r="CH146" i="69"/>
  <c r="BW146" i="69"/>
  <c r="BX146" i="69"/>
  <c r="BY146" i="69"/>
  <c r="BZ146" i="69"/>
  <c r="BO146" i="69"/>
  <c r="CA146" i="69"/>
  <c r="BP146" i="69"/>
  <c r="CB146" i="69"/>
  <c r="BQ146" i="69"/>
  <c r="CC146" i="69"/>
  <c r="BR146" i="69"/>
  <c r="CD146" i="69"/>
  <c r="BS146" i="69"/>
  <c r="CE146" i="69"/>
  <c r="BT146" i="69"/>
  <c r="CF146" i="69"/>
  <c r="BU146" i="69"/>
  <c r="CG146" i="69"/>
  <c r="BV149" i="69"/>
  <c r="CH149" i="69"/>
  <c r="BW149" i="69"/>
  <c r="BX149" i="69"/>
  <c r="BY149" i="69"/>
  <c r="BZ149" i="69"/>
  <c r="BO149" i="69"/>
  <c r="CA149" i="69"/>
  <c r="BP149" i="69"/>
  <c r="CB149" i="69"/>
  <c r="BQ149" i="69"/>
  <c r="CC149" i="69"/>
  <c r="BR149" i="69"/>
  <c r="CD149" i="69"/>
  <c r="BS149" i="69"/>
  <c r="CE149" i="69"/>
  <c r="BT149" i="69"/>
  <c r="CF149" i="69"/>
  <c r="BU149" i="69"/>
  <c r="CG149" i="69"/>
  <c r="BY188" i="69"/>
  <c r="BM89" i="57" s="1"/>
  <c r="BZ188" i="69"/>
  <c r="BN89" i="57" s="1"/>
  <c r="BO188" i="69"/>
  <c r="BC89" i="57" s="1"/>
  <c r="CA188" i="69"/>
  <c r="BO89" i="57" s="1"/>
  <c r="BP188" i="69"/>
  <c r="BD89" i="57" s="1"/>
  <c r="CB188" i="69"/>
  <c r="BP89" i="57" s="1"/>
  <c r="BQ188" i="69"/>
  <c r="BE89" i="57" s="1"/>
  <c r="CC188" i="69"/>
  <c r="BQ89" i="57" s="1"/>
  <c r="BR188" i="69"/>
  <c r="BF89" i="57" s="1"/>
  <c r="CD188" i="69"/>
  <c r="BR89" i="57" s="1"/>
  <c r="BS188" i="69"/>
  <c r="BG89" i="57" s="1"/>
  <c r="CE188" i="69"/>
  <c r="BS89" i="57" s="1"/>
  <c r="BT188" i="69"/>
  <c r="BH89" i="57" s="1"/>
  <c r="CF188" i="69"/>
  <c r="BT89" i="57" s="1"/>
  <c r="BU188" i="69"/>
  <c r="BI89" i="57" s="1"/>
  <c r="CG188" i="69"/>
  <c r="BU89" i="57" s="1"/>
  <c r="BV188" i="69"/>
  <c r="BJ89" i="57" s="1"/>
  <c r="CH188" i="69"/>
  <c r="BV89" i="57" s="1"/>
  <c r="BW188" i="69"/>
  <c r="BK89" i="57" s="1"/>
  <c r="BX188" i="69"/>
  <c r="BL89" i="57" s="1"/>
  <c r="BZ147" i="69"/>
  <c r="BO147" i="69"/>
  <c r="CA147" i="69"/>
  <c r="BP147" i="69"/>
  <c r="CB147" i="69"/>
  <c r="BQ147" i="69"/>
  <c r="CC147" i="69"/>
  <c r="BR147" i="69"/>
  <c r="CD147" i="69"/>
  <c r="BS147" i="69"/>
  <c r="CE147" i="69"/>
  <c r="BT147" i="69"/>
  <c r="CF147" i="69"/>
  <c r="BU147" i="69"/>
  <c r="CG147" i="69"/>
  <c r="BV147" i="69"/>
  <c r="CH147" i="69"/>
  <c r="BW147" i="69"/>
  <c r="BX147" i="69"/>
  <c r="BY147" i="69"/>
  <c r="BZ103" i="69"/>
  <c r="BN86" i="57" s="1"/>
  <c r="BO103" i="69"/>
  <c r="BC86" i="57" s="1"/>
  <c r="CA103" i="69"/>
  <c r="BO86" i="57" s="1"/>
  <c r="BP103" i="69"/>
  <c r="BD86" i="57" s="1"/>
  <c r="CB103" i="69"/>
  <c r="BP86" i="57" s="1"/>
  <c r="BQ103" i="69"/>
  <c r="BE86" i="57" s="1"/>
  <c r="CC103" i="69"/>
  <c r="BQ86" i="57" s="1"/>
  <c r="BR103" i="69"/>
  <c r="BF86" i="57" s="1"/>
  <c r="CD103" i="69"/>
  <c r="BR86" i="57" s="1"/>
  <c r="BS103" i="69"/>
  <c r="BG86" i="57" s="1"/>
  <c r="CE103" i="69"/>
  <c r="BS86" i="57" s="1"/>
  <c r="BT103" i="69"/>
  <c r="BH86" i="57" s="1"/>
  <c r="CF103" i="69"/>
  <c r="BT86" i="57" s="1"/>
  <c r="BU103" i="69"/>
  <c r="BI86" i="57" s="1"/>
  <c r="CG103" i="69"/>
  <c r="BU86" i="57" s="1"/>
  <c r="BV103" i="69"/>
  <c r="BJ86" i="57" s="1"/>
  <c r="CH103" i="69"/>
  <c r="BV86" i="57" s="1"/>
  <c r="BW103" i="69"/>
  <c r="BK86" i="57" s="1"/>
  <c r="BX103" i="69"/>
  <c r="BL86" i="57" s="1"/>
  <c r="BY103" i="69"/>
  <c r="BM86" i="57" s="1"/>
  <c r="BC103" i="69"/>
  <c r="AQ86" i="57" s="1"/>
  <c r="BJ103" i="69"/>
  <c r="AX86" i="57" s="1"/>
  <c r="BK103" i="69"/>
  <c r="AY86" i="57" s="1"/>
  <c r="BL103" i="69"/>
  <c r="AZ86" i="57" s="1"/>
  <c r="BM103" i="69"/>
  <c r="BA86" i="57" s="1"/>
  <c r="BN103" i="69"/>
  <c r="BB86" i="57" s="1"/>
  <c r="BJ148" i="69"/>
  <c r="BK148" i="69"/>
  <c r="BL148" i="69"/>
  <c r="BM148" i="69"/>
  <c r="BN148" i="69"/>
  <c r="BJ146" i="69"/>
  <c r="BK146" i="69"/>
  <c r="BL146" i="69"/>
  <c r="BM146" i="69"/>
  <c r="BN146" i="69"/>
  <c r="BN149" i="69"/>
  <c r="BJ149" i="69"/>
  <c r="BK149" i="69"/>
  <c r="BL149" i="69"/>
  <c r="BM149" i="69"/>
  <c r="BK188" i="69"/>
  <c r="AY89" i="57" s="1"/>
  <c r="BL188" i="69"/>
  <c r="AZ89" i="57" s="1"/>
  <c r="BM188" i="69"/>
  <c r="BA89" i="57" s="1"/>
  <c r="BN188" i="69"/>
  <c r="BB89" i="57" s="1"/>
  <c r="BJ188" i="69"/>
  <c r="AX89" i="57" s="1"/>
  <c r="BJ147" i="69"/>
  <c r="BK147" i="69"/>
  <c r="BL147" i="69"/>
  <c r="BM147" i="69"/>
  <c r="BN147" i="69"/>
  <c r="AL103" i="69"/>
  <c r="Z86" i="57" s="1"/>
  <c r="AM103" i="69"/>
  <c r="AA86" i="57" s="1"/>
  <c r="BB103" i="69"/>
  <c r="AP86" i="57" s="1"/>
  <c r="AT103" i="69"/>
  <c r="AH86" i="57" s="1"/>
  <c r="AN103" i="69"/>
  <c r="AB86" i="57" s="1"/>
  <c r="AU103" i="69"/>
  <c r="AI86" i="57" s="1"/>
  <c r="AK103" i="69"/>
  <c r="BA103" i="69"/>
  <c r="AO86" i="57" s="1"/>
  <c r="AS103" i="69"/>
  <c r="AG86" i="57" s="1"/>
  <c r="AZ103" i="69"/>
  <c r="AN86" i="57" s="1"/>
  <c r="AR103" i="69"/>
  <c r="AF86" i="57" s="1"/>
  <c r="AX103" i="69"/>
  <c r="AL86" i="57" s="1"/>
  <c r="AP103" i="69"/>
  <c r="AD86" i="57" s="1"/>
  <c r="AW103" i="69"/>
  <c r="AK86" i="57" s="1"/>
  <c r="AY103" i="69"/>
  <c r="AM86" i="57" s="1"/>
  <c r="BD103" i="69"/>
  <c r="AR86" i="57" s="1"/>
  <c r="AQ103" i="69"/>
  <c r="AE86" i="57" s="1"/>
  <c r="AV103" i="69"/>
  <c r="AJ86" i="57" s="1"/>
  <c r="AO103" i="69"/>
  <c r="AC86" i="57" s="1"/>
  <c r="BE148" i="69"/>
  <c r="BF148" i="69"/>
  <c r="BG148" i="69"/>
  <c r="BH148" i="69"/>
  <c r="BI148" i="69"/>
  <c r="BE146" i="69"/>
  <c r="BF146" i="69"/>
  <c r="BG146" i="69"/>
  <c r="BH146" i="69"/>
  <c r="BI146" i="69"/>
  <c r="BE149" i="69"/>
  <c r="BF149" i="69"/>
  <c r="BG149" i="69"/>
  <c r="BH149" i="69"/>
  <c r="BI149" i="69"/>
  <c r="BG188" i="69"/>
  <c r="AU89" i="57" s="1"/>
  <c r="BH188" i="69"/>
  <c r="AV89" i="57" s="1"/>
  <c r="BI188" i="69"/>
  <c r="AW89" i="57" s="1"/>
  <c r="BE188" i="69"/>
  <c r="AS89" i="57" s="1"/>
  <c r="BF188" i="69"/>
  <c r="AT89" i="57" s="1"/>
  <c r="BE147" i="69"/>
  <c r="BF147" i="69"/>
  <c r="BG147" i="69"/>
  <c r="BH147" i="69"/>
  <c r="BI147" i="69"/>
  <c r="BE103" i="69"/>
  <c r="AS86" i="57" s="1"/>
  <c r="BF103" i="69"/>
  <c r="AT86" i="57" s="1"/>
  <c r="BG103" i="69"/>
  <c r="AU86" i="57" s="1"/>
  <c r="BH103" i="69"/>
  <c r="AV86" i="57" s="1"/>
  <c r="BI103" i="69"/>
  <c r="AW86" i="57" s="1"/>
  <c r="BC146" i="69"/>
  <c r="BD146" i="69"/>
  <c r="BC149" i="69"/>
  <c r="BD149" i="69"/>
  <c r="BC188" i="69"/>
  <c r="BD188" i="69"/>
  <c r="BC147" i="69"/>
  <c r="BD147" i="69"/>
  <c r="BC148" i="69"/>
  <c r="BD148" i="69"/>
  <c r="AL188" i="69"/>
  <c r="AK188" i="69"/>
  <c r="AM188" i="69"/>
  <c r="AK148" i="69"/>
  <c r="AM148" i="69"/>
  <c r="AL148" i="69"/>
  <c r="AK146" i="69"/>
  <c r="AL146" i="69"/>
  <c r="AM146" i="69"/>
  <c r="AU146" i="69"/>
  <c r="AV146" i="69"/>
  <c r="AW146" i="69"/>
  <c r="AQ146" i="69"/>
  <c r="AY146" i="69"/>
  <c r="AR146" i="69"/>
  <c r="AZ146" i="69"/>
  <c r="AS146" i="69"/>
  <c r="AX146" i="69"/>
  <c r="BA146" i="69"/>
  <c r="BB146" i="69"/>
  <c r="AP146" i="69"/>
  <c r="AT146" i="69"/>
  <c r="AO146" i="69"/>
  <c r="AN146" i="69"/>
  <c r="AL149" i="69"/>
  <c r="AK149" i="69"/>
  <c r="AM149" i="69"/>
  <c r="AR148" i="69"/>
  <c r="AZ148" i="69"/>
  <c r="AS148" i="69"/>
  <c r="BA148" i="69"/>
  <c r="AT148" i="69"/>
  <c r="BB148" i="69"/>
  <c r="AV148" i="69"/>
  <c r="AW148" i="69"/>
  <c r="AP148" i="69"/>
  <c r="AQ148" i="69"/>
  <c r="AU148" i="69"/>
  <c r="AX148" i="69"/>
  <c r="AY148" i="69"/>
  <c r="AN148" i="69"/>
  <c r="AO148" i="69"/>
  <c r="AI206" i="69"/>
  <c r="AH206" i="69"/>
  <c r="AQ149" i="69"/>
  <c r="AX149" i="69"/>
  <c r="AP149" i="69"/>
  <c r="AO149" i="69"/>
  <c r="AN149" i="69"/>
  <c r="AU149" i="69"/>
  <c r="AV149" i="69"/>
  <c r="BB149" i="69"/>
  <c r="BA149" i="69"/>
  <c r="AT149" i="69"/>
  <c r="AS149" i="69"/>
  <c r="AY149" i="69"/>
  <c r="AZ149" i="69"/>
  <c r="AR149" i="69"/>
  <c r="AW149" i="69"/>
  <c r="AK147" i="69"/>
  <c r="AL147" i="69"/>
  <c r="AM147" i="69"/>
  <c r="AH152" i="69"/>
  <c r="AI152" i="69"/>
  <c r="AR188" i="69"/>
  <c r="AZ188" i="69"/>
  <c r="AS188" i="69"/>
  <c r="BA188" i="69"/>
  <c r="AQ188" i="69"/>
  <c r="AT188" i="69"/>
  <c r="AU188" i="69"/>
  <c r="AV188" i="69"/>
  <c r="AX188" i="69"/>
  <c r="AY188" i="69"/>
  <c r="AW188" i="69"/>
  <c r="BB188" i="69"/>
  <c r="AP188" i="69"/>
  <c r="AN188" i="69"/>
  <c r="AO188" i="69"/>
  <c r="AT147" i="69"/>
  <c r="AS147" i="69"/>
  <c r="AV147" i="69"/>
  <c r="AU147" i="69"/>
  <c r="AN147" i="69"/>
  <c r="AY147" i="69"/>
  <c r="AX147" i="69"/>
  <c r="BA147" i="69"/>
  <c r="AQ147" i="69"/>
  <c r="AP147" i="69"/>
  <c r="BB147" i="69"/>
  <c r="AZ147" i="69"/>
  <c r="AO147" i="69"/>
  <c r="AW147" i="69"/>
  <c r="AR147" i="69"/>
  <c r="L95" i="49"/>
  <c r="R95" i="49" s="1"/>
  <c r="L98" i="49"/>
  <c r="R98" i="49" s="1"/>
  <c r="I87" i="60"/>
  <c r="I91" i="60" s="1"/>
  <c r="AC115" i="68"/>
  <c r="R28" i="49"/>
  <c r="E112" i="60"/>
  <c r="I187" i="57"/>
  <c r="G53" i="49"/>
  <c r="I126" i="57" s="1"/>
  <c r="V27" i="49"/>
  <c r="K127" i="57"/>
  <c r="N92" i="49"/>
  <c r="T92" i="49" s="1"/>
  <c r="K187" i="57"/>
  <c r="K87" i="60"/>
  <c r="K90" i="60" s="1"/>
  <c r="P184" i="57"/>
  <c r="P84" i="60" s="1"/>
  <c r="E14" i="60"/>
  <c r="C36" i="60" s="1"/>
  <c r="C66" i="60"/>
  <c r="P28" i="31"/>
  <c r="L164" i="57" s="1"/>
  <c r="P11" i="31"/>
  <c r="F85" i="60"/>
  <c r="B66" i="60"/>
  <c r="B36" i="60"/>
  <c r="B51" i="60"/>
  <c r="Q46" i="49"/>
  <c r="U46" i="49" s="1"/>
  <c r="O124" i="57"/>
  <c r="P124" i="57" s="1"/>
  <c r="N14" i="60"/>
  <c r="BN350" i="47"/>
  <c r="BS347" i="47"/>
  <c r="BT347" i="47" s="1"/>
  <c r="BT346" i="47"/>
  <c r="BQ349" i="47"/>
  <c r="BN347" i="47"/>
  <c r="I9" i="25"/>
  <c r="BD119" i="15"/>
  <c r="I8" i="25"/>
  <c r="BD118" i="15"/>
  <c r="BD117" i="15"/>
  <c r="Z18" i="23"/>
  <c r="Z19" i="23"/>
  <c r="Z21" i="23"/>
  <c r="Z22" i="23"/>
  <c r="Z24" i="23"/>
  <c r="Z25" i="23"/>
  <c r="Z27" i="23"/>
  <c r="Z28" i="23"/>
  <c r="Z29" i="23"/>
  <c r="Z16" i="23"/>
  <c r="F12" i="23"/>
  <c r="E12" i="23"/>
  <c r="E16" i="23"/>
  <c r="J13" i="23"/>
  <c r="J12" i="23"/>
  <c r="H13" i="23"/>
  <c r="H12" i="23"/>
  <c r="L12" i="23" s="1"/>
  <c r="D12" i="23"/>
  <c r="C13" i="23"/>
  <c r="D52" i="69" s="1"/>
  <c r="C14" i="23"/>
  <c r="D53" i="69" s="1"/>
  <c r="C15" i="23"/>
  <c r="C12" i="23"/>
  <c r="AU71" i="15"/>
  <c r="J19" i="23" s="1"/>
  <c r="AU73" i="15"/>
  <c r="J21" i="23" s="1"/>
  <c r="AU75" i="15"/>
  <c r="J22" i="23" s="1"/>
  <c r="AU77" i="15"/>
  <c r="J24" i="23" s="1"/>
  <c r="AU79" i="15"/>
  <c r="J25" i="23" s="1"/>
  <c r="AU81" i="15"/>
  <c r="J27" i="23" s="1"/>
  <c r="AS71" i="15"/>
  <c r="BH71" i="15" s="1"/>
  <c r="AS73" i="15"/>
  <c r="BH73" i="15" s="1"/>
  <c r="AS75" i="15"/>
  <c r="BH75" i="15" s="1"/>
  <c r="AS77" i="15"/>
  <c r="BH77" i="15" s="1"/>
  <c r="AS79" i="15"/>
  <c r="BH79" i="15" s="1"/>
  <c r="AS81" i="15"/>
  <c r="BH81" i="15" s="1"/>
  <c r="L15" i="23" l="1"/>
  <c r="AW59" i="15" s="1"/>
  <c r="D54" i="69"/>
  <c r="D51" i="69"/>
  <c r="P9" i="23"/>
  <c r="Q9" i="23" s="1"/>
  <c r="R9" i="23" s="1"/>
  <c r="O44" i="23" s="1"/>
  <c r="P10" i="23"/>
  <c r="Q10" i="23" s="1"/>
  <c r="N45" i="23" s="1"/>
  <c r="Y86" i="57"/>
  <c r="F24" i="23"/>
  <c r="H24" i="23"/>
  <c r="F21" i="23"/>
  <c r="H21" i="23"/>
  <c r="F22" i="23"/>
  <c r="H22" i="23"/>
  <c r="F19" i="23"/>
  <c r="H19" i="23"/>
  <c r="L19" i="23" s="1"/>
  <c r="F27" i="23"/>
  <c r="H27" i="23"/>
  <c r="L27" i="23" s="1"/>
  <c r="F25" i="23"/>
  <c r="H25" i="23"/>
  <c r="P8" i="23"/>
  <c r="Q8" i="23" s="1"/>
  <c r="N43" i="23" s="1"/>
  <c r="L13" i="23"/>
  <c r="BV152" i="69"/>
  <c r="CH152" i="69"/>
  <c r="BW152" i="69"/>
  <c r="BX152" i="69"/>
  <c r="BY152" i="69"/>
  <c r="BZ152" i="69"/>
  <c r="BO152" i="69"/>
  <c r="CA152" i="69"/>
  <c r="BP152" i="69"/>
  <c r="CB152" i="69"/>
  <c r="BQ152" i="69"/>
  <c r="CC152" i="69"/>
  <c r="BR152" i="69"/>
  <c r="CD152" i="69"/>
  <c r="BS152" i="69"/>
  <c r="CE152" i="69"/>
  <c r="BT152" i="69"/>
  <c r="CF152" i="69"/>
  <c r="BU152" i="69"/>
  <c r="CG152" i="69"/>
  <c r="BY206" i="69"/>
  <c r="BZ206" i="69"/>
  <c r="BO206" i="69"/>
  <c r="CA206" i="69"/>
  <c r="BP206" i="69"/>
  <c r="CB206" i="69"/>
  <c r="BQ206" i="69"/>
  <c r="CC206" i="69"/>
  <c r="BR206" i="69"/>
  <c r="CD206" i="69"/>
  <c r="BS206" i="69"/>
  <c r="CE206" i="69"/>
  <c r="BT206" i="69"/>
  <c r="CF206" i="69"/>
  <c r="BU206" i="69"/>
  <c r="CG206" i="69"/>
  <c r="BV206" i="69"/>
  <c r="CH206" i="69"/>
  <c r="BW206" i="69"/>
  <c r="BX206" i="69"/>
  <c r="BK152" i="69"/>
  <c r="BL152" i="69"/>
  <c r="BM152" i="69"/>
  <c r="BN152" i="69"/>
  <c r="BJ152" i="69"/>
  <c r="BJ206" i="69"/>
  <c r="BK206" i="69"/>
  <c r="BL206" i="69"/>
  <c r="BM206" i="69"/>
  <c r="BN206" i="69"/>
  <c r="BH206" i="69"/>
  <c r="BE206" i="69"/>
  <c r="BF206" i="69"/>
  <c r="BG206" i="69"/>
  <c r="BI206" i="69"/>
  <c r="BE152" i="69"/>
  <c r="BF152" i="69"/>
  <c r="BG152" i="69"/>
  <c r="BH152" i="69"/>
  <c r="BI152" i="69"/>
  <c r="BC206" i="69"/>
  <c r="BD206" i="69"/>
  <c r="BC152" i="69"/>
  <c r="BD152" i="69"/>
  <c r="AU152" i="69"/>
  <c r="AP152" i="69"/>
  <c r="AX152" i="69"/>
  <c r="AQ152" i="69"/>
  <c r="AY152" i="69"/>
  <c r="AO152" i="69"/>
  <c r="BB152" i="69"/>
  <c r="AS152" i="69"/>
  <c r="AT152" i="69"/>
  <c r="AV152" i="69"/>
  <c r="AW152" i="69"/>
  <c r="AZ152" i="69"/>
  <c r="AN152" i="69"/>
  <c r="BA152" i="69"/>
  <c r="AR152" i="69"/>
  <c r="AM152" i="69"/>
  <c r="AK152" i="69"/>
  <c r="AL152" i="69"/>
  <c r="AK206" i="69"/>
  <c r="AM206" i="69"/>
  <c r="AL206" i="69"/>
  <c r="AP206" i="69"/>
  <c r="AX206" i="69"/>
  <c r="AQ206" i="69"/>
  <c r="AY206" i="69"/>
  <c r="AR206" i="69"/>
  <c r="AZ206" i="69"/>
  <c r="AS206" i="69"/>
  <c r="BA206" i="69"/>
  <c r="AU206" i="69"/>
  <c r="AN206" i="69"/>
  <c r="AV206" i="69"/>
  <c r="AT206" i="69"/>
  <c r="AW206" i="69"/>
  <c r="BB206" i="69"/>
  <c r="AO206" i="69"/>
  <c r="I90" i="60"/>
  <c r="H16" i="60"/>
  <c r="K91" i="60"/>
  <c r="L153" i="57"/>
  <c r="K7" i="59"/>
  <c r="K7" i="49"/>
  <c r="D46" i="49"/>
  <c r="T46" i="49" s="1"/>
  <c r="O14" i="60"/>
  <c r="BS349" i="47"/>
  <c r="R46" i="49" s="1"/>
  <c r="V46" i="49" s="1"/>
  <c r="W8" i="23"/>
  <c r="X8" i="23"/>
  <c r="K13" i="23"/>
  <c r="K12" i="23"/>
  <c r="M53" i="15"/>
  <c r="I54" i="15"/>
  <c r="I53" i="15"/>
  <c r="G54" i="15"/>
  <c r="G53" i="15"/>
  <c r="M15" i="23" l="1"/>
  <c r="K19" i="23"/>
  <c r="K24" i="23"/>
  <c r="L24" i="23"/>
  <c r="K21" i="23"/>
  <c r="L21" i="23"/>
  <c r="K22" i="23"/>
  <c r="L22" i="23"/>
  <c r="M19" i="23"/>
  <c r="N19" i="23"/>
  <c r="M27" i="23"/>
  <c r="N27" i="23"/>
  <c r="K25" i="23"/>
  <c r="L25" i="23"/>
  <c r="K27" i="23"/>
  <c r="M13" i="23"/>
  <c r="AW57" i="15"/>
  <c r="R8" i="23"/>
  <c r="O43" i="23" s="1"/>
  <c r="N51" i="69" s="1"/>
  <c r="M12" i="23"/>
  <c r="AW56" i="15"/>
  <c r="N44" i="23"/>
  <c r="N52" i="69" s="1"/>
  <c r="N12" i="23"/>
  <c r="N13" i="23"/>
  <c r="R10" i="23"/>
  <c r="O45" i="23" s="1"/>
  <c r="N53" i="69" s="1"/>
  <c r="S10" i="23"/>
  <c r="J45" i="23" s="1"/>
  <c r="T9" i="23"/>
  <c r="K44" i="23" s="1"/>
  <c r="S9" i="23"/>
  <c r="J44" i="23" s="1"/>
  <c r="F181" i="57"/>
  <c r="P181" i="57" s="1"/>
  <c r="AX13" i="23"/>
  <c r="AY13" i="23"/>
  <c r="BT349" i="47"/>
  <c r="Y8" i="23"/>
  <c r="AP42" i="23" s="1"/>
  <c r="AQ13" i="23"/>
  <c r="AP13" i="23"/>
  <c r="H12" i="14"/>
  <c r="J14" i="14"/>
  <c r="J15" i="14"/>
  <c r="J12" i="14"/>
  <c r="J17" i="14"/>
  <c r="J18" i="14"/>
  <c r="J19" i="14"/>
  <c r="J20" i="14"/>
  <c r="J21" i="14"/>
  <c r="J22" i="14"/>
  <c r="J23" i="14"/>
  <c r="J24" i="14"/>
  <c r="J25" i="14"/>
  <c r="J16" i="14"/>
  <c r="O65" i="14"/>
  <c r="O66" i="14"/>
  <c r="O67" i="14"/>
  <c r="AU25" i="15"/>
  <c r="AU26" i="15"/>
  <c r="AU27" i="15"/>
  <c r="AU28" i="15"/>
  <c r="AU29" i="15"/>
  <c r="AU30" i="15"/>
  <c r="AU31" i="15"/>
  <c r="AU32" i="15"/>
  <c r="AU33" i="15"/>
  <c r="AU34" i="15"/>
  <c r="M17" i="14"/>
  <c r="M18" i="14"/>
  <c r="M19" i="14"/>
  <c r="AM41" i="14" s="1"/>
  <c r="M20" i="14"/>
  <c r="AI42" i="14" s="1"/>
  <c r="M21" i="14"/>
  <c r="AE43" i="14" s="1"/>
  <c r="M22" i="14"/>
  <c r="M23" i="14"/>
  <c r="AE45" i="14" s="1"/>
  <c r="M24" i="14"/>
  <c r="AE46" i="14" s="1"/>
  <c r="M25" i="14"/>
  <c r="AM47" i="14" s="1"/>
  <c r="G52" i="69" l="1"/>
  <c r="I44" i="23"/>
  <c r="Q44" i="23" s="1"/>
  <c r="H44" i="23"/>
  <c r="M24" i="23"/>
  <c r="N24" i="23"/>
  <c r="M21" i="23"/>
  <c r="N21" i="23"/>
  <c r="M22" i="23"/>
  <c r="N22" i="23"/>
  <c r="M25" i="23"/>
  <c r="N25" i="23"/>
  <c r="W67" i="14"/>
  <c r="U67" i="14"/>
  <c r="V67" i="14"/>
  <c r="P67" i="14"/>
  <c r="Q67" i="14" s="1"/>
  <c r="U66" i="14"/>
  <c r="V66" i="14"/>
  <c r="W66" i="14"/>
  <c r="P66" i="14"/>
  <c r="Q66" i="14" s="1"/>
  <c r="V65" i="14"/>
  <c r="W65" i="14"/>
  <c r="P65" i="14"/>
  <c r="Q65" i="14" s="1"/>
  <c r="U65" i="14"/>
  <c r="P81" i="60"/>
  <c r="F81" i="60"/>
  <c r="S8" i="14"/>
  <c r="AO42" i="23"/>
  <c r="T37" i="14"/>
  <c r="S37" i="14"/>
  <c r="T36" i="14"/>
  <c r="S36" i="14"/>
  <c r="AS13" i="23"/>
  <c r="AR13" i="23"/>
  <c r="AH34" i="14"/>
  <c r="AI35" i="14"/>
  <c r="AM35" i="14"/>
  <c r="AI47" i="14"/>
  <c r="AI41" i="14"/>
  <c r="AM46" i="14"/>
  <c r="AE42" i="14"/>
  <c r="AE41" i="14"/>
  <c r="AM45" i="14"/>
  <c r="AE47" i="14"/>
  <c r="AI46" i="14"/>
  <c r="AM43" i="14"/>
  <c r="AM44" i="14"/>
  <c r="AI45" i="14"/>
  <c r="AM42" i="14"/>
  <c r="AI43" i="14"/>
  <c r="F52" i="69" l="1"/>
  <c r="P44" i="23"/>
  <c r="R44" i="23" s="1"/>
  <c r="U36" i="14"/>
  <c r="U37" i="14"/>
  <c r="X57" i="15"/>
  <c r="W57" i="15" l="1"/>
  <c r="E52" i="69"/>
  <c r="AB52" i="69" s="1"/>
  <c r="Z57" i="15"/>
  <c r="C14" i="14"/>
  <c r="C12" i="14"/>
  <c r="E107" i="16"/>
  <c r="E310" i="16"/>
  <c r="AI52" i="69" l="1"/>
  <c r="BA52" i="69" s="1"/>
  <c r="AH52" i="69"/>
  <c r="BX52" i="69"/>
  <c r="BY52" i="69"/>
  <c r="BZ52" i="69"/>
  <c r="BO52" i="69"/>
  <c r="CA52" i="69"/>
  <c r="BP52" i="69"/>
  <c r="CB52" i="69"/>
  <c r="BQ52" i="69"/>
  <c r="CC52" i="69"/>
  <c r="BR52" i="69"/>
  <c r="CD52" i="69"/>
  <c r="BS52" i="69"/>
  <c r="CE52" i="69"/>
  <c r="BT52" i="69"/>
  <c r="CF52" i="69"/>
  <c r="BU52" i="69"/>
  <c r="CG52" i="69"/>
  <c r="BV52" i="69"/>
  <c r="CH52" i="69"/>
  <c r="BW52" i="69"/>
  <c r="BK52" i="69"/>
  <c r="BL52" i="69"/>
  <c r="BM52" i="69"/>
  <c r="BN52" i="69"/>
  <c r="BJ52" i="69"/>
  <c r="BG52" i="69"/>
  <c r="BH52" i="69"/>
  <c r="BI52" i="69"/>
  <c r="I686" i="16"/>
  <c r="C65" i="14"/>
  <c r="C66" i="14"/>
  <c r="C67" i="14"/>
  <c r="C64" i="14"/>
  <c r="C35" i="14"/>
  <c r="C36" i="14"/>
  <c r="C37" i="14"/>
  <c r="C34" i="14"/>
  <c r="C13" i="14"/>
  <c r="C15" i="14"/>
  <c r="D65" i="14"/>
  <c r="D66" i="14"/>
  <c r="D67" i="14"/>
  <c r="H13" i="14"/>
  <c r="S9" i="14" s="1"/>
  <c r="H14" i="14"/>
  <c r="H15" i="14"/>
  <c r="G13" i="14"/>
  <c r="G14" i="14"/>
  <c r="G15" i="14"/>
  <c r="G12" i="14"/>
  <c r="AG34" i="14" s="1"/>
  <c r="F13" i="14"/>
  <c r="AF35" i="14" s="1"/>
  <c r="F14" i="14"/>
  <c r="F15" i="14"/>
  <c r="F12" i="14"/>
  <c r="AF34" i="14" s="1"/>
  <c r="BD52" i="69" l="1"/>
  <c r="AQ52" i="69"/>
  <c r="BC52" i="69"/>
  <c r="BF52" i="69"/>
  <c r="AO52" i="69"/>
  <c r="AV52" i="69"/>
  <c r="AN52" i="69"/>
  <c r="AZ52" i="69"/>
  <c r="AW52" i="69"/>
  <c r="BB52" i="69"/>
  <c r="BE52" i="69"/>
  <c r="AP52" i="69"/>
  <c r="AX52" i="69"/>
  <c r="AU52" i="69"/>
  <c r="AK52" i="69"/>
  <c r="AM52" i="69"/>
  <c r="AR52" i="69"/>
  <c r="AS52" i="69"/>
  <c r="AY52" i="69"/>
  <c r="AT52" i="69"/>
  <c r="AL52" i="69"/>
  <c r="L67" i="14"/>
  <c r="K67" i="14"/>
  <c r="J67" i="14"/>
  <c r="E67" i="14"/>
  <c r="F67" i="14" s="1"/>
  <c r="L66" i="14"/>
  <c r="E66" i="14"/>
  <c r="F66" i="14" s="1"/>
  <c r="K66" i="14"/>
  <c r="J66" i="14"/>
  <c r="J65" i="14"/>
  <c r="K65" i="14"/>
  <c r="E65" i="14"/>
  <c r="F65" i="14" s="1"/>
  <c r="L65" i="14"/>
  <c r="AF13" i="14"/>
  <c r="AE13" i="14"/>
  <c r="AJ36" i="14"/>
  <c r="AF36" i="14"/>
  <c r="AN36" i="14"/>
  <c r="AL36" i="14"/>
  <c r="AP36" i="14"/>
  <c r="AH36" i="14"/>
  <c r="AK36" i="14"/>
  <c r="AG36" i="14"/>
  <c r="AO36" i="14"/>
  <c r="AF37" i="14"/>
  <c r="AJ37" i="14"/>
  <c r="AN37" i="14"/>
  <c r="AG37" i="14"/>
  <c r="AK37" i="14"/>
  <c r="AO37" i="14"/>
  <c r="AH37" i="14"/>
  <c r="AL37" i="14"/>
  <c r="AP37" i="14"/>
  <c r="S10" i="14"/>
  <c r="T9" i="14"/>
  <c r="AL35" i="14"/>
  <c r="AH35" i="14"/>
  <c r="AP35" i="14"/>
  <c r="AG35" i="14"/>
  <c r="AK35" i="14"/>
  <c r="AO35" i="14"/>
  <c r="AN35" i="14"/>
  <c r="AJ35" i="14"/>
  <c r="U38" i="69" l="1"/>
  <c r="AH13" i="14"/>
  <c r="AG13" i="14"/>
  <c r="AE14" i="14"/>
  <c r="AO14" i="14"/>
  <c r="AF14" i="14"/>
  <c r="AP14" i="14"/>
  <c r="U9" i="14"/>
  <c r="AP13" i="14"/>
  <c r="AO13" i="14"/>
  <c r="H24" i="30"/>
  <c r="H25" i="30"/>
  <c r="H26" i="30"/>
  <c r="H27" i="30"/>
  <c r="H28" i="30"/>
  <c r="H29" i="30"/>
  <c r="H30" i="30"/>
  <c r="U39" i="69" l="1"/>
  <c r="M38" i="69"/>
  <c r="K35" i="14"/>
  <c r="O35" i="14" s="1"/>
  <c r="L35" i="14"/>
  <c r="P35" i="14" s="1"/>
  <c r="E111" i="16"/>
  <c r="E110" i="16"/>
  <c r="E109" i="16"/>
  <c r="E108" i="16"/>
  <c r="E316" i="16"/>
  <c r="E315" i="16"/>
  <c r="E314" i="16"/>
  <c r="E313" i="16"/>
  <c r="E312" i="16"/>
  <c r="E311" i="16"/>
  <c r="Q35" i="14" l="1"/>
  <c r="I687" i="16"/>
  <c r="AS35" i="14"/>
  <c r="AR35" i="14"/>
  <c r="I689" i="16"/>
  <c r="I690" i="16"/>
  <c r="I688" i="16"/>
  <c r="S9" i="29"/>
  <c r="V9" i="29" s="1"/>
  <c r="T9" i="29"/>
  <c r="W9" i="29" s="1"/>
  <c r="G689" i="16" l="1"/>
  <c r="G688" i="16"/>
  <c r="G687" i="16"/>
  <c r="G686" i="16"/>
  <c r="X623" i="16"/>
  <c r="B23" i="30"/>
  <c r="P857" i="16"/>
  <c r="P856" i="16"/>
  <c r="P855" i="16"/>
  <c r="P858" i="16"/>
  <c r="P859" i="16"/>
  <c r="P860" i="16"/>
  <c r="P861" i="16"/>
  <c r="P862" i="16"/>
  <c r="P863" i="16"/>
  <c r="H9" i="30" l="1"/>
  <c r="T12" i="15"/>
  <c r="R12" i="15"/>
  <c r="Q12" i="15"/>
  <c r="M12" i="15"/>
  <c r="K13" i="15"/>
  <c r="BJ12" i="15" s="1"/>
  <c r="BJ23" i="15" s="1"/>
  <c r="K12" i="15"/>
  <c r="BJ11" i="15" s="1"/>
  <c r="BJ22" i="15" s="1"/>
  <c r="I13" i="15"/>
  <c r="I12" i="15"/>
  <c r="G13" i="15"/>
  <c r="G12" i="15"/>
  <c r="E12" i="15"/>
  <c r="I9" i="30" l="1"/>
  <c r="L9" i="30" s="1"/>
  <c r="M9" i="30" s="1"/>
  <c r="O9" i="30"/>
  <c r="AY11" i="29" s="1"/>
  <c r="P9" i="30" s="1"/>
  <c r="Q9" i="30"/>
  <c r="BB11" i="29" s="1"/>
  <c r="R9" i="30" s="1"/>
  <c r="J9" i="30" l="1"/>
  <c r="U9" i="30" s="1"/>
  <c r="AS11" i="29"/>
  <c r="K9" i="30" s="1"/>
  <c r="M23" i="30"/>
  <c r="BH11" i="29" l="1"/>
  <c r="V9" i="30" s="1"/>
  <c r="Q23" i="30" s="1"/>
  <c r="E501" i="16"/>
  <c r="E500" i="16"/>
  <c r="E499" i="16"/>
  <c r="E498" i="16"/>
  <c r="E497" i="16"/>
  <c r="E496" i="16"/>
  <c r="E495" i="16"/>
  <c r="E493" i="16"/>
  <c r="E492" i="16"/>
  <c r="E491" i="16"/>
  <c r="E490" i="16"/>
  <c r="E489" i="16"/>
  <c r="E488" i="16"/>
  <c r="E487" i="16"/>
  <c r="E486" i="16"/>
  <c r="E485" i="16"/>
  <c r="E484" i="16"/>
  <c r="E483" i="16"/>
  <c r="E482" i="16"/>
  <c r="E481" i="16"/>
  <c r="E480" i="16"/>
  <c r="E479" i="16"/>
  <c r="E478" i="16"/>
  <c r="E477" i="16"/>
  <c r="E476" i="16"/>
  <c r="E475" i="16"/>
  <c r="E474" i="16"/>
  <c r="E473" i="16"/>
  <c r="E472" i="16"/>
  <c r="E471" i="16"/>
  <c r="E470" i="16"/>
  <c r="C501" i="16"/>
  <c r="C500" i="16"/>
  <c r="C499" i="16"/>
  <c r="C498" i="16"/>
  <c r="C497" i="16"/>
  <c r="C496" i="16"/>
  <c r="C495" i="16"/>
  <c r="C494" i="16"/>
  <c r="C493" i="16"/>
  <c r="C492" i="16"/>
  <c r="C491" i="16"/>
  <c r="C490" i="16"/>
  <c r="C489" i="16"/>
  <c r="C488" i="16"/>
  <c r="C487" i="16"/>
  <c r="C486" i="16"/>
  <c r="C485" i="16"/>
  <c r="C484" i="16"/>
  <c r="C483" i="16"/>
  <c r="C482" i="16"/>
  <c r="C481" i="16"/>
  <c r="C480" i="16"/>
  <c r="C479" i="16"/>
  <c r="C478" i="16"/>
  <c r="C477" i="16"/>
  <c r="C476" i="16"/>
  <c r="C475" i="16"/>
  <c r="C474" i="16"/>
  <c r="C473" i="16"/>
  <c r="C472" i="16"/>
  <c r="C471" i="16"/>
  <c r="C470" i="16"/>
  <c r="E251" i="16"/>
  <c r="E118" i="16"/>
  <c r="E117" i="16"/>
  <c r="E116" i="16"/>
  <c r="E114" i="16"/>
  <c r="E112" i="16"/>
  <c r="I691" i="16" s="1"/>
  <c r="I830" i="16" l="1"/>
  <c r="G813" i="16"/>
  <c r="G812" i="16"/>
  <c r="G811" i="16"/>
  <c r="G810" i="16"/>
  <c r="G809" i="16"/>
  <c r="G808" i="16"/>
  <c r="G807" i="16"/>
  <c r="G806" i="16"/>
  <c r="G805" i="16"/>
  <c r="G804" i="16"/>
  <c r="G803" i="16"/>
  <c r="G802" i="16"/>
  <c r="G800" i="16"/>
  <c r="G799" i="16"/>
  <c r="G798" i="16"/>
  <c r="G781" i="16"/>
  <c r="G780" i="16"/>
  <c r="G779" i="16"/>
  <c r="G778" i="16"/>
  <c r="G777" i="16"/>
  <c r="G776" i="16"/>
  <c r="G775" i="16"/>
  <c r="G774" i="16"/>
  <c r="G773" i="16"/>
  <c r="G772" i="16"/>
  <c r="G771" i="16"/>
  <c r="G770" i="16"/>
  <c r="G769" i="16"/>
  <c r="G768" i="16"/>
  <c r="G767" i="16"/>
  <c r="G766" i="16"/>
  <c r="G721" i="16"/>
  <c r="G722" i="16"/>
  <c r="G723"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0" i="16"/>
  <c r="G719" i="16"/>
  <c r="G718" i="16"/>
  <c r="G703" i="16"/>
  <c r="G717" i="16"/>
  <c r="G716" i="16"/>
  <c r="G715" i="16"/>
  <c r="G714" i="16"/>
  <c r="G713" i="16"/>
  <c r="G712" i="16"/>
  <c r="G711" i="16"/>
  <c r="G710" i="16"/>
  <c r="G709" i="16"/>
  <c r="G708" i="16"/>
  <c r="G707" i="16"/>
  <c r="G706" i="16"/>
  <c r="G705" i="16"/>
  <c r="G704" i="16"/>
  <c r="G702" i="16"/>
  <c r="G701" i="16"/>
  <c r="G700" i="16"/>
  <c r="G699" i="16"/>
  <c r="G698" i="16"/>
  <c r="G697" i="16"/>
  <c r="G696" i="16"/>
  <c r="G695" i="16"/>
  <c r="G694" i="16"/>
  <c r="G693" i="16"/>
  <c r="G692" i="16"/>
  <c r="G691" i="16"/>
  <c r="G690"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E686" i="16"/>
  <c r="F686" i="16" s="1"/>
  <c r="E845" i="16"/>
  <c r="F845" i="16" s="1"/>
  <c r="E844" i="16"/>
  <c r="F844" i="16" s="1"/>
  <c r="E843" i="16"/>
  <c r="F843" i="16" s="1"/>
  <c r="E842" i="16"/>
  <c r="F842" i="16" s="1"/>
  <c r="E841" i="16"/>
  <c r="F841" i="16" s="1"/>
  <c r="E840" i="16"/>
  <c r="F840" i="16" s="1"/>
  <c r="E839" i="16"/>
  <c r="F839" i="16" s="1"/>
  <c r="E838" i="16"/>
  <c r="F838" i="16" s="1"/>
  <c r="E837" i="16"/>
  <c r="F837" i="16" s="1"/>
  <c r="E836" i="16"/>
  <c r="F836" i="16" s="1"/>
  <c r="E835" i="16"/>
  <c r="F835" i="16" s="1"/>
  <c r="E834" i="16"/>
  <c r="F834" i="16" s="1"/>
  <c r="E833" i="16"/>
  <c r="F833" i="16" s="1"/>
  <c r="E832" i="16"/>
  <c r="F832" i="16" s="1"/>
  <c r="E831" i="16"/>
  <c r="F831" i="16" s="1"/>
  <c r="E830" i="16"/>
  <c r="F830" i="16" s="1"/>
  <c r="E829" i="16"/>
  <c r="F829" i="16" s="1"/>
  <c r="E828" i="16"/>
  <c r="F828" i="16" s="1"/>
  <c r="E827" i="16"/>
  <c r="F827" i="16" s="1"/>
  <c r="E826" i="16"/>
  <c r="F826" i="16" s="1"/>
  <c r="E825" i="16"/>
  <c r="F825" i="16" s="1"/>
  <c r="E824" i="16"/>
  <c r="F824" i="16" s="1"/>
  <c r="E823" i="16"/>
  <c r="F823" i="16" s="1"/>
  <c r="E822" i="16"/>
  <c r="F822" i="16" s="1"/>
  <c r="E821" i="16"/>
  <c r="F821" i="16" s="1"/>
  <c r="E820" i="16"/>
  <c r="F820" i="16" s="1"/>
  <c r="E819" i="16"/>
  <c r="F819" i="16" s="1"/>
  <c r="E818" i="16"/>
  <c r="F818" i="16" s="1"/>
  <c r="E817" i="16"/>
  <c r="F817" i="16" s="1"/>
  <c r="E816" i="16"/>
  <c r="F816" i="16" s="1"/>
  <c r="E815" i="16"/>
  <c r="F815" i="16" s="1"/>
  <c r="E814" i="16"/>
  <c r="F814" i="16" s="1"/>
  <c r="E813" i="16"/>
  <c r="F813" i="16" s="1"/>
  <c r="E812" i="16"/>
  <c r="F812" i="16" s="1"/>
  <c r="E811" i="16"/>
  <c r="F811" i="16" s="1"/>
  <c r="E810" i="16"/>
  <c r="F810" i="16" s="1"/>
  <c r="E809" i="16"/>
  <c r="F809" i="16" s="1"/>
  <c r="E808" i="16"/>
  <c r="F808" i="16" s="1"/>
  <c r="E807" i="16"/>
  <c r="F807" i="16" s="1"/>
  <c r="E806" i="16"/>
  <c r="F806" i="16" s="1"/>
  <c r="E805" i="16"/>
  <c r="F805" i="16" s="1"/>
  <c r="E804" i="16"/>
  <c r="F804" i="16" s="1"/>
  <c r="E803" i="16"/>
  <c r="F803" i="16" s="1"/>
  <c r="E802" i="16"/>
  <c r="F802" i="16" s="1"/>
  <c r="E801" i="16"/>
  <c r="F801" i="16" s="1"/>
  <c r="E800" i="16"/>
  <c r="F800" i="16" s="1"/>
  <c r="E799" i="16"/>
  <c r="F799" i="16" s="1"/>
  <c r="E798" i="16"/>
  <c r="F798" i="16" s="1"/>
  <c r="E797" i="16"/>
  <c r="F797" i="16" s="1"/>
  <c r="E796" i="16"/>
  <c r="F796" i="16" s="1"/>
  <c r="E795" i="16"/>
  <c r="F795" i="16" s="1"/>
  <c r="E794" i="16"/>
  <c r="F794" i="16" s="1"/>
  <c r="E793" i="16"/>
  <c r="F793" i="16" s="1"/>
  <c r="E792" i="16"/>
  <c r="F792" i="16" s="1"/>
  <c r="E791" i="16"/>
  <c r="F791" i="16" s="1"/>
  <c r="E790" i="16"/>
  <c r="F790" i="16" s="1"/>
  <c r="E789" i="16"/>
  <c r="F789" i="16" s="1"/>
  <c r="E788" i="16"/>
  <c r="F788" i="16" s="1"/>
  <c r="E787" i="16"/>
  <c r="F787" i="16" s="1"/>
  <c r="E786" i="16"/>
  <c r="F786" i="16" s="1"/>
  <c r="E785" i="16"/>
  <c r="F785" i="16" s="1"/>
  <c r="E784" i="16"/>
  <c r="F784" i="16" s="1"/>
  <c r="E783" i="16"/>
  <c r="F783" i="16" s="1"/>
  <c r="E782" i="16"/>
  <c r="F782" i="16" s="1"/>
  <c r="E781" i="16"/>
  <c r="F781" i="16" s="1"/>
  <c r="E780" i="16"/>
  <c r="F780" i="16" s="1"/>
  <c r="E779" i="16"/>
  <c r="F779" i="16" s="1"/>
  <c r="E778" i="16"/>
  <c r="F778" i="16" s="1"/>
  <c r="E777" i="16"/>
  <c r="F777" i="16" s="1"/>
  <c r="E776" i="16"/>
  <c r="F776" i="16" s="1"/>
  <c r="E775" i="16"/>
  <c r="F775" i="16" s="1"/>
  <c r="E774" i="16"/>
  <c r="F774" i="16" s="1"/>
  <c r="E773" i="16"/>
  <c r="F773" i="16" s="1"/>
  <c r="E772" i="16"/>
  <c r="F772" i="16" s="1"/>
  <c r="E771" i="16"/>
  <c r="F771" i="16" s="1"/>
  <c r="E770" i="16"/>
  <c r="F770" i="16" s="1"/>
  <c r="E769" i="16"/>
  <c r="F769" i="16" s="1"/>
  <c r="E768" i="16"/>
  <c r="F768" i="16" s="1"/>
  <c r="E767" i="16"/>
  <c r="F767" i="16" s="1"/>
  <c r="E766" i="16"/>
  <c r="F766" i="16" s="1"/>
  <c r="E765" i="16"/>
  <c r="F765" i="16" s="1"/>
  <c r="E764" i="16"/>
  <c r="F764" i="16" s="1"/>
  <c r="E763" i="16"/>
  <c r="F763" i="16" s="1"/>
  <c r="E762" i="16"/>
  <c r="F762" i="16" s="1"/>
  <c r="E761" i="16"/>
  <c r="F761" i="16" s="1"/>
  <c r="E760" i="16"/>
  <c r="F760" i="16" s="1"/>
  <c r="E759" i="16"/>
  <c r="F759" i="16" s="1"/>
  <c r="E758" i="16"/>
  <c r="F758" i="16" s="1"/>
  <c r="E757" i="16"/>
  <c r="F757" i="16" s="1"/>
  <c r="E756" i="16"/>
  <c r="F756" i="16" s="1"/>
  <c r="E755" i="16"/>
  <c r="F755" i="16" s="1"/>
  <c r="E754" i="16"/>
  <c r="F754" i="16" s="1"/>
  <c r="E753" i="16"/>
  <c r="F753" i="16" s="1"/>
  <c r="E752" i="16"/>
  <c r="F752" i="16" s="1"/>
  <c r="E751" i="16"/>
  <c r="F751" i="16" s="1"/>
  <c r="E750" i="16"/>
  <c r="F750" i="16" s="1"/>
  <c r="E749" i="16"/>
  <c r="F749" i="16" s="1"/>
  <c r="E748" i="16"/>
  <c r="F748" i="16" s="1"/>
  <c r="E747" i="16"/>
  <c r="F747" i="16" s="1"/>
  <c r="E746" i="16"/>
  <c r="F746" i="16" s="1"/>
  <c r="E745" i="16"/>
  <c r="F745" i="16" s="1"/>
  <c r="E744" i="16"/>
  <c r="F744" i="16" s="1"/>
  <c r="E743" i="16"/>
  <c r="F743" i="16" s="1"/>
  <c r="E742" i="16"/>
  <c r="F742" i="16" s="1"/>
  <c r="E741" i="16"/>
  <c r="F741" i="16" s="1"/>
  <c r="E740" i="16"/>
  <c r="F740" i="16" s="1"/>
  <c r="E739" i="16"/>
  <c r="F739" i="16" s="1"/>
  <c r="E738" i="16"/>
  <c r="F738" i="16" s="1"/>
  <c r="E737" i="16"/>
  <c r="F737" i="16" s="1"/>
  <c r="E736" i="16"/>
  <c r="F736" i="16" s="1"/>
  <c r="E735" i="16"/>
  <c r="F735" i="16" s="1"/>
  <c r="E734" i="16"/>
  <c r="F734" i="16" s="1"/>
  <c r="E733" i="16"/>
  <c r="F733" i="16" s="1"/>
  <c r="E732" i="16"/>
  <c r="F732" i="16" s="1"/>
  <c r="E731" i="16"/>
  <c r="F731" i="16" s="1"/>
  <c r="E730" i="16"/>
  <c r="F730" i="16" s="1"/>
  <c r="E729" i="16"/>
  <c r="F729" i="16" s="1"/>
  <c r="E728" i="16"/>
  <c r="F728" i="16" s="1"/>
  <c r="E727" i="16"/>
  <c r="F727" i="16" s="1"/>
  <c r="E726" i="16"/>
  <c r="F726" i="16" s="1"/>
  <c r="E725" i="16"/>
  <c r="F725" i="16" s="1"/>
  <c r="E724" i="16"/>
  <c r="F724" i="16" s="1"/>
  <c r="E723" i="16"/>
  <c r="F723" i="16" s="1"/>
  <c r="E722" i="16"/>
  <c r="F722" i="16" s="1"/>
  <c r="E721" i="16"/>
  <c r="F721" i="16" s="1"/>
  <c r="E720" i="16"/>
  <c r="F720" i="16" s="1"/>
  <c r="E719" i="16"/>
  <c r="F719" i="16" s="1"/>
  <c r="E718" i="16"/>
  <c r="F718" i="16" s="1"/>
  <c r="E717" i="16"/>
  <c r="F717" i="16" s="1"/>
  <c r="E716" i="16"/>
  <c r="F716" i="16" s="1"/>
  <c r="E715" i="16"/>
  <c r="F715" i="16" s="1"/>
  <c r="E714" i="16"/>
  <c r="F714" i="16" s="1"/>
  <c r="E713" i="16"/>
  <c r="F713" i="16" s="1"/>
  <c r="E712" i="16"/>
  <c r="F712" i="16" s="1"/>
  <c r="E711" i="16"/>
  <c r="F711" i="16" s="1"/>
  <c r="E710" i="16"/>
  <c r="F710" i="16" s="1"/>
  <c r="E709" i="16"/>
  <c r="F709" i="16" s="1"/>
  <c r="E708" i="16"/>
  <c r="F708" i="16" s="1"/>
  <c r="E707" i="16"/>
  <c r="F707" i="16" s="1"/>
  <c r="E706" i="16"/>
  <c r="F706" i="16" s="1"/>
  <c r="E705" i="16"/>
  <c r="F705" i="16" s="1"/>
  <c r="E704" i="16"/>
  <c r="F704" i="16" s="1"/>
  <c r="E703" i="16"/>
  <c r="F703" i="16" s="1"/>
  <c r="E702" i="16"/>
  <c r="F702" i="16" s="1"/>
  <c r="E701" i="16"/>
  <c r="F701" i="16" s="1"/>
  <c r="E700" i="16"/>
  <c r="F700" i="16" s="1"/>
  <c r="E699" i="16"/>
  <c r="F699" i="16" s="1"/>
  <c r="E698" i="16"/>
  <c r="F698" i="16" s="1"/>
  <c r="E697" i="16"/>
  <c r="F697" i="16" s="1"/>
  <c r="E696" i="16"/>
  <c r="F696" i="16" s="1"/>
  <c r="E695" i="16"/>
  <c r="F695" i="16" s="1"/>
  <c r="E694" i="16"/>
  <c r="F694" i="16" s="1"/>
  <c r="E693" i="16"/>
  <c r="F693" i="16" s="1"/>
  <c r="E692" i="16"/>
  <c r="F692" i="16" s="1"/>
  <c r="E691" i="16"/>
  <c r="F691" i="16" s="1"/>
  <c r="E690" i="16"/>
  <c r="F690" i="16" s="1"/>
  <c r="E689" i="16"/>
  <c r="F689" i="16" s="1"/>
  <c r="E688" i="16"/>
  <c r="F688" i="16" s="1"/>
  <c r="E687" i="16"/>
  <c r="F687" i="16" s="1"/>
  <c r="C845" i="16"/>
  <c r="C844" i="16"/>
  <c r="C843" i="16"/>
  <c r="C842" i="16"/>
  <c r="C841" i="16"/>
  <c r="C840" i="16"/>
  <c r="C839" i="16"/>
  <c r="C838" i="16"/>
  <c r="C837" i="16"/>
  <c r="C836" i="16"/>
  <c r="C835" i="16"/>
  <c r="C834" i="16"/>
  <c r="C833" i="16"/>
  <c r="C832" i="16"/>
  <c r="C831" i="16"/>
  <c r="C830" i="16"/>
  <c r="C829" i="16"/>
  <c r="C828" i="16"/>
  <c r="C827" i="16"/>
  <c r="C826" i="16"/>
  <c r="C825" i="16"/>
  <c r="C824" i="16"/>
  <c r="C823" i="16"/>
  <c r="C822" i="16"/>
  <c r="C821" i="16"/>
  <c r="C820" i="16"/>
  <c r="C819" i="16"/>
  <c r="C818" i="16"/>
  <c r="C817" i="16"/>
  <c r="C816" i="16"/>
  <c r="C815" i="16"/>
  <c r="C814" i="16"/>
  <c r="C813" i="16"/>
  <c r="C812" i="16"/>
  <c r="C811" i="16"/>
  <c r="C810" i="16"/>
  <c r="C809" i="16"/>
  <c r="C808" i="16"/>
  <c r="C807" i="16"/>
  <c r="C806" i="16"/>
  <c r="C805" i="16"/>
  <c r="C804" i="16"/>
  <c r="C803" i="16"/>
  <c r="C802" i="16"/>
  <c r="C801" i="16"/>
  <c r="C800" i="16"/>
  <c r="C799" i="16"/>
  <c r="C798" i="16"/>
  <c r="C781" i="16"/>
  <c r="C780" i="16"/>
  <c r="C779" i="16"/>
  <c r="C778" i="16"/>
  <c r="C777" i="16"/>
  <c r="C776" i="16"/>
  <c r="C775" i="16"/>
  <c r="C774" i="16"/>
  <c r="C773" i="16"/>
  <c r="C772" i="16"/>
  <c r="C771" i="16"/>
  <c r="C770" i="16"/>
  <c r="C769" i="16"/>
  <c r="C768" i="16"/>
  <c r="C767" i="16"/>
  <c r="C766" i="16"/>
  <c r="C765" i="16"/>
  <c r="C764" i="16"/>
  <c r="C763" i="16"/>
  <c r="C762" i="16"/>
  <c r="C761" i="16"/>
  <c r="C760" i="16"/>
  <c r="C759" i="16"/>
  <c r="C758" i="16"/>
  <c r="C757" i="16"/>
  <c r="C756" i="16"/>
  <c r="C755" i="16"/>
  <c r="C754" i="16"/>
  <c r="C753" i="16"/>
  <c r="C752" i="16"/>
  <c r="C751" i="16"/>
  <c r="C750" i="16"/>
  <c r="C749" i="16"/>
  <c r="C748" i="16"/>
  <c r="C747" i="16"/>
  <c r="C746" i="16"/>
  <c r="C745" i="16"/>
  <c r="C744" i="16"/>
  <c r="C743" i="16"/>
  <c r="C742" i="16"/>
  <c r="C741" i="16"/>
  <c r="C740" i="16"/>
  <c r="C739" i="16"/>
  <c r="C738" i="16"/>
  <c r="C737" i="16"/>
  <c r="C736" i="16"/>
  <c r="C735" i="16"/>
  <c r="C734" i="16"/>
  <c r="C733" i="16"/>
  <c r="C732" i="16"/>
  <c r="C731" i="16"/>
  <c r="C730" i="16"/>
  <c r="C729" i="16"/>
  <c r="C728" i="16"/>
  <c r="C727" i="16"/>
  <c r="C726" i="16"/>
  <c r="C725" i="16"/>
  <c r="C724" i="16"/>
  <c r="C723" i="16"/>
  <c r="C722" i="16"/>
  <c r="C721" i="16"/>
  <c r="C720" i="16"/>
  <c r="C719" i="16"/>
  <c r="C718" i="16"/>
  <c r="C717" i="16"/>
  <c r="C716" i="16"/>
  <c r="C715" i="16"/>
  <c r="C714" i="16"/>
  <c r="C713" i="16"/>
  <c r="C712" i="16"/>
  <c r="C711" i="16"/>
  <c r="C710" i="16"/>
  <c r="C709" i="16"/>
  <c r="C708" i="16"/>
  <c r="C707" i="16"/>
  <c r="C706" i="16"/>
  <c r="C705" i="16"/>
  <c r="C704" i="16"/>
  <c r="C703" i="16"/>
  <c r="C702" i="16"/>
  <c r="C701" i="16"/>
  <c r="C700" i="16"/>
  <c r="C699" i="16"/>
  <c r="C698" i="16"/>
  <c r="C697" i="16"/>
  <c r="C696" i="16"/>
  <c r="C695" i="16"/>
  <c r="C694" i="16"/>
  <c r="C693" i="16"/>
  <c r="C692" i="16"/>
  <c r="C691" i="16"/>
  <c r="C690" i="16"/>
  <c r="C689" i="16"/>
  <c r="C688" i="16"/>
  <c r="C687" i="16"/>
  <c r="C686" i="16"/>
  <c r="J24" i="30" l="1"/>
  <c r="BO12" i="29" s="1"/>
  <c r="J23" i="30"/>
  <c r="BO11" i="29" s="1"/>
  <c r="A36" i="47"/>
  <c r="B36" i="47" s="1"/>
  <c r="J24" i="47"/>
  <c r="AB36" i="47" s="1"/>
  <c r="J11" i="35"/>
  <c r="J12" i="35"/>
  <c r="BH66" i="29"/>
  <c r="K14" i="35" s="1"/>
  <c r="E29" i="35" s="1"/>
  <c r="F36" i="30"/>
  <c r="F37" i="30"/>
  <c r="F38" i="30"/>
  <c r="F39" i="30"/>
  <c r="F40" i="30"/>
  <c r="F41" i="30"/>
  <c r="F42" i="30"/>
  <c r="F35" i="30"/>
  <c r="C36" i="30"/>
  <c r="C37" i="30"/>
  <c r="C38" i="30"/>
  <c r="C39" i="30"/>
  <c r="C40" i="30"/>
  <c r="C41" i="30"/>
  <c r="C42" i="30"/>
  <c r="C35" i="30"/>
  <c r="E36" i="30"/>
  <c r="E37" i="30"/>
  <c r="E38" i="30"/>
  <c r="E39" i="30"/>
  <c r="E40" i="30"/>
  <c r="E41" i="30"/>
  <c r="E42" i="30"/>
  <c r="E35" i="30"/>
  <c r="D36" i="30"/>
  <c r="D37" i="30"/>
  <c r="D38" i="30"/>
  <c r="D39" i="30"/>
  <c r="D40" i="30"/>
  <c r="D41" i="30"/>
  <c r="D42" i="30"/>
  <c r="B36" i="30"/>
  <c r="B37" i="30"/>
  <c r="B38" i="30"/>
  <c r="B39" i="30"/>
  <c r="B40" i="30"/>
  <c r="B41" i="30"/>
  <c r="B42" i="30"/>
  <c r="B35" i="30"/>
  <c r="E279" i="16"/>
  <c r="E274" i="16"/>
  <c r="E271" i="16"/>
  <c r="G24" i="30"/>
  <c r="G25" i="30"/>
  <c r="G26" i="30"/>
  <c r="G27" i="30"/>
  <c r="G28" i="30"/>
  <c r="G29" i="30"/>
  <c r="G30" i="30"/>
  <c r="AY24" i="43" l="1"/>
  <c r="AC36" i="47"/>
  <c r="G35" i="30"/>
  <c r="G50" i="35"/>
  <c r="H50" i="35"/>
  <c r="G47" i="35"/>
  <c r="H47" i="35"/>
  <c r="G49" i="35"/>
  <c r="H49" i="35"/>
  <c r="G48" i="35"/>
  <c r="H48" i="35"/>
  <c r="Q30" i="32"/>
  <c r="L43" i="32"/>
  <c r="AO14" i="32" s="1"/>
  <c r="M43" i="32"/>
  <c r="Q29" i="32"/>
  <c r="L42" i="32"/>
  <c r="AO13" i="32" s="1"/>
  <c r="M42" i="32"/>
  <c r="Q28" i="32"/>
  <c r="AO12" i="32"/>
  <c r="M41" i="32"/>
  <c r="F23" i="69" s="1"/>
  <c r="R30" i="32"/>
  <c r="H35" i="30"/>
  <c r="H42" i="30"/>
  <c r="G42" i="30"/>
  <c r="H41" i="30"/>
  <c r="G41" i="30"/>
  <c r="G40" i="30"/>
  <c r="H40" i="30"/>
  <c r="G39" i="30"/>
  <c r="H39" i="30"/>
  <c r="G38" i="30"/>
  <c r="H38" i="30"/>
  <c r="G37" i="30"/>
  <c r="H37" i="30"/>
  <c r="H36" i="30"/>
  <c r="G36" i="30"/>
  <c r="F36" i="69" l="1"/>
  <c r="F33" i="69"/>
  <c r="F34" i="69"/>
  <c r="F35" i="69"/>
  <c r="AP13" i="32"/>
  <c r="F24" i="69"/>
  <c r="AP14" i="32"/>
  <c r="F25" i="69"/>
  <c r="AP12" i="32"/>
  <c r="I24" i="31"/>
  <c r="D160" i="57" s="1"/>
  <c r="I7" i="31"/>
  <c r="D149" i="57" s="1"/>
  <c r="U24" i="31"/>
  <c r="AL14" i="32"/>
  <c r="AK14" i="32"/>
  <c r="AI14" i="32"/>
  <c r="AJ14" i="32"/>
  <c r="AJ13" i="32"/>
  <c r="AI13" i="32"/>
  <c r="AJ12" i="32"/>
  <c r="AI12" i="32"/>
  <c r="AI10" i="32"/>
  <c r="AJ10" i="32"/>
  <c r="U21" i="69" s="1"/>
  <c r="R29" i="32"/>
  <c r="R28" i="32"/>
  <c r="AV14" i="32"/>
  <c r="S30" i="32"/>
  <c r="AW14" i="32"/>
  <c r="AV13" i="32"/>
  <c r="AW13" i="32"/>
  <c r="AV12" i="32"/>
  <c r="AW12" i="32"/>
  <c r="Y13" i="31"/>
  <c r="AA13" i="31"/>
  <c r="X13" i="31"/>
  <c r="U13" i="31"/>
  <c r="Z13" i="31"/>
  <c r="W13" i="31"/>
  <c r="V13" i="31"/>
  <c r="S18" i="29"/>
  <c r="Y12" i="31"/>
  <c r="AA12" i="31"/>
  <c r="U12" i="31"/>
  <c r="Z12" i="31"/>
  <c r="V12" i="31"/>
  <c r="X12" i="31"/>
  <c r="W12" i="31"/>
  <c r="S17" i="29"/>
  <c r="AA11" i="31"/>
  <c r="Y11" i="31"/>
  <c r="V11" i="31"/>
  <c r="X11" i="31"/>
  <c r="W11" i="31"/>
  <c r="Z11" i="31"/>
  <c r="U11" i="31"/>
  <c r="S16" i="29"/>
  <c r="Z10" i="31"/>
  <c r="V10" i="31"/>
  <c r="W10" i="31"/>
  <c r="X10" i="31"/>
  <c r="AA10" i="31"/>
  <c r="Y10" i="31"/>
  <c r="U10" i="31"/>
  <c r="S15" i="29"/>
  <c r="Z9" i="31"/>
  <c r="Y9" i="31"/>
  <c r="AA9" i="31"/>
  <c r="U9" i="31"/>
  <c r="W9" i="31"/>
  <c r="V9" i="31"/>
  <c r="X9" i="31"/>
  <c r="S14" i="29"/>
  <c r="AA8" i="31"/>
  <c r="Z8" i="31"/>
  <c r="W8" i="31"/>
  <c r="U8" i="31"/>
  <c r="X8" i="31"/>
  <c r="Y8" i="31"/>
  <c r="V8" i="31"/>
  <c r="S13" i="29"/>
  <c r="AA7" i="31"/>
  <c r="Y7" i="31"/>
  <c r="U7" i="31"/>
  <c r="Z7" i="31"/>
  <c r="X7" i="31"/>
  <c r="W7" i="31"/>
  <c r="V7" i="31"/>
  <c r="S12" i="29"/>
  <c r="AA31" i="31"/>
  <c r="X31" i="31"/>
  <c r="Z31" i="31"/>
  <c r="W31" i="31"/>
  <c r="V31" i="31"/>
  <c r="Y31" i="31"/>
  <c r="U31" i="31"/>
  <c r="T18" i="29"/>
  <c r="AA30" i="31"/>
  <c r="Y30" i="31"/>
  <c r="W30" i="31"/>
  <c r="U30" i="31"/>
  <c r="V30" i="31"/>
  <c r="X30" i="31"/>
  <c r="Z30" i="31"/>
  <c r="T17" i="29"/>
  <c r="Y29" i="31"/>
  <c r="U29" i="31"/>
  <c r="W29" i="31"/>
  <c r="Z29" i="31"/>
  <c r="X29" i="31"/>
  <c r="V29" i="31"/>
  <c r="AA29" i="31"/>
  <c r="T16" i="29"/>
  <c r="X28" i="31"/>
  <c r="AA28" i="31"/>
  <c r="Y28" i="31"/>
  <c r="U28" i="31"/>
  <c r="Z28" i="31"/>
  <c r="V28" i="31"/>
  <c r="W28" i="31"/>
  <c r="T15" i="29"/>
  <c r="AA27" i="31"/>
  <c r="X27" i="31"/>
  <c r="W27" i="31"/>
  <c r="V27" i="31"/>
  <c r="Z27" i="31"/>
  <c r="Y27" i="31"/>
  <c r="U27" i="31"/>
  <c r="T14" i="29"/>
  <c r="Z26" i="31"/>
  <c r="X26" i="31"/>
  <c r="U26" i="31"/>
  <c r="W26" i="31"/>
  <c r="AA26" i="31"/>
  <c r="Y26" i="31"/>
  <c r="V26" i="31"/>
  <c r="T13" i="29"/>
  <c r="Y25" i="31"/>
  <c r="U25" i="31"/>
  <c r="W25" i="31"/>
  <c r="X25" i="31"/>
  <c r="V25" i="31"/>
  <c r="Z25" i="31"/>
  <c r="AA25" i="31"/>
  <c r="T12" i="29"/>
  <c r="T11" i="29"/>
  <c r="Z24" i="31"/>
  <c r="V24" i="31"/>
  <c r="AA24" i="31"/>
  <c r="W24" i="31"/>
  <c r="Y24" i="31"/>
  <c r="X24" i="31"/>
  <c r="S11" i="29"/>
  <c r="V6" i="31"/>
  <c r="W6" i="31"/>
  <c r="X6" i="31"/>
  <c r="AA6" i="31"/>
  <c r="Z6" i="31"/>
  <c r="U6" i="31"/>
  <c r="Y6" i="31"/>
  <c r="E24" i="30"/>
  <c r="E25" i="30"/>
  <c r="E26" i="30"/>
  <c r="E27" i="30"/>
  <c r="E28" i="30"/>
  <c r="E29" i="30"/>
  <c r="E30" i="30"/>
  <c r="E23" i="30"/>
  <c r="U25" i="69" l="1"/>
  <c r="M25" i="69"/>
  <c r="U23" i="69"/>
  <c r="U24" i="69"/>
  <c r="S29" i="30"/>
  <c r="AA29" i="30"/>
  <c r="Z29" i="30"/>
  <c r="S30" i="30"/>
  <c r="Z30" i="30"/>
  <c r="AA30" i="30"/>
  <c r="S28" i="30"/>
  <c r="Z28" i="30"/>
  <c r="AA28" i="30"/>
  <c r="Z24" i="30"/>
  <c r="AA24" i="30"/>
  <c r="S26" i="30"/>
  <c r="Z26" i="30"/>
  <c r="AA26" i="30"/>
  <c r="S27" i="30"/>
  <c r="Z27" i="30"/>
  <c r="AA27" i="30"/>
  <c r="Z25" i="30"/>
  <c r="AA25" i="30"/>
  <c r="S23" i="30"/>
  <c r="Z23" i="30"/>
  <c r="AA23" i="30"/>
  <c r="I31" i="31"/>
  <c r="D167" i="57" s="1"/>
  <c r="I14" i="31"/>
  <c r="D156" i="57" s="1"/>
  <c r="S25" i="30"/>
  <c r="T27" i="30"/>
  <c r="U27" i="30"/>
  <c r="T30" i="30"/>
  <c r="U30" i="30"/>
  <c r="U28" i="30"/>
  <c r="T28" i="30"/>
  <c r="T29" i="30"/>
  <c r="U29" i="30"/>
  <c r="T25" i="30"/>
  <c r="U25" i="30"/>
  <c r="T26" i="30"/>
  <c r="U26" i="30"/>
  <c r="AI8" i="32"/>
  <c r="U19" i="69" s="1"/>
  <c r="AL8" i="32"/>
  <c r="M19" i="69" s="1"/>
  <c r="Q43" i="32"/>
  <c r="P43" i="32"/>
  <c r="S29" i="32"/>
  <c r="AK13" i="32"/>
  <c r="AL13" i="32"/>
  <c r="S28" i="32"/>
  <c r="AK12" i="32"/>
  <c r="AL12" i="32"/>
  <c r="AL10" i="32"/>
  <c r="AK10" i="32"/>
  <c r="U14" i="31"/>
  <c r="K7" i="31" s="1"/>
  <c r="V14" i="31"/>
  <c r="J7" i="31" s="1"/>
  <c r="Z32" i="31"/>
  <c r="M24" i="31" s="1"/>
  <c r="I160" i="57" s="1"/>
  <c r="Y14" i="31"/>
  <c r="L7" i="31" s="1"/>
  <c r="G149" i="57" s="1"/>
  <c r="Z14" i="31"/>
  <c r="M7" i="31" s="1"/>
  <c r="I149" i="57" s="1"/>
  <c r="AA14" i="31"/>
  <c r="Y32" i="31"/>
  <c r="L24" i="31" s="1"/>
  <c r="G160" i="57" s="1"/>
  <c r="X14" i="31"/>
  <c r="N7" i="31" s="1"/>
  <c r="J149" i="57" s="1"/>
  <c r="W14" i="31"/>
  <c r="X32" i="31"/>
  <c r="N24" i="31" s="1"/>
  <c r="J160" i="57" s="1"/>
  <c r="W32" i="31"/>
  <c r="AA32" i="31"/>
  <c r="U32" i="31"/>
  <c r="K24" i="31" s="1"/>
  <c r="V32" i="31"/>
  <c r="J24" i="31" s="1"/>
  <c r="C24" i="30"/>
  <c r="C25" i="30"/>
  <c r="C26" i="30"/>
  <c r="C27" i="30"/>
  <c r="C28" i="30"/>
  <c r="C29" i="30"/>
  <c r="C30" i="30"/>
  <c r="C23" i="30"/>
  <c r="D23" i="30" s="1"/>
  <c r="B24" i="30"/>
  <c r="B25" i="30"/>
  <c r="B26" i="30"/>
  <c r="D26" i="30" s="1"/>
  <c r="B27" i="30"/>
  <c r="B28" i="30"/>
  <c r="D28" i="30" s="1"/>
  <c r="B29" i="30"/>
  <c r="D29" i="30" s="1"/>
  <c r="B30" i="30"/>
  <c r="D30" i="30" s="1"/>
  <c r="F23" i="30"/>
  <c r="U14" i="69" l="1"/>
  <c r="U13" i="69"/>
  <c r="U18" i="69"/>
  <c r="U11" i="69"/>
  <c r="U12" i="69"/>
  <c r="M21" i="69"/>
  <c r="M24" i="69"/>
  <c r="M23" i="69"/>
  <c r="U16" i="69"/>
  <c r="U15" i="69"/>
  <c r="U17" i="69"/>
  <c r="O24" i="31"/>
  <c r="K160" i="57" s="1"/>
  <c r="O7" i="31"/>
  <c r="K149" i="57" s="1"/>
  <c r="H11" i="30"/>
  <c r="F160" i="57"/>
  <c r="F43" i="23"/>
  <c r="I43" i="23" s="1"/>
  <c r="F149" i="57"/>
  <c r="D43" i="23"/>
  <c r="H43" i="23" s="1"/>
  <c r="H16" i="30"/>
  <c r="H10" i="30"/>
  <c r="AC30" i="30"/>
  <c r="AB30" i="30"/>
  <c r="AC29" i="30"/>
  <c r="AB29" i="30"/>
  <c r="AC27" i="30"/>
  <c r="AB27" i="30"/>
  <c r="AB26" i="30"/>
  <c r="AC26" i="30"/>
  <c r="AC25" i="30"/>
  <c r="AB25" i="30"/>
  <c r="AC28" i="30"/>
  <c r="AB28" i="30"/>
  <c r="H12" i="30"/>
  <c r="H15" i="30"/>
  <c r="H13" i="30"/>
  <c r="H14" i="30"/>
  <c r="Q42" i="32"/>
  <c r="P42" i="32"/>
  <c r="Q41" i="32"/>
  <c r="P41" i="32"/>
  <c r="Q39" i="32"/>
  <c r="P39" i="32"/>
  <c r="AH23" i="30"/>
  <c r="AI23" i="30"/>
  <c r="F29" i="30"/>
  <c r="F24" i="30"/>
  <c r="F27" i="30"/>
  <c r="F30" i="30"/>
  <c r="F26" i="30"/>
  <c r="F28" i="30"/>
  <c r="F25" i="30"/>
  <c r="X627" i="16"/>
  <c r="X626" i="16"/>
  <c r="X625" i="16"/>
  <c r="X624" i="16"/>
  <c r="BB629" i="16"/>
  <c r="D627" i="16"/>
  <c r="D626" i="16"/>
  <c r="D625" i="16"/>
  <c r="D624" i="16"/>
  <c r="D623" i="16"/>
  <c r="O16" i="30" l="1"/>
  <c r="AY18" i="29" s="1"/>
  <c r="P16" i="30" s="1"/>
  <c r="Q11" i="30"/>
  <c r="BB13" i="29" s="1"/>
  <c r="R11" i="30" s="1"/>
  <c r="O13" i="30"/>
  <c r="AY15" i="29" s="1"/>
  <c r="P13" i="30" s="1"/>
  <c r="F51" i="69"/>
  <c r="Q10" i="30"/>
  <c r="BB12" i="29" s="1"/>
  <c r="R10" i="30" s="1"/>
  <c r="M14" i="69"/>
  <c r="M13" i="69"/>
  <c r="M17" i="69"/>
  <c r="M16" i="69"/>
  <c r="M15" i="69"/>
  <c r="M18" i="69"/>
  <c r="O11" i="30"/>
  <c r="AY13" i="29" s="1"/>
  <c r="P11" i="30" s="1"/>
  <c r="M25" i="30" s="1"/>
  <c r="O12" i="30"/>
  <c r="AY14" i="29" s="1"/>
  <c r="P12" i="30" s="1"/>
  <c r="M26" i="30" s="1"/>
  <c r="O14" i="30"/>
  <c r="AY16" i="29" s="1"/>
  <c r="P14" i="30" s="1"/>
  <c r="O10" i="30"/>
  <c r="AY12" i="29" s="1"/>
  <c r="P10" i="30" s="1"/>
  <c r="M24" i="30" s="1"/>
  <c r="I11" i="30"/>
  <c r="L11" i="30" s="1"/>
  <c r="M11" i="30" s="1"/>
  <c r="Q12" i="30"/>
  <c r="BB14" i="29" s="1"/>
  <c r="R12" i="30" s="1"/>
  <c r="O15" i="30"/>
  <c r="AY17" i="29" s="1"/>
  <c r="P15" i="30" s="1"/>
  <c r="M29" i="30" s="1"/>
  <c r="Q13" i="30"/>
  <c r="BB15" i="29" s="1"/>
  <c r="R13" i="30" s="1"/>
  <c r="Q16" i="30"/>
  <c r="BB18" i="29" s="1"/>
  <c r="R16" i="30" s="1"/>
  <c r="M30" i="30" s="1"/>
  <c r="Q15" i="30"/>
  <c r="BB17" i="29" s="1"/>
  <c r="R15" i="30" s="1"/>
  <c r="E149" i="57"/>
  <c r="E34" i="14"/>
  <c r="E160" i="57"/>
  <c r="G34" i="14"/>
  <c r="AF12" i="14" s="1"/>
  <c r="I16" i="30"/>
  <c r="J16" i="30" s="1"/>
  <c r="I15" i="30"/>
  <c r="J15" i="30" s="1"/>
  <c r="I14" i="30"/>
  <c r="J14" i="30" s="1"/>
  <c r="Q14" i="30"/>
  <c r="BB16" i="29" s="1"/>
  <c r="R14" i="30" s="1"/>
  <c r="M28" i="30" s="1"/>
  <c r="I13" i="30"/>
  <c r="J13" i="30" s="1"/>
  <c r="I12" i="30"/>
  <c r="L12" i="30" s="1"/>
  <c r="M12" i="30" s="1"/>
  <c r="AV14" i="29" s="1"/>
  <c r="N12" i="30" s="1"/>
  <c r="S8" i="32"/>
  <c r="T8" i="32" s="1"/>
  <c r="P8" i="32"/>
  <c r="Q8" i="32" s="1"/>
  <c r="BK36" i="29" s="1"/>
  <c r="R8" i="32" s="1"/>
  <c r="L11" i="37"/>
  <c r="K11" i="37" s="1"/>
  <c r="AI24" i="30"/>
  <c r="AH24" i="30"/>
  <c r="AI26" i="30"/>
  <c r="AH26" i="30"/>
  <c r="AH29" i="30"/>
  <c r="AI29" i="30"/>
  <c r="AI28" i="30"/>
  <c r="AH28" i="30"/>
  <c r="AI30" i="30"/>
  <c r="AH30" i="30"/>
  <c r="AH25" i="30"/>
  <c r="AI25" i="30"/>
  <c r="AH27" i="30"/>
  <c r="AI27" i="30"/>
  <c r="AK600" i="16"/>
  <c r="AK599" i="16"/>
  <c r="AK598" i="16"/>
  <c r="AK597" i="16"/>
  <c r="AK596" i="16"/>
  <c r="AK604" i="16"/>
  <c r="AK603" i="16"/>
  <c r="AK595" i="16"/>
  <c r="AK594" i="16"/>
  <c r="AK593" i="16"/>
  <c r="AK592" i="16"/>
  <c r="AK591" i="16"/>
  <c r="AA604" i="16"/>
  <c r="AA603" i="16"/>
  <c r="Z604" i="16"/>
  <c r="Z603" i="16"/>
  <c r="Z600" i="16"/>
  <c r="Z599" i="16"/>
  <c r="Z598" i="16"/>
  <c r="Z597" i="16"/>
  <c r="Z596" i="16"/>
  <c r="Y604" i="16"/>
  <c r="Y603" i="16"/>
  <c r="Y601" i="16"/>
  <c r="Y597" i="16"/>
  <c r="Y600" i="16"/>
  <c r="Y599" i="16"/>
  <c r="Y598" i="16"/>
  <c r="Y596" i="16"/>
  <c r="AC605" i="16"/>
  <c r="AC606" i="16"/>
  <c r="AC602" i="16"/>
  <c r="AC595" i="16"/>
  <c r="AC594" i="16"/>
  <c r="AC593" i="16"/>
  <c r="AC592" i="16"/>
  <c r="AC591" i="16"/>
  <c r="I18" i="37" s="1"/>
  <c r="J18" i="37" s="1"/>
  <c r="L18" i="37" s="1"/>
  <c r="K18" i="37" s="1"/>
  <c r="AI603" i="16"/>
  <c r="AI601" i="16"/>
  <c r="AI600" i="16"/>
  <c r="AI599" i="16"/>
  <c r="AI598" i="16"/>
  <c r="AI597" i="16"/>
  <c r="AI596" i="16"/>
  <c r="AG603" i="16"/>
  <c r="AG601" i="16"/>
  <c r="AG600" i="16"/>
  <c r="AG599" i="16"/>
  <c r="AG598" i="16"/>
  <c r="AG597" i="16"/>
  <c r="AG596" i="16"/>
  <c r="AC603" i="16"/>
  <c r="AC604" i="16"/>
  <c r="AC601" i="16"/>
  <c r="AC600" i="16"/>
  <c r="AC599" i="16"/>
  <c r="AC598" i="16"/>
  <c r="AC597" i="16"/>
  <c r="AC596" i="16"/>
  <c r="R604" i="16"/>
  <c r="R603" i="16"/>
  <c r="R595" i="16"/>
  <c r="R594" i="16"/>
  <c r="R593" i="16"/>
  <c r="R592" i="16"/>
  <c r="R591" i="16"/>
  <c r="Q604" i="16"/>
  <c r="Q603" i="16"/>
  <c r="Q600" i="16"/>
  <c r="Q599" i="16"/>
  <c r="Q598" i="16"/>
  <c r="Q597" i="16"/>
  <c r="Q596" i="16"/>
  <c r="Q595" i="16"/>
  <c r="Q594" i="16"/>
  <c r="Q593" i="16"/>
  <c r="Q592" i="16"/>
  <c r="Q591" i="16"/>
  <c r="P597" i="16"/>
  <c r="P596" i="16"/>
  <c r="P604" i="16"/>
  <c r="P603" i="16"/>
  <c r="P600" i="16"/>
  <c r="P599" i="16"/>
  <c r="P598" i="16"/>
  <c r="P595" i="16"/>
  <c r="P594" i="16"/>
  <c r="P593" i="16"/>
  <c r="P592" i="16"/>
  <c r="P591" i="16"/>
  <c r="O604" i="16"/>
  <c r="O603" i="16"/>
  <c r="O600" i="16"/>
  <c r="I13" i="37" s="1"/>
  <c r="J13" i="37" s="1"/>
  <c r="L13" i="37" s="1"/>
  <c r="K13" i="37" s="1"/>
  <c r="O599" i="16"/>
  <c r="O598" i="16"/>
  <c r="O597" i="16"/>
  <c r="O596" i="16"/>
  <c r="J604" i="16"/>
  <c r="J603" i="16"/>
  <c r="J600" i="16"/>
  <c r="J599" i="16"/>
  <c r="I17" i="37" s="1"/>
  <c r="J17" i="37" s="1"/>
  <c r="L17" i="37" s="1"/>
  <c r="K17" i="37" s="1"/>
  <c r="J598" i="16"/>
  <c r="J597" i="16"/>
  <c r="J596" i="16"/>
  <c r="I604" i="16"/>
  <c r="I603" i="16"/>
  <c r="I600" i="16"/>
  <c r="I599" i="16"/>
  <c r="I598" i="16"/>
  <c r="I597" i="16"/>
  <c r="I596" i="16"/>
  <c r="I595" i="16"/>
  <c r="I594" i="16"/>
  <c r="I593" i="16"/>
  <c r="I592" i="16"/>
  <c r="I591" i="16"/>
  <c r="AD8" i="32" s="1"/>
  <c r="H603" i="16"/>
  <c r="H604" i="16"/>
  <c r="H600" i="16"/>
  <c r="H599" i="16"/>
  <c r="H598" i="16"/>
  <c r="H597" i="16"/>
  <c r="H596" i="16"/>
  <c r="H595" i="16"/>
  <c r="H594" i="16"/>
  <c r="H593" i="16"/>
  <c r="H592" i="16"/>
  <c r="H591" i="16"/>
  <c r="G600" i="16"/>
  <c r="G599" i="16"/>
  <c r="G598" i="16"/>
  <c r="G597" i="16"/>
  <c r="G596" i="16"/>
  <c r="G604" i="16"/>
  <c r="G603" i="16"/>
  <c r="G595" i="16"/>
  <c r="G594" i="16"/>
  <c r="G593" i="16"/>
  <c r="G592" i="16"/>
  <c r="G591" i="16"/>
  <c r="AS17" i="29" l="1"/>
  <c r="K15" i="30" s="1"/>
  <c r="U15" i="30"/>
  <c r="BH17" i="29" s="1"/>
  <c r="V15" i="30" s="1"/>
  <c r="AS18" i="29"/>
  <c r="K16" i="30" s="1"/>
  <c r="U16" i="30"/>
  <c r="BH18" i="29" s="1"/>
  <c r="V16" i="30" s="1"/>
  <c r="AS16" i="29"/>
  <c r="K14" i="30" s="1"/>
  <c r="U14" i="30"/>
  <c r="BH16" i="29" s="1"/>
  <c r="V14" i="30" s="1"/>
  <c r="AS15" i="29"/>
  <c r="K13" i="30" s="1"/>
  <c r="U13" i="30"/>
  <c r="BH15" i="29" s="1"/>
  <c r="V13" i="30" s="1"/>
  <c r="M27" i="30"/>
  <c r="D27" i="30"/>
  <c r="BP36" i="29"/>
  <c r="AL20" i="32"/>
  <c r="I10" i="30"/>
  <c r="J10" i="30" s="1"/>
  <c r="AD9" i="32"/>
  <c r="J11" i="30"/>
  <c r="D25" i="30"/>
  <c r="S24" i="30"/>
  <c r="I10" i="37"/>
  <c r="J10" i="37" s="1"/>
  <c r="L10" i="37" s="1"/>
  <c r="K10" i="37" s="1"/>
  <c r="L16" i="30"/>
  <c r="M16" i="30" s="1"/>
  <c r="AV18" i="29" s="1"/>
  <c r="N16" i="30" s="1"/>
  <c r="K30" i="30" s="1"/>
  <c r="V28" i="30"/>
  <c r="BM36" i="29"/>
  <c r="U8" i="32" s="1"/>
  <c r="AI31" i="30"/>
  <c r="AH31" i="30"/>
  <c r="U24" i="30"/>
  <c r="T24" i="30"/>
  <c r="L15" i="30"/>
  <c r="M15" i="30" s="1"/>
  <c r="AV17" i="29" s="1"/>
  <c r="N15" i="30" s="1"/>
  <c r="K29" i="30" s="1"/>
  <c r="L14" i="30"/>
  <c r="M14" i="30" s="1"/>
  <c r="AV16" i="29" s="1"/>
  <c r="N14" i="30" s="1"/>
  <c r="K28" i="30" s="1"/>
  <c r="L13" i="30"/>
  <c r="M13" i="30" s="1"/>
  <c r="AV15" i="29" s="1"/>
  <c r="N13" i="30" s="1"/>
  <c r="J12" i="30"/>
  <c r="I14" i="37"/>
  <c r="J14" i="37" s="1"/>
  <c r="L14" i="37" s="1"/>
  <c r="K14" i="37" s="1"/>
  <c r="I15" i="37"/>
  <c r="J15" i="37" s="1"/>
  <c r="L15" i="37" s="1"/>
  <c r="K15" i="37" s="1"/>
  <c r="I16" i="37"/>
  <c r="J16" i="37" s="1"/>
  <c r="L16" i="37" s="1"/>
  <c r="K16" i="37" s="1"/>
  <c r="AW10" i="29"/>
  <c r="AZ10" i="29" s="1"/>
  <c r="BC10" i="29" s="1"/>
  <c r="BF10" i="29" s="1"/>
  <c r="AV10" i="29"/>
  <c r="AY10" i="29" s="1"/>
  <c r="BB10" i="29" s="1"/>
  <c r="BE10" i="29" s="1"/>
  <c r="BO10" i="29" l="1"/>
  <c r="BR10" i="29" s="1"/>
  <c r="BU10" i="29" s="1"/>
  <c r="BH10" i="29"/>
  <c r="BP10" i="29"/>
  <c r="BS10" i="29" s="1"/>
  <c r="BV10" i="29" s="1"/>
  <c r="BI10" i="29"/>
  <c r="AS14" i="29"/>
  <c r="K12" i="30" s="1"/>
  <c r="K26" i="30" s="1"/>
  <c r="U12" i="30"/>
  <c r="BH14" i="29" s="1"/>
  <c r="V12" i="30" s="1"/>
  <c r="AS13" i="29"/>
  <c r="K11" i="30" s="1"/>
  <c r="U11" i="30"/>
  <c r="BH13" i="29" s="1"/>
  <c r="V11" i="30" s="1"/>
  <c r="AS12" i="29"/>
  <c r="K10" i="30" s="1"/>
  <c r="U10" i="30"/>
  <c r="BH12" i="29" s="1"/>
  <c r="V10" i="30" s="1"/>
  <c r="L10" i="30"/>
  <c r="M10" i="30" s="1"/>
  <c r="D24" i="30"/>
  <c r="K27" i="30"/>
  <c r="U24" i="32"/>
  <c r="T24" i="32"/>
  <c r="BP37" i="29"/>
  <c r="AA25" i="32"/>
  <c r="Z25" i="32"/>
  <c r="I38" i="32"/>
  <c r="H38" i="32"/>
  <c r="AE9" i="32" s="1"/>
  <c r="X24" i="32"/>
  <c r="Y24" i="32"/>
  <c r="AB24" i="30"/>
  <c r="AC24" i="30"/>
  <c r="AV55" i="15"/>
  <c r="AX55" i="15" s="1"/>
  <c r="AN8" i="32" l="1"/>
  <c r="M12" i="69"/>
  <c r="V24" i="32"/>
  <c r="H37" i="32" s="1"/>
  <c r="AE8" i="32" s="1"/>
  <c r="W24" i="32"/>
  <c r="I37" i="32" s="1"/>
  <c r="AM20" i="32"/>
  <c r="AY55" i="15"/>
  <c r="BD55" i="15" s="1"/>
  <c r="BF55" i="15" s="1"/>
  <c r="AY66" i="15"/>
  <c r="AZ55" i="15"/>
  <c r="BI55" i="15" s="1"/>
  <c r="AZ66" i="15"/>
  <c r="C100" i="15"/>
  <c r="C142" i="15" s="1"/>
  <c r="T125" i="15"/>
  <c r="R125" i="15"/>
  <c r="M65" i="15"/>
  <c r="I66" i="15"/>
  <c r="I86" i="15" s="1"/>
  <c r="I65" i="15"/>
  <c r="I85" i="15" s="1"/>
  <c r="G66" i="15"/>
  <c r="G86" i="15" s="1"/>
  <c r="G65" i="15"/>
  <c r="G85" i="15" s="1"/>
  <c r="BI11" i="15"/>
  <c r="BI22" i="15" s="1"/>
  <c r="X23" i="15"/>
  <c r="X54" i="15" s="1"/>
  <c r="W23" i="15"/>
  <c r="W54" i="15" s="1"/>
  <c r="F19" i="69" l="1"/>
  <c r="M113" i="15"/>
  <c r="M124" i="15" s="1"/>
  <c r="M85" i="15"/>
  <c r="AA24" i="32"/>
  <c r="Z24" i="32"/>
  <c r="BH55" i="15"/>
  <c r="BJ55" i="15" s="1"/>
  <c r="BE55" i="15"/>
  <c r="BI66" i="15"/>
  <c r="BE66" i="15"/>
  <c r="BG66" i="15"/>
  <c r="BC66" i="15"/>
  <c r="BK55" i="15"/>
  <c r="BK66" i="15"/>
  <c r="BG55" i="15"/>
  <c r="BD66" i="15"/>
  <c r="BF66" i="15"/>
  <c r="BB66" i="15"/>
  <c r="BH66" i="15"/>
  <c r="W66" i="15"/>
  <c r="W125" i="15" s="1"/>
  <c r="W12" i="15"/>
  <c r="X66" i="15"/>
  <c r="X125" i="15" s="1"/>
  <c r="X12" i="15"/>
  <c r="BJ66" i="15" l="1"/>
  <c r="V4" i="19"/>
  <c r="U4" i="19"/>
  <c r="T4" i="19"/>
  <c r="S4" i="19"/>
  <c r="R4" i="19"/>
  <c r="Q4" i="19"/>
  <c r="P4" i="19"/>
  <c r="O4" i="19"/>
  <c r="N4" i="19"/>
  <c r="M4" i="19"/>
  <c r="L4" i="19"/>
  <c r="K4" i="19"/>
  <c r="J4" i="19"/>
  <c r="I4" i="19"/>
  <c r="H4" i="19"/>
  <c r="G4" i="19"/>
  <c r="B547" i="16"/>
  <c r="B546" i="16"/>
  <c r="B541" i="16"/>
  <c r="B540" i="16"/>
  <c r="B539" i="16"/>
  <c r="B538" i="16"/>
  <c r="E527" i="16"/>
  <c r="E526" i="16"/>
  <c r="E525" i="16"/>
  <c r="BB127" i="15" s="1"/>
  <c r="J518" i="16"/>
  <c r="E518" i="16"/>
  <c r="J517" i="16"/>
  <c r="E517" i="16"/>
  <c r="J516" i="16"/>
  <c r="E516" i="16"/>
  <c r="J515" i="16"/>
  <c r="E515" i="16"/>
  <c r="J514" i="16"/>
  <c r="E514" i="16"/>
  <c r="A514" i="16"/>
  <c r="E512" i="16" s="1"/>
  <c r="J513" i="16"/>
  <c r="E513" i="16"/>
  <c r="J512" i="16"/>
  <c r="A512" i="16"/>
  <c r="E469" i="16"/>
  <c r="C469" i="16"/>
  <c r="E468" i="16"/>
  <c r="C468" i="16"/>
  <c r="E467" i="16"/>
  <c r="C467" i="16"/>
  <c r="E466" i="16"/>
  <c r="C466" i="16"/>
  <c r="E465" i="16"/>
  <c r="C465" i="16"/>
  <c r="E464" i="16"/>
  <c r="C464" i="16"/>
  <c r="E463" i="16"/>
  <c r="C463" i="16"/>
  <c r="E462" i="16"/>
  <c r="C462" i="16"/>
  <c r="E461" i="16"/>
  <c r="C461" i="16"/>
  <c r="E460" i="16"/>
  <c r="C460" i="16"/>
  <c r="E459" i="16"/>
  <c r="C459" i="16"/>
  <c r="E458" i="16"/>
  <c r="C458" i="16"/>
  <c r="E457" i="16"/>
  <c r="C457" i="16"/>
  <c r="E456" i="16"/>
  <c r="C456" i="16"/>
  <c r="E455" i="16"/>
  <c r="C455" i="16"/>
  <c r="E454" i="16"/>
  <c r="C454" i="16"/>
  <c r="E453" i="16"/>
  <c r="C453" i="16"/>
  <c r="E452" i="16"/>
  <c r="C452" i="16"/>
  <c r="E451" i="16"/>
  <c r="C451" i="16"/>
  <c r="E450" i="16"/>
  <c r="C450" i="16"/>
  <c r="E449" i="16"/>
  <c r="C449" i="16"/>
  <c r="E448" i="16"/>
  <c r="C448" i="16"/>
  <c r="E447" i="16"/>
  <c r="C447" i="16"/>
  <c r="E446" i="16"/>
  <c r="C446" i="16"/>
  <c r="E445" i="16"/>
  <c r="C445" i="16"/>
  <c r="E444" i="16"/>
  <c r="C444" i="16"/>
  <c r="C443" i="16"/>
  <c r="E442" i="16"/>
  <c r="C442" i="16"/>
  <c r="E441" i="16"/>
  <c r="C441" i="16"/>
  <c r="E440" i="16"/>
  <c r="C440" i="16"/>
  <c r="E439" i="16"/>
  <c r="C439" i="16"/>
  <c r="E438" i="16"/>
  <c r="C438" i="16"/>
  <c r="M437" i="16"/>
  <c r="L437" i="16"/>
  <c r="K437" i="16"/>
  <c r="J437" i="16"/>
  <c r="I437" i="16"/>
  <c r="H437" i="16"/>
  <c r="G437" i="16"/>
  <c r="F437" i="16"/>
  <c r="M436" i="16"/>
  <c r="L436" i="16"/>
  <c r="K436" i="16"/>
  <c r="J436" i="16"/>
  <c r="I436" i="16"/>
  <c r="H436" i="16"/>
  <c r="G436" i="16"/>
  <c r="F436" i="16"/>
  <c r="M435" i="16"/>
  <c r="L435" i="16"/>
  <c r="K435" i="16"/>
  <c r="J435" i="16"/>
  <c r="I435" i="16"/>
  <c r="H435" i="16"/>
  <c r="G435" i="16"/>
  <c r="F435" i="16"/>
  <c r="M434" i="16"/>
  <c r="L434" i="16"/>
  <c r="K434" i="16"/>
  <c r="J434" i="16"/>
  <c r="I434" i="16"/>
  <c r="H434" i="16"/>
  <c r="G434" i="16"/>
  <c r="F434" i="16"/>
  <c r="M433" i="16"/>
  <c r="L433" i="16"/>
  <c r="K433" i="16"/>
  <c r="J433" i="16"/>
  <c r="I433" i="16"/>
  <c r="H433" i="16"/>
  <c r="G433" i="16"/>
  <c r="F433" i="16"/>
  <c r="M432" i="16"/>
  <c r="L432" i="16"/>
  <c r="K432" i="16"/>
  <c r="J432" i="16"/>
  <c r="I432" i="16"/>
  <c r="H432" i="16"/>
  <c r="G432" i="16"/>
  <c r="F432" i="16"/>
  <c r="M431" i="16"/>
  <c r="L431" i="16"/>
  <c r="K431" i="16"/>
  <c r="J431" i="16"/>
  <c r="I431" i="16"/>
  <c r="H431" i="16"/>
  <c r="G431" i="16"/>
  <c r="F431" i="16"/>
  <c r="M430" i="16"/>
  <c r="L430" i="16"/>
  <c r="K430" i="16"/>
  <c r="J430" i="16"/>
  <c r="I430" i="16"/>
  <c r="H430" i="16"/>
  <c r="G430" i="16"/>
  <c r="F430" i="16"/>
  <c r="M429" i="16"/>
  <c r="L429" i="16"/>
  <c r="K429" i="16"/>
  <c r="J429" i="16"/>
  <c r="I429" i="16"/>
  <c r="H429" i="16"/>
  <c r="G429" i="16"/>
  <c r="F429" i="16"/>
  <c r="M428" i="16"/>
  <c r="L428" i="16"/>
  <c r="K428" i="16"/>
  <c r="J428" i="16"/>
  <c r="I428" i="16"/>
  <c r="H428" i="16"/>
  <c r="G428" i="16"/>
  <c r="F428" i="16"/>
  <c r="M427" i="16"/>
  <c r="L427" i="16"/>
  <c r="K427" i="16"/>
  <c r="J427" i="16"/>
  <c r="I427" i="16"/>
  <c r="H427" i="16"/>
  <c r="G427" i="16"/>
  <c r="F427" i="16"/>
  <c r="M426" i="16"/>
  <c r="L426" i="16"/>
  <c r="K426" i="16"/>
  <c r="J426" i="16"/>
  <c r="I426" i="16"/>
  <c r="H426" i="16"/>
  <c r="F426" i="16"/>
  <c r="M425" i="16"/>
  <c r="L425" i="16"/>
  <c r="K425" i="16"/>
  <c r="J425" i="16"/>
  <c r="I425" i="16"/>
  <c r="H425" i="16"/>
  <c r="F425" i="16"/>
  <c r="M424" i="16"/>
  <c r="L424" i="16"/>
  <c r="K424" i="16"/>
  <c r="J424" i="16"/>
  <c r="I424" i="16"/>
  <c r="H424" i="16"/>
  <c r="F424" i="16"/>
  <c r="M423" i="16"/>
  <c r="L423" i="16"/>
  <c r="K423" i="16"/>
  <c r="J423" i="16"/>
  <c r="I423" i="16"/>
  <c r="H423" i="16"/>
  <c r="F423" i="16"/>
  <c r="M422" i="16"/>
  <c r="L422" i="16"/>
  <c r="K422" i="16"/>
  <c r="J422" i="16"/>
  <c r="I422" i="16"/>
  <c r="H422" i="16"/>
  <c r="F422" i="16"/>
  <c r="E421" i="16"/>
  <c r="I781" i="16" s="1"/>
  <c r="C421" i="16"/>
  <c r="E420" i="16"/>
  <c r="I780" i="16" s="1"/>
  <c r="C420" i="16"/>
  <c r="E419" i="16"/>
  <c r="I779" i="16" s="1"/>
  <c r="C419" i="16"/>
  <c r="E418" i="16"/>
  <c r="I778" i="16" s="1"/>
  <c r="C418" i="16"/>
  <c r="E417" i="16"/>
  <c r="C417" i="16"/>
  <c r="E416" i="16"/>
  <c r="C416" i="16"/>
  <c r="E415" i="16"/>
  <c r="C415" i="16"/>
  <c r="E414" i="16"/>
  <c r="C414" i="16"/>
  <c r="E413" i="16"/>
  <c r="C413" i="16"/>
  <c r="E412" i="16"/>
  <c r="C412" i="16"/>
  <c r="C411" i="16"/>
  <c r="E410" i="16"/>
  <c r="C410" i="16"/>
  <c r="E409" i="16"/>
  <c r="C409" i="16"/>
  <c r="E408" i="16"/>
  <c r="C408" i="16"/>
  <c r="E407" i="16"/>
  <c r="C407" i="16"/>
  <c r="E406" i="16"/>
  <c r="C406" i="16"/>
  <c r="E405" i="16"/>
  <c r="C405" i="16"/>
  <c r="E404" i="16"/>
  <c r="C404" i="16"/>
  <c r="E403" i="16"/>
  <c r="C403" i="16"/>
  <c r="E402" i="16"/>
  <c r="C402" i="16"/>
  <c r="E401" i="16"/>
  <c r="C401" i="16"/>
  <c r="E400" i="16"/>
  <c r="C400" i="16"/>
  <c r="E399" i="16"/>
  <c r="C399" i="16"/>
  <c r="E398" i="16"/>
  <c r="C398" i="16"/>
  <c r="E397" i="16"/>
  <c r="C397" i="16"/>
  <c r="E396" i="16"/>
  <c r="C396" i="16"/>
  <c r="E395" i="16"/>
  <c r="C395" i="16"/>
  <c r="E394" i="16"/>
  <c r="C394" i="16"/>
  <c r="E393" i="16"/>
  <c r="C393" i="16"/>
  <c r="E392" i="16"/>
  <c r="C392" i="16"/>
  <c r="E391" i="16"/>
  <c r="C391" i="16"/>
  <c r="E390" i="16"/>
  <c r="C390" i="16"/>
  <c r="E389" i="16"/>
  <c r="C389" i="16"/>
  <c r="E388" i="16"/>
  <c r="C388" i="16"/>
  <c r="E387" i="16"/>
  <c r="C387" i="16"/>
  <c r="E386" i="16"/>
  <c r="C386" i="16"/>
  <c r="E385" i="16"/>
  <c r="C385" i="16"/>
  <c r="E384" i="16"/>
  <c r="C384" i="16"/>
  <c r="E383" i="16"/>
  <c r="C383" i="16"/>
  <c r="E382" i="16"/>
  <c r="C382" i="16"/>
  <c r="E381" i="16"/>
  <c r="C381" i="16"/>
  <c r="E380" i="16"/>
  <c r="C380" i="16"/>
  <c r="E379" i="16"/>
  <c r="C379" i="16"/>
  <c r="E378" i="16"/>
  <c r="C378" i="16"/>
  <c r="E377" i="16"/>
  <c r="C377" i="16"/>
  <c r="E376" i="16"/>
  <c r="C376" i="16"/>
  <c r="E375" i="16"/>
  <c r="C375" i="16"/>
  <c r="E374" i="16"/>
  <c r="C374" i="16"/>
  <c r="E373" i="16"/>
  <c r="C373" i="16"/>
  <c r="E372" i="16"/>
  <c r="C372" i="16"/>
  <c r="E371" i="16"/>
  <c r="C371" i="16"/>
  <c r="E370" i="16"/>
  <c r="C370" i="16"/>
  <c r="E369" i="16"/>
  <c r="C369" i="16"/>
  <c r="E368" i="16"/>
  <c r="C368" i="16"/>
  <c r="E367" i="16"/>
  <c r="C367" i="16"/>
  <c r="E366" i="16"/>
  <c r="C366" i="16"/>
  <c r="E365" i="16"/>
  <c r="C365" i="16"/>
  <c r="E364" i="16"/>
  <c r="C364" i="16"/>
  <c r="E363" i="16"/>
  <c r="C363" i="16"/>
  <c r="E362" i="16"/>
  <c r="C362" i="16"/>
  <c r="E361" i="16"/>
  <c r="C361" i="16"/>
  <c r="E360" i="16"/>
  <c r="C360" i="16"/>
  <c r="E359" i="16"/>
  <c r="C359" i="16"/>
  <c r="E358" i="16"/>
  <c r="C358" i="16"/>
  <c r="E357" i="16"/>
  <c r="C357" i="16"/>
  <c r="E356" i="16"/>
  <c r="C356" i="16"/>
  <c r="E355" i="16"/>
  <c r="C355" i="16"/>
  <c r="E354" i="16"/>
  <c r="C354" i="16"/>
  <c r="E353" i="16"/>
  <c r="C353" i="16"/>
  <c r="E352" i="16"/>
  <c r="C352" i="16"/>
  <c r="E351" i="16"/>
  <c r="C351" i="16"/>
  <c r="E350" i="16"/>
  <c r="C350" i="16"/>
  <c r="E349" i="16"/>
  <c r="C349" i="16"/>
  <c r="E348" i="16"/>
  <c r="C348" i="16"/>
  <c r="E347" i="16"/>
  <c r="C347" i="16"/>
  <c r="E346" i="16"/>
  <c r="C346" i="16"/>
  <c r="E345" i="16"/>
  <c r="C345" i="16"/>
  <c r="E344" i="16"/>
  <c r="C344" i="16"/>
  <c r="E343" i="16"/>
  <c r="C343" i="16"/>
  <c r="E342" i="16"/>
  <c r="C342" i="16"/>
  <c r="E341" i="16"/>
  <c r="A341" i="16"/>
  <c r="C341" i="16" s="1"/>
  <c r="E340" i="16"/>
  <c r="A340" i="16"/>
  <c r="C340" i="16" s="1"/>
  <c r="E339" i="16"/>
  <c r="A339" i="16"/>
  <c r="C339" i="16" s="1"/>
  <c r="E338" i="16"/>
  <c r="A338" i="16"/>
  <c r="C338" i="16" s="1"/>
  <c r="E337" i="16"/>
  <c r="A337" i="16"/>
  <c r="C337" i="16" s="1"/>
  <c r="E336" i="16"/>
  <c r="A336" i="16"/>
  <c r="C336" i="16" s="1"/>
  <c r="E335" i="16"/>
  <c r="A335" i="16"/>
  <c r="C335" i="16" s="1"/>
  <c r="E334" i="16"/>
  <c r="A334" i="16"/>
  <c r="C334" i="16" s="1"/>
  <c r="E333" i="16"/>
  <c r="A333" i="16"/>
  <c r="C333" i="16" s="1"/>
  <c r="E332" i="16"/>
  <c r="A332" i="16"/>
  <c r="C332" i="16" s="1"/>
  <c r="E331" i="16"/>
  <c r="A331" i="16"/>
  <c r="C331" i="16" s="1"/>
  <c r="E330" i="16"/>
  <c r="A330" i="16"/>
  <c r="C330" i="16" s="1"/>
  <c r="E329" i="16"/>
  <c r="A329" i="16"/>
  <c r="C329" i="16" s="1"/>
  <c r="E328" i="16"/>
  <c r="A328" i="16"/>
  <c r="C328" i="16" s="1"/>
  <c r="E327" i="16"/>
  <c r="A327" i="16"/>
  <c r="C327" i="16" s="1"/>
  <c r="E326" i="16"/>
  <c r="A326" i="16"/>
  <c r="C326" i="16" s="1"/>
  <c r="E325" i="16"/>
  <c r="C325" i="16"/>
  <c r="E324" i="16"/>
  <c r="C324" i="16"/>
  <c r="E323" i="16"/>
  <c r="C323" i="16"/>
  <c r="E322" i="16"/>
  <c r="C322" i="16"/>
  <c r="E321" i="16"/>
  <c r="I697" i="16" s="1"/>
  <c r="C321" i="16"/>
  <c r="E320" i="16"/>
  <c r="I696" i="16" s="1"/>
  <c r="C320" i="16"/>
  <c r="E319" i="16"/>
  <c r="I695" i="16" s="1"/>
  <c r="C319" i="16"/>
  <c r="E318" i="16"/>
  <c r="C318" i="16"/>
  <c r="E317" i="16"/>
  <c r="I693" i="16" s="1"/>
  <c r="C317" i="16"/>
  <c r="C316" i="16"/>
  <c r="C315" i="16"/>
  <c r="C314" i="16"/>
  <c r="C313" i="16"/>
  <c r="C312" i="16"/>
  <c r="C311" i="16"/>
  <c r="C310" i="16"/>
  <c r="E298" i="16"/>
  <c r="C298" i="16"/>
  <c r="E297" i="16"/>
  <c r="C297" i="16"/>
  <c r="E296" i="16"/>
  <c r="C296" i="16"/>
  <c r="E295" i="16"/>
  <c r="C295" i="16"/>
  <c r="E294" i="16"/>
  <c r="C294" i="16"/>
  <c r="E293" i="16"/>
  <c r="C293" i="16"/>
  <c r="E292" i="16"/>
  <c r="C292" i="16"/>
  <c r="E291" i="16"/>
  <c r="C291" i="16"/>
  <c r="E290" i="16"/>
  <c r="C290" i="16"/>
  <c r="E289" i="16"/>
  <c r="C289" i="16"/>
  <c r="E288" i="16"/>
  <c r="C288" i="16"/>
  <c r="E287" i="16"/>
  <c r="C287" i="16"/>
  <c r="E286" i="16"/>
  <c r="C286" i="16"/>
  <c r="E285" i="16"/>
  <c r="C285" i="16"/>
  <c r="E284" i="16"/>
  <c r="C284" i="16"/>
  <c r="E283" i="16"/>
  <c r="C283" i="16"/>
  <c r="E282" i="16"/>
  <c r="C282" i="16"/>
  <c r="E281" i="16"/>
  <c r="C281" i="16"/>
  <c r="E280" i="16"/>
  <c r="C280" i="16"/>
  <c r="C279" i="16"/>
  <c r="E278" i="16"/>
  <c r="C278" i="16"/>
  <c r="E277" i="16"/>
  <c r="C277" i="16"/>
  <c r="E276" i="16"/>
  <c r="C276" i="16"/>
  <c r="E275" i="16"/>
  <c r="C275" i="16"/>
  <c r="C274" i="16"/>
  <c r="E273" i="16"/>
  <c r="C273" i="16"/>
  <c r="E272" i="16"/>
  <c r="C272" i="16"/>
  <c r="C271" i="16"/>
  <c r="E270" i="16"/>
  <c r="C270" i="16"/>
  <c r="E269" i="16"/>
  <c r="C269" i="16"/>
  <c r="E268" i="16"/>
  <c r="C268" i="16"/>
  <c r="E267" i="16"/>
  <c r="C267" i="16"/>
  <c r="E266" i="16"/>
  <c r="I845" i="16" s="1"/>
  <c r="C266" i="16"/>
  <c r="E265" i="16"/>
  <c r="I844" i="16" s="1"/>
  <c r="C265" i="16"/>
  <c r="E264" i="16"/>
  <c r="I843" i="16" s="1"/>
  <c r="C264" i="16"/>
  <c r="E263" i="16"/>
  <c r="I842" i="16" s="1"/>
  <c r="C263" i="16"/>
  <c r="E262" i="16"/>
  <c r="I841" i="16" s="1"/>
  <c r="C262" i="16"/>
  <c r="E261" i="16"/>
  <c r="I840" i="16" s="1"/>
  <c r="C261" i="16"/>
  <c r="E260" i="16"/>
  <c r="I839" i="16" s="1"/>
  <c r="C260" i="16"/>
  <c r="E259" i="16"/>
  <c r="I838" i="16" s="1"/>
  <c r="C259" i="16"/>
  <c r="E258" i="16"/>
  <c r="I837" i="16" s="1"/>
  <c r="C258" i="16"/>
  <c r="E257" i="16"/>
  <c r="I836" i="16" s="1"/>
  <c r="C257" i="16"/>
  <c r="E256" i="16"/>
  <c r="I835" i="16" s="1"/>
  <c r="C256" i="16"/>
  <c r="E255" i="16"/>
  <c r="I834" i="16" s="1"/>
  <c r="C255" i="16"/>
  <c r="E254" i="16"/>
  <c r="I833" i="16" s="1"/>
  <c r="C254" i="16"/>
  <c r="E253" i="16"/>
  <c r="I832" i="16" s="1"/>
  <c r="C253" i="16"/>
  <c r="E252" i="16"/>
  <c r="I831" i="16" s="1"/>
  <c r="C252" i="16"/>
  <c r="C251" i="16"/>
  <c r="E250" i="16"/>
  <c r="I829" i="16" s="1"/>
  <c r="C250" i="16"/>
  <c r="E249" i="16"/>
  <c r="I828" i="16" s="1"/>
  <c r="C249" i="16"/>
  <c r="E248" i="16"/>
  <c r="I827" i="16" s="1"/>
  <c r="C248" i="16"/>
  <c r="E247" i="16"/>
  <c r="I826" i="16" s="1"/>
  <c r="C247" i="16"/>
  <c r="E246" i="16"/>
  <c r="I825" i="16" s="1"/>
  <c r="C246" i="16"/>
  <c r="E245" i="16"/>
  <c r="I824" i="16" s="1"/>
  <c r="C245" i="16"/>
  <c r="E244" i="16"/>
  <c r="I823" i="16" s="1"/>
  <c r="C244" i="16"/>
  <c r="E243" i="16"/>
  <c r="I822" i="16" s="1"/>
  <c r="C243" i="16"/>
  <c r="E242" i="16"/>
  <c r="I821" i="16" s="1"/>
  <c r="C242" i="16"/>
  <c r="E241" i="16"/>
  <c r="I820" i="16" s="1"/>
  <c r="C241" i="16"/>
  <c r="E240" i="16"/>
  <c r="I819" i="16" s="1"/>
  <c r="C240" i="16"/>
  <c r="E239" i="16"/>
  <c r="I818" i="16" s="1"/>
  <c r="C239" i="16"/>
  <c r="E238" i="16"/>
  <c r="I817" i="16" s="1"/>
  <c r="C238" i="16"/>
  <c r="E237" i="16"/>
  <c r="I816" i="16" s="1"/>
  <c r="C237" i="16"/>
  <c r="E236" i="16"/>
  <c r="I815" i="16" s="1"/>
  <c r="C236" i="16"/>
  <c r="E235" i="16"/>
  <c r="I814" i="16" s="1"/>
  <c r="C235" i="16"/>
  <c r="E234" i="16"/>
  <c r="C234" i="16"/>
  <c r="E233" i="16"/>
  <c r="C233" i="16"/>
  <c r="E232" i="16"/>
  <c r="C232" i="16"/>
  <c r="E231" i="16"/>
  <c r="C231" i="16"/>
  <c r="E230" i="16"/>
  <c r="C230" i="16"/>
  <c r="E229" i="16"/>
  <c r="C229" i="16"/>
  <c r="E228" i="16"/>
  <c r="C228" i="16"/>
  <c r="E227" i="16"/>
  <c r="C227" i="16"/>
  <c r="E226" i="16"/>
  <c r="C226" i="16"/>
  <c r="E225" i="16"/>
  <c r="C225" i="16"/>
  <c r="E224" i="16"/>
  <c r="I803" i="16" s="1"/>
  <c r="C224" i="16"/>
  <c r="E223" i="16"/>
  <c r="C223" i="16"/>
  <c r="E222" i="16"/>
  <c r="C222" i="16"/>
  <c r="E221" i="16"/>
  <c r="C221" i="16"/>
  <c r="E220" i="16"/>
  <c r="C220" i="16"/>
  <c r="E219" i="16"/>
  <c r="C219" i="16"/>
  <c r="M218" i="16"/>
  <c r="L218" i="16"/>
  <c r="K218" i="16"/>
  <c r="J218" i="16"/>
  <c r="I218" i="16"/>
  <c r="H218" i="16"/>
  <c r="G218" i="16"/>
  <c r="F218" i="16"/>
  <c r="M217" i="16"/>
  <c r="L217" i="16"/>
  <c r="K217" i="16"/>
  <c r="J217" i="16"/>
  <c r="I217" i="16"/>
  <c r="H217" i="16"/>
  <c r="G217" i="16"/>
  <c r="F217" i="16"/>
  <c r="M216" i="16"/>
  <c r="L216" i="16"/>
  <c r="K216" i="16"/>
  <c r="J216" i="16"/>
  <c r="I216" i="16"/>
  <c r="H216" i="16"/>
  <c r="G216" i="16"/>
  <c r="F216" i="16"/>
  <c r="M215" i="16"/>
  <c r="L215" i="16"/>
  <c r="K215" i="16"/>
  <c r="J215" i="16"/>
  <c r="I215" i="16"/>
  <c r="H215" i="16"/>
  <c r="G215" i="16"/>
  <c r="F215" i="16"/>
  <c r="M214" i="16"/>
  <c r="L214" i="16"/>
  <c r="K214" i="16"/>
  <c r="J214" i="16"/>
  <c r="I214" i="16"/>
  <c r="H214" i="16"/>
  <c r="G214" i="16"/>
  <c r="F214" i="16"/>
  <c r="M213" i="16"/>
  <c r="L213" i="16"/>
  <c r="K213" i="16"/>
  <c r="J213" i="16"/>
  <c r="I213" i="16"/>
  <c r="H213" i="16"/>
  <c r="G213" i="16"/>
  <c r="F213" i="16"/>
  <c r="M212" i="16"/>
  <c r="L212" i="16"/>
  <c r="K212" i="16"/>
  <c r="J212" i="16"/>
  <c r="I212" i="16"/>
  <c r="H212" i="16"/>
  <c r="G212" i="16"/>
  <c r="F212" i="16"/>
  <c r="M211" i="16"/>
  <c r="L211" i="16"/>
  <c r="K211" i="16"/>
  <c r="J211" i="16"/>
  <c r="I211" i="16"/>
  <c r="H211" i="16"/>
  <c r="G211" i="16"/>
  <c r="F211" i="16"/>
  <c r="M210" i="16"/>
  <c r="L210" i="16"/>
  <c r="K210" i="16"/>
  <c r="J210" i="16"/>
  <c r="I210" i="16"/>
  <c r="H210" i="16"/>
  <c r="G210" i="16"/>
  <c r="F210" i="16"/>
  <c r="M209" i="16"/>
  <c r="L209" i="16"/>
  <c r="K209" i="16"/>
  <c r="J209" i="16"/>
  <c r="I209" i="16"/>
  <c r="H209" i="16"/>
  <c r="G209" i="16"/>
  <c r="F209" i="16"/>
  <c r="M208" i="16"/>
  <c r="L208" i="16"/>
  <c r="K208" i="16"/>
  <c r="J208" i="16"/>
  <c r="I208" i="16"/>
  <c r="H208" i="16"/>
  <c r="G208" i="16"/>
  <c r="F208" i="16"/>
  <c r="M207" i="16"/>
  <c r="L207" i="16"/>
  <c r="K207" i="16"/>
  <c r="J207" i="16"/>
  <c r="I207" i="16"/>
  <c r="H207" i="16"/>
  <c r="F207" i="16"/>
  <c r="M206" i="16"/>
  <c r="L206" i="16"/>
  <c r="K206" i="16"/>
  <c r="J206" i="16"/>
  <c r="I206" i="16"/>
  <c r="H206" i="16"/>
  <c r="F206" i="16"/>
  <c r="M205" i="16"/>
  <c r="L205" i="16"/>
  <c r="K205" i="16"/>
  <c r="J205" i="16"/>
  <c r="I205" i="16"/>
  <c r="H205" i="16"/>
  <c r="F205" i="16"/>
  <c r="M204" i="16"/>
  <c r="L204" i="16"/>
  <c r="K204" i="16"/>
  <c r="J204" i="16"/>
  <c r="I204" i="16"/>
  <c r="H204" i="16"/>
  <c r="F204" i="16"/>
  <c r="M203" i="16"/>
  <c r="L203" i="16"/>
  <c r="K203" i="16"/>
  <c r="J203" i="16"/>
  <c r="I203" i="16"/>
  <c r="H203" i="16"/>
  <c r="F203" i="16"/>
  <c r="E198" i="16"/>
  <c r="C198" i="16"/>
  <c r="E197" i="16"/>
  <c r="C197" i="16"/>
  <c r="E196" i="16"/>
  <c r="C196" i="16"/>
  <c r="E195" i="16"/>
  <c r="C195" i="16"/>
  <c r="E194" i="16"/>
  <c r="C194" i="16"/>
  <c r="E193" i="16"/>
  <c r="C193" i="16"/>
  <c r="E192" i="16"/>
  <c r="I771" i="16" s="1"/>
  <c r="C192" i="16"/>
  <c r="E191" i="16"/>
  <c r="C191" i="16"/>
  <c r="E190" i="16"/>
  <c r="C190" i="16"/>
  <c r="E189" i="16"/>
  <c r="C189" i="16"/>
  <c r="E188" i="16"/>
  <c r="C188" i="16"/>
  <c r="E187" i="16"/>
  <c r="C187" i="16"/>
  <c r="E186" i="16"/>
  <c r="C186" i="16"/>
  <c r="E185" i="16"/>
  <c r="C185" i="16"/>
  <c r="E184" i="16"/>
  <c r="C184" i="16"/>
  <c r="E183" i="16"/>
  <c r="C183" i="16"/>
  <c r="E182" i="16"/>
  <c r="C182" i="16"/>
  <c r="E181" i="16"/>
  <c r="C181" i="16"/>
  <c r="E180" i="16"/>
  <c r="C180" i="16"/>
  <c r="E179" i="16"/>
  <c r="C179" i="16"/>
  <c r="E178" i="16"/>
  <c r="C178" i="16"/>
  <c r="E177" i="16"/>
  <c r="C177" i="16"/>
  <c r="E176" i="16"/>
  <c r="C176" i="16"/>
  <c r="E175" i="16"/>
  <c r="C175" i="16"/>
  <c r="E174" i="16"/>
  <c r="C174" i="16"/>
  <c r="E173" i="16"/>
  <c r="C173" i="16"/>
  <c r="E172" i="16"/>
  <c r="C172" i="16"/>
  <c r="E171" i="16"/>
  <c r="C171" i="16"/>
  <c r="E170" i="16"/>
  <c r="I749" i="16" s="1"/>
  <c r="C170" i="16"/>
  <c r="E169" i="16"/>
  <c r="I748" i="16" s="1"/>
  <c r="C169" i="16"/>
  <c r="E168" i="16"/>
  <c r="I747" i="16" s="1"/>
  <c r="C168" i="16"/>
  <c r="E167" i="16"/>
  <c r="I746" i="16" s="1"/>
  <c r="C167" i="16"/>
  <c r="E166" i="16"/>
  <c r="I745" i="16" s="1"/>
  <c r="C166" i="16"/>
  <c r="E165" i="16"/>
  <c r="I744" i="16" s="1"/>
  <c r="C165" i="16"/>
  <c r="E164" i="16"/>
  <c r="I743" i="16" s="1"/>
  <c r="C164" i="16"/>
  <c r="E163" i="16"/>
  <c r="I742" i="16" s="1"/>
  <c r="C163" i="16"/>
  <c r="E162" i="16"/>
  <c r="I741" i="16" s="1"/>
  <c r="C162" i="16"/>
  <c r="E161" i="16"/>
  <c r="I740" i="16" s="1"/>
  <c r="C161" i="16"/>
  <c r="E160" i="16"/>
  <c r="I739" i="16" s="1"/>
  <c r="C160" i="16"/>
  <c r="E159" i="16"/>
  <c r="I738" i="16" s="1"/>
  <c r="C159" i="16"/>
  <c r="E158" i="16"/>
  <c r="I737" i="16" s="1"/>
  <c r="C158" i="16"/>
  <c r="E157" i="16"/>
  <c r="I736" i="16" s="1"/>
  <c r="C157" i="16"/>
  <c r="E156" i="16"/>
  <c r="I735" i="16" s="1"/>
  <c r="C156" i="16"/>
  <c r="E155" i="16"/>
  <c r="I734" i="16" s="1"/>
  <c r="C155" i="16"/>
  <c r="E154" i="16"/>
  <c r="I733" i="16" s="1"/>
  <c r="C154" i="16"/>
  <c r="E153" i="16"/>
  <c r="I732" i="16" s="1"/>
  <c r="C153" i="16"/>
  <c r="E152" i="16"/>
  <c r="I731" i="16" s="1"/>
  <c r="C152" i="16"/>
  <c r="E151" i="16"/>
  <c r="I730" i="16" s="1"/>
  <c r="C151" i="16"/>
  <c r="E150" i="16"/>
  <c r="I729" i="16" s="1"/>
  <c r="C150" i="16"/>
  <c r="E149" i="16"/>
  <c r="I728" i="16" s="1"/>
  <c r="C149" i="16"/>
  <c r="E148" i="16"/>
  <c r="I727" i="16" s="1"/>
  <c r="C148" i="16"/>
  <c r="E147" i="16"/>
  <c r="I726" i="16" s="1"/>
  <c r="C147" i="16"/>
  <c r="E146" i="16"/>
  <c r="I725" i="16" s="1"/>
  <c r="C146" i="16"/>
  <c r="E145" i="16"/>
  <c r="I724" i="16" s="1"/>
  <c r="C145" i="16"/>
  <c r="E144" i="16"/>
  <c r="I723" i="16" s="1"/>
  <c r="C144" i="16"/>
  <c r="E143" i="16"/>
  <c r="I722" i="16" s="1"/>
  <c r="C143" i="16"/>
  <c r="E142" i="16"/>
  <c r="I721" i="16" s="1"/>
  <c r="C142" i="16"/>
  <c r="E141" i="16"/>
  <c r="I720" i="16" s="1"/>
  <c r="C141" i="16"/>
  <c r="E140" i="16"/>
  <c r="I719" i="16" s="1"/>
  <c r="C140" i="16"/>
  <c r="E139" i="16"/>
  <c r="I718" i="16" s="1"/>
  <c r="C139" i="16"/>
  <c r="E138" i="16"/>
  <c r="I717" i="16" s="1"/>
  <c r="C138" i="16"/>
  <c r="E137" i="16"/>
  <c r="I716" i="16" s="1"/>
  <c r="C137" i="16"/>
  <c r="T178" i="16" s="1"/>
  <c r="V757" i="16" s="1"/>
  <c r="E136" i="16"/>
  <c r="C136" i="16"/>
  <c r="E135" i="16"/>
  <c r="C135" i="16"/>
  <c r="E134" i="16"/>
  <c r="I713" i="16" s="1"/>
  <c r="C134" i="16"/>
  <c r="E133" i="16"/>
  <c r="I712" i="16" s="1"/>
  <c r="C133" i="16"/>
  <c r="E132" i="16"/>
  <c r="I711" i="16" s="1"/>
  <c r="C132" i="16"/>
  <c r="E131" i="16"/>
  <c r="I710" i="16" s="1"/>
  <c r="C131" i="16"/>
  <c r="E130" i="16"/>
  <c r="I709" i="16" s="1"/>
  <c r="C130" i="16"/>
  <c r="E129" i="16"/>
  <c r="I708" i="16" s="1"/>
  <c r="C129" i="16"/>
  <c r="E128" i="16"/>
  <c r="I707" i="16" s="1"/>
  <c r="C128" i="16"/>
  <c r="E127" i="16"/>
  <c r="I706" i="16" s="1"/>
  <c r="C127" i="16"/>
  <c r="E126" i="16"/>
  <c r="I705" i="16" s="1"/>
  <c r="C126" i="16"/>
  <c r="E125" i="16"/>
  <c r="I704" i="16" s="1"/>
  <c r="C125" i="16"/>
  <c r="E124" i="16"/>
  <c r="I703" i="16" s="1"/>
  <c r="C124" i="16"/>
  <c r="E123" i="16"/>
  <c r="I702" i="16" s="1"/>
  <c r="C123" i="16"/>
  <c r="E122" i="16"/>
  <c r="I701" i="16" s="1"/>
  <c r="C122" i="16"/>
  <c r="E121" i="16"/>
  <c r="I700" i="16" s="1"/>
  <c r="C121" i="16"/>
  <c r="E120" i="16"/>
  <c r="I699" i="16" s="1"/>
  <c r="C120" i="16"/>
  <c r="I698" i="16"/>
  <c r="C119" i="16"/>
  <c r="C118" i="16"/>
  <c r="C117" i="16"/>
  <c r="C116" i="16"/>
  <c r="E115" i="16"/>
  <c r="C115" i="16"/>
  <c r="C114" i="16"/>
  <c r="E113" i="16"/>
  <c r="I692" i="16" s="1"/>
  <c r="C113" i="16"/>
  <c r="C112" i="16"/>
  <c r="C111" i="16"/>
  <c r="C110" i="16"/>
  <c r="C109" i="16"/>
  <c r="C108" i="16"/>
  <c r="C107" i="16"/>
  <c r="G38" i="16"/>
  <c r="F38" i="16"/>
  <c r="E38" i="16"/>
  <c r="D38" i="16"/>
  <c r="C38" i="16"/>
  <c r="F24" i="16"/>
  <c r="F21" i="16"/>
  <c r="F90" i="2"/>
  <c r="F120" i="2" s="1"/>
  <c r="G57" i="2"/>
  <c r="W28" i="30" s="1"/>
  <c r="X28" i="30" s="1"/>
  <c r="F32" i="2"/>
  <c r="E29" i="2"/>
  <c r="G12" i="2"/>
  <c r="G11" i="2"/>
  <c r="G10" i="2"/>
  <c r="G9" i="2"/>
  <c r="G8" i="2"/>
  <c r="F7" i="2"/>
  <c r="K33" i="2" s="1"/>
  <c r="L33" i="2" s="1"/>
  <c r="J33" i="2" s="1"/>
  <c r="L6" i="2"/>
  <c r="M6" i="2" s="1"/>
  <c r="O77" i="14"/>
  <c r="D77" i="14"/>
  <c r="O76" i="14"/>
  <c r="D76" i="14"/>
  <c r="O75" i="14"/>
  <c r="D75" i="14"/>
  <c r="O74" i="14"/>
  <c r="D74" i="14"/>
  <c r="O73" i="14"/>
  <c r="D73" i="14"/>
  <c r="O72" i="14"/>
  <c r="D72" i="14"/>
  <c r="O71" i="14"/>
  <c r="D71" i="14"/>
  <c r="O70" i="14"/>
  <c r="D70" i="14"/>
  <c r="O69" i="14"/>
  <c r="D69" i="14"/>
  <c r="O68" i="14"/>
  <c r="H47" i="14"/>
  <c r="G47" i="14"/>
  <c r="F47" i="14"/>
  <c r="E47" i="14"/>
  <c r="D47" i="14"/>
  <c r="H46" i="14"/>
  <c r="G46" i="14"/>
  <c r="F46" i="14"/>
  <c r="E46" i="14"/>
  <c r="D46" i="14"/>
  <c r="H45" i="14"/>
  <c r="G45" i="14"/>
  <c r="F45" i="14"/>
  <c r="E45" i="14"/>
  <c r="D45" i="14"/>
  <c r="H44" i="14"/>
  <c r="G44" i="14"/>
  <c r="F44" i="14"/>
  <c r="E44" i="14"/>
  <c r="AI44" i="14" s="1"/>
  <c r="D44" i="14"/>
  <c r="AE44" i="14" s="1"/>
  <c r="H43" i="14"/>
  <c r="G43" i="14"/>
  <c r="F43" i="14"/>
  <c r="E43" i="14"/>
  <c r="D43" i="14"/>
  <c r="H42" i="14"/>
  <c r="G42" i="14"/>
  <c r="F42" i="14"/>
  <c r="E42" i="14"/>
  <c r="D42" i="14"/>
  <c r="H41" i="14"/>
  <c r="G41" i="14"/>
  <c r="F41" i="14"/>
  <c r="E41" i="14"/>
  <c r="D41" i="14"/>
  <c r="H40" i="14"/>
  <c r="G40" i="14"/>
  <c r="AM40" i="14" s="1"/>
  <c r="F40" i="14"/>
  <c r="E40" i="14"/>
  <c r="AI40" i="14" s="1"/>
  <c r="D40" i="14"/>
  <c r="AE40" i="14" s="1"/>
  <c r="H39" i="14"/>
  <c r="G39" i="14"/>
  <c r="F39" i="14"/>
  <c r="E39" i="14"/>
  <c r="AI39" i="14" s="1"/>
  <c r="D39" i="14"/>
  <c r="AE39" i="14" s="1"/>
  <c r="H38" i="14"/>
  <c r="G38" i="14"/>
  <c r="E38" i="14"/>
  <c r="D38" i="14"/>
  <c r="H25" i="14"/>
  <c r="G25" i="14"/>
  <c r="F25" i="14"/>
  <c r="H24" i="14"/>
  <c r="G24" i="14"/>
  <c r="F24" i="14"/>
  <c r="C76" i="14"/>
  <c r="H23" i="14"/>
  <c r="G23" i="14"/>
  <c r="F23" i="14"/>
  <c r="H22" i="14"/>
  <c r="G22" i="14"/>
  <c r="F22" i="14"/>
  <c r="H21" i="14"/>
  <c r="G21" i="14"/>
  <c r="F21" i="14"/>
  <c r="H20" i="14"/>
  <c r="G20" i="14"/>
  <c r="F20" i="14"/>
  <c r="C42" i="14"/>
  <c r="H19" i="14"/>
  <c r="G19" i="14"/>
  <c r="F19" i="14"/>
  <c r="H18" i="14"/>
  <c r="G18" i="14"/>
  <c r="F18" i="14"/>
  <c r="C70" i="14"/>
  <c r="H17" i="14"/>
  <c r="G17" i="14"/>
  <c r="F17" i="14"/>
  <c r="C69" i="14"/>
  <c r="H16" i="14"/>
  <c r="S16" i="14" s="1"/>
  <c r="G16" i="14"/>
  <c r="F16" i="14"/>
  <c r="C68" i="14"/>
  <c r="G43" i="25"/>
  <c r="M43" i="25" s="1"/>
  <c r="F43" i="25"/>
  <c r="E43" i="25"/>
  <c r="K43" i="25" s="1"/>
  <c r="D43" i="25"/>
  <c r="C43" i="25"/>
  <c r="I43" i="25" s="1"/>
  <c r="G42" i="25"/>
  <c r="M42" i="25" s="1"/>
  <c r="F42" i="25"/>
  <c r="E42" i="25"/>
  <c r="K42" i="25" s="1"/>
  <c r="D42" i="25"/>
  <c r="C42" i="25"/>
  <c r="I42" i="25" s="1"/>
  <c r="G41" i="25"/>
  <c r="M41" i="25" s="1"/>
  <c r="F41" i="25"/>
  <c r="E41" i="25"/>
  <c r="K41" i="25" s="1"/>
  <c r="D41" i="25"/>
  <c r="C41" i="25"/>
  <c r="I41" i="25" s="1"/>
  <c r="G40" i="25"/>
  <c r="M40" i="25" s="1"/>
  <c r="F40" i="25"/>
  <c r="E40" i="25"/>
  <c r="K40" i="25" s="1"/>
  <c r="D40" i="25"/>
  <c r="C40" i="25"/>
  <c r="I40" i="25" s="1"/>
  <c r="G39" i="25"/>
  <c r="M39" i="25" s="1"/>
  <c r="F39" i="25"/>
  <c r="E39" i="25"/>
  <c r="D39" i="25"/>
  <c r="C39" i="25"/>
  <c r="I39" i="25" s="1"/>
  <c r="G38" i="25"/>
  <c r="F38" i="25"/>
  <c r="E38" i="25"/>
  <c r="K38" i="25" s="1"/>
  <c r="D38" i="25"/>
  <c r="C38" i="25"/>
  <c r="I38" i="25" s="1"/>
  <c r="G37" i="25"/>
  <c r="M37" i="25" s="1"/>
  <c r="E37" i="25"/>
  <c r="K37" i="25" s="1"/>
  <c r="D37" i="25"/>
  <c r="C37" i="25"/>
  <c r="I37" i="25" s="1"/>
  <c r="G36" i="25"/>
  <c r="M36" i="25" s="1"/>
  <c r="E36" i="25"/>
  <c r="D36" i="25"/>
  <c r="J36" i="25" s="1"/>
  <c r="C36" i="25"/>
  <c r="G35" i="25"/>
  <c r="M35" i="25" s="1"/>
  <c r="F35" i="25"/>
  <c r="E35" i="25"/>
  <c r="D35" i="25"/>
  <c r="C35" i="25"/>
  <c r="I35" i="25" s="1"/>
  <c r="G34" i="25"/>
  <c r="M34" i="25" s="1"/>
  <c r="F34" i="25"/>
  <c r="E34" i="25"/>
  <c r="D34" i="25"/>
  <c r="C34" i="25"/>
  <c r="I34" i="25" s="1"/>
  <c r="AK28" i="25"/>
  <c r="Q23" i="25"/>
  <c r="B23" i="25"/>
  <c r="B43" i="25" s="1"/>
  <c r="Q22" i="25"/>
  <c r="B22" i="25"/>
  <c r="B42" i="25" s="1"/>
  <c r="Q21" i="25"/>
  <c r="B21" i="25"/>
  <c r="B41" i="25" s="1"/>
  <c r="Q20" i="25"/>
  <c r="B20" i="25"/>
  <c r="B40" i="25" s="1"/>
  <c r="Q19" i="25"/>
  <c r="B19" i="25"/>
  <c r="B39" i="25" s="1"/>
  <c r="Q18" i="25"/>
  <c r="B18" i="25"/>
  <c r="B38" i="25" s="1"/>
  <c r="Q17" i="25"/>
  <c r="B17" i="25"/>
  <c r="B37" i="25" s="1"/>
  <c r="Q16" i="25"/>
  <c r="B16" i="25"/>
  <c r="B36" i="25" s="1"/>
  <c r="Q15" i="25"/>
  <c r="B15" i="25"/>
  <c r="B35" i="25" s="1"/>
  <c r="B14" i="25"/>
  <c r="B34" i="25" s="1"/>
  <c r="F23" i="27"/>
  <c r="E23" i="27"/>
  <c r="D23" i="27"/>
  <c r="B23" i="27"/>
  <c r="B43" i="27" s="1"/>
  <c r="F22" i="27"/>
  <c r="E22" i="27"/>
  <c r="D22" i="27"/>
  <c r="B22" i="27"/>
  <c r="B42" i="27" s="1"/>
  <c r="F21" i="27"/>
  <c r="E21" i="27"/>
  <c r="D21" i="27"/>
  <c r="B21" i="27"/>
  <c r="B41" i="27" s="1"/>
  <c r="F20" i="27"/>
  <c r="E20" i="27"/>
  <c r="D20" i="27"/>
  <c r="B20" i="27"/>
  <c r="B40" i="27" s="1"/>
  <c r="F19" i="27"/>
  <c r="E19" i="27"/>
  <c r="D19" i="27"/>
  <c r="B19" i="27"/>
  <c r="B39" i="27" s="1"/>
  <c r="F18" i="27"/>
  <c r="E18" i="27"/>
  <c r="D18" i="27"/>
  <c r="B18" i="27"/>
  <c r="B38" i="27" s="1"/>
  <c r="F17" i="27"/>
  <c r="E17" i="27"/>
  <c r="D17" i="27"/>
  <c r="B17" i="27"/>
  <c r="B37" i="27" s="1"/>
  <c r="F16" i="27"/>
  <c r="E16" i="27"/>
  <c r="D16" i="27"/>
  <c r="B16" i="27"/>
  <c r="B36" i="27" s="1"/>
  <c r="F15" i="27"/>
  <c r="E15" i="27"/>
  <c r="D15" i="27"/>
  <c r="B15" i="27"/>
  <c r="B35" i="27" s="1"/>
  <c r="F14" i="27"/>
  <c r="E14" i="27"/>
  <c r="D14" i="27"/>
  <c r="B14" i="27"/>
  <c r="B34" i="27" s="1"/>
  <c r="G60" i="23"/>
  <c r="E60" i="23"/>
  <c r="D60" i="23"/>
  <c r="G59" i="23"/>
  <c r="F59" i="23"/>
  <c r="E59" i="23"/>
  <c r="D59" i="23"/>
  <c r="C59" i="23"/>
  <c r="G58" i="23"/>
  <c r="F58" i="23"/>
  <c r="I58" i="23" s="1"/>
  <c r="E58" i="23"/>
  <c r="D58" i="23"/>
  <c r="H58" i="23" s="1"/>
  <c r="C58" i="23"/>
  <c r="G56" i="23"/>
  <c r="F56" i="23"/>
  <c r="I56" i="23" s="1"/>
  <c r="E56" i="23"/>
  <c r="D56" i="23"/>
  <c r="H56" i="23" s="1"/>
  <c r="C56" i="23"/>
  <c r="G55" i="23"/>
  <c r="F55" i="23"/>
  <c r="I55" i="23" s="1"/>
  <c r="E55" i="23"/>
  <c r="D55" i="23"/>
  <c r="H55" i="23" s="1"/>
  <c r="C55" i="23"/>
  <c r="G53" i="23"/>
  <c r="F53" i="23"/>
  <c r="I53" i="23" s="1"/>
  <c r="E53" i="23"/>
  <c r="D53" i="23"/>
  <c r="H53" i="23" s="1"/>
  <c r="C53" i="23"/>
  <c r="G52" i="23"/>
  <c r="F52" i="23"/>
  <c r="I52" i="23" s="1"/>
  <c r="E52" i="23"/>
  <c r="D52" i="23"/>
  <c r="H52" i="23" s="1"/>
  <c r="C52" i="23"/>
  <c r="G50" i="23"/>
  <c r="F50" i="23"/>
  <c r="I50" i="23" s="1"/>
  <c r="E50" i="23"/>
  <c r="D50" i="23"/>
  <c r="H50" i="23" s="1"/>
  <c r="C50" i="23"/>
  <c r="G49" i="23"/>
  <c r="F49" i="23"/>
  <c r="E49" i="23"/>
  <c r="D49" i="23"/>
  <c r="C49" i="23"/>
  <c r="G47" i="23"/>
  <c r="F47" i="23"/>
  <c r="E47" i="23"/>
  <c r="D47" i="23"/>
  <c r="C47" i="23"/>
  <c r="Q29" i="23"/>
  <c r="E29" i="23"/>
  <c r="D29" i="23"/>
  <c r="C29" i="23"/>
  <c r="E28" i="23"/>
  <c r="D28" i="23"/>
  <c r="C28" i="23"/>
  <c r="Q19" i="23"/>
  <c r="D16" i="23"/>
  <c r="C16" i="23"/>
  <c r="D55" i="69" s="1"/>
  <c r="C11" i="23"/>
  <c r="C10" i="23"/>
  <c r="I23" i="25"/>
  <c r="BB136" i="15"/>
  <c r="AV136" i="15"/>
  <c r="K23" i="25" s="1"/>
  <c r="J23" i="25"/>
  <c r="AR136" i="15"/>
  <c r="D23" i="25" s="1"/>
  <c r="I22" i="25"/>
  <c r="AV135" i="15"/>
  <c r="K22" i="25" s="1"/>
  <c r="J22" i="25"/>
  <c r="AR135" i="15"/>
  <c r="D22" i="25" s="1"/>
  <c r="I21" i="25"/>
  <c r="BB134" i="15"/>
  <c r="AV134" i="15"/>
  <c r="K21" i="25" s="1"/>
  <c r="J21" i="25"/>
  <c r="AR134" i="15"/>
  <c r="D21" i="25" s="1"/>
  <c r="I20" i="25"/>
  <c r="BB133" i="15"/>
  <c r="AV133" i="15"/>
  <c r="K20" i="25" s="1"/>
  <c r="J20" i="25"/>
  <c r="AR133" i="15"/>
  <c r="D20" i="25" s="1"/>
  <c r="I19" i="25"/>
  <c r="BB132" i="15"/>
  <c r="AV132" i="15"/>
  <c r="K19" i="25" s="1"/>
  <c r="J19" i="25"/>
  <c r="AR132" i="15"/>
  <c r="D19" i="25" s="1"/>
  <c r="I18" i="25"/>
  <c r="BB131" i="15"/>
  <c r="AV131" i="15"/>
  <c r="K18" i="25" s="1"/>
  <c r="J18" i="25"/>
  <c r="AR131" i="15"/>
  <c r="D18" i="25" s="1"/>
  <c r="BB130" i="15"/>
  <c r="AV130" i="15"/>
  <c r="K17" i="25" s="1"/>
  <c r="AR130" i="15"/>
  <c r="D17" i="25" s="1"/>
  <c r="BB129" i="15"/>
  <c r="AV129" i="15"/>
  <c r="K16" i="25" s="1"/>
  <c r="AR129" i="15"/>
  <c r="D16" i="25" s="1"/>
  <c r="I15" i="25"/>
  <c r="AV128" i="15"/>
  <c r="K15" i="25" s="1"/>
  <c r="AR128" i="15"/>
  <c r="D15" i="25" s="1"/>
  <c r="BA115" i="15"/>
  <c r="BC115" i="15" s="1"/>
  <c r="BE115" i="15" s="1"/>
  <c r="BG115" i="15" s="1"/>
  <c r="BI115" i="15" s="1"/>
  <c r="AZ115" i="15"/>
  <c r="BB115" i="15" s="1"/>
  <c r="BD115" i="15" s="1"/>
  <c r="BB88" i="15"/>
  <c r="AP88" i="15"/>
  <c r="AP87" i="15"/>
  <c r="BB81" i="15"/>
  <c r="BB79" i="15"/>
  <c r="BB75" i="15"/>
  <c r="BB71" i="15"/>
  <c r="AU89" i="15" l="1"/>
  <c r="J30" i="23" s="1"/>
  <c r="I29" i="23"/>
  <c r="I28" i="23"/>
  <c r="I30" i="23"/>
  <c r="AU87" i="15"/>
  <c r="AU88" i="15"/>
  <c r="R34" i="25"/>
  <c r="AS89" i="15"/>
  <c r="G30" i="23"/>
  <c r="AS87" i="15"/>
  <c r="BH87" i="15" s="1"/>
  <c r="F28" i="23" s="1"/>
  <c r="AS88" i="15"/>
  <c r="BH88" i="15" s="1"/>
  <c r="F29" i="23" s="1"/>
  <c r="D67" i="69"/>
  <c r="G28" i="23"/>
  <c r="D68" i="69"/>
  <c r="F64" i="69"/>
  <c r="D67" i="23"/>
  <c r="F67" i="23"/>
  <c r="C67" i="23"/>
  <c r="Q95" i="15" s="1"/>
  <c r="F58" i="69"/>
  <c r="F66" i="69"/>
  <c r="F63" i="69"/>
  <c r="F60" i="69"/>
  <c r="W29" i="23"/>
  <c r="L22" i="25"/>
  <c r="L20" i="25"/>
  <c r="L18" i="25"/>
  <c r="L23" i="25"/>
  <c r="BF115" i="15"/>
  <c r="BH115" i="15"/>
  <c r="L21" i="25"/>
  <c r="L19" i="25"/>
  <c r="P15" i="25"/>
  <c r="O15" i="25"/>
  <c r="L38" i="25"/>
  <c r="AN18" i="25"/>
  <c r="AL18" i="25"/>
  <c r="J39" i="25"/>
  <c r="AM19" i="25"/>
  <c r="AK19" i="25"/>
  <c r="L43" i="25"/>
  <c r="AN23" i="25"/>
  <c r="AL23" i="25"/>
  <c r="L39" i="25"/>
  <c r="AL19" i="25"/>
  <c r="AN19" i="25"/>
  <c r="L41" i="25"/>
  <c r="AN21" i="25"/>
  <c r="AL21" i="25"/>
  <c r="AK14" i="25"/>
  <c r="AM14" i="25"/>
  <c r="L34" i="25"/>
  <c r="AN14" i="25"/>
  <c r="AL14" i="25"/>
  <c r="J37" i="25"/>
  <c r="AK17" i="25"/>
  <c r="AM17" i="25"/>
  <c r="J42" i="25"/>
  <c r="AK22" i="25"/>
  <c r="AM22" i="25"/>
  <c r="J40" i="25"/>
  <c r="AM20" i="25"/>
  <c r="AK20" i="25"/>
  <c r="L42" i="25"/>
  <c r="AL22" i="25"/>
  <c r="AN22" i="25"/>
  <c r="J35" i="25"/>
  <c r="AM15" i="25"/>
  <c r="AK15" i="25"/>
  <c r="J38" i="25"/>
  <c r="AK18" i="25"/>
  <c r="AM18" i="25"/>
  <c r="L40" i="25"/>
  <c r="AN20" i="25"/>
  <c r="AL20" i="25"/>
  <c r="J41" i="25"/>
  <c r="AK21" i="25"/>
  <c r="AM21" i="25"/>
  <c r="L35" i="25"/>
  <c r="AL15" i="25"/>
  <c r="AN15" i="25"/>
  <c r="J43" i="25"/>
  <c r="AM23" i="25"/>
  <c r="AK23" i="25"/>
  <c r="I36" i="25"/>
  <c r="V71" i="14"/>
  <c r="W71" i="14"/>
  <c r="P71" i="14"/>
  <c r="Q71" i="14" s="1"/>
  <c r="R71" i="14" s="1"/>
  <c r="S71" i="14" s="1"/>
  <c r="U71" i="14"/>
  <c r="V75" i="14"/>
  <c r="U75" i="14"/>
  <c r="P75" i="14"/>
  <c r="Q75" i="14" s="1"/>
  <c r="R75" i="14" s="1"/>
  <c r="S75" i="14" s="1"/>
  <c r="W75" i="14"/>
  <c r="U72" i="14"/>
  <c r="W72" i="14"/>
  <c r="P72" i="14"/>
  <c r="Q72" i="14" s="1"/>
  <c r="R72" i="14" s="1"/>
  <c r="S72" i="14" s="1"/>
  <c r="V72" i="14"/>
  <c r="P76" i="14"/>
  <c r="Q76" i="14" s="1"/>
  <c r="R76" i="14" s="1"/>
  <c r="V76" i="14"/>
  <c r="U76" i="14"/>
  <c r="W76" i="14"/>
  <c r="W69" i="14"/>
  <c r="P69" i="14"/>
  <c r="Q69" i="14" s="1"/>
  <c r="U69" i="14"/>
  <c r="V69" i="14"/>
  <c r="U73" i="14"/>
  <c r="V73" i="14"/>
  <c r="W73" i="14"/>
  <c r="P73" i="14"/>
  <c r="Q73" i="14" s="1"/>
  <c r="R73" i="14" s="1"/>
  <c r="S73" i="14" s="1"/>
  <c r="W77" i="14"/>
  <c r="P77" i="14"/>
  <c r="Q77" i="14" s="1"/>
  <c r="R77" i="14" s="1"/>
  <c r="S77" i="14" s="1"/>
  <c r="U77" i="14"/>
  <c r="V77" i="14"/>
  <c r="U70" i="14"/>
  <c r="W70" i="14"/>
  <c r="P70" i="14"/>
  <c r="Q70" i="14" s="1"/>
  <c r="R70" i="14" s="1"/>
  <c r="S70" i="14" s="1"/>
  <c r="V70" i="14"/>
  <c r="W74" i="14"/>
  <c r="P74" i="14"/>
  <c r="Q74" i="14" s="1"/>
  <c r="R74" i="14" s="1"/>
  <c r="S74" i="14" s="1"/>
  <c r="V74" i="14"/>
  <c r="U74" i="14"/>
  <c r="U68" i="14"/>
  <c r="W68" i="14"/>
  <c r="V68" i="14"/>
  <c r="P68" i="14"/>
  <c r="Q68" i="14" s="1"/>
  <c r="R68" i="14" s="1"/>
  <c r="L71" i="14"/>
  <c r="K71" i="14"/>
  <c r="J71" i="14"/>
  <c r="E71" i="14"/>
  <c r="F71" i="14" s="1"/>
  <c r="J75" i="14"/>
  <c r="E75" i="14"/>
  <c r="F75" i="14" s="1"/>
  <c r="K75" i="14"/>
  <c r="L75" i="14"/>
  <c r="L72" i="14"/>
  <c r="E72" i="14"/>
  <c r="F72" i="14" s="1"/>
  <c r="K72" i="14"/>
  <c r="J72" i="14"/>
  <c r="K76" i="14"/>
  <c r="J76" i="14"/>
  <c r="E76" i="14"/>
  <c r="F76" i="14" s="1"/>
  <c r="L76" i="14"/>
  <c r="L69" i="14"/>
  <c r="J69" i="14"/>
  <c r="K69" i="14"/>
  <c r="E69" i="14"/>
  <c r="F69" i="14" s="1"/>
  <c r="E73" i="14"/>
  <c r="F73" i="14" s="1"/>
  <c r="J73" i="14"/>
  <c r="L73" i="14"/>
  <c r="K73" i="14"/>
  <c r="L77" i="14"/>
  <c r="K77" i="14"/>
  <c r="J77" i="14"/>
  <c r="E77" i="14"/>
  <c r="F77" i="14" s="1"/>
  <c r="J70" i="14"/>
  <c r="L70" i="14"/>
  <c r="K70" i="14"/>
  <c r="E70" i="14"/>
  <c r="F70" i="14" s="1"/>
  <c r="K74" i="14"/>
  <c r="E74" i="14"/>
  <c r="F74" i="14" s="1"/>
  <c r="L74" i="14"/>
  <c r="J74" i="14"/>
  <c r="M782" i="16"/>
  <c r="J784" i="16"/>
  <c r="P785" i="16"/>
  <c r="M787" i="16"/>
  <c r="Q788" i="16"/>
  <c r="M790" i="16"/>
  <c r="Q791" i="16"/>
  <c r="M793" i="16"/>
  <c r="Q794" i="16"/>
  <c r="M796" i="16"/>
  <c r="Q797" i="16"/>
  <c r="M784" i="16"/>
  <c r="O787" i="16"/>
  <c r="O790" i="16"/>
  <c r="O793" i="16"/>
  <c r="O796" i="16"/>
  <c r="B5" i="63"/>
  <c r="N783" i="16"/>
  <c r="L785" i="16"/>
  <c r="Q786" i="16"/>
  <c r="M788" i="16"/>
  <c r="Q789" i="16"/>
  <c r="M791" i="16"/>
  <c r="Q792" i="16"/>
  <c r="M794" i="16"/>
  <c r="Q795" i="16"/>
  <c r="M797" i="16"/>
  <c r="I801" i="16"/>
  <c r="I715" i="16"/>
  <c r="L783" i="16"/>
  <c r="O786" i="16"/>
  <c r="O789" i="16"/>
  <c r="O792" i="16"/>
  <c r="O795" i="16"/>
  <c r="I800" i="16"/>
  <c r="O784" i="16"/>
  <c r="Q787" i="16"/>
  <c r="Q790" i="16"/>
  <c r="M795" i="16"/>
  <c r="I799" i="16"/>
  <c r="Q782" i="16"/>
  <c r="M786" i="16"/>
  <c r="M789" i="16"/>
  <c r="M792" i="16"/>
  <c r="Q793" i="16"/>
  <c r="Q796" i="16"/>
  <c r="I753" i="16"/>
  <c r="I759" i="16"/>
  <c r="I765" i="16"/>
  <c r="J782" i="16"/>
  <c r="N785" i="16"/>
  <c r="O788" i="16"/>
  <c r="O794" i="16"/>
  <c r="O791" i="16"/>
  <c r="O797" i="16"/>
  <c r="I754" i="16"/>
  <c r="I760" i="16"/>
  <c r="I766" i="16"/>
  <c r="I755" i="16"/>
  <c r="I761" i="16"/>
  <c r="I767" i="16"/>
  <c r="I762" i="16"/>
  <c r="I750" i="16"/>
  <c r="I768" i="16"/>
  <c r="I756" i="16"/>
  <c r="I751" i="16"/>
  <c r="I757" i="16"/>
  <c r="I763" i="16"/>
  <c r="I769" i="16"/>
  <c r="I752" i="16"/>
  <c r="I758" i="16"/>
  <c r="I770" i="16"/>
  <c r="AS67" i="15"/>
  <c r="BH67" i="15" s="1"/>
  <c r="Q784" i="16"/>
  <c r="K789" i="16"/>
  <c r="K792" i="16"/>
  <c r="K796" i="16"/>
  <c r="O782" i="16"/>
  <c r="K788" i="16"/>
  <c r="K793" i="16"/>
  <c r="K797" i="16"/>
  <c r="J786" i="16"/>
  <c r="K790" i="16"/>
  <c r="K794" i="16"/>
  <c r="I802" i="16"/>
  <c r="P783" i="16"/>
  <c r="K787" i="16"/>
  <c r="K791" i="16"/>
  <c r="K795" i="16"/>
  <c r="I798" i="16"/>
  <c r="I807" i="16"/>
  <c r="I811" i="16"/>
  <c r="I813" i="16"/>
  <c r="BB135" i="15"/>
  <c r="I805" i="16"/>
  <c r="AZ135" i="15"/>
  <c r="I809" i="16"/>
  <c r="BD135" i="15"/>
  <c r="BD128" i="15"/>
  <c r="I772" i="16"/>
  <c r="N782" i="16"/>
  <c r="I812" i="16"/>
  <c r="I804" i="16"/>
  <c r="I808" i="16"/>
  <c r="S19" i="14"/>
  <c r="L782" i="16"/>
  <c r="P782" i="16"/>
  <c r="Q783" i="16"/>
  <c r="J785" i="16"/>
  <c r="L786" i="16"/>
  <c r="L787" i="16"/>
  <c r="L788" i="16"/>
  <c r="L789" i="16"/>
  <c r="L790" i="16"/>
  <c r="L791" i="16"/>
  <c r="L792" i="16"/>
  <c r="L793" i="16"/>
  <c r="L794" i="16"/>
  <c r="L795" i="16"/>
  <c r="L796" i="16"/>
  <c r="L797" i="16"/>
  <c r="AU59" i="15"/>
  <c r="I15" i="23"/>
  <c r="I777" i="16"/>
  <c r="O783" i="16"/>
  <c r="P784" i="16"/>
  <c r="Q785" i="16"/>
  <c r="J787" i="16"/>
  <c r="J788" i="16"/>
  <c r="J789" i="16"/>
  <c r="J790" i="16"/>
  <c r="J791" i="16"/>
  <c r="J792" i="16"/>
  <c r="J793" i="16"/>
  <c r="J794" i="16"/>
  <c r="J795" i="16"/>
  <c r="J796" i="16"/>
  <c r="J797" i="16"/>
  <c r="I806" i="16"/>
  <c r="I810" i="16"/>
  <c r="I774" i="16"/>
  <c r="I775" i="16"/>
  <c r="J783" i="16"/>
  <c r="L784" i="16"/>
  <c r="M785" i="16"/>
  <c r="N786" i="16"/>
  <c r="N787" i="16"/>
  <c r="N788" i="16"/>
  <c r="N789" i="16"/>
  <c r="N790" i="16"/>
  <c r="N792" i="16"/>
  <c r="N793" i="16"/>
  <c r="N794" i="16"/>
  <c r="N795" i="16"/>
  <c r="N796" i="16"/>
  <c r="N797" i="16"/>
  <c r="M783" i="16"/>
  <c r="N784" i="16"/>
  <c r="O785" i="16"/>
  <c r="P786" i="16"/>
  <c r="P787" i="16"/>
  <c r="P788" i="16"/>
  <c r="P789" i="16"/>
  <c r="P790" i="16"/>
  <c r="P791" i="16"/>
  <c r="P792" i="16"/>
  <c r="P793" i="16"/>
  <c r="P794" i="16"/>
  <c r="P795" i="16"/>
  <c r="P796" i="16"/>
  <c r="P797" i="16"/>
  <c r="AL34" i="25"/>
  <c r="J34" i="25"/>
  <c r="AR20" i="14"/>
  <c r="AR24" i="14"/>
  <c r="R67" i="14"/>
  <c r="S67" i="14" s="1"/>
  <c r="R66" i="14"/>
  <c r="S66" i="14" s="1"/>
  <c r="S64" i="14"/>
  <c r="G65" i="14"/>
  <c r="H65" i="14" s="1"/>
  <c r="G66" i="14"/>
  <c r="H66" i="14" s="1"/>
  <c r="G67" i="14"/>
  <c r="H67" i="14" s="1"/>
  <c r="B6" i="63"/>
  <c r="B7" i="63"/>
  <c r="B8" i="63"/>
  <c r="B9" i="63"/>
  <c r="B10" i="63"/>
  <c r="B11" i="63"/>
  <c r="B12" i="63"/>
  <c r="B13" i="63"/>
  <c r="B14" i="63"/>
  <c r="B15" i="63"/>
  <c r="B16" i="63"/>
  <c r="B17" i="63"/>
  <c r="B18" i="63"/>
  <c r="B19" i="63"/>
  <c r="B20" i="63"/>
  <c r="B21" i="63"/>
  <c r="B22" i="63"/>
  <c r="B23" i="63"/>
  <c r="B24" i="63"/>
  <c r="B25" i="63"/>
  <c r="B26" i="63"/>
  <c r="B27" i="63"/>
  <c r="B28" i="63"/>
  <c r="B29" i="63"/>
  <c r="B30" i="63"/>
  <c r="B31" i="63"/>
  <c r="B32" i="63"/>
  <c r="B33" i="63"/>
  <c r="B34" i="63"/>
  <c r="B35"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0"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3" i="63"/>
  <c r="B174" i="63"/>
  <c r="B175" i="63"/>
  <c r="B176" i="63"/>
  <c r="B177" i="63"/>
  <c r="B178" i="63"/>
  <c r="B179" i="63"/>
  <c r="B180" i="63"/>
  <c r="B181" i="63"/>
  <c r="B182" i="63"/>
  <c r="B183" i="63"/>
  <c r="B184" i="63"/>
  <c r="B185" i="63"/>
  <c r="B186" i="63"/>
  <c r="B187" i="63"/>
  <c r="B188" i="63"/>
  <c r="B189" i="63"/>
  <c r="B190" i="63"/>
  <c r="B191" i="63"/>
  <c r="B192" i="63"/>
  <c r="B193" i="63"/>
  <c r="B194" i="63"/>
  <c r="B195" i="63"/>
  <c r="B196" i="63"/>
  <c r="B197" i="63"/>
  <c r="B198" i="63"/>
  <c r="B200" i="63"/>
  <c r="B201" i="63"/>
  <c r="B202" i="63"/>
  <c r="B203" i="63"/>
  <c r="B204" i="63"/>
  <c r="B205" i="63"/>
  <c r="B206" i="63"/>
  <c r="B207" i="63"/>
  <c r="B208" i="63"/>
  <c r="B209" i="63"/>
  <c r="B210" i="63"/>
  <c r="B211" i="63"/>
  <c r="B212" i="63"/>
  <c r="B213" i="63"/>
  <c r="B214" i="63"/>
  <c r="B215" i="63"/>
  <c r="B216" i="63"/>
  <c r="B217" i="63"/>
  <c r="B218" i="63"/>
  <c r="B219" i="63"/>
  <c r="B220" i="63"/>
  <c r="B221" i="63"/>
  <c r="B222" i="63"/>
  <c r="B223" i="63"/>
  <c r="B224" i="63"/>
  <c r="B225" i="63"/>
  <c r="B226" i="63"/>
  <c r="B227" i="63"/>
  <c r="B228" i="63"/>
  <c r="B229" i="63"/>
  <c r="B230" i="63"/>
  <c r="B231" i="63"/>
  <c r="B232" i="63"/>
  <c r="B233" i="63"/>
  <c r="B234" i="63"/>
  <c r="B235" i="63"/>
  <c r="B236" i="63"/>
  <c r="B237" i="63"/>
  <c r="B238" i="63"/>
  <c r="B239" i="63"/>
  <c r="B240" i="63"/>
  <c r="B241" i="63"/>
  <c r="B242" i="63"/>
  <c r="B243" i="63"/>
  <c r="B244" i="63"/>
  <c r="B245" i="63"/>
  <c r="B246" i="63"/>
  <c r="B247" i="63"/>
  <c r="B248" i="63"/>
  <c r="B249" i="63"/>
  <c r="B250" i="63"/>
  <c r="B251" i="63"/>
  <c r="B252" i="63"/>
  <c r="G29" i="23"/>
  <c r="I14" i="23"/>
  <c r="AZ128" i="15"/>
  <c r="AZ130" i="15"/>
  <c r="AZ129" i="15"/>
  <c r="AR19" i="14"/>
  <c r="AR23" i="14"/>
  <c r="AR21" i="14"/>
  <c r="AR25" i="14"/>
  <c r="AR16" i="14"/>
  <c r="AR18" i="14"/>
  <c r="AR22" i="14"/>
  <c r="AM39" i="14"/>
  <c r="AR17" i="14"/>
  <c r="S40" i="25"/>
  <c r="R40" i="25"/>
  <c r="S41" i="25"/>
  <c r="R41" i="25"/>
  <c r="R37" i="25"/>
  <c r="S38" i="25"/>
  <c r="R38" i="25"/>
  <c r="S42" i="25"/>
  <c r="R42" i="25"/>
  <c r="R39" i="25"/>
  <c r="S39" i="25"/>
  <c r="R43" i="25"/>
  <c r="S43" i="25"/>
  <c r="AN34" i="25"/>
  <c r="S34" i="25"/>
  <c r="AO34" i="25" s="1"/>
  <c r="AK34" i="25"/>
  <c r="I773" i="16"/>
  <c r="AZ127" i="15"/>
  <c r="BD127" i="15"/>
  <c r="I776" i="16"/>
  <c r="I764" i="16"/>
  <c r="M139" i="2"/>
  <c r="A1621" i="16"/>
  <c r="C1621" i="16" s="1"/>
  <c r="A1625" i="16"/>
  <c r="C1625" i="16" s="1"/>
  <c r="A1629" i="16"/>
  <c r="C1629" i="16" s="1"/>
  <c r="A1617" i="16"/>
  <c r="C1617" i="16" s="1"/>
  <c r="A1632" i="16"/>
  <c r="C1632" i="16" s="1"/>
  <c r="A1618" i="16"/>
  <c r="C1618" i="16" s="1"/>
  <c r="A1622" i="16"/>
  <c r="C1622" i="16" s="1"/>
  <c r="A1626" i="16"/>
  <c r="C1626" i="16" s="1"/>
  <c r="A1630" i="16"/>
  <c r="C1630" i="16" s="1"/>
  <c r="A1619" i="16"/>
  <c r="C1619" i="16" s="1"/>
  <c r="A1623" i="16"/>
  <c r="C1623" i="16" s="1"/>
  <c r="A1627" i="16"/>
  <c r="C1627" i="16" s="1"/>
  <c r="A1620" i="16"/>
  <c r="C1620" i="16" s="1"/>
  <c r="A1624" i="16"/>
  <c r="C1624" i="16" s="1"/>
  <c r="A1628" i="16"/>
  <c r="C1628" i="16" s="1"/>
  <c r="A1631" i="16"/>
  <c r="C1631" i="16" s="1"/>
  <c r="I714" i="16"/>
  <c r="N791" i="16"/>
  <c r="U47" i="23"/>
  <c r="AS14" i="25"/>
  <c r="Z34" i="25"/>
  <c r="AU14" i="25"/>
  <c r="V47" i="23"/>
  <c r="AV14" i="25"/>
  <c r="AM34" i="25"/>
  <c r="AT14" i="25"/>
  <c r="AA34" i="25"/>
  <c r="I694" i="16"/>
  <c r="AX136" i="15"/>
  <c r="AX116" i="15"/>
  <c r="F37" i="25"/>
  <c r="BF130" i="15"/>
  <c r="I17" i="25"/>
  <c r="F36" i="25"/>
  <c r="AM38" i="14"/>
  <c r="G48" i="14"/>
  <c r="D48" i="14"/>
  <c r="Q35" i="15" s="1"/>
  <c r="AI38" i="14"/>
  <c r="E48" i="14"/>
  <c r="J8" i="31" s="1"/>
  <c r="D44" i="25"/>
  <c r="R65" i="14"/>
  <c r="S65" i="14" s="1"/>
  <c r="C44" i="25"/>
  <c r="K34" i="25"/>
  <c r="AE38" i="14"/>
  <c r="V14" i="27"/>
  <c r="X14" i="27" s="1"/>
  <c r="Q16" i="23"/>
  <c r="BB67" i="15"/>
  <c r="AX135" i="15"/>
  <c r="AX117" i="15"/>
  <c r="AX118" i="15"/>
  <c r="BF118" i="15" s="1"/>
  <c r="O8" i="25" s="1"/>
  <c r="P8" i="25" s="1"/>
  <c r="AX119" i="15"/>
  <c r="BF119" i="15" s="1"/>
  <c r="O9" i="25" s="1"/>
  <c r="P9" i="25" s="1"/>
  <c r="AX127" i="15"/>
  <c r="H8" i="30"/>
  <c r="V15" i="27"/>
  <c r="V23" i="27"/>
  <c r="V16" i="27"/>
  <c r="V17" i="27"/>
  <c r="V18" i="27"/>
  <c r="V19" i="27"/>
  <c r="V20" i="27"/>
  <c r="X4" i="27"/>
  <c r="V21" i="27"/>
  <c r="V22" i="27"/>
  <c r="P38" i="27"/>
  <c r="P36" i="27"/>
  <c r="P41" i="27"/>
  <c r="P35" i="27"/>
  <c r="P37" i="27"/>
  <c r="P42" i="27"/>
  <c r="P43" i="27"/>
  <c r="P40" i="27"/>
  <c r="P39" i="27"/>
  <c r="R42" i="27"/>
  <c r="R35" i="27"/>
  <c r="Q37" i="27"/>
  <c r="Q38" i="27"/>
  <c r="R38" i="27"/>
  <c r="R43" i="27"/>
  <c r="Q40" i="27"/>
  <c r="Q39" i="27"/>
  <c r="Q35" i="27"/>
  <c r="Q41" i="27"/>
  <c r="AH43" i="14"/>
  <c r="T21" i="14"/>
  <c r="S21" i="14"/>
  <c r="AL43" i="14"/>
  <c r="AP43" i="14"/>
  <c r="AF45" i="14"/>
  <c r="AJ45" i="14"/>
  <c r="AN45" i="14"/>
  <c r="AL40" i="14"/>
  <c r="AP40" i="14"/>
  <c r="AH40" i="14"/>
  <c r="AJ42" i="14"/>
  <c r="AN42" i="14"/>
  <c r="AF42" i="14"/>
  <c r="AO45" i="14"/>
  <c r="AG45" i="14"/>
  <c r="AK45" i="14"/>
  <c r="AK42" i="14"/>
  <c r="AO42" i="14"/>
  <c r="AG42" i="14"/>
  <c r="AP45" i="14"/>
  <c r="AH45" i="14"/>
  <c r="S23" i="14"/>
  <c r="AL45" i="14"/>
  <c r="AN47" i="14"/>
  <c r="AF47" i="14"/>
  <c r="AJ47" i="14"/>
  <c r="AP46" i="14"/>
  <c r="AH46" i="14"/>
  <c r="T24" i="14"/>
  <c r="S24" i="14"/>
  <c r="AL46" i="14"/>
  <c r="AH42" i="14"/>
  <c r="T20" i="14"/>
  <c r="S20" i="14"/>
  <c r="AL42" i="14"/>
  <c r="AP42" i="14"/>
  <c r="AF44" i="14"/>
  <c r="AJ44" i="14"/>
  <c r="AN44" i="14"/>
  <c r="AO47" i="14"/>
  <c r="AG47" i="14"/>
  <c r="AK47" i="14"/>
  <c r="AK43" i="14"/>
  <c r="AO43" i="14"/>
  <c r="AG43" i="14"/>
  <c r="AJ41" i="14"/>
  <c r="AN41" i="14"/>
  <c r="AF41" i="14"/>
  <c r="AK44" i="14"/>
  <c r="AO44" i="14"/>
  <c r="AG44" i="14"/>
  <c r="AL47" i="14"/>
  <c r="AP47" i="14"/>
  <c r="T25" i="14"/>
  <c r="S25" i="14"/>
  <c r="AE25" i="14" s="1"/>
  <c r="AH47" i="14"/>
  <c r="AK41" i="14"/>
  <c r="AO41" i="14"/>
  <c r="AG41" i="14"/>
  <c r="AP44" i="14"/>
  <c r="AH44" i="14"/>
  <c r="AL44" i="14"/>
  <c r="AN46" i="14"/>
  <c r="AF46" i="14"/>
  <c r="AJ46" i="14"/>
  <c r="AL41" i="14"/>
  <c r="AP41" i="14"/>
  <c r="AH41" i="14"/>
  <c r="T19" i="14"/>
  <c r="AJ43" i="14"/>
  <c r="AN43" i="14"/>
  <c r="AF43" i="14"/>
  <c r="AO46" i="14"/>
  <c r="AG46" i="14"/>
  <c r="AK46" i="14"/>
  <c r="T38" i="14"/>
  <c r="S38" i="14"/>
  <c r="AH39" i="14"/>
  <c r="AP39" i="14"/>
  <c r="AL39" i="14"/>
  <c r="AH38" i="14"/>
  <c r="AP38" i="14"/>
  <c r="AL38" i="14"/>
  <c r="AO40" i="14"/>
  <c r="AK40" i="14"/>
  <c r="AG40" i="14"/>
  <c r="AG39" i="14"/>
  <c r="AO39" i="14"/>
  <c r="AK39" i="14"/>
  <c r="AG38" i="14"/>
  <c r="AK38" i="14"/>
  <c r="AO38" i="14"/>
  <c r="AJ40" i="14"/>
  <c r="AF40" i="14"/>
  <c r="AN40" i="14"/>
  <c r="AN39" i="14"/>
  <c r="AF39" i="14"/>
  <c r="AJ39" i="14"/>
  <c r="AN38" i="14"/>
  <c r="AF38" i="14"/>
  <c r="AJ38" i="14"/>
  <c r="M73" i="2"/>
  <c r="M16" i="2"/>
  <c r="I33" i="2"/>
  <c r="B38" i="16"/>
  <c r="A433" i="16"/>
  <c r="C433" i="16" s="1"/>
  <c r="A793" i="16"/>
  <c r="C793" i="16" s="1"/>
  <c r="A785" i="16"/>
  <c r="C785" i="16" s="1"/>
  <c r="A783" i="16"/>
  <c r="C783" i="16" s="1"/>
  <c r="A788" i="16"/>
  <c r="C788" i="16" s="1"/>
  <c r="A787" i="16"/>
  <c r="C787" i="16" s="1"/>
  <c r="A792" i="16"/>
  <c r="C792" i="16" s="1"/>
  <c r="A784" i="16"/>
  <c r="C784" i="16" s="1"/>
  <c r="A791" i="16"/>
  <c r="C791" i="16" s="1"/>
  <c r="A782" i="16"/>
  <c r="C782" i="16" s="1"/>
  <c r="A796" i="16"/>
  <c r="C796" i="16" s="1"/>
  <c r="A786" i="16"/>
  <c r="C786" i="16" s="1"/>
  <c r="A790" i="16"/>
  <c r="C790" i="16" s="1"/>
  <c r="A795" i="16"/>
  <c r="C795" i="16" s="1"/>
  <c r="A794" i="16"/>
  <c r="C794" i="16" s="1"/>
  <c r="A797" i="16"/>
  <c r="C797" i="16" s="1"/>
  <c r="A789" i="16"/>
  <c r="C789" i="16" s="1"/>
  <c r="A213" i="16"/>
  <c r="C213" i="16" s="1"/>
  <c r="X19" i="23"/>
  <c r="E203" i="16"/>
  <c r="AX128" i="15"/>
  <c r="BB128" i="15"/>
  <c r="AX130" i="15"/>
  <c r="AX131" i="15"/>
  <c r="M18" i="25" s="1"/>
  <c r="N18" i="25" s="1"/>
  <c r="AX129" i="15"/>
  <c r="AX132" i="15"/>
  <c r="M19" i="25" s="1"/>
  <c r="N19" i="25" s="1"/>
  <c r="AX133" i="15"/>
  <c r="M20" i="25" s="1"/>
  <c r="N20" i="25" s="1"/>
  <c r="AX134" i="15"/>
  <c r="M21" i="25" s="1"/>
  <c r="N21" i="25" s="1"/>
  <c r="E215" i="16"/>
  <c r="E433" i="16"/>
  <c r="E424" i="16"/>
  <c r="E212" i="16"/>
  <c r="E429" i="16"/>
  <c r="E430" i="16"/>
  <c r="E431" i="16"/>
  <c r="E432" i="16"/>
  <c r="E426" i="16"/>
  <c r="E427" i="16"/>
  <c r="E428" i="16"/>
  <c r="E437" i="16"/>
  <c r="E425" i="16"/>
  <c r="E435" i="16"/>
  <c r="E436" i="16"/>
  <c r="E209" i="16"/>
  <c r="E434" i="16"/>
  <c r="E206" i="16"/>
  <c r="E216" i="16"/>
  <c r="E422" i="16"/>
  <c r="E423" i="16"/>
  <c r="E217" i="16"/>
  <c r="BB69" i="15"/>
  <c r="Q18" i="23"/>
  <c r="AM43" i="25"/>
  <c r="AK38" i="25"/>
  <c r="V59" i="23"/>
  <c r="AK36" i="25"/>
  <c r="AV20" i="25"/>
  <c r="AM35" i="25"/>
  <c r="X28" i="23"/>
  <c r="C39" i="14"/>
  <c r="X24" i="23"/>
  <c r="AV15" i="25"/>
  <c r="AL37" i="25"/>
  <c r="AV18" i="25"/>
  <c r="T43" i="14"/>
  <c r="AT21" i="25"/>
  <c r="T41" i="14"/>
  <c r="M23" i="25"/>
  <c r="N23" i="25" s="1"/>
  <c r="V58" i="23"/>
  <c r="AV22" i="25"/>
  <c r="C38" i="14"/>
  <c r="AU15" i="25"/>
  <c r="X18" i="23"/>
  <c r="AW18" i="23" s="1"/>
  <c r="W22" i="23"/>
  <c r="AT22" i="23" s="1"/>
  <c r="U60" i="23"/>
  <c r="S46" i="14"/>
  <c r="X27" i="23"/>
  <c r="AT15" i="25"/>
  <c r="AV23" i="25"/>
  <c r="X21" i="23"/>
  <c r="X29" i="23"/>
  <c r="Z41" i="25"/>
  <c r="AS23" i="25"/>
  <c r="AK40" i="25"/>
  <c r="AM40" i="25"/>
  <c r="T40" i="14"/>
  <c r="C46" i="14"/>
  <c r="AA39" i="25"/>
  <c r="AU23" i="25"/>
  <c r="Z39" i="25"/>
  <c r="AL40" i="25"/>
  <c r="AK41" i="25"/>
  <c r="AA41" i="25"/>
  <c r="W19" i="23"/>
  <c r="AS18" i="25"/>
  <c r="AT19" i="25"/>
  <c r="AU21" i="25"/>
  <c r="AT18" i="25"/>
  <c r="AV19" i="25"/>
  <c r="AS17" i="25"/>
  <c r="T45" i="14"/>
  <c r="V52" i="23"/>
  <c r="V60" i="23"/>
  <c r="AV21" i="25"/>
  <c r="S39" i="14"/>
  <c r="S43" i="14"/>
  <c r="X22" i="23"/>
  <c r="AW22" i="23" s="1"/>
  <c r="W24" i="23"/>
  <c r="W27" i="23"/>
  <c r="AT22" i="25"/>
  <c r="AT23" i="25"/>
  <c r="C72" i="14"/>
  <c r="V50" i="23"/>
  <c r="AY13" i="15"/>
  <c r="BA13" i="15"/>
  <c r="BK13" i="15" s="1"/>
  <c r="AZ13" i="15"/>
  <c r="BB13" i="15"/>
  <c r="BL13" i="15" s="1"/>
  <c r="W21" i="23"/>
  <c r="W25" i="23"/>
  <c r="X25" i="23"/>
  <c r="U52" i="23"/>
  <c r="U58" i="23"/>
  <c r="H28" i="23"/>
  <c r="L28" i="23" s="1"/>
  <c r="U55" i="23"/>
  <c r="V55" i="23"/>
  <c r="V56" i="23"/>
  <c r="U56" i="23"/>
  <c r="Q28" i="23"/>
  <c r="Q22" i="23"/>
  <c r="Q27" i="23"/>
  <c r="Q21" i="23"/>
  <c r="Q25" i="23"/>
  <c r="BB77" i="15"/>
  <c r="J28" i="23"/>
  <c r="U59" i="23"/>
  <c r="U49" i="23"/>
  <c r="V49" i="23"/>
  <c r="H29" i="23"/>
  <c r="BB73" i="15"/>
  <c r="BB87" i="15"/>
  <c r="J29" i="23"/>
  <c r="Q24" i="23"/>
  <c r="W28" i="23"/>
  <c r="Q34" i="27"/>
  <c r="S34" i="27" s="1"/>
  <c r="U34" i="27" s="1"/>
  <c r="V53" i="23"/>
  <c r="U53" i="23"/>
  <c r="U50" i="23"/>
  <c r="W18" i="23"/>
  <c r="AI18" i="23" s="1"/>
  <c r="Q42" i="27"/>
  <c r="Z38" i="25"/>
  <c r="AA38" i="25"/>
  <c r="AK39" i="25"/>
  <c r="AM39" i="25"/>
  <c r="AU22" i="25"/>
  <c r="AL38" i="25"/>
  <c r="AU18" i="25"/>
  <c r="R40" i="27"/>
  <c r="AK35" i="25"/>
  <c r="R36" i="27"/>
  <c r="Q36" i="27"/>
  <c r="K39" i="25"/>
  <c r="AS19" i="25"/>
  <c r="AA35" i="25"/>
  <c r="Z35" i="25"/>
  <c r="K35" i="25"/>
  <c r="AS15" i="25"/>
  <c r="R39" i="27"/>
  <c r="Q43" i="27"/>
  <c r="R41" i="27"/>
  <c r="T42" i="14"/>
  <c r="S42" i="14"/>
  <c r="C75" i="14"/>
  <c r="C45" i="14"/>
  <c r="T39" i="14"/>
  <c r="AK37" i="25"/>
  <c r="R37" i="27"/>
  <c r="K36" i="25"/>
  <c r="AS21" i="25"/>
  <c r="AM38" i="25"/>
  <c r="AK43" i="25"/>
  <c r="S44" i="14"/>
  <c r="T44" i="14"/>
  <c r="AL36" i="25"/>
  <c r="AL39" i="25"/>
  <c r="AU19" i="25"/>
  <c r="AS22" i="25"/>
  <c r="AU20" i="25"/>
  <c r="C44" i="14"/>
  <c r="C74" i="14"/>
  <c r="Z36" i="25"/>
  <c r="AS20" i="25"/>
  <c r="Z42" i="25"/>
  <c r="M38" i="25"/>
  <c r="C43" i="14"/>
  <c r="C73" i="14"/>
  <c r="AU17" i="25"/>
  <c r="AT20" i="25"/>
  <c r="AL35" i="25"/>
  <c r="AM41" i="25"/>
  <c r="AA42" i="25"/>
  <c r="C71" i="14"/>
  <c r="C41" i="14"/>
  <c r="AM42" i="25"/>
  <c r="AK42" i="25"/>
  <c r="AA43" i="25"/>
  <c r="Z43" i="25"/>
  <c r="AL42" i="25"/>
  <c r="C47" i="14"/>
  <c r="C77" i="14"/>
  <c r="Z37" i="25"/>
  <c r="S41" i="14"/>
  <c r="T46" i="14"/>
  <c r="E218" i="16"/>
  <c r="Z40" i="25"/>
  <c r="AA40" i="25"/>
  <c r="AL41" i="25"/>
  <c r="AL43" i="25"/>
  <c r="S47" i="14"/>
  <c r="E208" i="16"/>
  <c r="T47" i="14"/>
  <c r="E205" i="16"/>
  <c r="E207" i="16"/>
  <c r="E210" i="16"/>
  <c r="E211" i="16"/>
  <c r="E213" i="16"/>
  <c r="E214" i="16"/>
  <c r="E204" i="16"/>
  <c r="S40" i="14"/>
  <c r="A203" i="16"/>
  <c r="C203" i="16" s="1"/>
  <c r="A207" i="16"/>
  <c r="C207" i="16" s="1"/>
  <c r="A210" i="16"/>
  <c r="C210" i="16" s="1"/>
  <c r="A218" i="16"/>
  <c r="C218" i="16" s="1"/>
  <c r="A428" i="16"/>
  <c r="C428" i="16" s="1"/>
  <c r="A436" i="16"/>
  <c r="C436" i="16" s="1"/>
  <c r="A425" i="16"/>
  <c r="C425" i="16" s="1"/>
  <c r="A431" i="16"/>
  <c r="C431" i="16" s="1"/>
  <c r="A204" i="16"/>
  <c r="C204" i="16" s="1"/>
  <c r="A208" i="16"/>
  <c r="C208" i="16" s="1"/>
  <c r="A216" i="16"/>
  <c r="C216" i="16" s="1"/>
  <c r="A434" i="16"/>
  <c r="C434" i="16" s="1"/>
  <c r="C40" i="14"/>
  <c r="G90" i="2"/>
  <c r="A211" i="16"/>
  <c r="C211" i="16" s="1"/>
  <c r="A422" i="16"/>
  <c r="C422" i="16" s="1"/>
  <c r="I16" i="23" s="1"/>
  <c r="A426" i="16"/>
  <c r="C426" i="16" s="1"/>
  <c r="A429" i="16"/>
  <c r="C429" i="16" s="1"/>
  <c r="A437" i="16"/>
  <c r="C437" i="16" s="1"/>
  <c r="A205" i="16"/>
  <c r="C205" i="16" s="1"/>
  <c r="A214" i="16"/>
  <c r="C214" i="16" s="1"/>
  <c r="A432" i="16"/>
  <c r="C432" i="16" s="1"/>
  <c r="A209" i="16"/>
  <c r="C209" i="16" s="1"/>
  <c r="A217" i="16"/>
  <c r="C217" i="16" s="1"/>
  <c r="A423" i="16"/>
  <c r="C423" i="16" s="1"/>
  <c r="A427" i="16"/>
  <c r="C427" i="16" s="1"/>
  <c r="A435" i="16"/>
  <c r="C435" i="16" s="1"/>
  <c r="S45" i="14"/>
  <c r="M130" i="2"/>
  <c r="A206" i="16"/>
  <c r="C206" i="16" s="1"/>
  <c r="A212" i="16"/>
  <c r="C212" i="16" s="1"/>
  <c r="A430" i="16"/>
  <c r="C430" i="16" s="1"/>
  <c r="A215" i="16"/>
  <c r="C215" i="16" s="1"/>
  <c r="A424" i="16"/>
  <c r="C424" i="16" s="1"/>
  <c r="BH89" i="15" l="1"/>
  <c r="F30" i="23" s="1"/>
  <c r="H30" i="23"/>
  <c r="K30" i="23" s="1"/>
  <c r="L29" i="23"/>
  <c r="M85" i="69"/>
  <c r="J8" i="25"/>
  <c r="J7" i="25"/>
  <c r="J6" i="25"/>
  <c r="K6" i="25" s="1"/>
  <c r="M6" i="25" s="1"/>
  <c r="J9" i="25"/>
  <c r="U85" i="69"/>
  <c r="U87" i="69"/>
  <c r="U83" i="69"/>
  <c r="M79" i="69"/>
  <c r="U88" i="69"/>
  <c r="M87" i="69"/>
  <c r="U79" i="69"/>
  <c r="M88" i="69"/>
  <c r="U86" i="69"/>
  <c r="M86" i="69"/>
  <c r="M83" i="69"/>
  <c r="M84" i="69"/>
  <c r="M80" i="69"/>
  <c r="U84" i="69"/>
  <c r="U80" i="69"/>
  <c r="AK25" i="23"/>
  <c r="AL25" i="23"/>
  <c r="AW25" i="23"/>
  <c r="AV25" i="23"/>
  <c r="AJ25" i="23"/>
  <c r="AI25" i="23"/>
  <c r="AT27" i="23"/>
  <c r="AI27" i="23"/>
  <c r="AJ27" i="23"/>
  <c r="AW27" i="23"/>
  <c r="AK27" i="23"/>
  <c r="AL27" i="23"/>
  <c r="AV27" i="23"/>
  <c r="AV22" i="23"/>
  <c r="AL22" i="23"/>
  <c r="AW24" i="23"/>
  <c r="AL24" i="23"/>
  <c r="AV24" i="23"/>
  <c r="AK24" i="23"/>
  <c r="AK22" i="23"/>
  <c r="AU24" i="23"/>
  <c r="AI24" i="23"/>
  <c r="AJ24" i="23"/>
  <c r="AJ22" i="23"/>
  <c r="AI22" i="23"/>
  <c r="AW21" i="23"/>
  <c r="AK21" i="23"/>
  <c r="AV21" i="23"/>
  <c r="AL21" i="23"/>
  <c r="AW19" i="23"/>
  <c r="AK19" i="23"/>
  <c r="AV19" i="23"/>
  <c r="AL19" i="23"/>
  <c r="AI21" i="23"/>
  <c r="AJ21" i="23"/>
  <c r="AI19" i="23"/>
  <c r="AJ19" i="23"/>
  <c r="AL18" i="23"/>
  <c r="AJ18" i="23"/>
  <c r="U57" i="69" s="1"/>
  <c r="AV18" i="23"/>
  <c r="AK18" i="23"/>
  <c r="AJ29" i="23"/>
  <c r="AI29" i="23"/>
  <c r="AK29" i="23"/>
  <c r="AW29" i="23"/>
  <c r="AL29" i="23"/>
  <c r="AV29" i="23"/>
  <c r="AL28" i="23"/>
  <c r="AK28" i="23"/>
  <c r="AV28" i="23"/>
  <c r="AW28" i="23"/>
  <c r="AT28" i="23"/>
  <c r="AJ28" i="23"/>
  <c r="AI28" i="23"/>
  <c r="F61" i="69"/>
  <c r="S35" i="25"/>
  <c r="R35" i="25"/>
  <c r="M29" i="23"/>
  <c r="F16" i="23"/>
  <c r="H16" i="23"/>
  <c r="M28" i="23"/>
  <c r="AW81" i="15"/>
  <c r="AW73" i="15"/>
  <c r="AW71" i="15"/>
  <c r="AN17" i="25"/>
  <c r="M82" i="69" s="1"/>
  <c r="AL17" i="25"/>
  <c r="U82" i="69" s="1"/>
  <c r="AR21" i="25"/>
  <c r="AQ21" i="25"/>
  <c r="AQ20" i="25"/>
  <c r="AR20" i="25"/>
  <c r="AQ19" i="25"/>
  <c r="AR19" i="25"/>
  <c r="AQ18" i="25"/>
  <c r="AR18" i="25"/>
  <c r="AR23" i="25"/>
  <c r="AQ23" i="25"/>
  <c r="AP21" i="25"/>
  <c r="AO21" i="25"/>
  <c r="AO22" i="25"/>
  <c r="AP22" i="25"/>
  <c r="AO18" i="25"/>
  <c r="AP18" i="25"/>
  <c r="AO20" i="25"/>
  <c r="AP20" i="25"/>
  <c r="AO23" i="25"/>
  <c r="AP23" i="25"/>
  <c r="AO19" i="25"/>
  <c r="AP19" i="25"/>
  <c r="AQ13" i="25"/>
  <c r="AR13" i="25"/>
  <c r="AQ12" i="25"/>
  <c r="AR12" i="25"/>
  <c r="I16" i="25"/>
  <c r="AN16" i="25" s="1"/>
  <c r="BD129" i="15"/>
  <c r="G195" i="63"/>
  <c r="G148" i="63"/>
  <c r="G199" i="63"/>
  <c r="G240" i="63"/>
  <c r="G227" i="63"/>
  <c r="G248" i="63"/>
  <c r="G212" i="63"/>
  <c r="G249" i="63"/>
  <c r="G219" i="63"/>
  <c r="G29" i="63"/>
  <c r="G53" i="63"/>
  <c r="G105" i="63"/>
  <c r="G189" i="63"/>
  <c r="G6" i="63"/>
  <c r="G34" i="63"/>
  <c r="G54" i="63"/>
  <c r="G78" i="63"/>
  <c r="G106" i="63"/>
  <c r="G130" i="63"/>
  <c r="G166" i="63"/>
  <c r="G178" i="63"/>
  <c r="G36" i="63"/>
  <c r="G100" i="63"/>
  <c r="G7" i="63"/>
  <c r="G87" i="63"/>
  <c r="G52" i="63"/>
  <c r="G120" i="63"/>
  <c r="E6" i="63"/>
  <c r="N43" i="25"/>
  <c r="O43" i="25"/>
  <c r="N42" i="25"/>
  <c r="O42" i="25"/>
  <c r="O39" i="25"/>
  <c r="N39" i="25"/>
  <c r="O38" i="25"/>
  <c r="N38" i="25"/>
  <c r="N40" i="25"/>
  <c r="O40" i="25"/>
  <c r="N41" i="25"/>
  <c r="O41" i="25"/>
  <c r="E5" i="63"/>
  <c r="AT18" i="23"/>
  <c r="R25" i="21"/>
  <c r="N27" i="21" s="1"/>
  <c r="I14" i="2"/>
  <c r="G16" i="23"/>
  <c r="J9" i="35"/>
  <c r="BH61" i="29" s="1"/>
  <c r="K9" i="35" s="1"/>
  <c r="J10" i="35"/>
  <c r="BH62" i="29" s="1"/>
  <c r="K10" i="35" s="1"/>
  <c r="BF135" i="15"/>
  <c r="M22" i="25" s="1"/>
  <c r="N22" i="25" s="1"/>
  <c r="H9" i="35"/>
  <c r="AV61" i="29" s="1"/>
  <c r="I9" i="35" s="1"/>
  <c r="H10" i="35"/>
  <c r="AV62" i="29" s="1"/>
  <c r="I10" i="35" s="1"/>
  <c r="J15" i="23"/>
  <c r="AM37" i="25"/>
  <c r="L37" i="25"/>
  <c r="E249" i="63"/>
  <c r="E248" i="63"/>
  <c r="E245" i="63"/>
  <c r="E242" i="63"/>
  <c r="E240" i="63"/>
  <c r="E234" i="63"/>
  <c r="E233" i="63"/>
  <c r="E228" i="63"/>
  <c r="E227" i="63"/>
  <c r="E225" i="63"/>
  <c r="E219" i="63"/>
  <c r="E218" i="63"/>
  <c r="E216" i="63"/>
  <c r="E213" i="63"/>
  <c r="E212" i="63"/>
  <c r="E211" i="63"/>
  <c r="E209" i="63"/>
  <c r="E206" i="63"/>
  <c r="E203" i="63"/>
  <c r="E198" i="63"/>
  <c r="E197" i="63"/>
  <c r="E196" i="63"/>
  <c r="E195" i="63"/>
  <c r="E194" i="63"/>
  <c r="E193" i="63"/>
  <c r="E192" i="63"/>
  <c r="E191" i="63"/>
  <c r="E190" i="63"/>
  <c r="E189" i="63"/>
  <c r="E185" i="63"/>
  <c r="E181" i="63"/>
  <c r="E178" i="63"/>
  <c r="E172" i="63"/>
  <c r="E168" i="63"/>
  <c r="E166" i="63"/>
  <c r="E165" i="63"/>
  <c r="E160" i="63"/>
  <c r="E157" i="63"/>
  <c r="E152" i="63"/>
  <c r="E149" i="63"/>
  <c r="E148" i="63"/>
  <c r="E146" i="63"/>
  <c r="E144" i="63"/>
  <c r="E143" i="63"/>
  <c r="E142" i="63"/>
  <c r="E139" i="63"/>
  <c r="E137" i="63"/>
  <c r="E133" i="63"/>
  <c r="E131" i="63"/>
  <c r="E124" i="63"/>
  <c r="E120" i="63"/>
  <c r="E115" i="63"/>
  <c r="E106" i="63"/>
  <c r="E105" i="63"/>
  <c r="E102" i="63"/>
  <c r="E101" i="63"/>
  <c r="E100" i="63"/>
  <c r="E98" i="63"/>
  <c r="E97" i="63"/>
  <c r="E96" i="63"/>
  <c r="E95" i="63"/>
  <c r="E87" i="63"/>
  <c r="E86" i="63"/>
  <c r="E85" i="63"/>
  <c r="E81" i="63"/>
  <c r="E80" i="63"/>
  <c r="E75" i="63"/>
  <c r="E70" i="63"/>
  <c r="E69" i="63"/>
  <c r="E63" i="63"/>
  <c r="E58" i="63"/>
  <c r="E56" i="63"/>
  <c r="E54" i="63"/>
  <c r="E53" i="63"/>
  <c r="E52" i="63"/>
  <c r="E51" i="63"/>
  <c r="E48" i="63"/>
  <c r="E47" i="63"/>
  <c r="E46" i="63"/>
  <c r="E42" i="63"/>
  <c r="E41" i="63"/>
  <c r="E37" i="63"/>
  <c r="E36" i="63"/>
  <c r="E34" i="63"/>
  <c r="E31" i="63"/>
  <c r="E29" i="63"/>
  <c r="E28" i="63"/>
  <c r="E23" i="63"/>
  <c r="E20" i="63"/>
  <c r="E16" i="63"/>
  <c r="E13" i="63"/>
  <c r="E12" i="63"/>
  <c r="E10" i="63"/>
  <c r="E9" i="63"/>
  <c r="T64" i="14"/>
  <c r="BK14" i="15" s="1"/>
  <c r="X64" i="14"/>
  <c r="X66" i="14"/>
  <c r="T66" i="14"/>
  <c r="BK16" i="15" s="1"/>
  <c r="X67" i="14"/>
  <c r="T67" i="14"/>
  <c r="BK17" i="15" s="1"/>
  <c r="G69" i="14"/>
  <c r="G70" i="14"/>
  <c r="H70" i="14" s="1"/>
  <c r="G72" i="14"/>
  <c r="H72" i="14" s="1"/>
  <c r="G74" i="14"/>
  <c r="H74" i="14" s="1"/>
  <c r="G75" i="14"/>
  <c r="H75" i="14" s="1"/>
  <c r="G73" i="14"/>
  <c r="H73" i="14" s="1"/>
  <c r="G76" i="14"/>
  <c r="H76" i="14" s="1"/>
  <c r="G77" i="14"/>
  <c r="H77" i="14" s="1"/>
  <c r="G71" i="14"/>
  <c r="H71" i="14" s="1"/>
  <c r="I19" i="14" s="1"/>
  <c r="AT16" i="25"/>
  <c r="L36" i="25"/>
  <c r="BF129" i="15"/>
  <c r="M16" i="25" s="1"/>
  <c r="N16" i="25" s="1"/>
  <c r="AQ16" i="25" s="1"/>
  <c r="J17" i="25"/>
  <c r="L17" i="25" s="1"/>
  <c r="BF128" i="15"/>
  <c r="M15" i="25" s="1"/>
  <c r="N15" i="25" s="1"/>
  <c r="P8" i="31"/>
  <c r="L150" i="57" s="1"/>
  <c r="E150" i="57"/>
  <c r="S37" i="25"/>
  <c r="R95" i="15"/>
  <c r="K9" i="31"/>
  <c r="T95" i="15"/>
  <c r="K26" i="31"/>
  <c r="T35" i="15"/>
  <c r="J25" i="31"/>
  <c r="O27" i="32"/>
  <c r="AV64" i="29"/>
  <c r="I12" i="35" s="1"/>
  <c r="AV65" i="29"/>
  <c r="I13" i="35" s="1"/>
  <c r="AV63" i="29"/>
  <c r="I11" i="35" s="1"/>
  <c r="O25" i="32"/>
  <c r="AS58" i="15"/>
  <c r="BH58" i="15" s="1"/>
  <c r="BH63" i="29"/>
  <c r="K11" i="35" s="1"/>
  <c r="BH64" i="29"/>
  <c r="K12" i="35" s="1"/>
  <c r="BH65" i="29"/>
  <c r="K13" i="35" s="1"/>
  <c r="J14" i="23"/>
  <c r="P32" i="25"/>
  <c r="Q32" i="25"/>
  <c r="AA37" i="25"/>
  <c r="AB37" i="25" s="1"/>
  <c r="AY59" i="15"/>
  <c r="P11" i="23" s="1"/>
  <c r="I792" i="16"/>
  <c r="I786" i="16"/>
  <c r="AT17" i="25"/>
  <c r="AV17" i="25"/>
  <c r="S40" i="27"/>
  <c r="U20" i="14"/>
  <c r="M17" i="25"/>
  <c r="N17" i="25" s="1"/>
  <c r="N224" i="47"/>
  <c r="AB38" i="47"/>
  <c r="BH18" i="36"/>
  <c r="O30" i="37" s="1"/>
  <c r="BH19" i="36"/>
  <c r="O31" i="37" s="1"/>
  <c r="BH20" i="36"/>
  <c r="O32" i="37" s="1"/>
  <c r="N229" i="47"/>
  <c r="Q229" i="47" s="1"/>
  <c r="N226" i="47"/>
  <c r="Q226" i="47" s="1"/>
  <c r="N225" i="47"/>
  <c r="Q225" i="47" s="1"/>
  <c r="R225" i="47" s="1"/>
  <c r="N228" i="47"/>
  <c r="Q228" i="47" s="1"/>
  <c r="N227" i="47"/>
  <c r="Q227" i="47" s="1"/>
  <c r="O225" i="47"/>
  <c r="B237" i="47" s="1"/>
  <c r="C237" i="47" s="1"/>
  <c r="O227" i="47"/>
  <c r="B239" i="47" s="1"/>
  <c r="C239" i="47" s="1"/>
  <c r="O229" i="47"/>
  <c r="B241" i="47" s="1"/>
  <c r="C241" i="47" s="1"/>
  <c r="O228" i="47"/>
  <c r="B240" i="47" s="1"/>
  <c r="C240" i="47" s="1"/>
  <c r="O226" i="47"/>
  <c r="B238" i="47" s="1"/>
  <c r="C238" i="47" s="1"/>
  <c r="W47" i="23"/>
  <c r="AA36" i="25"/>
  <c r="AB36" i="25" s="1"/>
  <c r="AM36" i="25"/>
  <c r="AV16" i="25"/>
  <c r="I784" i="16"/>
  <c r="I790" i="16"/>
  <c r="I793" i="16"/>
  <c r="I787" i="16"/>
  <c r="I797" i="16"/>
  <c r="I783" i="16"/>
  <c r="I789" i="16"/>
  <c r="I785" i="16"/>
  <c r="I782" i="16"/>
  <c r="Q33" i="25"/>
  <c r="P33" i="25"/>
  <c r="F44" i="25"/>
  <c r="G44" i="25" s="1"/>
  <c r="R35" i="15"/>
  <c r="H48" i="14"/>
  <c r="BH14" i="36"/>
  <c r="O26" i="37" s="1"/>
  <c r="BH16" i="36"/>
  <c r="O28" i="37" s="1"/>
  <c r="BH15" i="36"/>
  <c r="O27" i="37" s="1"/>
  <c r="BF127" i="15"/>
  <c r="M14" i="25" s="1"/>
  <c r="N14" i="25" s="1"/>
  <c r="P34" i="25" s="1"/>
  <c r="AH48" i="14"/>
  <c r="AF48" i="14"/>
  <c r="AG48" i="14"/>
  <c r="M67" i="14"/>
  <c r="I15" i="14"/>
  <c r="I67" i="14"/>
  <c r="BA17" i="15" s="1"/>
  <c r="I64" i="14"/>
  <c r="BA14" i="15" s="1"/>
  <c r="I14" i="14"/>
  <c r="I66" i="14"/>
  <c r="BA16" i="15" s="1"/>
  <c r="M66" i="14"/>
  <c r="T10" i="14" s="1"/>
  <c r="I13" i="14"/>
  <c r="I65" i="14"/>
  <c r="BA15" i="15" s="1"/>
  <c r="M65" i="14"/>
  <c r="T65" i="14"/>
  <c r="BK15" i="15" s="1"/>
  <c r="X65" i="14"/>
  <c r="I788" i="16"/>
  <c r="H46" i="35"/>
  <c r="G46" i="35"/>
  <c r="I796" i="16"/>
  <c r="I791" i="16"/>
  <c r="I795" i="16"/>
  <c r="L44" i="32"/>
  <c r="AO15" i="32" s="1"/>
  <c r="M44" i="32"/>
  <c r="I794" i="16"/>
  <c r="AP29" i="23"/>
  <c r="AU67" i="15"/>
  <c r="J16" i="23" s="1"/>
  <c r="AU69" i="15"/>
  <c r="J18" i="23" s="1"/>
  <c r="AS69" i="15"/>
  <c r="BH69" i="15" s="1"/>
  <c r="T27" i="23"/>
  <c r="T21" i="23"/>
  <c r="T25" i="23"/>
  <c r="T24" i="23"/>
  <c r="T22" i="23"/>
  <c r="T19" i="23"/>
  <c r="AN14" i="27"/>
  <c r="AM14" i="27"/>
  <c r="AP14" i="27"/>
  <c r="AO14" i="27"/>
  <c r="X18" i="27"/>
  <c r="AH18" i="27"/>
  <c r="AN18" i="27"/>
  <c r="AG18" i="27"/>
  <c r="AM18" i="27"/>
  <c r="AO18" i="27"/>
  <c r="AP18" i="27"/>
  <c r="AJ18" i="27"/>
  <c r="AI18" i="27"/>
  <c r="X17" i="27"/>
  <c r="AJ17" i="27"/>
  <c r="AM17" i="27"/>
  <c r="AG17" i="27"/>
  <c r="AI17" i="27"/>
  <c r="AH17" i="27"/>
  <c r="AN17" i="27"/>
  <c r="AP17" i="27"/>
  <c r="AO17" i="27"/>
  <c r="X22" i="27"/>
  <c r="AP22" i="27"/>
  <c r="AH22" i="27"/>
  <c r="AO22" i="27"/>
  <c r="AM22" i="27"/>
  <c r="AI22" i="27"/>
  <c r="AN22" i="27"/>
  <c r="AG22" i="27"/>
  <c r="AJ22" i="27"/>
  <c r="X16" i="27"/>
  <c r="AI16" i="27"/>
  <c r="AM16" i="27"/>
  <c r="AH16" i="27"/>
  <c r="AN16" i="27"/>
  <c r="AO16" i="27"/>
  <c r="AJ16" i="27"/>
  <c r="AG16" i="27"/>
  <c r="AP16" i="27"/>
  <c r="X21" i="27"/>
  <c r="AP21" i="27"/>
  <c r="AJ21" i="27"/>
  <c r="AI21" i="27"/>
  <c r="AG21" i="27"/>
  <c r="AH21" i="27"/>
  <c r="AM21" i="27"/>
  <c r="AO21" i="27"/>
  <c r="AN21" i="27"/>
  <c r="X23" i="27"/>
  <c r="AI23" i="27"/>
  <c r="AM23" i="27"/>
  <c r="AG23" i="27"/>
  <c r="AN23" i="27"/>
  <c r="AO23" i="27"/>
  <c r="AH23" i="27"/>
  <c r="AP23" i="27"/>
  <c r="AJ23" i="27"/>
  <c r="X15" i="27"/>
  <c r="AM15" i="27"/>
  <c r="AO15" i="27"/>
  <c r="AP15" i="27"/>
  <c r="AN15" i="27"/>
  <c r="X20" i="27"/>
  <c r="AM20" i="27"/>
  <c r="AG20" i="27"/>
  <c r="AN20" i="27"/>
  <c r="AP20" i="27"/>
  <c r="AI20" i="27"/>
  <c r="AJ20" i="27"/>
  <c r="AH20" i="27"/>
  <c r="AO20" i="27"/>
  <c r="X19" i="27"/>
  <c r="AI19" i="27"/>
  <c r="AN19" i="27"/>
  <c r="AJ19" i="27"/>
  <c r="AO19" i="27"/>
  <c r="AP19" i="27"/>
  <c r="AH19" i="27"/>
  <c r="AM19" i="27"/>
  <c r="AG19" i="27"/>
  <c r="S41" i="27"/>
  <c r="T36" i="27"/>
  <c r="T38" i="27"/>
  <c r="S37" i="27"/>
  <c r="S38" i="27"/>
  <c r="S36" i="27"/>
  <c r="S39" i="27"/>
  <c r="T35" i="27"/>
  <c r="T41" i="27"/>
  <c r="T40" i="27"/>
  <c r="T43" i="27"/>
  <c r="S43" i="27"/>
  <c r="S35" i="27"/>
  <c r="T42" i="27"/>
  <c r="S42" i="27"/>
  <c r="T37" i="27"/>
  <c r="T39" i="27"/>
  <c r="AQ19" i="23"/>
  <c r="K29" i="23"/>
  <c r="K28" i="23"/>
  <c r="AQ27" i="23"/>
  <c r="AP22" i="23"/>
  <c r="AP21" i="23"/>
  <c r="AQ25" i="23"/>
  <c r="AQ28" i="23"/>
  <c r="U21" i="14"/>
  <c r="K43" i="14" s="1"/>
  <c r="AP27" i="23"/>
  <c r="AQ21" i="23"/>
  <c r="AP25" i="23"/>
  <c r="AP28" i="23"/>
  <c r="AQ29" i="23"/>
  <c r="AP19" i="23"/>
  <c r="AQ22" i="23"/>
  <c r="T70" i="14"/>
  <c r="BK27" i="15" s="1"/>
  <c r="X70" i="14"/>
  <c r="T73" i="14"/>
  <c r="BK30" i="15" s="1"/>
  <c r="X73" i="14"/>
  <c r="X75" i="14"/>
  <c r="T75" i="14"/>
  <c r="BK32" i="15" s="1"/>
  <c r="S76" i="14"/>
  <c r="X76" i="14" s="1"/>
  <c r="T74" i="14"/>
  <c r="BK31" i="15" s="1"/>
  <c r="X74" i="14"/>
  <c r="S68" i="14"/>
  <c r="X72" i="14"/>
  <c r="T72" i="14"/>
  <c r="BK29" i="15" s="1"/>
  <c r="U24" i="14"/>
  <c r="T77" i="14"/>
  <c r="BK34" i="15" s="1"/>
  <c r="X77" i="14"/>
  <c r="U19" i="14"/>
  <c r="U25" i="14"/>
  <c r="AO20" i="14"/>
  <c r="T71" i="14"/>
  <c r="BK28" i="15" s="1"/>
  <c r="X71" i="14"/>
  <c r="R69" i="14"/>
  <c r="S69" i="14" s="1"/>
  <c r="X69" i="14" s="1"/>
  <c r="W58" i="23"/>
  <c r="U45" i="14"/>
  <c r="U41" i="14"/>
  <c r="AU22" i="23"/>
  <c r="P22" i="14"/>
  <c r="AU19" i="23"/>
  <c r="Y19" i="23"/>
  <c r="AT19" i="23"/>
  <c r="AU29" i="23"/>
  <c r="AT29" i="23"/>
  <c r="AP20" i="14"/>
  <c r="U40" i="14"/>
  <c r="AP19" i="14"/>
  <c r="AO24" i="14"/>
  <c r="U43" i="14"/>
  <c r="AB39" i="25"/>
  <c r="U46" i="14"/>
  <c r="W59" i="23"/>
  <c r="P21" i="14"/>
  <c r="AT25" i="23"/>
  <c r="U38" i="14"/>
  <c r="AO19" i="14"/>
  <c r="P20" i="14"/>
  <c r="Y27" i="23"/>
  <c r="W60" i="23"/>
  <c r="AU27" i="23"/>
  <c r="U39" i="14"/>
  <c r="U47" i="14"/>
  <c r="P25" i="14"/>
  <c r="AT24" i="23"/>
  <c r="P23" i="14"/>
  <c r="P19" i="14"/>
  <c r="Y24" i="23"/>
  <c r="AP25" i="14"/>
  <c r="P24" i="14"/>
  <c r="AB35" i="25"/>
  <c r="W52" i="23"/>
  <c r="Y29" i="23"/>
  <c r="L60" i="23" s="1"/>
  <c r="AB42" i="25"/>
  <c r="AB43" i="25"/>
  <c r="AP24" i="14"/>
  <c r="AP23" i="14"/>
  <c r="U42" i="14"/>
  <c r="Y22" i="23"/>
  <c r="AO52" i="23" s="1"/>
  <c r="U44" i="14"/>
  <c r="AB41" i="25"/>
  <c r="AB38" i="25"/>
  <c r="W50" i="23"/>
  <c r="W53" i="23"/>
  <c r="AP21" i="14"/>
  <c r="AB40" i="25"/>
  <c r="I44" i="25"/>
  <c r="AU18" i="23"/>
  <c r="Y18" i="23"/>
  <c r="W49" i="23"/>
  <c r="W56" i="23"/>
  <c r="Y21" i="23"/>
  <c r="AU21" i="23"/>
  <c r="J44" i="25"/>
  <c r="W55" i="23"/>
  <c r="AO21" i="14"/>
  <c r="AT21" i="23"/>
  <c r="AB34" i="25"/>
  <c r="AO23" i="14"/>
  <c r="Y28" i="23"/>
  <c r="AU28" i="23"/>
  <c r="E524" i="16"/>
  <c r="H90" i="2"/>
  <c r="J511" i="16" s="1"/>
  <c r="AO25" i="14"/>
  <c r="AU25" i="23"/>
  <c r="Y25" i="23"/>
  <c r="L30" i="23" l="1"/>
  <c r="AG14" i="14"/>
  <c r="U10" i="14"/>
  <c r="AH14" i="14"/>
  <c r="L10" i="14"/>
  <c r="AS16" i="15"/>
  <c r="BK61" i="29"/>
  <c r="AY61" i="29"/>
  <c r="L9" i="35" s="1"/>
  <c r="K16" i="23"/>
  <c r="O16" i="25"/>
  <c r="P16" i="25"/>
  <c r="AK16" i="25"/>
  <c r="AS16" i="25"/>
  <c r="AM16" i="25"/>
  <c r="M81" i="69" s="1"/>
  <c r="AU16" i="25"/>
  <c r="AL16" i="25"/>
  <c r="U81" i="69" s="1"/>
  <c r="M60" i="69"/>
  <c r="AY89" i="15"/>
  <c r="P30" i="23" s="1"/>
  <c r="T30" i="23" s="1"/>
  <c r="AY88" i="15"/>
  <c r="P29" i="23" s="1"/>
  <c r="T29" i="23" s="1"/>
  <c r="AX29" i="23" s="1"/>
  <c r="AY87" i="15"/>
  <c r="P28" i="23" s="1"/>
  <c r="T28" i="23" s="1"/>
  <c r="AX28" i="23" s="1"/>
  <c r="AS27" i="15"/>
  <c r="L18" i="14" s="1"/>
  <c r="P18" i="14" s="1"/>
  <c r="V18" i="14" s="1"/>
  <c r="N40" i="14" s="1"/>
  <c r="G86" i="69"/>
  <c r="F32" i="69"/>
  <c r="G88" i="69"/>
  <c r="Q224" i="47"/>
  <c r="R224" i="47" s="1"/>
  <c r="T224" i="47" s="1"/>
  <c r="P224" i="47"/>
  <c r="M64" i="69"/>
  <c r="G87" i="69"/>
  <c r="G84" i="69"/>
  <c r="M95" i="69"/>
  <c r="I60" i="23"/>
  <c r="M68" i="69"/>
  <c r="M58" i="69"/>
  <c r="U66" i="69"/>
  <c r="U60" i="69"/>
  <c r="U63" i="69"/>
  <c r="G85" i="69"/>
  <c r="M66" i="69"/>
  <c r="M99" i="69"/>
  <c r="M102" i="69"/>
  <c r="U98" i="69"/>
  <c r="U61" i="69"/>
  <c r="G83" i="69"/>
  <c r="M61" i="69"/>
  <c r="M97" i="69"/>
  <c r="U97" i="69"/>
  <c r="M98" i="69"/>
  <c r="U101" i="69"/>
  <c r="U99" i="69"/>
  <c r="U95" i="69"/>
  <c r="U102" i="69"/>
  <c r="M101" i="69"/>
  <c r="M96" i="69"/>
  <c r="AX27" i="23"/>
  <c r="AY27" i="23"/>
  <c r="U64" i="69"/>
  <c r="AX25" i="23"/>
  <c r="AY25" i="23"/>
  <c r="M63" i="69"/>
  <c r="U58" i="69"/>
  <c r="AY19" i="23"/>
  <c r="AX19" i="23"/>
  <c r="AX21" i="23"/>
  <c r="AY21" i="23"/>
  <c r="W16" i="23"/>
  <c r="X16" i="23"/>
  <c r="AP16" i="23"/>
  <c r="M57" i="69"/>
  <c r="AY24" i="23"/>
  <c r="AX24" i="23"/>
  <c r="AP15" i="32"/>
  <c r="F26" i="69"/>
  <c r="U100" i="69"/>
  <c r="M100" i="69"/>
  <c r="U96" i="69"/>
  <c r="U68" i="69"/>
  <c r="U67" i="69"/>
  <c r="M67" i="69"/>
  <c r="AX22" i="23"/>
  <c r="AY22" i="23"/>
  <c r="V78" i="69"/>
  <c r="V77" i="69"/>
  <c r="F18" i="23"/>
  <c r="H18" i="23"/>
  <c r="AW88" i="15"/>
  <c r="AW79" i="15"/>
  <c r="AW87" i="15"/>
  <c r="AW77" i="15"/>
  <c r="AW75" i="15"/>
  <c r="L16" i="23"/>
  <c r="Q22" i="14"/>
  <c r="R22" i="14" s="1"/>
  <c r="V22" i="14"/>
  <c r="U22" i="23"/>
  <c r="V22" i="23" s="1"/>
  <c r="O53" i="23"/>
  <c r="N53" i="23"/>
  <c r="U24" i="23"/>
  <c r="V24" i="23" s="1"/>
  <c r="O55" i="23"/>
  <c r="N55" i="23"/>
  <c r="Q24" i="14"/>
  <c r="R24" i="14" s="1"/>
  <c r="V24" i="14"/>
  <c r="U25" i="23"/>
  <c r="V25" i="23" s="1"/>
  <c r="O56" i="23"/>
  <c r="N56" i="23"/>
  <c r="U21" i="23"/>
  <c r="V21" i="23" s="1"/>
  <c r="O52" i="23"/>
  <c r="N52" i="23"/>
  <c r="U19" i="23"/>
  <c r="V19" i="23" s="1"/>
  <c r="O50" i="23"/>
  <c r="N50" i="23"/>
  <c r="Q20" i="14"/>
  <c r="R20" i="14" s="1"/>
  <c r="V20" i="14"/>
  <c r="U27" i="23"/>
  <c r="V27" i="23" s="1"/>
  <c r="N58" i="23"/>
  <c r="O58" i="23"/>
  <c r="Q23" i="14"/>
  <c r="R23" i="14" s="1"/>
  <c r="V23" i="14"/>
  <c r="Q19" i="14"/>
  <c r="R19" i="14" s="1"/>
  <c r="V19" i="14"/>
  <c r="Q25" i="14"/>
  <c r="R25" i="14" s="1"/>
  <c r="V25" i="14"/>
  <c r="Q21" i="14"/>
  <c r="R21" i="14" s="1"/>
  <c r="V21" i="14"/>
  <c r="X43" i="37"/>
  <c r="V43" i="37"/>
  <c r="W43" i="37"/>
  <c r="W44" i="37"/>
  <c r="X44" i="37"/>
  <c r="V44" i="37"/>
  <c r="AR17" i="25"/>
  <c r="AQ17" i="25"/>
  <c r="AQ15" i="25"/>
  <c r="AR15" i="25"/>
  <c r="AQ22" i="25"/>
  <c r="AR22" i="25"/>
  <c r="AR14" i="25"/>
  <c r="AQ14" i="25"/>
  <c r="AR16" i="25"/>
  <c r="I68" i="14"/>
  <c r="BA25" i="15" s="1"/>
  <c r="AT127" i="15"/>
  <c r="J14" i="25" s="1"/>
  <c r="AT129" i="15"/>
  <c r="J16" i="25" s="1"/>
  <c r="L16" i="25" s="1"/>
  <c r="AT128" i="15"/>
  <c r="J15" i="25" s="1"/>
  <c r="L15" i="25" s="1"/>
  <c r="AO8" i="32"/>
  <c r="AS36" i="29"/>
  <c r="AY69" i="15"/>
  <c r="P18" i="23" s="1"/>
  <c r="T18" i="23" s="1"/>
  <c r="AY67" i="15"/>
  <c r="CI25" i="67"/>
  <c r="AP47" i="40"/>
  <c r="J49" i="40" s="1"/>
  <c r="H14" i="23"/>
  <c r="L14" i="23" s="1"/>
  <c r="F14" i="23"/>
  <c r="AT119" i="15"/>
  <c r="AT116" i="15"/>
  <c r="AT117" i="15"/>
  <c r="Y29" i="27"/>
  <c r="AV10" i="26" s="1"/>
  <c r="AT118" i="15"/>
  <c r="K12" i="27"/>
  <c r="BC15" i="26" s="1"/>
  <c r="L12" i="27" s="1"/>
  <c r="Y28" i="27"/>
  <c r="AV9" i="26" s="1"/>
  <c r="K10" i="27"/>
  <c r="BC13" i="26" s="1"/>
  <c r="L10" i="27" s="1"/>
  <c r="Y31" i="27"/>
  <c r="AV12" i="26" s="1"/>
  <c r="Y32" i="27"/>
  <c r="AV13" i="26" s="1"/>
  <c r="Y30" i="27"/>
  <c r="AV11" i="26" s="1"/>
  <c r="Y33" i="27"/>
  <c r="AV14" i="26" s="1"/>
  <c r="M12" i="27"/>
  <c r="Q36" i="15"/>
  <c r="F139" i="47"/>
  <c r="V139" i="47"/>
  <c r="W139" i="47"/>
  <c r="F138" i="47"/>
  <c r="V138" i="47"/>
  <c r="W138" i="47"/>
  <c r="F137" i="47"/>
  <c r="V137" i="47"/>
  <c r="W137" i="47"/>
  <c r="F136" i="47"/>
  <c r="W136" i="47"/>
  <c r="F135" i="47"/>
  <c r="W135" i="47"/>
  <c r="AK4" i="38"/>
  <c r="F134" i="47"/>
  <c r="W134" i="47"/>
  <c r="Q96" i="15"/>
  <c r="E24" i="35"/>
  <c r="H41" i="35" s="1"/>
  <c r="K15" i="23"/>
  <c r="Q11" i="23"/>
  <c r="L9" i="25"/>
  <c r="K9" i="25"/>
  <c r="L6" i="25"/>
  <c r="L7" i="25"/>
  <c r="K7" i="25"/>
  <c r="L8" i="25"/>
  <c r="K8" i="25"/>
  <c r="O16" i="27"/>
  <c r="BG28" i="26" s="1"/>
  <c r="P16" i="27" s="1"/>
  <c r="O20" i="27"/>
  <c r="BG32" i="26" s="1"/>
  <c r="P20" i="27" s="1"/>
  <c r="M18" i="27"/>
  <c r="BE30" i="26" s="1"/>
  <c r="N18" i="27" s="1"/>
  <c r="M22" i="27"/>
  <c r="BE34" i="26" s="1"/>
  <c r="N22" i="27" s="1"/>
  <c r="K20" i="27"/>
  <c r="BC32" i="26" s="1"/>
  <c r="L20" i="27" s="1"/>
  <c r="O10" i="27"/>
  <c r="BG13" i="26" s="1"/>
  <c r="O23" i="27"/>
  <c r="BG35" i="26" s="1"/>
  <c r="P23" i="27" s="1"/>
  <c r="M21" i="27"/>
  <c r="BE33" i="26" s="1"/>
  <c r="N21" i="27" s="1"/>
  <c r="K19" i="27"/>
  <c r="BC31" i="26" s="1"/>
  <c r="L19" i="27" s="1"/>
  <c r="O11" i="27"/>
  <c r="BG14" i="26" s="1"/>
  <c r="O17" i="27"/>
  <c r="BG29" i="26" s="1"/>
  <c r="P17" i="27" s="1"/>
  <c r="O21" i="27"/>
  <c r="BG33" i="26" s="1"/>
  <c r="P21" i="27" s="1"/>
  <c r="M19" i="27"/>
  <c r="BE31" i="26" s="1"/>
  <c r="N19" i="27" s="1"/>
  <c r="M23" i="27"/>
  <c r="BE35" i="26" s="1"/>
  <c r="N23" i="27" s="1"/>
  <c r="K17" i="27"/>
  <c r="BC29" i="26" s="1"/>
  <c r="L17" i="27" s="1"/>
  <c r="K21" i="27"/>
  <c r="BC33" i="26" s="1"/>
  <c r="L21" i="27" s="1"/>
  <c r="M11" i="27"/>
  <c r="BE14" i="26" s="1"/>
  <c r="O18" i="27"/>
  <c r="BG30" i="26" s="1"/>
  <c r="P18" i="27" s="1"/>
  <c r="O22" i="27"/>
  <c r="BG34" i="26" s="1"/>
  <c r="P22" i="27" s="1"/>
  <c r="M20" i="27"/>
  <c r="BE32" i="26" s="1"/>
  <c r="N20" i="27" s="1"/>
  <c r="K18" i="27"/>
  <c r="BC30" i="26" s="1"/>
  <c r="L18" i="27" s="1"/>
  <c r="K22" i="27"/>
  <c r="BC34" i="26" s="1"/>
  <c r="L22" i="27" s="1"/>
  <c r="K11" i="27"/>
  <c r="O19" i="27"/>
  <c r="BG31" i="26" s="1"/>
  <c r="P19" i="27" s="1"/>
  <c r="M17" i="27"/>
  <c r="BE29" i="26" s="1"/>
  <c r="N17" i="27" s="1"/>
  <c r="K23" i="27"/>
  <c r="BC35" i="26" s="1"/>
  <c r="L23" i="27" s="1"/>
  <c r="N29" i="23"/>
  <c r="H60" i="23" s="1"/>
  <c r="I22" i="14"/>
  <c r="M74" i="14"/>
  <c r="I74" i="14"/>
  <c r="BA31" i="15" s="1"/>
  <c r="M76" i="14"/>
  <c r="I76" i="14"/>
  <c r="BA33" i="15" s="1"/>
  <c r="I24" i="14"/>
  <c r="I72" i="14"/>
  <c r="BA29" i="15" s="1"/>
  <c r="M72" i="14"/>
  <c r="I20" i="14"/>
  <c r="I77" i="14"/>
  <c r="BA34" i="15" s="1"/>
  <c r="M77" i="14"/>
  <c r="I25" i="14"/>
  <c r="I21" i="14"/>
  <c r="M73" i="14"/>
  <c r="I73" i="14"/>
  <c r="BA30" i="15" s="1"/>
  <c r="M70" i="14"/>
  <c r="I70" i="14"/>
  <c r="BA27" i="15" s="1"/>
  <c r="I18" i="14"/>
  <c r="I75" i="14"/>
  <c r="BA32" i="15" s="1"/>
  <c r="M75" i="14"/>
  <c r="T23" i="14" s="1"/>
  <c r="U23" i="14" s="1"/>
  <c r="I23" i="14"/>
  <c r="H69" i="14"/>
  <c r="M80" i="14" s="1"/>
  <c r="S11" i="14"/>
  <c r="T11" i="14"/>
  <c r="K4" i="59"/>
  <c r="K4" i="49"/>
  <c r="O11" i="35"/>
  <c r="M13" i="35"/>
  <c r="O12" i="35"/>
  <c r="M10" i="35"/>
  <c r="M12" i="35"/>
  <c r="O13" i="35"/>
  <c r="O10" i="35"/>
  <c r="N28" i="23"/>
  <c r="I59" i="23" s="1"/>
  <c r="E28" i="35"/>
  <c r="G45" i="35" s="1"/>
  <c r="P26" i="31"/>
  <c r="L162" i="57" s="1"/>
  <c r="F162" i="57"/>
  <c r="P9" i="31"/>
  <c r="L151" i="57" s="1"/>
  <c r="F151" i="57"/>
  <c r="P25" i="31"/>
  <c r="E161" i="57"/>
  <c r="E25" i="35"/>
  <c r="H42" i="35" s="1"/>
  <c r="O14" i="35"/>
  <c r="M14" i="35"/>
  <c r="E27" i="35"/>
  <c r="G44" i="35" s="1"/>
  <c r="BH13" i="36"/>
  <c r="O25" i="37" s="1"/>
  <c r="J25" i="35"/>
  <c r="K25" i="35" s="1"/>
  <c r="L25" i="35"/>
  <c r="O26" i="32"/>
  <c r="L39" i="32"/>
  <c r="AO10" i="32" s="1"/>
  <c r="M39" i="32"/>
  <c r="E26" i="35"/>
  <c r="F120" i="47"/>
  <c r="G120" i="47"/>
  <c r="G119" i="47"/>
  <c r="F119" i="47"/>
  <c r="AS25" i="15"/>
  <c r="L16" i="14" s="1"/>
  <c r="P16" i="14" s="1"/>
  <c r="Q16" i="14" s="1"/>
  <c r="R16" i="14" s="1"/>
  <c r="AS26" i="15"/>
  <c r="L17" i="14" s="1"/>
  <c r="P17" i="14" s="1"/>
  <c r="Q17" i="14" s="1"/>
  <c r="R17" i="14" s="1"/>
  <c r="AV11" i="29"/>
  <c r="N9" i="30" s="1"/>
  <c r="K23" i="30" s="1"/>
  <c r="L44" i="25"/>
  <c r="O24" i="32"/>
  <c r="Q24" i="32" s="1"/>
  <c r="AP8" i="32"/>
  <c r="O14" i="37"/>
  <c r="O17" i="37"/>
  <c r="O11" i="37"/>
  <c r="O12" i="37"/>
  <c r="O16" i="37"/>
  <c r="O13" i="37"/>
  <c r="O15" i="37"/>
  <c r="O18" i="37"/>
  <c r="O10" i="37"/>
  <c r="O9" i="37"/>
  <c r="U40" i="27"/>
  <c r="V135" i="47"/>
  <c r="AC40" i="47"/>
  <c r="AB40" i="47"/>
  <c r="AB39" i="47"/>
  <c r="AC39" i="47"/>
  <c r="AC37" i="47"/>
  <c r="AB37" i="47"/>
  <c r="AC38" i="47"/>
  <c r="AC41" i="47"/>
  <c r="AB41" i="47"/>
  <c r="V134" i="47"/>
  <c r="Y45" i="37"/>
  <c r="M58" i="37" s="1"/>
  <c r="Z45" i="37"/>
  <c r="N58" i="37" s="1"/>
  <c r="Z47" i="37"/>
  <c r="Y47" i="37"/>
  <c r="AW85" i="43"/>
  <c r="P228" i="47"/>
  <c r="AW96" i="43"/>
  <c r="AW81" i="43"/>
  <c r="AW92" i="43"/>
  <c r="AW93" i="43"/>
  <c r="P225" i="47"/>
  <c r="AW97" i="43"/>
  <c r="P229" i="47"/>
  <c r="AW80" i="43"/>
  <c r="AW84" i="43"/>
  <c r="K24" i="35"/>
  <c r="M24" i="35" s="1"/>
  <c r="AW94" i="43"/>
  <c r="P226" i="47"/>
  <c r="P227" i="47"/>
  <c r="AW95" i="43"/>
  <c r="AW83" i="43"/>
  <c r="AW82" i="43"/>
  <c r="V136" i="47"/>
  <c r="Q34" i="25"/>
  <c r="Q35" i="25"/>
  <c r="Q139" i="15"/>
  <c r="T8" i="14"/>
  <c r="W15" i="15"/>
  <c r="AM14" i="14"/>
  <c r="AN14" i="14"/>
  <c r="AN15" i="14"/>
  <c r="AM15" i="14"/>
  <c r="R31" i="32"/>
  <c r="Q31" i="32"/>
  <c r="Q25" i="32"/>
  <c r="L38" i="32"/>
  <c r="M38" i="32"/>
  <c r="R27" i="32"/>
  <c r="L40" i="32"/>
  <c r="AO11" i="32" s="1"/>
  <c r="M40" i="32"/>
  <c r="AQ16" i="23"/>
  <c r="Z16" i="27"/>
  <c r="Y16" i="27"/>
  <c r="Z22" i="27"/>
  <c r="Y22" i="27"/>
  <c r="Z17" i="27"/>
  <c r="Y17" i="27"/>
  <c r="Y19" i="27"/>
  <c r="Z19" i="27"/>
  <c r="Z18" i="27"/>
  <c r="Y18" i="27"/>
  <c r="Z20" i="27"/>
  <c r="Y20" i="27"/>
  <c r="Z15" i="27"/>
  <c r="Y15" i="27"/>
  <c r="Z23" i="27"/>
  <c r="Y23" i="27"/>
  <c r="Z21" i="27"/>
  <c r="Y21" i="27"/>
  <c r="Z14" i="27"/>
  <c r="Y14" i="27"/>
  <c r="U41" i="27"/>
  <c r="U36" i="27"/>
  <c r="U38" i="27"/>
  <c r="U37" i="27"/>
  <c r="U39" i="27"/>
  <c r="U35" i="27"/>
  <c r="U43" i="27"/>
  <c r="U42" i="27"/>
  <c r="AP24" i="23"/>
  <c r="AQ24" i="23"/>
  <c r="T76" i="14"/>
  <c r="BK33" i="15" s="1"/>
  <c r="M68" i="14"/>
  <c r="J84" i="14"/>
  <c r="J85" i="14"/>
  <c r="X68" i="14"/>
  <c r="T68" i="14"/>
  <c r="M71" i="14"/>
  <c r="I71" i="14"/>
  <c r="BA28" i="15" s="1"/>
  <c r="T69" i="14"/>
  <c r="BK26" i="15" s="1"/>
  <c r="AO49" i="23"/>
  <c r="AP49" i="23"/>
  <c r="AO56" i="23"/>
  <c r="AP56" i="23"/>
  <c r="AO53" i="23"/>
  <c r="AP53" i="23"/>
  <c r="AP52" i="23"/>
  <c r="AS41" i="14"/>
  <c r="AR41" i="14"/>
  <c r="AO59" i="23"/>
  <c r="AP59" i="23"/>
  <c r="AR46" i="14"/>
  <c r="AS46" i="14"/>
  <c r="AP50" i="23"/>
  <c r="AO50" i="23"/>
  <c r="AP58" i="23"/>
  <c r="AO58" i="23"/>
  <c r="AS47" i="14"/>
  <c r="AR47" i="14"/>
  <c r="AP55" i="23"/>
  <c r="AO55" i="23"/>
  <c r="AR43" i="14"/>
  <c r="AS43" i="14"/>
  <c r="AR42" i="14"/>
  <c r="AS42" i="14"/>
  <c r="N9" i="35" l="1"/>
  <c r="O9" i="35"/>
  <c r="N10" i="14"/>
  <c r="N36" i="14" s="1"/>
  <c r="M10" i="14"/>
  <c r="O10" i="14" s="1"/>
  <c r="M39" i="69"/>
  <c r="K36" i="14"/>
  <c r="AR36" i="14" s="1"/>
  <c r="L36" i="14"/>
  <c r="AS36" i="14" s="1"/>
  <c r="AW89" i="15"/>
  <c r="M30" i="23"/>
  <c r="N30" i="23"/>
  <c r="M16" i="27"/>
  <c r="BE28" i="26" s="1"/>
  <c r="N16" i="27" s="1"/>
  <c r="M15" i="27"/>
  <c r="BE27" i="26" s="1"/>
  <c r="N15" i="27" s="1"/>
  <c r="O15" i="27"/>
  <c r="BG27" i="26" s="1"/>
  <c r="P15" i="27" s="1"/>
  <c r="S224" i="47"/>
  <c r="K15" i="27"/>
  <c r="BC27" i="26" s="1"/>
  <c r="L15" i="27" s="1"/>
  <c r="K14" i="27"/>
  <c r="BC26" i="26" s="1"/>
  <c r="L14" i="27" s="1"/>
  <c r="K16" i="27"/>
  <c r="BC28" i="26" s="1"/>
  <c r="L16" i="27" s="1"/>
  <c r="O59" i="23"/>
  <c r="R36" i="25"/>
  <c r="S36" i="25"/>
  <c r="Q18" i="14"/>
  <c r="R18" i="14" s="1"/>
  <c r="AM18" i="14" s="1"/>
  <c r="N60" i="23"/>
  <c r="N59" i="23"/>
  <c r="U28" i="23"/>
  <c r="V28" i="23" s="1"/>
  <c r="AS28" i="23" s="1"/>
  <c r="O60" i="23"/>
  <c r="AY28" i="23"/>
  <c r="U29" i="23"/>
  <c r="V29" i="23" s="1"/>
  <c r="J60" i="23" s="1"/>
  <c r="F28" i="35"/>
  <c r="AY29" i="23"/>
  <c r="AY30" i="23"/>
  <c r="O61" i="23"/>
  <c r="AX30" i="23"/>
  <c r="U30" i="23"/>
  <c r="V30" i="23" s="1"/>
  <c r="N61" i="23"/>
  <c r="T18" i="14"/>
  <c r="S18" i="14"/>
  <c r="M10" i="27"/>
  <c r="BE13" i="26" s="1"/>
  <c r="F25" i="35"/>
  <c r="F139" i="69"/>
  <c r="F29" i="35"/>
  <c r="F27" i="35"/>
  <c r="F137" i="69"/>
  <c r="X225" i="47"/>
  <c r="Y225" i="47"/>
  <c r="AJ41" i="47"/>
  <c r="AF18" i="43" s="1"/>
  <c r="F133" i="69"/>
  <c r="X226" i="47"/>
  <c r="Y226" i="47"/>
  <c r="X228" i="47"/>
  <c r="Y228" i="47"/>
  <c r="F138" i="69"/>
  <c r="X227" i="47"/>
  <c r="Y227" i="47"/>
  <c r="AJ40" i="47"/>
  <c r="AF17" i="43" s="1"/>
  <c r="F132" i="69"/>
  <c r="Y224" i="47"/>
  <c r="X224" i="47"/>
  <c r="AJ224" i="47"/>
  <c r="AY224" i="47" s="1"/>
  <c r="X229" i="47"/>
  <c r="Y229" i="47"/>
  <c r="I46" i="23"/>
  <c r="H46" i="23"/>
  <c r="H59" i="23"/>
  <c r="F67" i="69" s="1"/>
  <c r="N66" i="69"/>
  <c r="N64" i="69"/>
  <c r="N60" i="69"/>
  <c r="V79" i="69"/>
  <c r="N58" i="69"/>
  <c r="AL16" i="23"/>
  <c r="AV16" i="23"/>
  <c r="AK16" i="23"/>
  <c r="AW16" i="23"/>
  <c r="AI16" i="23"/>
  <c r="AT16" i="23"/>
  <c r="Y16" i="23"/>
  <c r="AU16" i="23"/>
  <c r="AJ16" i="23"/>
  <c r="N63" i="69"/>
  <c r="O49" i="23"/>
  <c r="AY18" i="23"/>
  <c r="AX18" i="23"/>
  <c r="AP9" i="32"/>
  <c r="F20" i="69"/>
  <c r="AO35" i="32"/>
  <c r="AP11" i="32"/>
  <c r="F22" i="69"/>
  <c r="AP10" i="32"/>
  <c r="F21" i="69"/>
  <c r="T22" i="14"/>
  <c r="S22" i="14"/>
  <c r="G123" i="69"/>
  <c r="L14" i="25"/>
  <c r="N34" i="25" s="1"/>
  <c r="F68" i="69"/>
  <c r="N61" i="69"/>
  <c r="P16" i="23"/>
  <c r="T16" i="23" s="1"/>
  <c r="K18" i="23"/>
  <c r="L18" i="23"/>
  <c r="AW69" i="15" s="1"/>
  <c r="AW67" i="15"/>
  <c r="M16" i="23"/>
  <c r="L161" i="57"/>
  <c r="M14" i="23"/>
  <c r="AW58" i="15"/>
  <c r="N14" i="23"/>
  <c r="V24" i="30"/>
  <c r="U18" i="23"/>
  <c r="V18" i="23" s="1"/>
  <c r="V16" i="14"/>
  <c r="V17" i="14"/>
  <c r="N49" i="23"/>
  <c r="Y44" i="37"/>
  <c r="AU44" i="37" s="1"/>
  <c r="Z44" i="37"/>
  <c r="N57" i="37" s="1"/>
  <c r="V42" i="37"/>
  <c r="W42" i="37"/>
  <c r="X42" i="37"/>
  <c r="AO17" i="25"/>
  <c r="AP17" i="25"/>
  <c r="N35" i="25"/>
  <c r="AO15" i="25"/>
  <c r="AP15" i="25"/>
  <c r="AO16" i="25"/>
  <c r="AP16" i="25"/>
  <c r="O35" i="25"/>
  <c r="D82" i="42"/>
  <c r="M82" i="42" s="1"/>
  <c r="M101" i="42" s="1"/>
  <c r="K14" i="23"/>
  <c r="O14" i="27"/>
  <c r="BG26" i="26" s="1"/>
  <c r="P14" i="27" s="1"/>
  <c r="O37" i="25"/>
  <c r="N37" i="25"/>
  <c r="O36" i="25"/>
  <c r="N36" i="25"/>
  <c r="K55" i="23"/>
  <c r="J55" i="23"/>
  <c r="J58" i="23"/>
  <c r="K58" i="23"/>
  <c r="K53" i="23"/>
  <c r="J53" i="23"/>
  <c r="M14" i="27"/>
  <c r="BE26" i="26" s="1"/>
  <c r="N14" i="27" s="1"/>
  <c r="J56" i="23"/>
  <c r="K56" i="23"/>
  <c r="K52" i="23"/>
  <c r="J52" i="23"/>
  <c r="K59" i="23"/>
  <c r="J59" i="23"/>
  <c r="K50" i="23"/>
  <c r="J50" i="23"/>
  <c r="N16" i="23"/>
  <c r="AN22" i="14"/>
  <c r="I44" i="14"/>
  <c r="J44" i="14"/>
  <c r="AN23" i="14"/>
  <c r="I45" i="14"/>
  <c r="J45" i="14"/>
  <c r="J38" i="14"/>
  <c r="I38" i="14"/>
  <c r="AM24" i="14"/>
  <c r="I46" i="14"/>
  <c r="J46" i="14"/>
  <c r="AN20" i="14"/>
  <c r="I42" i="14"/>
  <c r="J42" i="14"/>
  <c r="J39" i="14"/>
  <c r="I39" i="14"/>
  <c r="I40" i="14"/>
  <c r="I41" i="14"/>
  <c r="J41" i="14"/>
  <c r="AN21" i="14"/>
  <c r="J43" i="14"/>
  <c r="I43" i="14"/>
  <c r="AM25" i="14"/>
  <c r="J47" i="14"/>
  <c r="I47" i="14"/>
  <c r="AM17" i="14"/>
  <c r="CI56" i="67"/>
  <c r="AP18" i="23"/>
  <c r="AQ18" i="23"/>
  <c r="BL224" i="47"/>
  <c r="BL235" i="47" s="1"/>
  <c r="BM224" i="47"/>
  <c r="BM235" i="47" s="1"/>
  <c r="AI224" i="47"/>
  <c r="AI227" i="47"/>
  <c r="AE83" i="43" s="1"/>
  <c r="AJ227" i="47"/>
  <c r="AF83" i="43" s="1"/>
  <c r="AJ225" i="47"/>
  <c r="AF81" i="43" s="1"/>
  <c r="AI225" i="47"/>
  <c r="AE81" i="43" s="1"/>
  <c r="AI229" i="47"/>
  <c r="AE85" i="43" s="1"/>
  <c r="AJ229" i="47"/>
  <c r="AF85" i="43" s="1"/>
  <c r="AI228" i="47"/>
  <c r="AE84" i="43" s="1"/>
  <c r="AJ228" i="47"/>
  <c r="AF84" i="43" s="1"/>
  <c r="AJ226" i="47"/>
  <c r="AF82" i="43" s="1"/>
  <c r="AI226" i="47"/>
  <c r="AE82" i="43" s="1"/>
  <c r="AX40" i="47"/>
  <c r="AI40" i="47"/>
  <c r="AE17" i="43" s="1"/>
  <c r="AX41" i="47"/>
  <c r="AI41" i="47"/>
  <c r="AE18" i="43" s="1"/>
  <c r="H137" i="47"/>
  <c r="I137" i="47"/>
  <c r="H138" i="47"/>
  <c r="I138" i="47"/>
  <c r="I139" i="47"/>
  <c r="H139" i="47"/>
  <c r="H136" i="47"/>
  <c r="I136" i="47"/>
  <c r="H135" i="47"/>
  <c r="I135" i="47"/>
  <c r="H134" i="47"/>
  <c r="I134" i="47"/>
  <c r="AI139" i="47"/>
  <c r="AE51" i="43" s="1"/>
  <c r="AX139" i="47"/>
  <c r="AI138" i="47"/>
  <c r="AE50" i="43" s="1"/>
  <c r="AX138" i="47"/>
  <c r="AI137" i="47"/>
  <c r="AE49" i="43" s="1"/>
  <c r="AX137" i="47"/>
  <c r="AZ231" i="47"/>
  <c r="AP15" i="23"/>
  <c r="AS27" i="23"/>
  <c r="AR25" i="23"/>
  <c r="AS24" i="23"/>
  <c r="AR22" i="23"/>
  <c r="AR21" i="23"/>
  <c r="R11" i="23"/>
  <c r="O46" i="23" s="1"/>
  <c r="N46" i="23"/>
  <c r="AR19" i="23"/>
  <c r="AN25" i="14"/>
  <c r="G27" i="35"/>
  <c r="H27" i="35" s="1"/>
  <c r="G25" i="35"/>
  <c r="H25" i="35" s="1"/>
  <c r="G29" i="35"/>
  <c r="H29" i="35" s="1"/>
  <c r="AN19" i="14"/>
  <c r="G28" i="35"/>
  <c r="H28" i="35" s="1"/>
  <c r="AQ15" i="23"/>
  <c r="AM20" i="14"/>
  <c r="N15" i="23"/>
  <c r="AS19" i="23"/>
  <c r="AM19" i="14"/>
  <c r="AN18" i="14"/>
  <c r="AS25" i="23"/>
  <c r="R15" i="27"/>
  <c r="R18" i="27"/>
  <c r="I38" i="27" s="1"/>
  <c r="R22" i="27"/>
  <c r="R23" i="27"/>
  <c r="AN24" i="14"/>
  <c r="M79" i="14"/>
  <c r="I69" i="14"/>
  <c r="BA26" i="15" s="1"/>
  <c r="I17" i="14"/>
  <c r="S17" i="14" s="1"/>
  <c r="M69" i="14"/>
  <c r="R19" i="27"/>
  <c r="R17" i="27"/>
  <c r="R20" i="27"/>
  <c r="AS21" i="23"/>
  <c r="U11" i="14"/>
  <c r="AH15" i="14"/>
  <c r="AG15" i="14"/>
  <c r="AP15" i="14"/>
  <c r="AF15" i="14"/>
  <c r="AO15" i="14"/>
  <c r="AE15" i="14"/>
  <c r="M9" i="35"/>
  <c r="F24" i="35" s="1"/>
  <c r="AR24" i="23"/>
  <c r="AM21" i="14"/>
  <c r="AR28" i="23"/>
  <c r="AM23" i="14"/>
  <c r="AS22" i="23"/>
  <c r="G42" i="35"/>
  <c r="F28" i="69" s="1"/>
  <c r="H45" i="35"/>
  <c r="F31" i="69" s="1"/>
  <c r="Q22" i="27"/>
  <c r="Q20" i="27"/>
  <c r="M42" i="14"/>
  <c r="AI20" i="14" s="1"/>
  <c r="N42" i="14"/>
  <c r="AJ20" i="14" s="1"/>
  <c r="AQ20" i="14"/>
  <c r="AJ18" i="14"/>
  <c r="M40" i="14"/>
  <c r="AI18" i="14" s="1"/>
  <c r="AQ18" i="14"/>
  <c r="M41" i="14"/>
  <c r="AI19" i="14" s="1"/>
  <c r="N41" i="14"/>
  <c r="AJ19" i="14" s="1"/>
  <c r="AQ19" i="14"/>
  <c r="AM22" i="14"/>
  <c r="M47" i="14"/>
  <c r="AI25" i="14" s="1"/>
  <c r="N47" i="14"/>
  <c r="AJ25" i="14" s="1"/>
  <c r="AQ25" i="14"/>
  <c r="AN17" i="14"/>
  <c r="N43" i="14"/>
  <c r="AJ21" i="14" s="1"/>
  <c r="M43" i="14"/>
  <c r="AI21" i="14" s="1"/>
  <c r="AQ21" i="14"/>
  <c r="N45" i="14"/>
  <c r="AJ23" i="14" s="1"/>
  <c r="M45" i="14"/>
  <c r="AI23" i="14" s="1"/>
  <c r="AQ23" i="14"/>
  <c r="N44" i="14"/>
  <c r="AJ22" i="14" s="1"/>
  <c r="M44" i="14"/>
  <c r="AI22" i="14" s="1"/>
  <c r="AQ22" i="14"/>
  <c r="M46" i="14"/>
  <c r="AI24" i="14" s="1"/>
  <c r="N46" i="14"/>
  <c r="AJ24" i="14" s="1"/>
  <c r="AQ24" i="14"/>
  <c r="K5" i="49"/>
  <c r="K5" i="59"/>
  <c r="P27" i="31"/>
  <c r="L163" i="57" s="1"/>
  <c r="G163" i="57"/>
  <c r="AR27" i="23"/>
  <c r="R21" i="27"/>
  <c r="Q18" i="27"/>
  <c r="H38" i="27" s="1"/>
  <c r="H44" i="35"/>
  <c r="F30" i="69" s="1"/>
  <c r="Q19" i="27"/>
  <c r="Q17" i="27"/>
  <c r="Q23" i="27"/>
  <c r="Q21" i="27"/>
  <c r="M11" i="35"/>
  <c r="F26" i="35" s="1"/>
  <c r="Q26" i="32"/>
  <c r="R26" i="32"/>
  <c r="H43" i="35"/>
  <c r="G43" i="35"/>
  <c r="T25" i="35"/>
  <c r="S25" i="35"/>
  <c r="W18" i="35" s="1"/>
  <c r="M25" i="35"/>
  <c r="Q25" i="35"/>
  <c r="Y25" i="35"/>
  <c r="Z25" i="35"/>
  <c r="R25" i="35"/>
  <c r="AX15" i="23"/>
  <c r="N9" i="25"/>
  <c r="AP13" i="25" s="1"/>
  <c r="M9" i="25"/>
  <c r="AO13" i="25" s="1"/>
  <c r="G121" i="47"/>
  <c r="F121" i="47"/>
  <c r="G118" i="47"/>
  <c r="F118" i="47"/>
  <c r="K134" i="47" s="1"/>
  <c r="AM16" i="14"/>
  <c r="AN16" i="14"/>
  <c r="R24" i="32"/>
  <c r="G41" i="35"/>
  <c r="F27" i="69" s="1"/>
  <c r="BA231" i="47"/>
  <c r="BR232" i="47"/>
  <c r="Q26" i="47"/>
  <c r="P26" i="47"/>
  <c r="AY41" i="47"/>
  <c r="AY40" i="47"/>
  <c r="BM143" i="47"/>
  <c r="AJ139" i="47"/>
  <c r="AF51" i="43" s="1"/>
  <c r="AY139" i="47"/>
  <c r="AY137" i="47"/>
  <c r="AJ137" i="47"/>
  <c r="AF49" i="43" s="1"/>
  <c r="AY138" i="47"/>
  <c r="AJ138" i="47"/>
  <c r="AF50" i="43" s="1"/>
  <c r="R229" i="47"/>
  <c r="T229" i="47" s="1"/>
  <c r="S229" i="47"/>
  <c r="U229" i="47" s="1"/>
  <c r="R228" i="47"/>
  <c r="T228" i="47" s="1"/>
  <c r="S228" i="47"/>
  <c r="U228" i="47" s="1"/>
  <c r="S227" i="47"/>
  <c r="U227" i="47" s="1"/>
  <c r="R227" i="47"/>
  <c r="T227" i="47" s="1"/>
  <c r="S226" i="47"/>
  <c r="U226" i="47" s="1"/>
  <c r="R226" i="47"/>
  <c r="T226" i="47" s="1"/>
  <c r="T225" i="47"/>
  <c r="S225" i="47"/>
  <c r="U225" i="47" s="1"/>
  <c r="U224" i="47"/>
  <c r="AY14" i="43"/>
  <c r="E15" i="47" s="1"/>
  <c r="BA14" i="43"/>
  <c r="H15" i="47" s="1"/>
  <c r="F15" i="47" s="1"/>
  <c r="AV45" i="37"/>
  <c r="R58" i="37"/>
  <c r="Y24" i="35"/>
  <c r="AU45" i="37"/>
  <c r="Q58" i="37"/>
  <c r="AC16" i="36" s="1"/>
  <c r="Z24" i="35"/>
  <c r="AU47" i="37"/>
  <c r="M60" i="37"/>
  <c r="Q60" i="37" s="1"/>
  <c r="AC18" i="36" s="1"/>
  <c r="AV47" i="37"/>
  <c r="N60" i="37"/>
  <c r="T24" i="35"/>
  <c r="M27" i="69" s="1"/>
  <c r="V27" i="30"/>
  <c r="W27" i="30" s="1"/>
  <c r="X27" i="30" s="1"/>
  <c r="R24" i="35"/>
  <c r="Q24" i="35"/>
  <c r="AW8" i="32"/>
  <c r="AV8" i="32"/>
  <c r="AW58" i="43"/>
  <c r="AW59" i="43"/>
  <c r="AY59" i="43"/>
  <c r="C14" i="47"/>
  <c r="O24" i="47" s="1"/>
  <c r="BA38" i="47"/>
  <c r="BB40" i="47"/>
  <c r="M132" i="69" s="1"/>
  <c r="BB41" i="47"/>
  <c r="M133" i="69" s="1"/>
  <c r="N26" i="47"/>
  <c r="N27" i="47"/>
  <c r="L27" i="47"/>
  <c r="J14" i="47"/>
  <c r="M24" i="47" s="1"/>
  <c r="N24" i="47" s="1"/>
  <c r="AD36" i="47" s="1"/>
  <c r="V25" i="30"/>
  <c r="W25" i="30" s="1"/>
  <c r="X25" i="30" s="1"/>
  <c r="V26" i="30"/>
  <c r="W26" i="30" s="1"/>
  <c r="X26" i="30" s="1"/>
  <c r="V30" i="30"/>
  <c r="W30" i="30" s="1"/>
  <c r="X30" i="30" s="1"/>
  <c r="V29" i="30"/>
  <c r="W29" i="30" s="1"/>
  <c r="X29" i="30" s="1"/>
  <c r="W30" i="35"/>
  <c r="X33" i="35"/>
  <c r="W32" i="35"/>
  <c r="T16" i="14"/>
  <c r="AI9" i="32"/>
  <c r="AJ9" i="32"/>
  <c r="AI15" i="32"/>
  <c r="AJ15" i="32"/>
  <c r="AK15" i="32"/>
  <c r="AL15" i="32"/>
  <c r="AK11" i="32"/>
  <c r="AL11" i="32"/>
  <c r="U8" i="14"/>
  <c r="L34" i="14" s="1"/>
  <c r="AO9" i="32"/>
  <c r="X31" i="35"/>
  <c r="W31" i="35"/>
  <c r="R25" i="32"/>
  <c r="Q27" i="32"/>
  <c r="AV15" i="32"/>
  <c r="AW15" i="32"/>
  <c r="S31" i="32"/>
  <c r="AW9" i="32"/>
  <c r="AV9" i="32"/>
  <c r="X15" i="15"/>
  <c r="BK25" i="15"/>
  <c r="N28" i="30"/>
  <c r="N27" i="30"/>
  <c r="N30" i="30"/>
  <c r="N29" i="30"/>
  <c r="N26" i="30"/>
  <c r="Q16" i="27" l="1"/>
  <c r="H61" i="23"/>
  <c r="I61" i="23"/>
  <c r="F69" i="69" s="1"/>
  <c r="Q15" i="27"/>
  <c r="H35" i="27" s="1"/>
  <c r="R16" i="27"/>
  <c r="J40" i="14"/>
  <c r="G43" i="69" s="1"/>
  <c r="Q14" i="27"/>
  <c r="H34" i="27" s="1"/>
  <c r="R14" i="27"/>
  <c r="I34" i="27" s="1"/>
  <c r="F141" i="69"/>
  <c r="N67" i="69"/>
  <c r="N68" i="69"/>
  <c r="AS29" i="23"/>
  <c r="AR29" i="23"/>
  <c r="K60" i="23"/>
  <c r="G68" i="69" s="1"/>
  <c r="K61" i="23"/>
  <c r="J61" i="23"/>
  <c r="P61" i="23" s="1"/>
  <c r="W89" i="15" s="1"/>
  <c r="N69" i="69"/>
  <c r="T17" i="14"/>
  <c r="U17" i="14" s="1"/>
  <c r="AP17" i="14"/>
  <c r="AO17" i="14"/>
  <c r="AP18" i="14"/>
  <c r="U18" i="14"/>
  <c r="AO18" i="14"/>
  <c r="U16" i="14"/>
  <c r="K38" i="14" s="1"/>
  <c r="T34" i="25"/>
  <c r="W127" i="15" s="1"/>
  <c r="F143" i="69"/>
  <c r="M22" i="69"/>
  <c r="F144" i="69"/>
  <c r="U26" i="69"/>
  <c r="F145" i="69"/>
  <c r="F142" i="69"/>
  <c r="F140" i="69"/>
  <c r="M26" i="69"/>
  <c r="G45" i="69"/>
  <c r="H45" i="23"/>
  <c r="I45" i="23"/>
  <c r="AO14" i="25"/>
  <c r="AP14" i="25"/>
  <c r="N45" i="69"/>
  <c r="G48" i="69"/>
  <c r="O34" i="25"/>
  <c r="G79" i="69" s="1"/>
  <c r="N39" i="14"/>
  <c r="AJ17" i="14" s="1"/>
  <c r="N49" i="69"/>
  <c r="M38" i="14"/>
  <c r="AI16" i="14" s="1"/>
  <c r="N38" i="14"/>
  <c r="AJ16" i="14" s="1"/>
  <c r="U20" i="69"/>
  <c r="H47" i="23"/>
  <c r="I47" i="23"/>
  <c r="G44" i="69"/>
  <c r="G42" i="69"/>
  <c r="N43" i="69"/>
  <c r="G64" i="69"/>
  <c r="G97" i="69"/>
  <c r="G58" i="69"/>
  <c r="M55" i="69"/>
  <c r="AS18" i="23"/>
  <c r="J49" i="23"/>
  <c r="G66" i="69"/>
  <c r="G41" i="69"/>
  <c r="N50" i="69"/>
  <c r="U55" i="69"/>
  <c r="G49" i="69"/>
  <c r="G50" i="69"/>
  <c r="N44" i="69"/>
  <c r="G46" i="69"/>
  <c r="N46" i="69"/>
  <c r="N47" i="69"/>
  <c r="G81" i="69"/>
  <c r="G82" i="69"/>
  <c r="G60" i="69"/>
  <c r="L47" i="23"/>
  <c r="AO46" i="23" s="1"/>
  <c r="M47" i="23"/>
  <c r="AP46" i="23" s="1"/>
  <c r="G63" i="69"/>
  <c r="N57" i="69"/>
  <c r="U40" i="69"/>
  <c r="AP22" i="14"/>
  <c r="U22" i="14"/>
  <c r="AO22" i="14"/>
  <c r="F54" i="69"/>
  <c r="R60" i="37"/>
  <c r="AD18" i="36" s="1"/>
  <c r="G125" i="69"/>
  <c r="R57" i="37"/>
  <c r="AD15" i="36" s="1"/>
  <c r="G80" i="69"/>
  <c r="N48" i="69"/>
  <c r="G47" i="69"/>
  <c r="G67" i="69"/>
  <c r="G61" i="69"/>
  <c r="F29" i="69"/>
  <c r="U28" i="69"/>
  <c r="M28" i="69"/>
  <c r="N54" i="69"/>
  <c r="U27" i="69"/>
  <c r="M40" i="69"/>
  <c r="R24" i="30"/>
  <c r="O36" i="30" s="1"/>
  <c r="O47" i="23"/>
  <c r="AC52" i="23" s="1"/>
  <c r="AY16" i="23"/>
  <c r="U16" i="23"/>
  <c r="V16" i="23" s="1"/>
  <c r="J47" i="23" s="1"/>
  <c r="AX16" i="23"/>
  <c r="N47" i="23"/>
  <c r="AB52" i="23" s="1"/>
  <c r="N18" i="23"/>
  <c r="M18" i="23"/>
  <c r="AQ17" i="14"/>
  <c r="M39" i="14"/>
  <c r="AI17" i="14" s="1"/>
  <c r="AQ14" i="23"/>
  <c r="AP14" i="23"/>
  <c r="AR18" i="23"/>
  <c r="K49" i="23"/>
  <c r="AQ16" i="14"/>
  <c r="AV44" i="37"/>
  <c r="M57" i="37"/>
  <c r="Q57" i="37" s="1"/>
  <c r="AC15" i="36" s="1"/>
  <c r="V23" i="30"/>
  <c r="W23" i="30" s="1"/>
  <c r="K82" i="42"/>
  <c r="P82" i="42" s="1"/>
  <c r="L82" i="42"/>
  <c r="L101" i="42" s="1"/>
  <c r="J41" i="35"/>
  <c r="N33" i="25"/>
  <c r="T33" i="25" s="1"/>
  <c r="W119" i="15" s="1"/>
  <c r="O33" i="25"/>
  <c r="AK21" i="27"/>
  <c r="H41" i="27"/>
  <c r="AL17" i="27"/>
  <c r="I37" i="27"/>
  <c r="AL23" i="27"/>
  <c r="I43" i="27"/>
  <c r="AK23" i="27"/>
  <c r="H43" i="27"/>
  <c r="AL21" i="27"/>
  <c r="I41" i="27"/>
  <c r="AL19" i="27"/>
  <c r="I39" i="27"/>
  <c r="AL22" i="27"/>
  <c r="I42" i="27"/>
  <c r="I45" i="35"/>
  <c r="J45" i="35"/>
  <c r="I46" i="35"/>
  <c r="J46" i="35"/>
  <c r="W27" i="35"/>
  <c r="J44" i="35"/>
  <c r="I44" i="35"/>
  <c r="AK17" i="27"/>
  <c r="H37" i="27"/>
  <c r="AK20" i="27"/>
  <c r="H40" i="27"/>
  <c r="AL15" i="27"/>
  <c r="I35" i="27"/>
  <c r="AK19" i="27"/>
  <c r="H39" i="27"/>
  <c r="AK22" i="27"/>
  <c r="H42" i="27"/>
  <c r="AL16" i="27"/>
  <c r="I36" i="27"/>
  <c r="W26" i="35"/>
  <c r="J43" i="35"/>
  <c r="I43" i="35"/>
  <c r="AL20" i="27"/>
  <c r="I40" i="27"/>
  <c r="AK16" i="27"/>
  <c r="H36" i="27"/>
  <c r="X25" i="35"/>
  <c r="I42" i="35"/>
  <c r="J42" i="35"/>
  <c r="V94" i="68"/>
  <c r="U39" i="68"/>
  <c r="AE26" i="67"/>
  <c r="AE30" i="67" s="1"/>
  <c r="V39" i="68"/>
  <c r="U94" i="68"/>
  <c r="BM236" i="47"/>
  <c r="BN235" i="47"/>
  <c r="E126" i="49"/>
  <c r="K126" i="49" s="1"/>
  <c r="Q126" i="49" s="1"/>
  <c r="AF38" i="47"/>
  <c r="R24" i="47"/>
  <c r="AE36" i="47"/>
  <c r="J134" i="47"/>
  <c r="Z43" i="37"/>
  <c r="N56" i="37" s="1"/>
  <c r="Y43" i="37"/>
  <c r="M56" i="37" s="1"/>
  <c r="Q56" i="37" s="1"/>
  <c r="AC14" i="36" s="1"/>
  <c r="Z42" i="37"/>
  <c r="AV42" i="37" s="1"/>
  <c r="Y42" i="37"/>
  <c r="M55" i="37" s="1"/>
  <c r="E155" i="49"/>
  <c r="K155" i="49" s="1"/>
  <c r="Q155" i="49" s="1"/>
  <c r="BQ224" i="47"/>
  <c r="BA232" i="47"/>
  <c r="BM142" i="47"/>
  <c r="AY15" i="23"/>
  <c r="G26" i="35"/>
  <c r="H26" i="35" s="1"/>
  <c r="I26" i="35" s="1"/>
  <c r="O12" i="27"/>
  <c r="BG15" i="26" s="1"/>
  <c r="G24" i="35"/>
  <c r="H24" i="35" s="1"/>
  <c r="I24" i="35" s="1"/>
  <c r="O13" i="27"/>
  <c r="BG16" i="26" s="1"/>
  <c r="M13" i="27"/>
  <c r="BE16" i="26" s="1"/>
  <c r="K13" i="27"/>
  <c r="BC16" i="26" s="1"/>
  <c r="L13" i="27" s="1"/>
  <c r="N24" i="32"/>
  <c r="N37" i="32" s="1"/>
  <c r="AK15" i="27"/>
  <c r="W24" i="30"/>
  <c r="X24" i="30" s="1"/>
  <c r="AK14" i="27"/>
  <c r="L37" i="14"/>
  <c r="AS37" i="14" s="1"/>
  <c r="K37" i="14"/>
  <c r="AR37" i="14" s="1"/>
  <c r="T10" i="23"/>
  <c r="K45" i="23" s="1"/>
  <c r="G53" i="69" s="1"/>
  <c r="X29" i="35"/>
  <c r="W29" i="35"/>
  <c r="W28" i="35"/>
  <c r="X28" i="35"/>
  <c r="H113" i="49"/>
  <c r="E113" i="49"/>
  <c r="X14" i="35"/>
  <c r="E142" i="49" s="1"/>
  <c r="AX14" i="23"/>
  <c r="AY14" i="23"/>
  <c r="T11" i="23"/>
  <c r="K46" i="23" s="1"/>
  <c r="S11" i="23"/>
  <c r="J46" i="23" s="1"/>
  <c r="AM37" i="14"/>
  <c r="AQ15" i="14"/>
  <c r="M37" i="14"/>
  <c r="AI15" i="14" s="1"/>
  <c r="AR14" i="14"/>
  <c r="AJ14" i="14"/>
  <c r="AI36" i="14"/>
  <c r="M36" i="14"/>
  <c r="AI14" i="14" s="1"/>
  <c r="AQ14" i="14"/>
  <c r="P11" i="14"/>
  <c r="J37" i="14" s="1"/>
  <c r="AJ15" i="14"/>
  <c r="AR15" i="14"/>
  <c r="Y34" i="35"/>
  <c r="X27" i="35"/>
  <c r="Z34" i="35"/>
  <c r="N8" i="25"/>
  <c r="AP12" i="25" s="1"/>
  <c r="M8" i="25"/>
  <c r="AO12" i="25" s="1"/>
  <c r="W14" i="35"/>
  <c r="W17" i="35"/>
  <c r="AV10" i="32"/>
  <c r="AW10" i="32"/>
  <c r="S26" i="32"/>
  <c r="AI37" i="14"/>
  <c r="AE37" i="14"/>
  <c r="O11" i="14"/>
  <c r="I37" i="14" s="1"/>
  <c r="S24" i="32"/>
  <c r="AE29" i="30"/>
  <c r="AD29" i="30"/>
  <c r="AE30" i="30"/>
  <c r="AD30" i="30"/>
  <c r="AE26" i="30"/>
  <c r="AD26" i="30"/>
  <c r="AD28" i="30"/>
  <c r="AE28" i="30"/>
  <c r="AE27" i="30"/>
  <c r="AD27" i="30"/>
  <c r="AD25" i="30"/>
  <c r="AE25" i="30"/>
  <c r="C15" i="47"/>
  <c r="D25" i="47"/>
  <c r="W5" i="35"/>
  <c r="F20" i="49" s="1"/>
  <c r="H119" i="57" s="1"/>
  <c r="N26" i="32"/>
  <c r="N29" i="32"/>
  <c r="N27" i="32"/>
  <c r="N31" i="32"/>
  <c r="N28" i="32"/>
  <c r="N30" i="32"/>
  <c r="N25" i="32"/>
  <c r="AE36" i="14"/>
  <c r="AM36" i="14"/>
  <c r="P10" i="14"/>
  <c r="J36" i="14" s="1"/>
  <c r="I36" i="14"/>
  <c r="AY58" i="43"/>
  <c r="AK229" i="47"/>
  <c r="AK226" i="47"/>
  <c r="BQ232" i="47"/>
  <c r="M48" i="49" s="1"/>
  <c r="O98" i="49" s="1"/>
  <c r="U98" i="49" s="1"/>
  <c r="AK225" i="47"/>
  <c r="AK228" i="47"/>
  <c r="AE80" i="43"/>
  <c r="AE101" i="43" s="1"/>
  <c r="AK227" i="47"/>
  <c r="AY227" i="47"/>
  <c r="AY229" i="47"/>
  <c r="AY225" i="47"/>
  <c r="AY228" i="47"/>
  <c r="AY226" i="47"/>
  <c r="AG50" i="43"/>
  <c r="E138" i="69" s="1"/>
  <c r="AB138" i="69" s="1"/>
  <c r="AK139" i="47"/>
  <c r="AG51" i="43"/>
  <c r="E139" i="69" s="1"/>
  <c r="AB139" i="69" s="1"/>
  <c r="AG49" i="43"/>
  <c r="E137" i="69" s="1"/>
  <c r="AB137" i="69" s="1"/>
  <c r="AX227" i="47"/>
  <c r="AX229" i="47"/>
  <c r="AX226" i="47"/>
  <c r="AX225" i="47"/>
  <c r="AX228" i="47"/>
  <c r="AK137" i="47"/>
  <c r="AK138" i="47"/>
  <c r="J139" i="47"/>
  <c r="AD39" i="47"/>
  <c r="AE39" i="47"/>
  <c r="AA39" i="47"/>
  <c r="Z39" i="47"/>
  <c r="AE38" i="47"/>
  <c r="AD38" i="47"/>
  <c r="AZ40" i="47"/>
  <c r="U132" i="69" s="1"/>
  <c r="AZ41" i="47"/>
  <c r="U133" i="69" s="1"/>
  <c r="BB38" i="47"/>
  <c r="M130" i="69" s="1"/>
  <c r="AZ38" i="47"/>
  <c r="U130" i="69" s="1"/>
  <c r="J135" i="47"/>
  <c r="J138" i="47"/>
  <c r="J137" i="47"/>
  <c r="AY60" i="43"/>
  <c r="BB59" i="43"/>
  <c r="R30" i="30"/>
  <c r="S58" i="37"/>
  <c r="AF16" i="36" s="1"/>
  <c r="E123" i="69" s="1"/>
  <c r="AB123" i="69" s="1"/>
  <c r="AD16" i="36"/>
  <c r="W8" i="35"/>
  <c r="M20" i="49" s="1"/>
  <c r="X17" i="35"/>
  <c r="H142" i="49" s="1"/>
  <c r="AJ119" i="57" s="1"/>
  <c r="X18" i="35"/>
  <c r="W9" i="35"/>
  <c r="J20" i="49" s="1"/>
  <c r="J136" i="47"/>
  <c r="AQ11" i="32"/>
  <c r="AR11" i="32"/>
  <c r="AQ13" i="32"/>
  <c r="AR13" i="32"/>
  <c r="AQ10" i="32"/>
  <c r="AR10" i="32"/>
  <c r="AQ9" i="32"/>
  <c r="AR9" i="32"/>
  <c r="AQ15" i="32"/>
  <c r="AR15" i="32"/>
  <c r="AQ12" i="32"/>
  <c r="AR12" i="32"/>
  <c r="AQ14" i="32"/>
  <c r="AR14" i="32"/>
  <c r="AW60" i="43"/>
  <c r="N25" i="30"/>
  <c r="M37" i="30" s="1"/>
  <c r="K135" i="47"/>
  <c r="BD59" i="43"/>
  <c r="BB58" i="43"/>
  <c r="R28" i="30"/>
  <c r="L26" i="47"/>
  <c r="AV12" i="29"/>
  <c r="N10" i="30" s="1"/>
  <c r="K24" i="30" s="1"/>
  <c r="R27" i="30"/>
  <c r="R25" i="30"/>
  <c r="R26" i="30"/>
  <c r="R29" i="30"/>
  <c r="X30" i="35"/>
  <c r="W33" i="35"/>
  <c r="X26" i="35"/>
  <c r="X32" i="35"/>
  <c r="S25" i="32"/>
  <c r="AL9" i="32"/>
  <c r="AK9" i="32"/>
  <c r="Q44" i="32"/>
  <c r="P44" i="32"/>
  <c r="S27" i="32"/>
  <c r="AI11" i="32"/>
  <c r="AO29" i="32" s="1"/>
  <c r="AJ11" i="32"/>
  <c r="I29" i="35"/>
  <c r="I31" i="35"/>
  <c r="I28" i="35"/>
  <c r="I27" i="35"/>
  <c r="I32" i="35"/>
  <c r="I30" i="35"/>
  <c r="I33" i="35"/>
  <c r="W25" i="35"/>
  <c r="AV11" i="32"/>
  <c r="AW11" i="32"/>
  <c r="Z15" i="15"/>
  <c r="E38" i="69" s="1"/>
  <c r="AB38" i="69" s="1"/>
  <c r="AL18" i="27"/>
  <c r="AK18" i="27"/>
  <c r="AO16" i="14"/>
  <c r="AP16" i="14"/>
  <c r="N40" i="30"/>
  <c r="M40" i="30"/>
  <c r="N39" i="30"/>
  <c r="M39" i="30"/>
  <c r="N41" i="30"/>
  <c r="M41" i="30"/>
  <c r="L30" i="30"/>
  <c r="L28" i="30"/>
  <c r="M42" i="30"/>
  <c r="N42" i="30"/>
  <c r="M38" i="30"/>
  <c r="N38" i="30"/>
  <c r="AL14" i="27" l="1"/>
  <c r="G94" i="69"/>
  <c r="G93" i="69"/>
  <c r="G69" i="69"/>
  <c r="Q61" i="23"/>
  <c r="F131" i="69"/>
  <c r="F55" i="69"/>
  <c r="N41" i="69"/>
  <c r="N42" i="69"/>
  <c r="U22" i="69"/>
  <c r="I49" i="23"/>
  <c r="H49" i="23"/>
  <c r="S60" i="37"/>
  <c r="AF18" i="36" s="1"/>
  <c r="E125" i="69" s="1"/>
  <c r="AB125" i="69" s="1"/>
  <c r="F56" i="69"/>
  <c r="Q48" i="23"/>
  <c r="P48" i="23"/>
  <c r="W68" i="15" s="1"/>
  <c r="G101" i="69"/>
  <c r="G98" i="69"/>
  <c r="G57" i="69"/>
  <c r="G95" i="69"/>
  <c r="G30" i="69"/>
  <c r="P101" i="42"/>
  <c r="P103" i="42" s="1"/>
  <c r="I161" i="49" s="1"/>
  <c r="AK129" i="57" s="1"/>
  <c r="AL129" i="57" s="1"/>
  <c r="G28" i="69"/>
  <c r="G32" i="69"/>
  <c r="G99" i="69"/>
  <c r="G102" i="69"/>
  <c r="K47" i="23"/>
  <c r="G55" i="69" s="1"/>
  <c r="AR16" i="23"/>
  <c r="N55" i="69"/>
  <c r="AS16" i="23"/>
  <c r="Q55" i="37"/>
  <c r="AC13" i="36" s="1"/>
  <c r="F111" i="49"/>
  <c r="AC125" i="57" s="1"/>
  <c r="AG125" i="57" s="1"/>
  <c r="N113" i="49"/>
  <c r="T113" i="49" s="1"/>
  <c r="AE119" i="57"/>
  <c r="G31" i="69"/>
  <c r="K113" i="49"/>
  <c r="Q113" i="49" s="1"/>
  <c r="G29" i="69"/>
  <c r="K142" i="49"/>
  <c r="Q142" i="49" s="1"/>
  <c r="AP30" i="32"/>
  <c r="M20" i="69"/>
  <c r="P36" i="30"/>
  <c r="G12" i="69" s="1"/>
  <c r="F53" i="69"/>
  <c r="G122" i="69"/>
  <c r="R56" i="37"/>
  <c r="AD14" i="36" s="1"/>
  <c r="G121" i="69"/>
  <c r="G100" i="69"/>
  <c r="G96" i="69"/>
  <c r="U33" i="25"/>
  <c r="X119" i="15" s="1"/>
  <c r="G78" i="69"/>
  <c r="G39" i="69"/>
  <c r="N39" i="69"/>
  <c r="G54" i="69"/>
  <c r="N40" i="69"/>
  <c r="G40" i="69"/>
  <c r="N16" i="69"/>
  <c r="N15" i="69"/>
  <c r="AH55" i="68"/>
  <c r="AH58" i="68" s="1"/>
  <c r="N18" i="69"/>
  <c r="N14" i="69"/>
  <c r="N17" i="69"/>
  <c r="N13" i="69"/>
  <c r="AD24" i="30"/>
  <c r="S57" i="37"/>
  <c r="AF15" i="36" s="1"/>
  <c r="E122" i="69" s="1"/>
  <c r="AB41" i="23"/>
  <c r="AG26" i="67"/>
  <c r="AG30" i="67" s="1"/>
  <c r="P47" i="23"/>
  <c r="I17" i="49"/>
  <c r="R23" i="30"/>
  <c r="AE23" i="30"/>
  <c r="AD23" i="30"/>
  <c r="W24" i="35"/>
  <c r="O44" i="32"/>
  <c r="N44" i="32"/>
  <c r="P37" i="30"/>
  <c r="O37" i="30"/>
  <c r="N40" i="32"/>
  <c r="O40" i="32"/>
  <c r="P39" i="30"/>
  <c r="O39" i="30"/>
  <c r="N42" i="32"/>
  <c r="O42" i="32"/>
  <c r="P41" i="30"/>
  <c r="O41" i="30"/>
  <c r="O39" i="32"/>
  <c r="N39" i="32"/>
  <c r="O37" i="32"/>
  <c r="N41" i="32"/>
  <c r="O41" i="32"/>
  <c r="P38" i="30"/>
  <c r="O38" i="30"/>
  <c r="P40" i="30"/>
  <c r="O40" i="30"/>
  <c r="N38" i="32"/>
  <c r="O38" i="32"/>
  <c r="O42" i="30"/>
  <c r="P42" i="30"/>
  <c r="N43" i="32"/>
  <c r="O43" i="32"/>
  <c r="AI39" i="47"/>
  <c r="AE16" i="43" s="1"/>
  <c r="O82" i="42"/>
  <c r="S49" i="40" s="1"/>
  <c r="S66" i="40" s="1"/>
  <c r="T49" i="40"/>
  <c r="T66" i="40" s="1"/>
  <c r="U82" i="42"/>
  <c r="V82" i="42"/>
  <c r="K101" i="42"/>
  <c r="I41" i="35"/>
  <c r="G27" i="69" s="1"/>
  <c r="AI123" i="69"/>
  <c r="AH123" i="69"/>
  <c r="AI137" i="69"/>
  <c r="AH137" i="69"/>
  <c r="AI139" i="69"/>
  <c r="AH139" i="69"/>
  <c r="AI138" i="69"/>
  <c r="AH138" i="69"/>
  <c r="AI38" i="69"/>
  <c r="AH38" i="69"/>
  <c r="N32" i="25"/>
  <c r="T32" i="25" s="1"/>
  <c r="W118" i="15" s="1"/>
  <c r="O32" i="25"/>
  <c r="P13" i="27"/>
  <c r="R13" i="27" s="1"/>
  <c r="I33" i="27" s="1"/>
  <c r="AE57" i="67"/>
  <c r="AE61" i="67" s="1"/>
  <c r="O105" i="68"/>
  <c r="AB58" i="68"/>
  <c r="AD58" i="68" s="1"/>
  <c r="P51" i="68"/>
  <c r="Q48" i="68"/>
  <c r="Q51" i="68" s="1"/>
  <c r="AG57" i="67"/>
  <c r="Q105" i="68"/>
  <c r="P105" i="68"/>
  <c r="AJ39" i="47"/>
  <c r="AF16" i="43" s="1"/>
  <c r="BL143" i="47"/>
  <c r="I125" i="49" s="1"/>
  <c r="O125" i="49" s="1"/>
  <c r="U125" i="49" s="1"/>
  <c r="T24" i="47"/>
  <c r="BC36" i="47" s="1"/>
  <c r="S24" i="47"/>
  <c r="BQ142" i="47"/>
  <c r="M47" i="49" s="1"/>
  <c r="O97" i="49" s="1"/>
  <c r="U97" i="49" s="1"/>
  <c r="P24" i="47"/>
  <c r="Q24" i="47"/>
  <c r="BL236" i="47"/>
  <c r="AI314" i="47"/>
  <c r="AU42" i="37"/>
  <c r="R38" i="30"/>
  <c r="Q38" i="30"/>
  <c r="R37" i="30"/>
  <c r="Q37" i="30"/>
  <c r="R42" i="30"/>
  <c r="Q42" i="30"/>
  <c r="R39" i="30"/>
  <c r="Q39" i="30"/>
  <c r="R40" i="30"/>
  <c r="Q40" i="30"/>
  <c r="R41" i="30"/>
  <c r="Q41" i="30"/>
  <c r="N13" i="27"/>
  <c r="Q13" i="27" s="1"/>
  <c r="H33" i="27" s="1"/>
  <c r="P12" i="27"/>
  <c r="R12" i="27" s="1"/>
  <c r="I32" i="27" s="1"/>
  <c r="AU43" i="37"/>
  <c r="AV43" i="37"/>
  <c r="N55" i="37"/>
  <c r="BR142" i="47"/>
  <c r="BB231" i="47"/>
  <c r="BS232" i="47"/>
  <c r="BT232" i="47" s="1"/>
  <c r="BR143" i="47"/>
  <c r="BE15" i="26"/>
  <c r="AE24" i="30"/>
  <c r="AS8" i="32"/>
  <c r="AV16" i="32"/>
  <c r="AR15" i="23"/>
  <c r="P46" i="23"/>
  <c r="W59" i="15" s="1"/>
  <c r="AS15" i="23"/>
  <c r="Q46" i="23"/>
  <c r="AW16" i="32"/>
  <c r="AR14" i="23"/>
  <c r="H112" i="49"/>
  <c r="AE118" i="57" s="1"/>
  <c r="AO30" i="32"/>
  <c r="G112" i="49"/>
  <c r="AD118" i="57" s="1"/>
  <c r="O36" i="14"/>
  <c r="W16" i="15" s="1"/>
  <c r="N142" i="49"/>
  <c r="T142" i="49"/>
  <c r="I154" i="49"/>
  <c r="O37" i="14"/>
  <c r="W17" i="15" s="1"/>
  <c r="P37" i="14"/>
  <c r="I155" i="49"/>
  <c r="E183" i="57"/>
  <c r="O183" i="57" s="1"/>
  <c r="Q45" i="23"/>
  <c r="L38" i="14"/>
  <c r="P38" i="14" s="1"/>
  <c r="J9" i="60"/>
  <c r="K119" i="57"/>
  <c r="N85" i="49"/>
  <c r="T85" i="49" s="1"/>
  <c r="G9" i="60"/>
  <c r="K85" i="49"/>
  <c r="Q85" i="49" s="1"/>
  <c r="N32" i="35"/>
  <c r="O32" i="35" s="1"/>
  <c r="K49" i="35" s="1"/>
  <c r="M49" i="35" s="1"/>
  <c r="V69" i="29" s="1"/>
  <c r="V32" i="35"/>
  <c r="U32" i="35"/>
  <c r="N29" i="35"/>
  <c r="O29" i="35" s="1"/>
  <c r="K46" i="35" s="1"/>
  <c r="M46" i="35" s="1"/>
  <c r="V66" i="29" s="1"/>
  <c r="V29" i="35"/>
  <c r="U29" i="35"/>
  <c r="X5" i="35"/>
  <c r="N33" i="35"/>
  <c r="O33" i="35" s="1"/>
  <c r="L50" i="35" s="1"/>
  <c r="N50" i="35" s="1"/>
  <c r="W70" i="29" s="1"/>
  <c r="V33" i="35"/>
  <c r="U33" i="35"/>
  <c r="N27" i="35"/>
  <c r="O27" i="35" s="1"/>
  <c r="K44" i="35" s="1"/>
  <c r="M44" i="35" s="1"/>
  <c r="V64" i="29" s="1"/>
  <c r="U27" i="35"/>
  <c r="V27" i="35"/>
  <c r="N30" i="35"/>
  <c r="O30" i="35" s="1"/>
  <c r="K47" i="35" s="1"/>
  <c r="M47" i="35" s="1"/>
  <c r="V67" i="29" s="1"/>
  <c r="U30" i="35"/>
  <c r="V30" i="35"/>
  <c r="N28" i="35"/>
  <c r="O28" i="35" s="1"/>
  <c r="K45" i="35" s="1"/>
  <c r="M45" i="35" s="1"/>
  <c r="V65" i="29" s="1"/>
  <c r="V28" i="35"/>
  <c r="U28" i="35"/>
  <c r="X8" i="35"/>
  <c r="Y8" i="35" s="1"/>
  <c r="N24" i="35"/>
  <c r="O24" i="35" s="1"/>
  <c r="K41" i="35" s="1"/>
  <c r="U24" i="35"/>
  <c r="V24" i="35"/>
  <c r="N26" i="35"/>
  <c r="O26" i="35" s="1"/>
  <c r="K43" i="35" s="1"/>
  <c r="M43" i="35" s="1"/>
  <c r="V63" i="29" s="1"/>
  <c r="U26" i="35"/>
  <c r="V26" i="35"/>
  <c r="N31" i="35"/>
  <c r="O31" i="35" s="1"/>
  <c r="L48" i="35" s="1"/>
  <c r="N48" i="35" s="1"/>
  <c r="W68" i="29" s="1"/>
  <c r="U31" i="35"/>
  <c r="V31" i="35"/>
  <c r="X9" i="35"/>
  <c r="Y9" i="35" s="1"/>
  <c r="X24" i="35"/>
  <c r="AS14" i="23"/>
  <c r="AN13" i="32"/>
  <c r="AN14" i="32"/>
  <c r="AN9" i="32"/>
  <c r="AN11" i="32"/>
  <c r="AN15" i="32"/>
  <c r="AN10" i="32"/>
  <c r="AN12" i="32"/>
  <c r="N24" i="30"/>
  <c r="X15" i="35"/>
  <c r="F142" i="49" s="1"/>
  <c r="L142" i="49" s="1"/>
  <c r="R142" i="49" s="1"/>
  <c r="N23" i="30"/>
  <c r="N35" i="30" s="1"/>
  <c r="BD58" i="43"/>
  <c r="BR233" i="47"/>
  <c r="BC231" i="47"/>
  <c r="AF80" i="43"/>
  <c r="AF101" i="43" s="1"/>
  <c r="AG83" i="43"/>
  <c r="E143" i="69" s="1"/>
  <c r="AB143" i="69" s="1"/>
  <c r="P25" i="47"/>
  <c r="Q25" i="47"/>
  <c r="T25" i="47"/>
  <c r="AG37" i="47" s="1"/>
  <c r="AG84" i="43"/>
  <c r="E144" i="69" s="1"/>
  <c r="AB144" i="69" s="1"/>
  <c r="AG85" i="43"/>
  <c r="E145" i="69" s="1"/>
  <c r="AB145" i="69" s="1"/>
  <c r="BN142" i="47"/>
  <c r="AA38" i="47"/>
  <c r="Z38" i="47"/>
  <c r="AI38" i="47" s="1"/>
  <c r="AE15" i="43" s="1"/>
  <c r="AY39" i="47"/>
  <c r="AX39" i="47"/>
  <c r="BB60" i="43"/>
  <c r="BD60" i="43"/>
  <c r="L135" i="47"/>
  <c r="N37" i="30"/>
  <c r="K136" i="47"/>
  <c r="L136" i="47"/>
  <c r="L134" i="47"/>
  <c r="AC118" i="47" s="1"/>
  <c r="U134" i="47" s="1"/>
  <c r="AK41" i="47"/>
  <c r="AG18" i="43"/>
  <c r="E133" i="69" s="1"/>
  <c r="AB133" i="69" s="1"/>
  <c r="AK40" i="47"/>
  <c r="AG17" i="43"/>
  <c r="E132" i="69" s="1"/>
  <c r="AB132" i="69" s="1"/>
  <c r="L27" i="30"/>
  <c r="J39" i="30" s="1"/>
  <c r="AO39" i="32"/>
  <c r="P38" i="32"/>
  <c r="Q38" i="32"/>
  <c r="AP29" i="32"/>
  <c r="AO38" i="32"/>
  <c r="Q40" i="32"/>
  <c r="P40" i="32"/>
  <c r="BB58" i="37"/>
  <c r="BB61" i="37" s="1"/>
  <c r="I25" i="35"/>
  <c r="L29" i="30"/>
  <c r="I41" i="30" s="1"/>
  <c r="AM9" i="32"/>
  <c r="AM11" i="32"/>
  <c r="AM15" i="32"/>
  <c r="AM14" i="32"/>
  <c r="AM13" i="32"/>
  <c r="AM12" i="32"/>
  <c r="AM10" i="32"/>
  <c r="AS15" i="32"/>
  <c r="AT15" i="32"/>
  <c r="AS13" i="32"/>
  <c r="AT13" i="32"/>
  <c r="AS12" i="32"/>
  <c r="AT12" i="32"/>
  <c r="AT14" i="32"/>
  <c r="AS9" i="32"/>
  <c r="AS10" i="32"/>
  <c r="AT10" i="32"/>
  <c r="AS11" i="32"/>
  <c r="AT11" i="32"/>
  <c r="AS14" i="32"/>
  <c r="AT9" i="32"/>
  <c r="AM8" i="32"/>
  <c r="J42" i="30"/>
  <c r="I42" i="30"/>
  <c r="J40" i="30"/>
  <c r="I40" i="30"/>
  <c r="L26" i="30"/>
  <c r="I38" i="30" s="1"/>
  <c r="X89" i="15" l="1"/>
  <c r="R61" i="23"/>
  <c r="F57" i="69"/>
  <c r="E32" i="59"/>
  <c r="I32" i="59" s="1"/>
  <c r="S56" i="37"/>
  <c r="N30" i="69"/>
  <c r="AH125" i="69"/>
  <c r="N34" i="69"/>
  <c r="N33" i="69"/>
  <c r="F130" i="69"/>
  <c r="AG36" i="47"/>
  <c r="AI125" i="69"/>
  <c r="BF125" i="69" s="1"/>
  <c r="N29" i="69"/>
  <c r="N27" i="69"/>
  <c r="N36" i="69"/>
  <c r="N35" i="69"/>
  <c r="Q65" i="37"/>
  <c r="AC24" i="36" s="1"/>
  <c r="AB122" i="69"/>
  <c r="G77" i="69"/>
  <c r="AB49" i="23"/>
  <c r="X68" i="15"/>
  <c r="R48" i="23"/>
  <c r="G22" i="69"/>
  <c r="L228" i="69"/>
  <c r="H303" i="57" s="1"/>
  <c r="AB39" i="23"/>
  <c r="AG55" i="68"/>
  <c r="AG58" i="68" s="1"/>
  <c r="D60" i="49" s="1"/>
  <c r="O161" i="49"/>
  <c r="U161" i="49" s="1"/>
  <c r="N32" i="69"/>
  <c r="G92" i="69"/>
  <c r="V33" i="25"/>
  <c r="Z119" i="15" s="1"/>
  <c r="E78" i="69" s="1"/>
  <c r="AB78" i="69" s="1"/>
  <c r="AH119" i="57"/>
  <c r="G21" i="69"/>
  <c r="G26" i="69"/>
  <c r="G24" i="69"/>
  <c r="R55" i="37"/>
  <c r="AD13" i="36" s="1"/>
  <c r="G120" i="69"/>
  <c r="AH122" i="69"/>
  <c r="N31" i="69"/>
  <c r="G23" i="69"/>
  <c r="G20" i="69"/>
  <c r="G25" i="69"/>
  <c r="T37" i="32"/>
  <c r="G19" i="69"/>
  <c r="N12" i="69"/>
  <c r="AI26" i="67"/>
  <c r="AI30" i="67" s="1"/>
  <c r="AI122" i="69"/>
  <c r="AW122" i="69" s="1"/>
  <c r="G13" i="69"/>
  <c r="G18" i="69"/>
  <c r="G17" i="69"/>
  <c r="N11" i="69"/>
  <c r="G16" i="69"/>
  <c r="G14" i="69"/>
  <c r="G15" i="69"/>
  <c r="L42" i="30"/>
  <c r="T42" i="30" s="1"/>
  <c r="L39" i="30"/>
  <c r="T39" i="30" s="1"/>
  <c r="L40" i="30"/>
  <c r="T40" i="30" s="1"/>
  <c r="I160" i="49"/>
  <c r="X17" i="15"/>
  <c r="Q37" i="14"/>
  <c r="Z17" i="15" s="1"/>
  <c r="E40" i="69" s="1"/>
  <c r="AB40" i="69" s="1"/>
  <c r="X58" i="15"/>
  <c r="X59" i="15"/>
  <c r="R46" i="23"/>
  <c r="E54" i="69" s="1"/>
  <c r="AB54" i="69" s="1"/>
  <c r="Y40" i="30"/>
  <c r="Z40" i="30" s="1"/>
  <c r="AA40" i="30" s="1"/>
  <c r="AC49" i="23"/>
  <c r="D31" i="59"/>
  <c r="D128" i="57" s="1"/>
  <c r="BR139" i="69"/>
  <c r="CD139" i="69"/>
  <c r="BS139" i="69"/>
  <c r="CE139" i="69"/>
  <c r="BT139" i="69"/>
  <c r="CF139" i="69"/>
  <c r="BU139" i="69"/>
  <c r="CG139" i="69"/>
  <c r="BV139" i="69"/>
  <c r="CH139" i="69"/>
  <c r="BW139" i="69"/>
  <c r="BX139" i="69"/>
  <c r="BY139" i="69"/>
  <c r="BZ139" i="69"/>
  <c r="BO139" i="69"/>
  <c r="CA139" i="69"/>
  <c r="BP139" i="69"/>
  <c r="CB139" i="69"/>
  <c r="BQ139" i="69"/>
  <c r="CC139" i="69"/>
  <c r="BV137" i="69"/>
  <c r="CH137" i="69"/>
  <c r="BW137" i="69"/>
  <c r="BX137" i="69"/>
  <c r="BY137" i="69"/>
  <c r="BZ137" i="69"/>
  <c r="BO137" i="69"/>
  <c r="CA137" i="69"/>
  <c r="BP137" i="69"/>
  <c r="CB137" i="69"/>
  <c r="BQ137" i="69"/>
  <c r="CC137" i="69"/>
  <c r="BR137" i="69"/>
  <c r="CD137" i="69"/>
  <c r="BS137" i="69"/>
  <c r="CE137" i="69"/>
  <c r="BT137" i="69"/>
  <c r="CF137" i="69"/>
  <c r="BU137" i="69"/>
  <c r="CG137" i="69"/>
  <c r="BR122" i="69"/>
  <c r="CD122" i="69"/>
  <c r="BS122" i="69"/>
  <c r="CE122" i="69"/>
  <c r="BT122" i="69"/>
  <c r="CF122" i="69"/>
  <c r="BU122" i="69"/>
  <c r="CG122" i="69"/>
  <c r="BV122" i="69"/>
  <c r="CH122" i="69"/>
  <c r="BW122" i="69"/>
  <c r="BX122" i="69"/>
  <c r="BY122" i="69"/>
  <c r="BZ122" i="69"/>
  <c r="BO122" i="69"/>
  <c r="CA122" i="69"/>
  <c r="BP122" i="69"/>
  <c r="CB122" i="69"/>
  <c r="BQ122" i="69"/>
  <c r="CC122" i="69"/>
  <c r="BR125" i="69"/>
  <c r="CD125" i="69"/>
  <c r="BS125" i="69"/>
  <c r="CE125" i="69"/>
  <c r="BT125" i="69"/>
  <c r="CF125" i="69"/>
  <c r="BU125" i="69"/>
  <c r="CG125" i="69"/>
  <c r="BV125" i="69"/>
  <c r="CH125" i="69"/>
  <c r="BW125" i="69"/>
  <c r="BX125" i="69"/>
  <c r="BY125" i="69"/>
  <c r="BZ125" i="69"/>
  <c r="BO125" i="69"/>
  <c r="CA125" i="69"/>
  <c r="BP125" i="69"/>
  <c r="CB125" i="69"/>
  <c r="BQ125" i="69"/>
  <c r="CC125" i="69"/>
  <c r="BV123" i="69"/>
  <c r="CH123" i="69"/>
  <c r="BW123" i="69"/>
  <c r="BX123" i="69"/>
  <c r="BY123" i="69"/>
  <c r="BZ123" i="69"/>
  <c r="BO123" i="69"/>
  <c r="CA123" i="69"/>
  <c r="BP123" i="69"/>
  <c r="CB123" i="69"/>
  <c r="BQ123" i="69"/>
  <c r="CC123" i="69"/>
  <c r="BR123" i="69"/>
  <c r="CD123" i="69"/>
  <c r="BS123" i="69"/>
  <c r="CE123" i="69"/>
  <c r="BT123" i="69"/>
  <c r="CF123" i="69"/>
  <c r="BU123" i="69"/>
  <c r="CG123" i="69"/>
  <c r="BP38" i="69"/>
  <c r="CB38" i="69"/>
  <c r="BQ38" i="69"/>
  <c r="CC38" i="69"/>
  <c r="BR38" i="69"/>
  <c r="CD38" i="69"/>
  <c r="BS38" i="69"/>
  <c r="CE38" i="69"/>
  <c r="BT38" i="69"/>
  <c r="CF38" i="69"/>
  <c r="BU38" i="69"/>
  <c r="CG38" i="69"/>
  <c r="BV38" i="69"/>
  <c r="CH38" i="69"/>
  <c r="BW38" i="69"/>
  <c r="BX38" i="69"/>
  <c r="BY38" i="69"/>
  <c r="BZ38" i="69"/>
  <c r="BO38" i="69"/>
  <c r="CA38" i="69"/>
  <c r="BZ138" i="69"/>
  <c r="BO138" i="69"/>
  <c r="CA138" i="69"/>
  <c r="BP138" i="69"/>
  <c r="CB138" i="69"/>
  <c r="BQ138" i="69"/>
  <c r="CC138" i="69"/>
  <c r="BR138" i="69"/>
  <c r="CD138" i="69"/>
  <c r="BS138" i="69"/>
  <c r="CE138" i="69"/>
  <c r="BT138" i="69"/>
  <c r="CF138" i="69"/>
  <c r="BU138" i="69"/>
  <c r="CG138" i="69"/>
  <c r="BV138" i="69"/>
  <c r="CH138" i="69"/>
  <c r="BW138" i="69"/>
  <c r="BX138" i="69"/>
  <c r="BY138" i="69"/>
  <c r="BL139" i="69"/>
  <c r="BM139" i="69"/>
  <c r="BN139" i="69"/>
  <c r="BJ139" i="69"/>
  <c r="BK139" i="69"/>
  <c r="BN137" i="69"/>
  <c r="BJ137" i="69"/>
  <c r="BK137" i="69"/>
  <c r="BL137" i="69"/>
  <c r="BM137" i="69"/>
  <c r="BJ122" i="69"/>
  <c r="BK122" i="69"/>
  <c r="BL122" i="69"/>
  <c r="BM122" i="69"/>
  <c r="BN125" i="69"/>
  <c r="BJ125" i="69"/>
  <c r="BK125" i="69"/>
  <c r="BL125" i="69"/>
  <c r="BM125" i="69"/>
  <c r="BJ123" i="69"/>
  <c r="BK123" i="69"/>
  <c r="BL123" i="69"/>
  <c r="BM123" i="69"/>
  <c r="BN123" i="69"/>
  <c r="BM38" i="69"/>
  <c r="BN38" i="69"/>
  <c r="BJ38" i="69"/>
  <c r="BK38" i="69"/>
  <c r="BL38" i="69"/>
  <c r="BM138" i="69"/>
  <c r="BN138" i="69"/>
  <c r="BJ138" i="69"/>
  <c r="BK138" i="69"/>
  <c r="BL138" i="69"/>
  <c r="BE139" i="69"/>
  <c r="BF139" i="69"/>
  <c r="BG139" i="69"/>
  <c r="BH139" i="69"/>
  <c r="BI139" i="69"/>
  <c r="BE137" i="69"/>
  <c r="BF137" i="69"/>
  <c r="BG137" i="69"/>
  <c r="BH137" i="69"/>
  <c r="BI137" i="69"/>
  <c r="BE122" i="69"/>
  <c r="BF122" i="69"/>
  <c r="BG122" i="69"/>
  <c r="BH122" i="69"/>
  <c r="BI122" i="69"/>
  <c r="BE125" i="69"/>
  <c r="BH125" i="69"/>
  <c r="BE123" i="69"/>
  <c r="BF123" i="69"/>
  <c r="BG123" i="69"/>
  <c r="BH123" i="69"/>
  <c r="BI123" i="69"/>
  <c r="BE38" i="69"/>
  <c r="BF38" i="69"/>
  <c r="BG38" i="69"/>
  <c r="BH38" i="69"/>
  <c r="BI38" i="69"/>
  <c r="BE138" i="69"/>
  <c r="BF138" i="69"/>
  <c r="BG138" i="69"/>
  <c r="BH138" i="69"/>
  <c r="BI138" i="69"/>
  <c r="O35" i="30"/>
  <c r="P35" i="30"/>
  <c r="X6" i="35"/>
  <c r="AB119" i="47"/>
  <c r="AB118" i="47"/>
  <c r="T134" i="47" s="1"/>
  <c r="F134" i="69" s="1"/>
  <c r="AC120" i="47"/>
  <c r="AB120" i="47"/>
  <c r="AC119" i="47"/>
  <c r="O101" i="42"/>
  <c r="O103" i="42" s="1"/>
  <c r="D32" i="59" s="1"/>
  <c r="H32" i="59" s="1"/>
  <c r="Q82" i="42"/>
  <c r="Q101" i="42" s="1"/>
  <c r="Q103" i="42" s="1"/>
  <c r="D61" i="49" s="1"/>
  <c r="O61" i="49" s="1"/>
  <c r="W98" i="42"/>
  <c r="Q61" i="49" s="1"/>
  <c r="U61" i="49" s="1"/>
  <c r="BM43" i="47"/>
  <c r="BL44" i="47"/>
  <c r="BM44" i="47"/>
  <c r="AF36" i="47"/>
  <c r="BL43" i="47"/>
  <c r="BC139" i="69"/>
  <c r="BD139" i="69"/>
  <c r="BC137" i="69"/>
  <c r="BD137" i="69"/>
  <c r="BC38" i="69"/>
  <c r="BD38" i="69"/>
  <c r="BC138" i="69"/>
  <c r="BD138" i="69"/>
  <c r="BD123" i="69"/>
  <c r="BC123" i="69"/>
  <c r="AH144" i="69"/>
  <c r="AI144" i="69"/>
  <c r="AM139" i="69"/>
  <c r="AL139" i="69"/>
  <c r="AK139" i="69"/>
  <c r="AR139" i="69"/>
  <c r="AP139" i="69"/>
  <c r="AU139" i="69"/>
  <c r="AY139" i="69"/>
  <c r="BB139" i="69"/>
  <c r="BA139" i="69"/>
  <c r="AT139" i="69"/>
  <c r="AS139" i="69"/>
  <c r="AZ139" i="69"/>
  <c r="AV139" i="69"/>
  <c r="AQ139" i="69"/>
  <c r="AW139" i="69"/>
  <c r="AO139" i="69"/>
  <c r="AX139" i="69"/>
  <c r="AN139" i="69"/>
  <c r="AL137" i="69"/>
  <c r="AM137" i="69"/>
  <c r="AK137" i="69"/>
  <c r="AW125" i="69"/>
  <c r="AX125" i="69"/>
  <c r="BB125" i="69"/>
  <c r="BA125" i="69"/>
  <c r="AZ125" i="69"/>
  <c r="AT137" i="69"/>
  <c r="BB137" i="69"/>
  <c r="AU137" i="69"/>
  <c r="AN137" i="69"/>
  <c r="AV137" i="69"/>
  <c r="AP137" i="69"/>
  <c r="AX137" i="69"/>
  <c r="AQ137" i="69"/>
  <c r="AY137" i="69"/>
  <c r="AR137" i="69"/>
  <c r="AZ137" i="69"/>
  <c r="AS137" i="69"/>
  <c r="BA137" i="69"/>
  <c r="AO137" i="69"/>
  <c r="AW137" i="69"/>
  <c r="AH143" i="69"/>
  <c r="AI143" i="69"/>
  <c r="AK38" i="69"/>
  <c r="AL38" i="69"/>
  <c r="AM38" i="69"/>
  <c r="AH132" i="69"/>
  <c r="AI132" i="69"/>
  <c r="AO38" i="69"/>
  <c r="AW38" i="69"/>
  <c r="AP38" i="69"/>
  <c r="AX38" i="69"/>
  <c r="AQ38" i="69"/>
  <c r="AY38" i="69"/>
  <c r="AR38" i="69"/>
  <c r="AZ38" i="69"/>
  <c r="AS38" i="69"/>
  <c r="BA38" i="69"/>
  <c r="AT38" i="69"/>
  <c r="BB38" i="69"/>
  <c r="AN38" i="69"/>
  <c r="AU38" i="69"/>
  <c r="AV38" i="69"/>
  <c r="AL138" i="69"/>
  <c r="AM138" i="69"/>
  <c r="AK138" i="69"/>
  <c r="AM123" i="69"/>
  <c r="AK123" i="69"/>
  <c r="AL123" i="69"/>
  <c r="AH133" i="69"/>
  <c r="AI133" i="69"/>
  <c r="AH145" i="69"/>
  <c r="AI145" i="69"/>
  <c r="AN138" i="69"/>
  <c r="AU138" i="69"/>
  <c r="AV138" i="69"/>
  <c r="AW138" i="69"/>
  <c r="AQ138" i="69"/>
  <c r="AY138" i="69"/>
  <c r="AR138" i="69"/>
  <c r="AZ138" i="69"/>
  <c r="AS138" i="69"/>
  <c r="BA138" i="69"/>
  <c r="AP138" i="69"/>
  <c r="AT138" i="69"/>
  <c r="AX138" i="69"/>
  <c r="BB138" i="69"/>
  <c r="AO138" i="69"/>
  <c r="AP123" i="69"/>
  <c r="AQ123" i="69"/>
  <c r="AX123" i="69"/>
  <c r="AV123" i="69"/>
  <c r="AS123" i="69"/>
  <c r="AU123" i="69"/>
  <c r="BA123" i="69"/>
  <c r="AW123" i="69"/>
  <c r="BB123" i="69"/>
  <c r="AT123" i="69"/>
  <c r="AO123" i="69"/>
  <c r="AZ123" i="69"/>
  <c r="AY123" i="69"/>
  <c r="AN123" i="69"/>
  <c r="AR123" i="69"/>
  <c r="AP27" i="32"/>
  <c r="N12" i="27"/>
  <c r="Q12" i="27" s="1"/>
  <c r="H32" i="27" s="1"/>
  <c r="G91" i="69" s="1"/>
  <c r="L33" i="27"/>
  <c r="AD16" i="26" s="1"/>
  <c r="AI57" i="67"/>
  <c r="AG61" i="67"/>
  <c r="AD55" i="68"/>
  <c r="AQ8" i="32"/>
  <c r="S37" i="32"/>
  <c r="BQ143" i="47"/>
  <c r="J47" i="49" s="1"/>
  <c r="M97" i="49" s="1"/>
  <c r="S97" i="49" s="1"/>
  <c r="BN143" i="47"/>
  <c r="BQ233" i="47"/>
  <c r="J48" i="49" s="1"/>
  <c r="M98" i="49" s="1"/>
  <c r="S98" i="49" s="1"/>
  <c r="BB36" i="47"/>
  <c r="M128" i="69" s="1"/>
  <c r="AY38" i="47"/>
  <c r="AJ38" i="47"/>
  <c r="AF15" i="43" s="1"/>
  <c r="BS142" i="47"/>
  <c r="BT142" i="47" s="1"/>
  <c r="AF37" i="47"/>
  <c r="BA36" i="47"/>
  <c r="AZ36" i="47"/>
  <c r="AJ314" i="47"/>
  <c r="BC37" i="47"/>
  <c r="BA37" i="47"/>
  <c r="R36" i="30"/>
  <c r="Q36" i="30"/>
  <c r="AW58" i="37"/>
  <c r="AW61" i="37" s="1"/>
  <c r="Q18" i="49" s="1"/>
  <c r="U18" i="49" s="1"/>
  <c r="AL12" i="27"/>
  <c r="M32" i="27"/>
  <c r="AL13" i="27"/>
  <c r="M33" i="27"/>
  <c r="BC58" i="37"/>
  <c r="AV58" i="37"/>
  <c r="AV61" i="37" s="1"/>
  <c r="D18" i="49" s="1"/>
  <c r="D183" i="57"/>
  <c r="N183" i="57" s="1"/>
  <c r="BC232" i="47"/>
  <c r="BN233" i="47"/>
  <c r="I126" i="49"/>
  <c r="O126" i="49" s="1"/>
  <c r="U126" i="49" s="1"/>
  <c r="Q60" i="49"/>
  <c r="AK13" i="27"/>
  <c r="I131" i="49"/>
  <c r="AF128" i="57" s="1"/>
  <c r="AG128" i="57" s="1"/>
  <c r="AK224" i="47"/>
  <c r="BN236" i="47" s="1"/>
  <c r="BN239" i="47" s="1"/>
  <c r="M17" i="60"/>
  <c r="N127" i="57"/>
  <c r="C17" i="60"/>
  <c r="D127" i="57"/>
  <c r="L44" i="35"/>
  <c r="N44" i="35" s="1"/>
  <c r="W64" i="29" s="1"/>
  <c r="L49" i="35"/>
  <c r="N49" i="35" s="1"/>
  <c r="W69" i="29" s="1"/>
  <c r="M112" i="49"/>
  <c r="S112" i="49"/>
  <c r="N112" i="49"/>
  <c r="T112" i="49"/>
  <c r="O154" i="49"/>
  <c r="U154" i="49" s="1"/>
  <c r="P36" i="14"/>
  <c r="E83" i="60"/>
  <c r="O155" i="49"/>
  <c r="U155" i="49" s="1"/>
  <c r="F112" i="49"/>
  <c r="L112" i="49" s="1"/>
  <c r="R112" i="49" s="1"/>
  <c r="H141" i="49"/>
  <c r="AJ118" i="57" s="1"/>
  <c r="G141" i="49"/>
  <c r="AI118" i="57" s="1"/>
  <c r="L111" i="49"/>
  <c r="R111" i="49"/>
  <c r="P45" i="23"/>
  <c r="W58" i="15" s="1"/>
  <c r="K50" i="35"/>
  <c r="M50" i="35" s="1"/>
  <c r="V70" i="29" s="1"/>
  <c r="W15" i="35"/>
  <c r="F113" i="49"/>
  <c r="AC119" i="57" s="1"/>
  <c r="U32" i="25"/>
  <c r="L46" i="35"/>
  <c r="N46" i="35" s="1"/>
  <c r="W66" i="29" s="1"/>
  <c r="L45" i="35"/>
  <c r="N45" i="35" s="1"/>
  <c r="W65" i="29" s="1"/>
  <c r="K48" i="35"/>
  <c r="M48" i="35" s="1"/>
  <c r="V68" i="29" s="1"/>
  <c r="L43" i="35"/>
  <c r="N43" i="35" s="1"/>
  <c r="W63" i="29" s="1"/>
  <c r="L41" i="35"/>
  <c r="N41" i="35" s="1"/>
  <c r="W61" i="29" s="1"/>
  <c r="L47" i="35"/>
  <c r="N47" i="35" s="1"/>
  <c r="W67" i="29" s="1"/>
  <c r="N25" i="35"/>
  <c r="O25" i="35" s="1"/>
  <c r="K42" i="35" s="1"/>
  <c r="M42" i="35" s="1"/>
  <c r="V62" i="29" s="1"/>
  <c r="V25" i="35"/>
  <c r="U25" i="35"/>
  <c r="W16" i="35" s="1"/>
  <c r="Y5" i="35"/>
  <c r="AP38" i="32"/>
  <c r="AQ38" i="32" s="1"/>
  <c r="M19" i="49"/>
  <c r="AP39" i="32"/>
  <c r="AQ39" i="32" s="1"/>
  <c r="J19" i="49"/>
  <c r="AP35" i="32"/>
  <c r="AV13" i="29"/>
  <c r="M36" i="30"/>
  <c r="N36" i="30"/>
  <c r="W6" i="35"/>
  <c r="G20" i="49" s="1"/>
  <c r="M35" i="30"/>
  <c r="N43" i="30" s="1"/>
  <c r="AR8" i="32"/>
  <c r="AY231" i="47"/>
  <c r="BB37" i="47"/>
  <c r="AZ37" i="47"/>
  <c r="F48" i="49"/>
  <c r="H183" i="57" s="1"/>
  <c r="H83" i="60" s="1"/>
  <c r="U23" i="30"/>
  <c r="T23" i="30"/>
  <c r="AX224" i="47"/>
  <c r="AX38" i="47"/>
  <c r="AG16" i="43"/>
  <c r="E131" i="69" s="1"/>
  <c r="AB131" i="69" s="1"/>
  <c r="M25" i="47"/>
  <c r="N25" i="47" s="1"/>
  <c r="AE37" i="47" s="1"/>
  <c r="L25" i="47"/>
  <c r="AK39" i="47"/>
  <c r="M41" i="35"/>
  <c r="V61" i="29" s="1"/>
  <c r="S38" i="32"/>
  <c r="I39" i="30"/>
  <c r="AF14" i="36"/>
  <c r="E121" i="69" s="1"/>
  <c r="AB121" i="69" s="1"/>
  <c r="AO28" i="32"/>
  <c r="AP26" i="32"/>
  <c r="J41" i="30"/>
  <c r="S40" i="32"/>
  <c r="T38" i="32"/>
  <c r="T43" i="32"/>
  <c r="W42" i="29" s="1"/>
  <c r="T42" i="32"/>
  <c r="W41" i="29" s="1"/>
  <c r="T44" i="32"/>
  <c r="W43" i="29" s="1"/>
  <c r="T41" i="32"/>
  <c r="W40" i="29" s="1"/>
  <c r="S41" i="32"/>
  <c r="S44" i="32"/>
  <c r="V43" i="29" s="1"/>
  <c r="S43" i="32"/>
  <c r="V42" i="29" s="1"/>
  <c r="T39" i="32"/>
  <c r="W38" i="29" s="1"/>
  <c r="S42" i="32"/>
  <c r="V41" i="29" s="1"/>
  <c r="S39" i="32"/>
  <c r="AO37" i="32"/>
  <c r="G19" i="49" s="1"/>
  <c r="AO36" i="32"/>
  <c r="AO27" i="32"/>
  <c r="AP28" i="32"/>
  <c r="F141" i="49" s="1"/>
  <c r="AT8" i="32"/>
  <c r="T40" i="32"/>
  <c r="W39" i="29" s="1"/>
  <c r="K41" i="30"/>
  <c r="S41" i="30" s="1"/>
  <c r="K40" i="30"/>
  <c r="K42" i="30"/>
  <c r="K38" i="30"/>
  <c r="S38" i="30" s="1"/>
  <c r="J38" i="30"/>
  <c r="AZ122" i="69" l="1"/>
  <c r="AV122" i="69"/>
  <c r="BA122" i="69"/>
  <c r="AY125" i="69"/>
  <c r="AQ125" i="69"/>
  <c r="AS125" i="69"/>
  <c r="AR125" i="69"/>
  <c r="AS122" i="69"/>
  <c r="BD122" i="69"/>
  <c r="BC122" i="69"/>
  <c r="AP125" i="69"/>
  <c r="BD125" i="69"/>
  <c r="AU125" i="69"/>
  <c r="AP122" i="69"/>
  <c r="E129" i="57"/>
  <c r="AN125" i="69"/>
  <c r="BB122" i="69"/>
  <c r="AO125" i="69"/>
  <c r="AV125" i="69"/>
  <c r="AK125" i="69"/>
  <c r="AY122" i="69"/>
  <c r="AQ122" i="69"/>
  <c r="AT125" i="69"/>
  <c r="AL125" i="69"/>
  <c r="AM125" i="69"/>
  <c r="AX122" i="69"/>
  <c r="AU122" i="69"/>
  <c r="E69" i="69"/>
  <c r="Z89" i="15"/>
  <c r="D18" i="60"/>
  <c r="C70" i="60" s="1"/>
  <c r="AL122" i="69"/>
  <c r="BI125" i="69"/>
  <c r="BC125" i="69"/>
  <c r="BG125" i="69"/>
  <c r="AT122" i="69"/>
  <c r="D28" i="59"/>
  <c r="C15" i="60" s="1"/>
  <c r="AI55" i="68"/>
  <c r="AI58" i="68" s="1"/>
  <c r="X23" i="30"/>
  <c r="R35" i="30" s="1"/>
  <c r="U129" i="69"/>
  <c r="M129" i="69"/>
  <c r="BA43" i="47"/>
  <c r="U128" i="69"/>
  <c r="BN122" i="69"/>
  <c r="Z68" i="15"/>
  <c r="E56" i="69"/>
  <c r="AB56" i="69" s="1"/>
  <c r="AI78" i="69"/>
  <c r="AH78" i="69"/>
  <c r="AN122" i="69"/>
  <c r="AO122" i="69"/>
  <c r="AM122" i="69"/>
  <c r="AR122" i="69"/>
  <c r="AK122" i="69"/>
  <c r="BC61" i="37"/>
  <c r="F140" i="49"/>
  <c r="S55" i="37"/>
  <c r="AF13" i="36" s="1"/>
  <c r="E120" i="69" s="1"/>
  <c r="AB120" i="69" s="1"/>
  <c r="R65" i="37"/>
  <c r="AD24" i="36" s="1"/>
  <c r="O160" i="49"/>
  <c r="U160" i="49" s="1"/>
  <c r="AK128" i="57"/>
  <c r="O131" i="49"/>
  <c r="U131" i="49" s="1"/>
  <c r="N28" i="69"/>
  <c r="Z59" i="15"/>
  <c r="F16" i="69"/>
  <c r="G11" i="69"/>
  <c r="Y36" i="30"/>
  <c r="Z36" i="30" s="1"/>
  <c r="AA36" i="30" s="1"/>
  <c r="Y37" i="30"/>
  <c r="Z37" i="30"/>
  <c r="F18" i="69"/>
  <c r="S42" i="30"/>
  <c r="S40" i="30"/>
  <c r="K39" i="30"/>
  <c r="S39" i="30" s="1"/>
  <c r="P43" i="30"/>
  <c r="L41" i="30"/>
  <c r="T41" i="30" s="1"/>
  <c r="H110" i="49"/>
  <c r="H31" i="59"/>
  <c r="N128" i="57" s="1"/>
  <c r="X118" i="15"/>
  <c r="V32" i="25"/>
  <c r="Z118" i="15" s="1"/>
  <c r="E77" i="69" s="1"/>
  <c r="AB77" i="69" s="1"/>
  <c r="R45" i="23"/>
  <c r="E53" i="69" s="1"/>
  <c r="AB53" i="69" s="1"/>
  <c r="X16" i="15"/>
  <c r="Q36" i="14"/>
  <c r="Z16" i="15" s="1"/>
  <c r="E39" i="69" s="1"/>
  <c r="AB39" i="69" s="1"/>
  <c r="AE16" i="26"/>
  <c r="N33" i="27"/>
  <c r="AG16" i="26" s="1"/>
  <c r="E92" i="69" s="1"/>
  <c r="AB92" i="69" s="1"/>
  <c r="AE15" i="26"/>
  <c r="O60" i="49"/>
  <c r="O65" i="49" s="1"/>
  <c r="O34" i="49" s="1"/>
  <c r="BR133" i="69"/>
  <c r="CD133" i="69"/>
  <c r="BS133" i="69"/>
  <c r="CE133" i="69"/>
  <c r="BT133" i="69"/>
  <c r="CF133" i="69"/>
  <c r="BU133" i="69"/>
  <c r="CG133" i="69"/>
  <c r="BV133" i="69"/>
  <c r="CH133" i="69"/>
  <c r="BW133" i="69"/>
  <c r="BX133" i="69"/>
  <c r="BY133" i="69"/>
  <c r="BZ133" i="69"/>
  <c r="BO133" i="69"/>
  <c r="CA133" i="69"/>
  <c r="BP133" i="69"/>
  <c r="CB133" i="69"/>
  <c r="BQ133" i="69"/>
  <c r="CC133" i="69"/>
  <c r="BV143" i="69"/>
  <c r="CH143" i="69"/>
  <c r="BW143" i="69"/>
  <c r="BX143" i="69"/>
  <c r="BY143" i="69"/>
  <c r="BZ143" i="69"/>
  <c r="BO143" i="69"/>
  <c r="CA143" i="69"/>
  <c r="BP143" i="69"/>
  <c r="CB143" i="69"/>
  <c r="BQ143" i="69"/>
  <c r="CC143" i="69"/>
  <c r="BR143" i="69"/>
  <c r="CD143" i="69"/>
  <c r="BS143" i="69"/>
  <c r="CE143" i="69"/>
  <c r="BT143" i="69"/>
  <c r="CF143" i="69"/>
  <c r="BU143" i="69"/>
  <c r="CG143" i="69"/>
  <c r="BZ132" i="69"/>
  <c r="BO132" i="69"/>
  <c r="CA132" i="69"/>
  <c r="BP132" i="69"/>
  <c r="CB132" i="69"/>
  <c r="BQ132" i="69"/>
  <c r="CC132" i="69"/>
  <c r="BR132" i="69"/>
  <c r="CD132" i="69"/>
  <c r="BS132" i="69"/>
  <c r="CE132" i="69"/>
  <c r="BT132" i="69"/>
  <c r="CF132" i="69"/>
  <c r="BU132" i="69"/>
  <c r="CG132" i="69"/>
  <c r="BV132" i="69"/>
  <c r="CH132" i="69"/>
  <c r="BW132" i="69"/>
  <c r="BX132" i="69"/>
  <c r="BY132" i="69"/>
  <c r="BZ144" i="69"/>
  <c r="BO144" i="69"/>
  <c r="CA144" i="69"/>
  <c r="BP144" i="69"/>
  <c r="CB144" i="69"/>
  <c r="BQ144" i="69"/>
  <c r="CC144" i="69"/>
  <c r="BR144" i="69"/>
  <c r="CD144" i="69"/>
  <c r="BS144" i="69"/>
  <c r="CE144" i="69"/>
  <c r="BT144" i="69"/>
  <c r="CF144" i="69"/>
  <c r="BU144" i="69"/>
  <c r="CG144" i="69"/>
  <c r="BV144" i="69"/>
  <c r="CH144" i="69"/>
  <c r="BW144" i="69"/>
  <c r="BX144" i="69"/>
  <c r="BY144" i="69"/>
  <c r="BR145" i="69"/>
  <c r="CD145" i="69"/>
  <c r="BS145" i="69"/>
  <c r="CE145" i="69"/>
  <c r="BT145" i="69"/>
  <c r="CF145" i="69"/>
  <c r="BU145" i="69"/>
  <c r="CG145" i="69"/>
  <c r="BV145" i="69"/>
  <c r="CH145" i="69"/>
  <c r="BW145" i="69"/>
  <c r="BX145" i="69"/>
  <c r="BY145" i="69"/>
  <c r="BZ145" i="69"/>
  <c r="BO145" i="69"/>
  <c r="CA145" i="69"/>
  <c r="BP145" i="69"/>
  <c r="CB145" i="69"/>
  <c r="BQ145" i="69"/>
  <c r="CC145" i="69"/>
  <c r="BV78" i="69"/>
  <c r="CH78" i="69"/>
  <c r="BW78" i="69"/>
  <c r="BX78" i="69"/>
  <c r="BY78" i="69"/>
  <c r="BZ78" i="69"/>
  <c r="BO78" i="69"/>
  <c r="CA78" i="69"/>
  <c r="BP78" i="69"/>
  <c r="CB78" i="69"/>
  <c r="BQ78" i="69"/>
  <c r="CC78" i="69"/>
  <c r="BR78" i="69"/>
  <c r="CD78" i="69"/>
  <c r="BS78" i="69"/>
  <c r="CE78" i="69"/>
  <c r="BT78" i="69"/>
  <c r="CF78" i="69"/>
  <c r="BU78" i="69"/>
  <c r="CG78" i="69"/>
  <c r="BJ144" i="69"/>
  <c r="BK144" i="69"/>
  <c r="BL144" i="69"/>
  <c r="BM144" i="69"/>
  <c r="BN144" i="69"/>
  <c r="BJ145" i="69"/>
  <c r="BK145" i="69"/>
  <c r="BL145" i="69"/>
  <c r="BM145" i="69"/>
  <c r="BN145" i="69"/>
  <c r="BJ78" i="69"/>
  <c r="BK78" i="69"/>
  <c r="BL78" i="69"/>
  <c r="BM78" i="69"/>
  <c r="BN78" i="69"/>
  <c r="BJ133" i="69"/>
  <c r="BK133" i="69"/>
  <c r="BL133" i="69"/>
  <c r="BM133" i="69"/>
  <c r="BN133" i="69"/>
  <c r="BJ143" i="69"/>
  <c r="BK143" i="69"/>
  <c r="BL143" i="69"/>
  <c r="BM143" i="69"/>
  <c r="BN143" i="69"/>
  <c r="BJ132" i="69"/>
  <c r="BK132" i="69"/>
  <c r="BL132" i="69"/>
  <c r="BM132" i="69"/>
  <c r="BN132" i="69"/>
  <c r="BE144" i="69"/>
  <c r="BF144" i="69"/>
  <c r="BG144" i="69"/>
  <c r="BH144" i="69"/>
  <c r="BI144" i="69"/>
  <c r="BE145" i="69"/>
  <c r="BF145" i="69"/>
  <c r="BG145" i="69"/>
  <c r="BH145" i="69"/>
  <c r="BI145" i="69"/>
  <c r="BE133" i="69"/>
  <c r="BF133" i="69"/>
  <c r="BG133" i="69"/>
  <c r="BH133" i="69"/>
  <c r="BI133" i="69"/>
  <c r="BE143" i="69"/>
  <c r="BF143" i="69"/>
  <c r="BG143" i="69"/>
  <c r="BH143" i="69"/>
  <c r="BI143" i="69"/>
  <c r="BE132" i="69"/>
  <c r="BF132" i="69"/>
  <c r="BG132" i="69"/>
  <c r="BH132" i="69"/>
  <c r="BI132" i="69"/>
  <c r="V49" i="40"/>
  <c r="V66" i="40" s="1"/>
  <c r="AB134" i="47"/>
  <c r="U135" i="47"/>
  <c r="AC135" i="47"/>
  <c r="AJ134" i="47"/>
  <c r="AF46" i="43" s="1"/>
  <c r="AC134" i="47"/>
  <c r="T136" i="47"/>
  <c r="AI136" i="47" s="1"/>
  <c r="AE48" i="43" s="1"/>
  <c r="AB136" i="47"/>
  <c r="T135" i="47"/>
  <c r="AI135" i="47" s="1"/>
  <c r="AE47" i="43" s="1"/>
  <c r="AB135" i="47"/>
  <c r="AC136" i="47"/>
  <c r="U136" i="47"/>
  <c r="C18" i="60"/>
  <c r="Q65" i="49"/>
  <c r="T61" i="49"/>
  <c r="R61" i="49"/>
  <c r="V61" i="49" s="1"/>
  <c r="D129" i="57"/>
  <c r="I132" i="49"/>
  <c r="BD133" i="69"/>
  <c r="BC133" i="69"/>
  <c r="BC143" i="69"/>
  <c r="BD143" i="69"/>
  <c r="BC144" i="69"/>
  <c r="BD144" i="69"/>
  <c r="BC132" i="69"/>
  <c r="BD132" i="69"/>
  <c r="BC145" i="69"/>
  <c r="BD145" i="69"/>
  <c r="AT132" i="69"/>
  <c r="BB132" i="69"/>
  <c r="AU132" i="69"/>
  <c r="AV132" i="69"/>
  <c r="AP132" i="69"/>
  <c r="AX132" i="69"/>
  <c r="AQ132" i="69"/>
  <c r="AY132" i="69"/>
  <c r="AR132" i="69"/>
  <c r="AZ132" i="69"/>
  <c r="AS132" i="69"/>
  <c r="BA132" i="69"/>
  <c r="AW132" i="69"/>
  <c r="AN132" i="69"/>
  <c r="AO132" i="69"/>
  <c r="AI121" i="69"/>
  <c r="AH121" i="69"/>
  <c r="AK132" i="69"/>
  <c r="AM132" i="69"/>
  <c r="AL132" i="69"/>
  <c r="AH54" i="69"/>
  <c r="AI54" i="69"/>
  <c r="AR145" i="69"/>
  <c r="AZ145" i="69"/>
  <c r="AS145" i="69"/>
  <c r="BA145" i="69"/>
  <c r="AT145" i="69"/>
  <c r="BB145" i="69"/>
  <c r="AN145" i="69"/>
  <c r="AV145" i="69"/>
  <c r="AO145" i="69"/>
  <c r="AW145" i="69"/>
  <c r="AP145" i="69"/>
  <c r="AQ145" i="69"/>
  <c r="AU145" i="69"/>
  <c r="AX145" i="69"/>
  <c r="AY145" i="69"/>
  <c r="AI131" i="69"/>
  <c r="AH131" i="69"/>
  <c r="AH40" i="69"/>
  <c r="AI40" i="69"/>
  <c r="AK145" i="69"/>
  <c r="AL145" i="69"/>
  <c r="AM145" i="69"/>
  <c r="AQ133" i="69"/>
  <c r="AP133" i="69"/>
  <c r="AX133" i="69"/>
  <c r="AW133" i="69"/>
  <c r="AU133" i="69"/>
  <c r="AT133" i="69"/>
  <c r="BA133" i="69"/>
  <c r="AS133" i="69"/>
  <c r="AZ133" i="69"/>
  <c r="AO133" i="69"/>
  <c r="AR133" i="69"/>
  <c r="AV133" i="69"/>
  <c r="AY133" i="69"/>
  <c r="AN133" i="69"/>
  <c r="BB133" i="69"/>
  <c r="AN143" i="69"/>
  <c r="AV143" i="69"/>
  <c r="AO143" i="69"/>
  <c r="AW143" i="69"/>
  <c r="AP143" i="69"/>
  <c r="AX143" i="69"/>
  <c r="AR143" i="69"/>
  <c r="AZ143" i="69"/>
  <c r="AS143" i="69"/>
  <c r="BA143" i="69"/>
  <c r="AY143" i="69"/>
  <c r="AQ143" i="69"/>
  <c r="AT143" i="69"/>
  <c r="AU143" i="69"/>
  <c r="BB143" i="69"/>
  <c r="AT144" i="69"/>
  <c r="BB144" i="69"/>
  <c r="AU144" i="69"/>
  <c r="AN144" i="69"/>
  <c r="AV144" i="69"/>
  <c r="AP144" i="69"/>
  <c r="AX144" i="69"/>
  <c r="AQ144" i="69"/>
  <c r="AY144" i="69"/>
  <c r="BA144" i="69"/>
  <c r="AO144" i="69"/>
  <c r="AR144" i="69"/>
  <c r="AS144" i="69"/>
  <c r="AW144" i="69"/>
  <c r="AZ144" i="69"/>
  <c r="AL133" i="69"/>
  <c r="AK133" i="69"/>
  <c r="AM133" i="69"/>
  <c r="AK143" i="69"/>
  <c r="AL143" i="69"/>
  <c r="AM143" i="69"/>
  <c r="AL144" i="69"/>
  <c r="AM144" i="69"/>
  <c r="AK144" i="69"/>
  <c r="AH194" i="69"/>
  <c r="AI194" i="69"/>
  <c r="AH199" i="69"/>
  <c r="AI199" i="69"/>
  <c r="AH198" i="69"/>
  <c r="AI198" i="69"/>
  <c r="AH195" i="69"/>
  <c r="AI195" i="69"/>
  <c r="AH197" i="69"/>
  <c r="AI197" i="69"/>
  <c r="AH196" i="69"/>
  <c r="AI196" i="69"/>
  <c r="E141" i="49"/>
  <c r="U37" i="32"/>
  <c r="L32" i="27"/>
  <c r="N32" i="27" s="1"/>
  <c r="AK12" i="27"/>
  <c r="AI61" i="67"/>
  <c r="E31" i="59"/>
  <c r="AP36" i="32"/>
  <c r="AQ36" i="32" s="1"/>
  <c r="BC43" i="47"/>
  <c r="M18" i="60"/>
  <c r="N129" i="57"/>
  <c r="L129" i="57"/>
  <c r="K18" i="60"/>
  <c r="K20" i="60" s="1"/>
  <c r="O104" i="49"/>
  <c r="U104" i="49" s="1"/>
  <c r="O129" i="57"/>
  <c r="N18" i="60"/>
  <c r="BS143" i="47"/>
  <c r="BT143" i="47" s="1"/>
  <c r="L182" i="57"/>
  <c r="L82" i="60" s="1"/>
  <c r="BS233" i="47"/>
  <c r="BT233" i="47" s="1"/>
  <c r="L183" i="57"/>
  <c r="L83" i="60" s="1"/>
  <c r="BB43" i="47"/>
  <c r="AK314" i="47"/>
  <c r="AX58" i="37"/>
  <c r="AX61" i="37" s="1"/>
  <c r="R18" i="49" s="1"/>
  <c r="V18" i="49" s="1"/>
  <c r="G18" i="49"/>
  <c r="H15" i="60" s="1"/>
  <c r="G183" i="57"/>
  <c r="D83" i="60"/>
  <c r="G83" i="60" s="1"/>
  <c r="BQ43" i="47"/>
  <c r="M45" i="49" s="1"/>
  <c r="O95" i="49" s="1"/>
  <c r="U95" i="49" s="1"/>
  <c r="AI134" i="47"/>
  <c r="AE46" i="43" s="1"/>
  <c r="BQ44" i="47"/>
  <c r="J45" i="49" s="1"/>
  <c r="U60" i="49"/>
  <c r="U65" i="49" s="1"/>
  <c r="I30" i="59"/>
  <c r="N17" i="60" s="1"/>
  <c r="O17" i="60" s="1"/>
  <c r="O45" i="35"/>
  <c r="Y65" i="29" s="1"/>
  <c r="E31" i="69" s="1"/>
  <c r="AB31" i="69" s="1"/>
  <c r="C54" i="60"/>
  <c r="O44" i="35"/>
  <c r="Y64" i="29" s="1"/>
  <c r="E30" i="69" s="1"/>
  <c r="AB30" i="69" s="1"/>
  <c r="O49" i="35"/>
  <c r="Y69" i="29" s="1"/>
  <c r="E35" i="69" s="1"/>
  <c r="AB35" i="69" s="1"/>
  <c r="C52" i="60"/>
  <c r="O43" i="35"/>
  <c r="Y63" i="29" s="1"/>
  <c r="E29" i="69" s="1"/>
  <c r="AB29" i="69" s="1"/>
  <c r="O48" i="35"/>
  <c r="Y68" i="29" s="1"/>
  <c r="E34" i="69" s="1"/>
  <c r="AB34" i="69" s="1"/>
  <c r="O50" i="35"/>
  <c r="Y70" i="29" s="1"/>
  <c r="E36" i="69" s="1"/>
  <c r="AB36" i="69" s="1"/>
  <c r="O46" i="35"/>
  <c r="Y66" i="29" s="1"/>
  <c r="E32" i="69" s="1"/>
  <c r="AB32" i="69" s="1"/>
  <c r="L42" i="35"/>
  <c r="N42" i="35" s="1"/>
  <c r="W62" i="29" s="1"/>
  <c r="I152" i="49"/>
  <c r="O152" i="49" s="1"/>
  <c r="E97" i="60"/>
  <c r="D97" i="60"/>
  <c r="O83" i="60"/>
  <c r="N83" i="60"/>
  <c r="I123" i="49"/>
  <c r="O123" i="49" s="1"/>
  <c r="L141" i="49"/>
  <c r="R141" i="49" s="1"/>
  <c r="S141" i="49"/>
  <c r="M141" i="49"/>
  <c r="L113" i="49"/>
  <c r="R113" i="49" s="1"/>
  <c r="T141" i="49"/>
  <c r="N141" i="49"/>
  <c r="G113" i="49"/>
  <c r="AD119" i="57" s="1"/>
  <c r="AG119" i="57" s="1"/>
  <c r="H9" i="60"/>
  <c r="I119" i="57"/>
  <c r="L85" i="49"/>
  <c r="R85" i="49" s="1"/>
  <c r="K98" i="49"/>
  <c r="Q98" i="49" s="1"/>
  <c r="M84" i="49"/>
  <c r="S84" i="49"/>
  <c r="L84" i="49"/>
  <c r="R84" i="49" s="1"/>
  <c r="N84" i="49"/>
  <c r="T84" i="49"/>
  <c r="H8" i="60"/>
  <c r="I118" i="57"/>
  <c r="I8" i="60"/>
  <c r="J118" i="57"/>
  <c r="J8" i="60"/>
  <c r="K118" i="57"/>
  <c r="D125" i="57"/>
  <c r="W7" i="35"/>
  <c r="I20" i="49" s="1"/>
  <c r="O47" i="35"/>
  <c r="Y67" i="29" s="1"/>
  <c r="E33" i="69" s="1"/>
  <c r="AB33" i="69" s="1"/>
  <c r="X16" i="35"/>
  <c r="Y6" i="35"/>
  <c r="AC23" i="30"/>
  <c r="AB23" i="30"/>
  <c r="G110" i="49" s="1"/>
  <c r="AD117" i="57" s="1"/>
  <c r="V38" i="29"/>
  <c r="V40" i="29"/>
  <c r="V39" i="29"/>
  <c r="V37" i="29"/>
  <c r="AP31" i="32"/>
  <c r="N11" i="30"/>
  <c r="L24" i="30"/>
  <c r="L23" i="30"/>
  <c r="BR224" i="47"/>
  <c r="BS224" i="47" s="1"/>
  <c r="AG81" i="43"/>
  <c r="E141" i="69" s="1"/>
  <c r="AB141" i="69" s="1"/>
  <c r="AG82" i="43"/>
  <c r="E142" i="69" s="1"/>
  <c r="AB142" i="69" s="1"/>
  <c r="BN224" i="47"/>
  <c r="AY134" i="47"/>
  <c r="BN44" i="47"/>
  <c r="BR44" i="47"/>
  <c r="AZ43" i="47"/>
  <c r="BR43" i="47"/>
  <c r="BQ234" i="47"/>
  <c r="AX231" i="47"/>
  <c r="AY232" i="47" s="1"/>
  <c r="AX134" i="47"/>
  <c r="Z37" i="47"/>
  <c r="AA37" i="47"/>
  <c r="BN43" i="47"/>
  <c r="AK38" i="47"/>
  <c r="AG15" i="43"/>
  <c r="E130" i="69" s="1"/>
  <c r="AB130" i="69" s="1"/>
  <c r="AD37" i="47"/>
  <c r="O41" i="35"/>
  <c r="Y61" i="29" s="1"/>
  <c r="M52" i="35"/>
  <c r="U38" i="32"/>
  <c r="Y37" i="29" s="1"/>
  <c r="E20" i="69" s="1"/>
  <c r="AB20" i="69" s="1"/>
  <c r="W37" i="29"/>
  <c r="U41" i="32"/>
  <c r="Y40" i="29" s="1"/>
  <c r="E23" i="69" s="1"/>
  <c r="AB23" i="69" s="1"/>
  <c r="U42" i="32"/>
  <c r="Y41" i="29" s="1"/>
  <c r="E24" i="69" s="1"/>
  <c r="AB24" i="69" s="1"/>
  <c r="U44" i="32"/>
  <c r="Y43" i="29" s="1"/>
  <c r="E26" i="69" s="1"/>
  <c r="AB26" i="69" s="1"/>
  <c r="U43" i="32"/>
  <c r="Y42" i="29" s="1"/>
  <c r="E25" i="69" s="1"/>
  <c r="AB25" i="69" s="1"/>
  <c r="U39" i="32"/>
  <c r="Y38" i="29" s="1"/>
  <c r="E21" i="69" s="1"/>
  <c r="AB21" i="69" s="1"/>
  <c r="AP37" i="32"/>
  <c r="U40" i="32"/>
  <c r="Y39" i="29" s="1"/>
  <c r="E22" i="69" s="1"/>
  <c r="AB22" i="69" s="1"/>
  <c r="L38" i="30"/>
  <c r="F14" i="69" s="1"/>
  <c r="H28" i="59" l="1"/>
  <c r="B55" i="60"/>
  <c r="G129" i="57"/>
  <c r="AB69" i="69"/>
  <c r="AI69" i="69"/>
  <c r="BF69" i="69" s="1"/>
  <c r="AH69" i="69"/>
  <c r="AV78" i="69"/>
  <c r="AY78" i="69"/>
  <c r="AQ78" i="69"/>
  <c r="AN78" i="69"/>
  <c r="AP78" i="69"/>
  <c r="BA78" i="69"/>
  <c r="BI78" i="69"/>
  <c r="AM78" i="69"/>
  <c r="AW78" i="69"/>
  <c r="AS78" i="69"/>
  <c r="BH78" i="69"/>
  <c r="AL78" i="69"/>
  <c r="BB78" i="69"/>
  <c r="BG78" i="69"/>
  <c r="AK78" i="69"/>
  <c r="AX78" i="69"/>
  <c r="BD78" i="69"/>
  <c r="BF78" i="69"/>
  <c r="AU78" i="69"/>
  <c r="BC78" i="69"/>
  <c r="BE78" i="69"/>
  <c r="AO78" i="69"/>
  <c r="AT78" i="69"/>
  <c r="AZ78" i="69"/>
  <c r="AR78" i="69"/>
  <c r="AJ37" i="47"/>
  <c r="AF14" i="43" s="1"/>
  <c r="F129" i="69"/>
  <c r="F135" i="69"/>
  <c r="AJ136" i="47"/>
  <c r="AF48" i="43" s="1"/>
  <c r="AG48" i="43" s="1"/>
  <c r="E136" i="69" s="1"/>
  <c r="AB136" i="69" s="1"/>
  <c r="F136" i="69"/>
  <c r="O132" i="49"/>
  <c r="U132" i="49" s="1"/>
  <c r="AF129" i="57"/>
  <c r="AG129" i="57" s="1"/>
  <c r="S65" i="37"/>
  <c r="AF24" i="36" s="1"/>
  <c r="E28" i="59"/>
  <c r="D15" i="60" s="1"/>
  <c r="C67" i="60" s="1"/>
  <c r="AI120" i="69"/>
  <c r="BA120" i="69" s="1"/>
  <c r="AH120" i="69"/>
  <c r="L140" i="49"/>
  <c r="R140" i="49" s="1"/>
  <c r="AH125" i="57"/>
  <c r="AL125" i="57" s="1"/>
  <c r="K141" i="49"/>
  <c r="Q141" i="49" s="1"/>
  <c r="AH118" i="57"/>
  <c r="AL118" i="57" s="1"/>
  <c r="N110" i="49"/>
  <c r="T110" i="49" s="1"/>
  <c r="AE117" i="57"/>
  <c r="AK131" i="57"/>
  <c r="AL128" i="57"/>
  <c r="Z58" i="15"/>
  <c r="F129" i="57"/>
  <c r="G139" i="49"/>
  <c r="M11" i="69"/>
  <c r="F17" i="69"/>
  <c r="AA37" i="30"/>
  <c r="F15" i="69"/>
  <c r="Q35" i="30"/>
  <c r="R43" i="30" s="1"/>
  <c r="T38" i="30"/>
  <c r="R60" i="49"/>
  <c r="R65" i="49" s="1"/>
  <c r="D65" i="49"/>
  <c r="T60" i="49"/>
  <c r="T65" i="49" s="1"/>
  <c r="E27" i="69"/>
  <c r="AB27" i="69" s="1"/>
  <c r="BQ195" i="69"/>
  <c r="CC195" i="69"/>
  <c r="BR195" i="69"/>
  <c r="CD195" i="69"/>
  <c r="BS195" i="69"/>
  <c r="CE195" i="69"/>
  <c r="BT195" i="69"/>
  <c r="CF195" i="69"/>
  <c r="BU195" i="69"/>
  <c r="CG195" i="69"/>
  <c r="BV195" i="69"/>
  <c r="CH195" i="69"/>
  <c r="BW195" i="69"/>
  <c r="BX195" i="69"/>
  <c r="BY195" i="69"/>
  <c r="BZ195" i="69"/>
  <c r="BO195" i="69"/>
  <c r="CA195" i="69"/>
  <c r="BP195" i="69"/>
  <c r="CB195" i="69"/>
  <c r="BQ198" i="69"/>
  <c r="CC198" i="69"/>
  <c r="BR198" i="69"/>
  <c r="CD198" i="69"/>
  <c r="BS198" i="69"/>
  <c r="CE198" i="69"/>
  <c r="BT198" i="69"/>
  <c r="CF198" i="69"/>
  <c r="BU198" i="69"/>
  <c r="CG198" i="69"/>
  <c r="BV198" i="69"/>
  <c r="CH198" i="69"/>
  <c r="BW198" i="69"/>
  <c r="BX198" i="69"/>
  <c r="BY198" i="69"/>
  <c r="BZ198" i="69"/>
  <c r="BO198" i="69"/>
  <c r="CA198" i="69"/>
  <c r="BP198" i="69"/>
  <c r="CB198" i="69"/>
  <c r="BZ121" i="69"/>
  <c r="BO121" i="69"/>
  <c r="CA121" i="69"/>
  <c r="BP121" i="69"/>
  <c r="CB121" i="69"/>
  <c r="BQ121" i="69"/>
  <c r="CC121" i="69"/>
  <c r="BR121" i="69"/>
  <c r="CD121" i="69"/>
  <c r="BS121" i="69"/>
  <c r="CE121" i="69"/>
  <c r="BT121" i="69"/>
  <c r="CF121" i="69"/>
  <c r="BU121" i="69"/>
  <c r="CG121" i="69"/>
  <c r="BV121" i="69"/>
  <c r="CH121" i="69"/>
  <c r="BW121" i="69"/>
  <c r="BX121" i="69"/>
  <c r="BY121" i="69"/>
  <c r="BU199" i="69"/>
  <c r="CG199" i="69"/>
  <c r="BV199" i="69"/>
  <c r="CH199" i="69"/>
  <c r="BW199" i="69"/>
  <c r="BX199" i="69"/>
  <c r="BY199" i="69"/>
  <c r="BZ199" i="69"/>
  <c r="BO199" i="69"/>
  <c r="CA199" i="69"/>
  <c r="BP199" i="69"/>
  <c r="CB199" i="69"/>
  <c r="BQ199" i="69"/>
  <c r="CC199" i="69"/>
  <c r="BR199" i="69"/>
  <c r="CD199" i="69"/>
  <c r="BS199" i="69"/>
  <c r="CE199" i="69"/>
  <c r="BT199" i="69"/>
  <c r="CF199" i="69"/>
  <c r="BY194" i="69"/>
  <c r="BZ194" i="69"/>
  <c r="BO194" i="69"/>
  <c r="CA194" i="69"/>
  <c r="BP194" i="69"/>
  <c r="CB194" i="69"/>
  <c r="BQ194" i="69"/>
  <c r="CC194" i="69"/>
  <c r="BR194" i="69"/>
  <c r="CD194" i="69"/>
  <c r="BS194" i="69"/>
  <c r="CE194" i="69"/>
  <c r="BT194" i="69"/>
  <c r="CF194" i="69"/>
  <c r="BU194" i="69"/>
  <c r="CG194" i="69"/>
  <c r="BV194" i="69"/>
  <c r="CH194" i="69"/>
  <c r="BW194" i="69"/>
  <c r="BX194" i="69"/>
  <c r="BT54" i="69"/>
  <c r="CF54" i="69"/>
  <c r="BU54" i="69"/>
  <c r="CG54" i="69"/>
  <c r="BV54" i="69"/>
  <c r="CH54" i="69"/>
  <c r="BW54" i="69"/>
  <c r="BX54" i="69"/>
  <c r="BY54" i="69"/>
  <c r="BZ54" i="69"/>
  <c r="BO54" i="69"/>
  <c r="CA54" i="69"/>
  <c r="BP54" i="69"/>
  <c r="CB54" i="69"/>
  <c r="BQ54" i="69"/>
  <c r="CC54" i="69"/>
  <c r="BR54" i="69"/>
  <c r="CD54" i="69"/>
  <c r="BS54" i="69"/>
  <c r="CE54" i="69"/>
  <c r="BU196" i="69"/>
  <c r="CG196" i="69"/>
  <c r="BV196" i="69"/>
  <c r="CH196" i="69"/>
  <c r="BW196" i="69"/>
  <c r="BX196" i="69"/>
  <c r="BY196" i="69"/>
  <c r="BZ196" i="69"/>
  <c r="BO196" i="69"/>
  <c r="CA196" i="69"/>
  <c r="BP196" i="69"/>
  <c r="CB196" i="69"/>
  <c r="BQ196" i="69"/>
  <c r="CC196" i="69"/>
  <c r="BR196" i="69"/>
  <c r="CD196" i="69"/>
  <c r="BS196" i="69"/>
  <c r="CE196" i="69"/>
  <c r="BT196" i="69"/>
  <c r="CF196" i="69"/>
  <c r="BX40" i="69"/>
  <c r="BY40" i="69"/>
  <c r="BZ40" i="69"/>
  <c r="BO40" i="69"/>
  <c r="CA40" i="69"/>
  <c r="BP40" i="69"/>
  <c r="CB40" i="69"/>
  <c r="BQ40" i="69"/>
  <c r="CC40" i="69"/>
  <c r="BR40" i="69"/>
  <c r="CD40" i="69"/>
  <c r="BS40" i="69"/>
  <c r="CE40" i="69"/>
  <c r="BT40" i="69"/>
  <c r="CF40" i="69"/>
  <c r="BU40" i="69"/>
  <c r="CG40" i="69"/>
  <c r="BV40" i="69"/>
  <c r="CH40" i="69"/>
  <c r="BW40" i="69"/>
  <c r="BV120" i="69"/>
  <c r="CH120" i="69"/>
  <c r="BW120" i="69"/>
  <c r="BX120" i="69"/>
  <c r="BY120" i="69"/>
  <c r="BZ120" i="69"/>
  <c r="BO120" i="69"/>
  <c r="CA120" i="69"/>
  <c r="BP120" i="69"/>
  <c r="CB120" i="69"/>
  <c r="BQ120" i="69"/>
  <c r="CC120" i="69"/>
  <c r="BR120" i="69"/>
  <c r="CD120" i="69"/>
  <c r="BS120" i="69"/>
  <c r="CE120" i="69"/>
  <c r="BT120" i="69"/>
  <c r="CF120" i="69"/>
  <c r="BU120" i="69"/>
  <c r="CG120" i="69"/>
  <c r="BY197" i="69"/>
  <c r="BZ197" i="69"/>
  <c r="BO197" i="69"/>
  <c r="CA197" i="69"/>
  <c r="BP197" i="69"/>
  <c r="CB197" i="69"/>
  <c r="BQ197" i="69"/>
  <c r="CC197" i="69"/>
  <c r="BR197" i="69"/>
  <c r="CD197" i="69"/>
  <c r="BS197" i="69"/>
  <c r="CE197" i="69"/>
  <c r="BT197" i="69"/>
  <c r="CF197" i="69"/>
  <c r="BU197" i="69"/>
  <c r="CG197" i="69"/>
  <c r="BV197" i="69"/>
  <c r="CH197" i="69"/>
  <c r="BW197" i="69"/>
  <c r="BX197" i="69"/>
  <c r="BV131" i="69"/>
  <c r="CH131" i="69"/>
  <c r="BW131" i="69"/>
  <c r="BX131" i="69"/>
  <c r="BY131" i="69"/>
  <c r="BZ131" i="69"/>
  <c r="BO131" i="69"/>
  <c r="CA131" i="69"/>
  <c r="BP131" i="69"/>
  <c r="CB131" i="69"/>
  <c r="BQ131" i="69"/>
  <c r="CC131" i="69"/>
  <c r="BR131" i="69"/>
  <c r="CD131" i="69"/>
  <c r="BS131" i="69"/>
  <c r="CE131" i="69"/>
  <c r="BT131" i="69"/>
  <c r="CF131" i="69"/>
  <c r="BU131" i="69"/>
  <c r="CG131" i="69"/>
  <c r="BJ195" i="69"/>
  <c r="BK195" i="69"/>
  <c r="BL195" i="69"/>
  <c r="BM195" i="69"/>
  <c r="BN195" i="69"/>
  <c r="BM198" i="69"/>
  <c r="BN198" i="69"/>
  <c r="BJ198" i="69"/>
  <c r="BK198" i="69"/>
  <c r="BL198" i="69"/>
  <c r="BJ121" i="69"/>
  <c r="BK121" i="69"/>
  <c r="BL121" i="69"/>
  <c r="BM121" i="69"/>
  <c r="BN121" i="69"/>
  <c r="BL199" i="69"/>
  <c r="BM199" i="69"/>
  <c r="BN199" i="69"/>
  <c r="BJ199" i="69"/>
  <c r="BK199" i="69"/>
  <c r="BJ194" i="69"/>
  <c r="BK194" i="69"/>
  <c r="BL194" i="69"/>
  <c r="BM194" i="69"/>
  <c r="BN194" i="69"/>
  <c r="BJ54" i="69"/>
  <c r="BK54" i="69"/>
  <c r="BL54" i="69"/>
  <c r="BM54" i="69"/>
  <c r="BN54" i="69"/>
  <c r="BJ196" i="69"/>
  <c r="BK196" i="69"/>
  <c r="BL196" i="69"/>
  <c r="BM196" i="69"/>
  <c r="BN196" i="69"/>
  <c r="BK40" i="69"/>
  <c r="BL40" i="69"/>
  <c r="BM40" i="69"/>
  <c r="BN40" i="69"/>
  <c r="BJ40" i="69"/>
  <c r="BJ120" i="69"/>
  <c r="BK120" i="69"/>
  <c r="BL120" i="69"/>
  <c r="BM120" i="69"/>
  <c r="BN120" i="69"/>
  <c r="BN197" i="69"/>
  <c r="BJ197" i="69"/>
  <c r="BK197" i="69"/>
  <c r="BL197" i="69"/>
  <c r="BM197" i="69"/>
  <c r="BJ131" i="69"/>
  <c r="BK131" i="69"/>
  <c r="BL131" i="69"/>
  <c r="BM131" i="69"/>
  <c r="BN131" i="69"/>
  <c r="BH194" i="69"/>
  <c r="BE194" i="69"/>
  <c r="BF194" i="69"/>
  <c r="BG194" i="69"/>
  <c r="BI194" i="69"/>
  <c r="BE54" i="69"/>
  <c r="BF54" i="69"/>
  <c r="BG54" i="69"/>
  <c r="BH54" i="69"/>
  <c r="BI54" i="69"/>
  <c r="BH196" i="69"/>
  <c r="BE196" i="69"/>
  <c r="BF196" i="69"/>
  <c r="BG196" i="69"/>
  <c r="BI196" i="69"/>
  <c r="BE40" i="69"/>
  <c r="BF40" i="69"/>
  <c r="BG40" i="69"/>
  <c r="BH40" i="69"/>
  <c r="BI40" i="69"/>
  <c r="BF120" i="69"/>
  <c r="BG120" i="69"/>
  <c r="BH120" i="69"/>
  <c r="BI120" i="69"/>
  <c r="BE197" i="69"/>
  <c r="BF197" i="69"/>
  <c r="BG197" i="69"/>
  <c r="BH197" i="69"/>
  <c r="BI197" i="69"/>
  <c r="BE131" i="69"/>
  <c r="BF131" i="69"/>
  <c r="BG131" i="69"/>
  <c r="BH131" i="69"/>
  <c r="BI131" i="69"/>
  <c r="BE195" i="69"/>
  <c r="BF195" i="69"/>
  <c r="BG195" i="69"/>
  <c r="BH195" i="69"/>
  <c r="BI195" i="69"/>
  <c r="BH198" i="69"/>
  <c r="BE198" i="69"/>
  <c r="BF198" i="69"/>
  <c r="BG198" i="69"/>
  <c r="BI198" i="69"/>
  <c r="BE121" i="69"/>
  <c r="BF121" i="69"/>
  <c r="BG121" i="69"/>
  <c r="BH121" i="69"/>
  <c r="BI121" i="69"/>
  <c r="BE199" i="69"/>
  <c r="BF199" i="69"/>
  <c r="BG199" i="69"/>
  <c r="BH199" i="69"/>
  <c r="BI199" i="69"/>
  <c r="AX136" i="47"/>
  <c r="E228" i="69"/>
  <c r="AB228" i="69" s="1"/>
  <c r="AY136" i="47"/>
  <c r="BM134" i="47"/>
  <c r="BM145" i="47" s="1"/>
  <c r="AE67" i="43"/>
  <c r="AX135" i="47"/>
  <c r="BL134" i="47"/>
  <c r="D182" i="57" s="1"/>
  <c r="N182" i="57" s="1"/>
  <c r="N82" i="60" s="1"/>
  <c r="C55" i="60"/>
  <c r="E18" i="60"/>
  <c r="C40" i="60" s="1"/>
  <c r="AJ135" i="47"/>
  <c r="AF47" i="43" s="1"/>
  <c r="AG47" i="43" s="1"/>
  <c r="E135" i="69" s="1"/>
  <c r="AB135" i="69" s="1"/>
  <c r="AY135" i="47"/>
  <c r="B70" i="60"/>
  <c r="B40" i="60"/>
  <c r="BC40" i="69"/>
  <c r="BD40" i="69"/>
  <c r="BC54" i="69"/>
  <c r="BD54" i="69"/>
  <c r="BC121" i="69"/>
  <c r="BD121" i="69"/>
  <c r="BD131" i="69"/>
  <c r="BC131" i="69"/>
  <c r="AH20" i="69"/>
  <c r="AI20" i="69"/>
  <c r="AH141" i="69"/>
  <c r="AI141" i="69"/>
  <c r="AH33" i="69"/>
  <c r="AI33" i="69"/>
  <c r="AH29" i="69"/>
  <c r="AI29" i="69"/>
  <c r="AM131" i="69"/>
  <c r="AK131" i="69"/>
  <c r="AL131" i="69"/>
  <c r="AU54" i="69"/>
  <c r="AN54" i="69"/>
  <c r="AV54" i="69"/>
  <c r="AO54" i="69"/>
  <c r="AW54" i="69"/>
  <c r="AQ54" i="69"/>
  <c r="AY54" i="69"/>
  <c r="AR54" i="69"/>
  <c r="AZ54" i="69"/>
  <c r="AP54" i="69"/>
  <c r="AS54" i="69"/>
  <c r="AT54" i="69"/>
  <c r="BA54" i="69"/>
  <c r="BB54" i="69"/>
  <c r="AX54" i="69"/>
  <c r="AU121" i="69"/>
  <c r="AN121" i="69"/>
  <c r="AV121" i="69"/>
  <c r="AO121" i="69"/>
  <c r="AW121" i="69"/>
  <c r="AQ121" i="69"/>
  <c r="AY121" i="69"/>
  <c r="AR121" i="69"/>
  <c r="AZ121" i="69"/>
  <c r="AS121" i="69"/>
  <c r="BA121" i="69"/>
  <c r="AT121" i="69"/>
  <c r="BB121" i="69"/>
  <c r="AP121" i="69"/>
  <c r="AX121" i="69"/>
  <c r="AR131" i="69"/>
  <c r="AY131" i="69"/>
  <c r="AQ131" i="69"/>
  <c r="AV131" i="69"/>
  <c r="AX131" i="69"/>
  <c r="AP131" i="69"/>
  <c r="AU131" i="69"/>
  <c r="AZ131" i="69"/>
  <c r="BB131" i="69"/>
  <c r="BA131" i="69"/>
  <c r="AW131" i="69"/>
  <c r="AT131" i="69"/>
  <c r="AS131" i="69"/>
  <c r="AO131" i="69"/>
  <c r="AN131" i="69"/>
  <c r="AM54" i="69"/>
  <c r="AK54" i="69"/>
  <c r="AL54" i="69"/>
  <c r="AH22" i="69"/>
  <c r="AI22" i="69"/>
  <c r="AI39" i="69"/>
  <c r="AH39" i="69"/>
  <c r="AI92" i="69"/>
  <c r="AH92" i="69"/>
  <c r="AY120" i="69"/>
  <c r="AI35" i="69"/>
  <c r="AH35" i="69"/>
  <c r="AH25" i="69"/>
  <c r="AI25" i="69"/>
  <c r="AI30" i="69"/>
  <c r="AH30" i="69"/>
  <c r="AH26" i="69"/>
  <c r="AI26" i="69"/>
  <c r="AI77" i="69"/>
  <c r="AH77" i="69"/>
  <c r="AH24" i="69"/>
  <c r="AI24" i="69"/>
  <c r="AH32" i="69"/>
  <c r="AI32" i="69"/>
  <c r="AH31" i="69"/>
  <c r="AI31" i="69"/>
  <c r="AI21" i="69"/>
  <c r="AH21" i="69"/>
  <c r="AI130" i="69"/>
  <c r="AH130" i="69"/>
  <c r="AH53" i="69"/>
  <c r="AI53" i="69"/>
  <c r="AH23" i="69"/>
  <c r="AI23" i="69"/>
  <c r="AH36" i="69"/>
  <c r="AI36" i="69"/>
  <c r="AS40" i="69"/>
  <c r="BA40" i="69"/>
  <c r="AT40" i="69"/>
  <c r="BB40" i="69"/>
  <c r="AU40" i="69"/>
  <c r="AN40" i="69"/>
  <c r="AV40" i="69"/>
  <c r="AO40" i="69"/>
  <c r="AW40" i="69"/>
  <c r="AP40" i="69"/>
  <c r="AX40" i="69"/>
  <c r="AZ40" i="69"/>
  <c r="AQ40" i="69"/>
  <c r="AR40" i="69"/>
  <c r="AY40" i="69"/>
  <c r="AH142" i="69"/>
  <c r="AI142" i="69"/>
  <c r="AI34" i="69"/>
  <c r="AH34" i="69"/>
  <c r="AK40" i="69"/>
  <c r="AL40" i="69"/>
  <c r="AM40" i="69"/>
  <c r="AM121" i="69"/>
  <c r="AK121" i="69"/>
  <c r="AL121" i="69"/>
  <c r="AH204" i="69"/>
  <c r="AI204" i="69"/>
  <c r="AH203" i="69"/>
  <c r="AI203" i="69"/>
  <c r="AH202" i="69"/>
  <c r="AI202" i="69"/>
  <c r="AH200" i="69"/>
  <c r="AI200" i="69"/>
  <c r="AH205" i="69"/>
  <c r="AI205" i="69"/>
  <c r="AH201" i="69"/>
  <c r="AI201" i="69"/>
  <c r="AU195" i="69"/>
  <c r="BC195" i="69"/>
  <c r="AV195" i="69"/>
  <c r="BD195" i="69"/>
  <c r="AW195" i="69"/>
  <c r="AT195" i="69"/>
  <c r="AP195" i="69"/>
  <c r="AX195" i="69"/>
  <c r="AQ195" i="69"/>
  <c r="AY195" i="69"/>
  <c r="BB195" i="69"/>
  <c r="AR195" i="69"/>
  <c r="AZ195" i="69"/>
  <c r="AS195" i="69"/>
  <c r="BA195" i="69"/>
  <c r="AO194" i="69"/>
  <c r="AK194" i="69"/>
  <c r="AL194" i="69"/>
  <c r="AN194" i="69"/>
  <c r="AM194" i="69"/>
  <c r="AM195" i="69"/>
  <c r="AN195" i="69"/>
  <c r="AO195" i="69"/>
  <c r="AK195" i="69"/>
  <c r="AL195" i="69"/>
  <c r="AW198" i="69"/>
  <c r="AP198" i="69"/>
  <c r="AX198" i="69"/>
  <c r="AV198" i="69"/>
  <c r="AQ198" i="69"/>
  <c r="AY198" i="69"/>
  <c r="AR198" i="69"/>
  <c r="AZ198" i="69"/>
  <c r="AS198" i="69"/>
  <c r="BA198" i="69"/>
  <c r="AT198" i="69"/>
  <c r="BB198" i="69"/>
  <c r="AU198" i="69"/>
  <c r="BC198" i="69"/>
  <c r="BD198" i="69"/>
  <c r="AS196" i="69"/>
  <c r="BA196" i="69"/>
  <c r="AT196" i="69"/>
  <c r="BB196" i="69"/>
  <c r="AU196" i="69"/>
  <c r="BC196" i="69"/>
  <c r="AV196" i="69"/>
  <c r="BD196" i="69"/>
  <c r="AW196" i="69"/>
  <c r="AP196" i="69"/>
  <c r="AX196" i="69"/>
  <c r="AQ196" i="69"/>
  <c r="AY196" i="69"/>
  <c r="AZ196" i="69"/>
  <c r="AR196" i="69"/>
  <c r="AO198" i="69"/>
  <c r="AK198" i="69"/>
  <c r="AN198" i="69"/>
  <c r="AL198" i="69"/>
  <c r="AM198" i="69"/>
  <c r="AK196" i="69"/>
  <c r="AL196" i="69"/>
  <c r="AM196" i="69"/>
  <c r="AN196" i="69"/>
  <c r="AO196" i="69"/>
  <c r="AW194" i="69"/>
  <c r="AP194" i="69"/>
  <c r="AX194" i="69"/>
  <c r="AQ194" i="69"/>
  <c r="AY194" i="69"/>
  <c r="AR194" i="69"/>
  <c r="AZ194" i="69"/>
  <c r="BD194" i="69"/>
  <c r="AS194" i="69"/>
  <c r="BA194" i="69"/>
  <c r="AT194" i="69"/>
  <c r="BB194" i="69"/>
  <c r="AU194" i="69"/>
  <c r="BC194" i="69"/>
  <c r="AV194" i="69"/>
  <c r="AU199" i="69"/>
  <c r="BC199" i="69"/>
  <c r="AV199" i="69"/>
  <c r="BD199" i="69"/>
  <c r="AW199" i="69"/>
  <c r="AT199" i="69"/>
  <c r="AP199" i="69"/>
  <c r="AX199" i="69"/>
  <c r="AQ199" i="69"/>
  <c r="AY199" i="69"/>
  <c r="BB199" i="69"/>
  <c r="AR199" i="69"/>
  <c r="AZ199" i="69"/>
  <c r="AS199" i="69"/>
  <c r="BA199" i="69"/>
  <c r="AQ197" i="69"/>
  <c r="AY197" i="69"/>
  <c r="AR197" i="69"/>
  <c r="AZ197" i="69"/>
  <c r="AS197" i="69"/>
  <c r="BA197" i="69"/>
  <c r="AX197" i="69"/>
  <c r="AT197" i="69"/>
  <c r="BB197" i="69"/>
  <c r="AU197" i="69"/>
  <c r="BC197" i="69"/>
  <c r="AV197" i="69"/>
  <c r="BD197" i="69"/>
  <c r="AP197" i="69"/>
  <c r="AW197" i="69"/>
  <c r="AM199" i="69"/>
  <c r="AN199" i="69"/>
  <c r="AO199" i="69"/>
  <c r="AK199" i="69"/>
  <c r="AL199" i="69"/>
  <c r="AK197" i="69"/>
  <c r="AL197" i="69"/>
  <c r="AM197" i="69"/>
  <c r="AN197" i="69"/>
  <c r="AO197" i="69"/>
  <c r="AB89" i="57"/>
  <c r="AF89" i="57"/>
  <c r="AJ89" i="57"/>
  <c r="AN89" i="57"/>
  <c r="AR89" i="57"/>
  <c r="AC89" i="57"/>
  <c r="AG89" i="57"/>
  <c r="AK89" i="57"/>
  <c r="AO89" i="57"/>
  <c r="AD89" i="57"/>
  <c r="AL89" i="57"/>
  <c r="AP89" i="57"/>
  <c r="AQ89" i="57"/>
  <c r="AE89" i="57"/>
  <c r="AM89" i="57"/>
  <c r="Z89" i="57"/>
  <c r="AI89" i="57"/>
  <c r="AH89" i="57"/>
  <c r="AA89" i="57"/>
  <c r="AP40" i="32"/>
  <c r="Q19" i="49" s="1"/>
  <c r="U19" i="49" s="1"/>
  <c r="AD15" i="26"/>
  <c r="AG15" i="26"/>
  <c r="E91" i="69" s="1"/>
  <c r="AB91" i="69" s="1"/>
  <c r="O18" i="60"/>
  <c r="E128" i="57"/>
  <c r="F128" i="57" s="1"/>
  <c r="I31" i="59"/>
  <c r="O128" i="57" s="1"/>
  <c r="P128" i="57" s="1"/>
  <c r="BC44" i="47"/>
  <c r="BS234" i="47"/>
  <c r="R48" i="49" s="1"/>
  <c r="V48" i="49" s="1"/>
  <c r="P129" i="57"/>
  <c r="K23" i="60"/>
  <c r="K24" i="60"/>
  <c r="O103" i="49"/>
  <c r="U103" i="49" s="1"/>
  <c r="L128" i="57"/>
  <c r="BA44" i="47"/>
  <c r="AI37" i="47"/>
  <c r="AE14" i="43" s="1"/>
  <c r="L83" i="49"/>
  <c r="R83" i="49" s="1"/>
  <c r="I125" i="57"/>
  <c r="L180" i="57"/>
  <c r="L187" i="57" s="1"/>
  <c r="M53" i="49"/>
  <c r="J16" i="60" s="1"/>
  <c r="BS43" i="47"/>
  <c r="BT43" i="47" s="1"/>
  <c r="BS44" i="47"/>
  <c r="BT44" i="47" s="1"/>
  <c r="M95" i="49"/>
  <c r="S95" i="49" s="1"/>
  <c r="J53" i="49"/>
  <c r="I16" i="60" s="1"/>
  <c r="D17" i="60"/>
  <c r="E17" i="60" s="1"/>
  <c r="C39" i="60" s="1"/>
  <c r="O127" i="57"/>
  <c r="P127" i="57" s="1"/>
  <c r="E127" i="57"/>
  <c r="U152" i="49"/>
  <c r="N52" i="35"/>
  <c r="W73" i="29" s="1"/>
  <c r="O42" i="35"/>
  <c r="Y62" i="29" s="1"/>
  <c r="E28" i="69" s="1"/>
  <c r="AB28" i="69" s="1"/>
  <c r="M110" i="49"/>
  <c r="S110" i="49" s="1"/>
  <c r="Y38" i="30"/>
  <c r="M17" i="49" s="1"/>
  <c r="H139" i="49"/>
  <c r="AJ117" i="57" s="1"/>
  <c r="G142" i="49"/>
  <c r="AI119" i="57" s="1"/>
  <c r="AL119" i="57" s="1"/>
  <c r="D107" i="60"/>
  <c r="D114" i="60"/>
  <c r="F97" i="60"/>
  <c r="U123" i="49"/>
  <c r="M113" i="49"/>
  <c r="S113" i="49" s="1"/>
  <c r="M15" i="60"/>
  <c r="N125" i="57"/>
  <c r="W10" i="35"/>
  <c r="D20" i="49" s="1"/>
  <c r="M85" i="49"/>
  <c r="S85" i="49" s="1"/>
  <c r="I9" i="60"/>
  <c r="J119" i="57"/>
  <c r="X7" i="35"/>
  <c r="X10" i="35" s="1"/>
  <c r="D48" i="49"/>
  <c r="T48" i="49" s="1"/>
  <c r="V73" i="29"/>
  <c r="D20" i="59"/>
  <c r="C9" i="60" s="1"/>
  <c r="Y39" i="30"/>
  <c r="J17" i="49" s="1"/>
  <c r="K25" i="30"/>
  <c r="L25" i="30" s="1"/>
  <c r="I37" i="30" s="1"/>
  <c r="J36" i="30"/>
  <c r="I36" i="30"/>
  <c r="J35" i="30"/>
  <c r="I35" i="30"/>
  <c r="AG80" i="43"/>
  <c r="AK134" i="47"/>
  <c r="AI211" i="47"/>
  <c r="BL146" i="47"/>
  <c r="BT224" i="47"/>
  <c r="BR234" i="47"/>
  <c r="Q48" i="49" s="1"/>
  <c r="U48" i="49" s="1"/>
  <c r="AX37" i="47"/>
  <c r="AY37" i="47"/>
  <c r="T46" i="32"/>
  <c r="AQ37" i="32"/>
  <c r="W36" i="29"/>
  <c r="AX120" i="69" l="1"/>
  <c r="AZ69" i="69"/>
  <c r="AQ120" i="69"/>
  <c r="AK120" i="69"/>
  <c r="BC120" i="69"/>
  <c r="BE120" i="69"/>
  <c r="AS87" i="57" s="1"/>
  <c r="BE69" i="69"/>
  <c r="BB69" i="69"/>
  <c r="BA69" i="69"/>
  <c r="BC69" i="69"/>
  <c r="BD69" i="69"/>
  <c r="AK136" i="47"/>
  <c r="AS120" i="69"/>
  <c r="AK69" i="69"/>
  <c r="AT69" i="69"/>
  <c r="AO69" i="69"/>
  <c r="AS69" i="69"/>
  <c r="AL69" i="69"/>
  <c r="AP69" i="69"/>
  <c r="AN69" i="69"/>
  <c r="AR69" i="69"/>
  <c r="AM69" i="69"/>
  <c r="AQ69" i="69"/>
  <c r="AW69" i="69"/>
  <c r="AX69" i="69"/>
  <c r="AY69" i="69"/>
  <c r="AU69" i="69"/>
  <c r="AV69" i="69"/>
  <c r="BD120" i="69"/>
  <c r="B52" i="60"/>
  <c r="E125" i="57"/>
  <c r="G125" i="57" s="1"/>
  <c r="B67" i="60"/>
  <c r="B37" i="60"/>
  <c r="E15" i="60"/>
  <c r="C37" i="60" s="1"/>
  <c r="I28" i="59"/>
  <c r="O125" i="57" s="1"/>
  <c r="AP120" i="69"/>
  <c r="AZ120" i="69"/>
  <c r="AW120" i="69"/>
  <c r="AK87" i="57" s="1"/>
  <c r="AV120" i="69"/>
  <c r="AJ87" i="57" s="1"/>
  <c r="AR120" i="69"/>
  <c r="AF87" i="57" s="1"/>
  <c r="AU120" i="69"/>
  <c r="BB120" i="69"/>
  <c r="AT120" i="69"/>
  <c r="AH87" i="57" s="1"/>
  <c r="AO120" i="69"/>
  <c r="AM120" i="69"/>
  <c r="AN120" i="69"/>
  <c r="AB87" i="57" s="1"/>
  <c r="AL120" i="69"/>
  <c r="V60" i="49"/>
  <c r="V65" i="49" s="1"/>
  <c r="AF131" i="57"/>
  <c r="M139" i="49"/>
  <c r="S139" i="49" s="1"/>
  <c r="AI117" i="57"/>
  <c r="L131" i="57"/>
  <c r="AH228" i="69"/>
  <c r="AH135" i="69"/>
  <c r="AI27" i="69"/>
  <c r="BF27" i="69" s="1"/>
  <c r="G127" i="57"/>
  <c r="F127" i="57"/>
  <c r="BU87" i="57"/>
  <c r="BO87" i="57"/>
  <c r="BJ87" i="57"/>
  <c r="BV87" i="57"/>
  <c r="BR87" i="57"/>
  <c r="AH27" i="69"/>
  <c r="AQ27" i="69" s="1"/>
  <c r="J43" i="30"/>
  <c r="K36" i="30"/>
  <c r="S36" i="30" s="1"/>
  <c r="K37" i="30"/>
  <c r="S37" i="30" s="1"/>
  <c r="L36" i="30"/>
  <c r="T36" i="30" s="1"/>
  <c r="AZ87" i="57"/>
  <c r="BT87" i="57"/>
  <c r="BN87" i="57"/>
  <c r="BH87" i="57"/>
  <c r="BS87" i="57"/>
  <c r="BG87" i="57"/>
  <c r="BA87" i="57"/>
  <c r="BI87" i="57"/>
  <c r="BC87" i="57"/>
  <c r="BL87" i="57"/>
  <c r="BK87" i="57"/>
  <c r="BM87" i="57"/>
  <c r="BF87" i="57"/>
  <c r="BQ87" i="57"/>
  <c r="BE87" i="57"/>
  <c r="BP87" i="57"/>
  <c r="BD87" i="57"/>
  <c r="BQ201" i="69"/>
  <c r="CC201" i="69"/>
  <c r="BR201" i="69"/>
  <c r="CD201" i="69"/>
  <c r="BS201" i="69"/>
  <c r="CE201" i="69"/>
  <c r="BT201" i="69"/>
  <c r="CF201" i="69"/>
  <c r="BU201" i="69"/>
  <c r="CG201" i="69"/>
  <c r="BV201" i="69"/>
  <c r="CH201" i="69"/>
  <c r="BW201" i="69"/>
  <c r="BX201" i="69"/>
  <c r="BY201" i="69"/>
  <c r="BZ201" i="69"/>
  <c r="BO201" i="69"/>
  <c r="CA201" i="69"/>
  <c r="BP201" i="69"/>
  <c r="CB201" i="69"/>
  <c r="BR92" i="69"/>
  <c r="CD92" i="69"/>
  <c r="BS92" i="69"/>
  <c r="CE92" i="69"/>
  <c r="BT92" i="69"/>
  <c r="CF92" i="69"/>
  <c r="BU92" i="69"/>
  <c r="CG92" i="69"/>
  <c r="BV92" i="69"/>
  <c r="CH92" i="69"/>
  <c r="BW92" i="69"/>
  <c r="BX92" i="69"/>
  <c r="BY92" i="69"/>
  <c r="BZ92" i="69"/>
  <c r="BO92" i="69"/>
  <c r="CA92" i="69"/>
  <c r="BP92" i="69"/>
  <c r="CB92" i="69"/>
  <c r="BQ92" i="69"/>
  <c r="CC92" i="69"/>
  <c r="BZ141" i="69"/>
  <c r="BO141" i="69"/>
  <c r="CA141" i="69"/>
  <c r="BP141" i="69"/>
  <c r="CB141" i="69"/>
  <c r="BQ141" i="69"/>
  <c r="CC141" i="69"/>
  <c r="BR141" i="69"/>
  <c r="CD141" i="69"/>
  <c r="BS141" i="69"/>
  <c r="CE141" i="69"/>
  <c r="BT141" i="69"/>
  <c r="CF141" i="69"/>
  <c r="BU141" i="69"/>
  <c r="CG141" i="69"/>
  <c r="BV141" i="69"/>
  <c r="CH141" i="69"/>
  <c r="BW141" i="69"/>
  <c r="BX141" i="69"/>
  <c r="BY141" i="69"/>
  <c r="BT36" i="69"/>
  <c r="CF36" i="69"/>
  <c r="BU36" i="69"/>
  <c r="CG36" i="69"/>
  <c r="BV36" i="69"/>
  <c r="CH36" i="69"/>
  <c r="BW36" i="69"/>
  <c r="BX36" i="69"/>
  <c r="BY36" i="69"/>
  <c r="BZ36" i="69"/>
  <c r="BO36" i="69"/>
  <c r="CA36" i="69"/>
  <c r="BP36" i="69"/>
  <c r="CB36" i="69"/>
  <c r="BQ36" i="69"/>
  <c r="CC36" i="69"/>
  <c r="BR36" i="69"/>
  <c r="CD36" i="69"/>
  <c r="BS36" i="69"/>
  <c r="CE36" i="69"/>
  <c r="BP32" i="69"/>
  <c r="CB32" i="69"/>
  <c r="BQ32" i="69"/>
  <c r="CC32" i="69"/>
  <c r="BR32" i="69"/>
  <c r="CD32" i="69"/>
  <c r="BS32" i="69"/>
  <c r="CE32" i="69"/>
  <c r="BT32" i="69"/>
  <c r="CF32" i="69"/>
  <c r="BU32" i="69"/>
  <c r="CG32" i="69"/>
  <c r="BV32" i="69"/>
  <c r="CH32" i="69"/>
  <c r="BW32" i="69"/>
  <c r="BX32" i="69"/>
  <c r="BY32" i="69"/>
  <c r="BZ32" i="69"/>
  <c r="BO32" i="69"/>
  <c r="CA32" i="69"/>
  <c r="BU205" i="69"/>
  <c r="CG205" i="69"/>
  <c r="BV205" i="69"/>
  <c r="CH205" i="69"/>
  <c r="BW205" i="69"/>
  <c r="BX205" i="69"/>
  <c r="BY205" i="69"/>
  <c r="BZ205" i="69"/>
  <c r="BO205" i="69"/>
  <c r="CA205" i="69"/>
  <c r="BP205" i="69"/>
  <c r="CB205" i="69"/>
  <c r="BQ205" i="69"/>
  <c r="CC205" i="69"/>
  <c r="BR205" i="69"/>
  <c r="CD205" i="69"/>
  <c r="BS205" i="69"/>
  <c r="CE205" i="69"/>
  <c r="BT205" i="69"/>
  <c r="CF205" i="69"/>
  <c r="BT39" i="69"/>
  <c r="CF39" i="69"/>
  <c r="BU39" i="69"/>
  <c r="CG39" i="69"/>
  <c r="BV39" i="69"/>
  <c r="CH39" i="69"/>
  <c r="BW39" i="69"/>
  <c r="BX39" i="69"/>
  <c r="BY39" i="69"/>
  <c r="BZ39" i="69"/>
  <c r="BO39" i="69"/>
  <c r="CA39" i="69"/>
  <c r="BP39" i="69"/>
  <c r="CB39" i="69"/>
  <c r="BQ39" i="69"/>
  <c r="CC39" i="69"/>
  <c r="BR39" i="69"/>
  <c r="CD39" i="69"/>
  <c r="BS39" i="69"/>
  <c r="CE39" i="69"/>
  <c r="BP20" i="69"/>
  <c r="CB20" i="69"/>
  <c r="BQ20" i="69"/>
  <c r="CC20" i="69"/>
  <c r="BR20" i="69"/>
  <c r="CD20" i="69"/>
  <c r="BS20" i="69"/>
  <c r="CE20" i="69"/>
  <c r="BT20" i="69"/>
  <c r="CF20" i="69"/>
  <c r="BU20" i="69"/>
  <c r="CG20" i="69"/>
  <c r="BV20" i="69"/>
  <c r="CH20" i="69"/>
  <c r="BW20" i="69"/>
  <c r="BX20" i="69"/>
  <c r="BY20" i="69"/>
  <c r="BZ20" i="69"/>
  <c r="BO20" i="69"/>
  <c r="CA20" i="69"/>
  <c r="BP23" i="69"/>
  <c r="CB23" i="69"/>
  <c r="BQ23" i="69"/>
  <c r="CC23" i="69"/>
  <c r="BR23" i="69"/>
  <c r="CD23" i="69"/>
  <c r="BS23" i="69"/>
  <c r="CE23" i="69"/>
  <c r="BT23" i="69"/>
  <c r="CF23" i="69"/>
  <c r="BU23" i="69"/>
  <c r="CG23" i="69"/>
  <c r="BV23" i="69"/>
  <c r="CH23" i="69"/>
  <c r="BW23" i="69"/>
  <c r="BX23" i="69"/>
  <c r="BY23" i="69"/>
  <c r="BZ23" i="69"/>
  <c r="BO23" i="69"/>
  <c r="CA23" i="69"/>
  <c r="BT24" i="69"/>
  <c r="CF24" i="69"/>
  <c r="BU24" i="69"/>
  <c r="CG24" i="69"/>
  <c r="BV24" i="69"/>
  <c r="CH24" i="69"/>
  <c r="BW24" i="69"/>
  <c r="BX24" i="69"/>
  <c r="BY24" i="69"/>
  <c r="BZ24" i="69"/>
  <c r="BO24" i="69"/>
  <c r="CA24" i="69"/>
  <c r="BP24" i="69"/>
  <c r="CB24" i="69"/>
  <c r="BQ24" i="69"/>
  <c r="CC24" i="69"/>
  <c r="BR24" i="69"/>
  <c r="CD24" i="69"/>
  <c r="BS24" i="69"/>
  <c r="CE24" i="69"/>
  <c r="BT30" i="69"/>
  <c r="CF30" i="69"/>
  <c r="BU30" i="69"/>
  <c r="CG30" i="69"/>
  <c r="BV30" i="69"/>
  <c r="CH30" i="69"/>
  <c r="BW30" i="69"/>
  <c r="BX30" i="69"/>
  <c r="BY30" i="69"/>
  <c r="BZ30" i="69"/>
  <c r="BO30" i="69"/>
  <c r="CA30" i="69"/>
  <c r="BP30" i="69"/>
  <c r="CB30" i="69"/>
  <c r="BQ30" i="69"/>
  <c r="CC30" i="69"/>
  <c r="BR30" i="69"/>
  <c r="CD30" i="69"/>
  <c r="BS30" i="69"/>
  <c r="CE30" i="69"/>
  <c r="BX22" i="69"/>
  <c r="BY22" i="69"/>
  <c r="BZ22" i="69"/>
  <c r="BO22" i="69"/>
  <c r="CA22" i="69"/>
  <c r="BP22" i="69"/>
  <c r="CB22" i="69"/>
  <c r="BQ22" i="69"/>
  <c r="CC22" i="69"/>
  <c r="BR22" i="69"/>
  <c r="CD22" i="69"/>
  <c r="BS22" i="69"/>
  <c r="CE22" i="69"/>
  <c r="BT22" i="69"/>
  <c r="CF22" i="69"/>
  <c r="BU22" i="69"/>
  <c r="CG22" i="69"/>
  <c r="BV22" i="69"/>
  <c r="CH22" i="69"/>
  <c r="BW22" i="69"/>
  <c r="BY200" i="69"/>
  <c r="BZ200" i="69"/>
  <c r="BO200" i="69"/>
  <c r="CA200" i="69"/>
  <c r="BP200" i="69"/>
  <c r="CB200" i="69"/>
  <c r="BQ200" i="69"/>
  <c r="CC200" i="69"/>
  <c r="BR200" i="69"/>
  <c r="CD200" i="69"/>
  <c r="BS200" i="69"/>
  <c r="CE200" i="69"/>
  <c r="BT200" i="69"/>
  <c r="CF200" i="69"/>
  <c r="BU200" i="69"/>
  <c r="CG200" i="69"/>
  <c r="BV200" i="69"/>
  <c r="CH200" i="69"/>
  <c r="BW200" i="69"/>
  <c r="BX200" i="69"/>
  <c r="BX25" i="69"/>
  <c r="BY25" i="69"/>
  <c r="BZ25" i="69"/>
  <c r="BO25" i="69"/>
  <c r="CA25" i="69"/>
  <c r="BP25" i="69"/>
  <c r="CB25" i="69"/>
  <c r="BQ25" i="69"/>
  <c r="CC25" i="69"/>
  <c r="BR25" i="69"/>
  <c r="CD25" i="69"/>
  <c r="BS25" i="69"/>
  <c r="CE25" i="69"/>
  <c r="BT25" i="69"/>
  <c r="CF25" i="69"/>
  <c r="BU25" i="69"/>
  <c r="CG25" i="69"/>
  <c r="BV25" i="69"/>
  <c r="CH25" i="69"/>
  <c r="BW25" i="69"/>
  <c r="BP53" i="69"/>
  <c r="CB53" i="69"/>
  <c r="BQ53" i="69"/>
  <c r="CC53" i="69"/>
  <c r="BR53" i="69"/>
  <c r="CD53" i="69"/>
  <c r="BS53" i="69"/>
  <c r="CE53" i="69"/>
  <c r="BT53" i="69"/>
  <c r="CF53" i="69"/>
  <c r="BU53" i="69"/>
  <c r="CG53" i="69"/>
  <c r="BV53" i="69"/>
  <c r="CH53" i="69"/>
  <c r="BW53" i="69"/>
  <c r="BX53" i="69"/>
  <c r="BY53" i="69"/>
  <c r="BZ53" i="69"/>
  <c r="BO53" i="69"/>
  <c r="CA53" i="69"/>
  <c r="BT27" i="69"/>
  <c r="CF27" i="69"/>
  <c r="BU27" i="69"/>
  <c r="CG27" i="69"/>
  <c r="BV27" i="69"/>
  <c r="CH27" i="69"/>
  <c r="BW27" i="69"/>
  <c r="BX27" i="69"/>
  <c r="BY27" i="69"/>
  <c r="BZ27" i="69"/>
  <c r="BO27" i="69"/>
  <c r="CA27" i="69"/>
  <c r="BP27" i="69"/>
  <c r="CB27" i="69"/>
  <c r="BQ27" i="69"/>
  <c r="CC27" i="69"/>
  <c r="BR27" i="69"/>
  <c r="CD27" i="69"/>
  <c r="BS27" i="69"/>
  <c r="CE27" i="69"/>
  <c r="BU202" i="69"/>
  <c r="CG202" i="69"/>
  <c r="BV202" i="69"/>
  <c r="CH202" i="69"/>
  <c r="BW202" i="69"/>
  <c r="BX202" i="69"/>
  <c r="BY202" i="69"/>
  <c r="BZ202" i="69"/>
  <c r="BO202" i="69"/>
  <c r="CA202" i="69"/>
  <c r="BP202" i="69"/>
  <c r="CB202" i="69"/>
  <c r="BQ202" i="69"/>
  <c r="CC202" i="69"/>
  <c r="BR202" i="69"/>
  <c r="CD202" i="69"/>
  <c r="BS202" i="69"/>
  <c r="CE202" i="69"/>
  <c r="BT202" i="69"/>
  <c r="CF202" i="69"/>
  <c r="BX34" i="69"/>
  <c r="BY34" i="69"/>
  <c r="BZ34" i="69"/>
  <c r="BO34" i="69"/>
  <c r="CA34" i="69"/>
  <c r="BP34" i="69"/>
  <c r="CB34" i="69"/>
  <c r="BQ34" i="69"/>
  <c r="CC34" i="69"/>
  <c r="BR34" i="69"/>
  <c r="CD34" i="69"/>
  <c r="BS34" i="69"/>
  <c r="CE34" i="69"/>
  <c r="BT34" i="69"/>
  <c r="CF34" i="69"/>
  <c r="BU34" i="69"/>
  <c r="CG34" i="69"/>
  <c r="BV34" i="69"/>
  <c r="CH34" i="69"/>
  <c r="BW34" i="69"/>
  <c r="BP35" i="69"/>
  <c r="CB35" i="69"/>
  <c r="BQ35" i="69"/>
  <c r="CC35" i="69"/>
  <c r="BR35" i="69"/>
  <c r="CD35" i="69"/>
  <c r="BS35" i="69"/>
  <c r="CE35" i="69"/>
  <c r="BT35" i="69"/>
  <c r="CF35" i="69"/>
  <c r="BU35" i="69"/>
  <c r="CG35" i="69"/>
  <c r="BV35" i="69"/>
  <c r="CH35" i="69"/>
  <c r="BW35" i="69"/>
  <c r="BX35" i="69"/>
  <c r="BY35" i="69"/>
  <c r="BZ35" i="69"/>
  <c r="BO35" i="69"/>
  <c r="CA35" i="69"/>
  <c r="BY203" i="69"/>
  <c r="BZ203" i="69"/>
  <c r="BO203" i="69"/>
  <c r="CA203" i="69"/>
  <c r="BP203" i="69"/>
  <c r="CB203" i="69"/>
  <c r="BQ203" i="69"/>
  <c r="CC203" i="69"/>
  <c r="BR203" i="69"/>
  <c r="CD203" i="69"/>
  <c r="BS203" i="69"/>
  <c r="CE203" i="69"/>
  <c r="BT203" i="69"/>
  <c r="CF203" i="69"/>
  <c r="BU203" i="69"/>
  <c r="CG203" i="69"/>
  <c r="BV203" i="69"/>
  <c r="CH203" i="69"/>
  <c r="BW203" i="69"/>
  <c r="BX203" i="69"/>
  <c r="BR142" i="69"/>
  <c r="CD142" i="69"/>
  <c r="BS142" i="69"/>
  <c r="CE142" i="69"/>
  <c r="BT142" i="69"/>
  <c r="CF142" i="69"/>
  <c r="BU142" i="69"/>
  <c r="CG142" i="69"/>
  <c r="BV142" i="69"/>
  <c r="CH142" i="69"/>
  <c r="BW142" i="69"/>
  <c r="BX142" i="69"/>
  <c r="BY142" i="69"/>
  <c r="BZ142" i="69"/>
  <c r="BO142" i="69"/>
  <c r="CA142" i="69"/>
  <c r="BP142" i="69"/>
  <c r="CB142" i="69"/>
  <c r="BQ142" i="69"/>
  <c r="CC142" i="69"/>
  <c r="BR130" i="69"/>
  <c r="CD130" i="69"/>
  <c r="BS130" i="69"/>
  <c r="CE130" i="69"/>
  <c r="BT130" i="69"/>
  <c r="CF130" i="69"/>
  <c r="BU130" i="69"/>
  <c r="CG130" i="69"/>
  <c r="BV130" i="69"/>
  <c r="CH130" i="69"/>
  <c r="BW130" i="69"/>
  <c r="BX130" i="69"/>
  <c r="BY130" i="69"/>
  <c r="BZ130" i="69"/>
  <c r="BO130" i="69"/>
  <c r="CA130" i="69"/>
  <c r="BP130" i="69"/>
  <c r="CB130" i="69"/>
  <c r="BQ130" i="69"/>
  <c r="CC130" i="69"/>
  <c r="BR77" i="69"/>
  <c r="CD77" i="69"/>
  <c r="BS77" i="69"/>
  <c r="CE77" i="69"/>
  <c r="BT77" i="69"/>
  <c r="CF77" i="69"/>
  <c r="BU77" i="69"/>
  <c r="CG77" i="69"/>
  <c r="BV77" i="69"/>
  <c r="CH77" i="69"/>
  <c r="BW77" i="69"/>
  <c r="BX77" i="69"/>
  <c r="BY77" i="69"/>
  <c r="BZ77" i="69"/>
  <c r="BO77" i="69"/>
  <c r="CA77" i="69"/>
  <c r="BP77" i="69"/>
  <c r="CB77" i="69"/>
  <c r="BQ77" i="69"/>
  <c r="CC77" i="69"/>
  <c r="BP29" i="69"/>
  <c r="CB29" i="69"/>
  <c r="BQ29" i="69"/>
  <c r="CC29" i="69"/>
  <c r="BR29" i="69"/>
  <c r="CD29" i="69"/>
  <c r="BS29" i="69"/>
  <c r="CE29" i="69"/>
  <c r="BT29" i="69"/>
  <c r="CF29" i="69"/>
  <c r="BU29" i="69"/>
  <c r="CG29" i="69"/>
  <c r="BV29" i="69"/>
  <c r="CH29" i="69"/>
  <c r="BW29" i="69"/>
  <c r="BX29" i="69"/>
  <c r="BY29" i="69"/>
  <c r="BZ29" i="69"/>
  <c r="BO29" i="69"/>
  <c r="CA29" i="69"/>
  <c r="BP26" i="69"/>
  <c r="CB26" i="69"/>
  <c r="BQ26" i="69"/>
  <c r="CC26" i="69"/>
  <c r="BR26" i="69"/>
  <c r="CD26" i="69"/>
  <c r="BS26" i="69"/>
  <c r="CE26" i="69"/>
  <c r="BT26" i="69"/>
  <c r="CF26" i="69"/>
  <c r="BU26" i="69"/>
  <c r="CG26" i="69"/>
  <c r="BV26" i="69"/>
  <c r="CH26" i="69"/>
  <c r="BW26" i="69"/>
  <c r="BX26" i="69"/>
  <c r="BY26" i="69"/>
  <c r="BZ26" i="69"/>
  <c r="BO26" i="69"/>
  <c r="CA26" i="69"/>
  <c r="BQ204" i="69"/>
  <c r="CC204" i="69"/>
  <c r="BR204" i="69"/>
  <c r="CD204" i="69"/>
  <c r="BS204" i="69"/>
  <c r="CE204" i="69"/>
  <c r="BT204" i="69"/>
  <c r="CF204" i="69"/>
  <c r="BU204" i="69"/>
  <c r="CG204" i="69"/>
  <c r="BV204" i="69"/>
  <c r="CH204" i="69"/>
  <c r="BW204" i="69"/>
  <c r="BX204" i="69"/>
  <c r="BY204" i="69"/>
  <c r="BZ204" i="69"/>
  <c r="BO204" i="69"/>
  <c r="CA204" i="69"/>
  <c r="BP204" i="69"/>
  <c r="CB204" i="69"/>
  <c r="BT21" i="69"/>
  <c r="CF21" i="69"/>
  <c r="BU21" i="69"/>
  <c r="CG21" i="69"/>
  <c r="BV21" i="69"/>
  <c r="CH21" i="69"/>
  <c r="BW21" i="69"/>
  <c r="BX21" i="69"/>
  <c r="BY21" i="69"/>
  <c r="BZ21" i="69"/>
  <c r="BO21" i="69"/>
  <c r="CA21" i="69"/>
  <c r="BP21" i="69"/>
  <c r="CB21" i="69"/>
  <c r="BQ21" i="69"/>
  <c r="CC21" i="69"/>
  <c r="BR21" i="69"/>
  <c r="CD21" i="69"/>
  <c r="BS21" i="69"/>
  <c r="CE21" i="69"/>
  <c r="BT33" i="69"/>
  <c r="CF33" i="69"/>
  <c r="BU33" i="69"/>
  <c r="CG33" i="69"/>
  <c r="BV33" i="69"/>
  <c r="CH33" i="69"/>
  <c r="BW33" i="69"/>
  <c r="BX33" i="69"/>
  <c r="BY33" i="69"/>
  <c r="BZ33" i="69"/>
  <c r="BO33" i="69"/>
  <c r="CA33" i="69"/>
  <c r="BP33" i="69"/>
  <c r="CB33" i="69"/>
  <c r="BQ33" i="69"/>
  <c r="CC33" i="69"/>
  <c r="BR33" i="69"/>
  <c r="CD33" i="69"/>
  <c r="BS33" i="69"/>
  <c r="CE33" i="69"/>
  <c r="BX31" i="69"/>
  <c r="BY31" i="69"/>
  <c r="BZ31" i="69"/>
  <c r="BO31" i="69"/>
  <c r="CA31" i="69"/>
  <c r="BP31" i="69"/>
  <c r="CB31" i="69"/>
  <c r="BQ31" i="69"/>
  <c r="CC31" i="69"/>
  <c r="BR31" i="69"/>
  <c r="CD31" i="69"/>
  <c r="BS31" i="69"/>
  <c r="CE31" i="69"/>
  <c r="BT31" i="69"/>
  <c r="CF31" i="69"/>
  <c r="BU31" i="69"/>
  <c r="CG31" i="69"/>
  <c r="BV31" i="69"/>
  <c r="CH31" i="69"/>
  <c r="BW31" i="69"/>
  <c r="BB87" i="57"/>
  <c r="BJ203" i="69"/>
  <c r="BK203" i="69"/>
  <c r="BL203" i="69"/>
  <c r="BM203" i="69"/>
  <c r="BN203" i="69"/>
  <c r="BJ142" i="69"/>
  <c r="BK142" i="69"/>
  <c r="BL142" i="69"/>
  <c r="BM142" i="69"/>
  <c r="BN142" i="69"/>
  <c r="BJ130" i="69"/>
  <c r="BK130" i="69"/>
  <c r="BL130" i="69"/>
  <c r="BM130" i="69"/>
  <c r="BN130" i="69"/>
  <c r="BJ77" i="69"/>
  <c r="BK77" i="69"/>
  <c r="BL77" i="69"/>
  <c r="BM77" i="69"/>
  <c r="BN77" i="69"/>
  <c r="BJ29" i="69"/>
  <c r="BK29" i="69"/>
  <c r="BL29" i="69"/>
  <c r="BM29" i="69"/>
  <c r="BN29" i="69"/>
  <c r="BM26" i="69"/>
  <c r="BN26" i="69"/>
  <c r="BJ26" i="69"/>
  <c r="BK26" i="69"/>
  <c r="BL26" i="69"/>
  <c r="BJ204" i="69"/>
  <c r="BK204" i="69"/>
  <c r="BL204" i="69"/>
  <c r="BM204" i="69"/>
  <c r="BN204" i="69"/>
  <c r="BJ21" i="69"/>
  <c r="BK21" i="69"/>
  <c r="BL21" i="69"/>
  <c r="BM21" i="69"/>
  <c r="BN21" i="69"/>
  <c r="BJ33" i="69"/>
  <c r="BK33" i="69"/>
  <c r="BL33" i="69"/>
  <c r="BM33" i="69"/>
  <c r="BN33" i="69"/>
  <c r="BJ31" i="69"/>
  <c r="BK31" i="69"/>
  <c r="BL31" i="69"/>
  <c r="BM31" i="69"/>
  <c r="BN31" i="69"/>
  <c r="BJ201" i="69"/>
  <c r="BK201" i="69"/>
  <c r="BL201" i="69"/>
  <c r="BM201" i="69"/>
  <c r="BN201" i="69"/>
  <c r="BJ92" i="69"/>
  <c r="BK92" i="69"/>
  <c r="BL92" i="69"/>
  <c r="BM92" i="69"/>
  <c r="BN92" i="69"/>
  <c r="BJ141" i="69"/>
  <c r="BK141" i="69"/>
  <c r="BL141" i="69"/>
  <c r="BM141" i="69"/>
  <c r="BN141" i="69"/>
  <c r="BJ36" i="69"/>
  <c r="BK36" i="69"/>
  <c r="BL36" i="69"/>
  <c r="BM36" i="69"/>
  <c r="BN36" i="69"/>
  <c r="BJ32" i="69"/>
  <c r="BK32" i="69"/>
  <c r="BL32" i="69"/>
  <c r="BM32" i="69"/>
  <c r="BN32" i="69"/>
  <c r="BJ205" i="69"/>
  <c r="BK205" i="69"/>
  <c r="BL205" i="69"/>
  <c r="BM205" i="69"/>
  <c r="BN205" i="69"/>
  <c r="BL39" i="69"/>
  <c r="BM39" i="69"/>
  <c r="BN39" i="69"/>
  <c r="BJ39" i="69"/>
  <c r="BK39" i="69"/>
  <c r="BJ20" i="69"/>
  <c r="BK20" i="69"/>
  <c r="BL20" i="69"/>
  <c r="BM20" i="69"/>
  <c r="BN20" i="69"/>
  <c r="AY87" i="57"/>
  <c r="BJ23" i="69"/>
  <c r="BK23" i="69"/>
  <c r="BL23" i="69"/>
  <c r="BM23" i="69"/>
  <c r="BN23" i="69"/>
  <c r="BJ24" i="69"/>
  <c r="BK24" i="69"/>
  <c r="BL24" i="69"/>
  <c r="BM24" i="69"/>
  <c r="BN24" i="69"/>
  <c r="BJ30" i="69"/>
  <c r="BK30" i="69"/>
  <c r="BL30" i="69"/>
  <c r="BM30" i="69"/>
  <c r="BN30" i="69"/>
  <c r="BJ22" i="69"/>
  <c r="BK22" i="69"/>
  <c r="BL22" i="69"/>
  <c r="BM22" i="69"/>
  <c r="BN22" i="69"/>
  <c r="AX87" i="57"/>
  <c r="BK200" i="69"/>
  <c r="BL200" i="69"/>
  <c r="BM200" i="69"/>
  <c r="BN200" i="69"/>
  <c r="BJ200" i="69"/>
  <c r="BN25" i="69"/>
  <c r="BJ25" i="69"/>
  <c r="BK25" i="69"/>
  <c r="BL25" i="69"/>
  <c r="BM25" i="69"/>
  <c r="BJ53" i="69"/>
  <c r="BK53" i="69"/>
  <c r="BL53" i="69"/>
  <c r="BM53" i="69"/>
  <c r="BN53" i="69"/>
  <c r="BL27" i="69"/>
  <c r="BM27" i="69"/>
  <c r="BN27" i="69"/>
  <c r="BJ27" i="69"/>
  <c r="BK27" i="69"/>
  <c r="BJ202" i="69"/>
  <c r="BK202" i="69"/>
  <c r="BL202" i="69"/>
  <c r="BM202" i="69"/>
  <c r="BN202" i="69"/>
  <c r="BJ34" i="69"/>
  <c r="BK34" i="69"/>
  <c r="BL34" i="69"/>
  <c r="BM34" i="69"/>
  <c r="BN34" i="69"/>
  <c r="BJ35" i="69"/>
  <c r="BK35" i="69"/>
  <c r="BL35" i="69"/>
  <c r="BM35" i="69"/>
  <c r="BN35" i="69"/>
  <c r="AV87" i="57"/>
  <c r="E182" i="57"/>
  <c r="O182" i="57" s="1"/>
  <c r="O82" i="60" s="1"/>
  <c r="BE36" i="69"/>
  <c r="BF36" i="69"/>
  <c r="BG36" i="69"/>
  <c r="BH36" i="69"/>
  <c r="BI36" i="69"/>
  <c r="BE32" i="69"/>
  <c r="BF32" i="69"/>
  <c r="BG32" i="69"/>
  <c r="BH32" i="69"/>
  <c r="BI32" i="69"/>
  <c r="BE205" i="69"/>
  <c r="BF205" i="69"/>
  <c r="BG205" i="69"/>
  <c r="BH205" i="69"/>
  <c r="BI205" i="69"/>
  <c r="BE39" i="69"/>
  <c r="BF39" i="69"/>
  <c r="BG39" i="69"/>
  <c r="BH39" i="69"/>
  <c r="BI39" i="69"/>
  <c r="BE20" i="69"/>
  <c r="BF20" i="69"/>
  <c r="BG20" i="69"/>
  <c r="BH20" i="69"/>
  <c r="BI20" i="69"/>
  <c r="AU87" i="57"/>
  <c r="BE23" i="69"/>
  <c r="BF23" i="69"/>
  <c r="BG23" i="69"/>
  <c r="BH23" i="69"/>
  <c r="BI23" i="69"/>
  <c r="BE24" i="69"/>
  <c r="BF24" i="69"/>
  <c r="BG24" i="69"/>
  <c r="BH24" i="69"/>
  <c r="BI24" i="69"/>
  <c r="BE30" i="69"/>
  <c r="BF30" i="69"/>
  <c r="BG30" i="69"/>
  <c r="BH30" i="69"/>
  <c r="BI30" i="69"/>
  <c r="BE22" i="69"/>
  <c r="BF22" i="69"/>
  <c r="BG22" i="69"/>
  <c r="BH22" i="69"/>
  <c r="BI22" i="69"/>
  <c r="AT87" i="57"/>
  <c r="BC200" i="69"/>
  <c r="BH200" i="69"/>
  <c r="BE200" i="69"/>
  <c r="BF200" i="69"/>
  <c r="BG200" i="69"/>
  <c r="BI200" i="69"/>
  <c r="BE25" i="69"/>
  <c r="BF25" i="69"/>
  <c r="BG25" i="69"/>
  <c r="BH25" i="69"/>
  <c r="BI25" i="69"/>
  <c r="BE53" i="69"/>
  <c r="BF53" i="69"/>
  <c r="BG53" i="69"/>
  <c r="BH53" i="69"/>
  <c r="BI53" i="69"/>
  <c r="BE27" i="69"/>
  <c r="BG27" i="69"/>
  <c r="BH27" i="69"/>
  <c r="BI27" i="69"/>
  <c r="BE202" i="69"/>
  <c r="BF202" i="69"/>
  <c r="BH202" i="69"/>
  <c r="BG202" i="69"/>
  <c r="BI202" i="69"/>
  <c r="BE34" i="69"/>
  <c r="BF34" i="69"/>
  <c r="BG34" i="69"/>
  <c r="BH34" i="69"/>
  <c r="BI34" i="69"/>
  <c r="BE35" i="69"/>
  <c r="BF35" i="69"/>
  <c r="BG35" i="69"/>
  <c r="BH35" i="69"/>
  <c r="BI35" i="69"/>
  <c r="BE203" i="69"/>
  <c r="BF203" i="69"/>
  <c r="BG203" i="69"/>
  <c r="BH203" i="69"/>
  <c r="BI203" i="69"/>
  <c r="BE142" i="69"/>
  <c r="BF142" i="69"/>
  <c r="BG142" i="69"/>
  <c r="BH142" i="69"/>
  <c r="BI142" i="69"/>
  <c r="BE130" i="69"/>
  <c r="BF130" i="69"/>
  <c r="BG130" i="69"/>
  <c r="BH130" i="69"/>
  <c r="BI130" i="69"/>
  <c r="BE77" i="69"/>
  <c r="BF77" i="69"/>
  <c r="BG77" i="69"/>
  <c r="BH77" i="69"/>
  <c r="BI77" i="69"/>
  <c r="BE29" i="69"/>
  <c r="BF29" i="69"/>
  <c r="BG29" i="69"/>
  <c r="BH29" i="69"/>
  <c r="BI29" i="69"/>
  <c r="BE26" i="69"/>
  <c r="BF26" i="69"/>
  <c r="BG26" i="69"/>
  <c r="BH26" i="69"/>
  <c r="BI26" i="69"/>
  <c r="BE204" i="69"/>
  <c r="BF204" i="69"/>
  <c r="BG204" i="69"/>
  <c r="BH204" i="69"/>
  <c r="BI204" i="69"/>
  <c r="BE21" i="69"/>
  <c r="BF21" i="69"/>
  <c r="BG21" i="69"/>
  <c r="BH21" i="69"/>
  <c r="BI21" i="69"/>
  <c r="BE33" i="69"/>
  <c r="BF33" i="69"/>
  <c r="BG33" i="69"/>
  <c r="BH33" i="69"/>
  <c r="BI33" i="69"/>
  <c r="BE31" i="69"/>
  <c r="BF31" i="69"/>
  <c r="BG31" i="69"/>
  <c r="BH31" i="69"/>
  <c r="BI31" i="69"/>
  <c r="BE201" i="69"/>
  <c r="BF201" i="69"/>
  <c r="BG201" i="69"/>
  <c r="BH201" i="69"/>
  <c r="BI201" i="69"/>
  <c r="BE92" i="69"/>
  <c r="BF92" i="69"/>
  <c r="BG92" i="69"/>
  <c r="BH92" i="69"/>
  <c r="BI92" i="69"/>
  <c r="BE141" i="69"/>
  <c r="BF141" i="69"/>
  <c r="BG141" i="69"/>
  <c r="BH141" i="69"/>
  <c r="BI141" i="69"/>
  <c r="AW87" i="57"/>
  <c r="BL145" i="47"/>
  <c r="BN145" i="47" s="1"/>
  <c r="BN134" i="47"/>
  <c r="E125" i="49"/>
  <c r="D82" i="60"/>
  <c r="E154" i="49"/>
  <c r="BQ134" i="47"/>
  <c r="F47" i="49" s="1"/>
  <c r="H182" i="57" s="1"/>
  <c r="H82" i="60" s="1"/>
  <c r="AI228" i="69"/>
  <c r="AK135" i="47"/>
  <c r="AK211" i="47" s="1"/>
  <c r="AF67" i="43"/>
  <c r="AJ211" i="47"/>
  <c r="BM146" i="47"/>
  <c r="AI135" i="69"/>
  <c r="BC39" i="69"/>
  <c r="BD39" i="69"/>
  <c r="BC33" i="69"/>
  <c r="BD33" i="69"/>
  <c r="BC34" i="69"/>
  <c r="BD34" i="69"/>
  <c r="BC31" i="69"/>
  <c r="BD31" i="69"/>
  <c r="BC30" i="69"/>
  <c r="BD30" i="69"/>
  <c r="BC22" i="69"/>
  <c r="BD22" i="69"/>
  <c r="BC130" i="69"/>
  <c r="BD130" i="69"/>
  <c r="BC25" i="69"/>
  <c r="BD25" i="69"/>
  <c r="BC141" i="69"/>
  <c r="BD141" i="69"/>
  <c r="BC142" i="69"/>
  <c r="BD142" i="69"/>
  <c r="BD77" i="69"/>
  <c r="BC77" i="69"/>
  <c r="BC36" i="69"/>
  <c r="BD36" i="69"/>
  <c r="BC32" i="69"/>
  <c r="BD32" i="69"/>
  <c r="BC26" i="69"/>
  <c r="BD26" i="69"/>
  <c r="BC21" i="69"/>
  <c r="BD21" i="69"/>
  <c r="BC20" i="69"/>
  <c r="BD20" i="69"/>
  <c r="BC23" i="69"/>
  <c r="BD23" i="69"/>
  <c r="BC24" i="69"/>
  <c r="BD24" i="69"/>
  <c r="BC35" i="69"/>
  <c r="BD35" i="69"/>
  <c r="BC92" i="69"/>
  <c r="BD92" i="69"/>
  <c r="BC29" i="69"/>
  <c r="BD29" i="69"/>
  <c r="BC53" i="69"/>
  <c r="BD53" i="69"/>
  <c r="AK23" i="69"/>
  <c r="AL23" i="69"/>
  <c r="AM23" i="69"/>
  <c r="AK24" i="69"/>
  <c r="AL24" i="69"/>
  <c r="AM24" i="69"/>
  <c r="AP92" i="69"/>
  <c r="BB92" i="69"/>
  <c r="AS92" i="69"/>
  <c r="AX92" i="69"/>
  <c r="AT92" i="69"/>
  <c r="AZ92" i="69"/>
  <c r="AW92" i="69"/>
  <c r="AU92" i="69"/>
  <c r="AN92" i="69"/>
  <c r="AR92" i="69"/>
  <c r="AY92" i="69"/>
  <c r="AQ92" i="69"/>
  <c r="AO92" i="69"/>
  <c r="AV92" i="69"/>
  <c r="BA92" i="69"/>
  <c r="AS29" i="69"/>
  <c r="AT29" i="69"/>
  <c r="BB29" i="69"/>
  <c r="AN29" i="69"/>
  <c r="AO29" i="69"/>
  <c r="AW29" i="69"/>
  <c r="AP29" i="69"/>
  <c r="AX29" i="69"/>
  <c r="AQ29" i="69"/>
  <c r="AY29" i="69"/>
  <c r="AU29" i="69"/>
  <c r="AV29" i="69"/>
  <c r="AZ29" i="69"/>
  <c r="BA29" i="69"/>
  <c r="AR29" i="69"/>
  <c r="AO53" i="69"/>
  <c r="AW53" i="69"/>
  <c r="AP53" i="69"/>
  <c r="AX53" i="69"/>
  <c r="AQ53" i="69"/>
  <c r="AY53" i="69"/>
  <c r="AS53" i="69"/>
  <c r="BA53" i="69"/>
  <c r="AT53" i="69"/>
  <c r="BB53" i="69"/>
  <c r="AN53" i="69"/>
  <c r="AR53" i="69"/>
  <c r="AV53" i="69"/>
  <c r="AZ53" i="69"/>
  <c r="AU53" i="69"/>
  <c r="AM39" i="69"/>
  <c r="AL39" i="69"/>
  <c r="AK39" i="69"/>
  <c r="AK29" i="69"/>
  <c r="AL29" i="69"/>
  <c r="AM29" i="69"/>
  <c r="AI136" i="69"/>
  <c r="AH136" i="69"/>
  <c r="AH91" i="69"/>
  <c r="AI91" i="69"/>
  <c r="AM34" i="69"/>
  <c r="AK34" i="69"/>
  <c r="AL34" i="69"/>
  <c r="AK53" i="69"/>
  <c r="AL53" i="69"/>
  <c r="AM53" i="69"/>
  <c r="AM30" i="69"/>
  <c r="AK30" i="69"/>
  <c r="AL30" i="69"/>
  <c r="AU39" i="69"/>
  <c r="AN39" i="69"/>
  <c r="AV39" i="69"/>
  <c r="AO39" i="69"/>
  <c r="AW39" i="69"/>
  <c r="AP39" i="69"/>
  <c r="AX39" i="69"/>
  <c r="AQ39" i="69"/>
  <c r="AY39" i="69"/>
  <c r="AR39" i="69"/>
  <c r="AZ39" i="69"/>
  <c r="AS39" i="69"/>
  <c r="AT39" i="69"/>
  <c r="BB39" i="69"/>
  <c r="BA39" i="69"/>
  <c r="AR33" i="69"/>
  <c r="AZ33" i="69"/>
  <c r="AU33" i="69"/>
  <c r="AY33" i="69"/>
  <c r="AV33" i="69"/>
  <c r="AS33" i="69"/>
  <c r="AW33" i="69"/>
  <c r="BA33" i="69"/>
  <c r="AP33" i="69"/>
  <c r="AT33" i="69"/>
  <c r="AX33" i="69"/>
  <c r="BB33" i="69"/>
  <c r="AN33" i="69"/>
  <c r="AQ33" i="69"/>
  <c r="AO33" i="69"/>
  <c r="AT34" i="69"/>
  <c r="BA34" i="69"/>
  <c r="AS34" i="69"/>
  <c r="AR34" i="69"/>
  <c r="AY34" i="69"/>
  <c r="AV34" i="69"/>
  <c r="AN34" i="69"/>
  <c r="AU34" i="69"/>
  <c r="AW34" i="69"/>
  <c r="AZ34" i="69"/>
  <c r="AO34" i="69"/>
  <c r="AX34" i="69"/>
  <c r="AP34" i="69"/>
  <c r="AQ34" i="69"/>
  <c r="BB34" i="69"/>
  <c r="AK130" i="69"/>
  <c r="AM130" i="69"/>
  <c r="AL130" i="69"/>
  <c r="AS31" i="69"/>
  <c r="BA31" i="69"/>
  <c r="AT31" i="69"/>
  <c r="BB31" i="69"/>
  <c r="AU31" i="69"/>
  <c r="AN31" i="69"/>
  <c r="AY31" i="69"/>
  <c r="AO31" i="69"/>
  <c r="AZ31" i="69"/>
  <c r="AP31" i="69"/>
  <c r="AQ31" i="69"/>
  <c r="AR31" i="69"/>
  <c r="AV31" i="69"/>
  <c r="AW31" i="69"/>
  <c r="AX31" i="69"/>
  <c r="AL77" i="69"/>
  <c r="AM77" i="69"/>
  <c r="AK77" i="69"/>
  <c r="AU30" i="69"/>
  <c r="AN30" i="69"/>
  <c r="AV30" i="69"/>
  <c r="AO30" i="69"/>
  <c r="AW30" i="69"/>
  <c r="AR30" i="69"/>
  <c r="AS30" i="69"/>
  <c r="AT30" i="69"/>
  <c r="AX30" i="69"/>
  <c r="AY30" i="69"/>
  <c r="AZ30" i="69"/>
  <c r="BB30" i="69"/>
  <c r="AP30" i="69"/>
  <c r="AQ30" i="69"/>
  <c r="BA30" i="69"/>
  <c r="AU22" i="69"/>
  <c r="AN22" i="69"/>
  <c r="AV22" i="69"/>
  <c r="AO22" i="69"/>
  <c r="AW22" i="69"/>
  <c r="AP22" i="69"/>
  <c r="AX22" i="69"/>
  <c r="AQ22" i="69"/>
  <c r="AY22" i="69"/>
  <c r="AR22" i="69"/>
  <c r="AZ22" i="69"/>
  <c r="AS22" i="69"/>
  <c r="BA22" i="69"/>
  <c r="BB22" i="69"/>
  <c r="AT22" i="69"/>
  <c r="AK33" i="69"/>
  <c r="AL33" i="69"/>
  <c r="AM33" i="69"/>
  <c r="AH28" i="69"/>
  <c r="AI28" i="69"/>
  <c r="AP142" i="69"/>
  <c r="AX142" i="69"/>
  <c r="AQ142" i="69"/>
  <c r="AY142" i="69"/>
  <c r="AR142" i="69"/>
  <c r="AZ142" i="69"/>
  <c r="AT142" i="69"/>
  <c r="BB142" i="69"/>
  <c r="AU142" i="69"/>
  <c r="AN142" i="69"/>
  <c r="AV142" i="69"/>
  <c r="AO142" i="69"/>
  <c r="AW142" i="69"/>
  <c r="BA142" i="69"/>
  <c r="AS142" i="69"/>
  <c r="AP130" i="69"/>
  <c r="AX130" i="69"/>
  <c r="AQ130" i="69"/>
  <c r="AY130" i="69"/>
  <c r="AR130" i="69"/>
  <c r="AZ130" i="69"/>
  <c r="AT130" i="69"/>
  <c r="BB130" i="69"/>
  <c r="AU130" i="69"/>
  <c r="AV130" i="69"/>
  <c r="AW130" i="69"/>
  <c r="AO130" i="69"/>
  <c r="BA130" i="69"/>
  <c r="AS130" i="69"/>
  <c r="AN130" i="69"/>
  <c r="AK31" i="69"/>
  <c r="AL31" i="69"/>
  <c r="AM31" i="69"/>
  <c r="AP77" i="69"/>
  <c r="AQ77" i="69"/>
  <c r="AS77" i="69"/>
  <c r="AW77" i="69"/>
  <c r="AU77" i="69"/>
  <c r="BB77" i="69"/>
  <c r="AN77" i="69"/>
  <c r="AT77" i="69"/>
  <c r="AY77" i="69"/>
  <c r="AO77" i="69"/>
  <c r="AV77" i="69"/>
  <c r="BA77" i="69"/>
  <c r="AX77" i="69"/>
  <c r="AZ77" i="69"/>
  <c r="AR77" i="69"/>
  <c r="AU25" i="69"/>
  <c r="AR25" i="69"/>
  <c r="AV25" i="69"/>
  <c r="AZ25" i="69"/>
  <c r="AS25" i="69"/>
  <c r="AW25" i="69"/>
  <c r="BA25" i="69"/>
  <c r="AP25" i="69"/>
  <c r="AT25" i="69"/>
  <c r="AX25" i="69"/>
  <c r="BB25" i="69"/>
  <c r="AQ25" i="69"/>
  <c r="AY25" i="69"/>
  <c r="AN25" i="69"/>
  <c r="AO25" i="69"/>
  <c r="AM22" i="69"/>
  <c r="AK22" i="69"/>
  <c r="AL22" i="69"/>
  <c r="AP141" i="69"/>
  <c r="AW141" i="69"/>
  <c r="AO141" i="69"/>
  <c r="AT141" i="69"/>
  <c r="AV141" i="69"/>
  <c r="AQ141" i="69"/>
  <c r="AN141" i="69"/>
  <c r="AU141" i="69"/>
  <c r="BA141" i="69"/>
  <c r="AX141" i="69"/>
  <c r="AS141" i="69"/>
  <c r="AZ141" i="69"/>
  <c r="AR141" i="69"/>
  <c r="BB141" i="69"/>
  <c r="AY141" i="69"/>
  <c r="AL142" i="69"/>
  <c r="AM142" i="69"/>
  <c r="AK142" i="69"/>
  <c r="AR36" i="69"/>
  <c r="AZ36" i="69"/>
  <c r="AQ36" i="69"/>
  <c r="AS36" i="69"/>
  <c r="AN36" i="69"/>
  <c r="BA36" i="69"/>
  <c r="AV36" i="69"/>
  <c r="AP36" i="69"/>
  <c r="AX36" i="69"/>
  <c r="AT36" i="69"/>
  <c r="AY36" i="69"/>
  <c r="BB36" i="69"/>
  <c r="AU36" i="69"/>
  <c r="AO36" i="69"/>
  <c r="AW36" i="69"/>
  <c r="AK21" i="69"/>
  <c r="AL21" i="69"/>
  <c r="AM21" i="69"/>
  <c r="AQ32" i="69"/>
  <c r="AR32" i="69"/>
  <c r="AZ32" i="69"/>
  <c r="AS32" i="69"/>
  <c r="BA32" i="69"/>
  <c r="AU32" i="69"/>
  <c r="AV32" i="69"/>
  <c r="AW32" i="69"/>
  <c r="AX32" i="69"/>
  <c r="AN32" i="69"/>
  <c r="AY32" i="69"/>
  <c r="AO32" i="69"/>
  <c r="BB32" i="69"/>
  <c r="AT32" i="69"/>
  <c r="AP32" i="69"/>
  <c r="AQ26" i="69"/>
  <c r="AY26" i="69"/>
  <c r="AV26" i="69"/>
  <c r="AU26" i="69"/>
  <c r="AP26" i="69"/>
  <c r="BA26" i="69"/>
  <c r="AZ26" i="69"/>
  <c r="AN26" i="69"/>
  <c r="AO26" i="69"/>
  <c r="AS26" i="69"/>
  <c r="AR26" i="69"/>
  <c r="AW26" i="69"/>
  <c r="BB26" i="69"/>
  <c r="AT26" i="69"/>
  <c r="AX26" i="69"/>
  <c r="AK25" i="69"/>
  <c r="AM25" i="69"/>
  <c r="AL25" i="69"/>
  <c r="AK141" i="69"/>
  <c r="AL141" i="69"/>
  <c r="AM141" i="69"/>
  <c r="AK36" i="69"/>
  <c r="AL36" i="69"/>
  <c r="AM36" i="69"/>
  <c r="AO21" i="69"/>
  <c r="AW21" i="69"/>
  <c r="AP21" i="69"/>
  <c r="AX21" i="69"/>
  <c r="AQ21" i="69"/>
  <c r="AY21" i="69"/>
  <c r="AR21" i="69"/>
  <c r="AZ21" i="69"/>
  <c r="AS21" i="69"/>
  <c r="BA21" i="69"/>
  <c r="AT21" i="69"/>
  <c r="BB21" i="69"/>
  <c r="AU21" i="69"/>
  <c r="AN21" i="69"/>
  <c r="AV21" i="69"/>
  <c r="AK32" i="69"/>
  <c r="AL32" i="69"/>
  <c r="AM32" i="69"/>
  <c r="AK26" i="69"/>
  <c r="AL26" i="69"/>
  <c r="AM26" i="69"/>
  <c r="AL35" i="69"/>
  <c r="AM35" i="69"/>
  <c r="AK35" i="69"/>
  <c r="AR20" i="69"/>
  <c r="AZ20" i="69"/>
  <c r="AT20" i="69"/>
  <c r="AO20" i="69"/>
  <c r="AP20" i="69"/>
  <c r="BA20" i="69"/>
  <c r="AV20" i="69"/>
  <c r="AQ20" i="69"/>
  <c r="BB20" i="69"/>
  <c r="AY20" i="69"/>
  <c r="AU20" i="69"/>
  <c r="AN20" i="69"/>
  <c r="AW20" i="69"/>
  <c r="AS20" i="69"/>
  <c r="AX20" i="69"/>
  <c r="AS23" i="69"/>
  <c r="BA23" i="69"/>
  <c r="AT23" i="69"/>
  <c r="BB23" i="69"/>
  <c r="AU23" i="69"/>
  <c r="AN23" i="69"/>
  <c r="AV23" i="69"/>
  <c r="AO23" i="69"/>
  <c r="AW23" i="69"/>
  <c r="AP23" i="69"/>
  <c r="AX23" i="69"/>
  <c r="AQ23" i="69"/>
  <c r="AY23" i="69"/>
  <c r="AR23" i="69"/>
  <c r="AZ23" i="69"/>
  <c r="AQ24" i="69"/>
  <c r="AY24" i="69"/>
  <c r="AR24" i="69"/>
  <c r="AZ24" i="69"/>
  <c r="AS24" i="69"/>
  <c r="BA24" i="69"/>
  <c r="AT24" i="69"/>
  <c r="BB24" i="69"/>
  <c r="AU24" i="69"/>
  <c r="AN24" i="69"/>
  <c r="AV24" i="69"/>
  <c r="AO24" i="69"/>
  <c r="AW24" i="69"/>
  <c r="AP24" i="69"/>
  <c r="AX24" i="69"/>
  <c r="AU35" i="69"/>
  <c r="AV35" i="69"/>
  <c r="AP35" i="69"/>
  <c r="BB35" i="69"/>
  <c r="AZ35" i="69"/>
  <c r="AT35" i="69"/>
  <c r="AR35" i="69"/>
  <c r="AY35" i="69"/>
  <c r="AN35" i="69"/>
  <c r="AQ35" i="69"/>
  <c r="AW35" i="69"/>
  <c r="BA35" i="69"/>
  <c r="AX35" i="69"/>
  <c r="AS35" i="69"/>
  <c r="AO35" i="69"/>
  <c r="AM92" i="69"/>
  <c r="AL92" i="69"/>
  <c r="AK92" i="69"/>
  <c r="AM20" i="69"/>
  <c r="AL20" i="69"/>
  <c r="AK20" i="69"/>
  <c r="AY200" i="69"/>
  <c r="AU200" i="69"/>
  <c r="AQ200" i="69"/>
  <c r="BB200" i="69"/>
  <c r="AX200" i="69"/>
  <c r="AT200" i="69"/>
  <c r="AP200" i="69"/>
  <c r="BA200" i="69"/>
  <c r="AW200" i="69"/>
  <c r="AS200" i="69"/>
  <c r="BD200" i="69"/>
  <c r="AZ200" i="69"/>
  <c r="AV200" i="69"/>
  <c r="AR200" i="69"/>
  <c r="AK201" i="69"/>
  <c r="AL201" i="69"/>
  <c r="AM201" i="69"/>
  <c r="AN201" i="69"/>
  <c r="AO201" i="69"/>
  <c r="AK205" i="69"/>
  <c r="AL205" i="69"/>
  <c r="AM205" i="69"/>
  <c r="AN205" i="69"/>
  <c r="AO205" i="69"/>
  <c r="AW202" i="69"/>
  <c r="AV202" i="69"/>
  <c r="AP202" i="69"/>
  <c r="AX202" i="69"/>
  <c r="AQ202" i="69"/>
  <c r="AY202" i="69"/>
  <c r="AR202" i="69"/>
  <c r="AZ202" i="69"/>
  <c r="AS202" i="69"/>
  <c r="BA202" i="69"/>
  <c r="BD202" i="69"/>
  <c r="AT202" i="69"/>
  <c r="BB202" i="69"/>
  <c r="AU202" i="69"/>
  <c r="BC202" i="69"/>
  <c r="AQ205" i="69"/>
  <c r="AY205" i="69"/>
  <c r="AR205" i="69"/>
  <c r="AZ205" i="69"/>
  <c r="AS205" i="69"/>
  <c r="BA205" i="69"/>
  <c r="AX205" i="69"/>
  <c r="AT205" i="69"/>
  <c r="BB205" i="69"/>
  <c r="AU205" i="69"/>
  <c r="BC205" i="69"/>
  <c r="AV205" i="69"/>
  <c r="BD205" i="69"/>
  <c r="AW205" i="69"/>
  <c r="AP205" i="69"/>
  <c r="AO202" i="69"/>
  <c r="AK202" i="69"/>
  <c r="AL202" i="69"/>
  <c r="AM202" i="69"/>
  <c r="AN202" i="69"/>
  <c r="AU203" i="69"/>
  <c r="BC203" i="69"/>
  <c r="AV203" i="69"/>
  <c r="BD203" i="69"/>
  <c r="BB203" i="69"/>
  <c r="AW203" i="69"/>
  <c r="AP203" i="69"/>
  <c r="AX203" i="69"/>
  <c r="AQ203" i="69"/>
  <c r="AY203" i="69"/>
  <c r="AR203" i="69"/>
  <c r="AZ203" i="69"/>
  <c r="AT203" i="69"/>
  <c r="AS203" i="69"/>
  <c r="BA203" i="69"/>
  <c r="AK204" i="69"/>
  <c r="AL204" i="69"/>
  <c r="AM204" i="69"/>
  <c r="AN204" i="69"/>
  <c r="AO204" i="69"/>
  <c r="AK200" i="69"/>
  <c r="AL200" i="69"/>
  <c r="AM200" i="69"/>
  <c r="AN200" i="69"/>
  <c r="AO200" i="69"/>
  <c r="AM203" i="69"/>
  <c r="AN203" i="69"/>
  <c r="AO203" i="69"/>
  <c r="AL203" i="69"/>
  <c r="AK203" i="69"/>
  <c r="AQ201" i="69"/>
  <c r="AY201" i="69"/>
  <c r="AR201" i="69"/>
  <c r="AZ201" i="69"/>
  <c r="AS201" i="69"/>
  <c r="BA201" i="69"/>
  <c r="AP201" i="69"/>
  <c r="AT201" i="69"/>
  <c r="BB201" i="69"/>
  <c r="AU201" i="69"/>
  <c r="BC201" i="69"/>
  <c r="AV201" i="69"/>
  <c r="BD201" i="69"/>
  <c r="AX201" i="69"/>
  <c r="AW201" i="69"/>
  <c r="AS204" i="69"/>
  <c r="BA204" i="69"/>
  <c r="AR204" i="69"/>
  <c r="AT204" i="69"/>
  <c r="BB204" i="69"/>
  <c r="AU204" i="69"/>
  <c r="BC204" i="69"/>
  <c r="AV204" i="69"/>
  <c r="BD204" i="69"/>
  <c r="AZ204" i="69"/>
  <c r="AW204" i="69"/>
  <c r="AP204" i="69"/>
  <c r="AX204" i="69"/>
  <c r="AQ204" i="69"/>
  <c r="AY204" i="69"/>
  <c r="AO87" i="57"/>
  <c r="AA87" i="57"/>
  <c r="Z87" i="57"/>
  <c r="AM87" i="57"/>
  <c r="AD87" i="57"/>
  <c r="AG87" i="57"/>
  <c r="AN87" i="57"/>
  <c r="AI87" i="57"/>
  <c r="AL87" i="57"/>
  <c r="AR87" i="57"/>
  <c r="AE87" i="57"/>
  <c r="AC87" i="57"/>
  <c r="AQ87" i="57"/>
  <c r="AP87" i="57"/>
  <c r="AG101" i="43"/>
  <c r="E140" i="69"/>
  <c r="AB140" i="69" s="1"/>
  <c r="N15" i="60"/>
  <c r="O15" i="60" s="1"/>
  <c r="L80" i="60"/>
  <c r="L87" i="60" s="1"/>
  <c r="L90" i="60" s="1"/>
  <c r="K126" i="57"/>
  <c r="J126" i="57"/>
  <c r="C69" i="60"/>
  <c r="B69" i="60"/>
  <c r="B54" i="60"/>
  <c r="B39" i="60"/>
  <c r="E20" i="59"/>
  <c r="D9" i="60" s="1"/>
  <c r="B61" i="60" s="1"/>
  <c r="C46" i="60"/>
  <c r="O52" i="35"/>
  <c r="Y73" i="29" s="1"/>
  <c r="K117" i="57"/>
  <c r="Z38" i="30"/>
  <c r="AA38" i="30" s="1"/>
  <c r="N82" i="49"/>
  <c r="T82" i="49" s="1"/>
  <c r="Z39" i="30"/>
  <c r="AA39" i="30" s="1"/>
  <c r="J7" i="60"/>
  <c r="N139" i="49"/>
  <c r="T139" i="49" s="1"/>
  <c r="M142" i="49"/>
  <c r="S142" i="49" s="1"/>
  <c r="L35" i="30"/>
  <c r="T35" i="30" s="1"/>
  <c r="P125" i="57"/>
  <c r="F114" i="60"/>
  <c r="E114" i="60"/>
  <c r="E107" i="60"/>
  <c r="F107" i="60"/>
  <c r="F183" i="57"/>
  <c r="P183" i="57" s="1"/>
  <c r="Y7" i="35"/>
  <c r="Y10" i="35" s="1"/>
  <c r="R20" i="49" s="1"/>
  <c r="V20" i="49" s="1"/>
  <c r="Q20" i="49"/>
  <c r="U20" i="49" s="1"/>
  <c r="M82" i="49"/>
  <c r="S82" i="49" s="1"/>
  <c r="I7" i="60"/>
  <c r="J117" i="57"/>
  <c r="H20" i="59"/>
  <c r="D119" i="57"/>
  <c r="W47" i="29"/>
  <c r="E19" i="59"/>
  <c r="K35" i="30"/>
  <c r="S35" i="30" s="1"/>
  <c r="J37" i="30"/>
  <c r="BT234" i="47"/>
  <c r="BN232" i="47"/>
  <c r="AG46" i="43"/>
  <c r="AG14" i="43"/>
  <c r="E129" i="69" s="1"/>
  <c r="AB129" i="69" s="1"/>
  <c r="AK37" i="47"/>
  <c r="BR134" i="47" l="1"/>
  <c r="BS134" i="47" s="1"/>
  <c r="AU27" i="69"/>
  <c r="AY27" i="69"/>
  <c r="E82" i="60"/>
  <c r="G82" i="60" s="1"/>
  <c r="F125" i="57"/>
  <c r="AR27" i="69"/>
  <c r="G182" i="57"/>
  <c r="BQ144" i="47"/>
  <c r="D47" i="49" s="1"/>
  <c r="T47" i="49" s="1"/>
  <c r="K97" i="49"/>
  <c r="Q97" i="49" s="1"/>
  <c r="BA27" i="69"/>
  <c r="AZ27" i="69"/>
  <c r="AW27" i="69"/>
  <c r="AN27" i="69"/>
  <c r="BD27" i="69"/>
  <c r="BC27" i="69"/>
  <c r="AV27" i="69"/>
  <c r="AX27" i="69"/>
  <c r="BB27" i="69"/>
  <c r="AK27" i="69"/>
  <c r="K154" i="49"/>
  <c r="Q154" i="49" s="1"/>
  <c r="K125" i="49"/>
  <c r="Q125" i="49" s="1"/>
  <c r="AP27" i="69"/>
  <c r="AT27" i="69"/>
  <c r="AO27" i="69"/>
  <c r="AS27" i="69"/>
  <c r="AM27" i="69"/>
  <c r="AL27" i="69"/>
  <c r="F12" i="69"/>
  <c r="U35" i="30"/>
  <c r="L43" i="30"/>
  <c r="J47" i="30" s="1"/>
  <c r="F11" i="69"/>
  <c r="L37" i="30"/>
  <c r="T37" i="30" s="1"/>
  <c r="BJ90" i="57"/>
  <c r="BD90" i="57"/>
  <c r="BL90" i="57"/>
  <c r="BP90" i="57"/>
  <c r="BQ90" i="57"/>
  <c r="BK90" i="57"/>
  <c r="BE90" i="57"/>
  <c r="BV90" i="57"/>
  <c r="AX90" i="57"/>
  <c r="BF90" i="57"/>
  <c r="BU90" i="57"/>
  <c r="BO90" i="57"/>
  <c r="AY90" i="57"/>
  <c r="BI90" i="57"/>
  <c r="BC90" i="57"/>
  <c r="BT90" i="57"/>
  <c r="BN90" i="57"/>
  <c r="BG90" i="57"/>
  <c r="BH90" i="57"/>
  <c r="BM90" i="57"/>
  <c r="BR90" i="57"/>
  <c r="BS90" i="57"/>
  <c r="BZ135" i="69"/>
  <c r="BO135" i="69"/>
  <c r="CA135" i="69"/>
  <c r="BP135" i="69"/>
  <c r="CB135" i="69"/>
  <c r="BQ135" i="69"/>
  <c r="CC135" i="69"/>
  <c r="BR135" i="69"/>
  <c r="CD135" i="69"/>
  <c r="BS135" i="69"/>
  <c r="CE135" i="69"/>
  <c r="BT135" i="69"/>
  <c r="CF135" i="69"/>
  <c r="BU135" i="69"/>
  <c r="CG135" i="69"/>
  <c r="BV135" i="69"/>
  <c r="CH135" i="69"/>
  <c r="BW135" i="69"/>
  <c r="BX135" i="69"/>
  <c r="BY135" i="69"/>
  <c r="BR136" i="69"/>
  <c r="CD136" i="69"/>
  <c r="BS136" i="69"/>
  <c r="CE136" i="69"/>
  <c r="BT136" i="69"/>
  <c r="CF136" i="69"/>
  <c r="BU136" i="69"/>
  <c r="CG136" i="69"/>
  <c r="BV136" i="69"/>
  <c r="CH136" i="69"/>
  <c r="BW136" i="69"/>
  <c r="BX136" i="69"/>
  <c r="BY136" i="69"/>
  <c r="BZ136" i="69"/>
  <c r="BO136" i="69"/>
  <c r="CA136" i="69"/>
  <c r="BP136" i="69"/>
  <c r="CB136" i="69"/>
  <c r="BQ136" i="69"/>
  <c r="CC136" i="69"/>
  <c r="BA90" i="57"/>
  <c r="BX28" i="69"/>
  <c r="BL81" i="57" s="1"/>
  <c r="BY28" i="69"/>
  <c r="BM81" i="57" s="1"/>
  <c r="BZ28" i="69"/>
  <c r="BN81" i="57" s="1"/>
  <c r="BO28" i="69"/>
  <c r="BC81" i="57" s="1"/>
  <c r="CA28" i="69"/>
  <c r="BO81" i="57" s="1"/>
  <c r="BP28" i="69"/>
  <c r="BD81" i="57" s="1"/>
  <c r="CB28" i="69"/>
  <c r="BP81" i="57" s="1"/>
  <c r="BQ28" i="69"/>
  <c r="BE81" i="57" s="1"/>
  <c r="CC28" i="69"/>
  <c r="BQ81" i="57" s="1"/>
  <c r="BR28" i="69"/>
  <c r="BF81" i="57" s="1"/>
  <c r="CD28" i="69"/>
  <c r="BR81" i="57" s="1"/>
  <c r="BS28" i="69"/>
  <c r="BG81" i="57" s="1"/>
  <c r="CE28" i="69"/>
  <c r="BS81" i="57" s="1"/>
  <c r="BT28" i="69"/>
  <c r="BH81" i="57" s="1"/>
  <c r="CF28" i="69"/>
  <c r="BT81" i="57" s="1"/>
  <c r="BU28" i="69"/>
  <c r="BI81" i="57" s="1"/>
  <c r="CG28" i="69"/>
  <c r="BU81" i="57" s="1"/>
  <c r="BV28" i="69"/>
  <c r="BJ81" i="57" s="1"/>
  <c r="CH28" i="69"/>
  <c r="BV81" i="57" s="1"/>
  <c r="BW28" i="69"/>
  <c r="BK81" i="57" s="1"/>
  <c r="BQ228" i="69"/>
  <c r="BE91" i="57" s="1"/>
  <c r="CC228" i="69"/>
  <c r="BQ91" i="57" s="1"/>
  <c r="BR228" i="69"/>
  <c r="BF91" i="57" s="1"/>
  <c r="CD228" i="69"/>
  <c r="BR91" i="57" s="1"/>
  <c r="BS228" i="69"/>
  <c r="BG91" i="57" s="1"/>
  <c r="CE228" i="69"/>
  <c r="BS91" i="57" s="1"/>
  <c r="BT228" i="69"/>
  <c r="BH91" i="57" s="1"/>
  <c r="CF228" i="69"/>
  <c r="BT91" i="57" s="1"/>
  <c r="BU228" i="69"/>
  <c r="BI91" i="57" s="1"/>
  <c r="CG228" i="69"/>
  <c r="BU91" i="57" s="1"/>
  <c r="BV228" i="69"/>
  <c r="BJ91" i="57" s="1"/>
  <c r="BW228" i="69"/>
  <c r="BK91" i="57" s="1"/>
  <c r="BX228" i="69"/>
  <c r="BL91" i="57" s="1"/>
  <c r="BO228" i="69"/>
  <c r="BC91" i="57" s="1"/>
  <c r="CA228" i="69"/>
  <c r="BO91" i="57" s="1"/>
  <c r="BY228" i="69"/>
  <c r="BM91" i="57" s="1"/>
  <c r="BZ228" i="69"/>
  <c r="BN91" i="57" s="1"/>
  <c r="CB228" i="69"/>
  <c r="BP91" i="57" s="1"/>
  <c r="CH228" i="69"/>
  <c r="BV91" i="57" s="1"/>
  <c r="BP228" i="69"/>
  <c r="BD91" i="57" s="1"/>
  <c r="AZ90" i="57"/>
  <c r="BZ91" i="69"/>
  <c r="BO91" i="69"/>
  <c r="CA91" i="69"/>
  <c r="BP91" i="69"/>
  <c r="CB91" i="69"/>
  <c r="BQ91" i="69"/>
  <c r="CC91" i="69"/>
  <c r="BR91" i="69"/>
  <c r="CD91" i="69"/>
  <c r="BS91" i="69"/>
  <c r="CE91" i="69"/>
  <c r="BT91" i="69"/>
  <c r="CF91" i="69"/>
  <c r="BU91" i="69"/>
  <c r="CG91" i="69"/>
  <c r="BV91" i="69"/>
  <c r="CH91" i="69"/>
  <c r="BW91" i="69"/>
  <c r="BX91" i="69"/>
  <c r="BY91" i="69"/>
  <c r="BB90" i="57"/>
  <c r="BK28" i="69"/>
  <c r="AY81" i="57" s="1"/>
  <c r="BL28" i="69"/>
  <c r="AZ81" i="57" s="1"/>
  <c r="BM28" i="69"/>
  <c r="BA81" i="57" s="1"/>
  <c r="BN28" i="69"/>
  <c r="BB81" i="57" s="1"/>
  <c r="BJ28" i="69"/>
  <c r="AX81" i="57" s="1"/>
  <c r="BJ228" i="69"/>
  <c r="AX91" i="57" s="1"/>
  <c r="BK228" i="69"/>
  <c r="AY91" i="57" s="1"/>
  <c r="BL228" i="69"/>
  <c r="AZ91" i="57" s="1"/>
  <c r="BM228" i="69"/>
  <c r="BA91" i="57" s="1"/>
  <c r="BN228" i="69"/>
  <c r="BB91" i="57" s="1"/>
  <c r="BJ91" i="69"/>
  <c r="BK91" i="69"/>
  <c r="BL91" i="69"/>
  <c r="BM91" i="69"/>
  <c r="BN91" i="69"/>
  <c r="BJ135" i="69"/>
  <c r="BK135" i="69"/>
  <c r="BL135" i="69"/>
  <c r="BM135" i="69"/>
  <c r="BN135" i="69"/>
  <c r="BJ136" i="69"/>
  <c r="BK136" i="69"/>
  <c r="BL136" i="69"/>
  <c r="BM136" i="69"/>
  <c r="BN136" i="69"/>
  <c r="AT90" i="57"/>
  <c r="AW90" i="57"/>
  <c r="AV90" i="57"/>
  <c r="AU90" i="57"/>
  <c r="AS90" i="57"/>
  <c r="AL135" i="69"/>
  <c r="BE135" i="69"/>
  <c r="BF135" i="69"/>
  <c r="BG135" i="69"/>
  <c r="BH135" i="69"/>
  <c r="BI135" i="69"/>
  <c r="BE136" i="69"/>
  <c r="BF136" i="69"/>
  <c r="BG136" i="69"/>
  <c r="BH136" i="69"/>
  <c r="BI136" i="69"/>
  <c r="BE28" i="69"/>
  <c r="AS81" i="57" s="1"/>
  <c r="BF28" i="69"/>
  <c r="AT81" i="57" s="1"/>
  <c r="BG28" i="69"/>
  <c r="AU81" i="57" s="1"/>
  <c r="BH28" i="69"/>
  <c r="AV81" i="57" s="1"/>
  <c r="BI28" i="69"/>
  <c r="AW81" i="57" s="1"/>
  <c r="AZ228" i="69"/>
  <c r="AN91" i="57" s="1"/>
  <c r="BE228" i="69"/>
  <c r="AS91" i="57" s="1"/>
  <c r="BF228" i="69"/>
  <c r="AT91" i="57" s="1"/>
  <c r="BG228" i="69"/>
  <c r="AU91" i="57" s="1"/>
  <c r="BH228" i="69"/>
  <c r="AV91" i="57" s="1"/>
  <c r="BI228" i="69"/>
  <c r="AW91" i="57" s="1"/>
  <c r="BE91" i="69"/>
  <c r="BF91" i="69"/>
  <c r="BG91" i="69"/>
  <c r="BH91" i="69"/>
  <c r="BI91" i="69"/>
  <c r="AM228" i="69"/>
  <c r="AA91" i="57" s="1"/>
  <c r="AN228" i="69"/>
  <c r="AB91" i="57" s="1"/>
  <c r="AY228" i="69"/>
  <c r="AM91" i="57" s="1"/>
  <c r="AR228" i="69"/>
  <c r="AF91" i="57" s="1"/>
  <c r="AL228" i="69"/>
  <c r="Z91" i="57" s="1"/>
  <c r="AV228" i="69"/>
  <c r="AJ91" i="57" s="1"/>
  <c r="AK228" i="69"/>
  <c r="Y91" i="57" s="1"/>
  <c r="AW228" i="69"/>
  <c r="AK91" i="57" s="1"/>
  <c r="AX228" i="69"/>
  <c r="AL91" i="57" s="1"/>
  <c r="AU228" i="69"/>
  <c r="AI91" i="57" s="1"/>
  <c r="BB228" i="69"/>
  <c r="AP91" i="57" s="1"/>
  <c r="AQ228" i="69"/>
  <c r="AE91" i="57" s="1"/>
  <c r="AT228" i="69"/>
  <c r="AH91" i="57" s="1"/>
  <c r="AP228" i="69"/>
  <c r="AD91" i="57" s="1"/>
  <c r="BA228" i="69"/>
  <c r="AO91" i="57" s="1"/>
  <c r="BC228" i="69"/>
  <c r="AQ91" i="57" s="1"/>
  <c r="AO228" i="69"/>
  <c r="AC91" i="57" s="1"/>
  <c r="AS228" i="69"/>
  <c r="AG91" i="57" s="1"/>
  <c r="BD228" i="69"/>
  <c r="AR91" i="57" s="1"/>
  <c r="AS135" i="69"/>
  <c r="BA135" i="69"/>
  <c r="AV135" i="69"/>
  <c r="AN135" i="69"/>
  <c r="AZ135" i="69"/>
  <c r="BN146" i="47"/>
  <c r="AT135" i="69"/>
  <c r="AQ135" i="69"/>
  <c r="AX135" i="69"/>
  <c r="AO135" i="69"/>
  <c r="AU135" i="69"/>
  <c r="AR135" i="69"/>
  <c r="AP135" i="69"/>
  <c r="AW135" i="69"/>
  <c r="BB135" i="69"/>
  <c r="AY135" i="69"/>
  <c r="BD135" i="69"/>
  <c r="AK135" i="69"/>
  <c r="AM135" i="69"/>
  <c r="BC135" i="69"/>
  <c r="BC91" i="69"/>
  <c r="BD91" i="69"/>
  <c r="BC136" i="69"/>
  <c r="BD136" i="69"/>
  <c r="BC28" i="69"/>
  <c r="BD28" i="69"/>
  <c r="AW91" i="69"/>
  <c r="AN91" i="69"/>
  <c r="AY91" i="69"/>
  <c r="AR91" i="69"/>
  <c r="AV91" i="69"/>
  <c r="AZ91" i="69"/>
  <c r="AS91" i="69"/>
  <c r="BA91" i="69"/>
  <c r="AP91" i="69"/>
  <c r="AT91" i="69"/>
  <c r="AX91" i="69"/>
  <c r="BB91" i="69"/>
  <c r="AU91" i="69"/>
  <c r="AQ91" i="69"/>
  <c r="AH140" i="69"/>
  <c r="AI140" i="69"/>
  <c r="AO91" i="69"/>
  <c r="AM91" i="69"/>
  <c r="AK91" i="69"/>
  <c r="AL91" i="69"/>
  <c r="AK136" i="69"/>
  <c r="AL136" i="69"/>
  <c r="AM136" i="69"/>
  <c r="AI129" i="69"/>
  <c r="AH129" i="69"/>
  <c r="AN136" i="69"/>
  <c r="AV136" i="69"/>
  <c r="AO136" i="69"/>
  <c r="AW136" i="69"/>
  <c r="AP136" i="69"/>
  <c r="AX136" i="69"/>
  <c r="AR136" i="69"/>
  <c r="AZ136" i="69"/>
  <c r="AS136" i="69"/>
  <c r="BA136" i="69"/>
  <c r="AT136" i="69"/>
  <c r="BB136" i="69"/>
  <c r="AQ136" i="69"/>
  <c r="AU136" i="69"/>
  <c r="AY136" i="69"/>
  <c r="AO28" i="69"/>
  <c r="AW28" i="69"/>
  <c r="AP28" i="69"/>
  <c r="BA28" i="69"/>
  <c r="AO81" i="57" s="1"/>
  <c r="AV28" i="69"/>
  <c r="AR28" i="69"/>
  <c r="AT28" i="69"/>
  <c r="BB28" i="69"/>
  <c r="AX28" i="69"/>
  <c r="AU28" i="69"/>
  <c r="AQ28" i="69"/>
  <c r="AE81" i="57" s="1"/>
  <c r="AY28" i="69"/>
  <c r="AM81" i="57" s="1"/>
  <c r="AN28" i="69"/>
  <c r="AZ28" i="69"/>
  <c r="AN81" i="57" s="1"/>
  <c r="AS28" i="69"/>
  <c r="AG81" i="57" s="1"/>
  <c r="AK28" i="69"/>
  <c r="AM28" i="69"/>
  <c r="AA81" i="57" s="1"/>
  <c r="AL28" i="69"/>
  <c r="AO90" i="57"/>
  <c r="AM90" i="57"/>
  <c r="AL90" i="57"/>
  <c r="AR90" i="57"/>
  <c r="AK90" i="57"/>
  <c r="AP90" i="57"/>
  <c r="AJ90" i="57"/>
  <c r="AQ90" i="57"/>
  <c r="AI90" i="57"/>
  <c r="AN90" i="57"/>
  <c r="AH90" i="57"/>
  <c r="AG90" i="57"/>
  <c r="AD90" i="57"/>
  <c r="AE90" i="57"/>
  <c r="AC90" i="57"/>
  <c r="AF90" i="57"/>
  <c r="AB90" i="57"/>
  <c r="AA90" i="57"/>
  <c r="Z90" i="57"/>
  <c r="AG67" i="43"/>
  <c r="E134" i="69"/>
  <c r="AB134" i="69" s="1"/>
  <c r="L91" i="60"/>
  <c r="BR144" i="47"/>
  <c r="E119" i="57"/>
  <c r="F119" i="57" s="1"/>
  <c r="B31" i="60"/>
  <c r="B46" i="60"/>
  <c r="I20" i="59"/>
  <c r="O119" i="57" s="1"/>
  <c r="E9" i="60"/>
  <c r="C31" i="60" s="1"/>
  <c r="C61" i="60"/>
  <c r="D8" i="60"/>
  <c r="E118" i="57"/>
  <c r="E110" i="49"/>
  <c r="F182" i="57"/>
  <c r="P182" i="57" s="1"/>
  <c r="F83" i="60"/>
  <c r="M9" i="60"/>
  <c r="N119" i="57"/>
  <c r="I19" i="59"/>
  <c r="AF81" i="57" l="1"/>
  <c r="AB81" i="57"/>
  <c r="AI81" i="57"/>
  <c r="AC81" i="57"/>
  <c r="AK81" i="57"/>
  <c r="BS144" i="47"/>
  <c r="R47" i="49" s="1"/>
  <c r="V47" i="49" s="1"/>
  <c r="BT134" i="47"/>
  <c r="AJ81" i="57"/>
  <c r="F13" i="69"/>
  <c r="AL81" i="57"/>
  <c r="AP81" i="57"/>
  <c r="AR81" i="57"/>
  <c r="AQ81" i="57"/>
  <c r="AD81" i="57"/>
  <c r="AH81" i="57"/>
  <c r="Z81" i="57"/>
  <c r="E139" i="49"/>
  <c r="G119" i="57"/>
  <c r="Y35" i="30"/>
  <c r="F17" i="49" s="1"/>
  <c r="H117" i="57" s="1"/>
  <c r="BV140" i="69"/>
  <c r="CH140" i="69"/>
  <c r="BW140" i="69"/>
  <c r="BX140" i="69"/>
  <c r="BY140" i="69"/>
  <c r="BZ140" i="69"/>
  <c r="BO140" i="69"/>
  <c r="CA140" i="69"/>
  <c r="BP140" i="69"/>
  <c r="CB140" i="69"/>
  <c r="BQ140" i="69"/>
  <c r="CC140" i="69"/>
  <c r="BR140" i="69"/>
  <c r="CD140" i="69"/>
  <c r="BS140" i="69"/>
  <c r="CE140" i="69"/>
  <c r="BT140" i="69"/>
  <c r="CF140" i="69"/>
  <c r="BU140" i="69"/>
  <c r="CG140" i="69"/>
  <c r="BV129" i="69"/>
  <c r="BW129" i="69"/>
  <c r="BX129" i="69"/>
  <c r="BZ129" i="69"/>
  <c r="BP129" i="69"/>
  <c r="CB129" i="69"/>
  <c r="BQ129" i="69"/>
  <c r="BU129" i="69"/>
  <c r="BY129" i="69"/>
  <c r="CA129" i="69"/>
  <c r="CC129" i="69"/>
  <c r="CD129" i="69"/>
  <c r="CE129" i="69"/>
  <c r="CF129" i="69"/>
  <c r="CG129" i="69"/>
  <c r="BO129" i="69"/>
  <c r="CH129" i="69"/>
  <c r="BR129" i="69"/>
  <c r="BS129" i="69"/>
  <c r="BT129" i="69"/>
  <c r="BJ129" i="69"/>
  <c r="BK129" i="69"/>
  <c r="BL129" i="69"/>
  <c r="BM129" i="69"/>
  <c r="BN129" i="69"/>
  <c r="BK140" i="69"/>
  <c r="BL140" i="69"/>
  <c r="BM140" i="69"/>
  <c r="BN140" i="69"/>
  <c r="BJ140" i="69"/>
  <c r="BE140" i="69"/>
  <c r="BF140" i="69"/>
  <c r="BG140" i="69"/>
  <c r="BH140" i="69"/>
  <c r="BI140" i="69"/>
  <c r="BE129" i="69"/>
  <c r="BF129" i="69"/>
  <c r="BG129" i="69"/>
  <c r="BH129" i="69"/>
  <c r="BI129" i="69"/>
  <c r="BC129" i="69"/>
  <c r="BD129" i="69"/>
  <c r="BC140" i="69"/>
  <c r="BD140" i="69"/>
  <c r="AN129" i="69"/>
  <c r="AV129" i="69"/>
  <c r="AO129" i="69"/>
  <c r="AW129" i="69"/>
  <c r="AP129" i="69"/>
  <c r="AX129" i="69"/>
  <c r="AR129" i="69"/>
  <c r="AZ129" i="69"/>
  <c r="AS129" i="69"/>
  <c r="BA129" i="69"/>
  <c r="AT129" i="69"/>
  <c r="BB129" i="69"/>
  <c r="AQ129" i="69"/>
  <c r="AU129" i="69"/>
  <c r="AY129" i="69"/>
  <c r="AR140" i="69"/>
  <c r="AZ140" i="69"/>
  <c r="AS140" i="69"/>
  <c r="BA140" i="69"/>
  <c r="AT140" i="69"/>
  <c r="BB140" i="69"/>
  <c r="AV140" i="69"/>
  <c r="AW140" i="69"/>
  <c r="AP140" i="69"/>
  <c r="AX140" i="69"/>
  <c r="AQ140" i="69"/>
  <c r="AU140" i="69"/>
  <c r="AY140" i="69"/>
  <c r="AO140" i="69"/>
  <c r="AN140" i="69"/>
  <c r="AK140" i="69"/>
  <c r="AM140" i="69"/>
  <c r="AL140" i="69"/>
  <c r="AI134" i="69"/>
  <c r="AH134" i="69"/>
  <c r="AK129" i="69"/>
  <c r="AL129" i="69"/>
  <c r="AM129" i="69"/>
  <c r="Q47" i="49"/>
  <c r="U47" i="49" s="1"/>
  <c r="N9" i="60"/>
  <c r="O9" i="60" s="1"/>
  <c r="C60" i="60"/>
  <c r="K110" i="49"/>
  <c r="Q110" i="49" s="1"/>
  <c r="P82" i="60"/>
  <c r="F82" i="60"/>
  <c r="P83" i="60"/>
  <c r="N8" i="60"/>
  <c r="O118" i="57"/>
  <c r="P119" i="57"/>
  <c r="P35" i="25"/>
  <c r="V80" i="69" s="1"/>
  <c r="AG23" i="14"/>
  <c r="AS38" i="14"/>
  <c r="AH22" i="14"/>
  <c r="AE18" i="14"/>
  <c r="AF19" i="14"/>
  <c r="AF21" i="14"/>
  <c r="AE22" i="14"/>
  <c r="L44" i="14"/>
  <c r="AS44" i="14" s="1"/>
  <c r="AH20" i="14"/>
  <c r="L56" i="23"/>
  <c r="AH17" i="14"/>
  <c r="M58" i="23"/>
  <c r="P36" i="25"/>
  <c r="AE24" i="14"/>
  <c r="P39" i="25"/>
  <c r="AF23" i="14"/>
  <c r="L46" i="14"/>
  <c r="K39" i="14"/>
  <c r="L39" i="14"/>
  <c r="M55" i="23"/>
  <c r="AG21" i="14"/>
  <c r="Q42" i="25"/>
  <c r="K45" i="14"/>
  <c r="AR45" i="14" s="1"/>
  <c r="L55" i="23"/>
  <c r="P55" i="23" s="1"/>
  <c r="M49" i="23"/>
  <c r="AP47" i="23" s="1"/>
  <c r="M50" i="23"/>
  <c r="Q38" i="25"/>
  <c r="L59" i="23"/>
  <c r="AG24" i="14"/>
  <c r="L41" i="14"/>
  <c r="P41" i="14" s="1"/>
  <c r="X28" i="15" s="1"/>
  <c r="AI15" i="27"/>
  <c r="Q39" i="25"/>
  <c r="M52" i="23"/>
  <c r="AF22" i="14"/>
  <c r="AH25" i="14"/>
  <c r="AG15" i="27"/>
  <c r="L43" i="14"/>
  <c r="AF24" i="14"/>
  <c r="K46" i="14"/>
  <c r="AG18" i="14"/>
  <c r="AG19" i="14"/>
  <c r="M53" i="23"/>
  <c r="AH16" i="14"/>
  <c r="AH18" i="14"/>
  <c r="AJ15" i="27"/>
  <c r="AH15" i="27"/>
  <c r="M59" i="23"/>
  <c r="AH23" i="14"/>
  <c r="L58" i="23"/>
  <c r="P43" i="25"/>
  <c r="L42" i="14"/>
  <c r="K44" i="14"/>
  <c r="AR44" i="14" s="1"/>
  <c r="AE16" i="14"/>
  <c r="L47" i="14"/>
  <c r="P37" i="25"/>
  <c r="AF20" i="14"/>
  <c r="L45" i="14"/>
  <c r="AS45" i="14" s="1"/>
  <c r="P41" i="25"/>
  <c r="AE17" i="14"/>
  <c r="AH21" i="14"/>
  <c r="AG17" i="14"/>
  <c r="L53" i="23"/>
  <c r="P38" i="25"/>
  <c r="AR38" i="14"/>
  <c r="K42" i="14"/>
  <c r="AE21" i="14"/>
  <c r="K47" i="14"/>
  <c r="AH19" i="14"/>
  <c r="Q43" i="25"/>
  <c r="Q36" i="25"/>
  <c r="L49" i="23"/>
  <c r="AO47" i="23" s="1"/>
  <c r="AO60" i="23" s="1"/>
  <c r="AF16" i="14"/>
  <c r="AG20" i="14"/>
  <c r="K41" i="14"/>
  <c r="O41" i="14" s="1"/>
  <c r="W28" i="15" s="1"/>
  <c r="AE19" i="14"/>
  <c r="AG22" i="14"/>
  <c r="M60" i="23"/>
  <c r="Q41" i="25"/>
  <c r="K40" i="14"/>
  <c r="AF17" i="14"/>
  <c r="L50" i="23"/>
  <c r="P40" i="25"/>
  <c r="AG25" i="14"/>
  <c r="AF18" i="14"/>
  <c r="L40" i="14"/>
  <c r="AS40" i="14" s="1"/>
  <c r="AE23" i="14"/>
  <c r="L52" i="23"/>
  <c r="AH24" i="14"/>
  <c r="M56" i="23"/>
  <c r="AG16" i="14"/>
  <c r="AF25" i="14"/>
  <c r="U50" i="69" s="1"/>
  <c r="P42" i="25"/>
  <c r="Q37" i="25"/>
  <c r="Q40" i="25"/>
  <c r="AE20" i="14"/>
  <c r="V15" i="29"/>
  <c r="AN36" i="25"/>
  <c r="J43" i="27"/>
  <c r="AH42" i="27" s="1"/>
  <c r="AN38" i="25"/>
  <c r="AO38" i="25"/>
  <c r="K37" i="27"/>
  <c r="AI36" i="27" s="1"/>
  <c r="K40" i="27"/>
  <c r="AI39" i="27" s="1"/>
  <c r="K42" i="27"/>
  <c r="AI41" i="27" s="1"/>
  <c r="K35" i="27"/>
  <c r="AI34" i="27" s="1"/>
  <c r="W17" i="29"/>
  <c r="AO41" i="25"/>
  <c r="V12" i="29"/>
  <c r="J36" i="27"/>
  <c r="AH35" i="27" s="1"/>
  <c r="W13" i="29"/>
  <c r="AN40" i="25"/>
  <c r="AO39" i="25"/>
  <c r="AO36" i="25"/>
  <c r="J39" i="27"/>
  <c r="AH38" i="27" s="1"/>
  <c r="AO42" i="25"/>
  <c r="J37" i="27"/>
  <c r="AH36" i="27" s="1"/>
  <c r="K43" i="27"/>
  <c r="AI42" i="27" s="1"/>
  <c r="V14" i="29"/>
  <c r="AO37" i="25"/>
  <c r="AN39" i="25"/>
  <c r="J41" i="27"/>
  <c r="AH40" i="27" s="1"/>
  <c r="AN41" i="25"/>
  <c r="K38" i="27"/>
  <c r="AI37" i="27" s="1"/>
  <c r="AH14" i="27"/>
  <c r="K41" i="27"/>
  <c r="AI40" i="27" s="1"/>
  <c r="AG14" i="27"/>
  <c r="W15" i="29"/>
  <c r="AN37" i="25"/>
  <c r="AO35" i="25"/>
  <c r="J38" i="27"/>
  <c r="O43" i="14"/>
  <c r="W30" i="15" s="1"/>
  <c r="J34" i="27"/>
  <c r="AH33" i="27" s="1"/>
  <c r="K36" i="27"/>
  <c r="AI35" i="27" s="1"/>
  <c r="W14" i="29"/>
  <c r="V16" i="29"/>
  <c r="J42" i="27"/>
  <c r="AH41" i="27" s="1"/>
  <c r="AJ14" i="27"/>
  <c r="AN35" i="25"/>
  <c r="AO40" i="25"/>
  <c r="O38" i="14"/>
  <c r="W25" i="15" s="1"/>
  <c r="V18" i="29"/>
  <c r="AI14" i="27"/>
  <c r="K39" i="27"/>
  <c r="AI38" i="27" s="1"/>
  <c r="K34" i="27"/>
  <c r="J35" i="27"/>
  <c r="AH34" i="27" s="1"/>
  <c r="V11" i="29"/>
  <c r="W18" i="29"/>
  <c r="W12" i="29"/>
  <c r="W16" i="29"/>
  <c r="V17" i="29"/>
  <c r="X25" i="15"/>
  <c r="AN43" i="25"/>
  <c r="AN42" i="25"/>
  <c r="J40" i="27"/>
  <c r="AH39" i="27" s="1"/>
  <c r="AO43" i="25"/>
  <c r="BT144" i="47" l="1"/>
  <c r="V85" i="69"/>
  <c r="O40" i="14"/>
  <c r="W27" i="15" s="1"/>
  <c r="AR40" i="14"/>
  <c r="M94" i="69"/>
  <c r="U43" i="69"/>
  <c r="U41" i="69"/>
  <c r="V82" i="69"/>
  <c r="U93" i="69"/>
  <c r="V87" i="69"/>
  <c r="V88" i="69"/>
  <c r="V84" i="69"/>
  <c r="V86" i="69"/>
  <c r="U42" i="69"/>
  <c r="U47" i="69"/>
  <c r="U49" i="69"/>
  <c r="U48" i="69"/>
  <c r="U45" i="69"/>
  <c r="U46" i="69"/>
  <c r="U44" i="69"/>
  <c r="V83" i="69"/>
  <c r="V81" i="69"/>
  <c r="U94" i="69"/>
  <c r="K139" i="49"/>
  <c r="Q139" i="49" s="1"/>
  <c r="M93" i="69"/>
  <c r="M47" i="69"/>
  <c r="M49" i="69"/>
  <c r="M46" i="69"/>
  <c r="M48" i="69"/>
  <c r="M50" i="69"/>
  <c r="M42" i="69"/>
  <c r="M45" i="69"/>
  <c r="M44" i="69"/>
  <c r="M43" i="69"/>
  <c r="M41" i="69"/>
  <c r="Z35" i="30"/>
  <c r="Z41" i="30" s="1"/>
  <c r="BV134" i="69"/>
  <c r="CH134" i="69"/>
  <c r="BW134" i="69"/>
  <c r="BX134" i="69"/>
  <c r="BY134" i="69"/>
  <c r="BZ134" i="69"/>
  <c r="BO134" i="69"/>
  <c r="CA134" i="69"/>
  <c r="BP134" i="69"/>
  <c r="CB134" i="69"/>
  <c r="BQ134" i="69"/>
  <c r="CC134" i="69"/>
  <c r="BR134" i="69"/>
  <c r="CD134" i="69"/>
  <c r="BS134" i="69"/>
  <c r="CE134" i="69"/>
  <c r="BT134" i="69"/>
  <c r="CF134" i="69"/>
  <c r="BU134" i="69"/>
  <c r="CG134" i="69"/>
  <c r="BJ134" i="69"/>
  <c r="BK134" i="69"/>
  <c r="BL134" i="69"/>
  <c r="BM134" i="69"/>
  <c r="BN134" i="69"/>
  <c r="BE134" i="69"/>
  <c r="BF134" i="69"/>
  <c r="BG134" i="69"/>
  <c r="BH134" i="69"/>
  <c r="BI134" i="69"/>
  <c r="BC134" i="69"/>
  <c r="BD134" i="69"/>
  <c r="AK134" i="69"/>
  <c r="AL134" i="69"/>
  <c r="AM134" i="69"/>
  <c r="AR134" i="69"/>
  <c r="AZ134" i="69"/>
  <c r="AS134" i="69"/>
  <c r="BA134" i="69"/>
  <c r="AT134" i="69"/>
  <c r="BB134" i="69"/>
  <c r="AN134" i="69"/>
  <c r="AV134" i="69"/>
  <c r="AO134" i="69"/>
  <c r="AW134" i="69"/>
  <c r="AP134" i="69"/>
  <c r="AX134" i="69"/>
  <c r="AQ134" i="69"/>
  <c r="AU134" i="69"/>
  <c r="AY134" i="69"/>
  <c r="Q58" i="23"/>
  <c r="X81" i="15" s="1"/>
  <c r="Q60" i="23"/>
  <c r="Q49" i="23"/>
  <c r="X69" i="15" s="1"/>
  <c r="Q55" i="23"/>
  <c r="X77" i="15" s="1"/>
  <c r="P52" i="23"/>
  <c r="P40" i="14"/>
  <c r="X27" i="15" s="1"/>
  <c r="P47" i="14"/>
  <c r="X34" i="15" s="1"/>
  <c r="P46" i="14"/>
  <c r="X33" i="15" s="1"/>
  <c r="P44" i="14"/>
  <c r="X31" i="15" s="1"/>
  <c r="O46" i="14"/>
  <c r="W33" i="15" s="1"/>
  <c r="O44" i="14"/>
  <c r="W31" i="15" s="1"/>
  <c r="O47" i="14"/>
  <c r="W34" i="15" s="1"/>
  <c r="P45" i="14"/>
  <c r="X32" i="15" s="1"/>
  <c r="P42" i="14"/>
  <c r="X29" i="15" s="1"/>
  <c r="O42" i="14"/>
  <c r="W29" i="15" s="1"/>
  <c r="P43" i="14"/>
  <c r="X30" i="15" s="1"/>
  <c r="O45" i="14"/>
  <c r="W32" i="15" s="1"/>
  <c r="F139" i="49"/>
  <c r="L139" i="49" s="1"/>
  <c r="R139" i="49" s="1"/>
  <c r="V13" i="29"/>
  <c r="F110" i="49"/>
  <c r="P58" i="23"/>
  <c r="W81" i="15" s="1"/>
  <c r="Q56" i="23"/>
  <c r="X79" i="15" s="1"/>
  <c r="P50" i="23"/>
  <c r="W71" i="15" s="1"/>
  <c r="P60" i="23"/>
  <c r="Q52" i="23"/>
  <c r="P56" i="23"/>
  <c r="W79" i="15" s="1"/>
  <c r="Q47" i="23"/>
  <c r="Q50" i="23"/>
  <c r="X71" i="15" s="1"/>
  <c r="P49" i="23"/>
  <c r="Q53" i="23"/>
  <c r="P53" i="23"/>
  <c r="W75" i="15" s="1"/>
  <c r="Q59" i="23"/>
  <c r="P59" i="23"/>
  <c r="AR39" i="14"/>
  <c r="O39" i="14"/>
  <c r="W26" i="15" s="1"/>
  <c r="AS39" i="14"/>
  <c r="P39" i="14"/>
  <c r="X26" i="15" s="1"/>
  <c r="K82" i="49"/>
  <c r="Q82" i="49" s="1"/>
  <c r="G7" i="60"/>
  <c r="AP60" i="23"/>
  <c r="M41" i="27"/>
  <c r="AE33" i="26" s="1"/>
  <c r="L43" i="27"/>
  <c r="AD35" i="26" s="1"/>
  <c r="L37" i="27"/>
  <c r="AD29" i="26" s="1"/>
  <c r="L34" i="27"/>
  <c r="AD26" i="26" s="1"/>
  <c r="M42" i="27"/>
  <c r="AE34" i="26" s="1"/>
  <c r="M34" i="27"/>
  <c r="L36" i="27"/>
  <c r="AD28" i="26" s="1"/>
  <c r="L39" i="27"/>
  <c r="AD31" i="26" s="1"/>
  <c r="M43" i="27"/>
  <c r="AE35" i="26" s="1"/>
  <c r="W77" i="15"/>
  <c r="U34" i="25"/>
  <c r="X127" i="15" s="1"/>
  <c r="U41" i="25"/>
  <c r="X134" i="15" s="1"/>
  <c r="M37" i="27"/>
  <c r="M35" i="27"/>
  <c r="AE27" i="26" s="1"/>
  <c r="AI33" i="27"/>
  <c r="L42" i="27"/>
  <c r="AD34" i="26" s="1"/>
  <c r="L41" i="27"/>
  <c r="AD33" i="26" s="1"/>
  <c r="M38" i="27"/>
  <c r="AE30" i="26" s="1"/>
  <c r="M40" i="27"/>
  <c r="AE32" i="26" s="1"/>
  <c r="T38" i="25"/>
  <c r="W131" i="15" s="1"/>
  <c r="U39" i="25"/>
  <c r="X132" i="15" s="1"/>
  <c r="U37" i="25"/>
  <c r="X130" i="15" s="1"/>
  <c r="U38" i="25"/>
  <c r="X131" i="15" s="1"/>
  <c r="T36" i="25"/>
  <c r="W129" i="15" s="1"/>
  <c r="U38" i="30"/>
  <c r="Y14" i="29" s="1"/>
  <c r="E14" i="69" s="1"/>
  <c r="AB14" i="69" s="1"/>
  <c r="U35" i="25"/>
  <c r="X128" i="15" s="1"/>
  <c r="T39" i="25"/>
  <c r="W132" i="15" s="1"/>
  <c r="U42" i="25"/>
  <c r="X135" i="15" s="1"/>
  <c r="T37" i="25"/>
  <c r="W130" i="15" s="1"/>
  <c r="T40" i="25"/>
  <c r="W133" i="15" s="1"/>
  <c r="T41" i="25"/>
  <c r="W134" i="15" s="1"/>
  <c r="U36" i="25"/>
  <c r="X129" i="15" s="1"/>
  <c r="M39" i="27"/>
  <c r="AE31" i="26" s="1"/>
  <c r="U36" i="30"/>
  <c r="Y12" i="29" s="1"/>
  <c r="E12" i="69" s="1"/>
  <c r="AB12" i="69" s="1"/>
  <c r="U42" i="30"/>
  <c r="Y18" i="29" s="1"/>
  <c r="E18" i="69" s="1"/>
  <c r="AB18" i="69" s="1"/>
  <c r="U40" i="30"/>
  <c r="Y16" i="29" s="1"/>
  <c r="E16" i="69" s="1"/>
  <c r="AB16" i="69" s="1"/>
  <c r="U39" i="30"/>
  <c r="Y15" i="29" s="1"/>
  <c r="E15" i="69" s="1"/>
  <c r="AB15" i="69" s="1"/>
  <c r="U40" i="25"/>
  <c r="T35" i="25"/>
  <c r="W128" i="15" s="1"/>
  <c r="M36" i="27"/>
  <c r="AE28" i="26" s="1"/>
  <c r="L35" i="27"/>
  <c r="AD27" i="26" s="1"/>
  <c r="T43" i="25"/>
  <c r="W136" i="15" s="1"/>
  <c r="T42" i="25"/>
  <c r="W135" i="15" s="1"/>
  <c r="U43" i="25"/>
  <c r="X136" i="15" s="1"/>
  <c r="L38" i="27"/>
  <c r="L40" i="27"/>
  <c r="AD32" i="26" s="1"/>
  <c r="U41" i="30"/>
  <c r="Y17" i="29" s="1"/>
  <c r="E17" i="69" s="1"/>
  <c r="AB17" i="69" s="1"/>
  <c r="AH37" i="27"/>
  <c r="AH117" i="57" l="1"/>
  <c r="AC117" i="57"/>
  <c r="AE29" i="26"/>
  <c r="N37" i="27"/>
  <c r="AG29" i="26" s="1"/>
  <c r="E96" i="69" s="1"/>
  <c r="AB96" i="69" s="1"/>
  <c r="AA35" i="30"/>
  <c r="AA41" i="30" s="1"/>
  <c r="R17" i="49" s="1"/>
  <c r="V17" i="49" s="1"/>
  <c r="R47" i="23"/>
  <c r="E55" i="69" s="1"/>
  <c r="AB55" i="69" s="1"/>
  <c r="W73" i="15"/>
  <c r="X73" i="15"/>
  <c r="W69" i="15"/>
  <c r="W87" i="15"/>
  <c r="X87" i="15"/>
  <c r="AI16" i="69"/>
  <c r="AH16" i="69"/>
  <c r="AI18" i="69"/>
  <c r="AH18" i="69"/>
  <c r="AH14" i="69"/>
  <c r="AI14" i="69"/>
  <c r="AH17" i="69"/>
  <c r="AI17" i="69"/>
  <c r="AH15" i="69"/>
  <c r="AI15" i="69"/>
  <c r="AH12" i="69"/>
  <c r="AI12" i="69"/>
  <c r="Q17" i="49"/>
  <c r="U17" i="49" s="1"/>
  <c r="U37" i="30"/>
  <c r="Y13" i="29" s="1"/>
  <c r="E13" i="69" s="1"/>
  <c r="AB13" i="69" s="1"/>
  <c r="S44" i="30"/>
  <c r="D18" i="59" s="1"/>
  <c r="L110" i="49"/>
  <c r="R110" i="49" s="1"/>
  <c r="Y41" i="30"/>
  <c r="D17" i="49" s="1"/>
  <c r="G17" i="49"/>
  <c r="Y11" i="29"/>
  <c r="E11" i="69" s="1"/>
  <c r="AB11" i="69" s="1"/>
  <c r="W11" i="29"/>
  <c r="T44" i="30"/>
  <c r="V34" i="25"/>
  <c r="Z127" i="15" s="1"/>
  <c r="E79" i="69" s="1"/>
  <c r="AB79" i="69" s="1"/>
  <c r="N43" i="27"/>
  <c r="AG35" i="26" s="1"/>
  <c r="E102" i="69" s="1"/>
  <c r="AB102" i="69" s="1"/>
  <c r="N38" i="27"/>
  <c r="AG30" i="26" s="1"/>
  <c r="E97" i="69" s="1"/>
  <c r="AB97" i="69" s="1"/>
  <c r="N34" i="27"/>
  <c r="AG26" i="26" s="1"/>
  <c r="E93" i="69" s="1"/>
  <c r="AB93" i="69" s="1"/>
  <c r="AE26" i="26"/>
  <c r="X88" i="15"/>
  <c r="W88" i="15"/>
  <c r="N40" i="27"/>
  <c r="AG32" i="26" s="1"/>
  <c r="E99" i="69" s="1"/>
  <c r="AB99" i="69" s="1"/>
  <c r="N41" i="27"/>
  <c r="AG33" i="26" s="1"/>
  <c r="E100" i="69" s="1"/>
  <c r="AB100" i="69" s="1"/>
  <c r="R56" i="23"/>
  <c r="R53" i="23"/>
  <c r="X75" i="15"/>
  <c r="Q42" i="14"/>
  <c r="Z29" i="15" s="1"/>
  <c r="E45" i="69" s="1"/>
  <c r="AB45" i="69" s="1"/>
  <c r="R55" i="23"/>
  <c r="R60" i="23"/>
  <c r="R49" i="23"/>
  <c r="Q40" i="14"/>
  <c r="Z27" i="15" s="1"/>
  <c r="E43" i="69" s="1"/>
  <c r="AB43" i="69" s="1"/>
  <c r="R58" i="23"/>
  <c r="Q46" i="14"/>
  <c r="Z33" i="15" s="1"/>
  <c r="E49" i="69" s="1"/>
  <c r="AB49" i="69" s="1"/>
  <c r="R50" i="23"/>
  <c r="Q45" i="14"/>
  <c r="Z32" i="15" s="1"/>
  <c r="E48" i="69" s="1"/>
  <c r="AB48" i="69" s="1"/>
  <c r="Q47" i="14"/>
  <c r="Z34" i="15" s="1"/>
  <c r="E50" i="69" s="1"/>
  <c r="AB50" i="69" s="1"/>
  <c r="Q39" i="14"/>
  <c r="Z26" i="15" s="1"/>
  <c r="E42" i="69" s="1"/>
  <c r="AB42" i="69" s="1"/>
  <c r="Q44" i="14"/>
  <c r="Z31" i="15" s="1"/>
  <c r="E47" i="69" s="1"/>
  <c r="AB47" i="69" s="1"/>
  <c r="N39" i="27"/>
  <c r="AG31" i="26" s="1"/>
  <c r="E98" i="69" s="1"/>
  <c r="AB98" i="69" s="1"/>
  <c r="N42" i="27"/>
  <c r="AG34" i="26" s="1"/>
  <c r="E101" i="69" s="1"/>
  <c r="AB101" i="69" s="1"/>
  <c r="Q41" i="14"/>
  <c r="Z28" i="15" s="1"/>
  <c r="E44" i="69" s="1"/>
  <c r="AB44" i="69" s="1"/>
  <c r="AD30" i="26"/>
  <c r="V38" i="25"/>
  <c r="Z131" i="15" s="1"/>
  <c r="E83" i="69" s="1"/>
  <c r="AB83" i="69" s="1"/>
  <c r="V37" i="25"/>
  <c r="Z130" i="15" s="1"/>
  <c r="E82" i="69" s="1"/>
  <c r="AB82" i="69" s="1"/>
  <c r="Q38" i="14"/>
  <c r="Z25" i="15" s="1"/>
  <c r="E41" i="69" s="1"/>
  <c r="AB41" i="69" s="1"/>
  <c r="V36" i="25"/>
  <c r="Z129" i="15" s="1"/>
  <c r="E81" i="69" s="1"/>
  <c r="AB81" i="69" s="1"/>
  <c r="Q43" i="14"/>
  <c r="Z30" i="15" s="1"/>
  <c r="E46" i="69" s="1"/>
  <c r="AB46" i="69" s="1"/>
  <c r="R59" i="23"/>
  <c r="E67" i="69" s="1"/>
  <c r="AB67" i="69" s="1"/>
  <c r="V41" i="25"/>
  <c r="Z134" i="15" s="1"/>
  <c r="E86" i="69" s="1"/>
  <c r="AB86" i="69" s="1"/>
  <c r="R52" i="23"/>
  <c r="E60" i="69" s="1"/>
  <c r="AB60" i="69" s="1"/>
  <c r="V39" i="25"/>
  <c r="Z132" i="15" s="1"/>
  <c r="E84" i="69" s="1"/>
  <c r="AB84" i="69" s="1"/>
  <c r="V42" i="25"/>
  <c r="Z135" i="15" s="1"/>
  <c r="E87" i="69" s="1"/>
  <c r="AB87" i="69" s="1"/>
  <c r="N36" i="27"/>
  <c r="AG28" i="26" s="1"/>
  <c r="E95" i="69" s="1"/>
  <c r="AB95" i="69" s="1"/>
  <c r="V43" i="25"/>
  <c r="Z136" i="15" s="1"/>
  <c r="E88" i="69" s="1"/>
  <c r="AB88" i="69" s="1"/>
  <c r="X133" i="15"/>
  <c r="V40" i="25"/>
  <c r="Z133" i="15" s="1"/>
  <c r="E85" i="69" s="1"/>
  <c r="AB85" i="69" s="1"/>
  <c r="V35" i="25"/>
  <c r="Z128" i="15" s="1"/>
  <c r="E80" i="69" s="1"/>
  <c r="AB80" i="69" s="1"/>
  <c r="N35" i="27"/>
  <c r="AG27" i="26" s="1"/>
  <c r="E94" i="69" s="1"/>
  <c r="AB94" i="69" s="1"/>
  <c r="W67" i="15"/>
  <c r="X67" i="15"/>
  <c r="O14" i="31"/>
  <c r="K156" i="57" s="1"/>
  <c r="Z67" i="15" l="1"/>
  <c r="Z79" i="15"/>
  <c r="E64" i="69"/>
  <c r="AB64" i="69" s="1"/>
  <c r="Z81" i="15"/>
  <c r="E66" i="69"/>
  <c r="Z71" i="15"/>
  <c r="E58" i="69"/>
  <c r="AB58" i="69" s="1"/>
  <c r="Z77" i="15"/>
  <c r="E63" i="69"/>
  <c r="AB63" i="69" s="1"/>
  <c r="Z69" i="15"/>
  <c r="E57" i="69"/>
  <c r="AB57" i="69" s="1"/>
  <c r="AL117" i="57"/>
  <c r="AG117" i="57"/>
  <c r="Z88" i="15"/>
  <c r="E68" i="69"/>
  <c r="AB68" i="69" s="1"/>
  <c r="AH67" i="69"/>
  <c r="AI67" i="69"/>
  <c r="Z75" i="15"/>
  <c r="E61" i="69"/>
  <c r="AB61" i="69" s="1"/>
  <c r="Z73" i="15"/>
  <c r="Z87" i="15"/>
  <c r="BT15" i="69"/>
  <c r="CF15" i="69"/>
  <c r="BU15" i="69"/>
  <c r="CG15" i="69"/>
  <c r="BV15" i="69"/>
  <c r="CH15" i="69"/>
  <c r="BW15" i="69"/>
  <c r="BX15" i="69"/>
  <c r="BY15" i="69"/>
  <c r="BZ15" i="69"/>
  <c r="BO15" i="69"/>
  <c r="CA15" i="69"/>
  <c r="BP15" i="69"/>
  <c r="CB15" i="69"/>
  <c r="BQ15" i="69"/>
  <c r="CC15" i="69"/>
  <c r="BR15" i="69"/>
  <c r="CD15" i="69"/>
  <c r="BS15" i="69"/>
  <c r="CE15" i="69"/>
  <c r="BP17" i="69"/>
  <c r="CB17" i="69"/>
  <c r="BQ17" i="69"/>
  <c r="CC17" i="69"/>
  <c r="BR17" i="69"/>
  <c r="CD17" i="69"/>
  <c r="BS17" i="69"/>
  <c r="CE17" i="69"/>
  <c r="BT17" i="69"/>
  <c r="CF17" i="69"/>
  <c r="BU17" i="69"/>
  <c r="CG17" i="69"/>
  <c r="BV17" i="69"/>
  <c r="CH17" i="69"/>
  <c r="BW17" i="69"/>
  <c r="BX17" i="69"/>
  <c r="BY17" i="69"/>
  <c r="BZ17" i="69"/>
  <c r="BO17" i="69"/>
  <c r="CA17" i="69"/>
  <c r="BP14" i="69"/>
  <c r="CB14" i="69"/>
  <c r="BQ14" i="69"/>
  <c r="CC14" i="69"/>
  <c r="BR14" i="69"/>
  <c r="CD14" i="69"/>
  <c r="BS14" i="69"/>
  <c r="CE14" i="69"/>
  <c r="BT14" i="69"/>
  <c r="CF14" i="69"/>
  <c r="BU14" i="69"/>
  <c r="CG14" i="69"/>
  <c r="BV14" i="69"/>
  <c r="CH14" i="69"/>
  <c r="BW14" i="69"/>
  <c r="BX14" i="69"/>
  <c r="BY14" i="69"/>
  <c r="BZ14" i="69"/>
  <c r="BO14" i="69"/>
  <c r="CA14" i="69"/>
  <c r="BT12" i="69"/>
  <c r="CF12" i="69"/>
  <c r="BU12" i="69"/>
  <c r="CG12" i="69"/>
  <c r="BV12" i="69"/>
  <c r="CH12" i="69"/>
  <c r="BW12" i="69"/>
  <c r="BX12" i="69"/>
  <c r="BY12" i="69"/>
  <c r="BZ12" i="69"/>
  <c r="BO12" i="69"/>
  <c r="CA12" i="69"/>
  <c r="BP12" i="69"/>
  <c r="CB12" i="69"/>
  <c r="BQ12" i="69"/>
  <c r="CC12" i="69"/>
  <c r="BR12" i="69"/>
  <c r="CD12" i="69"/>
  <c r="BS12" i="69"/>
  <c r="CE12" i="69"/>
  <c r="BT18" i="69"/>
  <c r="CF18" i="69"/>
  <c r="BU18" i="69"/>
  <c r="CG18" i="69"/>
  <c r="BV18" i="69"/>
  <c r="CH18" i="69"/>
  <c r="BW18" i="69"/>
  <c r="BX18" i="69"/>
  <c r="BY18" i="69"/>
  <c r="BZ18" i="69"/>
  <c r="BO18" i="69"/>
  <c r="CA18" i="69"/>
  <c r="BP18" i="69"/>
  <c r="CB18" i="69"/>
  <c r="BQ18" i="69"/>
  <c r="CC18" i="69"/>
  <c r="BR18" i="69"/>
  <c r="CD18" i="69"/>
  <c r="BS18" i="69"/>
  <c r="CE18" i="69"/>
  <c r="BX16" i="69"/>
  <c r="BY16" i="69"/>
  <c r="BZ16" i="69"/>
  <c r="BO16" i="69"/>
  <c r="CA16" i="69"/>
  <c r="BP16" i="69"/>
  <c r="CB16" i="69"/>
  <c r="BQ16" i="69"/>
  <c r="CC16" i="69"/>
  <c r="BR16" i="69"/>
  <c r="CD16" i="69"/>
  <c r="BS16" i="69"/>
  <c r="CE16" i="69"/>
  <c r="BT16" i="69"/>
  <c r="CF16" i="69"/>
  <c r="BU16" i="69"/>
  <c r="CG16" i="69"/>
  <c r="BV16" i="69"/>
  <c r="CH16" i="69"/>
  <c r="BW16" i="69"/>
  <c r="BJ12" i="69"/>
  <c r="BK12" i="69"/>
  <c r="BL12" i="69"/>
  <c r="BM12" i="69"/>
  <c r="BN12" i="69"/>
  <c r="BL15" i="69"/>
  <c r="BM15" i="69"/>
  <c r="BN15" i="69"/>
  <c r="BJ15" i="69"/>
  <c r="BK15" i="69"/>
  <c r="BJ17" i="69"/>
  <c r="BK17" i="69"/>
  <c r="BL17" i="69"/>
  <c r="BM17" i="69"/>
  <c r="BN17" i="69"/>
  <c r="BM14" i="69"/>
  <c r="BN14" i="69"/>
  <c r="BJ14" i="69"/>
  <c r="BK14" i="69"/>
  <c r="BL14" i="69"/>
  <c r="BJ18" i="69"/>
  <c r="BK18" i="69"/>
  <c r="BL18" i="69"/>
  <c r="BM18" i="69"/>
  <c r="BN18" i="69"/>
  <c r="BK16" i="69"/>
  <c r="BL16" i="69"/>
  <c r="BM16" i="69"/>
  <c r="BN16" i="69"/>
  <c r="BJ16" i="69"/>
  <c r="AH102" i="69"/>
  <c r="AI102" i="69"/>
  <c r="BE12" i="69"/>
  <c r="BF12" i="69"/>
  <c r="BG12" i="69"/>
  <c r="BH12" i="69"/>
  <c r="BI12" i="69"/>
  <c r="BE15" i="69"/>
  <c r="BF15" i="69"/>
  <c r="BG15" i="69"/>
  <c r="BH15" i="69"/>
  <c r="BI15" i="69"/>
  <c r="BE17" i="69"/>
  <c r="BF17" i="69"/>
  <c r="BG17" i="69"/>
  <c r="BH17" i="69"/>
  <c r="BI17" i="69"/>
  <c r="BE14" i="69"/>
  <c r="BF14" i="69"/>
  <c r="BG14" i="69"/>
  <c r="BH14" i="69"/>
  <c r="BI14" i="69"/>
  <c r="BE18" i="69"/>
  <c r="BF18" i="69"/>
  <c r="BG18" i="69"/>
  <c r="BH18" i="69"/>
  <c r="BI18" i="69"/>
  <c r="BE16" i="69"/>
  <c r="BF16" i="69"/>
  <c r="BG16" i="69"/>
  <c r="BH16" i="69"/>
  <c r="BI16" i="69"/>
  <c r="BC17" i="69"/>
  <c r="BD17" i="69"/>
  <c r="BC14" i="69"/>
  <c r="BD14" i="69"/>
  <c r="BD18" i="69"/>
  <c r="BC18" i="69"/>
  <c r="BC15" i="69"/>
  <c r="BD15" i="69"/>
  <c r="BC16" i="69"/>
  <c r="BD16" i="69"/>
  <c r="AH101" i="69"/>
  <c r="AI101" i="69"/>
  <c r="AH62" i="69"/>
  <c r="AI62" i="69"/>
  <c r="AH97" i="69"/>
  <c r="AI97" i="69"/>
  <c r="AR17" i="69"/>
  <c r="AZ17" i="69"/>
  <c r="AT17" i="69"/>
  <c r="AX17" i="69"/>
  <c r="BB17" i="69"/>
  <c r="AQ17" i="69"/>
  <c r="AU17" i="69"/>
  <c r="AY17" i="69"/>
  <c r="AV17" i="69"/>
  <c r="AS17" i="69"/>
  <c r="AW17" i="69"/>
  <c r="AO17" i="69"/>
  <c r="BA17" i="69"/>
  <c r="AP17" i="69"/>
  <c r="AN17" i="69"/>
  <c r="AI46" i="69"/>
  <c r="AH46" i="69"/>
  <c r="AH43" i="69"/>
  <c r="AI43" i="69"/>
  <c r="AH100" i="69"/>
  <c r="AI100" i="69"/>
  <c r="AK17" i="69"/>
  <c r="AM17" i="69"/>
  <c r="AL17" i="69"/>
  <c r="AI81" i="69"/>
  <c r="AH81" i="69"/>
  <c r="AI56" i="69"/>
  <c r="AH56" i="69"/>
  <c r="AH99" i="69"/>
  <c r="AI99" i="69"/>
  <c r="AI79" i="69"/>
  <c r="AH79" i="69"/>
  <c r="AH13" i="69"/>
  <c r="AI13" i="69"/>
  <c r="AP14" i="69"/>
  <c r="AX14" i="69"/>
  <c r="AQ14" i="69"/>
  <c r="AY14" i="69"/>
  <c r="AR14" i="69"/>
  <c r="AZ14" i="69"/>
  <c r="AS14" i="69"/>
  <c r="BA14" i="69"/>
  <c r="AT14" i="69"/>
  <c r="BB14" i="69"/>
  <c r="AU14" i="69"/>
  <c r="AN14" i="69"/>
  <c r="AV14" i="69"/>
  <c r="AO14" i="69"/>
  <c r="AW14" i="69"/>
  <c r="AH41" i="69"/>
  <c r="AI41" i="69"/>
  <c r="AI42" i="69"/>
  <c r="AH42" i="69"/>
  <c r="AH96" i="69"/>
  <c r="AI96" i="69"/>
  <c r="AL14" i="69"/>
  <c r="AK14" i="69"/>
  <c r="AM14" i="69"/>
  <c r="AI47" i="69"/>
  <c r="AH47" i="69"/>
  <c r="AH87" i="69"/>
  <c r="AI87" i="69"/>
  <c r="AI82" i="69"/>
  <c r="AH82" i="69"/>
  <c r="AH50" i="69"/>
  <c r="AI50" i="69"/>
  <c r="AH60" i="69"/>
  <c r="AI60" i="69"/>
  <c r="AM18" i="69"/>
  <c r="AL18" i="69"/>
  <c r="AK18" i="69"/>
  <c r="AH83" i="69"/>
  <c r="AI83" i="69"/>
  <c r="AI48" i="69"/>
  <c r="AH48" i="69"/>
  <c r="AI45" i="69"/>
  <c r="AH45" i="69"/>
  <c r="AN18" i="69"/>
  <c r="AZ18" i="69"/>
  <c r="BB18" i="69"/>
  <c r="AT18" i="69"/>
  <c r="AR18" i="69"/>
  <c r="AY18" i="69"/>
  <c r="AU18" i="69"/>
  <c r="AQ18" i="69"/>
  <c r="AW18" i="69"/>
  <c r="AO18" i="69"/>
  <c r="BA18" i="69"/>
  <c r="AS18" i="69"/>
  <c r="AX18" i="69"/>
  <c r="AV18" i="69"/>
  <c r="AP18" i="69"/>
  <c r="AI85" i="69"/>
  <c r="AH85" i="69"/>
  <c r="AH88" i="69"/>
  <c r="AI88" i="69"/>
  <c r="AI95" i="69"/>
  <c r="AH95" i="69"/>
  <c r="AI84" i="69"/>
  <c r="AH84" i="69"/>
  <c r="AH94" i="69"/>
  <c r="AI94" i="69"/>
  <c r="AO15" i="69"/>
  <c r="AW15" i="69"/>
  <c r="AP15" i="69"/>
  <c r="AX15" i="69"/>
  <c r="AQ15" i="69"/>
  <c r="AY15" i="69"/>
  <c r="AR15" i="69"/>
  <c r="AZ15" i="69"/>
  <c r="AS15" i="69"/>
  <c r="BA15" i="69"/>
  <c r="AT15" i="69"/>
  <c r="BB15" i="69"/>
  <c r="AU15" i="69"/>
  <c r="AV15" i="69"/>
  <c r="AN15" i="69"/>
  <c r="AM16" i="69"/>
  <c r="AK16" i="69"/>
  <c r="AL16" i="69"/>
  <c r="AH98" i="69"/>
  <c r="AI98" i="69"/>
  <c r="AI55" i="69"/>
  <c r="AH55" i="69"/>
  <c r="AI80" i="69"/>
  <c r="AH80" i="69"/>
  <c r="AH86" i="69"/>
  <c r="AI86" i="69"/>
  <c r="AH44" i="69"/>
  <c r="AI44" i="69"/>
  <c r="AH49" i="69"/>
  <c r="AI49" i="69"/>
  <c r="AH59" i="69"/>
  <c r="AI59" i="69"/>
  <c r="AI93" i="69"/>
  <c r="AH93" i="69"/>
  <c r="AL15" i="69"/>
  <c r="AK15" i="69"/>
  <c r="AM15" i="69"/>
  <c r="AU16" i="69"/>
  <c r="AN16" i="69"/>
  <c r="AV16" i="69"/>
  <c r="AO16" i="69"/>
  <c r="AW16" i="69"/>
  <c r="AP16" i="69"/>
  <c r="AX16" i="69"/>
  <c r="AQ16" i="69"/>
  <c r="AY16" i="69"/>
  <c r="AR16" i="69"/>
  <c r="AZ16" i="69"/>
  <c r="AS16" i="69"/>
  <c r="BA16" i="69"/>
  <c r="AT16" i="69"/>
  <c r="BB16" i="69"/>
  <c r="AY12" i="69"/>
  <c r="BD12" i="69"/>
  <c r="BB12" i="69"/>
  <c r="AS12" i="69"/>
  <c r="AW12" i="69"/>
  <c r="AV12" i="69"/>
  <c r="AZ12" i="69"/>
  <c r="BC12" i="69"/>
  <c r="AU12" i="69"/>
  <c r="AX12" i="69"/>
  <c r="AT12" i="69"/>
  <c r="AP12" i="69"/>
  <c r="AQ12" i="69"/>
  <c r="BA12" i="69"/>
  <c r="AR12" i="69"/>
  <c r="AK12" i="69"/>
  <c r="AO12" i="69"/>
  <c r="AL12" i="69"/>
  <c r="AN12" i="69"/>
  <c r="AM12" i="69"/>
  <c r="AH11" i="69"/>
  <c r="AI11" i="69"/>
  <c r="C7" i="60"/>
  <c r="C44" i="60" s="1"/>
  <c r="V21" i="29"/>
  <c r="T18" i="49"/>
  <c r="T17" i="49"/>
  <c r="T19" i="49"/>
  <c r="T20" i="49"/>
  <c r="L82" i="49"/>
  <c r="R82" i="49" s="1"/>
  <c r="H7" i="60"/>
  <c r="I117" i="57"/>
  <c r="H18" i="59"/>
  <c r="N117" i="57" s="1"/>
  <c r="D117" i="57"/>
  <c r="W21" i="29"/>
  <c r="E18" i="59"/>
  <c r="U44" i="30"/>
  <c r="Y21" i="29" s="1"/>
  <c r="N14" i="31"/>
  <c r="J156" i="57" s="1"/>
  <c r="P7" i="31"/>
  <c r="J14" i="31"/>
  <c r="E156" i="57" s="1"/>
  <c r="D30" i="25"/>
  <c r="D30" i="27"/>
  <c r="M14" i="31"/>
  <c r="I156" i="57" s="1"/>
  <c r="K14" i="31"/>
  <c r="F156" i="57" s="1"/>
  <c r="AI64" i="69" l="1"/>
  <c r="AH64" i="69"/>
  <c r="AI58" i="69"/>
  <c r="AH58" i="69"/>
  <c r="BE67" i="69"/>
  <c r="BF67" i="69"/>
  <c r="BG67" i="69"/>
  <c r="BH67" i="69"/>
  <c r="BI67" i="69"/>
  <c r="BJ67" i="69"/>
  <c r="BK67" i="69"/>
  <c r="BL67" i="69"/>
  <c r="BM67" i="69"/>
  <c r="BN67" i="69"/>
  <c r="AH63" i="69"/>
  <c r="AY67" i="69"/>
  <c r="AZ67" i="69"/>
  <c r="BA67" i="69"/>
  <c r="BB67" i="69"/>
  <c r="BC67" i="69"/>
  <c r="BD67" i="69"/>
  <c r="AU67" i="69"/>
  <c r="AV67" i="69"/>
  <c r="AW67" i="69"/>
  <c r="AX67" i="69"/>
  <c r="AI63" i="69"/>
  <c r="AI57" i="69"/>
  <c r="AH57" i="69"/>
  <c r="AB66" i="69"/>
  <c r="AH66" i="69"/>
  <c r="AI66" i="69"/>
  <c r="AI61" i="69"/>
  <c r="AX61" i="69" s="1"/>
  <c r="AH61" i="69"/>
  <c r="AH68" i="69"/>
  <c r="AI68" i="69"/>
  <c r="AP67" i="69"/>
  <c r="AT67" i="69"/>
  <c r="AR67" i="69"/>
  <c r="AQ67" i="69"/>
  <c r="AS67" i="69"/>
  <c r="AM67" i="69"/>
  <c r="AL67" i="69"/>
  <c r="AK67" i="69"/>
  <c r="AO67" i="69"/>
  <c r="AN67" i="69"/>
  <c r="BR86" i="69"/>
  <c r="CD86" i="69"/>
  <c r="BS86" i="69"/>
  <c r="CE86" i="69"/>
  <c r="BT86" i="69"/>
  <c r="CF86" i="69"/>
  <c r="BU86" i="69"/>
  <c r="CG86" i="69"/>
  <c r="BV86" i="69"/>
  <c r="CH86" i="69"/>
  <c r="BW86" i="69"/>
  <c r="BX86" i="69"/>
  <c r="BY86" i="69"/>
  <c r="BZ86" i="69"/>
  <c r="BO86" i="69"/>
  <c r="CA86" i="69"/>
  <c r="BP86" i="69"/>
  <c r="CB86" i="69"/>
  <c r="BQ86" i="69"/>
  <c r="CC86" i="69"/>
  <c r="BZ88" i="69"/>
  <c r="BO88" i="69"/>
  <c r="CA88" i="69"/>
  <c r="BP88" i="69"/>
  <c r="CB88" i="69"/>
  <c r="BQ88" i="69"/>
  <c r="CC88" i="69"/>
  <c r="BR88" i="69"/>
  <c r="CD88" i="69"/>
  <c r="BS88" i="69"/>
  <c r="CE88" i="69"/>
  <c r="BT88" i="69"/>
  <c r="CF88" i="69"/>
  <c r="BU88" i="69"/>
  <c r="CG88" i="69"/>
  <c r="BV88" i="69"/>
  <c r="CH88" i="69"/>
  <c r="BW88" i="69"/>
  <c r="BX88" i="69"/>
  <c r="BY88" i="69"/>
  <c r="BX46" i="69"/>
  <c r="BY46" i="69"/>
  <c r="BZ46" i="69"/>
  <c r="BO46" i="69"/>
  <c r="CA46" i="69"/>
  <c r="BP46" i="69"/>
  <c r="CB46" i="69"/>
  <c r="BQ46" i="69"/>
  <c r="CC46" i="69"/>
  <c r="BR46" i="69"/>
  <c r="CD46" i="69"/>
  <c r="BS46" i="69"/>
  <c r="CE46" i="69"/>
  <c r="BT46" i="69"/>
  <c r="CF46" i="69"/>
  <c r="BU46" i="69"/>
  <c r="CG46" i="69"/>
  <c r="BV46" i="69"/>
  <c r="CH46" i="69"/>
  <c r="BW46" i="69"/>
  <c r="BP47" i="69"/>
  <c r="CB47" i="69"/>
  <c r="BQ47" i="69"/>
  <c r="CC47" i="69"/>
  <c r="BR47" i="69"/>
  <c r="CD47" i="69"/>
  <c r="BS47" i="69"/>
  <c r="CE47" i="69"/>
  <c r="BT47" i="69"/>
  <c r="CF47" i="69"/>
  <c r="BU47" i="69"/>
  <c r="CG47" i="69"/>
  <c r="BV47" i="69"/>
  <c r="CH47" i="69"/>
  <c r="BW47" i="69"/>
  <c r="BX47" i="69"/>
  <c r="BY47" i="69"/>
  <c r="BZ47" i="69"/>
  <c r="BO47" i="69"/>
  <c r="CA47" i="69"/>
  <c r="BZ63" i="69"/>
  <c r="BO63" i="69"/>
  <c r="CA63" i="69"/>
  <c r="BP63" i="69"/>
  <c r="CB63" i="69"/>
  <c r="BQ63" i="69"/>
  <c r="CC63" i="69"/>
  <c r="BR63" i="69"/>
  <c r="CD63" i="69"/>
  <c r="BS63" i="69"/>
  <c r="CE63" i="69"/>
  <c r="BT63" i="69"/>
  <c r="CF63" i="69"/>
  <c r="BU63" i="69"/>
  <c r="CG63" i="69"/>
  <c r="BV63" i="69"/>
  <c r="CH63" i="69"/>
  <c r="BW63" i="69"/>
  <c r="BX63" i="69"/>
  <c r="BY63" i="69"/>
  <c r="BP56" i="69"/>
  <c r="CB56" i="69"/>
  <c r="BQ56" i="69"/>
  <c r="CC56" i="69"/>
  <c r="BR56" i="69"/>
  <c r="CD56" i="69"/>
  <c r="BS56" i="69"/>
  <c r="CE56" i="69"/>
  <c r="BT56" i="69"/>
  <c r="CF56" i="69"/>
  <c r="BU56" i="69"/>
  <c r="CG56" i="69"/>
  <c r="BV56" i="69"/>
  <c r="CH56" i="69"/>
  <c r="BW56" i="69"/>
  <c r="BX56" i="69"/>
  <c r="BY56" i="69"/>
  <c r="BZ56" i="69"/>
  <c r="BO56" i="69"/>
  <c r="CA56" i="69"/>
  <c r="BT57" i="69"/>
  <c r="CF57" i="69"/>
  <c r="BU57" i="69"/>
  <c r="CG57" i="69"/>
  <c r="BV57" i="69"/>
  <c r="CH57" i="69"/>
  <c r="BW57" i="69"/>
  <c r="BX57" i="69"/>
  <c r="BY57" i="69"/>
  <c r="BZ57" i="69"/>
  <c r="BO57" i="69"/>
  <c r="CA57" i="69"/>
  <c r="BP57" i="69"/>
  <c r="CB57" i="69"/>
  <c r="BQ57" i="69"/>
  <c r="CC57" i="69"/>
  <c r="BR57" i="69"/>
  <c r="CD57" i="69"/>
  <c r="BS57" i="69"/>
  <c r="CE57" i="69"/>
  <c r="BR80" i="69"/>
  <c r="CD80" i="69"/>
  <c r="BS80" i="69"/>
  <c r="CE80" i="69"/>
  <c r="BT80" i="69"/>
  <c r="CF80" i="69"/>
  <c r="BU80" i="69"/>
  <c r="CG80" i="69"/>
  <c r="BV80" i="69"/>
  <c r="CH80" i="69"/>
  <c r="BW80" i="69"/>
  <c r="BX80" i="69"/>
  <c r="BY80" i="69"/>
  <c r="BZ80" i="69"/>
  <c r="BO80" i="69"/>
  <c r="CA80" i="69"/>
  <c r="BP80" i="69"/>
  <c r="CB80" i="69"/>
  <c r="BQ80" i="69"/>
  <c r="CC80" i="69"/>
  <c r="BZ85" i="69"/>
  <c r="BO85" i="69"/>
  <c r="CA85" i="69"/>
  <c r="BP85" i="69"/>
  <c r="CB85" i="69"/>
  <c r="BQ85" i="69"/>
  <c r="CC85" i="69"/>
  <c r="BR85" i="69"/>
  <c r="CD85" i="69"/>
  <c r="BS85" i="69"/>
  <c r="CE85" i="69"/>
  <c r="BT85" i="69"/>
  <c r="CF85" i="69"/>
  <c r="BU85" i="69"/>
  <c r="CG85" i="69"/>
  <c r="BV85" i="69"/>
  <c r="CH85" i="69"/>
  <c r="BW85" i="69"/>
  <c r="BX85" i="69"/>
  <c r="BY85" i="69"/>
  <c r="BV81" i="69"/>
  <c r="CH81" i="69"/>
  <c r="BW81" i="69"/>
  <c r="BX81" i="69"/>
  <c r="BY81" i="69"/>
  <c r="BZ81" i="69"/>
  <c r="BO81" i="69"/>
  <c r="CA81" i="69"/>
  <c r="BP81" i="69"/>
  <c r="CB81" i="69"/>
  <c r="BQ81" i="69"/>
  <c r="CC81" i="69"/>
  <c r="BR81" i="69"/>
  <c r="CD81" i="69"/>
  <c r="BS81" i="69"/>
  <c r="CE81" i="69"/>
  <c r="BT81" i="69"/>
  <c r="CF81" i="69"/>
  <c r="BU81" i="69"/>
  <c r="CG81" i="69"/>
  <c r="BX58" i="69"/>
  <c r="BY58" i="69"/>
  <c r="BZ58" i="69"/>
  <c r="BO58" i="69"/>
  <c r="CA58" i="69"/>
  <c r="BP58" i="69"/>
  <c r="CB58" i="69"/>
  <c r="BQ58" i="69"/>
  <c r="CC58" i="69"/>
  <c r="BR58" i="69"/>
  <c r="CD58" i="69"/>
  <c r="BS58" i="69"/>
  <c r="CE58" i="69"/>
  <c r="BT58" i="69"/>
  <c r="CF58" i="69"/>
  <c r="BU58" i="69"/>
  <c r="CG58" i="69"/>
  <c r="BV58" i="69"/>
  <c r="CH58" i="69"/>
  <c r="BW58" i="69"/>
  <c r="BT60" i="69"/>
  <c r="CF60" i="69"/>
  <c r="BU60" i="69"/>
  <c r="CG60" i="69"/>
  <c r="BV60" i="69"/>
  <c r="CH60" i="69"/>
  <c r="BW60" i="69"/>
  <c r="BX60" i="69"/>
  <c r="BY60" i="69"/>
  <c r="BZ60" i="69"/>
  <c r="BO60" i="69"/>
  <c r="CA60" i="69"/>
  <c r="BP60" i="69"/>
  <c r="CB60" i="69"/>
  <c r="BQ60" i="69"/>
  <c r="CC60" i="69"/>
  <c r="BR60" i="69"/>
  <c r="CD60" i="69"/>
  <c r="BS60" i="69"/>
  <c r="CE60" i="69"/>
  <c r="BZ97" i="69"/>
  <c r="BO97" i="69"/>
  <c r="CA97" i="69"/>
  <c r="BP97" i="69"/>
  <c r="CB97" i="69"/>
  <c r="BQ97" i="69"/>
  <c r="CC97" i="69"/>
  <c r="BR97" i="69"/>
  <c r="CD97" i="69"/>
  <c r="BS97" i="69"/>
  <c r="CE97" i="69"/>
  <c r="BT97" i="69"/>
  <c r="CF97" i="69"/>
  <c r="BU97" i="69"/>
  <c r="CG97" i="69"/>
  <c r="BV97" i="69"/>
  <c r="CH97" i="69"/>
  <c r="BW97" i="69"/>
  <c r="BX97" i="69"/>
  <c r="BY97" i="69"/>
  <c r="BV102" i="69"/>
  <c r="CH102" i="69"/>
  <c r="BW102" i="69"/>
  <c r="BX102" i="69"/>
  <c r="BY102" i="69"/>
  <c r="BZ102" i="69"/>
  <c r="BO102" i="69"/>
  <c r="CA102" i="69"/>
  <c r="BP102" i="69"/>
  <c r="CB102" i="69"/>
  <c r="BQ102" i="69"/>
  <c r="CC102" i="69"/>
  <c r="BR102" i="69"/>
  <c r="CD102" i="69"/>
  <c r="BS102" i="69"/>
  <c r="CE102" i="69"/>
  <c r="BT102" i="69"/>
  <c r="CF102" i="69"/>
  <c r="BU102" i="69"/>
  <c r="CG102" i="69"/>
  <c r="BW11" i="69"/>
  <c r="BX11" i="69"/>
  <c r="CE11" i="69"/>
  <c r="CH11" i="69"/>
  <c r="BY11" i="69"/>
  <c r="BZ11" i="69"/>
  <c r="BS11" i="69"/>
  <c r="BV11" i="69"/>
  <c r="BO11" i="69"/>
  <c r="CA11" i="69"/>
  <c r="CF11" i="69"/>
  <c r="BP11" i="69"/>
  <c r="CB11" i="69"/>
  <c r="BT11" i="69"/>
  <c r="BQ11" i="69"/>
  <c r="CC11" i="69"/>
  <c r="BR11" i="69"/>
  <c r="CD11" i="69"/>
  <c r="BU11" i="69"/>
  <c r="CG11" i="69"/>
  <c r="BV93" i="69"/>
  <c r="CH93" i="69"/>
  <c r="BW93" i="69"/>
  <c r="BX93" i="69"/>
  <c r="BY93" i="69"/>
  <c r="BZ93" i="69"/>
  <c r="BO93" i="69"/>
  <c r="CA93" i="69"/>
  <c r="BP93" i="69"/>
  <c r="CB93" i="69"/>
  <c r="BQ93" i="69"/>
  <c r="CC93" i="69"/>
  <c r="BR93" i="69"/>
  <c r="CD93" i="69"/>
  <c r="BS93" i="69"/>
  <c r="CE93" i="69"/>
  <c r="BT93" i="69"/>
  <c r="CF93" i="69"/>
  <c r="BU93" i="69"/>
  <c r="CG93" i="69"/>
  <c r="BX55" i="69"/>
  <c r="BY55" i="69"/>
  <c r="BZ55" i="69"/>
  <c r="BO55" i="69"/>
  <c r="CA55" i="69"/>
  <c r="BP55" i="69"/>
  <c r="CB55" i="69"/>
  <c r="BQ55" i="69"/>
  <c r="CC55" i="69"/>
  <c r="BR55" i="69"/>
  <c r="CD55" i="69"/>
  <c r="BS55" i="69"/>
  <c r="CE55" i="69"/>
  <c r="BT55" i="69"/>
  <c r="CF55" i="69"/>
  <c r="BU55" i="69"/>
  <c r="CG55" i="69"/>
  <c r="BV55" i="69"/>
  <c r="CH55" i="69"/>
  <c r="BW55" i="69"/>
  <c r="BV96" i="69"/>
  <c r="CH96" i="69"/>
  <c r="BW96" i="69"/>
  <c r="BX96" i="69"/>
  <c r="BY96" i="69"/>
  <c r="BZ96" i="69"/>
  <c r="BO96" i="69"/>
  <c r="CA96" i="69"/>
  <c r="BP96" i="69"/>
  <c r="CB96" i="69"/>
  <c r="BQ96" i="69"/>
  <c r="CC96" i="69"/>
  <c r="BR96" i="69"/>
  <c r="CD96" i="69"/>
  <c r="BS96" i="69"/>
  <c r="CE96" i="69"/>
  <c r="BT96" i="69"/>
  <c r="CF96" i="69"/>
  <c r="BU96" i="69"/>
  <c r="CG96" i="69"/>
  <c r="BP59" i="69"/>
  <c r="CB59" i="69"/>
  <c r="BQ59" i="69"/>
  <c r="CC59" i="69"/>
  <c r="BR59" i="69"/>
  <c r="CD59" i="69"/>
  <c r="BS59" i="69"/>
  <c r="CE59" i="69"/>
  <c r="BT59" i="69"/>
  <c r="CF59" i="69"/>
  <c r="BU59" i="69"/>
  <c r="CG59" i="69"/>
  <c r="BV59" i="69"/>
  <c r="CH59" i="69"/>
  <c r="BW59" i="69"/>
  <c r="BX59" i="69"/>
  <c r="BY59" i="69"/>
  <c r="BZ59" i="69"/>
  <c r="BO59" i="69"/>
  <c r="CA59" i="69"/>
  <c r="BR98" i="69"/>
  <c r="CD98" i="69"/>
  <c r="BS98" i="69"/>
  <c r="CE98" i="69"/>
  <c r="BT98" i="69"/>
  <c r="CF98" i="69"/>
  <c r="BU98" i="69"/>
  <c r="CG98" i="69"/>
  <c r="BV98" i="69"/>
  <c r="CH98" i="69"/>
  <c r="BW98" i="69"/>
  <c r="BX98" i="69"/>
  <c r="BY98" i="69"/>
  <c r="BZ98" i="69"/>
  <c r="BO98" i="69"/>
  <c r="CA98" i="69"/>
  <c r="BP98" i="69"/>
  <c r="CB98" i="69"/>
  <c r="BQ98" i="69"/>
  <c r="CC98" i="69"/>
  <c r="BZ94" i="69"/>
  <c r="BO94" i="69"/>
  <c r="CA94" i="69"/>
  <c r="BP94" i="69"/>
  <c r="CB94" i="69"/>
  <c r="BQ94" i="69"/>
  <c r="CC94" i="69"/>
  <c r="BR94" i="69"/>
  <c r="CD94" i="69"/>
  <c r="BS94" i="69"/>
  <c r="CE94" i="69"/>
  <c r="BT94" i="69"/>
  <c r="CF94" i="69"/>
  <c r="BU94" i="69"/>
  <c r="CG94" i="69"/>
  <c r="BV94" i="69"/>
  <c r="CH94" i="69"/>
  <c r="BW94" i="69"/>
  <c r="BX94" i="69"/>
  <c r="BY94" i="69"/>
  <c r="BP50" i="69"/>
  <c r="CB50" i="69"/>
  <c r="BQ50" i="69"/>
  <c r="CC50" i="69"/>
  <c r="BR50" i="69"/>
  <c r="CD50" i="69"/>
  <c r="BS50" i="69"/>
  <c r="CE50" i="69"/>
  <c r="BT50" i="69"/>
  <c r="CF50" i="69"/>
  <c r="BU50" i="69"/>
  <c r="CG50" i="69"/>
  <c r="BV50" i="69"/>
  <c r="CH50" i="69"/>
  <c r="BW50" i="69"/>
  <c r="BX50" i="69"/>
  <c r="BY50" i="69"/>
  <c r="BZ50" i="69"/>
  <c r="BO50" i="69"/>
  <c r="CA50" i="69"/>
  <c r="BX13" i="69"/>
  <c r="BY13" i="69"/>
  <c r="BZ13" i="69"/>
  <c r="BO13" i="69"/>
  <c r="CA13" i="69"/>
  <c r="BP13" i="69"/>
  <c r="CB13" i="69"/>
  <c r="BQ13" i="69"/>
  <c r="CC13" i="69"/>
  <c r="BR13" i="69"/>
  <c r="CD13" i="69"/>
  <c r="BS13" i="69"/>
  <c r="CE13" i="69"/>
  <c r="BT13" i="69"/>
  <c r="CF13" i="69"/>
  <c r="BU13" i="69"/>
  <c r="CG13" i="69"/>
  <c r="BV13" i="69"/>
  <c r="CH13" i="69"/>
  <c r="BW13" i="69"/>
  <c r="BX61" i="69"/>
  <c r="BY61" i="69"/>
  <c r="BZ61" i="69"/>
  <c r="BO61" i="69"/>
  <c r="CA61" i="69"/>
  <c r="BP61" i="69"/>
  <c r="CB61" i="69"/>
  <c r="BQ61" i="69"/>
  <c r="CC61" i="69"/>
  <c r="BR61" i="69"/>
  <c r="CD61" i="69"/>
  <c r="BS61" i="69"/>
  <c r="CE61" i="69"/>
  <c r="BT61" i="69"/>
  <c r="BU61" i="69"/>
  <c r="CG61" i="69"/>
  <c r="BV61" i="69"/>
  <c r="CH61" i="69"/>
  <c r="BW61" i="69"/>
  <c r="CF61" i="69"/>
  <c r="BR64" i="69"/>
  <c r="CD64" i="69"/>
  <c r="BS64" i="69"/>
  <c r="CE64" i="69"/>
  <c r="BT64" i="69"/>
  <c r="CF64" i="69"/>
  <c r="BU64" i="69"/>
  <c r="CG64" i="69"/>
  <c r="BV64" i="69"/>
  <c r="CH64" i="69"/>
  <c r="BW64" i="69"/>
  <c r="BX64" i="69"/>
  <c r="BY64" i="69"/>
  <c r="BZ64" i="69"/>
  <c r="BO64" i="69"/>
  <c r="CA64" i="69"/>
  <c r="BP64" i="69"/>
  <c r="CB64" i="69"/>
  <c r="BQ64" i="69"/>
  <c r="CC64" i="69"/>
  <c r="BZ100" i="69"/>
  <c r="BO100" i="69"/>
  <c r="CA100" i="69"/>
  <c r="BP100" i="69"/>
  <c r="CB100" i="69"/>
  <c r="BQ100" i="69"/>
  <c r="CC100" i="69"/>
  <c r="BR100" i="69"/>
  <c r="CD100" i="69"/>
  <c r="BS100" i="69"/>
  <c r="CE100" i="69"/>
  <c r="BT100" i="69"/>
  <c r="CF100" i="69"/>
  <c r="BU100" i="69"/>
  <c r="CG100" i="69"/>
  <c r="BV100" i="69"/>
  <c r="CH100" i="69"/>
  <c r="BW100" i="69"/>
  <c r="BX100" i="69"/>
  <c r="BY100" i="69"/>
  <c r="BX49" i="69"/>
  <c r="BY49" i="69"/>
  <c r="BZ49" i="69"/>
  <c r="BO49" i="69"/>
  <c r="CA49" i="69"/>
  <c r="BP49" i="69"/>
  <c r="CB49" i="69"/>
  <c r="BQ49" i="69"/>
  <c r="CC49" i="69"/>
  <c r="BR49" i="69"/>
  <c r="CD49" i="69"/>
  <c r="BS49" i="69"/>
  <c r="CE49" i="69"/>
  <c r="BT49" i="69"/>
  <c r="CF49" i="69"/>
  <c r="BU49" i="69"/>
  <c r="CG49" i="69"/>
  <c r="BV49" i="69"/>
  <c r="CH49" i="69"/>
  <c r="BW49" i="69"/>
  <c r="BT45" i="69"/>
  <c r="CF45" i="69"/>
  <c r="BU45" i="69"/>
  <c r="CG45" i="69"/>
  <c r="BV45" i="69"/>
  <c r="CH45" i="69"/>
  <c r="BW45" i="69"/>
  <c r="BX45" i="69"/>
  <c r="BY45" i="69"/>
  <c r="BZ45" i="69"/>
  <c r="BO45" i="69"/>
  <c r="CA45" i="69"/>
  <c r="BP45" i="69"/>
  <c r="CB45" i="69"/>
  <c r="BQ45" i="69"/>
  <c r="CC45" i="69"/>
  <c r="BR45" i="69"/>
  <c r="CD45" i="69"/>
  <c r="BS45" i="69"/>
  <c r="CE45" i="69"/>
  <c r="BP62" i="69"/>
  <c r="CB62" i="69"/>
  <c r="BQ62" i="69"/>
  <c r="CC62" i="69"/>
  <c r="BR62" i="69"/>
  <c r="CD62" i="69"/>
  <c r="BS62" i="69"/>
  <c r="BT62" i="69"/>
  <c r="CF62" i="69"/>
  <c r="BU62" i="69"/>
  <c r="BV62" i="69"/>
  <c r="CH62" i="69"/>
  <c r="BW62" i="69"/>
  <c r="BY62" i="69"/>
  <c r="BZ62" i="69"/>
  <c r="CG62" i="69"/>
  <c r="BO62" i="69"/>
  <c r="BX62" i="69"/>
  <c r="CA62" i="69"/>
  <c r="CE62" i="69"/>
  <c r="BV84" i="69"/>
  <c r="CH84" i="69"/>
  <c r="BW84" i="69"/>
  <c r="BX84" i="69"/>
  <c r="BY84" i="69"/>
  <c r="BZ84" i="69"/>
  <c r="BO84" i="69"/>
  <c r="CA84" i="69"/>
  <c r="BP84" i="69"/>
  <c r="CB84" i="69"/>
  <c r="BQ84" i="69"/>
  <c r="CC84" i="69"/>
  <c r="BR84" i="69"/>
  <c r="CD84" i="69"/>
  <c r="BS84" i="69"/>
  <c r="CE84" i="69"/>
  <c r="BT84" i="69"/>
  <c r="CF84" i="69"/>
  <c r="BU84" i="69"/>
  <c r="CG84" i="69"/>
  <c r="BZ82" i="69"/>
  <c r="BO82" i="69"/>
  <c r="CA82" i="69"/>
  <c r="BP82" i="69"/>
  <c r="CB82" i="69"/>
  <c r="BQ82" i="69"/>
  <c r="CC82" i="69"/>
  <c r="BR82" i="69"/>
  <c r="CD82" i="69"/>
  <c r="BS82" i="69"/>
  <c r="CE82" i="69"/>
  <c r="BT82" i="69"/>
  <c r="CF82" i="69"/>
  <c r="BU82" i="69"/>
  <c r="CG82" i="69"/>
  <c r="BV82" i="69"/>
  <c r="CH82" i="69"/>
  <c r="BW82" i="69"/>
  <c r="BX82" i="69"/>
  <c r="BY82" i="69"/>
  <c r="BZ79" i="69"/>
  <c r="BO79" i="69"/>
  <c r="CA79" i="69"/>
  <c r="BP79" i="69"/>
  <c r="CB79" i="69"/>
  <c r="BQ79" i="69"/>
  <c r="CC79" i="69"/>
  <c r="BR79" i="69"/>
  <c r="CD79" i="69"/>
  <c r="BS79" i="69"/>
  <c r="CE79" i="69"/>
  <c r="BT79" i="69"/>
  <c r="CF79" i="69"/>
  <c r="BU79" i="69"/>
  <c r="CG79" i="69"/>
  <c r="BV79" i="69"/>
  <c r="CH79" i="69"/>
  <c r="BW79" i="69"/>
  <c r="BX79" i="69"/>
  <c r="BY79" i="69"/>
  <c r="BX43" i="69"/>
  <c r="BY43" i="69"/>
  <c r="BZ43" i="69"/>
  <c r="BO43" i="69"/>
  <c r="CA43" i="69"/>
  <c r="BP43" i="69"/>
  <c r="CB43" i="69"/>
  <c r="BQ43" i="69"/>
  <c r="CC43" i="69"/>
  <c r="BR43" i="69"/>
  <c r="CD43" i="69"/>
  <c r="BS43" i="69"/>
  <c r="CE43" i="69"/>
  <c r="BT43" i="69"/>
  <c r="CF43" i="69"/>
  <c r="BU43" i="69"/>
  <c r="CG43" i="69"/>
  <c r="BV43" i="69"/>
  <c r="CH43" i="69"/>
  <c r="BW43" i="69"/>
  <c r="BP44" i="69"/>
  <c r="CB44" i="69"/>
  <c r="BQ44" i="69"/>
  <c r="CC44" i="69"/>
  <c r="BR44" i="69"/>
  <c r="CD44" i="69"/>
  <c r="BS44" i="69"/>
  <c r="CE44" i="69"/>
  <c r="BT44" i="69"/>
  <c r="CF44" i="69"/>
  <c r="BU44" i="69"/>
  <c r="CG44" i="69"/>
  <c r="BV44" i="69"/>
  <c r="CH44" i="69"/>
  <c r="BW44" i="69"/>
  <c r="BX44" i="69"/>
  <c r="BY44" i="69"/>
  <c r="BZ44" i="69"/>
  <c r="BO44" i="69"/>
  <c r="CA44" i="69"/>
  <c r="BT48" i="69"/>
  <c r="CF48" i="69"/>
  <c r="BU48" i="69"/>
  <c r="CG48" i="69"/>
  <c r="BV48" i="69"/>
  <c r="CH48" i="69"/>
  <c r="BW48" i="69"/>
  <c r="BX48" i="69"/>
  <c r="BY48" i="69"/>
  <c r="BZ48" i="69"/>
  <c r="BO48" i="69"/>
  <c r="CA48" i="69"/>
  <c r="BP48" i="69"/>
  <c r="CB48" i="69"/>
  <c r="BQ48" i="69"/>
  <c r="CC48" i="69"/>
  <c r="BR48" i="69"/>
  <c r="CD48" i="69"/>
  <c r="BS48" i="69"/>
  <c r="CE48" i="69"/>
  <c r="BV87" i="69"/>
  <c r="CH87" i="69"/>
  <c r="BW87" i="69"/>
  <c r="BX87" i="69"/>
  <c r="BY87" i="69"/>
  <c r="BZ87" i="69"/>
  <c r="BO87" i="69"/>
  <c r="CA87" i="69"/>
  <c r="BP87" i="69"/>
  <c r="CB87" i="69"/>
  <c r="BQ87" i="69"/>
  <c r="CC87" i="69"/>
  <c r="BR87" i="69"/>
  <c r="CD87" i="69"/>
  <c r="BS87" i="69"/>
  <c r="CE87" i="69"/>
  <c r="BT87" i="69"/>
  <c r="CF87" i="69"/>
  <c r="BU87" i="69"/>
  <c r="CG87" i="69"/>
  <c r="BT42" i="69"/>
  <c r="CF42" i="69"/>
  <c r="BU42" i="69"/>
  <c r="CG42" i="69"/>
  <c r="BV42" i="69"/>
  <c r="CH42" i="69"/>
  <c r="BW42" i="69"/>
  <c r="BX42" i="69"/>
  <c r="BY42" i="69"/>
  <c r="BZ42" i="69"/>
  <c r="BO42" i="69"/>
  <c r="CA42" i="69"/>
  <c r="BP42" i="69"/>
  <c r="CB42" i="69"/>
  <c r="BQ42" i="69"/>
  <c r="CC42" i="69"/>
  <c r="BR42" i="69"/>
  <c r="CD42" i="69"/>
  <c r="BS42" i="69"/>
  <c r="CE42" i="69"/>
  <c r="BV99" i="69"/>
  <c r="CH99" i="69"/>
  <c r="BW99" i="69"/>
  <c r="BX99" i="69"/>
  <c r="BY99" i="69"/>
  <c r="BZ99" i="69"/>
  <c r="BO99" i="69"/>
  <c r="CA99" i="69"/>
  <c r="BP99" i="69"/>
  <c r="CB99" i="69"/>
  <c r="BQ99" i="69"/>
  <c r="CC99" i="69"/>
  <c r="BR99" i="69"/>
  <c r="CD99" i="69"/>
  <c r="BS99" i="69"/>
  <c r="CE99" i="69"/>
  <c r="BT99" i="69"/>
  <c r="CF99" i="69"/>
  <c r="BU99" i="69"/>
  <c r="CG99" i="69"/>
  <c r="BR101" i="69"/>
  <c r="CD101" i="69"/>
  <c r="BS101" i="69"/>
  <c r="CE101" i="69"/>
  <c r="BT101" i="69"/>
  <c r="CF101" i="69"/>
  <c r="BU101" i="69"/>
  <c r="CG101" i="69"/>
  <c r="BV101" i="69"/>
  <c r="CH101" i="69"/>
  <c r="BW101" i="69"/>
  <c r="BX101" i="69"/>
  <c r="BY101" i="69"/>
  <c r="BZ101" i="69"/>
  <c r="BO101" i="69"/>
  <c r="CA101" i="69"/>
  <c r="BP101" i="69"/>
  <c r="CB101" i="69"/>
  <c r="BQ101" i="69"/>
  <c r="CC101" i="69"/>
  <c r="BR95" i="69"/>
  <c r="CD95" i="69"/>
  <c r="BS95" i="69"/>
  <c r="CE95" i="69"/>
  <c r="BT95" i="69"/>
  <c r="CF95" i="69"/>
  <c r="BU95" i="69"/>
  <c r="CG95" i="69"/>
  <c r="BV95" i="69"/>
  <c r="CH95" i="69"/>
  <c r="BW95" i="69"/>
  <c r="BX95" i="69"/>
  <c r="BY95" i="69"/>
  <c r="BZ95" i="69"/>
  <c r="BO95" i="69"/>
  <c r="CA95" i="69"/>
  <c r="BP95" i="69"/>
  <c r="CB95" i="69"/>
  <c r="BQ95" i="69"/>
  <c r="CC95" i="69"/>
  <c r="BR83" i="69"/>
  <c r="CD83" i="69"/>
  <c r="BS83" i="69"/>
  <c r="CE83" i="69"/>
  <c r="BT83" i="69"/>
  <c r="CF83" i="69"/>
  <c r="BU83" i="69"/>
  <c r="CG83" i="69"/>
  <c r="BV83" i="69"/>
  <c r="CH83" i="69"/>
  <c r="BW83" i="69"/>
  <c r="BX83" i="69"/>
  <c r="BY83" i="69"/>
  <c r="BZ83" i="69"/>
  <c r="BO83" i="69"/>
  <c r="CA83" i="69"/>
  <c r="BP83" i="69"/>
  <c r="CB83" i="69"/>
  <c r="BQ83" i="69"/>
  <c r="CC83" i="69"/>
  <c r="BP41" i="69"/>
  <c r="CB41" i="69"/>
  <c r="BQ41" i="69"/>
  <c r="CC41" i="69"/>
  <c r="BR41" i="69"/>
  <c r="CD41" i="69"/>
  <c r="BS41" i="69"/>
  <c r="CE41" i="69"/>
  <c r="BT41" i="69"/>
  <c r="CF41" i="69"/>
  <c r="BU41" i="69"/>
  <c r="CG41" i="69"/>
  <c r="BV41" i="69"/>
  <c r="CH41" i="69"/>
  <c r="BW41" i="69"/>
  <c r="BX41" i="69"/>
  <c r="BY41" i="69"/>
  <c r="BZ41" i="69"/>
  <c r="BO41" i="69"/>
  <c r="CA41" i="69"/>
  <c r="BK86" i="69"/>
  <c r="BL86" i="69"/>
  <c r="BM86" i="69"/>
  <c r="BN86" i="69"/>
  <c r="BJ86" i="69"/>
  <c r="BJ88" i="69"/>
  <c r="BK88" i="69"/>
  <c r="BL88" i="69"/>
  <c r="BM88" i="69"/>
  <c r="BN88" i="69"/>
  <c r="BJ46" i="69"/>
  <c r="BK46" i="69"/>
  <c r="BL46" i="69"/>
  <c r="BM46" i="69"/>
  <c r="BN46" i="69"/>
  <c r="BJ47" i="69"/>
  <c r="BK47" i="69"/>
  <c r="BL47" i="69"/>
  <c r="BM47" i="69"/>
  <c r="BN47" i="69"/>
  <c r="BL63" i="69"/>
  <c r="BM63" i="69"/>
  <c r="BN63" i="69"/>
  <c r="BJ63" i="69"/>
  <c r="BK63" i="69"/>
  <c r="BJ56" i="69"/>
  <c r="BK56" i="69"/>
  <c r="BL56" i="69"/>
  <c r="BM56" i="69"/>
  <c r="BN56" i="69"/>
  <c r="BJ57" i="69"/>
  <c r="BJ80" i="69"/>
  <c r="BK80" i="69"/>
  <c r="BL80" i="69"/>
  <c r="BM80" i="69"/>
  <c r="BN80" i="69"/>
  <c r="BL85" i="69"/>
  <c r="BM85" i="69"/>
  <c r="BN85" i="69"/>
  <c r="BJ85" i="69"/>
  <c r="BK85" i="69"/>
  <c r="BJ81" i="69"/>
  <c r="BK81" i="69"/>
  <c r="BL81" i="69"/>
  <c r="BM81" i="69"/>
  <c r="BN81" i="69"/>
  <c r="BJ58" i="69"/>
  <c r="BK58" i="69"/>
  <c r="BL58" i="69"/>
  <c r="BM58" i="69"/>
  <c r="BN58" i="69"/>
  <c r="BJ60" i="69"/>
  <c r="BK60" i="69"/>
  <c r="BL60" i="69"/>
  <c r="BM60" i="69"/>
  <c r="BN60" i="69"/>
  <c r="BL97" i="69"/>
  <c r="BM97" i="69"/>
  <c r="BN97" i="69"/>
  <c r="BJ97" i="69"/>
  <c r="BK97" i="69"/>
  <c r="BJ102" i="69"/>
  <c r="BK102" i="69"/>
  <c r="BL102" i="69"/>
  <c r="BM102" i="69"/>
  <c r="BN102" i="69"/>
  <c r="BE102" i="69"/>
  <c r="BG102" i="69"/>
  <c r="BI102" i="69"/>
  <c r="BF102" i="69"/>
  <c r="BH102" i="69"/>
  <c r="BJ93" i="69"/>
  <c r="BK93" i="69"/>
  <c r="BL93" i="69"/>
  <c r="BM93" i="69"/>
  <c r="BN93" i="69"/>
  <c r="BJ55" i="69"/>
  <c r="BK55" i="69"/>
  <c r="BL55" i="69"/>
  <c r="BM55" i="69"/>
  <c r="BN55" i="69"/>
  <c r="BM96" i="69"/>
  <c r="BN96" i="69"/>
  <c r="BJ96" i="69"/>
  <c r="BK96" i="69"/>
  <c r="BL96" i="69"/>
  <c r="BJ59" i="69"/>
  <c r="BK59" i="69"/>
  <c r="BL59" i="69"/>
  <c r="BM59" i="69"/>
  <c r="BN59" i="69"/>
  <c r="BK98" i="69"/>
  <c r="BL98" i="69"/>
  <c r="BM98" i="69"/>
  <c r="BN98" i="69"/>
  <c r="BJ98" i="69"/>
  <c r="BJ94" i="69"/>
  <c r="BK94" i="69"/>
  <c r="BL94" i="69"/>
  <c r="BM94" i="69"/>
  <c r="BN94" i="69"/>
  <c r="BM50" i="69"/>
  <c r="BN50" i="69"/>
  <c r="BJ50" i="69"/>
  <c r="BK50" i="69"/>
  <c r="BL50" i="69"/>
  <c r="BN13" i="69"/>
  <c r="BJ13" i="69"/>
  <c r="BK13" i="69"/>
  <c r="BL13" i="69"/>
  <c r="BM13" i="69"/>
  <c r="BN61" i="69"/>
  <c r="BJ61" i="69"/>
  <c r="BK61" i="69"/>
  <c r="BL61" i="69"/>
  <c r="BM61" i="69"/>
  <c r="BK64" i="69"/>
  <c r="BL64" i="69"/>
  <c r="BM64" i="69"/>
  <c r="BN64" i="69"/>
  <c r="BJ64" i="69"/>
  <c r="BJ100" i="69"/>
  <c r="BK100" i="69"/>
  <c r="BL100" i="69"/>
  <c r="BM100" i="69"/>
  <c r="BN100" i="69"/>
  <c r="BN49" i="69"/>
  <c r="BJ49" i="69"/>
  <c r="BK49" i="69"/>
  <c r="BL49" i="69"/>
  <c r="BM49" i="69"/>
  <c r="BJ45" i="69"/>
  <c r="BK45" i="69"/>
  <c r="BL45" i="69"/>
  <c r="BM45" i="69"/>
  <c r="BN45" i="69"/>
  <c r="BM62" i="69"/>
  <c r="BN62" i="69"/>
  <c r="BJ62" i="69"/>
  <c r="BK62" i="69"/>
  <c r="BL62" i="69"/>
  <c r="BM84" i="69"/>
  <c r="BN84" i="69"/>
  <c r="BJ84" i="69"/>
  <c r="BK84" i="69"/>
  <c r="BL84" i="69"/>
  <c r="BJ82" i="69"/>
  <c r="BK82" i="69"/>
  <c r="BL82" i="69"/>
  <c r="BM82" i="69"/>
  <c r="BN82" i="69"/>
  <c r="BJ79" i="69"/>
  <c r="BK79" i="69"/>
  <c r="BL79" i="69"/>
  <c r="BM79" i="69"/>
  <c r="BN79" i="69"/>
  <c r="BJ43" i="69"/>
  <c r="BK43" i="69"/>
  <c r="BL43" i="69"/>
  <c r="BM43" i="69"/>
  <c r="BN43" i="69"/>
  <c r="BJ11" i="69"/>
  <c r="BK11" i="69"/>
  <c r="BL11" i="69"/>
  <c r="BM11" i="69"/>
  <c r="BN11" i="69"/>
  <c r="BJ44" i="69"/>
  <c r="BK44" i="69"/>
  <c r="BL44" i="69"/>
  <c r="BM44" i="69"/>
  <c r="BN44" i="69"/>
  <c r="BJ48" i="69"/>
  <c r="BK48" i="69"/>
  <c r="BL48" i="69"/>
  <c r="BM48" i="69"/>
  <c r="BN48" i="69"/>
  <c r="BJ87" i="69"/>
  <c r="BK87" i="69"/>
  <c r="BL87" i="69"/>
  <c r="BM87" i="69"/>
  <c r="BN87" i="69"/>
  <c r="BJ42" i="69"/>
  <c r="BK42" i="69"/>
  <c r="BL42" i="69"/>
  <c r="BM42" i="69"/>
  <c r="BN42" i="69"/>
  <c r="BJ99" i="69"/>
  <c r="BK99" i="69"/>
  <c r="BL99" i="69"/>
  <c r="BM99" i="69"/>
  <c r="BN99" i="69"/>
  <c r="BJ101" i="69"/>
  <c r="BK101" i="69"/>
  <c r="BL101" i="69"/>
  <c r="BM101" i="69"/>
  <c r="BN101" i="69"/>
  <c r="BN95" i="69"/>
  <c r="BJ95" i="69"/>
  <c r="BK95" i="69"/>
  <c r="BL95" i="69"/>
  <c r="BM95" i="69"/>
  <c r="BN83" i="69"/>
  <c r="BJ83" i="69"/>
  <c r="BK83" i="69"/>
  <c r="BL83" i="69"/>
  <c r="BM83" i="69"/>
  <c r="BJ41" i="69"/>
  <c r="BK41" i="69"/>
  <c r="BL41" i="69"/>
  <c r="BM41" i="69"/>
  <c r="BN41" i="69"/>
  <c r="BA102" i="69"/>
  <c r="AY102" i="69"/>
  <c r="AV102" i="69"/>
  <c r="AW102" i="69"/>
  <c r="AZ102" i="69"/>
  <c r="AX102" i="69"/>
  <c r="AQ102" i="69"/>
  <c r="BC102" i="69"/>
  <c r="AT102" i="69"/>
  <c r="AR102" i="69"/>
  <c r="AU102" i="69"/>
  <c r="BB102" i="69"/>
  <c r="BD102" i="69"/>
  <c r="AP102" i="69"/>
  <c r="AS102" i="69"/>
  <c r="AK102" i="69"/>
  <c r="AM102" i="69"/>
  <c r="AO102" i="69"/>
  <c r="AN102" i="69"/>
  <c r="AL102" i="69"/>
  <c r="BE58" i="69"/>
  <c r="BF58" i="69"/>
  <c r="BG58" i="69"/>
  <c r="BH58" i="69"/>
  <c r="BI58" i="69"/>
  <c r="BE60" i="69"/>
  <c r="BF60" i="69"/>
  <c r="BG60" i="69"/>
  <c r="BH60" i="69"/>
  <c r="BI60" i="69"/>
  <c r="BE97" i="69"/>
  <c r="BF97" i="69"/>
  <c r="BG97" i="69"/>
  <c r="BH97" i="69"/>
  <c r="BI97" i="69"/>
  <c r="BE93" i="69"/>
  <c r="BF93" i="69"/>
  <c r="BG93" i="69"/>
  <c r="BH93" i="69"/>
  <c r="BI93" i="69"/>
  <c r="BE55" i="69"/>
  <c r="BF55" i="69"/>
  <c r="BG55" i="69"/>
  <c r="BH55" i="69"/>
  <c r="BI55" i="69"/>
  <c r="BE96" i="69"/>
  <c r="BF96" i="69"/>
  <c r="BG96" i="69"/>
  <c r="BH96" i="69"/>
  <c r="BI96" i="69"/>
  <c r="BE59" i="69"/>
  <c r="BF59" i="69"/>
  <c r="BG59" i="69"/>
  <c r="BH59" i="69"/>
  <c r="BI59" i="69"/>
  <c r="BE98" i="69"/>
  <c r="BF98" i="69"/>
  <c r="BG98" i="69"/>
  <c r="BH98" i="69"/>
  <c r="BI98" i="69"/>
  <c r="BE94" i="69"/>
  <c r="BF94" i="69"/>
  <c r="BG94" i="69"/>
  <c r="BH94" i="69"/>
  <c r="BI94" i="69"/>
  <c r="BE50" i="69"/>
  <c r="BF50" i="69"/>
  <c r="BG50" i="69"/>
  <c r="BH50" i="69"/>
  <c r="BI50" i="69"/>
  <c r="BE13" i="69"/>
  <c r="BF13" i="69"/>
  <c r="BG13" i="69"/>
  <c r="BH13" i="69"/>
  <c r="BI13" i="69"/>
  <c r="BE61" i="69"/>
  <c r="BF61" i="69"/>
  <c r="BG61" i="69"/>
  <c r="BH61" i="69"/>
  <c r="BI61" i="69"/>
  <c r="BE64" i="69"/>
  <c r="BF64" i="69"/>
  <c r="BG64" i="69"/>
  <c r="BH64" i="69"/>
  <c r="BI64" i="69"/>
  <c r="BE100" i="69"/>
  <c r="BF100" i="69"/>
  <c r="BG100" i="69"/>
  <c r="BH100" i="69"/>
  <c r="BI100" i="69"/>
  <c r="BE49" i="69"/>
  <c r="BF49" i="69"/>
  <c r="BG49" i="69"/>
  <c r="BH49" i="69"/>
  <c r="BI49" i="69"/>
  <c r="BE45" i="69"/>
  <c r="BF45" i="69"/>
  <c r="BG45" i="69"/>
  <c r="BH45" i="69"/>
  <c r="BI45" i="69"/>
  <c r="BE62" i="69"/>
  <c r="BF62" i="69"/>
  <c r="BG62" i="69"/>
  <c r="BH62" i="69"/>
  <c r="BI62" i="69"/>
  <c r="BE84" i="69"/>
  <c r="BF84" i="69"/>
  <c r="BG84" i="69"/>
  <c r="BH84" i="69"/>
  <c r="BI84" i="69"/>
  <c r="BE82" i="69"/>
  <c r="BF82" i="69"/>
  <c r="BG82" i="69"/>
  <c r="BH82" i="69"/>
  <c r="BI82" i="69"/>
  <c r="BE79" i="69"/>
  <c r="BF79" i="69"/>
  <c r="BG79" i="69"/>
  <c r="BH79" i="69"/>
  <c r="BI79" i="69"/>
  <c r="BE43" i="69"/>
  <c r="BF43" i="69"/>
  <c r="BG43" i="69"/>
  <c r="BH43" i="69"/>
  <c r="BI43" i="69"/>
  <c r="BE44" i="69"/>
  <c r="BF44" i="69"/>
  <c r="BG44" i="69"/>
  <c r="BH44" i="69"/>
  <c r="BI44" i="69"/>
  <c r="BE48" i="69"/>
  <c r="BF48" i="69"/>
  <c r="BG48" i="69"/>
  <c r="BH48" i="69"/>
  <c r="BI48" i="69"/>
  <c r="BE87" i="69"/>
  <c r="BF87" i="69"/>
  <c r="BG87" i="69"/>
  <c r="BH87" i="69"/>
  <c r="BI87" i="69"/>
  <c r="BE42" i="69"/>
  <c r="BF42" i="69"/>
  <c r="BG42" i="69"/>
  <c r="BH42" i="69"/>
  <c r="BI42" i="69"/>
  <c r="BE99" i="69"/>
  <c r="BF99" i="69"/>
  <c r="BG99" i="69"/>
  <c r="BH99" i="69"/>
  <c r="BI99" i="69"/>
  <c r="BE101" i="69"/>
  <c r="BF101" i="69"/>
  <c r="BG101" i="69"/>
  <c r="BH101" i="69"/>
  <c r="BI101" i="69"/>
  <c r="BE95" i="69"/>
  <c r="BF95" i="69"/>
  <c r="BG95" i="69"/>
  <c r="BH95" i="69"/>
  <c r="BI95" i="69"/>
  <c r="BE83" i="69"/>
  <c r="BF83" i="69"/>
  <c r="BG83" i="69"/>
  <c r="BH83" i="69"/>
  <c r="BI83" i="69"/>
  <c r="BE41" i="69"/>
  <c r="BF41" i="69"/>
  <c r="BG41" i="69"/>
  <c r="BH41" i="69"/>
  <c r="BI41" i="69"/>
  <c r="BH11" i="69"/>
  <c r="BE11" i="69"/>
  <c r="BF11" i="69"/>
  <c r="BG11" i="69"/>
  <c r="BI11" i="69"/>
  <c r="BE86" i="69"/>
  <c r="BF86" i="69"/>
  <c r="BG86" i="69"/>
  <c r="BH86" i="69"/>
  <c r="BI86" i="69"/>
  <c r="BE88" i="69"/>
  <c r="BF88" i="69"/>
  <c r="BG88" i="69"/>
  <c r="BH88" i="69"/>
  <c r="BI88" i="69"/>
  <c r="BE46" i="69"/>
  <c r="BF46" i="69"/>
  <c r="BG46" i="69"/>
  <c r="BH46" i="69"/>
  <c r="BI46" i="69"/>
  <c r="BE47" i="69"/>
  <c r="BF47" i="69"/>
  <c r="BG47" i="69"/>
  <c r="BH47" i="69"/>
  <c r="BI47" i="69"/>
  <c r="BE63" i="69"/>
  <c r="BF63" i="69"/>
  <c r="BG63" i="69"/>
  <c r="BH63" i="69"/>
  <c r="BI63" i="69"/>
  <c r="BE56" i="69"/>
  <c r="BF56" i="69"/>
  <c r="BG56" i="69"/>
  <c r="BH56" i="69"/>
  <c r="BI56" i="69"/>
  <c r="BE80" i="69"/>
  <c r="BF80" i="69"/>
  <c r="BG80" i="69"/>
  <c r="BH80" i="69"/>
  <c r="BI80" i="69"/>
  <c r="BE85" i="69"/>
  <c r="BF85" i="69"/>
  <c r="BG85" i="69"/>
  <c r="BH85" i="69"/>
  <c r="BI85" i="69"/>
  <c r="BE81" i="69"/>
  <c r="BF81" i="69"/>
  <c r="BG81" i="69"/>
  <c r="BH81" i="69"/>
  <c r="BI81" i="69"/>
  <c r="AM10" i="25"/>
  <c r="AK10" i="25"/>
  <c r="AO10" i="25"/>
  <c r="N30" i="25"/>
  <c r="Z30" i="25"/>
  <c r="BC99" i="69"/>
  <c r="BD99" i="69"/>
  <c r="BC80" i="69"/>
  <c r="BD80" i="69"/>
  <c r="BC95" i="69"/>
  <c r="BD95" i="69"/>
  <c r="BC83" i="69"/>
  <c r="BD83" i="69"/>
  <c r="BC41" i="69"/>
  <c r="BD41" i="69"/>
  <c r="BD100" i="69"/>
  <c r="BC100" i="69"/>
  <c r="BD50" i="69"/>
  <c r="BC50" i="69"/>
  <c r="BC49" i="69"/>
  <c r="BD49" i="69"/>
  <c r="BD58" i="69"/>
  <c r="BC58" i="69"/>
  <c r="BC88" i="69"/>
  <c r="BD88" i="69"/>
  <c r="BC62" i="69"/>
  <c r="BD62" i="69"/>
  <c r="BC48" i="69"/>
  <c r="BD48" i="69"/>
  <c r="BC55" i="69"/>
  <c r="BD55" i="69"/>
  <c r="BC82" i="69"/>
  <c r="BD82" i="69"/>
  <c r="BC96" i="69"/>
  <c r="BD96" i="69"/>
  <c r="BC56" i="69"/>
  <c r="BD56" i="69"/>
  <c r="BC43" i="69"/>
  <c r="BD43" i="69"/>
  <c r="BC42" i="69"/>
  <c r="BD42" i="69"/>
  <c r="BC44" i="69"/>
  <c r="BD44" i="69"/>
  <c r="BC98" i="69"/>
  <c r="BD98" i="69"/>
  <c r="BC94" i="69"/>
  <c r="BD94" i="69"/>
  <c r="BC87" i="69"/>
  <c r="BD87" i="69"/>
  <c r="BC13" i="69"/>
  <c r="BD13" i="69"/>
  <c r="BC101" i="69"/>
  <c r="BD101" i="69"/>
  <c r="BC59" i="69"/>
  <c r="BD59" i="69"/>
  <c r="BD85" i="69"/>
  <c r="BC85" i="69"/>
  <c r="BC64" i="69"/>
  <c r="BD64" i="69"/>
  <c r="BC81" i="69"/>
  <c r="BD81" i="69"/>
  <c r="BC86" i="69"/>
  <c r="BD86" i="69"/>
  <c r="BC45" i="69"/>
  <c r="BD45" i="69"/>
  <c r="BC46" i="69"/>
  <c r="BD46" i="69"/>
  <c r="BC97" i="69"/>
  <c r="BD97" i="69"/>
  <c r="BD60" i="69"/>
  <c r="BC60" i="69"/>
  <c r="BD93" i="69"/>
  <c r="BC93" i="69"/>
  <c r="BD84" i="69"/>
  <c r="BC84" i="69"/>
  <c r="BC47" i="69"/>
  <c r="BD47" i="69"/>
  <c r="BC79" i="69"/>
  <c r="BD79" i="69"/>
  <c r="AK93" i="69"/>
  <c r="AM93" i="69"/>
  <c r="AL93" i="69"/>
  <c r="AU86" i="69"/>
  <c r="AQ86" i="69"/>
  <c r="AT86" i="69"/>
  <c r="AN86" i="69"/>
  <c r="AY86" i="69"/>
  <c r="BB86" i="69"/>
  <c r="AV86" i="69"/>
  <c r="AR86" i="69"/>
  <c r="AZ86" i="69"/>
  <c r="AO86" i="69"/>
  <c r="AP86" i="69"/>
  <c r="BA86" i="69"/>
  <c r="AW86" i="69"/>
  <c r="AX86" i="69"/>
  <c r="AS86" i="69"/>
  <c r="AK84" i="69"/>
  <c r="AL84" i="69"/>
  <c r="AM84" i="69"/>
  <c r="AS45" i="69"/>
  <c r="BA45" i="69"/>
  <c r="AT45" i="69"/>
  <c r="BB45" i="69"/>
  <c r="AU45" i="69"/>
  <c r="AN45" i="69"/>
  <c r="AV45" i="69"/>
  <c r="AO45" i="69"/>
  <c r="AW45" i="69"/>
  <c r="AP45" i="69"/>
  <c r="AX45" i="69"/>
  <c r="AQ45" i="69"/>
  <c r="AR45" i="69"/>
  <c r="AY45" i="69"/>
  <c r="AZ45" i="69"/>
  <c r="AQ60" i="69"/>
  <c r="AY60" i="69"/>
  <c r="AT60" i="69"/>
  <c r="AO60" i="69"/>
  <c r="BB60" i="69"/>
  <c r="AW60" i="69"/>
  <c r="AR60" i="69"/>
  <c r="AP60" i="69"/>
  <c r="AS60" i="69"/>
  <c r="AN60" i="69"/>
  <c r="AZ60" i="69"/>
  <c r="BA60" i="69"/>
  <c r="AU60" i="69"/>
  <c r="AV60" i="69"/>
  <c r="AX60" i="69"/>
  <c r="AK47" i="69"/>
  <c r="AL47" i="69"/>
  <c r="AM47" i="69"/>
  <c r="AM64" i="69"/>
  <c r="AK64" i="69"/>
  <c r="AL64" i="69"/>
  <c r="AK79" i="69"/>
  <c r="AM79" i="69"/>
  <c r="AL79" i="69"/>
  <c r="AQ46" i="69"/>
  <c r="AY46" i="69"/>
  <c r="AR46" i="69"/>
  <c r="AZ46" i="69"/>
  <c r="AS46" i="69"/>
  <c r="BA46" i="69"/>
  <c r="AT46" i="69"/>
  <c r="BB46" i="69"/>
  <c r="AU46" i="69"/>
  <c r="AN46" i="69"/>
  <c r="AV46" i="69"/>
  <c r="AO46" i="69"/>
  <c r="AP46" i="69"/>
  <c r="AW46" i="69"/>
  <c r="AX46" i="69"/>
  <c r="AN97" i="69"/>
  <c r="AV97" i="69"/>
  <c r="AO97" i="69"/>
  <c r="AW97" i="69"/>
  <c r="AP97" i="69"/>
  <c r="AX97" i="69"/>
  <c r="AR97" i="69"/>
  <c r="AZ97" i="69"/>
  <c r="AS97" i="69"/>
  <c r="BA97" i="69"/>
  <c r="AT97" i="69"/>
  <c r="BB97" i="69"/>
  <c r="AQ97" i="69"/>
  <c r="AU97" i="69"/>
  <c r="AY97" i="69"/>
  <c r="AR93" i="69"/>
  <c r="AQ93" i="69"/>
  <c r="AZ93" i="69"/>
  <c r="AY93" i="69"/>
  <c r="AO93" i="69"/>
  <c r="AP93" i="69"/>
  <c r="AW93" i="69"/>
  <c r="BB93" i="69"/>
  <c r="BA93" i="69"/>
  <c r="AV93" i="69"/>
  <c r="AT93" i="69"/>
  <c r="AS93" i="69"/>
  <c r="AN93" i="69"/>
  <c r="AX93" i="69"/>
  <c r="AU93" i="69"/>
  <c r="AM86" i="69"/>
  <c r="AK86" i="69"/>
  <c r="AL86" i="69"/>
  <c r="AP84" i="69"/>
  <c r="AX84" i="69"/>
  <c r="AU84" i="69"/>
  <c r="AW84" i="69"/>
  <c r="BB84" i="69"/>
  <c r="AY84" i="69"/>
  <c r="AQ84" i="69"/>
  <c r="AO84" i="69"/>
  <c r="AT84" i="69"/>
  <c r="AN84" i="69"/>
  <c r="BA84" i="69"/>
  <c r="AS84" i="69"/>
  <c r="AZ84" i="69"/>
  <c r="AV84" i="69"/>
  <c r="AR84" i="69"/>
  <c r="AM48" i="69"/>
  <c r="AK48" i="69"/>
  <c r="AL48" i="69"/>
  <c r="AL60" i="69"/>
  <c r="AM60" i="69"/>
  <c r="AK60" i="69"/>
  <c r="AO47" i="69"/>
  <c r="AW47" i="69"/>
  <c r="AP47" i="69"/>
  <c r="AX47" i="69"/>
  <c r="AQ47" i="69"/>
  <c r="AY47" i="69"/>
  <c r="AR47" i="69"/>
  <c r="AZ47" i="69"/>
  <c r="AS47" i="69"/>
  <c r="BA47" i="69"/>
  <c r="AT47" i="69"/>
  <c r="BB47" i="69"/>
  <c r="AN47" i="69"/>
  <c r="AU47" i="69"/>
  <c r="AV47" i="69"/>
  <c r="AM42" i="69"/>
  <c r="AL42" i="69"/>
  <c r="AK42" i="69"/>
  <c r="AN79" i="69"/>
  <c r="AV79" i="69"/>
  <c r="AO79" i="69"/>
  <c r="AW79" i="69"/>
  <c r="AP79" i="69"/>
  <c r="AX79" i="69"/>
  <c r="AR79" i="69"/>
  <c r="AZ79" i="69"/>
  <c r="AS79" i="69"/>
  <c r="BA79" i="69"/>
  <c r="AQ79" i="69"/>
  <c r="AT79" i="69"/>
  <c r="AY79" i="69"/>
  <c r="BB79" i="69"/>
  <c r="AU79" i="69"/>
  <c r="AK97" i="69"/>
  <c r="AL97" i="69"/>
  <c r="AM97" i="69"/>
  <c r="AL80" i="69"/>
  <c r="AM80" i="69"/>
  <c r="AK80" i="69"/>
  <c r="AK95" i="69"/>
  <c r="AM95" i="69"/>
  <c r="AL95" i="69"/>
  <c r="AU48" i="69"/>
  <c r="AN48" i="69"/>
  <c r="AV48" i="69"/>
  <c r="AO48" i="69"/>
  <c r="AW48" i="69"/>
  <c r="AQ48" i="69"/>
  <c r="AY48" i="69"/>
  <c r="AR48" i="69"/>
  <c r="AZ48" i="69"/>
  <c r="AP48" i="69"/>
  <c r="AT48" i="69"/>
  <c r="AX48" i="69"/>
  <c r="BA48" i="69"/>
  <c r="AS48" i="69"/>
  <c r="BB48" i="69"/>
  <c r="AQ50" i="69"/>
  <c r="AP50" i="69"/>
  <c r="AY50" i="69"/>
  <c r="AX50" i="69"/>
  <c r="BB50" i="69"/>
  <c r="AN50" i="69"/>
  <c r="AV50" i="69"/>
  <c r="AT50" i="69"/>
  <c r="BA50" i="69"/>
  <c r="AW50" i="69"/>
  <c r="AS50" i="69"/>
  <c r="AZ50" i="69"/>
  <c r="AR50" i="69"/>
  <c r="AO50" i="69"/>
  <c r="AU50" i="69"/>
  <c r="AU42" i="69"/>
  <c r="AT42" i="69"/>
  <c r="AQ42" i="69"/>
  <c r="AX42" i="69"/>
  <c r="BA42" i="69"/>
  <c r="AP42" i="69"/>
  <c r="AS42" i="69"/>
  <c r="BB42" i="69"/>
  <c r="AY42" i="69"/>
  <c r="AW42" i="69"/>
  <c r="AO42" i="69"/>
  <c r="AZ42" i="69"/>
  <c r="AR42" i="69"/>
  <c r="AV42" i="69"/>
  <c r="AN42" i="69"/>
  <c r="AQ99" i="69"/>
  <c r="AY99" i="69"/>
  <c r="AW99" i="69"/>
  <c r="AR99" i="69"/>
  <c r="AV99" i="69"/>
  <c r="AZ99" i="69"/>
  <c r="AS99" i="69"/>
  <c r="AP99" i="69"/>
  <c r="BA99" i="69"/>
  <c r="AX99" i="69"/>
  <c r="AT99" i="69"/>
  <c r="BB99" i="69"/>
  <c r="AN99" i="69"/>
  <c r="AO99" i="69"/>
  <c r="AU99" i="69"/>
  <c r="BB61" i="69"/>
  <c r="AP59" i="69"/>
  <c r="AU59" i="69"/>
  <c r="AW59" i="69"/>
  <c r="AZ59" i="69"/>
  <c r="AY59" i="69"/>
  <c r="AR59" i="69"/>
  <c r="AQ59" i="69"/>
  <c r="BB59" i="69"/>
  <c r="AV59" i="69"/>
  <c r="AT59" i="69"/>
  <c r="BA59" i="69"/>
  <c r="AX59" i="69"/>
  <c r="AS59" i="69"/>
  <c r="AO59" i="69"/>
  <c r="AN59" i="69"/>
  <c r="AL59" i="69"/>
  <c r="AK59" i="69"/>
  <c r="AM59" i="69"/>
  <c r="AT80" i="69"/>
  <c r="BB80" i="69"/>
  <c r="AU80" i="69"/>
  <c r="AN80" i="69"/>
  <c r="AV80" i="69"/>
  <c r="AP80" i="69"/>
  <c r="AX80" i="69"/>
  <c r="AQ80" i="69"/>
  <c r="AY80" i="69"/>
  <c r="AR80" i="69"/>
  <c r="AS80" i="69"/>
  <c r="AW80" i="69"/>
  <c r="BA80" i="69"/>
  <c r="AO80" i="69"/>
  <c r="AZ80" i="69"/>
  <c r="AR95" i="69"/>
  <c r="AZ95" i="69"/>
  <c r="AS95" i="69"/>
  <c r="BA95" i="69"/>
  <c r="AU95" i="69"/>
  <c r="AN95" i="69"/>
  <c r="AV95" i="69"/>
  <c r="AW95" i="69"/>
  <c r="AX95" i="69"/>
  <c r="AY95" i="69"/>
  <c r="AO95" i="69"/>
  <c r="AP95" i="69"/>
  <c r="AQ95" i="69"/>
  <c r="AT95" i="69"/>
  <c r="BB95" i="69"/>
  <c r="AU83" i="69"/>
  <c r="AQ83" i="69"/>
  <c r="AY83" i="69"/>
  <c r="AO83" i="69"/>
  <c r="AR83" i="69"/>
  <c r="AN83" i="69"/>
  <c r="AV83" i="69"/>
  <c r="AZ83" i="69"/>
  <c r="AS83" i="69"/>
  <c r="AW83" i="69"/>
  <c r="BA83" i="69"/>
  <c r="AP83" i="69"/>
  <c r="AT83" i="69"/>
  <c r="AX83" i="69"/>
  <c r="BB83" i="69"/>
  <c r="AK50" i="69"/>
  <c r="AL50" i="69"/>
  <c r="AM50" i="69"/>
  <c r="AU41" i="69"/>
  <c r="AS41" i="69"/>
  <c r="AW41" i="69"/>
  <c r="BA41" i="69"/>
  <c r="AP41" i="69"/>
  <c r="AT41" i="69"/>
  <c r="AN41" i="69"/>
  <c r="AX41" i="69"/>
  <c r="BB41" i="69"/>
  <c r="AQ41" i="69"/>
  <c r="AY41" i="69"/>
  <c r="AR41" i="69"/>
  <c r="AV41" i="69"/>
  <c r="AZ41" i="69"/>
  <c r="AO41" i="69"/>
  <c r="AM99" i="69"/>
  <c r="AK99" i="69"/>
  <c r="AL99" i="69"/>
  <c r="AW100" i="69"/>
  <c r="AQ100" i="69"/>
  <c r="AP100" i="69"/>
  <c r="AU100" i="69"/>
  <c r="BA100" i="69"/>
  <c r="AZ100" i="69"/>
  <c r="AV100" i="69"/>
  <c r="AS100" i="69"/>
  <c r="AR100" i="69"/>
  <c r="AN100" i="69"/>
  <c r="BB100" i="69"/>
  <c r="AT100" i="69"/>
  <c r="AX100" i="69"/>
  <c r="AY100" i="69"/>
  <c r="AO100" i="69"/>
  <c r="AP49" i="69"/>
  <c r="AX49" i="69"/>
  <c r="AT49" i="69"/>
  <c r="BB49" i="69"/>
  <c r="AQ49" i="69"/>
  <c r="AU49" i="69"/>
  <c r="AY49" i="69"/>
  <c r="AR49" i="69"/>
  <c r="AV49" i="69"/>
  <c r="AZ49" i="69"/>
  <c r="AS49" i="69"/>
  <c r="AW49" i="69"/>
  <c r="AN49" i="69"/>
  <c r="BA49" i="69"/>
  <c r="AO49" i="69"/>
  <c r="AK55" i="69"/>
  <c r="AL55" i="69"/>
  <c r="AM55" i="69"/>
  <c r="AQ58" i="69"/>
  <c r="AY58" i="69"/>
  <c r="AX58" i="69"/>
  <c r="AR58" i="69"/>
  <c r="AV58" i="69"/>
  <c r="BB58" i="69"/>
  <c r="AT58" i="69"/>
  <c r="BA58" i="69"/>
  <c r="AW58" i="69"/>
  <c r="AS58" i="69"/>
  <c r="AN58" i="69"/>
  <c r="AZ58" i="69"/>
  <c r="AU58" i="69"/>
  <c r="AP58" i="69"/>
  <c r="AO58" i="69"/>
  <c r="AO88" i="69"/>
  <c r="AW88" i="69"/>
  <c r="AP88" i="69"/>
  <c r="AX88" i="69"/>
  <c r="AR88" i="69"/>
  <c r="AZ88" i="69"/>
  <c r="AS88" i="69"/>
  <c r="BA88" i="69"/>
  <c r="AT88" i="69"/>
  <c r="AU88" i="69"/>
  <c r="AV88" i="69"/>
  <c r="BB88" i="69"/>
  <c r="AN88" i="69"/>
  <c r="AQ88" i="69"/>
  <c r="AY88" i="69"/>
  <c r="AM83" i="69"/>
  <c r="AK83" i="69"/>
  <c r="AL83" i="69"/>
  <c r="AL82" i="69"/>
  <c r="AM82" i="69"/>
  <c r="AK82" i="69"/>
  <c r="AL41" i="69"/>
  <c r="AK41" i="69"/>
  <c r="AM41" i="69"/>
  <c r="AK56" i="69"/>
  <c r="AM56" i="69"/>
  <c r="AL56" i="69"/>
  <c r="AL100" i="69"/>
  <c r="AK100" i="69"/>
  <c r="AM100" i="69"/>
  <c r="AQ62" i="69"/>
  <c r="AY62" i="69"/>
  <c r="AR62" i="69"/>
  <c r="AZ62" i="69"/>
  <c r="AS62" i="69"/>
  <c r="BA62" i="69"/>
  <c r="AU62" i="69"/>
  <c r="AN62" i="69"/>
  <c r="AV62" i="69"/>
  <c r="AO62" i="69"/>
  <c r="AT62" i="69"/>
  <c r="AW62" i="69"/>
  <c r="AX62" i="69"/>
  <c r="AP62" i="69"/>
  <c r="BB62" i="69"/>
  <c r="AK49" i="69"/>
  <c r="AL49" i="69"/>
  <c r="AM49" i="69"/>
  <c r="AS55" i="69"/>
  <c r="BA55" i="69"/>
  <c r="AT55" i="69"/>
  <c r="BB55" i="69"/>
  <c r="AU55" i="69"/>
  <c r="AO55" i="69"/>
  <c r="AW55" i="69"/>
  <c r="AP55" i="69"/>
  <c r="AX55" i="69"/>
  <c r="AR55" i="69"/>
  <c r="AV55" i="69"/>
  <c r="AY55" i="69"/>
  <c r="AN55" i="69"/>
  <c r="AQ55" i="69"/>
  <c r="AZ55" i="69"/>
  <c r="AM58" i="69"/>
  <c r="AL58" i="69"/>
  <c r="AK58" i="69"/>
  <c r="AK88" i="69"/>
  <c r="AL88" i="69"/>
  <c r="AM88" i="69"/>
  <c r="AP82" i="69"/>
  <c r="AX82" i="69"/>
  <c r="AQ82" i="69"/>
  <c r="AY82" i="69"/>
  <c r="AR82" i="69"/>
  <c r="AZ82" i="69"/>
  <c r="AT82" i="69"/>
  <c r="BB82" i="69"/>
  <c r="AU82" i="69"/>
  <c r="AW82" i="69"/>
  <c r="BA82" i="69"/>
  <c r="AN82" i="69"/>
  <c r="AO82" i="69"/>
  <c r="AS82" i="69"/>
  <c r="AV82" i="69"/>
  <c r="AP96" i="69"/>
  <c r="AX96" i="69"/>
  <c r="AQ96" i="69"/>
  <c r="AS96" i="69"/>
  <c r="BA96" i="69"/>
  <c r="AT96" i="69"/>
  <c r="BB96" i="69"/>
  <c r="AU96" i="69"/>
  <c r="AV96" i="69"/>
  <c r="AW96" i="69"/>
  <c r="AZ96" i="69"/>
  <c r="AN96" i="69"/>
  <c r="AO96" i="69"/>
  <c r="AR96" i="69"/>
  <c r="AY96" i="69"/>
  <c r="AQ56" i="69"/>
  <c r="AY56" i="69"/>
  <c r="AR56" i="69"/>
  <c r="AZ56" i="69"/>
  <c r="AS56" i="69"/>
  <c r="BA56" i="69"/>
  <c r="AU56" i="69"/>
  <c r="AN56" i="69"/>
  <c r="AV56" i="69"/>
  <c r="AW56" i="69"/>
  <c r="AX56" i="69"/>
  <c r="BB56" i="69"/>
  <c r="AO56" i="69"/>
  <c r="AP56" i="69"/>
  <c r="AT56" i="69"/>
  <c r="AP43" i="69"/>
  <c r="AV43" i="69"/>
  <c r="AT43" i="69"/>
  <c r="BA43" i="69"/>
  <c r="AS43" i="69"/>
  <c r="AR43" i="69"/>
  <c r="AW43" i="69"/>
  <c r="AU43" i="69"/>
  <c r="AY43" i="69"/>
  <c r="AZ43" i="69"/>
  <c r="AQ43" i="69"/>
  <c r="AX43" i="69"/>
  <c r="BB43" i="69"/>
  <c r="AN43" i="69"/>
  <c r="AO43" i="69"/>
  <c r="AK62" i="69"/>
  <c r="AM62" i="69"/>
  <c r="AL62" i="69"/>
  <c r="AU44" i="69"/>
  <c r="AV44" i="69"/>
  <c r="AR44" i="69"/>
  <c r="AZ44" i="69"/>
  <c r="AO44" i="69"/>
  <c r="AW44" i="69"/>
  <c r="AS44" i="69"/>
  <c r="AQ44" i="69"/>
  <c r="AT44" i="69"/>
  <c r="BB44" i="69"/>
  <c r="AN44" i="69"/>
  <c r="AP44" i="69"/>
  <c r="AX44" i="69"/>
  <c r="AY44" i="69"/>
  <c r="BA44" i="69"/>
  <c r="AT98" i="69"/>
  <c r="BB98" i="69"/>
  <c r="AU98" i="69"/>
  <c r="AN98" i="69"/>
  <c r="AV98" i="69"/>
  <c r="AP98" i="69"/>
  <c r="AX98" i="69"/>
  <c r="AQ98" i="69"/>
  <c r="AY98" i="69"/>
  <c r="AR98" i="69"/>
  <c r="AZ98" i="69"/>
  <c r="AO98" i="69"/>
  <c r="AS98" i="69"/>
  <c r="AW98" i="69"/>
  <c r="BA98" i="69"/>
  <c r="AU94" i="69"/>
  <c r="AW94" i="69"/>
  <c r="AO94" i="69"/>
  <c r="AS94" i="69"/>
  <c r="AP94" i="69"/>
  <c r="BA94" i="69"/>
  <c r="AX94" i="69"/>
  <c r="AQ94" i="69"/>
  <c r="AT94" i="69"/>
  <c r="AR94" i="69"/>
  <c r="AN94" i="69"/>
  <c r="AZ94" i="69"/>
  <c r="BB94" i="69"/>
  <c r="AV94" i="69"/>
  <c r="AY94" i="69"/>
  <c r="AK85" i="69"/>
  <c r="AM85" i="69"/>
  <c r="AL85" i="69"/>
  <c r="AP87" i="69"/>
  <c r="AX87" i="69"/>
  <c r="AQ87" i="69"/>
  <c r="AY87" i="69"/>
  <c r="AR87" i="69"/>
  <c r="AZ87" i="69"/>
  <c r="AT87" i="69"/>
  <c r="BB87" i="69"/>
  <c r="AU87" i="69"/>
  <c r="AS87" i="69"/>
  <c r="AV87" i="69"/>
  <c r="AW87" i="69"/>
  <c r="AN87" i="69"/>
  <c r="AO87" i="69"/>
  <c r="BA87" i="69"/>
  <c r="AK96" i="69"/>
  <c r="AL96" i="69"/>
  <c r="AM96" i="69"/>
  <c r="AQ13" i="69"/>
  <c r="AY13" i="69"/>
  <c r="AR13" i="69"/>
  <c r="AZ13" i="69"/>
  <c r="AS13" i="69"/>
  <c r="BA13" i="69"/>
  <c r="AT13" i="69"/>
  <c r="BB13" i="69"/>
  <c r="AU13" i="69"/>
  <c r="AV13" i="69"/>
  <c r="AO13" i="69"/>
  <c r="AW13" i="69"/>
  <c r="AP13" i="69"/>
  <c r="AX13" i="69"/>
  <c r="AK81" i="69"/>
  <c r="AL81" i="69"/>
  <c r="AM81" i="69"/>
  <c r="AL43" i="69"/>
  <c r="AK43" i="69"/>
  <c r="AM43" i="69"/>
  <c r="AT101" i="69"/>
  <c r="BA101" i="69"/>
  <c r="AS101" i="69"/>
  <c r="AY101" i="69"/>
  <c r="AQ101" i="69"/>
  <c r="AV101" i="69"/>
  <c r="AU101" i="69"/>
  <c r="AX101" i="69"/>
  <c r="AN101" i="69"/>
  <c r="AZ101" i="69"/>
  <c r="AP101" i="69"/>
  <c r="AR101" i="69"/>
  <c r="AW101" i="69"/>
  <c r="BB101" i="69"/>
  <c r="AO101" i="69"/>
  <c r="AM44" i="69"/>
  <c r="AK44" i="69"/>
  <c r="AL44" i="69"/>
  <c r="AL98" i="69"/>
  <c r="AM98" i="69"/>
  <c r="AK98" i="69"/>
  <c r="AM94" i="69"/>
  <c r="AK94" i="69"/>
  <c r="AL94" i="69"/>
  <c r="AQ85" i="69"/>
  <c r="AX85" i="69"/>
  <c r="AV85" i="69"/>
  <c r="AP85" i="69"/>
  <c r="AU85" i="69"/>
  <c r="AZ85" i="69"/>
  <c r="AO85" i="69"/>
  <c r="AS85" i="69"/>
  <c r="AW85" i="69"/>
  <c r="AN85" i="69"/>
  <c r="AT85" i="69"/>
  <c r="AY85" i="69"/>
  <c r="BB85" i="69"/>
  <c r="BA85" i="69"/>
  <c r="AR85" i="69"/>
  <c r="AK45" i="69"/>
  <c r="AL45" i="69"/>
  <c r="AM45" i="69"/>
  <c r="AL87" i="69"/>
  <c r="AM87" i="69"/>
  <c r="AK87" i="69"/>
  <c r="AU64" i="69"/>
  <c r="AN64" i="69"/>
  <c r="AV64" i="69"/>
  <c r="AO64" i="69"/>
  <c r="AW64" i="69"/>
  <c r="AQ64" i="69"/>
  <c r="AY64" i="69"/>
  <c r="AR64" i="69"/>
  <c r="AZ64" i="69"/>
  <c r="AP64" i="69"/>
  <c r="AS64" i="69"/>
  <c r="AT64" i="69"/>
  <c r="BA64" i="69"/>
  <c r="BB64" i="69"/>
  <c r="AX64" i="69"/>
  <c r="AN13" i="69"/>
  <c r="AL13" i="69"/>
  <c r="AM13" i="69"/>
  <c r="AK13" i="69"/>
  <c r="AR81" i="69"/>
  <c r="AZ81" i="69"/>
  <c r="AS81" i="69"/>
  <c r="BA81" i="69"/>
  <c r="AT81" i="69"/>
  <c r="BB81" i="69"/>
  <c r="AN81" i="69"/>
  <c r="AV81" i="69"/>
  <c r="AO81" i="69"/>
  <c r="AW81" i="69"/>
  <c r="AU81" i="69"/>
  <c r="AX81" i="69"/>
  <c r="AY81" i="69"/>
  <c r="AP81" i="69"/>
  <c r="AQ81" i="69"/>
  <c r="AK46" i="69"/>
  <c r="AL46" i="69"/>
  <c r="AM46" i="69"/>
  <c r="AK101" i="69"/>
  <c r="AL101" i="69"/>
  <c r="AM101" i="69"/>
  <c r="BA11" i="69"/>
  <c r="AW11" i="69"/>
  <c r="AX11" i="69"/>
  <c r="AV11" i="69"/>
  <c r="BC11" i="69"/>
  <c r="AP11" i="69"/>
  <c r="AU11" i="69"/>
  <c r="AY11" i="69"/>
  <c r="BD11" i="69"/>
  <c r="AQ11" i="69"/>
  <c r="AS11" i="69"/>
  <c r="AZ11" i="69"/>
  <c r="AR11" i="69"/>
  <c r="BB11" i="69"/>
  <c r="AT11" i="69"/>
  <c r="AK11" i="69"/>
  <c r="AO11" i="69"/>
  <c r="AL11" i="69"/>
  <c r="AM11" i="69"/>
  <c r="AN11" i="69"/>
  <c r="L149" i="57"/>
  <c r="R30" i="25"/>
  <c r="AN30" i="25" s="1"/>
  <c r="J30" i="25"/>
  <c r="L43" i="23"/>
  <c r="E116" i="49"/>
  <c r="D7" i="60"/>
  <c r="E117" i="57"/>
  <c r="G117" i="57" s="1"/>
  <c r="K34" i="14"/>
  <c r="AR34" i="14" s="1"/>
  <c r="AR48" i="14" s="1"/>
  <c r="AG12" i="14"/>
  <c r="X44" i="14" s="1"/>
  <c r="M7" i="60"/>
  <c r="K3" i="49"/>
  <c r="K3" i="59"/>
  <c r="I18" i="59"/>
  <c r="R116" i="15"/>
  <c r="AU10" i="25"/>
  <c r="AS10" i="25"/>
  <c r="AL30" i="25"/>
  <c r="AV12" i="23"/>
  <c r="AP12" i="23"/>
  <c r="AK12" i="23"/>
  <c r="AB55" i="23" s="1"/>
  <c r="AI12" i="23"/>
  <c r="AT12" i="23"/>
  <c r="U43" i="23"/>
  <c r="U68" i="23" s="1"/>
  <c r="S34" i="14"/>
  <c r="S48" i="14" s="1"/>
  <c r="AL34" i="14"/>
  <c r="AL48" i="14" s="1"/>
  <c r="AE12" i="14"/>
  <c r="AK34" i="14"/>
  <c r="AK48" i="14" s="1"/>
  <c r="AO12" i="14"/>
  <c r="R14" i="15"/>
  <c r="AM12" i="14"/>
  <c r="AJ34" i="14"/>
  <c r="AJ48" i="14" s="1"/>
  <c r="X13" i="26"/>
  <c r="Q30" i="27"/>
  <c r="S30" i="27" s="1"/>
  <c r="R56" i="15"/>
  <c r="S8" i="23" s="1"/>
  <c r="J43" i="23" s="1"/>
  <c r="AB50" i="23" s="1"/>
  <c r="AW61" i="69" l="1"/>
  <c r="AZ61" i="69"/>
  <c r="AV61" i="69"/>
  <c r="AO61" i="69"/>
  <c r="AU61" i="69"/>
  <c r="BA61" i="69"/>
  <c r="AY61" i="69"/>
  <c r="BD61" i="69"/>
  <c r="BC61" i="69"/>
  <c r="AP61" i="69"/>
  <c r="AM61" i="69"/>
  <c r="AN61" i="69"/>
  <c r="AL61" i="69"/>
  <c r="AR61" i="69"/>
  <c r="AK61" i="69"/>
  <c r="AQ61" i="69"/>
  <c r="AT61" i="69"/>
  <c r="AS61" i="69"/>
  <c r="AW57" i="69"/>
  <c r="BI57" i="69"/>
  <c r="AN63" i="69"/>
  <c r="BH57" i="69"/>
  <c r="BG57" i="69"/>
  <c r="BF57" i="69"/>
  <c r="BK68" i="69"/>
  <c r="BL68" i="69"/>
  <c r="BM68" i="69"/>
  <c r="BN68" i="69"/>
  <c r="BE68" i="69"/>
  <c r="BF68" i="69"/>
  <c r="BG68" i="69"/>
  <c r="BH68" i="69"/>
  <c r="BI68" i="69"/>
  <c r="BJ68" i="69"/>
  <c r="BE57" i="69"/>
  <c r="BN57" i="69"/>
  <c r="BM57" i="69"/>
  <c r="BK66" i="69"/>
  <c r="BL66" i="69"/>
  <c r="BM66" i="69"/>
  <c r="BN66" i="69"/>
  <c r="BE66" i="69"/>
  <c r="BF66" i="69"/>
  <c r="BG66" i="69"/>
  <c r="BH66" i="69"/>
  <c r="BI66" i="69"/>
  <c r="BJ66" i="69"/>
  <c r="BL57" i="69"/>
  <c r="BK57" i="69"/>
  <c r="BB63" i="69"/>
  <c r="AM63" i="69"/>
  <c r="AT63" i="69"/>
  <c r="AL63" i="69"/>
  <c r="BA63" i="69"/>
  <c r="AK63" i="69"/>
  <c r="AS63" i="69"/>
  <c r="AY63" i="69"/>
  <c r="AQ63" i="69"/>
  <c r="AX63" i="69"/>
  <c r="BD63" i="69"/>
  <c r="AU63" i="69"/>
  <c r="AP63" i="69"/>
  <c r="BC63" i="69"/>
  <c r="AZ63" i="69"/>
  <c r="AW63" i="69"/>
  <c r="AV63" i="69"/>
  <c r="AO63" i="69"/>
  <c r="AR63" i="69"/>
  <c r="AL57" i="69"/>
  <c r="AS57" i="69"/>
  <c r="AM57" i="69"/>
  <c r="AV57" i="69"/>
  <c r="AK57" i="69"/>
  <c r="AN57" i="69"/>
  <c r="AY57" i="69"/>
  <c r="BD57" i="69"/>
  <c r="AU57" i="69"/>
  <c r="BC57" i="69"/>
  <c r="AQ57" i="69"/>
  <c r="AO57" i="69"/>
  <c r="BB57" i="69"/>
  <c r="AX57" i="69"/>
  <c r="AZ57" i="69"/>
  <c r="AT57" i="69"/>
  <c r="AR57" i="69"/>
  <c r="AP57" i="69"/>
  <c r="BA57" i="69"/>
  <c r="AU68" i="69"/>
  <c r="AV68" i="69"/>
  <c r="AW68" i="69"/>
  <c r="AX68" i="69"/>
  <c r="AY68" i="69"/>
  <c r="AZ68" i="69"/>
  <c r="BA68" i="69"/>
  <c r="BB68" i="69"/>
  <c r="BC68" i="69"/>
  <c r="BD68" i="69"/>
  <c r="BC66" i="69"/>
  <c r="BD66" i="69"/>
  <c r="AU66" i="69"/>
  <c r="AV66" i="69"/>
  <c r="AW66" i="69"/>
  <c r="AX66" i="69"/>
  <c r="AY66" i="69"/>
  <c r="AZ66" i="69"/>
  <c r="BB66" i="69"/>
  <c r="BA66" i="69"/>
  <c r="AP66" i="69"/>
  <c r="AQ66" i="69"/>
  <c r="AS66" i="69"/>
  <c r="AT66" i="69"/>
  <c r="AR66" i="69"/>
  <c r="AN66" i="69"/>
  <c r="AK66" i="69"/>
  <c r="AO66" i="69"/>
  <c r="AM66" i="69"/>
  <c r="AL66" i="69"/>
  <c r="X43" i="14"/>
  <c r="H115" i="49" s="1"/>
  <c r="AE120" i="57" s="1"/>
  <c r="U37" i="69"/>
  <c r="AS68" i="69"/>
  <c r="AT68" i="69"/>
  <c r="AP68" i="69"/>
  <c r="AQ68" i="69"/>
  <c r="AR68" i="69"/>
  <c r="AL68" i="69"/>
  <c r="AK68" i="69"/>
  <c r="AM68" i="69"/>
  <c r="AO68" i="69"/>
  <c r="AN68" i="69"/>
  <c r="N10" i="27"/>
  <c r="Q10" i="27" s="1"/>
  <c r="F117" i="57"/>
  <c r="BU79" i="57"/>
  <c r="BJ79" i="57"/>
  <c r="BI79" i="57"/>
  <c r="BG79" i="57"/>
  <c r="BR79" i="57"/>
  <c r="BN79" i="57"/>
  <c r="BF79" i="57"/>
  <c r="BM79" i="57"/>
  <c r="BQ79" i="57"/>
  <c r="BV79" i="57"/>
  <c r="BE79" i="57"/>
  <c r="BS79" i="57"/>
  <c r="BH79" i="57"/>
  <c r="BL79" i="57"/>
  <c r="BP79" i="57"/>
  <c r="BK79" i="57"/>
  <c r="BD79" i="57"/>
  <c r="BT79" i="57"/>
  <c r="BO79" i="57"/>
  <c r="BC79" i="57"/>
  <c r="AZ79" i="57"/>
  <c r="AY79" i="57"/>
  <c r="AX79" i="57"/>
  <c r="BB79" i="57"/>
  <c r="BA79" i="57"/>
  <c r="AW79" i="57"/>
  <c r="AU79" i="57"/>
  <c r="AT79" i="57"/>
  <c r="AS79" i="57"/>
  <c r="AV79" i="57"/>
  <c r="AP79" i="57"/>
  <c r="AH79" i="57"/>
  <c r="AF79" i="57"/>
  <c r="AK79" i="57"/>
  <c r="Z79" i="57"/>
  <c r="AM79" i="57"/>
  <c r="AB79" i="57"/>
  <c r="AR79" i="57"/>
  <c r="AA79" i="57"/>
  <c r="AO79" i="57"/>
  <c r="AL79" i="57"/>
  <c r="AJ79" i="57"/>
  <c r="AC79" i="57"/>
  <c r="AD79" i="57"/>
  <c r="AN79" i="57"/>
  <c r="AE79" i="57"/>
  <c r="AQ79" i="57"/>
  <c r="AG79" i="57"/>
  <c r="AI79" i="57"/>
  <c r="AB53" i="23"/>
  <c r="H116" i="49" s="1"/>
  <c r="C59" i="60"/>
  <c r="B44" i="60"/>
  <c r="B59" i="60"/>
  <c r="E7" i="60"/>
  <c r="C29" i="60" s="1"/>
  <c r="B29" i="60"/>
  <c r="K116" i="49"/>
  <c r="Q116" i="49" s="1"/>
  <c r="G116" i="49"/>
  <c r="AD121" i="57" s="1"/>
  <c r="AX12" i="23"/>
  <c r="N7" i="60"/>
  <c r="O117" i="57"/>
  <c r="P117" i="57" s="1"/>
  <c r="N31" i="31"/>
  <c r="J167" i="57" s="1"/>
  <c r="O31" i="31"/>
  <c r="K167" i="57" s="1"/>
  <c r="N115" i="49" l="1"/>
  <c r="T115" i="49" s="1"/>
  <c r="N116" i="49"/>
  <c r="T116" i="49" s="1"/>
  <c r="AE121" i="57"/>
  <c r="H30" i="27"/>
  <c r="AK10" i="27"/>
  <c r="P43" i="23"/>
  <c r="M116" i="49"/>
  <c r="S116" i="49" s="1"/>
  <c r="AR12" i="23"/>
  <c r="AQ12" i="14"/>
  <c r="O8" i="14"/>
  <c r="I34" i="14" s="1"/>
  <c r="O7" i="60"/>
  <c r="AE34" i="14"/>
  <c r="AE48" i="14" s="1"/>
  <c r="AI34" i="14"/>
  <c r="AI48" i="14" s="1"/>
  <c r="K31" i="31"/>
  <c r="F167" i="57" s="1"/>
  <c r="F30" i="25"/>
  <c r="J31" i="31"/>
  <c r="E167" i="57" s="1"/>
  <c r="P24" i="31"/>
  <c r="F30" i="27"/>
  <c r="M31" i="31"/>
  <c r="I167" i="57" s="1"/>
  <c r="L160" i="57" l="1"/>
  <c r="S3" i="49"/>
  <c r="AN10" i="25"/>
  <c r="M75" i="69" s="1"/>
  <c r="AL10" i="25"/>
  <c r="U75" i="69" s="1"/>
  <c r="R30" i="27"/>
  <c r="T30" i="27" s="1"/>
  <c r="U30" i="27" s="1"/>
  <c r="W56" i="15"/>
  <c r="S30" i="25"/>
  <c r="AO30" i="25" s="1"/>
  <c r="L30" i="25"/>
  <c r="M43" i="23"/>
  <c r="O34" i="14"/>
  <c r="X42" i="14"/>
  <c r="G115" i="49"/>
  <c r="AD120" i="57" s="1"/>
  <c r="AB56" i="23"/>
  <c r="F116" i="49"/>
  <c r="AC121" i="57" s="1"/>
  <c r="AG121" i="57" s="1"/>
  <c r="AI12" i="14"/>
  <c r="F115" i="49"/>
  <c r="T116" i="15"/>
  <c r="BH116" i="15" s="1"/>
  <c r="I6" i="25" s="1"/>
  <c r="AM30" i="25"/>
  <c r="AT10" i="25"/>
  <c r="AA30" i="25"/>
  <c r="AB30" i="25" s="1"/>
  <c r="AV10" i="25"/>
  <c r="AQ12" i="23"/>
  <c r="AC39" i="23" s="1"/>
  <c r="AW12" i="23"/>
  <c r="AC43" i="23" s="1"/>
  <c r="AL12" i="23"/>
  <c r="AU12" i="23"/>
  <c r="AC42" i="23" s="1"/>
  <c r="AJ12" i="23"/>
  <c r="U51" i="69" s="1"/>
  <c r="V43" i="23"/>
  <c r="T34" i="14"/>
  <c r="X41" i="14"/>
  <c r="AP12" i="14"/>
  <c r="Y34" i="14" s="1"/>
  <c r="AP34" i="14"/>
  <c r="AP48" i="14" s="1"/>
  <c r="AM34" i="14"/>
  <c r="AM48" i="14" s="1"/>
  <c r="Z13" i="26"/>
  <c r="AN34" i="14"/>
  <c r="AN48" i="14" s="1"/>
  <c r="AO34" i="14"/>
  <c r="AO48" i="14" s="1"/>
  <c r="AS34" i="14"/>
  <c r="AS48" i="14" s="1"/>
  <c r="T56" i="15"/>
  <c r="T14" i="15"/>
  <c r="AN12" i="14"/>
  <c r="Y32" i="14" s="1"/>
  <c r="AH12" i="14"/>
  <c r="AC120" i="57" l="1"/>
  <c r="AC55" i="23"/>
  <c r="M51" i="69"/>
  <c r="M37" i="69"/>
  <c r="P10" i="27"/>
  <c r="R10" i="27" s="1"/>
  <c r="I30" i="27" s="1"/>
  <c r="G89" i="69" s="1"/>
  <c r="T8" i="23"/>
  <c r="K43" i="23" s="1"/>
  <c r="W43" i="23"/>
  <c r="W68" i="23" s="1"/>
  <c r="V68" i="23"/>
  <c r="AC53" i="23"/>
  <c r="H145" i="49" s="1"/>
  <c r="AB42" i="23"/>
  <c r="W14" i="15"/>
  <c r="X45" i="14"/>
  <c r="M115" i="49"/>
  <c r="S115" i="49" s="1"/>
  <c r="E145" i="49"/>
  <c r="L115" i="49"/>
  <c r="R115" i="49" s="1"/>
  <c r="L116" i="49"/>
  <c r="R116" i="49" s="1"/>
  <c r="AY12" i="23"/>
  <c r="AC41" i="23" s="1"/>
  <c r="P8" i="14"/>
  <c r="J34" i="14" s="1"/>
  <c r="G37" i="69" s="1"/>
  <c r="AR12" i="14"/>
  <c r="BI13" i="26"/>
  <c r="V10" i="27" s="1"/>
  <c r="N6" i="25"/>
  <c r="U34" i="14"/>
  <c r="U48" i="14" s="1"/>
  <c r="T48" i="14"/>
  <c r="Y43" i="14"/>
  <c r="H144" i="49" s="1"/>
  <c r="X34" i="14"/>
  <c r="AB43" i="23"/>
  <c r="X35" i="14"/>
  <c r="Y44" i="14"/>
  <c r="AS12" i="23" l="1"/>
  <c r="AC40" i="23" s="1"/>
  <c r="AC44" i="23" s="1"/>
  <c r="Q23" i="49" s="1"/>
  <c r="U23" i="49" s="1"/>
  <c r="K145" i="49"/>
  <c r="Q145" i="49" s="1"/>
  <c r="N145" i="49"/>
  <c r="T145" i="49" s="1"/>
  <c r="AJ121" i="57"/>
  <c r="N144" i="49"/>
  <c r="T144" i="49" s="1"/>
  <c r="AJ120" i="57"/>
  <c r="AG120" i="57"/>
  <c r="AC50" i="23"/>
  <c r="F145" i="49" s="1"/>
  <c r="G51" i="69"/>
  <c r="AB40" i="23"/>
  <c r="AB44" i="23" s="1"/>
  <c r="O30" i="25"/>
  <c r="G75" i="69" s="1"/>
  <c r="AP10" i="25"/>
  <c r="BD116" i="15"/>
  <c r="BF116" i="15" s="1"/>
  <c r="O6" i="25" s="1"/>
  <c r="P6" i="25" s="1"/>
  <c r="G145" i="49"/>
  <c r="X32" i="14"/>
  <c r="G22" i="49" s="1"/>
  <c r="I120" i="57" s="1"/>
  <c r="P34" i="14"/>
  <c r="Q43" i="23"/>
  <c r="R43" i="23" s="1"/>
  <c r="E51" i="69" s="1"/>
  <c r="AJ12" i="14"/>
  <c r="N37" i="69" s="1"/>
  <c r="C305" i="57" s="1"/>
  <c r="Y42" i="14"/>
  <c r="G144" i="49" s="1"/>
  <c r="AI120" i="57" s="1"/>
  <c r="X33" i="14"/>
  <c r="Y35" i="14"/>
  <c r="Y33" i="14"/>
  <c r="AD43" i="23"/>
  <c r="J23" i="49"/>
  <c r="AD42" i="23"/>
  <c r="M23" i="49"/>
  <c r="AD39" i="23"/>
  <c r="F23" i="49"/>
  <c r="J22" i="49"/>
  <c r="Z34" i="14"/>
  <c r="M22" i="49"/>
  <c r="Y41" i="14"/>
  <c r="X10" i="27"/>
  <c r="Y10" i="27" s="1"/>
  <c r="J30" i="27" s="1"/>
  <c r="AN10" i="27"/>
  <c r="AG10" i="27"/>
  <c r="X48" i="27" s="1"/>
  <c r="H118" i="49" s="1"/>
  <c r="AE123" i="57" s="1"/>
  <c r="AP10" i="27"/>
  <c r="AH10" i="27"/>
  <c r="AO10" i="27"/>
  <c r="AM10" i="27"/>
  <c r="AJ10" i="27"/>
  <c r="AI10" i="27"/>
  <c r="X47" i="27" s="1"/>
  <c r="G118" i="49" s="1"/>
  <c r="AD123" i="57" s="1"/>
  <c r="AB51" i="69" l="1"/>
  <c r="L145" i="49"/>
  <c r="R145" i="49" s="1"/>
  <c r="AH121" i="57"/>
  <c r="M145" i="49"/>
  <c r="S145" i="49" s="1"/>
  <c r="AI121" i="57"/>
  <c r="U89" i="69"/>
  <c r="M89" i="69"/>
  <c r="P68" i="23"/>
  <c r="W98" i="15" s="1"/>
  <c r="Q68" i="23"/>
  <c r="X98" i="15" s="1"/>
  <c r="R68" i="23"/>
  <c r="X14" i="15"/>
  <c r="Q34" i="14"/>
  <c r="X56" i="15"/>
  <c r="AQ10" i="25"/>
  <c r="AR10" i="25"/>
  <c r="Z32" i="14"/>
  <c r="Q30" i="25"/>
  <c r="X36" i="14"/>
  <c r="D22" i="49" s="1"/>
  <c r="T22" i="49" s="1"/>
  <c r="Y36" i="14"/>
  <c r="Q22" i="49" s="1"/>
  <c r="U22" i="49" s="1"/>
  <c r="AC56" i="23"/>
  <c r="M144" i="49"/>
  <c r="S144" i="49" s="1"/>
  <c r="M118" i="49"/>
  <c r="S118" i="49" s="1"/>
  <c r="Y48" i="27"/>
  <c r="H147" i="49" s="1"/>
  <c r="AJ123" i="57" s="1"/>
  <c r="X40" i="27"/>
  <c r="M25" i="49" s="1"/>
  <c r="Y45" i="14"/>
  <c r="F144" i="49"/>
  <c r="L87" i="49"/>
  <c r="R87" i="49" s="1"/>
  <c r="X39" i="27"/>
  <c r="J25" i="49" s="1"/>
  <c r="Y47" i="27"/>
  <c r="G147" i="49" s="1"/>
  <c r="AI123" i="57" s="1"/>
  <c r="N118" i="49"/>
  <c r="T118" i="49" s="1"/>
  <c r="P30" i="25"/>
  <c r="H10" i="60"/>
  <c r="I23" i="49"/>
  <c r="J121" i="57" s="1"/>
  <c r="AD41" i="23"/>
  <c r="G23" i="49"/>
  <c r="L88" i="49" s="1"/>
  <c r="R88" i="49" s="1"/>
  <c r="D23" i="49"/>
  <c r="T23" i="49" s="1"/>
  <c r="Z35" i="14"/>
  <c r="Z33" i="14"/>
  <c r="I22" i="49"/>
  <c r="N87" i="49"/>
  <c r="T87" i="49" s="1"/>
  <c r="K88" i="49"/>
  <c r="Q88" i="49" s="1"/>
  <c r="N88" i="49"/>
  <c r="T88" i="49" s="1"/>
  <c r="J10" i="60"/>
  <c r="K120" i="57"/>
  <c r="G11" i="60"/>
  <c r="H121" i="57"/>
  <c r="J11" i="60"/>
  <c r="K121" i="57"/>
  <c r="AD40" i="23"/>
  <c r="AL10" i="27"/>
  <c r="Y39" i="27"/>
  <c r="Z10" i="27"/>
  <c r="K30" i="27" s="1"/>
  <c r="Y40" i="27"/>
  <c r="T90" i="49" l="1"/>
  <c r="AL121" i="57"/>
  <c r="L144" i="49"/>
  <c r="R144" i="49" s="1"/>
  <c r="AH120" i="57"/>
  <c r="U30" i="25"/>
  <c r="X116" i="15" s="1"/>
  <c r="V75" i="69"/>
  <c r="D23" i="59"/>
  <c r="O49" i="14"/>
  <c r="P49" i="14"/>
  <c r="X37" i="15" s="1"/>
  <c r="Q49" i="14"/>
  <c r="Z37" i="15" s="1"/>
  <c r="Z56" i="15"/>
  <c r="E23" i="59"/>
  <c r="Z36" i="14"/>
  <c r="R22" i="49" s="1"/>
  <c r="V22" i="49" s="1"/>
  <c r="I11" i="60"/>
  <c r="M88" i="49"/>
  <c r="S88" i="49" s="1"/>
  <c r="I31" i="49"/>
  <c r="I34" i="49" s="1"/>
  <c r="H11" i="60"/>
  <c r="T30" i="25"/>
  <c r="W116" i="15" s="1"/>
  <c r="M147" i="49"/>
  <c r="S147" i="49" s="1"/>
  <c r="N147" i="49"/>
  <c r="T147" i="49" s="1"/>
  <c r="J120" i="57"/>
  <c r="I10" i="60"/>
  <c r="I121" i="57"/>
  <c r="M87" i="49"/>
  <c r="S87" i="49" s="1"/>
  <c r="J13" i="60"/>
  <c r="N90" i="49"/>
  <c r="I13" i="60"/>
  <c r="M90" i="49"/>
  <c r="S90" i="49" s="1"/>
  <c r="K123" i="57"/>
  <c r="J123" i="57"/>
  <c r="AD44" i="23"/>
  <c r="R23" i="49" s="1"/>
  <c r="V23" i="49" s="1"/>
  <c r="Z14" i="15"/>
  <c r="E37" i="69" s="1"/>
  <c r="AB37" i="69" s="1"/>
  <c r="L30" i="27"/>
  <c r="Z39" i="27"/>
  <c r="Z40" i="27"/>
  <c r="AI29" i="27"/>
  <c r="AI43" i="27" s="1"/>
  <c r="M30" i="27"/>
  <c r="AH29" i="27"/>
  <c r="AH43" i="27" s="1"/>
  <c r="V30" i="25" l="1"/>
  <c r="Z116" i="15" s="1"/>
  <c r="E75" i="69" s="1"/>
  <c r="AB75" i="69" s="1"/>
  <c r="AL120" i="57"/>
  <c r="N30" i="27"/>
  <c r="AG13" i="26" s="1"/>
  <c r="D11" i="60"/>
  <c r="C63" i="60" s="1"/>
  <c r="E121" i="57"/>
  <c r="C11" i="60"/>
  <c r="C48" i="60" s="1"/>
  <c r="H23" i="59"/>
  <c r="D121" i="57"/>
  <c r="E22" i="59"/>
  <c r="E120" i="57" s="1"/>
  <c r="D22" i="59"/>
  <c r="W37" i="15"/>
  <c r="AI37" i="69"/>
  <c r="AH37" i="69"/>
  <c r="I23" i="59"/>
  <c r="AD13" i="26"/>
  <c r="AE13" i="26"/>
  <c r="E11" i="60" l="1"/>
  <c r="C33" i="60" s="1"/>
  <c r="I22" i="59"/>
  <c r="O120" i="57" s="1"/>
  <c r="B33" i="60"/>
  <c r="B63" i="60"/>
  <c r="B48" i="60"/>
  <c r="N121" i="57"/>
  <c r="M11" i="60"/>
  <c r="G121" i="57"/>
  <c r="D10" i="60"/>
  <c r="C62" i="60" s="1"/>
  <c r="N11" i="60"/>
  <c r="O121" i="57"/>
  <c r="F121" i="57"/>
  <c r="H22" i="59"/>
  <c r="N120" i="57" s="1"/>
  <c r="D120" i="57"/>
  <c r="F120" i="57" s="1"/>
  <c r="C10" i="60"/>
  <c r="C47" i="60" s="1"/>
  <c r="BX37" i="69"/>
  <c r="BL82" i="57" s="1"/>
  <c r="BY37" i="69"/>
  <c r="BM82" i="57" s="1"/>
  <c r="BZ37" i="69"/>
  <c r="BN82" i="57" s="1"/>
  <c r="BO37" i="69"/>
  <c r="BC82" i="57" s="1"/>
  <c r="CA37" i="69"/>
  <c r="BO82" i="57" s="1"/>
  <c r="BP37" i="69"/>
  <c r="BD82" i="57" s="1"/>
  <c r="CB37" i="69"/>
  <c r="BP82" i="57" s="1"/>
  <c r="BQ37" i="69"/>
  <c r="BE82" i="57" s="1"/>
  <c r="CC37" i="69"/>
  <c r="BQ82" i="57" s="1"/>
  <c r="BR37" i="69"/>
  <c r="BF82" i="57" s="1"/>
  <c r="CD37" i="69"/>
  <c r="BR82" i="57" s="1"/>
  <c r="BS37" i="69"/>
  <c r="BG82" i="57" s="1"/>
  <c r="CE37" i="69"/>
  <c r="BS82" i="57" s="1"/>
  <c r="BT37" i="69"/>
  <c r="BH82" i="57" s="1"/>
  <c r="CF37" i="69"/>
  <c r="BT82" i="57" s="1"/>
  <c r="BU37" i="69"/>
  <c r="BI82" i="57" s="1"/>
  <c r="CG37" i="69"/>
  <c r="BU82" i="57" s="1"/>
  <c r="BV37" i="69"/>
  <c r="BJ82" i="57" s="1"/>
  <c r="CH37" i="69"/>
  <c r="BV82" i="57" s="1"/>
  <c r="BW37" i="69"/>
  <c r="BK82" i="57" s="1"/>
  <c r="BN37" i="69"/>
  <c r="BB82" i="57" s="1"/>
  <c r="BJ37" i="69"/>
  <c r="AX82" i="57" s="1"/>
  <c r="BK37" i="69"/>
  <c r="AY82" i="57" s="1"/>
  <c r="BL37" i="69"/>
  <c r="AZ82" i="57" s="1"/>
  <c r="BM37" i="69"/>
  <c r="BA82" i="57" s="1"/>
  <c r="BE37" i="69"/>
  <c r="AS82" i="57" s="1"/>
  <c r="BF37" i="69"/>
  <c r="AT82" i="57" s="1"/>
  <c r="BG37" i="69"/>
  <c r="AU82" i="57" s="1"/>
  <c r="BH37" i="69"/>
  <c r="AV82" i="57" s="1"/>
  <c r="BI37" i="69"/>
  <c r="AW82" i="57" s="1"/>
  <c r="BC37" i="69"/>
  <c r="AQ82" i="57" s="1"/>
  <c r="BD37" i="69"/>
  <c r="AR82" i="57" s="1"/>
  <c r="AH75" i="69"/>
  <c r="AI75" i="69"/>
  <c r="AI51" i="69"/>
  <c r="AH51" i="69"/>
  <c r="AK37" i="69"/>
  <c r="AL37" i="69"/>
  <c r="Z82" i="57" s="1"/>
  <c r="AM37" i="69"/>
  <c r="AA82" i="57" s="1"/>
  <c r="AQ37" i="69"/>
  <c r="AE82" i="57" s="1"/>
  <c r="AY37" i="69"/>
  <c r="AM82" i="57" s="1"/>
  <c r="AR37" i="69"/>
  <c r="AF82" i="57" s="1"/>
  <c r="AZ37" i="69"/>
  <c r="AN82" i="57" s="1"/>
  <c r="AS37" i="69"/>
  <c r="AG82" i="57" s="1"/>
  <c r="BA37" i="69"/>
  <c r="AO82" i="57" s="1"/>
  <c r="AT37" i="69"/>
  <c r="AH82" i="57" s="1"/>
  <c r="BB37" i="69"/>
  <c r="AP82" i="57" s="1"/>
  <c r="AU37" i="69"/>
  <c r="AI82" i="57" s="1"/>
  <c r="AN37" i="69"/>
  <c r="AB82" i="57" s="1"/>
  <c r="AV37" i="69"/>
  <c r="AJ82" i="57" s="1"/>
  <c r="AP37" i="69"/>
  <c r="AD82" i="57" s="1"/>
  <c r="AW37" i="69"/>
  <c r="AK82" i="57" s="1"/>
  <c r="AX37" i="69"/>
  <c r="AL82" i="57" s="1"/>
  <c r="AO37" i="69"/>
  <c r="AC82" i="57" s="1"/>
  <c r="E89" i="69"/>
  <c r="AB89" i="69" s="1"/>
  <c r="H14" i="47"/>
  <c r="N10" i="60" l="1"/>
  <c r="O11" i="60"/>
  <c r="P121" i="57"/>
  <c r="G120" i="57"/>
  <c r="E10" i="60"/>
  <c r="C32" i="60" s="1"/>
  <c r="B62" i="60"/>
  <c r="B47" i="60"/>
  <c r="B32" i="60"/>
  <c r="M10" i="60"/>
  <c r="P120" i="57"/>
  <c r="BT51" i="69"/>
  <c r="BH83" i="57" s="1"/>
  <c r="CF51" i="69"/>
  <c r="BT83" i="57" s="1"/>
  <c r="BU51" i="69"/>
  <c r="BI83" i="57" s="1"/>
  <c r="CG51" i="69"/>
  <c r="BU83" i="57" s="1"/>
  <c r="BV51" i="69"/>
  <c r="BJ83" i="57" s="1"/>
  <c r="CH51" i="69"/>
  <c r="BV83" i="57" s="1"/>
  <c r="BW51" i="69"/>
  <c r="BK83" i="57" s="1"/>
  <c r="BX51" i="69"/>
  <c r="BL83" i="57" s="1"/>
  <c r="BY51" i="69"/>
  <c r="BM83" i="57" s="1"/>
  <c r="BZ51" i="69"/>
  <c r="BN83" i="57" s="1"/>
  <c r="BO51" i="69"/>
  <c r="BC83" i="57" s="1"/>
  <c r="CA51" i="69"/>
  <c r="BO83" i="57" s="1"/>
  <c r="BP51" i="69"/>
  <c r="BD83" i="57" s="1"/>
  <c r="CB51" i="69"/>
  <c r="BP83" i="57" s="1"/>
  <c r="BQ51" i="69"/>
  <c r="BE83" i="57" s="1"/>
  <c r="CC51" i="69"/>
  <c r="BQ83" i="57" s="1"/>
  <c r="BR51" i="69"/>
  <c r="BF83" i="57" s="1"/>
  <c r="CD51" i="69"/>
  <c r="BR83" i="57" s="1"/>
  <c r="BS51" i="69"/>
  <c r="BG83" i="57" s="1"/>
  <c r="CE51" i="69"/>
  <c r="BS83" i="57" s="1"/>
  <c r="BV75" i="69"/>
  <c r="CH75" i="69"/>
  <c r="BW75" i="69"/>
  <c r="BX75" i="69"/>
  <c r="BY75" i="69"/>
  <c r="BZ75" i="69"/>
  <c r="BO75" i="69"/>
  <c r="CA75" i="69"/>
  <c r="BP75" i="69"/>
  <c r="CB75" i="69"/>
  <c r="BQ75" i="69"/>
  <c r="CC75" i="69"/>
  <c r="BR75" i="69"/>
  <c r="CD75" i="69"/>
  <c r="BS75" i="69"/>
  <c r="CE75" i="69"/>
  <c r="BT75" i="69"/>
  <c r="CF75" i="69"/>
  <c r="BU75" i="69"/>
  <c r="CG75" i="69"/>
  <c r="BL51" i="69"/>
  <c r="AZ83" i="57" s="1"/>
  <c r="BM51" i="69"/>
  <c r="BA83" i="57" s="1"/>
  <c r="BN51" i="69"/>
  <c r="BB83" i="57" s="1"/>
  <c r="BJ51" i="69"/>
  <c r="AX83" i="57" s="1"/>
  <c r="BK51" i="69"/>
  <c r="AY83" i="57" s="1"/>
  <c r="BJ75" i="69"/>
  <c r="BK75" i="69"/>
  <c r="BL75" i="69"/>
  <c r="BM75" i="69"/>
  <c r="BN75" i="69"/>
  <c r="BE51" i="69"/>
  <c r="AS83" i="57" s="1"/>
  <c r="BF51" i="69"/>
  <c r="AT83" i="57" s="1"/>
  <c r="BG51" i="69"/>
  <c r="AU83" i="57" s="1"/>
  <c r="BH51" i="69"/>
  <c r="AV83" i="57" s="1"/>
  <c r="BI51" i="69"/>
  <c r="AW83" i="57" s="1"/>
  <c r="BE75" i="69"/>
  <c r="BF75" i="69"/>
  <c r="BG75" i="69"/>
  <c r="BH75" i="69"/>
  <c r="BI75" i="69"/>
  <c r="BC51" i="69"/>
  <c r="AQ83" i="57" s="1"/>
  <c r="BD51" i="69"/>
  <c r="AR83" i="57" s="1"/>
  <c r="BC75" i="69"/>
  <c r="BD75" i="69"/>
  <c r="AM51" i="69"/>
  <c r="AA83" i="57" s="1"/>
  <c r="AL51" i="69"/>
  <c r="Z83" i="57" s="1"/>
  <c r="AK51" i="69"/>
  <c r="AV51" i="69"/>
  <c r="AJ83" i="57" s="1"/>
  <c r="BA51" i="69"/>
  <c r="AO83" i="57" s="1"/>
  <c r="AS51" i="69"/>
  <c r="AG83" i="57" s="1"/>
  <c r="AR51" i="69"/>
  <c r="AF83" i="57" s="1"/>
  <c r="AU51" i="69"/>
  <c r="AI83" i="57" s="1"/>
  <c r="AX51" i="69"/>
  <c r="AL83" i="57" s="1"/>
  <c r="AW51" i="69"/>
  <c r="AK83" i="57" s="1"/>
  <c r="AY51" i="69"/>
  <c r="AM83" i="57" s="1"/>
  <c r="AP51" i="69"/>
  <c r="AD83" i="57" s="1"/>
  <c r="AQ51" i="69"/>
  <c r="AE83" i="57" s="1"/>
  <c r="BB51" i="69"/>
  <c r="AP83" i="57" s="1"/>
  <c r="AZ51" i="69"/>
  <c r="AN83" i="57" s="1"/>
  <c r="AT51" i="69"/>
  <c r="AH83" i="57" s="1"/>
  <c r="AO51" i="69"/>
  <c r="AC83" i="57" s="1"/>
  <c r="AN51" i="69"/>
  <c r="AB83" i="57" s="1"/>
  <c r="AH89" i="69"/>
  <c r="AI89" i="69"/>
  <c r="AS75" i="69"/>
  <c r="BA75" i="69"/>
  <c r="AT75" i="69"/>
  <c r="AX75" i="69"/>
  <c r="BB75" i="69"/>
  <c r="AQ75" i="69"/>
  <c r="AU75" i="69"/>
  <c r="AY75" i="69"/>
  <c r="AR75" i="69"/>
  <c r="AO75" i="69"/>
  <c r="AV75" i="69"/>
  <c r="AZ75" i="69"/>
  <c r="AN75" i="69"/>
  <c r="AW75" i="69"/>
  <c r="AP75" i="69"/>
  <c r="AK75" i="69"/>
  <c r="AL75" i="69"/>
  <c r="AM75" i="69"/>
  <c r="K24" i="47"/>
  <c r="L24" i="47" s="1"/>
  <c r="Z36" i="47" s="1"/>
  <c r="F14" i="47"/>
  <c r="O10" i="60" l="1"/>
  <c r="BR89" i="69"/>
  <c r="CD89" i="69"/>
  <c r="BS89" i="69"/>
  <c r="CE89" i="69"/>
  <c r="BT89" i="69"/>
  <c r="CF89" i="69"/>
  <c r="BU89" i="69"/>
  <c r="CG89" i="69"/>
  <c r="BV89" i="69"/>
  <c r="CH89" i="69"/>
  <c r="BW89" i="69"/>
  <c r="BX89" i="69"/>
  <c r="BY89" i="69"/>
  <c r="BZ89" i="69"/>
  <c r="BO89" i="69"/>
  <c r="CA89" i="69"/>
  <c r="BP89" i="69"/>
  <c r="CB89" i="69"/>
  <c r="BQ89" i="69"/>
  <c r="CC89" i="69"/>
  <c r="BJ89" i="69"/>
  <c r="BK89" i="69"/>
  <c r="BL89" i="69"/>
  <c r="BM89" i="69"/>
  <c r="BN89" i="69"/>
  <c r="BE89" i="69"/>
  <c r="BF89" i="69"/>
  <c r="BG89" i="69"/>
  <c r="BH89" i="69"/>
  <c r="BI89" i="69"/>
  <c r="BL35" i="47"/>
  <c r="BL46" i="47" s="1"/>
  <c r="AX36" i="47"/>
  <c r="AX43" i="47" s="1"/>
  <c r="AI36" i="47"/>
  <c r="BL47" i="47" s="1"/>
  <c r="BC89" i="69"/>
  <c r="BD89" i="69"/>
  <c r="AU89" i="69"/>
  <c r="AN89" i="69"/>
  <c r="AV89" i="69"/>
  <c r="AP89" i="69"/>
  <c r="AX89" i="69"/>
  <c r="AQ89" i="69"/>
  <c r="AY89" i="69"/>
  <c r="AR89" i="69"/>
  <c r="AS89" i="69"/>
  <c r="AT89" i="69"/>
  <c r="AZ89" i="69"/>
  <c r="BA89" i="69"/>
  <c r="BB89" i="69"/>
  <c r="AO89" i="69"/>
  <c r="AW89" i="69"/>
  <c r="AM89" i="69"/>
  <c r="AK89" i="69"/>
  <c r="AL89" i="69"/>
  <c r="AA36" i="47"/>
  <c r="F128" i="69" s="1"/>
  <c r="B303" i="57" s="1"/>
  <c r="AE13" i="43" l="1"/>
  <c r="AE33" i="43" s="1"/>
  <c r="BL49" i="47"/>
  <c r="BM35" i="47"/>
  <c r="BM46" i="47" s="1"/>
  <c r="AJ36" i="47"/>
  <c r="BM47" i="47" s="1"/>
  <c r="AY36" i="47"/>
  <c r="AY43" i="47" s="1"/>
  <c r="AY44" i="47" s="1"/>
  <c r="D180" i="57"/>
  <c r="D98" i="60"/>
  <c r="E123" i="49"/>
  <c r="AC126" i="57" s="1"/>
  <c r="AG126" i="57" s="1"/>
  <c r="AI108" i="47"/>
  <c r="AJ108" i="47" l="1"/>
  <c r="AK36" i="47"/>
  <c r="BN47" i="47" s="1"/>
  <c r="E29" i="59"/>
  <c r="D16" i="60" s="1"/>
  <c r="BM49" i="47"/>
  <c r="AF13" i="43"/>
  <c r="AF33" i="43" s="1"/>
  <c r="E180" i="57"/>
  <c r="O180" i="57" s="1"/>
  <c r="E152" i="49"/>
  <c r="BQ35" i="47"/>
  <c r="F45" i="49" s="1"/>
  <c r="H180" i="57" s="1"/>
  <c r="H187" i="57" s="1"/>
  <c r="E98" i="60"/>
  <c r="D115" i="60" s="1"/>
  <c r="F115" i="60" s="1"/>
  <c r="BN35" i="47"/>
  <c r="D29" i="59"/>
  <c r="D80" i="60"/>
  <c r="N180" i="57"/>
  <c r="N80" i="60" s="1"/>
  <c r="N87" i="60" s="1"/>
  <c r="D187" i="57"/>
  <c r="D108" i="60"/>
  <c r="D100" i="60"/>
  <c r="K123" i="49"/>
  <c r="BN46" i="47"/>
  <c r="K50" i="31"/>
  <c r="L50" i="31"/>
  <c r="N50" i="31"/>
  <c r="M50" i="31"/>
  <c r="K152" i="49" l="1"/>
  <c r="P193" i="57" s="1"/>
  <c r="AH126" i="57"/>
  <c r="AL126" i="57" s="1"/>
  <c r="BQ45" i="47"/>
  <c r="D45" i="49" s="1"/>
  <c r="T45" i="49" s="1"/>
  <c r="T53" i="49" s="1"/>
  <c r="AG13" i="43"/>
  <c r="AG33" i="43" s="1"/>
  <c r="AK108" i="47"/>
  <c r="BN49" i="47"/>
  <c r="BR35" i="47"/>
  <c r="BR45" i="47" s="1"/>
  <c r="Q45" i="49" s="1"/>
  <c r="U45" i="49" s="1"/>
  <c r="U53" i="49" s="1"/>
  <c r="K95" i="49"/>
  <c r="Q95" i="49" s="1"/>
  <c r="F53" i="49"/>
  <c r="H126" i="57" s="1"/>
  <c r="G180" i="57"/>
  <c r="E115" i="60"/>
  <c r="F98" i="60"/>
  <c r="F100" i="60" s="1"/>
  <c r="F102" i="60" s="1"/>
  <c r="E100" i="60"/>
  <c r="E101" i="60" s="1"/>
  <c r="E187" i="57"/>
  <c r="F187" i="57" s="1"/>
  <c r="E80" i="60"/>
  <c r="G80" i="60" s="1"/>
  <c r="H80" i="60"/>
  <c r="H87" i="60" s="1"/>
  <c r="H91" i="60" s="1"/>
  <c r="C16" i="60"/>
  <c r="C53" i="60" s="1"/>
  <c r="H29" i="59"/>
  <c r="N126" i="57" s="1"/>
  <c r="D126" i="57"/>
  <c r="J57" i="31"/>
  <c r="E281" i="57" s="1"/>
  <c r="E274" i="57"/>
  <c r="M57" i="31"/>
  <c r="I281" i="57" s="1"/>
  <c r="I274" i="57"/>
  <c r="O57" i="31"/>
  <c r="K281" i="57" s="1"/>
  <c r="K274" i="57"/>
  <c r="N57" i="31"/>
  <c r="J281" i="57" s="1"/>
  <c r="J274" i="57"/>
  <c r="K57" i="31"/>
  <c r="F281" i="57" s="1"/>
  <c r="F274" i="57"/>
  <c r="L57" i="31"/>
  <c r="G281" i="57" s="1"/>
  <c r="G274" i="57"/>
  <c r="Q123" i="49"/>
  <c r="P192" i="57"/>
  <c r="D87" i="60"/>
  <c r="C68" i="60"/>
  <c r="N187" i="57"/>
  <c r="E108" i="60"/>
  <c r="F108" i="60"/>
  <c r="D102" i="60"/>
  <c r="D101" i="60"/>
  <c r="O80" i="60"/>
  <c r="O87" i="60" s="1"/>
  <c r="O187" i="57"/>
  <c r="I29" i="59"/>
  <c r="E126" i="57"/>
  <c r="P50" i="31"/>
  <c r="L274" i="57" s="1"/>
  <c r="Q152" i="49" l="1"/>
  <c r="Q193" i="57" s="1"/>
  <c r="F126" i="57"/>
  <c r="G126" i="57"/>
  <c r="D53" i="49"/>
  <c r="F180" i="57"/>
  <c r="P180" i="57" s="1"/>
  <c r="P80" i="60" s="1"/>
  <c r="P87" i="60" s="1"/>
  <c r="E128" i="69"/>
  <c r="AB128" i="69" s="1"/>
  <c r="BS35" i="47"/>
  <c r="BS45" i="47" s="1"/>
  <c r="R45" i="49" s="1"/>
  <c r="R53" i="49" s="1"/>
  <c r="Q53" i="49"/>
  <c r="P194" i="57"/>
  <c r="Q194" i="57" s="1"/>
  <c r="G16" i="60"/>
  <c r="E102" i="60"/>
  <c r="F101" i="60"/>
  <c r="E87" i="60"/>
  <c r="H90" i="60"/>
  <c r="B38" i="60"/>
  <c r="B68" i="60"/>
  <c r="B53" i="60"/>
  <c r="E16" i="60"/>
  <c r="C38" i="60" s="1"/>
  <c r="M16" i="60"/>
  <c r="Q192" i="57"/>
  <c r="F87" i="60"/>
  <c r="N16" i="60"/>
  <c r="O126" i="57"/>
  <c r="P126" i="57" s="1"/>
  <c r="P57" i="31"/>
  <c r="L281" i="57" s="1"/>
  <c r="K10" i="59"/>
  <c r="S4" i="59"/>
  <c r="K10" i="49"/>
  <c r="S4" i="49"/>
  <c r="AK415" i="47"/>
  <c r="P187" i="57" l="1"/>
  <c r="F80" i="60"/>
  <c r="AH128" i="69"/>
  <c r="F188" i="57"/>
  <c r="F189" i="57" s="1"/>
  <c r="S6" i="49"/>
  <c r="AI128" i="69"/>
  <c r="BT45" i="47"/>
  <c r="BT35" i="47"/>
  <c r="V45" i="49"/>
  <c r="V53" i="49" s="1"/>
  <c r="O16" i="60"/>
  <c r="J188" i="57"/>
  <c r="K188" i="57"/>
  <c r="I188" i="57"/>
  <c r="L188" i="57"/>
  <c r="H188" i="57"/>
  <c r="D188" i="57"/>
  <c r="E188" i="57"/>
  <c r="K109" i="57"/>
  <c r="P150" i="57" s="1"/>
  <c r="BN427" i="47"/>
  <c r="BC14" i="26"/>
  <c r="L11" i="27" s="1"/>
  <c r="N11" i="27" s="1"/>
  <c r="F88" i="60" l="1"/>
  <c r="BR128" i="69"/>
  <c r="BF88" i="57" s="1"/>
  <c r="CD128" i="69"/>
  <c r="BR88" i="57" s="1"/>
  <c r="BS128" i="69"/>
  <c r="BG88" i="57" s="1"/>
  <c r="CE128" i="69"/>
  <c r="BS88" i="57" s="1"/>
  <c r="BT128" i="69"/>
  <c r="BH88" i="57" s="1"/>
  <c r="CF128" i="69"/>
  <c r="BT88" i="57" s="1"/>
  <c r="BU128" i="69"/>
  <c r="BI88" i="57" s="1"/>
  <c r="CG128" i="69"/>
  <c r="BU88" i="57" s="1"/>
  <c r="BV128" i="69"/>
  <c r="BJ88" i="57" s="1"/>
  <c r="CH128" i="69"/>
  <c r="BV88" i="57" s="1"/>
  <c r="BX128" i="69"/>
  <c r="BL88" i="57" s="1"/>
  <c r="BY128" i="69"/>
  <c r="BM88" i="57" s="1"/>
  <c r="BO128" i="69"/>
  <c r="BC88" i="57" s="1"/>
  <c r="BP128" i="69"/>
  <c r="BD88" i="57" s="1"/>
  <c r="BQ128" i="69"/>
  <c r="BE88" i="57" s="1"/>
  <c r="BW128" i="69"/>
  <c r="BK88" i="57" s="1"/>
  <c r="BZ128" i="69"/>
  <c r="BN88" i="57" s="1"/>
  <c r="CA128" i="69"/>
  <c r="BO88" i="57" s="1"/>
  <c r="CB128" i="69"/>
  <c r="BP88" i="57" s="1"/>
  <c r="CC128" i="69"/>
  <c r="BQ88" i="57" s="1"/>
  <c r="AL128" i="69"/>
  <c r="Z88" i="57" s="1"/>
  <c r="BK128" i="69"/>
  <c r="AY88" i="57" s="1"/>
  <c r="BL128" i="69"/>
  <c r="AZ88" i="57" s="1"/>
  <c r="BM128" i="69"/>
  <c r="BA88" i="57" s="1"/>
  <c r="BN128" i="69"/>
  <c r="BB88" i="57" s="1"/>
  <c r="BJ128" i="69"/>
  <c r="AX88" i="57" s="1"/>
  <c r="AP128" i="69"/>
  <c r="AD88" i="57" s="1"/>
  <c r="AM128" i="69"/>
  <c r="AA88" i="57" s="1"/>
  <c r="AK128" i="69"/>
  <c r="BD128" i="69"/>
  <c r="AR88" i="57" s="1"/>
  <c r="AR128" i="69"/>
  <c r="AF88" i="57" s="1"/>
  <c r="BE128" i="69"/>
  <c r="AS88" i="57" s="1"/>
  <c r="BF128" i="69"/>
  <c r="AT88" i="57" s="1"/>
  <c r="BG128" i="69"/>
  <c r="AU88" i="57" s="1"/>
  <c r="BH128" i="69"/>
  <c r="AV88" i="57" s="1"/>
  <c r="BI128" i="69"/>
  <c r="AW88" i="57" s="1"/>
  <c r="BA128" i="69"/>
  <c r="AO88" i="57" s="1"/>
  <c r="AO128" i="69"/>
  <c r="AC88" i="57" s="1"/>
  <c r="AS128" i="69"/>
  <c r="AG88" i="57" s="1"/>
  <c r="AW128" i="69"/>
  <c r="AK88" i="57" s="1"/>
  <c r="AY128" i="69"/>
  <c r="AM88" i="57" s="1"/>
  <c r="AV128" i="69"/>
  <c r="AJ88" i="57" s="1"/>
  <c r="BC128" i="69"/>
  <c r="AQ88" i="57" s="1"/>
  <c r="AQ128" i="69"/>
  <c r="AE88" i="57" s="1"/>
  <c r="AX128" i="69"/>
  <c r="AL88" i="57" s="1"/>
  <c r="AN128" i="69"/>
  <c r="AB88" i="57" s="1"/>
  <c r="AU128" i="69"/>
  <c r="AI88" i="57" s="1"/>
  <c r="BB128" i="69"/>
  <c r="AP88" i="57" s="1"/>
  <c r="AT128" i="69"/>
  <c r="AH88" i="57" s="1"/>
  <c r="AZ128" i="69"/>
  <c r="AN88" i="57" s="1"/>
  <c r="Q11" i="27"/>
  <c r="P11" i="27"/>
  <c r="R11" i="27" s="1"/>
  <c r="I31" i="27" s="1"/>
  <c r="J88" i="60"/>
  <c r="J189" i="57"/>
  <c r="I88" i="60"/>
  <c r="I189" i="57"/>
  <c r="K88" i="60"/>
  <c r="K189" i="57"/>
  <c r="H88" i="60"/>
  <c r="H189" i="57"/>
  <c r="L88" i="60"/>
  <c r="L189" i="57"/>
  <c r="E88" i="60"/>
  <c r="E189" i="57"/>
  <c r="D88" i="60"/>
  <c r="D189" i="57"/>
  <c r="AK11" i="27" l="1"/>
  <c r="H31" i="27"/>
  <c r="X45" i="27" s="1"/>
  <c r="F118" i="49" s="1"/>
  <c r="M31" i="27"/>
  <c r="Y45" i="27"/>
  <c r="F147" i="49" s="1"/>
  <c r="AL11" i="27"/>
  <c r="L147" i="49" l="1"/>
  <c r="R147" i="49" s="1"/>
  <c r="AH123" i="57"/>
  <c r="AL123" i="57" s="1"/>
  <c r="L118" i="49"/>
  <c r="R118" i="49" s="1"/>
  <c r="AC123" i="57"/>
  <c r="AG123" i="57" s="1"/>
  <c r="G90" i="69"/>
  <c r="Y37" i="27"/>
  <c r="Y41" i="27" s="1"/>
  <c r="Q25" i="49" s="1"/>
  <c r="U25" i="49" s="1"/>
  <c r="AE14" i="26"/>
  <c r="X37" i="27"/>
  <c r="X41" i="27" s="1"/>
  <c r="D25" i="49" s="1"/>
  <c r="T25" i="49" s="1"/>
  <c r="L31" i="27"/>
  <c r="AD14" i="26" s="1"/>
  <c r="X49" i="27"/>
  <c r="Y49" i="27"/>
  <c r="N31" i="27" l="1"/>
  <c r="Z41" i="27"/>
  <c r="R25" i="49" s="1"/>
  <c r="V25" i="49" s="1"/>
  <c r="Z37" i="27"/>
  <c r="G25" i="49"/>
  <c r="H13" i="60" s="1"/>
  <c r="N44" i="27" l="1"/>
  <c r="AG38" i="26" s="1"/>
  <c r="L44" i="27"/>
  <c r="AD38" i="26" s="1"/>
  <c r="M44" i="27"/>
  <c r="AG14" i="26"/>
  <c r="E90" i="69" s="1"/>
  <c r="AB90" i="69" s="1"/>
  <c r="I123" i="57"/>
  <c r="L90" i="49"/>
  <c r="R90" i="49" s="1"/>
  <c r="AK31" i="25"/>
  <c r="AK44" i="25" s="1"/>
  <c r="Q117" i="15"/>
  <c r="D31" i="25"/>
  <c r="D26" i="59" l="1"/>
  <c r="D123" i="57" s="1"/>
  <c r="E26" i="59"/>
  <c r="AE38" i="26"/>
  <c r="AK11" i="25"/>
  <c r="AM11" i="25"/>
  <c r="AI90" i="69"/>
  <c r="AH90" i="69"/>
  <c r="J31" i="25"/>
  <c r="L10" i="31"/>
  <c r="R31" i="25"/>
  <c r="AN31" i="25" s="1"/>
  <c r="AN44" i="25" s="1"/>
  <c r="T117" i="15"/>
  <c r="Z31" i="25"/>
  <c r="R117" i="15"/>
  <c r="AV11" i="25"/>
  <c r="AL31" i="25"/>
  <c r="AL44" i="25" s="1"/>
  <c r="AS11" i="25"/>
  <c r="AM31" i="25"/>
  <c r="AM44" i="25" s="1"/>
  <c r="AA31" i="25"/>
  <c r="AO31" i="25"/>
  <c r="AO44" i="25" s="1"/>
  <c r="AT11" i="25"/>
  <c r="AU11" i="25"/>
  <c r="C13" i="60" l="1"/>
  <c r="C50" i="60" s="1"/>
  <c r="H26" i="59"/>
  <c r="M13" i="60" s="1"/>
  <c r="W18" i="25"/>
  <c r="G117" i="49" s="1"/>
  <c r="AD122" i="57" s="1"/>
  <c r="M76" i="69"/>
  <c r="W17" i="25"/>
  <c r="U76" i="69"/>
  <c r="D13" i="60"/>
  <c r="C65" i="60" s="1"/>
  <c r="I26" i="59"/>
  <c r="E123" i="57"/>
  <c r="BV90" i="69"/>
  <c r="BJ85" i="57" s="1"/>
  <c r="CH90" i="69"/>
  <c r="BV85" i="57" s="1"/>
  <c r="BW90" i="69"/>
  <c r="BK85" i="57" s="1"/>
  <c r="BX90" i="69"/>
  <c r="BL85" i="57" s="1"/>
  <c r="BY90" i="69"/>
  <c r="BM85" i="57" s="1"/>
  <c r="BZ90" i="69"/>
  <c r="BN85" i="57" s="1"/>
  <c r="BO90" i="69"/>
  <c r="BC85" i="57" s="1"/>
  <c r="CA90" i="69"/>
  <c r="BO85" i="57" s="1"/>
  <c r="BP90" i="69"/>
  <c r="BD85" i="57" s="1"/>
  <c r="CB90" i="69"/>
  <c r="BP85" i="57" s="1"/>
  <c r="BQ90" i="69"/>
  <c r="BE85" i="57" s="1"/>
  <c r="CC90" i="69"/>
  <c r="BQ85" i="57" s="1"/>
  <c r="BR90" i="69"/>
  <c r="BF85" i="57" s="1"/>
  <c r="CD90" i="69"/>
  <c r="BR85" i="57" s="1"/>
  <c r="BS90" i="69"/>
  <c r="BG85" i="57" s="1"/>
  <c r="CE90" i="69"/>
  <c r="BS85" i="57" s="1"/>
  <c r="BT90" i="69"/>
  <c r="BH85" i="57" s="1"/>
  <c r="CF90" i="69"/>
  <c r="BT85" i="57" s="1"/>
  <c r="BU90" i="69"/>
  <c r="BI85" i="57" s="1"/>
  <c r="CG90" i="69"/>
  <c r="BU85" i="57" s="1"/>
  <c r="BJ90" i="69"/>
  <c r="AX85" i="57" s="1"/>
  <c r="BK90" i="69"/>
  <c r="AY85" i="57" s="1"/>
  <c r="BL90" i="69"/>
  <c r="AZ85" i="57" s="1"/>
  <c r="BM90" i="69"/>
  <c r="BA85" i="57" s="1"/>
  <c r="BN90" i="69"/>
  <c r="BB85" i="57" s="1"/>
  <c r="BE90" i="69"/>
  <c r="AS85" i="57" s="1"/>
  <c r="BF90" i="69"/>
  <c r="AT85" i="57" s="1"/>
  <c r="BG90" i="69"/>
  <c r="AU85" i="57" s="1"/>
  <c r="BH90" i="69"/>
  <c r="AV85" i="57" s="1"/>
  <c r="BI90" i="69"/>
  <c r="AW85" i="57" s="1"/>
  <c r="BH117" i="15"/>
  <c r="I7" i="25" s="1"/>
  <c r="BC90" i="69"/>
  <c r="BD90" i="69"/>
  <c r="AK90" i="69"/>
  <c r="AL90" i="69"/>
  <c r="AM90" i="69"/>
  <c r="AS90" i="69"/>
  <c r="BA90" i="69"/>
  <c r="AT90" i="69"/>
  <c r="BB90" i="69"/>
  <c r="AN90" i="69"/>
  <c r="AV90" i="69"/>
  <c r="AO90" i="69"/>
  <c r="AW90" i="69"/>
  <c r="AP90" i="69"/>
  <c r="AQ90" i="69"/>
  <c r="AR90" i="69"/>
  <c r="AX90" i="69"/>
  <c r="AY90" i="69"/>
  <c r="AZ90" i="69"/>
  <c r="AU90" i="69"/>
  <c r="X9" i="25"/>
  <c r="N7" i="25"/>
  <c r="AP11" i="25" s="1"/>
  <c r="AB31" i="25"/>
  <c r="W10" i="25"/>
  <c r="J24" i="49" s="1"/>
  <c r="X17" i="25"/>
  <c r="W9" i="25"/>
  <c r="P10" i="31"/>
  <c r="G152" i="57"/>
  <c r="L89" i="60"/>
  <c r="H89" i="60"/>
  <c r="K89" i="60"/>
  <c r="I89" i="60"/>
  <c r="J89" i="60"/>
  <c r="E89" i="60"/>
  <c r="D89" i="60"/>
  <c r="F89" i="60"/>
  <c r="L31" i="31"/>
  <c r="M7" i="25"/>
  <c r="BF117" i="15"/>
  <c r="O7" i="25" s="1"/>
  <c r="P7" i="25" s="1"/>
  <c r="X18" i="25"/>
  <c r="G146" i="49" s="1"/>
  <c r="AI122" i="57" s="1"/>
  <c r="L14" i="31"/>
  <c r="X10" i="25"/>
  <c r="N123" i="57" l="1"/>
  <c r="M117" i="49"/>
  <c r="S117" i="49" s="1"/>
  <c r="B307" i="57"/>
  <c r="AN120" i="57"/>
  <c r="AN129" i="57"/>
  <c r="B305" i="57"/>
  <c r="K305" i="57" s="1"/>
  <c r="AN119" i="57"/>
  <c r="AN121" i="57"/>
  <c r="AN126" i="57"/>
  <c r="AN122" i="57"/>
  <c r="AN124" i="57"/>
  <c r="AN117" i="57"/>
  <c r="AN123" i="57"/>
  <c r="AN127" i="57"/>
  <c r="AN128" i="57"/>
  <c r="AN125" i="57"/>
  <c r="AN118" i="57"/>
  <c r="AI131" i="57"/>
  <c r="AD131" i="57"/>
  <c r="B50" i="60"/>
  <c r="B65" i="60"/>
  <c r="B35" i="60"/>
  <c r="E13" i="60"/>
  <c r="C35" i="60" s="1"/>
  <c r="G123" i="57"/>
  <c r="F123" i="57"/>
  <c r="O123" i="57"/>
  <c r="P123" i="57" s="1"/>
  <c r="N13" i="60"/>
  <c r="O13" i="60" s="1"/>
  <c r="AQ11" i="25"/>
  <c r="AR11" i="25"/>
  <c r="N31" i="25"/>
  <c r="W15" i="25" s="1"/>
  <c r="AO11" i="25"/>
  <c r="O31" i="25"/>
  <c r="AR85" i="57"/>
  <c r="AK85" i="57"/>
  <c r="AA85" i="57"/>
  <c r="AF85" i="57"/>
  <c r="AN85" i="57"/>
  <c r="AO85" i="57"/>
  <c r="AG85" i="57"/>
  <c r="AQ85" i="57"/>
  <c r="AL85" i="57"/>
  <c r="AB85" i="57"/>
  <c r="AJ85" i="57"/>
  <c r="AE85" i="57"/>
  <c r="AI85" i="57"/>
  <c r="AM85" i="57"/>
  <c r="Z85" i="57"/>
  <c r="AC85" i="57"/>
  <c r="AD85" i="57"/>
  <c r="AP85" i="57"/>
  <c r="AH85" i="57"/>
  <c r="P31" i="31"/>
  <c r="L167" i="57" s="1"/>
  <c r="G167" i="57"/>
  <c r="P14" i="31"/>
  <c r="L156" i="57" s="1"/>
  <c r="G156" i="57"/>
  <c r="L152" i="57"/>
  <c r="K6" i="49"/>
  <c r="S3" i="59"/>
  <c r="K6" i="59"/>
  <c r="S6" i="59" s="1"/>
  <c r="K108" i="57"/>
  <c r="P149" i="57" s="1"/>
  <c r="M146" i="49"/>
  <c r="S146" i="49" s="1"/>
  <c r="M89" i="49"/>
  <c r="S89" i="49" s="1"/>
  <c r="J31" i="49"/>
  <c r="J34" i="49" s="1"/>
  <c r="I12" i="60"/>
  <c r="I20" i="60" s="1"/>
  <c r="J122" i="57"/>
  <c r="J131" i="57" s="1"/>
  <c r="P31" i="25"/>
  <c r="W16" i="25" s="1"/>
  <c r="H117" i="49" s="1"/>
  <c r="Q31" i="25"/>
  <c r="Y10" i="25"/>
  <c r="AN131" i="57" l="1"/>
  <c r="N117" i="49"/>
  <c r="T117" i="49" s="1"/>
  <c r="AE122" i="57"/>
  <c r="AE131" i="57" s="1"/>
  <c r="X15" i="25"/>
  <c r="F146" i="49" s="1"/>
  <c r="AH122" i="57" s="1"/>
  <c r="AH131" i="57" s="1"/>
  <c r="G76" i="69"/>
  <c r="AP129" i="57" s="1"/>
  <c r="V76" i="69"/>
  <c r="X7" i="25"/>
  <c r="X8" i="25"/>
  <c r="P89" i="60"/>
  <c r="O89" i="60"/>
  <c r="K107" i="57"/>
  <c r="N89" i="60"/>
  <c r="W7" i="25"/>
  <c r="G24" i="49" s="1"/>
  <c r="W8" i="25"/>
  <c r="X16" i="25"/>
  <c r="H146" i="49" s="1"/>
  <c r="I24" i="60"/>
  <c r="I23" i="60"/>
  <c r="U31" i="25"/>
  <c r="M24" i="49"/>
  <c r="M31" i="49" s="1"/>
  <c r="M34" i="49" s="1"/>
  <c r="T31" i="25"/>
  <c r="C303" i="57" l="1"/>
  <c r="K303" i="57" s="1"/>
  <c r="C307" i="57"/>
  <c r="K307" i="57" s="1"/>
  <c r="AO127" i="57"/>
  <c r="AO126" i="57"/>
  <c r="AO120" i="57"/>
  <c r="AO124" i="57"/>
  <c r="AO129" i="57"/>
  <c r="AQ129" i="57" s="1"/>
  <c r="AO125" i="57"/>
  <c r="AO119" i="57"/>
  <c r="AO123" i="57"/>
  <c r="AO122" i="57"/>
  <c r="AO121" i="57"/>
  <c r="AO118" i="57"/>
  <c r="AO117" i="57"/>
  <c r="AO128" i="57"/>
  <c r="AM125" i="57"/>
  <c r="AM126" i="57"/>
  <c r="AM123" i="57"/>
  <c r="AM127" i="57"/>
  <c r="AM117" i="57"/>
  <c r="AM122" i="57"/>
  <c r="AM124" i="57"/>
  <c r="AM121" i="57"/>
  <c r="AM120" i="57"/>
  <c r="AM119" i="57"/>
  <c r="AP128" i="57"/>
  <c r="AP131" i="57" s="1"/>
  <c r="AP132" i="57" s="1"/>
  <c r="AP133" i="57" s="1"/>
  <c r="AM118" i="57"/>
  <c r="L146" i="49"/>
  <c r="N146" i="49"/>
  <c r="T146" i="49" s="1"/>
  <c r="AJ122" i="57"/>
  <c r="D15" i="57"/>
  <c r="AF132" i="57"/>
  <c r="AF133" i="57" s="1"/>
  <c r="AE132" i="57"/>
  <c r="AE133" i="57" s="1"/>
  <c r="AD132" i="57"/>
  <c r="AD133" i="57" s="1"/>
  <c r="AN132" i="57"/>
  <c r="AN133" i="57" s="1"/>
  <c r="AI132" i="57"/>
  <c r="AI133" i="57" s="1"/>
  <c r="AH132" i="57"/>
  <c r="AH133" i="57" s="1"/>
  <c r="AK132" i="57"/>
  <c r="AK133" i="57" s="1"/>
  <c r="V31" i="25"/>
  <c r="U45" i="25" s="1"/>
  <c r="X11" i="25"/>
  <c r="Q24" i="49" s="1"/>
  <c r="U24" i="49" s="1"/>
  <c r="U31" i="49" s="1"/>
  <c r="U34" i="49" s="1"/>
  <c r="L132" i="57"/>
  <c r="L133" i="57" s="1"/>
  <c r="J132" i="57"/>
  <c r="J133" i="57" s="1"/>
  <c r="I164" i="49"/>
  <c r="X19" i="25"/>
  <c r="P148" i="57"/>
  <c r="Y8" i="25"/>
  <c r="L24" i="49"/>
  <c r="L31" i="49" s="1"/>
  <c r="L34" i="49" s="1"/>
  <c r="R146" i="49"/>
  <c r="Y7" i="25"/>
  <c r="H12" i="60"/>
  <c r="H20" i="60" s="1"/>
  <c r="G31" i="49"/>
  <c r="G34" i="49" s="1"/>
  <c r="I122" i="57"/>
  <c r="I131" i="57" s="1"/>
  <c r="L89" i="49"/>
  <c r="R89" i="49" s="1"/>
  <c r="W19" i="25"/>
  <c r="F117" i="49"/>
  <c r="X117" i="15"/>
  <c r="W117" i="15"/>
  <c r="Y9" i="25"/>
  <c r="W11" i="25"/>
  <c r="D24" i="49" s="1"/>
  <c r="T24" i="49" s="1"/>
  <c r="N305" i="57" l="1"/>
  <c r="AQ121" i="57"/>
  <c r="AQ122" i="57"/>
  <c r="AQ123" i="57"/>
  <c r="AQ119" i="57"/>
  <c r="AQ125" i="57"/>
  <c r="AQ124" i="57"/>
  <c r="AQ120" i="57"/>
  <c r="AQ126" i="57"/>
  <c r="AQ128" i="57"/>
  <c r="AQ127" i="57"/>
  <c r="AQ117" i="57"/>
  <c r="AQ118" i="57"/>
  <c r="T45" i="25"/>
  <c r="W140" i="15" s="1"/>
  <c r="V45" i="25"/>
  <c r="Z140" i="15" s="1"/>
  <c r="O164" i="49"/>
  <c r="U164" i="49" s="1"/>
  <c r="P137" i="57" s="1"/>
  <c r="AM131" i="57"/>
  <c r="AM132" i="57" s="1"/>
  <c r="AM133" i="57" s="1"/>
  <c r="AO131" i="57"/>
  <c r="AO132" i="57" s="1"/>
  <c r="AO133" i="57" s="1"/>
  <c r="AC122" i="57"/>
  <c r="AJ131" i="57"/>
  <c r="AJ132" i="57" s="1"/>
  <c r="AJ133" i="57" s="1"/>
  <c r="AL122" i="57"/>
  <c r="Q31" i="49"/>
  <c r="I21" i="60"/>
  <c r="I22" i="60" s="1"/>
  <c r="I132" i="57"/>
  <c r="I133" i="57" s="1"/>
  <c r="N89" i="49"/>
  <c r="T89" i="49" s="1"/>
  <c r="K122" i="57"/>
  <c r="K131" i="57" s="1"/>
  <c r="J12" i="60"/>
  <c r="J20" i="60" s="1"/>
  <c r="J24" i="60" s="1"/>
  <c r="K21" i="60"/>
  <c r="K22" i="60" s="1"/>
  <c r="H24" i="60"/>
  <c r="H23" i="60"/>
  <c r="Y11" i="25"/>
  <c r="R24" i="49" s="1"/>
  <c r="L117" i="49"/>
  <c r="T31" i="49"/>
  <c r="T34" i="49" s="1"/>
  <c r="X140" i="15"/>
  <c r="E24" i="59"/>
  <c r="Z117" i="15"/>
  <c r="E76" i="69" s="1"/>
  <c r="AB76" i="69" s="1"/>
  <c r="D24" i="59" l="1"/>
  <c r="D122" i="57" s="1"/>
  <c r="AQ131" i="57"/>
  <c r="AQ132" i="57" s="1"/>
  <c r="AQ133" i="57" s="1"/>
  <c r="AL131" i="57"/>
  <c r="AL132" i="57" s="1"/>
  <c r="AL133" i="57" s="1"/>
  <c r="AG122" i="57"/>
  <c r="E34" i="59"/>
  <c r="E122" i="57"/>
  <c r="AH76" i="69"/>
  <c r="AI76" i="69"/>
  <c r="H21" i="60"/>
  <c r="H22" i="60" s="1"/>
  <c r="K132" i="57"/>
  <c r="K133" i="57" s="1"/>
  <c r="V24" i="49"/>
  <c r="J23" i="60"/>
  <c r="R117" i="49"/>
  <c r="D12" i="60"/>
  <c r="I24" i="59"/>
  <c r="O122" i="57" s="1"/>
  <c r="H24" i="59" l="1"/>
  <c r="N122" i="57" s="1"/>
  <c r="C12" i="60"/>
  <c r="B64" i="60" s="1"/>
  <c r="F122" i="57"/>
  <c r="G122" i="57"/>
  <c r="BZ76" i="69"/>
  <c r="BN84" i="57" s="1"/>
  <c r="BO76" i="69"/>
  <c r="BC84" i="57" s="1"/>
  <c r="CA76" i="69"/>
  <c r="BO84" i="57" s="1"/>
  <c r="BP76" i="69"/>
  <c r="BD84" i="57" s="1"/>
  <c r="CB76" i="69"/>
  <c r="BP84" i="57" s="1"/>
  <c r="BQ76" i="69"/>
  <c r="BE84" i="57" s="1"/>
  <c r="CC76" i="69"/>
  <c r="BQ84" i="57" s="1"/>
  <c r="BR76" i="69"/>
  <c r="BF84" i="57" s="1"/>
  <c r="CD76" i="69"/>
  <c r="BR84" i="57" s="1"/>
  <c r="BS76" i="69"/>
  <c r="BG84" i="57" s="1"/>
  <c r="CE76" i="69"/>
  <c r="BS84" i="57" s="1"/>
  <c r="BT76" i="69"/>
  <c r="BH84" i="57" s="1"/>
  <c r="CF76" i="69"/>
  <c r="BT84" i="57" s="1"/>
  <c r="BU76" i="69"/>
  <c r="BI84" i="57" s="1"/>
  <c r="CG76" i="69"/>
  <c r="BU84" i="57" s="1"/>
  <c r="BV76" i="69"/>
  <c r="BJ84" i="57" s="1"/>
  <c r="CH76" i="69"/>
  <c r="BV84" i="57" s="1"/>
  <c r="BW76" i="69"/>
  <c r="BK84" i="57" s="1"/>
  <c r="BX76" i="69"/>
  <c r="BL84" i="57" s="1"/>
  <c r="BY76" i="69"/>
  <c r="BM84" i="57" s="1"/>
  <c r="BJ76" i="69"/>
  <c r="AX84" i="57" s="1"/>
  <c r="BK76" i="69"/>
  <c r="AY84" i="57" s="1"/>
  <c r="BL76" i="69"/>
  <c r="AZ84" i="57" s="1"/>
  <c r="BM76" i="69"/>
  <c r="BA84" i="57" s="1"/>
  <c r="BN76" i="69"/>
  <c r="BB84" i="57" s="1"/>
  <c r="BE76" i="69"/>
  <c r="AS84" i="57" s="1"/>
  <c r="BF76" i="69"/>
  <c r="AT84" i="57" s="1"/>
  <c r="BG76" i="69"/>
  <c r="AU84" i="57" s="1"/>
  <c r="BH76" i="69"/>
  <c r="AV84" i="57" s="1"/>
  <c r="BI76" i="69"/>
  <c r="AW84" i="57" s="1"/>
  <c r="BC76" i="69"/>
  <c r="AQ84" i="57" s="1"/>
  <c r="BD76" i="69"/>
  <c r="AR84" i="57" s="1"/>
  <c r="BB76" i="69"/>
  <c r="AP84" i="57" s="1"/>
  <c r="AP76" i="69"/>
  <c r="AD84" i="57" s="1"/>
  <c r="AV76" i="69"/>
  <c r="AJ84" i="57" s="1"/>
  <c r="AR76" i="69"/>
  <c r="AF84" i="57" s="1"/>
  <c r="AY76" i="69"/>
  <c r="AM84" i="57" s="1"/>
  <c r="AW76" i="69"/>
  <c r="AK84" i="57" s="1"/>
  <c r="AT76" i="69"/>
  <c r="AH84" i="57" s="1"/>
  <c r="AQ76" i="69"/>
  <c r="AE84" i="57" s="1"/>
  <c r="AO76" i="69"/>
  <c r="AC84" i="57" s="1"/>
  <c r="AX76" i="69"/>
  <c r="AL84" i="57" s="1"/>
  <c r="AU76" i="69"/>
  <c r="AI84" i="57" s="1"/>
  <c r="BA76" i="69"/>
  <c r="AO84" i="57" s="1"/>
  <c r="AS76" i="69"/>
  <c r="AG84" i="57" s="1"/>
  <c r="AZ76" i="69"/>
  <c r="AN84" i="57" s="1"/>
  <c r="AN76" i="69"/>
  <c r="AB84" i="57" s="1"/>
  <c r="AL76" i="69"/>
  <c r="Z84" i="57" s="1"/>
  <c r="AK76" i="69"/>
  <c r="AM76" i="69"/>
  <c r="AA84" i="57" s="1"/>
  <c r="E131" i="57"/>
  <c r="E132" i="57" s="1"/>
  <c r="J21" i="60"/>
  <c r="J22" i="60" s="1"/>
  <c r="C64" i="60"/>
  <c r="E35" i="59"/>
  <c r="I34" i="59"/>
  <c r="I35" i="59" s="1"/>
  <c r="N12" i="60"/>
  <c r="D20" i="60"/>
  <c r="D24" i="60" s="1"/>
  <c r="B34" i="60" l="1"/>
  <c r="E12" i="60"/>
  <c r="C34" i="60" s="1"/>
  <c r="C49" i="60"/>
  <c r="M12" i="60"/>
  <c r="O12" i="60" s="1"/>
  <c r="B49" i="60"/>
  <c r="D64" i="60"/>
  <c r="D67" i="60"/>
  <c r="D21" i="60"/>
  <c r="D22" i="60" s="1"/>
  <c r="E133" i="57"/>
  <c r="D59" i="60"/>
  <c r="D60" i="60"/>
  <c r="D63" i="60"/>
  <c r="D62" i="60"/>
  <c r="D68" i="60"/>
  <c r="D70" i="60"/>
  <c r="D61" i="60"/>
  <c r="D66" i="60"/>
  <c r="D69" i="60"/>
  <c r="D65" i="60"/>
  <c r="D23" i="60"/>
  <c r="P122" i="57"/>
  <c r="O131" i="57"/>
  <c r="O137" i="57" s="1"/>
  <c r="N20" i="60"/>
  <c r="N22" i="60" s="1"/>
  <c r="G69" i="60" l="1"/>
  <c r="G67" i="60"/>
  <c r="G62" i="60"/>
  <c r="G64" i="60"/>
  <c r="G70" i="60"/>
  <c r="G68" i="60"/>
  <c r="G65" i="60"/>
  <c r="G66" i="60"/>
  <c r="H69" i="60" l="1"/>
  <c r="J69" i="60" s="1"/>
  <c r="H68" i="60"/>
  <c r="I68" i="60" s="1"/>
  <c r="H62" i="60"/>
  <c r="K62" i="60" s="1"/>
  <c r="H64" i="60"/>
  <c r="I64" i="60" s="1"/>
  <c r="H66" i="60"/>
  <c r="K66" i="60" s="1"/>
  <c r="H70" i="60"/>
  <c r="K70" i="60" s="1"/>
  <c r="H67" i="60"/>
  <c r="I67" i="60" s="1"/>
  <c r="H65" i="60"/>
  <c r="J65" i="60" s="1"/>
  <c r="J62" i="60" l="1"/>
  <c r="J70" i="60"/>
  <c r="I70" i="60"/>
  <c r="K67" i="60"/>
  <c r="I62" i="60"/>
  <c r="J67" i="60"/>
  <c r="I65" i="60"/>
  <c r="K64" i="60"/>
  <c r="K69" i="60"/>
  <c r="K65" i="60"/>
  <c r="I66" i="60"/>
  <c r="J64" i="60"/>
  <c r="K68" i="60"/>
  <c r="I69" i="60"/>
  <c r="J66" i="60"/>
  <c r="J68" i="60"/>
  <c r="E112" i="49"/>
  <c r="AO26" i="32"/>
  <c r="AO31" i="32" s="1"/>
  <c r="AQ31" i="32" s="1"/>
  <c r="AO40" i="32"/>
  <c r="D19" i="49" s="1"/>
  <c r="D31" i="49" s="1"/>
  <c r="D34" i="49" s="1"/>
  <c r="V36" i="29"/>
  <c r="AC118" i="57" l="1"/>
  <c r="I135" i="49"/>
  <c r="K112" i="49"/>
  <c r="O135" i="49" s="1"/>
  <c r="F19" i="49"/>
  <c r="AQ35" i="32"/>
  <c r="AQ40" i="32" s="1"/>
  <c r="R19" i="49" s="1"/>
  <c r="R31" i="49" s="1"/>
  <c r="S46" i="32"/>
  <c r="Y36" i="29"/>
  <c r="E19" i="69" s="1"/>
  <c r="AB19" i="69" s="1"/>
  <c r="AG118" i="57" l="1"/>
  <c r="AC131" i="57"/>
  <c r="AC132" i="57" s="1"/>
  <c r="AC133" i="57" s="1"/>
  <c r="F31" i="49"/>
  <c r="F34" i="49" s="1"/>
  <c r="H118" i="57"/>
  <c r="H131" i="57" s="1"/>
  <c r="H132" i="57" s="1"/>
  <c r="Q112" i="49"/>
  <c r="U135" i="49" s="1"/>
  <c r="P136" i="57" s="1"/>
  <c r="AI19" i="69"/>
  <c r="AI7" i="69" s="1"/>
  <c r="AH19" i="69"/>
  <c r="AH7" i="69" s="1"/>
  <c r="E7" i="69"/>
  <c r="G8" i="60"/>
  <c r="G20" i="60" s="1"/>
  <c r="K84" i="49"/>
  <c r="O107" i="49" s="1"/>
  <c r="D19" i="59"/>
  <c r="V47" i="29"/>
  <c r="U46" i="32"/>
  <c r="Y47" i="29" s="1"/>
  <c r="V19" i="49"/>
  <c r="V31" i="49" s="1"/>
  <c r="V34" i="49" s="1"/>
  <c r="AG131" i="57" l="1"/>
  <c r="AG132" i="57" s="1"/>
  <c r="AG133" i="57" s="1"/>
  <c r="BX19" i="69"/>
  <c r="BY19" i="69"/>
  <c r="BZ19" i="69"/>
  <c r="BO19" i="69"/>
  <c r="CA19" i="69"/>
  <c r="BP19" i="69"/>
  <c r="CB19" i="69"/>
  <c r="BQ19" i="69"/>
  <c r="CC19" i="69"/>
  <c r="BR19" i="69"/>
  <c r="CD19" i="69"/>
  <c r="BS19" i="69"/>
  <c r="CE19" i="69"/>
  <c r="BT19" i="69"/>
  <c r="CF19" i="69"/>
  <c r="BU19" i="69"/>
  <c r="CG19" i="69"/>
  <c r="BV19" i="69"/>
  <c r="CH19" i="69"/>
  <c r="BW19" i="69"/>
  <c r="BJ19" i="69"/>
  <c r="BK19" i="69"/>
  <c r="BL19" i="69"/>
  <c r="BM19" i="69"/>
  <c r="BN19" i="69"/>
  <c r="BE19" i="69"/>
  <c r="BF19" i="69"/>
  <c r="BG19" i="69"/>
  <c r="BH19" i="69"/>
  <c r="BI19" i="69"/>
  <c r="BC19" i="69"/>
  <c r="BC7" i="69" s="1"/>
  <c r="BD19" i="69"/>
  <c r="BD7" i="69" s="1"/>
  <c r="AL19" i="69"/>
  <c r="AK19" i="69"/>
  <c r="AK7" i="69" s="1"/>
  <c r="AK8" i="69" s="1"/>
  <c r="AM19" i="69"/>
  <c r="AT19" i="69"/>
  <c r="AZ19" i="69"/>
  <c r="AZ7" i="69" s="1"/>
  <c r="AR19" i="69"/>
  <c r="BB19" i="69"/>
  <c r="BB7" i="69" s="1"/>
  <c r="AV19" i="69"/>
  <c r="AO19" i="69"/>
  <c r="AW19" i="69"/>
  <c r="AP19" i="69"/>
  <c r="AN19" i="69"/>
  <c r="AX19" i="69"/>
  <c r="AX7" i="69" s="1"/>
  <c r="AU19" i="69"/>
  <c r="BA19" i="69"/>
  <c r="BA7" i="69" s="1"/>
  <c r="AY19" i="69"/>
  <c r="AY7" i="69" s="1"/>
  <c r="AQ19" i="69"/>
  <c r="AS19" i="69"/>
  <c r="Q84" i="49"/>
  <c r="U107" i="49" s="1"/>
  <c r="P138" i="57" s="1"/>
  <c r="G24" i="60"/>
  <c r="G23" i="60"/>
  <c r="G21" i="60"/>
  <c r="G22" i="60" s="1"/>
  <c r="H133" i="57"/>
  <c r="D34" i="59"/>
  <c r="D35" i="59" s="1"/>
  <c r="D118" i="57"/>
  <c r="C8" i="60"/>
  <c r="H19" i="59"/>
  <c r="G118" i="57" l="1"/>
  <c r="F118" i="57"/>
  <c r="BG80" i="57"/>
  <c r="BS7" i="69"/>
  <c r="BG68" i="57" s="1"/>
  <c r="BR80" i="57"/>
  <c r="CD7" i="69"/>
  <c r="BR68" i="57" s="1"/>
  <c r="BF80" i="57"/>
  <c r="BR7" i="69"/>
  <c r="BF68" i="57" s="1"/>
  <c r="BQ80" i="57"/>
  <c r="CC7" i="69"/>
  <c r="BQ68" i="57" s="1"/>
  <c r="BK80" i="57"/>
  <c r="BW7" i="69"/>
  <c r="BK68" i="57" s="1"/>
  <c r="BE80" i="57"/>
  <c r="BQ7" i="69"/>
  <c r="BE68" i="57" s="1"/>
  <c r="BV80" i="57"/>
  <c r="CH7" i="69"/>
  <c r="BV68" i="57" s="1"/>
  <c r="BP80" i="57"/>
  <c r="CB7" i="69"/>
  <c r="BP68" i="57" s="1"/>
  <c r="BJ80" i="57"/>
  <c r="BV7" i="69"/>
  <c r="BJ68" i="57" s="1"/>
  <c r="BD80" i="57"/>
  <c r="BP7" i="69"/>
  <c r="BD68" i="57" s="1"/>
  <c r="BU80" i="57"/>
  <c r="CG7" i="69"/>
  <c r="BU68" i="57" s="1"/>
  <c r="BO80" i="57"/>
  <c r="CA7" i="69"/>
  <c r="BO68" i="57" s="1"/>
  <c r="BI80" i="57"/>
  <c r="BU7" i="69"/>
  <c r="BI68" i="57" s="1"/>
  <c r="BC80" i="57"/>
  <c r="BO7" i="69"/>
  <c r="BC68" i="57" s="1"/>
  <c r="BT80" i="57"/>
  <c r="CF7" i="69"/>
  <c r="BT68" i="57" s="1"/>
  <c r="BN80" i="57"/>
  <c r="BZ7" i="69"/>
  <c r="BN68" i="57" s="1"/>
  <c r="BH80" i="57"/>
  <c r="BT7" i="69"/>
  <c r="BH68" i="57" s="1"/>
  <c r="BM80" i="57"/>
  <c r="BY7" i="69"/>
  <c r="BM68" i="57" s="1"/>
  <c r="BS80" i="57"/>
  <c r="CE7" i="69"/>
  <c r="BS68" i="57" s="1"/>
  <c r="BL80" i="57"/>
  <c r="BX7" i="69"/>
  <c r="BL68" i="57" s="1"/>
  <c r="BB80" i="57"/>
  <c r="BN7" i="69"/>
  <c r="BB68" i="57" s="1"/>
  <c r="BA80" i="57"/>
  <c r="BM7" i="69"/>
  <c r="BA68" i="57" s="1"/>
  <c r="AZ80" i="57"/>
  <c r="BL7" i="69"/>
  <c r="AZ68" i="57" s="1"/>
  <c r="AY80" i="57"/>
  <c r="BK7" i="69"/>
  <c r="AY68" i="57" s="1"/>
  <c r="AX80" i="57"/>
  <c r="BJ7" i="69"/>
  <c r="AX68" i="57" s="1"/>
  <c r="AW80" i="57"/>
  <c r="BI7" i="69"/>
  <c r="AW68" i="57" s="1"/>
  <c r="AV80" i="57"/>
  <c r="BH7" i="69"/>
  <c r="AV68" i="57" s="1"/>
  <c r="AU80" i="57"/>
  <c r="BG7" i="69"/>
  <c r="AU68" i="57" s="1"/>
  <c r="AT80" i="57"/>
  <c r="BF7" i="69"/>
  <c r="AT68" i="57" s="1"/>
  <c r="AS80" i="57"/>
  <c r="BE7" i="69"/>
  <c r="AS68" i="57" s="1"/>
  <c r="AO7" i="69"/>
  <c r="AC68" i="57" s="1"/>
  <c r="AW7" i="69"/>
  <c r="AK68" i="57" s="1"/>
  <c r="AV7" i="69"/>
  <c r="AJ68" i="57" s="1"/>
  <c r="AS7" i="69"/>
  <c r="AG68" i="57" s="1"/>
  <c r="AR7" i="69"/>
  <c r="AF68" i="57" s="1"/>
  <c r="AQ7" i="69"/>
  <c r="AE68" i="57" s="1"/>
  <c r="AT7" i="69"/>
  <c r="AH68" i="57" s="1"/>
  <c r="AM7" i="69"/>
  <c r="AA68" i="57" s="1"/>
  <c r="AU7" i="69"/>
  <c r="AI68" i="57" s="1"/>
  <c r="AL7" i="69"/>
  <c r="Z68" i="57" s="1"/>
  <c r="AN7" i="69"/>
  <c r="AB68" i="57" s="1"/>
  <c r="AP7" i="69"/>
  <c r="AD68" i="57" s="1"/>
  <c r="AP80" i="57"/>
  <c r="AP68" i="57"/>
  <c r="AR80" i="57"/>
  <c r="AR68" i="57"/>
  <c r="AG80" i="57"/>
  <c r="AF80" i="57"/>
  <c r="AA80" i="57"/>
  <c r="AM80" i="57"/>
  <c r="AM68" i="57"/>
  <c r="AC80" i="57"/>
  <c r="AH80" i="57"/>
  <c r="AQ80" i="57"/>
  <c r="AQ68" i="57"/>
  <c r="AJ80" i="57"/>
  <c r="AK80" i="57"/>
  <c r="AD80" i="57"/>
  <c r="AE80" i="57"/>
  <c r="Z80" i="57"/>
  <c r="AL80" i="57"/>
  <c r="AL68" i="57"/>
  <c r="AN80" i="57"/>
  <c r="AN68" i="57"/>
  <c r="AB80" i="57"/>
  <c r="AO80" i="57"/>
  <c r="AO68" i="57"/>
  <c r="AI80" i="57"/>
  <c r="M8" i="60"/>
  <c r="N118" i="57"/>
  <c r="H34" i="59"/>
  <c r="H35" i="59" s="1"/>
  <c r="C20" i="60"/>
  <c r="B30" i="60"/>
  <c r="C45" i="60"/>
  <c r="E8" i="60"/>
  <c r="E20" i="60" s="1"/>
  <c r="B60" i="60"/>
  <c r="B45" i="60"/>
  <c r="D131" i="57"/>
  <c r="D132" i="57" s="1"/>
  <c r="F131" i="57"/>
  <c r="AS146" i="57" s="1"/>
  <c r="D51" i="60" l="1"/>
  <c r="D52" i="60"/>
  <c r="G63" i="60"/>
  <c r="H63" i="60" s="1"/>
  <c r="I63" i="60" s="1"/>
  <c r="G61" i="60"/>
  <c r="D45" i="60"/>
  <c r="D55" i="60"/>
  <c r="D49" i="60"/>
  <c r="D54" i="60"/>
  <c r="D47" i="60"/>
  <c r="D48" i="60"/>
  <c r="G59" i="60"/>
  <c r="H59" i="60" s="1"/>
  <c r="K59" i="60" s="1"/>
  <c r="G60" i="60"/>
  <c r="D50" i="60"/>
  <c r="D46" i="60"/>
  <c r="F132" i="57"/>
  <c r="E21" i="60" s="1"/>
  <c r="E22" i="60" s="1"/>
  <c r="E4" i="69"/>
  <c r="AH4" i="69" s="1"/>
  <c r="D44" i="60"/>
  <c r="D53" i="60"/>
  <c r="C30" i="60"/>
  <c r="D37" i="60" s="1"/>
  <c r="D133" i="57"/>
  <c r="C21" i="60"/>
  <c r="C22" i="60" s="1"/>
  <c r="M20" i="60"/>
  <c r="M22" i="60" s="1"/>
  <c r="O8" i="60"/>
  <c r="O20" i="60" s="1"/>
  <c r="O22" i="60" s="1"/>
  <c r="E24" i="60"/>
  <c r="E23" i="60"/>
  <c r="C24" i="60"/>
  <c r="C23" i="60"/>
  <c r="P118" i="57"/>
  <c r="P131" i="57" s="1"/>
  <c r="O138" i="57" s="1"/>
  <c r="N131" i="57"/>
  <c r="O136" i="57" s="1"/>
  <c r="H61" i="60" l="1"/>
  <c r="J61" i="60" s="1"/>
  <c r="D40" i="60"/>
  <c r="D36" i="60"/>
  <c r="D34" i="60"/>
  <c r="D39" i="60"/>
  <c r="AI4" i="69"/>
  <c r="BD4" i="69" s="1"/>
  <c r="K63" i="60"/>
  <c r="J63" i="60"/>
  <c r="D32" i="60"/>
  <c r="D33" i="60"/>
  <c r="H60" i="60"/>
  <c r="I60" i="60" s="1"/>
  <c r="D38" i="60"/>
  <c r="D31" i="60"/>
  <c r="D35" i="60"/>
  <c r="F133" i="57"/>
  <c r="G51" i="60"/>
  <c r="H51" i="60" s="1"/>
  <c r="G45" i="60"/>
  <c r="H45" i="60" s="1"/>
  <c r="I45" i="60" s="1"/>
  <c r="G55" i="60"/>
  <c r="I55" i="60" s="1"/>
  <c r="G52" i="60"/>
  <c r="G50" i="60"/>
  <c r="G53" i="60"/>
  <c r="H53" i="60" s="1"/>
  <c r="G44" i="60"/>
  <c r="H44" i="60" s="1"/>
  <c r="J44" i="60" s="1"/>
  <c r="G48" i="60"/>
  <c r="G47" i="60"/>
  <c r="H47" i="60" s="1"/>
  <c r="G54" i="60"/>
  <c r="J54" i="60" s="1"/>
  <c r="G49" i="60"/>
  <c r="G46" i="60"/>
  <c r="D30" i="60"/>
  <c r="D29" i="60"/>
  <c r="I59" i="60"/>
  <c r="J59" i="60"/>
  <c r="AK4" i="69" l="1"/>
  <c r="AK5" i="69" s="1"/>
  <c r="I61" i="60"/>
  <c r="K61" i="60"/>
  <c r="CH4" i="69"/>
  <c r="BE4" i="69"/>
  <c r="BM4" i="69"/>
  <c r="BU4" i="69"/>
  <c r="CC4" i="69"/>
  <c r="BF4" i="69"/>
  <c r="BN4" i="69"/>
  <c r="BV4" i="69"/>
  <c r="CD4" i="69"/>
  <c r="BG4" i="69"/>
  <c r="BO4" i="69"/>
  <c r="BW4" i="69"/>
  <c r="CE4" i="69"/>
  <c r="BH4" i="69"/>
  <c r="BP4" i="69"/>
  <c r="BX4" i="69"/>
  <c r="CF4" i="69"/>
  <c r="BI4" i="69"/>
  <c r="BQ4" i="69"/>
  <c r="BY4" i="69"/>
  <c r="CG4" i="69"/>
  <c r="BJ4" i="69"/>
  <c r="BR4" i="69"/>
  <c r="BZ4" i="69"/>
  <c r="BK4" i="69"/>
  <c r="BS4" i="69"/>
  <c r="CA4" i="69"/>
  <c r="BT4" i="69"/>
  <c r="BL4" i="69"/>
  <c r="CB4" i="69"/>
  <c r="J60" i="60"/>
  <c r="K60" i="60"/>
  <c r="AT4" i="69"/>
  <c r="AP4" i="69"/>
  <c r="AM4" i="69"/>
  <c r="AN4" i="69"/>
  <c r="AR4" i="69"/>
  <c r="AO4" i="69"/>
  <c r="AQ4" i="69"/>
  <c r="AS4" i="69"/>
  <c r="AL4" i="69"/>
  <c r="AW4" i="69"/>
  <c r="BA4" i="69"/>
  <c r="AU4" i="69"/>
  <c r="BC4" i="69"/>
  <c r="BB4" i="69"/>
  <c r="AY4" i="69"/>
  <c r="AZ4" i="69"/>
  <c r="AX4" i="69"/>
  <c r="AV4" i="69"/>
  <c r="J51" i="60"/>
  <c r="K51" i="60"/>
  <c r="I51" i="60"/>
  <c r="K55" i="60"/>
  <c r="J55" i="60"/>
  <c r="H52" i="60"/>
  <c r="K52" i="60" s="1"/>
  <c r="H50" i="60"/>
  <c r="I50" i="60" s="1"/>
  <c r="H55" i="60"/>
  <c r="I47" i="60"/>
  <c r="J47" i="60"/>
  <c r="H48" i="60"/>
  <c r="I48" i="60" s="1"/>
  <c r="H49" i="60"/>
  <c r="I49" i="60" s="1"/>
  <c r="J53" i="60"/>
  <c r="K47" i="60"/>
  <c r="H54" i="60"/>
  <c r="I54" i="60"/>
  <c r="K54" i="60"/>
  <c r="K53" i="60"/>
  <c r="I53" i="60"/>
  <c r="H46" i="60"/>
  <c r="K46" i="60" s="1"/>
  <c r="J45" i="60"/>
  <c r="K45" i="60"/>
  <c r="G31" i="60"/>
  <c r="G35" i="60"/>
  <c r="G33" i="60"/>
  <c r="G36" i="60"/>
  <c r="G29" i="60"/>
  <c r="H29" i="60" s="1"/>
  <c r="J29" i="60" s="1"/>
  <c r="G32" i="60"/>
  <c r="G37" i="60"/>
  <c r="G30" i="60"/>
  <c r="H30" i="60" s="1"/>
  <c r="G39" i="60"/>
  <c r="H39" i="60" s="1"/>
  <c r="G38" i="60"/>
  <c r="G40" i="60"/>
  <c r="J40" i="60" s="1"/>
  <c r="G34" i="60"/>
  <c r="I44" i="60"/>
  <c r="K44" i="60"/>
  <c r="J52" i="60" l="1"/>
  <c r="I52" i="60"/>
  <c r="J50" i="60"/>
  <c r="K50" i="60"/>
  <c r="J49" i="60"/>
  <c r="K49" i="60"/>
  <c r="J48" i="60"/>
  <c r="K48" i="60"/>
  <c r="J46" i="60"/>
  <c r="I46" i="60"/>
  <c r="H35" i="60"/>
  <c r="J35" i="60" s="1"/>
  <c r="H36" i="60"/>
  <c r="K36" i="60" s="1"/>
  <c r="H33" i="60"/>
  <c r="I33" i="60" s="1"/>
  <c r="H31" i="60"/>
  <c r="K31" i="60" s="1"/>
  <c r="K29" i="60"/>
  <c r="I29" i="60"/>
  <c r="K39" i="60"/>
  <c r="J39" i="60"/>
  <c r="I30" i="60"/>
  <c r="H38" i="60"/>
  <c r="J38" i="60" s="1"/>
  <c r="K30" i="60"/>
  <c r="J30" i="60"/>
  <c r="I39" i="60"/>
  <c r="H32" i="60"/>
  <c r="I32" i="60" s="1"/>
  <c r="H40" i="60"/>
  <c r="I40" i="60"/>
  <c r="H34" i="60"/>
  <c r="K34" i="60" s="1"/>
  <c r="K40" i="60"/>
  <c r="H37" i="60"/>
  <c r="J37" i="60" s="1"/>
  <c r="I37" i="60" l="1"/>
  <c r="I36" i="60"/>
  <c r="K37" i="60"/>
  <c r="K35" i="60"/>
  <c r="I38" i="60"/>
  <c r="I35" i="60"/>
  <c r="K38" i="60"/>
  <c r="J36" i="60"/>
  <c r="AL5" i="69"/>
  <c r="AM5" i="69" s="1"/>
  <c r="AN5" i="69" s="1"/>
  <c r="AO5" i="69" s="1"/>
  <c r="AP5" i="69" s="1"/>
  <c r="AQ5" i="69" s="1"/>
  <c r="AR5" i="69" s="1"/>
  <c r="AS5" i="69" s="1"/>
  <c r="AT5" i="69" s="1"/>
  <c r="AU5" i="69" s="1"/>
  <c r="AV5" i="69" s="1"/>
  <c r="AW5" i="69" s="1"/>
  <c r="AX5" i="69" s="1"/>
  <c r="AY5" i="69" s="1"/>
  <c r="AZ5" i="69" s="1"/>
  <c r="BA5" i="69" s="1"/>
  <c r="BB5" i="69" s="1"/>
  <c r="BC5" i="69" s="1"/>
  <c r="BD5" i="69" s="1"/>
  <c r="BE5" i="69" s="1"/>
  <c r="BF5" i="69" s="1"/>
  <c r="BG5" i="69" s="1"/>
  <c r="BH5" i="69" s="1"/>
  <c r="BI5" i="69" s="1"/>
  <c r="BJ5" i="69" s="1"/>
  <c r="BK5" i="69" s="1"/>
  <c r="BL5" i="69" s="1"/>
  <c r="BM5" i="69" s="1"/>
  <c r="BN5" i="69" s="1"/>
  <c r="BO5" i="69" s="1"/>
  <c r="BP5" i="69" s="1"/>
  <c r="BQ5" i="69" s="1"/>
  <c r="BR5" i="69" s="1"/>
  <c r="BS5" i="69" s="1"/>
  <c r="BT5" i="69" s="1"/>
  <c r="BU5" i="69" s="1"/>
  <c r="BV5" i="69" s="1"/>
  <c r="BW5" i="69" s="1"/>
  <c r="BX5" i="69" s="1"/>
  <c r="BY5" i="69" s="1"/>
  <c r="BZ5" i="69" s="1"/>
  <c r="CA5" i="69" s="1"/>
  <c r="CB5" i="69" s="1"/>
  <c r="CC5" i="69" s="1"/>
  <c r="CD5" i="69" s="1"/>
  <c r="CE5" i="69" s="1"/>
  <c r="CF5" i="69" s="1"/>
  <c r="CG5" i="69" s="1"/>
  <c r="CH5" i="69" s="1"/>
  <c r="K33" i="60"/>
  <c r="J34" i="60"/>
  <c r="I34" i="60"/>
  <c r="J33" i="60"/>
  <c r="J32" i="60"/>
  <c r="K32" i="60"/>
  <c r="I31" i="60"/>
  <c r="J31" i="60"/>
  <c r="Y81" i="57"/>
  <c r="Y88" i="57"/>
  <c r="Y83" i="57"/>
  <c r="Y90" i="57"/>
  <c r="Y85" i="57"/>
  <c r="Y89" i="57"/>
  <c r="Y79" i="57"/>
  <c r="Y84" i="57"/>
  <c r="Y82" i="57"/>
  <c r="Y87" i="57"/>
  <c r="Y80" i="57"/>
  <c r="Y68" i="57"/>
  <c r="Y70" i="57" l="1"/>
  <c r="AL8" i="69"/>
  <c r="Z70" i="57" l="1"/>
  <c r="AM8" i="69"/>
  <c r="AA70" i="57" l="1"/>
  <c r="AN8" i="69"/>
  <c r="AB70" i="57" l="1"/>
  <c r="AO8" i="69"/>
  <c r="AC70" i="57" l="1"/>
  <c r="AP8" i="69"/>
  <c r="AD70" i="57" l="1"/>
  <c r="AQ8" i="69"/>
  <c r="AE70" i="57" l="1"/>
  <c r="AR8" i="69"/>
  <c r="AS8" i="69" l="1"/>
  <c r="AF70" i="57"/>
  <c r="AT8" i="69" l="1"/>
  <c r="AG70" i="57"/>
  <c r="AH70" i="57" l="1"/>
  <c r="AU8" i="69"/>
  <c r="AI70" i="57" l="1"/>
  <c r="AV8" i="69"/>
  <c r="AW8" i="69" l="1"/>
  <c r="AJ70" i="57"/>
  <c r="AK70" i="57" l="1"/>
  <c r="AX8" i="69"/>
  <c r="AL70" i="57" l="1"/>
  <c r="AY8" i="69"/>
  <c r="AM70" i="57" l="1"/>
  <c r="AZ8" i="69"/>
  <c r="BA8" i="69" l="1"/>
  <c r="AN70" i="57"/>
  <c r="BB8" i="69" l="1"/>
  <c r="AO70" i="57"/>
  <c r="AP70" i="57" l="1"/>
  <c r="BC8" i="69"/>
  <c r="AQ70" i="57" l="1"/>
  <c r="BD8" i="69"/>
  <c r="AR70" i="57" l="1"/>
  <c r="BE8" i="69"/>
  <c r="BF8" i="69" l="1"/>
  <c r="AS70" i="57"/>
  <c r="BG8" i="69" l="1"/>
  <c r="AT70" i="57"/>
  <c r="BH8" i="69" l="1"/>
  <c r="AU70" i="57"/>
  <c r="BI8" i="69" l="1"/>
  <c r="AV70" i="57"/>
  <c r="BJ8" i="69" l="1"/>
  <c r="AW70" i="57"/>
  <c r="BK8" i="69" l="1"/>
  <c r="AX70" i="57"/>
  <c r="BL8" i="69" l="1"/>
  <c r="AY70" i="57"/>
  <c r="BM8" i="69" l="1"/>
  <c r="AZ70" i="57"/>
  <c r="BN8" i="69" l="1"/>
  <c r="BA70" i="57"/>
  <c r="BO8" i="69" l="1"/>
  <c r="BB70" i="57"/>
  <c r="BP8" i="69" l="1"/>
  <c r="BC70" i="57"/>
  <c r="BQ8" i="69" l="1"/>
  <c r="BD70" i="57"/>
  <c r="BR8" i="69" l="1"/>
  <c r="BE70" i="57"/>
  <c r="BS8" i="69" l="1"/>
  <c r="BF70" i="57"/>
  <c r="BT8" i="69" l="1"/>
  <c r="BG70" i="57"/>
  <c r="BU8" i="69" l="1"/>
  <c r="BH70" i="57"/>
  <c r="BV8" i="69" l="1"/>
  <c r="BI70" i="57"/>
  <c r="BW8" i="69" l="1"/>
  <c r="BJ70" i="57"/>
  <c r="BX8" i="69" l="1"/>
  <c r="BK70" i="57"/>
  <c r="BY8" i="69" l="1"/>
  <c r="BL70" i="57"/>
  <c r="BZ8" i="69" l="1"/>
  <c r="BM70" i="57"/>
  <c r="CA8" i="69" l="1"/>
  <c r="BN70" i="57"/>
  <c r="CB8" i="69" l="1"/>
  <c r="BO70" i="57"/>
  <c r="CC8" i="69" l="1"/>
  <c r="BP70" i="57"/>
  <c r="CD8" i="69" l="1"/>
  <c r="BQ70" i="57"/>
  <c r="CE8" i="69" l="1"/>
  <c r="BR70" i="57"/>
  <c r="CF8" i="69" l="1"/>
  <c r="BS70" i="57"/>
  <c r="CG8" i="69" l="1"/>
  <c r="BT70" i="57"/>
  <c r="CH8" i="69" l="1"/>
  <c r="BV70" i="57" s="1"/>
  <c r="BU70" i="57"/>
  <c r="D7" i="21"/>
  <c r="Z66" i="15"/>
  <c r="Z12" i="15"/>
  <c r="Z125" i="15" l="1"/>
  <c r="Z114" i="15"/>
  <c r="Z54" i="15"/>
  <c r="Z98" i="15" s="1"/>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s>
  <commentList>
    <comment ref="I7" authorId="0" shapeId="50184" xr:uid="{00000000-0006-0000-0300-000001000000}">
      <text>
        <r>
          <rPr>
            <b/>
            <sz val="9"/>
            <color indexed="81"/>
            <rFont val="Tahoma"/>
            <family val="2"/>
          </rPr>
          <t>Anatoli Poultouchidou (ESA):</t>
        </r>
        <r>
          <rPr>
            <sz val="9"/>
            <color indexed="81"/>
            <rFont val="Tahoma"/>
            <family val="2"/>
          </rPr>
          <t xml:space="preserve">
TABLE 4.12. (UPDATED), page 4.47</t>
        </r>
      </text>
      <mc:AlternateContent xmlns:mc="http://schemas.openxmlformats.org/markup-compatibility/2006">
        <mc:Choice Requires="v"/>
        <mc:Fallback>
          <commentPr defaultSize="0" autoFill="0" autoLine="0">
            <anchor>
              <from>
                <xdr:col>8</xdr:col>
                <xdr:colOff>1828800</xdr:colOff>
                <xdr:row>5</xdr:row>
                <xdr:rowOff>0</xdr:rowOff>
              </from>
              <to>
                <xdr:col>9</xdr:col>
                <xdr:colOff>965200</xdr:colOff>
                <xdr:row>8</xdr:row>
                <xdr:rowOff>101600</xdr:rowOff>
              </to>
            </anchor>
          </commentPr>
        </mc:Fallback>
      </mc:AlternateContent>
    </comment>
    <comment ref="S7" authorId="0" shapeId="50186" xr:uid="{00000000-0006-0000-0300-000002000000}">
      <text>
        <r>
          <rPr>
            <b/>
            <sz val="9"/>
            <color indexed="81"/>
            <rFont val="Tahoma"/>
            <family val="2"/>
          </rPr>
          <t>Anatoli Poultouchidou (ESA):</t>
        </r>
        <r>
          <rPr>
            <sz val="9"/>
            <color indexed="81"/>
            <rFont val="Tahoma"/>
            <family val="2"/>
          </rPr>
          <t xml:space="preserve">
SOC before deforestation, SOC forest</t>
        </r>
      </text>
      <mc:AlternateContent xmlns:mc="http://schemas.openxmlformats.org/markup-compatibility/2006">
        <mc:Choice Requires="v"/>
        <mc:Fallback>
          <commentPr defaultSize="0" autoFill="0" autoLine="0">
            <anchor>
              <from>
                <xdr:col>15</xdr:col>
                <xdr:colOff>0</xdr:colOff>
                <xdr:row>3</xdr:row>
                <xdr:rowOff>0</xdr:rowOff>
              </from>
              <to>
                <xdr:col>16</xdr:col>
                <xdr:colOff>863600</xdr:colOff>
                <xdr:row>10</xdr:row>
                <xdr:rowOff>0</xdr:rowOff>
              </to>
            </anchor>
          </commentPr>
        </mc:Fallback>
      </mc:AlternateContent>
    </comment>
    <comment ref="U7" authorId="0" shapeId="50191" xr:uid="{B657ABF7-49B9-445F-A4F9-82CE2FAFBB70}">
      <text>
        <r>
          <rPr>
            <b/>
            <sz val="9"/>
            <color indexed="81"/>
            <rFont val="Tahoma"/>
            <family val="2"/>
          </rPr>
          <t>Anatoli Poultouchidou (ESA):</t>
        </r>
        <r>
          <rPr>
            <sz val="9"/>
            <color indexed="81"/>
            <rFont val="Tahoma"/>
            <family val="2"/>
          </rPr>
          <t xml:space="preserve">
SOC before deforestation, SOC forest</t>
        </r>
      </text>
      <mc:AlternateContent xmlns:mc="http://schemas.openxmlformats.org/markup-compatibility/2006">
        <mc:Choice Requires="v"/>
        <mc:Fallback>
          <commentPr defaultSize="0" autoFill="0" autoLine="0">
            <anchor>
              <from>
                <xdr:col>21</xdr:col>
                <xdr:colOff>101600</xdr:colOff>
                <xdr:row>5</xdr:row>
                <xdr:rowOff>101600</xdr:rowOff>
              </from>
              <to>
                <xdr:col>21</xdr:col>
                <xdr:colOff>2286000</xdr:colOff>
                <xdr:row>11</xdr:row>
                <xdr:rowOff>152400</xdr:rowOff>
              </to>
            </anchor>
          </commentPr>
        </mc:Fallback>
      </mc:AlternateContent>
    </comment>
    <comment ref="F20" authorId="0" shapeId="50188" xr:uid="{00000000-0006-0000-0300-000003000000}">
      <text>
        <r>
          <rPr>
            <b/>
            <sz val="9"/>
            <color indexed="81"/>
            <rFont val="Tahoma"/>
            <family val="2"/>
          </rPr>
          <t>Anatoli Poultouchidou (ESA):</t>
        </r>
        <r>
          <rPr>
            <sz val="9"/>
            <color indexed="81"/>
            <rFont val="Tahoma"/>
            <family val="2"/>
          </rPr>
          <t xml:space="preserve">
represents the % of fuel that has actually been combusted</t>
        </r>
      </text>
      <mc:AlternateContent xmlns:mc="http://schemas.openxmlformats.org/markup-compatibility/2006">
        <mc:Choice Requires="v"/>
        <mc:Fallback>
          <commentPr defaultSize="0" autoFill="0" autoLine="0">
            <anchor>
              <from>
                <xdr:col>4</xdr:col>
                <xdr:colOff>1828800</xdr:colOff>
                <xdr:row>16</xdr:row>
                <xdr:rowOff>0</xdr:rowOff>
              </from>
              <to>
                <xdr:col>5</xdr:col>
                <xdr:colOff>965200</xdr:colOff>
                <xdr:row>20</xdr:row>
                <xdr:rowOff>50800</xdr:rowOff>
              </to>
            </anchor>
          </commentPr>
        </mc:Fallback>
      </mc:AlternateContent>
    </comment>
    <comment ref="J21" authorId="0" shapeId="50177" xr:uid="{00000000-0006-0000-0300-000004000000}">
      <text>
        <r>
          <rPr>
            <b/>
            <sz val="9"/>
            <color indexed="81"/>
            <rFont val="Tahoma"/>
            <family val="2"/>
          </rPr>
          <t>Anatoli Poultouchidou (ESA):</t>
        </r>
        <r>
          <rPr>
            <sz val="9"/>
            <color indexed="81"/>
            <rFont val="Tahoma"/>
            <family val="2"/>
          </rPr>
          <t xml:space="preserve">
For annual crops, annual fallow, flooded rice --&gt; </t>
        </r>
        <r>
          <rPr>
            <b/>
            <sz val="9"/>
            <color indexed="81"/>
            <rFont val="Tahoma"/>
            <family val="2"/>
          </rPr>
          <t>AGB</t>
        </r>
        <r>
          <rPr>
            <sz val="9"/>
            <color indexed="81"/>
            <rFont val="Tahoma"/>
            <family val="2"/>
          </rPr>
          <t xml:space="preserve">
For grassland, perennial agroforestry systems --&gt; Total biomass </t>
        </r>
        <r>
          <rPr>
            <b/>
            <sz val="9"/>
            <color indexed="81"/>
            <rFont val="Tahoma"/>
            <family val="2"/>
          </rPr>
          <t xml:space="preserve">(AGB + BGB)
</t>
        </r>
        <r>
          <rPr>
            <sz val="9"/>
            <color indexed="81"/>
            <rFont val="Tahoma"/>
            <family val="2"/>
          </rPr>
          <t>For perennial monocultures</t>
        </r>
        <r>
          <rPr>
            <b/>
            <sz val="9"/>
            <color indexed="81"/>
            <rFont val="Tahoma"/>
            <family val="2"/>
          </rPr>
          <t xml:space="preserve"> --&gt; AGB</t>
        </r>
        <r>
          <rPr>
            <sz val="9"/>
            <color indexed="81"/>
            <rFont val="Tahoma"/>
            <family val="2"/>
          </rPr>
          <t xml:space="preserve"> (BGB is not available, pls see Tab 5.3 (Updated)</t>
        </r>
        <r>
          <rPr>
            <sz val="9"/>
            <color indexed="81"/>
            <rFont val="Tahoma"/>
            <family val="2"/>
          </rPr>
          <t xml:space="preserve">
</t>
        </r>
      </text>
      <mc:AlternateContent xmlns:mc="http://schemas.openxmlformats.org/markup-compatibility/2006">
        <mc:Choice Requires="v"/>
        <mc:Fallback>
          <commentPr defaultSize="0" autoFill="0" autoLine="0">
            <anchor>
              <from>
                <xdr:col>8</xdr:col>
                <xdr:colOff>0</xdr:colOff>
                <xdr:row>17</xdr:row>
                <xdr:rowOff>101600</xdr:rowOff>
              </from>
              <to>
                <xdr:col>9</xdr:col>
                <xdr:colOff>1371600</xdr:colOff>
                <xdr:row>25</xdr:row>
                <xdr:rowOff>0</xdr:rowOff>
              </to>
            </anchor>
          </commentPr>
        </mc:Fallback>
      </mc:AlternateContent>
    </comment>
    <comment ref="Q21" authorId="0" shapeId="50179" xr:uid="{00000000-0006-0000-0300-000005000000}">
      <text>
        <r>
          <rPr>
            <b/>
            <sz val="9"/>
            <color indexed="81"/>
            <rFont val="Tahoma"/>
            <family val="2"/>
          </rPr>
          <t>Anatoli Poultouchidou (ESA):</t>
        </r>
        <r>
          <rPr>
            <sz val="9"/>
            <color indexed="81"/>
            <rFont val="Tahoma"/>
            <family val="2"/>
          </rPr>
          <t xml:space="preserve">
ΔC Mineral= SOC in the final land use after def - SOC forest
When </t>
        </r>
        <r>
          <rPr>
            <b/>
            <sz val="9"/>
            <color indexed="81"/>
            <rFont val="Tahoma"/>
            <family val="2"/>
          </rPr>
          <t>ΔC Mineral&lt;0</t>
        </r>
        <r>
          <rPr>
            <sz val="9"/>
            <color indexed="81"/>
            <rFont val="Tahoma"/>
            <family val="2"/>
          </rPr>
          <t xml:space="preserve"> =&gt; Fsom needs to be estimated
When </t>
        </r>
        <r>
          <rPr>
            <b/>
            <sz val="9"/>
            <color indexed="81"/>
            <rFont val="Tahoma"/>
            <family val="2"/>
          </rPr>
          <t>ΔC Mineral &gt;0</t>
        </r>
        <r>
          <rPr>
            <sz val="9"/>
            <color indexed="81"/>
            <rFont val="Tahoma"/>
            <family val="2"/>
          </rPr>
          <t xml:space="preserve"> =&gt; no need to estimate Fsom</t>
        </r>
      </text>
      <mc:AlternateContent xmlns:mc="http://schemas.openxmlformats.org/markup-compatibility/2006">
        <mc:Choice Requires="v"/>
        <mc:Fallback>
          <commentPr defaultSize="0" autoFill="0" autoLine="0">
            <anchor>
              <from>
                <xdr:col>15</xdr:col>
                <xdr:colOff>355600</xdr:colOff>
                <xdr:row>20</xdr:row>
                <xdr:rowOff>101600</xdr:rowOff>
              </from>
              <to>
                <xdr:col>18</xdr:col>
                <xdr:colOff>914400</xdr:colOff>
                <xdr:row>28</xdr:row>
                <xdr:rowOff>0</xdr:rowOff>
              </to>
            </anchor>
          </commentPr>
        </mc:Fallback>
      </mc:AlternateContent>
    </comment>
    <comment ref="R21" authorId="0" shapeId="50180" xr:uid="{00000000-0006-0000-0300-000006000000}">
      <text>
        <r>
          <rPr>
            <b/>
            <sz val="9"/>
            <color indexed="81"/>
            <rFont val="Tahoma"/>
            <family val="2"/>
          </rPr>
          <t>Anatoli Poultouchidou (ESA):</t>
        </r>
        <r>
          <rPr>
            <sz val="9"/>
            <color indexed="81"/>
            <rFont val="Tahoma"/>
            <family val="2"/>
          </rPr>
          <t xml:space="preserve">
SOC </t>
        </r>
        <r>
          <rPr>
            <sz val="8"/>
            <color indexed="81"/>
            <rFont val="Tahoma"/>
            <family val="2"/>
          </rPr>
          <t>final land use</t>
        </r>
        <r>
          <rPr>
            <sz val="9"/>
            <color indexed="81"/>
            <rFont val="Tahoma"/>
            <family val="2"/>
          </rPr>
          <t xml:space="preserve"> - SOCforest
</t>
        </r>
      </text>
      <mc:AlternateContent xmlns:mc="http://schemas.openxmlformats.org/markup-compatibility/2006">
        <mc:Choice Requires="v"/>
        <mc:Fallback>
          <commentPr defaultSize="0" autoFill="0" autoLine="0">
            <anchor>
              <from>
                <xdr:col>10</xdr:col>
                <xdr:colOff>1879600</xdr:colOff>
                <xdr:row>17</xdr:row>
                <xdr:rowOff>0</xdr:rowOff>
              </from>
              <to>
                <xdr:col>12</xdr:col>
                <xdr:colOff>711200</xdr:colOff>
                <xdr:row>21</xdr:row>
                <xdr:rowOff>0</xdr:rowOff>
              </to>
            </anchor>
          </commentPr>
        </mc:Fallback>
      </mc:AlternateContent>
    </comment>
    <comment ref="S21" authorId="0" shapeId="50187" xr:uid="{00000000-0006-0000-0300-000007000000}">
      <text>
        <r>
          <rPr>
            <b/>
            <sz val="9"/>
            <color indexed="81"/>
            <rFont val="Tahoma"/>
            <family val="2"/>
          </rPr>
          <t>Anatoli Poultouchidou (ESA):</t>
        </r>
        <r>
          <rPr>
            <sz val="9"/>
            <color indexed="81"/>
            <rFont val="Tahoma"/>
            <family val="2"/>
          </rPr>
          <t xml:space="preserve">
Mass of fuel available for combustion</t>
        </r>
      </text>
      <mc:AlternateContent xmlns:mc="http://schemas.openxmlformats.org/markup-compatibility/2006">
        <mc:Choice Requires="v"/>
        <mc:Fallback>
          <commentPr defaultSize="0" autoFill="0" autoLine="0">
            <anchor>
              <from>
                <xdr:col>16</xdr:col>
                <xdr:colOff>101600</xdr:colOff>
                <xdr:row>16</xdr:row>
                <xdr:rowOff>0</xdr:rowOff>
              </from>
              <to>
                <xdr:col>18</xdr:col>
                <xdr:colOff>152400</xdr:colOff>
                <xdr:row>23</xdr:row>
                <xdr:rowOff>0</xdr:rowOff>
              </to>
            </anchor>
          </commentPr>
        </mc:Fallback>
      </mc:AlternateContent>
    </comment>
    <comment ref="V21" authorId="0" shapeId="50183" xr:uid="{00000000-0006-0000-0300-000008000000}">
      <text>
        <r>
          <rPr>
            <b/>
            <sz val="9"/>
            <color indexed="81"/>
            <rFont val="Tahoma"/>
            <family val="2"/>
          </rPr>
          <t>Anatoli Poultouchidou (ESA):</t>
        </r>
        <r>
          <rPr>
            <sz val="9"/>
            <color indexed="81"/>
            <rFont val="Tahoma"/>
            <family val="2"/>
          </rPr>
          <t xml:space="preserve">
N mineralised in mineral soils as a result of loss of soil C through LU change
</t>
        </r>
        <r>
          <rPr>
            <b/>
            <sz val="9"/>
            <color indexed="81"/>
            <rFont val="Tahoma"/>
            <family val="2"/>
          </rPr>
          <t xml:space="preserve">
Fsom: Should ALWAYS be a (+) value</t>
        </r>
      </text>
      <mc:AlternateContent xmlns:mc="http://schemas.openxmlformats.org/markup-compatibility/2006">
        <mc:Choice Requires="v"/>
        <mc:Fallback>
          <commentPr defaultSize="0" autoFill="0" autoLine="0">
            <anchor>
              <from>
                <xdr:col>16</xdr:col>
                <xdr:colOff>609600</xdr:colOff>
                <xdr:row>17</xdr:row>
                <xdr:rowOff>101600</xdr:rowOff>
              </from>
              <to>
                <xdr:col>19</xdr:col>
                <xdr:colOff>762000</xdr:colOff>
                <xdr:row>25</xdr:row>
                <xdr:rowOff>0</xdr:rowOff>
              </to>
            </anchor>
          </commentPr>
        </mc:Fallback>
      </mc:AlternateContent>
    </comment>
    <comment ref="D22" authorId="0" shapeId="50178" xr:uid="{00000000-0006-0000-0300-000009000000}">
      <text>
        <r>
          <rPr>
            <b/>
            <sz val="9"/>
            <color indexed="81"/>
            <rFont val="Tahoma"/>
            <family val="2"/>
          </rPr>
          <t>Anatoli Poultouchidou (ESA):</t>
        </r>
        <r>
          <rPr>
            <sz val="9"/>
            <color indexed="81"/>
            <rFont val="Tahoma"/>
            <family val="2"/>
          </rPr>
          <t xml:space="preserve">
Not considered in the final C balance</t>
        </r>
      </text>
      <mc:AlternateContent xmlns:mc="http://schemas.openxmlformats.org/markup-compatibility/2006">
        <mc:Choice Requires="v"/>
        <mc:Fallback>
          <commentPr defaultSize="0" autoFill="0" autoLine="0">
            <anchor>
              <from>
                <xdr:col>2</xdr:col>
                <xdr:colOff>762000</xdr:colOff>
                <xdr:row>17</xdr:row>
                <xdr:rowOff>101600</xdr:rowOff>
              </from>
              <to>
                <xdr:col>3</xdr:col>
                <xdr:colOff>0</xdr:colOff>
                <xdr:row>21</xdr:row>
                <xdr:rowOff>0</xdr:rowOff>
              </to>
            </anchor>
          </commentPr>
        </mc:Fallback>
      </mc:AlternateContent>
    </comment>
  </commentList>
</comments>
</file>

<file path=xl/comments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Maestripieri, Lorenzo (ESA)</author>
  </authors>
  <commentList>
    <comment ref="Z4" authorId="0" shapeId="70666" xr:uid="{00000000-0006-0000-0200-000001000000}">
      <text>
        <r>
          <rPr>
            <b/>
            <sz val="9"/>
            <color indexed="81"/>
            <rFont val="Tahoma"/>
            <family val="2"/>
          </rPr>
          <t>Anatoli Poultouchidou (ESA):</t>
        </r>
        <r>
          <rPr>
            <sz val="9"/>
            <color indexed="81"/>
            <rFont val="Tahoma"/>
            <family val="2"/>
          </rPr>
          <t xml:space="preserve">
SOC in the  final land use --&gt; SOC in Forest after afforestation</t>
        </r>
      </text>
      <mc:AlternateContent xmlns:mc="http://schemas.openxmlformats.org/markup-compatibility/2006">
        <mc:Choice Requires="v"/>
        <mc:Fallback>
          <commentPr defaultSize="0" autoFill="0" autoLine="0">
            <anchor>
              <from>
                <xdr:col>24</xdr:col>
                <xdr:colOff>812800</xdr:colOff>
                <xdr:row>3</xdr:row>
                <xdr:rowOff>0</xdr:rowOff>
              </from>
              <to>
                <xdr:col>26</xdr:col>
                <xdr:colOff>254000</xdr:colOff>
                <xdr:row>6</xdr:row>
                <xdr:rowOff>0</xdr:rowOff>
              </to>
            </anchor>
          </commentPr>
        </mc:Fallback>
      </mc:AlternateContent>
    </comment>
    <comment ref="O20" authorId="0" shapeId="70674" xr:uid="{00000000-0006-0000-0200-000002000000}">
      <text>
        <r>
          <rPr>
            <b/>
            <sz val="9"/>
            <color indexed="81"/>
            <rFont val="Tahoma"/>
            <family val="2"/>
          </rPr>
          <t>Anatoli Poultouchidou (ESA):</t>
        </r>
        <r>
          <rPr>
            <sz val="9"/>
            <color indexed="81"/>
            <rFont val="Tahoma"/>
            <family val="2"/>
          </rPr>
          <t xml:space="preserve">
For crop it is estimated that residues after crop is 40% [ assumptuion made din EX-ACT v7)
Carbon fraction is 0.4</t>
        </r>
      </text>
      <mc:AlternateContent xmlns:mc="http://schemas.openxmlformats.org/markup-compatibility/2006">
        <mc:Choice Requires="v"/>
        <mc:Fallback>
          <commentPr defaultSize="0" autoFill="0" autoLine="0">
            <anchor>
              <from>
                <xdr:col>15</xdr:col>
                <xdr:colOff>50800</xdr:colOff>
                <xdr:row>14</xdr:row>
                <xdr:rowOff>50800</xdr:rowOff>
              </from>
              <to>
                <xdr:col>16</xdr:col>
                <xdr:colOff>1016000</xdr:colOff>
                <xdr:row>23</xdr:row>
                <xdr:rowOff>0</xdr:rowOff>
              </to>
            </anchor>
          </commentPr>
        </mc:Fallback>
      </mc:AlternateContent>
    </comment>
    <comment ref="P20" authorId="0" shapeId="70670" xr:uid="{00000000-0006-0000-0200-000003000000}">
      <text>
        <r>
          <rPr>
            <b/>
            <sz val="9"/>
            <color indexed="81"/>
            <rFont val="Tahoma"/>
            <family val="2"/>
          </rPr>
          <t>Anatoli Poultouchidou (ESA):</t>
        </r>
        <r>
          <rPr>
            <sz val="9"/>
            <color indexed="81"/>
            <rFont val="Tahoma"/>
            <family val="2"/>
          </rPr>
          <t xml:space="preserve">
Please double check these values!!!</t>
        </r>
      </text>
      <mc:AlternateContent xmlns:mc="http://schemas.openxmlformats.org/markup-compatibility/2006">
        <mc:Choice Requires="v"/>
        <mc:Fallback>
          <commentPr defaultSize="0" autoFill="0" autoLine="0">
            <anchor>
              <from>
                <xdr:col>10</xdr:col>
                <xdr:colOff>609600</xdr:colOff>
                <xdr:row>14</xdr:row>
                <xdr:rowOff>50800</xdr:rowOff>
              </from>
              <to>
                <xdr:col>11</xdr:col>
                <xdr:colOff>1270000</xdr:colOff>
                <xdr:row>18</xdr:row>
                <xdr:rowOff>0</xdr:rowOff>
              </to>
            </anchor>
          </commentPr>
        </mc:Fallback>
      </mc:AlternateContent>
    </comment>
    <comment ref="AC20" authorId="0" shapeId="70659" xr:uid="{00000000-0006-0000-0200-000004000000}">
      <text>
        <r>
          <rPr>
            <b/>
            <sz val="9"/>
            <color indexed="81"/>
            <rFont val="Tahoma"/>
            <family val="2"/>
          </rPr>
          <t>Anatoli Poultouchidou (ESA):</t>
        </r>
        <r>
          <rPr>
            <sz val="9"/>
            <color indexed="81"/>
            <rFont val="Tahoma"/>
            <family val="2"/>
          </rPr>
          <t xml:space="preserve">
To be double checked!!!
</t>
        </r>
      </text>
      <mc:AlternateContent xmlns:mc="http://schemas.openxmlformats.org/markup-compatibility/2006">
        <mc:Choice Requires="v"/>
        <mc:Fallback>
          <commentPr defaultSize="0" autoFill="0" autoLine="0">
            <anchor>
              <from>
                <xdr:col>19</xdr:col>
                <xdr:colOff>406400</xdr:colOff>
                <xdr:row>14</xdr:row>
                <xdr:rowOff>50800</xdr:rowOff>
              </from>
              <to>
                <xdr:col>20</xdr:col>
                <xdr:colOff>508000</xdr:colOff>
                <xdr:row>18</xdr:row>
                <xdr:rowOff>0</xdr:rowOff>
              </to>
            </anchor>
          </commentPr>
        </mc:Fallback>
      </mc:AlternateContent>
    </comment>
    <comment ref="AE20" authorId="1" shapeId="70681" xr:uid="{EB7568E0-68B3-4778-9C56-9DC26DAB3E70}">
      <text>
        <r>
          <rPr>
            <b/>
            <sz val="9"/>
            <color indexed="81"/>
            <rFont val="Tahoma"/>
            <family val="2"/>
          </rPr>
          <t>Maestripieri, Lorenzo (ESA):</t>
        </r>
        <r>
          <rPr>
            <sz val="9"/>
            <color indexed="81"/>
            <rFont val="Tahoma"/>
            <family val="2"/>
          </rPr>
          <t xml:space="preserve">
simplified approach - assuming DOM would reach reference level after 20 years in accordance with 2006 GNGGI 4.3.2</t>
        </r>
      </text>
      <mc:AlternateContent xmlns:mc="http://schemas.openxmlformats.org/markup-compatibility/2006">
        <mc:Choice Requires="v"/>
        <mc:Fallback>
          <commentPr defaultSize="0" autoFill="0" autoLine="0">
            <anchor>
              <from>
                <xdr:col>31</xdr:col>
                <xdr:colOff>152400</xdr:colOff>
                <xdr:row>18</xdr:row>
                <xdr:rowOff>101600</xdr:rowOff>
              </from>
              <to>
                <xdr:col>34</xdr:col>
                <xdr:colOff>457200</xdr:colOff>
                <xdr:row>21</xdr:row>
                <xdr:rowOff>152400</xdr:rowOff>
              </to>
            </anchor>
          </commentPr>
        </mc:Fallback>
      </mc:AlternateContent>
    </comment>
    <comment ref="H22" authorId="0" shapeId="70673" xr:uid="{00000000-0006-0000-0200-000005000000}">
      <text>
        <r>
          <rPr>
            <b/>
            <sz val="9"/>
            <color indexed="81"/>
            <rFont val="Tahoma"/>
            <family val="2"/>
          </rPr>
          <t>Anatoli Poultouchidou (ESA):</t>
        </r>
        <r>
          <rPr>
            <sz val="9"/>
            <color indexed="81"/>
            <rFont val="Tahoma"/>
            <family val="2"/>
          </rPr>
          <t xml:space="preserve">
double check the LUs converted to FL. Should we keep the class other land non-vegetated?</t>
        </r>
      </text>
      <mc:AlternateContent xmlns:mc="http://schemas.openxmlformats.org/markup-compatibility/2006">
        <mc:Choice Requires="v"/>
        <mc:Fallback>
          <commentPr defaultSize="0" autoFill="0" autoLine="0">
            <anchor>
              <from>
                <xdr:col>8</xdr:col>
                <xdr:colOff>0</xdr:colOff>
                <xdr:row>17</xdr:row>
                <xdr:rowOff>0</xdr:rowOff>
              </from>
              <to>
                <xdr:col>8</xdr:col>
                <xdr:colOff>2438400</xdr:colOff>
                <xdr:row>24</xdr:row>
                <xdr:rowOff>0</xdr:rowOff>
              </to>
            </anchor>
          </commentPr>
        </mc:Fallback>
      </mc:AlternateContent>
    </comment>
    <comment ref="I22" authorId="0" shapeId="70658" xr:uid="{00000000-0006-0000-0200-000006000000}">
      <text>
        <r>
          <rPr>
            <b/>
            <sz val="9"/>
            <color indexed="81"/>
            <rFont val="Tahoma"/>
            <family val="2"/>
          </rPr>
          <t>Anatoli Poultouchidou (ESA):</t>
        </r>
        <r>
          <rPr>
            <sz val="9"/>
            <color indexed="81"/>
            <rFont val="Tahoma"/>
            <family val="2"/>
          </rPr>
          <t xml:space="preserve">
</t>
        </r>
        <r>
          <rPr>
            <b/>
            <sz val="9"/>
            <color indexed="81"/>
            <rFont val="Tahoma"/>
            <family val="2"/>
          </rPr>
          <t>For Grassland</t>
        </r>
        <r>
          <rPr>
            <sz val="9"/>
            <color indexed="81"/>
            <rFont val="Tahoma"/>
            <family val="2"/>
          </rPr>
          <t xml:space="preserve">: Total (above-ground and below-ground) non-woody
biomass2 (tonnes d.m./ha).
</t>
        </r>
        <r>
          <rPr>
            <b/>
            <sz val="9"/>
            <color indexed="81"/>
            <rFont val="Tahoma"/>
            <family val="2"/>
          </rPr>
          <t>For Annual crops = Rice = Annual Fallow</t>
        </r>
        <r>
          <rPr>
            <sz val="9"/>
            <color indexed="81"/>
            <rFont val="Tahoma"/>
            <family val="2"/>
          </rPr>
          <t xml:space="preserve"> = only AGB  (tonnes d.m./ha/year). 
</t>
        </r>
        <r>
          <rPr>
            <b/>
            <sz val="9"/>
            <color indexed="81"/>
            <rFont val="Tahoma"/>
            <family val="2"/>
          </rPr>
          <t>For agroforestry :</t>
        </r>
        <r>
          <rPr>
            <sz val="9"/>
            <color indexed="81"/>
            <rFont val="Tahoma"/>
            <family val="2"/>
          </rPr>
          <t xml:space="preserve"> the Lmean was used
Countries should use Lmean in updated Table 5.1 and 5.3 in the case that carbon removal has occurred by land use change where the age of the perennial crop removed is unknown. Carbon losses are estimated by multiplying the annual area of land conversion by Lmean.</t>
        </r>
        <r>
          <rPr>
            <b/>
            <sz val="9"/>
            <color indexed="81"/>
            <rFont val="Tahoma"/>
            <family val="2"/>
          </rPr>
          <t xml:space="preserve"> [ See page 5.14 in IPCC 2019]</t>
        </r>
      </text>
      <mc:AlternateContent xmlns:mc="http://schemas.openxmlformats.org/markup-compatibility/2006">
        <mc:Choice Requires="v"/>
        <mc:Fallback>
          <commentPr defaultSize="0" autoFill="0" autoLine="0">
            <anchor>
              <from>
                <xdr:col>5</xdr:col>
                <xdr:colOff>203200</xdr:colOff>
                <xdr:row>16</xdr:row>
                <xdr:rowOff>0</xdr:rowOff>
              </from>
              <to>
                <xdr:col>7</xdr:col>
                <xdr:colOff>3352800</xdr:colOff>
                <xdr:row>26</xdr:row>
                <xdr:rowOff>50800</xdr:rowOff>
              </to>
            </anchor>
          </commentPr>
        </mc:Fallback>
      </mc:AlternateContent>
    </comment>
    <comment ref="J22" authorId="0" shapeId="70668" xr:uid="{00000000-0006-0000-0200-000007000000}">
      <text>
        <r>
          <rPr>
            <b/>
            <sz val="9"/>
            <color indexed="81"/>
            <rFont val="Tahoma"/>
            <family val="2"/>
          </rPr>
          <t>Anatoli Poultouchidou (ESA):</t>
        </r>
        <r>
          <rPr>
            <sz val="9"/>
            <color indexed="81"/>
            <rFont val="Tahoma"/>
            <family val="2"/>
          </rPr>
          <t xml:space="preserve">
FLU of land uses converted to FL</t>
        </r>
      </text>
      <mc:AlternateContent xmlns:mc="http://schemas.openxmlformats.org/markup-compatibility/2006">
        <mc:Choice Requires="v"/>
        <mc:Fallback>
          <commentPr defaultSize="0" autoFill="0" autoLine="0">
            <anchor>
              <from>
                <xdr:col>8</xdr:col>
                <xdr:colOff>1828800</xdr:colOff>
                <xdr:row>17</xdr:row>
                <xdr:rowOff>0</xdr:rowOff>
              </from>
              <to>
                <xdr:col>8</xdr:col>
                <xdr:colOff>3403600</xdr:colOff>
                <xdr:row>23</xdr:row>
                <xdr:rowOff>0</xdr:rowOff>
              </to>
            </anchor>
          </commentPr>
        </mc:Fallback>
      </mc:AlternateContent>
    </comment>
    <comment ref="L22" authorId="0" shapeId="70667" xr:uid="{00000000-0006-0000-0200-000008000000}">
      <text>
        <r>
          <rPr>
            <b/>
            <sz val="9"/>
            <color indexed="81"/>
            <rFont val="Tahoma"/>
            <family val="2"/>
          </rPr>
          <t>Anatoli Poultouchidou (ESA):</t>
        </r>
        <r>
          <rPr>
            <sz val="9"/>
            <color indexed="81"/>
            <rFont val="Tahoma"/>
            <family val="2"/>
          </rPr>
          <t xml:space="preserve">
SOC in the initial land use BEFORE afforestation</t>
        </r>
      </text>
      <mc:AlternateContent xmlns:mc="http://schemas.openxmlformats.org/markup-compatibility/2006">
        <mc:Choice Requires="v"/>
        <mc:Fallback>
          <commentPr defaultSize="0" autoFill="0" autoLine="0">
            <anchor>
              <from>
                <xdr:col>8</xdr:col>
                <xdr:colOff>1828800</xdr:colOff>
                <xdr:row>16</xdr:row>
                <xdr:rowOff>50800</xdr:rowOff>
              </from>
              <to>
                <xdr:col>8</xdr:col>
                <xdr:colOff>3962400</xdr:colOff>
                <xdr:row>21</xdr:row>
                <xdr:rowOff>0</xdr:rowOff>
              </to>
            </anchor>
          </commentPr>
        </mc:Fallback>
      </mc:AlternateContent>
    </comment>
    <comment ref="Q22" authorId="0" shapeId="70671" xr:uid="{00000000-0006-0000-0200-000009000000}">
      <text>
        <r>
          <rPr>
            <b/>
            <sz val="9"/>
            <color indexed="81"/>
            <rFont val="Tahoma"/>
            <family val="2"/>
          </rPr>
          <t>Anatoli Poultouchidou (ESA):</t>
        </r>
        <r>
          <rPr>
            <sz val="9"/>
            <color indexed="81"/>
            <rFont val="Tahoma"/>
            <family val="2"/>
          </rPr>
          <t xml:space="preserve">
Please double check!!!! Numbers are higher than EX-ACT v7</t>
        </r>
      </text>
      <mc:AlternateContent xmlns:mc="http://schemas.openxmlformats.org/markup-compatibility/2006">
        <mc:Choice Requires="v"/>
        <mc:Fallback>
          <commentPr defaultSize="0" autoFill="0" autoLine="0">
            <anchor>
              <from>
                <xdr:col>11</xdr:col>
                <xdr:colOff>0</xdr:colOff>
                <xdr:row>17</xdr:row>
                <xdr:rowOff>0</xdr:rowOff>
              </from>
              <to>
                <xdr:col>12</xdr:col>
                <xdr:colOff>203200</xdr:colOff>
                <xdr:row>22</xdr:row>
                <xdr:rowOff>0</xdr:rowOff>
              </to>
            </anchor>
          </commentPr>
        </mc:Fallback>
      </mc:AlternateContent>
    </comment>
    <comment ref="R22" authorId="0" shapeId="70672" xr:uid="{00000000-0006-0000-0200-00000A000000}">
      <text>
        <r>
          <rPr>
            <b/>
            <sz val="9"/>
            <color indexed="81"/>
            <rFont val="Tahoma"/>
            <family val="2"/>
          </rPr>
          <t>Anatoli Poultouchidou (ESA):</t>
        </r>
        <r>
          <rPr>
            <sz val="9"/>
            <color indexed="81"/>
            <rFont val="Tahoma"/>
            <family val="2"/>
          </rPr>
          <t xml:space="preserve">
Please double check!!!! Numbers are higher than EX-ACT v7</t>
        </r>
      </text>
      <mc:AlternateContent xmlns:mc="http://schemas.openxmlformats.org/markup-compatibility/2006">
        <mc:Choice Requires="v"/>
        <mc:Fallback>
          <commentPr defaultSize="0" autoFill="0" autoLine="0">
            <anchor>
              <from>
                <xdr:col>12</xdr:col>
                <xdr:colOff>609600</xdr:colOff>
                <xdr:row>17</xdr:row>
                <xdr:rowOff>0</xdr:rowOff>
              </from>
              <to>
                <xdr:col>13</xdr:col>
                <xdr:colOff>1016000</xdr:colOff>
                <xdr:row>21</xdr:row>
                <xdr:rowOff>0</xdr:rowOff>
              </to>
            </anchor>
          </commentPr>
        </mc:Fallback>
      </mc:AlternateContent>
    </comment>
    <comment ref="J34" authorId="0" shapeId="70661" xr:uid="{00000000-0006-0000-0200-00000B000000}">
      <text>
        <r>
          <rPr>
            <b/>
            <sz val="9"/>
            <color indexed="81"/>
            <rFont val="Tahoma"/>
            <family val="2"/>
          </rPr>
          <t>Anatoli Poultouchidou (ESA):</t>
        </r>
        <r>
          <rPr>
            <sz val="9"/>
            <color indexed="81"/>
            <rFont val="Tahoma"/>
            <family val="2"/>
          </rPr>
          <t xml:space="preserve">
For DOM we consider the removals occcuring the first 20 years! 
DOM &gt; 20 years is not taken into account
To be revised</t>
        </r>
      </text>
      <mc:AlternateContent xmlns:mc="http://schemas.openxmlformats.org/markup-compatibility/2006">
        <mc:Choice Requires="v"/>
        <mc:Fallback>
          <commentPr defaultSize="0" autoFill="0" autoLine="0">
            <anchor>
              <from>
                <xdr:col>3</xdr:col>
                <xdr:colOff>2438400</xdr:colOff>
                <xdr:row>27</xdr:row>
                <xdr:rowOff>0</xdr:rowOff>
              </from>
              <to>
                <xdr:col>5</xdr:col>
                <xdr:colOff>914400</xdr:colOff>
                <xdr:row>34</xdr:row>
                <xdr:rowOff>0</xdr:rowOff>
              </to>
            </anchor>
          </commentPr>
        </mc:Fallback>
      </mc:AlternateContent>
    </comment>
  </commentList>
</comments>
</file>

<file path=xl/comments3.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s>
  <commentList>
    <comment ref="J20" authorId="0" shapeId="81929" xr:uid="{00000000-0006-0000-0400-000001000000}">
      <text>
        <r>
          <rPr>
            <b/>
            <sz val="9"/>
            <color indexed="81"/>
            <rFont val="Tahoma"/>
            <family val="2"/>
          </rPr>
          <t>Anatoli Poultouchidou (ESA):</t>
        </r>
        <r>
          <rPr>
            <sz val="9"/>
            <color indexed="81"/>
            <rFont val="Tahoma"/>
            <family val="2"/>
          </rPr>
          <t xml:space="preserve">
For crop it is estimated that residues after crop is 40%
Assumption taken from EX-ACTv7</t>
        </r>
      </text>
      <mc:AlternateContent xmlns:mc="http://schemas.openxmlformats.org/markup-compatibility/2006">
        <mc:Choice Requires="v"/>
        <mc:Fallback>
          <commentPr defaultSize="0" autoFill="0" autoLine="0">
            <anchor>
              <from>
                <xdr:col>10</xdr:col>
                <xdr:colOff>50800</xdr:colOff>
                <xdr:row>17</xdr:row>
                <xdr:rowOff>0</xdr:rowOff>
              </from>
              <to>
                <xdr:col>11</xdr:col>
                <xdr:colOff>1219200</xdr:colOff>
                <xdr:row>24</xdr:row>
                <xdr:rowOff>0</xdr:rowOff>
              </to>
            </anchor>
          </commentPr>
        </mc:Fallback>
      </mc:AlternateContent>
    </comment>
    <comment ref="E21" authorId="0" shapeId="81922" xr:uid="{00000000-0006-0000-0400-000002000000}">
      <text>
        <r>
          <rPr>
            <b/>
            <sz val="9"/>
            <color rgb="FF000000"/>
            <rFont val="Tahoma"/>
            <family val="2"/>
          </rPr>
          <t>Anatoli Poultouchidou (ESA):</t>
        </r>
        <r>
          <rPr>
            <sz val="9"/>
            <color rgb="FF000000"/>
            <rFont val="Tahoma"/>
            <family val="2"/>
          </rPr>
          <t xml:space="preserve">
</t>
        </r>
        <r>
          <rPr>
            <sz val="9"/>
            <color rgb="FF000000"/>
            <rFont val="Tahoma"/>
            <family val="2"/>
          </rPr>
          <t xml:space="preserve">(+ ) values --&gt; emissions
</t>
        </r>
        <r>
          <rPr>
            <sz val="9"/>
            <color rgb="FF000000"/>
            <rFont val="Tahoma"/>
            <family val="2"/>
          </rPr>
          <t xml:space="preserve"> ( - ) values --&gt; removals</t>
        </r>
      </text>
      <mc:AlternateContent xmlns:mc="http://schemas.openxmlformats.org/markup-compatibility/2006">
        <mc:Choice Requires="v"/>
        <mc:Fallback>
          <commentPr defaultSize="0" autoFill="0" autoLine="0">
            <anchor>
              <from>
                <xdr:col>3</xdr:col>
                <xdr:colOff>762000</xdr:colOff>
                <xdr:row>17</xdr:row>
                <xdr:rowOff>0</xdr:rowOff>
              </from>
              <to>
                <xdr:col>4</xdr:col>
                <xdr:colOff>1473200</xdr:colOff>
                <xdr:row>20</xdr:row>
                <xdr:rowOff>0</xdr:rowOff>
              </to>
            </anchor>
          </commentPr>
        </mc:Fallback>
      </mc:AlternateContent>
    </comment>
    <comment ref="F21" authorId="0" shapeId="81921" xr:uid="{00000000-0006-0000-0400-000003000000}">
      <text>
        <r>
          <rPr>
            <b/>
            <sz val="9"/>
            <color indexed="81"/>
            <rFont val="Tahoma"/>
            <family val="2"/>
          </rPr>
          <t>Anatoli Poultouchidou (ESA):</t>
        </r>
        <r>
          <rPr>
            <sz val="9"/>
            <color indexed="81"/>
            <rFont val="Tahoma"/>
            <family val="2"/>
          </rPr>
          <t xml:space="preserve">
(+ ) values --&gt; CO2 emissions
 ( - ) values --&gt; CO2 removals</t>
        </r>
      </text>
      <mc:AlternateContent xmlns:mc="http://schemas.openxmlformats.org/markup-compatibility/2006">
        <mc:Choice Requires="v"/>
        <mc:Fallback>
          <commentPr defaultSize="0" autoFill="0" autoLine="0">
            <anchor>
              <from>
                <xdr:col>4</xdr:col>
                <xdr:colOff>1219200</xdr:colOff>
                <xdr:row>17</xdr:row>
                <xdr:rowOff>50800</xdr:rowOff>
              </from>
              <to>
                <xdr:col>6</xdr:col>
                <xdr:colOff>0</xdr:colOff>
                <xdr:row>23</xdr:row>
                <xdr:rowOff>0</xdr:rowOff>
              </to>
            </anchor>
          </commentPr>
        </mc:Fallback>
      </mc:AlternateContent>
    </comment>
    <comment ref="G21" authorId="0" shapeId="81927" xr:uid="{00000000-0006-0000-0400-000004000000}">
      <text>
        <r>
          <rPr>
            <b/>
            <sz val="9"/>
            <color rgb="FF000000"/>
            <rFont val="Tahoma"/>
            <family val="2"/>
          </rPr>
          <t>Anatoli Poultouchidou (ESA):</t>
        </r>
        <r>
          <rPr>
            <sz val="9"/>
            <color rgb="FF000000"/>
            <rFont val="Tahoma"/>
            <family val="2"/>
          </rPr>
          <t xml:space="preserve">
</t>
        </r>
        <r>
          <rPr>
            <sz val="9"/>
            <color rgb="FF000000"/>
            <rFont val="Tahoma"/>
            <family val="2"/>
          </rPr>
          <t xml:space="preserve">(-) values =&gt; SOC loss
</t>
        </r>
        <r>
          <rPr>
            <sz val="9"/>
            <color rgb="FF000000"/>
            <rFont val="Tahoma"/>
            <family val="2"/>
          </rPr>
          <t xml:space="preserve">(+) values =&gt; SOC gain
</t>
        </r>
        <r>
          <rPr>
            <sz val="9"/>
            <color rgb="FF000000"/>
            <rFont val="Tahoma"/>
            <family val="2"/>
          </rPr>
          <t xml:space="preserve">
</t>
        </r>
        <r>
          <rPr>
            <sz val="9"/>
            <color rgb="FF000000"/>
            <rFont val="Tahoma"/>
            <family val="2"/>
          </rPr>
          <t>ΔC soil = SOC final - SOC initial</t>
        </r>
      </text>
      <mc:AlternateContent xmlns:mc="http://schemas.openxmlformats.org/markup-compatibility/2006">
        <mc:Choice Requires="v"/>
        <mc:Fallback>
          <commentPr defaultSize="0" autoFill="0" autoLine="0">
            <anchor>
              <from>
                <xdr:col>7</xdr:col>
                <xdr:colOff>50800</xdr:colOff>
                <xdr:row>17</xdr:row>
                <xdr:rowOff>0</xdr:rowOff>
              </from>
              <to>
                <xdr:col>8</xdr:col>
                <xdr:colOff>965200</xdr:colOff>
                <xdr:row>24</xdr:row>
                <xdr:rowOff>0</xdr:rowOff>
              </to>
            </anchor>
          </commentPr>
        </mc:Fallback>
      </mc:AlternateContent>
    </comment>
    <comment ref="K21" authorId="0" shapeId="81926" xr:uid="{00000000-0006-0000-0400-000005000000}">
      <text>
        <r>
          <rPr>
            <b/>
            <sz val="9"/>
            <color indexed="81"/>
            <rFont val="Tahoma"/>
            <family val="2"/>
          </rPr>
          <t>Anatoli Poultouchidou (ESA):</t>
        </r>
        <r>
          <rPr>
            <sz val="9"/>
            <color indexed="81"/>
            <rFont val="Tahoma"/>
            <family val="2"/>
          </rPr>
          <t xml:space="preserve">
Double check Cf and Gef!!!</t>
        </r>
      </text>
      <mc:AlternateContent xmlns:mc="http://schemas.openxmlformats.org/markup-compatibility/2006">
        <mc:Choice Requires="v"/>
        <mc:Fallback>
          <commentPr defaultSize="0" autoFill="0" autoLine="0">
            <anchor>
              <from>
                <xdr:col>9</xdr:col>
                <xdr:colOff>609600</xdr:colOff>
                <xdr:row>17</xdr:row>
                <xdr:rowOff>0</xdr:rowOff>
              </from>
              <to>
                <xdr:col>10</xdr:col>
                <xdr:colOff>914400</xdr:colOff>
                <xdr:row>20</xdr:row>
                <xdr:rowOff>101600</xdr:rowOff>
              </to>
            </anchor>
          </commentPr>
        </mc:Fallback>
      </mc:AlternateContent>
    </comment>
    <comment ref="M21" authorId="0" shapeId="81933" xr:uid="{00000000-0006-0000-0400-000006000000}">
      <text>
        <r>
          <rPr>
            <b/>
            <sz val="9"/>
            <color indexed="81"/>
            <rFont val="Tahoma"/>
            <family val="2"/>
          </rPr>
          <t>Anatoli Poultouchidou (ESA):</t>
        </r>
        <r>
          <rPr>
            <sz val="9"/>
            <color indexed="81"/>
            <rFont val="Tahoma"/>
            <family val="2"/>
          </rPr>
          <t xml:space="preserve">
Double check Cf and Gef!!!</t>
        </r>
      </text>
      <mc:AlternateContent xmlns:mc="http://schemas.openxmlformats.org/markup-compatibility/2006">
        <mc:Choice Requires="v"/>
        <mc:Fallback>
          <commentPr defaultSize="0" autoFill="0" autoLine="0">
            <anchor>
              <from>
                <xdr:col>13</xdr:col>
                <xdr:colOff>50800</xdr:colOff>
                <xdr:row>19</xdr:row>
                <xdr:rowOff>0</xdr:rowOff>
              </from>
              <to>
                <xdr:col>14</xdr:col>
                <xdr:colOff>406400</xdr:colOff>
                <xdr:row>23</xdr:row>
                <xdr:rowOff>0</xdr:rowOff>
              </to>
            </anchor>
          </commentPr>
        </mc:Fallback>
      </mc:AlternateContent>
    </comment>
    <comment ref="H23" authorId="0" shapeId="81928" xr:uid="{00000000-0006-0000-0400-000007000000}">
      <text>
        <r>
          <rPr>
            <b/>
            <sz val="9"/>
            <color indexed="81"/>
            <rFont val="Tahoma"/>
            <family val="2"/>
          </rPr>
          <t>Anatoli Poultouchidou (ESA):</t>
        </r>
        <r>
          <rPr>
            <sz val="9"/>
            <color indexed="81"/>
            <rFont val="Tahoma"/>
            <family val="2"/>
          </rPr>
          <t xml:space="preserve">
som: Should ALWAYS be a (+) value</t>
        </r>
      </text>
      <mc:AlternateContent xmlns:mc="http://schemas.openxmlformats.org/markup-compatibility/2006">
        <mc:Choice Requires="v"/>
        <mc:Fallback>
          <commentPr defaultSize="0" autoFill="0" autoLine="0">
            <anchor>
              <from>
                <xdr:col>7</xdr:col>
                <xdr:colOff>3098800</xdr:colOff>
                <xdr:row>18</xdr:row>
                <xdr:rowOff>0</xdr:rowOff>
              </from>
              <to>
                <xdr:col>9</xdr:col>
                <xdr:colOff>1219200</xdr:colOff>
                <xdr:row>22</xdr:row>
                <xdr:rowOff>0</xdr:rowOff>
              </to>
            </anchor>
          </commentPr>
        </mc:Fallback>
      </mc:AlternateContent>
    </comment>
  </commentList>
</comments>
</file>

<file path=xl/comments4.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DELL</author>
    <author>LaureSophie Schiettecatte (ESA)</author>
  </authors>
  <commentList>
    <comment ref="D14" authorId="0" shapeId="6161" xr:uid="{00000000-0006-0000-1400-000001000000}">
      <text>
        <r>
          <rPr>
            <b/>
            <sz val="9"/>
            <color indexed="81"/>
            <rFont val="Tahoma"/>
            <family val="2"/>
          </rPr>
          <t>Anatoli Poultouchidou (ESA):</t>
        </r>
        <r>
          <rPr>
            <sz val="9"/>
            <color indexed="81"/>
            <rFont val="Tahoma"/>
            <family val="2"/>
          </rPr>
          <t xml:space="preserve">
The value of "Potatoes and Tubers" was used
</t>
        </r>
      </text>
      <mc:AlternateContent xmlns:mc="http://schemas.openxmlformats.org/markup-compatibility/2006">
        <mc:Choice Requires="v"/>
        <mc:Fallback>
          <commentPr defaultSize="0" autoFill="0" autoLine="0">
            <anchor>
              <from>
                <xdr:col>1</xdr:col>
                <xdr:colOff>1219200</xdr:colOff>
                <xdr:row>7</xdr:row>
                <xdr:rowOff>50800</xdr:rowOff>
              </from>
              <to>
                <xdr:col>2</xdr:col>
                <xdr:colOff>965200</xdr:colOff>
                <xdr:row>11</xdr:row>
                <xdr:rowOff>0</xdr:rowOff>
              </to>
            </anchor>
          </commentPr>
        </mc:Fallback>
      </mc:AlternateContent>
    </comment>
    <comment ref="E14" authorId="0" shapeId="6162" xr:uid="{00000000-0006-0000-1400-000002000000}">
      <text>
        <r>
          <rPr>
            <b/>
            <sz val="9"/>
            <color indexed="81"/>
            <rFont val="Tahoma"/>
            <family val="2"/>
          </rPr>
          <t>Anatoli Poultouchidou (ESA):</t>
        </r>
        <r>
          <rPr>
            <sz val="9"/>
            <color indexed="81"/>
            <rFont val="Tahoma"/>
            <family val="2"/>
          </rPr>
          <t xml:space="preserve">
The value of "Potatoes and Tubers" was used</t>
        </r>
      </text>
      <mc:AlternateContent xmlns:mc="http://schemas.openxmlformats.org/markup-compatibility/2006">
        <mc:Choice Requires="v"/>
        <mc:Fallback>
          <commentPr defaultSize="0" autoFill="0" autoLine="0">
            <anchor>
              <from>
                <xdr:col>2</xdr:col>
                <xdr:colOff>812800</xdr:colOff>
                <xdr:row>7</xdr:row>
                <xdr:rowOff>50800</xdr:rowOff>
              </from>
              <to>
                <xdr:col>2</xdr:col>
                <xdr:colOff>2489200</xdr:colOff>
                <xdr:row>11</xdr:row>
                <xdr:rowOff>0</xdr:rowOff>
              </to>
            </anchor>
          </commentPr>
        </mc:Fallback>
      </mc:AlternateContent>
    </comment>
    <comment ref="F14" authorId="0" shapeId="6163" xr:uid="{00000000-0006-0000-1400-000003000000}">
      <text>
        <r>
          <rPr>
            <b/>
            <sz val="9"/>
            <color indexed="81"/>
            <rFont val="Tahoma"/>
            <family val="2"/>
          </rPr>
          <t>Anatoli Poultouchidou (ESA):</t>
        </r>
        <r>
          <rPr>
            <sz val="9"/>
            <color indexed="81"/>
            <rFont val="Tahoma"/>
            <family val="2"/>
          </rPr>
          <t xml:space="preserve">
The value of "Potatoes and Tubers" was used</t>
        </r>
      </text>
      <mc:AlternateContent xmlns:mc="http://schemas.openxmlformats.org/markup-compatibility/2006">
        <mc:Choice Requires="v"/>
        <mc:Fallback>
          <commentPr defaultSize="0" autoFill="0" autoLine="0">
            <anchor>
              <from>
                <xdr:col>2</xdr:col>
                <xdr:colOff>1625600</xdr:colOff>
                <xdr:row>7</xdr:row>
                <xdr:rowOff>50800</xdr:rowOff>
              </from>
              <to>
                <xdr:col>3</xdr:col>
                <xdr:colOff>711200</xdr:colOff>
                <xdr:row>11</xdr:row>
                <xdr:rowOff>0</xdr:rowOff>
              </to>
            </anchor>
          </commentPr>
        </mc:Fallback>
      </mc:AlternateContent>
    </comment>
    <comment ref="D18" authorId="0" shapeId="6164" xr:uid="{00000000-0006-0000-1400-000004000000}">
      <text>
        <r>
          <rPr>
            <b/>
            <sz val="9"/>
            <color indexed="81"/>
            <rFont val="Tahoma"/>
            <family val="2"/>
          </rPr>
          <t>Anatoli Poultouchidou (ESA):</t>
        </r>
        <r>
          <rPr>
            <sz val="9"/>
            <color indexed="81"/>
            <rFont val="Tahoma"/>
            <family val="2"/>
          </rPr>
          <t xml:space="preserve">
From 2006 IPCC, Table 11.2, page 11.17</t>
        </r>
      </text>
      <mc:AlternateContent xmlns:mc="http://schemas.openxmlformats.org/markup-compatibility/2006">
        <mc:Choice Requires="v"/>
        <mc:Fallback>
          <commentPr defaultSize="0" autoFill="0" autoLine="0">
            <anchor>
              <from>
                <xdr:col>1</xdr:col>
                <xdr:colOff>1219200</xdr:colOff>
                <xdr:row>11</xdr:row>
                <xdr:rowOff>0</xdr:rowOff>
              </from>
              <to>
                <xdr:col>2</xdr:col>
                <xdr:colOff>965200</xdr:colOff>
                <xdr:row>15</xdr:row>
                <xdr:rowOff>0</xdr:rowOff>
              </to>
            </anchor>
          </commentPr>
        </mc:Fallback>
      </mc:AlternateContent>
    </comment>
    <comment ref="E18" authorId="0" shapeId="6166" xr:uid="{00000000-0006-0000-1400-000005000000}">
      <text>
        <r>
          <rPr>
            <b/>
            <sz val="9"/>
            <color indexed="81"/>
            <rFont val="Tahoma"/>
            <family val="2"/>
          </rPr>
          <t>Anatoli Poultouchidou (ESA):</t>
        </r>
        <r>
          <rPr>
            <sz val="9"/>
            <color indexed="81"/>
            <rFont val="Tahoma"/>
            <family val="2"/>
          </rPr>
          <t xml:space="preserve">
From 2006 IPCC, Table 11.2, page 11.17</t>
        </r>
      </text>
      <mc:AlternateContent xmlns:mc="http://schemas.openxmlformats.org/markup-compatibility/2006">
        <mc:Choice Requires="v"/>
        <mc:Fallback>
          <commentPr defaultSize="0" autoFill="0" autoLine="0">
            <anchor>
              <from>
                <xdr:col>2</xdr:col>
                <xdr:colOff>812800</xdr:colOff>
                <xdr:row>11</xdr:row>
                <xdr:rowOff>0</xdr:rowOff>
              </from>
              <to>
                <xdr:col>2</xdr:col>
                <xdr:colOff>2489200</xdr:colOff>
                <xdr:row>15</xdr:row>
                <xdr:rowOff>0</xdr:rowOff>
              </to>
            </anchor>
          </commentPr>
        </mc:Fallback>
      </mc:AlternateContent>
    </comment>
    <comment ref="F18" authorId="0" shapeId="6165" xr:uid="{00000000-0006-0000-1400-000006000000}">
      <text>
        <r>
          <rPr>
            <b/>
            <sz val="9"/>
            <color indexed="81"/>
            <rFont val="Tahoma"/>
            <family val="2"/>
          </rPr>
          <t>Anatoli Poultouchidou (ESA):</t>
        </r>
        <r>
          <rPr>
            <sz val="9"/>
            <color indexed="81"/>
            <rFont val="Tahoma"/>
            <family val="2"/>
          </rPr>
          <t xml:space="preserve">
From 2006 IPCC, Table 11.2, page 11.17</t>
        </r>
      </text>
      <mc:AlternateContent xmlns:mc="http://schemas.openxmlformats.org/markup-compatibility/2006">
        <mc:Choice Requires="v"/>
        <mc:Fallback>
          <commentPr defaultSize="0" autoFill="0" autoLine="0">
            <anchor>
              <from>
                <xdr:col>2</xdr:col>
                <xdr:colOff>1625600</xdr:colOff>
                <xdr:row>11</xdr:row>
                <xdr:rowOff>0</xdr:rowOff>
              </from>
              <to>
                <xdr:col>3</xdr:col>
                <xdr:colOff>711200</xdr:colOff>
                <xdr:row>15</xdr:row>
                <xdr:rowOff>0</xdr:rowOff>
              </to>
            </anchor>
          </commentPr>
        </mc:Fallback>
      </mc:AlternateContent>
    </comment>
    <comment ref="F21" authorId="0" shapeId="6169" xr:uid="{00000000-0006-0000-1400-000007000000}">
      <text>
        <r>
          <rPr>
            <b/>
            <sz val="9"/>
            <color indexed="81"/>
            <rFont val="Tahoma"/>
            <family val="2"/>
          </rPr>
          <t>Anatoli Poultouchidou (ESA):</t>
        </r>
        <r>
          <rPr>
            <sz val="9"/>
            <color indexed="81"/>
            <rFont val="Tahoma"/>
            <family val="2"/>
          </rPr>
          <t xml:space="preserve">
The generic value for grains was used
</t>
        </r>
      </text>
      <mc:AlternateContent xmlns:mc="http://schemas.openxmlformats.org/markup-compatibility/2006">
        <mc:Choice Requires="v"/>
        <mc:Fallback>
          <commentPr defaultSize="0" autoFill="0" autoLine="0">
            <anchor>
              <from>
                <xdr:col>2</xdr:col>
                <xdr:colOff>1625600</xdr:colOff>
                <xdr:row>14</xdr:row>
                <xdr:rowOff>0</xdr:rowOff>
              </from>
              <to>
                <xdr:col>3</xdr:col>
                <xdr:colOff>711200</xdr:colOff>
                <xdr:row>18</xdr:row>
                <xdr:rowOff>0</xdr:rowOff>
              </to>
            </anchor>
          </commentPr>
        </mc:Fallback>
      </mc:AlternateContent>
    </comment>
    <comment ref="E24" authorId="0" shapeId="6157" xr:uid="{00000000-0006-0000-1400-000008000000}">
      <text>
        <r>
          <rPr>
            <b/>
            <sz val="9"/>
            <color indexed="81"/>
            <rFont val="Tahoma"/>
            <family val="2"/>
          </rPr>
          <t>Anatoli Poultouchidou (ESA):</t>
        </r>
        <r>
          <rPr>
            <sz val="9"/>
            <color indexed="81"/>
            <rFont val="Tahoma"/>
            <family val="2"/>
          </rPr>
          <t xml:space="preserve">
No estimate is available in 2019 IPCC. Generic value was used</t>
        </r>
      </text>
      <mc:AlternateContent xmlns:mc="http://schemas.openxmlformats.org/markup-compatibility/2006">
        <mc:Choice Requires="v"/>
        <mc:Fallback>
          <commentPr defaultSize="0" autoFill="0" autoLine="0">
            <anchor>
              <from>
                <xdr:col>2</xdr:col>
                <xdr:colOff>812800</xdr:colOff>
                <xdr:row>17</xdr:row>
                <xdr:rowOff>0</xdr:rowOff>
              </from>
              <to>
                <xdr:col>4</xdr:col>
                <xdr:colOff>812800</xdr:colOff>
                <xdr:row>21</xdr:row>
                <xdr:rowOff>0</xdr:rowOff>
              </to>
            </anchor>
          </commentPr>
        </mc:Fallback>
      </mc:AlternateContent>
    </comment>
    <comment ref="F24" authorId="0" shapeId="6170" xr:uid="{00000000-0006-0000-1400-000009000000}">
      <text>
        <r>
          <rPr>
            <b/>
            <sz val="9"/>
            <color indexed="81"/>
            <rFont val="Tahoma"/>
            <family val="2"/>
          </rPr>
          <t>Anatoli Poultouchidou (ESA):</t>
        </r>
        <r>
          <rPr>
            <sz val="9"/>
            <color indexed="81"/>
            <rFont val="Tahoma"/>
            <family val="2"/>
          </rPr>
          <t xml:space="preserve">
The generic value 
was used</t>
        </r>
      </text>
      <mc:AlternateContent xmlns:mc="http://schemas.openxmlformats.org/markup-compatibility/2006">
        <mc:Choice Requires="v"/>
        <mc:Fallback>
          <commentPr defaultSize="0" autoFill="0" autoLine="0">
            <anchor>
              <from>
                <xdr:col>2</xdr:col>
                <xdr:colOff>1625600</xdr:colOff>
                <xdr:row>17</xdr:row>
                <xdr:rowOff>0</xdr:rowOff>
              </from>
              <to>
                <xdr:col>3</xdr:col>
                <xdr:colOff>711200</xdr:colOff>
                <xdr:row>21</xdr:row>
                <xdr:rowOff>0</xdr:rowOff>
              </to>
            </anchor>
          </commentPr>
        </mc:Fallback>
      </mc:AlternateContent>
    </comment>
    <comment ref="E25" authorId="0" shapeId="6158" xr:uid="{00000000-0006-0000-1400-00000A000000}">
      <text>
        <r>
          <rPr>
            <b/>
            <sz val="9"/>
            <color indexed="81"/>
            <rFont val="Tahoma"/>
            <family val="2"/>
          </rPr>
          <t>Anatoli Poultouchidou (ESA):</t>
        </r>
        <r>
          <rPr>
            <sz val="9"/>
            <color indexed="81"/>
            <rFont val="Tahoma"/>
            <family val="2"/>
          </rPr>
          <t xml:space="preserve">
No estimate is available in 2019 IPCC. Generic value was used</t>
        </r>
      </text>
      <mc:AlternateContent xmlns:mc="http://schemas.openxmlformats.org/markup-compatibility/2006">
        <mc:Choice Requires="v"/>
        <mc:Fallback>
          <commentPr defaultSize="0" autoFill="0" autoLine="0">
            <anchor>
              <from>
                <xdr:col>2</xdr:col>
                <xdr:colOff>812800</xdr:colOff>
                <xdr:row>18</xdr:row>
                <xdr:rowOff>0</xdr:rowOff>
              </from>
              <to>
                <xdr:col>4</xdr:col>
                <xdr:colOff>406400</xdr:colOff>
                <xdr:row>22</xdr:row>
                <xdr:rowOff>0</xdr:rowOff>
              </to>
            </anchor>
          </commentPr>
        </mc:Fallback>
      </mc:AlternateContent>
    </comment>
    <comment ref="E26" authorId="0" shapeId="6159" xr:uid="{00000000-0006-0000-1400-00000B000000}">
      <text>
        <r>
          <rPr>
            <b/>
            <sz val="9"/>
            <color indexed="81"/>
            <rFont val="Tahoma"/>
            <family val="2"/>
          </rPr>
          <t>Anatoli Poultouchidou (ESA):</t>
        </r>
        <r>
          <rPr>
            <sz val="9"/>
            <color indexed="81"/>
            <rFont val="Tahoma"/>
            <family val="2"/>
          </rPr>
          <t xml:space="preserve">
No estimate is available in 2019 IPCC. Generic value was used</t>
        </r>
      </text>
      <mc:AlternateContent xmlns:mc="http://schemas.openxmlformats.org/markup-compatibility/2006">
        <mc:Choice Requires="v"/>
        <mc:Fallback>
          <commentPr defaultSize="0" autoFill="0" autoLine="0">
            <anchor>
              <from>
                <xdr:col>2</xdr:col>
                <xdr:colOff>812800</xdr:colOff>
                <xdr:row>19</xdr:row>
                <xdr:rowOff>0</xdr:rowOff>
              </from>
              <to>
                <xdr:col>2</xdr:col>
                <xdr:colOff>2489200</xdr:colOff>
                <xdr:row>23</xdr:row>
                <xdr:rowOff>0</xdr:rowOff>
              </to>
            </anchor>
          </commentPr>
        </mc:Fallback>
      </mc:AlternateContent>
    </comment>
    <comment ref="D28" authorId="0" shapeId="6167" xr:uid="{00000000-0006-0000-1400-00000C000000}">
      <text>
        <r>
          <rPr>
            <b/>
            <sz val="9"/>
            <color indexed="81"/>
            <rFont val="Tahoma"/>
            <family val="2"/>
          </rPr>
          <t>Anatoli Poultouchidou (ESA):</t>
        </r>
        <r>
          <rPr>
            <sz val="9"/>
            <color indexed="81"/>
            <rFont val="Tahoma"/>
            <family val="2"/>
          </rPr>
          <t xml:space="preserve">
From 2006 IPCC, Table 11.2, page 11.17</t>
        </r>
      </text>
      <mc:AlternateContent xmlns:mc="http://schemas.openxmlformats.org/markup-compatibility/2006">
        <mc:Choice Requires="v"/>
        <mc:Fallback>
          <commentPr defaultSize="0" autoFill="0" autoLine="0">
            <anchor>
              <from>
                <xdr:col>1</xdr:col>
                <xdr:colOff>1219200</xdr:colOff>
                <xdr:row>21</xdr:row>
                <xdr:rowOff>0</xdr:rowOff>
              </from>
              <to>
                <xdr:col>2</xdr:col>
                <xdr:colOff>965200</xdr:colOff>
                <xdr:row>25</xdr:row>
                <xdr:rowOff>0</xdr:rowOff>
              </to>
            </anchor>
          </commentPr>
        </mc:Fallback>
      </mc:AlternateContent>
    </comment>
    <comment ref="E28" authorId="0" shapeId="6168" xr:uid="{00000000-0006-0000-1400-00000D000000}">
      <text>
        <r>
          <rPr>
            <b/>
            <sz val="9"/>
            <color indexed="81"/>
            <rFont val="Tahoma"/>
            <family val="2"/>
          </rPr>
          <t>Anatoli Poultouchidou (ESA):</t>
        </r>
        <r>
          <rPr>
            <sz val="9"/>
            <color indexed="81"/>
            <rFont val="Tahoma"/>
            <family val="2"/>
          </rPr>
          <t xml:space="preserve">
Generic value was used</t>
        </r>
      </text>
      <mc:AlternateContent xmlns:mc="http://schemas.openxmlformats.org/markup-compatibility/2006">
        <mc:Choice Requires="v"/>
        <mc:Fallback>
          <commentPr defaultSize="0" autoFill="0" autoLine="0">
            <anchor>
              <from>
                <xdr:col>2</xdr:col>
                <xdr:colOff>812800</xdr:colOff>
                <xdr:row>21</xdr:row>
                <xdr:rowOff>0</xdr:rowOff>
              </from>
              <to>
                <xdr:col>2</xdr:col>
                <xdr:colOff>2489200</xdr:colOff>
                <xdr:row>25</xdr:row>
                <xdr:rowOff>0</xdr:rowOff>
              </to>
            </anchor>
          </commentPr>
        </mc:Fallback>
      </mc:AlternateContent>
    </comment>
    <comment ref="F28" authorId="1" shapeId="6150" xr:uid="{00000000-0006-0000-1400-00000E000000}">
      <text>
        <r>
          <rPr>
            <b/>
            <sz val="9"/>
            <color indexed="81"/>
            <rFont val="Tahoma"/>
            <family val="2"/>
            <charset val="161"/>
          </rPr>
          <t>DELL:</t>
        </r>
        <r>
          <rPr>
            <sz val="9"/>
            <color indexed="81"/>
            <rFont val="Tahoma"/>
            <family val="2"/>
            <charset val="161"/>
          </rPr>
          <t xml:space="preserve">
ipcc 2006, Table 11.2, page 11.17</t>
        </r>
      </text>
      <mc:AlternateContent xmlns:mc="http://schemas.openxmlformats.org/markup-compatibility/2006">
        <mc:Choice Requires="v"/>
        <mc:Fallback>
          <commentPr defaultSize="0" autoFill="0" autoLine="0">
            <anchor>
              <from>
                <xdr:col>2</xdr:col>
                <xdr:colOff>1270000</xdr:colOff>
                <xdr:row>21</xdr:row>
                <xdr:rowOff>0</xdr:rowOff>
              </from>
              <to>
                <xdr:col>3</xdr:col>
                <xdr:colOff>101600</xdr:colOff>
                <xdr:row>25</xdr:row>
                <xdr:rowOff>0</xdr:rowOff>
              </to>
            </anchor>
          </commentPr>
        </mc:Fallback>
      </mc:AlternateContent>
    </comment>
    <comment ref="E30" authorId="0" shapeId="6160" xr:uid="{00000000-0006-0000-1400-00000F000000}">
      <text>
        <r>
          <rPr>
            <b/>
            <sz val="9"/>
            <color indexed="81"/>
            <rFont val="Tahoma"/>
            <family val="2"/>
          </rPr>
          <t>Anatoli Poultouchidou (ESA):</t>
        </r>
        <r>
          <rPr>
            <sz val="9"/>
            <color indexed="81"/>
            <rFont val="Tahoma"/>
            <family val="2"/>
          </rPr>
          <t xml:space="preserve">
No estimate is available in 2019 IPCC. Generic value was used</t>
        </r>
      </text>
      <mc:AlternateContent xmlns:mc="http://schemas.openxmlformats.org/markup-compatibility/2006">
        <mc:Choice Requires="v"/>
        <mc:Fallback>
          <commentPr defaultSize="0" autoFill="0" autoLine="0">
            <anchor>
              <from>
                <xdr:col>2</xdr:col>
                <xdr:colOff>812800</xdr:colOff>
                <xdr:row>23</xdr:row>
                <xdr:rowOff>0</xdr:rowOff>
              </from>
              <to>
                <xdr:col>4</xdr:col>
                <xdr:colOff>812800</xdr:colOff>
                <xdr:row>27</xdr:row>
                <xdr:rowOff>0</xdr:rowOff>
              </to>
            </anchor>
          </commentPr>
        </mc:Fallback>
      </mc:AlternateContent>
    </comment>
    <comment ref="F30" authorId="0" shapeId="6171" xr:uid="{00000000-0006-0000-1400-000010000000}">
      <text>
        <r>
          <rPr>
            <b/>
            <sz val="9"/>
            <color indexed="81"/>
            <rFont val="Tahoma"/>
            <family val="2"/>
          </rPr>
          <t>Anatoli Poultouchidou (ESA):</t>
        </r>
        <r>
          <rPr>
            <sz val="9"/>
            <color indexed="81"/>
            <rFont val="Tahoma"/>
            <family val="2"/>
          </rPr>
          <t xml:space="preserve">
Generic value was used</t>
        </r>
      </text>
      <mc:AlternateContent xmlns:mc="http://schemas.openxmlformats.org/markup-compatibility/2006">
        <mc:Choice Requires="v"/>
        <mc:Fallback>
          <commentPr defaultSize="0" autoFill="0" autoLine="0">
            <anchor>
              <from>
                <xdr:col>2</xdr:col>
                <xdr:colOff>1625600</xdr:colOff>
                <xdr:row>23</xdr:row>
                <xdr:rowOff>0</xdr:rowOff>
              </from>
              <to>
                <xdr:col>3</xdr:col>
                <xdr:colOff>711200</xdr:colOff>
                <xdr:row>27</xdr:row>
                <xdr:rowOff>0</xdr:rowOff>
              </to>
            </anchor>
          </commentPr>
        </mc:Fallback>
      </mc:AlternateContent>
    </comment>
    <comment ref="A36" authorId="0" shapeId="6172" xr:uid="{00000000-0006-0000-1400-000011000000}">
      <text>
        <r>
          <rPr>
            <b/>
            <sz val="9"/>
            <color indexed="81"/>
            <rFont val="Tahoma"/>
            <family val="2"/>
          </rPr>
          <t>Anatoli Poultouchidou (ESA):</t>
        </r>
        <r>
          <rPr>
            <sz val="9"/>
            <color indexed="81"/>
            <rFont val="Tahoma"/>
            <family val="2"/>
          </rPr>
          <t xml:space="preserve">
for mineral soils under native vegetations and for the topsoil 0-30 cm</t>
        </r>
      </text>
      <mc:AlternateContent xmlns:mc="http://schemas.openxmlformats.org/markup-compatibility/2006">
        <mc:Choice Requires="v"/>
        <mc:Fallback>
          <commentPr defaultSize="0" autoFill="0" autoLine="0">
            <anchor>
              <from>
                <xdr:col>0</xdr:col>
                <xdr:colOff>660400</xdr:colOff>
                <xdr:row>29</xdr:row>
                <xdr:rowOff>0</xdr:rowOff>
              </from>
              <to>
                <xdr:col>0</xdr:col>
                <xdr:colOff>4267200</xdr:colOff>
                <xdr:row>33</xdr:row>
                <xdr:rowOff>0</xdr:rowOff>
              </to>
            </anchor>
          </commentPr>
        </mc:Fallback>
      </mc:AlternateContent>
    </comment>
    <comment ref="B57" authorId="0" shapeId="6152" xr:uid="{00000000-0006-0000-1400-000012000000}">
      <text>
        <r>
          <rPr>
            <b/>
            <sz val="9"/>
            <color indexed="81"/>
            <rFont val="Tahoma"/>
            <family val="2"/>
          </rPr>
          <t>Anatoli Poultouchidou (ESA):</t>
        </r>
        <r>
          <rPr>
            <sz val="9"/>
            <color indexed="81"/>
            <rFont val="Tahoma"/>
            <family val="2"/>
          </rPr>
          <t xml:space="preserve">
Represents area that has been converted from native conditions and continuously managed for predominantly annual crops over 50 yrs. Land-use factor has been estimated under a baseline condition of full tillage and nominal (‘medium”) carbon input levels. Input and tillage factors are also applied to estimate carbon stock changes, which incudes changes from full tillage and medium input</t>
        </r>
      </text>
      <mc:AlternateContent xmlns:mc="http://schemas.openxmlformats.org/markup-compatibility/2006">
        <mc:Choice Requires="v"/>
        <mc:Fallback>
          <commentPr defaultSize="0" autoFill="0" autoLine="0">
            <anchor>
              <from>
                <xdr:col>0</xdr:col>
                <xdr:colOff>4267200</xdr:colOff>
                <xdr:row>52</xdr:row>
                <xdr:rowOff>0</xdr:rowOff>
              </from>
              <to>
                <xdr:col>1</xdr:col>
                <xdr:colOff>1828800</xdr:colOff>
                <xdr:row>59</xdr:row>
                <xdr:rowOff>0</xdr:rowOff>
              </to>
            </anchor>
          </commentPr>
        </mc:Fallback>
      </mc:AlternateContent>
    </comment>
    <comment ref="A68" authorId="0" shapeId="6153" xr:uid="{00000000-0006-0000-1400-000013000000}">
      <text>
        <r>
          <rPr>
            <b/>
            <sz val="9"/>
            <color indexed="81"/>
            <rFont val="Tahoma"/>
            <family val="2"/>
          </rPr>
          <t>Anatoli Poultouchidou (ESA):</t>
        </r>
        <r>
          <rPr>
            <sz val="9"/>
            <color indexed="81"/>
            <rFont val="Tahoma"/>
            <family val="2"/>
          </rPr>
          <t xml:space="preserve">
There were not enough studies to estimate some of the stock change factors for mineral soils in the tropical montane climate region. As an approximation, the average stock change between the temperate and tropical regions was used to approximate the stock change for the tropical montane climate.</t>
        </r>
      </text>
      <mc:AlternateContent xmlns:mc="http://schemas.openxmlformats.org/markup-compatibility/2006">
        <mc:Choice Requires="v"/>
        <mc:Fallback>
          <commentPr defaultSize="0" autoFill="0" autoLine="0">
            <anchor>
              <from>
                <xdr:col>0</xdr:col>
                <xdr:colOff>3149600</xdr:colOff>
                <xdr:row>61</xdr:row>
                <xdr:rowOff>0</xdr:rowOff>
              </from>
              <to>
                <xdr:col>1</xdr:col>
                <xdr:colOff>1219200</xdr:colOff>
                <xdr:row>70</xdr:row>
                <xdr:rowOff>0</xdr:rowOff>
              </to>
            </anchor>
          </commentPr>
        </mc:Fallback>
      </mc:AlternateContent>
    </comment>
    <comment ref="A99" authorId="0" shapeId="6154" xr:uid="{00000000-0006-0000-1400-000014000000}">
      <text>
        <r>
          <rPr>
            <b/>
            <sz val="9"/>
            <color rgb="FF000000"/>
            <rFont val="Tahoma"/>
            <family val="2"/>
          </rPr>
          <t>Anatoli Poultouchidou (ESA):</t>
        </r>
        <r>
          <rPr>
            <sz val="9"/>
            <color rgb="FF000000"/>
            <rFont val="Tahoma"/>
            <family val="2"/>
          </rPr>
          <t xml:space="preserve">
</t>
        </r>
        <r>
          <rPr>
            <sz val="9"/>
            <color rgb="FF000000"/>
            <rFont val="Tahoma"/>
            <family val="2"/>
          </rPr>
          <t>refers to organic amendments, animal manures (e.g. slurries, digested manures), N in crop residues and mineralised N from soil organic matter decomposition.</t>
        </r>
      </text>
      <mc:AlternateContent xmlns:mc="http://schemas.openxmlformats.org/markup-compatibility/2006">
        <mc:Choice Requires="v"/>
        <mc:Fallback>
          <commentPr defaultSize="0" autoFill="0" autoLine="0">
            <anchor>
              <from>
                <xdr:col>0</xdr:col>
                <xdr:colOff>2743200</xdr:colOff>
                <xdr:row>92</xdr:row>
                <xdr:rowOff>50800</xdr:rowOff>
              </from>
              <to>
                <xdr:col>1</xdr:col>
                <xdr:colOff>190500</xdr:colOff>
                <xdr:row>100</xdr:row>
                <xdr:rowOff>50800</xdr:rowOff>
              </to>
            </anchor>
          </commentPr>
        </mc:Fallback>
      </mc:AlternateContent>
    </comment>
    <comment ref="A100" authorId="0" shapeId="6156" xr:uid="{00000000-0006-0000-1400-000015000000}">
      <text>
        <r>
          <rPr>
            <b/>
            <sz val="9"/>
            <color rgb="FF000000"/>
            <rFont val="Tahoma"/>
            <family val="2"/>
          </rPr>
          <t>Anatoli Poultouchidou (ESA):</t>
        </r>
        <r>
          <rPr>
            <sz val="9"/>
            <color rgb="FF000000"/>
            <rFont val="Tahoma"/>
            <family val="2"/>
          </rPr>
          <t xml:space="preserve">
</t>
        </r>
        <r>
          <rPr>
            <sz val="9"/>
            <color rgb="FF000000"/>
            <rFont val="Tahoma"/>
            <family val="2"/>
          </rPr>
          <t>refers to organic amendments, animal manures (e.g. slurries, digested manures), N in crop residues and mineralised N from soil organic matter decomposition.</t>
        </r>
      </text>
      <mc:AlternateContent xmlns:mc="http://schemas.openxmlformats.org/markup-compatibility/2006">
        <mc:Choice Requires="v"/>
        <mc:Fallback>
          <commentPr defaultSize="0" autoFill="0" autoLine="0">
            <anchor>
              <from>
                <xdr:col>0</xdr:col>
                <xdr:colOff>2743200</xdr:colOff>
                <xdr:row>93</xdr:row>
                <xdr:rowOff>0</xdr:rowOff>
              </from>
              <to>
                <xdr:col>1</xdr:col>
                <xdr:colOff>190500</xdr:colOff>
                <xdr:row>102</xdr:row>
                <xdr:rowOff>0</xdr:rowOff>
              </to>
            </anchor>
          </commentPr>
        </mc:Fallback>
      </mc:AlternateContent>
    </comment>
    <comment ref="B551" authorId="0" shapeId="6217" xr:uid="{00000000-0006-0000-1400-000016000000}">
      <text>
        <r>
          <rPr>
            <b/>
            <sz val="9"/>
            <color indexed="81"/>
            <rFont val="Tahoma"/>
            <family val="2"/>
          </rPr>
          <t>Anatoli Poultouchidou (ESA):</t>
        </r>
        <r>
          <rPr>
            <sz val="9"/>
            <color indexed="81"/>
            <rFont val="Tahoma"/>
            <family val="2"/>
          </rPr>
          <t xml:space="preserve">
Peak above-ground
biomass1 (tonnes d.m. ha-1)</t>
        </r>
      </text>
      <mc:AlternateContent xmlns:mc="http://schemas.openxmlformats.org/markup-compatibility/2006">
        <mc:Choice Requires="v"/>
        <mc:Fallback>
          <commentPr defaultSize="0" autoFill="0" autoLine="0">
            <anchor>
              <from>
                <xdr:col>0</xdr:col>
                <xdr:colOff>5435600</xdr:colOff>
                <xdr:row>553</xdr:row>
                <xdr:rowOff>50800</xdr:rowOff>
              </from>
              <to>
                <xdr:col>1</xdr:col>
                <xdr:colOff>914400</xdr:colOff>
                <xdr:row>563</xdr:row>
                <xdr:rowOff>0</xdr:rowOff>
              </to>
            </anchor>
          </commentPr>
        </mc:Fallback>
      </mc:AlternateContent>
    </comment>
    <comment ref="B589" authorId="0" shapeId="6173" xr:uid="{00000000-0006-0000-1400-000017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xdr:col>
                <xdr:colOff>1219200</xdr:colOff>
                <xdr:row>592</xdr:row>
                <xdr:rowOff>0</xdr:rowOff>
              </from>
              <to>
                <xdr:col>2</xdr:col>
                <xdr:colOff>1219200</xdr:colOff>
                <xdr:row>600</xdr:row>
                <xdr:rowOff>0</xdr:rowOff>
              </to>
            </anchor>
          </commentPr>
        </mc:Fallback>
      </mc:AlternateContent>
    </comment>
    <comment ref="C589" authorId="0" shapeId="6174" xr:uid="{00000000-0006-0000-1400-000018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4</xdr:col>
                <xdr:colOff>762000</xdr:colOff>
                <xdr:row>592</xdr:row>
                <xdr:rowOff>0</xdr:rowOff>
              </from>
              <to>
                <xdr:col>5</xdr:col>
                <xdr:colOff>863600</xdr:colOff>
                <xdr:row>600</xdr:row>
                <xdr:rowOff>0</xdr:rowOff>
              </to>
            </anchor>
          </commentPr>
        </mc:Fallback>
      </mc:AlternateContent>
    </comment>
    <comment ref="D589" authorId="0" shapeId="6175" xr:uid="{00000000-0006-0000-1400-000019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6</xdr:col>
                <xdr:colOff>812800</xdr:colOff>
                <xdr:row>592</xdr:row>
                <xdr:rowOff>0</xdr:rowOff>
              </from>
              <to>
                <xdr:col>7</xdr:col>
                <xdr:colOff>609600</xdr:colOff>
                <xdr:row>600</xdr:row>
                <xdr:rowOff>0</xdr:rowOff>
              </to>
            </anchor>
          </commentPr>
        </mc:Fallback>
      </mc:AlternateContent>
    </comment>
    <comment ref="E589" authorId="0" shapeId="6176" xr:uid="{00000000-0006-0000-1400-00001A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8</xdr:col>
                <xdr:colOff>0</xdr:colOff>
                <xdr:row>592</xdr:row>
                <xdr:rowOff>0</xdr:rowOff>
              </from>
              <to>
                <xdr:col>8</xdr:col>
                <xdr:colOff>1930400</xdr:colOff>
                <xdr:row>600</xdr:row>
                <xdr:rowOff>0</xdr:rowOff>
              </to>
            </anchor>
          </commentPr>
        </mc:Fallback>
      </mc:AlternateContent>
    </comment>
    <comment ref="G589" authorId="0" shapeId="6201" xr:uid="{00000000-0006-0000-1400-00001B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11</xdr:col>
                <xdr:colOff>101600</xdr:colOff>
                <xdr:row>592</xdr:row>
                <xdr:rowOff>0</xdr:rowOff>
              </from>
              <to>
                <xdr:col>11</xdr:col>
                <xdr:colOff>1828800</xdr:colOff>
                <xdr:row>600</xdr:row>
                <xdr:rowOff>0</xdr:rowOff>
              </to>
            </anchor>
          </commentPr>
        </mc:Fallback>
      </mc:AlternateContent>
    </comment>
    <comment ref="H589" authorId="0" shapeId="6202" xr:uid="{00000000-0006-0000-1400-00001C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12</xdr:col>
                <xdr:colOff>1828800</xdr:colOff>
                <xdr:row>592</xdr:row>
                <xdr:rowOff>0</xdr:rowOff>
              </from>
              <to>
                <xdr:col>13</xdr:col>
                <xdr:colOff>660400</xdr:colOff>
                <xdr:row>600</xdr:row>
                <xdr:rowOff>0</xdr:rowOff>
              </to>
            </anchor>
          </commentPr>
        </mc:Fallback>
      </mc:AlternateContent>
    </comment>
    <comment ref="I589" authorId="0" shapeId="6204" xr:uid="{00000000-0006-0000-1400-00001D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13</xdr:col>
                <xdr:colOff>2489200</xdr:colOff>
                <xdr:row>592</xdr:row>
                <xdr:rowOff>0</xdr:rowOff>
              </from>
              <to>
                <xdr:col>15</xdr:col>
                <xdr:colOff>0</xdr:colOff>
                <xdr:row>600</xdr:row>
                <xdr:rowOff>0</xdr:rowOff>
              </to>
            </anchor>
          </commentPr>
        </mc:Fallback>
      </mc:AlternateContent>
    </comment>
    <comment ref="J589" authorId="0" shapeId="6205" xr:uid="{00000000-0006-0000-1400-00001E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16</xdr:col>
                <xdr:colOff>762000</xdr:colOff>
                <xdr:row>592</xdr:row>
                <xdr:rowOff>0</xdr:rowOff>
              </from>
              <to>
                <xdr:col>17</xdr:col>
                <xdr:colOff>152400</xdr:colOff>
                <xdr:row>600</xdr:row>
                <xdr:rowOff>0</xdr:rowOff>
              </to>
            </anchor>
          </commentPr>
        </mc:Fallback>
      </mc:AlternateContent>
    </comment>
    <comment ref="K589" authorId="0" shapeId="6177" xr:uid="{00000000-0006-0000-1400-00001F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17</xdr:col>
                <xdr:colOff>1219200</xdr:colOff>
                <xdr:row>592</xdr:row>
                <xdr:rowOff>0</xdr:rowOff>
              </from>
              <to>
                <xdr:col>18</xdr:col>
                <xdr:colOff>660400</xdr:colOff>
                <xdr:row>600</xdr:row>
                <xdr:rowOff>0</xdr:rowOff>
              </to>
            </anchor>
          </commentPr>
        </mc:Fallback>
      </mc:AlternateContent>
    </comment>
    <comment ref="L589" authorId="0" shapeId="6178" xr:uid="{00000000-0006-0000-1400-000020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18</xdr:col>
                <xdr:colOff>1219200</xdr:colOff>
                <xdr:row>592</xdr:row>
                <xdr:rowOff>0</xdr:rowOff>
              </from>
              <to>
                <xdr:col>19</xdr:col>
                <xdr:colOff>660400</xdr:colOff>
                <xdr:row>600</xdr:row>
                <xdr:rowOff>0</xdr:rowOff>
              </to>
            </anchor>
          </commentPr>
        </mc:Fallback>
      </mc:AlternateContent>
    </comment>
    <comment ref="M589" authorId="0" shapeId="6179" xr:uid="{00000000-0006-0000-1400-000021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19</xdr:col>
                <xdr:colOff>863600</xdr:colOff>
                <xdr:row>592</xdr:row>
                <xdr:rowOff>0</xdr:rowOff>
              </from>
              <to>
                <xdr:col>20</xdr:col>
                <xdr:colOff>355600</xdr:colOff>
                <xdr:row>600</xdr:row>
                <xdr:rowOff>0</xdr:rowOff>
              </to>
            </anchor>
          </commentPr>
        </mc:Fallback>
      </mc:AlternateContent>
    </comment>
    <comment ref="N589" authorId="0" shapeId="6180" xr:uid="{00000000-0006-0000-1400-000022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20</xdr:col>
                <xdr:colOff>1219200</xdr:colOff>
                <xdr:row>592</xdr:row>
                <xdr:rowOff>0</xdr:rowOff>
              </from>
              <to>
                <xdr:col>21</xdr:col>
                <xdr:colOff>812800</xdr:colOff>
                <xdr:row>600</xdr:row>
                <xdr:rowOff>0</xdr:rowOff>
              </to>
            </anchor>
          </commentPr>
        </mc:Fallback>
      </mc:AlternateContent>
    </comment>
    <comment ref="O589" authorId="0" shapeId="6206" xr:uid="{00000000-0006-0000-1400-000023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21</xdr:col>
                <xdr:colOff>1828800</xdr:colOff>
                <xdr:row>592</xdr:row>
                <xdr:rowOff>0</xdr:rowOff>
              </from>
              <to>
                <xdr:col>22</xdr:col>
                <xdr:colOff>1219200</xdr:colOff>
                <xdr:row>600</xdr:row>
                <xdr:rowOff>0</xdr:rowOff>
              </to>
            </anchor>
          </commentPr>
        </mc:Fallback>
      </mc:AlternateContent>
    </comment>
    <comment ref="P589" authorId="0" shapeId="6208" xr:uid="{00000000-0006-0000-1400-000024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22</xdr:col>
                <xdr:colOff>2438400</xdr:colOff>
                <xdr:row>592</xdr:row>
                <xdr:rowOff>0</xdr:rowOff>
              </from>
              <to>
                <xdr:col>23</xdr:col>
                <xdr:colOff>1016000</xdr:colOff>
                <xdr:row>600</xdr:row>
                <xdr:rowOff>0</xdr:rowOff>
              </to>
            </anchor>
          </commentPr>
        </mc:Fallback>
      </mc:AlternateContent>
    </comment>
    <comment ref="Q589" authorId="0" shapeId="6209" xr:uid="{00000000-0006-0000-1400-000025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23</xdr:col>
                <xdr:colOff>1930400</xdr:colOff>
                <xdr:row>592</xdr:row>
                <xdr:rowOff>0</xdr:rowOff>
              </from>
              <to>
                <xdr:col>24</xdr:col>
                <xdr:colOff>609600</xdr:colOff>
                <xdr:row>600</xdr:row>
                <xdr:rowOff>0</xdr:rowOff>
              </to>
            </anchor>
          </commentPr>
        </mc:Fallback>
      </mc:AlternateContent>
    </comment>
    <comment ref="R589" authorId="0" shapeId="6210" xr:uid="{00000000-0006-0000-1400-000026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25</xdr:col>
                <xdr:colOff>101600</xdr:colOff>
                <xdr:row>592</xdr:row>
                <xdr:rowOff>0</xdr:rowOff>
              </from>
              <to>
                <xdr:col>25</xdr:col>
                <xdr:colOff>1524000</xdr:colOff>
                <xdr:row>600</xdr:row>
                <xdr:rowOff>0</xdr:rowOff>
              </to>
            </anchor>
          </commentPr>
        </mc:Fallback>
      </mc:AlternateContent>
    </comment>
    <comment ref="T589" authorId="0" shapeId="6181" xr:uid="{00000000-0006-0000-1400-000027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26</xdr:col>
                <xdr:colOff>1016000</xdr:colOff>
                <xdr:row>592</xdr:row>
                <xdr:rowOff>0</xdr:rowOff>
              </from>
              <to>
                <xdr:col>26</xdr:col>
                <xdr:colOff>2743200</xdr:colOff>
                <xdr:row>600</xdr:row>
                <xdr:rowOff>0</xdr:rowOff>
              </to>
            </anchor>
          </commentPr>
        </mc:Fallback>
      </mc:AlternateContent>
    </comment>
    <comment ref="U589" authorId="0" shapeId="6182" xr:uid="{00000000-0006-0000-1400-000028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27</xdr:col>
                <xdr:colOff>406400</xdr:colOff>
                <xdr:row>592</xdr:row>
                <xdr:rowOff>0</xdr:rowOff>
              </from>
              <to>
                <xdr:col>27</xdr:col>
                <xdr:colOff>1828800</xdr:colOff>
                <xdr:row>600</xdr:row>
                <xdr:rowOff>0</xdr:rowOff>
              </to>
            </anchor>
          </commentPr>
        </mc:Fallback>
      </mc:AlternateContent>
    </comment>
    <comment ref="V589" authorId="0" shapeId="6183" xr:uid="{00000000-0006-0000-1400-000029000000}">
      <text>
        <r>
          <rPr>
            <b/>
            <sz val="9"/>
            <color indexed="81"/>
            <rFont val="Tahoma"/>
            <family val="2"/>
          </rPr>
          <t>Anatoli Poultouchidou (ESA):</t>
        </r>
        <r>
          <rPr>
            <sz val="9"/>
            <color indexed="81"/>
            <rFont val="Tahoma"/>
            <family val="2"/>
          </rPr>
          <t xml:space="preserve">
Red values are taken from Table 4.7 and 4.12  in IPCC 2006, Chapter 4, page 4.63 </t>
        </r>
      </text>
      <mc:AlternateContent xmlns:mc="http://schemas.openxmlformats.org/markup-compatibility/2006">
        <mc:Choice Requires="v"/>
        <mc:Fallback>
          <commentPr defaultSize="0" autoFill="0" autoLine="0">
            <anchor>
              <from>
                <xdr:col>27</xdr:col>
                <xdr:colOff>2844800</xdr:colOff>
                <xdr:row>592</xdr:row>
                <xdr:rowOff>0</xdr:rowOff>
              </from>
              <to>
                <xdr:col>28</xdr:col>
                <xdr:colOff>1625600</xdr:colOff>
                <xdr:row>600</xdr:row>
                <xdr:rowOff>0</xdr:rowOff>
              </to>
            </anchor>
          </commentPr>
        </mc:Fallback>
      </mc:AlternateContent>
    </comment>
    <comment ref="Y589" authorId="0" shapeId="6193" xr:uid="{00000000-0006-0000-1400-00002A000000}">
      <text>
        <r>
          <rPr>
            <b/>
            <sz val="9"/>
            <color indexed="81"/>
            <rFont val="Tahoma"/>
            <family val="2"/>
          </rPr>
          <t>Anatoli Poultouchidou (ESA):</t>
        </r>
        <r>
          <rPr>
            <sz val="9"/>
            <color indexed="81"/>
            <rFont val="Tahoma"/>
            <family val="2"/>
          </rPr>
          <t xml:space="preserve">
Red values from Table 4.12 in IPCC 2006</t>
        </r>
      </text>
      <mc:AlternateContent xmlns:mc="http://schemas.openxmlformats.org/markup-compatibility/2006">
        <mc:Choice Requires="v"/>
        <mc:Fallback>
          <commentPr defaultSize="0" autoFill="0" autoLine="0">
            <anchor>
              <from>
                <xdr:col>30</xdr:col>
                <xdr:colOff>1828800</xdr:colOff>
                <xdr:row>592</xdr:row>
                <xdr:rowOff>0</xdr:rowOff>
              </from>
              <to>
                <xdr:col>31</xdr:col>
                <xdr:colOff>812800</xdr:colOff>
                <xdr:row>599</xdr:row>
                <xdr:rowOff>0</xdr:rowOff>
              </to>
            </anchor>
          </commentPr>
        </mc:Fallback>
      </mc:AlternateContent>
    </comment>
    <comment ref="Z589" authorId="0" shapeId="6194" xr:uid="{00000000-0006-0000-1400-00002B000000}">
      <text>
        <r>
          <rPr>
            <b/>
            <sz val="9"/>
            <color indexed="81"/>
            <rFont val="Tahoma"/>
            <family val="2"/>
          </rPr>
          <t>Anatoli Poultouchidou (ESA):</t>
        </r>
        <r>
          <rPr>
            <sz val="9"/>
            <color indexed="81"/>
            <rFont val="Tahoma"/>
            <family val="2"/>
          </rPr>
          <t xml:space="preserve">
Red values are taken from Table 4.12 in IPCC 2006</t>
        </r>
      </text>
      <mc:AlternateContent xmlns:mc="http://schemas.openxmlformats.org/markup-compatibility/2006">
        <mc:Choice Requires="v"/>
        <mc:Fallback>
          <commentPr defaultSize="0" autoFill="0" autoLine="0">
            <anchor>
              <from>
                <xdr:col>32</xdr:col>
                <xdr:colOff>355600</xdr:colOff>
                <xdr:row>592</xdr:row>
                <xdr:rowOff>0</xdr:rowOff>
              </from>
              <to>
                <xdr:col>32</xdr:col>
                <xdr:colOff>1828800</xdr:colOff>
                <xdr:row>601</xdr:row>
                <xdr:rowOff>0</xdr:rowOff>
              </to>
            </anchor>
          </commentPr>
        </mc:Fallback>
      </mc:AlternateContent>
    </comment>
    <comment ref="AA589" authorId="0" shapeId="6196" xr:uid="{00000000-0006-0000-1400-00002C000000}">
      <text>
        <r>
          <rPr>
            <b/>
            <sz val="9"/>
            <color indexed="81"/>
            <rFont val="Tahoma"/>
            <family val="2"/>
          </rPr>
          <t>Anatoli Poultouchidou (ESA):</t>
        </r>
        <r>
          <rPr>
            <sz val="9"/>
            <color indexed="81"/>
            <rFont val="Tahoma"/>
            <family val="2"/>
          </rPr>
          <t xml:space="preserve">
Red values are taken from Table 4.12 in IPCC 2006</t>
        </r>
      </text>
      <mc:AlternateContent xmlns:mc="http://schemas.openxmlformats.org/markup-compatibility/2006">
        <mc:Choice Requires="v"/>
        <mc:Fallback>
          <commentPr defaultSize="0" autoFill="0" autoLine="0">
            <anchor>
              <from>
                <xdr:col>33</xdr:col>
                <xdr:colOff>1320800</xdr:colOff>
                <xdr:row>592</xdr:row>
                <xdr:rowOff>0</xdr:rowOff>
              </from>
              <to>
                <xdr:col>33</xdr:col>
                <xdr:colOff>3200400</xdr:colOff>
                <xdr:row>601</xdr:row>
                <xdr:rowOff>0</xdr:rowOff>
              </to>
            </anchor>
          </commentPr>
        </mc:Fallback>
      </mc:AlternateContent>
    </comment>
    <comment ref="AD589" authorId="0" shapeId="6184" xr:uid="{00000000-0006-0000-1400-00002D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35</xdr:col>
                <xdr:colOff>1625600</xdr:colOff>
                <xdr:row>592</xdr:row>
                <xdr:rowOff>0</xdr:rowOff>
              </from>
              <to>
                <xdr:col>36</xdr:col>
                <xdr:colOff>812800</xdr:colOff>
                <xdr:row>600</xdr:row>
                <xdr:rowOff>0</xdr:rowOff>
              </to>
            </anchor>
          </commentPr>
        </mc:Fallback>
      </mc:AlternateContent>
    </comment>
    <comment ref="AE589" authorId="0" shapeId="6185" xr:uid="{00000000-0006-0000-1400-00002E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36</xdr:col>
                <xdr:colOff>1473200</xdr:colOff>
                <xdr:row>592</xdr:row>
                <xdr:rowOff>0</xdr:rowOff>
              </from>
              <to>
                <xdr:col>37</xdr:col>
                <xdr:colOff>0</xdr:colOff>
                <xdr:row>600</xdr:row>
                <xdr:rowOff>0</xdr:rowOff>
              </to>
            </anchor>
          </commentPr>
        </mc:Fallback>
      </mc:AlternateContent>
    </comment>
    <comment ref="AF589" authorId="0" shapeId="6186" xr:uid="{00000000-0006-0000-1400-00002F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37</xdr:col>
                <xdr:colOff>609600</xdr:colOff>
                <xdr:row>592</xdr:row>
                <xdr:rowOff>0</xdr:rowOff>
              </from>
              <to>
                <xdr:col>37</xdr:col>
                <xdr:colOff>2235200</xdr:colOff>
                <xdr:row>600</xdr:row>
                <xdr:rowOff>0</xdr:rowOff>
              </to>
            </anchor>
          </commentPr>
        </mc:Fallback>
      </mc:AlternateContent>
    </comment>
    <comment ref="AG589" authorId="0" shapeId="6197" xr:uid="{00000000-0006-0000-1400-000030000000}">
      <text>
        <r>
          <rPr>
            <b/>
            <sz val="9"/>
            <color indexed="81"/>
            <rFont val="Tahoma"/>
            <family val="2"/>
          </rPr>
          <t>Anatoli Poultouchidou (ESA):</t>
        </r>
        <r>
          <rPr>
            <sz val="9"/>
            <color indexed="81"/>
            <rFont val="Tahoma"/>
            <family val="2"/>
          </rPr>
          <t xml:space="preserve">
Red values from Table 4.12, in IPCC 2006</t>
        </r>
      </text>
      <mc:AlternateContent xmlns:mc="http://schemas.openxmlformats.org/markup-compatibility/2006">
        <mc:Choice Requires="v"/>
        <mc:Fallback>
          <commentPr defaultSize="0" autoFill="0" autoLine="0">
            <anchor>
              <from>
                <xdr:col>38</xdr:col>
                <xdr:colOff>812800</xdr:colOff>
                <xdr:row>592</xdr:row>
                <xdr:rowOff>0</xdr:rowOff>
              </from>
              <to>
                <xdr:col>39</xdr:col>
                <xdr:colOff>0</xdr:colOff>
                <xdr:row>596</xdr:row>
                <xdr:rowOff>0</xdr:rowOff>
              </to>
            </anchor>
          </commentPr>
        </mc:Fallback>
      </mc:AlternateContent>
    </comment>
    <comment ref="AH589" authorId="0" shapeId="6198" xr:uid="{00000000-0006-0000-1400-000031000000}">
      <text>
        <r>
          <rPr>
            <b/>
            <sz val="9"/>
            <color indexed="81"/>
            <rFont val="Tahoma"/>
            <family val="2"/>
          </rPr>
          <t>Anatoli Poultouchidou (ESA):</t>
        </r>
        <r>
          <rPr>
            <sz val="9"/>
            <color indexed="81"/>
            <rFont val="Tahoma"/>
            <family val="2"/>
          </rPr>
          <t xml:space="preserve">
RED values are taken from Table 4.12 in IPCC 2006</t>
        </r>
      </text>
      <mc:AlternateContent xmlns:mc="http://schemas.openxmlformats.org/markup-compatibility/2006">
        <mc:Choice Requires="v"/>
        <mc:Fallback>
          <commentPr defaultSize="0" autoFill="0" autoLine="0">
            <anchor>
              <from>
                <xdr:col>39</xdr:col>
                <xdr:colOff>914400</xdr:colOff>
                <xdr:row>593</xdr:row>
                <xdr:rowOff>0</xdr:rowOff>
              </from>
              <to>
                <xdr:col>39</xdr:col>
                <xdr:colOff>2641600</xdr:colOff>
                <xdr:row>603</xdr:row>
                <xdr:rowOff>0</xdr:rowOff>
              </to>
            </anchor>
          </commentPr>
        </mc:Fallback>
      </mc:AlternateContent>
    </comment>
    <comment ref="AI589" authorId="0" shapeId="6199" xr:uid="{00000000-0006-0000-1400-000032000000}">
      <text>
        <r>
          <rPr>
            <b/>
            <sz val="9"/>
            <color indexed="81"/>
            <rFont val="Tahoma"/>
            <family val="2"/>
          </rPr>
          <t>Anatoli Poultouchidou (ESA):</t>
        </r>
        <r>
          <rPr>
            <sz val="9"/>
            <color indexed="81"/>
            <rFont val="Tahoma"/>
            <family val="2"/>
          </rPr>
          <t xml:space="preserve">
Red values are taken from Table 4.12 in IPCC 2006</t>
        </r>
      </text>
      <mc:AlternateContent xmlns:mc="http://schemas.openxmlformats.org/markup-compatibility/2006">
        <mc:Choice Requires="v"/>
        <mc:Fallback>
          <commentPr defaultSize="0" autoFill="0" autoLine="0">
            <anchor>
              <from>
                <xdr:col>40</xdr:col>
                <xdr:colOff>965200</xdr:colOff>
                <xdr:row>592</xdr:row>
                <xdr:rowOff>0</xdr:rowOff>
              </from>
              <to>
                <xdr:col>41</xdr:col>
                <xdr:colOff>0</xdr:colOff>
                <xdr:row>601</xdr:row>
                <xdr:rowOff>0</xdr:rowOff>
              </to>
            </anchor>
          </commentPr>
        </mc:Fallback>
      </mc:AlternateContent>
    </comment>
    <comment ref="AJ589" authorId="0" shapeId="6187" xr:uid="{00000000-0006-0000-1400-000033000000}">
      <text>
        <r>
          <rPr>
            <b/>
            <sz val="9"/>
            <color indexed="81"/>
            <rFont val="Tahoma"/>
            <family val="2"/>
          </rPr>
          <t>Anatoli Poultouchidou (ESA):</t>
        </r>
        <r>
          <rPr>
            <sz val="9"/>
            <color indexed="81"/>
            <rFont val="Tahoma"/>
            <family val="2"/>
          </rPr>
          <t xml:space="preserve">
Red values are taken from Table 4.12 in IPCC 2006, Chapter 4, page 4.63 </t>
        </r>
      </text>
      <mc:AlternateContent xmlns:mc="http://schemas.openxmlformats.org/markup-compatibility/2006">
        <mc:Choice Requires="v"/>
        <mc:Fallback>
          <commentPr defaultSize="0" autoFill="0" autoLine="0">
            <anchor>
              <from>
                <xdr:col>41</xdr:col>
                <xdr:colOff>812800</xdr:colOff>
                <xdr:row>592</xdr:row>
                <xdr:rowOff>0</xdr:rowOff>
              </from>
              <to>
                <xdr:col>42</xdr:col>
                <xdr:colOff>711200</xdr:colOff>
                <xdr:row>600</xdr:row>
                <xdr:rowOff>0</xdr:rowOff>
              </to>
            </anchor>
          </commentPr>
        </mc:Fallback>
      </mc:AlternateContent>
    </comment>
    <comment ref="AK589" authorId="0" shapeId="6200" xr:uid="{00000000-0006-0000-1400-000034000000}">
      <text>
        <r>
          <rPr>
            <b/>
            <sz val="9"/>
            <color indexed="81"/>
            <rFont val="Tahoma"/>
            <family val="2"/>
          </rPr>
          <t>Anatoli Poultouchidou (ESA):</t>
        </r>
        <r>
          <rPr>
            <sz val="9"/>
            <color indexed="81"/>
            <rFont val="Tahoma"/>
            <family val="2"/>
          </rPr>
          <t xml:space="preserve">
RED values from Table 4.12 in IPCC 2006</t>
        </r>
      </text>
      <mc:AlternateContent xmlns:mc="http://schemas.openxmlformats.org/markup-compatibility/2006">
        <mc:Choice Requires="v"/>
        <mc:Fallback>
          <commentPr defaultSize="0" autoFill="0" autoLine="0">
            <anchor>
              <from>
                <xdr:col>43</xdr:col>
                <xdr:colOff>355600</xdr:colOff>
                <xdr:row>592</xdr:row>
                <xdr:rowOff>0</xdr:rowOff>
              </from>
              <to>
                <xdr:col>44</xdr:col>
                <xdr:colOff>711200</xdr:colOff>
                <xdr:row>596</xdr:row>
                <xdr:rowOff>0</xdr:rowOff>
              </to>
            </anchor>
          </commentPr>
        </mc:Fallback>
      </mc:AlternateContent>
    </comment>
    <comment ref="W590" authorId="0" shapeId="6189" xr:uid="{00000000-0006-0000-1400-000035000000}">
      <text>
        <r>
          <rPr>
            <b/>
            <sz val="9"/>
            <color indexed="81"/>
            <rFont val="Tahoma"/>
            <family val="2"/>
          </rPr>
          <t>Anatoli Poultouchidou (ESA):</t>
        </r>
        <r>
          <rPr>
            <sz val="9"/>
            <color indexed="81"/>
            <rFont val="Tahoma"/>
            <family val="2"/>
          </rPr>
          <t xml:space="preserve">
New class in IPCC 2019 
Value for Secondary &gt;20 was used given the NA  
for natural and planted forest in Temperate Desert </t>
        </r>
      </text>
      <mc:AlternateContent xmlns:mc="http://schemas.openxmlformats.org/markup-compatibility/2006">
        <mc:Choice Requires="v"/>
        <mc:Fallback>
          <commentPr defaultSize="0" autoFill="0" autoLine="0">
            <anchor>
              <from>
                <xdr:col>28</xdr:col>
                <xdr:colOff>1828800</xdr:colOff>
                <xdr:row>593</xdr:row>
                <xdr:rowOff>0</xdr:rowOff>
              </from>
              <to>
                <xdr:col>30</xdr:col>
                <xdr:colOff>304800</xdr:colOff>
                <xdr:row>603</xdr:row>
                <xdr:rowOff>0</xdr:rowOff>
              </to>
            </anchor>
          </commentPr>
        </mc:Fallback>
      </mc:AlternateContent>
    </comment>
    <comment ref="X590" authorId="0" shapeId="6192" xr:uid="{00000000-0006-0000-1400-000036000000}">
      <text>
        <r>
          <rPr>
            <b/>
            <sz val="9"/>
            <color indexed="81"/>
            <rFont val="Tahoma"/>
            <family val="2"/>
          </rPr>
          <t>Anatoli Poultouchidou (ESA):</t>
        </r>
        <r>
          <rPr>
            <sz val="9"/>
            <color indexed="81"/>
            <rFont val="Tahoma"/>
            <family val="2"/>
          </rPr>
          <t xml:space="preserve">
New forest class in IPCC 2019. 
NA for primary forest. The value for secondary forest was used </t>
        </r>
      </text>
      <mc:AlternateContent xmlns:mc="http://schemas.openxmlformats.org/markup-compatibility/2006">
        <mc:Choice Requires="v"/>
        <mc:Fallback>
          <commentPr defaultSize="0" autoFill="0" autoLine="0">
            <anchor>
              <from>
                <xdr:col>29</xdr:col>
                <xdr:colOff>1422400</xdr:colOff>
                <xdr:row>593</xdr:row>
                <xdr:rowOff>0</xdr:rowOff>
              </from>
              <to>
                <xdr:col>30</xdr:col>
                <xdr:colOff>355600</xdr:colOff>
                <xdr:row>605</xdr:row>
                <xdr:rowOff>50800</xdr:rowOff>
              </to>
            </anchor>
          </commentPr>
        </mc:Fallback>
      </mc:AlternateContent>
    </comment>
    <comment ref="AB590" authorId="0" shapeId="6190" xr:uid="{00000000-0006-0000-1400-000037000000}">
      <text>
        <r>
          <rPr>
            <b/>
            <sz val="9"/>
            <color indexed="81"/>
            <rFont val="Tahoma"/>
            <family val="2"/>
          </rPr>
          <t>Anatoli Poultouchidou (ESA):</t>
        </r>
        <r>
          <rPr>
            <sz val="9"/>
            <color indexed="81"/>
            <rFont val="Tahoma"/>
            <family val="2"/>
          </rPr>
          <t xml:space="preserve">
New class in IPCC 2019 
Value for Secondary &gt;20 was used given the NA  
for natural and planted forest in Temperate Desert </t>
        </r>
      </text>
      <mc:AlternateContent xmlns:mc="http://schemas.openxmlformats.org/markup-compatibility/2006">
        <mc:Choice Requires="v"/>
        <mc:Fallback>
          <commentPr defaultSize="0" autoFill="0" autoLine="0">
            <anchor>
              <from>
                <xdr:col>34</xdr:col>
                <xdr:colOff>254000</xdr:colOff>
                <xdr:row>593</xdr:row>
                <xdr:rowOff>0</xdr:rowOff>
              </from>
              <to>
                <xdr:col>34</xdr:col>
                <xdr:colOff>2743200</xdr:colOff>
                <xdr:row>600</xdr:row>
                <xdr:rowOff>0</xdr:rowOff>
              </to>
            </anchor>
          </commentPr>
        </mc:Fallback>
      </mc:AlternateContent>
    </comment>
    <comment ref="M616" authorId="0" shapeId="6211" xr:uid="{00000000-0006-0000-1400-000038000000}">
      <text>
        <r>
          <rPr>
            <b/>
            <sz val="9"/>
            <color indexed="81"/>
            <rFont val="Tahoma"/>
            <family val="2"/>
          </rPr>
          <t>Anatoli Poultouchidou (ESA):</t>
        </r>
        <r>
          <rPr>
            <sz val="9"/>
            <color indexed="81"/>
            <rFont val="Tahoma"/>
            <family val="2"/>
          </rPr>
          <t xml:space="preserve">
no estimate available
Took the same value as Tropical mountain systems</t>
        </r>
      </text>
      <mc:AlternateContent xmlns:mc="http://schemas.openxmlformats.org/markup-compatibility/2006">
        <mc:Choice Requires="v"/>
        <mc:Fallback>
          <commentPr defaultSize="0" autoFill="0" autoLine="0">
            <anchor>
              <from>
                <xdr:col>13</xdr:col>
                <xdr:colOff>1524000</xdr:colOff>
                <xdr:row>619</xdr:row>
                <xdr:rowOff>0</xdr:rowOff>
              </from>
              <to>
                <xdr:col>14</xdr:col>
                <xdr:colOff>1574800</xdr:colOff>
                <xdr:row>629</xdr:row>
                <xdr:rowOff>0</xdr:rowOff>
              </to>
            </anchor>
          </commentPr>
        </mc:Fallback>
      </mc:AlternateContent>
    </comment>
    <comment ref="BB616" authorId="0" shapeId="6212" xr:uid="{00000000-0006-0000-1400-000039000000}">
      <text>
        <r>
          <rPr>
            <b/>
            <sz val="9"/>
            <color indexed="81"/>
            <rFont val="Tahoma"/>
            <family val="2"/>
          </rPr>
          <t>Anatoli Poultouchidou (ESA):</t>
        </r>
        <r>
          <rPr>
            <sz val="9"/>
            <color indexed="81"/>
            <rFont val="Tahoma"/>
            <family val="2"/>
          </rPr>
          <t xml:space="preserve">
values innred taken from ex-act v.7
</t>
        </r>
      </text>
      <mc:AlternateContent xmlns:mc="http://schemas.openxmlformats.org/markup-compatibility/2006">
        <mc:Choice Requires="v"/>
        <mc:Fallback>
          <commentPr defaultSize="0" autoFill="0" autoLine="0">
            <anchor>
              <from>
                <xdr:col>51</xdr:col>
                <xdr:colOff>812800</xdr:colOff>
                <xdr:row>619</xdr:row>
                <xdr:rowOff>0</xdr:rowOff>
              </from>
              <to>
                <xdr:col>52</xdr:col>
                <xdr:colOff>0</xdr:colOff>
                <xdr:row>623</xdr:row>
                <xdr:rowOff>0</xdr:rowOff>
              </to>
            </anchor>
          </commentPr>
        </mc:Fallback>
      </mc:AlternateContent>
    </comment>
    <comment ref="C649" authorId="0" shapeId="6213" xr:uid="{00000000-0006-0000-1400-00003A000000}">
      <text>
        <r>
          <rPr>
            <b/>
            <sz val="9"/>
            <color indexed="81"/>
            <rFont val="Tahoma"/>
            <family val="2"/>
          </rPr>
          <t>Anatoli Poultouchidou (ESA):</t>
        </r>
        <r>
          <rPr>
            <sz val="9"/>
            <color indexed="81"/>
            <rFont val="Tahoma"/>
            <family val="2"/>
          </rPr>
          <t xml:space="preserve">
subtropical desert = 64.4 tC/ha
The class 'Subtropical dry forest' is mising from table 2.2 
</t>
        </r>
      </text>
      <mc:AlternateContent xmlns:mc="http://schemas.openxmlformats.org/markup-compatibility/2006">
        <mc:Choice Requires="v"/>
        <mc:Fallback>
          <commentPr defaultSize="0" autoFill="0" autoLine="0">
            <anchor>
              <from>
                <xdr:col>2</xdr:col>
                <xdr:colOff>0</xdr:colOff>
                <xdr:row>652</xdr:row>
                <xdr:rowOff>0</xdr:rowOff>
              </from>
              <to>
                <xdr:col>3</xdr:col>
                <xdr:colOff>1524000</xdr:colOff>
                <xdr:row>661</xdr:row>
                <xdr:rowOff>0</xdr:rowOff>
              </to>
            </anchor>
          </commentPr>
        </mc:Fallback>
      </mc:AlternateContent>
    </comment>
    <comment ref="C666" authorId="0" shapeId="6214" xr:uid="{00000000-0006-0000-1400-00003B000000}">
      <text>
        <r>
          <rPr>
            <b/>
            <sz val="9"/>
            <color indexed="81"/>
            <rFont val="Tahoma"/>
            <family val="2"/>
          </rPr>
          <t>Anatoli Poultouchidou (ESA):</t>
        </r>
        <r>
          <rPr>
            <sz val="9"/>
            <color indexed="81"/>
            <rFont val="Tahoma"/>
            <family val="2"/>
          </rPr>
          <t xml:space="preserve">
subtropical desert = 64.4 tC/ha
The class 'Subtropical dry forest' is mising from table 2.2 
</t>
        </r>
      </text>
      <mc:AlternateContent xmlns:mc="http://schemas.openxmlformats.org/markup-compatibility/2006">
        <mc:Choice Requires="v"/>
        <mc:Fallback>
          <commentPr defaultSize="0" autoFill="0" autoLine="0">
            <anchor>
              <from>
                <xdr:col>2</xdr:col>
                <xdr:colOff>0</xdr:colOff>
                <xdr:row>669</xdr:row>
                <xdr:rowOff>0</xdr:rowOff>
              </from>
              <to>
                <xdr:col>3</xdr:col>
                <xdr:colOff>1524000</xdr:colOff>
                <xdr:row>679</xdr:row>
                <xdr:rowOff>0</xdr:rowOff>
              </to>
            </anchor>
          </commentPr>
        </mc:Fallback>
      </mc:AlternateContent>
    </comment>
    <comment ref="E682" authorId="0" shapeId="6269" xr:uid="{00000000-0006-0000-1400-00003C000000}">
      <text>
        <r>
          <rPr>
            <b/>
            <sz val="9"/>
            <color indexed="81"/>
            <rFont val="Tahoma"/>
            <family val="2"/>
          </rPr>
          <t>Anatoli Poultouchidou (ESA):</t>
        </r>
        <r>
          <rPr>
            <sz val="9"/>
            <color indexed="81"/>
            <rFont val="Tahoma"/>
            <family val="2"/>
          </rPr>
          <t xml:space="preserve">
represents temporary annual fallow and so it is set same biomass as annual cropland
</t>
        </r>
      </text>
      <mc:AlternateContent xmlns:mc="http://schemas.openxmlformats.org/markup-compatibility/2006">
        <mc:Choice Requires="v"/>
        <mc:Fallback>
          <commentPr defaultSize="0" autoFill="0" autoLine="0">
            <anchor>
              <from>
                <xdr:col>5</xdr:col>
                <xdr:colOff>1219200</xdr:colOff>
                <xdr:row>685</xdr:row>
                <xdr:rowOff>0</xdr:rowOff>
              </from>
              <to>
                <xdr:col>6</xdr:col>
                <xdr:colOff>1320800</xdr:colOff>
                <xdr:row>694</xdr:row>
                <xdr:rowOff>0</xdr:rowOff>
              </to>
            </anchor>
          </commentPr>
        </mc:Fallback>
      </mc:AlternateContent>
    </comment>
    <comment ref="F682" authorId="0" shapeId="6271" xr:uid="{00000000-0006-0000-1400-00003D000000}">
      <text>
        <r>
          <rPr>
            <b/>
            <sz val="9"/>
            <color indexed="81"/>
            <rFont val="Tahoma"/>
            <family val="2"/>
          </rPr>
          <t>Anatoli Poultouchidou (ESA):</t>
        </r>
        <r>
          <rPr>
            <sz val="9"/>
            <color indexed="81"/>
            <rFont val="Tahoma"/>
            <family val="2"/>
          </rPr>
          <t xml:space="preserve">
 same as annual cropland</t>
        </r>
      </text>
      <mc:AlternateContent xmlns:mc="http://schemas.openxmlformats.org/markup-compatibility/2006">
        <mc:Choice Requires="v"/>
        <mc:Fallback>
          <commentPr defaultSize="0" autoFill="0" autoLine="0">
            <anchor>
              <from>
                <xdr:col>7</xdr:col>
                <xdr:colOff>50800</xdr:colOff>
                <xdr:row>685</xdr:row>
                <xdr:rowOff>0</xdr:rowOff>
              </from>
              <to>
                <xdr:col>7</xdr:col>
                <xdr:colOff>1828800</xdr:colOff>
                <xdr:row>690</xdr:row>
                <xdr:rowOff>0</xdr:rowOff>
              </to>
            </anchor>
          </commentPr>
        </mc:Fallback>
      </mc:AlternateContent>
    </comment>
    <comment ref="G682" authorId="0" shapeId="6275" xr:uid="{00000000-0006-0000-1400-00003E000000}">
      <text>
        <r>
          <rPr>
            <b/>
            <sz val="9"/>
            <color indexed="81"/>
            <rFont val="Tahoma"/>
            <family val="2"/>
          </rPr>
          <t>Anatoli Poultouchidou (ESA):</t>
        </r>
        <r>
          <rPr>
            <sz val="9"/>
            <color indexed="81"/>
            <rFont val="Tahoma"/>
            <family val="2"/>
          </rPr>
          <t xml:space="preserve">
Total biomass = AGB + BGB</t>
        </r>
      </text>
      <mc:AlternateContent xmlns:mc="http://schemas.openxmlformats.org/markup-compatibility/2006">
        <mc:Choice Requires="v"/>
        <mc:Fallback>
          <commentPr defaultSize="0" autoFill="0" autoLine="0">
            <anchor>
              <from>
                <xdr:col>8</xdr:col>
                <xdr:colOff>1422400</xdr:colOff>
                <xdr:row>685</xdr:row>
                <xdr:rowOff>0</xdr:rowOff>
              </from>
              <to>
                <xdr:col>9</xdr:col>
                <xdr:colOff>1625600</xdr:colOff>
                <xdr:row>690</xdr:row>
                <xdr:rowOff>50800</xdr:rowOff>
              </to>
            </anchor>
          </commentPr>
        </mc:Fallback>
      </mc:AlternateContent>
    </comment>
    <comment ref="R682" authorId="0" shapeId="6292" xr:uid="{00000000-0006-0000-1400-00003F000000}">
      <text>
        <r>
          <rPr>
            <b/>
            <sz val="9"/>
            <color indexed="81"/>
            <rFont val="Tahoma"/>
            <family val="2"/>
          </rPr>
          <t>Anatoli Poultouchidou (ESA):</t>
        </r>
        <r>
          <rPr>
            <sz val="9"/>
            <color indexed="81"/>
            <rFont val="Tahoma"/>
            <family val="2"/>
          </rPr>
          <t xml:space="preserve">
</t>
        </r>
        <r>
          <rPr>
            <b/>
            <sz val="9"/>
            <color indexed="81"/>
            <rFont val="Tahoma"/>
            <family val="2"/>
          </rPr>
          <t>To be double checked!!!</t>
        </r>
        <r>
          <rPr>
            <sz val="9"/>
            <color indexed="81"/>
            <rFont val="Tahoma"/>
            <family val="2"/>
          </rPr>
          <t xml:space="preserve">
Native vegetation that has been heavily disturbed. Land with low levels of biomass and soil carbon </t>
        </r>
      </text>
      <mc:AlternateContent xmlns:mc="http://schemas.openxmlformats.org/markup-compatibility/2006">
        <mc:Choice Requires="v"/>
        <mc:Fallback>
          <commentPr defaultSize="0" autoFill="0" autoLine="0">
            <anchor>
              <from>
                <xdr:col>16</xdr:col>
                <xdr:colOff>1828800</xdr:colOff>
                <xdr:row>687</xdr:row>
                <xdr:rowOff>0</xdr:rowOff>
              </from>
              <to>
                <xdr:col>17</xdr:col>
                <xdr:colOff>1422400</xdr:colOff>
                <xdr:row>695</xdr:row>
                <xdr:rowOff>0</xdr:rowOff>
              </to>
            </anchor>
          </commentPr>
        </mc:Fallback>
      </mc:AlternateContent>
    </comment>
    <comment ref="D683" authorId="0" shapeId="6335" xr:uid="{00000000-0006-0000-1400-000040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xdr:col>
                <xdr:colOff>2184400</xdr:colOff>
                <xdr:row>685</xdr:row>
                <xdr:rowOff>0</xdr:rowOff>
              </from>
              <to>
                <xdr:col>4</xdr:col>
                <xdr:colOff>50800</xdr:colOff>
                <xdr:row>689</xdr:row>
                <xdr:rowOff>0</xdr:rowOff>
              </to>
            </anchor>
          </commentPr>
        </mc:Fallback>
      </mc:AlternateContent>
    </comment>
    <comment ref="E683" authorId="0" shapeId="6336" xr:uid="{00000000-0006-0000-1400-000041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5</xdr:col>
                <xdr:colOff>0</xdr:colOff>
                <xdr:row>685</xdr:row>
                <xdr:rowOff>0</xdr:rowOff>
              </from>
              <to>
                <xdr:col>5</xdr:col>
                <xdr:colOff>1524000</xdr:colOff>
                <xdr:row>689</xdr:row>
                <xdr:rowOff>0</xdr:rowOff>
              </to>
            </anchor>
          </commentPr>
        </mc:Fallback>
      </mc:AlternateContent>
    </comment>
    <comment ref="F683" authorId="0" shapeId="6337" xr:uid="{00000000-0006-0000-1400-000042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6</xdr:col>
                <xdr:colOff>863600</xdr:colOff>
                <xdr:row>685</xdr:row>
                <xdr:rowOff>0</xdr:rowOff>
              </from>
              <to>
                <xdr:col>7</xdr:col>
                <xdr:colOff>711200</xdr:colOff>
                <xdr:row>689</xdr:row>
                <xdr:rowOff>0</xdr:rowOff>
              </to>
            </anchor>
          </commentPr>
        </mc:Fallback>
      </mc:AlternateContent>
    </comment>
    <comment ref="G683" authorId="0" shapeId="6338" xr:uid="{00000000-0006-0000-1400-000043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8</xdr:col>
                <xdr:colOff>254000</xdr:colOff>
                <xdr:row>685</xdr:row>
                <xdr:rowOff>0</xdr:rowOff>
              </from>
              <to>
                <xdr:col>8</xdr:col>
                <xdr:colOff>2133600</xdr:colOff>
                <xdr:row>689</xdr:row>
                <xdr:rowOff>0</xdr:rowOff>
              </to>
            </anchor>
          </commentPr>
        </mc:Fallback>
      </mc:AlternateContent>
    </comment>
    <comment ref="H683" authorId="0" shapeId="6339" xr:uid="{00000000-0006-0000-1400-000044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8</xdr:col>
                <xdr:colOff>2133600</xdr:colOff>
                <xdr:row>685</xdr:row>
                <xdr:rowOff>0</xdr:rowOff>
              </from>
              <to>
                <xdr:col>9</xdr:col>
                <xdr:colOff>1422400</xdr:colOff>
                <xdr:row>689</xdr:row>
                <xdr:rowOff>0</xdr:rowOff>
              </to>
            </anchor>
          </commentPr>
        </mc:Fallback>
      </mc:AlternateContent>
    </comment>
    <comment ref="I683" authorId="0" shapeId="6340" xr:uid="{00000000-0006-0000-1400-000045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10</xdr:col>
                <xdr:colOff>0</xdr:colOff>
                <xdr:row>685</xdr:row>
                <xdr:rowOff>0</xdr:rowOff>
              </from>
              <to>
                <xdr:col>10</xdr:col>
                <xdr:colOff>1828800</xdr:colOff>
                <xdr:row>689</xdr:row>
                <xdr:rowOff>0</xdr:rowOff>
              </to>
            </anchor>
          </commentPr>
        </mc:Fallback>
      </mc:AlternateContent>
    </comment>
    <comment ref="J683" authorId="0" shapeId="6341" xr:uid="{00000000-0006-0000-1400-000046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11</xdr:col>
                <xdr:colOff>0</xdr:colOff>
                <xdr:row>685</xdr:row>
                <xdr:rowOff>0</xdr:rowOff>
              </from>
              <to>
                <xdr:col>11</xdr:col>
                <xdr:colOff>1828800</xdr:colOff>
                <xdr:row>689</xdr:row>
                <xdr:rowOff>0</xdr:rowOff>
              </to>
            </anchor>
          </commentPr>
        </mc:Fallback>
      </mc:AlternateContent>
    </comment>
    <comment ref="K683" authorId="0" shapeId="6342" xr:uid="{00000000-0006-0000-1400-000047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11</xdr:col>
                <xdr:colOff>1981200</xdr:colOff>
                <xdr:row>685</xdr:row>
                <xdr:rowOff>0</xdr:rowOff>
              </from>
              <to>
                <xdr:col>12</xdr:col>
                <xdr:colOff>1574800</xdr:colOff>
                <xdr:row>689</xdr:row>
                <xdr:rowOff>0</xdr:rowOff>
              </to>
            </anchor>
          </commentPr>
        </mc:Fallback>
      </mc:AlternateContent>
    </comment>
    <comment ref="L683" authorId="0" shapeId="6343" xr:uid="{00000000-0006-0000-1400-000048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12</xdr:col>
                <xdr:colOff>2082800</xdr:colOff>
                <xdr:row>685</xdr:row>
                <xdr:rowOff>0</xdr:rowOff>
              </from>
              <to>
                <xdr:col>13</xdr:col>
                <xdr:colOff>1219200</xdr:colOff>
                <xdr:row>689</xdr:row>
                <xdr:rowOff>0</xdr:rowOff>
              </to>
            </anchor>
          </commentPr>
        </mc:Fallback>
      </mc:AlternateContent>
    </comment>
    <comment ref="M683" authorId="0" shapeId="6344" xr:uid="{00000000-0006-0000-1400-000049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13</xdr:col>
                <xdr:colOff>2082800</xdr:colOff>
                <xdr:row>685</xdr:row>
                <xdr:rowOff>0</xdr:rowOff>
              </from>
              <to>
                <xdr:col>14</xdr:col>
                <xdr:colOff>2184400</xdr:colOff>
                <xdr:row>689</xdr:row>
                <xdr:rowOff>0</xdr:rowOff>
              </to>
            </anchor>
          </commentPr>
        </mc:Fallback>
      </mc:AlternateContent>
    </comment>
    <comment ref="N683" authorId="0" shapeId="6345" xr:uid="{00000000-0006-0000-1400-00004A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15</xdr:col>
                <xdr:colOff>609600</xdr:colOff>
                <xdr:row>685</xdr:row>
                <xdr:rowOff>0</xdr:rowOff>
              </from>
              <to>
                <xdr:col>15</xdr:col>
                <xdr:colOff>2133600</xdr:colOff>
                <xdr:row>689</xdr:row>
                <xdr:rowOff>0</xdr:rowOff>
              </to>
            </anchor>
          </commentPr>
        </mc:Fallback>
      </mc:AlternateContent>
    </comment>
    <comment ref="O683" authorId="0" shapeId="6346" xr:uid="{00000000-0006-0000-1400-00004B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16</xdr:col>
                <xdr:colOff>660400</xdr:colOff>
                <xdr:row>685</xdr:row>
                <xdr:rowOff>0</xdr:rowOff>
              </from>
              <to>
                <xdr:col>17</xdr:col>
                <xdr:colOff>0</xdr:colOff>
                <xdr:row>689</xdr:row>
                <xdr:rowOff>0</xdr:rowOff>
              </to>
            </anchor>
          </commentPr>
        </mc:Fallback>
      </mc:AlternateContent>
    </comment>
    <comment ref="P683" authorId="0" shapeId="6347" xr:uid="{00000000-0006-0000-1400-00004C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17</xdr:col>
                <xdr:colOff>812800</xdr:colOff>
                <xdr:row>685</xdr:row>
                <xdr:rowOff>0</xdr:rowOff>
              </from>
              <to>
                <xdr:col>18</xdr:col>
                <xdr:colOff>101600</xdr:colOff>
                <xdr:row>689</xdr:row>
                <xdr:rowOff>0</xdr:rowOff>
              </to>
            </anchor>
          </commentPr>
        </mc:Fallback>
      </mc:AlternateContent>
    </comment>
    <comment ref="Q683" authorId="0" shapeId="6348" xr:uid="{00000000-0006-0000-1400-00004D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18</xdr:col>
                <xdr:colOff>762000</xdr:colOff>
                <xdr:row>685</xdr:row>
                <xdr:rowOff>0</xdr:rowOff>
              </from>
              <to>
                <xdr:col>19</xdr:col>
                <xdr:colOff>0</xdr:colOff>
                <xdr:row>689</xdr:row>
                <xdr:rowOff>0</xdr:rowOff>
              </to>
            </anchor>
          </commentPr>
        </mc:Fallback>
      </mc:AlternateContent>
    </comment>
    <comment ref="R683" authorId="0" shapeId="6349" xr:uid="{00000000-0006-0000-1400-00004E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19</xdr:col>
                <xdr:colOff>762000</xdr:colOff>
                <xdr:row>685</xdr:row>
                <xdr:rowOff>0</xdr:rowOff>
              </from>
              <to>
                <xdr:col>20</xdr:col>
                <xdr:colOff>0</xdr:colOff>
                <xdr:row>689</xdr:row>
                <xdr:rowOff>0</xdr:rowOff>
              </to>
            </anchor>
          </commentPr>
        </mc:Fallback>
      </mc:AlternateContent>
    </comment>
    <comment ref="S683" authorId="0" shapeId="6350" xr:uid="{00000000-0006-0000-1400-00004F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20</xdr:col>
                <xdr:colOff>660400</xdr:colOff>
                <xdr:row>685</xdr:row>
                <xdr:rowOff>0</xdr:rowOff>
              </from>
              <to>
                <xdr:col>21</xdr:col>
                <xdr:colOff>0</xdr:colOff>
                <xdr:row>689</xdr:row>
                <xdr:rowOff>0</xdr:rowOff>
              </to>
            </anchor>
          </commentPr>
        </mc:Fallback>
      </mc:AlternateContent>
    </comment>
    <comment ref="T683" authorId="0" shapeId="6351" xr:uid="{00000000-0006-0000-1400-000050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21</xdr:col>
                <xdr:colOff>711200</xdr:colOff>
                <xdr:row>685</xdr:row>
                <xdr:rowOff>0</xdr:rowOff>
              </from>
              <to>
                <xdr:col>22</xdr:col>
                <xdr:colOff>0</xdr:colOff>
                <xdr:row>689</xdr:row>
                <xdr:rowOff>0</xdr:rowOff>
              </to>
            </anchor>
          </commentPr>
        </mc:Fallback>
      </mc:AlternateContent>
    </comment>
    <comment ref="U683" authorId="0" shapeId="6352" xr:uid="{00000000-0006-0000-1400-000051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22</xdr:col>
                <xdr:colOff>660400</xdr:colOff>
                <xdr:row>685</xdr:row>
                <xdr:rowOff>0</xdr:rowOff>
              </from>
              <to>
                <xdr:col>22</xdr:col>
                <xdr:colOff>2438400</xdr:colOff>
                <xdr:row>689</xdr:row>
                <xdr:rowOff>0</xdr:rowOff>
              </to>
            </anchor>
          </commentPr>
        </mc:Fallback>
      </mc:AlternateContent>
    </comment>
    <comment ref="V683" authorId="0" shapeId="6353" xr:uid="{00000000-0006-0000-1400-000052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23</xdr:col>
                <xdr:colOff>304800</xdr:colOff>
                <xdr:row>685</xdr:row>
                <xdr:rowOff>0</xdr:rowOff>
              </from>
              <to>
                <xdr:col>23</xdr:col>
                <xdr:colOff>1981200</xdr:colOff>
                <xdr:row>689</xdr:row>
                <xdr:rowOff>0</xdr:rowOff>
              </to>
            </anchor>
          </commentPr>
        </mc:Fallback>
      </mc:AlternateContent>
    </comment>
    <comment ref="W683" authorId="0" shapeId="6354" xr:uid="{00000000-0006-0000-1400-000053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24</xdr:col>
                <xdr:colOff>50800</xdr:colOff>
                <xdr:row>685</xdr:row>
                <xdr:rowOff>0</xdr:rowOff>
              </from>
              <to>
                <xdr:col>24</xdr:col>
                <xdr:colOff>1828800</xdr:colOff>
                <xdr:row>689</xdr:row>
                <xdr:rowOff>0</xdr:rowOff>
              </to>
            </anchor>
          </commentPr>
        </mc:Fallback>
      </mc:AlternateContent>
    </comment>
    <comment ref="X683" authorId="0" shapeId="6355" xr:uid="{00000000-0006-0000-1400-000054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25</xdr:col>
                <xdr:colOff>863600</xdr:colOff>
                <xdr:row>685</xdr:row>
                <xdr:rowOff>0</xdr:rowOff>
              </from>
              <to>
                <xdr:col>25</xdr:col>
                <xdr:colOff>2590800</xdr:colOff>
                <xdr:row>689</xdr:row>
                <xdr:rowOff>0</xdr:rowOff>
              </to>
            </anchor>
          </commentPr>
        </mc:Fallback>
      </mc:AlternateContent>
    </comment>
    <comment ref="Y683" authorId="0" shapeId="6356" xr:uid="{00000000-0006-0000-1400-000055000000}">
      <text>
        <r>
          <rPr>
            <b/>
            <sz val="9"/>
            <color indexed="81"/>
            <rFont val="Tahoma"/>
            <family val="2"/>
          </rPr>
          <t>Anatoli Poultouchidou (ESA):</t>
        </r>
        <r>
          <rPr>
            <sz val="9"/>
            <color indexed="81"/>
            <rFont val="Tahoma"/>
            <family val="2"/>
          </rPr>
          <t xml:space="preserve">
Carbon stock in biomass after one year</t>
        </r>
      </text>
      <mc:AlternateContent xmlns:mc="http://schemas.openxmlformats.org/markup-compatibility/2006">
        <mc:Choice Requires="v"/>
        <mc:Fallback>
          <commentPr defaultSize="0" autoFill="0" autoLine="0">
            <anchor>
              <from>
                <xdr:col>25</xdr:col>
                <xdr:colOff>3200400</xdr:colOff>
                <xdr:row>685</xdr:row>
                <xdr:rowOff>0</xdr:rowOff>
              </from>
              <to>
                <xdr:col>26</xdr:col>
                <xdr:colOff>1320800</xdr:colOff>
                <xdr:row>689</xdr:row>
                <xdr:rowOff>0</xdr:rowOff>
              </to>
            </anchor>
          </commentPr>
        </mc:Fallback>
      </mc:AlternateContent>
    </comment>
    <comment ref="C852" authorId="0" shapeId="6290" xr:uid="{00000000-0006-0000-1400-000056000000}">
      <text>
        <r>
          <rPr>
            <b/>
            <sz val="9"/>
            <color indexed="81"/>
            <rFont val="Tahoma"/>
            <family val="2"/>
          </rPr>
          <t>Anatoli Poultouchidou (ESA):</t>
        </r>
        <r>
          <rPr>
            <sz val="9"/>
            <color indexed="81"/>
            <rFont val="Tahoma"/>
            <family val="2"/>
          </rPr>
          <t xml:space="preserve">
Set aside (&lt; 20 yrs)</t>
        </r>
      </text>
      <mc:AlternateContent xmlns:mc="http://schemas.openxmlformats.org/markup-compatibility/2006">
        <mc:Choice Requires="v"/>
        <mc:Fallback>
          <commentPr defaultSize="0" autoFill="0" autoLine="0">
            <anchor>
              <from>
                <xdr:col>1</xdr:col>
                <xdr:colOff>0</xdr:colOff>
                <xdr:row>853</xdr:row>
                <xdr:rowOff>50800</xdr:rowOff>
              </from>
              <to>
                <xdr:col>1</xdr:col>
                <xdr:colOff>1371600</xdr:colOff>
                <xdr:row>857</xdr:row>
                <xdr:rowOff>50800</xdr:rowOff>
              </to>
            </anchor>
          </commentPr>
        </mc:Fallback>
      </mc:AlternateContent>
    </comment>
    <comment ref="F852" authorId="0" shapeId="6313" xr:uid="{00000000-0006-0000-1400-000057000000}">
      <text>
        <r>
          <rPr>
            <b/>
            <sz val="9"/>
            <color indexed="81"/>
            <rFont val="Tahoma"/>
            <family val="2"/>
          </rPr>
          <t>Anatoli Poultouchidou (ESA):</t>
        </r>
        <r>
          <rPr>
            <sz val="9"/>
            <color indexed="81"/>
            <rFont val="Tahoma"/>
            <family val="2"/>
          </rPr>
          <t xml:space="preserve">
To be double checked!!!</t>
        </r>
      </text>
      <mc:AlternateContent xmlns:mc="http://schemas.openxmlformats.org/markup-compatibility/2006">
        <mc:Choice Requires="v"/>
        <mc:Fallback>
          <commentPr defaultSize="0" autoFill="0" autoLine="0">
            <anchor>
              <from>
                <xdr:col>3</xdr:col>
                <xdr:colOff>203200</xdr:colOff>
                <xdr:row>854</xdr:row>
                <xdr:rowOff>0</xdr:rowOff>
              </from>
              <to>
                <xdr:col>4</xdr:col>
                <xdr:colOff>863600</xdr:colOff>
                <xdr:row>858</xdr:row>
                <xdr:rowOff>0</xdr:rowOff>
              </to>
            </anchor>
          </commentPr>
        </mc:Fallback>
      </mc:AlternateContent>
    </comment>
    <comment ref="P852" authorId="0" shapeId="6293" xr:uid="{00000000-0006-0000-1400-000058000000}">
      <text>
        <r>
          <rPr>
            <b/>
            <sz val="9"/>
            <color indexed="81"/>
            <rFont val="Tahoma"/>
            <family val="2"/>
          </rPr>
          <t>Anatoli Poultouchidou (ESA):</t>
        </r>
        <r>
          <rPr>
            <sz val="9"/>
            <color indexed="81"/>
            <rFont val="Tahoma"/>
            <family val="2"/>
          </rPr>
          <t xml:space="preserve">
Check with Martial  FLU in degraded land
EX-ACT v7: FLU degraded in Afforestation and Deforestation are not the same 
In A-R: FLU degraded = 0.33
In Defo: FLU degraded = 50% FLU annual</t>
        </r>
      </text>
      <mc:AlternateContent xmlns:mc="http://schemas.openxmlformats.org/markup-compatibility/2006">
        <mc:Choice Requires="v"/>
        <mc:Fallback>
          <commentPr defaultSize="0" autoFill="0" autoLine="0">
            <anchor>
              <from>
                <xdr:col>12</xdr:col>
                <xdr:colOff>762000</xdr:colOff>
                <xdr:row>854</xdr:row>
                <xdr:rowOff>0</xdr:rowOff>
              </from>
              <to>
                <xdr:col>13</xdr:col>
                <xdr:colOff>1219200</xdr:colOff>
                <xdr:row>861</xdr:row>
                <xdr:rowOff>0</xdr:rowOff>
              </to>
            </anchor>
          </commentPr>
        </mc:Fallback>
      </mc:AlternateContent>
    </comment>
    <comment ref="B1472" authorId="0" shapeId="6296" xr:uid="{00000000-0006-0000-1400-000059000000}">
      <text>
        <r>
          <rPr>
            <b/>
            <sz val="9"/>
            <color indexed="81"/>
            <rFont val="Tahoma"/>
            <family val="2"/>
          </rPr>
          <t>Anatoli Poultouchidou (ESA):</t>
        </r>
        <r>
          <rPr>
            <sz val="9"/>
            <color indexed="81"/>
            <rFont val="Tahoma"/>
            <family val="2"/>
          </rPr>
          <t xml:space="preserve">
same values as in EX-ACT v7 To be checked!!!</t>
        </r>
      </text>
      <mc:AlternateContent xmlns:mc="http://schemas.openxmlformats.org/markup-compatibility/2006">
        <mc:Choice Requires="v"/>
        <mc:Fallback>
          <commentPr defaultSize="0" autoFill="0" autoLine="0">
            <anchor>
              <from>
                <xdr:col>0</xdr:col>
                <xdr:colOff>5384800</xdr:colOff>
                <xdr:row>1474</xdr:row>
                <xdr:rowOff>0</xdr:rowOff>
              </from>
              <to>
                <xdr:col>1</xdr:col>
                <xdr:colOff>1219200</xdr:colOff>
                <xdr:row>1478</xdr:row>
                <xdr:rowOff>0</xdr:rowOff>
              </to>
            </anchor>
          </commentPr>
        </mc:Fallback>
      </mc:AlternateContent>
    </comment>
    <comment ref="A1488" authorId="0" shapeId="6295" xr:uid="{00000000-0006-0000-1400-00005A000000}">
      <text>
        <r>
          <rPr>
            <b/>
            <sz val="9"/>
            <color indexed="81"/>
            <rFont val="Tahoma"/>
            <family val="2"/>
          </rPr>
          <t>Anatoli Poultouchidou (ESA):</t>
        </r>
        <r>
          <rPr>
            <sz val="9"/>
            <color indexed="81"/>
            <rFont val="Tahoma"/>
            <family val="2"/>
          </rPr>
          <t xml:space="preserve">
Native vegetation that has been heavily disturbed. Land with low levels of biomass and soil carbon </t>
        </r>
      </text>
      <mc:AlternateContent xmlns:mc="http://schemas.openxmlformats.org/markup-compatibility/2006">
        <mc:Choice Requires="v"/>
        <mc:Fallback>
          <commentPr defaultSize="0" autoFill="0" autoLine="0">
            <anchor>
              <from>
                <xdr:col>0</xdr:col>
                <xdr:colOff>3657600</xdr:colOff>
                <xdr:row>1490</xdr:row>
                <xdr:rowOff>0</xdr:rowOff>
              </from>
              <to>
                <xdr:col>0</xdr:col>
                <xdr:colOff>5588000</xdr:colOff>
                <xdr:row>1497</xdr:row>
                <xdr:rowOff>0</xdr:rowOff>
              </to>
            </anchor>
          </commentPr>
        </mc:Fallback>
      </mc:AlternateContent>
    </comment>
    <comment ref="E1517" authorId="0" shapeId="6383" xr:uid="{00000000-0006-0000-1400-00005B000000}">
      <text>
        <r>
          <rPr>
            <b/>
            <sz val="9"/>
            <color indexed="81"/>
            <rFont val="Tahoma"/>
            <family val="2"/>
          </rPr>
          <t>Anatoli Poultouchidou (ESA):</t>
        </r>
        <r>
          <rPr>
            <sz val="9"/>
            <color indexed="81"/>
            <rFont val="Tahoma"/>
            <family val="2"/>
          </rPr>
          <t xml:space="preserve">
represents temporary annual fallow and so it is set same biomass as annual cropland
</t>
        </r>
      </text>
      <mc:AlternateContent xmlns:mc="http://schemas.openxmlformats.org/markup-compatibility/2006">
        <mc:Choice Requires="v"/>
        <mc:Fallback>
          <commentPr defaultSize="0" autoFill="0" autoLine="0">
            <anchor>
              <from>
                <xdr:col>4</xdr:col>
                <xdr:colOff>1219200</xdr:colOff>
                <xdr:row>1518</xdr:row>
                <xdr:rowOff>50800</xdr:rowOff>
              </from>
              <to>
                <xdr:col>5</xdr:col>
                <xdr:colOff>1320800</xdr:colOff>
                <xdr:row>1527</xdr:row>
                <xdr:rowOff>0</xdr:rowOff>
              </to>
            </anchor>
          </commentPr>
        </mc:Fallback>
      </mc:AlternateContent>
    </comment>
    <comment ref="F1517" authorId="0" shapeId="6384" xr:uid="{00000000-0006-0000-1400-00005C000000}">
      <text>
        <r>
          <rPr>
            <b/>
            <sz val="9"/>
            <color indexed="81"/>
            <rFont val="Tahoma"/>
            <family val="2"/>
          </rPr>
          <t>Anatoli Poultouchidou (ESA):</t>
        </r>
        <r>
          <rPr>
            <sz val="9"/>
            <color indexed="81"/>
            <rFont val="Tahoma"/>
            <family val="2"/>
          </rPr>
          <t xml:space="preserve">
 same as annual cropland</t>
        </r>
      </text>
      <mc:AlternateContent xmlns:mc="http://schemas.openxmlformats.org/markup-compatibility/2006">
        <mc:Choice Requires="v"/>
        <mc:Fallback>
          <commentPr defaultSize="0" autoFill="0" autoLine="0">
            <anchor>
              <from>
                <xdr:col>6</xdr:col>
                <xdr:colOff>203200</xdr:colOff>
                <xdr:row>1518</xdr:row>
                <xdr:rowOff>50800</xdr:rowOff>
              </from>
              <to>
                <xdr:col>7</xdr:col>
                <xdr:colOff>50800</xdr:colOff>
                <xdr:row>1523</xdr:row>
                <xdr:rowOff>0</xdr:rowOff>
              </to>
            </anchor>
          </commentPr>
        </mc:Fallback>
      </mc:AlternateContent>
    </comment>
    <comment ref="G1517" authorId="0" shapeId="6385" xr:uid="{00000000-0006-0000-1400-00005D000000}">
      <text>
        <r>
          <rPr>
            <b/>
            <sz val="9"/>
            <color indexed="81"/>
            <rFont val="Tahoma"/>
            <family val="2"/>
          </rPr>
          <t>Anatoli Poultouchidou (ESA):</t>
        </r>
        <r>
          <rPr>
            <sz val="9"/>
            <color indexed="81"/>
            <rFont val="Tahoma"/>
            <family val="2"/>
          </rPr>
          <t xml:space="preserve">
Total biomass = AGB + BGB</t>
        </r>
      </text>
      <mc:AlternateContent xmlns:mc="http://schemas.openxmlformats.org/markup-compatibility/2006">
        <mc:Choice Requires="v"/>
        <mc:Fallback>
          <commentPr defaultSize="0" autoFill="0" autoLine="0">
            <anchor>
              <from>
                <xdr:col>7</xdr:col>
                <xdr:colOff>2133600</xdr:colOff>
                <xdr:row>1518</xdr:row>
                <xdr:rowOff>50800</xdr:rowOff>
              </from>
              <to>
                <xdr:col>9</xdr:col>
                <xdr:colOff>0</xdr:colOff>
                <xdr:row>1524</xdr:row>
                <xdr:rowOff>0</xdr:rowOff>
              </to>
            </anchor>
          </commentPr>
        </mc:Fallback>
      </mc:AlternateContent>
    </comment>
    <comment ref="R1517" authorId="0" shapeId="6386" xr:uid="{00000000-0006-0000-1400-00005E000000}">
      <text>
        <r>
          <rPr>
            <b/>
            <sz val="9"/>
            <color indexed="81"/>
            <rFont val="Tahoma"/>
            <family val="2"/>
          </rPr>
          <t>Anatoli Poultouchidou (ESA):</t>
        </r>
        <r>
          <rPr>
            <sz val="9"/>
            <color indexed="81"/>
            <rFont val="Tahoma"/>
            <family val="2"/>
          </rPr>
          <t xml:space="preserve">
Native vegetation that has been heavily disturbed. Land with low levels of biomass and soil carbon </t>
        </r>
      </text>
      <mc:AlternateContent xmlns:mc="http://schemas.openxmlformats.org/markup-compatibility/2006">
        <mc:Choice Requires="v"/>
        <mc:Fallback>
          <commentPr defaultSize="0" autoFill="0" autoLine="0">
            <anchor>
              <from>
                <xdr:col>19</xdr:col>
                <xdr:colOff>50800</xdr:colOff>
                <xdr:row>1518</xdr:row>
                <xdr:rowOff>50800</xdr:rowOff>
              </from>
              <to>
                <xdr:col>19</xdr:col>
                <xdr:colOff>2082800</xdr:colOff>
                <xdr:row>1526</xdr:row>
                <xdr:rowOff>0</xdr:rowOff>
              </to>
            </anchor>
          </commentPr>
        </mc:Fallback>
      </mc:AlternateContent>
    </comment>
    <comment ref="J1518" authorId="0" shapeId="6387" xr:uid="{00000000-0006-0000-1400-00005F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10</xdr:col>
                <xdr:colOff>1473200</xdr:colOff>
                <xdr:row>1519</xdr:row>
                <xdr:rowOff>50800</xdr:rowOff>
              </from>
              <to>
                <xdr:col>11</xdr:col>
                <xdr:colOff>1981200</xdr:colOff>
                <xdr:row>1529</xdr:row>
                <xdr:rowOff>0</xdr:rowOff>
              </to>
            </anchor>
          </commentPr>
        </mc:Fallback>
      </mc:AlternateContent>
    </comment>
    <comment ref="K1518" authorId="0" shapeId="6388" xr:uid="{00000000-0006-0000-1400-000060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11</xdr:col>
                <xdr:colOff>1422400</xdr:colOff>
                <xdr:row>1519</xdr:row>
                <xdr:rowOff>50800</xdr:rowOff>
              </from>
              <to>
                <xdr:col>12</xdr:col>
                <xdr:colOff>1422400</xdr:colOff>
                <xdr:row>1526</xdr:row>
                <xdr:rowOff>0</xdr:rowOff>
              </to>
            </anchor>
          </commentPr>
        </mc:Fallback>
      </mc:AlternateContent>
    </comment>
    <comment ref="L1518" authorId="0" shapeId="6389" xr:uid="{00000000-0006-0000-1400-000061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12</xdr:col>
                <xdr:colOff>1422400</xdr:colOff>
                <xdr:row>1519</xdr:row>
                <xdr:rowOff>50800</xdr:rowOff>
              </from>
              <to>
                <xdr:col>13</xdr:col>
                <xdr:colOff>2235200</xdr:colOff>
                <xdr:row>1529</xdr:row>
                <xdr:rowOff>0</xdr:rowOff>
              </to>
            </anchor>
          </commentPr>
        </mc:Fallback>
      </mc:AlternateContent>
    </comment>
    <comment ref="M1518" authorId="0" shapeId="6390" xr:uid="{00000000-0006-0000-1400-000062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13</xdr:col>
                <xdr:colOff>1473200</xdr:colOff>
                <xdr:row>1519</xdr:row>
                <xdr:rowOff>50800</xdr:rowOff>
              </from>
              <to>
                <xdr:col>14</xdr:col>
                <xdr:colOff>2082800</xdr:colOff>
                <xdr:row>1526</xdr:row>
                <xdr:rowOff>0</xdr:rowOff>
              </to>
            </anchor>
          </commentPr>
        </mc:Fallback>
      </mc:AlternateContent>
    </comment>
    <comment ref="N1518" authorId="0" shapeId="6391" xr:uid="{00000000-0006-0000-1400-000063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15</xdr:col>
                <xdr:colOff>0</xdr:colOff>
                <xdr:row>1519</xdr:row>
                <xdr:rowOff>50800</xdr:rowOff>
              </from>
              <to>
                <xdr:col>15</xdr:col>
                <xdr:colOff>2082800</xdr:colOff>
                <xdr:row>1526</xdr:row>
                <xdr:rowOff>0</xdr:rowOff>
              </to>
            </anchor>
          </commentPr>
        </mc:Fallback>
      </mc:AlternateContent>
    </comment>
    <comment ref="O1518" authorId="0" shapeId="6392" xr:uid="{00000000-0006-0000-1400-000064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16</xdr:col>
                <xdr:colOff>0</xdr:colOff>
                <xdr:row>1519</xdr:row>
                <xdr:rowOff>50800</xdr:rowOff>
              </from>
              <to>
                <xdr:col>17</xdr:col>
                <xdr:colOff>0</xdr:colOff>
                <xdr:row>1526</xdr:row>
                <xdr:rowOff>0</xdr:rowOff>
              </to>
            </anchor>
          </commentPr>
        </mc:Fallback>
      </mc:AlternateContent>
    </comment>
    <comment ref="P1518" authorId="0" shapeId="6393" xr:uid="{00000000-0006-0000-1400-000065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17</xdr:col>
                <xdr:colOff>254000</xdr:colOff>
                <xdr:row>1519</xdr:row>
                <xdr:rowOff>50800</xdr:rowOff>
              </from>
              <to>
                <xdr:col>18</xdr:col>
                <xdr:colOff>50800</xdr:colOff>
                <xdr:row>1526</xdr:row>
                <xdr:rowOff>0</xdr:rowOff>
              </to>
            </anchor>
          </commentPr>
        </mc:Fallback>
      </mc:AlternateContent>
    </comment>
    <comment ref="Q1518" authorId="0" shapeId="6394" xr:uid="{00000000-0006-0000-1400-000066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18</xdr:col>
                <xdr:colOff>101600</xdr:colOff>
                <xdr:row>1519</xdr:row>
                <xdr:rowOff>50800</xdr:rowOff>
              </from>
              <to>
                <xdr:col>19</xdr:col>
                <xdr:colOff>0</xdr:colOff>
                <xdr:row>1526</xdr:row>
                <xdr:rowOff>0</xdr:rowOff>
              </to>
            </anchor>
          </commentPr>
        </mc:Fallback>
      </mc:AlternateContent>
    </comment>
    <comment ref="S1518" authorId="0" shapeId="6395" xr:uid="{00000000-0006-0000-1400-000067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20</xdr:col>
                <xdr:colOff>50800</xdr:colOff>
                <xdr:row>1519</xdr:row>
                <xdr:rowOff>50800</xdr:rowOff>
              </from>
              <to>
                <xdr:col>20</xdr:col>
                <xdr:colOff>2438400</xdr:colOff>
                <xdr:row>1526</xdr:row>
                <xdr:rowOff>0</xdr:rowOff>
              </to>
            </anchor>
          </commentPr>
        </mc:Fallback>
      </mc:AlternateContent>
    </comment>
    <comment ref="T1518" authorId="0" shapeId="6396" xr:uid="{00000000-0006-0000-1400-000068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21</xdr:col>
                <xdr:colOff>101600</xdr:colOff>
                <xdr:row>1519</xdr:row>
                <xdr:rowOff>50800</xdr:rowOff>
              </from>
              <to>
                <xdr:col>21</xdr:col>
                <xdr:colOff>2438400</xdr:colOff>
                <xdr:row>1526</xdr:row>
                <xdr:rowOff>0</xdr:rowOff>
              </to>
            </anchor>
          </commentPr>
        </mc:Fallback>
      </mc:AlternateContent>
    </comment>
    <comment ref="U1518" authorId="0" shapeId="6397" xr:uid="{00000000-0006-0000-1400-000069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22</xdr:col>
                <xdr:colOff>0</xdr:colOff>
                <xdr:row>1519</xdr:row>
                <xdr:rowOff>50800</xdr:rowOff>
              </from>
              <to>
                <xdr:col>22</xdr:col>
                <xdr:colOff>2438400</xdr:colOff>
                <xdr:row>1526</xdr:row>
                <xdr:rowOff>0</xdr:rowOff>
              </to>
            </anchor>
          </commentPr>
        </mc:Fallback>
      </mc:AlternateContent>
    </comment>
    <comment ref="V1518" authorId="0" shapeId="6398" xr:uid="{00000000-0006-0000-1400-00006A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22</xdr:col>
                <xdr:colOff>2540000</xdr:colOff>
                <xdr:row>1519</xdr:row>
                <xdr:rowOff>50800</xdr:rowOff>
              </from>
              <to>
                <xdr:col>23</xdr:col>
                <xdr:colOff>1930400</xdr:colOff>
                <xdr:row>1526</xdr:row>
                <xdr:rowOff>0</xdr:rowOff>
              </to>
            </anchor>
          </commentPr>
        </mc:Fallback>
      </mc:AlternateContent>
    </comment>
    <comment ref="W1518" authorId="0" shapeId="6399" xr:uid="{00000000-0006-0000-1400-00006B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23</xdr:col>
                <xdr:colOff>2540000</xdr:colOff>
                <xdr:row>1519</xdr:row>
                <xdr:rowOff>50800</xdr:rowOff>
              </from>
              <to>
                <xdr:col>24</xdr:col>
                <xdr:colOff>1574800</xdr:colOff>
                <xdr:row>1526</xdr:row>
                <xdr:rowOff>0</xdr:rowOff>
              </to>
            </anchor>
          </commentPr>
        </mc:Fallback>
      </mc:AlternateContent>
    </comment>
    <comment ref="X1518" authorId="0" shapeId="6400" xr:uid="{00000000-0006-0000-1400-00006C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25</xdr:col>
                <xdr:colOff>304800</xdr:colOff>
                <xdr:row>1519</xdr:row>
                <xdr:rowOff>50800</xdr:rowOff>
              </from>
              <to>
                <xdr:col>25</xdr:col>
                <xdr:colOff>2540000</xdr:colOff>
                <xdr:row>1526</xdr:row>
                <xdr:rowOff>0</xdr:rowOff>
              </to>
            </anchor>
          </commentPr>
        </mc:Fallback>
      </mc:AlternateContent>
    </comment>
    <comment ref="Y1518" authorId="0" shapeId="6401" xr:uid="{00000000-0006-0000-1400-00006D000000}">
      <text>
        <r>
          <rPr>
            <b/>
            <sz val="9"/>
            <color indexed="81"/>
            <rFont val="Tahoma"/>
            <family val="2"/>
          </rPr>
          <t>Anatoli Poultouchidou (ESA):</t>
        </r>
        <r>
          <rPr>
            <sz val="9"/>
            <color indexed="81"/>
            <rFont val="Tahoma"/>
            <family val="2"/>
          </rPr>
          <t xml:space="preserve">
Countries should use Lmean in updated Table 5.1 and 5.3 in the case that carbon removal has occurred by land use change where the age of the perennial crop removed is unknown. Carbon losses are estimated by multiplying the annual area of land conversion by Lmean.</t>
        </r>
      </text>
      <mc:AlternateContent xmlns:mc="http://schemas.openxmlformats.org/markup-compatibility/2006">
        <mc:Choice Requires="v"/>
        <mc:Fallback>
          <commentPr defaultSize="0" autoFill="0" autoLine="0">
            <anchor>
              <from>
                <xdr:col>25</xdr:col>
                <xdr:colOff>2540000</xdr:colOff>
                <xdr:row>1519</xdr:row>
                <xdr:rowOff>50800</xdr:rowOff>
              </from>
              <to>
                <xdr:col>26</xdr:col>
                <xdr:colOff>1270000</xdr:colOff>
                <xdr:row>1526</xdr:row>
                <xdr:rowOff>0</xdr:rowOff>
              </to>
            </anchor>
          </commentPr>
        </mc:Fallback>
      </mc:AlternateContent>
    </comment>
    <comment ref="F1520" authorId="0" shapeId="6402" xr:uid="{00000000-0006-0000-1400-00006E000000}">
      <text>
        <r>
          <rPr>
            <b/>
            <sz val="9"/>
            <color indexed="81"/>
            <rFont val="Tahoma"/>
            <family val="2"/>
          </rPr>
          <t>Anatoli Poultouchidou (ESA):</t>
        </r>
        <r>
          <rPr>
            <sz val="9"/>
            <color indexed="81"/>
            <rFont val="Tahoma"/>
            <family val="2"/>
          </rPr>
          <t xml:space="preserve">
 same as annual cropland</t>
        </r>
      </text>
      <mc:AlternateContent xmlns:mc="http://schemas.openxmlformats.org/markup-compatibility/2006">
        <mc:Choice Requires="v"/>
        <mc:Fallback>
          <commentPr defaultSize="0" autoFill="0" autoLine="0">
            <anchor>
              <from>
                <xdr:col>6</xdr:col>
                <xdr:colOff>203200</xdr:colOff>
                <xdr:row>1523</xdr:row>
                <xdr:rowOff>0</xdr:rowOff>
              </from>
              <to>
                <xdr:col>7</xdr:col>
                <xdr:colOff>50800</xdr:colOff>
                <xdr:row>1527</xdr:row>
                <xdr:rowOff>50800</xdr:rowOff>
              </to>
            </anchor>
          </commentPr>
        </mc:Fallback>
      </mc:AlternateContent>
    </comment>
    <comment ref="C1687" authorId="0" shapeId="6403" xr:uid="{00000000-0006-0000-1400-00006F000000}">
      <text>
        <r>
          <rPr>
            <b/>
            <sz val="9"/>
            <color indexed="81"/>
            <rFont val="Tahoma"/>
            <family val="2"/>
          </rPr>
          <t>Anatoli Poultouchidou (ESA):</t>
        </r>
        <r>
          <rPr>
            <sz val="9"/>
            <color indexed="81"/>
            <rFont val="Tahoma"/>
            <family val="2"/>
          </rPr>
          <t xml:space="preserve">
Set aside (&lt; 20 yrs)</t>
        </r>
      </text>
      <mc:AlternateContent xmlns:mc="http://schemas.openxmlformats.org/markup-compatibility/2006">
        <mc:Choice Requires="v"/>
        <mc:Fallback>
          <commentPr defaultSize="0" autoFill="0" autoLine="0">
            <anchor>
              <from>
                <xdr:col>1</xdr:col>
                <xdr:colOff>0</xdr:colOff>
                <xdr:row>1689</xdr:row>
                <xdr:rowOff>0</xdr:rowOff>
              </from>
              <to>
                <xdr:col>1</xdr:col>
                <xdr:colOff>1473200</xdr:colOff>
                <xdr:row>1693</xdr:row>
                <xdr:rowOff>0</xdr:rowOff>
              </to>
            </anchor>
          </commentPr>
        </mc:Fallback>
      </mc:AlternateContent>
    </comment>
    <comment ref="F1687" authorId="0" shapeId="6404" xr:uid="{00000000-0006-0000-1400-000070000000}">
      <text>
        <r>
          <rPr>
            <b/>
            <sz val="9"/>
            <color indexed="81"/>
            <rFont val="Tahoma"/>
            <family val="2"/>
          </rPr>
          <t>Anatoli Poultouchidou (ESA):</t>
        </r>
        <r>
          <rPr>
            <sz val="9"/>
            <color indexed="81"/>
            <rFont val="Tahoma"/>
            <family val="2"/>
          </rPr>
          <t xml:space="preserve">
To be double checked!!!</t>
        </r>
      </text>
      <mc:AlternateContent xmlns:mc="http://schemas.openxmlformats.org/markup-compatibility/2006">
        <mc:Choice Requires="v"/>
        <mc:Fallback>
          <commentPr defaultSize="0" autoFill="0" autoLine="0">
            <anchor>
              <from>
                <xdr:col>3</xdr:col>
                <xdr:colOff>0</xdr:colOff>
                <xdr:row>1689</xdr:row>
                <xdr:rowOff>0</xdr:rowOff>
              </from>
              <to>
                <xdr:col>4</xdr:col>
                <xdr:colOff>609600</xdr:colOff>
                <xdr:row>1693</xdr:row>
                <xdr:rowOff>0</xdr:rowOff>
              </to>
            </anchor>
          </commentPr>
        </mc:Fallback>
      </mc:AlternateContent>
    </comment>
    <comment ref="P1687" authorId="0" shapeId="6405" xr:uid="{00000000-0006-0000-1400-000071000000}">
      <text>
        <r>
          <rPr>
            <b/>
            <sz val="9"/>
            <color indexed="81"/>
            <rFont val="Tahoma"/>
            <family val="2"/>
          </rPr>
          <t>Anatoli Poultouchidou (ESA):</t>
        </r>
        <r>
          <rPr>
            <sz val="9"/>
            <color indexed="81"/>
            <rFont val="Tahoma"/>
            <family val="2"/>
          </rPr>
          <t xml:space="preserve">
Check with Martial  FLU in degraded land
EX-ACT v7: FLU degraded in Afforestation and Deforestation are not the same 
In A-R: FLU degraded = 0.33
In Defo: FLU degraded = 50% FLU annual</t>
        </r>
      </text>
      <mc:AlternateContent xmlns:mc="http://schemas.openxmlformats.org/markup-compatibility/2006">
        <mc:Choice Requires="v"/>
        <mc:Fallback>
          <commentPr defaultSize="0" autoFill="0" autoLine="0">
            <anchor>
              <from>
                <xdr:col>13</xdr:col>
                <xdr:colOff>2032000</xdr:colOff>
                <xdr:row>1689</xdr:row>
                <xdr:rowOff>0</xdr:rowOff>
              </from>
              <to>
                <xdr:col>15</xdr:col>
                <xdr:colOff>609600</xdr:colOff>
                <xdr:row>1696</xdr:row>
                <xdr:rowOff>0</xdr:rowOff>
              </to>
            </anchor>
          </commentPr>
        </mc:Fallback>
      </mc:AlternateContent>
    </comment>
    <comment ref="C2328" authorId="2" shapeId="6406" xr:uid="{00000000-0006-0000-1400-000072000000}">
      <text>
        <r>
          <rPr>
            <b/>
            <sz val="9"/>
            <color indexed="81"/>
            <rFont val="Tahoma"/>
            <family val="2"/>
          </rPr>
          <t>LaureSophie Schiettecatte (ESA):</t>
        </r>
        <r>
          <rPr>
            <sz val="9"/>
            <color indexed="81"/>
            <rFont val="Tahoma"/>
            <family val="2"/>
          </rPr>
          <t xml:space="preserve">
check with GLEAM
</t>
        </r>
      </text>
      <mc:AlternateContent xmlns:mc="http://schemas.openxmlformats.org/markup-compatibility/2006">
        <mc:Choice Requires="v"/>
        <mc:Fallback>
          <commentPr defaultSize="0" autoFill="0" autoLine="0">
            <anchor>
              <from>
                <xdr:col>1</xdr:col>
                <xdr:colOff>660400</xdr:colOff>
                <xdr:row>2321</xdr:row>
                <xdr:rowOff>0</xdr:rowOff>
              </from>
              <to>
                <xdr:col>2</xdr:col>
                <xdr:colOff>609600</xdr:colOff>
                <xdr:row>2324</xdr:row>
                <xdr:rowOff>50800</xdr:rowOff>
              </to>
            </anchor>
          </commentPr>
        </mc:Fallback>
      </mc:AlternateContent>
    </comment>
  </commentList>
</comments>
</file>

<file path=xl/comments5.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LaureSophie Schiettecatte (ESA)</author>
    <author>Anatoli Poultouchidou (ESA)</author>
  </authors>
  <commentList>
    <comment ref="M34" authorId="0" shapeId="16447" xr:uid="{00000000-0006-0000-0800-000001000000}">
      <text>
        <r>
          <rPr>
            <b/>
            <sz val="9"/>
            <color indexed="81"/>
            <rFont val="Tahoma"/>
            <family val="2"/>
          </rPr>
          <t>LaureSophie Schiettecatte (ESA):</t>
        </r>
        <r>
          <rPr>
            <sz val="9"/>
            <color indexed="81"/>
            <rFont val="Tahoma"/>
            <family val="2"/>
          </rPr>
          <t xml:space="preserve">
TO BE CHECKED IF METHODOLOGICAL APPROACH IS CORRECT</t>
        </r>
      </text>
      <mc:AlternateContent xmlns:mc="http://schemas.openxmlformats.org/markup-compatibility/2006">
        <mc:Choice Requires="v"/>
        <mc:Fallback>
          <commentPr defaultSize="0" autoFill="0" autoLine="0">
            <anchor>
              <from>
                <xdr:col>13</xdr:col>
                <xdr:colOff>0</xdr:colOff>
                <xdr:row>29</xdr:row>
                <xdr:rowOff>50800</xdr:rowOff>
              </from>
              <to>
                <xdr:col>14</xdr:col>
                <xdr:colOff>609600</xdr:colOff>
                <xdr:row>33</xdr:row>
                <xdr:rowOff>0</xdr:rowOff>
              </to>
            </anchor>
          </commentPr>
        </mc:Fallback>
      </mc:AlternateContent>
    </comment>
    <comment ref="M58" authorId="1" shapeId="16385" xr:uid="{00000000-0006-0000-0800-000002000000}">
      <text>
        <r>
          <rPr>
            <b/>
            <sz val="9"/>
            <color indexed="81"/>
            <rFont val="Tahoma"/>
            <family val="2"/>
          </rPr>
          <t>Anatoli Poultouchidou (ESA):</t>
        </r>
        <r>
          <rPr>
            <sz val="9"/>
            <color indexed="81"/>
            <rFont val="Tahoma"/>
            <family val="2"/>
          </rPr>
          <t xml:space="preserve">
to be checked
much higher than EX-ACT v7.2
</t>
        </r>
      </text>
      <mc:AlternateContent xmlns:mc="http://schemas.openxmlformats.org/markup-compatibility/2006">
        <mc:Choice Requires="v"/>
        <mc:Fallback>
          <commentPr defaultSize="0" autoFill="0" autoLine="0">
            <anchor>
              <from>
                <xdr:col>10</xdr:col>
                <xdr:colOff>1422400</xdr:colOff>
                <xdr:row>52</xdr:row>
                <xdr:rowOff>0</xdr:rowOff>
              </from>
              <to>
                <xdr:col>11</xdr:col>
                <xdr:colOff>1219200</xdr:colOff>
                <xdr:row>56</xdr:row>
                <xdr:rowOff>0</xdr:rowOff>
              </to>
            </anchor>
          </commentPr>
        </mc:Fallback>
      </mc:AlternateContent>
    </comment>
    <comment ref="X58" authorId="1" shapeId="16426" xr:uid="{00000000-0006-0000-0800-000003000000}">
      <text>
        <r>
          <rPr>
            <b/>
            <sz val="9"/>
            <color indexed="81"/>
            <rFont val="Tahoma"/>
            <family val="2"/>
          </rPr>
          <t>Anatoli Poultouchidou (ESA):</t>
        </r>
        <r>
          <rPr>
            <sz val="9"/>
            <color indexed="81"/>
            <rFont val="Tahoma"/>
            <family val="2"/>
          </rPr>
          <t xml:space="preserve">
to be checked
much higher than EX-ACT v7.2
</t>
        </r>
      </text>
      <mc:AlternateContent xmlns:mc="http://schemas.openxmlformats.org/markup-compatibility/2006">
        <mc:Choice Requires="v"/>
        <mc:Fallback>
          <commentPr defaultSize="0" autoFill="0" autoLine="0">
            <anchor>
              <from>
                <xdr:col>20</xdr:col>
                <xdr:colOff>711200</xdr:colOff>
                <xdr:row>52</xdr:row>
                <xdr:rowOff>0</xdr:rowOff>
              </from>
              <to>
                <xdr:col>21</xdr:col>
                <xdr:colOff>762000</xdr:colOff>
                <xdr:row>56</xdr:row>
                <xdr:rowOff>0</xdr:rowOff>
              </to>
            </anchor>
          </commentPr>
        </mc:Fallback>
      </mc:AlternateContent>
    </comment>
  </commentList>
</comments>
</file>

<file path=xl/comments6.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Martial Bernoux</author>
  </authors>
  <commentList>
    <comment ref="E10" authorId="0" shapeId="34823" xr:uid="{00000000-0006-0000-0900-000001000000}">
      <text>
        <r>
          <rPr>
            <b/>
            <sz val="9"/>
            <color indexed="81"/>
            <rFont val="Tahoma"/>
            <family val="2"/>
          </rPr>
          <t>Anatoli Poultouchidou (ESA):</t>
        </r>
        <r>
          <rPr>
            <sz val="9"/>
            <color indexed="81"/>
            <rFont val="Tahoma"/>
            <family val="2"/>
          </rPr>
          <t xml:space="preserve">
Number of episodes of residue burning each year
e.g. 1 indicates one episode of residue burning each year</t>
        </r>
      </text>
      <mc:AlternateContent xmlns:mc="http://schemas.openxmlformats.org/markup-compatibility/2006">
        <mc:Choice Requires="v"/>
        <mc:Fallback>
          <commentPr defaultSize="0" autoFill="0" autoLine="0">
            <anchor>
              <from>
                <xdr:col>1</xdr:col>
                <xdr:colOff>2794000</xdr:colOff>
                <xdr:row>6</xdr:row>
                <xdr:rowOff>0</xdr:rowOff>
              </from>
              <to>
                <xdr:col>5</xdr:col>
                <xdr:colOff>965200</xdr:colOff>
                <xdr:row>11</xdr:row>
                <xdr:rowOff>0</xdr:rowOff>
              </to>
            </anchor>
          </commentPr>
        </mc:Fallback>
      </mc:AlternateContent>
    </comment>
    <comment ref="F10" authorId="1" shapeId="34817" xr:uid="{00000000-0006-0000-0900-000002000000}">
      <text>
        <r>
          <rPr>
            <b/>
            <sz val="8"/>
            <color indexed="81"/>
            <rFont val="Tahoma"/>
            <family val="2"/>
          </rPr>
          <t xml:space="preserve">Need to be informed just if Burning is set to "yes"
Default value is 10 tonnes dry matter per ha
</t>
        </r>
      </text>
      <mc:AlternateContent xmlns:mc="http://schemas.openxmlformats.org/markup-compatibility/2006">
        <mc:Choice Requires="v"/>
        <mc:Fallback>
          <commentPr defaultSize="0" autoFill="0" autoLine="0">
            <anchor>
              <from>
                <xdr:col>1</xdr:col>
                <xdr:colOff>2235200</xdr:colOff>
                <xdr:row>6</xdr:row>
                <xdr:rowOff>0</xdr:rowOff>
              </from>
              <to>
                <xdr:col>3</xdr:col>
                <xdr:colOff>0</xdr:colOff>
                <xdr:row>9</xdr:row>
                <xdr:rowOff>0</xdr:rowOff>
              </to>
            </anchor>
          </commentPr>
        </mc:Fallback>
      </mc:AlternateContent>
    </comment>
  </commentList>
</comments>
</file>

<file path=xl/comments7.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s>
  <commentList>
    <comment ref="Q7" authorId="0" shapeId="43009" xr:uid="{00000000-0006-0000-0C00-000001000000}">
      <text>
        <r>
          <rPr>
            <b/>
            <sz val="9"/>
            <color indexed="81"/>
            <rFont val="Tahoma"/>
            <family val="2"/>
          </rPr>
          <t>Anatoli Poultouchidou (ESA):</t>
        </r>
        <r>
          <rPr>
            <sz val="9"/>
            <color indexed="81"/>
            <rFont val="Tahoma"/>
            <family val="2"/>
          </rPr>
          <t xml:space="preserve">
*Soil effect limited to 20 years</t>
        </r>
      </text>
      <mc:AlternateContent xmlns:mc="http://schemas.openxmlformats.org/markup-compatibility/2006">
        <mc:Choice Requires="v"/>
        <mc:Fallback>
          <commentPr defaultSize="0" autoFill="0" autoLine="0">
            <anchor>
              <from>
                <xdr:col>9</xdr:col>
                <xdr:colOff>660400</xdr:colOff>
                <xdr:row>3</xdr:row>
                <xdr:rowOff>50800</xdr:rowOff>
              </from>
              <to>
                <xdr:col>11</xdr:col>
                <xdr:colOff>406400</xdr:colOff>
                <xdr:row>7</xdr:row>
                <xdr:rowOff>0</xdr:rowOff>
              </to>
            </anchor>
          </commentPr>
        </mc:Fallback>
      </mc:AlternateContent>
    </comment>
  </commentList>
</comments>
</file>

<file path=xl/comments8.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LaureSophie Schiettecatte (ESA)</author>
  </authors>
  <commentList>
    <comment ref="E61" authorId="0" shapeId="119812" xr:uid="{00000000-0006-0000-0D00-000001000000}">
      <text>
        <r>
          <rPr>
            <b/>
            <sz val="9"/>
            <color indexed="81"/>
            <rFont val="Tahoma"/>
            <family val="2"/>
          </rPr>
          <t>LaureSophie Schiettecatte (ESA):</t>
        </r>
        <r>
          <rPr>
            <sz val="9"/>
            <color indexed="81"/>
            <rFont val="Tahoma"/>
            <family val="2"/>
          </rPr>
          <t xml:space="preserve">
Default values for all countries other than North America, Europe and Oceania are based on LP.
For Oceania, America and Europe (including Russia) HP is used for default</t>
        </r>
      </text>
      <mc:AlternateContent xmlns:mc="http://schemas.openxmlformats.org/markup-compatibility/2006">
        <mc:Choice Requires="v"/>
        <mc:Fallback>
          <commentPr defaultSize="0" autoFill="0" autoLine="0">
            <anchor>
              <from>
                <xdr:col>5</xdr:col>
                <xdr:colOff>3657600</xdr:colOff>
                <xdr:row>55</xdr:row>
                <xdr:rowOff>101600</xdr:rowOff>
              </from>
              <to>
                <xdr:col>7</xdr:col>
                <xdr:colOff>711200</xdr:colOff>
                <xdr:row>73</xdr:row>
                <xdr:rowOff>0</xdr:rowOff>
              </to>
            </anchor>
          </commentPr>
        </mc:Fallback>
      </mc:AlternateContent>
    </comment>
    <comment ref="Q61" authorId="0" shapeId="119815" xr:uid="{00000000-0006-0000-0D00-000002000000}">
      <text>
        <r>
          <rPr>
            <b/>
            <sz val="9"/>
            <color indexed="81"/>
            <rFont val="Tahoma"/>
            <family val="2"/>
          </rPr>
          <t>LaureSophie Schiettecatte (ESA):</t>
        </r>
        <r>
          <rPr>
            <sz val="9"/>
            <color indexed="81"/>
            <rFont val="Tahoma"/>
            <family val="2"/>
          </rPr>
          <t xml:space="preserve">
EF according to regional MMS</t>
        </r>
      </text>
      <mc:AlternateContent xmlns:mc="http://schemas.openxmlformats.org/markup-compatibility/2006">
        <mc:Choice Requires="v"/>
        <mc:Fallback>
          <commentPr defaultSize="0" autoFill="0" autoLine="0">
            <anchor>
              <from>
                <xdr:col>14</xdr:col>
                <xdr:colOff>254000</xdr:colOff>
                <xdr:row>58</xdr:row>
                <xdr:rowOff>0</xdr:rowOff>
              </from>
              <to>
                <xdr:col>16</xdr:col>
                <xdr:colOff>101600</xdr:colOff>
                <xdr:row>61</xdr:row>
                <xdr:rowOff>0</xdr:rowOff>
              </to>
            </anchor>
          </commentPr>
        </mc:Fallback>
      </mc:AlternateContent>
    </comment>
    <comment ref="V87" authorId="0" shapeId="119813" xr:uid="{00000000-0006-0000-0D00-000003000000}">
      <text>
        <r>
          <rPr>
            <b/>
            <sz val="9"/>
            <color indexed="81"/>
            <rFont val="Tahoma"/>
            <family val="2"/>
          </rPr>
          <t>LaureSophie Schiettecatte (ESA):</t>
        </r>
        <r>
          <rPr>
            <sz val="9"/>
            <color indexed="81"/>
            <rFont val="Tahoma"/>
            <family val="2"/>
          </rPr>
          <t xml:space="preserve">
Equation 10.25</t>
        </r>
      </text>
      <mc:AlternateContent xmlns:mc="http://schemas.openxmlformats.org/markup-compatibility/2006">
        <mc:Choice Requires="v"/>
        <mc:Fallback>
          <commentPr defaultSize="0" autoFill="0" autoLine="0">
            <anchor>
              <from>
                <xdr:col>26</xdr:col>
                <xdr:colOff>355600</xdr:colOff>
                <xdr:row>83</xdr:row>
                <xdr:rowOff>0</xdr:rowOff>
              </from>
              <to>
                <xdr:col>27</xdr:col>
                <xdr:colOff>965200</xdr:colOff>
                <xdr:row>107</xdr:row>
                <xdr:rowOff>101600</xdr:rowOff>
              </to>
            </anchor>
          </commentPr>
        </mc:Fallback>
      </mc:AlternateContent>
    </comment>
    <comment ref="E89" authorId="0" shapeId="119814" xr:uid="{00000000-0006-0000-0D00-000004000000}">
      <text>
        <r>
          <rPr>
            <b/>
            <sz val="9"/>
            <color indexed="81"/>
            <rFont val="Tahoma"/>
            <family val="2"/>
          </rPr>
          <t>LaureSophie Schiettecatte (ESA):</t>
        </r>
        <r>
          <rPr>
            <sz val="9"/>
            <color indexed="81"/>
            <rFont val="Tahoma"/>
            <family val="2"/>
          </rPr>
          <t xml:space="preserve">
from table 10.21</t>
        </r>
      </text>
      <mc:AlternateContent xmlns:mc="http://schemas.openxmlformats.org/markup-compatibility/2006">
        <mc:Choice Requires="v"/>
        <mc:Fallback>
          <commentPr defaultSize="0" autoFill="0" autoLine="0">
            <anchor>
              <from>
                <xdr:col>5</xdr:col>
                <xdr:colOff>3657600</xdr:colOff>
                <xdr:row>83</xdr:row>
                <xdr:rowOff>101600</xdr:rowOff>
              </from>
              <to>
                <xdr:col>7</xdr:col>
                <xdr:colOff>711200</xdr:colOff>
                <xdr:row>111</xdr:row>
                <xdr:rowOff>50800</xdr:rowOff>
              </to>
            </anchor>
          </commentPr>
        </mc:Fallback>
      </mc:AlternateContent>
    </comment>
    <comment ref="V115" authorId="0" shapeId="119816" xr:uid="{00000000-0006-0000-0D00-000005000000}">
      <text>
        <r>
          <rPr>
            <b/>
            <sz val="9"/>
            <color indexed="81"/>
            <rFont val="Tahoma"/>
            <family val="2"/>
          </rPr>
          <t>LaureSophie Schiettecatte (ESA):</t>
        </r>
        <r>
          <rPr>
            <sz val="9"/>
            <color indexed="81"/>
            <rFont val="Tahoma"/>
            <family val="2"/>
          </rPr>
          <t xml:space="preserve">
Equation 10.28</t>
        </r>
      </text>
      <mc:AlternateContent xmlns:mc="http://schemas.openxmlformats.org/markup-compatibility/2006">
        <mc:Choice Requires="v"/>
        <mc:Fallback>
          <commentPr defaultSize="0" autoFill="0" autoLine="0">
            <anchor>
              <from>
                <xdr:col>19</xdr:col>
                <xdr:colOff>609600</xdr:colOff>
                <xdr:row>113</xdr:row>
                <xdr:rowOff>0</xdr:rowOff>
              </from>
              <to>
                <xdr:col>21</xdr:col>
                <xdr:colOff>152400</xdr:colOff>
                <xdr:row>117</xdr:row>
                <xdr:rowOff>0</xdr:rowOff>
              </to>
            </anchor>
          </commentPr>
        </mc:Fallback>
      </mc:AlternateContent>
    </comment>
    <comment ref="V141" authorId="0" shapeId="119822" xr:uid="{00000000-0006-0000-0D00-000006000000}">
      <text>
        <r>
          <rPr>
            <b/>
            <sz val="9"/>
            <color indexed="81"/>
            <rFont val="Tahoma"/>
            <family val="2"/>
          </rPr>
          <t>LaureSophie Schiettecatte (ESA):</t>
        </r>
        <r>
          <rPr>
            <sz val="9"/>
            <color indexed="81"/>
            <rFont val="Tahoma"/>
            <family val="2"/>
          </rPr>
          <t xml:space="preserve">
Equation 10.29
</t>
        </r>
      </text>
      <mc:AlternateContent xmlns:mc="http://schemas.openxmlformats.org/markup-compatibility/2006">
        <mc:Choice Requires="v"/>
        <mc:Fallback>
          <commentPr defaultSize="0" autoFill="0" autoLine="0">
            <anchor>
              <from>
                <xdr:col>19</xdr:col>
                <xdr:colOff>914400</xdr:colOff>
                <xdr:row>139</xdr:row>
                <xdr:rowOff>0</xdr:rowOff>
              </from>
              <to>
                <xdr:col>21</xdr:col>
                <xdr:colOff>609600</xdr:colOff>
                <xdr:row>143</xdr:row>
                <xdr:rowOff>0</xdr:rowOff>
              </to>
            </anchor>
          </commentPr>
        </mc:Fallback>
      </mc:AlternateContent>
    </comment>
  </commentList>
</comments>
</file>

<file path=xl/comments9.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LaureSophie Schiettecatte (ESA)</author>
    <author>Anatoli Poultouchidou (ESA)</author>
  </authors>
  <commentList>
    <comment ref="J115" authorId="0" shapeId="105912" xr:uid="{00000000-0006-0000-1100-000001000000}">
      <text>
        <r>
          <rPr>
            <b/>
            <sz val="9"/>
            <color indexed="81"/>
            <rFont val="Tahoma"/>
            <family val="2"/>
          </rPr>
          <t>LaureSophie Schiettecatte (ESA):</t>
        </r>
        <r>
          <rPr>
            <sz val="9"/>
            <color indexed="81"/>
            <rFont val="Tahoma"/>
            <family val="2"/>
          </rPr>
          <t xml:space="preserve">
to be kept in case future methodologies provide the C stock and drainage emissions can be made depedent on it</t>
        </r>
      </text>
      <mc:AlternateContent xmlns:mc="http://schemas.openxmlformats.org/markup-compatibility/2006">
        <mc:Choice Requires="v"/>
        <mc:Fallback>
          <commentPr defaultSize="0" autoFill="0" autoLine="0">
            <anchor>
              <from>
                <xdr:col>10</xdr:col>
                <xdr:colOff>762000</xdr:colOff>
                <xdr:row>111</xdr:row>
                <xdr:rowOff>609600</xdr:rowOff>
              </from>
              <to>
                <xdr:col>11</xdr:col>
                <xdr:colOff>914400</xdr:colOff>
                <xdr:row>155</xdr:row>
                <xdr:rowOff>0</xdr:rowOff>
              </to>
            </anchor>
          </commentPr>
        </mc:Fallback>
      </mc:AlternateContent>
    </comment>
    <comment ref="F130" authorId="0" shapeId="106168" xr:uid="{00000000-0006-0000-1100-000002000000}">
      <text>
        <r>
          <rPr>
            <b/>
            <sz val="9"/>
            <color indexed="81"/>
            <rFont val="Tahoma"/>
            <family val="2"/>
          </rPr>
          <t>LaureSophie Schiettecatte (ESA):</t>
        </r>
        <r>
          <rPr>
            <sz val="9"/>
            <color indexed="81"/>
            <rFont val="Tahoma"/>
            <family val="2"/>
          </rPr>
          <t xml:space="preserve">
For crop (annual) it is estimated that residues after crop is 40%
Assumption taken from EX-ACTv7</t>
        </r>
      </text>
      <mc:AlternateContent xmlns:mc="http://schemas.openxmlformats.org/markup-compatibility/2006">
        <mc:Choice Requires="v"/>
        <mc:Fallback>
          <commentPr defaultSize="0" autoFill="0" autoLine="0">
            <anchor>
              <from>
                <xdr:col>6</xdr:col>
                <xdr:colOff>635000</xdr:colOff>
                <xdr:row>125</xdr:row>
                <xdr:rowOff>0</xdr:rowOff>
              </from>
              <to>
                <xdr:col>8</xdr:col>
                <xdr:colOff>482600</xdr:colOff>
                <xdr:row>129</xdr:row>
                <xdr:rowOff>254000</xdr:rowOff>
              </to>
            </anchor>
          </commentPr>
        </mc:Fallback>
      </mc:AlternateContent>
    </comment>
    <comment ref="G130" authorId="1" shapeId="105914" xr:uid="{00000000-0006-0000-1100-000003000000}">
      <text>
        <r>
          <rPr>
            <b/>
            <sz val="9"/>
            <color indexed="81"/>
            <rFont val="Tahoma"/>
            <family val="2"/>
          </rPr>
          <t>Anatoli Poultouchidou (ESA):</t>
        </r>
        <r>
          <rPr>
            <sz val="9"/>
            <color indexed="81"/>
            <rFont val="Tahoma"/>
            <family val="2"/>
          </rPr>
          <t xml:space="preserve">
Please double check these values!!!</t>
        </r>
      </text>
      <mc:AlternateContent xmlns:mc="http://schemas.openxmlformats.org/markup-compatibility/2006">
        <mc:Choice Requires="v"/>
        <mc:Fallback>
          <commentPr defaultSize="0" autoFill="0" autoLine="0">
            <anchor>
              <from>
                <xdr:col>7</xdr:col>
                <xdr:colOff>38100</xdr:colOff>
                <xdr:row>123</xdr:row>
                <xdr:rowOff>0</xdr:rowOff>
              </from>
              <to>
                <xdr:col>8</xdr:col>
                <xdr:colOff>762000</xdr:colOff>
                <xdr:row>126</xdr:row>
                <xdr:rowOff>0</xdr:rowOff>
              </to>
            </anchor>
          </commentPr>
        </mc:Fallback>
      </mc:AlternateContent>
    </comment>
    <comment ref="E132" authorId="1" shapeId="105910" xr:uid="{00000000-0006-0000-1100-000004000000}">
      <text>
        <r>
          <rPr>
            <b/>
            <sz val="9"/>
            <color indexed="81"/>
            <rFont val="Tahoma"/>
            <family val="2"/>
          </rPr>
          <t>Anatoli Poultouchidou (ESA):</t>
        </r>
        <r>
          <rPr>
            <sz val="9"/>
            <color indexed="81"/>
            <rFont val="Tahoma"/>
            <family val="2"/>
          </rPr>
          <t xml:space="preserve">
</t>
        </r>
        <r>
          <rPr>
            <b/>
            <sz val="9"/>
            <color indexed="81"/>
            <rFont val="Tahoma"/>
            <family val="2"/>
          </rPr>
          <t>For Grassland</t>
        </r>
        <r>
          <rPr>
            <sz val="9"/>
            <color indexed="81"/>
            <rFont val="Tahoma"/>
            <family val="2"/>
          </rPr>
          <t xml:space="preserve">: Total (above-ground and below-ground) non-woody
biomass2 (tonnes d.m./ha).
</t>
        </r>
        <r>
          <rPr>
            <b/>
            <sz val="9"/>
            <color indexed="81"/>
            <rFont val="Tahoma"/>
            <family val="2"/>
          </rPr>
          <t>For Annual crops = Rice = Annual Fallow</t>
        </r>
        <r>
          <rPr>
            <sz val="9"/>
            <color indexed="81"/>
            <rFont val="Tahoma"/>
            <family val="2"/>
          </rPr>
          <t xml:space="preserve"> = only AGB  (tonnes d.m./ha/year). 
</t>
        </r>
        <r>
          <rPr>
            <b/>
            <sz val="9"/>
            <color indexed="81"/>
            <rFont val="Tahoma"/>
            <family val="2"/>
          </rPr>
          <t>For agroforestry :</t>
        </r>
        <r>
          <rPr>
            <sz val="9"/>
            <color indexed="81"/>
            <rFont val="Tahoma"/>
            <family val="2"/>
          </rPr>
          <t xml:space="preserve"> the Lmean was used
Countries should use Lmean in updated Table 5.1 and 5.3 in the case that carbon removal has occurred by land use change where the age of the perennial crop removed is unknown. Carbon losses are estimated by multiplying the annual area of land conversion by Lmean.</t>
        </r>
        <r>
          <rPr>
            <b/>
            <sz val="9"/>
            <color indexed="81"/>
            <rFont val="Tahoma"/>
            <family val="2"/>
          </rPr>
          <t xml:space="preserve"> [ See page 5.14 in IPCC 2019]</t>
        </r>
      </text>
      <mc:AlternateContent xmlns:mc="http://schemas.openxmlformats.org/markup-compatibility/2006">
        <mc:Choice Requires="v"/>
        <mc:Fallback>
          <commentPr defaultSize="0" autoFill="0" autoLine="0">
            <anchor>
              <from>
                <xdr:col>5</xdr:col>
                <xdr:colOff>762000</xdr:colOff>
                <xdr:row>125</xdr:row>
                <xdr:rowOff>152400</xdr:rowOff>
              </from>
              <to>
                <xdr:col>9</xdr:col>
                <xdr:colOff>584200</xdr:colOff>
                <xdr:row>134</xdr:row>
                <xdr:rowOff>0</xdr:rowOff>
              </to>
            </anchor>
          </commentPr>
        </mc:Fallback>
      </mc:AlternateContent>
    </comment>
    <comment ref="H132" authorId="1" shapeId="105916" xr:uid="{00000000-0006-0000-1100-000005000000}">
      <text>
        <r>
          <rPr>
            <b/>
            <sz val="9"/>
            <color indexed="81"/>
            <rFont val="Tahoma"/>
            <family val="2"/>
          </rPr>
          <t>Anatoli Poultouchidou (ESA):</t>
        </r>
        <r>
          <rPr>
            <sz val="9"/>
            <color indexed="81"/>
            <rFont val="Tahoma"/>
            <family val="2"/>
          </rPr>
          <t xml:space="preserve">
Please double check!!!! Numbers are higher than EX-ACT v7</t>
        </r>
      </text>
      <mc:AlternateContent xmlns:mc="http://schemas.openxmlformats.org/markup-compatibility/2006">
        <mc:Choice Requires="v"/>
        <mc:Fallback>
          <commentPr defaultSize="0" autoFill="0" autoLine="0">
            <anchor>
              <from>
                <xdr:col>7</xdr:col>
                <xdr:colOff>914400</xdr:colOff>
                <xdr:row>125</xdr:row>
                <xdr:rowOff>152400</xdr:rowOff>
              </from>
              <to>
                <xdr:col>9</xdr:col>
                <xdr:colOff>25400</xdr:colOff>
                <xdr:row>129</xdr:row>
                <xdr:rowOff>254000</xdr:rowOff>
              </to>
            </anchor>
          </commentPr>
        </mc:Fallback>
      </mc:AlternateContent>
    </comment>
    <comment ref="I132" authorId="1" shapeId="105917" xr:uid="{00000000-0006-0000-1100-000006000000}">
      <text>
        <r>
          <rPr>
            <b/>
            <sz val="9"/>
            <color indexed="81"/>
            <rFont val="Tahoma"/>
            <family val="2"/>
          </rPr>
          <t>Anatoli Poultouchidou (ESA):</t>
        </r>
        <r>
          <rPr>
            <sz val="9"/>
            <color indexed="81"/>
            <rFont val="Tahoma"/>
            <family val="2"/>
          </rPr>
          <t xml:space="preserve">
Please double check!!!! Numbers are higher than EX-ACT v7</t>
        </r>
      </text>
      <mc:AlternateContent xmlns:mc="http://schemas.openxmlformats.org/markup-compatibility/2006">
        <mc:Choice Requires="v"/>
        <mc:Fallback>
          <commentPr defaultSize="0" autoFill="0" autoLine="0">
            <anchor>
              <from>
                <xdr:col>8</xdr:col>
                <xdr:colOff>762000</xdr:colOff>
                <xdr:row>125</xdr:row>
                <xdr:rowOff>152400</xdr:rowOff>
              </from>
              <to>
                <xdr:col>9</xdr:col>
                <xdr:colOff>762000</xdr:colOff>
                <xdr:row>128</xdr:row>
                <xdr:rowOff>0</xdr:rowOff>
              </to>
            </anchor>
          </commentPr>
        </mc:Fallback>
      </mc:AlternateContent>
    </comment>
    <comment ref="Q220" authorId="1" shapeId="105921" xr:uid="{00000000-0006-0000-1100-000007000000}">
      <text>
        <r>
          <rPr>
            <b/>
            <sz val="9"/>
            <color indexed="81"/>
            <rFont val="Tahoma"/>
            <family val="2"/>
          </rPr>
          <t>Anatoli Poultouchidou (ESA):</t>
        </r>
        <r>
          <rPr>
            <sz val="9"/>
            <color indexed="81"/>
            <rFont val="Tahoma"/>
            <family val="2"/>
          </rPr>
          <t xml:space="preserve">
For crop it is estimated that residues after crop is 40%
Assumption taken from EX-ACTv7</t>
        </r>
      </text>
      <mc:AlternateContent xmlns:mc="http://schemas.openxmlformats.org/markup-compatibility/2006">
        <mc:Choice Requires="v"/>
        <mc:Fallback>
          <commentPr defaultSize="0" autoFill="0" autoLine="0">
            <anchor>
              <from>
                <xdr:col>15</xdr:col>
                <xdr:colOff>279400</xdr:colOff>
                <xdr:row>209</xdr:row>
                <xdr:rowOff>0</xdr:rowOff>
              </from>
              <to>
                <xdr:col>17</xdr:col>
                <xdr:colOff>419100</xdr:colOff>
                <xdr:row>215</xdr:row>
                <xdr:rowOff>660400</xdr:rowOff>
              </to>
            </anchor>
          </commentPr>
        </mc:Fallback>
      </mc:AlternateContent>
    </comment>
    <comment ref="P221" authorId="1" shapeId="105918" xr:uid="{00000000-0006-0000-1100-000008000000}">
      <text>
        <r>
          <rPr>
            <b/>
            <sz val="9"/>
            <color indexed="81"/>
            <rFont val="Tahoma"/>
            <family val="2"/>
          </rPr>
          <t>Anatoli Poultouchidou (ESA):</t>
        </r>
        <r>
          <rPr>
            <sz val="9"/>
            <color indexed="81"/>
            <rFont val="Tahoma"/>
            <family val="2"/>
          </rPr>
          <t xml:space="preserve">
(+ ) values --&gt; emissions
 ( - ) values --&gt; removals</t>
        </r>
      </text>
      <mc:AlternateContent xmlns:mc="http://schemas.openxmlformats.org/markup-compatibility/2006">
        <mc:Choice Requires="v"/>
        <mc:Fallback>
          <commentPr defaultSize="0" autoFill="0" autoLine="0">
            <anchor>
              <from>
                <xdr:col>14</xdr:col>
                <xdr:colOff>114300</xdr:colOff>
                <xdr:row>221</xdr:row>
                <xdr:rowOff>0</xdr:rowOff>
              </from>
              <to>
                <xdr:col>15</xdr:col>
                <xdr:colOff>533400</xdr:colOff>
                <xdr:row>234</xdr:row>
                <xdr:rowOff>152400</xdr:rowOff>
              </to>
            </anchor>
          </commentPr>
        </mc:Fallback>
      </mc:AlternateContent>
    </comment>
    <comment ref="R221" authorId="1" shapeId="105922" xr:uid="{00000000-0006-0000-1100-000009000000}">
      <text>
        <r>
          <rPr>
            <b/>
            <sz val="9"/>
            <color indexed="81"/>
            <rFont val="Tahoma"/>
            <family val="2"/>
          </rPr>
          <t>Anatoli Poultouchidou (ESA):</t>
        </r>
        <r>
          <rPr>
            <sz val="9"/>
            <color indexed="81"/>
            <rFont val="Tahoma"/>
            <family val="2"/>
          </rPr>
          <t xml:space="preserve">
Double check Cf and Gef!!!</t>
        </r>
      </text>
      <mc:AlternateContent xmlns:mc="http://schemas.openxmlformats.org/markup-compatibility/2006">
        <mc:Choice Requires="v"/>
        <mc:Fallback>
          <commentPr defaultSize="0" autoFill="0" autoLine="0">
            <anchor>
              <from>
                <xdr:col>16</xdr:col>
                <xdr:colOff>558800</xdr:colOff>
                <xdr:row>211</xdr:row>
                <xdr:rowOff>152400</xdr:rowOff>
              </from>
              <to>
                <xdr:col>17</xdr:col>
                <xdr:colOff>1168400</xdr:colOff>
                <xdr:row>212</xdr:row>
                <xdr:rowOff>0</xdr:rowOff>
              </to>
            </anchor>
          </commentPr>
        </mc:Fallback>
      </mc:AlternateContent>
    </comment>
    <comment ref="T221" authorId="1" shapeId="105923" xr:uid="{00000000-0006-0000-1100-00000A000000}">
      <text>
        <r>
          <rPr>
            <b/>
            <sz val="9"/>
            <color indexed="81"/>
            <rFont val="Tahoma"/>
            <family val="2"/>
          </rPr>
          <t>Anatoli Poultouchidou (ESA):</t>
        </r>
        <r>
          <rPr>
            <sz val="9"/>
            <color indexed="81"/>
            <rFont val="Tahoma"/>
            <family val="2"/>
          </rPr>
          <t xml:space="preserve">
Double check Cf and Gef!!!</t>
        </r>
      </text>
      <mc:AlternateContent xmlns:mc="http://schemas.openxmlformats.org/markup-compatibility/2006">
        <mc:Choice Requires="v"/>
        <mc:Fallback>
          <commentPr defaultSize="0" autoFill="0" autoLine="0">
            <anchor>
              <from>
                <xdr:col>17</xdr:col>
                <xdr:colOff>914400</xdr:colOff>
                <xdr:row>211</xdr:row>
                <xdr:rowOff>152400</xdr:rowOff>
              </from>
              <to>
                <xdr:col>19</xdr:col>
                <xdr:colOff>215900</xdr:colOff>
                <xdr:row>212</xdr:row>
                <xdr:rowOff>0</xdr:rowOff>
              </to>
            </anchor>
          </commentPr>
        </mc:Fallback>
      </mc:AlternateContent>
    </comment>
    <comment ref="AD324" authorId="1" shapeId="106166" xr:uid="{00000000-0006-0000-1100-00000B000000}">
      <text>
        <r>
          <rPr>
            <b/>
            <sz val="9"/>
            <color indexed="81"/>
            <rFont val="Tahoma"/>
            <family val="2"/>
          </rPr>
          <t>Anatoli Poultouchidou (ESA):</t>
        </r>
        <r>
          <rPr>
            <sz val="9"/>
            <color indexed="81"/>
            <rFont val="Tahoma"/>
            <family val="2"/>
          </rPr>
          <t xml:space="preserve">
same equation as EX-ACT v7</t>
        </r>
      </text>
      <mc:AlternateContent xmlns:mc="http://schemas.openxmlformats.org/markup-compatibility/2006">
        <mc:Choice Requires="v"/>
        <mc:Fallback>
          <commentPr defaultSize="0" autoFill="0" autoLine="0">
            <anchor>
              <from>
                <xdr:col>27</xdr:col>
                <xdr:colOff>762000</xdr:colOff>
                <xdr:row>314</xdr:row>
                <xdr:rowOff>152400</xdr:rowOff>
              </from>
              <to>
                <xdr:col>29</xdr:col>
                <xdr:colOff>431800</xdr:colOff>
                <xdr:row>316</xdr:row>
                <xdr:rowOff>1016000</xdr:rowOff>
              </to>
            </anchor>
          </commentPr>
        </mc:Fallback>
      </mc:AlternateContent>
    </comment>
    <comment ref="N409" authorId="1" shapeId="106190" xr:uid="{00000000-0006-0000-1100-00000C000000}">
      <text>
        <r>
          <rPr>
            <b/>
            <sz val="9"/>
            <color indexed="81"/>
            <rFont val="Tahoma"/>
            <family val="2"/>
          </rPr>
          <t>Anatoli Poultouchidou (ESA):</t>
        </r>
        <r>
          <rPr>
            <sz val="9"/>
            <color indexed="81"/>
            <rFont val="Tahoma"/>
            <family val="2"/>
          </rPr>
          <t xml:space="preserve">
For crop it is estimated that residues after crop is 40%
Assumption taken from EX-ACTv7</t>
        </r>
      </text>
      <mc:AlternateContent xmlns:mc="http://schemas.openxmlformats.org/markup-compatibility/2006">
        <mc:Choice Requires="v"/>
        <mc:Fallback>
          <commentPr defaultSize="0" autoFill="0" autoLine="0">
            <anchor>
              <from>
                <xdr:col>13</xdr:col>
                <xdr:colOff>63500</xdr:colOff>
                <xdr:row>405</xdr:row>
                <xdr:rowOff>0</xdr:rowOff>
              </from>
              <to>
                <xdr:col>14</xdr:col>
                <xdr:colOff>914400</xdr:colOff>
                <xdr:row>407</xdr:row>
                <xdr:rowOff>0</xdr:rowOff>
              </to>
            </anchor>
          </commentPr>
        </mc:Fallback>
      </mc:AlternateContent>
    </comment>
    <comment ref="O410" authorId="1" shapeId="106191" xr:uid="{00000000-0006-0000-1100-00000D000000}">
      <text>
        <r>
          <rPr>
            <b/>
            <sz val="9"/>
            <color indexed="81"/>
            <rFont val="Tahoma"/>
            <family val="2"/>
          </rPr>
          <t>Anatoli Poultouchidou (ESA):</t>
        </r>
        <r>
          <rPr>
            <sz val="9"/>
            <color indexed="81"/>
            <rFont val="Tahoma"/>
            <family val="2"/>
          </rPr>
          <t xml:space="preserve">
Double check Cf and Gef!!!</t>
        </r>
      </text>
      <mc:AlternateContent xmlns:mc="http://schemas.openxmlformats.org/markup-compatibility/2006">
        <mc:Choice Requires="v"/>
        <mc:Fallback>
          <commentPr defaultSize="0" autoFill="0" autoLine="0">
            <anchor>
              <from>
                <xdr:col>14</xdr:col>
                <xdr:colOff>114300</xdr:colOff>
                <xdr:row>407</xdr:row>
                <xdr:rowOff>0</xdr:rowOff>
              </from>
              <to>
                <xdr:col>15</xdr:col>
                <xdr:colOff>381000</xdr:colOff>
                <xdr:row>407</xdr:row>
                <xdr:rowOff>0</xdr:rowOff>
              </to>
            </anchor>
          </commentPr>
        </mc:Fallback>
      </mc:AlternateContent>
    </comment>
    <comment ref="Q410" authorId="1" shapeId="106192" xr:uid="{00000000-0006-0000-1100-00000E000000}">
      <text>
        <r>
          <rPr>
            <b/>
            <sz val="9"/>
            <color indexed="81"/>
            <rFont val="Tahoma"/>
            <family val="2"/>
          </rPr>
          <t>Anatoli Poultouchidou (ESA):</t>
        </r>
        <r>
          <rPr>
            <sz val="9"/>
            <color indexed="81"/>
            <rFont val="Tahoma"/>
            <family val="2"/>
          </rPr>
          <t xml:space="preserve">
Double check Cf and Gef!!!</t>
        </r>
      </text>
      <mc:AlternateContent xmlns:mc="http://schemas.openxmlformats.org/markup-compatibility/2006">
        <mc:Choice Requires="v"/>
        <mc:Fallback>
          <commentPr defaultSize="0" autoFill="0" autoLine="0">
            <anchor>
              <from>
                <xdr:col>15</xdr:col>
                <xdr:colOff>812800</xdr:colOff>
                <xdr:row>407</xdr:row>
                <xdr:rowOff>0</xdr:rowOff>
              </from>
              <to>
                <xdr:col>17</xdr:col>
                <xdr:colOff>419100</xdr:colOff>
                <xdr:row>407</xdr:row>
                <xdr:rowOff>0</xdr:rowOff>
              </to>
            </anchor>
          </commentPr>
        </mc:Fallback>
      </mc:AlternateContent>
    </comment>
  </commentList>
</comments>
</file>

<file path=xl/comments10.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LaureSophie Schiettecatte (ESA)</author>
    <author>Anatoli Poultouchidou (ESA)</author>
  </authors>
  <commentList>
    <comment ref="T21" authorId="0" shapeId="93189" xr:uid="{00000000-0006-0000-0F00-000001000000}">
      <text>
        <r>
          <rPr>
            <b/>
            <sz val="9"/>
            <color indexed="81"/>
            <rFont val="Tahoma"/>
            <family val="2"/>
          </rPr>
          <t>LaureSophie Schiettecatte (ESA):</t>
        </r>
        <r>
          <rPr>
            <sz val="9"/>
            <color indexed="81"/>
            <rFont val="Tahoma"/>
            <family val="2"/>
          </rPr>
          <t xml:space="preserve">
Adapted from table 5.10</t>
        </r>
      </text>
      <mc:AlternateContent xmlns:mc="http://schemas.openxmlformats.org/markup-compatibility/2006">
        <mc:Choice Requires="v"/>
        <mc:Fallback>
          <commentPr defaultSize="0" autoFill="0" autoLine="0">
            <anchor>
              <from>
                <xdr:col>19</xdr:col>
                <xdr:colOff>609600</xdr:colOff>
                <xdr:row>17</xdr:row>
                <xdr:rowOff>0</xdr:rowOff>
              </from>
              <to>
                <xdr:col>22</xdr:col>
                <xdr:colOff>0</xdr:colOff>
                <xdr:row>21</xdr:row>
                <xdr:rowOff>0</xdr:rowOff>
              </to>
            </anchor>
          </commentPr>
        </mc:Fallback>
      </mc:AlternateContent>
    </comment>
    <comment ref="Y38" authorId="1" shapeId="93185" xr:uid="{00000000-0006-0000-0F00-000002000000}">
      <text>
        <r>
          <rPr>
            <b/>
            <sz val="9"/>
            <color indexed="81"/>
            <rFont val="Tahoma"/>
            <family val="2"/>
          </rPr>
          <t>Anatoli Poultouchidou (ESA):</t>
        </r>
        <r>
          <rPr>
            <sz val="9"/>
            <color indexed="81"/>
            <rFont val="Tahoma"/>
            <family val="2"/>
          </rPr>
          <t xml:space="preserve">
(+) values --&gt; emissions
 (-) values --&gt; removals</t>
        </r>
      </text>
      <mc:AlternateContent xmlns:mc="http://schemas.openxmlformats.org/markup-compatibility/2006">
        <mc:Choice Requires="v"/>
        <mc:Fallback>
          <commentPr defaultSize="0" autoFill="0" autoLine="0">
            <anchor>
              <from>
                <xdr:col>24</xdr:col>
                <xdr:colOff>152400</xdr:colOff>
                <xdr:row>34</xdr:row>
                <xdr:rowOff>0</xdr:rowOff>
              </from>
              <to>
                <xdr:col>26</xdr:col>
                <xdr:colOff>203200</xdr:colOff>
                <xdr:row>37</xdr:row>
                <xdr:rowOff>0</xdr:rowOff>
              </to>
            </anchor>
          </commentPr>
        </mc:Fallback>
      </mc:AlternateContent>
    </comment>
    <comment ref="AD39" authorId="1" shapeId="93188" xr:uid="{00000000-0006-0000-0F00-000003000000}">
      <text>
        <r>
          <rPr>
            <b/>
            <sz val="9"/>
            <color indexed="81"/>
            <rFont val="Tahoma"/>
            <family val="2"/>
          </rPr>
          <t>Anatoli Poultouchidou (ESA):</t>
        </r>
        <r>
          <rPr>
            <sz val="9"/>
            <color indexed="81"/>
            <rFont val="Tahoma"/>
            <family val="2"/>
          </rPr>
          <t xml:space="preserve">
same equation as EX-ACT v7</t>
        </r>
      </text>
      <mc:AlternateContent xmlns:mc="http://schemas.openxmlformats.org/markup-compatibility/2006">
        <mc:Choice Requires="v"/>
        <mc:Fallback>
          <commentPr defaultSize="0" autoFill="0" autoLine="0">
            <anchor>
              <from>
                <xdr:col>29</xdr:col>
                <xdr:colOff>50800</xdr:colOff>
                <xdr:row>34</xdr:row>
                <xdr:rowOff>152400</xdr:rowOff>
              </from>
              <to>
                <xdr:col>31</xdr:col>
                <xdr:colOff>254000</xdr:colOff>
                <xdr:row>38</xdr:row>
                <xdr:rowOff>0</xdr:rowOff>
              </to>
            </anchor>
          </commentPr>
        </mc:Fallback>
      </mc:AlternateContent>
    </comment>
  </commentList>
</comments>
</file>

<file path=xl/comments1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LaureSophie Schiettecatte (ESA)</author>
  </authors>
  <commentList>
    <comment ref="I81" authorId="0" shapeId="161805" xr:uid="{00000000-0006-0000-1F00-000001000000}">
      <text>
        <r>
          <rPr>
            <b/>
            <sz val="9"/>
            <color indexed="81"/>
            <rFont val="Tahoma"/>
            <family val="2"/>
          </rPr>
          <t>LaureSophie Schiettecatte (ESA):</t>
        </r>
        <r>
          <rPr>
            <sz val="9"/>
            <color indexed="81"/>
            <rFont val="Tahoma"/>
            <family val="2"/>
          </rPr>
          <t xml:space="preserve">
OTHER for Inland wetland only refers for Fire emissions where the uncertainties if higher</t>
        </r>
      </text>
      <mc:AlternateContent xmlns:mc="http://schemas.openxmlformats.org/markup-compatibility/2006">
        <mc:Choice Requires="v"/>
        <mc:Fallback>
          <commentPr defaultSize="0" autoFill="0" autoLine="0">
            <anchor>
              <from>
                <xdr:col>9</xdr:col>
                <xdr:colOff>50800</xdr:colOff>
                <xdr:row>79</xdr:row>
                <xdr:rowOff>0</xdr:rowOff>
              </from>
              <to>
                <xdr:col>10</xdr:col>
                <xdr:colOff>711200</xdr:colOff>
                <xdr:row>82</xdr:row>
                <xdr:rowOff>0</xdr:rowOff>
              </to>
            </anchor>
          </commentPr>
        </mc:Fallback>
      </mc:AlternateContent>
    </comment>
  </commentList>
</comments>
</file>

<file path=xl/comments1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s>
  <commentList>
    <comment ref="AM66" authorId="0" shapeId="63503" xr:uid="{00000000-0006-0000-2400-000001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37</xdr:col>
                <xdr:colOff>0</xdr:colOff>
                <xdr:row>60</xdr:row>
                <xdr:rowOff>0</xdr:rowOff>
              </from>
              <to>
                <xdr:col>37</xdr:col>
                <xdr:colOff>0</xdr:colOff>
                <xdr:row>63</xdr:row>
                <xdr:rowOff>101600</xdr:rowOff>
              </to>
            </anchor>
          </commentPr>
        </mc:Fallback>
      </mc:AlternateContent>
    </comment>
  </commentList>
</comments>
</file>

<file path=xl/comments13.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Berling, Laure (ESA)</author>
  </authors>
  <commentList>
    <comment ref="F37" authorId="0" shapeId="20485" xr:uid="{00000000-0006-0000-1300-000001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4</xdr:col>
                <xdr:colOff>1574800</xdr:colOff>
                <xdr:row>35</xdr:row>
                <xdr:rowOff>0</xdr:rowOff>
              </from>
              <to>
                <xdr:col>5</xdr:col>
                <xdr:colOff>1473200</xdr:colOff>
                <xdr:row>39</xdr:row>
                <xdr:rowOff>0</xdr:rowOff>
              </to>
            </anchor>
          </commentPr>
        </mc:Fallback>
      </mc:AlternateContent>
    </comment>
    <comment ref="G49" authorId="1" shapeId="20512" xr:uid="{00000000-0006-0000-1300-000002000000}">
      <text>
        <r>
          <rPr>
            <b/>
            <sz val="9"/>
            <color indexed="81"/>
            <rFont val="Tahoma"/>
            <family val="2"/>
          </rPr>
          <t>Berling, Laure (ESA): Not IPCC crop, added on 04/2022 from FAOSTAT</t>
        </r>
      </text>
      <mc:AlternateContent xmlns:mc="http://schemas.openxmlformats.org/markup-compatibility/2006">
        <mc:Choice Requires="v"/>
        <mc:Fallback>
          <commentPr defaultSize="0" autoFill="0" autoLine="0">
            <anchor>
              <from>
                <xdr:col>7</xdr:col>
                <xdr:colOff>101600</xdr:colOff>
                <xdr:row>47</xdr:row>
                <xdr:rowOff>152400</xdr:rowOff>
              </from>
              <to>
                <xdr:col>7</xdr:col>
                <xdr:colOff>1879600</xdr:colOff>
                <xdr:row>51</xdr:row>
                <xdr:rowOff>203200</xdr:rowOff>
              </to>
            </anchor>
          </commentPr>
        </mc:Fallback>
      </mc:AlternateContent>
    </comment>
    <comment ref="J59" authorId="0" shapeId="20484" xr:uid="{00000000-0006-0000-1300-000003000000}">
      <text>
        <r>
          <rPr>
            <b/>
            <sz val="9"/>
            <color indexed="81"/>
            <rFont val="Tahoma"/>
            <family val="2"/>
          </rPr>
          <t>Anatoli Poultouchidou (ESA):</t>
        </r>
        <r>
          <rPr>
            <sz val="9"/>
            <color indexed="81"/>
            <rFont val="Tahoma"/>
            <family val="2"/>
          </rPr>
          <t xml:space="preserve">
Table 8.7 https://www.ipcc.ch/site/assets/uploads/2018/02/WG1AR5_Chapter08_FINAL.pdf
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t>
        </r>
        <r>
          <rPr>
            <b/>
            <sz val="9"/>
            <color indexed="81"/>
            <rFont val="Tahoma"/>
            <family val="2"/>
          </rPr>
          <t>These values inlcude climate–carbon feedbacks (cc fb) in response to emissions of the indicated non-CO2 gases (climate-carbon feedbacks in response to the reference gas CO2 are always included).</t>
        </r>
      </text>
      <mc:AlternateContent xmlns:mc="http://schemas.openxmlformats.org/markup-compatibility/2006">
        <mc:Choice Requires="v"/>
        <mc:Fallback>
          <commentPr defaultSize="0" autoFill="0" autoLine="0">
            <anchor>
              <from>
                <xdr:col>7</xdr:col>
                <xdr:colOff>1574800</xdr:colOff>
                <xdr:row>57</xdr:row>
                <xdr:rowOff>50800</xdr:rowOff>
              </from>
              <to>
                <xdr:col>10</xdr:col>
                <xdr:colOff>812800</xdr:colOff>
                <xdr:row>67</xdr:row>
                <xdr:rowOff>0</xdr:rowOff>
              </to>
            </anchor>
          </commentPr>
        </mc:Fallback>
      </mc:AlternateContent>
    </comment>
    <comment ref="F62" authorId="0" shapeId="20510" xr:uid="{00000000-0006-0000-1300-000004000000}">
      <text>
        <r>
          <rPr>
            <b/>
            <sz val="9"/>
            <color indexed="81"/>
            <rFont val="Tahoma"/>
            <family val="2"/>
          </rPr>
          <t>Anatoli Poultouchidou (ESA):</t>
        </r>
        <r>
          <rPr>
            <sz val="9"/>
            <color indexed="81"/>
            <rFont val="Tahoma"/>
            <family val="2"/>
          </rPr>
          <t xml:space="preserve">
Table 8.7 https://www.ipcc.ch/site/assets/uploads/2018/02/WG1AR5_Chapter08_FINAL.pdf
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t>
        </r>
        <r>
          <rPr>
            <b/>
            <sz val="9"/>
            <color indexed="81"/>
            <rFont val="Tahoma"/>
            <family val="2"/>
          </rPr>
          <t>These values inlcude climate–carbon feedbacks (cc fb) in response to emissions of the indicated non-CO2 gases (climate-carbon feedbacks in response to the reference gas CO2 are always included).</t>
        </r>
      </text>
      <mc:AlternateContent xmlns:mc="http://schemas.openxmlformats.org/markup-compatibility/2006">
        <mc:Choice Requires="v"/>
        <mc:Fallback>
          <commentPr defaultSize="0" autoFill="0" autoLine="0">
            <anchor>
              <from>
                <xdr:col>6</xdr:col>
                <xdr:colOff>0</xdr:colOff>
                <xdr:row>64</xdr:row>
                <xdr:rowOff>0</xdr:rowOff>
              </from>
              <to>
                <xdr:col>8</xdr:col>
                <xdr:colOff>3251200</xdr:colOff>
                <xdr:row>75</xdr:row>
                <xdr:rowOff>0</xdr:rowOff>
              </to>
            </anchor>
          </commentPr>
        </mc:Fallback>
      </mc:AlternateContent>
    </comment>
    <comment ref="F63" authorId="0" shapeId="20511" xr:uid="{00000000-0006-0000-1300-000005000000}">
      <text>
        <r>
          <rPr>
            <b/>
            <sz val="9"/>
            <color indexed="81"/>
            <rFont val="Tahoma"/>
            <family val="2"/>
          </rPr>
          <t>Anatoli Poultouchidou (ESA):</t>
        </r>
        <r>
          <rPr>
            <sz val="9"/>
            <color indexed="81"/>
            <rFont val="Tahoma"/>
            <family val="2"/>
          </rPr>
          <t xml:space="preserve">
Table 8.7 https://www.ipcc.ch/site/assets/uploads/2018/02/WG1AR5_Chapter08_FINAL.pdf
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t>
        </r>
        <r>
          <rPr>
            <b/>
            <sz val="9"/>
            <color indexed="81"/>
            <rFont val="Tahoma"/>
            <family val="2"/>
          </rPr>
          <t>These values inlcude climate–carbon feedbacks (cc fb) in response to emissions of the indicated non-CO2 gases (climate-carbon feedbacks in response to the reference gas CO2 are always included).</t>
        </r>
      </text>
      <mc:AlternateContent xmlns:mc="http://schemas.openxmlformats.org/markup-compatibility/2006">
        <mc:Choice Requires="v"/>
        <mc:Fallback>
          <commentPr defaultSize="0" autoFill="0" autoLine="0">
            <anchor>
              <from>
                <xdr:col>6</xdr:col>
                <xdr:colOff>0</xdr:colOff>
                <xdr:row>61</xdr:row>
                <xdr:rowOff>0</xdr:rowOff>
              </from>
              <to>
                <xdr:col>8</xdr:col>
                <xdr:colOff>3251200</xdr:colOff>
                <xdr:row>73</xdr:row>
                <xdr:rowOff>0</xdr:rowOff>
              </to>
            </anchor>
          </commentPr>
        </mc:Fallback>
      </mc:AlternateContent>
    </comment>
    <comment ref="F138" authorId="0" shapeId="20489" xr:uid="{00000000-0006-0000-1300-000006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5</xdr:col>
                <xdr:colOff>609600</xdr:colOff>
                <xdr:row>136</xdr:row>
                <xdr:rowOff>0</xdr:rowOff>
              </from>
              <to>
                <xdr:col>5</xdr:col>
                <xdr:colOff>2489200</xdr:colOff>
                <xdr:row>140</xdr:row>
                <xdr:rowOff>0</xdr:rowOff>
              </to>
            </anchor>
          </commentPr>
        </mc:Fallback>
      </mc:AlternateContent>
    </comment>
    <comment ref="G138" authorId="0" shapeId="20491" xr:uid="{00000000-0006-0000-1300-000007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6</xdr:col>
                <xdr:colOff>1016000</xdr:colOff>
                <xdr:row>136</xdr:row>
                <xdr:rowOff>0</xdr:rowOff>
              </from>
              <to>
                <xdr:col>7</xdr:col>
                <xdr:colOff>609600</xdr:colOff>
                <xdr:row>140</xdr:row>
                <xdr:rowOff>0</xdr:rowOff>
              </to>
            </anchor>
          </commentPr>
        </mc:Fallback>
      </mc:AlternateContent>
    </comment>
    <comment ref="H138" authorId="0" shapeId="20492" xr:uid="{00000000-0006-0000-1300-000008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7</xdr:col>
                <xdr:colOff>355600</xdr:colOff>
                <xdr:row>136</xdr:row>
                <xdr:rowOff>0</xdr:rowOff>
              </from>
              <to>
                <xdr:col>7</xdr:col>
                <xdr:colOff>2184400</xdr:colOff>
                <xdr:row>140</xdr:row>
                <xdr:rowOff>0</xdr:rowOff>
              </to>
            </anchor>
          </commentPr>
        </mc:Fallback>
      </mc:AlternateContent>
    </comment>
    <comment ref="I138" authorId="0" shapeId="20494" xr:uid="{00000000-0006-0000-1300-000009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10</xdr:col>
                <xdr:colOff>304800</xdr:colOff>
                <xdr:row>136</xdr:row>
                <xdr:rowOff>0</xdr:rowOff>
              </from>
              <to>
                <xdr:col>10</xdr:col>
                <xdr:colOff>2184400</xdr:colOff>
                <xdr:row>140</xdr:row>
                <xdr:rowOff>0</xdr:rowOff>
              </to>
            </anchor>
          </commentPr>
        </mc:Fallback>
      </mc:AlternateContent>
    </comment>
    <comment ref="J138" authorId="0" shapeId="20496" xr:uid="{00000000-0006-0000-1300-00000A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10</xdr:col>
                <xdr:colOff>3048000</xdr:colOff>
                <xdr:row>136</xdr:row>
                <xdr:rowOff>0</xdr:rowOff>
              </from>
              <to>
                <xdr:col>11</xdr:col>
                <xdr:colOff>1625600</xdr:colOff>
                <xdr:row>140</xdr:row>
                <xdr:rowOff>0</xdr:rowOff>
              </to>
            </anchor>
          </commentPr>
        </mc:Fallback>
      </mc:AlternateContent>
    </comment>
    <comment ref="K138" authorId="0" shapeId="20498" xr:uid="{00000000-0006-0000-1300-00000B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12</xdr:col>
                <xdr:colOff>355600</xdr:colOff>
                <xdr:row>136</xdr:row>
                <xdr:rowOff>0</xdr:rowOff>
              </from>
              <to>
                <xdr:col>12</xdr:col>
                <xdr:colOff>2184400</xdr:colOff>
                <xdr:row>140</xdr:row>
                <xdr:rowOff>0</xdr:rowOff>
              </to>
            </anchor>
          </commentPr>
        </mc:Fallback>
      </mc:AlternateContent>
    </comment>
    <comment ref="L138" authorId="0" shapeId="20500" xr:uid="{00000000-0006-0000-1300-00000C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13</xdr:col>
                <xdr:colOff>609600</xdr:colOff>
                <xdr:row>136</xdr:row>
                <xdr:rowOff>0</xdr:rowOff>
              </from>
              <to>
                <xdr:col>14</xdr:col>
                <xdr:colOff>152400</xdr:colOff>
                <xdr:row>140</xdr:row>
                <xdr:rowOff>0</xdr:rowOff>
              </to>
            </anchor>
          </commentPr>
        </mc:Fallback>
      </mc:AlternateContent>
    </comment>
    <comment ref="M138" authorId="0" shapeId="20502" xr:uid="{00000000-0006-0000-1300-00000D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14</xdr:col>
                <xdr:colOff>660400</xdr:colOff>
                <xdr:row>136</xdr:row>
                <xdr:rowOff>0</xdr:rowOff>
              </from>
              <to>
                <xdr:col>15</xdr:col>
                <xdr:colOff>711200</xdr:colOff>
                <xdr:row>140</xdr:row>
                <xdr:rowOff>0</xdr:rowOff>
              </to>
            </anchor>
          </commentPr>
        </mc:Fallback>
      </mc:AlternateContent>
    </comment>
    <comment ref="N138" authorId="0" shapeId="20504" xr:uid="{00000000-0006-0000-1300-00000E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15</xdr:col>
                <xdr:colOff>1828800</xdr:colOff>
                <xdr:row>136</xdr:row>
                <xdr:rowOff>0</xdr:rowOff>
              </from>
              <to>
                <xdr:col>18</xdr:col>
                <xdr:colOff>0</xdr:colOff>
                <xdr:row>140</xdr:row>
                <xdr:rowOff>0</xdr:rowOff>
              </to>
            </anchor>
          </commentPr>
        </mc:Fallback>
      </mc:AlternateContent>
    </comment>
    <comment ref="O138" authorId="0" shapeId="20506" xr:uid="{00000000-0006-0000-1300-00000F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18</xdr:col>
                <xdr:colOff>101600</xdr:colOff>
                <xdr:row>136</xdr:row>
                <xdr:rowOff>0</xdr:rowOff>
              </from>
              <to>
                <xdr:col>20</xdr:col>
                <xdr:colOff>304800</xdr:colOff>
                <xdr:row>140</xdr:row>
                <xdr:rowOff>0</xdr:rowOff>
              </to>
            </anchor>
          </commentPr>
        </mc:Fallback>
      </mc:AlternateContent>
    </comment>
    <comment ref="M139" authorId="0" shapeId="20507" xr:uid="{00000000-0006-0000-1300-000010000000}">
      <text>
        <r>
          <rPr>
            <b/>
            <sz val="9"/>
            <color indexed="81"/>
            <rFont val="Tahoma"/>
            <family val="2"/>
          </rPr>
          <t>Anatoli Poultouchidou (ESA):</t>
        </r>
        <r>
          <rPr>
            <sz val="9"/>
            <color indexed="81"/>
            <rFont val="Tahoma"/>
            <family val="2"/>
          </rPr>
          <t xml:space="preserve">
Tropical montane has the agroforestry types for Tropical - ALL regions</t>
        </r>
      </text>
      <mc:AlternateContent xmlns:mc="http://schemas.openxmlformats.org/markup-compatibility/2006">
        <mc:Choice Requires="v"/>
        <mc:Fallback>
          <commentPr defaultSize="0" autoFill="0" autoLine="0">
            <anchor>
              <from>
                <xdr:col>12</xdr:col>
                <xdr:colOff>2438400</xdr:colOff>
                <xdr:row>137</xdr:row>
                <xdr:rowOff>0</xdr:rowOff>
              </from>
              <to>
                <xdr:col>13</xdr:col>
                <xdr:colOff>1422400</xdr:colOff>
                <xdr:row>143</xdr:row>
                <xdr:rowOff>50800</xdr:rowOff>
              </to>
            </anchor>
          </commentPr>
        </mc:Fallback>
      </mc:AlternateContent>
    </comment>
    <comment ref="N139" authorId="0" shapeId="20508" xr:uid="{00000000-0006-0000-1300-000011000000}">
      <text>
        <r>
          <rPr>
            <b/>
            <sz val="9"/>
            <color indexed="81"/>
            <rFont val="Tahoma"/>
            <family val="2"/>
          </rPr>
          <t>Anatoli Poultouchidou (ESA):</t>
        </r>
        <r>
          <rPr>
            <sz val="9"/>
            <color indexed="81"/>
            <rFont val="Tahoma"/>
            <family val="2"/>
          </rPr>
          <t xml:space="preserve">
Same agroforestry types as Temperate</t>
        </r>
      </text>
      <mc:AlternateContent xmlns:mc="http://schemas.openxmlformats.org/markup-compatibility/2006">
        <mc:Choice Requires="v"/>
        <mc:Fallback>
          <commentPr defaultSize="0" autoFill="0" autoLine="0">
            <anchor>
              <from>
                <xdr:col>14</xdr:col>
                <xdr:colOff>203200</xdr:colOff>
                <xdr:row>137</xdr:row>
                <xdr:rowOff>0</xdr:rowOff>
              </from>
              <to>
                <xdr:col>15</xdr:col>
                <xdr:colOff>152400</xdr:colOff>
                <xdr:row>141</xdr:row>
                <xdr:rowOff>0</xdr:rowOff>
              </to>
            </anchor>
          </commentPr>
        </mc:Fallback>
      </mc:AlternateContent>
    </comment>
    <comment ref="C218" authorId="0" shapeId="20509" xr:uid="{00000000-0006-0000-1300-000012000000}">
      <text>
        <r>
          <rPr>
            <b/>
            <sz val="9"/>
            <color indexed="81"/>
            <rFont val="Tahoma"/>
            <family val="2"/>
          </rPr>
          <t>Anatoli Poultouchidou (ESA):</t>
        </r>
        <r>
          <rPr>
            <sz val="9"/>
            <color indexed="81"/>
            <rFont val="Tahoma"/>
            <family val="2"/>
          </rPr>
          <t xml:space="preserve">
onstructions, roads, parking lots or any kind of land use where no vegetation will be present</t>
        </r>
      </text>
      <mc:AlternateContent xmlns:mc="http://schemas.openxmlformats.org/markup-compatibility/2006">
        <mc:Choice Requires="v"/>
        <mc:Fallback>
          <commentPr defaultSize="0" autoFill="0" autoLine="0">
            <anchor>
              <from>
                <xdr:col>2</xdr:col>
                <xdr:colOff>1422400</xdr:colOff>
                <xdr:row>215</xdr:row>
                <xdr:rowOff>0</xdr:rowOff>
              </from>
              <to>
                <xdr:col>3</xdr:col>
                <xdr:colOff>1219200</xdr:colOff>
                <xdr:row>218</xdr:row>
                <xdr:rowOff>0</xdr:rowOff>
              </to>
            </anchor>
          </commentPr>
        </mc:Fallback>
      </mc:AlternateContent>
    </comment>
  </commentList>
</comments>
</file>

<file path=xl/comments14.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Berling, Laure (ESA)</author>
  </authors>
  <commentList>
    <comment ref="F1" authorId="0" shapeId="167938" xr:uid="{00000000-0006-0000-2B00-000001000000}">
      <text>
        <r>
          <rPr>
            <b/>
            <sz val="9"/>
            <color indexed="81"/>
            <rFont val="Tahoma"/>
            <family val="2"/>
          </rPr>
          <t>Berling, Laure (ESA):</t>
        </r>
        <r>
          <rPr>
            <sz val="9"/>
            <color indexed="81"/>
            <rFont val="Tahoma"/>
            <family val="2"/>
          </rPr>
          <t xml:space="preserve">
Yields from FAOSTAT expressed in hectogrammes/hectare</t>
        </r>
      </text>
      <mc:AlternateContent xmlns:mc="http://schemas.openxmlformats.org/markup-compatibility/2006">
        <mc:Choice Requires="v"/>
        <mc:Fallback>
          <commentPr defaultSize="0" autoFill="0" autoLine="0">
            <anchor>
              <from>
                <xdr:col>6</xdr:col>
                <xdr:colOff>152400</xdr:colOff>
                <xdr:row>0</xdr:row>
                <xdr:rowOff>0</xdr:rowOff>
              </from>
              <to>
                <xdr:col>8</xdr:col>
                <xdr:colOff>254000</xdr:colOff>
                <xdr:row>4</xdr:row>
                <xdr:rowOff>101600</xdr:rowOff>
              </to>
            </anchor>
          </commentPr>
        </mc:Fallback>
      </mc:AlternateContent>
    </comment>
    <comment ref="L1" authorId="0" shapeId="167939" xr:uid="{00000000-0006-0000-2B00-000002000000}">
      <text>
        <r>
          <rPr>
            <b/>
            <sz val="9"/>
            <color indexed="81"/>
            <rFont val="Tahoma"/>
            <family val="2"/>
          </rPr>
          <t>Berling, Laure (ESA):</t>
        </r>
        <r>
          <rPr>
            <sz val="9"/>
            <color indexed="81"/>
            <rFont val="Tahoma"/>
            <family val="2"/>
          </rPr>
          <t>Yields converted into tonnes</t>
        </r>
      </text>
      <mc:AlternateContent xmlns:mc="http://schemas.openxmlformats.org/markup-compatibility/2006">
        <mc:Choice Requires="v"/>
        <mc:Fallback>
          <commentPr defaultSize="0" autoFill="0" autoLine="0">
            <anchor>
              <from>
                <xdr:col>12</xdr:col>
                <xdr:colOff>101600</xdr:colOff>
                <xdr:row>0</xdr:row>
                <xdr:rowOff>0</xdr:rowOff>
              </from>
              <to>
                <xdr:col>14</xdr:col>
                <xdr:colOff>152400</xdr:colOff>
                <xdr:row>4</xdr:row>
                <xdr:rowOff>50800</xdr:rowOff>
              </to>
            </anchor>
          </commentPr>
        </mc:Fallback>
      </mc:AlternateContent>
    </comment>
  </commentList>
</comments>
</file>

<file path=xl/comments15.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Anatoli Poultouchidou (ESA)</author>
  </authors>
  <commentList>
    <comment ref="C27" authorId="0" shapeId="30722" xr:uid="{00000000-0006-0000-2C00-000001000000}">
      <text>
        <r>
          <rPr>
            <b/>
            <sz val="9"/>
            <color indexed="81"/>
            <rFont val="Tahoma"/>
            <family val="2"/>
          </rPr>
          <t>Anatoli Poultouchidou (ESA):</t>
        </r>
        <r>
          <rPr>
            <sz val="9"/>
            <color indexed="81"/>
            <rFont val="Tahoma"/>
            <family val="2"/>
          </rPr>
          <t xml:space="preserve">
TABLE 11.1A, page 11.15
TABLE 11.2, page 11.18</t>
        </r>
      </text>
      <mc:AlternateContent xmlns:mc="http://schemas.openxmlformats.org/markup-compatibility/2006">
        <mc:Choice Requires="v"/>
        <mc:Fallback>
          <commentPr defaultSize="0" autoFill="0" autoLine="0">
            <anchor>
              <from>
                <xdr:col>3</xdr:col>
                <xdr:colOff>0</xdr:colOff>
                <xdr:row>12</xdr:row>
                <xdr:rowOff>152400</xdr:rowOff>
              </from>
              <to>
                <xdr:col>3</xdr:col>
                <xdr:colOff>2641600</xdr:colOff>
                <xdr:row>16</xdr:row>
                <xdr:rowOff>101600</xdr:rowOff>
              </to>
            </anchor>
          </commentPr>
        </mc:Fallback>
      </mc:AlternateContent>
    </comment>
    <comment ref="C28" authorId="0" shapeId="30721" xr:uid="{00000000-0006-0000-2C00-000002000000}">
      <text>
        <r>
          <rPr>
            <b/>
            <sz val="9"/>
            <color indexed="81"/>
            <rFont val="Tahoma"/>
            <family val="2"/>
          </rPr>
          <t>Anatoli Poultouchidou (ESA):</t>
        </r>
        <r>
          <rPr>
            <sz val="9"/>
            <color indexed="81"/>
            <rFont val="Tahoma"/>
            <family val="2"/>
          </rPr>
          <t xml:space="preserve">
Generic value for crops not indicated belowc</t>
        </r>
      </text>
      <mc:AlternateContent xmlns:mc="http://schemas.openxmlformats.org/markup-compatibility/2006">
        <mc:Choice Requires="v"/>
        <mc:Fallback>
          <commentPr defaultSize="0" autoFill="0" autoLine="0">
            <anchor>
              <from>
                <xdr:col>3</xdr:col>
                <xdr:colOff>0</xdr:colOff>
                <xdr:row>13</xdr:row>
                <xdr:rowOff>0</xdr:rowOff>
              </from>
              <to>
                <xdr:col>3</xdr:col>
                <xdr:colOff>1828800</xdr:colOff>
                <xdr:row>16</xdr:row>
                <xdr:rowOff>0</xdr:rowOff>
              </to>
            </anchor>
          </commentPr>
        </mc:Fallback>
      </mc:AlternateContent>
    </comment>
  </commentList>
</comments>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<sst xmlns="http://purl.oclc.org/ooxml/spreadsheetml/main" count="24422" uniqueCount="5287">
  <si>
    <t>EX-ACT version 9 is based on the 2019 Refinement to the 2006 IPCC Guidelines for National Greenhouse Gas Inventories, their 2013 Supplement for Wetlands, as well as on FAOSTAT, UNFCCC, IHH, FEUD and other relevant scientific sources.</t>
  </si>
  <si>
    <t>EX-ACT is a designed to support decision makers within the governments, private sector and civil society organizations to calculate greenhouse gas emissions using IPCC methdoologies. EX-ACT can be used in the project (or programme) design phase  as well as for on-going and ex-post evaluations of interventions in agriculture (the AFOLU sector, fisheries, aquaculture, inputs and infrastructure).</t>
  </si>
  <si>
    <t xml:space="preserve">EX-ACT v9 has been developped by FAO's Agrifood Economics Division with the support of the World Bank and Agence Française de Développement. </t>
  </si>
  <si>
    <t xml:space="preserve">Website: </t>
  </si>
  <si>
    <t>http://www.fao.org/tc/exact/ex-act-home/en/</t>
  </si>
  <si>
    <t>Contact:</t>
  </si>
  <si>
    <t>EX-ACT@fao.org</t>
  </si>
  <si>
    <r>
      <rPr>
        <b/>
        <sz val="8"/>
        <color theme="1"/>
        <rFont val="Roboto Light"/>
      </rPr>
      <t>DISCLAIMER</t>
    </r>
    <r>
      <rPr>
        <sz val="8"/>
        <color theme="1"/>
        <rFont val="Roboto Light"/>
      </rPr>
      <t xml:space="preserve">
FAO declines all responsibility for errors or deficiencies in the database or software or in the documentation accompanying it, for program maintenance and upgrading as well as for any damage that may arise from them. FAO also declines any responsibility for updating the data and assumes no responsibility for errors and omissions in the data provided. Users are, however, kindly asked to report any errors or deficiencies in this product to FAO.</t>
    </r>
  </si>
  <si>
    <t>The choices of calculation made in this tool are those of the author(s) and do not necessarily reflect the views  and choices of the Food and Agriculture Organization of the United Nations.</t>
  </si>
  <si>
    <r>
      <t>© FAO (2021)
FAO encourages the use, reproduction and dissemination of material in this product. Except where otherwise indicated, material may be copied, downloaded and printed for private study, research and teaching purposes, or for use in non-commercial products or services, provided that appropriate acknowledgement of FAO as the source and copyright holder is given and that FAO’s endorsement of users’ views, products or services is not implied in any way. 
All requests for translation and adaptation rights, and for resale and other commercial use rights should be made via</t>
    </r>
    <r>
      <rPr>
        <b/>
        <sz val="8"/>
        <color rgb="FFFF0000"/>
        <rFont val="Roboto Light"/>
      </rPr>
      <t xml:space="preserve"> </t>
    </r>
    <r>
      <rPr>
        <sz val="8"/>
        <rFont val="Roboto Light"/>
      </rPr>
      <t>www.fao.org/contact-us/licence-request or addressed to copyright@fao.org</t>
    </r>
    <r>
      <rPr>
        <sz val="8"/>
        <color theme="1"/>
        <rFont val="Roboto Light"/>
      </rPr>
      <t xml:space="preserve">
</t>
    </r>
  </si>
  <si>
    <t>Terms of Use for the EX-ACT: Ex-Ante Carbon-balance Tool</t>
  </si>
  <si>
    <t>General Provisions</t>
  </si>
  <si>
    <t>To support efforts towards forest monitoring, the Food and Agriculture Organization of the United Nations (FAO) has developed the EX-ACT: Ex-Ante Carbon-balance Tool to help countries identify capacity gaps and weaknesses and address their real needs in a targeted manner.</t>
  </si>
  <si>
    <t xml:space="preserve">The EX-ACT: Ex-Ante Carbon-balance Tool is excel-based. </t>
  </si>
  <si>
    <t>The Ex-Ante Carbon-balance Tool (EX-ACT) is an appraisal system developed by FAO providing estimates of the impact of agriculture and forestry development projects, programmes and policies on the carbon-balance.</t>
  </si>
  <si>
    <t>The carbon-balance is defined as the net balance from all greenhouse gases (GHGs) expressed in CO2 equivalent that were emitted or sequestered due to project implementation as compared to a business-as-usual scenario.</t>
  </si>
  <si>
    <t>EX-ACT is a land-based accounting system, estimating C stock changes (i.e. emissions or sinks of CO2) as well as GHG emissions per unit of land, expressed in equivalent tonnes of CO2 per hectare and year. The tool helps project designers to estimate and prioritize project activities with high benefits in economic and climate change mitigation terms. The amount of GHG mitigation may also be used as part of economic analyses as well as for the application for additional project funds.</t>
  </si>
  <si>
    <t>EX-ACT can be applied on a wide range of development projects from all Agriculture, Forestry and Other Land Use (AFOLU) sub-sectors, including besides others projects on climate change mitigation, sustainable land management, watershed development, production intensification, food security, livestock, forest management or land use change. Furthermore, it is cost effective, requires a comparatively small amount of data, and has resources (tables, maps) which can help find the required information. While EX-ACT is mostly used at project level it may easily be up scaled to the programme/sector level and can also be used for policy analysis.</t>
  </si>
  <si>
    <r>
      <t>1.</t>
    </r>
    <r>
      <rPr>
        <sz val="7"/>
        <color theme="1"/>
        <rFont val="Roboto Light"/>
      </rPr>
      <t xml:space="preserve">      </t>
    </r>
    <r>
      <rPr>
        <sz val="11"/>
        <color theme="1"/>
        <rFont val="Roboto Light"/>
      </rPr>
      <t>By using the EX-ACT: Ex-Ante Carbon-balance Tool (hereinafter referred to as the “Tool”), you acknowledge and accept to be bound by these Terms of Use, and the FAO’s Terms and Conditions for use of its website Tool. If the end users do not agree to these Terms of Use, they should not use the Tool. In the event of a conflict or inconsistency between these Terms of Use and FAO’s Terms and Conditions for use of its website, the present Terms of Use shall prevail.</t>
    </r>
  </si>
  <si>
    <r>
      <t>2.</t>
    </r>
    <r>
      <rPr>
        <sz val="7"/>
        <color theme="1"/>
        <rFont val="Roboto Light"/>
      </rPr>
      <t xml:space="preserve">      </t>
    </r>
    <r>
      <rPr>
        <sz val="11"/>
        <color theme="1"/>
        <rFont val="Roboto Light"/>
      </rPr>
      <t>FAO reserves the right to amend these Terms of Use, as well as the FAO’s Terms and Conditions for use of its website, from time to time and without notice. Notifications of any significant amendments and amended versions of these Terms of Use and the FAO Terms and Conditions for use its website will, respectively, be included in the latest version of the Tool available following the registration on FAO’s website. By continuing to use the Tool subsequent to FAO making available an amended version of such Terms of Use, you acknowledge, agree and consent to such amendment(s).</t>
    </r>
  </si>
  <si>
    <t>Definitions</t>
  </si>
  <si>
    <r>
      <t>3.</t>
    </r>
    <r>
      <rPr>
        <sz val="7"/>
        <color theme="1"/>
        <rFont val="Roboto Light"/>
      </rPr>
      <t xml:space="preserve">      </t>
    </r>
    <r>
      <rPr>
        <sz val="11"/>
        <color theme="1"/>
        <rFont val="Roboto Light"/>
      </rPr>
      <t>The following definitions shall apply to these Terms of Use and any other related document:</t>
    </r>
  </si>
  <si>
    <t xml:space="preserve">i.       ‘Users’ refer to those end users who have accessed and/or received the Tool by any means, without prior registration to the Tool website.  </t>
  </si>
  <si>
    <r>
      <t>ii.</t>
    </r>
    <r>
      <rPr>
        <sz val="7"/>
        <color theme="1"/>
        <rFont val="Roboto Light"/>
      </rPr>
      <t xml:space="preserve">      </t>
    </r>
    <r>
      <rPr>
        <sz val="11"/>
        <color theme="1"/>
        <rFont val="Roboto Light"/>
      </rPr>
      <t xml:space="preserve">‘Registered Users/Subscribers’ refer to those users who have registered in the Tool website, in order to be able to download and use the Tool. </t>
    </r>
  </si>
  <si>
    <r>
      <t>iii.</t>
    </r>
    <r>
      <rPr>
        <sz val="7"/>
        <color theme="1"/>
        <rFont val="Roboto Light"/>
      </rPr>
      <t xml:space="preserve">     </t>
    </r>
    <r>
      <rPr>
        <sz val="11"/>
        <color theme="1"/>
        <rFont val="Roboto Light"/>
      </rPr>
      <t>‘Third Party(ies)’ means any natural or legal person, public authority, agency or any other body other than the Registered Users, Users or FAO.</t>
    </r>
  </si>
  <si>
    <r>
      <t>iv.</t>
    </r>
    <r>
      <rPr>
        <sz val="7"/>
        <color theme="1"/>
        <rFont val="Roboto Light"/>
      </rPr>
      <t xml:space="preserve">     </t>
    </r>
    <r>
      <rPr>
        <sz val="11"/>
        <color theme="1"/>
        <rFont val="Roboto Light"/>
      </rPr>
      <t>‘Personal Data’ means any information that identifies the individual, or can be used to directly or indirectly identify the individual, either from the registration form, or from the data in conjunction with other information that is in, or is likely to come into, the possession of FAO. Personal Data may include but is not limited to: (a) name and/or surname; (b) place/date of birth; (c) age; (d) gender; (e) personality or ethnicity; (f) country; (g) personal contacts (e.g. email address, postal address, telephone number, etc.); (h) job details, including the organization or company you are representing or working for and your  role in your organization.</t>
    </r>
  </si>
  <si>
    <r>
      <t>v.</t>
    </r>
    <r>
      <rPr>
        <sz val="7"/>
        <color theme="1"/>
        <rFont val="Roboto Light"/>
      </rPr>
      <t xml:space="preserve">      </t>
    </r>
    <r>
      <rPr>
        <sz val="11"/>
        <color theme="1"/>
        <rFont val="Roboto Light"/>
      </rPr>
      <t xml:space="preserve"> ‘Processing of data’ means any operation or set of operations which is performed on, or using data, whether or not by automatic means, such as collection, recording, organization, storage, adaptation or alteration, retrieval, consultation, use, disclosure by transmission, dissemination or otherwise making available, alignment or combination, blocking, erasure or destruction.</t>
    </r>
  </si>
  <si>
    <t>Using the Tool</t>
  </si>
  <si>
    <t>4.      The Tool is updated by FAO on a regular basis. All end users should download the latest version of the Tool following the registration instructions provided hereinafter and available on the Tool website.</t>
  </si>
  <si>
    <t>5.      When registering for the Tool, you will be required to provide FAO with your Personal Data. You acknowledge, agree and consent to FAO’s processing of your Personal Data, in accordance with FAO’s rules, policies and procedures and to the exclusion of any single national system of law, and that FAO may make available such Personal Data to Third Parties exclusively for the purposes of the Tool, or for FAO institutional activities (see http://www.fao.org/contact-us/privacy-policy/en/). You may, at any time, request FAO to delete, review, correct or update the registration and Personal Data by writing to exact@fao.org.</t>
  </si>
  <si>
    <r>
      <t>6.</t>
    </r>
    <r>
      <rPr>
        <sz val="7"/>
        <color theme="1"/>
        <rFont val="Roboto Light"/>
      </rPr>
      <t xml:space="preserve">      </t>
    </r>
    <r>
      <rPr>
        <sz val="11"/>
        <color theme="1"/>
        <rFont val="Roboto Light"/>
      </rPr>
      <t>Following registration, FAO reserves the exclusive right to verify your eligibility to download and use the Tool and to not accept any request that, in its sole discretion, is not in accordance with these Terms of Use or the FAO’s Terms and Conditions for use of its website. Upon validation of your eligibility by FAO, you may download and use the Tool.</t>
    </r>
  </si>
  <si>
    <r>
      <t>7.</t>
    </r>
    <r>
      <rPr>
        <sz val="7"/>
        <color theme="1"/>
        <rFont val="Roboto Light"/>
      </rPr>
      <t xml:space="preserve">      </t>
    </r>
    <r>
      <rPr>
        <sz val="11"/>
        <color theme="1"/>
        <rFont val="Roboto Light"/>
      </rPr>
      <t>FAO reserves the right at any time, to modify or discontinue, temporarily or permanently the Tool, including any means of accessing or utilizing it, at its sole discretion with or without prior notice to you.</t>
    </r>
  </si>
  <si>
    <r>
      <t>8.</t>
    </r>
    <r>
      <rPr>
        <sz val="7"/>
        <color theme="1"/>
        <rFont val="Roboto Light"/>
      </rPr>
      <t xml:space="preserve">      </t>
    </r>
    <r>
      <rPr>
        <sz val="11"/>
        <color theme="1"/>
        <rFont val="Roboto Light"/>
      </rPr>
      <t>FAO may at its sole discretion, under any circumstances, for any or no reason whatsoever and with or without prior notice to you, cancel your registration to the Tool.</t>
    </r>
  </si>
  <si>
    <t>Responsibility of Registered Users and Users</t>
  </si>
  <si>
    <r>
      <t>9.</t>
    </r>
    <r>
      <rPr>
        <sz val="7"/>
        <color theme="1"/>
        <rFont val="Roboto Light"/>
      </rPr>
      <t xml:space="preserve">      </t>
    </r>
    <r>
      <rPr>
        <sz val="11"/>
        <color theme="1"/>
        <rFont val="Roboto Light"/>
      </rPr>
      <t>You acknowledge and agree that you:</t>
    </r>
  </si>
  <si>
    <r>
      <t xml:space="preserve">                 </t>
    </r>
    <r>
      <rPr>
        <sz val="11"/>
        <color theme="1"/>
        <rFont val="Roboto Light"/>
      </rPr>
      <t>I.</t>
    </r>
    <r>
      <rPr>
        <sz val="7"/>
        <color theme="1"/>
        <rFont val="Roboto Light"/>
      </rPr>
      <t xml:space="preserve">          </t>
    </r>
    <r>
      <rPr>
        <sz val="11"/>
        <color theme="1"/>
        <rFont val="Roboto Light"/>
      </rPr>
      <t>will comply with all applicable laws, including, without limitation, data protection laws, privacy laws, anti-spam laws, and intellectual property laws;</t>
    </r>
  </si>
  <si>
    <r>
      <t xml:space="preserve">                </t>
    </r>
    <r>
      <rPr>
        <sz val="11"/>
        <color theme="1"/>
        <rFont val="Roboto Light"/>
      </rPr>
      <t>II.</t>
    </r>
    <r>
      <rPr>
        <sz val="7"/>
        <color theme="1"/>
        <rFont val="Roboto Light"/>
      </rPr>
      <t xml:space="preserve">          </t>
    </r>
    <r>
      <rPr>
        <sz val="11"/>
        <color theme="1"/>
        <rFont val="Roboto Light"/>
      </rPr>
      <t>are responsible for ensuring the integrity and accuracy of the information that you provide registering at http://www.fao.org/in-action/epic/ex-act-tool/suite-of-tools/b-intact/en/, including any Personal Data; any false or misrepresentative identity, affiliation with a person or entity, past or present, or your current or previous positions and qualifications is not allowed;</t>
    </r>
  </si>
  <si>
    <r>
      <t xml:space="preserve">              </t>
    </r>
    <r>
      <rPr>
        <sz val="11"/>
        <color theme="1"/>
        <rFont val="Roboto Light"/>
      </rPr>
      <t>III.</t>
    </r>
    <r>
      <rPr>
        <sz val="7"/>
        <color theme="1"/>
        <rFont val="Roboto Light"/>
      </rPr>
      <t xml:space="preserve">          </t>
    </r>
    <r>
      <rPr>
        <sz val="11"/>
        <color theme="1"/>
        <rFont val="Roboto Light"/>
      </rPr>
      <t>are responsible for making sure that no Third Party can claim any rights on the contents of the Tool or other information provided by you;</t>
    </r>
  </si>
  <si>
    <r>
      <t xml:space="preserve">              </t>
    </r>
    <r>
      <rPr>
        <sz val="11"/>
        <color theme="1"/>
        <rFont val="Roboto Light"/>
      </rPr>
      <t>IV.</t>
    </r>
    <r>
      <rPr>
        <sz val="7"/>
        <color theme="1"/>
        <rFont val="Roboto Light"/>
      </rPr>
      <t xml:space="preserve">          </t>
    </r>
    <r>
      <rPr>
        <sz val="11"/>
        <color theme="1"/>
        <rFont val="Roboto Light"/>
      </rPr>
      <t>cannot publicly represent or imply that FAO is participating in, or has sponsored, approved or endorsed the manner or purpose of your use of the Tool;</t>
    </r>
  </si>
  <si>
    <r>
      <t xml:space="preserve">               </t>
    </r>
    <r>
      <rPr>
        <sz val="11"/>
        <color theme="1"/>
        <rFont val="Roboto Light"/>
      </rPr>
      <t>V.</t>
    </r>
    <r>
      <rPr>
        <sz val="7"/>
        <color theme="1"/>
        <rFont val="Roboto Light"/>
      </rPr>
      <t xml:space="preserve">          </t>
    </r>
    <r>
      <rPr>
        <sz val="11"/>
        <color theme="1"/>
        <rFont val="Roboto Light"/>
      </rPr>
      <t xml:space="preserve">will not delete any attributions, legal notices or proprietary designations or labels in any related information to the Tool, on the understanding that you assume responsibility for independently assessing its relevance, accuracy, completeness, and suitability for application. </t>
    </r>
  </si>
  <si>
    <r>
      <t>10.</t>
    </r>
    <r>
      <rPr>
        <sz val="7"/>
        <color theme="1"/>
        <rFont val="Roboto Light"/>
      </rPr>
      <t xml:space="preserve">   </t>
    </r>
    <r>
      <rPr>
        <sz val="11"/>
        <color theme="1"/>
        <rFont val="Roboto Light"/>
      </rPr>
      <t>By accepting these Terms of Use, you agree:</t>
    </r>
  </si>
  <si>
    <r>
      <t xml:space="preserve">            </t>
    </r>
    <r>
      <rPr>
        <sz val="11"/>
        <color theme="1"/>
        <rFont val="Roboto Light"/>
      </rPr>
      <t>I.</t>
    </r>
    <r>
      <rPr>
        <sz val="7"/>
        <color theme="1"/>
        <rFont val="Roboto Light"/>
      </rPr>
      <t xml:space="preserve">     </t>
    </r>
    <r>
      <rPr>
        <sz val="11"/>
        <color theme="1"/>
        <rFont val="Roboto Light"/>
      </rPr>
      <t>To make no changes to the Tool, including, but not limited to, the structure, formulas, text and any other element which is an integral part of the Tool.</t>
    </r>
  </si>
  <si>
    <r>
      <t xml:space="preserve">           </t>
    </r>
    <r>
      <rPr>
        <sz val="11"/>
        <color theme="1"/>
        <rFont val="Roboto Light"/>
      </rPr>
      <t>II.</t>
    </r>
    <r>
      <rPr>
        <sz val="7"/>
        <color theme="1"/>
        <rFont val="Roboto Light"/>
      </rPr>
      <t xml:space="preserve">     </t>
    </r>
    <r>
      <rPr>
        <sz val="11"/>
        <color theme="1"/>
        <rFont val="Roboto Light"/>
      </rPr>
      <t>Once downloaded or otherwise accessed or received, you will use the Tool only the purposes, indicated in the General Provisions above.</t>
    </r>
  </si>
  <si>
    <r>
      <t xml:space="preserve">         </t>
    </r>
    <r>
      <rPr>
        <sz val="11"/>
        <color theme="1"/>
        <rFont val="Roboto Light"/>
      </rPr>
      <t>III.</t>
    </r>
    <r>
      <rPr>
        <sz val="7"/>
        <color theme="1"/>
        <rFont val="Roboto Light"/>
      </rPr>
      <t xml:space="preserve">     </t>
    </r>
    <r>
      <rPr>
        <sz val="11"/>
        <color theme="1"/>
        <rFont val="Roboto Light"/>
      </rPr>
      <t>The assessment(s) you perform with the Tool is based on your knowledge and experience and do not necessarily reflect the views and choices of FAO.</t>
    </r>
  </si>
  <si>
    <r>
      <t xml:space="preserve">         </t>
    </r>
    <r>
      <rPr>
        <sz val="11"/>
        <color theme="1"/>
        <rFont val="Roboto Light"/>
      </rPr>
      <t>IV.</t>
    </r>
    <r>
      <rPr>
        <sz val="7"/>
        <color theme="1"/>
        <rFont val="Roboto Light"/>
      </rPr>
      <t xml:space="preserve">     </t>
    </r>
    <r>
      <rPr>
        <sz val="11"/>
        <color theme="1"/>
        <rFont val="Roboto Light"/>
      </rPr>
      <t xml:space="preserve">That the Tool it cannot be used for commercial purposes. </t>
    </r>
  </si>
  <si>
    <t>Disclaimer</t>
  </si>
  <si>
    <t>11.   Information provided in the Tool is provided “as is” and FAO does not provide any guarantee that such information is correct, complete or up to date. FAO does not represent or endorse the accuracy or reliability of any data provided in the Tool, declines all responsibility for updating the data and assumes no responsibility for errors and omissions in the data provided. FAO also declines all responsibility for errors or deficiencies in the Tool, for program maintenance and upgrading as well as for any damage that may arise from use of the Tool. Registered Users are responsible for reporting any errors or deficiencies in this product by writing to exact@fao.org.</t>
  </si>
  <si>
    <r>
      <t>12.</t>
    </r>
    <r>
      <rPr>
        <sz val="7"/>
        <color theme="1"/>
        <rFont val="Roboto Light"/>
      </rPr>
      <t xml:space="preserve">   </t>
    </r>
    <r>
      <rPr>
        <sz val="11"/>
        <color theme="1"/>
        <rFont val="Roboto Light"/>
      </rPr>
      <t xml:space="preserve">FAO makes no, and expressly disclaims any, warranties, express or implied, regarding the correctness, accuracy, completeness, timeliness, and reliability of the text, graphics, links to other sites and any other items accessed from or via the (http://www.fao.org/in-action/epic/ex-act-tool/suite-of-tools/ex-act/en/), or that the services will be uninterrupted, error-free or free of viruses or other harmful components. </t>
    </r>
  </si>
  <si>
    <r>
      <t>13.</t>
    </r>
    <r>
      <rPr>
        <sz val="7"/>
        <color theme="1"/>
        <rFont val="Roboto Light"/>
      </rPr>
      <t xml:space="preserve">   </t>
    </r>
    <r>
      <rPr>
        <sz val="11"/>
        <color theme="1"/>
        <rFont val="Roboto Light"/>
      </rPr>
      <t xml:space="preserve">The designations employed and the presentation of the material on or in the Tool do not imply the expression of any opinion whatsoever on the part of FAO concerning the legal or development status of any country, territory, city or area or of its authorities, or concerning the delimitation of its frontiers or boundaries. </t>
    </r>
  </si>
  <si>
    <r>
      <t>14.</t>
    </r>
    <r>
      <rPr>
        <sz val="7"/>
        <color theme="1"/>
        <rFont val="Roboto Light"/>
      </rPr>
      <t xml:space="preserve">   </t>
    </r>
    <r>
      <rPr>
        <sz val="11"/>
        <color theme="1"/>
        <rFont val="Roboto Light"/>
      </rPr>
      <t>Links to other websites are provided for the user's convenience only and do not constitute endorsement of or responsibility on the part of FAO for the opinions, ideas, data or products presented at these locations, or guarantee the validity of the information provided on them.</t>
    </r>
  </si>
  <si>
    <r>
      <t>15.</t>
    </r>
    <r>
      <rPr>
        <sz val="7"/>
        <color theme="1"/>
        <rFont val="Roboto Light"/>
      </rPr>
      <t xml:space="preserve">   </t>
    </r>
    <r>
      <rPr>
        <sz val="11"/>
        <color theme="1"/>
        <rFont val="Roboto Light"/>
      </rPr>
      <t>Under no circumstances shall FAO, its authorized vendors and/or subcontractors, or any of their respective partners, officers, directors, employees, agents or representatives be liable for any loss or damage arising from, or directly or indirectly connected to, the use of, reference to, or reliance on the information contained in the Tool including, but not limited to, any liability arising from any intentional or negligent misuse, errors, disclosure, undue transfer, loss or destruction of information that may occur.</t>
    </r>
  </si>
  <si>
    <r>
      <t>16.</t>
    </r>
    <r>
      <rPr>
        <sz val="7"/>
        <color theme="1"/>
        <rFont val="Roboto Light"/>
      </rPr>
      <t xml:space="preserve">   </t>
    </r>
    <r>
      <rPr>
        <sz val="11"/>
        <color theme="1"/>
        <rFont val="Roboto Light"/>
      </rPr>
      <t>FAO shall not be responsible for any information that is not received due to internet connection or software failures.</t>
    </r>
  </si>
  <si>
    <t>Copyright and Reuse of Web Content</t>
  </si>
  <si>
    <r>
      <t>17.</t>
    </r>
    <r>
      <rPr>
        <sz val="7"/>
        <color theme="1"/>
        <rFont val="Roboto Light"/>
      </rPr>
      <t xml:space="preserve">   </t>
    </r>
    <r>
      <rPr>
        <sz val="11"/>
        <color theme="1"/>
        <rFont val="Roboto Light"/>
      </rPr>
      <t>The content of the EX-ACT: Ex-Ante Carbon-balance Tool is subject to the FAO Terms and Conditions for use of its website. Except as otherwise stated below, the information available on the EX-ACT Website including text, logos, graphics, maps, images, audio clips and electronic downloads, is the property of FAO. Users may freely download and copy the FAO material for personal, non-commercial use, without any right to resell, redistribute, compile or create derivative works therefrom. Copyright in material provided by users remains with the information provider(s) or original rights holder(s). Users may only post materials for which they have the right or permission to distribute electronically and to authorize others to redistribute. Unless otherwise indicated, users providing information acknowledge and agree that the material posted on the EX-ACT Website may be reused and redistributed by the members for non-commercial purposes, without prior written permission.</t>
    </r>
  </si>
  <si>
    <r>
      <t>18.</t>
    </r>
    <r>
      <rPr>
        <sz val="7"/>
        <color theme="1"/>
        <rFont val="Roboto Light"/>
      </rPr>
      <t xml:space="preserve">   </t>
    </r>
    <r>
      <rPr>
        <sz val="11"/>
        <color theme="1"/>
        <rFont val="Roboto Light"/>
      </rPr>
      <t>Links to other websites are provided for your convenience only and do not constitute endorsement by FAO of material at those sites, or any associated organization, product or service.</t>
    </r>
  </si>
  <si>
    <t>Privileges and Immunities</t>
  </si>
  <si>
    <r>
      <t>19.</t>
    </r>
    <r>
      <rPr>
        <sz val="7"/>
        <color theme="1"/>
        <rFont val="Roboto Light"/>
      </rPr>
      <t xml:space="preserve">   </t>
    </r>
    <r>
      <rPr>
        <sz val="11"/>
        <color theme="1"/>
        <rFont val="Roboto Light"/>
      </rPr>
      <t>Nothing contained in or related to these Terms and Conditions shall be deemed a waiver, express or implied, of the privileges and immunities of FAO, or as its acceptance of the jurisdiction of the courts of any country over disputes arising out of these Terms of Use or documents or arrangements related thereto.</t>
    </r>
  </si>
  <si>
    <t>Please select</t>
  </si>
  <si>
    <t>if other, please specify</t>
  </si>
  <si>
    <t>Please ensure the MAT is &gt; 18C and the elevation&gt; 1000m.</t>
  </si>
  <si>
    <t>1.3 Global warming potential</t>
  </si>
  <si>
    <t>1.4 Reference soil organic carbon stock</t>
  </si>
  <si>
    <t>tC/ha</t>
  </si>
  <si>
    <t>Source:</t>
  </si>
  <si>
    <t>100 yr AR5 with CC feedback</t>
  </si>
  <si>
    <t>Default</t>
  </si>
  <si>
    <t>Tier 2</t>
  </si>
  <si>
    <r>
      <t>CO</t>
    </r>
    <r>
      <rPr>
        <b/>
        <vertAlign val="subscript"/>
        <sz val="11"/>
        <color theme="1"/>
        <rFont val="Roboto Light"/>
      </rPr>
      <t>2</t>
    </r>
  </si>
  <si>
    <t>SOCref</t>
  </si>
  <si>
    <r>
      <t>CH</t>
    </r>
    <r>
      <rPr>
        <b/>
        <vertAlign val="subscript"/>
        <sz val="11"/>
        <color theme="1"/>
        <rFont val="Roboto Light"/>
      </rPr>
      <t>4</t>
    </r>
  </si>
  <si>
    <r>
      <t>N</t>
    </r>
    <r>
      <rPr>
        <b/>
        <vertAlign val="subscript"/>
        <sz val="11"/>
        <color theme="1"/>
        <rFont val="Roboto Light"/>
      </rPr>
      <t>2</t>
    </r>
    <r>
      <rPr>
        <b/>
        <sz val="11"/>
        <color theme="1"/>
        <rFont val="Roboto Light"/>
      </rPr>
      <t>O</t>
    </r>
  </si>
  <si>
    <t>Annual balance</t>
  </si>
  <si>
    <t xml:space="preserve">Type of vegetation </t>
  </si>
  <si>
    <t>All units are in tC/ha</t>
  </si>
  <si>
    <t xml:space="preserve">Start year of </t>
  </si>
  <si>
    <t>(tDM/ha)</t>
  </si>
  <si>
    <t>that will be deforested</t>
  </si>
  <si>
    <t>Above-ground</t>
  </si>
  <si>
    <t>Below-ground</t>
  </si>
  <si>
    <t>Litter</t>
  </si>
  <si>
    <t>Dead wood</t>
  </si>
  <si>
    <t>Soil carbon</t>
  </si>
  <si>
    <t>implementation</t>
  </si>
  <si>
    <t>*</t>
  </si>
  <si>
    <t xml:space="preserve">Default </t>
  </si>
  <si>
    <t>NO</t>
  </si>
  <si>
    <t>D</t>
  </si>
  <si>
    <t>Use this part only if you want to refine yearly GHG fluxes</t>
  </si>
  <si>
    <t>( ≤ 20 years )</t>
  </si>
  <si>
    <t>( &gt; 20 years )</t>
  </si>
  <si>
    <t>AGB+BGB</t>
  </si>
  <si>
    <t>(y/n)</t>
  </si>
  <si>
    <t>tC/ha/yr</t>
  </si>
  <si>
    <t>Initial land use</t>
  </si>
  <si>
    <t>Final land use</t>
  </si>
  <si>
    <t>In tC/ha in the first year</t>
  </si>
  <si>
    <t>Biomass</t>
  </si>
  <si>
    <t>2.1 Deforestation</t>
  </si>
  <si>
    <t xml:space="preserve">IPCC forest classes stratified by climate </t>
  </si>
  <si>
    <t>No</t>
  </si>
  <si>
    <t>Forest classes per IPCC climate region</t>
  </si>
  <si>
    <t>AGB default</t>
  </si>
  <si>
    <t>AGB tier 2</t>
  </si>
  <si>
    <t>BGB</t>
  </si>
  <si>
    <t>BGB default</t>
  </si>
  <si>
    <t>BGB tier 2</t>
  </si>
  <si>
    <t>Litter default</t>
  </si>
  <si>
    <t>Dead Wood</t>
  </si>
  <si>
    <t>DW Tier 2</t>
  </si>
  <si>
    <r>
      <t>SOC</t>
    </r>
    <r>
      <rPr>
        <b/>
        <sz val="8"/>
        <rFont val="Century Gothic"/>
        <family val="2"/>
      </rPr>
      <t>(0-T)</t>
    </r>
  </si>
  <si>
    <t>SOC Tier 2</t>
  </si>
  <si>
    <t>Tropical</t>
  </si>
  <si>
    <t>WarmTemperate</t>
  </si>
  <si>
    <t>CoolTemperate</t>
  </si>
  <si>
    <t>Boreal</t>
  </si>
  <si>
    <t>TropicalMontane</t>
  </si>
  <si>
    <t>t d.m./ha</t>
  </si>
  <si>
    <t>t C/ha</t>
  </si>
  <si>
    <t>Tropical rainforest</t>
  </si>
  <si>
    <t>Subtropical humid forest</t>
  </si>
  <si>
    <t>Temperate oceanic forest</t>
  </si>
  <si>
    <t>Boreal coniferous forest</t>
  </si>
  <si>
    <t>Tropical mountain systems</t>
  </si>
  <si>
    <t>Tropical moist deciduous forest</t>
  </si>
  <si>
    <t>Subtropical dry forest</t>
  </si>
  <si>
    <t>Temperate continental forest</t>
  </si>
  <si>
    <t>Boreal tundra woodland</t>
  </si>
  <si>
    <t>Planted Tropical mountain systems</t>
  </si>
  <si>
    <t>Tropical dry forest</t>
  </si>
  <si>
    <t>Subtropical steppe</t>
  </si>
  <si>
    <t>Temperate mountain systems</t>
  </si>
  <si>
    <t>Boreal mountain systems</t>
  </si>
  <si>
    <t>Tropical shrubland</t>
  </si>
  <si>
    <t>Subtropical mountain systems</t>
  </si>
  <si>
    <t>Temperate desert</t>
  </si>
  <si>
    <t>Planted Boreal coniferous forest</t>
  </si>
  <si>
    <t>Mangrove Forest</t>
  </si>
  <si>
    <t>Planted Subtropical humid forest</t>
  </si>
  <si>
    <t>Temperate steppe</t>
  </si>
  <si>
    <t>Planted Boreal tundra woodland</t>
  </si>
  <si>
    <t>Planted Tropical rainforest</t>
  </si>
  <si>
    <t>Planted Subtropical dry forest</t>
  </si>
  <si>
    <t>Planted Temperate oceanic forest</t>
  </si>
  <si>
    <t>Planted Boreal mountain systems</t>
  </si>
  <si>
    <t>Planted Tropical moist deciduous forest</t>
  </si>
  <si>
    <t>Planted Subtropical steppe</t>
  </si>
  <si>
    <t>Planted Temperate continental forest</t>
  </si>
  <si>
    <t>Planted Tropical dry forest</t>
  </si>
  <si>
    <t>Planted Subtropical mountain systems</t>
  </si>
  <si>
    <t>Planted Temperate mountain systems</t>
  </si>
  <si>
    <t>Planted  Tropical shrubland</t>
  </si>
  <si>
    <t>Planted Temperate desert</t>
  </si>
  <si>
    <t>Planted Temperate steppe</t>
  </si>
  <si>
    <t>Combustion factor (Cf)</t>
  </si>
  <si>
    <r>
      <rPr>
        <b/>
        <sz val="16"/>
        <rFont val="Century Gothic"/>
        <family val="2"/>
      </rPr>
      <t>FINAL</t>
    </r>
    <r>
      <rPr>
        <b/>
        <sz val="11"/>
        <rFont val="Century Gothic"/>
        <family val="2"/>
      </rPr>
      <t xml:space="preserve"> LAND USE</t>
    </r>
  </si>
  <si>
    <t>BIOMASS FINAL</t>
  </si>
  <si>
    <t>BIOMASS FOREST</t>
  </si>
  <si>
    <t>Soil</t>
  </si>
  <si>
    <t>Fire</t>
  </si>
  <si>
    <t>SOM mineralization due to LUC</t>
  </si>
  <si>
    <r>
      <t>soil N</t>
    </r>
    <r>
      <rPr>
        <b/>
        <vertAlign val="subscript"/>
        <sz val="10"/>
        <rFont val="Century Gothic"/>
        <family val="2"/>
      </rPr>
      <t>2</t>
    </r>
    <r>
      <rPr>
        <b/>
        <sz val="10"/>
        <rFont val="Century Gothic"/>
        <family val="2"/>
      </rPr>
      <t>O</t>
    </r>
  </si>
  <si>
    <t>CH4 fire</t>
  </si>
  <si>
    <t>N2O fire</t>
  </si>
  <si>
    <t>N2O SOM</t>
  </si>
  <si>
    <t>Name</t>
  </si>
  <si>
    <t>Vegetation Type</t>
  </si>
  <si>
    <t>HWP before</t>
  </si>
  <si>
    <t>Fire use</t>
  </si>
  <si>
    <t>the fraction (%)</t>
  </si>
  <si>
    <t xml:space="preserve">Final agroforestry </t>
  </si>
  <si>
    <t>incl. agroforestry systems</t>
  </si>
  <si>
    <r>
      <rPr>
        <b/>
        <sz val="11"/>
        <color rgb="FFFF0000"/>
        <rFont val="Century Gothic"/>
        <family val="2"/>
      </rPr>
      <t>After 1 yr</t>
    </r>
    <r>
      <rPr>
        <b/>
        <sz val="11"/>
        <color theme="1"/>
        <rFont val="Century Gothic"/>
        <family val="2"/>
      </rPr>
      <t xml:space="preserve"> of growth of Final LU</t>
    </r>
  </si>
  <si>
    <t>DOM (DW + litter)</t>
  </si>
  <si>
    <t>FLU</t>
  </si>
  <si>
    <r>
      <t xml:space="preserve">ΔC </t>
    </r>
    <r>
      <rPr>
        <b/>
        <sz val="11"/>
        <color theme="1"/>
        <rFont val="Century Gothic"/>
        <family val="2"/>
      </rPr>
      <t>Mineral</t>
    </r>
  </si>
  <si>
    <r>
      <rPr>
        <b/>
        <sz val="14"/>
        <color theme="1"/>
        <rFont val="Century Gothic"/>
        <family val="2"/>
      </rPr>
      <t>M</t>
    </r>
    <r>
      <rPr>
        <b/>
        <sz val="9"/>
        <color theme="1"/>
        <rFont val="Century Gothic"/>
        <family val="2"/>
      </rPr>
      <t>B = AGB - HWP</t>
    </r>
  </si>
  <si>
    <t>CH4</t>
  </si>
  <si>
    <t>N2O</t>
  </si>
  <si>
    <r>
      <t>F</t>
    </r>
    <r>
      <rPr>
        <b/>
        <vertAlign val="subscript"/>
        <sz val="10"/>
        <rFont val="Century Gothic"/>
        <family val="2"/>
      </rPr>
      <t>SOM</t>
    </r>
    <r>
      <rPr>
        <b/>
        <sz val="10"/>
        <rFont val="Century Gothic"/>
        <family val="2"/>
      </rPr>
      <t xml:space="preserve"> - kg N mineralized</t>
    </r>
  </si>
  <si>
    <t>Without</t>
  </si>
  <si>
    <t>With</t>
  </si>
  <si>
    <t>Fire occurrence</t>
  </si>
  <si>
    <t>deforested</t>
  </si>
  <si>
    <t>t DM/ha</t>
  </si>
  <si>
    <t>t C exported/ha</t>
  </si>
  <si>
    <t>yes/no</t>
  </si>
  <si>
    <t xml:space="preserve"> combusted</t>
  </si>
  <si>
    <t>after deforestation</t>
  </si>
  <si>
    <t>After deforestation</t>
  </si>
  <si>
    <t>t CO2/ha</t>
  </si>
  <si>
    <t>( - )</t>
  </si>
  <si>
    <t>tCO2/ha/yr</t>
  </si>
  <si>
    <t>t dm/ha</t>
  </si>
  <si>
    <t>kgCH4</t>
  </si>
  <si>
    <t>kgN2O</t>
  </si>
  <si>
    <t>kg N /year</t>
  </si>
  <si>
    <t>kg</t>
  </si>
  <si>
    <t>tCO2 eq</t>
  </si>
  <si>
    <t>tCO2</t>
  </si>
  <si>
    <t>START</t>
  </si>
  <si>
    <t>WITHOUT</t>
  </si>
  <si>
    <t>WITH</t>
  </si>
  <si>
    <t>Deforestation 1</t>
  </si>
  <si>
    <t>Deforestation 2</t>
  </si>
  <si>
    <t>Deforestation 3</t>
  </si>
  <si>
    <t>Deforestation 4</t>
  </si>
  <si>
    <t>Deforestation 5</t>
  </si>
  <si>
    <t>Deforestation 6</t>
  </si>
  <si>
    <t>Deforestation 7</t>
  </si>
  <si>
    <t>Deforestation 8</t>
  </si>
  <si>
    <t>GHG emissions</t>
  </si>
  <si>
    <t>Forested Area (ha)</t>
  </si>
  <si>
    <t>Area deforested (ha)</t>
  </si>
  <si>
    <t xml:space="preserve">Biomass loss (AGB + BGB)  </t>
  </si>
  <si>
    <t>Biomass gain (1yr after)</t>
  </si>
  <si>
    <t>DOM loss (DW + litter)</t>
  </si>
  <si>
    <t>Soil emissions/removals</t>
  </si>
  <si>
    <t>Total Balance</t>
  </si>
  <si>
    <t>Total</t>
  </si>
  <si>
    <t>Start</t>
  </si>
  <si>
    <t>Without Project</t>
  </si>
  <si>
    <t>With Project</t>
  </si>
  <si>
    <t>Deforestation</t>
  </si>
  <si>
    <t>t0</t>
  </si>
  <si>
    <t>End</t>
  </si>
  <si>
    <t>Rate</t>
  </si>
  <si>
    <t>(ha)</t>
  </si>
  <si>
    <t>tCO2-e</t>
  </si>
  <si>
    <t>Categories</t>
  </si>
  <si>
    <t>Implementation</t>
  </si>
  <si>
    <t>Capitalization</t>
  </si>
  <si>
    <r>
      <t>CO</t>
    </r>
    <r>
      <rPr>
        <vertAlign val="subscript"/>
        <sz val="10"/>
        <rFont val="Century Gothic"/>
        <family val="2"/>
      </rPr>
      <t>2</t>
    </r>
    <r>
      <rPr>
        <sz val="10"/>
        <rFont val="Century Gothic"/>
        <family val="2"/>
      </rPr>
      <t xml:space="preserve"> Biomass</t>
    </r>
  </si>
  <si>
    <r>
      <t>CO</t>
    </r>
    <r>
      <rPr>
        <vertAlign val="subscript"/>
        <sz val="10"/>
        <rFont val="Century Gothic"/>
        <family val="2"/>
      </rPr>
      <t>2</t>
    </r>
    <r>
      <rPr>
        <sz val="10"/>
        <rFont val="Century Gothic"/>
        <family val="2"/>
      </rPr>
      <t xml:space="preserve"> DOM</t>
    </r>
  </si>
  <si>
    <r>
      <t>CO</t>
    </r>
    <r>
      <rPr>
        <vertAlign val="subscript"/>
        <sz val="10"/>
        <rFont val="Century Gothic"/>
        <family val="2"/>
      </rPr>
      <t>2</t>
    </r>
    <r>
      <rPr>
        <sz val="10"/>
        <rFont val="Century Gothic"/>
        <family val="2"/>
      </rPr>
      <t xml:space="preserve"> soil</t>
    </r>
  </si>
  <si>
    <r>
      <t>N</t>
    </r>
    <r>
      <rPr>
        <vertAlign val="subscript"/>
        <sz val="10"/>
        <rFont val="Century Gothic"/>
        <family val="2"/>
      </rPr>
      <t>2</t>
    </r>
    <r>
      <rPr>
        <sz val="10"/>
        <rFont val="Century Gothic"/>
        <family val="2"/>
      </rPr>
      <t>O fire</t>
    </r>
  </si>
  <si>
    <t xml:space="preserve">Total </t>
  </si>
  <si>
    <t>Total deforestation</t>
  </si>
  <si>
    <t>TEST TIER 2 biomass</t>
  </si>
  <si>
    <t>2.2 Afforestation and reforestation</t>
  </si>
  <si>
    <t>AGB secondary</t>
  </si>
  <si>
    <t>BGB secondary</t>
  </si>
  <si>
    <r>
      <t xml:space="preserve">SOC </t>
    </r>
    <r>
      <rPr>
        <b/>
        <sz val="9"/>
        <color theme="1"/>
        <rFont val="Century Gothic"/>
        <family val="2"/>
      </rPr>
      <t>0</t>
    </r>
  </si>
  <si>
    <t>MAX AGB+BGB</t>
  </si>
  <si>
    <t>Bigger than actual growth?</t>
  </si>
  <si>
    <t>All preriod</t>
  </si>
  <si>
    <t>Implementation phase alone (tCO2 eq)</t>
  </si>
  <si>
    <t>time_tot= time and time_cap = 0</t>
  </si>
  <si>
    <t xml:space="preserve">Cumulated area burnt </t>
  </si>
  <si>
    <t>Forest types for Affo/Reforestation (without MANGROVES)</t>
  </si>
  <si>
    <t>No.</t>
  </si>
  <si>
    <t>continent_selected</t>
  </si>
  <si>
    <t>t dm/ha/yr</t>
  </si>
  <si>
    <t>t C/ha/yr</t>
  </si>
  <si>
    <t>tCO2/ha</t>
  </si>
  <si>
    <t>CH4 (tCO2 eq)</t>
  </si>
  <si>
    <r>
      <t>N</t>
    </r>
    <r>
      <rPr>
        <b/>
        <vertAlign val="subscript"/>
        <sz val="10"/>
        <rFont val="Century Gothic"/>
        <family val="2"/>
      </rPr>
      <t>2</t>
    </r>
    <r>
      <rPr>
        <b/>
        <sz val="10"/>
        <rFont val="Century Gothic"/>
        <family val="2"/>
      </rPr>
      <t>O (tCO2 eq)</t>
    </r>
  </si>
  <si>
    <t>Biomass (AGB + BGB) gain</t>
  </si>
  <si>
    <t>Biomass loss</t>
  </si>
  <si>
    <t>DOM</t>
  </si>
  <si>
    <t xml:space="preserve">Soil </t>
  </si>
  <si>
    <t>Tropical2</t>
  </si>
  <si>
    <t>WarmTemperate2</t>
  </si>
  <si>
    <t>CoolTemperate2</t>
  </si>
  <si>
    <t>Boreal2</t>
  </si>
  <si>
    <t>TropicalMontane2</t>
  </si>
  <si>
    <t>w/out</t>
  </si>
  <si>
    <t>with</t>
  </si>
  <si>
    <t>without</t>
  </si>
  <si>
    <t>Affo 1</t>
  </si>
  <si>
    <t>Affo 2</t>
  </si>
  <si>
    <t>Affo 3</t>
  </si>
  <si>
    <t>Affo 4</t>
  </si>
  <si>
    <t>Affo 5</t>
  </si>
  <si>
    <t>Affo 6</t>
  </si>
  <si>
    <t>Affo 7</t>
  </si>
  <si>
    <t>Affo 8</t>
  </si>
  <si>
    <t>SOC (0-T)</t>
  </si>
  <si>
    <t>ΔC Mineral</t>
  </si>
  <si>
    <r>
      <rPr>
        <b/>
        <sz val="14"/>
        <color theme="1"/>
        <rFont val="Century Gothic"/>
        <family val="2"/>
      </rPr>
      <t>M</t>
    </r>
    <r>
      <rPr>
        <b/>
        <sz val="11"/>
        <color theme="1"/>
        <rFont val="Century Gothic"/>
        <family val="2"/>
      </rPr>
      <t>B</t>
    </r>
  </si>
  <si>
    <r>
      <rPr>
        <b/>
        <sz val="16"/>
        <color theme="1"/>
        <rFont val="Century Gothic"/>
        <family val="2"/>
      </rPr>
      <t>C</t>
    </r>
    <r>
      <rPr>
        <b/>
        <sz val="11"/>
        <color theme="1"/>
        <rFont val="Century Gothic"/>
        <family val="2"/>
      </rPr>
      <t>f</t>
    </r>
  </si>
  <si>
    <t>Tot_biomass growth</t>
  </si>
  <si>
    <t>Total biomass growth with annual rate</t>
  </si>
  <si>
    <t xml:space="preserve"> </t>
  </si>
  <si>
    <t>Additional biomass availability</t>
  </si>
  <si>
    <t xml:space="preserve">mass of fuel </t>
  </si>
  <si>
    <t xml:space="preserve">the fraction </t>
  </si>
  <si>
    <t xml:space="preserve">Non-CO2 emissions from biomass burning </t>
  </si>
  <si>
    <t>AGB + BGB</t>
  </si>
  <si>
    <t>Litter + Dead wood</t>
  </si>
  <si>
    <t>WOP</t>
  </si>
  <si>
    <t>WP</t>
  </si>
  <si>
    <t>FINAL LU</t>
  </si>
  <si>
    <t xml:space="preserve"> LU converted to FL</t>
  </si>
  <si>
    <t>Agroforestry systems</t>
  </si>
  <si>
    <t>Biomass burnt</t>
  </si>
  <si>
    <t>LU converted to FL</t>
  </si>
  <si>
    <t>Biomass of LUs converted to FL</t>
  </si>
  <si>
    <r>
      <t>F</t>
    </r>
    <r>
      <rPr>
        <b/>
        <sz val="10"/>
        <color theme="1"/>
        <rFont val="Century Gothic"/>
        <family val="2"/>
      </rPr>
      <t>LU</t>
    </r>
  </si>
  <si>
    <r>
      <rPr>
        <sz val="14"/>
        <color theme="1"/>
        <rFont val="Century Gothic"/>
        <family val="2"/>
      </rPr>
      <t>SOC</t>
    </r>
    <r>
      <rPr>
        <b/>
        <sz val="11"/>
        <color theme="1"/>
        <rFont val="Century Gothic"/>
        <family val="2"/>
      </rPr>
      <t xml:space="preserve">0 - </t>
    </r>
    <r>
      <rPr>
        <sz val="14"/>
        <color theme="1"/>
        <rFont val="Century Gothic"/>
        <family val="2"/>
      </rPr>
      <t>SOC</t>
    </r>
    <r>
      <rPr>
        <b/>
        <sz val="11"/>
        <color theme="1"/>
        <rFont val="Century Gothic"/>
        <family val="2"/>
      </rPr>
      <t xml:space="preserve"> (0-T)</t>
    </r>
  </si>
  <si>
    <t>limited to 20 yrs</t>
  </si>
  <si>
    <t xml:space="preserve"> for combustion</t>
  </si>
  <si>
    <t>Total_non-CO2</t>
  </si>
  <si>
    <t>Total BGB</t>
  </si>
  <si>
    <t>Afforestation</t>
  </si>
  <si>
    <t>After Affo/Reforestation</t>
  </si>
  <si>
    <t>converted to FL</t>
  </si>
  <si>
    <t>before LUC</t>
  </si>
  <si>
    <t>dimensionless</t>
  </si>
  <si>
    <t>tonnes dry matter/ha</t>
  </si>
  <si>
    <t>%</t>
  </si>
  <si>
    <t>kg CH4</t>
  </si>
  <si>
    <t>kg N2O</t>
  </si>
  <si>
    <t>All period in tCO2-e</t>
  </si>
  <si>
    <t>CO2 Biomass</t>
  </si>
  <si>
    <t>CO2 DOM</t>
  </si>
  <si>
    <t>CO2 soil</t>
  </si>
  <si>
    <t>Balance in tCO2-e</t>
  </si>
  <si>
    <t>Afforested/Reforested Area (ha)</t>
  </si>
  <si>
    <t>Total Biomass Gain (AGB + BGB)</t>
  </si>
  <si>
    <t>DOM Gain (Dead wood + litter)</t>
  </si>
  <si>
    <t>Biomass Loss</t>
  </si>
  <si>
    <t xml:space="preserve">Fire </t>
  </si>
  <si>
    <t>Total Balance (tCO2-e)</t>
  </si>
  <si>
    <t>Area (ha)</t>
  </si>
  <si>
    <t>BALANCE</t>
  </si>
  <si>
    <t>Total Afforestation</t>
  </si>
  <si>
    <t>2.3 Other land-use and cropland management changes</t>
  </si>
  <si>
    <t>changes in biomass refer to the first year in which the land use change occurs</t>
  </si>
  <si>
    <r>
      <t>CO</t>
    </r>
    <r>
      <rPr>
        <vertAlign val="subscript"/>
        <sz val="10"/>
        <rFont val="Arial"/>
        <family val="2"/>
      </rPr>
      <t>2</t>
    </r>
    <r>
      <rPr>
        <sz val="10"/>
        <rFont val="Arial"/>
        <family val="2"/>
      </rPr>
      <t xml:space="preserve"> Biomass</t>
    </r>
  </si>
  <si>
    <t>Biomass (tC/ha)</t>
  </si>
  <si>
    <t>SOC (tC/ha)</t>
  </si>
  <si>
    <r>
      <t>CO</t>
    </r>
    <r>
      <rPr>
        <vertAlign val="subscript"/>
        <sz val="10"/>
        <rFont val="Arial"/>
        <family val="2"/>
      </rPr>
      <t>2</t>
    </r>
    <r>
      <rPr>
        <sz val="10"/>
        <rFont val="Arial"/>
        <family val="2"/>
      </rPr>
      <t xml:space="preserve"> soil</t>
    </r>
  </si>
  <si>
    <t>User</t>
  </si>
  <si>
    <t>Burnt before</t>
  </si>
  <si>
    <t>Initial</t>
  </si>
  <si>
    <t>Final</t>
  </si>
  <si>
    <t>ERROR!</t>
  </si>
  <si>
    <t>pick Tier 2, if available</t>
  </si>
  <si>
    <t>N2O soil</t>
  </si>
  <si>
    <t>SI</t>
  </si>
  <si>
    <t xml:space="preserve"> Description</t>
  </si>
  <si>
    <t>LU change</t>
  </si>
  <si>
    <t>LU</t>
  </si>
  <si>
    <t>Message</t>
  </si>
  <si>
    <t>Initial LU Default</t>
  </si>
  <si>
    <t>Initial LU Tier 2</t>
  </si>
  <si>
    <t>Final LU Default</t>
  </si>
  <si>
    <t>Final LU Tier 2</t>
  </si>
  <si>
    <r>
      <t>CH</t>
    </r>
    <r>
      <rPr>
        <vertAlign val="subscript"/>
        <sz val="10"/>
        <rFont val="Arial"/>
        <family val="2"/>
      </rPr>
      <t>4</t>
    </r>
  </si>
  <si>
    <t>All period</t>
  </si>
  <si>
    <t>*limited to 20 yrs</t>
  </si>
  <si>
    <t>Fire emissions</t>
  </si>
  <si>
    <t xml:space="preserve">Soil Implementation phase alone </t>
  </si>
  <si>
    <t>Area burnt</t>
  </si>
  <si>
    <t xml:space="preserve">ΔC </t>
  </si>
  <si>
    <r>
      <t>F</t>
    </r>
    <r>
      <rPr>
        <b/>
        <sz val="9"/>
        <color theme="1"/>
        <rFont val="Calibri"/>
        <family val="2"/>
        <scheme val="minor"/>
      </rPr>
      <t xml:space="preserve">SOM </t>
    </r>
  </si>
  <si>
    <t xml:space="preserve">soil N2O </t>
  </si>
  <si>
    <t xml:space="preserve">MB </t>
  </si>
  <si>
    <r>
      <t>CH</t>
    </r>
    <r>
      <rPr>
        <b/>
        <vertAlign val="subscript"/>
        <sz val="11"/>
        <color theme="1"/>
        <rFont val="Calibri"/>
        <family val="2"/>
        <scheme val="minor"/>
      </rPr>
      <t>4</t>
    </r>
  </si>
  <si>
    <r>
      <t>N</t>
    </r>
    <r>
      <rPr>
        <b/>
        <vertAlign val="subscript"/>
        <sz val="11"/>
        <color theme="1"/>
        <rFont val="Calibri"/>
        <family val="2"/>
        <scheme val="minor"/>
      </rPr>
      <t>2</t>
    </r>
    <r>
      <rPr>
        <b/>
        <sz val="11"/>
        <color theme="1"/>
        <rFont val="Calibri"/>
        <family val="2"/>
        <scheme val="minor"/>
      </rPr>
      <t>O</t>
    </r>
  </si>
  <si>
    <t>Total non-GHGs</t>
  </si>
  <si>
    <t>Mineral soil</t>
  </si>
  <si>
    <t>N mineralised in mineral soils due to LUC</t>
  </si>
  <si>
    <t>Initial LU</t>
  </si>
  <si>
    <t>fire + Fsom</t>
  </si>
  <si>
    <r>
      <t>tCO</t>
    </r>
    <r>
      <rPr>
        <b/>
        <vertAlign val="subscript"/>
        <sz val="11"/>
        <color theme="1"/>
        <rFont val="Calibri"/>
        <family val="2"/>
        <scheme val="minor"/>
      </rPr>
      <t>2</t>
    </r>
    <r>
      <rPr>
        <b/>
        <sz val="11"/>
        <color theme="1"/>
        <rFont val="Calibri"/>
        <family val="2"/>
        <scheme val="minor"/>
      </rPr>
      <t>/ha</t>
    </r>
  </si>
  <si>
    <r>
      <t>tCO</t>
    </r>
    <r>
      <rPr>
        <b/>
        <vertAlign val="subscript"/>
        <sz val="11"/>
        <color theme="1"/>
        <rFont val="Calibri"/>
        <family val="2"/>
        <scheme val="minor"/>
      </rPr>
      <t>2</t>
    </r>
    <r>
      <rPr>
        <b/>
        <sz val="11"/>
        <color theme="1"/>
        <rFont val="Calibri"/>
        <family val="2"/>
        <scheme val="minor"/>
      </rPr>
      <t>/ha/year</t>
    </r>
  </si>
  <si>
    <r>
      <t>tC</t>
    </r>
    <r>
      <rPr>
        <b/>
        <sz val="11"/>
        <color theme="1"/>
        <rFont val="Calibri"/>
        <family val="2"/>
        <scheme val="minor"/>
      </rPr>
      <t>/ha/year</t>
    </r>
  </si>
  <si>
    <t>kg N mineralized/year</t>
  </si>
  <si>
    <t>kgCO2-e</t>
  </si>
  <si>
    <t>kCO2-e</t>
  </si>
  <si>
    <t>ha</t>
  </si>
  <si>
    <t>Area associated with non-forest LU changes</t>
  </si>
  <si>
    <t>Biomass Change</t>
  </si>
  <si>
    <t>SOC Change</t>
  </si>
  <si>
    <t>Emissions from Fire + N mineralised</t>
  </si>
  <si>
    <t>Balance</t>
  </si>
  <si>
    <t>Other LUC total</t>
  </si>
  <si>
    <t>If country-specific data are available, please go to Tier 2:</t>
  </si>
  <si>
    <t>Main season crop</t>
  </si>
  <si>
    <t>Minor season crop</t>
  </si>
  <si>
    <t>Management options for annual cropping systems</t>
  </si>
  <si>
    <t>Soil carbon (tC/ha)</t>
  </si>
  <si>
    <t>Tillage factor</t>
  </si>
  <si>
    <t>Input factor</t>
  </si>
  <si>
    <t>Residue/Biomass available</t>
  </si>
  <si>
    <t>Crop type</t>
  </si>
  <si>
    <t>Description</t>
  </si>
  <si>
    <t>(t/ha/yr)</t>
  </si>
  <si>
    <t>t/ha/yr</t>
  </si>
  <si>
    <t>Annuals after deforestation</t>
  </si>
  <si>
    <t xml:space="preserve">None </t>
  </si>
  <si>
    <t>Annuals converted to forest land</t>
  </si>
  <si>
    <t>Annuals converted from non-forest LUs</t>
  </si>
  <si>
    <t>User notes</t>
  </si>
  <si>
    <t xml:space="preserve">Main season  </t>
  </si>
  <si>
    <t>Tillage</t>
  </si>
  <si>
    <t>Input of</t>
  </si>
  <si>
    <t xml:space="preserve">Residue </t>
  </si>
  <si>
    <t>Yield</t>
  </si>
  <si>
    <t>Land use factor</t>
  </si>
  <si>
    <t>crop</t>
  </si>
  <si>
    <t>management</t>
  </si>
  <si>
    <t xml:space="preserve"> organic material</t>
  </si>
  <si>
    <t>You can use it to describe your system</t>
  </si>
  <si>
    <t>Total (ha)</t>
  </si>
  <si>
    <t>*The selection of "D"corresponds to a default (linear) dynamics of change. Other selection options include "I" for immediate changes and "E" for exponential - please refer to the guidelines for further explanation of these assumptions.</t>
  </si>
  <si>
    <t>3.2. Perennial cropping systems</t>
  </si>
  <si>
    <t>Management options for perennial cropping systems</t>
  </si>
  <si>
    <t xml:space="preserve"> Agroforestry </t>
  </si>
  <si>
    <t>Residue/</t>
  </si>
  <si>
    <t xml:space="preserve">Below-ground </t>
  </si>
  <si>
    <t>Residues burned</t>
  </si>
  <si>
    <t xml:space="preserve">Fire periodicity </t>
  </si>
  <si>
    <t>systems</t>
  </si>
  <si>
    <t xml:space="preserve">Biomass burning </t>
  </si>
  <si>
    <t>tdm/ha</t>
  </si>
  <si>
    <t>Perennials after deforestation</t>
  </si>
  <si>
    <t>Perennials converted to forest land</t>
  </si>
  <si>
    <t>Perennials converted from non-forest LUs</t>
  </si>
  <si>
    <t xml:space="preserve">Perennial systems remaining perennial systems </t>
  </si>
  <si>
    <t>Daily emission factor for rice EF = EF-basis x SF-Before x CF-or Amendment</t>
  </si>
  <si>
    <t>Management options for water regime in flooded-rice</t>
  </si>
  <si>
    <t>EFc and EFi are in kg CH4 per ha per day</t>
  </si>
  <si>
    <t xml:space="preserve">Cultivation period </t>
  </si>
  <si>
    <t xml:space="preserve">Soil carbon </t>
  </si>
  <si>
    <t>baseline EF, continously flooded rice w/out organic amendments</t>
  </si>
  <si>
    <t>SF, water regime during cultivation period</t>
  </si>
  <si>
    <t>SF, water regime before cultivation period</t>
  </si>
  <si>
    <t>SF, organic amendement applied</t>
  </si>
  <si>
    <t xml:space="preserve">adjusted daily EF </t>
  </si>
  <si>
    <t xml:space="preserve">Rice straw (Main season crop) </t>
  </si>
  <si>
    <t xml:space="preserve">With </t>
  </si>
  <si>
    <t>Flooded rice systems from (or to) other LU</t>
  </si>
  <si>
    <t>EFc</t>
  </si>
  <si>
    <t>SFw</t>
  </si>
  <si>
    <t>SFp</t>
  </si>
  <si>
    <t>SFo</t>
  </si>
  <si>
    <t>EFi</t>
  </si>
  <si>
    <t>Rice after deforestation</t>
  </si>
  <si>
    <t>Rice converted to forest land</t>
  </si>
  <si>
    <t>Rice converted from non-forest LUs</t>
  </si>
  <si>
    <t>3.3.2. Flooded rice systems remaining flooded rice systems</t>
  </si>
  <si>
    <t>Flooded-rice area (ha)</t>
  </si>
  <si>
    <t>(days)</t>
  </si>
  <si>
    <t>Flooded rice syst remaining rice systems</t>
  </si>
  <si>
    <t>Total (ha)**</t>
  </si>
  <si>
    <t>**In case of flooded rice the total area considered for emissions calculations may be greater than actual total land under flooded rice if multicropping seasons are in place. It is key to provide the actual area under flooded rice in cell K122 to ensure correct area aggregation in the results.</t>
  </si>
  <si>
    <t>Source: http://www.fao.org/3/s2022e/s2022e07.htm Table 14 for crop water requirement and table 6 for crop growing season</t>
  </si>
  <si>
    <t>Crop Table 14</t>
  </si>
  <si>
    <t>Growing season</t>
  </si>
  <si>
    <t>CLIMATE HELPER</t>
  </si>
  <si>
    <t>Crop water need 
(mm/total growing period)</t>
  </si>
  <si>
    <t>Sensitivity to drought</t>
  </si>
  <si>
    <t>Average crop water need ETcrop (mm/total growing period)</t>
  </si>
  <si>
    <t>Average Total growing period (days)</t>
  </si>
  <si>
    <t>Water need 
(l/ha/growing period)</t>
  </si>
  <si>
    <t>Crop table 6</t>
  </si>
  <si>
    <t>Total growing period (days)</t>
  </si>
  <si>
    <t>Alfalfa</t>
  </si>
  <si>
    <t>800-1600</t>
  </si>
  <si>
    <t>low-medium</t>
  </si>
  <si>
    <t>100-365</t>
  </si>
  <si>
    <t>MAT</t>
  </si>
  <si>
    <t>MAP</t>
  </si>
  <si>
    <t>Ratio of potential of evapotranspiration</t>
  </si>
  <si>
    <t>Banana</t>
  </si>
  <si>
    <t>1200-2200</t>
  </si>
  <si>
    <t>high</t>
  </si>
  <si>
    <t>300-365</t>
  </si>
  <si>
    <t>Tropical montae</t>
  </si>
  <si>
    <t>Barley/Oats/Wheat</t>
  </si>
  <si>
    <t>450-650</t>
  </si>
  <si>
    <t>120-150</t>
  </si>
  <si>
    <t>Bean</t>
  </si>
  <si>
    <t>300-500</t>
  </si>
  <si>
    <t>medium-high</t>
  </si>
  <si>
    <t>Bean green</t>
  </si>
  <si>
    <t>75-90</t>
  </si>
  <si>
    <t>Cabbage</t>
  </si>
  <si>
    <t>350-500</t>
  </si>
  <si>
    <t>Bean dry</t>
  </si>
  <si>
    <t>95-110</t>
  </si>
  <si>
    <t>Citrus</t>
  </si>
  <si>
    <t>900-1200</t>
  </si>
  <si>
    <t>120-140</t>
  </si>
  <si>
    <t>Cotton</t>
  </si>
  <si>
    <t>700-1300</t>
  </si>
  <si>
    <t>low</t>
  </si>
  <si>
    <t>Carrot</t>
  </si>
  <si>
    <t>100-150</t>
  </si>
  <si>
    <t>Maize</t>
  </si>
  <si>
    <t>500-800</t>
  </si>
  <si>
    <t>240-365</t>
  </si>
  <si>
    <t>Melon</t>
  </si>
  <si>
    <t>400-600</t>
  </si>
  <si>
    <t>180-195</t>
  </si>
  <si>
    <t>Onion</t>
  </si>
  <si>
    <t>350-550</t>
  </si>
  <si>
    <t>Cucumber</t>
  </si>
  <si>
    <t>105-130</t>
  </si>
  <si>
    <t>Peanut</t>
  </si>
  <si>
    <t>500-700</t>
  </si>
  <si>
    <t>Eggplant</t>
  </si>
  <si>
    <t>130-140</t>
  </si>
  <si>
    <t>Pea</t>
  </si>
  <si>
    <t>Flax</t>
  </si>
  <si>
    <t>150-220</t>
  </si>
  <si>
    <t>Pepper</t>
  </si>
  <si>
    <t>600-900</t>
  </si>
  <si>
    <t>Grain/small</t>
  </si>
  <si>
    <t>150-165</t>
  </si>
  <si>
    <t>Potato</t>
  </si>
  <si>
    <t>Lentil</t>
  </si>
  <si>
    <t>150-170</t>
  </si>
  <si>
    <t>Rice (paddy)</t>
  </si>
  <si>
    <t>450-700</t>
  </si>
  <si>
    <t>Lettuce</t>
  </si>
  <si>
    <t>75-140</t>
  </si>
  <si>
    <t>Sorghum/Millet</t>
  </si>
  <si>
    <t>Maize sweet</t>
  </si>
  <si>
    <t>80-110</t>
  </si>
  <si>
    <t>Soybean</t>
  </si>
  <si>
    <t>Maize grain</t>
  </si>
  <si>
    <t>125-180</t>
  </si>
  <si>
    <t>Sugarbeet</t>
  </si>
  <si>
    <t>550-750</t>
  </si>
  <si>
    <t>120-160</t>
  </si>
  <si>
    <t>Sugarcane</t>
  </si>
  <si>
    <t>1500-2500</t>
  </si>
  <si>
    <t>Millet</t>
  </si>
  <si>
    <t>105-140</t>
  </si>
  <si>
    <t>Sunflower</t>
  </si>
  <si>
    <t>600-1000</t>
  </si>
  <si>
    <t>Onion green</t>
  </si>
  <si>
    <t>70-95</t>
  </si>
  <si>
    <t>Tomato</t>
  </si>
  <si>
    <t>400-800</t>
  </si>
  <si>
    <t>Onion dry</t>
  </si>
  <si>
    <t>150-210</t>
  </si>
  <si>
    <t>Peanut/Groundnut</t>
  </si>
  <si>
    <t>90-100</t>
  </si>
  <si>
    <t>120-210</t>
  </si>
  <si>
    <t>105-145</t>
  </si>
  <si>
    <t>Radish</t>
  </si>
  <si>
    <t>35-45</t>
  </si>
  <si>
    <t>Rice</t>
  </si>
  <si>
    <t>90-150</t>
  </si>
  <si>
    <t>Sorghum</t>
  </si>
  <si>
    <t>120-130</t>
  </si>
  <si>
    <t>135-150</t>
  </si>
  <si>
    <t>Spinach</t>
  </si>
  <si>
    <t>60-100</t>
  </si>
  <si>
    <t>Squash</t>
  </si>
  <si>
    <t>95-120</t>
  </si>
  <si>
    <t>160-230</t>
  </si>
  <si>
    <t>270-365</t>
  </si>
  <si>
    <t>125-130</t>
  </si>
  <si>
    <t>Tobacco</t>
  </si>
  <si>
    <t>130-160</t>
  </si>
  <si>
    <t>135-180</t>
  </si>
  <si>
    <t>Annual cropping systems</t>
  </si>
  <si>
    <t>Annual associated with Module 2 'Land-use changes'</t>
  </si>
  <si>
    <t>soil C</t>
  </si>
  <si>
    <t>Soil C</t>
  </si>
  <si>
    <t>Delta Soil C* limited to 20 yrs</t>
  </si>
  <si>
    <t>Main and minor crop</t>
  </si>
  <si>
    <r>
      <t>CH</t>
    </r>
    <r>
      <rPr>
        <vertAlign val="subscript"/>
        <sz val="10"/>
        <color theme="1"/>
        <rFont val="Arial"/>
        <family val="2"/>
      </rPr>
      <t>4</t>
    </r>
  </si>
  <si>
    <r>
      <t>N</t>
    </r>
    <r>
      <rPr>
        <vertAlign val="subscript"/>
        <sz val="11"/>
        <color theme="1"/>
        <rFont val="Calibri"/>
        <family val="2"/>
        <scheme val="minor"/>
      </rPr>
      <t>2</t>
    </r>
    <r>
      <rPr>
        <sz val="11"/>
        <color theme="1"/>
        <rFont val="Calibri"/>
        <family val="2"/>
        <scheme val="minor"/>
      </rPr>
      <t>O</t>
    </r>
  </si>
  <si>
    <r>
      <t>CO</t>
    </r>
    <r>
      <rPr>
        <vertAlign val="subscript"/>
        <sz val="10"/>
        <color theme="1"/>
        <rFont val="Arial"/>
        <family val="2"/>
      </rPr>
      <t>2</t>
    </r>
    <r>
      <rPr>
        <sz val="10"/>
        <color theme="1"/>
        <rFont val="Arial"/>
        <family val="2"/>
      </rPr>
      <t>eq</t>
    </r>
  </si>
  <si>
    <t>tCO2eq/ha/yr</t>
  </si>
  <si>
    <t>kg/ha/yr</t>
  </si>
  <si>
    <t>Deforestation (FL -&gt; CL)</t>
  </si>
  <si>
    <t>Implementation phase alone</t>
  </si>
  <si>
    <t>Main season crop (exclusively)</t>
  </si>
  <si>
    <t>Afforestation (CL-&gt; FL)</t>
  </si>
  <si>
    <t xml:space="preserve">Your </t>
  </si>
  <si>
    <t xml:space="preserve">Input of </t>
  </si>
  <si>
    <t>Residue/Biomass</t>
  </si>
  <si>
    <r>
      <t xml:space="preserve">Residue DM </t>
    </r>
    <r>
      <rPr>
        <sz val="10"/>
        <color rgb="FFFF0000"/>
        <rFont val="Arial"/>
        <family val="2"/>
      </rPr>
      <t>[AGDM</t>
    </r>
    <r>
      <rPr>
        <sz val="8"/>
        <color rgb="FFFF0000"/>
        <rFont val="Arial"/>
        <family val="2"/>
      </rPr>
      <t xml:space="preserve"> (T)</t>
    </r>
    <r>
      <rPr>
        <sz val="10"/>
        <color rgb="FFFF0000"/>
        <rFont val="Arial"/>
        <family val="2"/>
      </rPr>
      <t>]</t>
    </r>
  </si>
  <si>
    <t xml:space="preserve">non-FL converted -&gt; Annual </t>
  </si>
  <si>
    <t>CH4 in tCO2-e</t>
  </si>
  <si>
    <t>N2O in tCO2-e</t>
  </si>
  <si>
    <r>
      <t>N</t>
    </r>
    <r>
      <rPr>
        <b/>
        <vertAlign val="subscript"/>
        <sz val="10"/>
        <color theme="1"/>
        <rFont val="Arial"/>
        <family val="2"/>
      </rPr>
      <t>2</t>
    </r>
    <r>
      <rPr>
        <b/>
        <sz val="10"/>
        <color theme="1"/>
        <rFont val="Arial"/>
        <family val="2"/>
      </rPr>
      <t>O soil for annual remaining annual only (tCO2-e)</t>
    </r>
  </si>
  <si>
    <r>
      <t>CH</t>
    </r>
    <r>
      <rPr>
        <b/>
        <vertAlign val="subscript"/>
        <sz val="10"/>
        <color rgb="FFFF0000"/>
        <rFont val="Arial"/>
        <family val="2"/>
      </rPr>
      <t>4</t>
    </r>
  </si>
  <si>
    <r>
      <t>N</t>
    </r>
    <r>
      <rPr>
        <b/>
        <vertAlign val="subscript"/>
        <sz val="10"/>
        <color rgb="FFFF0000"/>
        <rFont val="Arial"/>
        <family val="2"/>
      </rPr>
      <t>2</t>
    </r>
    <r>
      <rPr>
        <b/>
        <sz val="10"/>
        <color rgb="FFFF0000"/>
        <rFont val="Arial"/>
        <family val="2"/>
      </rPr>
      <t>O</t>
    </r>
  </si>
  <si>
    <t>description</t>
  </si>
  <si>
    <t>Org. material</t>
  </si>
  <si>
    <t>Burning</t>
  </si>
  <si>
    <t>Annual to -&gt; non-forest LU</t>
  </si>
  <si>
    <t xml:space="preserve">ANNUAL remainining ANNUAL </t>
  </si>
  <si>
    <t xml:space="preserve">non-FL converted Annual </t>
  </si>
  <si>
    <r>
      <t xml:space="preserve">SOC </t>
    </r>
    <r>
      <rPr>
        <b/>
        <vertAlign val="subscript"/>
        <sz val="11"/>
        <color theme="1"/>
        <rFont val="Arial"/>
        <family val="2"/>
      </rPr>
      <t xml:space="preserve">REF </t>
    </r>
  </si>
  <si>
    <r>
      <t>F</t>
    </r>
    <r>
      <rPr>
        <b/>
        <vertAlign val="subscript"/>
        <sz val="11"/>
        <color theme="1"/>
        <rFont val="Arial"/>
        <family val="2"/>
      </rPr>
      <t xml:space="preserve">LU </t>
    </r>
  </si>
  <si>
    <r>
      <t>F</t>
    </r>
    <r>
      <rPr>
        <b/>
        <vertAlign val="subscript"/>
        <sz val="11"/>
        <color theme="1"/>
        <rFont val="Arial"/>
        <family val="2"/>
      </rPr>
      <t xml:space="preserve">MG </t>
    </r>
  </si>
  <si>
    <r>
      <t>F</t>
    </r>
    <r>
      <rPr>
        <b/>
        <vertAlign val="subscript"/>
        <sz val="11"/>
        <color theme="1"/>
        <rFont val="Arial"/>
        <family val="2"/>
      </rPr>
      <t xml:space="preserve">I </t>
    </r>
  </si>
  <si>
    <r>
      <t>SOC</t>
    </r>
    <r>
      <rPr>
        <b/>
        <vertAlign val="subscript"/>
        <sz val="10"/>
        <color theme="1"/>
        <rFont val="Arial"/>
        <family val="2"/>
      </rPr>
      <t xml:space="preserve">REF </t>
    </r>
    <r>
      <rPr>
        <b/>
        <sz val="10"/>
        <color theme="1"/>
        <rFont val="Arial"/>
        <family val="2"/>
      </rPr>
      <t>* F</t>
    </r>
    <r>
      <rPr>
        <b/>
        <vertAlign val="subscript"/>
        <sz val="10"/>
        <color theme="1"/>
        <rFont val="Arial"/>
        <family val="2"/>
      </rPr>
      <t>LU</t>
    </r>
    <r>
      <rPr>
        <b/>
        <sz val="10"/>
        <color theme="1"/>
        <rFont val="Arial"/>
        <family val="2"/>
      </rPr>
      <t>*F</t>
    </r>
    <r>
      <rPr>
        <b/>
        <vertAlign val="subscript"/>
        <sz val="10"/>
        <color theme="1"/>
        <rFont val="Arial"/>
        <family val="2"/>
      </rPr>
      <t>MG</t>
    </r>
    <r>
      <rPr>
        <b/>
        <sz val="10"/>
        <color theme="1"/>
        <rFont val="Arial"/>
        <family val="2"/>
      </rPr>
      <t>*F</t>
    </r>
    <r>
      <rPr>
        <b/>
        <vertAlign val="subscript"/>
        <sz val="10"/>
        <color theme="1"/>
        <rFont val="Arial"/>
        <family val="2"/>
      </rPr>
      <t>I</t>
    </r>
  </si>
  <si>
    <r>
      <t>CH</t>
    </r>
    <r>
      <rPr>
        <b/>
        <vertAlign val="subscript"/>
        <sz val="10"/>
        <color theme="1"/>
        <rFont val="Arial"/>
        <family val="2"/>
      </rPr>
      <t>4</t>
    </r>
  </si>
  <si>
    <r>
      <t>CO</t>
    </r>
    <r>
      <rPr>
        <b/>
        <vertAlign val="subscript"/>
        <sz val="10"/>
        <color theme="1"/>
        <rFont val="Arial"/>
        <family val="2"/>
      </rPr>
      <t>2</t>
    </r>
    <r>
      <rPr>
        <b/>
        <sz val="10"/>
        <color theme="1"/>
        <rFont val="Arial"/>
        <family val="2"/>
      </rPr>
      <t>eq</t>
    </r>
  </si>
  <si>
    <t>tCO2-e/yr</t>
  </si>
  <si>
    <t>(-)</t>
  </si>
  <si>
    <r>
      <t>tCO</t>
    </r>
    <r>
      <rPr>
        <vertAlign val="subscript"/>
        <sz val="10"/>
        <color theme="1"/>
        <rFont val="Arial"/>
        <family val="2"/>
      </rPr>
      <t>2</t>
    </r>
    <r>
      <rPr>
        <sz val="10"/>
        <color theme="1"/>
        <rFont val="Arial"/>
        <family val="2"/>
      </rPr>
      <t>/ha</t>
    </r>
  </si>
  <si>
    <r>
      <t>tCO</t>
    </r>
    <r>
      <rPr>
        <vertAlign val="subscript"/>
        <sz val="10"/>
        <color theme="1"/>
        <rFont val="Arial"/>
        <family val="2"/>
      </rPr>
      <t>2</t>
    </r>
    <r>
      <rPr>
        <sz val="10"/>
        <color theme="1"/>
        <rFont val="Arial"/>
        <family val="2"/>
      </rPr>
      <t>/ha/year</t>
    </r>
  </si>
  <si>
    <t>See FAOSTAT</t>
  </si>
  <si>
    <t>Mitigation potential</t>
  </si>
  <si>
    <t>Total yield (in tonnes)</t>
  </si>
  <si>
    <t>End Without</t>
  </si>
  <si>
    <t>End With</t>
  </si>
  <si>
    <t>Soil CO2 Change</t>
  </si>
  <si>
    <t>CO2-e emitted from residues burning</t>
  </si>
  <si>
    <t>CO2-e emitted from SOM</t>
  </si>
  <si>
    <r>
      <t>Total CO</t>
    </r>
    <r>
      <rPr>
        <b/>
        <vertAlign val="subscript"/>
        <sz val="11"/>
        <rFont val="Calibri"/>
        <family val="2"/>
        <scheme val="minor"/>
      </rPr>
      <t xml:space="preserve">2 </t>
    </r>
    <r>
      <rPr>
        <b/>
        <sz val="11"/>
        <rFont val="Calibri"/>
        <family val="2"/>
        <scheme val="minor"/>
      </rPr>
      <t>Balance</t>
    </r>
  </si>
  <si>
    <r>
      <t>CO</t>
    </r>
    <r>
      <rPr>
        <vertAlign val="subscript"/>
        <sz val="10"/>
        <color theme="1"/>
        <rFont val="Arial"/>
        <family val="2"/>
      </rPr>
      <t>2</t>
    </r>
    <r>
      <rPr>
        <sz val="10"/>
        <color theme="1"/>
        <rFont val="Arial"/>
        <family val="2"/>
      </rPr>
      <t xml:space="preserve"> Biomass</t>
    </r>
  </si>
  <si>
    <t>Area (ha) under management option</t>
  </si>
  <si>
    <t>Vegetation</t>
  </si>
  <si>
    <t xml:space="preserve">Start </t>
  </si>
  <si>
    <t xml:space="preserve">Without project </t>
  </si>
  <si>
    <t xml:space="preserve">With project </t>
  </si>
  <si>
    <t>Difference</t>
  </si>
  <si>
    <r>
      <t>CO</t>
    </r>
    <r>
      <rPr>
        <vertAlign val="subscript"/>
        <sz val="10"/>
        <color theme="1"/>
        <rFont val="Arial"/>
        <family val="2"/>
      </rPr>
      <t>2</t>
    </r>
    <r>
      <rPr>
        <sz val="10"/>
        <color theme="1"/>
        <rFont val="Arial"/>
        <family val="2"/>
      </rPr>
      <t xml:space="preserve"> soil</t>
    </r>
  </si>
  <si>
    <t>Land use</t>
  </si>
  <si>
    <t>Cumulated area burnt</t>
  </si>
  <si>
    <t>Type</t>
  </si>
  <si>
    <r>
      <t>tCO</t>
    </r>
    <r>
      <rPr>
        <vertAlign val="subscript"/>
        <sz val="11"/>
        <color theme="1"/>
        <rFont val="Calibri"/>
        <family val="2"/>
        <scheme val="minor"/>
      </rPr>
      <t>2</t>
    </r>
  </si>
  <si>
    <t>(t)</t>
  </si>
  <si>
    <t>Linear</t>
  </si>
  <si>
    <t>N2O Fire</t>
  </si>
  <si>
    <t>Total Syst 1-10</t>
  </si>
  <si>
    <t>Agric. Annual Total</t>
  </si>
  <si>
    <t>TEST TIER 2</t>
  </si>
  <si>
    <t xml:space="preserve">Main season crop </t>
  </si>
  <si>
    <t xml:space="preserve">Minor  season crop </t>
  </si>
  <si>
    <t xml:space="preserve">Chain: </t>
  </si>
  <si>
    <r>
      <t xml:space="preserve">Crop </t>
    </r>
    <r>
      <rPr>
        <b/>
        <sz val="10"/>
        <rFont val="Arial"/>
        <family val="2"/>
      </rPr>
      <t xml:space="preserve">(T)
</t>
    </r>
  </si>
  <si>
    <r>
      <t>AG</t>
    </r>
    <r>
      <rPr>
        <b/>
        <vertAlign val="subscript"/>
        <sz val="10"/>
        <rFont val="Arial"/>
        <family val="2"/>
      </rPr>
      <t>DM (T)</t>
    </r>
  </si>
  <si>
    <r>
      <t xml:space="preserve">N </t>
    </r>
    <r>
      <rPr>
        <b/>
        <vertAlign val="subscript"/>
        <sz val="10"/>
        <rFont val="Arial"/>
        <family val="2"/>
      </rPr>
      <t>AG(T)</t>
    </r>
  </si>
  <si>
    <r>
      <t xml:space="preserve">RS </t>
    </r>
    <r>
      <rPr>
        <b/>
        <vertAlign val="subscript"/>
        <sz val="10"/>
        <rFont val="Arial"/>
        <family val="2"/>
      </rPr>
      <t>(T)</t>
    </r>
  </si>
  <si>
    <r>
      <t xml:space="preserve">N </t>
    </r>
    <r>
      <rPr>
        <b/>
        <vertAlign val="subscript"/>
        <sz val="10"/>
        <rFont val="Arial"/>
        <family val="2"/>
      </rPr>
      <t>BG(T)</t>
    </r>
  </si>
  <si>
    <r>
      <t>F</t>
    </r>
    <r>
      <rPr>
        <b/>
        <vertAlign val="subscript"/>
        <sz val="10"/>
        <color theme="1"/>
        <rFont val="Arial"/>
        <family val="2"/>
      </rPr>
      <t>CR</t>
    </r>
    <r>
      <rPr>
        <b/>
        <sz val="10"/>
        <color theme="1"/>
        <rFont val="Arial"/>
        <family val="2"/>
      </rPr>
      <t xml:space="preserve"> / ha</t>
    </r>
  </si>
  <si>
    <t xml:space="preserve">Crop type </t>
  </si>
  <si>
    <t>EX-ACT area</t>
  </si>
  <si>
    <t xml:space="preserve">yield </t>
  </si>
  <si>
    <t>Residue DM</t>
  </si>
  <si>
    <t>N content of</t>
  </si>
  <si>
    <t xml:space="preserve">Ratio of BG </t>
  </si>
  <si>
    <t>Annual amount</t>
  </si>
  <si>
    <t>IPCC area</t>
  </si>
  <si>
    <t>(IPCC)</t>
  </si>
  <si>
    <t>FAOSTAT item</t>
  </si>
  <si>
    <t xml:space="preserve">FAOSTAT </t>
  </si>
  <si>
    <t xml:space="preserve">Picking defaults </t>
  </si>
  <si>
    <t>AG residues</t>
  </si>
  <si>
    <t>to AG biomass</t>
  </si>
  <si>
    <t xml:space="preserve">BG residues </t>
  </si>
  <si>
    <t xml:space="preserve">of N in </t>
  </si>
  <si>
    <t>- FAOSTAT</t>
  </si>
  <si>
    <t xml:space="preserve">Picking Tier 2 </t>
  </si>
  <si>
    <t>or Tier 2 if specified</t>
  </si>
  <si>
    <t>for crop T</t>
  </si>
  <si>
    <t>crop residues</t>
  </si>
  <si>
    <t xml:space="preserve"> item</t>
  </si>
  <si>
    <t>(if specified)</t>
  </si>
  <si>
    <t>Table  11.2 (Updated)</t>
  </si>
  <si>
    <t>Table 11.1A</t>
  </si>
  <si>
    <t>Upated Eq. 11.6</t>
  </si>
  <si>
    <r>
      <t>kg dm ha</t>
    </r>
    <r>
      <rPr>
        <vertAlign val="superscript"/>
        <sz val="10"/>
        <color theme="1"/>
        <rFont val="Arial"/>
        <family val="2"/>
      </rPr>
      <t>-1</t>
    </r>
  </si>
  <si>
    <r>
      <t>kg d.m ha</t>
    </r>
    <r>
      <rPr>
        <vertAlign val="superscript"/>
        <sz val="10"/>
        <rFont val="Arial"/>
        <family val="2"/>
      </rPr>
      <t>-1</t>
    </r>
  </si>
  <si>
    <t>t d.m ha-1</t>
  </si>
  <si>
    <r>
      <t>kg N (kg dm</t>
    </r>
    <r>
      <rPr>
        <vertAlign val="superscript"/>
        <sz val="10"/>
        <color theme="1"/>
        <rFont val="Arial"/>
        <family val="2"/>
      </rPr>
      <t>-1</t>
    </r>
    <r>
      <rPr>
        <sz val="10"/>
        <color theme="1"/>
        <rFont val="Arial"/>
        <family val="2"/>
      </rPr>
      <t>)</t>
    </r>
  </si>
  <si>
    <r>
      <t>kg d.m.ha</t>
    </r>
    <r>
      <rPr>
        <vertAlign val="superscript"/>
        <sz val="10"/>
        <color theme="1"/>
        <rFont val="Arial"/>
        <family val="2"/>
      </rPr>
      <t xml:space="preserve">-1 </t>
    </r>
    <r>
      <rPr>
        <sz val="10"/>
        <color theme="1"/>
        <rFont val="Arial"/>
        <family val="2"/>
      </rPr>
      <t xml:space="preserve"> (kg d.m. ha</t>
    </r>
    <r>
      <rPr>
        <vertAlign val="superscript"/>
        <sz val="10"/>
        <color theme="1"/>
        <rFont val="Arial"/>
        <family val="2"/>
      </rPr>
      <t>-1</t>
    </r>
    <r>
      <rPr>
        <sz val="10"/>
        <color theme="1"/>
        <rFont val="Arial"/>
        <family val="2"/>
      </rPr>
      <t>)</t>
    </r>
    <r>
      <rPr>
        <vertAlign val="superscript"/>
        <sz val="10"/>
        <color theme="1"/>
        <rFont val="Arial"/>
        <family val="2"/>
      </rPr>
      <t>-1</t>
    </r>
  </si>
  <si>
    <t>kg N /ha</t>
  </si>
  <si>
    <r>
      <t>t dm ha</t>
    </r>
    <r>
      <rPr>
        <vertAlign val="superscript"/>
        <sz val="10"/>
        <color theme="1"/>
        <rFont val="Arial"/>
        <family val="2"/>
      </rPr>
      <t>-1</t>
    </r>
  </si>
  <si>
    <t>Deforestation (FL -&gt; OL)</t>
  </si>
  <si>
    <t>Afforestation (OL-&gt; FL)</t>
  </si>
  <si>
    <t xml:space="preserve">*default = </t>
  </si>
  <si>
    <t>Grains</t>
  </si>
  <si>
    <t>Cereals,Total</t>
  </si>
  <si>
    <t>FCR</t>
  </si>
  <si>
    <t>above-ground</t>
  </si>
  <si>
    <t>below-ground</t>
  </si>
  <si>
    <t>-L15*D36+-J15*M15,0),-$K15*((MIN($C36,D36)*MIN(20,time_tot))+IF(E36="Immediate",IF(D36&gt;$C36,D36*MIN(20,time_tot),0),IF($C36&gt;D36,($C36-D36)*IF(time&gt;20,IF(E36="Linear",time-((time-20)^2)/(2*time),(0.215*time)-(time/4.6)*(EXP(-92.1/time)-0.01)),time*(1-VLOOK</t>
  </si>
  <si>
    <t>Perennial associated with Module 2 'Land-use changes'</t>
  </si>
  <si>
    <t>Perennial from Module 2</t>
  </si>
  <si>
    <r>
      <t>N</t>
    </r>
    <r>
      <rPr>
        <vertAlign val="subscript"/>
        <sz val="10"/>
        <color theme="1"/>
        <rFont val="Arial"/>
        <family val="2"/>
      </rPr>
      <t>2</t>
    </r>
    <r>
      <rPr>
        <sz val="10"/>
        <color theme="1"/>
        <rFont val="Arial"/>
        <family val="2"/>
      </rPr>
      <t>O</t>
    </r>
  </si>
  <si>
    <t>Yields</t>
  </si>
  <si>
    <t>Deforestation (FL -&gt; Perennial)</t>
  </si>
  <si>
    <t>Total period (Implementation + Cap)</t>
  </si>
  <si>
    <t>Biomass combustion for fires for all savanna grasslands</t>
  </si>
  <si>
    <t>AGB accumulation</t>
  </si>
  <si>
    <t>BGB accumulation</t>
  </si>
  <si>
    <t xml:space="preserve">Total Biomass </t>
  </si>
  <si>
    <t>MAX AGB</t>
  </si>
  <si>
    <t>Max years growth</t>
  </si>
  <si>
    <t>Afforestation (Perennial-&gt; FL)</t>
  </si>
  <si>
    <t>Time_tot = time and time_cap=0</t>
  </si>
  <si>
    <t>Your description</t>
  </si>
  <si>
    <t>Interval</t>
  </si>
  <si>
    <t>Tonne dm/ha</t>
  </si>
  <si>
    <t xml:space="preserve"> rate (tCO2/ha/year)</t>
  </si>
  <si>
    <t xml:space="preserve"> accumulation rate </t>
  </si>
  <si>
    <t>Lmax</t>
  </si>
  <si>
    <t>non-FL converted -&gt; Perennial</t>
  </si>
  <si>
    <t>Biomass (tCO2)</t>
  </si>
  <si>
    <t>Soil  (tCO2)</t>
  </si>
  <si>
    <t>tCO2-e from CH4 fire</t>
  </si>
  <si>
    <t>tCO2-e from  N2O fire</t>
  </si>
  <si>
    <t xml:space="preserve"> (yr)</t>
  </si>
  <si>
    <t>Table 2.4</t>
  </si>
  <si>
    <t>(tCO2/ha/year)</t>
  </si>
  <si>
    <t>Perennial -&gt; non-forest LU</t>
  </si>
  <si>
    <t>Perennial after deforestation</t>
  </si>
  <si>
    <t xml:space="preserve">Perennial  remainining Perennial </t>
  </si>
  <si>
    <t>Afforestation (Perennial -&gt; FL)</t>
  </si>
  <si>
    <t>Perennial converted to forest land</t>
  </si>
  <si>
    <r>
      <t xml:space="preserve">SOC </t>
    </r>
    <r>
      <rPr>
        <vertAlign val="subscript"/>
        <sz val="10"/>
        <color theme="1"/>
        <rFont val="Arial"/>
        <family val="2"/>
      </rPr>
      <t xml:space="preserve">REF </t>
    </r>
  </si>
  <si>
    <r>
      <t>F</t>
    </r>
    <r>
      <rPr>
        <vertAlign val="subscript"/>
        <sz val="10"/>
        <color theme="1"/>
        <rFont val="Arial"/>
        <family val="2"/>
      </rPr>
      <t xml:space="preserve">LU </t>
    </r>
  </si>
  <si>
    <r>
      <t>F</t>
    </r>
    <r>
      <rPr>
        <vertAlign val="subscript"/>
        <sz val="10"/>
        <color theme="1"/>
        <rFont val="Arial"/>
        <family val="2"/>
      </rPr>
      <t>MG</t>
    </r>
  </si>
  <si>
    <t>FI</t>
  </si>
  <si>
    <t>SOCREF * FLU*FMG*FI</t>
  </si>
  <si>
    <t xml:space="preserve">non-FL converted perennial </t>
  </si>
  <si>
    <t>Perennial after non-forest land use</t>
  </si>
  <si>
    <t>Perennial converted to other land use</t>
  </si>
  <si>
    <t>IPCC default or Picking Tier 2 (if specified)</t>
  </si>
  <si>
    <t>limited to 20 years</t>
  </si>
  <si>
    <r>
      <t>Total biomass CO</t>
    </r>
    <r>
      <rPr>
        <b/>
        <vertAlign val="subscript"/>
        <sz val="11"/>
        <rFont val="Calibri"/>
        <family val="2"/>
        <scheme val="minor"/>
      </rPr>
      <t xml:space="preserve">2 </t>
    </r>
    <r>
      <rPr>
        <b/>
        <sz val="11"/>
        <rFont val="Calibri"/>
        <family val="2"/>
        <scheme val="minor"/>
      </rPr>
      <t>fluxes</t>
    </r>
  </si>
  <si>
    <r>
      <t>Soil CO</t>
    </r>
    <r>
      <rPr>
        <b/>
        <vertAlign val="subscript"/>
        <sz val="11"/>
        <rFont val="Calibri"/>
        <family val="2"/>
        <scheme val="minor"/>
      </rPr>
      <t>2</t>
    </r>
    <r>
      <rPr>
        <b/>
        <sz val="11"/>
        <rFont val="Calibri"/>
        <family val="2"/>
        <scheme val="minor"/>
      </rPr>
      <t xml:space="preserve"> fluxes</t>
    </r>
  </si>
  <si>
    <r>
      <t>CO</t>
    </r>
    <r>
      <rPr>
        <b/>
        <vertAlign val="subscript"/>
        <sz val="11"/>
        <rFont val="Calibri"/>
        <family val="2"/>
        <scheme val="minor"/>
      </rPr>
      <t>2</t>
    </r>
    <r>
      <rPr>
        <b/>
        <sz val="11"/>
        <rFont val="Calibri"/>
        <family val="2"/>
        <scheme val="minor"/>
      </rPr>
      <t>eq emitted from residues burning</t>
    </r>
  </si>
  <si>
    <t>CO2-e from SOM</t>
  </si>
  <si>
    <t>Cumulated area burnt (ha) over 20 yrs</t>
  </si>
  <si>
    <t>Perennial converted to OLU</t>
  </si>
  <si>
    <t>Agric. Perennial  Total</t>
  </si>
  <si>
    <t>RICE from Module 2 'Land use change'</t>
  </si>
  <si>
    <t>Amount rice</t>
  </si>
  <si>
    <t>Adj. daily EF</t>
  </si>
  <si>
    <t>Straw</t>
  </si>
  <si>
    <t xml:space="preserve">Cultivation  </t>
  </si>
  <si>
    <t>Water regime</t>
  </si>
  <si>
    <t xml:space="preserve"> Amendment </t>
  </si>
  <si>
    <t>Straw burnt</t>
  </si>
  <si>
    <t>Burnt</t>
  </si>
  <si>
    <t>period</t>
  </si>
  <si>
    <t>During  cultivation period</t>
  </si>
  <si>
    <t>Before  cultivation period</t>
  </si>
  <si>
    <t>applied</t>
  </si>
  <si>
    <r>
      <t>tonnes dm ha</t>
    </r>
    <r>
      <rPr>
        <vertAlign val="superscript"/>
        <sz val="11"/>
        <color theme="1"/>
        <rFont val="Calibri"/>
        <family val="2"/>
        <scheme val="minor"/>
      </rPr>
      <t>-1</t>
    </r>
  </si>
  <si>
    <r>
      <t>kg CH</t>
    </r>
    <r>
      <rPr>
        <b/>
        <vertAlign val="subscript"/>
        <sz val="10"/>
        <color theme="1"/>
        <rFont val="Arial"/>
        <family val="2"/>
      </rPr>
      <t>4</t>
    </r>
    <r>
      <rPr>
        <b/>
        <sz val="10"/>
        <color theme="1"/>
        <rFont val="Arial"/>
        <family val="2"/>
      </rPr>
      <t xml:space="preserve">  per ha per day</t>
    </r>
  </si>
  <si>
    <t>kg CH4  per ha</t>
  </si>
  <si>
    <r>
      <t>CH4 in t CO</t>
    </r>
    <r>
      <rPr>
        <b/>
        <vertAlign val="subscript"/>
        <sz val="11"/>
        <color theme="1"/>
        <rFont val="Calibri"/>
        <family val="2"/>
        <scheme val="minor"/>
      </rPr>
      <t>2</t>
    </r>
    <r>
      <rPr>
        <b/>
        <sz val="11"/>
        <color theme="1"/>
        <rFont val="Calibri"/>
        <family val="2"/>
        <scheme val="minor"/>
      </rPr>
      <t>-e/ha</t>
    </r>
  </si>
  <si>
    <t>N2O in tCO2-e/ha</t>
  </si>
  <si>
    <t>t/ha/year</t>
  </si>
  <si>
    <t>Time_tot = time and time2=0</t>
  </si>
  <si>
    <t>Rice after non-forest land use</t>
  </si>
  <si>
    <t>CH4 rice cultivation</t>
  </si>
  <si>
    <t>Straw burning CH4</t>
  </si>
  <si>
    <t>Straw burning N20</t>
  </si>
  <si>
    <t>CO2 soil Change</t>
  </si>
  <si>
    <t>CH4 emitted during implementation time</t>
  </si>
  <si>
    <t>Straw burning N2O</t>
  </si>
  <si>
    <t>Rice converted to other land use</t>
  </si>
  <si>
    <t>W/out</t>
  </si>
  <si>
    <t xml:space="preserve">RICE remainining RICE </t>
  </si>
  <si>
    <r>
      <t>SOC</t>
    </r>
    <r>
      <rPr>
        <b/>
        <vertAlign val="subscript"/>
        <sz val="10"/>
        <color theme="1"/>
        <rFont val="Arial"/>
        <family val="2"/>
      </rPr>
      <t>REF</t>
    </r>
  </si>
  <si>
    <r>
      <t>F</t>
    </r>
    <r>
      <rPr>
        <b/>
        <vertAlign val="subscript"/>
        <sz val="10"/>
        <color theme="1"/>
        <rFont val="Arial"/>
        <family val="2"/>
      </rPr>
      <t>LU</t>
    </r>
  </si>
  <si>
    <t>Tab. 2.3</t>
  </si>
  <si>
    <t>Tab. 5.5</t>
  </si>
  <si>
    <t>tCO2/ha/year</t>
  </si>
  <si>
    <r>
      <t>CH</t>
    </r>
    <r>
      <rPr>
        <b/>
        <vertAlign val="subscript"/>
        <sz val="11"/>
        <color indexed="43"/>
        <rFont val="Helvetica"/>
        <family val="2"/>
      </rPr>
      <t xml:space="preserve">4 </t>
    </r>
    <r>
      <rPr>
        <b/>
        <sz val="11"/>
        <color indexed="43"/>
        <rFont val="Helvetica"/>
        <family val="2"/>
      </rPr>
      <t>emission from rice systems</t>
    </r>
  </si>
  <si>
    <t>Area Burnt (ha)</t>
  </si>
  <si>
    <t>Cumulated area burnt (ha)</t>
  </si>
  <si>
    <t>Annual Harvested Area (ha/year)</t>
  </si>
  <si>
    <t>Harvested Area (ha/year)</t>
  </si>
  <si>
    <r>
      <t>Soil CO</t>
    </r>
    <r>
      <rPr>
        <b/>
        <vertAlign val="subscript"/>
        <sz val="11"/>
        <color theme="1"/>
        <rFont val="Calibri"/>
        <family val="2"/>
        <scheme val="minor"/>
      </rPr>
      <t>2</t>
    </r>
    <r>
      <rPr>
        <b/>
        <sz val="11"/>
        <color theme="1"/>
        <rFont val="Calibri"/>
        <family val="2"/>
        <scheme val="minor"/>
      </rPr>
      <t xml:space="preserve"> Change</t>
    </r>
  </si>
  <si>
    <t>CH4 emitted All period</t>
  </si>
  <si>
    <t>Straw burning</t>
  </si>
  <si>
    <t>tCO2eq</t>
  </si>
  <si>
    <t>(ha/year)</t>
  </si>
  <si>
    <t>t CO2 eq</t>
  </si>
  <si>
    <t>(tonnes)</t>
  </si>
  <si>
    <t>Total Rice remain Rice</t>
  </si>
  <si>
    <t>Total rice</t>
  </si>
  <si>
    <t>Soil organic carbon content per grassland degradation level</t>
  </si>
  <si>
    <t>Degradation level</t>
  </si>
  <si>
    <t>SOC</t>
  </si>
  <si>
    <t>Soil carbon stocks (tC/ha)</t>
  </si>
  <si>
    <t>Manure management</t>
  </si>
  <si>
    <t>Production (meat, milk, etc)</t>
  </si>
  <si>
    <t>Livestock management</t>
  </si>
  <si>
    <t xml:space="preserve">% corresponding to </t>
  </si>
  <si>
    <t>Complementary manure management system</t>
  </si>
  <si>
    <t>in tonnes of product per year</t>
  </si>
  <si>
    <t>Number of heads</t>
  </si>
  <si>
    <t>Enteric fermentation</t>
  </si>
  <si>
    <t>CH4 from manure mngt.</t>
  </si>
  <si>
    <t>N2O from manure mngt.</t>
  </si>
  <si>
    <t>Emission factor CH4</t>
  </si>
  <si>
    <t>Emission factor N2O</t>
  </si>
  <si>
    <t>kgCH4/head/year</t>
  </si>
  <si>
    <t>kgN2O/head/year</t>
  </si>
  <si>
    <t>Total livestock (tCO2-e)</t>
  </si>
  <si>
    <t>* Please note that for some livestock categories, including buffalo, deer and ostrich, there are no Tier1 parametrs for each of the livestock productivity levels. As a result changing livestock productivity will not trigger change in the emission levels. You may use Tier 2 section to refine the parameters.</t>
  </si>
  <si>
    <t>4.1. Grassland management</t>
  </si>
  <si>
    <t>Description of Grassland type, their management and areas (ha)</t>
  </si>
  <si>
    <t>Table 6.4 in IPCC 2006</t>
  </si>
  <si>
    <t>Updated Table 2.6, in IPCC 2019</t>
  </si>
  <si>
    <t>AGB x Cf x Gef (savanna)</t>
  </si>
  <si>
    <t>Description of the systems</t>
  </si>
  <si>
    <t>Final State of the grassland</t>
  </si>
  <si>
    <t>Fire  used to manage</t>
  </si>
  <si>
    <t>SOC initial in tC/ha</t>
  </si>
  <si>
    <t>SOC (after 20 yrs) in tC/ha</t>
  </si>
  <si>
    <t>Delta Soil C*</t>
  </si>
  <si>
    <t>Yield (t/ha)</t>
  </si>
  <si>
    <t>AGB of savannas</t>
  </si>
  <si>
    <t>Cf</t>
  </si>
  <si>
    <t>tCO2-e/ha/year</t>
  </si>
  <si>
    <t>Cstart</t>
  </si>
  <si>
    <t>Cend without</t>
  </si>
  <si>
    <t>Cend with</t>
  </si>
  <si>
    <r>
      <t>(tonnes d.m. ha</t>
    </r>
    <r>
      <rPr>
        <vertAlign val="superscript"/>
        <sz val="10"/>
        <rFont val="Century Gothic"/>
        <family val="2"/>
      </rPr>
      <t>-1</t>
    </r>
    <r>
      <rPr>
        <sz val="10"/>
        <rFont val="Century Gothic"/>
        <family val="2"/>
      </rPr>
      <t>)</t>
    </r>
  </si>
  <si>
    <t>tCO2 eq/ha</t>
  </si>
  <si>
    <r>
      <t xml:space="preserve"> for </t>
    </r>
    <r>
      <rPr>
        <b/>
        <sz val="11"/>
        <color rgb="FFFF0000"/>
        <rFont val="Century Gothic"/>
        <family val="2"/>
      </rPr>
      <t>one</t>
    </r>
    <r>
      <rPr>
        <sz val="11"/>
        <color theme="1"/>
        <rFont val="Century Gothic"/>
        <family val="2"/>
      </rPr>
      <t xml:space="preserve"> combustion</t>
    </r>
  </si>
  <si>
    <r>
      <t>N</t>
    </r>
    <r>
      <rPr>
        <b/>
        <vertAlign val="subscript"/>
        <sz val="10"/>
        <rFont val="Century Gothic"/>
        <family val="2"/>
      </rPr>
      <t>2</t>
    </r>
    <r>
      <rPr>
        <b/>
        <sz val="10"/>
        <rFont val="Century Gothic"/>
        <family val="2"/>
      </rPr>
      <t>0 (tCO2 eq)</t>
    </r>
  </si>
  <si>
    <r>
      <t>CH</t>
    </r>
    <r>
      <rPr>
        <b/>
        <vertAlign val="subscript"/>
        <sz val="10"/>
        <rFont val="Century Gothic"/>
        <family val="2"/>
      </rPr>
      <t>4</t>
    </r>
  </si>
  <si>
    <r>
      <t>N</t>
    </r>
    <r>
      <rPr>
        <b/>
        <vertAlign val="subscript"/>
        <sz val="10"/>
        <rFont val="Century Gothic"/>
        <family val="2"/>
      </rPr>
      <t>2</t>
    </r>
    <r>
      <rPr>
        <b/>
        <sz val="10"/>
        <rFont val="Century Gothic"/>
        <family val="2"/>
      </rPr>
      <t>O</t>
    </r>
  </si>
  <si>
    <t>Fire*</t>
  </si>
  <si>
    <t>Interval (yr)</t>
  </si>
  <si>
    <t>t/ha</t>
  </si>
  <si>
    <t>IPCC default or picking Tier 2</t>
  </si>
  <si>
    <t>Deforestation (FL -&gt; Grassland)</t>
  </si>
  <si>
    <t>Grassland after deforestation</t>
  </si>
  <si>
    <t>Afforestation (Grassland -&gt; FL)</t>
  </si>
  <si>
    <t>Grassland converted to forest land</t>
  </si>
  <si>
    <t xml:space="preserve">non-FL converted to Grassland </t>
  </si>
  <si>
    <t>Grassland after non-forest LUs</t>
  </si>
  <si>
    <t>Grassland converted from non-forest LUs</t>
  </si>
  <si>
    <t>GL --&gt; non-Forest LU</t>
  </si>
  <si>
    <t xml:space="preserve">Grasslands converted to non-forest LUs   </t>
  </si>
  <si>
    <t>Yield (in tonnes per year)</t>
  </si>
  <si>
    <t>Avalaible options for Grassland</t>
  </si>
  <si>
    <r>
      <t>Soil CO</t>
    </r>
    <r>
      <rPr>
        <b/>
        <vertAlign val="subscript"/>
        <sz val="11"/>
        <rFont val="Century Gothic"/>
        <family val="2"/>
      </rPr>
      <t>2</t>
    </r>
    <r>
      <rPr>
        <b/>
        <sz val="11"/>
        <rFont val="Century Gothic"/>
        <family val="2"/>
      </rPr>
      <t xml:space="preserve"> fluxes</t>
    </r>
  </si>
  <si>
    <t>Total fire</t>
  </si>
  <si>
    <r>
      <t>Total CO</t>
    </r>
    <r>
      <rPr>
        <b/>
        <vertAlign val="subscript"/>
        <sz val="11"/>
        <rFont val="Century Gothic"/>
        <family val="2"/>
      </rPr>
      <t xml:space="preserve">2 </t>
    </r>
    <r>
      <rPr>
        <b/>
        <sz val="11"/>
        <rFont val="Century Gothic"/>
        <family val="2"/>
      </rPr>
      <t>Balance</t>
    </r>
  </si>
  <si>
    <t>!!!! DO NOT DELETE !!!!</t>
  </si>
  <si>
    <t>Non-degraded</t>
  </si>
  <si>
    <r>
      <t>tCO</t>
    </r>
    <r>
      <rPr>
        <vertAlign val="subscript"/>
        <sz val="11"/>
        <color theme="1"/>
        <rFont val="Century Gothic"/>
        <family val="2"/>
      </rPr>
      <t>2</t>
    </r>
  </si>
  <si>
    <t>High intensity grazing</t>
  </si>
  <si>
    <t>Severely degraded</t>
  </si>
  <si>
    <t>Improved with medium inputs</t>
  </si>
  <si>
    <t>Improved grassland</t>
  </si>
  <si>
    <t>Improved with high inputs</t>
  </si>
  <si>
    <t>CO2 biomass</t>
  </si>
  <si>
    <t>Total system 1-10 (GL - GL)</t>
  </si>
  <si>
    <t>Grassland total</t>
  </si>
  <si>
    <t>Methane enteric fermentation</t>
  </si>
  <si>
    <t>Specific factor</t>
  </si>
  <si>
    <t>Head number</t>
  </si>
  <si>
    <t>Emissions (tCO2-eq) per year</t>
  </si>
  <si>
    <t>Total emissions (tCO2-eq)</t>
  </si>
  <si>
    <t>kgCH4/head</t>
  </si>
  <si>
    <t>IMPLEMENTATION PHASE</t>
  </si>
  <si>
    <t>GHG PER SCENARIO</t>
  </si>
  <si>
    <t>TOTAL BALANCE</t>
  </si>
  <si>
    <t>Livestock category</t>
  </si>
  <si>
    <t>Livestock productivity</t>
  </si>
  <si>
    <t>IPCC</t>
  </si>
  <si>
    <t>W/OUT</t>
  </si>
  <si>
    <t>CATEGORIES</t>
  </si>
  <si>
    <t>IMPLEM.</t>
  </si>
  <si>
    <t>CAPITAL.</t>
  </si>
  <si>
    <t>Total CH4</t>
  </si>
  <si>
    <t>Total N2O</t>
  </si>
  <si>
    <t>TOTAL (tCO2-eq)</t>
  </si>
  <si>
    <t>Total Enteric Fermentation</t>
  </si>
  <si>
    <t>Methane emissions from manure management</t>
  </si>
  <si>
    <t>EFCH4 manure Tables</t>
  </si>
  <si>
    <t>AWMS Tables</t>
  </si>
  <si>
    <t>EF N2O manure management</t>
  </si>
  <si>
    <t>Frac gaz MS Tables</t>
  </si>
  <si>
    <t>Dairy cattle</t>
  </si>
  <si>
    <t>CH4_man_Dairy_Cattle_LP</t>
  </si>
  <si>
    <t>CH4_man_Dairy_Cattle_HP</t>
  </si>
  <si>
    <t>AWMS_Dairy_Cattle</t>
  </si>
  <si>
    <t>EF_DIRECT_N2O_manure_mngt_cattle_poultry_pigs</t>
  </si>
  <si>
    <t>Frac_vol_dairy_cow</t>
  </si>
  <si>
    <t>CH4_man_Other_Cattle_LP</t>
  </si>
  <si>
    <t>CH4_man_Other_Cattle_HP</t>
  </si>
  <si>
    <t>AWMS_Other_Cattle</t>
  </si>
  <si>
    <t>Frac_vol_Other_Cattle</t>
  </si>
  <si>
    <t>AWMS_Dairy_Buffalo</t>
  </si>
  <si>
    <t>Frac_vol_Other_Animal</t>
  </si>
  <si>
    <t>AWMS_Other_Buffalo</t>
  </si>
  <si>
    <t>CH4_man_Sheep_LP</t>
  </si>
  <si>
    <t>CH4_man_Sheep_HP</t>
  </si>
  <si>
    <t>AWMS_Sheep_dairy</t>
  </si>
  <si>
    <t>EF_DIRECT_N2O_manure_mngt_Sheeps_others</t>
  </si>
  <si>
    <t>Other Sheep</t>
  </si>
  <si>
    <t>AWMS_Other_Sheep</t>
  </si>
  <si>
    <t>CH4_man_Swine_LP</t>
  </si>
  <si>
    <t>CH4_man_Swine_HP</t>
  </si>
  <si>
    <t>AWMS_Growing_Swine_LP</t>
  </si>
  <si>
    <t>AMWS_Growing_Swine_HP</t>
  </si>
  <si>
    <t>Frac_vol_swine</t>
  </si>
  <si>
    <t>AWMS_Breeding_Swine_LP</t>
  </si>
  <si>
    <t>AMWS_Breeding_Swine_HP</t>
  </si>
  <si>
    <t>Goats</t>
  </si>
  <si>
    <t>CH4_man_Goat_LP</t>
  </si>
  <si>
    <t>CH4_man_Goat_HP</t>
  </si>
  <si>
    <t>AWMS_Goat</t>
  </si>
  <si>
    <t>Horses</t>
  </si>
  <si>
    <t>CH4_man_Horse_LP</t>
  </si>
  <si>
    <t>CH4_man_Horse_HP</t>
  </si>
  <si>
    <t>AWMS_Other_Grazing</t>
  </si>
  <si>
    <t>Camels</t>
  </si>
  <si>
    <t>CH4_man_Camel_LP</t>
  </si>
  <si>
    <t>CH4_man_Camel_HP</t>
  </si>
  <si>
    <t>Mules and Asses</t>
  </si>
  <si>
    <t>CH4_man_Mule_LP</t>
  </si>
  <si>
    <t>CH4_man_Mule_HP</t>
  </si>
  <si>
    <t>Deer</t>
  </si>
  <si>
    <t>Table 10.15</t>
  </si>
  <si>
    <t>AWMS_Deer</t>
  </si>
  <si>
    <t>Ostrich</t>
  </si>
  <si>
    <t>AWMS_Ostrich</t>
  </si>
  <si>
    <t>Chicken layer</t>
  </si>
  <si>
    <t>CH4_man_Poultry_LP</t>
  </si>
  <si>
    <t>CH4_man_Poultry_HP</t>
  </si>
  <si>
    <t>AWMS_Chicken_Layer_Default</t>
  </si>
  <si>
    <t>Chicken broiler</t>
  </si>
  <si>
    <t>AMWS_Chicken_broiler_LP</t>
  </si>
  <si>
    <t>AWMS_Chicken_broiler_HP</t>
  </si>
  <si>
    <t>Llamas and Alpacas</t>
  </si>
  <si>
    <t>Other (Pls. go to Tier 2)</t>
  </si>
  <si>
    <t>Specific factors</t>
  </si>
  <si>
    <t>Comp. MMs</t>
  </si>
  <si>
    <t>TAM</t>
  </si>
  <si>
    <t>VS excretion rate</t>
  </si>
  <si>
    <t xml:space="preserve">EFCH4 default Comp. </t>
  </si>
  <si>
    <t>EF CH4 PPR</t>
  </si>
  <si>
    <t>EFCH4 Reg. share</t>
  </si>
  <si>
    <t>Emissions from manure mngt [CH4]</t>
  </si>
  <si>
    <t>kgVs/(1000kg TAM)/day</t>
  </si>
  <si>
    <t>Comp. MMS</t>
  </si>
  <si>
    <t>Table EFCH4 manure</t>
  </si>
  <si>
    <t>Table AWMS</t>
  </si>
  <si>
    <t>Total Manure Management [CH4]</t>
  </si>
  <si>
    <t>Nitrous oxide emissions from manure management</t>
  </si>
  <si>
    <t>DIRECT EMISSIONS</t>
  </si>
  <si>
    <t>Compl. manure mngt syst</t>
  </si>
  <si>
    <t>N excretion rate</t>
  </si>
  <si>
    <t>EFN2O default Comp.</t>
  </si>
  <si>
    <t>EFN2O PRP</t>
  </si>
  <si>
    <t>EFN2O RS</t>
  </si>
  <si>
    <t>Emissions from manure mngt [N2O]</t>
  </si>
  <si>
    <t>kg N/(1000kg TAM)/day</t>
  </si>
  <si>
    <t>Table EF N2O</t>
  </si>
  <si>
    <t>Total Manure Management [N2O direct]</t>
  </si>
  <si>
    <t>INDIRECT EMISSIONS</t>
  </si>
  <si>
    <t>Nitrogen loss due to volatilization</t>
  </si>
  <si>
    <t>Frac. Comp.</t>
  </si>
  <si>
    <t>Frac PRP</t>
  </si>
  <si>
    <t>Frac default</t>
  </si>
  <si>
    <t>FRACgasMS</t>
  </si>
  <si>
    <t>Total Manure Management [N2O volatilization]</t>
  </si>
  <si>
    <t>Nitrogen loss due to leaching</t>
  </si>
  <si>
    <t>FRACleachingMS</t>
  </si>
  <si>
    <t>Frac_leach_all_categories</t>
  </si>
  <si>
    <t>Total Manure Management [N2O leaching]</t>
  </si>
  <si>
    <t>Forest degradation level ( in % of biomass lost)</t>
  </si>
  <si>
    <t>Soil management and degradation</t>
  </si>
  <si>
    <t xml:space="preserve">Type of forest vegetation </t>
  </si>
  <si>
    <t>Forest degradation level</t>
  </si>
  <si>
    <t>Fire periodicity</t>
  </si>
  <si>
    <t>Forested area (ha)</t>
  </si>
  <si>
    <t xml:space="preserve">Above-ground </t>
  </si>
  <si>
    <t>Land use, mngt and input factor</t>
  </si>
  <si>
    <t>that will be managed</t>
  </si>
  <si>
    <t>Forest degradation level (biomass loss) reference values</t>
  </si>
  <si>
    <t>% of biomass lost</t>
  </si>
  <si>
    <t>None</t>
  </si>
  <si>
    <t>Very low</t>
  </si>
  <si>
    <t>Low</t>
  </si>
  <si>
    <t>Moderate</t>
  </si>
  <si>
    <t>Large</t>
  </si>
  <si>
    <t>Extreme</t>
  </si>
  <si>
    <t xml:space="preserve">5.1 Forest degradation and management </t>
  </si>
  <si>
    <t>Forest C pools by IPCC (only deafult)</t>
  </si>
  <si>
    <t>Forest classes</t>
  </si>
  <si>
    <t>AGB</t>
  </si>
  <si>
    <t>SOC ref</t>
  </si>
  <si>
    <t xml:space="preserve">SI. </t>
  </si>
  <si>
    <t>by IPCC climate region</t>
  </si>
  <si>
    <t>ton d.m /ha</t>
  </si>
  <si>
    <t xml:space="preserve">Climate selected: </t>
  </si>
  <si>
    <t xml:space="preserve"> IPCC default </t>
  </si>
  <si>
    <t>Land use, mngt and input factor for soil</t>
  </si>
  <si>
    <t>?</t>
  </si>
  <si>
    <t xml:space="preserve">Tot Biomass </t>
  </si>
  <si>
    <t xml:space="preserve"> selected by  Users</t>
  </si>
  <si>
    <t>Dead wood + litter</t>
  </si>
  <si>
    <t>Extrem</t>
  </si>
  <si>
    <t>To be double checked !!! Equations taken from EX-ACT v7 have been revised !!!! Please CHECK</t>
  </si>
  <si>
    <t xml:space="preserve">Degradation level </t>
  </si>
  <si>
    <t xml:space="preserve">Biomass burnt </t>
  </si>
  <si>
    <t>Total biomass (AGB + BGB)</t>
  </si>
  <si>
    <t>ΔC soil</t>
  </si>
  <si>
    <t>MB in tC/ha</t>
  </si>
  <si>
    <t>non-CO2 gases from Fire</t>
  </si>
  <si>
    <t>Deadwood &amp; litter</t>
  </si>
  <si>
    <t>* limited to 20 yrs</t>
  </si>
  <si>
    <r>
      <t>CH</t>
    </r>
    <r>
      <rPr>
        <b/>
        <vertAlign val="subscript"/>
        <sz val="11"/>
        <rFont val="Calibri"/>
        <family val="2"/>
        <scheme val="minor"/>
      </rPr>
      <t>4</t>
    </r>
    <r>
      <rPr>
        <b/>
        <sz val="11"/>
        <rFont val="Calibri"/>
        <family val="2"/>
        <scheme val="minor"/>
      </rPr>
      <t>-Fire</t>
    </r>
  </si>
  <si>
    <r>
      <t>N</t>
    </r>
    <r>
      <rPr>
        <b/>
        <vertAlign val="subscript"/>
        <sz val="11"/>
        <rFont val="Calibri"/>
        <family val="2"/>
        <scheme val="minor"/>
      </rPr>
      <t>2</t>
    </r>
    <r>
      <rPr>
        <b/>
        <sz val="11"/>
        <rFont val="Calibri"/>
        <family val="2"/>
        <scheme val="minor"/>
      </rPr>
      <t>O-fire</t>
    </r>
  </si>
  <si>
    <r>
      <t>CH</t>
    </r>
    <r>
      <rPr>
        <b/>
        <vertAlign val="subscript"/>
        <sz val="10"/>
        <rFont val="Arial"/>
        <family val="2"/>
      </rPr>
      <t>4</t>
    </r>
  </si>
  <si>
    <t>Total non-CO2 (CH4 + N2O)</t>
  </si>
  <si>
    <t>Degraded surface area</t>
  </si>
  <si>
    <t>biomass lost</t>
  </si>
  <si>
    <t xml:space="preserve">% </t>
  </si>
  <si>
    <t>(yes/no)</t>
  </si>
  <si>
    <t>(in years)</t>
  </si>
  <si>
    <t>(in %)</t>
  </si>
  <si>
    <t>kg/ yr</t>
  </si>
  <si>
    <t>tCO2 eq/yr</t>
  </si>
  <si>
    <t>DOM (Dead wood + litter)</t>
  </si>
  <si>
    <t>Total balance</t>
  </si>
  <si>
    <t>GHG emissions/removals</t>
  </si>
  <si>
    <t xml:space="preserve">START area </t>
  </si>
  <si>
    <t>Vegetation type</t>
  </si>
  <si>
    <t>area (ha)</t>
  </si>
  <si>
    <t xml:space="preserve">rate </t>
  </si>
  <si>
    <t>Total tCO2-e</t>
  </si>
  <si>
    <t>Total degradation</t>
  </si>
  <si>
    <t>one episode of residue burning each year</t>
  </si>
  <si>
    <t>On-site emission factors</t>
  </si>
  <si>
    <t>Emission factors fire</t>
  </si>
  <si>
    <t>On site emissions factor</t>
  </si>
  <si>
    <t>Off-site emission factor</t>
  </si>
  <si>
    <t>Deadwood</t>
  </si>
  <si>
    <t>CO2</t>
  </si>
  <si>
    <t>DOC</t>
  </si>
  <si>
    <t>CO</t>
  </si>
  <si>
    <t xml:space="preserve">Mean dry matter </t>
  </si>
  <si>
    <t>CO2 on site</t>
  </si>
  <si>
    <t>CH4 on-site</t>
  </si>
  <si>
    <t>DOC off-site</t>
  </si>
  <si>
    <t>Burning of</t>
  </si>
  <si>
    <t>kgCH4/ha/yr</t>
  </si>
  <si>
    <t>kgN2O-N/ha/yr</t>
  </si>
  <si>
    <t>Type of fire</t>
  </si>
  <si>
    <t>gC/kg d.m.</t>
  </si>
  <si>
    <t>gCO/kg d.m.</t>
  </si>
  <si>
    <t>gCH4/kg d.m.</t>
  </si>
  <si>
    <t>kg CH4-C/ha/yr</t>
  </si>
  <si>
    <t>kg N2O-N/ha/yr</t>
  </si>
  <si>
    <t xml:space="preserve">Biomass </t>
  </si>
  <si>
    <t>Y/N</t>
  </si>
  <si>
    <t>soil</t>
  </si>
  <si>
    <t>Nutrient poor</t>
  </si>
  <si>
    <t>Maximum area available for</t>
  </si>
  <si>
    <t>water management</t>
  </si>
  <si>
    <t>Area under drainage (ha)</t>
  </si>
  <si>
    <t>Area not drained or rewetted (ha)</t>
  </si>
  <si>
    <t>Fire on</t>
  </si>
  <si>
    <t>Total deforestation on organic soils (tCO2-e)</t>
  </si>
  <si>
    <t>Management practices following conversion</t>
  </si>
  <si>
    <t>Initial land use biomass C pool (BGB+AGB)</t>
  </si>
  <si>
    <t>% burnt</t>
  </si>
  <si>
    <t>Total afforestation / reforestation on organic soils (tCO2-e)</t>
  </si>
  <si>
    <t>Converted areas (ha)</t>
  </si>
  <si>
    <t>% area occupied by ditches</t>
  </si>
  <si>
    <t>0= 0%, very low= 10%, low= 20%, moderate= 40%, large= 60%, extrem= 80%</t>
  </si>
  <si>
    <t>Management practices</t>
  </si>
  <si>
    <t>Carbon pools of non-degraded forest (all values are in tC/ha)</t>
  </si>
  <si>
    <t>Wildfire drained peat</t>
  </si>
  <si>
    <t>Total forest management on organic soils (tCO2-e)</t>
  </si>
  <si>
    <t>Land use area (ha)</t>
  </si>
  <si>
    <t>CO2 emission from peat use</t>
  </si>
  <si>
    <t>Surface where peat is extracted (ha)</t>
  </si>
  <si>
    <t>Height of extraction (cm)</t>
  </si>
  <si>
    <t>Quantity of peat produced (tonne/year)</t>
  </si>
  <si>
    <t>Peat density</t>
  </si>
  <si>
    <t>Type of peat</t>
  </si>
  <si>
    <t>t/m3</t>
  </si>
  <si>
    <t>Use for energy?*</t>
  </si>
  <si>
    <t>*If yes it is automatically accounted for in the 9.Inputs module</t>
  </si>
  <si>
    <t>For aquaculture in coastal wetlands go to "Coastal wetlands"</t>
  </si>
  <si>
    <t>CH4 emission factor from waterbodies</t>
  </si>
  <si>
    <t>Mean annual [Chlo.a]</t>
  </si>
  <si>
    <t>α</t>
  </si>
  <si>
    <r>
      <t>[</t>
    </r>
    <r>
      <rPr>
        <sz val="11"/>
        <color theme="1"/>
        <rFont val="Calibri"/>
        <family val="2"/>
      </rPr>
      <t>μ</t>
    </r>
    <r>
      <rPr>
        <sz val="11"/>
        <color theme="1"/>
        <rFont val="Roboto Light"/>
      </rPr>
      <t>g/L]</t>
    </r>
  </si>
  <si>
    <t>Emissions from biomass loss and gain and biomass burning</t>
  </si>
  <si>
    <t>IPCC 2019, TABLE 4.12. (UPDATED), page 4.47</t>
  </si>
  <si>
    <t>placeholder if data become available in the future</t>
  </si>
  <si>
    <t>LITTER</t>
  </si>
  <si>
    <t>DEADWOOD</t>
  </si>
  <si>
    <t>SOC(0-T)</t>
  </si>
  <si>
    <t>FIRE</t>
  </si>
  <si>
    <t>FIRE CH4</t>
  </si>
  <si>
    <t>FIRE N2O</t>
  </si>
  <si>
    <t>IPCC 2019</t>
  </si>
  <si>
    <t>t d.m./ha/yr</t>
  </si>
  <si>
    <t>gCH4/kg dry matter</t>
  </si>
  <si>
    <t>NB. Calculations for implementation phase only have not been checked, but they are not used for final results yet.</t>
  </si>
  <si>
    <t>Biomass New LU</t>
  </si>
  <si>
    <t>Biomass pool (AGB + BGB)</t>
  </si>
  <si>
    <t>DOM (dead wood + litter)</t>
  </si>
  <si>
    <t>Fire during conversion WOP</t>
  </si>
  <si>
    <t>Fire during conversion WP</t>
  </si>
  <si>
    <r>
      <rPr>
        <sz val="10"/>
        <color rgb="FFFF0000"/>
        <rFont val="Century Gothic"/>
        <family val="2"/>
      </rPr>
      <t>After 1 yr</t>
    </r>
    <r>
      <rPr>
        <sz val="10"/>
        <color theme="1"/>
        <rFont val="Century Gothic"/>
        <family val="2"/>
      </rPr>
      <t xml:space="preserve"> of growth</t>
    </r>
  </si>
  <si>
    <t>MB = AGB - HWP</t>
  </si>
  <si>
    <t xml:space="preserve">  tC/ha/year</t>
  </si>
  <si>
    <t>NB: t C exported/ha is not considered in the final balance</t>
  </si>
  <si>
    <t>NB: For annual crops, annual fallow, flooded rice --&gt; AGB
For grassland, perennial agroforestry systems --&gt; Total biomass (AGB + BGB)
For perennial monocultures --&gt; AGB (BGB is not available, pls see Tab 5.3 (Updated)</t>
  </si>
  <si>
    <t>NB: refers to the mass of fuel available for combustion</t>
  </si>
  <si>
    <t>Biomass fire after conversion</t>
  </si>
  <si>
    <t>Area converted</t>
  </si>
  <si>
    <t>EMISSIONS FROM BIOMASS GAIN &amp; LOSS &amp; BIOMASS BURNING (tCO2-eq)</t>
  </si>
  <si>
    <t>Total emissions tCO2eq</t>
  </si>
  <si>
    <t>FIRE BIOMASS &amp; BIOMASS GAIN AND LOSS</t>
  </si>
  <si>
    <t>Fire after conversion WOP</t>
  </si>
  <si>
    <t>Fire after conversion WP</t>
  </si>
  <si>
    <t>Total period WOP</t>
  </si>
  <si>
    <t>Total period WP</t>
  </si>
  <si>
    <t>ALL PERIOD</t>
  </si>
  <si>
    <t>AGBiomass New LU</t>
  </si>
  <si>
    <t>Biomass loss (tCO2)</t>
  </si>
  <si>
    <t>Biomass gain tCO2</t>
  </si>
  <si>
    <t>Deadwood loss tCO2</t>
  </si>
  <si>
    <t>Burning biomass</t>
  </si>
  <si>
    <t>BIOMASS &amp; BIOMASS BURNING</t>
  </si>
  <si>
    <t>rate</t>
  </si>
  <si>
    <t>CO2 soil drainage</t>
  </si>
  <si>
    <t>CH4 soil drainage</t>
  </si>
  <si>
    <t>N2O soil drainage</t>
  </si>
  <si>
    <t>CO2 soil rewetting</t>
  </si>
  <si>
    <t>CH4 soil rewetting</t>
  </si>
  <si>
    <t>N2O soil rewetting</t>
  </si>
  <si>
    <t>CO2 Fire</t>
  </si>
  <si>
    <t>CH4 Fire</t>
  </si>
  <si>
    <t xml:space="preserve">Emissions from soil loss of on-site and off-site carbon (CO2, DOC), on-site and off-site methane (CH4), on-site nitrous oxide (N2O) associated with drainage and fire on organic soils </t>
  </si>
  <si>
    <t>Dominant quality of peat for initial land use:</t>
  </si>
  <si>
    <t>Dominant quality of peat for final land use:</t>
  </si>
  <si>
    <t>Total CO2eq activity</t>
  </si>
  <si>
    <t>GWP CO = 2</t>
  </si>
  <si>
    <t>Conversion details (previous land use, use of fire before deforestation, water table mngt)</t>
  </si>
  <si>
    <t>Deforested area and fire severity and occurrence</t>
  </si>
  <si>
    <t>Emission factors for fire on soil</t>
  </si>
  <si>
    <t>SOIL FIRE EMISSIONS</t>
  </si>
  <si>
    <t>SOIL FIRE EMISSIONS (also valid for rewetted soil)</t>
  </si>
  <si>
    <t>FIRE ON SOIL</t>
  </si>
  <si>
    <t>Dry matter</t>
  </si>
  <si>
    <t>tCO2-eq all period</t>
  </si>
  <si>
    <t>Area deforested</t>
  </si>
  <si>
    <t>Periodicity</t>
  </si>
  <si>
    <t>Impact</t>
  </si>
  <si>
    <t>Biomass burnt (tonne dry matter)</t>
  </si>
  <si>
    <t>CO2&amp;CO</t>
  </si>
  <si>
    <t>FIRE SOIL</t>
  </si>
  <si>
    <t>User selection</t>
  </si>
  <si>
    <t>IPCC equivalent*</t>
  </si>
  <si>
    <t>Year</t>
  </si>
  <si>
    <t>%area burnt</t>
  </si>
  <si>
    <t>S1</t>
  </si>
  <si>
    <t>S2</t>
  </si>
  <si>
    <t>S3</t>
  </si>
  <si>
    <t>S4</t>
  </si>
  <si>
    <t>S5</t>
  </si>
  <si>
    <t>S6</t>
  </si>
  <si>
    <t>* Other land (non vegetated) includes Settlements &amp; Other Land under the IPCC terminology</t>
  </si>
  <si>
    <t>** for Other land, EFs drainage are the one from the previous land use</t>
  </si>
  <si>
    <t>INITIAL</t>
  </si>
  <si>
    <t>Drainage On-site emission factors</t>
  </si>
  <si>
    <t>Drainage Off-site emission factors</t>
  </si>
  <si>
    <t>Emissions from drainage in tCO2 eq/year</t>
  </si>
  <si>
    <t>DRAINAGE EMISSIONS</t>
  </si>
  <si>
    <t>ON SITE DRAINAGE</t>
  </si>
  <si>
    <t>OFF SITE DRAINAGE</t>
  </si>
  <si>
    <t>Emissions in tCO2eq All period</t>
  </si>
  <si>
    <t>CO2&amp;DOC</t>
  </si>
  <si>
    <t>DRAINAGE</t>
  </si>
  <si>
    <t>FINAL</t>
  </si>
  <si>
    <t>Drained areas</t>
  </si>
  <si>
    <t>Emissions associated with rewetting</t>
  </si>
  <si>
    <t>Rewetted area</t>
  </si>
  <si>
    <t>On site emissions factors</t>
  </si>
  <si>
    <t>Off-site EF</t>
  </si>
  <si>
    <t>Total emissions in tCO2-eq per year</t>
  </si>
  <si>
    <t>REWETTING EMISSIONS</t>
  </si>
  <si>
    <t>REWETTING</t>
  </si>
  <si>
    <t>CO2 (IPCC 2013)</t>
  </si>
  <si>
    <t>CH4 (IPCC 2013)</t>
  </si>
  <si>
    <t>N2O (IPCC 2013)</t>
  </si>
  <si>
    <t>DOC (IPCC 2013)</t>
  </si>
  <si>
    <t>Emissions in tCO2-eq all period</t>
  </si>
  <si>
    <t>N2O-N</t>
  </si>
  <si>
    <t>Total deforestation, drainage, fire on organic soil and rewetting (tCO2 eq)</t>
  </si>
  <si>
    <t>Rewetted areas</t>
  </si>
  <si>
    <t xml:space="preserve">TEST TIER 2 </t>
  </si>
  <si>
    <t>drainage</t>
  </si>
  <si>
    <t>rewetting</t>
  </si>
  <si>
    <t>6.1.2 Reforestation and management options during conversion</t>
  </si>
  <si>
    <t>Below ground</t>
  </si>
  <si>
    <t>WOP TOTAL BIOMASS GROWTH</t>
  </si>
  <si>
    <t>WP TOTAL BIOMASS GROWTH</t>
  </si>
  <si>
    <t>MAX GROWTH</t>
  </si>
  <si>
    <t>WOP MAX</t>
  </si>
  <si>
    <t>WP MAX</t>
  </si>
  <si>
    <t>tCH4</t>
  </si>
  <si>
    <t>Tn2o</t>
  </si>
  <si>
    <t>Conversion details (initial and final land use)</t>
  </si>
  <si>
    <r>
      <rPr>
        <sz val="14"/>
        <color theme="1"/>
        <rFont val="Century Gothic"/>
        <family val="2"/>
      </rPr>
      <t>M</t>
    </r>
    <r>
      <rPr>
        <sz val="11"/>
        <color theme="1"/>
        <rFont val="Century Gothic"/>
        <family val="2"/>
      </rPr>
      <t>B</t>
    </r>
  </si>
  <si>
    <r>
      <rPr>
        <sz val="16"/>
        <color theme="1"/>
        <rFont val="Century Gothic"/>
        <family val="2"/>
      </rPr>
      <t>C</t>
    </r>
    <r>
      <rPr>
        <sz val="11"/>
        <color theme="1"/>
        <rFont val="Century Gothic"/>
        <family val="2"/>
      </rPr>
      <t>f</t>
    </r>
  </si>
  <si>
    <t>≤20 yrs</t>
  </si>
  <si>
    <t>&gt;20 yrs</t>
  </si>
  <si>
    <t>during conversion</t>
  </si>
  <si>
    <t>Emissions from loss of on-site and off-site carbon (CO2, DOC), on-site and off-site methane (CH4), on-site nitrous oxide (N2O) and fire on organic soils associated with drainage</t>
  </si>
  <si>
    <t>Reforested area &amp; Fire management</t>
  </si>
  <si>
    <t>SOIL FIRE</t>
  </si>
  <si>
    <t>IPCC equivalent</t>
  </si>
  <si>
    <t>NB we should consider the % of ditches in the start secnario, which is still not the case.</t>
  </si>
  <si>
    <t>Drainage Off-site emissin factors</t>
  </si>
  <si>
    <t>Emissions from drainage in tCO2-e/yr</t>
  </si>
  <si>
    <t>Emissions from drainage</t>
  </si>
  <si>
    <t xml:space="preserve">NB we should consider the % of ditches in the start secnario, which is still not the case. This will impact tehr esults for rewetting emissions. Need to be fixed in the new subversion. </t>
  </si>
  <si>
    <t xml:space="preserve">Rewetted area </t>
  </si>
  <si>
    <t>Total afforestation/reforestation (tCO2 eq)</t>
  </si>
  <si>
    <t>Drainage</t>
  </si>
  <si>
    <t>Rewetting</t>
  </si>
  <si>
    <t>6.1.3 Non forest land use changes and management options during conversion</t>
  </si>
  <si>
    <t>Emissions from gain/loss biomass and biomass burning</t>
  </si>
  <si>
    <t>Conversion details (initial and final land use and fire management)</t>
  </si>
  <si>
    <t>Converted areas and fire severity and occurrence</t>
  </si>
  <si>
    <r>
      <t>CH</t>
    </r>
    <r>
      <rPr>
        <b/>
        <vertAlign val="subscript"/>
        <sz val="12"/>
        <color theme="1"/>
        <rFont val="Century Gothic"/>
        <family val="2"/>
      </rPr>
      <t>4</t>
    </r>
  </si>
  <si>
    <r>
      <t>N</t>
    </r>
    <r>
      <rPr>
        <b/>
        <vertAlign val="subscript"/>
        <sz val="12"/>
        <color theme="1"/>
        <rFont val="Century Gothic"/>
        <family val="2"/>
      </rPr>
      <t>2</t>
    </r>
    <r>
      <rPr>
        <b/>
        <sz val="12"/>
        <color theme="1"/>
        <rFont val="Century Gothic"/>
        <family val="2"/>
      </rPr>
      <t>O</t>
    </r>
  </si>
  <si>
    <t>Converted area</t>
  </si>
  <si>
    <t>Final LU</t>
  </si>
  <si>
    <r>
      <t>tCO</t>
    </r>
    <r>
      <rPr>
        <b/>
        <vertAlign val="subscript"/>
        <sz val="12"/>
        <color theme="1"/>
        <rFont val="Century Gothic"/>
        <family val="2"/>
      </rPr>
      <t>2</t>
    </r>
    <r>
      <rPr>
        <b/>
        <sz val="12"/>
        <color theme="1"/>
        <rFont val="Century Gothic"/>
        <family val="2"/>
      </rPr>
      <t>/ha</t>
    </r>
  </si>
  <si>
    <t>kg CH4/ha</t>
  </si>
  <si>
    <t>kg N2O/ha</t>
  </si>
  <si>
    <t>kgCO2eq/ha</t>
  </si>
  <si>
    <t>Emissions from soil loss of on-site and off-site carbon (CO2, DOC), on-site and off-site methane (CH4), on-site nitrous oxide (N2O) associated with drainage and fire on organic soils</t>
  </si>
  <si>
    <t>Managed land and Fire severity and occurrence</t>
  </si>
  <si>
    <t xml:space="preserve">Managed land </t>
  </si>
  <si>
    <t>full</t>
  </si>
  <si>
    <t>drained areas</t>
  </si>
  <si>
    <t>On site emissions</t>
  </si>
  <si>
    <t>Total non forest land use change (tCO2 eq)</t>
  </si>
  <si>
    <t>6.2 Land management</t>
  </si>
  <si>
    <t>6.2.1 Forest management</t>
  </si>
  <si>
    <t>MB</t>
  </si>
  <si>
    <t>Type of forest</t>
  </si>
  <si>
    <t>of degraded forest</t>
  </si>
  <si>
    <r>
      <t>N</t>
    </r>
    <r>
      <rPr>
        <b/>
        <vertAlign val="subscript"/>
        <sz val="11"/>
        <rFont val="Century Gothic"/>
        <family val="2"/>
      </rPr>
      <t>2</t>
    </r>
    <r>
      <rPr>
        <b/>
        <sz val="11"/>
        <rFont val="Century Gothic"/>
        <family val="2"/>
      </rPr>
      <t>O</t>
    </r>
  </si>
  <si>
    <t>kgCH4/ha</t>
  </si>
  <si>
    <t>kgN2O/ha</t>
  </si>
  <si>
    <t>CO2 BIOMASS</t>
  </si>
  <si>
    <t>BIOMASS GAIN &amp; LOSS &amp; BIOMASS BURNING</t>
  </si>
  <si>
    <t>IMPLMENTATION ALONE</t>
  </si>
  <si>
    <t>Dominant quality of the peat:</t>
  </si>
  <si>
    <t>IPCC equivalence</t>
  </si>
  <si>
    <t>Drainage On-site Efs</t>
  </si>
  <si>
    <t>Drainage Off-site Efs</t>
  </si>
  <si>
    <t>On-site emissions from drainage</t>
  </si>
  <si>
    <t>Off-site emissions from drainage</t>
  </si>
  <si>
    <t>Total forest management (tCO2 eq)</t>
  </si>
  <si>
    <t>6.2.1 Non-forest management</t>
  </si>
  <si>
    <t>Fire periodicity and severity</t>
  </si>
  <si>
    <t>Residues burning</t>
  </si>
  <si>
    <t>Land cover</t>
  </si>
  <si>
    <t>Fire on soil emission factors</t>
  </si>
  <si>
    <t>Total emission factors (tCO2-eq/year)</t>
  </si>
  <si>
    <t>CO2 (IPCCC 2013)</t>
  </si>
  <si>
    <t>rewetted areas</t>
  </si>
  <si>
    <t>6.3 Land managed for peat extraction</t>
  </si>
  <si>
    <t>We consider here that land conversion already occured. It does only target the extraction phase and associated emissions</t>
  </si>
  <si>
    <t>On site emissions factors from peatland undergoing active peat extraction</t>
  </si>
  <si>
    <t>Off site emission factors for peat extraction</t>
  </si>
  <si>
    <t>On-site emissions from drainage in tCO2-e/yr</t>
  </si>
  <si>
    <t>Off-site emissions in tCO2-e/yr</t>
  </si>
  <si>
    <t>CO2-C</t>
  </si>
  <si>
    <t>tonnes C/ha/yr</t>
  </si>
  <si>
    <t>Off site emissions from peat use (energy, horticulture*)</t>
  </si>
  <si>
    <t xml:space="preserve">Height of extraction </t>
  </si>
  <si>
    <t>Air-dry weight of peat extracted</t>
  </si>
  <si>
    <t>Off-site emissions from peat extraction</t>
  </si>
  <si>
    <t>OFF SITE EMISSIONS</t>
  </si>
  <si>
    <t>C fraction</t>
  </si>
  <si>
    <t>Conversion factor</t>
  </si>
  <si>
    <t>Mass</t>
  </si>
  <si>
    <t>cm</t>
  </si>
  <si>
    <t>Tonne/year</t>
  </si>
  <si>
    <t>tCO2q/year</t>
  </si>
  <si>
    <t xml:space="preserve"> (tonne C/tonne air dry peat)</t>
  </si>
  <si>
    <t>Volume</t>
  </si>
  <si>
    <t>tonnes</t>
  </si>
  <si>
    <t>Off site emissions</t>
  </si>
  <si>
    <t>m3</t>
  </si>
  <si>
    <t>* all carbon in horticultural peat issued to be emitted during the extraction year</t>
  </si>
  <si>
    <t>Emissions of N2O and CH4 during energy use of peat (burning) is not considered here but in "Inputs"module</t>
  </si>
  <si>
    <t>6.4 Inland aquaculture</t>
  </si>
  <si>
    <t>Trophic state</t>
  </si>
  <si>
    <t>CH4 emission factor (kgCH4/ha/yr)</t>
  </si>
  <si>
    <t>CH4 emissions tCO2-e/year</t>
  </si>
  <si>
    <t>Waterbody type</t>
  </si>
  <si>
    <t>Chlo.A</t>
  </si>
  <si>
    <t>start</t>
  </si>
  <si>
    <t>CH4 water bodies</t>
  </si>
  <si>
    <t>item_fao_stat</t>
  </si>
  <si>
    <t>item_ipcc</t>
  </si>
  <si>
    <t>Ipcc soil classes</t>
  </si>
  <si>
    <t>ipcc_soil_code</t>
  </si>
  <si>
    <t>Agave fibres nes</t>
  </si>
  <si>
    <t>Region</t>
  </si>
  <si>
    <t>ipcc_climate</t>
  </si>
  <si>
    <t>PLEASE DO NOT DELETE !!!</t>
  </si>
  <si>
    <t>Almonds, with shell</t>
  </si>
  <si>
    <t xml:space="preserve">High activity clay soils </t>
  </si>
  <si>
    <t>HAC</t>
  </si>
  <si>
    <t>Anise, badian, fennel, coriander</t>
  </si>
  <si>
    <t>Africa</t>
  </si>
  <si>
    <t>Low activity clay soils</t>
  </si>
  <si>
    <t>LAC</t>
  </si>
  <si>
    <t>Apples</t>
  </si>
  <si>
    <t>Asia (Continental)</t>
  </si>
  <si>
    <t>Sandy soils</t>
  </si>
  <si>
    <t>SAN</t>
  </si>
  <si>
    <t>Apricots</t>
  </si>
  <si>
    <t>Asia (Indian subcontinent)</t>
  </si>
  <si>
    <t>Spodic soils</t>
  </si>
  <si>
    <t>POD</t>
  </si>
  <si>
    <t>Areca nuts</t>
  </si>
  <si>
    <t>Asia (Insular)</t>
  </si>
  <si>
    <t>Volcanic soils</t>
  </si>
  <si>
    <t>VOL</t>
  </si>
  <si>
    <t>Artichokes</t>
  </si>
  <si>
    <t>Central America</t>
  </si>
  <si>
    <t>Wetland soils</t>
  </si>
  <si>
    <t xml:space="preserve">WET </t>
  </si>
  <si>
    <t>Asparagus</t>
  </si>
  <si>
    <t>Eastern Europe</t>
  </si>
  <si>
    <t>Organic soils</t>
  </si>
  <si>
    <t>ORG</t>
  </si>
  <si>
    <t>Avocados</t>
  </si>
  <si>
    <t>Middle East</t>
  </si>
  <si>
    <t>Bambara beans</t>
  </si>
  <si>
    <t>North America</t>
  </si>
  <si>
    <t>perennial crop systems</t>
  </si>
  <si>
    <t>Bananas</t>
  </si>
  <si>
    <t>Oceania</t>
  </si>
  <si>
    <t>Barley</t>
  </si>
  <si>
    <t>Project status</t>
  </si>
  <si>
    <t>South America</t>
  </si>
  <si>
    <t>Bastfibres, other</t>
  </si>
  <si>
    <t>Western Europe</t>
  </si>
  <si>
    <t>Alley cropping</t>
  </si>
  <si>
    <t>Design</t>
  </si>
  <si>
    <t>Perennial fallows</t>
  </si>
  <si>
    <t xml:space="preserve">Implementation </t>
  </si>
  <si>
    <t>Hedgerows</t>
  </si>
  <si>
    <t xml:space="preserve">Completed </t>
  </si>
  <si>
    <t>Cool Temperate</t>
  </si>
  <si>
    <t>Tropical Montane</t>
  </si>
  <si>
    <t>Warm Temperate</t>
  </si>
  <si>
    <t>Multistrata systems</t>
  </si>
  <si>
    <t>Other</t>
  </si>
  <si>
    <t>Parklands</t>
  </si>
  <si>
    <t>Dry</t>
  </si>
  <si>
    <t>Shaded Perennial-crop systems</t>
  </si>
  <si>
    <t>Moist</t>
  </si>
  <si>
    <t>Silvoarable systems</t>
  </si>
  <si>
    <t>Wet</t>
  </si>
  <si>
    <t>Silvopastoral systems</t>
  </si>
  <si>
    <t>Beans, dry</t>
  </si>
  <si>
    <t>Monoculture perennial</t>
  </si>
  <si>
    <t>Beans, green</t>
  </si>
  <si>
    <t>Berries nes</t>
  </si>
  <si>
    <t>minor_crop_ipcc</t>
  </si>
  <si>
    <t>Relative C stock change factors for management activities on cropland</t>
  </si>
  <si>
    <t>Blueberries</t>
  </si>
  <si>
    <r>
      <t>F</t>
    </r>
    <r>
      <rPr>
        <vertAlign val="subscript"/>
        <sz val="11"/>
        <color theme="1"/>
        <rFont val="Calibri"/>
        <family val="2"/>
        <scheme val="minor"/>
      </rPr>
      <t>LU</t>
    </r>
  </si>
  <si>
    <r>
      <t>F</t>
    </r>
    <r>
      <rPr>
        <vertAlign val="subscript"/>
        <sz val="11"/>
        <color theme="1"/>
        <rFont val="Calibri"/>
        <family val="2"/>
        <scheme val="minor"/>
      </rPr>
      <t>MG</t>
    </r>
  </si>
  <si>
    <r>
      <t>F</t>
    </r>
    <r>
      <rPr>
        <vertAlign val="subscript"/>
        <sz val="11"/>
        <color theme="1"/>
        <rFont val="Calibri"/>
        <family val="2"/>
        <scheme val="minor"/>
      </rPr>
      <t>I</t>
    </r>
  </si>
  <si>
    <t>Brazil nuts, with shell</t>
  </si>
  <si>
    <t>TABLE 5. 9</t>
  </si>
  <si>
    <t>Annual cropland</t>
  </si>
  <si>
    <t>Broad beans, horse beans, dry</t>
  </si>
  <si>
    <t>Flooded rice</t>
  </si>
  <si>
    <t>Long-term cultivated</t>
  </si>
  <si>
    <t>Perennial tree/woody crops</t>
  </si>
  <si>
    <t>Full tillage</t>
  </si>
  <si>
    <t>Low C input</t>
  </si>
  <si>
    <t>Buckwheat</t>
  </si>
  <si>
    <t>Table 6.4</t>
  </si>
  <si>
    <t>Fallow annual</t>
  </si>
  <si>
    <t>Beans &amp; pulses</t>
  </si>
  <si>
    <t>Reduced tillage</t>
  </si>
  <si>
    <t>Medium C input</t>
  </si>
  <si>
    <t>Cabbages and other brassicas</t>
  </si>
  <si>
    <t>Grassland</t>
  </si>
  <si>
    <t>Tubers</t>
  </si>
  <si>
    <t>No tillage</t>
  </si>
  <si>
    <t>High C input, no manure</t>
  </si>
  <si>
    <t>Canary seed</t>
  </si>
  <si>
    <t>Other land (non-vegetated)</t>
  </si>
  <si>
    <t>High C input, with manure</t>
  </si>
  <si>
    <t>Carobs</t>
  </si>
  <si>
    <t>Table 5.1 &amp; Table 5.2</t>
  </si>
  <si>
    <t>Fallow perennial</t>
  </si>
  <si>
    <t>Carrots and turnips</t>
  </si>
  <si>
    <t>Hedgerow</t>
  </si>
  <si>
    <t>Oats</t>
  </si>
  <si>
    <t>Cashew nuts, with shell</t>
  </si>
  <si>
    <t>Potatoes</t>
  </si>
  <si>
    <t>Residue management</t>
  </si>
  <si>
    <t>Cashewapple</t>
  </si>
  <si>
    <t>Multistrata</t>
  </si>
  <si>
    <t>Soybeans</t>
  </si>
  <si>
    <t>YES</t>
  </si>
  <si>
    <t>Cassava</t>
  </si>
  <si>
    <t>Parkland</t>
  </si>
  <si>
    <t>Wheat</t>
  </si>
  <si>
    <t>Burned</t>
  </si>
  <si>
    <t>Cassava leaves</t>
  </si>
  <si>
    <t>Shaded Perennial</t>
  </si>
  <si>
    <t>Retained</t>
  </si>
  <si>
    <t>Castor oil seed</t>
  </si>
  <si>
    <t>Silvoarable</t>
  </si>
  <si>
    <t>Exported</t>
  </si>
  <si>
    <t>Cauliflowers and broccoli</t>
  </si>
  <si>
    <t>Silvopasture</t>
  </si>
  <si>
    <t>Rye</t>
  </si>
  <si>
    <t>Cereals, nes</t>
  </si>
  <si>
    <t>Peanuts</t>
  </si>
  <si>
    <t>Dry bean</t>
  </si>
  <si>
    <t>Rate of change</t>
  </si>
  <si>
    <t>Cherries</t>
  </si>
  <si>
    <t>Root crops</t>
  </si>
  <si>
    <t>I</t>
  </si>
  <si>
    <t>Immediate</t>
  </si>
  <si>
    <t>Cherries, sour</t>
  </si>
  <si>
    <t>Chestnut</t>
  </si>
  <si>
    <t>E</t>
  </si>
  <si>
    <t>Exponential</t>
  </si>
  <si>
    <t>Chick peas</t>
  </si>
  <si>
    <t>Chicory roots</t>
  </si>
  <si>
    <t>Chillies and peppers, dry</t>
  </si>
  <si>
    <t>Chillies and peppers, green</t>
  </si>
  <si>
    <r>
      <t>Conversion factor N</t>
    </r>
    <r>
      <rPr>
        <b/>
        <vertAlign val="subscript"/>
        <sz val="10"/>
        <rFont val="Arial"/>
        <family val="2"/>
      </rPr>
      <t>2</t>
    </r>
    <r>
      <rPr>
        <b/>
        <sz val="10"/>
        <rFont val="Arial"/>
        <family val="2"/>
      </rPr>
      <t>O-N emissions to N</t>
    </r>
    <r>
      <rPr>
        <b/>
        <vertAlign val="subscript"/>
        <sz val="10"/>
        <rFont val="Arial"/>
        <family val="2"/>
      </rPr>
      <t>2</t>
    </r>
    <r>
      <rPr>
        <b/>
        <sz val="10"/>
        <rFont val="Arial"/>
        <family val="2"/>
      </rPr>
      <t>O emissions</t>
    </r>
  </si>
  <si>
    <t>Cinnamon (canella)</t>
  </si>
  <si>
    <t>N2O-N_conversion</t>
  </si>
  <si>
    <t>Cloves</t>
  </si>
  <si>
    <t>N2O=N2O-N * 44 / 28</t>
  </si>
  <si>
    <t>Cocoa, beans</t>
  </si>
  <si>
    <t>Coconuts</t>
  </si>
  <si>
    <t>list GWP</t>
  </si>
  <si>
    <t>Coffee, green</t>
  </si>
  <si>
    <t>GWP (100 yrs)</t>
  </si>
  <si>
    <t>Second
Assessment
Report (SAR)</t>
  </si>
  <si>
    <t>Fourth
Assessment
Report (AR4)</t>
  </si>
  <si>
    <t>Fifth Assessment with climate carbon feedback
Report (AR5)</t>
  </si>
  <si>
    <t>Fifth Assessment without  climate carbon feedback
Report (AR5)</t>
  </si>
  <si>
    <t>please select</t>
  </si>
  <si>
    <t>Coir</t>
  </si>
  <si>
    <r>
      <t>CO</t>
    </r>
    <r>
      <rPr>
        <vertAlign val="subscript"/>
        <sz val="10"/>
        <rFont val="Arial"/>
        <family val="2"/>
      </rPr>
      <t>2</t>
    </r>
  </si>
  <si>
    <t>100 yr SAR</t>
  </si>
  <si>
    <t>Cow peas, dry</t>
  </si>
  <si>
    <t>100 yr AR4</t>
  </si>
  <si>
    <t>Cranberries</t>
  </si>
  <si>
    <r>
      <t>N</t>
    </r>
    <r>
      <rPr>
        <vertAlign val="subscript"/>
        <sz val="10"/>
        <rFont val="Arial"/>
        <family val="2"/>
      </rPr>
      <t>2</t>
    </r>
    <r>
      <rPr>
        <sz val="10"/>
        <rFont val="Arial"/>
        <family val="2"/>
      </rPr>
      <t>O</t>
    </r>
  </si>
  <si>
    <t>Cucumbers and gherkins</t>
  </si>
  <si>
    <t>100 yr AR5 w/out CC feedback</t>
  </si>
  <si>
    <t>Currants</t>
  </si>
  <si>
    <t>Dates</t>
  </si>
  <si>
    <t>No_till_residues_management</t>
  </si>
  <si>
    <t>Eggplants (aubergines)</t>
  </si>
  <si>
    <t>till_impr</t>
  </si>
  <si>
    <t>till_conv</t>
  </si>
  <si>
    <t>till_?</t>
  </si>
  <si>
    <t>Fibre crops nes</t>
  </si>
  <si>
    <t>Figs</t>
  </si>
  <si>
    <t>Flax fibre and tow</t>
  </si>
  <si>
    <t>Fonio</t>
  </si>
  <si>
    <t>Fruit, citrus nes</t>
  </si>
  <si>
    <t>Fruit, fresh nes</t>
  </si>
  <si>
    <t>Fruit, pome nes</t>
  </si>
  <si>
    <t>Cool Temperate Dry</t>
  </si>
  <si>
    <t>Cool Temperate Moist</t>
  </si>
  <si>
    <t>Warm Temperate Dry</t>
  </si>
  <si>
    <t>Warm Temperate Moist</t>
  </si>
  <si>
    <t>Tropical Dry</t>
  </si>
  <si>
    <t>Tropical Moist</t>
  </si>
  <si>
    <t>Tropical Wet</t>
  </si>
  <si>
    <t>Boreal Dry</t>
  </si>
  <si>
    <t>Boreal Moist</t>
  </si>
  <si>
    <t>Fruit, stone nes</t>
  </si>
  <si>
    <t>Fruit, tropical fresh nes</t>
  </si>
  <si>
    <t>Agroforestry - default</t>
  </si>
  <si>
    <t>Garlic</t>
  </si>
  <si>
    <t>Ginger</t>
  </si>
  <si>
    <t>Olive</t>
  </si>
  <si>
    <t>Gooseberries</t>
  </si>
  <si>
    <t>Orchard</t>
  </si>
  <si>
    <t>Grain, mixed</t>
  </si>
  <si>
    <t>Short Rotation Coppice</t>
  </si>
  <si>
    <t>Oil palm</t>
  </si>
  <si>
    <t>Grapefruit (inc. pomelos)</t>
  </si>
  <si>
    <t>Grapes</t>
  </si>
  <si>
    <t>Perennial fallow</t>
  </si>
  <si>
    <t>Groundnuts, with shell</t>
  </si>
  <si>
    <t>Tea</t>
  </si>
  <si>
    <t>Rubber</t>
  </si>
  <si>
    <t>Hazelnuts, with shell</t>
  </si>
  <si>
    <t>Vine</t>
  </si>
  <si>
    <t>Hemp tow waste</t>
  </si>
  <si>
    <t>Hempseed</t>
  </si>
  <si>
    <t>Hops</t>
  </si>
  <si>
    <t>Jojoba seed</t>
  </si>
  <si>
    <t>Jute</t>
  </si>
  <si>
    <t>Kapok fruit</t>
  </si>
  <si>
    <t>Water regime_ during</t>
  </si>
  <si>
    <t>Water regime_ before</t>
  </si>
  <si>
    <t>Organic amendment</t>
  </si>
  <si>
    <t>Karite nuts (sheanuts)</t>
  </si>
  <si>
    <t>Kiwi fruit</t>
  </si>
  <si>
    <t>Irrigated, Continuously flooded</t>
  </si>
  <si>
    <t>Non flooded pre-season &lt;180 d</t>
  </si>
  <si>
    <t>Kola nuts</t>
  </si>
  <si>
    <t>Irrigated, Single drainage period</t>
  </si>
  <si>
    <t>Non flooded pre-season &gt;180 d</t>
  </si>
  <si>
    <t>Straw exported</t>
  </si>
  <si>
    <t>Leeks, other alliaceous vegetables</t>
  </si>
  <si>
    <t>Irrigated, Multiple drainage periods</t>
  </si>
  <si>
    <t>Flooded pre-season &gt; 30 d</t>
  </si>
  <si>
    <t>Compost</t>
  </si>
  <si>
    <t>Lemons and limes</t>
  </si>
  <si>
    <t>Rainfed, wet season (regular rainfed)</t>
  </si>
  <si>
    <t>Farm yard manure</t>
  </si>
  <si>
    <t>Lentils</t>
  </si>
  <si>
    <t>Rainfed, dry season (drought prone)</t>
  </si>
  <si>
    <t>Green manure</t>
  </si>
  <si>
    <t>Lettuce and chicory</t>
  </si>
  <si>
    <t>Rainfed, Deep water</t>
  </si>
  <si>
    <t>Straw incorporated long (&gt;30 days) before cultivation</t>
  </si>
  <si>
    <t>Linseed</t>
  </si>
  <si>
    <t>Straw incorporated shortly (&lt;30 days) before cultivation</t>
  </si>
  <si>
    <t>Lupins</t>
  </si>
  <si>
    <t>Maize, green</t>
  </si>
  <si>
    <t>EX-ACT region</t>
  </si>
  <si>
    <t>Mangoes, mangosteens, guavas</t>
  </si>
  <si>
    <t>Caribbean</t>
  </si>
  <si>
    <t>Manila fibre (abaca)</t>
  </si>
  <si>
    <t>Maté</t>
  </si>
  <si>
    <t>Central Asia</t>
  </si>
  <si>
    <t>Melons, other (inc.cantaloupes)</t>
  </si>
  <si>
    <t>Eastern Africa</t>
  </si>
  <si>
    <t>Melonseed</t>
  </si>
  <si>
    <t>Eastern Asia</t>
  </si>
  <si>
    <t>Europe</t>
  </si>
  <si>
    <t>Mushrooms and truffles</t>
  </si>
  <si>
    <t>Central Africa</t>
  </si>
  <si>
    <t>Mustard seed</t>
  </si>
  <si>
    <t>Northern Africa</t>
  </si>
  <si>
    <t>Nutmeg, mace and cardamoms</t>
  </si>
  <si>
    <t>Nuts, nes</t>
  </si>
  <si>
    <t>Oil palm fruit</t>
  </si>
  <si>
    <t>South-eastern Asia</t>
  </si>
  <si>
    <t>Oilseeds nes</t>
  </si>
  <si>
    <t>Southern Africa</t>
  </si>
  <si>
    <t>Okra</t>
  </si>
  <si>
    <t>Southern Asia</t>
  </si>
  <si>
    <t>Olives</t>
  </si>
  <si>
    <t>Western Africa</t>
  </si>
  <si>
    <t>Onions, dry</t>
  </si>
  <si>
    <t>Western Asia</t>
  </si>
  <si>
    <t>Onions, shallots, green</t>
  </si>
  <si>
    <t>Oranges</t>
  </si>
  <si>
    <t>Papayas</t>
  </si>
  <si>
    <t>Peaches and nectarines</t>
  </si>
  <si>
    <t>Pears</t>
  </si>
  <si>
    <t>Peas, dry</t>
  </si>
  <si>
    <t>Peas, green</t>
  </si>
  <si>
    <t>Pepper (piper spp.)</t>
  </si>
  <si>
    <t>Peppermint</t>
  </si>
  <si>
    <t>Persimmons</t>
  </si>
  <si>
    <t>Pigeon peas</t>
  </si>
  <si>
    <t>Pineapples</t>
  </si>
  <si>
    <t>Pistachios</t>
  </si>
  <si>
    <t>Plantains and others</t>
  </si>
  <si>
    <t>Plums and sloes</t>
  </si>
  <si>
    <t>Popcorn</t>
  </si>
  <si>
    <t>Agroforestry</t>
  </si>
  <si>
    <t>Poppy seed</t>
  </si>
  <si>
    <t>Annual fallow</t>
  </si>
  <si>
    <t>Pulses, nes</t>
  </si>
  <si>
    <t>Degraded land</t>
  </si>
  <si>
    <t>Pulses,Total</t>
  </si>
  <si>
    <t>Pumpkins, squash and gourds</t>
  </si>
  <si>
    <t>Pyrethrum, dried</t>
  </si>
  <si>
    <t>Quinces</t>
  </si>
  <si>
    <t>Quinoa</t>
  </si>
  <si>
    <t>Ramie</t>
  </si>
  <si>
    <t>Rapeseed</t>
  </si>
  <si>
    <t>Raspberries</t>
  </si>
  <si>
    <t>Rice, paddy</t>
  </si>
  <si>
    <t>Roots and tubers, nes</t>
  </si>
  <si>
    <t>Roots and Tubers,Total</t>
  </si>
  <si>
    <t>Rubber, natural</t>
  </si>
  <si>
    <t>Safflower seed</t>
  </si>
  <si>
    <t>Seed cotton</t>
  </si>
  <si>
    <t>Sesame seed</t>
  </si>
  <si>
    <t>Sisal</t>
  </si>
  <si>
    <t>LUs converted to FL</t>
  </si>
  <si>
    <t>Spices, nes</t>
  </si>
  <si>
    <t>Strawberries</t>
  </si>
  <si>
    <t>String beans</t>
  </si>
  <si>
    <t>Sugar beet</t>
  </si>
  <si>
    <t>Sugar cane</t>
  </si>
  <si>
    <t>Sugar crops, nes</t>
  </si>
  <si>
    <t>Sunflower seed</t>
  </si>
  <si>
    <t>Sweet potatoes</t>
  </si>
  <si>
    <t>Tallowtree seed</t>
  </si>
  <si>
    <t>Tangerines, mandarins, clementines, satsumas</t>
  </si>
  <si>
    <t>Taro (cocoyam)</t>
  </si>
  <si>
    <t>Tobacco, unmanufactured</t>
  </si>
  <si>
    <t>Tomatoes</t>
  </si>
  <si>
    <t>Climate</t>
  </si>
  <si>
    <t>Triticale</t>
  </si>
  <si>
    <t>Tung nuts</t>
  </si>
  <si>
    <t>Vanilla</t>
  </si>
  <si>
    <t>Vegetables, fresh nes</t>
  </si>
  <si>
    <t>Vegetables, leguminous nes</t>
  </si>
  <si>
    <t>Vetches</t>
  </si>
  <si>
    <t>Walnuts, with shell</t>
  </si>
  <si>
    <t>Watermelons</t>
  </si>
  <si>
    <t>Yams</t>
  </si>
  <si>
    <t>Yautia (cocoyam)</t>
  </si>
  <si>
    <r>
      <t xml:space="preserve">Initial and final Land uses for section </t>
    </r>
    <r>
      <rPr>
        <b/>
        <sz val="11"/>
        <color rgb="FFFF0000"/>
        <rFont val="Calibri"/>
        <family val="2"/>
        <scheme val="minor"/>
      </rPr>
      <t>2.3 Other land-use changes</t>
    </r>
  </si>
  <si>
    <t>Inland wetlands - Organic soils &amp; Aqua.</t>
  </si>
  <si>
    <t>Do not delete</t>
  </si>
  <si>
    <t>Biomass burning before conversion &amp; fire on soil</t>
  </si>
  <si>
    <t>Fire on organic soil</t>
  </si>
  <si>
    <t>Afforestation/Reforestation</t>
  </si>
  <si>
    <t>Forest management and Non forest land use</t>
  </si>
  <si>
    <t>Please indicate the dominant quality of peat</t>
  </si>
  <si>
    <t>Land use from deforestation</t>
  </si>
  <si>
    <t>Water table level</t>
  </si>
  <si>
    <t>W/out project</t>
  </si>
  <si>
    <t>Wildfire undrained peat</t>
  </si>
  <si>
    <t>Nutrient rich</t>
  </si>
  <si>
    <t>With project</t>
  </si>
  <si>
    <t>Undrained</t>
  </si>
  <si>
    <t>W/out&amp;With</t>
  </si>
  <si>
    <t>Prescribed fire (e.g. Land mgnt)</t>
  </si>
  <si>
    <t>Drained</t>
  </si>
  <si>
    <t>Drain. -&gt; Rewet.</t>
  </si>
  <si>
    <t>Water table level - START</t>
  </si>
  <si>
    <t>Nutrient-poor</t>
  </si>
  <si>
    <t>Nutrient-rich</t>
  </si>
  <si>
    <t>Use for energy</t>
  </si>
  <si>
    <t>Yes</t>
  </si>
  <si>
    <t>Freshwater pond</t>
  </si>
  <si>
    <t>Brackishwater pond</t>
  </si>
  <si>
    <t>Canals &amp; Ditches</t>
  </si>
  <si>
    <t>LIVESTOCK MODULE</t>
  </si>
  <si>
    <t>Manure management system</t>
  </si>
  <si>
    <t>Regional share</t>
  </si>
  <si>
    <t>Lagoon</t>
  </si>
  <si>
    <t>Liquid/slurry</t>
  </si>
  <si>
    <t>Solid storage</t>
  </si>
  <si>
    <t>Dry lot</t>
  </si>
  <si>
    <t>Daily spread</t>
  </si>
  <si>
    <t>Digester</t>
  </si>
  <si>
    <t>Burned for fuel</t>
  </si>
  <si>
    <t>Pit&lt;1Month</t>
  </si>
  <si>
    <t>Pit&gt;1 month</t>
  </si>
  <si>
    <t>Poultry manure</t>
  </si>
  <si>
    <t>Deep bedding</t>
  </si>
  <si>
    <t>Composting</t>
  </si>
  <si>
    <t>Aerobic treatment</t>
  </si>
  <si>
    <t>Other (pls. specify EF)</t>
  </si>
  <si>
    <t>COASTAL WETLANDS MODULE</t>
  </si>
  <si>
    <t>Fisheries management</t>
  </si>
  <si>
    <t>Coastal ecosystem</t>
  </si>
  <si>
    <t>Fish Category</t>
  </si>
  <si>
    <t>Gear Category</t>
  </si>
  <si>
    <t>Average salinity</t>
  </si>
  <si>
    <t>Mangrove</t>
  </si>
  <si>
    <t>&gt;18</t>
  </si>
  <si>
    <t>Tier 1a</t>
  </si>
  <si>
    <t>Crustaceans</t>
  </si>
  <si>
    <t>Bottom trawls</t>
  </si>
  <si>
    <t>Tidal marsh</t>
  </si>
  <si>
    <t>&lt;18</t>
  </si>
  <si>
    <t>Finfish</t>
  </si>
  <si>
    <t>Gillnets</t>
  </si>
  <si>
    <t>Seagrass</t>
  </si>
  <si>
    <t>Flatfish</t>
  </si>
  <si>
    <t>Hooks and lines</t>
  </si>
  <si>
    <t>Other (pls. go to tier 2)</t>
  </si>
  <si>
    <t>Large pelagies</t>
  </si>
  <si>
    <t>Pelagic trawls</t>
  </si>
  <si>
    <t>Molluscs</t>
  </si>
  <si>
    <t>Pots and traps</t>
  </si>
  <si>
    <t>Salmonids</t>
  </si>
  <si>
    <t>Surrounding nets</t>
  </si>
  <si>
    <t>Coastal wetlands soil</t>
  </si>
  <si>
    <t>Small pelagics</t>
  </si>
  <si>
    <t>Dredges</t>
  </si>
  <si>
    <t>Not specified</t>
  </si>
  <si>
    <t>Mineral</t>
  </si>
  <si>
    <t>Organic</t>
  </si>
  <si>
    <t>Aggregated</t>
  </si>
  <si>
    <t>Saline pond</t>
  </si>
  <si>
    <t>ERROR: initial land use must be different from final land use</t>
  </si>
  <si>
    <t>Specify type of fire in TIER 2</t>
  </si>
  <si>
    <t>ERROR: total land area must remain constant</t>
  </si>
  <si>
    <t>AWMS_Dairy_Cattle[Please select]</t>
  </si>
  <si>
    <t>AWMS_Dairy_Cattle_titles</t>
  </si>
  <si>
    <t>AWMS_Other_Cattle[Please select]</t>
  </si>
  <si>
    <t>AWMS_Other_Cattle_titles</t>
  </si>
  <si>
    <t>AWMS_Dairy_Buffalo[Please select]</t>
  </si>
  <si>
    <t>AWMS_Dairy_Buffalo_titles</t>
  </si>
  <si>
    <t>AWMS_Other_Buffalo[Please select]</t>
  </si>
  <si>
    <t>AWMS_Other_Buffalo_titles</t>
  </si>
  <si>
    <t>AWMS_Sheep_dairy[Please select]</t>
  </si>
  <si>
    <t>AWMS_Sheep_dairy_titles</t>
  </si>
  <si>
    <t>AWMS_Other_Sheep[Please select]</t>
  </si>
  <si>
    <t>AWMS_Other_Sheep_titles</t>
  </si>
  <si>
    <t>AWMS_Growing_Swine_LP[Please select]</t>
  </si>
  <si>
    <t>AWMS_Growing_Swine_LP_titles</t>
  </si>
  <si>
    <t>AWMS_Breeding_Swine_LP[Please select]</t>
  </si>
  <si>
    <t>AWMS_Breeding_Swine_LP_titles</t>
  </si>
  <si>
    <t>AWMS_Goat[Please select]</t>
  </si>
  <si>
    <t>AWMS_Goat_titles</t>
  </si>
  <si>
    <t>AWMS_Other_Grazing[Please select]</t>
  </si>
  <si>
    <t>AWMS_Other_Grazing_titles</t>
  </si>
  <si>
    <t>AWMS_Deer[Please select]</t>
  </si>
  <si>
    <t>AWMS_Deer_titles</t>
  </si>
  <si>
    <t>AWMS_Ostrich[Please select]</t>
  </si>
  <si>
    <t>AWMS_Ostrich_titles</t>
  </si>
  <si>
    <t>AWMS_Chicken_Layer_Default[Please select]</t>
  </si>
  <si>
    <t>AWMS_Chicken_Layer_Default_titles</t>
  </si>
  <si>
    <t>AMWS_Chicken_broiler_LP[Please select]</t>
  </si>
  <si>
    <t>AMWS_Chicken_broiler_LP_titles</t>
  </si>
  <si>
    <t>AMWS_Growing_Swine_HP[Please select]</t>
  </si>
  <si>
    <t>AMWS_Growing_Swine_HP_titles</t>
  </si>
  <si>
    <t>AMWS_Breeding_Swine_HP[Please select]</t>
  </si>
  <si>
    <t>AMWS_Breeding_Swine_HP_titles</t>
  </si>
  <si>
    <t>AWMS_Chicken_broiler_HP[Please select]</t>
  </si>
  <si>
    <t>AWMS_Chicken_broiler_HP_titles</t>
  </si>
  <si>
    <t>CH4_man_Dairy_Cattle_LP[Please select]</t>
  </si>
  <si>
    <t>CH4_man_Dairy_Cattle_LP_titles</t>
  </si>
  <si>
    <t>CH4_man_Other_Cattle_LP[Please select]</t>
  </si>
  <si>
    <t>CH4_man_Other_Cattle_LP_titles</t>
  </si>
  <si>
    <t>CH4_man_Sheep_LP[Please select]</t>
  </si>
  <si>
    <t>CH4_man_Sheep_LP_titles</t>
  </si>
  <si>
    <t>CH4_man_Swine_LP[Please select]</t>
  </si>
  <si>
    <t>CH4_man_Swine_LP_titles</t>
  </si>
  <si>
    <t>CH4_man_Goat_LP[Please select]</t>
  </si>
  <si>
    <t>CH4_man_Goat_LP_titles</t>
  </si>
  <si>
    <t>CH4_man_Horse_LP[Please select]</t>
  </si>
  <si>
    <t>CH4_man_Horse_LP_titles</t>
  </si>
  <si>
    <t>CH4_man_Camel_LP[Please select]</t>
  </si>
  <si>
    <t>CH4_man_Camel_LP_titles</t>
  </si>
  <si>
    <t>CH4_man_Mule_LP[Please select]</t>
  </si>
  <si>
    <t>CH4_man_Mule_LP_titles</t>
  </si>
  <si>
    <t>[Please select]</t>
  </si>
  <si>
    <t>_titles</t>
  </si>
  <si>
    <t>CH4_man_Poultry_LP[Please select]</t>
  </si>
  <si>
    <t>CH4_man_Poultry_LP_titles</t>
  </si>
  <si>
    <t>CH4_man_Dairy_Cattle_HP[Please select]</t>
  </si>
  <si>
    <t>CH4_man_Dairy_Cattle_HP_titles</t>
  </si>
  <si>
    <t>CH4_man_Other_Cattle_HP[Please select]</t>
  </si>
  <si>
    <t>CH4_man_Other_Cattle_HP_titles</t>
  </si>
  <si>
    <t>CH4_man_Sheep_HP[Please select]</t>
  </si>
  <si>
    <t>CH4_man_Sheep_HP_titles</t>
  </si>
  <si>
    <t>CH4_man_Swine_HP[Please select]</t>
  </si>
  <si>
    <t>CH4_man_Swine_HP_titles</t>
  </si>
  <si>
    <t>CH4_man_Goat_HP[Please select]</t>
  </si>
  <si>
    <t>CH4_man_Goat_HP_titles</t>
  </si>
  <si>
    <t>CH4_man_Horse_HP[Please select]</t>
  </si>
  <si>
    <t>CH4_man_Horse_HP_titles</t>
  </si>
  <si>
    <t>CH4_man_Camel_HP[Please select]</t>
  </si>
  <si>
    <t>CH4_man_Camel_HP_titles</t>
  </si>
  <si>
    <t>CH4_man_Mule_HP[Please select]</t>
  </si>
  <si>
    <t>CH4_man_Mule_HP_titles</t>
  </si>
  <si>
    <t>CH4_man_Poultry_HP[Please select]</t>
  </si>
  <si>
    <t>CH4_man_Poultry_HP_titles</t>
  </si>
  <si>
    <t>EF_DIRECT_N2O_manure_mngt_cattle_poultry_pigs[Please select]</t>
  </si>
  <si>
    <t>EF_DIRECT_N2O_manure_mngt_cattle_poultry_pigs_titles</t>
  </si>
  <si>
    <t>EF_DIRECT_N2O_manure_mngt_Sheeps_others[Please select]</t>
  </si>
  <si>
    <t>EF_DIRECT_N2O_manure_mngt_Sheeps_others_titles</t>
  </si>
  <si>
    <t>Frac_vol_dairy_cow[Please select]</t>
  </si>
  <si>
    <t>Frac_vol_dairy_cow_titles</t>
  </si>
  <si>
    <t>Frac_vol_Other_Cattle[Please select]</t>
  </si>
  <si>
    <t>Frac_vol_Other_Cattle_titles</t>
  </si>
  <si>
    <t>Frac_vol_Other_Animal[Please select]</t>
  </si>
  <si>
    <t>Frac_vol_Other_Animal_titles</t>
  </si>
  <si>
    <t>Frac_vol_swine[Please select]</t>
  </si>
  <si>
    <t>Frac_vol_swine_titles</t>
  </si>
  <si>
    <t>Frac_leach_all_categories[Please select]</t>
  </si>
  <si>
    <t>Frac_leach_all_categories_titles</t>
  </si>
  <si>
    <t xml:space="preserve">From 2019 Refinement to the 2006 IPCC Guidelines for National Greenhouse Gas Inventories Volume 4 </t>
  </si>
  <si>
    <t xml:space="preserve">Default factors for estimating N from crop residues and forage/pasture renewal </t>
  </si>
  <si>
    <t>Updated Equation 11.6 , page 1.14</t>
  </si>
  <si>
    <t>IPCC Crop types</t>
  </si>
  <si>
    <r>
      <t xml:space="preserve">Slope </t>
    </r>
    <r>
      <rPr>
        <vertAlign val="subscript"/>
        <sz val="11"/>
        <color theme="1"/>
        <rFont val="Calibri"/>
        <family val="2"/>
        <scheme val="minor"/>
      </rPr>
      <t>(T)</t>
    </r>
  </si>
  <si>
    <r>
      <t xml:space="preserve">Intercept </t>
    </r>
    <r>
      <rPr>
        <vertAlign val="subscript"/>
        <sz val="10"/>
        <rFont val="Arial"/>
        <family val="2"/>
      </rPr>
      <t>(T)</t>
    </r>
  </si>
  <si>
    <t>N content of AG residues</t>
  </si>
  <si>
    <r>
      <t xml:space="preserve">RS </t>
    </r>
    <r>
      <rPr>
        <vertAlign val="subscript"/>
        <sz val="11"/>
        <color theme="1"/>
        <rFont val="Calibri"/>
        <family val="2"/>
        <charset val="161"/>
        <scheme val="minor"/>
      </rPr>
      <t>(T)</t>
    </r>
  </si>
  <si>
    <r>
      <t xml:space="preserve">N </t>
    </r>
    <r>
      <rPr>
        <vertAlign val="subscript"/>
        <sz val="11"/>
        <color theme="1"/>
        <rFont val="Calibri"/>
        <family val="2"/>
        <charset val="161"/>
        <scheme val="minor"/>
      </rPr>
      <t>BG(T)</t>
    </r>
  </si>
  <si>
    <t xml:space="preserve"> TABLE 11.2 (Updated)</t>
  </si>
  <si>
    <t>TABLE 11.1A</t>
  </si>
  <si>
    <t>Generic value</t>
  </si>
  <si>
    <t>NA</t>
  </si>
  <si>
    <t>N-fixing forages</t>
  </si>
  <si>
    <t>Non-N-fixing forages</t>
  </si>
  <si>
    <t>Winter wheat</t>
  </si>
  <si>
    <t>Spring wheat</t>
  </si>
  <si>
    <t>Non-legume hay</t>
  </si>
  <si>
    <t>Perennial grasses</t>
  </si>
  <si>
    <t>Grass-clover mixtures</t>
  </si>
  <si>
    <r>
      <t>Default reference condition soil organic carbon stocks (SOC</t>
    </r>
    <r>
      <rPr>
        <b/>
        <vertAlign val="subscript"/>
        <sz val="11"/>
        <color theme="1"/>
        <rFont val="Calibri"/>
        <family val="2"/>
        <scheme val="minor"/>
      </rPr>
      <t>REF</t>
    </r>
    <r>
      <rPr>
        <b/>
        <sz val="11"/>
        <color theme="1"/>
        <rFont val="Calibri"/>
        <family val="2"/>
        <scheme val="minor"/>
      </rPr>
      <t>) for mineral soils, Tonnes C ha</t>
    </r>
    <r>
      <rPr>
        <b/>
        <vertAlign val="superscript"/>
        <sz val="11"/>
        <color theme="1"/>
        <rFont val="Calibri"/>
        <family val="2"/>
        <scheme val="minor"/>
      </rPr>
      <t>-1</t>
    </r>
    <r>
      <rPr>
        <b/>
        <sz val="11"/>
        <color theme="1"/>
        <rFont val="Calibri"/>
        <family val="2"/>
        <scheme val="minor"/>
      </rPr>
      <t xml:space="preserve"> in 0-30 cm depth </t>
    </r>
  </si>
  <si>
    <t>TABLE 2.3 (UPDATED), IPCC 2019, Chapter 2, Volume 4, page 2.39</t>
  </si>
  <si>
    <t>Climate Region</t>
  </si>
  <si>
    <t>WET</t>
  </si>
  <si>
    <t>N/A</t>
  </si>
  <si>
    <t>Cool temperate Dry</t>
  </si>
  <si>
    <t>Cool temperate Moist</t>
  </si>
  <si>
    <t>Warm temperate Dry</t>
  </si>
  <si>
    <t>Warm temperate Moist</t>
  </si>
  <si>
    <t>Note: NA denotes that soil categories the soil category may occur in a climate zone, but no data was available.</t>
  </si>
  <si>
    <t>NO denotes that the soil type does not normally occur within a climate zone</t>
  </si>
  <si>
    <r>
      <t>Relative Carbon stock change factors (F</t>
    </r>
    <r>
      <rPr>
        <b/>
        <vertAlign val="subscript"/>
        <sz val="10"/>
        <rFont val="Arial"/>
        <family val="2"/>
      </rPr>
      <t>LU</t>
    </r>
    <r>
      <rPr>
        <b/>
        <sz val="10"/>
        <rFont val="Arial"/>
        <family val="2"/>
      </rPr>
      <t>, F</t>
    </r>
    <r>
      <rPr>
        <b/>
        <vertAlign val="subscript"/>
        <sz val="10"/>
        <rFont val="Arial"/>
        <family val="2"/>
      </rPr>
      <t>MG</t>
    </r>
    <r>
      <rPr>
        <b/>
        <sz val="10"/>
        <rFont val="Arial"/>
        <family val="2"/>
      </rPr>
      <t>, F</t>
    </r>
    <r>
      <rPr>
        <b/>
        <vertAlign val="subscript"/>
        <sz val="10"/>
        <rFont val="Arial"/>
        <family val="2"/>
      </rPr>
      <t>I</t>
    </r>
    <r>
      <rPr>
        <b/>
        <sz val="10"/>
        <rFont val="Arial"/>
        <family val="2"/>
      </rPr>
      <t>) over 20 years for management activities on cropland</t>
    </r>
  </si>
  <si>
    <t>TABLE 5.5 (UPDATED), page 5.30</t>
  </si>
  <si>
    <r>
      <t>F</t>
    </r>
    <r>
      <rPr>
        <b/>
        <vertAlign val="subscript"/>
        <sz val="10"/>
        <color indexed="12"/>
        <rFont val="Arial"/>
        <family val="2"/>
      </rPr>
      <t>LU</t>
    </r>
  </si>
  <si>
    <r>
      <t>F</t>
    </r>
    <r>
      <rPr>
        <b/>
        <vertAlign val="subscript"/>
        <sz val="10"/>
        <color indexed="12"/>
        <rFont val="Arial"/>
        <family val="2"/>
      </rPr>
      <t>MG</t>
    </r>
  </si>
  <si>
    <r>
      <t>F</t>
    </r>
    <r>
      <rPr>
        <b/>
        <vertAlign val="subscript"/>
        <sz val="10"/>
        <color indexed="12"/>
        <rFont val="Arial"/>
        <family val="2"/>
      </rPr>
      <t>I</t>
    </r>
  </si>
  <si>
    <t>Flooded Rice</t>
  </si>
  <si>
    <t>Perennial/Tree Crop</t>
  </si>
  <si>
    <t>Set aside (&lt; 20 yrs)</t>
  </si>
  <si>
    <t>Cool temperate dry</t>
  </si>
  <si>
    <t>Cool temperate moist</t>
  </si>
  <si>
    <t>Warm temperate dry</t>
  </si>
  <si>
    <t>Warm temperate moist</t>
  </si>
  <si>
    <t>Tropical dry</t>
  </si>
  <si>
    <t>Tropical moist</t>
  </si>
  <si>
    <t>Tropical wet</t>
  </si>
  <si>
    <t>Notes: Values in red are obtrained from  TABLE 5.5 in IPCC 2006</t>
  </si>
  <si>
    <r>
      <t>Emission factors  (g kg</t>
    </r>
    <r>
      <rPr>
        <b/>
        <vertAlign val="superscript"/>
        <sz val="11"/>
        <color theme="1"/>
        <rFont val="Calibri"/>
        <family val="2"/>
        <scheme val="minor"/>
      </rPr>
      <t xml:space="preserve">-1 </t>
    </r>
    <r>
      <rPr>
        <b/>
        <sz val="11"/>
        <color theme="1"/>
        <rFont val="Calibri"/>
        <family val="2"/>
        <scheme val="minor"/>
      </rPr>
      <t xml:space="preserve">dry matter burnt) for various types of burning </t>
    </r>
    <r>
      <rPr>
        <b/>
        <sz val="11"/>
        <color rgb="FFFF0000"/>
        <rFont val="Calibri"/>
        <family val="2"/>
        <scheme val="minor"/>
      </rPr>
      <t xml:space="preserve"> (To be used as quantity </t>
    </r>
    <r>
      <rPr>
        <b/>
        <sz val="14"/>
        <color rgb="FFFF0000"/>
        <rFont val="Calibri"/>
        <family val="2"/>
        <scheme val="minor"/>
      </rPr>
      <t>‘Gef</t>
    </r>
    <r>
      <rPr>
        <b/>
        <sz val="11"/>
        <color rgb="FFFF0000"/>
        <rFont val="Calibri"/>
        <family val="2"/>
        <scheme val="minor"/>
      </rPr>
      <t>’ in Equation 2.27)</t>
    </r>
  </si>
  <si>
    <t>Table 2.5, page 2.58.</t>
  </si>
  <si>
    <t xml:space="preserve">Category </t>
  </si>
  <si>
    <r>
      <t>CO</t>
    </r>
    <r>
      <rPr>
        <vertAlign val="subscript"/>
        <sz val="11"/>
        <color theme="1"/>
        <rFont val="Calibri"/>
        <family val="2"/>
        <scheme val="minor"/>
      </rPr>
      <t>2</t>
    </r>
  </si>
  <si>
    <r>
      <t>N</t>
    </r>
    <r>
      <rPr>
        <b/>
        <vertAlign val="subscript"/>
        <sz val="10"/>
        <color indexed="12"/>
        <rFont val="Arial"/>
        <family val="2"/>
      </rPr>
      <t>2</t>
    </r>
    <r>
      <rPr>
        <b/>
        <sz val="10"/>
        <color indexed="12"/>
        <rFont val="Arial"/>
        <family val="2"/>
      </rPr>
      <t>O</t>
    </r>
  </si>
  <si>
    <t>NOX</t>
  </si>
  <si>
    <t>Savanna and grassland</t>
  </si>
  <si>
    <t>Agricultural residues</t>
  </si>
  <si>
    <t>Tropical forest</t>
  </si>
  <si>
    <t>Extra tropical forest</t>
  </si>
  <si>
    <t>Biofuel burning</t>
  </si>
  <si>
    <t>Combustion factor (proportion of prefire fuel biomass consumed) for fires in a range of vegetation types</t>
  </si>
  <si>
    <t>Updated Table 2.6, page 2.60</t>
  </si>
  <si>
    <t xml:space="preserve">Agricultural residues </t>
  </si>
  <si>
    <r>
      <t>C</t>
    </r>
    <r>
      <rPr>
        <b/>
        <vertAlign val="subscript"/>
        <sz val="11"/>
        <color theme="1"/>
        <rFont val="Calibri"/>
        <family val="2"/>
        <scheme val="minor"/>
      </rPr>
      <t>f</t>
    </r>
  </si>
  <si>
    <t>(Post harvest field burning)</t>
  </si>
  <si>
    <r>
      <t>Default emission factors to estimate direct N</t>
    </r>
    <r>
      <rPr>
        <b/>
        <vertAlign val="subscript"/>
        <sz val="11"/>
        <color theme="1"/>
        <rFont val="Calibri"/>
        <family val="2"/>
        <scheme val="minor"/>
      </rPr>
      <t>2</t>
    </r>
    <r>
      <rPr>
        <b/>
        <sz val="11"/>
        <color theme="1"/>
        <rFont val="Calibri"/>
        <family val="2"/>
        <scheme val="minor"/>
      </rPr>
      <t>O emissions from managed soils</t>
    </r>
  </si>
  <si>
    <t>N additions from synthetic fertilisers, organic amendments and crop residues, and N mineralised from mineral soil as a result of loss of soil carbon</t>
  </si>
  <si>
    <t>Table 11.1, page 11.11</t>
  </si>
  <si>
    <t xml:space="preserve">Moisture </t>
  </si>
  <si>
    <t>Emission factors</t>
  </si>
  <si>
    <t>regime</t>
  </si>
  <si>
    <r>
      <t>kg N2O-N(kg N)</t>
    </r>
    <r>
      <rPr>
        <b/>
        <vertAlign val="superscript"/>
        <sz val="10"/>
        <color indexed="12"/>
        <rFont val="Arial"/>
        <family val="2"/>
      </rPr>
      <t>-1</t>
    </r>
  </si>
  <si>
    <t>Synthetic fertiliser inputs in wet climates</t>
  </si>
  <si>
    <t>Synthetic fertiliser inputs in moist climates</t>
  </si>
  <si>
    <t>Other N inputs in wet climates</t>
  </si>
  <si>
    <t>Other N inputs in moist climates</t>
  </si>
  <si>
    <t>All N inputs in dry climates</t>
  </si>
  <si>
    <t>NB: in red average between wet and dry</t>
  </si>
  <si>
    <r>
      <t xml:space="preserve">Default coefficients for </t>
    </r>
    <r>
      <rPr>
        <b/>
        <sz val="11"/>
        <color rgb="FFFF0000"/>
        <rFont val="Calibri"/>
        <family val="2"/>
        <scheme val="minor"/>
      </rPr>
      <t xml:space="preserve">above- ground biomass </t>
    </r>
    <r>
      <rPr>
        <b/>
        <sz val="11"/>
        <color theme="1"/>
        <rFont val="Calibri"/>
        <family val="2"/>
        <scheme val="minor"/>
      </rPr>
      <t>(AGB) in agroforestry systems containing perennial species (tC ha</t>
    </r>
    <r>
      <rPr>
        <b/>
        <vertAlign val="superscript"/>
        <sz val="11"/>
        <color theme="1"/>
        <rFont val="Calibri"/>
        <family val="2"/>
        <scheme val="minor"/>
      </rPr>
      <t>-1</t>
    </r>
    <r>
      <rPr>
        <b/>
        <sz val="11"/>
        <color theme="1"/>
        <rFont val="Calibri"/>
        <family val="2"/>
        <scheme val="minor"/>
      </rPr>
      <t xml:space="preserve"> yr</t>
    </r>
    <r>
      <rPr>
        <b/>
        <vertAlign val="superscript"/>
        <sz val="11"/>
        <color theme="1"/>
        <rFont val="Calibri"/>
        <family val="2"/>
        <scheme val="minor"/>
      </rPr>
      <t>-1</t>
    </r>
    <r>
      <rPr>
        <b/>
        <sz val="11"/>
        <color theme="1"/>
        <rFont val="Calibri"/>
        <family val="2"/>
        <scheme val="minor"/>
      </rPr>
      <t>)</t>
    </r>
  </si>
  <si>
    <t>Updated Table 5.2 , Chapter 5, page 5.10</t>
  </si>
  <si>
    <t>TABLE 5.2 (UPDATED)</t>
  </si>
  <si>
    <t>TABLE 5. 3 (UPDATED)</t>
  </si>
  <si>
    <t>Chain_climate_region</t>
  </si>
  <si>
    <t>??</t>
  </si>
  <si>
    <t>Temperate</t>
  </si>
  <si>
    <t>Note: Values in red indicate Generic values for all regions under same climate region</t>
  </si>
  <si>
    <t>Red values in Warm Temperate come from generic values from Temperate climate region</t>
  </si>
  <si>
    <t>As an approximation,  the average  AGB stock between the generic values of temperate and tropical (all regions) was used to approximate the AGB stock for the tropical montane climate (see comment in Tab 5.5, ipcc 2019)</t>
  </si>
  <si>
    <t>undifferentiated (undiff.) values for Cool Temperate Dry = Cool Temperate Moist,   Warm Temperate Dry = Warm Temperate Moist</t>
  </si>
  <si>
    <t xml:space="preserve">For Boreal climate,  the default values of Temperate were used </t>
  </si>
  <si>
    <r>
      <t xml:space="preserve">Default coefficients for </t>
    </r>
    <r>
      <rPr>
        <b/>
        <sz val="11"/>
        <color rgb="FFFF0000"/>
        <rFont val="Calibri"/>
        <family val="2"/>
        <scheme val="minor"/>
      </rPr>
      <t>below- ground biomass</t>
    </r>
    <r>
      <rPr>
        <b/>
        <sz val="11"/>
        <color theme="1"/>
        <rFont val="Calibri"/>
        <family val="2"/>
        <scheme val="minor"/>
      </rPr>
      <t xml:space="preserve"> (BGB) in agroforestry systems containing perennial species (tC ha</t>
    </r>
    <r>
      <rPr>
        <b/>
        <vertAlign val="superscript"/>
        <sz val="11"/>
        <color theme="1"/>
        <rFont val="Calibri"/>
        <family val="2"/>
        <scheme val="minor"/>
      </rPr>
      <t>-1</t>
    </r>
    <r>
      <rPr>
        <b/>
        <sz val="11"/>
        <color theme="1"/>
        <rFont val="Calibri"/>
        <family val="2"/>
        <scheme val="minor"/>
      </rPr>
      <t xml:space="preserve"> yr</t>
    </r>
    <r>
      <rPr>
        <b/>
        <vertAlign val="superscript"/>
        <sz val="11"/>
        <color theme="1"/>
        <rFont val="Calibri"/>
        <family val="2"/>
        <scheme val="minor"/>
      </rPr>
      <t>-1</t>
    </r>
    <r>
      <rPr>
        <b/>
        <sz val="11"/>
        <color theme="1"/>
        <rFont val="Calibri"/>
        <family val="2"/>
        <scheme val="minor"/>
      </rPr>
      <t>)</t>
    </r>
  </si>
  <si>
    <t xml:space="preserve">Generic values of  Tropical, were used for Tropical moist, tropical wet, tropical dry </t>
  </si>
  <si>
    <t>As an approximation,  the average  BGB stock between the generic values of temperate and tropical (all regions) were used to approximate the BGB stock for the tropical montane climate (see comment in Tab 5.5, ipcc 2019)</t>
  </si>
  <si>
    <t xml:space="preserve">Default CH4 baseline emission factor assuming no flooding for less than 180 days prior </t>
  </si>
  <si>
    <r>
      <t xml:space="preserve">Default CH4 emission scaling factors for water regimes  </t>
    </r>
    <r>
      <rPr>
        <b/>
        <sz val="11"/>
        <color rgb="FFFF0000"/>
        <rFont val="Calibri"/>
        <family val="2"/>
        <scheme val="minor"/>
      </rPr>
      <t>during</t>
    </r>
    <r>
      <rPr>
        <b/>
        <sz val="11"/>
        <color theme="1"/>
        <rFont val="Calibri"/>
        <family val="2"/>
        <scheme val="minor"/>
      </rPr>
      <t xml:space="preserve"> the cultivation period relative to continuously flooded fields</t>
    </r>
  </si>
  <si>
    <t>Default conversion fators for different types of organic amendments</t>
  </si>
  <si>
    <t>to rice cultivation, and continuously flooded during rice cultivation without organic amendments</t>
  </si>
  <si>
    <t>Table 5.12 (updated), Chapter 5, page 5.60</t>
  </si>
  <si>
    <t>TABLE 5.14 (UPDATED), Chapter 5, page 5.62</t>
  </si>
  <si>
    <t>CFOA</t>
  </si>
  <si>
    <t>Updated Table 5.11, Chapter 5, page 5.59</t>
  </si>
  <si>
    <t>EF</t>
  </si>
  <si>
    <t>Cultivation Period (in days)</t>
  </si>
  <si>
    <r>
      <t>kg CH4 ha</t>
    </r>
    <r>
      <rPr>
        <b/>
        <vertAlign val="superscript"/>
        <sz val="11"/>
        <color rgb="FF0000FF"/>
        <rFont val="Calibri"/>
        <family val="2"/>
        <scheme val="minor"/>
      </rPr>
      <t>-1</t>
    </r>
    <r>
      <rPr>
        <b/>
        <sz val="11"/>
        <color rgb="FF0000FF"/>
        <rFont val="Calibri"/>
        <family val="2"/>
        <scheme val="minor"/>
      </rPr>
      <t xml:space="preserve"> d</t>
    </r>
    <r>
      <rPr>
        <b/>
        <vertAlign val="superscript"/>
        <sz val="11"/>
        <color rgb="FF0000FF"/>
        <rFont val="Calibri"/>
        <family val="2"/>
        <scheme val="minor"/>
      </rPr>
      <t>-1</t>
    </r>
  </si>
  <si>
    <t>TABLE 5.11A</t>
  </si>
  <si>
    <t>Note: Straw application means that straws are incorporated into the soil. It does not include cases where straws are just placed on soil surface, and straws that were burnt on the field.</t>
  </si>
  <si>
    <t>Default CH4 emission scaling factors for water regimes</t>
  </si>
  <si>
    <r>
      <t xml:space="preserve"> </t>
    </r>
    <r>
      <rPr>
        <b/>
        <sz val="11"/>
        <color rgb="FFFF0000"/>
        <rFont val="Calibri"/>
        <family val="2"/>
        <scheme val="minor"/>
      </rPr>
      <t>before</t>
    </r>
    <r>
      <rPr>
        <b/>
        <sz val="11"/>
        <color theme="1"/>
        <rFont val="Calibri"/>
        <family val="2"/>
        <scheme val="minor"/>
      </rPr>
      <t xml:space="preserve"> the cultivation period</t>
    </r>
  </si>
  <si>
    <t>Table 5.13 (updated), chapter 5, page 5.61</t>
  </si>
  <si>
    <t xml:space="preserve">Note: Global estimates were used for Africa, Central Asia, Western Asia, Oceania, </t>
  </si>
  <si>
    <t>Central America, Caribbean (values in red)</t>
  </si>
  <si>
    <t>Relative stock change factors for grassland management</t>
  </si>
  <si>
    <t>Updated Table  6.2, Chapter 6, page 6.6</t>
  </si>
  <si>
    <t>Factor</t>
  </si>
  <si>
    <t>Level</t>
  </si>
  <si>
    <t>Climate regime</t>
  </si>
  <si>
    <t>IPCC default</t>
  </si>
  <si>
    <t>Land use (FLU)</t>
  </si>
  <si>
    <t>All</t>
  </si>
  <si>
    <t>Management (FMG)</t>
  </si>
  <si>
    <t>Input (applied only to improved grassland) (FI)</t>
  </si>
  <si>
    <t>Default AGB biomass stocks present on grassland , after conversion from other land use</t>
  </si>
  <si>
    <t>Table, 6.4, page 6.27  in IPCC 2006</t>
  </si>
  <si>
    <t>IPCC climate zone</t>
  </si>
  <si>
    <r>
      <t>(tonnes d.m. ha</t>
    </r>
    <r>
      <rPr>
        <vertAlign val="superscript"/>
        <sz val="11"/>
        <color theme="1"/>
        <rFont val="Calibri"/>
        <family val="2"/>
        <scheme val="minor"/>
      </rPr>
      <t>-1</t>
    </r>
    <r>
      <rPr>
        <sz val="11"/>
        <color theme="1"/>
        <rFont val="Calibri"/>
        <family val="2"/>
        <scheme val="minor"/>
      </rPr>
      <t>)</t>
    </r>
  </si>
  <si>
    <t>Combustion factor values (proportion of prefire fuel biomass consumed) for fires in all savanna grasslands</t>
  </si>
  <si>
    <t xml:space="preserve">Updated Table 2.6, IPCC 2019, page 2.59, </t>
  </si>
  <si>
    <t>All savanna grasslands (mid/late dry season burns)*</t>
  </si>
  <si>
    <t>Forest Category by Climate Region</t>
  </si>
  <si>
    <t>See classification in Table 4.3 and 4.4 in page 4.49, Chapter 4, IPCC 2006</t>
  </si>
  <si>
    <r>
      <t xml:space="preserve">Above-ground biomass (t dm /ha) in </t>
    </r>
    <r>
      <rPr>
        <b/>
        <sz val="10"/>
        <color rgb="FFFF0000"/>
        <rFont val="Arial"/>
        <family val="2"/>
      </rPr>
      <t>Primary Natural Forest</t>
    </r>
    <r>
      <rPr>
        <b/>
        <sz val="10"/>
        <color rgb="FF0000FF"/>
        <rFont val="Arial"/>
        <family val="2"/>
      </rPr>
      <t xml:space="preserve">  are obtained from TABLE 4.12. (UPDATED)</t>
    </r>
  </si>
  <si>
    <r>
      <t xml:space="preserve">Above-ground biomass (t dm /ha) in </t>
    </r>
    <r>
      <rPr>
        <b/>
        <sz val="10"/>
        <color rgb="FFFF0000"/>
        <rFont val="Arial"/>
        <family val="2"/>
      </rPr>
      <t>Planted  Forest (&gt; 20 years)</t>
    </r>
    <r>
      <rPr>
        <b/>
        <sz val="10"/>
        <color rgb="FF0000FF"/>
        <rFont val="Arial"/>
        <family val="2"/>
      </rPr>
      <t xml:space="preserve">  are obtained from TABLE 4.12. (UPDATED)</t>
    </r>
  </si>
  <si>
    <t xml:space="preserve">EX-ACT region </t>
  </si>
  <si>
    <t>TABLE 4.12. (UPDATED)</t>
  </si>
  <si>
    <t>See Table 4.3 (IPCC 2013)</t>
  </si>
  <si>
    <t>Notes</t>
  </si>
  <si>
    <t xml:space="preserve">Values in black are taken from the updated  Table 4.12 (values for primary forest) , in IPCC 2019, </t>
  </si>
  <si>
    <t xml:space="preserve">Values in red are taken from Table 4.12 in IPCC 2006, Chapter 4, page 4.63 </t>
  </si>
  <si>
    <t xml:space="preserve">Values for forest plantations  are taken from  TABLE 4.12. (UPDATED). They are calculated as the average of the given range </t>
  </si>
  <si>
    <r>
      <t xml:space="preserve">Ratio of below-ground biomass to above-ground biomass (R) </t>
    </r>
    <r>
      <rPr>
        <b/>
        <sz val="10"/>
        <color rgb="FFFF0000"/>
        <rFont val="Arial"/>
        <family val="2"/>
      </rPr>
      <t>[tonne root d.m. (tonne shoot d.m.)-1]</t>
    </r>
  </si>
  <si>
    <t>TABLE. 4.4. (UPDATED), in IPCC 2019, Vol 4, Ch. 4, page 4.17</t>
  </si>
  <si>
    <t>≤ 125</t>
  </si>
  <si>
    <t>≤ 75</t>
  </si>
  <si>
    <t>&gt; 125</t>
  </si>
  <si>
    <t>&gt;75</t>
  </si>
  <si>
    <t xml:space="preserve">Values in grey are the average of the given values </t>
  </si>
  <si>
    <t>Values in red are old values from Table 4.4 in IPCC 2006, and from EX-ACT version 7</t>
  </si>
  <si>
    <t>Tier 1 default values for litter (All vegetation types) and deadwood (All vegetation types) carbon stocks</t>
  </si>
  <si>
    <t>TABLE 2.2 (UPDATED) in IPCC 2019, Chapter 2, Volume 4, page 2.32</t>
  </si>
  <si>
    <t>Forest type stratified by climate</t>
  </si>
  <si>
    <t>Dead wood carbon stocks</t>
  </si>
  <si>
    <t>(tonnes C ha-1)</t>
  </si>
  <si>
    <t>Table 4.7 IPCC 2013</t>
  </si>
  <si>
    <r>
      <t xml:space="preserve">This is the total biomass (AGB + BGB) of land uses one year after DEFORESTATION!!!! The </t>
    </r>
    <r>
      <rPr>
        <b/>
        <sz val="12"/>
        <color rgb="FFFF0000"/>
        <rFont val="Arial"/>
        <family val="2"/>
      </rPr>
      <t>1st</t>
    </r>
    <r>
      <rPr>
        <b/>
        <sz val="10"/>
        <color rgb="FFFF0000"/>
        <rFont val="Arial"/>
        <family val="2"/>
      </rPr>
      <t xml:space="preserve">  year after the deforestation. To be used for the 'Defo' Sheet and for the Other land-use changes</t>
    </r>
  </si>
  <si>
    <t>TABLE 5. 9 (UPDATED), in IPCC 2019, Chapter 5, page 5.47</t>
  </si>
  <si>
    <t>TABLE 5. 9 (UPDATED)</t>
  </si>
  <si>
    <t>TABLE 6.4 (in IPCC 2006)</t>
  </si>
  <si>
    <t>From EX-ACT v.7</t>
  </si>
  <si>
    <t>(ΔCG)</t>
  </si>
  <si>
    <t>(tonnes C/ha/yr)</t>
  </si>
  <si>
    <t>1st year</t>
  </si>
  <si>
    <t>Values in red from IPCC 2006</t>
  </si>
  <si>
    <r>
      <t xml:space="preserve">Relative stock change factor for land use (FLU) dimensionless, TABLE 5.5 (UPDATED), in IPCC 2019. To be used for the </t>
    </r>
    <r>
      <rPr>
        <b/>
        <sz val="10"/>
        <color rgb="FFFF0000"/>
        <rFont val="Arial"/>
        <family val="2"/>
      </rPr>
      <t>DEFORESTATION</t>
    </r>
    <r>
      <rPr>
        <b/>
        <sz val="10"/>
        <color rgb="FF0000FF"/>
        <rFont val="Arial"/>
        <family val="2"/>
      </rPr>
      <t xml:space="preserve"> Sheet</t>
    </r>
  </si>
  <si>
    <t>TABLE 5.5 (UPDATED)</t>
  </si>
  <si>
    <t>TABLE 6.2 (UPDATED)</t>
  </si>
  <si>
    <t>IPCC Climate Region</t>
  </si>
  <si>
    <t xml:space="preserve">FLU </t>
  </si>
  <si>
    <t>Values in red are obtained from IPCC 2006</t>
  </si>
  <si>
    <t>Combustion factor values (proportion of prefire fuel biomass consumed) for fires in a range of vegetation types</t>
  </si>
  <si>
    <t>Table 2.6 , in IPCC 2019, Chapter 2</t>
  </si>
  <si>
    <t>Gef for CO2 Table 2.5</t>
  </si>
  <si>
    <t>Gef for CH4 Table 2.5</t>
  </si>
  <si>
    <t>Gef for N2O Table 2.5</t>
  </si>
  <si>
    <t xml:space="preserve">Forest types stratified by IPCC climate </t>
  </si>
  <si>
    <t>(g kg-1 dry matter burnt)</t>
  </si>
  <si>
    <t>Equation 11.8, in IPCC 2006, page 11.16</t>
  </si>
  <si>
    <t>Default C:N ratio of soil organic matter</t>
  </si>
  <si>
    <t>N Mineralization in Mineral Soils as a result of Loss of Soil C through change in Land Use or Management</t>
  </si>
  <si>
    <t>C:N ratio</t>
  </si>
  <si>
    <t>Type of Land Conversion</t>
  </si>
  <si>
    <t>Forest Land or Grassland to Cropland</t>
  </si>
  <si>
    <t>Cropland remaining Cropland</t>
  </si>
  <si>
    <t>Values for natural forest are taken from  TABLE 4.12 (UPDATED) ] Values for plantations are taken from TABLE 4.12. (UPDATED)</t>
  </si>
  <si>
    <t>Values in red are from TABLE 4.12 in IPCC 2006 (page 4.63)</t>
  </si>
  <si>
    <t>For Central America and Caribbean the same values as South America were used  (values in grey)</t>
  </si>
  <si>
    <t>Above-ground net biomass growth in natural forests (tonnes dry matter per ha per year)</t>
  </si>
  <si>
    <t>&gt; 20 years</t>
  </si>
  <si>
    <t>≤ 20 years</t>
  </si>
  <si>
    <t>Asia (Indian Subcontinent)</t>
  </si>
  <si>
    <t>Ecological Zone</t>
  </si>
  <si>
    <t>Continent</t>
  </si>
  <si>
    <t>eco_zone_continent</t>
  </si>
  <si>
    <t xml:space="preserve">TABLE 2.6 (UPDATED) </t>
  </si>
  <si>
    <r>
      <t xml:space="preserve">Emission factors (g kg-1 dry matter burnt) for various types of burning </t>
    </r>
    <r>
      <rPr>
        <b/>
        <sz val="12"/>
        <color rgb="FF0000FF"/>
        <rFont val="Calibri"/>
        <family val="2"/>
        <scheme val="minor"/>
      </rPr>
      <t>(Gef)</t>
    </r>
  </si>
  <si>
    <t>in IPCC 2019</t>
  </si>
  <si>
    <t xml:space="preserve">TABLE 2.5 in IPCC 2019 </t>
  </si>
  <si>
    <r>
      <t>Gef for CO</t>
    </r>
    <r>
      <rPr>
        <vertAlign val="subscript"/>
        <sz val="11"/>
        <color theme="1"/>
        <rFont val="Calibri"/>
        <family val="2"/>
        <scheme val="minor"/>
      </rPr>
      <t>2</t>
    </r>
  </si>
  <si>
    <t>Gef for CH4</t>
  </si>
  <si>
    <r>
      <t>Gef for N</t>
    </r>
    <r>
      <rPr>
        <b/>
        <vertAlign val="subscript"/>
        <sz val="10"/>
        <color indexed="12"/>
        <rFont val="Arial"/>
        <family val="2"/>
      </rPr>
      <t>2</t>
    </r>
    <r>
      <rPr>
        <b/>
        <sz val="10"/>
        <color indexed="12"/>
        <rFont val="Arial"/>
        <family val="2"/>
      </rPr>
      <t>O</t>
    </r>
  </si>
  <si>
    <t>Data on MANGROVES</t>
  </si>
  <si>
    <t>TABLE 4.3 in IPCC 2014</t>
  </si>
  <si>
    <t>TABLE 4.2 in IPCC 2014</t>
  </si>
  <si>
    <t>TABLE 4.4 in IPCC 2014</t>
  </si>
  <si>
    <t>TABLE 4.5 in IPCC 2014</t>
  </si>
  <si>
    <t>TABLE 4.7 in IPCC 2014</t>
  </si>
  <si>
    <t>TABLE 5.2  in IPCC 2014</t>
  </si>
  <si>
    <t>Carbon fraction</t>
  </si>
  <si>
    <t>AGB growth</t>
  </si>
  <si>
    <t>R</t>
  </si>
  <si>
    <r>
      <t>SOC</t>
    </r>
    <r>
      <rPr>
        <b/>
        <vertAlign val="subscript"/>
        <sz val="10"/>
        <color rgb="FF0000FF"/>
        <rFont val="Arial"/>
        <family val="2"/>
      </rPr>
      <t>REF</t>
    </r>
  </si>
  <si>
    <t>tonnes  dry matter/ha</t>
  </si>
  <si>
    <t>tonnes C/ (tonnes d.m)</t>
  </si>
  <si>
    <t>tonnes  dry matter/ha/year</t>
  </si>
  <si>
    <t>[tonne root d.m. (tonne shoot d.m.)-1]</t>
  </si>
  <si>
    <t>Biomass (above + below ) of Land uses converted to FOREST. To be used  in Afforestation/reforestation Module</t>
  </si>
  <si>
    <t>Table 5.2 (Updated)</t>
  </si>
  <si>
    <t>TABLE 5.1 (UPDATED)</t>
  </si>
  <si>
    <t>(Lmean)</t>
  </si>
  <si>
    <t>(tonnes C/ha)</t>
  </si>
  <si>
    <r>
      <t xml:space="preserve">Relative stock change factor for land use (FLU) dimensioless, TABLE 5.5 (UPDATED), in IPCC 2019. To be used for the </t>
    </r>
    <r>
      <rPr>
        <b/>
        <sz val="10"/>
        <color rgb="FFFF0000"/>
        <rFont val="Arial"/>
        <family val="2"/>
      </rPr>
      <t>AFFORESTATION</t>
    </r>
    <r>
      <rPr>
        <b/>
        <sz val="10"/>
        <color rgb="FF0000FF"/>
        <rFont val="Arial"/>
        <family val="2"/>
      </rPr>
      <t xml:space="preserve"> Sheet</t>
    </r>
  </si>
  <si>
    <t>Default emission factors to estimate direct N2O emissions from managed soils, TABLE 11.1 (UPDATED) in IPCC 2019</t>
  </si>
  <si>
    <t>EF1</t>
  </si>
  <si>
    <t>Synthetic N-fertlizer</t>
  </si>
  <si>
    <t>Other N inputs</t>
  </si>
  <si>
    <t>Moist is the average of wet and dry EF values, for tropical montane we use the dry EF</t>
  </si>
  <si>
    <t>Default emission factors to estimate direct N2O emissions from flooded rice fields, TABLE 11.1 (UPDATED) in IPCC 2019</t>
  </si>
  <si>
    <t>Water management regime</t>
  </si>
  <si>
    <t>N-irrigated rice</t>
  </si>
  <si>
    <t>EF1RF</t>
  </si>
  <si>
    <t>Default emission factors - IPCC volume 2. Energy</t>
  </si>
  <si>
    <t>Fuel stationary Chapter 2</t>
  </si>
  <si>
    <t>Fuel Mobile Chapter 3</t>
  </si>
  <si>
    <t>Table 1.2</t>
  </si>
  <si>
    <t>Table 2.5</t>
  </si>
  <si>
    <t>Table 3.2.1</t>
  </si>
  <si>
    <t>table 3.2.2</t>
  </si>
  <si>
    <t>Fuel Type</t>
  </si>
  <si>
    <t>Net calorific values</t>
  </si>
  <si>
    <t>CO2 emission</t>
  </si>
  <si>
    <t>CH4 emissions</t>
  </si>
  <si>
    <t>N2O emisisons</t>
  </si>
  <si>
    <t>Density</t>
  </si>
  <si>
    <t>t CO2 Eq/m3</t>
  </si>
  <si>
    <t>(Tj/Gg)</t>
  </si>
  <si>
    <t>kg CO2/TJ</t>
  </si>
  <si>
    <t>kg CH4/TJ</t>
  </si>
  <si>
    <t>kg N2O/TJ</t>
  </si>
  <si>
    <t>kg/ m3</t>
  </si>
  <si>
    <t>Stationary - Motor Gasoline</t>
  </si>
  <si>
    <t>Stationary - Gasoil /Diesel Oil</t>
  </si>
  <si>
    <t>Stationary - Waste Oil / Lubrificants</t>
  </si>
  <si>
    <t>Stationary LPG</t>
  </si>
  <si>
    <t>Stationary - Natural Gas</t>
  </si>
  <si>
    <t>Mobile - Motor Gasoline</t>
  </si>
  <si>
    <t>Mobile - Gasoil /Diesel Oil</t>
  </si>
  <si>
    <t>Mobile - Natural Gas</t>
  </si>
  <si>
    <t>Mobile - LPG</t>
  </si>
  <si>
    <t>Mobile - Ethanol (cars)</t>
  </si>
  <si>
    <t>Mobile - Ethanol (trucks)</t>
  </si>
  <si>
    <t xml:space="preserve">Off-road Diesel </t>
  </si>
  <si>
    <t>Off-road Gasoline (2-stroke)</t>
  </si>
  <si>
    <t>Off-road Gasoline (4-stroke)</t>
  </si>
  <si>
    <t>Table 3.3.1</t>
  </si>
  <si>
    <t>tCO2eq/t fuel</t>
  </si>
  <si>
    <t>Wood</t>
  </si>
  <si>
    <t>Peat</t>
  </si>
  <si>
    <t>Charcoal</t>
  </si>
  <si>
    <t>Drainage of organic soils</t>
  </si>
  <si>
    <t>Emissions factors for CO2 on site on drained organic soils  IPCC 2013</t>
  </si>
  <si>
    <t>NUTRIENT POOR SOIL</t>
  </si>
  <si>
    <t>Table 2.1</t>
  </si>
  <si>
    <t>Forest</t>
  </si>
  <si>
    <t>Plantation</t>
  </si>
  <si>
    <t>Annual</t>
  </si>
  <si>
    <t>Perennial</t>
  </si>
  <si>
    <t>Settlement</t>
  </si>
  <si>
    <t>Other land</t>
  </si>
  <si>
    <t>Peat extraction</t>
  </si>
  <si>
    <t xml:space="preserve">Notes </t>
  </si>
  <si>
    <t>For Forest boreal the value by default is the average of 2 EFs.</t>
  </si>
  <si>
    <t>For Tropical Montane the value by default is tropical</t>
  </si>
  <si>
    <t>For "Settlement", "Other land" and "Degraded land" select the EF from previous land use</t>
  </si>
  <si>
    <t>NUTRIENT RICH SOIL</t>
  </si>
  <si>
    <t>For Tropical Montane the value by default if tropical</t>
  </si>
  <si>
    <t>For grassland temperate EF this is the average of 2 EFS</t>
  </si>
  <si>
    <t>Emissions factors for DOC off site on drained organic soils  IPCC 2013</t>
  </si>
  <si>
    <t>Table 2.2</t>
  </si>
  <si>
    <t>Emissions factors for CH4 on site on drained organic soils  IPCC 2013</t>
  </si>
  <si>
    <t>Table 2.3</t>
  </si>
  <si>
    <t>kg CH4/ha/yr</t>
  </si>
  <si>
    <t>Emissions factors for CH4 off site on drained organic soils  IPCC 2013</t>
  </si>
  <si>
    <t>Emissions factors for N2O on site on drained organic soils  IPCC 2013</t>
  </si>
  <si>
    <t>NUTRIENT POOR</t>
  </si>
  <si>
    <t>NUTRIENT RICH</t>
  </si>
  <si>
    <t>Rewetting of organic soils</t>
  </si>
  <si>
    <t>Emissions factors for CO2 on rewetted organic soils  IPCC 2013</t>
  </si>
  <si>
    <t>Table 3.1</t>
  </si>
  <si>
    <t>tCO2-C/ha/yr</t>
  </si>
  <si>
    <t>Emissions factors for DOC on rewetted organic soils  IPCC 2013</t>
  </si>
  <si>
    <t>Table 3.2</t>
  </si>
  <si>
    <t>Emissions factors for CH4 on rewetted organic soils  IPCC 2013</t>
  </si>
  <si>
    <t>Table 3.3</t>
  </si>
  <si>
    <t>Emissions factors for N2O on rewetted organic soils  IPCC 2013</t>
  </si>
  <si>
    <t>NO TIER 1 EMISSION FACTORS</t>
  </si>
  <si>
    <t>tN2O-N/ha/yr</t>
  </si>
  <si>
    <t>Fire emissions factors for organic soils</t>
  </si>
  <si>
    <t>Organic soil fuel consumption values Mb     IPCC 2013</t>
  </si>
  <si>
    <t>Table 2.6</t>
  </si>
  <si>
    <t>Emission factor Gef for organic soil     IPCC 2013</t>
  </si>
  <si>
    <t>Table 2.7</t>
  </si>
  <si>
    <t>g CO2-C/kg dry matter burned</t>
  </si>
  <si>
    <t>g CO/kg dry matter burned</t>
  </si>
  <si>
    <t>g CH4/kg dry matter burned</t>
  </si>
  <si>
    <t xml:space="preserve">Conversions factors for CO2 for volume and weight production data - CARBON FRACTION </t>
  </si>
  <si>
    <t>NUTRIENT-POOR</t>
  </si>
  <si>
    <t>Table 7.5 IPCC 2006</t>
  </si>
  <si>
    <t>WEIGHT PEAT</t>
  </si>
  <si>
    <t>VOLUME PEAT</t>
  </si>
  <si>
    <t>tC/t air dry peat</t>
  </si>
  <si>
    <t>tC/m3 air dry peat</t>
  </si>
  <si>
    <t>Values in red are from IPCC 2006</t>
  </si>
  <si>
    <t>Conversions factors for CO2 for volume and weight production data - CARBON FRACTION VOLUME PEAT</t>
  </si>
  <si>
    <t>NUTRIENT-RICH</t>
  </si>
  <si>
    <t>Coastal wetlands</t>
  </si>
  <si>
    <t>Above ground biomass in coastal wetlands</t>
  </si>
  <si>
    <t>Table 4.3 IPCC 2014</t>
  </si>
  <si>
    <t>t dry matter/ha</t>
  </si>
  <si>
    <t>Notes: Proxy of tropical wet used for tropical moist</t>
  </si>
  <si>
    <t>Ratio BG/AG Coastal wetlands</t>
  </si>
  <si>
    <t>Table 4.5 IPCC 2014</t>
  </si>
  <si>
    <t>Table 4.9 IPCC 2014</t>
  </si>
  <si>
    <t>Table 4.10 IPCC 2014</t>
  </si>
  <si>
    <t>Tidal marsh mediterranean</t>
  </si>
  <si>
    <t>t root dm/t shoot dm</t>
  </si>
  <si>
    <t>Notes: For mangrove proxy of tropical wet used for tropical moist</t>
  </si>
  <si>
    <t>Litter in coastal wetlands</t>
  </si>
  <si>
    <t>Table 4.7 IPCC 2014</t>
  </si>
  <si>
    <t>Deadwood in coastal wetlands</t>
  </si>
  <si>
    <t>Default soil carbon stock (1 m depth)</t>
  </si>
  <si>
    <t>Table 4.11 IPCC 2014</t>
  </si>
  <si>
    <t>Organic soil</t>
  </si>
  <si>
    <t>Aggregated soil</t>
  </si>
  <si>
    <t>Emission factors for drainage</t>
  </si>
  <si>
    <t>all type of soils</t>
  </si>
  <si>
    <t>Table 4.13 IPCC 2014</t>
  </si>
  <si>
    <t>Emission factors for carbon associated to rewetting</t>
  </si>
  <si>
    <t>Table 4.12 IPCC 2014</t>
  </si>
  <si>
    <t>Emission factors for methane associated to rewetting</t>
  </si>
  <si>
    <t>For salinity &lt;18</t>
  </si>
  <si>
    <t>Table 4.14 IPCC 2014</t>
  </si>
  <si>
    <t>LIVESTOCK</t>
  </si>
  <si>
    <t>Methane emission factors from enteric fermentation</t>
  </si>
  <si>
    <t>Table 10.11</t>
  </si>
  <si>
    <t>Table 10.10</t>
  </si>
  <si>
    <t>Wang &amp; Huang 2005</t>
  </si>
  <si>
    <t>IPCC Region</t>
  </si>
  <si>
    <t>kgCH4/head/yr</t>
  </si>
  <si>
    <t>Sub-Saharan Africa</t>
  </si>
  <si>
    <t>East Asia and South-East Asia</t>
  </si>
  <si>
    <t>Latin America and the Caribbean</t>
  </si>
  <si>
    <t>Russian Federation</t>
  </si>
  <si>
    <t>NENA/Middle East</t>
  </si>
  <si>
    <t>South Asia</t>
  </si>
  <si>
    <t>Other sheep</t>
  </si>
  <si>
    <t>Other (Please specify in Tier 2)</t>
  </si>
  <si>
    <t>Notes: for sheep, swine and goat EFs are the one of low productivity systems</t>
  </si>
  <si>
    <t>Table 10A.5</t>
  </si>
  <si>
    <t>Notes: LP for both categories of swine and sheep</t>
  </si>
  <si>
    <t>Volatile Solid Excretion rate</t>
  </si>
  <si>
    <t>10.13A</t>
  </si>
  <si>
    <t>EF PER HEAD</t>
  </si>
  <si>
    <t xml:space="preserve">Notes : </t>
  </si>
  <si>
    <t>Notes : Default proxy for poultry</t>
  </si>
  <si>
    <t>Animal waste management system</t>
  </si>
  <si>
    <t>Table 10A.6</t>
  </si>
  <si>
    <t>Table 10A.7</t>
  </si>
  <si>
    <t>Pasture/Range/Paddock</t>
  </si>
  <si>
    <t>Other (pls. go Tier 2)</t>
  </si>
  <si>
    <t>Notes : Use of proxy from Eastern Europe for Russian Federation</t>
  </si>
  <si>
    <t>Breeding Swine HP</t>
  </si>
  <si>
    <t>Breeding Swine LP</t>
  </si>
  <si>
    <t>Notes : Eastern Europe proxy used for Russian Federation</t>
  </si>
  <si>
    <t>Growing Swine HP</t>
  </si>
  <si>
    <t>Growing Swine LP</t>
  </si>
  <si>
    <t>Notes :  Eastern Europe proxy used for Russian Federation</t>
  </si>
  <si>
    <t>Table 10A.8</t>
  </si>
  <si>
    <t>Notes : Eastern europe proxy used for Russian Federation</t>
  </si>
  <si>
    <t>Goat</t>
  </si>
  <si>
    <t>Table 10A.9</t>
  </si>
  <si>
    <t>Chicken layer Default</t>
  </si>
  <si>
    <t>Chicken broiler HP</t>
  </si>
  <si>
    <t>Chicken broiler LP</t>
  </si>
  <si>
    <t>Horse, camels, mules and asses, and other grazing aniamla</t>
  </si>
  <si>
    <t>Notes :  Goat proxy</t>
  </si>
  <si>
    <t>Notes :  according to footnote Table 10A.9</t>
  </si>
  <si>
    <t>Emission factors CH4 manure management</t>
  </si>
  <si>
    <t>Dairy Cattle HP</t>
  </si>
  <si>
    <t>Table 10.14</t>
  </si>
  <si>
    <t>Climate zone</t>
  </si>
  <si>
    <t>gCH4/kg Vs</t>
  </si>
  <si>
    <t xml:space="preserve">Notes :  </t>
  </si>
  <si>
    <t>Dairy Cattle LP</t>
  </si>
  <si>
    <t>Other Cattle HP</t>
  </si>
  <si>
    <t>Other Cattle LP</t>
  </si>
  <si>
    <t>Swine HP</t>
  </si>
  <si>
    <t>Notes :  Liquid slurry and pit&gt;1 month identic</t>
  </si>
  <si>
    <t>Swine LP</t>
  </si>
  <si>
    <t>Poultry HP</t>
  </si>
  <si>
    <t>Poultry LP</t>
  </si>
  <si>
    <t>Sheep HP</t>
  </si>
  <si>
    <t>Sheep LP</t>
  </si>
  <si>
    <t>Goat HP</t>
  </si>
  <si>
    <t>Goat LP</t>
  </si>
  <si>
    <t>Camels HP</t>
  </si>
  <si>
    <t>Camels LP</t>
  </si>
  <si>
    <t>Horses HP</t>
  </si>
  <si>
    <t>Horses LP</t>
  </si>
  <si>
    <t>Mules and Asses HP</t>
  </si>
  <si>
    <t>Mules and Asses LP</t>
  </si>
  <si>
    <t>Nitrogen excretion rates</t>
  </si>
  <si>
    <t>Table 10.19</t>
  </si>
  <si>
    <t>kgN/1000 kg TAM/day</t>
  </si>
  <si>
    <t>Notes: Proxies of Eastern Europe for Russia</t>
  </si>
  <si>
    <t>Proxy default poultry</t>
  </si>
  <si>
    <t>Direct Emission factors N2O manure management</t>
  </si>
  <si>
    <t>Cattle, poultry, pigs</t>
  </si>
  <si>
    <t>Table 10.21</t>
  </si>
  <si>
    <t>Table 11.1</t>
  </si>
  <si>
    <t>kg N2O-N/kg N excreted</t>
  </si>
  <si>
    <t>Sheep and others</t>
  </si>
  <si>
    <t>Fraction N2O Volatilization (Frac gaz Ms)manure management</t>
  </si>
  <si>
    <t>Swine</t>
  </si>
  <si>
    <t>Table 10.22</t>
  </si>
  <si>
    <t>Table 11.3</t>
  </si>
  <si>
    <t>Frac gas_MS</t>
  </si>
  <si>
    <t>Dairy cow</t>
  </si>
  <si>
    <t>Poultry</t>
  </si>
  <si>
    <t>Other animal</t>
  </si>
  <si>
    <t>Fraction N2O Leaching (Frac leach Ms)manure management</t>
  </si>
  <si>
    <t>All naimal categories</t>
  </si>
  <si>
    <t>Frac leach_MS</t>
  </si>
  <si>
    <t>Notes :  Fracleachmoist=1/2Frac leach wet for PRP</t>
  </si>
  <si>
    <t xml:space="preserve">Flooded land </t>
  </si>
  <si>
    <t xml:space="preserve">Emission factors for other constructed waterbodies </t>
  </si>
  <si>
    <t>Table 7.12</t>
  </si>
  <si>
    <t>Trophic state adjustment factor</t>
  </si>
  <si>
    <t>Table 7.11</t>
  </si>
  <si>
    <t>adjustment factor</t>
  </si>
  <si>
    <t>Mean annual Chlo-a</t>
  </si>
  <si>
    <t>micrgramme/litre</t>
  </si>
  <si>
    <t>Oligotrophic</t>
  </si>
  <si>
    <t>Mesotrophic</t>
  </si>
  <si>
    <t>Eutrophic</t>
  </si>
  <si>
    <t>Hypereutrophic</t>
  </si>
  <si>
    <t>Perennial systems</t>
  </si>
  <si>
    <t>Maximum AGB C stock at harvest</t>
  </si>
  <si>
    <t>Table 5.1</t>
  </si>
  <si>
    <t>Table 5.3</t>
  </si>
  <si>
    <t>Tropical montane</t>
  </si>
  <si>
    <t>Notes : bold values are the default ones provided bythe IPCC for a specific climate but applied to other climate in the absence of data</t>
  </si>
  <si>
    <t>IPCC provides values for all temperate climates only, hence we assume that the corresponding values apply to both warm temperate and cool temperate climate zones</t>
  </si>
  <si>
    <t>Area excavated (ha)</t>
  </si>
  <si>
    <t xml:space="preserve">Maximum area available for drainage </t>
  </si>
  <si>
    <t>Area drained (ha)</t>
  </si>
  <si>
    <t>Type of soil</t>
  </si>
  <si>
    <t>Soil (1 m depth)</t>
  </si>
  <si>
    <t>EF drainage (tC/ha/yr)</t>
  </si>
  <si>
    <t>Tier</t>
  </si>
  <si>
    <t>7.1.3 Rewetting &amp; revegetation</t>
  </si>
  <si>
    <t>EF CO2 (tC/ha/yr)</t>
  </si>
  <si>
    <t>EF CH4 (kgCH4/ha/yr)</t>
  </si>
  <si>
    <t>ppt</t>
  </si>
  <si>
    <t>7.2 Coastal waterbodies (total area must remain constant)</t>
  </si>
  <si>
    <t>For inland wetland waterbodies, go to the Inland Wetlands module</t>
  </si>
  <si>
    <t>Total for coastal water bodies (tCO2-e)</t>
  </si>
  <si>
    <t>Extraction and excavation</t>
  </si>
  <si>
    <t>AGB (tC/ha)</t>
  </si>
  <si>
    <t>BGB (tC/ha)</t>
  </si>
  <si>
    <t>Litter (tC/ha)</t>
  </si>
  <si>
    <t>%C lost after excavation</t>
  </si>
  <si>
    <t>Type of vegetation</t>
  </si>
  <si>
    <t>Soil type</t>
  </si>
  <si>
    <t>difference</t>
  </si>
  <si>
    <t>Total Biomass</t>
  </si>
  <si>
    <t>Total soil</t>
  </si>
  <si>
    <t>Area Mineral soil (ha)</t>
  </si>
  <si>
    <t>Area excavated</t>
  </si>
  <si>
    <t>C Biomass lost per hectare</t>
  </si>
  <si>
    <t>C soil per hectare</t>
  </si>
  <si>
    <t>Total lost (tCO2eq)</t>
  </si>
  <si>
    <t>Implementation phase</t>
  </si>
  <si>
    <t>Area Organic soil (ha)</t>
  </si>
  <si>
    <t>Area aggregated soil (ha)</t>
  </si>
  <si>
    <t>Total excavation (tCO2eq)</t>
  </si>
  <si>
    <t>EF Drainage (tC/ha/yr)</t>
  </si>
  <si>
    <t>Stock C biomass</t>
  </si>
  <si>
    <t>Total biomass lost (tCO2)</t>
  </si>
  <si>
    <t>Maximum soil CO2 emissions</t>
  </si>
  <si>
    <t>Total soil emissions (tCO2eq)</t>
  </si>
  <si>
    <t>Total drainage (tCO2eq)</t>
  </si>
  <si>
    <t>Rewetting &amp; Revegetation</t>
  </si>
  <si>
    <t>EF Rewetting CO2 (tC/ha/yr)</t>
  </si>
  <si>
    <t>EF Rewetting CH4 (kgCH4/ha/yr)</t>
  </si>
  <si>
    <t>Total Soil CO2</t>
  </si>
  <si>
    <t>Total Soil CH4</t>
  </si>
  <si>
    <t>Stock C biomass (tC/yr)</t>
  </si>
  <si>
    <t>Total biomass gain (tCO2)</t>
  </si>
  <si>
    <t>Emissions CO2 (tCO2eq/year)</t>
  </si>
  <si>
    <t>Total CO2 emissions (tCO2eq)</t>
  </si>
  <si>
    <t>Emissions CH4 (tCO2eq/year)</t>
  </si>
  <si>
    <t>Total Rewetting (tCO2eq)</t>
  </si>
  <si>
    <t>Coastal waterbodies</t>
  </si>
  <si>
    <t>Annual emissions (tCO2eq/yr)</t>
  </si>
  <si>
    <t>Small scale fisheries</t>
  </si>
  <si>
    <t>Emissions from catch</t>
  </si>
  <si>
    <t>Catch (tonne per year)</t>
  </si>
  <si>
    <t>FUI (litre/tonne)</t>
  </si>
  <si>
    <t>Emission factor (tCO2eq/t catch)</t>
  </si>
  <si>
    <t>Emission factor (tCO2eq/m3)</t>
  </si>
  <si>
    <t>Fishery category</t>
  </si>
  <si>
    <t>Gear category</t>
  </si>
  <si>
    <t>Gasoil/Diesel</t>
  </si>
  <si>
    <t>Annual fuel consumption (m3/yr)</t>
  </si>
  <si>
    <t>Emissions from refrigerant</t>
  </si>
  <si>
    <t>All catch</t>
  </si>
  <si>
    <t>Quantity lost (kg refrigerant)</t>
  </si>
  <si>
    <t>GWP refrigerant</t>
  </si>
  <si>
    <t>Refrigerant lost/t catch</t>
  </si>
  <si>
    <t>Emissions from ice (artisanal catch only)</t>
  </si>
  <si>
    <t>kWh ice/t catch</t>
  </si>
  <si>
    <t>Emission factor</t>
  </si>
  <si>
    <t>tCO2eq/t catch</t>
  </si>
  <si>
    <t>Tonne of ice per t of catch</t>
  </si>
  <si>
    <t>Country of origin</t>
  </si>
  <si>
    <t>Total  (tCO2eq)</t>
  </si>
  <si>
    <t>Large scale fisheries</t>
  </si>
  <si>
    <t>TotalCO2eq</t>
  </si>
  <si>
    <t>Fish category</t>
  </si>
  <si>
    <t>Coastal-based aquaculture</t>
  </si>
  <si>
    <t>Emission factor feed</t>
  </si>
  <si>
    <t>tCO2eq/t feed</t>
  </si>
  <si>
    <t>N2O EF from production (t N2O-N/t production)</t>
  </si>
  <si>
    <t>tCO2eq/t production</t>
  </si>
  <si>
    <t>CO2-e feed</t>
  </si>
  <si>
    <t>N2O prod</t>
  </si>
  <si>
    <t>N2O emissions</t>
  </si>
  <si>
    <t>Production (tonne/year)</t>
  </si>
  <si>
    <t>Feed emissions</t>
  </si>
  <si>
    <t>Quantity of feed (tonne/year)</t>
  </si>
  <si>
    <t>Total (tCO2eq)</t>
  </si>
  <si>
    <t>8.1. Small-scale fisheries (marine and inland)</t>
  </si>
  <si>
    <t>Inputs &amp; Investments module can be used to complement this section</t>
  </si>
  <si>
    <t>Emission factor (tCO2-e/m3)</t>
  </si>
  <si>
    <t>On-board leakage from refrigeration systems</t>
  </si>
  <si>
    <t>Fishing operations (based on fuel use intensity, FUI, values)</t>
  </si>
  <si>
    <t>Refrigerant lost per tonne of landed catch</t>
  </si>
  <si>
    <t>% with refrigerant systems</t>
  </si>
  <si>
    <t>Changes in FUI management (litre/tonne)</t>
  </si>
  <si>
    <t>Total catch per year (tonne/year)</t>
  </si>
  <si>
    <t>Type of fishery</t>
  </si>
  <si>
    <t>Refrigerant GWP</t>
  </si>
  <si>
    <t>GWP of refrigerant</t>
  </si>
  <si>
    <t>tCO2-e/t catch</t>
  </si>
  <si>
    <t xml:space="preserve">FUI is the amount of fuel needed to land </t>
  </si>
  <si>
    <t>1 tonne of catch</t>
  </si>
  <si>
    <t>Total fuel consumption (m3/year)</t>
  </si>
  <si>
    <t xml:space="preserve">Total catch with refrigerant systems </t>
  </si>
  <si>
    <t>Quantity (tonne)</t>
  </si>
  <si>
    <t>Quantity (kWh/t ice)</t>
  </si>
  <si>
    <t>Emissions from production of ice produced inshore</t>
  </si>
  <si>
    <t>% of Total catch preserved by ice produced inshore</t>
  </si>
  <si>
    <t>Quantity of ice (tonne) per tonne of catch</t>
  </si>
  <si>
    <t xml:space="preserve">Electricity (kWh) used per tonne of ice </t>
  </si>
  <si>
    <t>Total artisanal and coastal catch</t>
  </si>
  <si>
    <t>Country of origin of ice production</t>
  </si>
  <si>
    <t>8.2. Large-scale Fisheries (marine fisheries)</t>
  </si>
  <si>
    <t>Total coastal catch</t>
  </si>
  <si>
    <t>8.3. Inland and coastal aquaculture</t>
  </si>
  <si>
    <t>Emissions from feed use</t>
  </si>
  <si>
    <t>N2O EF from fish production</t>
  </si>
  <si>
    <t>Emissions from production and feed</t>
  </si>
  <si>
    <t>(tCO2-e/t feed)</t>
  </si>
  <si>
    <t>(t N2O-N/t production)</t>
  </si>
  <si>
    <t>Annual quantity of feed (tonne/year)</t>
  </si>
  <si>
    <t>Annual production (tonne/year)</t>
  </si>
  <si>
    <t>Fuel Use Intensity (FUI) from Fuel and Energy Use Database (FEUD) of Dalhousie University</t>
  </si>
  <si>
    <t>l /t fish</t>
  </si>
  <si>
    <t>LARGE SCALE FISHERIES</t>
  </si>
  <si>
    <t>full database on the right</t>
  </si>
  <si>
    <t>By gear</t>
  </si>
  <si>
    <t>All (Average)</t>
  </si>
  <si>
    <t>Gillnets and entangling nets</t>
  </si>
  <si>
    <t>Midwater trawls</t>
  </si>
  <si>
    <t>Traps and lift nets</t>
  </si>
  <si>
    <t>Other or mixed</t>
  </si>
  <si>
    <t>Mobile seine</t>
  </si>
  <si>
    <t>n</t>
  </si>
  <si>
    <t>Median</t>
  </si>
  <si>
    <t xml:space="preserve">n </t>
  </si>
  <si>
    <t>Average</t>
  </si>
  <si>
    <t>Abalones, winkles and conchs</t>
  </si>
  <si>
    <t>Clams, cockles and arkshells</t>
  </si>
  <si>
    <t>Cods, hakes and haddocks</t>
  </si>
  <si>
    <t>Flounders, halibuts and soles</t>
  </si>
  <si>
    <t>Herrings, sardines and anchovies</t>
  </si>
  <si>
    <t>Jacks, mullets and sauries</t>
  </si>
  <si>
    <t>Krill and plankton</t>
  </si>
  <si>
    <t>Lobsters and spiny-rock lobsters</t>
  </si>
  <si>
    <t>Mackerels, snoeks and cutlassfish</t>
  </si>
  <si>
    <t>Miscellaneous marine crustaceans</t>
  </si>
  <si>
    <t>Miscellaneous marine fishes</t>
  </si>
  <si>
    <t>Miscellaneous marine molluscs</t>
  </si>
  <si>
    <t>Mussels</t>
  </si>
  <si>
    <t>Redfish, basses and congers</t>
  </si>
  <si>
    <t>Salmons, trots and smelts</t>
  </si>
  <si>
    <t>Scallops and pectens</t>
  </si>
  <si>
    <t>Sea-spiders and crabs</t>
  </si>
  <si>
    <t>Shads</t>
  </si>
  <si>
    <t>Sharks and rays</t>
  </si>
  <si>
    <t>Shrimps and prawns</t>
  </si>
  <si>
    <t>Squat lobsters</t>
  </si>
  <si>
    <t>Squids, cuttlefish and octopuses</t>
  </si>
  <si>
    <t>Tunas, bonitos and billfishes</t>
  </si>
  <si>
    <t>Not Specified</t>
  </si>
  <si>
    <t xml:space="preserve">Fuel Use Intensity (FUI) from Illuminating Hidden Harvests project </t>
  </si>
  <si>
    <t>SMALL SCALE FISHERIES</t>
  </si>
  <si>
    <t>Trawls</t>
  </si>
  <si>
    <t>Multiple</t>
  </si>
  <si>
    <t>Marine</t>
  </si>
  <si>
    <t>Inland</t>
  </si>
  <si>
    <t>Unmotorized fishing</t>
  </si>
  <si>
    <t xml:space="preserve">Total mangrove </t>
  </si>
  <si>
    <t xml:space="preserve">Soil C stocks </t>
  </si>
  <si>
    <t xml:space="preserve">Data quality </t>
  </si>
  <si>
    <r>
      <t>Estimates of mean (± sd) total soil carbon (C) stocks and C stocks per unit area for countries where mangroves occur. 
Mangrove forest area are based on values from Hamilton and Casey 2016. C stock</t>
    </r>
    <r>
      <rPr>
        <i/>
        <sz val="11"/>
        <color rgb="FF44536A"/>
        <rFont val="Times New Roman"/>
        <family val="1"/>
      </rPr>
      <t xml:space="preserve"> </t>
    </r>
    <r>
      <rPr>
        <sz val="11"/>
        <color rgb="FF44536A"/>
        <rFont val="Times New Roman"/>
        <family val="1"/>
      </rPr>
      <t>(</t>
    </r>
    <r>
      <rPr>
        <sz val="11"/>
        <color rgb="FF000000"/>
        <rFont val="Times New Roman"/>
        <family val="1"/>
      </rPr>
      <t>Mg ha</t>
    </r>
    <r>
      <rPr>
        <vertAlign val="superscript"/>
        <sz val="11"/>
        <color rgb="FF000000"/>
        <rFont val="Times New Roman"/>
        <family val="1"/>
      </rPr>
      <t>-1</t>
    </r>
    <r>
      <rPr>
        <sz val="11"/>
        <color rgb="FF000000"/>
        <rFont val="Times New Roman"/>
        <family val="1"/>
      </rPr>
      <t>)</t>
    </r>
    <r>
      <rPr>
        <vertAlign val="superscript"/>
        <sz val="11"/>
        <color rgb="FF000000"/>
        <rFont val="Times New Roman"/>
        <family val="1"/>
      </rPr>
      <t xml:space="preserve"> </t>
    </r>
    <r>
      <rPr>
        <sz val="11"/>
        <color rgb="FF000000"/>
        <rFont val="Times New Roman"/>
        <family val="1"/>
      </rPr>
      <t xml:space="preserve">represent the top 1 m of soil. 
Countries with an * next to their name are missing soil C data. For these countries total C stocks were estimated using the average global soil C stock per unit area of 283 MgC/ha. </t>
    </r>
  </si>
  <si>
    <t>Country EX-ACT</t>
  </si>
  <si>
    <t xml:space="preserve">Country </t>
  </si>
  <si>
    <t xml:space="preserve">n   </t>
  </si>
  <si>
    <t xml:space="preserve">area-2014 (km2) </t>
  </si>
  <si>
    <t xml:space="preserve"> Mg C/ha</t>
  </si>
  <si>
    <t>sd</t>
  </si>
  <si>
    <t xml:space="preserve">score </t>
  </si>
  <si>
    <t xml:space="preserve">n = number of soil cores from which estimates are based. Data quality score was calculated using Table S3 and S4. Maximum data quality score is 21.  </t>
  </si>
  <si>
    <t>Angola</t>
  </si>
  <si>
    <t xml:space="preserve">Angola* </t>
  </si>
  <si>
    <t>Antigua and Barbuda</t>
  </si>
  <si>
    <t xml:space="preserve">Antigua/Barbuda* </t>
  </si>
  <si>
    <t>Australia</t>
  </si>
  <si>
    <t xml:space="preserve">Australia </t>
  </si>
  <si>
    <t>Bahamas</t>
  </si>
  <si>
    <t xml:space="preserve">Bahamas </t>
  </si>
  <si>
    <t>Bangladesh</t>
  </si>
  <si>
    <t xml:space="preserve">Bangladesh </t>
  </si>
  <si>
    <t>Barbados</t>
  </si>
  <si>
    <t xml:space="preserve">Barbados* </t>
  </si>
  <si>
    <t>Belize</t>
  </si>
  <si>
    <t xml:space="preserve">Belize </t>
  </si>
  <si>
    <t>Benin</t>
  </si>
  <si>
    <t xml:space="preserve">Benin </t>
  </si>
  <si>
    <t>Bermuda</t>
  </si>
  <si>
    <t xml:space="preserve">Bermuda* </t>
  </si>
  <si>
    <t>Brazil</t>
  </si>
  <si>
    <t xml:space="preserve">Brazil </t>
  </si>
  <si>
    <t>Brunei Darussalam</t>
  </si>
  <si>
    <t xml:space="preserve">Brunei* </t>
  </si>
  <si>
    <t>Cambodia</t>
  </si>
  <si>
    <t xml:space="preserve">Cambodia* </t>
  </si>
  <si>
    <t>Cameroon</t>
  </si>
  <si>
    <t xml:space="preserve">Cameroon </t>
  </si>
  <si>
    <t>China</t>
  </si>
  <si>
    <t xml:space="preserve">China </t>
  </si>
  <si>
    <t>Colombia</t>
  </si>
  <si>
    <t xml:space="preserve">Colombia </t>
  </si>
  <si>
    <t>Comoros</t>
  </si>
  <si>
    <t xml:space="preserve">Comoros* </t>
  </si>
  <si>
    <t>Congo</t>
  </si>
  <si>
    <t xml:space="preserve">Congo </t>
  </si>
  <si>
    <t>Costa Rica</t>
  </si>
  <si>
    <t xml:space="preserve">Costa Rica* </t>
  </si>
  <si>
    <t>Côte d’Ivoire</t>
  </si>
  <si>
    <t xml:space="preserve">Ivory Coast* </t>
  </si>
  <si>
    <t>Cuba</t>
  </si>
  <si>
    <t xml:space="preserve">Cuba* </t>
  </si>
  <si>
    <t>Democratic Republic of the Congo</t>
  </si>
  <si>
    <t>Democratic Republic of Congo</t>
  </si>
  <si>
    <t>Djibouti</t>
  </si>
  <si>
    <t xml:space="preserve">Djibouti* </t>
  </si>
  <si>
    <t>Dominican Republic</t>
  </si>
  <si>
    <t xml:space="preserve">Dominican Republic </t>
  </si>
  <si>
    <t>Ecuador</t>
  </si>
  <si>
    <t xml:space="preserve">Ecuador </t>
  </si>
  <si>
    <t>Egypt</t>
  </si>
  <si>
    <t xml:space="preserve">Egypt </t>
  </si>
  <si>
    <t>El Salvador</t>
  </si>
  <si>
    <t xml:space="preserve">El Salvador* </t>
  </si>
  <si>
    <t>Equatorial Guinea</t>
  </si>
  <si>
    <t xml:space="preserve">Equatorial Guinea* </t>
  </si>
  <si>
    <t>Eritrea</t>
  </si>
  <si>
    <t xml:space="preserve">Eritrea* </t>
  </si>
  <si>
    <t>Fiji</t>
  </si>
  <si>
    <t xml:space="preserve">Fiji* </t>
  </si>
  <si>
    <t>French Guiana</t>
  </si>
  <si>
    <t xml:space="preserve">French Guiana/Guadeloupe </t>
  </si>
  <si>
    <t>Gabon</t>
  </si>
  <si>
    <t xml:space="preserve">Gabon </t>
  </si>
  <si>
    <t>Gambia</t>
  </si>
  <si>
    <t xml:space="preserve">Gambia, The* </t>
  </si>
  <si>
    <t>Ghana</t>
  </si>
  <si>
    <t xml:space="preserve">Ghana </t>
  </si>
  <si>
    <t>Grenada</t>
  </si>
  <si>
    <t xml:space="preserve">Grenada* </t>
  </si>
  <si>
    <t>Guadeloupe</t>
  </si>
  <si>
    <t>Guatemala</t>
  </si>
  <si>
    <t xml:space="preserve">Guatemala* </t>
  </si>
  <si>
    <t>Guinea</t>
  </si>
  <si>
    <t xml:space="preserve">Guinea* </t>
  </si>
  <si>
    <t>Guinea-Bissau</t>
  </si>
  <si>
    <t xml:space="preserve">Guinea-Bissau </t>
  </si>
  <si>
    <t>Guyana</t>
  </si>
  <si>
    <t xml:space="preserve">Guyana* </t>
  </si>
  <si>
    <t>Haiti</t>
  </si>
  <si>
    <t xml:space="preserve">Haiti* </t>
  </si>
  <si>
    <t>Honduras</t>
  </si>
  <si>
    <t xml:space="preserve">Honduras </t>
  </si>
  <si>
    <t>India</t>
  </si>
  <si>
    <t xml:space="preserve">India </t>
  </si>
  <si>
    <t>Indonesia</t>
  </si>
  <si>
    <t xml:space="preserve">Indonesia </t>
  </si>
  <si>
    <t>Iran</t>
  </si>
  <si>
    <t xml:space="preserve">Iran* </t>
  </si>
  <si>
    <t>Jamaica</t>
  </si>
  <si>
    <t xml:space="preserve">Jamaica* </t>
  </si>
  <si>
    <t>Japan</t>
  </si>
  <si>
    <t xml:space="preserve">Japan </t>
  </si>
  <si>
    <t>Kenya</t>
  </si>
  <si>
    <t xml:space="preserve">Kenya </t>
  </si>
  <si>
    <t>Liberia</t>
  </si>
  <si>
    <t xml:space="preserve">Liberia* </t>
  </si>
  <si>
    <t>Madagascar</t>
  </si>
  <si>
    <t xml:space="preserve">Madagascar </t>
  </si>
  <si>
    <t>Malaysia</t>
  </si>
  <si>
    <t xml:space="preserve">Malaysia </t>
  </si>
  <si>
    <t>Maldives</t>
  </si>
  <si>
    <t xml:space="preserve">Maldives* </t>
  </si>
  <si>
    <t>Mexico</t>
  </si>
  <si>
    <t xml:space="preserve">Mexico </t>
  </si>
  <si>
    <t>Micronesia (Federated States of)</t>
  </si>
  <si>
    <t xml:space="preserve">Fed. States of Micronesia </t>
  </si>
  <si>
    <t>Morocco</t>
  </si>
  <si>
    <t xml:space="preserve">Morocco* </t>
  </si>
  <si>
    <t>Mozambique</t>
  </si>
  <si>
    <t xml:space="preserve">Mozambique </t>
  </si>
  <si>
    <t>Myanmar</t>
  </si>
  <si>
    <t xml:space="preserve">Myanmar* </t>
  </si>
  <si>
    <t>New Caledonia</t>
  </si>
  <si>
    <t xml:space="preserve">New Caledonia </t>
  </si>
  <si>
    <t>New Zealand</t>
  </si>
  <si>
    <t xml:space="preserve">New Zealand </t>
  </si>
  <si>
    <t>Nicaragua</t>
  </si>
  <si>
    <t xml:space="preserve">Nicaragua* </t>
  </si>
  <si>
    <t>Nigeria</t>
  </si>
  <si>
    <t xml:space="preserve">Nigeria </t>
  </si>
  <si>
    <t>Oman</t>
  </si>
  <si>
    <t xml:space="preserve">Oman* </t>
  </si>
  <si>
    <t>Pakistan</t>
  </si>
  <si>
    <t xml:space="preserve">Pakistan </t>
  </si>
  <si>
    <t>Palau</t>
  </si>
  <si>
    <t xml:space="preserve">Palau </t>
  </si>
  <si>
    <t>Panama</t>
  </si>
  <si>
    <t xml:space="preserve">Panama </t>
  </si>
  <si>
    <t>Papua New Guinea</t>
  </si>
  <si>
    <t xml:space="preserve">Papua New Guinea </t>
  </si>
  <si>
    <t>Peru</t>
  </si>
  <si>
    <t xml:space="preserve">Peru* </t>
  </si>
  <si>
    <t>Philippines</t>
  </si>
  <si>
    <t xml:space="preserve">Philippines </t>
  </si>
  <si>
    <t>Puerto Rico</t>
  </si>
  <si>
    <t xml:space="preserve">Puerto Rico* </t>
  </si>
  <si>
    <t>Saudi Arabia</t>
  </si>
  <si>
    <t xml:space="preserve">Saudi Arabia </t>
  </si>
  <si>
    <t>Senegal</t>
  </si>
  <si>
    <t xml:space="preserve">Senegal </t>
  </si>
  <si>
    <t>Seychelles</t>
  </si>
  <si>
    <t xml:space="preserve">Seychelles* </t>
  </si>
  <si>
    <t>Sierra Leone</t>
  </si>
  <si>
    <t xml:space="preserve">Sierra Leone* </t>
  </si>
  <si>
    <t>Singapore</t>
  </si>
  <si>
    <t xml:space="preserve">Singapore </t>
  </si>
  <si>
    <t>Solomon Islands</t>
  </si>
  <si>
    <t xml:space="preserve">Solomon Islands* </t>
  </si>
  <si>
    <t>Somalia</t>
  </si>
  <si>
    <t xml:space="preserve">Somalia* </t>
  </si>
  <si>
    <t>South Africa</t>
  </si>
  <si>
    <t xml:space="preserve">South Africa </t>
  </si>
  <si>
    <t>Sri Lanka</t>
  </si>
  <si>
    <t xml:space="preserve">Sri Lanka </t>
  </si>
  <si>
    <t>Saint Vincent and the Grenadines</t>
  </si>
  <si>
    <t xml:space="preserve">St. Vincent/ The Grenadines* </t>
  </si>
  <si>
    <t>Sudan</t>
  </si>
  <si>
    <t xml:space="preserve">Sudan* </t>
  </si>
  <si>
    <t>Suriname</t>
  </si>
  <si>
    <t xml:space="preserve">Suriname* </t>
  </si>
  <si>
    <t xml:space="preserve">Taiwan </t>
  </si>
  <si>
    <t>United Republic of Tanzania</t>
  </si>
  <si>
    <t xml:space="preserve">Tanzania </t>
  </si>
  <si>
    <t>Thailand</t>
  </si>
  <si>
    <t xml:space="preserve">Thailand </t>
  </si>
  <si>
    <t>Countries</t>
  </si>
  <si>
    <t>GLEAM</t>
  </si>
  <si>
    <t>EX-ACT</t>
  </si>
  <si>
    <t>LIST REGION GLEAM</t>
  </si>
  <si>
    <t>LIST REGION EX-ACT</t>
  </si>
  <si>
    <t>LIST REGION IPCC</t>
  </si>
  <si>
    <t>American Samoa</t>
  </si>
  <si>
    <t>Select other</t>
  </si>
  <si>
    <t>South Asia = Indian sub-continent</t>
  </si>
  <si>
    <t>Only Australia and NZ are considered in the category Oceania. All Pacific SIDS are under the East Asia and South East Asia</t>
  </si>
  <si>
    <t>China, Hong Kong Special Administrative Region</t>
  </si>
  <si>
    <t>China, Macao Special Administrative Region</t>
  </si>
  <si>
    <t>Christmas Island</t>
  </si>
  <si>
    <t>Cocos (Keeling) Islands</t>
  </si>
  <si>
    <t>Cook Islands</t>
  </si>
  <si>
    <t>Democratic People's Republic of Korea</t>
  </si>
  <si>
    <t>French Polynesia</t>
  </si>
  <si>
    <t>Guam</t>
  </si>
  <si>
    <t>Heard Island and McDonald Islands</t>
  </si>
  <si>
    <t>Kiribati</t>
  </si>
  <si>
    <t>Lao People's Democratic Republic</t>
  </si>
  <si>
    <t>Marshall Islands</t>
  </si>
  <si>
    <t>Mongolia</t>
  </si>
  <si>
    <t>Nauru</t>
  </si>
  <si>
    <t>Niue</t>
  </si>
  <si>
    <t>Norfolk Island</t>
  </si>
  <si>
    <t>Northern Mariana Islands</t>
  </si>
  <si>
    <t>Republic of Korea</t>
  </si>
  <si>
    <t>Samoa</t>
  </si>
  <si>
    <t>Timor-Leste</t>
  </si>
  <si>
    <t>Tokelau</t>
  </si>
  <si>
    <t>Tonga</t>
  </si>
  <si>
    <t>Tuvalu</t>
  </si>
  <si>
    <t>United States Minor Outlying Islands</t>
  </si>
  <si>
    <t>Vanuatu</t>
  </si>
  <si>
    <t>Viet Nam</t>
  </si>
  <si>
    <t>Wallis and Futuna Islands</t>
  </si>
  <si>
    <t>Belarus</t>
  </si>
  <si>
    <t>Bulgaria</t>
  </si>
  <si>
    <t>Czechia</t>
  </si>
  <si>
    <t>Hungary</t>
  </si>
  <si>
    <t>Poland</t>
  </si>
  <si>
    <t>Republic of Moldova</t>
  </si>
  <si>
    <t>Romania</t>
  </si>
  <si>
    <t>Slovakia</t>
  </si>
  <si>
    <t>Ukraine</t>
  </si>
  <si>
    <t>Anguilla</t>
  </si>
  <si>
    <t>Argentina</t>
  </si>
  <si>
    <t>Aruba</t>
  </si>
  <si>
    <t>Bolivia</t>
  </si>
  <si>
    <t>Bonaire, Sint Eustatius and Saba</t>
  </si>
  <si>
    <t>Bouvet Island</t>
  </si>
  <si>
    <t>British Virgin Islands</t>
  </si>
  <si>
    <t>Cayman Islands</t>
  </si>
  <si>
    <t>Chile</t>
  </si>
  <si>
    <t>Curaçao</t>
  </si>
  <si>
    <t>Dominica</t>
  </si>
  <si>
    <t>Falkland Islands (Malvinas)</t>
  </si>
  <si>
    <t>Martinique</t>
  </si>
  <si>
    <t>Montserrat</t>
  </si>
  <si>
    <t>Paraguay</t>
  </si>
  <si>
    <t>Saint Barthélemy</t>
  </si>
  <si>
    <t>Saint Kitts and Nevis</t>
  </si>
  <si>
    <t>Saint Lucia</t>
  </si>
  <si>
    <t>Saint Martin (French Part)</t>
  </si>
  <si>
    <t>Sint Maarten (Dutch part)</t>
  </si>
  <si>
    <t>South Georgia and the South Sandwich Islands</t>
  </si>
  <si>
    <t>Trinidad and Tobago</t>
  </si>
  <si>
    <t>Turks and Caicos Islands</t>
  </si>
  <si>
    <t>United States Virgin Islands</t>
  </si>
  <si>
    <t>Uruguay</t>
  </si>
  <si>
    <t>Venezuela</t>
  </si>
  <si>
    <t>Algeria</t>
  </si>
  <si>
    <t>NENA</t>
  </si>
  <si>
    <t>Armenia</t>
  </si>
  <si>
    <t>Azerbaijan</t>
  </si>
  <si>
    <t>Bahrain</t>
  </si>
  <si>
    <t>Cyprus</t>
  </si>
  <si>
    <t>Georgia</t>
  </si>
  <si>
    <t>Iraq</t>
  </si>
  <si>
    <t>Israel</t>
  </si>
  <si>
    <t>Jordan</t>
  </si>
  <si>
    <t>Kazakhstan</t>
  </si>
  <si>
    <t>Kuwait</t>
  </si>
  <si>
    <t>Kyrgyzstan</t>
  </si>
  <si>
    <t>Lebanon</t>
  </si>
  <si>
    <t>Libya</t>
  </si>
  <si>
    <t>Qatar</t>
  </si>
  <si>
    <t>South Sudan</t>
  </si>
  <si>
    <t>State of Palestine</t>
  </si>
  <si>
    <t>Syrian Arab Republic</t>
  </si>
  <si>
    <t>Tajikistan</t>
  </si>
  <si>
    <t>Tunisia</t>
  </si>
  <si>
    <t>Turkey</t>
  </si>
  <si>
    <t>Turkmenistan</t>
  </si>
  <si>
    <t>United Arab Emirates</t>
  </si>
  <si>
    <t>Uzbekistan</t>
  </si>
  <si>
    <t>Western Sahara</t>
  </si>
  <si>
    <t>Yemen</t>
  </si>
  <si>
    <t>Canada</t>
  </si>
  <si>
    <t>Greenland</t>
  </si>
  <si>
    <t>Saint Pierre and Miquelon</t>
  </si>
  <si>
    <t>United States of America</t>
  </si>
  <si>
    <t>Afghanistan</t>
  </si>
  <si>
    <t>Bhutan</t>
  </si>
  <si>
    <t>British Indian Ocean Territory</t>
  </si>
  <si>
    <t>Nepal</t>
  </si>
  <si>
    <t>Pitcairn</t>
  </si>
  <si>
    <t>Botswana</t>
  </si>
  <si>
    <t>Burkina Faso</t>
  </si>
  <si>
    <t>Burundi</t>
  </si>
  <si>
    <t>Cabo Verde</t>
  </si>
  <si>
    <t>Central African Republic</t>
  </si>
  <si>
    <t>Chad</t>
  </si>
  <si>
    <t>Eswatini</t>
  </si>
  <si>
    <t>Ethiopia</t>
  </si>
  <si>
    <t>French Southern Territories</t>
  </si>
  <si>
    <t>Lesotho</t>
  </si>
  <si>
    <t>Malawi</t>
  </si>
  <si>
    <t>Mali</t>
  </si>
  <si>
    <t>Mauritania</t>
  </si>
  <si>
    <t>Mauritius</t>
  </si>
  <si>
    <t>Mayotte</t>
  </si>
  <si>
    <t>Namibia</t>
  </si>
  <si>
    <t>Niger</t>
  </si>
  <si>
    <t>Réunion</t>
  </si>
  <si>
    <t>Rwanda</t>
  </si>
  <si>
    <t>Saint Helena</t>
  </si>
  <si>
    <t>Sao Tome and Principe</t>
  </si>
  <si>
    <t>Togo</t>
  </si>
  <si>
    <t>Uganda</t>
  </si>
  <si>
    <t>Zambia</t>
  </si>
  <si>
    <t>Zimbabwe</t>
  </si>
  <si>
    <t>Åland Islands</t>
  </si>
  <si>
    <t>Albania</t>
  </si>
  <si>
    <t>Andorra</t>
  </si>
  <si>
    <t>Austria</t>
  </si>
  <si>
    <t>Belgium</t>
  </si>
  <si>
    <t>Bosnia and Herzegovina</t>
  </si>
  <si>
    <t>Croatia</t>
  </si>
  <si>
    <t>Denmark</t>
  </si>
  <si>
    <t>Estonia</t>
  </si>
  <si>
    <t>Faroe Islands</t>
  </si>
  <si>
    <t>Finland</t>
  </si>
  <si>
    <t>France</t>
  </si>
  <si>
    <t>Germany</t>
  </si>
  <si>
    <t>Gibraltar</t>
  </si>
  <si>
    <t>Greece</t>
  </si>
  <si>
    <t>Guernsey</t>
  </si>
  <si>
    <t>Holy See</t>
  </si>
  <si>
    <t>Iceland</t>
  </si>
  <si>
    <t>Ireland</t>
  </si>
  <si>
    <t>Isle of Man</t>
  </si>
  <si>
    <t>Italy</t>
  </si>
  <si>
    <t>Jersey</t>
  </si>
  <si>
    <t>Latvia</t>
  </si>
  <si>
    <t>Liechtenstein</t>
  </si>
  <si>
    <t>Lithuania</t>
  </si>
  <si>
    <t>Luxembourg</t>
  </si>
  <si>
    <t>Malta</t>
  </si>
  <si>
    <t>Monaco</t>
  </si>
  <si>
    <t>Montenegro</t>
  </si>
  <si>
    <t>Netherlands</t>
  </si>
  <si>
    <t>North Macedonia</t>
  </si>
  <si>
    <t>Norway</t>
  </si>
  <si>
    <t>Portugal</t>
  </si>
  <si>
    <t>San Marino</t>
  </si>
  <si>
    <t>Sark</t>
  </si>
  <si>
    <t>Serbia</t>
  </si>
  <si>
    <t>Slovenia</t>
  </si>
  <si>
    <t>Spain</t>
  </si>
  <si>
    <t>Svalbard and Jan Mayen Islands</t>
  </si>
  <si>
    <t>Sweden</t>
  </si>
  <si>
    <t>Switzerland</t>
  </si>
  <si>
    <t>United Kingdom of Great Britain and Northern Ireland</t>
  </si>
  <si>
    <t>CO2 emissions</t>
  </si>
  <si>
    <t>-</t>
  </si>
  <si>
    <t>tC/t lime</t>
  </si>
  <si>
    <t>tCO2/t lime</t>
  </si>
  <si>
    <t>Manufactured in the country</t>
  </si>
  <si>
    <t>tC/t Urea</t>
  </si>
  <si>
    <t>kg N-N2O/kg N</t>
  </si>
  <si>
    <t>tCO2/t N</t>
  </si>
  <si>
    <t>tCO2/t P2O5</t>
  </si>
  <si>
    <t>tCO2/t K2O</t>
  </si>
  <si>
    <t>tCO2-e/t active ingredient</t>
  </si>
  <si>
    <t>Animal feed (in tonnes per year)</t>
  </si>
  <si>
    <t>tCO2-e/t feed</t>
  </si>
  <si>
    <t>Source of Emission Factor</t>
  </si>
  <si>
    <t>tCO2-e/m3</t>
  </si>
  <si>
    <t>Account for CO2 emissions?</t>
  </si>
  <si>
    <t>tCO2-e/t d.m.</t>
  </si>
  <si>
    <t>kg CO2-e/ha</t>
  </si>
  <si>
    <t>Pump Characteristics</t>
  </si>
  <si>
    <t>tCO2/m2</t>
  </si>
  <si>
    <t>Emissions from agricultural inputs - Chapter 11 IPCC 2019</t>
  </si>
  <si>
    <t>Emissions from electricity</t>
  </si>
  <si>
    <t>CO2 emissions from lime application</t>
  </si>
  <si>
    <t>Type of lime</t>
  </si>
  <si>
    <t>Amount of Lime applied (tonne per year)</t>
  </si>
  <si>
    <t>Emissions (tCO2 eq) per year</t>
  </si>
  <si>
    <t xml:space="preserve">Total Emissions (tCO2 eq) </t>
  </si>
  <si>
    <t xml:space="preserve">Specific </t>
  </si>
  <si>
    <t>Tonnes Lime</t>
  </si>
  <si>
    <t>tC/tlime</t>
  </si>
  <si>
    <t>Sub-Total</t>
  </si>
  <si>
    <t>CO2 emissions from urea application</t>
  </si>
  <si>
    <t>If Urea is produced in the country, these emissions are not accounted for</t>
  </si>
  <si>
    <t>Amount of urea applied (tonne per year)</t>
  </si>
  <si>
    <t>Tonnes Urea</t>
  </si>
  <si>
    <t xml:space="preserve">Urea </t>
  </si>
  <si>
    <t>N2O emissions from N application on managed soils (except manure, i.e. see livestock)</t>
  </si>
  <si>
    <t>Amount of N applied (tonne per year)</t>
  </si>
  <si>
    <t>Type of input</t>
  </si>
  <si>
    <t>Tonnes N</t>
  </si>
  <si>
    <t>kgN2O-N/kgN</t>
  </si>
  <si>
    <t>CO2 eq emissions from production, transportation, storage and transfer of agricultural chemicals</t>
  </si>
  <si>
    <t>Emission</t>
  </si>
  <si>
    <t>Tonnes inputs</t>
  </si>
  <si>
    <t>EF from Lal 2004</t>
  </si>
  <si>
    <t>tCO2 eq/t lime</t>
  </si>
  <si>
    <t>tCO2 eq/t N(P2O5,K2O)</t>
  </si>
  <si>
    <t>tCO2 eq/tN</t>
  </si>
  <si>
    <t>tCO2 eq/t active ingredient</t>
  </si>
  <si>
    <t>Animal feed</t>
  </si>
  <si>
    <t>user defined - Tier 2</t>
  </si>
  <si>
    <t>Total inputs</t>
  </si>
  <si>
    <t>CO2 eq emissions from electricity, fuel and Solid</t>
  </si>
  <si>
    <t>Quantity consumed per year</t>
  </si>
  <si>
    <t>Electricity consumption</t>
  </si>
  <si>
    <t xml:space="preserve">Emission </t>
  </si>
  <si>
    <t>MWh per year</t>
  </si>
  <si>
    <t>Fuel consumption</t>
  </si>
  <si>
    <t>Solid consumption</t>
  </si>
  <si>
    <t>Total energy</t>
  </si>
  <si>
    <t>Computations for CO2 eq emissions from groundwater irrigation -&gt; See Energy DB sheet</t>
  </si>
  <si>
    <t>Surface (ha)</t>
  </si>
  <si>
    <t>Ha</t>
  </si>
  <si>
    <t>Implementation of new irrigation systems</t>
  </si>
  <si>
    <t>Total irrigation</t>
  </si>
  <si>
    <t>Computations for CO2 eq emissions from infrastructures</t>
  </si>
  <si>
    <t>Surface (m2)</t>
  </si>
  <si>
    <t>Buildings and roads</t>
  </si>
  <si>
    <t>tCO2eq/m2</t>
  </si>
  <si>
    <t>Total buildings and roads</t>
  </si>
  <si>
    <t>Installation of irrigation system</t>
  </si>
  <si>
    <t>Operational phase of irrigation systems</t>
  </si>
  <si>
    <t>1 m3 on 1 meter</t>
  </si>
  <si>
    <t>tCO2-eq/MWh</t>
  </si>
  <si>
    <t>from Lal 2004 Table 3</t>
  </si>
  <si>
    <t>Fuel Stationary Chapter 2 IPCC 2006</t>
  </si>
  <si>
    <t>Conversion bar to meter head</t>
  </si>
  <si>
    <t>kWh</t>
  </si>
  <si>
    <t>Main and minor crop growing seasons</t>
  </si>
  <si>
    <t xml:space="preserve">IPCC 2006 Volume 2. Energy </t>
  </si>
  <si>
    <t>Source: Energypedia 2020, FAO&amp;GIZ tool box</t>
  </si>
  <si>
    <t>MWh</t>
  </si>
  <si>
    <t>tCO2-eq</t>
  </si>
  <si>
    <t>Pressure requirement irrigation systems PR</t>
  </si>
  <si>
    <r>
      <t xml:space="preserve">Main season crop
</t>
    </r>
    <r>
      <rPr>
        <sz val="14"/>
        <rFont val="Arial"/>
        <family val="2"/>
      </rPr>
      <t>over the growing period</t>
    </r>
  </si>
  <si>
    <t>Surface in ha</t>
  </si>
  <si>
    <t>A</t>
  </si>
  <si>
    <t>B</t>
  </si>
  <si>
    <t>C</t>
  </si>
  <si>
    <t>WITHOUT PROJECT</t>
  </si>
  <si>
    <t>WITH PROJECT</t>
  </si>
  <si>
    <t>Irrigation system</t>
  </si>
  <si>
    <t>kgCO2-e/ha</t>
  </si>
  <si>
    <t>IRSS = Irrigation runoff return system</t>
  </si>
  <si>
    <t>Initial denomination</t>
  </si>
  <si>
    <t>Bar</t>
  </si>
  <si>
    <t>Avg Pressure</t>
  </si>
  <si>
    <t>head (m) corrected for friction with parameter 0.05</t>
  </si>
  <si>
    <t>Crop</t>
  </si>
  <si>
    <t>Average crop water need (mm/total growing period)</t>
  </si>
  <si>
    <t>Water need (l/ha/growing period)</t>
  </si>
  <si>
    <t>Average precipitation (P)
in litre/growing period/ha</t>
  </si>
  <si>
    <t>Effective precipitation (Pe)
in litre/growing period/ha</t>
  </si>
  <si>
    <t>Irrigation needed (IN)
in m3/ha/growing period</t>
  </si>
  <si>
    <t>Erh (MWh or m3 to lift 1m3 of water)</t>
  </si>
  <si>
    <t xml:space="preserve">Total energy (m3 or MWh per hectare) </t>
  </si>
  <si>
    <t>A/ efficiency
(m3 or MWh per hectare)</t>
  </si>
  <si>
    <t>B *(depth+Total Pressure head)
(in m3 or MWH per hectare)</t>
  </si>
  <si>
    <t>C*tCO2-eq/MWh(m3)/ha</t>
  </si>
  <si>
    <t>D*surface*time_tot</t>
  </si>
  <si>
    <t>Motor Gasoline</t>
  </si>
  <si>
    <t>Center-pivot sprinkler</t>
  </si>
  <si>
    <t>Pivot</t>
  </si>
  <si>
    <t>1-3</t>
  </si>
  <si>
    <t>Surface without IRRS</t>
  </si>
  <si>
    <t>Gasoil /Diesel Oil</t>
  </si>
  <si>
    <t>Trickle</t>
  </si>
  <si>
    <t>Drip</t>
  </si>
  <si>
    <t>0.5-3</t>
  </si>
  <si>
    <t>Surface with IRRS</t>
  </si>
  <si>
    <t>Waste Oil / Lubrificants</t>
  </si>
  <si>
    <t>Micro sprinkler</t>
  </si>
  <si>
    <t>0.5-2</t>
  </si>
  <si>
    <t>Solid set sprinkler</t>
  </si>
  <si>
    <t>LPG</t>
  </si>
  <si>
    <t>Sprinkler</t>
  </si>
  <si>
    <t>2-5</t>
  </si>
  <si>
    <t>Permanent sprinkler</t>
  </si>
  <si>
    <t>Natural Gas</t>
  </si>
  <si>
    <t>Traveling sprinkler</t>
  </si>
  <si>
    <t xml:space="preserve">Traveling gun </t>
  </si>
  <si>
    <t>2-8</t>
  </si>
  <si>
    <t>Hand moved sprinkler</t>
  </si>
  <si>
    <t>Electricity</t>
  </si>
  <si>
    <t>Other (set up Tier 2)</t>
  </si>
  <si>
    <t>Solid roll sprinkler</t>
  </si>
  <si>
    <t>Solar</t>
  </si>
  <si>
    <t>Traveler sprinkler</t>
  </si>
  <si>
    <t>Emissions associated with construction of infrastructures</t>
  </si>
  <si>
    <t>EF value from: Bilan Carbone AFD/Adème http://bilans-ges.ademe.fr/en/ &amp; BID (2012) GHG assessment emission methodology</t>
  </si>
  <si>
    <t>kgCO2e/m2</t>
  </si>
  <si>
    <t>Source</t>
  </si>
  <si>
    <t>Housing (concrete)</t>
  </si>
  <si>
    <t>Bilan</t>
  </si>
  <si>
    <t>Agricultural Buildings (concrete)</t>
  </si>
  <si>
    <t>Agricultural Buildings (metal)</t>
  </si>
  <si>
    <t>Industrial Buildings (concrete)</t>
  </si>
  <si>
    <t>Industrial Buildings (metal)</t>
  </si>
  <si>
    <t>Garage (concrete)</t>
  </si>
  <si>
    <t>Garage (metal)</t>
  </si>
  <si>
    <t>Offices (concrete)</t>
  </si>
  <si>
    <t>updated on 10/1/21</t>
  </si>
  <si>
    <t>Ademe</t>
  </si>
  <si>
    <t>Offices (metal)</t>
  </si>
  <si>
    <t>Road (bitumen)</t>
  </si>
  <si>
    <t>Road (asphalt)</t>
  </si>
  <si>
    <t>Road (reinforced concrete)</t>
  </si>
  <si>
    <t>Road rehabilitated (pavement)</t>
  </si>
  <si>
    <t>BID - 2017</t>
  </si>
  <si>
    <t>Food sales (retail or wholesale)</t>
  </si>
  <si>
    <t>Food service (restaurants)</t>
  </si>
  <si>
    <t>Warehouse and storage</t>
  </si>
  <si>
    <t>Education</t>
  </si>
  <si>
    <t>Health care (metal)</t>
  </si>
  <si>
    <t>Project summary</t>
  </si>
  <si>
    <t>Area (initial state in ha)</t>
  </si>
  <si>
    <t>Duration of the project (yrs)</t>
  </si>
  <si>
    <t>Total area (ha)</t>
  </si>
  <si>
    <t>Forest plantation</t>
  </si>
  <si>
    <t>Cropland</t>
  </si>
  <si>
    <t>Capitalisation</t>
  </si>
  <si>
    <t>Waterbodies</t>
  </si>
  <si>
    <t>Dominant soil</t>
  </si>
  <si>
    <t>Total area</t>
  </si>
  <si>
    <t>Degraded</t>
  </si>
  <si>
    <t>Other land non vegetated</t>
  </si>
  <si>
    <t>MINERAL SOILS</t>
  </si>
  <si>
    <t>OTHER</t>
  </si>
  <si>
    <t>Livestock</t>
  </si>
  <si>
    <t>Forest land</t>
  </si>
  <si>
    <t>Forest degradation</t>
  </si>
  <si>
    <t>Af/reforestation</t>
  </si>
  <si>
    <t>Non-forest land-use change</t>
  </si>
  <si>
    <t>Annual crops</t>
  </si>
  <si>
    <t>Irrigated rice</t>
  </si>
  <si>
    <t>Coastal wetland</t>
  </si>
  <si>
    <t>Fisheries &amp; aquaculture</t>
  </si>
  <si>
    <t>Inland Waterbodies</t>
  </si>
  <si>
    <t>Final balance</t>
  </si>
  <si>
    <t>INLAND WETLANDS - ORGANIC SOILS</t>
  </si>
  <si>
    <t>COMPONENTS OF THE PROJECT</t>
  </si>
  <si>
    <t>BALANCE (Project-baseline)</t>
  </si>
  <si>
    <t xml:space="preserve">CH4 </t>
  </si>
  <si>
    <t>Per phase of the project</t>
  </si>
  <si>
    <t>Mean per year</t>
  </si>
  <si>
    <t>All GHG are in tCO2-e</t>
  </si>
  <si>
    <t>Implem.</t>
  </si>
  <si>
    <t>Capital.</t>
  </si>
  <si>
    <t>Non-forest land management</t>
  </si>
  <si>
    <t>ENERGY &amp; INFRASTRUCTURES</t>
  </si>
  <si>
    <t>Agricultural inputs</t>
  </si>
  <si>
    <t>Fisheries &amp; Feeds</t>
  </si>
  <si>
    <t>Energy use</t>
  </si>
  <si>
    <t>Irrigation</t>
  </si>
  <si>
    <t>Infrastructures</t>
  </si>
  <si>
    <t>Balance Inputs &amp; Energy</t>
  </si>
  <si>
    <t>Uncertainties</t>
  </si>
  <si>
    <t>Notes about UNCERTAINTIES</t>
  </si>
  <si>
    <t>EX-ACT calculations are either on default coefficients (Tier 1 approach) or values provided by the user (Tier 2 approach). A single project may use a combination of Tier 1 and Tier 2 approaches. It is thus extremely difficult to provide uncertainties associated with the values provided by EX-ACT. Most default coefficients are associated with large to extremely large uncertainties. However, as it is important to have an idea of the uncertainties the table below provide indication of the minimum level of uncertainty user may expect. The following representation of the level of uncertainties was used:</t>
  </si>
  <si>
    <t>Low uncertainty</t>
  </si>
  <si>
    <t>**</t>
  </si>
  <si>
    <t>Moderate uncertainties</t>
  </si>
  <si>
    <t>***</t>
  </si>
  <si>
    <t>High uncertainties</t>
  </si>
  <si>
    <t>****</t>
  </si>
  <si>
    <t>Very high uncertainty</t>
  </si>
  <si>
    <t>Components of the project</t>
  </si>
  <si>
    <t>Indication of the level of uncertainty</t>
  </si>
  <si>
    <t>CO2 SOIL</t>
  </si>
  <si>
    <t>Afforestation and reforestation</t>
  </si>
  <si>
    <t>Non forest land use change</t>
  </si>
  <si>
    <t>Agriculture</t>
  </si>
  <si>
    <t>Grasslands</t>
  </si>
  <si>
    <t>Coastal wetlands &amp; Aqua</t>
  </si>
  <si>
    <t>Inland wetlands</t>
  </si>
  <si>
    <t>Forest Degradation</t>
  </si>
  <si>
    <t>Non-forest LUC</t>
  </si>
  <si>
    <t>Non-forest land mngt</t>
  </si>
  <si>
    <t>Other GHG emissions</t>
  </si>
  <si>
    <t>Total uncertainty</t>
  </si>
  <si>
    <t>Global level of uncertainty (%)</t>
  </si>
  <si>
    <t>Total Without</t>
  </si>
  <si>
    <t>Total uncertainties Without</t>
  </si>
  <si>
    <t>Total With</t>
  </si>
  <si>
    <t>Total uncertainties With</t>
  </si>
  <si>
    <t>GROSS FLUXES</t>
  </si>
  <si>
    <t>GROSS FLUXES PER YEAR</t>
  </si>
  <si>
    <t xml:space="preserve"> in tCO2-e over the whole period analysis</t>
  </si>
  <si>
    <t>in tCO2-e/year</t>
  </si>
  <si>
    <t>Land use changes</t>
  </si>
  <si>
    <t>Non-forest land use</t>
  </si>
  <si>
    <t>Grasslands &amp; Livestock</t>
  </si>
  <si>
    <t xml:space="preserve">Grasslands </t>
  </si>
  <si>
    <t>Forest management</t>
  </si>
  <si>
    <t>Inlands wetlands</t>
  </si>
  <si>
    <t>Fisheries and aquaculture</t>
  </si>
  <si>
    <t>Inputs &amp; Investments</t>
  </si>
  <si>
    <t>Results per hectare</t>
  </si>
  <si>
    <t>MINERAL AND ORGANIC SOILS</t>
  </si>
  <si>
    <t>see below for detailed results of the organic soils</t>
  </si>
  <si>
    <t>SHARE PER GHG OF THE BALANCE</t>
  </si>
  <si>
    <t>AVERAGE ANNUAL EMISSIONS</t>
  </si>
  <si>
    <t>In tCO2-e over the whole period analysis</t>
  </si>
  <si>
    <t>In tCO2-e/yr</t>
  </si>
  <si>
    <t>PROJECT COMPONENTS</t>
  </si>
  <si>
    <t xml:space="preserve">Other land-use </t>
  </si>
  <si>
    <t>Forest mngt.</t>
  </si>
  <si>
    <t>Total emissions, tCO2-e</t>
  </si>
  <si>
    <t>Total emissions, tCO2-e/ha</t>
  </si>
  <si>
    <t>Total emissions, tCO2-e/ha/yr</t>
  </si>
  <si>
    <t>Positive fluxes</t>
  </si>
  <si>
    <t>Label</t>
  </si>
  <si>
    <t>DATA FOR CHART</t>
  </si>
  <si>
    <r>
      <t>Carbon-balance in tCO</t>
    </r>
    <r>
      <rPr>
        <vertAlign val="subscript"/>
        <sz val="11"/>
        <color theme="1"/>
        <rFont val="Calibri"/>
        <family val="2"/>
        <scheme val="minor"/>
      </rPr>
      <t>2</t>
    </r>
    <r>
      <rPr>
        <sz val="11"/>
        <color theme="1"/>
        <rFont val="Calibri"/>
        <family val="2"/>
        <scheme val="minor"/>
      </rPr>
      <t>-e</t>
    </r>
  </si>
  <si>
    <t>Fluxes</t>
  </si>
  <si>
    <t>Rank</t>
  </si>
  <si>
    <t>Activities</t>
  </si>
  <si>
    <t>+</t>
  </si>
  <si>
    <t>Labels</t>
  </si>
  <si>
    <t>Gross fluxes in tCO2-e</t>
  </si>
  <si>
    <t>Gross fluxes</t>
  </si>
  <si>
    <t/>
  </si>
  <si>
    <t>DETAILED RESULTS ORGANIC SOILS</t>
  </si>
  <si>
    <r>
      <t>In tCO</t>
    </r>
    <r>
      <rPr>
        <vertAlign val="subscript"/>
        <sz val="11"/>
        <color theme="1"/>
        <rFont val="Roboto"/>
      </rPr>
      <t>2</t>
    </r>
    <r>
      <rPr>
        <sz val="11"/>
        <color theme="1"/>
        <rFont val="Roboto"/>
      </rPr>
      <t>-e over the whole period analysis</t>
    </r>
  </si>
  <si>
    <r>
      <t>In tCO</t>
    </r>
    <r>
      <rPr>
        <vertAlign val="subscript"/>
        <sz val="11"/>
        <color theme="1"/>
        <rFont val="Roboto"/>
      </rPr>
      <t>2</t>
    </r>
    <r>
      <rPr>
        <sz val="11"/>
        <color theme="1"/>
        <rFont val="Roboto"/>
      </rPr>
      <t>-e/yr</t>
    </r>
  </si>
  <si>
    <r>
      <t>CO</t>
    </r>
    <r>
      <rPr>
        <b/>
        <vertAlign val="subscript"/>
        <sz val="11"/>
        <color theme="0"/>
        <rFont val="Roboto"/>
      </rPr>
      <t>2</t>
    </r>
    <r>
      <rPr>
        <b/>
        <sz val="11"/>
        <color theme="0"/>
        <rFont val="Roboto"/>
      </rPr>
      <t xml:space="preserve"> BIOMASS</t>
    </r>
  </si>
  <si>
    <r>
      <t>CO</t>
    </r>
    <r>
      <rPr>
        <b/>
        <vertAlign val="subscript"/>
        <sz val="11"/>
        <color theme="0"/>
        <rFont val="Roboto"/>
      </rPr>
      <t>2</t>
    </r>
    <r>
      <rPr>
        <b/>
        <sz val="11"/>
        <color theme="0"/>
        <rFont val="Roboto"/>
      </rPr>
      <t xml:space="preserve"> SOIL</t>
    </r>
  </si>
  <si>
    <r>
      <t>N</t>
    </r>
    <r>
      <rPr>
        <b/>
        <vertAlign val="subscript"/>
        <sz val="11"/>
        <color theme="0"/>
        <rFont val="Roboto"/>
      </rPr>
      <t>2</t>
    </r>
    <r>
      <rPr>
        <b/>
        <sz val="11"/>
        <color theme="0"/>
        <rFont val="Roboto"/>
      </rPr>
      <t>O SOIL</t>
    </r>
  </si>
  <si>
    <r>
      <t>CH</t>
    </r>
    <r>
      <rPr>
        <b/>
        <vertAlign val="subscript"/>
        <sz val="11"/>
        <color theme="0"/>
        <rFont val="Roboto"/>
      </rPr>
      <t xml:space="preserve">4 </t>
    </r>
    <r>
      <rPr>
        <b/>
        <sz val="11"/>
        <color theme="0"/>
        <rFont val="Roboto"/>
      </rPr>
      <t>SOIL</t>
    </r>
  </si>
  <si>
    <r>
      <t>Total emissions, tCO</t>
    </r>
    <r>
      <rPr>
        <b/>
        <vertAlign val="subscript"/>
        <sz val="12"/>
        <color theme="1"/>
        <rFont val="Roboto"/>
      </rPr>
      <t>2</t>
    </r>
    <r>
      <rPr>
        <b/>
        <sz val="12"/>
        <color theme="1"/>
        <rFont val="Roboto"/>
      </rPr>
      <t>-e</t>
    </r>
  </si>
  <si>
    <r>
      <t>Total emissions, tCO</t>
    </r>
    <r>
      <rPr>
        <b/>
        <vertAlign val="subscript"/>
        <sz val="12"/>
        <color theme="1"/>
        <rFont val="Roboto"/>
      </rPr>
      <t>2</t>
    </r>
    <r>
      <rPr>
        <b/>
        <sz val="12"/>
        <color theme="1"/>
        <rFont val="Roboto"/>
      </rPr>
      <t>-e/ha</t>
    </r>
  </si>
  <si>
    <r>
      <t>Total emissions, tCO</t>
    </r>
    <r>
      <rPr>
        <b/>
        <vertAlign val="subscript"/>
        <sz val="12"/>
        <color theme="1"/>
        <rFont val="Roboto"/>
      </rPr>
      <t>2</t>
    </r>
    <r>
      <rPr>
        <b/>
        <sz val="12"/>
        <color theme="1"/>
        <rFont val="Roboto"/>
      </rPr>
      <t>-e/ha/yr</t>
    </r>
  </si>
  <si>
    <t>Biomass management</t>
  </si>
  <si>
    <t>positive fluxes</t>
  </si>
  <si>
    <t>Summary GHG analysis</t>
  </si>
  <si>
    <t>+ = Source / - = Sink</t>
  </si>
  <si>
    <t>Results presented here include GHG fluxes on mineral and organic soils</t>
  </si>
  <si>
    <t>See further down for detailed results on organic soils</t>
  </si>
  <si>
    <t>Annual carbon balance</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</si>
  <si>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</si>
  <si>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</si>
  <si>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</si>
  <si>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</si>
  <si>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</si>
  <si>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</si>
  <si>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</si>
  <si>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</si>
  <si>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</si>
  <si>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</si>
  <si>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</si>
  <si>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</si>
  <si>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</si>
  <si>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</si>
  <si>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</si>
  <si>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</si>
  <si>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</si>
  <si>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</si>
  <si>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</si>
  <si>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</si>
  <si>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Year 21</t>
  </si>
  <si>
    <t>Year 22</t>
  </si>
  <si>
    <t>Year 23</t>
  </si>
  <si>
    <t>Year 24</t>
  </si>
  <si>
    <t>Year 25</t>
  </si>
  <si>
    <t>Year 26</t>
  </si>
  <si>
    <t>Year 27</t>
  </si>
  <si>
    <t>Year 28</t>
  </si>
  <si>
    <t>Year 29</t>
  </si>
  <si>
    <t>Year 30</t>
  </si>
  <si>
    <t>Year 31</t>
  </si>
  <si>
    <t>Year 32</t>
  </si>
  <si>
    <t>Year 33</t>
  </si>
  <si>
    <t>Year 34</t>
  </si>
  <si>
    <t>Year 35</t>
  </si>
  <si>
    <t>Year 36</t>
  </si>
  <si>
    <t>Year 37</t>
  </si>
  <si>
    <t>Year 38</t>
  </si>
  <si>
    <t>Year 39</t>
  </si>
  <si>
    <t>Year 40</t>
  </si>
  <si>
    <t>Year 41</t>
  </si>
  <si>
    <t>Year 42</t>
  </si>
  <si>
    <t>Year 43</t>
  </si>
  <si>
    <t>Year 44</t>
  </si>
  <si>
    <t>Year 45</t>
  </si>
  <si>
    <t>Year 46</t>
  </si>
  <si>
    <t>Year 47</t>
  </si>
  <si>
    <t>Year 48</t>
  </si>
  <si>
    <t>Year 49</t>
  </si>
  <si>
    <t>Year 50</t>
  </si>
  <si>
    <t>Yearly carbon balance</t>
  </si>
  <si>
    <t>Cumulative carbon balance</t>
  </si>
  <si>
    <t>* Please note the provided annual values are an approximation of the actual annual fluxes</t>
  </si>
  <si>
    <t>Other land-use</t>
  </si>
  <si>
    <t>Inputs &amp; Invest.</t>
  </si>
  <si>
    <t>DETAILED RESULTS</t>
  </si>
  <si>
    <t>Global warming potential</t>
  </si>
  <si>
    <r>
      <t>CO</t>
    </r>
    <r>
      <rPr>
        <vertAlign val="subscript"/>
        <sz val="14"/>
        <rFont val="Roboto"/>
      </rPr>
      <t>2</t>
    </r>
  </si>
  <si>
    <r>
      <t>CH</t>
    </r>
    <r>
      <rPr>
        <vertAlign val="subscript"/>
        <sz val="14"/>
        <rFont val="Roboto"/>
      </rPr>
      <t>4</t>
    </r>
  </si>
  <si>
    <r>
      <t>N</t>
    </r>
    <r>
      <rPr>
        <vertAlign val="subscript"/>
        <sz val="14"/>
        <rFont val="Roboto"/>
      </rPr>
      <t>2</t>
    </r>
    <r>
      <rPr>
        <sz val="14"/>
        <rFont val="Roboto"/>
      </rPr>
      <t>O</t>
    </r>
  </si>
  <si>
    <r>
      <t>N</t>
    </r>
    <r>
      <rPr>
        <b/>
        <vertAlign val="subscript"/>
        <sz val="14"/>
        <color theme="0"/>
        <rFont val="Roboto"/>
      </rPr>
      <t>2</t>
    </r>
    <r>
      <rPr>
        <b/>
        <sz val="14"/>
        <color theme="0"/>
        <rFont val="Roboto"/>
      </rPr>
      <t>O</t>
    </r>
  </si>
  <si>
    <r>
      <t>CH</t>
    </r>
    <r>
      <rPr>
        <b/>
        <vertAlign val="subscript"/>
        <sz val="14"/>
        <color theme="0"/>
        <rFont val="Roboto"/>
      </rPr>
      <t>4</t>
    </r>
  </si>
  <si>
    <t>ALL NON-AFOLU EMISSIONS*</t>
  </si>
  <si>
    <t>Uncertainty level</t>
  </si>
  <si>
    <t>Percent</t>
  </si>
  <si>
    <t>* Includes fisheries, acquaculture and inputs &amp; investments that are not included in the AFOLU definition.</t>
  </si>
  <si>
    <t>DETAILED MATRIX OF CHANGES FOR MINERAL SOILS</t>
  </si>
  <si>
    <t>Total area without project (ha)</t>
  </si>
  <si>
    <t>Total area with project (ha)</t>
  </si>
  <si>
    <t>DETAILED MATRIX OF CHANGES FOR ORGANIC SOILS</t>
  </si>
  <si>
    <t>UN country list</t>
  </si>
  <si>
    <t>UN region</t>
  </si>
  <si>
    <t>EF GRID</t>
  </si>
  <si>
    <t>Final EF GRID</t>
  </si>
  <si>
    <t>tCO2-e/MWh</t>
  </si>
  <si>
    <t>UNFCCC - Combined Margin</t>
  </si>
  <si>
    <t>Combined margin</t>
  </si>
  <si>
    <t>FOR FORMULAS</t>
  </si>
  <si>
    <t>COLUMNS B-C-E</t>
  </si>
  <si>
    <t>COLUMNS F-G</t>
  </si>
  <si>
    <t>Update Sept 2019
Grid Emission Factors - IGES, version 10.6: https://iges.or.jp/en/pub/list-grid-emission-factor/en</t>
  </si>
  <si>
    <t>TFI IPCC database: https://unfccc.int/climate-action/sectoral-engagement/ifis-harmonization-of-standards-for-ghg-accounting/ifi-twg-list-of-methodologies - LAST UPDATE 12/2021</t>
  </si>
  <si>
    <t>From EIA-1605, 2007, Appendix F. Electricity Emission Factors.  These factors correspond to the average for the years 1999-2002
http://cloud.agroclimate.org/tools/deprecated/carbonFootprint/references/Electricity_emission_factor.pdf</t>
  </si>
  <si>
    <t>Note: if no country data EX-ACT uses the regional average</t>
  </si>
  <si>
    <t>Azores (Portugal)</t>
  </si>
  <si>
    <t>Canary Islands</t>
  </si>
  <si>
    <t>Channel Islands (U.K)</t>
  </si>
  <si>
    <t>Kosovo</t>
  </si>
  <si>
    <t>Madeira (Portugal)</t>
  </si>
  <si>
    <t>Taiwan (Chinese Taipei)</t>
  </si>
  <si>
    <t>LAND USE CHANGE MATRIX - MINERAL SOIL</t>
  </si>
  <si>
    <t>!!!!! END WITHOUT PROJECT !!!!!</t>
  </si>
  <si>
    <t>!!!!! START WITHOUT PROJECT !!!!!</t>
  </si>
  <si>
    <t>END WITHOUT  PROJECT</t>
  </si>
  <si>
    <t>Deforestation: FL converted to non-FL ( without project scenario)</t>
  </si>
  <si>
    <t>Afforestation:  non-FL converted to FL ( without project scenario)</t>
  </si>
  <si>
    <t>FINAL LAND USES ON MINERAL SOILS -  WITHOUT PROJECT</t>
  </si>
  <si>
    <t>w/out  project</t>
  </si>
  <si>
    <t>IPCC class</t>
  </si>
  <si>
    <t>EX-ACT class</t>
  </si>
  <si>
    <t>Primary (Natural)/Planted</t>
  </si>
  <si>
    <t>Primary (Natural)/Planted Forest</t>
  </si>
  <si>
    <t>Annual cropland and fallow</t>
  </si>
  <si>
    <t>FL converted to…</t>
  </si>
  <si>
    <t>converted to…</t>
  </si>
  <si>
    <t>Other land use changes</t>
  </si>
  <si>
    <t>Total area w/out project (ha)</t>
  </si>
  <si>
    <t>*Annual includes Annual Cropland and Annual Fallow</t>
  </si>
  <si>
    <t>Mangroves are accounted for within Forest</t>
  </si>
  <si>
    <t>Tidal marshes and seagrass are accounted for within Grassland</t>
  </si>
  <si>
    <t>Coastal ecosystems on aggregated soils are included here</t>
  </si>
  <si>
    <t>Waterbodies are accounted for within Other land (non-vegetated)</t>
  </si>
  <si>
    <t>!!!!! END WITH PROJECT !!!!!</t>
  </si>
  <si>
    <t>!!!!! START WITH PROJECT !!!!!</t>
  </si>
  <si>
    <t>END WITH  PROJECT</t>
  </si>
  <si>
    <t>END WITH PROJECT</t>
  </si>
  <si>
    <t>FINAL LAND USES ON MINERAL SOILS  -  WITH PROJECT</t>
  </si>
  <si>
    <t>Deforestation: FL converted to non-FL (with project scenario)</t>
  </si>
  <si>
    <t>With  project</t>
  </si>
  <si>
    <t>WITH project</t>
  </si>
  <si>
    <t>WITH  project</t>
  </si>
  <si>
    <t>Total area with the project (ha)</t>
  </si>
  <si>
    <t>LAND USE CHANGE MATRIX - ORGANIC SOILS</t>
  </si>
  <si>
    <t>WITHOUT - Annual to non forest land use</t>
  </si>
  <si>
    <t>WITHOUT -Agroforestry to non forest land use</t>
  </si>
  <si>
    <t>WITHOUT - Flooded rice to non forest land use</t>
  </si>
  <si>
    <t>WITHOUT - Annual fallow to non forest land use</t>
  </si>
  <si>
    <t>WITHOUT - grassland to non forest land use</t>
  </si>
  <si>
    <t>WITHOUT - Degraded land to non forest land use</t>
  </si>
  <si>
    <t>WITHOUT - Other land to non forest land use</t>
  </si>
  <si>
    <t>FINAL LAND USES ON ORGANIC SOILS - WITHOUT PROJECT</t>
  </si>
  <si>
    <t>Total initial area (ha)</t>
  </si>
  <si>
    <t>Annual*</t>
  </si>
  <si>
    <t>Total area final w/out project (ha)</t>
  </si>
  <si>
    <t>Tidal marshes are accounted for within Grassland</t>
  </si>
  <si>
    <t>Land for peat extraction is accounted for within Degraded land</t>
  </si>
  <si>
    <t>WITH - Annual to non forest land use</t>
  </si>
  <si>
    <t>WITH -Agroforestry to non forest land use</t>
  </si>
  <si>
    <t>WITH - Flooded rice to non forest land use</t>
  </si>
  <si>
    <t>WITH - Annual fallow to non forest land use</t>
  </si>
  <si>
    <t>WITH - grassland to non forest land use</t>
  </si>
  <si>
    <t>WITH - Degraded land to non forest land use</t>
  </si>
  <si>
    <t>WITH - Other land to non forest land use</t>
  </si>
  <si>
    <t>FINAL LAND USES ON ORGANIC SOILS - WITH PROJECT</t>
  </si>
  <si>
    <t>Total area final with the project (ha)</t>
  </si>
  <si>
    <t>undrained areas</t>
  </si>
  <si>
    <t>Activity</t>
  </si>
  <si>
    <t>Start year of activity implementation (in project years)</t>
  </si>
  <si>
    <t>End year of activity implementation (in project years)</t>
  </si>
  <si>
    <t>Dynamic of change WOP</t>
  </si>
  <si>
    <t>Dynamic of change WP</t>
  </si>
  <si>
    <t>Aggregate DOC</t>
  </si>
  <si>
    <t>Balance - IMPLEMENTATION</t>
  </si>
  <si>
    <t>Balance - CAPITALIZATION</t>
  </si>
  <si>
    <t>Year by year</t>
  </si>
  <si>
    <t>Simple total balance</t>
  </si>
  <si>
    <t>GHG fluxes</t>
  </si>
  <si>
    <t>Annual fluxes</t>
  </si>
  <si>
    <t>Cumulative balance</t>
  </si>
  <si>
    <t>Cumulative</t>
  </si>
  <si>
    <t>Detailed total balance</t>
  </si>
  <si>
    <t>Inland wetlands - defo</t>
  </si>
  <si>
    <t>Inland wetlands - A/R</t>
  </si>
  <si>
    <t>Inland wetlands - OLUC</t>
  </si>
  <si>
    <t>Inland wetlands - forest management</t>
  </si>
  <si>
    <t>Inland wetlands - land management</t>
  </si>
  <si>
    <t>Inland wetlands - peat</t>
  </si>
  <si>
    <t>Inland wetlands - water</t>
  </si>
  <si>
    <t>Coastal wetland - extraction</t>
  </si>
  <si>
    <t>Coastal wetland - drainage</t>
  </si>
  <si>
    <t>Coastal wetland - rewetting</t>
  </si>
  <si>
    <t>Coastal wetland - water</t>
  </si>
  <si>
    <t>Aquaculture</t>
  </si>
  <si>
    <t>Inputs</t>
  </si>
  <si>
    <t>Energy</t>
  </si>
  <si>
    <t>Infrastructure</t>
  </si>
  <si>
    <t>This worksheet is foreseen for user-defined calculations.</t>
  </si>
  <si>
    <t>www.earthmap.org</t>
  </si>
  <si>
    <t>Definitions cropland</t>
  </si>
  <si>
    <t>Represents area that has been continuously managed for predominantly annual crops over 50 yrs.</t>
  </si>
  <si>
    <t>Long-term perennial tree crops such as fruit and nut trees, coffee and cacao.</t>
  </si>
  <si>
    <t>Substantial soil disturbance with full inversion and/or frequent (within year) tillage operations.  At planting time, little (e.g., &lt;30%) of the surface is covered by residues.</t>
  </si>
  <si>
    <t>Primary and/or secondary tillage but with reduced soil disturbance (usually shallow and without full soil inversion). Normally leaves surface with &gt;30% coverage by residues at planting.</t>
  </si>
  <si>
    <t>No-till</t>
  </si>
  <si>
    <t>Direct seeding without primary tillage, with only minimal soil disturbance in the seeding zone.  Herbicides are typically used for weed control.</t>
  </si>
  <si>
    <t>Low carbon  input</t>
  </si>
  <si>
    <t>Medium carbon input</t>
  </si>
  <si>
    <t>High carbon input without organic amendments</t>
  </si>
  <si>
    <t xml:space="preserve">The crop residues of annual crops are neither  removed nor burnt. It represents significantly greater crop residue inputs over medium C input cropping systems due to additional practices, such as production of high residue yielding crops, use of green manures, cover crops, improved vegetated fallows, irrigation, frequent use of perennial grasses in annual crop rotations,  but without manure applied. 
</t>
  </si>
  <si>
    <t>High carbon input with organic amendments</t>
  </si>
  <si>
    <t>Represents significantly higher C input over medium C input cropping systems due to an additional practice of regular addition of animal manure.</t>
  </si>
  <si>
    <t>Residues retained</t>
  </si>
  <si>
    <t>Crop residues are left on the field site to decompose and be re-incorporated in the crop’s soil. Retaining of residues is usually associated with reduced or no-till practices.</t>
  </si>
  <si>
    <t>Residues exported</t>
  </si>
  <si>
    <t>Crop residues are removed from the field site, in order to be used for other activities (e.g. feeding, energy production). </t>
  </si>
  <si>
    <t>Residues burnt</t>
  </si>
  <si>
    <t>Crop residues are burnt.</t>
  </si>
  <si>
    <t>Perennial systems / Agroforestry systems</t>
  </si>
  <si>
    <t>Fallows</t>
  </si>
  <si>
    <t>Land rested from cultivation, but comprises planted and managed trees, often leguminous, shrubs and herbaceous cover crops before it is cultivated again. Includes improved and natural fallows, and can be implemented before any of the following systems.</t>
  </si>
  <si>
    <t>Linear plantation around fields, including shelterbelts, windbreaks, boundary plantings and live fences.</t>
  </si>
  <si>
    <t>Fast-growing, usually leguminous, woody species (mainly shrubs) grown in crop fields, usually at high densities. The woody species are regularly pruned  and the prunings are applied as mulch into the alleys as a source of organic matter and nutrients. Also known as intercropping.</t>
  </si>
  <si>
    <t>Multistorey combinations of a large number of various trees and perennial and annual crops. They include home gardens and agroforests.</t>
  </si>
  <si>
    <t>Intercropping of agricultural crops or grazing land under low density mature scattered trees.  Typical of dry areas like Sahel (e.g. Faidherbia albida).</t>
  </si>
  <si>
    <t>Shaded perennial crop systems</t>
  </si>
  <si>
    <t>Growing shade-tolerant species such as cacao and coffee under, or in between, overstorey shade trees that can be used for timber or other commercial tree products</t>
  </si>
  <si>
    <t>Woody species planted in parallel tree rows to allow mechanization and intercropped with an annual crop; usually used for timber (e.p. Juglans spp), but also for fuel (e.g. Populus spp). Usually low tree density per hectare.</t>
  </si>
  <si>
    <t>Woody species planted on permanent grasslands, often grazed.</t>
  </si>
  <si>
    <t>Irrigated</t>
  </si>
  <si>
    <t>Fields are flooded for a significant period of time and the water regime is fully controlled.</t>
  </si>
  <si>
    <t>Continuously flooded</t>
  </si>
  <si>
    <t>Fields have standing water throughout the rice growing season and may only dry out for harvest  end-season drainage. Rice is cultivated under continuously  flooded condintion but sometimes an end-season drainage before rice harvest included.</t>
  </si>
  <si>
    <t xml:space="preserve">Single drainage </t>
  </si>
  <si>
    <t>Fields have a single drainage event and period during the cropping season at any growth stage, in addition to the end of season drainage. One mid-season drainage and an end-season drainage are adopted over the entire rice-growing season.</t>
  </si>
  <si>
    <t xml:space="preserve">Multiple drainage </t>
  </si>
  <si>
    <t>Fields have more than one drainage event and period of time without flooded conditions during the cropping season, in addition to an end of season drainage, including alternate wetting and drying (AWD). Also called 'intermittent irrigation', in which the number of drainage events was not clear, but there are more than one events during the growing season.</t>
  </si>
  <si>
    <t>Rainfed and deep water</t>
  </si>
  <si>
    <t>Fields are flooded for a significant period of time with water regimes that depend solely on precipitation.</t>
  </si>
  <si>
    <t>Rice cultivation that relies on rainfall for water, in this case the field is flood prone during the rice-growing season. The water level may rise up to 50 cm during the cropping season.</t>
  </si>
  <si>
    <t>Rice cultivation that relies on rainfall for water, in this case the field is drought prone during the rice-growing season. Drought periods occur during every cropping season.</t>
  </si>
  <si>
    <t>Deep water</t>
  </si>
  <si>
    <t>Water level rises to more than 50 cm above the soil for a significant period of time during the cropping season.</t>
  </si>
  <si>
    <t>Flooded pre-season (&gt;30 days)</t>
  </si>
  <si>
    <t>Permanently flooded rice fields are assumed to have a preseason water regime of ‘flooded pre-season’. Late rice (e.g., in China) is usually planted immediately after early rice on the same field and is therefore regarded as having a pre-season water regime of ‘flooded pre-season’.</t>
  </si>
  <si>
    <t>Non flooded pre-season ( &gt;180 days )</t>
  </si>
  <si>
    <t>If rice is planted once a year and the field is not flooded in the non-rice growing season, the preseason water regime is classified as  ‘non flooded pre-season &gt;180 d’.</t>
  </si>
  <si>
    <t>Non flooded pre-season (&lt; 180 days)</t>
  </si>
  <si>
    <t>Rice is planted more than once a year, but there is more than one month of fallow time between the two seasons, ‘non-flooded pre-season &lt;180 d’ usually implies pre-season drainage.</t>
  </si>
  <si>
    <t>Cropping season</t>
  </si>
  <si>
    <t>Refers to the number of times rice is harvested per year. By default 1.</t>
  </si>
  <si>
    <t>Straw incorporated shortly  (&lt;30 days) before cultivation</t>
  </si>
  <si>
    <t>Straw applied just before rice transplanting as on-season; straw that is left on the soil surface in the fallow season and incorporated into the soil before the next rice transplanting is also categorized as ‘straw incorporated shortly (&lt;30 days) before cultivation’. The amount of straw return is expressed in dry weight (t ha-1).</t>
  </si>
  <si>
    <t>Straw incorporated long  (&lt;30 days) before cultivation</t>
  </si>
  <si>
    <t>Straw incorporated into soils in the previous season (upland crop or fallow) is categorized as ‘straw incorporated long (&gt;30 days) before cultivation’.  The amount of straw return is expressed in dry weight (t ha-1).</t>
  </si>
  <si>
    <t>Definitions livestock</t>
  </si>
  <si>
    <t>Main livestock categories</t>
  </si>
  <si>
    <t>Productivity systems</t>
  </si>
  <si>
    <t>Mature cows (first lactation and beyond) that are producing milk in commercial quantities for consumption. Dairy cow population should not be confused with multi-purpose cows that may be used for more than one production purpose milk, meat or draft.</t>
  </si>
  <si>
    <t>Dairy cattle in high-productivity systems</t>
  </si>
  <si>
    <t>High-yielding dairy cows that are concentrated in confinement production systems or grazing on high quality pastures with supplements. The farms are 100-percent market oriented for commercial milk production, for national markets and/or export; Purebred or crossbred cattle are genetically improved through selective breeding for milk production.</t>
  </si>
  <si>
    <t>Dairy cattle in low-productivity systems</t>
  </si>
  <si>
    <t>Low-yielding dairy cows, grazing non improved pastures, and using locally produced roughage (e.g. crop residues), and agro-industrial by-products. Local breeds or crossbred cows are bred locally, without intensive selection for milk productivity. Milk production is mostly for local market and local consumption.</t>
  </si>
  <si>
    <t>Other cattle in high-productivity systems</t>
  </si>
  <si>
    <t>Based on animal feeding systems using forage (e.g. high-quality grass) and concentrates in confinement production systems or grazing with supplements or on improved pastures, producing high rates of daily weight gain. Animals can be purebred or crossbred and are genetically improved through selective breeding for improved commercial meat production. Growing cattle may be finished young in "intensive grazing with supplements" or feedlot systems, and meat is produced for national markets and/or export.</t>
  </si>
  <si>
    <t>Other cattle in low-productivity systems</t>
  </si>
  <si>
    <t>Based on animal feeding systems where locally produced roughage (e.g. crop residues) or low quality rangelands represent the major source of feed utilized, producing low rates of daily weight gain. Animals can be represented by local breeds or may be crossbred and can also be used for multiple purposes such as draft, meat and milk for self consumption and markets.</t>
  </si>
  <si>
    <t>Other livestock in high-productivity systems</t>
  </si>
  <si>
    <t>Are 100 percent market oriented with high level of capital input requirements and high level of overall herd (flock) performance. Feed is purchased from local or international market or intensively produced on farm. Animals are improved through breeding practices for commercial production. The high-productivity systems are common in swine, poultry, goats and sheep production.</t>
  </si>
  <si>
    <t>Other livestock in low-productivity systems</t>
  </si>
  <si>
    <t>Are mainly driven by local market or by self-consumption, with low capital input requirements and low level of overall herd (fowl) performance typically using large areas for production or backyards. Locally produced feed represents the major source of feed utilized or animals are kept-free range for major part or all of their production cycle, the yield of the activity being linked to the natural fertility of the land and the seasonal production of the pastures. The low-productivity systems are common in swine, poultry, goats and sheep production</t>
  </si>
  <si>
    <t>Regional characteristics for cattle and buffalo</t>
  </si>
  <si>
    <t>Latin America</t>
  </si>
  <si>
    <t>Asia</t>
  </si>
  <si>
    <t>Indian subcontinent</t>
  </si>
  <si>
    <t>Manure management systems</t>
  </si>
  <si>
    <t>The manure from pasture and range grazing animals is allowed to lie as deposited, and is not managed.</t>
  </si>
  <si>
    <t>Manure is routinely removed from a confinement facility and is applied to cropland or pasture within 24 hours of excretion.</t>
  </si>
  <si>
    <t>The storage of manure, typically for a period of several months, in unconfined piles or stacks. Manure is able to be stacked because of the presence of a sufficient amount of bedding material or loss of moisture by evaporation</t>
  </si>
  <si>
    <t>A paved or unpaved open confinement area without any significant vegetative cover. Dry lots do not require the addition of bedding to control moisture. Manure may be removed periodically and spread on fields.</t>
  </si>
  <si>
    <t>Liquid/Slurry</t>
  </si>
  <si>
    <t>Manure is stored as excreted or with some minimal addition of water or bedding material in tanks or ponds outside the animal housing. Manure is removed and spread on fields once or more in a calendar year. Manure is agitated before removal from the tank/ponds to ensure that most of the VS are removed from the tank..</t>
  </si>
  <si>
    <t>Lagoons (uncovered anaerobic)</t>
  </si>
  <si>
    <t>A type of liquid storage system designed and operated to combine waste stabilization and storage. Lagoons have a lower depth and a much larger surface compared to liquid slurry stores. Anaerobic lagoons are designed with varying lengths of storage (up to a year or greater), depending on the climate region, the volatile solids loading rate, and other operational factors. The supernatant water from the lagoon may be recycled as flush water or used to irrigate and fertilise fields.</t>
  </si>
  <si>
    <t>Pit storage below animal confinements</t>
  </si>
  <si>
    <t>Collection and storage of manure usually with little or no added water typically below a slatted floor in an enclosed animal confinement facility, usually for periods less than one year. Manure may be pumped out of the storage to a secondary storage tank multiple times in one year, or stored and applied directly to fields. It is assumed that VS removal rates on tank emptying are &gt;90%.</t>
  </si>
  <si>
    <t>Anaerobic digester</t>
  </si>
  <si>
    <t>Anaerobic fermentation of slurry and/or solid. Biogas is captured and flared or used as a fuel.</t>
  </si>
  <si>
    <t>The dung and urine are excreted on fields. The sun dried dung cakes are burned for fuel</t>
  </si>
  <si>
    <t>Mixture of excreta and washing water, stored within the livestock building, usually below the confined animals</t>
  </si>
  <si>
    <t>Similar to cattle and swine deep bedding except usually not combined with a dry lot or pasture. Typically used for all poultry breeder flocks, for alternative systems for layers and for the production of meat type chickens (broilers) and other fowl. Litter and manure are left in place with added bedding during the poultry production cycle and cleaned between poultry cycles, typically 5 to 9 weeks in productive systems and greater in lower productivity systems.</t>
  </si>
  <si>
    <t>Biological oxidation of a solid waste including manure usually with bedding or another organic carbon source typically at thermophilic temperatures produced by microbial heat production.</t>
  </si>
  <si>
    <t>Grassland degradation levels</t>
  </si>
  <si>
    <t>Implies major long-term loss of productivity and vegetation cover, due to severe mechanical damage to the vegetation and/or severe soil erosion.</t>
  </si>
  <si>
    <t>Represents high intensity grazing systems (or cutting and removal of vegetation) with shifts in vegetation composition and possibly productivity but is not severely degraded.</t>
  </si>
  <si>
    <t>Represents low or medium intensity grazing regimes, in addition to periodic cutting and removal of above-ground vegetation, without significant management improvements.</t>
  </si>
  <si>
    <t>Represents grassland which is sustainably managed with light to moderate grazing pressure (or cutting and removal of vegetation) and that receive at least one improvement (e.g., fertilization, species improvement, irrigation).</t>
  </si>
  <si>
    <t>Applies to improved grassland where no additional management inputs have been used.</t>
  </si>
  <si>
    <t>Applies to improved grassland where one or more additional management inputs/improvements have been used (beyond that required to be classified as improved grassland).</t>
  </si>
  <si>
    <t>Global warming potential over 100 years from the Second Assessment Report (SAR), Climate Change 1995 - The science of climate change https://www.ipcc.ch/site/assets/uploads/2018/02/ipcc_sar_wg_I_full_report.pdf.</t>
  </si>
  <si>
    <t>Global warming potential over 100 years from the Fourth Assessment Report (AR4),  Climate Change 2007 - The physical science basis https://www.ipcc.ch/site/assets/uploads/2018/05/ar4_wg1_full_report-1.pdf.</t>
  </si>
  <si>
    <t>Global warming potential over 100 years from the Fifth Assessment Report (AR5) with climate carbon feedback, Climate Change 2013 - The physical science basis https://www.ipcc.ch/site/assets/uploads/2018/02/WG1AR5_all_final.pdf.</t>
  </si>
  <si>
    <t>Global warming potential over 100 years from the Fifth Assessment Report (AR5) without climate carbon feedback, Climate Change 2013 - The physical science basis https://www.ipcc.ch/site/assets/uploads/2018/02/WG1AR5_all_final.pdf.</t>
  </si>
  <si>
    <t>Irrigation types</t>
  </si>
  <si>
    <t>Surface irrigation without an irrigation runoff return system</t>
  </si>
  <si>
    <t>Surface irrigation with an irrigation runoff return system</t>
  </si>
  <si>
    <t>Irrigation with vertical tubes that are stationary for the duration of the irrigation season</t>
  </si>
  <si>
    <t>Irrigation with vertical tubes that cannot be moved from the moment they are installed</t>
  </si>
  <si>
    <t>Irrigation with sprinklers that can be displaced throughout the irrigation season. This kind of sprinkler is usually used for smaller crop extensions as the continuous movement implies a high rate of labour</t>
  </si>
  <si>
    <t>An aluminum sprinkler line mounted on wheels which irrigates in place. A mover unit powered by a small gasoline engine is located in the center of the line. The sprinkler line is connected to a supply or mainline by a flexible hose.</t>
  </si>
  <si>
    <t>Center pivot sprinkler</t>
  </si>
  <si>
    <t>Overhead sprinkler irrigation consisting of several segments of pipe, with sprinklers positioned along their length, joined together and supported by trusses, and mounted on wheeled towers. The machine moves in a circular pattern and is fed with water from the pivot point at the center of the circle</t>
  </si>
  <si>
    <t>Fully movable irrigation system. It does not entail the construction of any stable irrigation infrastructure on the field</t>
  </si>
  <si>
    <t>High precision, high efficiency drip irrigation</t>
  </si>
  <si>
    <t>CLIMATE</t>
  </si>
  <si>
    <t>CLIMATE IDENTIFIER</t>
  </si>
  <si>
    <t>MAT &gt; 18</t>
  </si>
  <si>
    <t>&lt; 1000</t>
  </si>
  <si>
    <r>
      <t xml:space="preserve">MAP </t>
    </r>
    <r>
      <rPr>
        <sz val="10"/>
        <rFont val="Calibri"/>
        <family val="2"/>
      </rPr>
      <t>≥</t>
    </r>
    <r>
      <rPr>
        <sz val="10"/>
        <rFont val="Roboto"/>
      </rPr>
      <t xml:space="preserve"> 2000</t>
    </r>
  </si>
  <si>
    <r>
      <t xml:space="preserve">1000 </t>
    </r>
    <r>
      <rPr>
        <sz val="10"/>
        <rFont val="Calibri"/>
        <family val="2"/>
      </rPr>
      <t>≤</t>
    </r>
    <r>
      <rPr>
        <sz val="10"/>
        <rFont val="Roboto"/>
      </rPr>
      <t xml:space="preserve"> MAP &lt; 2000</t>
    </r>
  </si>
  <si>
    <t>MAP &lt; 1000</t>
  </si>
  <si>
    <r>
      <rPr>
        <sz val="10"/>
        <rFont val="Calibri"/>
        <family val="2"/>
      </rPr>
      <t>≥</t>
    </r>
    <r>
      <rPr>
        <sz val="10"/>
        <rFont val="Roboto"/>
      </rPr>
      <t xml:space="preserve"> 1000</t>
    </r>
  </si>
  <si>
    <t>MAP ≥ 1000</t>
  </si>
  <si>
    <t>PET</t>
  </si>
  <si>
    <r>
      <t xml:space="preserve">10 &lt; MAT </t>
    </r>
    <r>
      <rPr>
        <sz val="10"/>
        <rFont val="Calibri"/>
        <family val="2"/>
      </rPr>
      <t>≤</t>
    </r>
    <r>
      <rPr>
        <sz val="10"/>
        <rFont val="Roboto"/>
      </rPr>
      <t xml:space="preserve"> 18</t>
    </r>
  </si>
  <si>
    <t>MAP &gt; PET</t>
  </si>
  <si>
    <t>Elevation</t>
  </si>
  <si>
    <t>MAP &lt; PET</t>
  </si>
  <si>
    <r>
      <t xml:space="preserve">0 &lt; MAT </t>
    </r>
    <r>
      <rPr>
        <sz val="10"/>
        <rFont val="Calibri"/>
        <family val="2"/>
      </rPr>
      <t>≤</t>
    </r>
    <r>
      <rPr>
        <sz val="8.5"/>
        <rFont val="Calibri"/>
        <family val="2"/>
      </rPr>
      <t xml:space="preserve"> </t>
    </r>
    <r>
      <rPr>
        <sz val="10"/>
        <rFont val="Roboto"/>
      </rPr>
      <t>10</t>
    </r>
  </si>
  <si>
    <t>Moisture</t>
  </si>
  <si>
    <r>
      <t xml:space="preserve">-10 &lt; MAT </t>
    </r>
    <r>
      <rPr>
        <sz val="10"/>
        <rFont val="Calibri"/>
        <family val="2"/>
      </rPr>
      <t>≤</t>
    </r>
    <r>
      <rPr>
        <sz val="8.5"/>
        <rFont val="Calibri"/>
        <family val="2"/>
      </rPr>
      <t xml:space="preserve"> </t>
    </r>
    <r>
      <rPr>
        <sz val="10"/>
        <rFont val="Roboto"/>
      </rPr>
      <t>0</t>
    </r>
  </si>
  <si>
    <r>
      <t xml:space="preserve">MAT </t>
    </r>
    <r>
      <rPr>
        <sz val="10"/>
        <rFont val="Calibri"/>
        <family val="2"/>
      </rPr>
      <t>≤</t>
    </r>
    <r>
      <rPr>
        <sz val="10"/>
        <rFont val="Roboto"/>
      </rPr>
      <t xml:space="preserve"> -10</t>
    </r>
  </si>
  <si>
    <t>Polar Moist</t>
  </si>
  <si>
    <t>Polar Dry</t>
  </si>
  <si>
    <t>SOIL</t>
  </si>
  <si>
    <t>Soil classification</t>
  </si>
  <si>
    <t>WRB-2014</t>
  </si>
  <si>
    <t>Acrisol AC</t>
  </si>
  <si>
    <t>LAC Soils</t>
  </si>
  <si>
    <t>Alisol AL</t>
  </si>
  <si>
    <t>HAC Soils</t>
  </si>
  <si>
    <t>Andosol AN</t>
  </si>
  <si>
    <t>Volcanic Soils</t>
  </si>
  <si>
    <t>Anthrosol AT</t>
  </si>
  <si>
    <t>Arenosol AR</t>
  </si>
  <si>
    <t>Sandy Soils</t>
  </si>
  <si>
    <t>Calcisol CL</t>
  </si>
  <si>
    <t>Cambisol CM</t>
  </si>
  <si>
    <t>Chernozem CH</t>
  </si>
  <si>
    <t>Cryosol CR</t>
  </si>
  <si>
    <t>Durisol DU</t>
  </si>
  <si>
    <t>Ferralsol FR</t>
  </si>
  <si>
    <t>Fluvisol FL</t>
  </si>
  <si>
    <t>Gleysol GL</t>
  </si>
  <si>
    <t>Wetland Soils</t>
  </si>
  <si>
    <t>Gypsisol GY</t>
  </si>
  <si>
    <t>Histosol HS</t>
  </si>
  <si>
    <t>Organic Soils</t>
  </si>
  <si>
    <t>Kastanozem KS</t>
  </si>
  <si>
    <t>Leptosol LP</t>
  </si>
  <si>
    <t>Lixisol LX</t>
  </si>
  <si>
    <t>Luvisol LV</t>
  </si>
  <si>
    <t>Nitisol NT</t>
  </si>
  <si>
    <t>Phaeozem PH</t>
  </si>
  <si>
    <t>Planosol PL</t>
  </si>
  <si>
    <t>Plinthosol PT</t>
  </si>
  <si>
    <t>Podzol PZ</t>
  </si>
  <si>
    <t>Spodic Soils</t>
  </si>
  <si>
    <t>Regosol RG</t>
  </si>
  <si>
    <t>Retisol</t>
  </si>
  <si>
    <t>Solonchak SC</t>
  </si>
  <si>
    <t xml:space="preserve">Note: for more detailed maps users can refer to: </t>
  </si>
  <si>
    <t>Solonetz SN</t>
  </si>
  <si>
    <t xml:space="preserve">Harmonized World Soil Database </t>
  </si>
  <si>
    <t>Stagnosol ST</t>
  </si>
  <si>
    <t>Earthmap</t>
  </si>
  <si>
    <t>Technosol TC</t>
  </si>
  <si>
    <t>Umbrisol UM</t>
  </si>
  <si>
    <t>Vertisol VR</t>
  </si>
  <si>
    <t>GLOBAL ECOLOGICAL ZONES</t>
  </si>
  <si>
    <t>Source: FAO, 2015.</t>
  </si>
  <si>
    <t>Global ecological zones for FAO Forest Reporting: 2010 Update, Forest Resources Assessment Working Paper 179.</t>
  </si>
  <si>
    <t>SIMULATED WATER TABLE DEPTH</t>
  </si>
  <si>
    <t>Source: Fan Y. et al., 2013, Global Patterns of Groundwater Table Depth.</t>
  </si>
  <si>
    <t>For more precise geographical localisation, users can also refer to Fan Y. et al., 2013, Supplementary Materials for Global Patterns of Groundwater Table Depth.</t>
  </si>
  <si>
    <t>Spreadsheet</t>
  </si>
  <si>
    <t>English</t>
  </si>
  <si>
    <t>French</t>
  </si>
  <si>
    <t>Spanish</t>
  </si>
  <si>
    <t>Arabic</t>
  </si>
  <si>
    <t>Chinese</t>
  </si>
  <si>
    <t>Russian</t>
  </si>
  <si>
    <t>Polish</t>
  </si>
  <si>
    <t>0.Start</t>
  </si>
  <si>
    <t>General</t>
  </si>
  <si>
    <t>Total emissions (tCO2-e)</t>
  </si>
  <si>
    <t>Emissions factors</t>
  </si>
  <si>
    <t>Unit</t>
  </si>
  <si>
    <t>Final land-use</t>
  </si>
  <si>
    <t>Initial land-use</t>
  </si>
  <si>
    <t>Use this part only if you want to refine the analysis at Tier 2</t>
  </si>
  <si>
    <t>IPCC default values are provided for your information only; EX-ACT will use Tier 2 values automatically wherever specified.</t>
  </si>
  <si>
    <t>*The selection of "D" corresponds to a default (linear) dynamics of change. Other selection options include "I" for immediate changes and "E" for exponential - please refer to the guidelines for further explanation of these assumptions.</t>
  </si>
  <si>
    <t>Land-use cover</t>
  </si>
  <si>
    <t>1.Description</t>
  </si>
  <si>
    <t>1. DESCRIPTION</t>
  </si>
  <si>
    <t>1.1 Project description</t>
  </si>
  <si>
    <t xml:space="preserve">Project Name </t>
  </si>
  <si>
    <t>User Name</t>
  </si>
  <si>
    <t>Date</t>
  </si>
  <si>
    <t xml:space="preserve">Project name </t>
  </si>
  <si>
    <t>Project code</t>
  </si>
  <si>
    <t>Project cost (in USD)</t>
  </si>
  <si>
    <t xml:space="preserve">Funding agency </t>
  </si>
  <si>
    <t>Executing agency</t>
  </si>
  <si>
    <t>1.2 Project site and duration</t>
  </si>
  <si>
    <t xml:space="preserve">Continent </t>
  </si>
  <si>
    <t>Country</t>
  </si>
  <si>
    <t xml:space="preserve">Climate </t>
  </si>
  <si>
    <t>Project duration (in years)</t>
  </si>
  <si>
    <t xml:space="preserve">Implementation Phase </t>
  </si>
  <si>
    <t xml:space="preserve">Capitalization Phase </t>
  </si>
  <si>
    <t>Total Duration of Accounting</t>
  </si>
  <si>
    <t>2. LUC</t>
  </si>
  <si>
    <t>2.1 DEFORESTATION</t>
  </si>
  <si>
    <t>HWPs</t>
  </si>
  <si>
    <t>Fire used?</t>
  </si>
  <si>
    <t>Deforested area (ha)</t>
  </si>
  <si>
    <t>Reforested area (ha)</t>
  </si>
  <si>
    <t>Above-ground biomass growth</t>
  </si>
  <si>
    <t>Below-ground biomass growth</t>
  </si>
  <si>
    <t>Total deforestation (tCO2-e)</t>
  </si>
  <si>
    <t>2.2 AFFORESTATION &amp; REFORESTATION</t>
  </si>
  <si>
    <t>Total af/re forestation (tCO2-e)</t>
  </si>
  <si>
    <t>2.3 OTHER LAND-USE CHANGES</t>
  </si>
  <si>
    <t>Total non forest land-use change (tCO2-e)</t>
  </si>
  <si>
    <t>3. Cropland</t>
  </si>
  <si>
    <t>Fill with your description</t>
  </si>
  <si>
    <t>Total Emissions (tCO2-e)</t>
  </si>
  <si>
    <t>Total annual cropping systems (tCO2-e)</t>
  </si>
  <si>
    <t>If country-specific data are available, please go to:</t>
  </si>
  <si>
    <t>3.1. ANNUAL CROPPING SYSTEMS (to be used also for pluri-annual systems such as cotton or sugarcane)</t>
  </si>
  <si>
    <t>3.1.1. Annual cropping systems from other LU or converted to other LU</t>
  </si>
  <si>
    <t>3.1.2. Annual cropping systems remaining annual cropping systems (total area must remain constant)</t>
  </si>
  <si>
    <t>Annual systems from (or to) other land-use</t>
  </si>
  <si>
    <t xml:space="preserve">Annual systems remaining annual systems </t>
  </si>
  <si>
    <t>Reference SOC</t>
  </si>
  <si>
    <t>Land-use factor</t>
  </si>
  <si>
    <t>Minor season crop/intercrop</t>
  </si>
  <si>
    <t>3.2. PERENNIAL CROPPING SYSTEMS (e.g. agroforestry, orchards, tree crops etc.)</t>
  </si>
  <si>
    <t xml:space="preserve">3.2.1. Perennial systems from other LU or converted to other LU </t>
  </si>
  <si>
    <t>3.2.2. Perennial systems remaining perennial systems (total area must remain constant)</t>
  </si>
  <si>
    <t>Total perennial cropping systems (tCO2-e)</t>
  </si>
  <si>
    <t>Systems</t>
  </si>
  <si>
    <t>Perennial systems from (or to) other land-uses</t>
  </si>
  <si>
    <t>growth rate (tC/ha/yr)</t>
  </si>
  <si>
    <t>Quantity of residues burned</t>
  </si>
  <si>
    <t>Main season crop (t dm/ha)</t>
  </si>
  <si>
    <t>3.3. FLOODED RICE SYSTEMS</t>
  </si>
  <si>
    <t xml:space="preserve">3.3.1. Flooded rice systems from other land-use  or converted to other land-use (please fill 'Land-use change' module)  </t>
  </si>
  <si>
    <t>Total flooded-rice systems (tCO2-e)</t>
  </si>
  <si>
    <t>Please confirm total area of flooded rice remaining flooded rice (ha)</t>
  </si>
  <si>
    <t>During</t>
  </si>
  <si>
    <t xml:space="preserve">Before </t>
  </si>
  <si>
    <t xml:space="preserve"> amendment</t>
  </si>
  <si>
    <t>4.Grassland</t>
  </si>
  <si>
    <t>4.1. GRASSLAND MANAGEMENT</t>
  </si>
  <si>
    <t xml:space="preserve">4.1.1. Grassland systems from other land-use  or converted to other land-use (please fill 'Land-use change' module)  </t>
  </si>
  <si>
    <t>Grasslands after deforestation</t>
  </si>
  <si>
    <t>Grasslands after non-forest LUs</t>
  </si>
  <si>
    <t>Grasslands converted to forest land</t>
  </si>
  <si>
    <t>Grassland management</t>
  </si>
  <si>
    <t>Fire management &amp; periodicity</t>
  </si>
  <si>
    <t>Yield (t/ha/year)</t>
  </si>
  <si>
    <t>4.1.2. Grassland systems  remaining grassland systems  (total area must remain constant)</t>
  </si>
  <si>
    <t>Grassland systems from (or to) other LU</t>
  </si>
  <si>
    <t>AGB (t d.m./ha)</t>
  </si>
  <si>
    <t>Combustion factor (%)</t>
  </si>
  <si>
    <t>Grasslands remaining grasslands</t>
  </si>
  <si>
    <t>Total grassland systems (tCO2-e)</t>
  </si>
  <si>
    <t>4. Livestock</t>
  </si>
  <si>
    <t>4.2 LIVESTOCK AND MANURE MANAGEMENT</t>
  </si>
  <si>
    <t>7.Coastal wetlands</t>
  </si>
  <si>
    <t>7.1.1 Extraction and excavation (construction of ports, aquaculture or salt ponds…)</t>
  </si>
  <si>
    <t>6. Inland wetland</t>
  </si>
  <si>
    <t>INLAND WETLAND</t>
  </si>
  <si>
    <t>6.1 LAND-USE CHANGE ON ORGANIC SOIL</t>
  </si>
  <si>
    <t>6.1.1 Organic soil management practices associated with deforestation</t>
  </si>
  <si>
    <t>Final land-use after deforestation</t>
  </si>
  <si>
    <t>Land-use type</t>
  </si>
  <si>
    <t>Agroforestry system</t>
  </si>
  <si>
    <t>Please indicate the dominant quality of peat, this can influence the emission factors above:</t>
  </si>
  <si>
    <t>On site emission factors</t>
  </si>
  <si>
    <t>Fire occurrence and severity</t>
  </si>
  <si>
    <t>% area burnt</t>
  </si>
  <si>
    <t>6.1.2 Organic soil management practices associated with afforestation / reforestation</t>
  </si>
  <si>
    <t>6.1.3 Organic soil management practices associated with other land-use changes</t>
  </si>
  <si>
    <t>Off-site emission factors</t>
  </si>
  <si>
    <t>Total peat extraction (tCO2-e)</t>
  </si>
  <si>
    <t>6.2 LAND MANAGEMENT ON ORGANIC SOIL</t>
  </si>
  <si>
    <t>6.2.2 Other land-use management</t>
  </si>
  <si>
    <t>6.3 LAND MANAGED FOR PEAT EXTRACTION</t>
  </si>
  <si>
    <t>6.4 INLAND WATERBODIES</t>
  </si>
  <si>
    <t>Tota area of waterbodies (ha)</t>
  </si>
  <si>
    <t>Trophic class</t>
  </si>
  <si>
    <t>Fish production (tonne/year)</t>
  </si>
  <si>
    <t>6.1.1 Emission factors for drainage associated with deforestation</t>
  </si>
  <si>
    <t>6.1.2 Emission factors for drainage associated with afforestation/reforestation</t>
  </si>
  <si>
    <t>6.1.3 Emission factors for drainage associated with other land-use changes</t>
  </si>
  <si>
    <t>6.2.1 Emission factors for drainage associated with forest management</t>
  </si>
  <si>
    <t>6.2.2 Emission factors for drainage associated with other land-use management</t>
  </si>
  <si>
    <t>6.1.1 Emissions factors for fire on organic soils associated with deforestation</t>
  </si>
  <si>
    <t>6.1.2 Emissions factors for fire on organic soils associated with afforestation/reforestation</t>
  </si>
  <si>
    <t>6.1.3 Emissions factors for fire on organic soils associated with other land-use change</t>
  </si>
  <si>
    <t>6.2.1 Emissions factors for fire on organic soils associated with forest management</t>
  </si>
  <si>
    <t>6.2.2 Emissions factors for fire on organic soils associated with other land-use management</t>
  </si>
  <si>
    <t>Total af/reforestation on organic soils (tCO2-e)</t>
  </si>
  <si>
    <t>Total other land-use changes on organic soils (tCO2-e)</t>
  </si>
  <si>
    <t>Total forest degradation and management (tCO2-e)</t>
  </si>
  <si>
    <t>Total other land-use management (tCO2-e)</t>
  </si>
  <si>
    <t>6.1.1. Rewetting associated with deforestation</t>
  </si>
  <si>
    <t>6.1.2. Rewetting associated with afforestation/reforestation</t>
  </si>
  <si>
    <t>6.1.3 Rewetting associated with other land-use change</t>
  </si>
  <si>
    <t>6.2.1 Rewetting associated with forest management</t>
  </si>
  <si>
    <t>6.2.2 Rewetting associated with other land-use management</t>
  </si>
  <si>
    <t xml:space="preserve">For Mineral soil only - This accounts for CH4 emissions from (i) canals for water supply or navigation, (ii) ditches for agriculture (irrigation, drainage, etc.) ,and (iii) ponds for agriculture and aquaculture </t>
  </si>
  <si>
    <t>For aquaculture in coastal wetland based pond go to "Coastal wetlands"</t>
  </si>
  <si>
    <t>Total inland waterbodies on mineral soil (tCO2-e)</t>
  </si>
  <si>
    <t>5. Forest management</t>
  </si>
  <si>
    <t>5.1 FOREST DEGRADATION &amp; MANAGEMENT</t>
  </si>
  <si>
    <t>8. Inputs</t>
  </si>
  <si>
    <t>9.1 INPUTS (liming, fertilizers, pesticides)</t>
  </si>
  <si>
    <t>Amount applied per year (in tonne)</t>
  </si>
  <si>
    <t>Description and unit to report</t>
  </si>
  <si>
    <t>Amount applied per year</t>
  </si>
  <si>
    <t xml:space="preserve">Emissions from production, </t>
  </si>
  <si>
    <t xml:space="preserve">Fertilizers </t>
  </si>
  <si>
    <t>Lime application</t>
  </si>
  <si>
    <t>Limestone (tonnes per year)</t>
  </si>
  <si>
    <t>Dolomite (tonne per year)</t>
  </si>
  <si>
    <t>Not-specified (tonnes per year)</t>
  </si>
  <si>
    <t xml:space="preserve">Synthetic fertilizers </t>
  </si>
  <si>
    <t>Urea (tonnes of Urea per year)</t>
  </si>
  <si>
    <t>Synthetic N-fertilizers other than Urea (tonnes of N per year)</t>
  </si>
  <si>
    <t>N-fertilizers on irrigated rice</t>
  </si>
  <si>
    <t>N-fertilizer in wet and dry irrigated rice (tonnes of N per year)</t>
  </si>
  <si>
    <t xml:space="preserve">Organic N-fertilizers </t>
  </si>
  <si>
    <t>Pesticides</t>
  </si>
  <si>
    <t>Fungicides (tonnes of active ingredient)</t>
  </si>
  <si>
    <t>Herbicides (tonnes of active ingredient)</t>
  </si>
  <si>
    <t>Insecticides (tonnes of active ingredient)</t>
  </si>
  <si>
    <t>By default EX-ACT considers that urea is imported and do not account for this sink, but you can force the calculation to do so:</t>
  </si>
  <si>
    <t>Account the manufacturing sink?</t>
  </si>
  <si>
    <t>Emissions at field level</t>
  </si>
  <si>
    <t>CO2-e emissions</t>
  </si>
  <si>
    <t>Emissions from production, transportation, storage and transfer</t>
  </si>
  <si>
    <t>9.2. ENERGY CONSUMPTION (electricity, fuel…) except for irrigation, i.e. see next section</t>
  </si>
  <si>
    <t>Country of origin of electricity</t>
  </si>
  <si>
    <t>Electricity (MWh per year)</t>
  </si>
  <si>
    <t>User defined (Tier 2)</t>
  </si>
  <si>
    <t>Liquid or gaseous</t>
  </si>
  <si>
    <t>Solid (in tonnes of dry matter per year)</t>
  </si>
  <si>
    <t>Solid</t>
  </si>
  <si>
    <t>Peat (from peatlands)</t>
  </si>
  <si>
    <t xml:space="preserve">Peat </t>
  </si>
  <si>
    <t>Emission factor for the selected country</t>
  </si>
  <si>
    <t>Losses of electricity during transportation</t>
  </si>
  <si>
    <t>Liquid</t>
  </si>
  <si>
    <t>9.3 IRRIGATION</t>
  </si>
  <si>
    <t>Irrigation systems</t>
  </si>
  <si>
    <t>Operational phase of groundwater irrigated systems</t>
  </si>
  <si>
    <t>Surfaces (in ha)</t>
  </si>
  <si>
    <t>Source of energy</t>
  </si>
  <si>
    <t>Gross Irrigation Water Requirement</t>
  </si>
  <si>
    <t>(in mm/year)</t>
  </si>
  <si>
    <t>(in m)</t>
  </si>
  <si>
    <t>New installation</t>
  </si>
  <si>
    <t>Average pressure (in bar)</t>
  </si>
  <si>
    <t>Emission factors source of energy</t>
  </si>
  <si>
    <t>Total dynamic head (in meters head)</t>
  </si>
  <si>
    <t>Pumping efficiency (in %)</t>
  </si>
  <si>
    <t>Over the main crop season</t>
  </si>
  <si>
    <t>(in mm/growing season)</t>
  </si>
  <si>
    <t>Main crop irrigation need</t>
  </si>
  <si>
    <t>Minor crop season</t>
  </si>
  <si>
    <t>Irrigation need</t>
  </si>
  <si>
    <t>Water need</t>
  </si>
  <si>
    <t>Pump</t>
  </si>
  <si>
    <t>9.4 BUILDINGS &amp; ROADS</t>
  </si>
  <si>
    <t>Buildings and roads (in m2)</t>
  </si>
  <si>
    <t>Surfaces (in m2)</t>
  </si>
  <si>
    <t>Roads and buildings (new and rehabilitated)</t>
  </si>
  <si>
    <t>Total energy (tCO2-e)</t>
  </si>
  <si>
    <t>Total inputs (tCO2-e)</t>
  </si>
  <si>
    <t>Total irrigation (tCO2-e)</t>
  </si>
  <si>
    <t>Total buildings and roads (tCO2-e)</t>
  </si>
  <si>
    <t>7.1 MANAGEMENT OF COASTAL WETLANDS (mangroves, tidal marsh and seagrass meadow)</t>
  </si>
  <si>
    <t>7.1.1. Extraction and excavation (port construction, construction of aquaculture or salt production)</t>
  </si>
  <si>
    <t>% excavated</t>
  </si>
  <si>
    <t>7.1.2 Drainage</t>
  </si>
  <si>
    <t>Please specify area in the "Extraction and Excavation" module above.</t>
  </si>
  <si>
    <t>% drained</t>
  </si>
  <si>
    <t>Total for extraction and excavation (tCO2-e)</t>
  </si>
  <si>
    <t>Total for drainage (tCO2-e)</t>
  </si>
  <si>
    <t>Area rewetted (ha)</t>
  </si>
  <si>
    <t>Percentage of nominal biomass restored</t>
  </si>
  <si>
    <t>Total for rewetting &amp; revegetation (tCO2-e)</t>
  </si>
  <si>
    <t>% C lost after excavation</t>
  </si>
  <si>
    <t>Total for coastal and marine fisheries (tCO2-e)</t>
  </si>
  <si>
    <t>Total for coastal-based aquaculture (tCO2-e)</t>
  </si>
  <si>
    <t>5. Management</t>
  </si>
  <si>
    <t>Help</t>
  </si>
  <si>
    <t>Climate and moisture regime to be specified in the "Description" module</t>
  </si>
  <si>
    <t>Elevation in m</t>
  </si>
  <si>
    <t>MAP and PET in mm</t>
  </si>
  <si>
    <t>Climate &amp; Moisture regime</t>
  </si>
  <si>
    <t>Mean Annual Temperature in C</t>
  </si>
  <si>
    <t>Mean Annual Precipitation in mm</t>
  </si>
  <si>
    <t>Potential Evapotranspiration in mm</t>
  </si>
  <si>
    <t>Elevation above sea level</t>
  </si>
  <si>
    <t>9.Results</t>
  </si>
  <si>
    <t>Whole period analysis</t>
  </si>
  <si>
    <t>Chain: area(FAOSTAT)-item(FAOSTAT)</t>
  </si>
  <si>
    <t>area (FAOSTAT)</t>
  </si>
  <si>
    <t>item (FAOSTAT)</t>
  </si>
  <si>
    <t>Corresponding EX-ACT area</t>
  </si>
  <si>
    <t>Chain:EX-ACT Area-FAOSTAT Item</t>
  </si>
  <si>
    <t>Correspondance FAOSTAT Region - IPCC Region</t>
  </si>
  <si>
    <t xml:space="preserve">The country list is based on the UN list, which is available at https://unstats.un.org/unsd/methodology/m49/ </t>
  </si>
  <si>
    <t>Region (FAOSTAT)</t>
  </si>
  <si>
    <t>FAOSTAT (Total)</t>
  </si>
  <si>
    <t>EX-ACT area (v7.2)</t>
  </si>
  <si>
    <t>Eastern Africa + (Total)</t>
  </si>
  <si>
    <t>Central Africa + (Total)</t>
  </si>
  <si>
    <t>Northern Africa + (Total)</t>
  </si>
  <si>
    <t>Southern Africa + (Total)</t>
  </si>
  <si>
    <t>Western Africa + (Total)</t>
  </si>
  <si>
    <t>Central Asia + (Total)</t>
  </si>
  <si>
    <t>Eastern Asia + (Total)</t>
  </si>
  <si>
    <t>South-eastern Asia + (Total)</t>
  </si>
  <si>
    <t>Southern Asia + (Total)</t>
  </si>
  <si>
    <t>Western Asia + (Total)</t>
  </si>
  <si>
    <t>Europe + (Total)</t>
  </si>
  <si>
    <t>Oceania + (Total)</t>
  </si>
  <si>
    <t>North America + (Total)</t>
  </si>
  <si>
    <t>South America + (Total)</t>
  </si>
  <si>
    <t>Central America + (Total)</t>
  </si>
  <si>
    <t>Caribbean + (Total)</t>
  </si>
  <si>
    <t>Correspondance FAOSTAT Crop - IPCC Crop</t>
  </si>
  <si>
    <t>major_crop_ipcc</t>
  </si>
  <si>
    <t>crop_faostat</t>
  </si>
  <si>
    <t>crop_ex-act_v7.2</t>
  </si>
  <si>
    <t>Sewage (tonnes of N per year)</t>
  </si>
  <si>
    <t>Compost (tonnes of N per year)</t>
  </si>
  <si>
    <t>Rendering waste, brewery waste, guano (tonnes of N per year)</t>
  </si>
  <si>
    <t>after A/R</t>
  </si>
  <si>
    <t>occurrence</t>
  </si>
  <si>
    <t>periodicity</t>
  </si>
  <si>
    <t>impact (% burnt)</t>
  </si>
  <si>
    <t>UNFCCC -  Operating Margin</t>
  </si>
  <si>
    <t>Operating Margin</t>
  </si>
  <si>
    <t>100 yr AR6</t>
  </si>
  <si>
    <t>Sixth Assessment Report (AR6)</t>
  </si>
  <si>
    <t>Other (tier 2)</t>
  </si>
  <si>
    <t>fossil origin</t>
  </si>
  <si>
    <t>Oilseeds</t>
  </si>
  <si>
    <t>Northern America</t>
  </si>
  <si>
    <t>Avergae yield/year over 5 years in tonnes</t>
  </si>
  <si>
    <t>Average over 5 yrs (2016-2020)</t>
  </si>
  <si>
    <t>Vegetables</t>
  </si>
  <si>
    <t>tCO2/MWh</t>
  </si>
  <si>
    <t>Reference carbon stocks</t>
  </si>
  <si>
    <t>Reference carbon stocks should only be updated when detailed information on the planted species is available</t>
  </si>
  <si>
    <t>UNFCCC operating margin</t>
  </si>
  <si>
    <t>Organic soil should be analyzed directly in the "Inland Wetlands" module. Please refrain from analysing activities on organic soils in other modules</t>
  </si>
  <si>
    <t>Middle Africa</t>
  </si>
  <si>
    <t>Americas</t>
  </si>
  <si>
    <t>Southern Europe</t>
  </si>
  <si>
    <r>
      <t>CH</t>
    </r>
    <r>
      <rPr>
        <b/>
        <sz val="9"/>
        <color theme="1"/>
        <rFont val="Roboto Light"/>
      </rPr>
      <t>4</t>
    </r>
  </si>
  <si>
    <t>faostat_rice yield_2020 (t dm/ha)</t>
  </si>
  <si>
    <t>Global warming potential over 100 years from the Sixth Assessment Report (AR6),  Climate Change 2021 - The physical science basis https://www.ipcc.ch/report/ar6/wg1/. The AR6 includes a specific coefficient for the GWP of methane from fossil fuel origin. In the tool, this coefficient is applied to the energy use of charcoal and peat (inputs module).</t>
  </si>
  <si>
    <t>Land use definitions</t>
  </si>
  <si>
    <t>Important note: definitions based on EX-ACT experts' interpretation of IPCC land use types</t>
  </si>
  <si>
    <t>Annual fallow land represents land that is temporary set aside from annual crop production (e.g., conservation reserves) or other idle cropland that has been revegetated</t>
  </si>
  <si>
    <t>Forest stands of one or two species at planting, even age class and regular spacing. Usually established by planting or/and seeding in the process of afforestation or reforestation. They are either of introduced species (all planted stands), or intensively managed stands of indigenous species.</t>
  </si>
  <si>
    <t>Plants that perform their entire life cycle from seed to flower to seed, within a single growing season. All roots, stems and leaves of the plant die annually. Only the dormant seed bridges the gap between one generation and the next. Selected, non woody pluriannual species are also included in this category (e.g. sugarcane) whenever their growth implies a harvest cycle for the entire plant.</t>
  </si>
  <si>
    <t>It includes plants and other woody species that persist for many growing seasons. Generally the top portion of the plant dies back each winter and regrows the following spring from the same root system.</t>
  </si>
  <si>
    <t>It refers to only flooded (permanently or part of the year), lowland rice fields. Non flooded rice, i.e. upland rice or pure rain-fed rice is considered an annual crop.</t>
  </si>
  <si>
    <t>Grasslands are generally defined by having vegetation that is dominated by perennial grasses, with grazing as the predominant land use.</t>
  </si>
  <si>
    <t>Degraded lands are those whose native vegetation has been heavily disturbed. The land has strongly degraded biomass and soil organic carbon levels.</t>
  </si>
  <si>
    <t>All developed land - i.e., residential, transportation, commercial, and production infrastructure of any size, unless it is already included under other land-use categories.</t>
  </si>
  <si>
    <t>Other land (degraded)</t>
  </si>
  <si>
    <t>Plantations</t>
  </si>
  <si>
    <t>Perennial cropland (agroforestry)</t>
  </si>
  <si>
    <t>Please make sure that feed does not derive from land-based activities that are already included within the project</t>
  </si>
  <si>
    <t>Please consider if livestock feed derives from grassland systems (e.g. natural pastures) of should be included as crop-based activities or as exogenous dry matter</t>
  </si>
  <si>
    <t>Please ensure coherence between livestock keeping and feed need. Make sure feed comes either from I) crop-based activities (module 3), II) grassland systems (module 4.1) or III) exogenous dry matter (module 9).​</t>
  </si>
  <si>
    <t>Livestock categories/species</t>
  </si>
  <si>
    <t>Livestock productivity/production system*</t>
  </si>
  <si>
    <t>*The nomenclature refers to extensive livestock management systems</t>
  </si>
  <si>
    <t>Pasture/Range/Paddock*</t>
  </si>
  <si>
    <t>Emission factors for Pasture/Range/Paddock*</t>
  </si>
  <si>
    <r>
      <t>delta Soil C = SOC</t>
    </r>
    <r>
      <rPr>
        <b/>
        <vertAlign val="subscript"/>
        <sz val="10"/>
        <color theme="1"/>
        <rFont val="Arial"/>
        <family val="2"/>
      </rPr>
      <t xml:space="preserve">REF </t>
    </r>
    <r>
      <rPr>
        <b/>
        <sz val="10"/>
        <color theme="1"/>
        <rFont val="Arial"/>
        <family val="2"/>
      </rPr>
      <t>* F</t>
    </r>
    <r>
      <rPr>
        <b/>
        <vertAlign val="subscript"/>
        <sz val="10"/>
        <color theme="1"/>
        <rFont val="Arial"/>
        <family val="2"/>
      </rPr>
      <t>LU</t>
    </r>
    <r>
      <rPr>
        <b/>
        <sz val="10"/>
        <color theme="1"/>
        <rFont val="Arial"/>
        <family val="2"/>
      </rPr>
      <t>*F</t>
    </r>
    <r>
      <rPr>
        <b/>
        <vertAlign val="subscript"/>
        <sz val="10"/>
        <color theme="1"/>
        <rFont val="Arial"/>
        <family val="2"/>
      </rPr>
      <t>MG</t>
    </r>
    <r>
      <rPr>
        <b/>
        <sz val="10"/>
        <color theme="1"/>
        <rFont val="Arial"/>
        <family val="2"/>
      </rPr>
      <t>*F</t>
    </r>
    <r>
      <rPr>
        <b/>
        <vertAlign val="subscript"/>
        <sz val="10"/>
        <color theme="1"/>
        <rFont val="Arial"/>
        <family val="2"/>
      </rPr>
      <t xml:space="preserve">I </t>
    </r>
    <r>
      <rPr>
        <b/>
        <sz val="10"/>
        <color theme="1"/>
        <rFont val="Arial"/>
        <family val="2"/>
      </rPr>
      <t>- SOC</t>
    </r>
    <r>
      <rPr>
        <b/>
        <vertAlign val="subscript"/>
        <sz val="10"/>
        <color theme="1"/>
        <rFont val="Arial"/>
        <family val="2"/>
      </rPr>
      <t>REF*FLU</t>
    </r>
  </si>
  <si>
    <t>delta Soil C = SOCREF * FLU*FMG*FI - SOCREF*FLU</t>
  </si>
  <si>
    <t>delta SOC = 0</t>
  </si>
  <si>
    <t>NOT USED</t>
  </si>
  <si>
    <t>Gross Water Irrigation Requirement (GWIR) in m3/ha/yr</t>
  </si>
  <si>
    <t>Definitions tab</t>
  </si>
  <si>
    <t>For more info on the types of soil, users can refer to the</t>
  </si>
  <si>
    <t>Soil types</t>
  </si>
  <si>
    <t xml:space="preserve">Soils with high activity clay (HAC) minerals are lightly to moderately weathered soils which are dominated by
2:1 silicated clay minerals (in FAO classification included: Vertisols, Chernozems, Phaezems, Luvisols). </t>
  </si>
  <si>
    <t>Soils with low activity clay (LAC) minerals are highly weathered soils dominated by 1:1 clay mineral and
amorphous iron and aluminium oxides (in FAO classification included: Acrisols, Nitosols, Ferrasols).</t>
  </si>
  <si>
    <t>High activity clay (HAC) soils</t>
  </si>
  <si>
    <t>Low activity clay (LAC) soils</t>
  </si>
  <si>
    <t>Includes all soils (regardless of taxonomic classification) having &gt; 70% sand and &lt; 8 % clay (based on standard
textural measurements (in FAO classification include: Arenosols, sandy Regosols))</t>
  </si>
  <si>
    <t>Soils exhibiting strong podzolization (in FAO classification includes many Podzolic groups).</t>
  </si>
  <si>
    <t>Soils are organic if they satisfy the requirements 1 and 2, or 1 and 3 below (FAO, 1998):
1. Thickness of 10 cm or more. A horizon less than 20 cm thick must have 12 percent or more organic carbon
when mixed to a depth of 20 cm;
2. If the soil is never saturated with water for more than a few days, and contains more than 20 percent (by
weight) organic carbon (about 35 percent organic matter);
3. If the soil is subject to water saturation episodes and has either:
(i) At least 12 percent (by weight) organic carbon (about 20 percent organic matter) if it has no clay;
or
(ii) At least 18 percent (by weight) organic carbon (about 30 percent organic matter) if it has 60 percent
or more clay; or
(iii) An intermediate, proportional amount of organic carbon for intermediate amounts of clay.</t>
  </si>
  <si>
    <t>This category includes soils that are covered or saturated by water for all or part of the year. Wetland soils include organic soils and mineral soils</t>
  </si>
  <si>
    <t xml:space="preserve">Important note: IPCC definitions are complemented by EX-ACT experts' interpretation </t>
  </si>
  <si>
    <t>Soils formed by weathering of volcanogenic materials. Most of them are classified as Andisols.</t>
  </si>
  <si>
    <t>Help tab</t>
  </si>
  <si>
    <t xml:space="preserve">For guidance on the calculation of the Gross Irrigation Water Requirement, users can refer to the </t>
  </si>
  <si>
    <t>CALCULATING THE GIWR WITH THE AQUASTAT CLIMATE INFO TOOL</t>
  </si>
  <si>
    <t>Initial agroforestry system</t>
  </si>
  <si>
    <t>Area of land use change (ha)</t>
  </si>
  <si>
    <t xml:space="preserve">Soil Type </t>
  </si>
  <si>
    <t>Main season</t>
  </si>
  <si>
    <t>Émissions totales (tCO2-e)</t>
  </si>
  <si>
    <t>Livestock system #1</t>
  </si>
  <si>
    <t>Livestock system #2</t>
  </si>
  <si>
    <t>Livestock system #3</t>
  </si>
  <si>
    <t>Livestock system #4</t>
  </si>
  <si>
    <t>Livestock system #5</t>
  </si>
  <si>
    <t>Livestock system #6</t>
  </si>
  <si>
    <t>Livestock system #7</t>
  </si>
  <si>
    <t>Livestock system #8</t>
  </si>
  <si>
    <t>Livestock system #9</t>
  </si>
  <si>
    <t>Livestock system #10</t>
  </si>
  <si>
    <t>Livestock system #11</t>
  </si>
  <si>
    <t>Livestock system #12</t>
  </si>
  <si>
    <t>Livestock system #13</t>
  </si>
  <si>
    <t>Livestock system #14</t>
  </si>
  <si>
    <t>Livestock system #15</t>
  </si>
  <si>
    <t>Livestock system #16</t>
  </si>
  <si>
    <t>Livestock system #17</t>
  </si>
  <si>
    <t>Net fluxes, in tCO2-e</t>
  </si>
  <si>
    <t>Total emissions at field level (tCO2-e)</t>
  </si>
  <si>
    <t>transportation, storage and transfer (tCO2-e)</t>
  </si>
  <si>
    <t>Phosphorus (tonnes of P2O5 per year)</t>
  </si>
  <si>
    <t>Potassium (tonnes of K2O per year)</t>
  </si>
  <si>
    <t>CO2 removal from the atmosphere during urea manufacturing is estimated in the Industrial Processes and Product Use Sector by the country where urea was produced.</t>
  </si>
  <si>
    <t>Liquid or gaseous (in m3 per year)</t>
  </si>
  <si>
    <t xml:space="preserve">Depth H2O </t>
  </si>
  <si>
    <t>(in m3/ha)</t>
  </si>
  <si>
    <t>Avec</t>
  </si>
  <si>
    <t>Facteurs d'émission</t>
  </si>
  <si>
    <t>Unité</t>
  </si>
  <si>
    <t>Défaut</t>
  </si>
  <si>
    <t>Utilisation finale des terres</t>
  </si>
  <si>
    <t>Utilisation initiale des terres</t>
  </si>
  <si>
    <t>*La sélection de "D" correspond à une dynamique de changement (linéaire) par défaut. D'autres options de sélection incluent "I" pour les changements immédiats et "E" pour exponentiel - veuillez vous référer aux directives pour plus d'explications sur ces hypothèses.</t>
  </si>
  <si>
    <t>Superficie totale (ha)</t>
  </si>
  <si>
    <t>Litière</t>
  </si>
  <si>
    <t>Bois morts</t>
  </si>
  <si>
    <t>An</t>
  </si>
  <si>
    <t>1.1 Description du projet</t>
  </si>
  <si>
    <t>Nom d'utilisateur</t>
  </si>
  <si>
    <t>Code de projet</t>
  </si>
  <si>
    <t>Coût du projet (en USD)</t>
  </si>
  <si>
    <t>Organisme de financement</t>
  </si>
  <si>
    <t>Agence d'exécution</t>
  </si>
  <si>
    <t>1.2 Site et durée du projet</t>
  </si>
  <si>
    <t xml:space="preserve"> Continent</t>
  </si>
  <si>
    <t>Pays</t>
  </si>
  <si>
    <t>Durée du projet (en années)</t>
  </si>
  <si>
    <t xml:space="preserve"> Phase de mise en oeuvre</t>
  </si>
  <si>
    <t xml:space="preserve"> Phase de capitalisation</t>
  </si>
  <si>
    <t>1.4 Stock de carbone organique du sol de référence</t>
  </si>
  <si>
    <t>1.3 Potentiel de réchauffement global</t>
  </si>
  <si>
    <t>2.1 DÉFORESTATION</t>
  </si>
  <si>
    <t xml:space="preserve"> Type de végétation</t>
  </si>
  <si>
    <t>PLR</t>
  </si>
  <si>
    <t>Feu utilisé ?</t>
  </si>
  <si>
    <t>(o/n)</t>
  </si>
  <si>
    <t>Système agroforestier initial</t>
  </si>
  <si>
    <t>Croissance de la biomasse aérienne</t>
  </si>
  <si>
    <t>Croissance de la biomasse souterraine</t>
  </si>
  <si>
    <t>Bois mort</t>
  </si>
  <si>
    <t>Carbone du sol</t>
  </si>
  <si>
    <t>Déforestation totale (tCO2-e)</t>
  </si>
  <si>
    <t>2.3 AUTRES CHANGEMENTS D'UTILISATION DES TERRES</t>
  </si>
  <si>
    <t>Changement total d'affectation des terres non forestières (tCO2-e)</t>
  </si>
  <si>
    <t>Stocks de carbone de référence</t>
  </si>
  <si>
    <t>Toutes les unités sont en tC/ha</t>
  </si>
  <si>
    <t>après A/R</t>
  </si>
  <si>
    <t>Biomasse</t>
  </si>
  <si>
    <t>( ≤ 20 ans )</t>
  </si>
  <si>
    <t>( &gt; 20 ans )</t>
  </si>
  <si>
    <t>tC/ha/an</t>
  </si>
  <si>
    <t>En tC/ha la première année</t>
  </si>
  <si>
    <t>Remplissez avec votre description</t>
  </si>
  <si>
    <t xml:space="preserve"> Saison principale</t>
  </si>
  <si>
    <t>Rendement</t>
  </si>
  <si>
    <t>Superficie (ha)</t>
  </si>
  <si>
    <t>Si des données spécifiques à un pays sont disponibles, veuillez consulter :</t>
  </si>
  <si>
    <t>*La sélection de "D" correspond à une dynamique de changement par défaut (linéaire). D'autres options de sélection incluent "I" pour les changements immédiats et "E" pour exponentiel - veuillez vous référer aux directives pour plus d'explications sur ces hypothèses.</t>
  </si>
  <si>
    <t>Vous pouvez l'utiliser pour décrire votre système</t>
  </si>
  <si>
    <t>Facteur d'utilisation des terres</t>
  </si>
  <si>
    <t>Facteur de travail du sol</t>
  </si>
  <si>
    <t>Culture de saison mineure/culture intercalaire</t>
  </si>
  <si>
    <t>Résidus/Biomasse disponible</t>
  </si>
  <si>
    <t>Saison principale</t>
  </si>
  <si>
    <t>Systèmes</t>
  </si>
  <si>
    <t>Systèmes pérennes provenant (ou vers) d'autres utilisations des terres</t>
  </si>
  <si>
    <t xml:space="preserve"> Systèmes pérennes restant systèmes pérennes</t>
  </si>
  <si>
    <t>Résidu/</t>
  </si>
  <si>
    <t xml:space="preserve"> Combustion de la biomasse</t>
  </si>
  <si>
    <t>Totale (ha)</t>
  </si>
  <si>
    <t>Culture de la saison principale</t>
  </si>
  <si>
    <t>Type de culture</t>
  </si>
  <si>
    <t>Riz après déforestation</t>
  </si>
  <si>
    <t>Riz converti en terres forestières</t>
  </si>
  <si>
    <t>Résidus brûlés</t>
  </si>
  <si>
    <t>3.3.2. Systèmes de riz inondé restant systèmes de riz inondé</t>
  </si>
  <si>
    <t>Quantité de résidus brûlés</t>
  </si>
  <si>
    <t xml:space="preserve"> Périodicité des incendies</t>
  </si>
  <si>
    <t>3.3. SYSTÈMES DE RIZ INONDÉS</t>
  </si>
  <si>
    <t>Veuillez confirmer la superficie totale de riz inondé restant riz inondé (ha)</t>
  </si>
  <si>
    <t>Durant</t>
  </si>
  <si>
    <t xml:space="preserve"> Période de culture</t>
  </si>
  <si>
    <t>(t/ha/an)</t>
  </si>
  <si>
    <t>**En cas de riz inondé, la superficie totale prise en compte pour les calculs d'émissions peut être supérieure à la superficie totale réelle sous riz inondé si des saisons de cultures multiples sont en place. Il est essentiel de fournir la superficie réelle sous riz inondé dans la cellule K122 pour assurer une agrégation correcte de la superficie dans les résultats.</t>
  </si>
  <si>
    <t>Totale (ha)**</t>
  </si>
  <si>
    <t>Facteur d'émission journalier pour le riz EF = base EF x SF-avant x CF-ou amendement</t>
  </si>
  <si>
    <t>EFc et EFi sont en kg CH4 par ha par jour</t>
  </si>
  <si>
    <t>EF de base, riz continuellement inondé sans amendements organiques</t>
  </si>
  <si>
    <t>SF, régime hydrique pendant la période de culture</t>
  </si>
  <si>
    <t>SF, régime hydrique avant période de culture</t>
  </si>
  <si>
    <t>SF, amendement organique appliqué</t>
  </si>
  <si>
    <t>EF quotidien ajusté</t>
  </si>
  <si>
    <t>4.1. GESTION DES PRAIRIES</t>
  </si>
  <si>
    <t xml:space="preserve"> 4.1.1. Systèmes de prairies d'une autre utilisation des terres ou convertis en une autre utilisation des terres (veuillez remplir le module « Changement d'utilisation des terres »)</t>
  </si>
  <si>
    <t>Prairies après déforestation</t>
  </si>
  <si>
    <t>Prairies converties en terres forestières</t>
  </si>
  <si>
    <t>Gestion des prairies</t>
  </si>
  <si>
    <t>Gestion et périodicité des incendies</t>
  </si>
  <si>
    <t>Rendement (t/ha/an)</t>
  </si>
  <si>
    <t>Stocks de carbone du sol (tC/ha)</t>
  </si>
  <si>
    <t>Facteur de combustion (%)</t>
  </si>
  <si>
    <t>Prairies restant prairies</t>
  </si>
  <si>
    <t>Systèmes de prairies totaux (tCO2-e)</t>
  </si>
  <si>
    <t>4.2 GESTION DU BÉTAIL ET DU FUMIER</t>
  </si>
  <si>
    <t>Système d'élevage #1</t>
  </si>
  <si>
    <t>Système d'élevage #2</t>
  </si>
  <si>
    <t>Système d'élevage #3</t>
  </si>
  <si>
    <t>Système d'élevage #4</t>
  </si>
  <si>
    <t>Système d'élevage #5</t>
  </si>
  <si>
    <t>Système d'élevage #6</t>
  </si>
  <si>
    <t>Système d'élevage #7</t>
  </si>
  <si>
    <t>Système d'élevage #8</t>
  </si>
  <si>
    <t>Système d'élevage #9</t>
  </si>
  <si>
    <t>Système d'élevage #10</t>
  </si>
  <si>
    <t>Système d'élevage #11</t>
  </si>
  <si>
    <t>Système d'élevage #12</t>
  </si>
  <si>
    <t>Système d'élevage #13</t>
  </si>
  <si>
    <t>Système d'élevage #14</t>
  </si>
  <si>
    <t>Système d'élevage #15</t>
  </si>
  <si>
    <t>Système d'élevage #16</t>
  </si>
  <si>
    <t>Système d'élevage #17</t>
  </si>
  <si>
    <t>Catégories/espèces de bétail</t>
  </si>
  <si>
    <t>Productivité du bétail/système de production*</t>
  </si>
  <si>
    <t>Veuillez assurer la cohérence entre l'élevage et les besoins alimentaires. Assurez-vous que les aliments proviennent soit I) d'activités basées sur les cultures (module 3), II) de systèmes de prairies (module 4.1) ou III) de matière sèche exogène (module 9).​</t>
  </si>
  <si>
    <t>Veuillez considérer si les aliments pour le bétail proviennent de systèmes de prairies (par exemple, les pâturages naturels) ou doivent être inclus en tant qu'activités basées sur les cultures ou en tant que matière sèche exogène</t>
  </si>
  <si>
    <t>Production (viande, lait, etc.)</t>
  </si>
  <si>
    <t>en tonnes de produit par an</t>
  </si>
  <si>
    <t>Gestion du bétail</t>
  </si>
  <si>
    <t>Nombre de têtes</t>
  </si>
  <si>
    <t>Teneur en carbone organique du sol par niveau de dégradation des prairies</t>
  </si>
  <si>
    <t>Niveau de dégradation</t>
  </si>
  <si>
    <t>Non dégradé</t>
  </si>
  <si>
    <t>Pâturage à haute intensité</t>
  </si>
  <si>
    <t>Gravement dégradé</t>
  </si>
  <si>
    <t>Prairie améliorée</t>
  </si>
  <si>
    <t>Fermentation entérique</t>
  </si>
  <si>
    <t xml:space="preserve"> % correspond à</t>
  </si>
  <si>
    <t>Pâturage/Plage/Enclos*</t>
  </si>
  <si>
    <t>*La nomenclature fait référence aux systèmes d'élevage extensifs</t>
  </si>
  <si>
    <t>kgCH4/tête/an</t>
  </si>
  <si>
    <t>kgN2O/tête/an</t>
  </si>
  <si>
    <t>N2O provenant de la gestion du fumier.</t>
  </si>
  <si>
    <t>CH4 provenant de la gestion du fumier.</t>
  </si>
  <si>
    <t>Facteurs d'émission pour les pâturages/parcours/enclos*</t>
  </si>
  <si>
    <t>Gestion du fumier</t>
  </si>
  <si>
    <t>Système complémentaire de gestion du fumier</t>
  </si>
  <si>
    <t>Facteur d'émission CH4</t>
  </si>
  <si>
    <t>Facteur d'émission N2O</t>
  </si>
  <si>
    <t xml:space="preserve"> Type de végétation forestière</t>
  </si>
  <si>
    <t>qui sera géré</t>
  </si>
  <si>
    <t>Niveau de dégradation des forêts</t>
  </si>
  <si>
    <t>périodicité</t>
  </si>
  <si>
    <t>impact (% brûlé)</t>
  </si>
  <si>
    <t>Valeurs de référence du niveau de dégradation des forêts (perte de biomasse)</t>
  </si>
  <si>
    <t>Aucun</t>
  </si>
  <si>
    <t>Bas</t>
  </si>
  <si>
    <t>Modéré</t>
  </si>
  <si>
    <t>Grand</t>
  </si>
  <si>
    <t>Extrême</t>
  </si>
  <si>
    <t>% de biomasse perdue</t>
  </si>
  <si>
    <t>Niveau de dégradation de la forêt (en % de biomasse perdue)</t>
  </si>
  <si>
    <t>Gestion et dégradation des sols</t>
  </si>
  <si>
    <t>Utilisation des terres, gestion et facteur d'entrée</t>
  </si>
  <si>
    <t>7.1.1 Extraction et excavation (construction de ports, aquaculture ou étangs salés…)</t>
  </si>
  <si>
    <t>Type de végétation</t>
  </si>
  <si>
    <t>6.1 CHANGEMENT D'UTILISATION DES TERRES SUR LES SOLS ORGANIQUES</t>
  </si>
  <si>
    <t>6.1.1 Pratiques de gestion organique des sols associées à la déforestation</t>
  </si>
  <si>
    <t>% superficie occupée par les fossés</t>
  </si>
  <si>
    <t>Utilisation finale des terres après déforestation</t>
  </si>
  <si>
    <t>Type d'utilisation des terres</t>
  </si>
  <si>
    <t>Système agroforestier</t>
  </si>
  <si>
    <t>Veuillez indiquer la qualité dominante de la tourbe, cela peut influencer les facteurs d'émission ci-dessus :</t>
  </si>
  <si>
    <t>Facteurs d'émission sur site</t>
  </si>
  <si>
    <t>Occurrence et gravité des incendies</t>
  </si>
  <si>
    <t>Périodicité</t>
  </si>
  <si>
    <t>% de surface brûlée</t>
  </si>
  <si>
    <t>% brûlé</t>
  </si>
  <si>
    <t>Pratiques de gestion suite à la conversion</t>
  </si>
  <si>
    <t>Niveau de la nappe phréatique</t>
  </si>
  <si>
    <t>Facteurs d'émission hors site</t>
  </si>
  <si>
    <t>Extraction totale de tourbe (tCO2-e)</t>
  </si>
  <si>
    <t>6.2 GESTION DES TERRES SUR SOL ORGANIQUE</t>
  </si>
  <si>
    <t>6.2.1 Gestion forestière</t>
  </si>
  <si>
    <t>6.2.2 Autre gestion de l'utilisation des terres</t>
  </si>
  <si>
    <t>6.3 TERRES GÉRÉES POUR L'EXTRACTION DE LA TOURBE</t>
  </si>
  <si>
    <t>Type de plan d'eau</t>
  </si>
  <si>
    <t>Classe trophique</t>
  </si>
  <si>
    <t>Production de poisson (tonne/an)</t>
  </si>
  <si>
    <t>6.1.1 Facteurs d'émission pour le drainage associé à la déforestation</t>
  </si>
  <si>
    <t>6.2.1 Facteurs d'émission pour le drainage associé à la gestion forestière</t>
  </si>
  <si>
    <t>6.1.1 Facteurs d'émission pour les incendies sur les sols organiques associés à la déforestation</t>
  </si>
  <si>
    <t>6.1.2 Facteurs d'émission pour les incendies sur les sols organiques associés au boisement/reboisement</t>
  </si>
  <si>
    <t>6.2.1 Facteurs d'émission pour le feu sur les sols organiques associés à la gestion forestière</t>
  </si>
  <si>
    <t>Déforestation totale sur sols organiques (tCO2-e)</t>
  </si>
  <si>
    <t>Total des autres changements d'affectation des terres sur les sols organiques (tCO2-e)</t>
  </si>
  <si>
    <t>Dégradation et gestion totales des forêts (tCO2-e)</t>
  </si>
  <si>
    <t xml:space="preserve"> Pour les sols minéraux uniquement - Cela tient compte des émissions de CH4 provenant (i) des canaux pour l'approvisionnement en eau ou la navigation, (ii) des fossés pour l'agriculture (irrigation, drainage, etc.) et (iii) des étangs pour l'agriculture et l'aquaculture</t>
  </si>
  <si>
    <t>Pour l'aquaculture dans un étang basé sur des zones humides côtières, allez à "zones humides côtières"</t>
  </si>
  <si>
    <t>5.1 DÉGRADATION ET GESTION DES FORÊTS</t>
  </si>
  <si>
    <t>9.1 INTRANTS (chaulage, engrais, pesticides)</t>
  </si>
  <si>
    <t>Quantité appliquée par an (en tonne)</t>
  </si>
  <si>
    <t>Description et unité à signaler</t>
  </si>
  <si>
    <t>Montant appliqué par an</t>
  </si>
  <si>
    <t>Émissions totales au niveau du champ (tCO2-e)</t>
  </si>
  <si>
    <t xml:space="preserve"> Émissions de production,</t>
  </si>
  <si>
    <t>transport, stockage et transfert (tCO2-e)</t>
  </si>
  <si>
    <t>Application de chaux</t>
  </si>
  <si>
    <t>Calcaire (tonnes par an)</t>
  </si>
  <si>
    <t>Dolomite (tonne par an)</t>
  </si>
  <si>
    <t>Non spécifié (tonnes par an)</t>
  </si>
  <si>
    <t xml:space="preserve"> Engrais synthétiques</t>
  </si>
  <si>
    <t>Urée (tonnes d'urée par an)</t>
  </si>
  <si>
    <t>Engrais synthétiques azotés autres que l'urée (tonnes de N par an)</t>
  </si>
  <si>
    <t>Phosphore (tonnes de P2O5 par an)</t>
  </si>
  <si>
    <t>Potassium (tonnes de K2O par an)</t>
  </si>
  <si>
    <t>Engrais azotés sur riz irrigué</t>
  </si>
  <si>
    <t xml:space="preserve"> Engrais azotés organiques</t>
  </si>
  <si>
    <t>Eaux usées (tonnes de N par an)</t>
  </si>
  <si>
    <t>Compost (tonnes de N par an)</t>
  </si>
  <si>
    <t>Déchets d'équarrissage, déchets de brasserie, guano (tonnes de N par an)</t>
  </si>
  <si>
    <t>Fongicides (tonnes de matière active)</t>
  </si>
  <si>
    <t>Herbicides (tonnes de matière active)</t>
  </si>
  <si>
    <t>Insecticides (tonnes de matière active)</t>
  </si>
  <si>
    <t xml:space="preserve"> Urée</t>
  </si>
  <si>
    <t>Par défaut, EX-ACT considère que l'urée est importée et ne tient pas compte de ce puits, mais vous pouvez forcer le calcul à le faire :</t>
  </si>
  <si>
    <t>Émissions au niveau du champ</t>
  </si>
  <si>
    <t>Émissions de CO2-e</t>
  </si>
  <si>
    <t>Émissions provenant de la production, du transport, du stockage et du transfert</t>
  </si>
  <si>
    <t>9.2. CONSOMMATION D'ÉNERGIE (électricité, carburant…) sauf pour l'irrigation, voir section suivante</t>
  </si>
  <si>
    <t>Quantité consommée par an</t>
  </si>
  <si>
    <t>Pays d'origine de l'électricité</t>
  </si>
  <si>
    <t>Électricité (MWh par an)</t>
  </si>
  <si>
    <t>Liquide ou gazeux (en m3 par an)</t>
  </si>
  <si>
    <t>Liquide ou gazeux</t>
  </si>
  <si>
    <t>Solide (en tonnes de matière sèche par an)</t>
  </si>
  <si>
    <t>Solide</t>
  </si>
  <si>
    <t>Bois</t>
  </si>
  <si>
    <t>Tourbe (de tourbières)</t>
  </si>
  <si>
    <t xml:space="preserve"> Tourbe</t>
  </si>
  <si>
    <t>Électricité</t>
  </si>
  <si>
    <t>Facteur d'émission pour le pays sélectionné</t>
  </si>
  <si>
    <t>Pertes d'électricité pendant le transport</t>
  </si>
  <si>
    <t>Liquide</t>
  </si>
  <si>
    <t>Mise en place de nouveaux systèmes d'irrigation</t>
  </si>
  <si>
    <t>Système d'irrigation</t>
  </si>
  <si>
    <t>Phase d'exploitation des systèmes irrigués par les eaux souterraines</t>
  </si>
  <si>
    <t>Superficies (en ha)</t>
  </si>
  <si>
    <t>Source d'énergie</t>
  </si>
  <si>
    <t>Besoins bruts en eau d'irrigation</t>
  </si>
  <si>
    <t>(en mm/an)</t>
  </si>
  <si>
    <t>Nouvelle installation</t>
  </si>
  <si>
    <t>Pression moyenne (en bar)</t>
  </si>
  <si>
    <t>Facteurs d'émission source d'énergie</t>
  </si>
  <si>
    <t>Hauteur dynamique totale (en mètres de hauteur)</t>
  </si>
  <si>
    <t>Efficacité de pompage (en %)</t>
  </si>
  <si>
    <t>(en mm/saison de croissance)</t>
  </si>
  <si>
    <t>Principal besoin d'irrigation des cultures</t>
  </si>
  <si>
    <t>Besoin d'irrigation</t>
  </si>
  <si>
    <t>Besoin en eau</t>
  </si>
  <si>
    <t>Pompe</t>
  </si>
  <si>
    <t>9.4 BÂTIMENTS &amp; ROUTES</t>
  </si>
  <si>
    <t>Surfaces (en m2)</t>
  </si>
  <si>
    <t>Routes et bâtiments (nouveaux et réhabilités)</t>
  </si>
  <si>
    <t>Total bâtiments et routes (tCO2-e)</t>
  </si>
  <si>
    <t>Veuillez vous assurer que l'alimentation ne provient pas d'activités terrestres qui sont déjà incluses dans le projet</t>
  </si>
  <si>
    <t>Source du facteur d'émission</t>
  </si>
  <si>
    <t>Comptabiliser les émissions de CO2 ?</t>
  </si>
  <si>
    <t>Caractéristiques de la pompe</t>
  </si>
  <si>
    <t>7.1 GESTION DES ZONES HUMIDES CÔTIÈRES (mangroves, marais littoraux et herbiers marins)</t>
  </si>
  <si>
    <t>7.1.1. Extraction et excavation (construction de port, construction d'aquaculture ou production de sel)</t>
  </si>
  <si>
    <t>% excavé</t>
  </si>
  <si>
    <t>Veuillez spécifier la superficie dans le module "Extraction et excavation" ci-dessus.</t>
  </si>
  <si>
    <t>% drainé</t>
  </si>
  <si>
    <t>Total pour l'extraction et l'excavation (tCO2-e)</t>
  </si>
  <si>
    <t>Total pour le drainage (tCO2-e)</t>
  </si>
  <si>
    <t>Superficie remouillée (ha)</t>
  </si>
  <si>
    <t>Pourcentage de la biomasse nominale restaurée</t>
  </si>
  <si>
    <t>Type de sol</t>
  </si>
  <si>
    <t>Sol (1 m de profondeur)</t>
  </si>
  <si>
    <t>% C perdu après excavation</t>
  </si>
  <si>
    <t>Total pour la pêche côtière et marine (tCO2-e)</t>
  </si>
  <si>
    <t>Total pour l'aquaculture côtière (tCO2-e)</t>
  </si>
  <si>
    <t>Réservoirs de carbone des forêts non dégradées (toutes les valeurs sont en tC/ha)</t>
  </si>
  <si>
    <t>Régime climatique et hygrométrique à préciser dans le module "Description"</t>
  </si>
  <si>
    <t>Climat</t>
  </si>
  <si>
    <t>Altitude en m</t>
  </si>
  <si>
    <t>Climat et régime d'humidité</t>
  </si>
  <si>
    <t>Température annuelle moyenne en C</t>
  </si>
  <si>
    <t>Précipitations annuelles moyennes en mm</t>
  </si>
  <si>
    <t>Évapotranspiration potentielle en mm</t>
  </si>
  <si>
    <t>Altitude au-dessus du niveau de la mer</t>
  </si>
  <si>
    <t>Flux nets, en tCO2-e</t>
  </si>
  <si>
    <t>RÉSULTATS DÉTAILLÉS</t>
  </si>
  <si>
    <t>FLUX BRUTS</t>
  </si>
  <si>
    <t>En tCO2-e sur toute la période d'analyse</t>
  </si>
  <si>
    <t>En tCO2-e/an</t>
  </si>
  <si>
    <t>ÉMISSIONS ANNUELLES MOYENNES</t>
  </si>
  <si>
    <t>Sol minéral</t>
  </si>
  <si>
    <t>Sol organique</t>
  </si>
  <si>
    <t>Plans d'eau</t>
  </si>
  <si>
    <t>COMPOSANTES DU PROJET</t>
  </si>
  <si>
    <t>Autre utilisation des terres</t>
  </si>
  <si>
    <t>Riz inondé</t>
  </si>
  <si>
    <t>Bétail</t>
  </si>
  <si>
    <t>Gestion forestière</t>
  </si>
  <si>
    <t>Zones humides intérieures</t>
  </si>
  <si>
    <t>Zones humides côtières</t>
  </si>
  <si>
    <t>Pêche et aquaculture</t>
  </si>
  <si>
    <t>Intrants &amp; Invest.</t>
  </si>
  <si>
    <t>Changements d'utilisation des terres</t>
  </si>
  <si>
    <t>Prairies et élevage</t>
  </si>
  <si>
    <t>Émissions totales, tCO2-e</t>
  </si>
  <si>
    <t>Émissions totales, tCO2-e/ha</t>
  </si>
  <si>
    <t>Émissions totales, tCO2-e/ha/an</t>
  </si>
  <si>
    <t>+ = source / - = puits</t>
  </si>
  <si>
    <t>Les résultats présentés ici incluent les flux de GES sur les sols minéraux et organiques</t>
  </si>
  <si>
    <t>Voir plus bas pour les résultats détaillés sur les sols organiques</t>
  </si>
  <si>
    <t>CO2 BIOMASSE</t>
  </si>
  <si>
    <t>CO2 SOL</t>
  </si>
  <si>
    <t>AVEC</t>
  </si>
  <si>
    <t>Sans</t>
  </si>
  <si>
    <t>Utilisez cette partie uniquement si vous souhaitez affiner l'analyse au niveau Tier 2</t>
  </si>
  <si>
    <t>Les valeurs par défaut du GIEC sont fournies à titre indicatif uniquement ; EX-ACT utilisera automatiquement les valeurs de niveau Tier 2 partout où cela est spécifié.</t>
  </si>
  <si>
    <t>Si des données spécifiques à un pays sont disponibles, veuillez passer au niveau Tier 2 :</t>
  </si>
  <si>
    <t>Occupation des sols</t>
  </si>
  <si>
    <t>Aérienne</t>
  </si>
  <si>
    <t>Sousterraine</t>
  </si>
  <si>
    <t>Nom du projet</t>
  </si>
  <si>
    <t>Statut du projet</t>
  </si>
  <si>
    <t>Durée totale d'analyse</t>
  </si>
  <si>
    <t>qui sera déforestée</t>
  </si>
  <si>
    <t>après déforestation</t>
  </si>
  <si>
    <t>Notes d'utilisateur</t>
  </si>
  <si>
    <t>culture</t>
  </si>
  <si>
    <t>Apport de</t>
  </si>
  <si>
    <t>Labour du sol</t>
  </si>
  <si>
    <t>Géstion</t>
  </si>
  <si>
    <t xml:space="preserve"> des résidus</t>
  </si>
  <si>
    <t>3.1. SYSTEMES DE CULTURES ANNUELLES (à utiliser également pour les systèmes pluriannuels tels que le coton ou la canne à sucre)</t>
  </si>
  <si>
    <t>Cultures annuelles après déforestation</t>
  </si>
  <si>
    <t>Cultures annuelles converties en terres forestières</t>
  </si>
  <si>
    <t>3.1.2. Systèmes de cultures annuelles restant systèmes de culture annuels (la superficie totale doit rester constante)</t>
  </si>
  <si>
    <t>Systèmes de cultures annuelles de (ou vers) d'autres utilisations des terres</t>
  </si>
  <si>
    <t xml:space="preserve"> Systèmes de cultures annuelles restant systèmes annuels</t>
  </si>
  <si>
    <t>Facteur d'apport de matière organique</t>
  </si>
  <si>
    <t>Culture</t>
  </si>
  <si>
    <t>Culture de saison mineure</t>
  </si>
  <si>
    <t>Options de gestion pour les systèmes de cultures annuelles</t>
  </si>
  <si>
    <t>Cultures annuelles converties à partir d'UT non forestières</t>
  </si>
  <si>
    <t>Cultures annuelles converties en UT non forestières</t>
  </si>
  <si>
    <t>3.1.1. Systèmes de cultures annuelles d'autres UT ou convertis en d'autres UT</t>
  </si>
  <si>
    <t>3.2. SYSTÈMES DE CULTURES PÉRENNES (par exemple agroforesterie, vergers, cultures arbustives, etc.)</t>
  </si>
  <si>
    <t xml:space="preserve"> agroforestiers</t>
  </si>
  <si>
    <t xml:space="preserve"> 3.2.1. Systèmes de cultures pérennes d'autres UT ou convertis en d'autres UT</t>
  </si>
  <si>
    <t>3.2.2. Systèmes de cultures pérennes restant systèmes pérennes (la superficie totale doit rester constante)</t>
  </si>
  <si>
    <t>Options de gestion pour les systèmes de cultures pérennes</t>
  </si>
  <si>
    <t>Taux de croissance</t>
  </si>
  <si>
    <t>aérienne (tC/ha/an)</t>
  </si>
  <si>
    <t>sousterraine (tC/ha/an)</t>
  </si>
  <si>
    <t>Facteur d'apport en matière organique</t>
  </si>
  <si>
    <t>Sytèmes de cultures pérennes après déforestation</t>
  </si>
  <si>
    <t>Sytèmes de cultures pérennes converties en terres forestières</t>
  </si>
  <si>
    <t>Riz converti à partir d'UT non forestières</t>
  </si>
  <si>
    <t xml:space="preserve"> Riz converti en UT non forestières</t>
  </si>
  <si>
    <t>Culture principale (t ms/ha)</t>
  </si>
  <si>
    <t>(jours)</t>
  </si>
  <si>
    <t>Avant</t>
  </si>
  <si>
    <t xml:space="preserve"> organiques</t>
  </si>
  <si>
    <t>Amendements</t>
  </si>
  <si>
    <t>Système de riz inondé restants systèmes de riz inondé</t>
  </si>
  <si>
    <t>Options de gestion du régime hydrique dans le riz inondé</t>
  </si>
  <si>
    <t>Superficie riz inondé (ha)</t>
  </si>
  <si>
    <t xml:space="preserve"> 3.3.1. Riz inondé provenant d'une autre utilisation des terres ou converties à une autre utilisation des terres (veuillez remplir le module « Changement d'utilisation des terres »)</t>
  </si>
  <si>
    <t>Total des systèmes de riz inondé (tCO2-e)</t>
  </si>
  <si>
    <t>Systèmes de riz inondé depuis (ou vers) d'autres UT</t>
  </si>
  <si>
    <t xml:space="preserve"> Paille de riz (Culture principale)</t>
  </si>
  <si>
    <t xml:space="preserve"> Prairies converties en UT non forestières</t>
  </si>
  <si>
    <t>Prairies après changements d'UT non forestières</t>
  </si>
  <si>
    <t>4.1.2. Systèmes prairies restant systèmes prairies (la superficie totale doit rester constante)</t>
  </si>
  <si>
    <t>Systèmes prairies depuis (ou vers) d'autres UT</t>
  </si>
  <si>
    <t>BA (t ms/ha)</t>
  </si>
  <si>
    <t>Veuillez noter que pour certaines catégories de bétail, y compris les buffles, les cerfs et les autruches, il n'y a pas de paramètres de Tier 1 pour chacun des niveaux de productivité du bétail. Par conséquent, l'évolution de la productivité du bétail n'entraînera pas de changement dans les niveaux d'émission. Vous pouvez utiliser la section Tier 2 pour affiner les paramètres.</t>
  </si>
  <si>
    <t>Amélioré avec apport moyen d'intrants</t>
  </si>
  <si>
    <t>Amélioré avec apport élevé d'intrants</t>
  </si>
  <si>
    <t>Très bas</t>
  </si>
  <si>
    <t>ZONES HUMIDES INTÉRIEURES</t>
  </si>
  <si>
    <t>6.1.3 Pratiques de gestion organique des sols associées à d'autres changements d'utilisation des terres</t>
  </si>
  <si>
    <t>6.1.3 Facteurs d'émission pour le drainage associés à d'autres changements d'utilisation des terres</t>
  </si>
  <si>
    <t>6.2.2 Facteurs d'émission pour le drainage associé à une autre gestion des terres</t>
  </si>
  <si>
    <t>6.1.3 Facteurs d'émission pour les incendies sur les sols organiques associés à d'autres changements d'utilisation des terres</t>
  </si>
  <si>
    <t>6.2.2 Facteurs d'émission pour les incendies sur les sols organiques associés à d'autres gestion des terres</t>
  </si>
  <si>
    <t>Total autre gestion des terres (tCO2-e)</t>
  </si>
  <si>
    <t>6.1.1. Remouillage associé à la déforestation</t>
  </si>
  <si>
    <t>6.1.2. Remouillage associé au boisement/reboisement</t>
  </si>
  <si>
    <t>6.1.3 Remouillage associé à d'autres changements d'affectation des terres</t>
  </si>
  <si>
    <t>6.2.1 Remouillage associé à la gestion forestière</t>
  </si>
  <si>
    <t>6.2.2 Remouillage associé à une autre gestion de l'utilisation des terres</t>
  </si>
  <si>
    <t>Total des plans d'eau intérieurs sur sol minéral (tCO2-e)</t>
  </si>
  <si>
    <t>6.4 PLANS D'EAU INTÉRIEURS</t>
  </si>
  <si>
    <t>Engrais</t>
  </si>
  <si>
    <t>Engrais azotés dans le riz irrigué en continu (tonnes de N par an)</t>
  </si>
  <si>
    <t>Engrais azotés dans le riz irrigué humide et sec (tonnes de N par an)</t>
  </si>
  <si>
    <t>Total intrants</t>
  </si>
  <si>
    <t>L'ëlimination du CO2 de l'atmosphère pendant la fabrication de l'urée est estimée dans le secteur des procédés industriels et de l'utilisation des produits par le pays où l'urée a été produite.</t>
  </si>
  <si>
    <t>Compte le puit de fabrication?</t>
  </si>
  <si>
    <t>Émissions de CO2</t>
  </si>
  <si>
    <t>Émissions de N2O</t>
  </si>
  <si>
    <t>Défini par l'utilisateur (Tier 2)</t>
  </si>
  <si>
    <t>Charbon</t>
  </si>
  <si>
    <t>Profondeur H2O</t>
  </si>
  <si>
    <t>(en m)</t>
  </si>
  <si>
    <t>Systèmes d'irrigation</t>
  </si>
  <si>
    <t>Au cours de la saison de culture principale</t>
  </si>
  <si>
    <t>Saison de culture mineure</t>
  </si>
  <si>
    <t>(en m3/ha)</t>
  </si>
  <si>
    <t>Bâtiments et routes (en m2)</t>
  </si>
  <si>
    <t>Total énergie (tCO2-e)</t>
  </si>
  <si>
    <t>Total intrants (tCO2-e)</t>
  </si>
  <si>
    <t>Aliments pour bétail (en tonnes par an)</t>
  </si>
  <si>
    <t>Total pour le remouillage et la revégétalisation (tCO2-e)</t>
  </si>
  <si>
    <t>PAM et PET en mm</t>
  </si>
  <si>
    <t>Analyse de toute la période</t>
  </si>
  <si>
    <t>Résumé de l'analyse des GES</t>
  </si>
  <si>
    <t>PART DES GES DANS LA BALANCE</t>
  </si>
  <si>
    <t>Potentiel de réchauffement global</t>
  </si>
  <si>
    <t>Déforestation</t>
  </si>
  <si>
    <t>Prairies</t>
  </si>
  <si>
    <t>Cultures</t>
  </si>
  <si>
    <t>Annuelles</t>
  </si>
  <si>
    <t>Pérennes</t>
  </si>
  <si>
    <t>* Comprend la pêche, l'aquaculture et les intrants et investissements qui ne sont pas inclus dans la définition AFAT</t>
  </si>
  <si>
    <t>TOUTES LES ÉMISSIONS NON AFAT*</t>
  </si>
  <si>
    <t>SANS</t>
  </si>
  <si>
    <t>Choose a language</t>
  </si>
  <si>
    <t>Français</t>
  </si>
  <si>
    <t>Choisissez la langue</t>
  </si>
  <si>
    <t xml:space="preserve"> matière organique</t>
  </si>
  <si>
    <t xml:space="preserve"> Pour obtenir des conseils sur le calcul des besoins bruts en eau d'irrigation, se référer á l'onglet:</t>
  </si>
  <si>
    <t>Référence:</t>
  </si>
  <si>
    <t>Feu:</t>
  </si>
  <si>
    <t>fréquence</t>
  </si>
  <si>
    <t>Fisheries</t>
  </si>
  <si>
    <t>Total for small scale fisheries (tCO2-e)</t>
  </si>
  <si>
    <t>Total for large scale fisheries (tCO2-e)</t>
  </si>
  <si>
    <t>Carbon-balance, in tCO2-e</t>
  </si>
  <si>
    <t>Share of the balance per GHG, in tCO2-e</t>
  </si>
  <si>
    <t>Annual carbon balance, in tCO2-e (20 years)</t>
  </si>
  <si>
    <t>Cumulative carbon balance per year, in tCO2-e (20 years)</t>
  </si>
  <si>
    <t>Share of the balance per activities, in tCO2-e</t>
  </si>
  <si>
    <t>Gross Fluxes Without Project, in tCO2-e</t>
  </si>
  <si>
    <t>Gross Fluxes With Project, in tCO2-e</t>
  </si>
  <si>
    <r>
      <t>N</t>
    </r>
    <r>
      <rPr>
        <b/>
        <vertAlign val="subscript"/>
        <sz val="14"/>
        <color rgb="FFFF0000"/>
        <rFont val="Roboto"/>
      </rPr>
      <t>2</t>
    </r>
    <r>
      <rPr>
        <b/>
        <sz val="14"/>
        <color rgb="FFFF0000"/>
        <rFont val="Roboto"/>
      </rPr>
      <t>O SOIL</t>
    </r>
  </si>
  <si>
    <r>
      <t>CH</t>
    </r>
    <r>
      <rPr>
        <b/>
        <vertAlign val="subscript"/>
        <sz val="14"/>
        <color rgb="FFFF0000"/>
        <rFont val="Roboto"/>
      </rPr>
      <t xml:space="preserve">4 </t>
    </r>
    <r>
      <rPr>
        <b/>
        <sz val="14"/>
        <color rgb="FFFF0000"/>
        <rFont val="Roboto"/>
      </rPr>
      <t>SOIL</t>
    </r>
  </si>
  <si>
    <t>Surface forestée (ha)</t>
  </si>
  <si>
    <t>Surface déforestée (ha)</t>
  </si>
  <si>
    <t>Surface reboisée (ha)</t>
  </si>
  <si>
    <t>Surface de changement d'affectation des terres (ha)</t>
  </si>
  <si>
    <t>gC/kg m.s.</t>
  </si>
  <si>
    <t>gCO/kg m.s.</t>
  </si>
  <si>
    <t>gCH4/kg m.s.</t>
  </si>
  <si>
    <t>COD</t>
  </si>
  <si>
    <t>Total systèmes de cultures annuelles (tCO2-e)</t>
  </si>
  <si>
    <t>COS de référence</t>
  </si>
  <si>
    <t>Total systèmes de cultures pérennes (tCO2-e)</t>
  </si>
  <si>
    <t>Sytèmes de cultures pérennes converties à partir d'UT non forestières</t>
  </si>
  <si>
    <t xml:space="preserve"> Sytèmes de cultures pérennes converties en UT non forestières</t>
  </si>
  <si>
    <t>6.1.2 Pratiques de gestion organique des sols associées à la reforestation/afforestation</t>
  </si>
  <si>
    <t>Surface totale des plans d'eau (ha)</t>
  </si>
  <si>
    <t>6.1.2 Facteurs d'émission pour le drainage associé à l'afforestation/reforestation</t>
  </si>
  <si>
    <t>Total af/reforestation sur sols organiques (tCO2-e)</t>
  </si>
  <si>
    <t>Total af/reforestation (tCO2-e)</t>
  </si>
  <si>
    <t>Combustion de</t>
  </si>
  <si>
    <t>Surface maximum disponible pour</t>
  </si>
  <si>
    <t>gestion de l'eau</t>
  </si>
  <si>
    <t>Surface drainée (ha)</t>
  </si>
  <si>
    <t>Surface non drainée ou remouillée (ha)</t>
  </si>
  <si>
    <t>Feu sur</t>
  </si>
  <si>
    <t>Sol</t>
  </si>
  <si>
    <t>Total deforestation sur sols organiques (tCO2-e)</t>
  </si>
  <si>
    <t>Total afforestation/reforestation sur sols organiques (tCO2-e)</t>
  </si>
  <si>
    <t>Surfaces converties (ha)</t>
  </si>
  <si>
    <t>Pratiques de gestion après conversion</t>
  </si>
  <si>
    <t>Pratiques de gestion</t>
  </si>
  <si>
    <t>Total gestion des forets sur sols organiques (tCO2-e)</t>
  </si>
  <si>
    <t>Surface d'utilisation des terres (ha)</t>
  </si>
  <si>
    <t>Type de tourbe</t>
  </si>
  <si>
    <t>Surface oú la tourbe est extraite (ha)</t>
  </si>
  <si>
    <t>Profondeur d'extraction (cm)</t>
  </si>
  <si>
    <t>Quantité de tourbe produite (tonne/an)</t>
  </si>
  <si>
    <t>Reservoir C biomasse d'utilisation des terres initiale (BA + BS)</t>
  </si>
  <si>
    <t>Type de feu</t>
  </si>
  <si>
    <t>Matière sèche moyenne</t>
  </si>
  <si>
    <t>Facteurs d'émission feu</t>
  </si>
  <si>
    <t>Densité tourbe</t>
  </si>
  <si>
    <t>Emissions CO2 d'utilisation de tourbe</t>
  </si>
  <si>
    <t xml:space="preserve">Utilisation comme energie ?* </t>
  </si>
  <si>
    <t>Facteur d'emissions CH4 des plans d'eau</t>
  </si>
  <si>
    <t>Moyenne annuelle[Chlo.a]</t>
  </si>
  <si>
    <t>*Si oui, automatiquement comptabilisé dans le module 9. Intrants</t>
  </si>
  <si>
    <t>Surface excavée (ha)</t>
  </si>
  <si>
    <t>Surface maximum disponible pour drainage</t>
  </si>
  <si>
    <t>Pour les plans d'eau de zones humides interieures, allez vers le module "6. Zones Humides Interieures"</t>
  </si>
  <si>
    <t>Total pour les plans d'eau cotiers (tCO2-e)</t>
  </si>
  <si>
    <t>Facteur d'émission drainage (tC/ha/yr)</t>
  </si>
  <si>
    <t>Salinité moyenne</t>
  </si>
  <si>
    <t>FE CO2 (tC/ha/an)</t>
  </si>
  <si>
    <t>FE CH4 (kgCH4/ha/an)</t>
  </si>
  <si>
    <t>8.1. Peche de petite echelle (marine et interieure)</t>
  </si>
  <si>
    <t>8.2. Peche de grande echelle (marine)</t>
  </si>
  <si>
    <t>8.3. Acquaculture interieure et cotière</t>
  </si>
  <si>
    <t>Le module "9.Intrants et investissements" peut etre utilisé pour compléter cette section</t>
  </si>
  <si>
    <t>Operation de peche (basée sur les valeurs d'intensité d'utilisation de carburant (FUI))</t>
  </si>
  <si>
    <t>Type de peche</t>
  </si>
  <si>
    <t>Catégorie d'équipement</t>
  </si>
  <si>
    <t xml:space="preserve">% avec systèmes réfrigérants </t>
  </si>
  <si>
    <t>Changement dans la gestion du FUI (litre/tonne)</t>
  </si>
  <si>
    <t>Total capture par an (tonne/an)</t>
  </si>
  <si>
    <t>FUI est la quantité de carburant nécessaire pour</t>
  </si>
  <si>
    <t>rapatrier 1 tonne de capture</t>
  </si>
  <si>
    <t>Fuite à bord des systèmes réfrigérants</t>
  </si>
  <si>
    <t>Total capture avec systèmes réfrigérants</t>
  </si>
  <si>
    <t>Emissions de la production de glace à terre</t>
  </si>
  <si>
    <t>% de capture totale préservée par glace produite à terre</t>
  </si>
  <si>
    <t>Total caputre artisanale et cotière</t>
  </si>
  <si>
    <t>Refrigerants PRG</t>
  </si>
  <si>
    <t>Categorie de poisson</t>
  </si>
  <si>
    <t>Total capture cotière</t>
  </si>
  <si>
    <t>Total peche de grande echelle (tCO2-e)</t>
  </si>
  <si>
    <t>Total peche de petite echelle (tCO2-e)</t>
  </si>
  <si>
    <t>Emissions de production et d'aliments</t>
  </si>
  <si>
    <t>Quantité annuelle d'aliments (tonne/an)</t>
  </si>
  <si>
    <t>Production annuelle (tonne/an)</t>
  </si>
  <si>
    <t>Facteur d'émission (tCO2-e/m3)</t>
  </si>
  <si>
    <t>Facteur d'émission (tCO2eq/t capture)</t>
  </si>
  <si>
    <t>Fuite à bord de syst1emes réfrigérants</t>
  </si>
  <si>
    <t>Refrigerant perdu par tonne de capture rapatriée</t>
  </si>
  <si>
    <t>Quantité perdue (kg de refrigerant)</t>
  </si>
  <si>
    <t>PRG de refrigerant</t>
  </si>
  <si>
    <t>Facteur d'émission</t>
  </si>
  <si>
    <t>tCO2-e/t capture</t>
  </si>
  <si>
    <t>Quantité (kWh/t glace)</t>
  </si>
  <si>
    <t>Total consommation carburant (m3/an)</t>
  </si>
  <si>
    <t>Quantité (tonne)</t>
  </si>
  <si>
    <t>Quantité de glace (tonne) par tonne de capture</t>
  </si>
  <si>
    <t>Electricité (kWh) utilisée par tonne de glace</t>
  </si>
  <si>
    <t>Pays d'origine de prodution de glace</t>
  </si>
  <si>
    <t>CNUCC marge d'opération</t>
  </si>
  <si>
    <t>Emissions d'utilisation d'aliments</t>
  </si>
  <si>
    <t>(tCO2-e/t aliment)</t>
  </si>
  <si>
    <t>N2O FE de production de poisson</t>
  </si>
  <si>
    <t>Af/Reforestation</t>
  </si>
  <si>
    <t>Balance carbone, en tCO2-e</t>
  </si>
  <si>
    <t>Part de GES dans la balance carbone, en tCO2-e</t>
  </si>
  <si>
    <t>Balance carbone annuelle, en tCO2-e (20 ans)</t>
  </si>
  <si>
    <t>Balance carbone cumulée par an, en tCO2-e (20 ans)</t>
  </si>
  <si>
    <t>Balance carbone annuelle</t>
  </si>
  <si>
    <t>Balance carbone par an</t>
  </si>
  <si>
    <t>Balance carbone cumulée</t>
  </si>
  <si>
    <t>* Veuillez noter que les valeurs annuelles proposées sont une approximation des flux annuels</t>
  </si>
  <si>
    <t>MATRIX DE CHANGEMENTS DETAILLÉES POUR SOLS MINERAUX</t>
  </si>
  <si>
    <t>SANS PROJET</t>
  </si>
  <si>
    <t>Foret</t>
  </si>
  <si>
    <t>Cultures annuelles</t>
  </si>
  <si>
    <t>Agroforestrie</t>
  </si>
  <si>
    <t>Prairie</t>
  </si>
  <si>
    <t>Terre dégradée</t>
  </si>
  <si>
    <t>Autre terre</t>
  </si>
  <si>
    <t>Surface totale sans projet (ha)</t>
  </si>
  <si>
    <t>AVEC PROJET</t>
  </si>
  <si>
    <t>Surface totale avec projet (ha)</t>
  </si>
  <si>
    <t>Cultures perennes</t>
  </si>
  <si>
    <t>RESULTATS DETAILLÉS POUR SOL ORGANIQUES</t>
  </si>
  <si>
    <r>
      <t>N</t>
    </r>
    <r>
      <rPr>
        <b/>
        <vertAlign val="subscript"/>
        <sz val="14"/>
        <color rgb="FFFF0000"/>
        <rFont val="Roboto"/>
      </rPr>
      <t>2</t>
    </r>
    <r>
      <rPr>
        <b/>
        <sz val="14"/>
        <color rgb="FFFF0000"/>
        <rFont val="Roboto"/>
      </rPr>
      <t>O SOL</t>
    </r>
  </si>
  <si>
    <r>
      <t>CH</t>
    </r>
    <r>
      <rPr>
        <b/>
        <vertAlign val="subscript"/>
        <sz val="14"/>
        <color rgb="FFFF0000"/>
        <rFont val="Roboto"/>
      </rPr>
      <t xml:space="preserve">4 </t>
    </r>
    <r>
      <rPr>
        <b/>
        <sz val="14"/>
        <color rgb="FFFF0000"/>
        <rFont val="Roboto"/>
      </rPr>
      <t>SOL</t>
    </r>
  </si>
  <si>
    <t>FEU</t>
  </si>
  <si>
    <t>Part des activités dans la balance carbone, en tCO2-e</t>
  </si>
  <si>
    <t>Fluxs bruts sans projet, en tCO2-e</t>
  </si>
  <si>
    <t>Fluxs bruts avec projet, en tCO2-e</t>
  </si>
  <si>
    <t>MATRIX DETAILLÉE DES CHANGEMENTS SUR SOLS ORGANIQUES</t>
  </si>
  <si>
    <t>Niveau d'incertitude</t>
  </si>
  <si>
    <t>tCO2-e/an</t>
  </si>
  <si>
    <t>Pourcentage</t>
  </si>
  <si>
    <t>More information on definitions used in EX-ACT can be found in:</t>
  </si>
  <si>
    <t>the glossary of IPCC Good Practice Guidance for LULUCF (2003)</t>
  </si>
  <si>
    <t>the glossary of IPCC Guidelines for National GHG Inventories (2006)</t>
  </si>
  <si>
    <t>the glossary of IPCC Refinement to the 2006 Guidelines for National GHG Inventories (2019)</t>
  </si>
  <si>
    <t>Annuals converted to non-forest Lus</t>
  </si>
  <si>
    <t>Perennials converted to non-forest Lus</t>
  </si>
  <si>
    <t>Rice converted to non-forest Lus</t>
  </si>
  <si>
    <t>Humidité</t>
  </si>
  <si>
    <t xml:space="preserve">The total amount of water applied through irrigation, including the irrigation system losses (conveyance, distribution and field application efficiencies), is defined as Gross Irrigation Water Requirement (GIWR). </t>
  </si>
  <si>
    <t xml:space="preserve">Select on the map the area that will be irrigated. This will provide climate and precipitation data. </t>
  </si>
  <si>
    <t>Calculating the Gross Irrigation Water requirement in 6 steps:</t>
  </si>
  <si>
    <t>Reference links:</t>
  </si>
  <si>
    <r>
      <t xml:space="preserve">The "soil water balance" tab will contain data on the Crop Deficit expressed in mm. The </t>
    </r>
    <r>
      <rPr>
        <b/>
        <sz val="11"/>
        <color theme="1"/>
        <rFont val="Century Gothic"/>
        <family val="2"/>
      </rPr>
      <t>Total Crop Deficit</t>
    </r>
    <r>
      <rPr>
        <sz val="11"/>
        <color theme="1"/>
        <rFont val="Century Gothic"/>
        <family val="2"/>
      </rPr>
      <t xml:space="preserve"> for the average year corresponds to the </t>
    </r>
    <r>
      <rPr>
        <b/>
        <sz val="11"/>
        <color theme="1"/>
        <rFont val="Century Gothic"/>
        <family val="2"/>
      </rPr>
      <t>GIWR</t>
    </r>
    <r>
      <rPr>
        <sz val="11"/>
        <color theme="1"/>
        <rFont val="Century Gothic"/>
        <family val="2"/>
      </rPr>
      <t xml:space="preserve"> as required by the tool.</t>
    </r>
  </si>
  <si>
    <r>
      <t xml:space="preserve">Select the </t>
    </r>
    <r>
      <rPr>
        <b/>
        <sz val="11"/>
        <color theme="1"/>
        <rFont val="Century Gothic"/>
        <family val="2"/>
      </rPr>
      <t xml:space="preserve">type of crop </t>
    </r>
    <r>
      <rPr>
        <sz val="11"/>
        <color theme="1"/>
        <rFont val="Century Gothic"/>
        <family val="2"/>
      </rPr>
      <t xml:space="preserve">targeted and the </t>
    </r>
    <r>
      <rPr>
        <b/>
        <sz val="11"/>
        <color theme="1"/>
        <rFont val="Century Gothic"/>
        <family val="2"/>
      </rPr>
      <t>planting/sowing date</t>
    </r>
    <r>
      <rPr>
        <sz val="11"/>
        <color theme="1"/>
        <rFont val="Century Gothic"/>
        <family val="2"/>
      </rPr>
      <t>. More information on the planting date can be found through the FAO Crop Calendar</t>
    </r>
  </si>
  <si>
    <r>
      <t xml:space="preserve">Click on </t>
    </r>
    <r>
      <rPr>
        <b/>
        <sz val="11"/>
        <color theme="1"/>
        <rFont val="Century Gothic"/>
        <family val="2"/>
      </rPr>
      <t>CROPWAT</t>
    </r>
    <r>
      <rPr>
        <sz val="11"/>
        <color theme="1"/>
        <rFont val="Century Gothic"/>
        <family val="2"/>
      </rPr>
      <t xml:space="preserve"> On-line and select </t>
    </r>
    <r>
      <rPr>
        <b/>
        <sz val="11"/>
        <color theme="1"/>
        <rFont val="Century Gothic"/>
        <family val="2"/>
      </rPr>
      <t>AgERA5</t>
    </r>
    <r>
      <rPr>
        <sz val="11"/>
        <color theme="1"/>
        <rFont val="Century Gothic"/>
        <family val="2"/>
      </rPr>
      <t xml:space="preserve"> Data to start the assessment of water requirement in the targeted area</t>
    </r>
  </si>
  <si>
    <r>
      <rPr>
        <b/>
        <sz val="11"/>
        <color theme="1"/>
        <rFont val="Century Gothic"/>
        <family val="2"/>
      </rPr>
      <t xml:space="preserve">Select the soil texture </t>
    </r>
    <r>
      <rPr>
        <sz val="11"/>
        <color theme="1"/>
        <rFont val="Century Gothic"/>
        <family val="2"/>
      </rPr>
      <t>of the targeted area. More information on soil texture can be retrieved from the Harmnized World Soil Database and from the online platform Geofootpring</t>
    </r>
  </si>
  <si>
    <r>
      <t xml:space="preserve">Go to the </t>
    </r>
    <r>
      <rPr>
        <b/>
        <sz val="11"/>
        <color theme="1"/>
        <rFont val="Century Gothic"/>
        <family val="2"/>
      </rPr>
      <t>FAO Aquastat online Climate Info Tool</t>
    </r>
  </si>
  <si>
    <t>Aquastat Climate Info Tool</t>
  </si>
  <si>
    <t>FAO Crop calendar</t>
  </si>
  <si>
    <t>HWSD</t>
  </si>
  <si>
    <t>Geofootprint</t>
  </si>
  <si>
    <t>Low C input cropland systems are defined by one of the following conditions: 
(1) The crop residues of annual crops are removed or burnt without using organic amendments (e.g. manure) or 
(2) Low residue yielding crops are cultivated (e.g cotton, green maize, vegetables, tobacco) or frequent rotation with bare fallow without  organic  amendments, cover crops/green manures, and mixed crop/grass systems or 
(3) Annual crops with no mineral fertilization or N-fixing crops without irrigation, cover crops/green manures, vegetated fallows, high residue yielding crops and mixed crop/grass systems</t>
  </si>
  <si>
    <t>Medium C input cropland systems are defined by one of the following conditions: 
(1) annual cropping with cereals where all crop residues are returned to the field; or 
(2) the crop residues of annual crops are removed or burnt BUT  organic amendments (e.g. manure) are applied or 
(3) low residue crops are cultivated (e.g cotton, green maize, vegetables, tobacco) or frequent rotation with bare fallow  BUT using practices that increase C input above low residue varieties such as using organic amendments,  cover crops/green manures, and mixed crop/grass systems or 
(4) annual crops with no mineral fertilization or N-fixing crops BUT using practices that increase C input by enhancing residue production such as irrigation, cover crops/green manures, vegetated fallows, high residue yielding.</t>
  </si>
  <si>
    <t>Cattle: Highly productive commercialized dairy sector feeding high quality forage and grain. Separate beef cow herd, primarily grazing with feed supplements seasonally. Fast-growing beef steers/heifers finished in feedlots on grain. Dairy cows are a small part of the population. There are no buffalo herds, but American bison may be raised.</t>
  </si>
  <si>
    <t>Cattle: Highly productive commercialised dairy sector feeding high quality forage and grain. Dairy cows also used for beef calf production. Very small dedicated beef cow herd. Minor amount of feedlot feeding with grains.
Buffalo: Buffalo farming system is exclusively intensive. The concentrates are largely used only during the lactation phase. Animals are maintained in paddocks, grazing practices are not widespread.</t>
  </si>
  <si>
    <t>Cattle: Commercialised dairy sector feeding based on forages and gains. Separate beef cow herd, primarily grazing. Minor amount of feedlot feeding with grains.
Buffalo: Commercialized buffalo sector feeding primarily with roughages. Buffaloes are managed according to their categories. Animals are maintained paddock and tied up during the winter, in summer they are allowed to graze.</t>
  </si>
  <si>
    <t>Cattle: Commercialised dairy sector based on grazing. Separate beef cow herd, primarily grazing rangelands5 and hill country of widely varying quality. Growing amount of feedlot feeding with grains. Dairy cows are a small part of the population. No Buffalo herd.</t>
  </si>
  <si>
    <t>Cattle: Commercialised dairy sector based on grazing. Separate beef cow herd grazing pastures and rangelands. Minor amount of feedlot feeding with grains. Growing non-dairy cattle comprise a large portion of the population.
Buffalo: Buffalo husbandry is based on extensive systems in native or cultivated pastures in lowlands and uplands, most often without supply of concentrated feed. Milk production is based on pasture with frequent supplementation of roughage (sugar cane, silage, etc.), with a predominance of one single milking.</t>
  </si>
  <si>
    <t>Cattle: Commercialised dairy sector is experienced fundamental changes due to increasing number of large farms with intensive production system based on grains and forage. Cattle kept in traditional production systems are multi-purpose, providing draft power and some milk within farming regions. Cattle of all types are smaller than those found in most other regions.
Buffalo: Buffaloes are generally swamp type. Buffaloes are raised by smallholder farmers as source of draft power. Animals are commonly grazed in field and fed on agriculture residual products. Milk yield per cow is low. Nevertheless, the dairy buffalo breeding is rapidly developing in countryside of Asia.</t>
  </si>
  <si>
    <t>Cattle: Commercialised dairy sector based on grazing with low production per cow. Most cattle are multi-purpose, providing draft power and some milk within farming regions. Some cattle graze over very large areas. Cattle are smaller than those found in most other regions.
Buffalo: Small-scale buffalo sector well-integrated with cropland. Animals are raised for multi-purpose. Feeding primarily depends on roughages and crop-residues. Minor commercial dairy buffalo farms feeding with concentrate feed mixture.</t>
  </si>
  <si>
    <t>Cattle: Majority of cattle population is still kept by small holders in the traditional production systems. The animals are fed primarily by crop residues and are grazed. Most animals are dual-purpose. In contrast to the small-scale farms, commercial dairy sector is generally intensive, mainly based on compound feed and grains.
Buffalo: Buffalo farming system primarily based on smallholders rearing animals for meat, milk and draught. Animals obtain their feeding by grazing. Minor commercialized buffalo sector feeding forage and concentrate supplemented feed.</t>
  </si>
  <si>
    <t>Cattle: Commercialised dairy sector based on crop by-product feeding with low production per cow. Most bullocks provide draft power and cows provide some milk in farming regions. Cattle in this region are the smallest compared to cattle found in all other regions.
Buffalo: Smallholder buffalo sector feeding poor quality roughages and crop-residues. Buffaloes are primarily free grazing. Concentrates are fed to dairy animals during last months of pregnancy. Dairy and meat production are intimately related. Animals are used as draft power. Minor commercialized buffalo sector providing animals with balanced ration.</t>
  </si>
  <si>
    <t>Emisiones totales (tCO2-e)</t>
  </si>
  <si>
    <t xml:space="preserve">Balance </t>
  </si>
  <si>
    <t>Inicio</t>
  </si>
  <si>
    <t>Sin</t>
  </si>
  <si>
    <t>Con</t>
  </si>
  <si>
    <t>Factor de emisión</t>
  </si>
  <si>
    <t>Unidades</t>
  </si>
  <si>
    <t>Valor por defecto/ predeterminado</t>
  </si>
  <si>
    <t>Uso del suelo final</t>
  </si>
  <si>
    <t>Uso del suelo inicial</t>
  </si>
  <si>
    <t>Utilice esta parte solamente si desea refinar el análisis con valores Tier 2</t>
  </si>
  <si>
    <t>Los valores por defecto de IPCC se ofrecen a título informativo, EX-ACT utilizará automáticamente valores de Tier 2 siempre que se especifiquen</t>
  </si>
  <si>
    <t xml:space="preserve">Si dispone de datos especificos del país, vaya al Tier 2: </t>
  </si>
  <si>
    <t>La selección de "D" corresponde a una dinámica de cambio por defecto (lineal). Otras opciones de selección incluyen  "I" para cambio Inmediatos y "E" para cambios exponenciales - Consulte la guía para más información respecto a estas suposiciones.</t>
  </si>
  <si>
    <t>Cobertura vegetal</t>
  </si>
  <si>
    <t>Área total (ha)</t>
  </si>
  <si>
    <t>Aérea</t>
  </si>
  <si>
    <t>Subterránea</t>
  </si>
  <si>
    <t>Hojarasca</t>
  </si>
  <si>
    <t>Madera muerta</t>
  </si>
  <si>
    <t>Año</t>
  </si>
  <si>
    <t>1. DESCRIPCIÓN</t>
  </si>
  <si>
    <t>1.1 Descripción del proyecto</t>
  </si>
  <si>
    <t>Nombre del proyecto</t>
  </si>
  <si>
    <t>Nombre del ususario</t>
  </si>
  <si>
    <t>Fecha</t>
  </si>
  <si>
    <t>Código del proyecto</t>
  </si>
  <si>
    <t>Coste del proyecto (en USD)</t>
  </si>
  <si>
    <t>Organismo de financiación / Organización financiadora / Organismo financiador</t>
  </si>
  <si>
    <t>Organismo ejecutor</t>
  </si>
  <si>
    <t>Estatus del proyecto</t>
  </si>
  <si>
    <t>1.2 Ubicación y duración del proyecto</t>
  </si>
  <si>
    <t>Continente</t>
  </si>
  <si>
    <t>País</t>
  </si>
  <si>
    <t>Clima</t>
  </si>
  <si>
    <t>Humedad</t>
  </si>
  <si>
    <t>Duración del proyecto  (años)</t>
  </si>
  <si>
    <t>Fase de implementación</t>
  </si>
  <si>
    <t>Fase de capitalización</t>
  </si>
  <si>
    <t>Duración total de la estimación</t>
  </si>
  <si>
    <t>2.1 DEFORESTACIÓN</t>
  </si>
  <si>
    <t>Tipo de vegetación</t>
  </si>
  <si>
    <t>que será deforestada</t>
  </si>
  <si>
    <t>(si/no)</t>
  </si>
  <si>
    <t>Después de la deforestación</t>
  </si>
  <si>
    <t>Área boscosa (ha)</t>
  </si>
  <si>
    <t>Área deforestada (ha)</t>
  </si>
  <si>
    <t>Área reforestada (ha)</t>
  </si>
  <si>
    <t>Crecimiento de la biomasa aérea</t>
  </si>
  <si>
    <t>Crecimiento de la biomasa subterránea</t>
  </si>
  <si>
    <t>Deforestación total</t>
  </si>
  <si>
    <t>2.2 AFORESTACIÓN Y REFORESTACIÓN</t>
  </si>
  <si>
    <t>Área total af/reforestada (ha)</t>
  </si>
  <si>
    <t>2.3 OTROS CAMBIOS EN LOS USOS DE LA TIERRA</t>
  </si>
  <si>
    <t>Notas del ususario</t>
  </si>
  <si>
    <t>Total de los cambios de los usos de la tierra  no forestales  (tCO2-e)</t>
  </si>
  <si>
    <t>Descripción</t>
  </si>
  <si>
    <t>Rellene con su descripción</t>
  </si>
  <si>
    <t>Estación principal</t>
  </si>
  <si>
    <t>Cultivo</t>
  </si>
  <si>
    <t>Gestión</t>
  </si>
  <si>
    <t>Aporte de</t>
  </si>
  <si>
    <t>materia orgánica</t>
  </si>
  <si>
    <t>Rendimiento</t>
  </si>
  <si>
    <t>Área (ha)</t>
  </si>
  <si>
    <t>Totales de los cultivos anuales (tCO2-e))</t>
  </si>
  <si>
    <t xml:space="preserve">Si dispone de datos especificos del país, vaya al nivel 2: </t>
  </si>
  <si>
    <t>3.1 SISTEMAS DE CULTIVOS ANUALES ( ser utilizados también por sistemas pluri-anuales como el algodón o la caña de azúcar)</t>
  </si>
  <si>
    <t>3.1.1. Sistemas de cultivos anuales provenientes de otros usos de la tierra o convertidos en otros usos de la tierra</t>
  </si>
  <si>
    <t>3.1.2  Sistemas de cultivos anuales que permanecen como sistemas de cultivos anuales (el área total debe permanecer constante)</t>
  </si>
  <si>
    <t>Sistemas de cultivos anuales  provenentes de (o convertidos en) otros usos de la tierra</t>
  </si>
  <si>
    <t>Sistemas de cultivos anuales que permanecen sistemas de cultivo anuales</t>
  </si>
  <si>
    <t>Carbono Orgánico del Suelo (COS) de referencia</t>
  </si>
  <si>
    <t>Factor del uso de la tierra</t>
  </si>
  <si>
    <t>Factor del laboreo</t>
  </si>
  <si>
    <t>Factor de los insumos</t>
  </si>
  <si>
    <t>Estación de cultivo secundaria / intercultivo</t>
  </si>
  <si>
    <t>Cultivo de la estación secundaria</t>
  </si>
  <si>
    <t>Opciones de manejo para sistemas de cultivos anuales</t>
  </si>
  <si>
    <t xml:space="preserve">3.2 SISTEMAS DE CULTIVOS PERENNES   (Agroforestales, huertos frutales,  cultivos arbóreos) </t>
  </si>
  <si>
    <t>3.2.1 Sistemas de cultivos perennes provenientes de otros usos de la tierra o convertidos en otros usos de la tierra</t>
  </si>
  <si>
    <t>3.2.2 Sistemas de cultivos perennes que permanecen como sistemas de cultivos perennes (el área total debe permanecer constante)</t>
  </si>
  <si>
    <t>Agroforestales</t>
  </si>
  <si>
    <t>Sistemas</t>
  </si>
  <si>
    <t>Totales de los sistemas de cultivos perennes (tCO2-e)</t>
  </si>
  <si>
    <t>Opciones de manejo para sistemas de cultivos perennes</t>
  </si>
  <si>
    <t xml:space="preserve">Sistemas de cultivos perennes provenientes de (o convertidos en) otros usos de la tierra </t>
  </si>
  <si>
    <t>Sistemas de cultivos perennes que permanecen sistemas de cultivos perennes</t>
  </si>
  <si>
    <t>Tasa de crecimiento  (tC/ha/año)</t>
  </si>
  <si>
    <t>Tipo de cultivo</t>
  </si>
  <si>
    <t>Cantidad de residuos de campo quemados</t>
  </si>
  <si>
    <t>Cultivo de la estación principal (t matera seca/ ha)</t>
  </si>
  <si>
    <t>Frecuencia de los incendios</t>
  </si>
  <si>
    <t>3.3 SISTEMAS DE ARROZALES INUNDADOS</t>
  </si>
  <si>
    <t>Total de los sistemas de arrozales inundados (tCO2-e)</t>
  </si>
  <si>
    <t>Confirme el área  total de arrozales inundados que permanecen arrozales inundados (ha)</t>
  </si>
  <si>
    <t>Durante</t>
  </si>
  <si>
    <t>Período de cultivo</t>
  </si>
  <si>
    <t>Antes</t>
  </si>
  <si>
    <t xml:space="preserve">4.1 GESTIÓN / MANEJO DE PASTIZALES </t>
  </si>
  <si>
    <t>4.1.1. Pastizales  provenientes de otros usos de la tierra o convertidos en otros usos de la tierra</t>
  </si>
  <si>
    <t>Pastizales después de la deforestación</t>
  </si>
  <si>
    <t>Pastizales después de usos de la tierra no forestales</t>
  </si>
  <si>
    <t>Pastizales convertidos en bosques</t>
  </si>
  <si>
    <t xml:space="preserve">Pastizales convertidos en  usos de la tierra no forestales </t>
  </si>
  <si>
    <t>Gestión y frecuencia de los incendios</t>
  </si>
  <si>
    <t>Rendimiento (t/ha/año)</t>
  </si>
  <si>
    <t>4.2 Pastizales  que permanecen pastizales (el área total debe permanecer constante)</t>
  </si>
  <si>
    <t>Pastizales provenientes ( o convertidos) en otros usos de la tierra.</t>
  </si>
  <si>
    <t>Depósitos de carbono en el suelo (tC/ha)</t>
  </si>
  <si>
    <t>Biomasa aérea (t materia seca/ha)</t>
  </si>
  <si>
    <t>Factor de combustión (%)</t>
  </si>
  <si>
    <t>Pastizales  que permanecen pastizales</t>
  </si>
  <si>
    <t>Total de los pastizales (tCO2-e)</t>
  </si>
  <si>
    <t xml:space="preserve">Frecuencia </t>
  </si>
  <si>
    <t xml:space="preserve">Gestión y degradación de suelos </t>
  </si>
  <si>
    <t>7.1.1.  Extracción y excavación (construcción de puertos, acuicultura  o salinas)</t>
  </si>
  <si>
    <t xml:space="preserve">HUMEDALES INTERIORES </t>
  </si>
  <si>
    <t>6.1  CAMBIO DE LOS USOS DE LA TIERRA EN SUELOS ORGÁNICOS</t>
  </si>
  <si>
    <t>6.1.1. Prácticas de gestión de suelos orgánicos asociados a la deforestación</t>
  </si>
  <si>
    <t>% de áreas ocupadas por acequias</t>
  </si>
  <si>
    <t>Uso final de la tierra después de la deforestación</t>
  </si>
  <si>
    <t>Tipo de usos de la tierra</t>
  </si>
  <si>
    <t>Sistema Agroforestal</t>
  </si>
  <si>
    <t>Indique la calidad dominante de la turba, esto puede afectar los factores de emisión arriba:</t>
  </si>
  <si>
    <t>Factores de emisión in situ</t>
  </si>
  <si>
    <t>Frecuencia y gravedad de los incendios</t>
  </si>
  <si>
    <t>Impacto</t>
  </si>
  <si>
    <t>% del área quemada</t>
  </si>
  <si>
    <t>% quemado</t>
  </si>
  <si>
    <t>6.1.2. Prácticas de gestión de suelos orgánicos asociados a la aforestación / reforestación</t>
  </si>
  <si>
    <t>6.1.2. Prácticas de gestión de suelos orgánicos asociados a otros cambios de los usos de la tierra</t>
  </si>
  <si>
    <t>Prácticas de gestión después de la conversión</t>
  </si>
  <si>
    <t>Nivel de la capa freática</t>
  </si>
  <si>
    <t>Factores de emisión fuera del sitio</t>
  </si>
  <si>
    <t>Total de la extracción de turba (tCO2-e)</t>
  </si>
  <si>
    <t>6.2 GESTIÓN DE LAS TIERRAS EN SUELOS ORGÁNICOS</t>
  </si>
  <si>
    <t>6.2.1. Gestión forestal</t>
  </si>
  <si>
    <t>6.2.2. Gestión de otros usos de la tierra</t>
  </si>
  <si>
    <t>6.3. TIERRAS GESTIONADAS PARA LA EXTRACCIÓN DE TURBA</t>
  </si>
  <si>
    <t>6.4 CUERPOS DE AGUA INTERIORES</t>
  </si>
  <si>
    <t>Tipo de cuerpo de agua</t>
  </si>
  <si>
    <t>Classe trófica</t>
  </si>
  <si>
    <t>6.1.1. Factores de emisión por el drenaje asociado a la deforestación</t>
  </si>
  <si>
    <t>6.1.2. Factores de emisión por el drenaje asociado a la aforestación / reforestación</t>
  </si>
  <si>
    <t>6.1.3. Factores de emisión por el drenaje asociado a otros cambios de los usos de la tierra</t>
  </si>
  <si>
    <t>6.2.1. Factores de emisión por el drenaje asociado a la gestión forestal</t>
  </si>
  <si>
    <t>6.2.2. Factores de emisión por el drenaje asociado a la gestión de otros usos de la tierra</t>
  </si>
  <si>
    <t>6.1.1. Factores de emisión por los incendios en suelos orgánicos asociados a la deforestación</t>
  </si>
  <si>
    <t>6.1.2. Factores de emisión por  los incendios en suelos orgánicos asociados a la aforestación / reforestación</t>
  </si>
  <si>
    <t>6.1.3. Factores de emisión por  los incendios en suelos orgánicos asociados a otros cambios de los usos de la tierra</t>
  </si>
  <si>
    <t>6.2.1. Factores de emisión por los incendios en suelos orgánicos asociados a la gestión forestal</t>
  </si>
  <si>
    <t>6.2.2. Factores de emisión por  los incendios en suelos orgánicos asociados a la gestión de otros usos de la tierra</t>
  </si>
  <si>
    <t>Total de la deforestación total en suelos orgánicos (tCO2-e)</t>
  </si>
  <si>
    <t>Total de la Aforestación / Reforestación  en suelos orgánicos (tCO2-e)</t>
  </si>
  <si>
    <t>Total de los otros cambios de los usos de la tierra en suelos orgánicos (tCO2-e)</t>
  </si>
  <si>
    <t>Total de la gestión y degradación forestal (tCO2e)</t>
  </si>
  <si>
    <t>Total de la gestión de otros usos de la tierra (tCO2-e)</t>
  </si>
  <si>
    <t>6.1.1. Rehumectación asociada a la deforestación</t>
  </si>
  <si>
    <t>6.1.1. Rehumectación asociada a la aforestación / reforestación</t>
  </si>
  <si>
    <t>6.1.1. Rehumectación asociada a otros cambios de los usos de la tierra</t>
  </si>
  <si>
    <t>6.1.1. Rehumectación asociada a  la gestión forestal</t>
  </si>
  <si>
    <t>6.1.1. Rehumectación asociada a la gestión de otros usos de la tierra</t>
  </si>
  <si>
    <t>Únicamente para suelos Minerales - Se contabilizan las emisiones de CH4 de (i) canales de abastecimiento o navegación, (ii) acequias para usos agrícolas (riego, drenaje, etc.), y (iii) estanques para la agricultura y acuicultura</t>
  </si>
  <si>
    <t>Para la acuicultura en estanques en humedales costeros ir a "Humedales costeros"</t>
  </si>
  <si>
    <t>Total de los cuerpos de agua interiores en suelos minerales (tCO2-e)</t>
  </si>
  <si>
    <t>Suelo</t>
  </si>
  <si>
    <t>5.1  GESTIÓN Y DEGRADACIÓN FORESTAL</t>
  </si>
  <si>
    <t>Cantidad utilizada por año (en toneladas)</t>
  </si>
  <si>
    <t xml:space="preserve">Descripción y unidad a reportar </t>
  </si>
  <si>
    <t xml:space="preserve">Cantidad utilizada por año </t>
  </si>
  <si>
    <t>Emisiones totales a nivel de campo (tCO2-e)</t>
  </si>
  <si>
    <t xml:space="preserve">Emisiones en la producción, </t>
  </si>
  <si>
    <t>transporte, almacenamiento y transferencia (tCO2-e)</t>
  </si>
  <si>
    <t>Fertilizantes</t>
  </si>
  <si>
    <t>Uso de cal</t>
  </si>
  <si>
    <t>Sin especificar (toneladas por año)</t>
  </si>
  <si>
    <t>Fertilizantes sintéticos</t>
  </si>
  <si>
    <t xml:space="preserve">Fertilizantes N sintéticos diferentes a la  Urea (tonnelads de N por año) </t>
  </si>
  <si>
    <t>Fósforo (tonneladas de P2O5 por año)</t>
  </si>
  <si>
    <t>Potasio (tonelads de K2O por año)</t>
  </si>
  <si>
    <t>Fertilizantes - N en arrozales irrigados</t>
  </si>
  <si>
    <t>Fertilizantes - N en arrozales inundados permanentemente (toneladas de N por año)</t>
  </si>
  <si>
    <t>Fertilizantes - N en arrozales inundados intermitentemente - seco y mojado  (toneladas por año)</t>
  </si>
  <si>
    <t>Fertilizantes N orgánicos</t>
  </si>
  <si>
    <t>Pesticidas</t>
  </si>
  <si>
    <t>Insumos totales</t>
  </si>
  <si>
    <t>Urea (tonneladas de urea por año, la Urea tiene un contenido de N del 46.7%)</t>
  </si>
  <si>
    <t xml:space="preserve">La absorción de CO2 de la atmosfera durante la producción de urea se estima en los sectores de Procesos Industriales y  Uso del Producto  del país donde la urea es producida. </t>
  </si>
  <si>
    <t xml:space="preserve">Por defecto EX-ACT considera que la urea utilizada es importada y no contabiliza esta absorción, pero puede incluirla en el cálculo: </t>
  </si>
  <si>
    <t>Contabilizar la absorción durante la producción?</t>
  </si>
  <si>
    <t>Emisiones a nivel de campo</t>
  </si>
  <si>
    <t>Emisiones de CO2</t>
  </si>
  <si>
    <t>Emisiones de N2O</t>
  </si>
  <si>
    <t>Emisiones de CO2-e</t>
  </si>
  <si>
    <t>Emisones en la producción, transporte, almacenamiento y transferencia</t>
  </si>
  <si>
    <t>Cantidad consumida por año</t>
  </si>
  <si>
    <t>País de origen de la electricidad</t>
  </si>
  <si>
    <t>Electricidad (MWh por año)</t>
  </si>
  <si>
    <t>Definido por el usuario (Tier 2)</t>
  </si>
  <si>
    <t>Líquido o gaseoso (en m3 por año)</t>
  </si>
  <si>
    <t>Líquido o gaseoso</t>
  </si>
  <si>
    <t>Sólido (en toneladas de materia seca por año)</t>
  </si>
  <si>
    <t xml:space="preserve">Sólido </t>
  </si>
  <si>
    <t>Madera</t>
  </si>
  <si>
    <t>Turba (proveniente de turberas)</t>
  </si>
  <si>
    <t xml:space="preserve">Turba </t>
  </si>
  <si>
    <t xml:space="preserve">Electricidad </t>
  </si>
  <si>
    <t>Factores de emision del país seleccionado</t>
  </si>
  <si>
    <t>Pérdidas de electricidad durante el transporte</t>
  </si>
  <si>
    <t>Líquido</t>
  </si>
  <si>
    <t>Carbón vegetal</t>
  </si>
  <si>
    <t>Implementación de sistemas de irrigación nuevos</t>
  </si>
  <si>
    <t>Sistemas de Irrigación</t>
  </si>
  <si>
    <t>Fase operativa de sistemas de irrigación con agua subterránea</t>
  </si>
  <si>
    <t>Superficie (en ha)</t>
  </si>
  <si>
    <t>Fuente de energía</t>
  </si>
  <si>
    <t>Profundidad H2O</t>
  </si>
  <si>
    <t>Instalación nueva</t>
  </si>
  <si>
    <t>Presión media</t>
  </si>
  <si>
    <t>Factores de emisión de la fuente de energía</t>
  </si>
  <si>
    <t>Carga dinámica total / Altura manométrica total (en metros</t>
  </si>
  <si>
    <t>Eficiencia de bombeo (en %)</t>
  </si>
  <si>
    <t xml:space="preserve">Durante la estación de cultivo principal </t>
  </si>
  <si>
    <t>(en mm/ estación de cultivo)</t>
  </si>
  <si>
    <t>Necesidad de irrigación del cultivo principal</t>
  </si>
  <si>
    <t>Estación de cultivo secundario</t>
  </si>
  <si>
    <t>Necesidad de irrigación</t>
  </si>
  <si>
    <t>Necesidad de agua</t>
  </si>
  <si>
    <t>Bomba</t>
  </si>
  <si>
    <t>Edificios / construcciones y carreters (en m2)</t>
  </si>
  <si>
    <t>Superficies (en m2)</t>
  </si>
  <si>
    <t>Carreteras y edificios / construcciones ( nuevas y rehabilitadas)</t>
  </si>
  <si>
    <t>Total de energía (tCO2-e)</t>
  </si>
  <si>
    <t>Total de insumos (tCO2-e)</t>
  </si>
  <si>
    <t>Total de irrigación (tCO2-e)</t>
  </si>
  <si>
    <t>Total de edificios / construcciones y carreteras (tCO2-e)</t>
  </si>
  <si>
    <t>7.1. GESTIÓN DE HUMEDALES COSTEROS ( manglares, marismas y praderas marinas)</t>
  </si>
  <si>
    <t>% excavado</t>
  </si>
  <si>
    <t>7.1.2. Drenaje</t>
  </si>
  <si>
    <t xml:space="preserve">Especifique el área en el módulo " Extracción y excavación" arriba </t>
  </si>
  <si>
    <t>% drenado</t>
  </si>
  <si>
    <t>Total de la extracción y excavación (tCO2-e)</t>
  </si>
  <si>
    <t>Total por el drenaje (tCO2-e)</t>
  </si>
  <si>
    <t>Superficie rehumectada (ha)</t>
  </si>
  <si>
    <t>Porcentaje de biomasa nominal restaurada</t>
  </si>
  <si>
    <t>Total para rehumectación y revegetación (tCO2-e)</t>
  </si>
  <si>
    <t>Tipo de suelo</t>
  </si>
  <si>
    <t>Suelo (1  m de profundidad)</t>
  </si>
  <si>
    <t>% C perdido después de la excavación</t>
  </si>
  <si>
    <t>Total de la pesca mostera y marina (tCO2-e)</t>
  </si>
  <si>
    <t>Total de la acuicultura costera (tCO2-e)</t>
  </si>
  <si>
    <t>Depósitos de carbono de bosques no degradados ( todos los valores están en tC/ha)</t>
  </si>
  <si>
    <t xml:space="preserve">Clima y régimen de humedad </t>
  </si>
  <si>
    <t xml:space="preserve">Clima </t>
  </si>
  <si>
    <t>Altitud en m</t>
  </si>
  <si>
    <t>MAP (Precipitación Media Anual) y PET (Potencial evapotranspiración)</t>
  </si>
  <si>
    <t>Temperatura Media Anual en ºC</t>
  </si>
  <si>
    <t>Precipitación Media Anual en mm</t>
  </si>
  <si>
    <t>Potencial de Evapotranspiración en mm</t>
  </si>
  <si>
    <t>Altitud sobre el nivel del mar</t>
  </si>
  <si>
    <t>Análisis para todo el período</t>
  </si>
  <si>
    <t>1.4 Valor de Referencia para carbono orgánico del suelo</t>
  </si>
  <si>
    <t>1.3 Potencial de calentamiento global</t>
  </si>
  <si>
    <t>Fuente:</t>
  </si>
  <si>
    <t>Elige un idioma</t>
  </si>
  <si>
    <t>Sistema agroforestal inicial</t>
  </si>
  <si>
    <t>Carbono del suelo</t>
  </si>
  <si>
    <t>Área de cambio de los usos de la tierra</t>
  </si>
  <si>
    <t>Valores de referencia de las reservas de carbono</t>
  </si>
  <si>
    <t>Todas las unidades están en tC/ha</t>
  </si>
  <si>
    <t>Después de A/R</t>
  </si>
  <si>
    <t>Biomasa</t>
  </si>
  <si>
    <t>( ≤ 20 años )</t>
  </si>
  <si>
    <t>( &gt; 20 años )</t>
  </si>
  <si>
    <t>tC/ha/año</t>
  </si>
  <si>
    <t>en tC/ha el primer año</t>
  </si>
  <si>
    <t>KgCH4/ha/año</t>
  </si>
  <si>
    <t>kgN2O-N/ha/año</t>
  </si>
  <si>
    <t>MOD (Materia Orgánica Disuelta)</t>
  </si>
  <si>
    <t xml:space="preserve">gC/kg m.s. </t>
  </si>
  <si>
    <t xml:space="preserve">gCO/kg m.s. </t>
  </si>
  <si>
    <t xml:space="preserve">gCH4/kg m.s. </t>
  </si>
  <si>
    <t>Cultivos anuales después de la deforestación</t>
  </si>
  <si>
    <t>Cultivos anuales convertidos en bosque</t>
  </si>
  <si>
    <t>Cultivos anuales provenientes de usos de la tierra no forestales</t>
  </si>
  <si>
    <t>Cultivos anuales convertidos a usos de la tierra no forestales</t>
  </si>
  <si>
    <t>Puede utilizarlo para describir su sistema</t>
  </si>
  <si>
    <t>Residuo/biomasa disponible</t>
  </si>
  <si>
    <t>Residuo/</t>
  </si>
  <si>
    <t>Quema de biomasa</t>
  </si>
  <si>
    <t>Cultivo estacional principal</t>
  </si>
  <si>
    <t>Cultivos perennes después de la deforestación</t>
  </si>
  <si>
    <t>Cultivos perennes convertidos en bosque</t>
  </si>
  <si>
    <t>Cultivos perennes provenientes de usos de la tierra no forestales</t>
  </si>
  <si>
    <t>Cultivos perennes convertidos en usos de la tierra no forestales</t>
  </si>
  <si>
    <t>Arrozales después de la deforestación</t>
  </si>
  <si>
    <t>Arrozales convertidos en bosque</t>
  </si>
  <si>
    <t>Arrozales provenientes de usos de la tierra no forestales</t>
  </si>
  <si>
    <t>Arrozales anuales convertidos en usos de la tierra no forestales</t>
  </si>
  <si>
    <t>Quema de residuos</t>
  </si>
  <si>
    <t>3.3.2 Arrozales inundados que permanecen Arrozales inundados</t>
  </si>
  <si>
    <t>3.3.1 Arrozales inundados provenientes de otros usos de la tierra o convertidos en otros usos de la tierra (rellene el módulo 'Cambios de los usos de la tierra')</t>
  </si>
  <si>
    <t>(días)</t>
  </si>
  <si>
    <t xml:space="preserve">Abonos </t>
  </si>
  <si>
    <t>orgánicos</t>
  </si>
  <si>
    <t>(t/ha/año)</t>
  </si>
  <si>
    <t>**Para arrozales inundados el área total considerada para el cálculo de emisiones puede ser mayor que el área usado si el área se cultiva con arroz inundado en más de una estación. Es clave insertar el área usado para arrozales inundados en la celda K122 para asegurar que el agregado de hectareas es correcto.</t>
  </si>
  <si>
    <t>Área de arrozales inundados (ha)</t>
  </si>
  <si>
    <t>Arrozales inundados provenientes o convertidos a otros usos de la tierra</t>
  </si>
  <si>
    <t>Arrozales inundados que permanecen arrozales inundados</t>
  </si>
  <si>
    <t>Factor de emission diario para arroz EF = EF-base x SF-antes x CF o enmienda</t>
  </si>
  <si>
    <t>EFc y EFi están en Kg CH4 por ha por año</t>
  </si>
  <si>
    <t>EF-base, arroz continuamente inundado sin enmiendas orgánicas</t>
  </si>
  <si>
    <t>SF, régimen hídrico durante el periodo de cultivo</t>
  </si>
  <si>
    <t>SF, régimen hídrico antes del periodo de cultivo</t>
  </si>
  <si>
    <t>SF, enmienda orgánica aplicada</t>
  </si>
  <si>
    <t>EF diario ajustado</t>
  </si>
  <si>
    <t>Paja de arroz (cultivo estacional principal)</t>
  </si>
  <si>
    <t>Sistema ganadero #1</t>
  </si>
  <si>
    <t>Sistema ganadero #2</t>
  </si>
  <si>
    <t>Sistema ganadero #3</t>
  </si>
  <si>
    <t>Sistema ganadero #4</t>
  </si>
  <si>
    <t>Sistema ganadero #5</t>
  </si>
  <si>
    <t>Sistema ganadero #6</t>
  </si>
  <si>
    <t>Sistema ganadero #7</t>
  </si>
  <si>
    <t>Sistema ganadero #8</t>
  </si>
  <si>
    <t>Sistema ganadero #9</t>
  </si>
  <si>
    <t>Sistema ganadero #10</t>
  </si>
  <si>
    <t>Sistema ganadero #11</t>
  </si>
  <si>
    <t>Sistema ganadero #12</t>
  </si>
  <si>
    <t>Sistema ganadero #13</t>
  </si>
  <si>
    <t>Sistema ganadero #14</t>
  </si>
  <si>
    <t>Sistema ganadero #15</t>
  </si>
  <si>
    <t>Sistema ganadero #16</t>
  </si>
  <si>
    <t>Sistema ganadero #17</t>
  </si>
  <si>
    <t>Categorías de ganado/especies</t>
  </si>
  <si>
    <t>Productividad ganadera/ sistema de producción*</t>
  </si>
  <si>
    <t>Por favor, asegure la coherencia entre el sistema ganadero y la necesidad de alimento. Asegure que el alimento proviene de I) actividades en sistemas de cultivo (módulo 3), II) pastizales (módulo 4.1) o III) matèria seca de origen externo (módulo 9)</t>
  </si>
  <si>
    <t xml:space="preserve">Por favor, considere si el alimento para ganado proviene de pastizales (e.g. Pasturas naturales) o debe incluirse en actividades en sistemas de cultivo o como materia seca de origen externo. </t>
  </si>
  <si>
    <t>Por favor, considere que para algunas categorías de ganado, incluyendo búfalo, ciervo y avestruz, no existen parámetros por defecto para cada uno de los sistemas de producción. Como resultado, al cambiar la productividad ganadera  no se va a producir un cambio en emisiones. Debe usar la sección para Tier 2 para refinar el análisis.</t>
  </si>
  <si>
    <t>Producción (carne, leche, etc.)</t>
  </si>
  <si>
    <t>En toneladas de producto por año</t>
  </si>
  <si>
    <t>Gestión de ganado</t>
  </si>
  <si>
    <t>Número de cabezas</t>
  </si>
  <si>
    <t xml:space="preserve">Contenido Organico del Suelo para el nivel de degradación de pastizales </t>
  </si>
  <si>
    <t>Nivel de degradación</t>
  </si>
  <si>
    <t xml:space="preserve">no degradado </t>
  </si>
  <si>
    <t>Pastoreo de alta intensidad</t>
  </si>
  <si>
    <t>Severamente degradados</t>
  </si>
  <si>
    <t>Mejorado con un aporte mediano de insumos</t>
  </si>
  <si>
    <t>Pastizal mejorado</t>
  </si>
  <si>
    <t>Mejorado con un aporte elevado de insumos</t>
  </si>
  <si>
    <t>Fermentación entérica</t>
  </si>
  <si>
    <t>% corresponde a</t>
  </si>
  <si>
    <t>Pastura/pastizales</t>
  </si>
  <si>
    <t>*La nomenclatura se refiere a manejo ganadero extensivo</t>
  </si>
  <si>
    <t>KgCH4/cabeza/año</t>
  </si>
  <si>
    <t>KgN2O/cabeza/año</t>
  </si>
  <si>
    <t>N2O provenientes del manejo de estiercol</t>
  </si>
  <si>
    <t>CH4 provenientes del manejo de estiercol</t>
  </si>
  <si>
    <t>Factores de emisión para pastura/pastizales</t>
  </si>
  <si>
    <t>Manejo de estiercol</t>
  </si>
  <si>
    <t>Sistema complementario para el manejo de estiercol</t>
  </si>
  <si>
    <t>Factor de emisión CH4</t>
  </si>
  <si>
    <t>Factor de emisión N2O</t>
  </si>
  <si>
    <t>Tipo de vegetación forestal</t>
  </si>
  <si>
    <t>que será gestionada</t>
  </si>
  <si>
    <t>Nivel de degradación de los bosques</t>
  </si>
  <si>
    <t>Fuego:</t>
  </si>
  <si>
    <t xml:space="preserve">Ocurrencia </t>
  </si>
  <si>
    <t>Impacto (% quemado)</t>
  </si>
  <si>
    <t>Valores de referencia del nivel de degradación de los bosques (pérdida de biomasa)</t>
  </si>
  <si>
    <t>Ninguno</t>
  </si>
  <si>
    <t>Muy bajo</t>
  </si>
  <si>
    <t>Bajo</t>
  </si>
  <si>
    <t>Moderado</t>
  </si>
  <si>
    <t>Elevado</t>
  </si>
  <si>
    <t>Extremo</t>
  </si>
  <si>
    <t>% de biomasa perdida</t>
  </si>
  <si>
    <t>Nivel de degradación de los bosques (en % de pérdida de biomasa)</t>
  </si>
  <si>
    <t>Uso de la tierra, gestión y factor de insumos</t>
  </si>
  <si>
    <t>Área total de cuerpos de Agua  (ha)</t>
  </si>
  <si>
    <t>Producción pesquera (toneladas de pescado/año)</t>
  </si>
  <si>
    <t xml:space="preserve">Quema de </t>
  </si>
  <si>
    <t>Área máxima disponible para</t>
  </si>
  <si>
    <t>gestión del agua</t>
  </si>
  <si>
    <t>Área drenada (ha)</t>
  </si>
  <si>
    <t>Área no drenada o rehumedecida (ha)</t>
  </si>
  <si>
    <t>Fuego en</t>
  </si>
  <si>
    <t>Total aforestado/ reforestado en suelos orgánicos (tCO2-e)</t>
  </si>
  <si>
    <t>Áreas convertidas (ha)</t>
  </si>
  <si>
    <t>Prácticas de gestión</t>
  </si>
  <si>
    <t>Total de la gestión forestal en suelos orgánicos (tCO2e)</t>
  </si>
  <si>
    <t>Áreas de usos de la tierra (ha)</t>
  </si>
  <si>
    <t>Tipo de turba</t>
  </si>
  <si>
    <t>Área de extracción de turba (ha)</t>
  </si>
  <si>
    <t>Profundidad de extracción (ha)</t>
  </si>
  <si>
    <t>Cantidad de turba producida (toneladas/ año)</t>
  </si>
  <si>
    <t>Reserva de C en la biomasa del uso de la tierra final  (aerea + subterranea)</t>
  </si>
  <si>
    <t>Reserva de C en la biomasa del uso de la tierra inicial  (aerea + subterranea)</t>
  </si>
  <si>
    <t>Tipo de fuego</t>
  </si>
  <si>
    <t>Materia seca media</t>
  </si>
  <si>
    <t>Factor de emisión fuego</t>
  </si>
  <si>
    <t>Densidad de la turba</t>
  </si>
  <si>
    <t>Emisiones de CO2 del uso de la turba</t>
  </si>
  <si>
    <t>Uso de energia?*</t>
  </si>
  <si>
    <t>Factor de emisión CH4 de los cuerpos de agua</t>
  </si>
  <si>
    <t>Media anual [Chlo.a]</t>
  </si>
  <si>
    <t>* Si afirmativo, es automaticamente contabilizadfo en el módulo 9 - insumos</t>
  </si>
  <si>
    <t>9.1 INSUMOS (encalado, fertilizantes, pesticidas)</t>
  </si>
  <si>
    <t>Piedra caliza (toneladas por año)</t>
  </si>
  <si>
    <t>Dolomita (toneladas por año)</t>
  </si>
  <si>
    <t>Urea (toneladas de urea por año)</t>
  </si>
  <si>
    <t>Aguas residuales (toneladas de N por año)</t>
  </si>
  <si>
    <t>Compost (toneladas de N por año)</t>
  </si>
  <si>
    <t>Residuos de reciclaje, residuos de cervecería, guano (toneladas de N por año)</t>
  </si>
  <si>
    <t>Fungicidas (toneladas de ingrediente activo)</t>
  </si>
  <si>
    <t>Herbicidas (toneladas de ingrediente activo)</t>
  </si>
  <si>
    <t>Insecticidas (toneladas de ingrediente activo)</t>
  </si>
  <si>
    <t>9.2 CONSUMO DE ENERGÍA (electricidad, combustible,...) excepto riego, i.e. Ver sección a continuación</t>
  </si>
  <si>
    <t>9.3 RIEGO</t>
  </si>
  <si>
    <t>Necesidad bruta de agua de riego</t>
  </si>
  <si>
    <t>(en mm/año)</t>
  </si>
  <si>
    <t>9.4 INFRAESTRUCTURAS Y CARRETERAS</t>
  </si>
  <si>
    <t>Alimento para ganado (en toneladas por año)</t>
  </si>
  <si>
    <t xml:space="preserve">Para obtener consejos sobre el cálculo de la necesidad bruta de agua, consulte la pestaña: </t>
  </si>
  <si>
    <t>Asegure que el alimento para ganado no proviene de actividades agricolas que ya han sido contabilizadas dentro del proyecto.</t>
  </si>
  <si>
    <t>Fuente del Factor de emisión</t>
  </si>
  <si>
    <t>¿Contabilizar las emisiones de CO2?</t>
  </si>
  <si>
    <t>Características de la bomba</t>
  </si>
  <si>
    <t>Área excavada (ha)</t>
  </si>
  <si>
    <t>Área máxima disponible para drenaje</t>
  </si>
  <si>
    <t>Para cuerpos de agua en humedales interiores, visite el módulo Humedales interiores</t>
  </si>
  <si>
    <t>Total para cuerpos de agua costeros (tCO2-e)</t>
  </si>
  <si>
    <t>Factor de emisión drenaje (tC/ha/año)</t>
  </si>
  <si>
    <t>Salinidad media</t>
  </si>
  <si>
    <t>EF CO2 (tC/ha/año)</t>
  </si>
  <si>
    <t>EF CH4 (kgCH4/ha/año)</t>
  </si>
  <si>
    <t>Pesca</t>
  </si>
  <si>
    <t>8.1 Pesca artesanal (marina e interior)</t>
  </si>
  <si>
    <t>8.2 Pesca industrial (marina)</t>
  </si>
  <si>
    <t>8.3 Acuicultura interior y costera</t>
  </si>
  <si>
    <t xml:space="preserve">El módulo 9. Insumos e inversiones puede usarse para complementar esta sección </t>
  </si>
  <si>
    <t>Operaciones pesqueras (basadas en los valores de la intensidad de uso de combustible (FUI))</t>
  </si>
  <si>
    <t>Tipo de pesca</t>
  </si>
  <si>
    <t>Categoría de arte de pesca</t>
  </si>
  <si>
    <t>% con sistemas de refrigeración</t>
  </si>
  <si>
    <t>Cambios en la gestión de la FUI (litro/tonelada)</t>
  </si>
  <si>
    <t>Capturas totales por año (tonelada/año)</t>
  </si>
  <si>
    <t xml:space="preserve">La FUI es la cantidad de carburante necesario para  </t>
  </si>
  <si>
    <t>desembarcar 1 tonelada de captura</t>
  </si>
  <si>
    <t>Fugas a bordo de los sistemas de refrigeración</t>
  </si>
  <si>
    <t>Capturas totales con sistemas de refrigeración</t>
  </si>
  <si>
    <t>Emisiones de la producción de hielo en tierra</t>
  </si>
  <si>
    <t>% de las capturas totales preservadas con hielo producido en tierra</t>
  </si>
  <si>
    <t>Total de capturas artesanales y costeras</t>
  </si>
  <si>
    <t>Total para pesca artesanal (tCO2-e)</t>
  </si>
  <si>
    <t>Potencial de calentamiento global de los refrigerantes</t>
  </si>
  <si>
    <t>Categoria de pescado</t>
  </si>
  <si>
    <t>Total de capturas costeras</t>
  </si>
  <si>
    <t>Total para pesca industrial (tCO2-e)</t>
  </si>
  <si>
    <t xml:space="preserve">Emisiones de la producción y alimentos </t>
  </si>
  <si>
    <t>Cantidad anual de alimento (toneladas/año)</t>
  </si>
  <si>
    <t>Producción anual (toneladas/año)</t>
  </si>
  <si>
    <t>Facotr de emisión (tCO2-e/m3)</t>
  </si>
  <si>
    <t>Factor de emisión (tCO2-e/tonelada de captura)</t>
  </si>
  <si>
    <t>Refrigerante perdido por tonelada de captura desembarcada</t>
  </si>
  <si>
    <t>Cantidad perdida (kg de refrigerante)</t>
  </si>
  <si>
    <t>tCO2-e/ tonelada de captura</t>
  </si>
  <si>
    <t>Cantidad  (KWh/ tonelada hielo)</t>
  </si>
  <si>
    <t>Consumo total de combustible (m3/año)</t>
  </si>
  <si>
    <t>Cantidad (tonelada)</t>
  </si>
  <si>
    <t>Cantidad de hielo (tonelada) por tonelada de captura</t>
  </si>
  <si>
    <t>Electricidad (KWh) usado por tonelada de hielo</t>
  </si>
  <si>
    <t>País de origen de la producción de hielo</t>
  </si>
  <si>
    <t>CMNUCC margen de operación</t>
  </si>
  <si>
    <t>Gasoil / diesel</t>
  </si>
  <si>
    <t>Emisiones del uso de alimento</t>
  </si>
  <si>
    <t>(tCO2-e/ toneladas de alimentos)</t>
  </si>
  <si>
    <t>N2O FE de la producción de pescado</t>
  </si>
  <si>
    <t>(tN2O-N/ tonelada producción)</t>
  </si>
  <si>
    <t>Resumen del análisis de GEI</t>
  </si>
  <si>
    <t>Flujos netos, en tCO2-e</t>
  </si>
  <si>
    <t>RESULTADOS DETALLADOS</t>
  </si>
  <si>
    <t>FLUJOS BRUTOS</t>
  </si>
  <si>
    <t>en tCO2-e sobre todo el periodo de análisis</t>
  </si>
  <si>
    <t>en tCO2/año</t>
  </si>
  <si>
    <t xml:space="preserve">PORCIÓN DEL BALANCE POR GEI </t>
  </si>
  <si>
    <t>EMISIONES ANUALES MEDIAS</t>
  </si>
  <si>
    <t>Potencial de calentamiento global</t>
  </si>
  <si>
    <t>Suelo mineral</t>
  </si>
  <si>
    <t>Suelo orgánico</t>
  </si>
  <si>
    <t>Cuerpos de agua</t>
  </si>
  <si>
    <t>COMPONENTES DEL PROYECTO</t>
  </si>
  <si>
    <t>Deforestación</t>
  </si>
  <si>
    <t>Af/ Reforestación</t>
  </si>
  <si>
    <t>Otros usos de la tierra</t>
  </si>
  <si>
    <t>Anuales</t>
  </si>
  <si>
    <t>Perennes</t>
  </si>
  <si>
    <t>Arroz inundado</t>
  </si>
  <si>
    <t>Pastizales</t>
  </si>
  <si>
    <t>Ganadería</t>
  </si>
  <si>
    <t>Gestión Forestal</t>
  </si>
  <si>
    <t>huedales interiores</t>
  </si>
  <si>
    <t>Humedales costeros</t>
  </si>
  <si>
    <t>Pesca y acuicultura</t>
  </si>
  <si>
    <t>Insumos e inversiones</t>
  </si>
  <si>
    <t>Cambios en los usos de la tierra</t>
  </si>
  <si>
    <t>Cultivos</t>
  </si>
  <si>
    <t>Pastizales y ganadería</t>
  </si>
  <si>
    <t>Emisiones totales, tCO2-e</t>
  </si>
  <si>
    <t>Emisiones totales, tCO2-e/año</t>
  </si>
  <si>
    <t>Emisiones totales, tCO2-e/ha/año</t>
  </si>
  <si>
    <t>+ = fuente / - = sumidero</t>
  </si>
  <si>
    <t>Los resultados presentados aquí incluyen los flujos de GEI en suelos minerales y orgánicos</t>
  </si>
  <si>
    <t>Mire abajo para los resultados detallados en suelos orgánicos</t>
  </si>
  <si>
    <t>*Incluye pesca, acuicultura e insumos e inversiones no incluidas en la definición de AFOLU</t>
  </si>
  <si>
    <t>CO2 BIOMASA</t>
  </si>
  <si>
    <t>CO2 SUELO</t>
  </si>
  <si>
    <t>TODAS LAS EMISIONES NO AFOLU</t>
  </si>
  <si>
    <t>SIN</t>
  </si>
  <si>
    <t>CON</t>
  </si>
  <si>
    <t>Balance de carbono, en tCO2-e</t>
  </si>
  <si>
    <t>Porción del balance por GEI</t>
  </si>
  <si>
    <t>Balance anual de carbono, en tCO2-e</t>
  </si>
  <si>
    <t>Balance anual de carbono acumulado, en tCO2-e</t>
  </si>
  <si>
    <t>Balance anual de carbono</t>
  </si>
  <si>
    <t>Balance de carbono acumulativo</t>
  </si>
  <si>
    <t>*Por favor tenga en cuenta que los valores anuales representan una aproximación de los flujos anuales reales.</t>
  </si>
  <si>
    <t>MATRIZ DE CAMBIOS DETALLADA PARA SUELO MINERALES</t>
  </si>
  <si>
    <t>SIN PROYECTO</t>
  </si>
  <si>
    <t>Bosque</t>
  </si>
  <si>
    <t>Cultivos anuales</t>
  </si>
  <si>
    <t>Agroforestería</t>
  </si>
  <si>
    <t>Tierra degradada</t>
  </si>
  <si>
    <t>Otras tierras</t>
  </si>
  <si>
    <t>Área total sin proyecto (ha)</t>
  </si>
  <si>
    <t>CON PROYECTO</t>
  </si>
  <si>
    <t>Área total con proyecto (ha)</t>
  </si>
  <si>
    <t>Cultivos Anuales</t>
  </si>
  <si>
    <t>Cultivos perennes</t>
  </si>
  <si>
    <t>RESULTADOS DETALLADOS PARA SUELOS ORGÁNICOS</t>
  </si>
  <si>
    <t>FUEGO</t>
  </si>
  <si>
    <t>Porción del balance por actividad</t>
  </si>
  <si>
    <t>Flujos brutos sin proyecto, en tCO2-e</t>
  </si>
  <si>
    <t>Flujos brutos con proyecto, en tCO2-e</t>
  </si>
  <si>
    <t xml:space="preserve">MATRIZ DE CAMBIOS DETALLADA PARA SUELOS MINERALES </t>
  </si>
  <si>
    <t>Nivel de incertidumbre</t>
  </si>
  <si>
    <t>tCO2-e/año</t>
  </si>
  <si>
    <t>Porcentaje</t>
  </si>
  <si>
    <t>Representa un área que se ha gestionado de forma continua para cultivos predominantemente anuales durante 50 años.</t>
  </si>
  <si>
    <t>Cultivos arbóreos perennes de larga duración, como los árboles frutales y los frutos secos, el café y el cacao.</t>
  </si>
  <si>
    <t>Alteración sustancial del suelo con inversión total y/o operaciones de laboreo frecuentes (en un año).  En el momento de la siembra, una pequeña parte (por ejemplo, &lt;30%) de la superficie está cubierta por residuos.</t>
  </si>
  <si>
    <t>Labranza primaria y/o secundaria, pero con una alteración reducida del suelo (normalmente poco profunda y sin inversión total del suelo). Normalmente en el momento de la siembra, la superficie contiene una cobertura de residuos superior al 30%.</t>
  </si>
  <si>
    <t>Siembra directa sin laboreo primario, con una mínima alteración del suelo en la zona de siembra.  Normalmente se utilizan herbicidas para el control de las malas hierbas.</t>
  </si>
  <si>
    <t>Los sistemas de cultivo de bajo aporte de C se definen por una de las siguientes condiciones 
(1) Los residuos de los cultivos anuales se eliminan o se queman sin utilizar enmiendas orgánicas (por ejemplo, estiércol) o 
(2) Se realizan cultivos de bajo rendimiento de residuos (p. ej., algodón, maíz verde, hortalizas, tabaco) o una rotación frecuente con barbecho desnudo sin enmiendas orgánicas, cultivos de cobertura/abonos verdes y sistemas mixtos de cultivos y pastos o 
(3) Cultivos anuales sin fertilización mineral o cultivos fijadores de N sin riego, cultivos de cobertura/abonos verdes, barbechos con vegetación, cultivos de alto rendimiento de residuos y sistemas mixtos de cultivos y pastos</t>
  </si>
  <si>
    <t>Los sistemas de cultivo con aportes medios de C se definen por una de las siguientes condiciones 
(1) cultivos anuales con cereales en los que todos los residuos de los cultivos se devuelven al campo; o 
(2) los residuos de los cultivos anuales se eliminan o se queman PERO se aplican enmiendas orgánicas (por ejemplo, estiércol) o 
(3) se realizan cultivos de bajo residuo (p. ej. algodón, maíz verde, hortalizas, tabaco) o rotación frecuente con barbecho desnudo PERO utilizando prácticas que aumentan el aporte de C por encima de las variedades de bajo residuo, como el uso de enmiendas orgánicas, cultivos de cobertura/abonos verdes y sistemas mixtos de cultivos y pastos o 
(4) cultivos anuales sin fertilización mineral o cultivos fijadores de N, PERO utilizando prácticas que aumenten el aporte de C mediante la mejora de la producción de residuos, como el riego, los cultivos de cobertura/abonos verdes, los barbechos con vegetación, el alto rendimiento de los residuos.</t>
  </si>
  <si>
    <t xml:space="preserve">Los residuos de los cultivos anuales no se eliminan ni se queman. Representa un aporte de residuos de cultivos significativamente mayor que el de los sistemas de cultivo con aportes medios de C debido a prácticas adicionales, como la producción de cultivos con alto rendimiento de residuos, el uso de abonos verdes, los cultivos de cobertura, los barbechos con vegetación mejorada, el riego, el uso frecuente de hierbas perennes en las rotaciones de cultivos anuales, pero sin aplicar estiércol. </t>
  </si>
  <si>
    <t xml:space="preserve">Representa una aportación de C significativamente mayor que los sistemas de cultivo con aportación media de C debido a una práctica adicional de adición regular de estiércol animal. </t>
  </si>
  <si>
    <t>Los residuos de los cultivos se dejan en el terreno para que se descompongan y se reincorporen al suelo del cultivo. La retención de residuos suele estar asociada a las prácticas de labranza reducida o sin labranza.</t>
  </si>
  <si>
    <t>Los residuos de las cosechas se retiran del campo para utilizarlos en otras actividades (por ejemplo, alimentación o producción de energía). </t>
  </si>
  <si>
    <t>Los residuos de las cosechas se queman.</t>
  </si>
  <si>
    <t>Tierra en reposo del cultivo, pero que comprende árboles plantados y gestionados, a menudo leguminosas, arbustos y cultivos herbáceos de cobertura antes de volver a ser cultivada. Incluye los barbechos mejorados y naturales, y puede aplicarse antes de cualquiera de los siguientes sistemas.</t>
  </si>
  <si>
    <t>Plantación lineal alrededor de los campos, incluyendo cinturones de protección, cortavientos, plantaciones en los límites y cercas vivas.</t>
  </si>
  <si>
    <t>Especies leñosas (principalmente arbustos) de crecimiento rápido, generalmente leguminosas, que se cultivan en los campos de cultivo, normalmente en altas densidades. Las especies leñosas se podan con regularidad y los restos de la poda se aplican como mantillo en los callejones como fuente de materia orgánica y nutrientes. También se conoce como cultivo intercalado.</t>
  </si>
  <si>
    <t>Combinaciones de varios árboles y cultivos perennes y anuales. Incluyen los huertos domésticos y los agroforestales.</t>
  </si>
  <si>
    <t>Intercalación de cultivos agrícolas o pastos bajo árboles maduros dispersos de baja densidad.  Típico de zonas secas como el Sahel (por ejemplo, Faidherbia albida).</t>
  </si>
  <si>
    <t>Cultivar especies tolerantes a la sombra, como el cacao y el café, debajo o entre los árboles de sombra que pueden utilizarse para obtener madera u otros productos arbóreos comerciales.</t>
  </si>
  <si>
    <t>Especies leñosas plantadas en hileras paralelas para permitir la mecanización e intercaladas con un cultivo anual; normalmente se utilizan para la madera (p. ej. Juglans spp), pero también como combustible (p. ej. Populus spp). Suele tener una baja densidad de árboles por hectárea.</t>
  </si>
  <si>
    <t>Especies leñosas plantadas en praderas permanentes, a menudo pastoreadas.</t>
  </si>
  <si>
    <t>Los campos se inundan durante un periodo de tiempo considerable y el régimen hídrico está totalmente controlado.</t>
  </si>
  <si>
    <t>Los campos tienen agua estancada durante toda la temporada de cultivo de arroz y sólo pueden secarse para el drenaje de final de temporada de la cosecha. El arroz se cultiva en condiciones de inundación continua, pero a veces se incluye un drenaje de final de temporada antes de la cosecha de arroz.</t>
  </si>
  <si>
    <t>Los campos tienen un único evento y período de drenaje durante la temporada de cultivo en cualquier etapa de crecimiento, además del drenaje de final de temporada. Se adopta un drenaje de mitad de temporada y un drenaje de final de temporada durante toda la temporada de cultivo de arroz.</t>
  </si>
  <si>
    <t>Los campos tienen más de un evento de drenaje y un periodo de tiempo sin condiciones de inundación durante la temporada de cultivo, además de un drenaje al final de la temporada, incluyendo el humedecimiento y secado alterno (AWD). También se denomina "riego intermitente", en el que el número de eventos de drenaje no está claro, pero hay más de un evento durante la temporada de cultivo.</t>
  </si>
  <si>
    <t>Los campos se inundan durante un periodo de tiempo considerable con regímenes hídricos que dependen únicamente de las precipitaciones.</t>
  </si>
  <si>
    <t>El cultivo de arroz que depende de la lluvia para obtener agua, en este caso el campo es propenso a las inundaciones durante la temporada de cultivo de arroz. El nivel del agua puede subir hasta 50 cm durante la temporada de cultivo.</t>
  </si>
  <si>
    <t>El cultivo de arroz, que depende de la lluvia para obtener agua, en este caso el campo es propenso a la sequía durante la temporada de cultivo de arroz. Los periodos de sequía se producen durante todas las temporadas de cultivo.</t>
  </si>
  <si>
    <t>El nivel del agua se eleva a más de 50 cm por encima del suelo durante un periodo de tiempo significativo durante la temporada de cultivo.</t>
  </si>
  <si>
    <t>Se supone que los campos de arroz permanentemente inundados tienen un régimen hídrico de pretemporada de "pretemporada inundada". El arroz tardío (por ejemplo, en China) suele plantarse inmediatamente después del arroz temprano en el mismo campo y, por tanto, se considera que tiene un régimen hídrico de pretemporada de "pretemporada inundada".</t>
  </si>
  <si>
    <t>Si el arroz se planta una vez al año y el campo no se inunda en la temporada de cultivo sin arroz, el régimen hídrico de pretemporada se clasifica como "pretemporada no inundada &gt;180 d".</t>
  </si>
  <si>
    <t>El arroz se siembra más de una vez al año, pero hay más de un mes de barbecho entre las dos temporadas, "pretemporada no inundada &lt;180 d" suele implicar el drenaje de pretemporada.</t>
  </si>
  <si>
    <t>Se refiere al número de veces que se cosecha el arroz al año. Por defecto 1.</t>
  </si>
  <si>
    <t>La paja aplicada justo antes del trasplante de arroz se considera de temporada; la paja que se deja en la superficie del suelo en la temporada de barbecho y se incorpora al suelo antes del siguiente trasplante de arroz también se clasifica como "paja incorporada poco tiempo (&lt;30 días) antes del cultivo". La cantidad de paja devuelta se expresa en peso seco (t ha-1).</t>
  </si>
  <si>
    <t>La paja incorporada a los suelos en la temporada anterior (cultivo en tierras altas o barbecho) se clasifica como "paja incorporada mucho tiempo (&gt;30 días) antes del cultivo".  La cantidad de paja devuelta se expresa en peso seco (t ha-1).</t>
  </si>
  <si>
    <t>Sistemas de productividad</t>
  </si>
  <si>
    <t>Vacas maduras (de primera lactancia en adelante) que producen leche en cantidades comerciales para el consumo. La población de vacas lecheras no debe confundirse con las vacas polivalentes que pueden utilizarse para más de un propósito de producción: leche, carne o tiro.</t>
  </si>
  <si>
    <t>Vacas lecheras de alto rendimiento que se concentran en sistemas de producción en confinamiento o en pastos de alta calidad con suplementos. Las explotaciones están orientadas al 100% al mercado para la producción comercial de leche, para los mercados nacionales y/o la exportación; el ganado de raza pura o cruzada se mejora genéticamente mediante la cría selectiva para la producción de leche.</t>
  </si>
  <si>
    <t>Vacas lecheras de bajo rendimiento, que pastan en pastos no mejorados y utilizan forraje producido localmente (por ejemplo, residuos de cultivos) y subproductos agroindustriales. Las razas locales o las vacas cruzadas se crían localmente, sin una selección intensiva para la productividad de la leche. La producción de leche se destina principalmente al mercado local y al consumo local.</t>
  </si>
  <si>
    <t>Se basa en sistemas de alimentación animal que utilizan forraje (por ejemplo, hierba de alta calidad) y concentrados en sistemas de producción en confinamiento o en pastoreo con suplementos o en pastos mejorados, produciendo altas tasas de aumento de peso diario. Los animales pueden ser de raza pura o cruzados y se mejoran genéticamente mediante la cría selectiva para mejorar la producción comercial de carne. El ganado en crecimiento puede terminarse en sistemas de "pastoreo intensivo con suplementos" o en corrales de engorde, y la carne se produce para los mercados nacionales y/o la exportación.</t>
  </si>
  <si>
    <t>Se basa en sistemas de alimentación animal en los que los forrajes producidos localmente (por ejemplo, residuos de cultivos) o los pastizales de baja calidad representan la principal fuente de alimentación utilizada, produciendo bajas tasas de aumento de peso diario. Los animales pueden estar representados por razas locales o pueden ser cruzados y también pueden ser utilizados para múltiples propósitos como el tiro, la carne y la leche para el autoconsumo y los mercados.</t>
  </si>
  <si>
    <t>Están orientados al 100 por cien al mercado, con un alto nivel de requisitos de insumos de capital y un alto nivel de rendimiento general del rebaño. Los piensos se compran en el mercado local o internacional o se producen de forma intensiva en la explotación. Los animales se mejoran mediante prácticas de cría para la producción comercial. Los sistemas de alta productividad son comunes en la producción porcina, avícola, caprina y ovina.</t>
  </si>
  <si>
    <t>Se rigen principalmente por el mercado local o por el autoconsumo, con bajos requisitos de insumos de capital y bajo nivel de rendimiento general del rebaño (de aves), utilizando normalmente grandes áreas para la producción o patios traseros. Los piensos producidos localmente representan la principal fuente de alimentación utilizada o los animales se mantienen en libertad durante la mayor parte o la totalidad de su ciclo de producción, estando el rendimiento de la actividad ligado a la fertilidad natural de la tierra y a la producción estacional de los pastos. Los sistemas de baja productividad son habituales en la producción porcina, avícola, caprina y ovina.</t>
  </si>
  <si>
    <t>Ganado Vacuno: Sector lechero comercializado altamente productivo que se alimenta de forraje y grano de alta calidad. Rebaño de vacas de carne separado, principalmente en pastoreo con suplementos alimenticios estacionales. Novillos/novillas de carne de crecimiento rápido que se alimentan de grano en los cebaderos. Las vacas lecheras constituyen una pequeña parte de la población. No hay rebaños de búfalos, pero se pueden criar bisontes americanos.</t>
  </si>
  <si>
    <t>Ganado Vacuno: Sector lechero comercializado muy productivo que se alimenta de forraje y grano de alta calidad. Las vacas lecheras también se utilizan para la producción de terneros de carne. Un rebaño de vacas de carne muy pequeño. Pequeña cantidad de alimentación en corrales de engorde con granos.
Búfalos: El sistema de cría de búfalos es exclusivamente intensivo. Los concentrados se utilizan en gran medida sólo durante la fase de lactancia. Los animales se mantienen en potreros, las prácticas de pastoreo no están extendidas.</t>
  </si>
  <si>
    <t>Ganado Vacuno: Alimentación del sector lácteo comercializada a base de forrajes y granos. Rebaño separado de vacas de carne, principalmente de pastoreo. Pequeña parte de la alimentación de los cebaderos con granos.
Búfalos: Sector de búfalos comercializado que se alimenta principalmente con forrajes. Los búfalos se gestionan según sus categorías. Los animales se mantienen en un prado y se atan durante el invierno; en verano se les permite pastar.</t>
  </si>
  <si>
    <t>Ganado Vacuno: Sector lácteo comercializado basado en el pastoreo. Rebaño separado de vacas de carne, que pastan principalmente en pastizales y zonas de montaña de calidad muy variable. Creciente alimentación en cebaderos con cereales. Las vacas lecheras constituyen una pequeña parte de la población. No hay rebaño de búfalos.</t>
  </si>
  <si>
    <t>Ganado Vacuno: Sector lácteo comercializado basado en el pastoreo. Rebaño separado de vacas de carne que pastan en prados y pastizales. Pequeña parte de la alimentación en cebaderos con granos. El ganado no lechero en crecimiento constituye una gran parte de la población.
Búfalos: La cría de búfalos se basa en sistemas extensivos en pastos nativos o cultivados en tierras bajas y altas, casi siempre sin suministro de alimentos concentrados. La producción de leche se basa en los pastos con frecuentes suplementos de forraje (caña de azúcar, ensilado, etc.), con predominio de un solo ordeño.</t>
  </si>
  <si>
    <t>Ganado Vacuno: El sector lácteo comercializado está experimentando cambios fundamentales debido al creciente número de grandes explotaciones con un sistema de producción intensivo basado en cereales y forraje. El ganado que se mantiene en los sistemas de producción tradicionales es polivalente y proporciona fuerza de tiro y algo de leche en las regiones agrícolas. Los bovinos de todo tipo son más pequeños que los de la mayoría de las demás regiones.
Búfalos: Los búfalos son generalmente de tipo pantanoso. Los pequeños agricultores los crían como fuente de fuerza de tiro. Los animales suelen pastar en el campo y se alimentan de productos residuales de la agricultura. La producción de leche por vaca es baja. Sin embargo, la cría de búfalos lecheros se está desarrollando rápidamente en las zonas rurales de Asia.</t>
  </si>
  <si>
    <t>Ganado Vacuno: Sector lácteo comercializado basado en el pastoreo con una baja producción por vaca. La mayoría de los bovinos son polivalentes y proporcionan fuerza de tiro y algo de leche en las regiones agrícolas. Algunas vacas pastan en zonas muy extensas. El ganado es más pequeño que el de la mayoría de las regiones.
Búfalos: El sector del búfalo a pequeña escala está bien integrado en las tierras de cultivo. Los animales se crían con fines múltiples. La alimentación depende principalmente de los forrajes y los residuos de los cultivos. Pequeñas explotaciones comerciales de búfalos lecheros se alimentan con una mezcla de piensos concentrados.</t>
  </si>
  <si>
    <t>Ganado Vacuno: La mayor parte de la población bovina sigue siendo mantenida por pequeños propietarios en los sistemas de producción tradicionales. Los animales se alimentan principalmente de los residuos de los cultivos y se pastorean. La mayoría de los animales son de doble propósito. A diferencia de las pequeñas explotaciones, el sector lácteo comercial suele ser intensivo y se basa principalmente en los piensos compuestos y los cereales.
Búfalos: El sistema de cría de búfalos se basa principalmente en los pequeños propietarios que crían animales para obtener carne, leche y tiro. Los animales se alimentan mediante el pastoreo. El sector del búfalo comercializado es menor y se alimenta con forraje y concentrado.</t>
  </si>
  <si>
    <t>Ganado Vacuno: El sector lácteo comercializado se basa en la alimentación con subproductos de los cultivos, con una baja producción por vaca. La mayoría de los bueyes proporcionan fuerza de tiro y las vacas proporcionan algo de leche en las regiones agrícolas. El ganado de esta región es el más pequeño en comparación con el de las demás regiones.
Búfalos: El sector de los búfalos de los pequeños agricultores se alimenta de forrajes bastos de baja calidad y de residuos de cultivos. Los búfalos pastan principalmente en libertad. Los animales lecheros se alimentan con concentrados durante los últimos meses de gestación. La producción de leche y carne están íntimamente relacionadas. Los animales se utilizan como fuerza de tiro. El sector del búfalo, poco comercializado, proporciona a los animales una ración equilibrada.</t>
  </si>
  <si>
    <t>El estiércol de los animales de pastoreo y de las praderas se deja reposar tal y como se deposita, y no se gestiona.</t>
  </si>
  <si>
    <t>El estiércol se retira rutinariamente de una instalación de confinamiento y se aplica a las tierras de cultivo o a los pastos en las 24 horas siguientes a su excreción.</t>
  </si>
  <si>
    <t>El almacenamiento de estiércol, normalmente durante un periodo de varios meses, en montones o pilas no confinados. El estiércol puede apilarse gracias a la presencia de una cantidad suficiente de material de cama o a la pérdida de humedad por evaporación</t>
  </si>
  <si>
    <t>Un área de confinamiento abierta, pavimentada o no, sin ninguna cubierta vegetal significativa. Los lotes secos no requieren la adición de cama para controlar la humedad. El estiércol puede retirarse periódicamente y esparcirse por los campos.</t>
  </si>
  <si>
    <t>El estiércol se almacena tal y como se excreta o con una mínima adición de agua o material de cama en tanques o estanques fuera del alojamiento de los animales. El estiércol se retira y se esparce por los campos una o varias veces al año. El estiércol se agita antes de sacarlo del tanque/estanque para garantizar que la mayor parte de los VS se eliminan del tanque..</t>
  </si>
  <si>
    <t>Un tipo de sistema de almacenamiento de líquidos diseñado y operado para combinar la estabilización y el almacenamiento de residuos. Las lagunas tienen una profundidad menor y una superficie mucho mayor en comparación con los almacenes de lodos líquidos. Las lagunas anaeróbicas se diseñan con duraciones variables de almacenamiento (hasta un año o más), dependiendo de la región climática, la tasa de carga de sólidos volátiles y otros factores operativos. El agua sobrenadante de la laguna puede reciclarse como agua de lavado o utilizarse para regar y fertilizar los campos.</t>
  </si>
  <si>
    <t>Recogida y almacenamiento de estiércol, normalmente con poca o ninguna agua añadida, por lo general debajo de un suelo de rejilla en una instalación cerrada de confinamiento de animales, normalmente por períodos inferiores a un año. El estiércol puede ser bombeado a un tanque de almacenamiento secundario varias veces en un año, o almacenado y aplicado directamente a los campos. Se supone que los índices de eliminación de VS al vaciar el tanque son superiores al 90%.</t>
  </si>
  <si>
    <t>Fermentación anaeróbica de purines y/o sólidos. El biogás se captura y se quema o se utiliza como combustible.</t>
  </si>
  <si>
    <t>El estiércol y la orina se excretan en los campos. Las tortas de estiércol secadas al sol se queman como combustible</t>
  </si>
  <si>
    <t>Mezcla de excrementos y agua de lavado, almacenada dentro de la nave ganadera, normalmente debajo de los animales confinados</t>
  </si>
  <si>
    <t>Similar a la cama profunda para ganado vacuno y porcino, excepto que normalmente no se combina con un lote seco o un pasto. Se utiliza normalmente para todas las manadas de reproductoras de aves de corral, para sistemas alternativos para ponedoras y para la producción de pollos de carne (broilers) y otras aves de corral. La cama y el estiércol se dejan en su sitio con la cama añadida durante el ciclo de producción de las aves de corral y se limpian entre los ciclos de las aves de corral, normalmente de 5 a 9 semanas en los sistemas productivos y más en los sistemas de menor productividad.</t>
  </si>
  <si>
    <t>Oxidación biológica de un residuo sólido, incluido el estiércol, generalmente con cama u otra fuente de carbono orgánico, normalmente a temperaturas termófilas producidas por la producción de calor microbiano.</t>
  </si>
  <si>
    <t>Implica una importante pérdida a largo plazo de la productividad y de la cubierta vegetal, debido a los graves daños mecánicos sufridos por la vegetación y/o a la fuerte erosión del suelo.</t>
  </si>
  <si>
    <t>Representa sistemas de pastoreo de alta intensidad (o corte y eliminación de la vegetación) con cambios en la composición de la vegetación y posiblemente en la productividad, pero no está gravemente degradada.</t>
  </si>
  <si>
    <t>Representa regímenes de pastoreo de intensidad baja o media, además de la tala periódica y la eliminación de la vegetación sobre el suelo, sin mejoras significativas en la gestión.</t>
  </si>
  <si>
    <t>Representa los pastizales gestionados de forma sostenible con una presión de pastoreo de ligera a moderada (o corte y eliminación de la vegetación) y que reciben al menos una mejora (por ejemplo, fertilización, mejora de las especies, riego).</t>
  </si>
  <si>
    <t>Se aplica a las praderas mejoradas en las que no se han utilizado insumos de gestión adicionales.</t>
  </si>
  <si>
    <t>Se aplica a los pastizales mejorados en los que se han utilizado uno o más insumos/mejoras de gestión adicionales (más allá de los requeridos para ser clasificados como pastizales mejorados).</t>
  </si>
  <si>
    <t>Potencial de calentamiento global a lo largo de 100 años del Segundo Informe de Evaluación (SAR), Cambio Climático 1995 - La ciencia del cambio climático https://www.ipcc.ch/site/assets/uploads/2018/02/ipcc_sar_wg_I_full_report.pdf.</t>
  </si>
  <si>
    <t>Potencial de calentamiento global a lo largo de 100 años del Cuarto Informe de Evaluación (AR4), Cambio Climático 2007 - La base científica física https://www.ipcc.ch/site/assets/uploads/2018/05/ar4_wg1_full_report-1.pdf.</t>
  </si>
  <si>
    <t>Potencial de calentamiento global a lo largo de 100 años a partir del Quinto Informe de Evaluación (AR5) con retroalimentación del carbono climático, Climate Change 2013 - The physical science basis https://www.ipcc.ch/site/assets/uploads/2018/02/WG1AR5_all_final.pdf.</t>
  </si>
  <si>
    <t>Potencial de calentamiento global a lo largo de 100 años a partir del Quinto Informe de Evaluación (AR5) sin retroalimentación del carbono climático, Cambio Climático 2013 - La base científica física https://www.ipcc.ch/site/assets/uploads/2018/02/WG1AR5_all_final.pdf.</t>
  </si>
  <si>
    <t>Potencial de calentamiento global en 100 años del Sexto Informe de Evaluación (IE6), Cambio Climático 2021 - La base científica física https://www.ipcc.ch/report/ar6/wg1/. El IE6 incluye un coeficiente específico para el PCG del metano de origen fósil. En la herramienta, este coeficiente se aplica al uso energético del carbón vegetal y la turba (módulo de entradas).</t>
  </si>
  <si>
    <t>Riego de superficie sin sistema de retorno de la escorrentía</t>
  </si>
  <si>
    <t>Riego de superficie con un sistema de retorno de la escorrentía</t>
  </si>
  <si>
    <t>Riego con tubos verticales estacionarios durante toda la temporada de riego</t>
  </si>
  <si>
    <t>Riego con tubos verticales que no se pueden mover desde el momento en que se instalan</t>
  </si>
  <si>
    <t>Riego con aspersores que pueden desplazarse a lo largo de la temporada de riego. Este tipo de aspersores se suele utilizar para las extensiones de cultivo más pequeñas, ya que el desplazamiento continuo implica una alta tasa de trabajo</t>
  </si>
  <si>
    <t>Una línea de aspersión de aluminio montada sobre ruedas que riega en el lugar. En el centro de la línea se encuentra una unidad motriz accionada por un pequeño motor de gasolina. La línea de aspersión está conectada a una línea de suministro o principal mediante una manguera flexible.</t>
  </si>
  <si>
    <t>Riego por aspersión aéreo que consiste en varios segmentos de tubería, con aspersores colocados a lo largo de su longitud, unidos entre sí y soportados por cerchas, y montados en torres con ruedas. La máquina se mueve en forma circular y se alimenta con agua desde el punto de pivote en el centro del círculo</t>
  </si>
  <si>
    <t>Sistema de riego totalmente móvil. No implica la construcción de ninguna infraestructura de riego estable en el campo</t>
  </si>
  <si>
    <t>Riego por goteo de alta precisión y eficacia</t>
  </si>
  <si>
    <t>Rodales forestales de una o dos especies en el momento de la plantación, con una clase de edad uniforme y un espaciado regular. Suelen establecerse mediante plantación y/o siembra en el proceso de forestación o reforestación. Son de especies introducidas (todos los rodales plantados), o rodales de especies autóctonas gestionados de forma intensiva.</t>
  </si>
  <si>
    <t>Plantas que realizan todo su ciclo vital, desde la semilla hasta la flor y la semilla, en una sola temporada de crecimiento. Todas las raíces, tallos y hojas de la planta mueren anualmente. Sólo la semilla latente sirve de puente entre una generación y la siguiente. Las especies plurianuales no leñosas seleccionadas también se incluyen en esta categoría (por ejemplo, la caña de azúcar) siempre que su crecimiento implique un ciclo de cosecha para toda la planta.</t>
  </si>
  <si>
    <t>Incluye plantas y otras especies leñosas que persisten durante muchas temporadas de crecimiento. Por lo general, la parte superior de la planta muere cada invierno y vuelve a crecer la primavera siguiente a partir del mismo sistema de raíces.</t>
  </si>
  <si>
    <t>Se refiere únicamente a los arrozales inundados (permanentemente o parte del año), de tierras bajas. El arroz no inundado, es decir, el arroz de tierras altas o el arroz de secano puro, se considera un cultivo anual.</t>
  </si>
  <si>
    <t>El barbecho anual representa la tierra que se aparta temporalmente de la producción de cultivos anuales (por ejemplo, reservas de conservación) u otras tierras de cultivo ociosas que han sido revegetadas</t>
  </si>
  <si>
    <t>Los pastizales se definen generalmente por tener una vegetación dominada por hierbas perennes, con el pastoreo como uso predominante de la tierra.</t>
  </si>
  <si>
    <t>Las tierras degradadas son aquellas cuya vegetación nativa ha sido fuertemente perturbada. La tierra tiene niveles de biomasa y de carbono orgánico del suelo muy degradados.</t>
  </si>
  <si>
    <t>Todos los terrenos urbanizados, es decir, las infraestructuras residenciales, de transporte, comerciales y de producción de cualquier tamaño, a menos que ya estén incluidos en otras categorías de uso del suelo.</t>
  </si>
  <si>
    <t xml:space="preserve">Los suelos con minerales de arcilla de alta actividad (HAC) son suelos de ligera a moderadamente meteorizados que están dominados por
2:1 minerales de arcilla silicatada (en la clasificación de la FAO se incluyen: Vertisoles, Chernozems, Faezems, Luvisoles). </t>
  </si>
  <si>
    <t>Los suelos con minerales de arcilla de baja actividad (LAC) son suelos altamente meteorizados dominados por minerales de arcilla 1:1 y
óxidos de hierro y aluminio amorfos (en la clasificación de la FAO se incluyen: Acrisoles, Nitosoles, Ferrasoles).</t>
  </si>
  <si>
    <t>Incluye todos los suelos (independientemente de la clasificación taxonómica) que tienen &gt; 70% de arena y &lt; 8 % de arcilla (según las mediciones de textura estándar
medidas de textura estándar (en la clasificación de la FAO incluye: Arenosoles, Regosoles arenosos))</t>
  </si>
  <si>
    <t>Suelos que presentan una fuerte podzolización (en la clasificación de la FAO incluye muchos grupos podzólicos).</t>
  </si>
  <si>
    <t>Suelos formados por la meteorización de materiales volcanogénicos. La mayoría de ellos se clasifican como Andisoles.</t>
  </si>
  <si>
    <t>Esta categoría incluye los suelos que están cubiertos o saturados de agua durante todo o parte del año. Los suelos de los humedales incluyen los suelos orgánicos y los suelos minerales</t>
  </si>
  <si>
    <t>Los suelos son orgánicos si satisfacen los requisitos 1 y 2, o 1 y 3 siguientes (FAO, 1998):
1. Espesor de 10 cm o más. Un horizonte de menos de 20 cm de espesor debe tener un 12% o más de carbono orgánico
cuando se mezcla hasta una profundidad de 20 cm;
2. Si el suelo nunca está saturado de agua durante más de unos días, y contiene más del 20 por ciento (en peso) de
peso) de carbono orgánico (alrededor del 35 por ciento de materia orgánica);
3. Si el suelo está sujeto a episodios de saturación de agua y tiene
(i) Al menos un 12 por ciento (en peso) de carbono orgánico (aproximadamente un 20 por ciento de materia orgánica) si no tiene arcilla;
o
(ii) Al menos el 18 por ciento (en peso) de carbono orgánico (alrededor del 30 por ciento de materia orgánica) si tiene un 60 por ciento
o más de arcilla; o
(iii) Una cantidad intermedia y proporcional de carbono orgánico para cantidades intermedias de arcilla.</t>
  </si>
  <si>
    <t>N2O SUELO</t>
  </si>
  <si>
    <t>CH4 SUELO</t>
  </si>
  <si>
    <t>Représente une zone qui a été gérée de manière continue majoritairement pour des cultures annuelles pendant plus de 50 ans.</t>
  </si>
  <si>
    <t>Les cultures arboricoles pérennes à long terme telles que les arbres fruitiers et les arbres à noix, le café et le cacao.</t>
  </si>
  <si>
    <t>Perturbation importante du sol avec inversion totale et/ou opérations de labour fréquentes (dans l'année). Au moment de la plantation, une petite partie (par exemple, &lt;30%) de la surface est couverte de résidus.</t>
  </si>
  <si>
    <t>Travail du sol primaire et/ou secondaire mais avec une perturbation réduite du sol (généralement peu profonde et sans inversion complète du sol). Normalement, il se traduit par une surface couverte à plus de 30 % par les résidus au moment de la plantation.</t>
  </si>
  <si>
    <t>Semis direct sans travail du sol primaire, avec une perturbation minimale du sol dans la zone de semis. Les herbicides sont généralement utilisés pour lutter contre les mauvaises herbes.</t>
  </si>
  <si>
    <t xml:space="preserve">Les systèmes de culture à faible apport en carbone sont définis par l'une des conditions suivantes : 
(1) les résidus des cultures annuelles sont enlevés ou brûlés sans utiliser d'amendements organiques (par exemple, du fumier) ou 
(2) des cultures à faible rendement en résidus sont cultivées (par exemple : coton, maïs vert, légumes, tabac) ou une rotation fréquente avec une jachère nue sans amendement organique, sans culture de couverture/fumier vert et sans système mixte culture/graminées ou 
(3) des cultures annuelles sans fertilisation minérale ou des cultures à fixation d'azote sans irrigation, sans culture de couverture/fumier vert ; sans jachère végétalisée, sans culture à haut rendement en résidus et des systèmes mixtes culture/graminées.
</t>
  </si>
  <si>
    <t>Les systèmes de culture à apport moyen en carbone sont définis par l'une des conditions suivantes :
(1) culture annuelle avec céréales où tous les résidus de culture sont retournés au champ ou 
(2) les résidus des cultures annuelles sont enlevés ou brûlés MAIS des amendements organiques (par ex.
fumier) sont appliqués ou 
(3) des cultures à faible rendement résiduel sont cultivées (par ex. coton, maïs vert, légumes, tabac) ou une rotation fréquente avec jachère nue MAIS en utilisant des pratiques qui augmentent l'apport en carbone par rapport aux variétés à faibles résidus, telles que l'utilisation d'amendements organiques, des cultures de couverture/des engrais verts et des systèmes mixtes culture/herbe ou 
(4) cultures annuelles sans fertilisation minérale ou culture fixant l’azote MAIS en utilisant des pratiques qui augmentent l’apport de carbone en améliorant la production des résidus, telles que l’irrigation, les cultures de couverture/fumiers verts, les jachères végétalisées, les rendements élevés de résidus.</t>
  </si>
  <si>
    <t>Les résidus de cultures annuelles ne sont ni enlevés ni brûlés. Cela représente un apport de résidus de culture nettement plus important que des systèmes de culture à apport moyen de carbone, en raison de pratiques supplémentaires telles que la production de cultures à haut rendement de résidus, l’utilisation d’engrais verts, de cultures de couverture, de jachères améliorées, d’irrigation, et l’utilisation fréquente de graminées vivaces dans la rotation des cultures annuelles, mais sans épandage de fumier.</t>
  </si>
  <si>
    <t>Représente un apport en carbone nettement plus élevé que dans les systèmes de culture à apport moyen de carbone, en raison d'une pratique supplémentaire consistant à ajouter régulièrement du fumier animal.</t>
  </si>
  <si>
    <t>Les résidus de culture sont laissés sur le site du champ pour se décomposer et être réincorporés dans le sol de la culture. La conservation des résidus est généralement associée à des pratiques de travail réduit du sol ou de semis direct.</t>
  </si>
  <si>
    <t>Les résidus de culture sont retirés du site du champ, afin d'être utilisés pour d'autres activités (par exemple, l'alimentation, la production d'énergie).</t>
  </si>
  <si>
    <t>Les résidus de récoltes sont brûlés.</t>
  </si>
  <si>
    <t>Les terres sont mises au repos, mais comprennent des arbres plantés et gérés, souvent des légumineuses, des arbustes et des plantes de couverture herbacées avant d'être à nouveau cultivées. Comprend les jachères améliorées et naturelles et peut être mis en oeuvre avant l'un des systèmes suivants.</t>
  </si>
  <si>
    <t>Plantations linéaires autour des champs, y compris les brise-vent, les plantations de limite et les clôtures vivantes.</t>
  </si>
  <si>
    <t>Espèces ligneuses (principalement des arbustes) à croissance rapide, généralement des légumineuses, cultivées dans des champs de culture, généralement à forte densité. Les espèces ligneuses sont régulièrement taillées et les tailles sont appliquées comme paillis dans les allées comme source de matière organique et de nutriments.</t>
  </si>
  <si>
    <t>Combinaisons à plusieurs étages d'un grand nombre d'arbres divers et de cultures pérennes et annuelles. Ils comprennent les jardins familiaux et les agroforêts.</t>
  </si>
  <si>
    <t>Culture d'espèces tolérantes à l'ombre, comme le cacao, sous ou entre les arbres d'ombrage de l'étage supérieur qui peuvent être utilisés pour le bois d'oeuvre ou d'autres produits commerciaux.</t>
  </si>
  <si>
    <t>Espèces ligneuses plantées en rangées d'arbres parallèles pour permettre la mécanisation, et cultivées en intercalaire avec une culture annuelle, généralement utilisé pour le bois mais aussi pour le carburant. Faible densité d'arbres par ha.</t>
  </si>
  <si>
    <t>Espèces ligneuses plantées sur des prairies permanentes, souvent pâturées.</t>
  </si>
  <si>
    <t>Les champs sont inondés pendant une longue période et le régime d'eau est entièrement contrôlé.</t>
  </si>
  <si>
    <t>Les champs ont de l'eau stagnante pendant toute la saison de culture du riz et peuvent seulement s'assécher lors du drainage pour la récolte de fin de saison. Le riz est cultivé dans des conditions d'inondation continue, mais parfois un drainage de fin de saison avant la récolte du riz est inclus.</t>
  </si>
  <si>
    <t>Les champs ont un seul événement et une seule période de drainage pendant la saison de culture à n'importe quel stade de croissance, en plus du drainage de fin de saison. Un drainage de mi-saison et un drainage de fin de saison sont adoptés sur l'ensemble de la saison de riziculture.</t>
  </si>
  <si>
    <t>Les champs ont plus d'un événement de séchage et plus d'une période de drainage pendant la saison de culture, à n'importe quel stade de croissance, en plus du drainage de fin de saison, y compris l'alternance de mouillage et de séchage (AWD). Aussi appelé "irrigation intermittente", dans laquelle le nombre d'événements de drainage n'est pas déterminé, mais il y a plus d'un événement pendant la saison de croissance.</t>
  </si>
  <si>
    <t>Les champs sont inondés pendant une longue période avec des régimes hydriques qui dépendent uniquement des précipitations.</t>
  </si>
  <si>
    <t>Riziculture qui dépend des précipitations pour l'eau, dans ce cas le champ est inondé pendant la saison de croissance du riz. Le niveau de l'eau peut monter jusqu'à 50 cm pendant la saison de culture.</t>
  </si>
  <si>
    <t>Culture du riz qui dépend des pluies pour l'eau, dans ce cas le champ est sujet à la sécheresse pendant la saison de culture du riz. Les périodes de sécheresse surviennent à chaque saison de culture.</t>
  </si>
  <si>
    <t>Le niveau de l'eau s'élève à plus de 50 cm au-dessus du sol pendant une période significative au cours de la saison de culture.</t>
  </si>
  <si>
    <t>les rizières inondées en permanence sont supposées avoir un régime hydrique de pré-saison de "pré-saison inondée". Le riz tardif (par exemple, en Chine) est généralement planté immédiatement après le riz précoce dans la même rizière et est donc considéré
comme ayant un régime hydrique d'avant-saison de "pré-saison inondée".</t>
  </si>
  <si>
    <t>Si le riz est planté une fois par an et que le champ n'est pas inondé pendant la saison de croissance non rizicole, le régime hydrique d'avant-saison est classé comme "avant-saison non-inondée&gt; 180".</t>
  </si>
  <si>
    <t>Le riz est planté plus d'une fois par an, mais il y a plus d'un mois de jachère entre les deux saisons. Une “ pré-saison non inondée (&lt;180 jours)” implique généralement un drainage d'avant-saison.</t>
  </si>
  <si>
    <t>Désigne le nombre de fois que le riz est récolté par an. Par défaut, 1.</t>
  </si>
  <si>
    <t>Paille appliquée juste avant le repiquage du riz en cours de saison : la paille laissée à la surface du sol pendant la jachère et incorporée dans le sol avant le repiquage suivant du riz est également classée dans la catégorie “Paille incorporée peu de temps (&lt;30 jours) avant la culture”. La quantité de paille retournée est exprimée en poids sec (t ha-1)</t>
  </si>
  <si>
    <t>La paille incorporée dans les sols au cours de la saison précédente (culture de montagne ou jachère) est classée comme "paille incorporée longue (&gt;30 jours) avant la culture". La quantité de paille retournée est exprimée en poids sec (t ha-1)</t>
  </si>
  <si>
    <t>Systèmes de productivité</t>
  </si>
  <si>
    <t>Vaches adultes (à partir de la première lactation) qui produisent du lait en quantités commerciales pour la consommation ; la population de vaches laitières ne doit pas être confondue avec les vaches à usages multiples qui peuvent être utilisées pour plus d'un usage de production : lait, viande ou traite.</t>
  </si>
  <si>
    <t>Les vaches laitières à haut rendement qui sont concentrées dans des systèmes de production en confinement ou qui paissent dans des pâturages de haute qualité avec des suppléments. Les exploitations sont orientées à 100 % vers le marché pour la production laitière commerciale, pour les marchés nationaux et/ou l'exportation ; les bovins de race pure ou croisée sont génétiquement améliorés par sélection pour la production laitière.</t>
  </si>
  <si>
    <t>Les vaches laitières à faible rendement, élevées sur pâturages non améliorés et avec l'utilisation de fourrage grossier produit localement (par exemple, les résidus de culture) et de sous-produits agro-industriels. Les races locales ou les vaches croisées sont élevées localement, sans sélection intensive pour la productivité laitière. La production laitière est principalement destinée au marché local et à la consommation locale.</t>
  </si>
  <si>
    <t>Basé sur des systèmes d'alimentation animale utilisant du fourrage (par exemple de l'herbe de haute qualité) et des concentrés dans des systèmes de production en confinement ou en pâturage avec des suppléments ou sur des pâturages améliorés, produisant des taux élevés de gain de poids quotidien. Les animaux peuvent être de race pure ou croisés et sont génétiquement améliorés par sélection pour une meilleure production commerciale de viande. Les bovins en croissance peuvent être finis jeunes dans des systèmes de "pâturage intensif avec suppléments" ou de parcs d'engraissement, et la viande est produite pour les marchés nationaux et/ou l'exportation.</t>
  </si>
  <si>
    <t>Basé sur des systèmes d'alimentation animale où les fourrages grossiers produits localement (par exemple, les résidus de récolte) ou les pâturages de mauvaise qualité représentent la principale source d'alimentation utilisée, produisant de faibles taux de gain de poids quotidien. Les animaux peuvent être représentés par des races locales ou être croisés et peuvent également être utilisés à des fins multiples telles que la traction, la viande et le lait pour l'autoconsommation et les marchés.</t>
  </si>
  <si>
    <t>Sont orientés à 100 % vers le marché, avec un niveau élevé d'exigences en matière d'intrants en capital et un niveau élevé de performance globale du troupeau. Les aliments pour animaux sont achetés sur le marché local ou international ou produits de manière intensive à la ferme. Les animaux sont améliorés par des pratiques de reproduction en vue d'une production commerciale. Les systèmes à haute productivité sont courants dans la production porcine, avicole, caprine et ovine.</t>
  </si>
  <si>
    <t>Sont principalement axés sur le marché local ou sur l'autoconsommation, avec de faibles besoins en capitaux et un faible niveau de performance globale du troupeau (volaille), utilisant généralement de grandes surfaces pour la production ou des arrière-cours. Les aliments produits localement représentent la principale source d'alimentation utilisée ou les animaux sont élevés en liberté pendant une grande partie ou la totalité de leur cycle de production, le rendement de l'activité étant lié à la fertilité naturelle de la terre et à la production saisonnière des pâturages. Les systèmes à faible productivité sont courants dans la production porcine, avicole, caprine et ovine.</t>
  </si>
  <si>
    <t>Bovins : Secteur laitier commercialisé très productif, alimenté par des fourrages et des céréales de haute qualité. Troupeau de vaches de boucherie séparé, principalement au pâturage avec des compléments alimentaires saisonniers. Les bouvillons et génisses à croissance rapide sont engraissés au grain dans des parcs d'engraissement. Les vaches laitières représentent une petite partie de la population. Il n'y a pas de troupeaux de bisons, mais le bison d'Amérique peut être élevé.</t>
  </si>
  <si>
    <t>Bovins : Secteur laitier commercialisé très productif, alimenté par des fourrages et des céréales de haute qualité. Les vaches laitières sont également utilisées pour la production de veaux de boucherie. Très petit troupeau de vaches à viande. Quantité mineure d'alimentation en parc d'engraissement avec des céréales.
Bisons : Le système d'élevage de buffles est exclusivement intensif. Les concentrés sont en grande partie utilisés uniquement pendant la phase de lactation. Les animaux sont maintenus dans des enclos, les pratiques de pâturage ne sont pas répandues.</t>
  </si>
  <si>
    <t>Bovins : Alimentation du secteur laitier commercialisé basée sur les fourrages et les gains. Troupeau de vaches à viande séparé, principalement en pâturage. Alimentation en parc d'engraissement avec des céréales dans une moindre mesure.
Bisons : Secteur commercialisé de buffles alimentés principalement avec des fourrages grossiers. Les buffles sont gérés en fonction de leur catégorie. Les animaux sont maintenus en paddock et attachés pendant l'hiver, en été ils sont autorisés à paître.</t>
  </si>
  <si>
    <t>Bovins : Secteur laitier commercialisé basé sur le pâturage. Troupeau de vaches à viande séparé, qui pâture principalement des parcours5 et des collines de qualité très variable. L'alimentation des animaux en parcs d'engraissement à base de céréales est en augmentation. Les vaches laitières représentent une petite partie de la population. Pas de troupeau de buffles.</t>
  </si>
  <si>
    <t>Bovins : Secteur laitier commercialisé basé sur le pâturage. Troupeau de vaches à viande séparé qui paît dans les pâturages et les parcours. Une petite partie de l'alimentation en parc d'engraissement est constituée de céréales. Le bétail non laitier en croissance représente une grande partie de la population.
Buffle : L'élevage de buffles est basé sur des systèmes extensifs dans des pâturages naturels ou cultivés dans les basses et hautes terres, le plus souvent sans apport d'aliments concentrés. La production laitière est basée sur le pâturage avec un complément fréquent de fourrage grossier (canne à sucre, ensilage, etc.), avec une prédominance d'une seule traite.</t>
  </si>
  <si>
    <t>Bovins : Le secteur laitier commercialisé connaît des changements fondamentaux dus à l'augmentation du nombre de grandes exploitations avec un système de production intensif basé sur les céréales et le fourrage. Les bovins élevés dans des systèmes de production traditionnels sont polyvalents, fournissant une force de traction et un peu de lait dans les régions agricoles. Les bovins de tous types sont plus petits que ceux que l'on trouve dans la plupart des autres régions.
Buffle : Les buffles sont généralement de type marécageux. Les buffles sont élevés par les petits exploitants agricoles comme source de force de traction. Les animaux paissent généralement dans les champs et sont nourris de produits agricoles résiduels. Le rendement laitier par vache est faible. Néanmoins, l'élevage de buffles laitiers se développe rapidement dans les campagnes d'Asie.</t>
  </si>
  <si>
    <t>Bovins : Secteur laitier commercialisé basé sur le pâturage avec une faible production par vache. La plupart des bovins sont polyvalents, fournissant une force de traction et un peu de lait dans les régions agricoles. Certains bovins paissent sur de très grandes surfaces. Les bovins sont plus petits que ceux que l'on trouve dans la plupart des autres régions.
Le buffle : Le secteur du buffle à petite échelle est bien intégré aux terres cultivées. Les animaux sont élevés à des fins multiples. L'alimentation dépend principalement des fourrages grossiers et des résidus de récolte. De petites exploitations commerciales de buffles laitiers se nourrissent d'un mélange d'aliments concentrés.</t>
  </si>
  <si>
    <t>Bovins : La majorité du cheptel bovin est encore détenue par les petits exploitants dans les systèmes de production traditionnels. Les animaux sont nourris principalement par des résidus de culture et sont mis en pâture. La plupart des animaux sont à double usage. Contrairement aux petites exploitations, le secteur laitier commercial est généralement intensif et repose principalement sur les aliments composés et les céréales.
Buffle : Le système d'élevage de buffles repose principalement sur les petits exploitants qui élèvent des animaux pour la viande, le lait et la traction. Les animaux se nourrissent en broutant. Le secteur commercial des buffles, peu développé, utilise des fourrages et des aliments concentrés.</t>
  </si>
  <si>
    <t>Bovins : Secteur laitier commercialisé basé sur l'alimentation à base de sous-produits agricoles avec une faible production par vache. La plupart des taureaux fournissent la force de traction et les vaches fournissent un peu de lait dans les régions agricoles. Les bovins de cette région sont les plus petits par rapport aux bovins de toutes les autres régions.
Buffle : Le secteur des buffles des petits exploitants se nourrit de fourrages grossiers de mauvaise qualité et de résidus de récolte. Les buffles sont principalement en pâturage libre. Des concentrés sont donnés aux animaux laitiers pendant les derniers mois de la gestation. La production laitière et la production de viande sont intimement liées. Les animaux sont utilisés comme force de traction. Le secteur du buffle est peu commercialisé et fournit aux animaux une ration équilibrée.</t>
  </si>
  <si>
    <t>Le fumier des animaux de pâturage et de parcours est laissé en dépôt et n'est pas géré.</t>
  </si>
  <si>
    <t>Le fumier est systématiquement retiré d'une installation de confinement et est appliqué sur les terres cultivées ou les pâturages dans les 24 heures suivant son excrétion.</t>
  </si>
  <si>
    <t>Le stockage du fumier, généralement pour une période de plusieurs mois, en tas ou en piles non confinés. Le fumier peut être empilé en raison de la présence d'une quantité suffisante de litière ou de la perte d'humidité par évaporation.</t>
  </si>
  <si>
    <t xml:space="preserve">Une zone de confinement ouverte, pavée ou non, sans couverture végétale significative. Les lots secs ne nécessitent pas l'ajout de litière pour contrôler l'humidité. Le fumier peut être enlevé périodiquement et épandu sur les champs.
</t>
  </si>
  <si>
    <t>Le fumier est stocké tel qu'il est excrété ou avec un ajout minimal d'eau ou de litière dans des réservoirs ou des étangs à l'extérieur du logement des animaux. Le fumier est enlevé et épandu sur les champs une ou plusieurs fois par année civile. Le fumier est agité avant d'être retiré de la cuve/des étangs afin de s'assurer que la plupart des VS sont éliminés de la cuve.</t>
  </si>
  <si>
    <t>Un type de système de stockage de liquides conçu et exploité pour combiner la stabilisation et le stockage des déchets. Les lagunes ont une profondeur plus faible et une surface beaucoup plus grande par rapport aux stockages de boues liquides. Les lagunes anaérobies sont conçues pour des durées de stockage variables (jusqu'à un an ou plus), en fonction de la région climatique, du taux de chargement en solides volatils et d'autres facteurs opérationnels. L'eau surnageante de la lagune peut être recyclée comme eau de chasse ou utilisée pour irriguer et fertiliser les champs.</t>
  </si>
  <si>
    <t>Collecte et stockage du fumier, généralement avec peu ou pas d'eau ajoutée, sous un sol en caillebotis dans une installation fermée de confinement des animaux, généralement pour des périodes inférieures à un an. Le fumier peut être pompé du stockage vers une cuve de stockage secondaire plusieurs fois par an, ou stocké et appliqué directement dans les champs. On suppose que les taux d'élimination des VS lors de la vidange de la cuve sont &gt;90%.</t>
  </si>
  <si>
    <t>Fermentation anaérobie de boues et/ou de solides. Le biogaz est capté et brûlé ou utilisé comme combustible.</t>
  </si>
  <si>
    <t>Le fumier et l'urine sont excrétés dans les champs. Les gâteaux de bouse séchés au soleil sont brûlés comme combustible.</t>
  </si>
  <si>
    <t>Mélange d'excréments et d'eau de lavage, stocké dans le bâtiment d'élevage, généralement sous les animaux confinés.</t>
  </si>
  <si>
    <t>Similaire à la litière profonde des bovins et des porcins, sauf qu'elle n'est généralement pas associée à un terrain sec ou à un pâturage. Généralement utilisée pour tous les troupeaux de volailles de reproduction, pour les systèmes alternatifs pour les pondeuses et pour la production de poulets de chair (broilers) et d'autres volailles. La litière et le fumier sont laissés en place avec de la litière ajoutée pendant le cycle de production de la volaille et nettoyés entre les cycles de la volaille, généralement de 5 à 9 semaines dans les systèmes productifs et plus dans les systèmes à faible productivité.</t>
  </si>
  <si>
    <t>Oxydation biologique d'un déchet solide, y compris le fumier, généralement avec de la litière ou une autre source de carbone organique, généralement à des températures thermophiles produites par la production de chaleur microbienne.</t>
  </si>
  <si>
    <t>Implique une perte majeure à long terme de la productivité et du couvert végétal, due à de graves dommages mécaniques à la végétation et/ou à une forte érosion du sol.</t>
  </si>
  <si>
    <t>Représente les systèmes de pâturage à haute intensité (ou la coupe et l'enlèvement de la végétation) avec des changements dans la composition de la végétation et peut-être la productivité, mais n'est pas gravement dégradé.</t>
  </si>
  <si>
    <t>Représente des régimes de pâturage d'intensité faible ou moyenne, en plus de la coupe et de l'enlèvement périodiques de la végétation aérienne, sans amélioration significative de la gestion.</t>
  </si>
  <si>
    <t>Représente les prairies gérées durablement avec une pression de pâturage légère à modérée (ou la coupe et l'enlèvement de la végétation) et qui reçoivent au moins une amélioration (par exemple, fertilisation, amélioration des espèces, irrigation).</t>
  </si>
  <si>
    <t>S'applique aux prairies améliorées où aucun intrant de gestion supplémentaire n'a été utilisé.</t>
  </si>
  <si>
    <t>S'applique aux prairies améliorées où un ou plusieurs intrants/améliorations de gestion supplémentaires ont été utilisés (au-delà de ce qui est requis pour être classé comme prairie améliorée).</t>
  </si>
  <si>
    <t>Potentiel de réchauffement global sur 100 ans d'après la Seconde évaluation du GIEC (SAR), Changements Climatiques 1995 - La science du changement climatique https://www.ipcc.ch/site/assets/uploads/2018/05/2nd-assessment-fr.pdf</t>
  </si>
  <si>
    <t>Potentiel de réchauffement global sur 100 ans d'après le Quatrième Rapport d'évaluation du GIEC (AR4)  Changements Climatiques 2007 - Les éléments scientifiques https://www.ipcc.ch/site/assets/uploads/2020/02/ar4-wg1-sum-vol-fr.pdf</t>
  </si>
  <si>
    <t>Potentiel de réchauffement global sur 100 ans d'après le Cinquième Rapport d'évaluation du GIEC (AR5) avec rétroaction du carbone dans le climat, Changements Climatiques 2014 - Les éléments scientifiques https://www.ipcc.ch/site/assets/uploads/2018/02/WG1AR5_all_final.pdf.</t>
  </si>
  <si>
    <t>Potentiel de réchauffement global sur 100 ans d'après le Cinquième Rapport d'évaluation du GIEC (AR5) sans rétroaction du carbone dans le climat, Changements Climatiques 2014 - Les éléments scientifiques https://www.ipcc.ch/site/assets/uploads/2018/02/WG1AR5_all_final.pdf.</t>
  </si>
  <si>
    <t>Potentiel de réchauffement global sur 100 ans d'après le Sixième Rapport d'évaluation du GIEC (AR6), Changements Climatiques 2021 - Les éléments scientifiques https://www.ipcc.ch/report/ar6/wg1/. L'AR6 inclut un coefficient spécifique pour le PRG du méthane d'origine fossile. Dans l'outil, ce coefficient est appliqué à l'utilisation énergétique du charbon de bois et de la tourbe (module des intrants).</t>
  </si>
  <si>
    <t>Irrigation de surface sans système de retour des eaux de ruissellement</t>
  </si>
  <si>
    <t>Irrigation de surface avec un système de retour des eaux de ruissellement</t>
  </si>
  <si>
    <t xml:space="preserve">Irrigation avec des tubes verticaux qui sont stationnaires pour la durée de la saison d'irrigation.
</t>
  </si>
  <si>
    <t>Irrigation avec des tubes verticaux qui ne peuvent être déplacés à partir du moment où ils sont installés.</t>
  </si>
  <si>
    <t>Irrigation avec des arroseurs qui peuvent être déplacés tout au long de la saison d'irrigation. Ce type d'arroseur est généralement utilisé pour les petites extensions de cultures car le mouvement continu implique un taux de travail élevé.</t>
  </si>
  <si>
    <t>Une ligne d'arrosage en aluminium montée sur roues qui irrigue en place. Une unité de déplacement alimentée par un petit moteur à essence est située au centre de la ligne. La ligne d'arrosage est reliée à une alimentation ou à une ligne principale par un tuyau flexible.</t>
  </si>
  <si>
    <t>Irrigation par aspersion aérienne constituée de plusieurs segments de tuyaux, avec des asperseurs positionnés sur leur longueur, reliés entre eux et soutenus par des fermes, et montés sur des tours à roues. La machine se déplace selon un schéma circulaire et est alimentée en eau à partir du point de pivot situé au centre du cercle.</t>
  </si>
  <si>
    <t>Système d'irrigation entièrement mobile. Il ne nécessite pas la construction d'une infrastructure d'irrigation stable sur le terrain.</t>
  </si>
  <si>
    <t>Irrigation goutte à goutte de haute précision et de haute efficacité</t>
  </si>
  <si>
    <t>Peuplements forestiers d'une ou deux espèces à la plantation, classe d'âge égale et espacement régulier. Généralement établis par plantation ou/et semis dans le cadre d'un processus de boisement ou de reboisement. Il s'agit soit d'espèces introduites (tous les peuplements plantés), soit de peuplements d'espèces indigènes gérés de manière intensive.</t>
  </si>
  <si>
    <t>Plantes qui accomplissent leur cycle de vie complet, de la graine à la fleur et à la graine, en une seule saison de croissance. Toutes les racines, tiges et feuilles de la plante meurent chaque année. Seule la graine dormante fait le pont entre une génération et la suivante. Certaines espèces pluriannuelles non ligneuses sont également incluses dans cette catégorie (par exemple, la canne à sucre) lorsque leur croissance implique un cycle de récolte pour la plante entière.</t>
  </si>
  <si>
    <t>Elle comprend les plantes et autres espèces ligneuses qui persistent pendant de nombreuses saisons de croissance. En général, la partie supérieure de la plante meurt chaque hiver et repousse au printemps suivant à partir du même système racinaire.</t>
  </si>
  <si>
    <t>Il s'agit uniquement des rizières de plaine inondées (en permanence ou une partie de l'année). Le riz non inondé, c'est-à-dire le riz des hautes terres ou le riz pluvial pur, est considéré comme une culture annuelle.</t>
  </si>
  <si>
    <t>Les terres en jachère annuelle représentent les terres qui sont temporairement mises de côté pour la production de cultures annuelles (par exemple, les réserves de conservation) ou d'autres terres cultivées inutilisées qui ont été revégétalisées.</t>
  </si>
  <si>
    <t>Les prairies sont généralement définies comme ayant une végétation dominée par des graminées pérennes, le pâturage étant l'utilisation prédominante des terres.</t>
  </si>
  <si>
    <t>Les terres dégradées sont celles dont la végétation native a été fortement perturbée. Les terres présentent une forte dégradation de la biomasse et des niveaux de carbone organique du sol.</t>
  </si>
  <si>
    <t>Tous les terrains aménagés - c'est-à-dire les infrastructures résidentielles, de transport, commerciales et de production de toute taille, à moins qu'ils ne soient déjà inclus dans d'autres catégories d'utilisation des sols.</t>
  </si>
  <si>
    <t xml:space="preserve">Les sols avec des minéraux d'argile à haute activité (HAC) sont des sols légèrement à modérément altérés qui sont dominés par
2:1 de minéraux argileux silicatés (inclus dans la classification FAO : Vertisols, Chernozems, Phaezems, Luvisols). </t>
  </si>
  <si>
    <t>Les sols avec des minéraux argileux à faible activité (LAC) sont des sols très altérés dominés par des minéraux argileux 1:1 et des oxydes de fer et d'aluminium amorphes (dans la classification de la FAO, ils comprennent : les acrisols, les nitosols et les ferrasols).
d'oxydes de fer et d'aluminium amorphes (inclus dans la classification FAO : Acrisols, Nitosols, Ferrasols).</t>
  </si>
  <si>
    <t>Comprend tous les sols (quelle que soit leur classification taxonomique) ayant &gt; 70 % de sable et &lt; 8 % d'argile (sur la base de mesures texturales standard
mesures texturales standard (dans la classification de la FAO, inclure : arénosols, régosols sableux).</t>
  </si>
  <si>
    <t>Sols présentant une forte podzolisation (dans la classification FAO, comprend de nombreux groupes podzoliques).</t>
  </si>
  <si>
    <t>Sols formés par l'altération des matériaux volcanogènes. La plupart d'entre eux sont classés comme Andisols.</t>
  </si>
  <si>
    <t>Cette catégorie comprend les sols qui sont couverts ou saturés d'eau pendant tout ou partie de l'année. Les sols des zones humides comprennent les sols organiques et les sols minéraux.</t>
  </si>
  <si>
    <t>Les sols sont biologiques s'ils satisfont aux exigences 1 et 2, ou 1 et 3 ci-dessous (FAO, 1998) :
1. Épaisseur de 10 cm ou plus. Un horizon de moins de 20 cm d'épaisseur doit contenir 12 pour cent ou plus de carbone organique
lorsqu'il est mélangé à une profondeur de 20 cm ;
2. Si le sol n'est jamais saturé d'eau pendant plus de quelques jours, et contient plus de 20 pour cent (en poids) de carbone organique (environ 35 pour cent de matière organique) ; 3.
poids) de carbone organique (environ 35 pour cent de matière organique) ;
3. Si le sol est soumis à des épisodes de saturation en eau et qu'il présente soit :
(i) Au moins 12 pour cent (en poids) de carbone organique (environ 20 pour cent de matière organique) s'il ne contient pas d'argile ;
ou
(ii) au moins 18 % (en poids) de carbone organique (environ 30 % de matière organique) s'il contient 60 % ou plus d'argile ; ou
ou plus d'argile ; ou
(iii) Une quantité intermédiaire et proportionnelle de carbone organique pour des quantités intermédiaires d'argile.</t>
  </si>
  <si>
    <t>Español</t>
  </si>
  <si>
    <t>Total betail (tCO2-e)</t>
  </si>
  <si>
    <t>Total ganado (tCO2-e)</t>
  </si>
  <si>
    <t>Uso de fuego?</t>
  </si>
  <si>
    <t>PMR</t>
  </si>
  <si>
    <t>Cultivo principal</t>
  </si>
  <si>
    <t>Estación de</t>
  </si>
  <si>
    <t>de residuos</t>
  </si>
  <si>
    <t>Gestión de Laboreo</t>
  </si>
  <si>
    <t>Opciones de gestión para el régimen hídrico en arroz inundado</t>
  </si>
  <si>
    <t>Manejo de pastizales</t>
  </si>
  <si>
    <t>4.2  MANEJO DEL GANADO Y ESTIÉRCOL</t>
  </si>
  <si>
    <t>Defecto</t>
  </si>
  <si>
    <t>PCB de los refrigerantes</t>
  </si>
  <si>
    <t>7.1.3 Réhumidification &amp; végétalisation</t>
  </si>
  <si>
    <t>7.1.3 Rehumedecidacion y revegetación</t>
  </si>
  <si>
    <t>7.2 Cuerpos de agua costeros (el área total debe permanecer constante)</t>
  </si>
  <si>
    <t>7.2 Plans d'eau côtiers (la superficie totale doit rester constante)</t>
  </si>
  <si>
    <t>Autre gestion de l'utilisation des terres</t>
  </si>
  <si>
    <t>Gestión de otros usos de la tierra</t>
  </si>
  <si>
    <t>Ectraction de tourbe</t>
  </si>
  <si>
    <t xml:space="preserve">Extracción de turba </t>
  </si>
  <si>
    <t>Cette feuille de calcul est prévue pour les calculs définis par l'utilisateur.</t>
  </si>
  <si>
    <t>Esta hoja de trabajo está prevista para cálculos definidos por el usuario.</t>
  </si>
  <si>
    <t>El usuario puede encontrar datos relacionados con el clima y el suelo en Earth Map:</t>
  </si>
  <si>
    <t>L'utilisateur peut trouver des données relatives au climat et au sol sur Earth Map :</t>
  </si>
  <si>
    <t>Le site Web permet également d'exécuter un script pour télécharger toutes les données d'intérêt pour l'analyse EX-ACT pour un polygone présélectionné (NB. Le script peut ne pas fonctionner correctement pour des zones plus grandes en raison des limites de capacité de calcul du serveur). Les données téléchargées peuvent être collées ici et doivent ensuite être traitées par l'utilisateur pour en déduire les valeurs moyennes à inclure dans l'analyse EX-ACT.</t>
  </si>
  <si>
    <t>El sitio web también permite ejecutar un script para descargar todos los datos de interés para el análisis EX-ACT para un polígono preseleccionado (Nota: es posible que el script no se ejecute correctamente para áreas más grandes debido a los límites de capacidad de cálculo del servidor). Los datos descargados se pueden pegar aquí y, posteriormente, el usuario debe procesarlos para obtener los valores promedio que se incluirán en el análisis EX-ACT.</t>
  </si>
  <si>
    <t>Users can find climate and soil related data on Earth Map:</t>
  </si>
  <si>
    <t>The website allows to run a script to download all the data of interest to EX-ACT analysis for a preselected polygon (NB. The script may not run correctly for larger areas due to server calculation capaity limits). The downloaded data may be pasted here and subsequently must be processed by the user to derive the average values to be included in the EX-ACT analysis.</t>
  </si>
  <si>
    <t>Max AGB in IPCC</t>
  </si>
  <si>
    <t>tier 2</t>
  </si>
  <si>
    <t>yearly DOM</t>
  </si>
  <si>
    <t>A minimum area of land of 0.5 – 1.0 hectares with tree crown cover (or equivalent stocking level) of more than 10 – 30 per cent with trees with the potential to reach a minimum height of 2 – 5 meters at maturity in situ. It comprises several tree species of different age classes, spaced unevenly and according to their development needs.</t>
  </si>
  <si>
    <t>Une surface minimale de 0,5 à 1,0 hectare avec un couvert arboré (ou un niveau de chargement équivalent) de plus de 10 à 30 % avec des arbres ayant le potentiel d'atteindre une hauteur minimale de 2 à 5 mètres à maturité in situ. Elle comprend plusieurs espèces d'arbres de différentes classes d'âge, espacées de manière irrégulière et en fonction de leurs besoins de développement.</t>
  </si>
  <si>
    <t>Una superficie mínima de terreno de 0,5 - 1,0 hectáreas con una cobertura de copas (o nivel de población equivalente) superior al 10 - 30 por ciento con árboles con potencial para alcanzar una altura mínima de 2 - 5 metros en su madurez in situ. Comprende varias especies de árboles de diferentes clases de edad, espaciados de forma desigual y según sus necesidades de desarrollo.</t>
  </si>
  <si>
    <t>Crops under the same agroforestry</t>
  </si>
  <si>
    <t>Total Syst 1-12</t>
  </si>
  <si>
    <t>Crops with changes in  agroforestry</t>
  </si>
  <si>
    <t>Cultivos bajo los mismos sistemas</t>
  </si>
  <si>
    <t xml:space="preserve">Cultivos con cambios en los sistemas </t>
  </si>
  <si>
    <t>Culture dans le meme systeme</t>
  </si>
  <si>
    <t>Cultures avec des changement de systeme</t>
  </si>
  <si>
    <t>N-fertilizer in continuously irrigated rice (tonnes of N per year)</t>
  </si>
  <si>
    <t>Balance - CO2 biomass</t>
  </si>
  <si>
    <t>Balance - CO2 soils</t>
  </si>
  <si>
    <t>↓↓↓</t>
  </si>
  <si>
    <t>↓ Check issue</t>
  </si>
  <si>
    <t>↓↓</t>
  </si>
  <si>
    <t>↓↓↓↓</t>
  </si>
  <si>
    <t>Check issue</t>
  </si>
  <si>
    <t>Balance - CH4 fire</t>
  </si>
  <si>
    <t>Balance - N2O fire</t>
  </si>
  <si>
    <t>Balance - N20 soils</t>
  </si>
  <si>
    <t>Fire  + SOM</t>
  </si>
  <si>
    <t>CH4 &amp; N2O</t>
  </si>
  <si>
    <t>Flu</t>
  </si>
  <si>
    <t>Flu tier 2</t>
  </si>
  <si>
    <t>Balance - CH4 flooded rice</t>
  </si>
  <si>
    <t>Balance - CH4 from entheric fermentation</t>
  </si>
  <si>
    <t>Balance - CH4 from manure management</t>
  </si>
  <si>
    <t>Balance - N2O from manure management</t>
  </si>
  <si>
    <t>Balance - N20 from manure management (leaching)</t>
  </si>
  <si>
    <t>Balance - N2O from manure management (volat.)</t>
  </si>
  <si>
    <t>Balance - CH4 from soil fire</t>
  </si>
  <si>
    <t>Balance - CO and CO2 from soil fire</t>
  </si>
  <si>
    <t>Balance - CO2 and DOC for drainage and rewetting</t>
  </si>
  <si>
    <t>Balance - CH4 for drainage and rewetting</t>
  </si>
  <si>
    <t>Balance - N2O-N for drainage and rewetting</t>
  </si>
  <si>
    <t>Biomass change</t>
  </si>
  <si>
    <t xml:space="preserve">Balance - OFFsite CO2 peat emissions </t>
  </si>
  <si>
    <t>Balance - CH4 from ponds</t>
  </si>
  <si>
    <t>Balance - CO2 inputs</t>
  </si>
  <si>
    <t>Balance - N2O inputs</t>
  </si>
  <si>
    <t>NB: not yet fully developed - main and minor season crops disregarded</t>
  </si>
  <si>
    <t>Balance - CO2 fisheries and aquaculture</t>
  </si>
  <si>
    <t>Balance - N20 fisheries and aquaculture</t>
  </si>
  <si>
    <t>TRYOUT</t>
  </si>
  <si>
    <t>CO2 (tCO2)</t>
  </si>
  <si>
    <t>Other GHGs (tCO2e)</t>
  </si>
  <si>
    <t>CO2 soils</t>
  </si>
  <si>
    <t>CO and CO2 from soil fire</t>
  </si>
  <si>
    <t xml:space="preserve">OFFsite CO2 peat emissions </t>
  </si>
  <si>
    <t>CO2 fisheries and aquaculture</t>
  </si>
  <si>
    <t>N20 soils</t>
  </si>
  <si>
    <t>N2O from manure management</t>
  </si>
  <si>
    <t>N20 from manure management (leaching)</t>
  </si>
  <si>
    <t>N2O from manure management (volat.)</t>
  </si>
  <si>
    <t>N20 fisheries and aquaculture</t>
  </si>
  <si>
    <t>N2O inputs</t>
  </si>
  <si>
    <t>CH4 flooded rice</t>
  </si>
  <si>
    <t>CH4 from entheric fermentation</t>
  </si>
  <si>
    <t>CH4 from manure management</t>
  </si>
  <si>
    <t>CH4 from soil fire</t>
  </si>
  <si>
    <t>CH4 from ponds</t>
  </si>
  <si>
    <t>Carbon balance by gas (high disaggregation) - tCO2-eq</t>
  </si>
  <si>
    <t>CO2 + DOC - drainage and rewetting</t>
  </si>
  <si>
    <t>N2O-N - drainage and rewetting</t>
  </si>
  <si>
    <t>CH4 - drainage and rewetting</t>
  </si>
  <si>
    <t>and changes in management options</t>
  </si>
  <si>
    <t>and/or changes in management options</t>
  </si>
  <si>
    <t>et changement des options de gestion</t>
  </si>
  <si>
    <t>et/ou changement des options de gestion</t>
  </si>
  <si>
    <t>y cambio de opciones de manejo</t>
  </si>
  <si>
    <t>y/o cambio de opciones de manejo</t>
  </si>
  <si>
    <t>FLU tier 2</t>
  </si>
  <si>
    <t>FLUfinal</t>
  </si>
  <si>
    <r>
      <t>N</t>
    </r>
    <r>
      <rPr>
        <b/>
        <vertAlign val="subscript"/>
        <sz val="14"/>
        <color theme="0"/>
        <rFont val="Roboto"/>
      </rPr>
      <t>2</t>
    </r>
    <r>
      <rPr>
        <b/>
        <sz val="14"/>
        <color theme="0"/>
        <rFont val="Roboto"/>
      </rPr>
      <t>O (tCO2e)</t>
    </r>
  </si>
  <si>
    <t>CO2  and other GHGs inputs</t>
  </si>
  <si>
    <r>
      <t>CH</t>
    </r>
    <r>
      <rPr>
        <b/>
        <vertAlign val="subscript"/>
        <sz val="14"/>
        <color theme="0"/>
        <rFont val="Roboto"/>
      </rPr>
      <t xml:space="preserve">4 </t>
    </r>
    <r>
      <rPr>
        <b/>
        <sz val="14"/>
        <color theme="0"/>
        <rFont val="Roboto"/>
      </rPr>
      <t>(tCO2e)</t>
    </r>
  </si>
  <si>
    <t>Lifetime of assessment</t>
  </si>
  <si>
    <t>3.2.2.1. Cultures restant sous le même système agroforestier avec des changements dans les pratiques de gestion</t>
  </si>
  <si>
    <t>3.2.2.2. Changements dans les systèmes agroforestiers (avec ou sans changements dans les pratiques de gestion)</t>
  </si>
  <si>
    <t>3.2.2.1. Cultivos que permanecen bajo el mismo sistema agroforestal con cambios en las prácticas de manejo</t>
  </si>
  <si>
    <t>3.2.2.2. Cambios en los sistemas agroforestales (con o sin cambios en las prácticas de manejo)</t>
  </si>
  <si>
    <t>3.2.2.1. Crops remaining under the same agroforestry system with changes in management options</t>
  </si>
  <si>
    <t>version 9.4.</t>
  </si>
  <si>
    <t>3.2.2.2. Changes in agroforestry systems (with or without changes in management options)</t>
  </si>
  <si>
    <t>Slope</t>
  </si>
  <si>
    <t>Intercept</t>
  </si>
  <si>
    <t>Dairy Cattle</t>
  </si>
  <si>
    <t>Other Cattle</t>
  </si>
  <si>
    <t>Dairy Buffalo</t>
  </si>
  <si>
    <t>Other Buffalo</t>
  </si>
  <si>
    <t>Dairy Sheep</t>
  </si>
  <si>
    <t>Growing Swine</t>
  </si>
  <si>
    <t>Breeding Swine</t>
  </si>
  <si>
    <t>High-Productivity</t>
  </si>
  <si>
    <t>Low-Productivity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</si>
</sst>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
    <numFmt numFmtId="165" formatCode="0.000"/>
    <numFmt numFmtId="166" formatCode="_-* #,##0_-;\-* #,##0_-;_-* &quot;-&quot;??_-;_-@_-"/>
    <numFmt numFmtId="167" formatCode="0.000000"/>
    <numFmt numFmtId="168" formatCode="_-* #,##0.0_-;\-* #,##0.0_-;_-* &quot;-&quot;??_-;_-@_-"/>
    <numFmt numFmtId="169" formatCode="mm/dd/yy;@"/>
    <numFmt numFmtId="170" formatCode="#,##0_ ;\-#,##0\ "/>
    <numFmt numFmtId="171" formatCode="#,##0.0"/>
    <numFmt numFmtId="172" formatCode="0.00000000000"/>
    <numFmt numFmtId="173" formatCode="#,##0.000"/>
    <numFmt numFmtId="174" formatCode="#,##0.00000000"/>
    <numFmt numFmtId="175" formatCode="#,##0.00000"/>
    <numFmt numFmtId="176" formatCode="#,##0.0000000000"/>
    <numFmt numFmtId="177" formatCode="0.00000000"/>
    <numFmt numFmtId="178" formatCode="#,##0.0000000"/>
    <numFmt numFmtId="179" formatCode="#,##0.0000"/>
    <numFmt numFmtId="180" formatCode="0.0000"/>
    <numFmt numFmtId="181" formatCode="0.0%"/>
    <numFmt numFmtId="182" formatCode="0.00000"/>
    <numFmt numFmtId="183" formatCode="#,##0.000000"/>
  </numFmts>
  <fonts count="321" x14ac:knownFonts="1">
    <font>
      <sz val="11"/>
      <color theme="1"/>
      <name val="Calibri"/>
      <family val="2"/>
      <scheme val="minor"/>
    </font>
    <font>
      <sz val="11"/>
      <color theme="1"/>
      <name val="Calibri"/>
      <family val="2"/>
      <scheme val="minor"/>
    </font>
    <font>
      <sz val="11"/>
      <color theme="1"/>
      <name val="Calibri"/>
      <family val="2"/>
      <charset val="161"/>
      <scheme val="minor"/>
    </font>
    <font>
      <b/>
      <sz val="11"/>
      <color theme="1"/>
      <name val="Calibri"/>
      <family val="2"/>
      <scheme val="minor"/>
    </font>
    <font>
      <sz val="10"/>
      <name val="Arial"/>
      <family val="2"/>
    </font>
    <font>
      <b/>
      <sz val="10"/>
      <name val="Arial"/>
      <family val="2"/>
    </font>
    <font>
      <sz val="10"/>
      <color rgb="FFFF0000"/>
      <name val="Arial"/>
      <family val="2"/>
    </font>
    <font>
      <b/>
      <sz val="10"/>
      <color rgb="FFFF0000"/>
      <name val="Arial"/>
      <family val="2"/>
    </font>
    <font>
      <b/>
      <sz val="10"/>
      <color indexed="43"/>
      <name val="Arial"/>
      <family val="2"/>
    </font>
    <font>
      <sz val="11"/>
      <color rgb="FFFF0000"/>
      <name val="Calibri"/>
      <family val="2"/>
      <scheme val="minor"/>
    </font>
    <font>
      <sz val="10"/>
      <color theme="1"/>
      <name val="Arial"/>
      <family val="2"/>
    </font>
    <font>
      <vertAlign val="superscript"/>
      <sz val="10"/>
      <name val="Arial"/>
      <family val="2"/>
    </font>
    <font>
      <b/>
      <vertAlign val="subscript"/>
      <sz val="10"/>
      <name val="Arial"/>
      <family val="2"/>
    </font>
    <font>
      <sz val="10"/>
      <color indexed="12"/>
      <name val="Arial"/>
      <family val="2"/>
    </font>
    <font>
      <vertAlign val="subscript"/>
      <sz val="10"/>
      <name val="Arial"/>
      <family val="2"/>
    </font>
    <font>
      <sz val="10"/>
      <name val="Arial"/>
      <family val="2"/>
      <charset val="161"/>
    </font>
    <font>
      <vertAlign val="subscript"/>
      <sz val="11"/>
      <color theme="1"/>
      <name val="Calibri"/>
      <family val="2"/>
      <charset val="161"/>
      <scheme val="minor"/>
    </font>
    <font>
      <sz val="9"/>
      <color indexed="81"/>
      <name val="Tahoma"/>
      <family val="2"/>
      <charset val="161"/>
    </font>
    <font>
      <vertAlign val="subscript"/>
      <sz val="11"/>
      <color theme="1"/>
      <name val="Calibri"/>
      <family val="2"/>
      <scheme val="minor"/>
    </font>
    <font>
      <b/>
      <sz val="9"/>
      <color indexed="81"/>
      <name val="Tahoma"/>
      <family val="2"/>
      <charset val="161"/>
    </font>
    <font>
      <b/>
      <sz val="12"/>
      <color theme="1"/>
      <name val="Calibri"/>
      <family val="2"/>
      <charset val="161"/>
      <scheme val="minor"/>
    </font>
    <font>
      <b/>
      <sz val="14"/>
      <color theme="1"/>
      <name val="Calibri"/>
      <family val="2"/>
      <charset val="161"/>
      <scheme val="minor"/>
    </font>
    <font>
      <b/>
      <sz val="11"/>
      <name val="Calibri"/>
      <family val="2"/>
      <scheme val="minor"/>
    </font>
    <font>
      <u/>
      <sz val="10"/>
      <color indexed="12"/>
      <name val="Arial"/>
      <family val="2"/>
    </font>
    <font>
      <b/>
      <sz val="14"/>
      <name val="Arial"/>
      <family val="2"/>
    </font>
    <font>
      <sz val="14"/>
      <color theme="1"/>
      <name val="Calibri"/>
      <family val="2"/>
      <scheme val="minor"/>
    </font>
    <font>
      <b/>
      <vertAlign val="subscript"/>
      <sz val="11"/>
      <color theme="1"/>
      <name val="Calibri"/>
      <family val="2"/>
      <scheme val="minor"/>
    </font>
    <font>
      <b/>
      <vertAlign val="superscript"/>
      <sz val="11"/>
      <color theme="1"/>
      <name val="Calibri"/>
      <family val="2"/>
      <scheme val="minor"/>
    </font>
    <font>
      <b/>
      <sz val="10"/>
      <color indexed="12"/>
      <name val="Arial"/>
      <family val="2"/>
    </font>
    <font>
      <sz val="10"/>
      <color theme="1"/>
      <name val="Calibri"/>
      <family val="2"/>
      <scheme val="minor"/>
    </font>
    <font>
      <sz val="9"/>
      <color theme="1"/>
      <name val="Calibri"/>
      <family val="2"/>
      <scheme val="minor"/>
    </font>
    <font>
      <sz val="8"/>
      <color theme="1"/>
      <name val="Calibri"/>
      <family val="2"/>
      <scheme val="minor"/>
    </font>
    <font>
      <b/>
      <sz val="10"/>
      <color rgb="FF0000FF"/>
      <name val="Arial"/>
      <family val="2"/>
    </font>
    <font>
      <b/>
      <sz val="10"/>
      <color rgb="FF0000FF"/>
      <name val="Calibri"/>
      <family val="2"/>
      <scheme val="minor"/>
    </font>
    <font>
      <b/>
      <vertAlign val="subscript"/>
      <sz val="10"/>
      <color indexed="12"/>
      <name val="Arial"/>
      <family val="2"/>
    </font>
    <font>
      <sz val="9"/>
      <color indexed="81"/>
      <name val="Tahoma"/>
      <family val="2"/>
    </font>
    <font>
      <b/>
      <sz val="9"/>
      <color indexed="81"/>
      <name val="Tahoma"/>
      <family val="2"/>
    </font>
    <font>
      <sz val="11"/>
      <name val="Calibri"/>
      <family val="2"/>
      <scheme val="minor"/>
    </font>
    <font>
      <sz val="11"/>
      <color theme="1"/>
      <name val="Calibri"/>
      <family val="2"/>
      <scheme val="minor"/>
    </font>
    <font>
      <sz val="11"/>
      <color theme="1"/>
      <name val="Arial"/>
      <family val="2"/>
    </font>
    <font>
      <b/>
      <sz val="11"/>
      <color theme="1"/>
      <name val="Arial"/>
      <family val="2"/>
    </font>
    <font>
      <b/>
      <sz val="18"/>
      <color rgb="FFFF0000"/>
      <name val="Calibri"/>
      <family val="2"/>
      <scheme val="minor"/>
    </font>
    <font>
      <b/>
      <sz val="18"/>
      <color rgb="FFFF0000"/>
      <name val="Arial"/>
      <family val="2"/>
    </font>
    <font>
      <b/>
      <vertAlign val="subscript"/>
      <sz val="11"/>
      <name val="Calibri"/>
      <family val="2"/>
      <scheme val="minor"/>
    </font>
    <font>
      <b/>
      <sz val="10"/>
      <color theme="1"/>
      <name val="Arial"/>
      <family val="2"/>
    </font>
    <font>
      <sz val="9"/>
      <color theme="1"/>
      <name val="Arial"/>
      <family val="2"/>
    </font>
    <font>
      <b/>
      <vertAlign val="subscript"/>
      <sz val="10"/>
      <color theme="1"/>
      <name val="Arial"/>
      <family val="2"/>
    </font>
    <font>
      <vertAlign val="subscript"/>
      <sz val="10"/>
      <color theme="1"/>
      <name val="Arial"/>
      <family val="2"/>
    </font>
    <font>
      <sz val="8"/>
      <color theme="1"/>
      <name val="Arial"/>
      <family val="2"/>
    </font>
    <font>
      <vertAlign val="superscript"/>
      <sz val="10"/>
      <color theme="1"/>
      <name val="Arial"/>
      <family val="2"/>
    </font>
    <font>
      <b/>
      <sz val="11"/>
      <color rgb="FFFF0000"/>
      <name val="Calibri"/>
      <family val="2"/>
      <scheme val="minor"/>
    </font>
    <font>
      <b/>
      <sz val="16"/>
      <color theme="1"/>
      <name val="Calibri"/>
      <family val="2"/>
      <charset val="161"/>
      <scheme val="minor"/>
    </font>
    <font>
      <sz val="11"/>
      <color rgb="FFFF0000"/>
      <name val="Calibri"/>
      <family val="2"/>
      <charset val="161"/>
      <scheme val="minor"/>
    </font>
    <font>
      <b/>
      <vertAlign val="subscript"/>
      <sz val="10"/>
      <color rgb="FFFF0000"/>
      <name val="Arial"/>
      <family val="2"/>
    </font>
    <font>
      <strike/>
      <sz val="11"/>
      <color theme="1"/>
      <name val="Calibri"/>
      <family val="2"/>
      <scheme val="minor"/>
    </font>
    <font>
      <sz val="10"/>
      <name val="Century Gothic"/>
      <family val="2"/>
    </font>
    <font>
      <b/>
      <sz val="11"/>
      <name val="Century Gothic"/>
      <family val="2"/>
    </font>
    <font>
      <b/>
      <sz val="8"/>
      <color indexed="81"/>
      <name val="Tahoma"/>
      <family val="2"/>
    </font>
    <font>
      <b/>
      <vertAlign val="superscript"/>
      <sz val="10"/>
      <color indexed="12"/>
      <name val="Arial"/>
      <family val="2"/>
    </font>
    <font>
      <sz val="10"/>
      <color rgb="FF111111"/>
      <name val="Arial"/>
      <family val="2"/>
    </font>
    <font>
      <vertAlign val="superscript"/>
      <sz val="11"/>
      <color theme="1"/>
      <name val="Calibri"/>
      <family val="2"/>
      <scheme val="minor"/>
    </font>
    <font>
      <b/>
      <vertAlign val="superscript"/>
      <sz val="11"/>
      <color rgb="FF0000FF"/>
      <name val="Calibri"/>
      <family val="2"/>
      <scheme val="minor"/>
    </font>
    <font>
      <b/>
      <sz val="11"/>
      <color rgb="FF0000FF"/>
      <name val="Calibri"/>
      <family val="2"/>
      <scheme val="minor"/>
    </font>
    <font>
      <sz val="10"/>
      <color rgb="FFFF0000"/>
      <name val="Calibri"/>
      <family val="2"/>
      <scheme val="minor"/>
    </font>
    <font>
      <sz val="9"/>
      <color rgb="FFFF0000"/>
      <name val="Calibri"/>
      <family val="2"/>
      <scheme val="minor"/>
    </font>
    <font>
      <b/>
      <sz val="11"/>
      <color indexed="43"/>
      <name val="Helvetica"/>
      <family val="2"/>
    </font>
    <font>
      <b/>
      <vertAlign val="subscript"/>
      <sz val="11"/>
      <color indexed="43"/>
      <name val="Helvetica"/>
      <family val="2"/>
    </font>
    <font>
      <b/>
      <sz val="11"/>
      <color theme="0"/>
      <name val="Calibri"/>
      <family val="2"/>
      <scheme val="minor"/>
    </font>
    <font>
      <b/>
      <sz val="12"/>
      <name val="Century Gothic"/>
      <family val="2"/>
    </font>
    <font>
      <sz val="11"/>
      <color theme="1"/>
      <name val="Century Gothic"/>
      <family val="2"/>
    </font>
    <font>
      <sz val="11"/>
      <name val="Century Gothic"/>
      <family val="2"/>
    </font>
    <font>
      <b/>
      <sz val="14"/>
      <name val="Century Gothic"/>
      <family val="2"/>
    </font>
    <font>
      <sz val="10"/>
      <color theme="1"/>
      <name val="Century Gothic"/>
      <family val="2"/>
    </font>
    <font>
      <sz val="12"/>
      <name val="Century Gothic"/>
      <family val="2"/>
    </font>
    <font>
      <b/>
      <sz val="11"/>
      <color theme="1"/>
      <name val="Century Gothic"/>
      <family val="2"/>
    </font>
    <font>
      <b/>
      <sz val="11"/>
      <color theme="0"/>
      <name val="Century Gothic"/>
      <family val="2"/>
    </font>
    <font>
      <b/>
      <sz val="12"/>
      <color rgb="FFFF0000"/>
      <name val="Century Gothic"/>
      <family val="2"/>
    </font>
    <font>
      <sz val="11"/>
      <color theme="0"/>
      <name val="Century Gothic"/>
      <family val="2"/>
    </font>
    <font>
      <b/>
      <sz val="10"/>
      <color theme="1"/>
      <name val="Century Gothic"/>
      <family val="2"/>
    </font>
    <font>
      <b/>
      <sz val="12"/>
      <color theme="1"/>
      <name val="Century Gothic"/>
      <family val="2"/>
    </font>
    <font>
      <b/>
      <sz val="11"/>
      <color rgb="FFFF0000"/>
      <name val="Century Gothic"/>
      <family val="2"/>
    </font>
    <font>
      <sz val="11"/>
      <color rgb="FFFF0000"/>
      <name val="Century Gothic"/>
      <family val="2"/>
    </font>
    <font>
      <sz val="10"/>
      <color theme="0"/>
      <name val="Century Gothic"/>
      <family val="2"/>
    </font>
    <font>
      <sz val="12"/>
      <color theme="1"/>
      <name val="Century Gothic"/>
      <family val="2"/>
    </font>
    <font>
      <sz val="9"/>
      <name val="Century Gothic"/>
      <family val="2"/>
    </font>
    <font>
      <b/>
      <vertAlign val="subscript"/>
      <sz val="12"/>
      <color theme="1"/>
      <name val="Century Gothic"/>
      <family val="2"/>
    </font>
    <font>
      <b/>
      <sz val="11"/>
      <color theme="1" tint="0.249977111117893"/>
      <name val="Century Gothic"/>
      <family val="2"/>
    </font>
    <font>
      <sz val="11"/>
      <color theme="1" tint="0.249977111117893"/>
      <name val="Century Gothic"/>
      <family val="2"/>
    </font>
    <font>
      <b/>
      <sz val="10"/>
      <name val="Century Gothic"/>
      <family val="2"/>
    </font>
    <font>
      <sz val="11"/>
      <color theme="0"/>
      <name val="Calibri"/>
      <family val="2"/>
      <scheme val="minor"/>
    </font>
    <font>
      <b/>
      <sz val="12"/>
      <color theme="1"/>
      <name val="Calibri"/>
      <family val="2"/>
      <scheme val="minor"/>
    </font>
    <font>
      <sz val="8"/>
      <color indexed="81"/>
      <name val="Tahoma"/>
      <family val="2"/>
    </font>
    <font>
      <b/>
      <sz val="9"/>
      <color theme="1"/>
      <name val="Calibri"/>
      <family val="2"/>
      <scheme val="minor"/>
    </font>
    <font>
      <b/>
      <sz val="14"/>
      <color theme="1"/>
      <name val="Calibri"/>
      <family val="2"/>
      <scheme val="minor"/>
    </font>
    <font>
      <u/>
      <sz val="10"/>
      <name val="Arial"/>
      <family val="2"/>
    </font>
    <font>
      <b/>
      <sz val="14"/>
      <color rgb="FFFF0000"/>
      <name val="Calibri"/>
      <family val="2"/>
      <scheme val="minor"/>
    </font>
    <font>
      <sz val="10"/>
      <color theme="0"/>
      <name val="Arial"/>
      <family val="2"/>
    </font>
    <font>
      <b/>
      <sz val="10"/>
      <color theme="0"/>
      <name val="Arial"/>
      <family val="2"/>
    </font>
    <font>
      <sz val="8"/>
      <color rgb="FFFF0000"/>
      <name val="Arial"/>
      <family val="2"/>
    </font>
    <font>
      <b/>
      <sz val="14"/>
      <color theme="0"/>
      <name val="Calibri"/>
      <family val="2"/>
      <scheme val="minor"/>
    </font>
    <font>
      <sz val="11"/>
      <name val="Arial"/>
      <family val="2"/>
    </font>
    <font>
      <b/>
      <sz val="11"/>
      <name val="Arial"/>
      <family val="2"/>
    </font>
    <font>
      <b/>
      <sz val="11"/>
      <name val="Helvetica"/>
      <family val="2"/>
    </font>
    <font>
      <b/>
      <sz val="12"/>
      <color rgb="FF0000FF"/>
      <name val="Calibri"/>
      <family val="2"/>
      <scheme val="minor"/>
    </font>
    <font>
      <b/>
      <vertAlign val="subscript"/>
      <sz val="10"/>
      <color rgb="FF0000FF"/>
      <name val="Arial"/>
      <family val="2"/>
    </font>
    <font>
      <b/>
      <sz val="12"/>
      <color rgb="FFFF0000"/>
      <name val="Arial"/>
      <family val="2"/>
    </font>
    <font>
      <b/>
      <sz val="11"/>
      <color rgb="FFFF0000"/>
      <name val="Arial"/>
      <family val="2"/>
    </font>
    <font>
      <b/>
      <sz val="12"/>
      <color rgb="FF0000FF"/>
      <name val="Arial"/>
      <family val="2"/>
    </font>
    <font>
      <b/>
      <sz val="8"/>
      <color theme="1"/>
      <name val="Calibri"/>
      <family val="2"/>
      <scheme val="minor"/>
    </font>
    <font>
      <b/>
      <vertAlign val="subscript"/>
      <sz val="11"/>
      <name val="Century Gothic"/>
      <family val="2"/>
    </font>
    <font>
      <sz val="9"/>
      <color theme="1"/>
      <name val="Century Gothic"/>
      <family val="2"/>
    </font>
    <font>
      <sz val="9"/>
      <name val="Arial"/>
      <family val="2"/>
    </font>
    <font>
      <b/>
      <sz val="18"/>
      <color theme="0"/>
      <name val="Calibri"/>
      <family val="2"/>
      <scheme val="minor"/>
    </font>
    <font>
      <sz val="10"/>
      <color rgb="FFFF0000"/>
      <name val="Century Gothic"/>
      <family val="2"/>
    </font>
    <font>
      <b/>
      <vertAlign val="subscript"/>
      <sz val="11"/>
      <color theme="1"/>
      <name val="Arial"/>
      <family val="2"/>
    </font>
    <font>
      <sz val="14"/>
      <color theme="0"/>
      <name val="Calibri"/>
      <family val="2"/>
      <scheme val="minor"/>
    </font>
    <font>
      <b/>
      <i/>
      <sz val="14"/>
      <color theme="0"/>
      <name val="Calibri"/>
      <family val="2"/>
      <scheme val="minor"/>
    </font>
    <font>
      <i/>
      <sz val="14"/>
      <color theme="0"/>
      <name val="Calibri"/>
      <family val="2"/>
      <scheme val="minor"/>
    </font>
    <font>
      <b/>
      <sz val="12"/>
      <name val="Arial"/>
      <family val="2"/>
    </font>
    <font>
      <sz val="16"/>
      <name val="Arial"/>
      <family val="2"/>
    </font>
    <font>
      <b/>
      <sz val="12"/>
      <color theme="0"/>
      <name val="Arial"/>
      <family val="2"/>
    </font>
    <font>
      <sz val="8"/>
      <name val="Arial"/>
      <family val="2"/>
    </font>
    <font>
      <sz val="22"/>
      <name val="Arial"/>
      <family val="2"/>
    </font>
    <font>
      <sz val="14"/>
      <name val="Arial"/>
      <family val="2"/>
    </font>
    <font>
      <b/>
      <sz val="16"/>
      <color theme="0"/>
      <name val="Arial"/>
      <family val="2"/>
    </font>
    <font>
      <sz val="16"/>
      <color theme="0"/>
      <name val="Arial"/>
      <family val="2"/>
    </font>
    <font>
      <sz val="18"/>
      <color theme="0"/>
      <name val="Century Gothic"/>
      <family val="2"/>
    </font>
    <font>
      <b/>
      <sz val="14"/>
      <color theme="1"/>
      <name val="Century Gothic"/>
      <family val="2"/>
    </font>
    <font>
      <b/>
      <sz val="18"/>
      <color theme="0"/>
      <name val="Century Gothic"/>
      <family val="2"/>
    </font>
    <font>
      <b/>
      <sz val="16"/>
      <name val="Century Gothic"/>
      <family val="2"/>
    </font>
    <font>
      <b/>
      <sz val="9"/>
      <name val="Arial"/>
      <family val="2"/>
    </font>
    <font>
      <sz val="9"/>
      <color theme="0"/>
      <name val="Century Gothic"/>
      <family val="2"/>
    </font>
    <font>
      <b/>
      <sz val="24"/>
      <color theme="0"/>
      <name val="Century Gothic"/>
      <family val="2"/>
    </font>
    <font>
      <sz val="14"/>
      <color theme="1"/>
      <name val="Century Gothic"/>
      <family val="2"/>
    </font>
    <font>
      <b/>
      <sz val="10"/>
      <color rgb="FF0000FF"/>
      <name val="Century Gothic"/>
      <family val="2"/>
    </font>
    <font>
      <b/>
      <sz val="8"/>
      <name val="Century Gothic"/>
      <family val="2"/>
    </font>
    <font>
      <b/>
      <sz val="20"/>
      <color theme="0"/>
      <name val="Century Gothic"/>
      <family val="2"/>
    </font>
    <font>
      <sz val="16"/>
      <color theme="1"/>
      <name val="Century Gothic"/>
      <family val="2"/>
    </font>
    <font>
      <sz val="14"/>
      <color theme="0"/>
      <name val="Century Gothic"/>
      <family val="2"/>
    </font>
    <font>
      <b/>
      <sz val="16"/>
      <color rgb="FF0000FF"/>
      <name val="Century Gothic"/>
      <family val="2"/>
    </font>
    <font>
      <b/>
      <sz val="14"/>
      <color rgb="FF0000FF"/>
      <name val="Century Gothic"/>
      <family val="2"/>
    </font>
    <font>
      <b/>
      <sz val="10"/>
      <color indexed="43"/>
      <name val="Century Gothic"/>
      <family val="2"/>
    </font>
    <font>
      <b/>
      <vertAlign val="subscript"/>
      <sz val="10"/>
      <name val="Century Gothic"/>
      <family val="2"/>
    </font>
    <font>
      <u/>
      <sz val="11"/>
      <color indexed="12"/>
      <name val="Century Gothic"/>
      <family val="2"/>
    </font>
    <font>
      <b/>
      <sz val="12"/>
      <color theme="0"/>
      <name val="Calibri"/>
      <family val="2"/>
      <scheme val="minor"/>
    </font>
    <font>
      <b/>
      <sz val="26"/>
      <color theme="0"/>
      <name val="Century Gothic"/>
      <family val="2"/>
    </font>
    <font>
      <b/>
      <sz val="9"/>
      <color theme="1"/>
      <name val="Century Gothic"/>
      <family val="2"/>
    </font>
    <font>
      <b/>
      <sz val="16"/>
      <color rgb="FFFF0000"/>
      <name val="Century Gothic"/>
      <family val="2"/>
    </font>
    <font>
      <b/>
      <sz val="10"/>
      <color rgb="FFFF0000"/>
      <name val="Century Gothic"/>
      <family val="2"/>
    </font>
    <font>
      <b/>
      <sz val="11"/>
      <color theme="0"/>
      <name val="Roboto Light"/>
    </font>
    <font>
      <sz val="11"/>
      <color theme="1"/>
      <name val="Roboto Light"/>
    </font>
    <font>
      <sz val="12"/>
      <color theme="2" tint="-9.9978637043366805E-2"/>
      <name val="Roboto Light"/>
    </font>
    <font>
      <b/>
      <sz val="14"/>
      <color theme="0"/>
      <name val="Roboto Light"/>
    </font>
    <font>
      <sz val="11"/>
      <color theme="8" tint="0.39997558519241921"/>
      <name val="Roboto Light"/>
    </font>
    <font>
      <b/>
      <sz val="10"/>
      <color theme="0"/>
      <name val="Roboto Light"/>
    </font>
    <font>
      <b/>
      <sz val="12"/>
      <color theme="0"/>
      <name val="Roboto Light"/>
    </font>
    <font>
      <sz val="12"/>
      <color theme="0"/>
      <name val="Roboto Light"/>
    </font>
    <font>
      <i/>
      <sz val="12"/>
      <name val="Roboto Light"/>
    </font>
    <font>
      <b/>
      <i/>
      <sz val="13"/>
      <name val="Roboto Light"/>
    </font>
    <font>
      <b/>
      <sz val="14"/>
      <name val="Roboto Light"/>
    </font>
    <font>
      <b/>
      <sz val="11"/>
      <color theme="1"/>
      <name val="Roboto Light"/>
    </font>
    <font>
      <sz val="11"/>
      <name val="Roboto Light"/>
    </font>
    <font>
      <b/>
      <sz val="12"/>
      <color theme="1"/>
      <name val="Roboto Light"/>
    </font>
    <font>
      <b/>
      <vertAlign val="subscript"/>
      <sz val="11"/>
      <color theme="1"/>
      <name val="Roboto Light"/>
    </font>
    <font>
      <sz val="12"/>
      <name val="Roboto Light"/>
    </font>
    <font>
      <u/>
      <sz val="11"/>
      <name val="Roboto Light"/>
    </font>
    <font>
      <b/>
      <i/>
      <sz val="14"/>
      <name val="Roboto Light"/>
    </font>
    <font>
      <b/>
      <sz val="11"/>
      <name val="Roboto Light"/>
    </font>
    <font>
      <b/>
      <u/>
      <sz val="12"/>
      <name val="Roboto Light"/>
    </font>
    <font>
      <b/>
      <u/>
      <sz val="14"/>
      <name val="Roboto Light"/>
    </font>
    <font>
      <sz val="14"/>
      <name val="Roboto Light"/>
    </font>
    <font>
      <b/>
      <sz val="18"/>
      <color theme="1"/>
      <name val="Roboto Light"/>
    </font>
    <font>
      <sz val="18"/>
      <color theme="1"/>
      <name val="Roboto Light"/>
    </font>
    <font>
      <sz val="11"/>
      <color theme="0"/>
      <name val="Roboto Light"/>
    </font>
    <font>
      <sz val="10"/>
      <color theme="1"/>
      <name val="Roboto Light"/>
    </font>
    <font>
      <sz val="11"/>
      <color rgb="FF000000"/>
      <name val="Roboto Light"/>
    </font>
    <font>
      <sz val="12"/>
      <color theme="1"/>
      <name val="Roboto Light"/>
    </font>
    <font>
      <b/>
      <u/>
      <sz val="11"/>
      <color theme="1"/>
      <name val="Roboto Light"/>
    </font>
    <font>
      <u/>
      <sz val="11"/>
      <color theme="1"/>
      <name val="Roboto Light"/>
    </font>
    <font>
      <sz val="10"/>
      <color theme="0"/>
      <name val="Roboto Light"/>
    </font>
    <font>
      <b/>
      <sz val="12"/>
      <color rgb="FFFF0000"/>
      <name val="Roboto Light"/>
    </font>
    <font>
      <b/>
      <sz val="11"/>
      <color rgb="FF993300"/>
      <name val="Roboto Light"/>
    </font>
    <font>
      <b/>
      <sz val="11"/>
      <color theme="4" tint="-0.499984740745262"/>
      <name val="Roboto Light"/>
    </font>
    <font>
      <b/>
      <sz val="12"/>
      <color theme="4" tint="-0.499984740745262"/>
      <name val="Roboto Light"/>
    </font>
    <font>
      <sz val="10"/>
      <color rgb="FF2E2E2E"/>
      <name val="Roboto Light"/>
    </font>
    <font>
      <i/>
      <sz val="14"/>
      <name val="Roboto Light"/>
    </font>
    <font>
      <b/>
      <sz val="12"/>
      <name val="Roboto Light"/>
    </font>
    <font>
      <sz val="11"/>
      <color theme="2" tint="-9.9978637043366805E-2"/>
      <name val="Roboto Light"/>
    </font>
    <font>
      <b/>
      <sz val="11"/>
      <color theme="2" tint="-9.9978637043366805E-2"/>
      <name val="Roboto Light"/>
    </font>
    <font>
      <b/>
      <sz val="14"/>
      <color theme="5"/>
      <name val="Roboto Light"/>
    </font>
    <font>
      <sz val="10"/>
      <name val="Roboto Light"/>
    </font>
    <font>
      <b/>
      <u/>
      <sz val="11"/>
      <color theme="2" tint="-9.9978637043366805E-2"/>
      <name val="Roboto Light"/>
    </font>
    <font>
      <b/>
      <sz val="11"/>
      <color rgb="FFFF0000"/>
      <name val="Roboto Light"/>
    </font>
    <font>
      <sz val="11"/>
      <color rgb="FFFF0000"/>
      <name val="Roboto Light"/>
    </font>
    <font>
      <b/>
      <sz val="10"/>
      <color theme="1"/>
      <name val="Roboto Light"/>
    </font>
    <font>
      <b/>
      <u/>
      <sz val="11"/>
      <name val="Roboto Light"/>
    </font>
    <font>
      <sz val="12"/>
      <color theme="8" tint="0.39997558519241921"/>
      <name val="Roboto Light"/>
    </font>
    <font>
      <b/>
      <sz val="16"/>
      <color theme="0"/>
      <name val="Roboto Light"/>
    </font>
    <font>
      <b/>
      <sz val="14"/>
      <color rgb="FFFF0000"/>
      <name val="Roboto Light"/>
    </font>
    <font>
      <sz val="16"/>
      <color theme="1"/>
      <name val="Roboto Light"/>
    </font>
    <font>
      <b/>
      <sz val="11"/>
      <color rgb="FFC00000"/>
      <name val="Roboto Light"/>
    </font>
    <font>
      <b/>
      <sz val="12"/>
      <color rgb="FFC00000"/>
      <name val="Roboto Light"/>
    </font>
    <font>
      <b/>
      <sz val="18"/>
      <color theme="0"/>
      <name val="Roboto Light"/>
    </font>
    <font>
      <b/>
      <sz val="12"/>
      <color theme="0" tint="-0.14999847407452621"/>
      <name val="Roboto Light"/>
    </font>
    <font>
      <b/>
      <sz val="12"/>
      <color theme="8" tint="0.59999389629810485"/>
      <name val="Roboto Light"/>
    </font>
    <font>
      <sz val="12"/>
      <color theme="8" tint="0.59999389629810485"/>
      <name val="Roboto Light"/>
    </font>
    <font>
      <sz val="11"/>
      <color theme="0" tint="-0.14999847407452621"/>
      <name val="Roboto Light"/>
    </font>
    <font>
      <b/>
      <sz val="24"/>
      <color theme="0"/>
      <name val="Roboto Light"/>
    </font>
    <font>
      <i/>
      <sz val="12"/>
      <color theme="0"/>
      <name val="Roboto Light"/>
    </font>
    <font>
      <b/>
      <sz val="20"/>
      <color theme="0"/>
      <name val="Roboto Light"/>
    </font>
    <font>
      <sz val="9"/>
      <color theme="1"/>
      <name val="Roboto Light"/>
    </font>
    <font>
      <sz val="14"/>
      <color theme="1"/>
      <name val="Roboto Light"/>
    </font>
    <font>
      <u/>
      <sz val="12"/>
      <color theme="1"/>
      <name val="Roboto Light"/>
    </font>
    <font>
      <b/>
      <u/>
      <sz val="12"/>
      <color theme="1"/>
      <name val="Roboto Light"/>
    </font>
    <font>
      <b/>
      <i/>
      <sz val="11"/>
      <name val="Roboto Light"/>
    </font>
    <font>
      <b/>
      <sz val="13"/>
      <name val="Roboto Light"/>
    </font>
    <font>
      <b/>
      <sz val="16"/>
      <color theme="1"/>
      <name val="Roboto Light"/>
    </font>
    <font>
      <b/>
      <sz val="16"/>
      <name val="Roboto Light"/>
    </font>
    <font>
      <i/>
      <sz val="11"/>
      <name val="Roboto Light"/>
    </font>
    <font>
      <sz val="13"/>
      <color theme="1"/>
      <name val="Roboto Light"/>
    </font>
    <font>
      <sz val="13"/>
      <name val="Roboto Light"/>
    </font>
    <font>
      <sz val="11"/>
      <color theme="9" tint="0.59999389629810485"/>
      <name val="Roboto Light"/>
    </font>
    <font>
      <sz val="10"/>
      <color rgb="FFFF0000"/>
      <name val="Roboto Light"/>
    </font>
    <font>
      <b/>
      <sz val="8"/>
      <color theme="1"/>
      <name val="Roboto Light"/>
    </font>
    <font>
      <b/>
      <sz val="10"/>
      <name val="Roboto Light"/>
    </font>
    <font>
      <b/>
      <sz val="14"/>
      <color theme="1"/>
      <name val="Roboto Light"/>
    </font>
    <font>
      <sz val="14"/>
      <color theme="0"/>
      <name val="Roboto Light"/>
    </font>
    <font>
      <sz val="16"/>
      <color theme="0"/>
      <name val="Roboto Light"/>
    </font>
    <font>
      <b/>
      <sz val="11"/>
      <color theme="0" tint="-0.14999847407452621"/>
      <name val="Roboto Light"/>
    </font>
    <font>
      <sz val="10"/>
      <color theme="8" tint="0.79998168889431442"/>
      <name val="Century Gothic"/>
      <family val="2"/>
    </font>
    <font>
      <b/>
      <sz val="16"/>
      <color theme="0"/>
      <name val="Century Gothic"/>
      <family val="2"/>
    </font>
    <font>
      <sz val="12"/>
      <color theme="0" tint="-0.14999847407452621"/>
      <name val="Roboto Light"/>
    </font>
    <font>
      <b/>
      <u/>
      <sz val="11"/>
      <color theme="1"/>
      <name val="Century Gothic"/>
      <family val="2"/>
    </font>
    <font>
      <sz val="11"/>
      <color theme="1"/>
      <name val="Calibri"/>
      <family val="2"/>
    </font>
    <font>
      <sz val="14"/>
      <color theme="1"/>
      <name val="Calibri"/>
      <family val="2"/>
    </font>
    <font>
      <sz val="11"/>
      <color rgb="FF000000"/>
      <name val="Times New Roman"/>
      <family val="1"/>
    </font>
    <font>
      <i/>
      <sz val="11"/>
      <color rgb="FF44536A"/>
      <name val="Times New Roman"/>
      <family val="1"/>
    </font>
    <font>
      <sz val="11"/>
      <color rgb="FF44536A"/>
      <name val="Times New Roman"/>
      <family val="1"/>
    </font>
    <font>
      <vertAlign val="superscript"/>
      <sz val="11"/>
      <color rgb="FF000000"/>
      <name val="Times New Roman"/>
      <family val="1"/>
    </font>
    <font>
      <sz val="22"/>
      <color theme="0"/>
      <name val="Century Gothic"/>
      <family val="2"/>
    </font>
    <font>
      <b/>
      <sz val="16"/>
      <color theme="1"/>
      <name val="Century Gothic"/>
      <family val="2"/>
    </font>
    <font>
      <vertAlign val="subscript"/>
      <sz val="10"/>
      <name val="Century Gothic"/>
      <family val="2"/>
    </font>
    <font>
      <b/>
      <sz val="10"/>
      <color theme="0"/>
      <name val="Century Gothic"/>
      <family val="2"/>
    </font>
    <font>
      <b/>
      <sz val="11"/>
      <color theme="1" tint="4.9989318521683403E-2"/>
      <name val="Century Gothic"/>
      <family val="2"/>
    </font>
    <font>
      <b/>
      <sz val="16"/>
      <color theme="0"/>
      <name val="Calibri"/>
      <family val="2"/>
      <scheme val="minor"/>
    </font>
    <font>
      <b/>
      <sz val="10"/>
      <name val="Roboto"/>
    </font>
    <font>
      <sz val="10"/>
      <name val="Roboto"/>
    </font>
    <font>
      <sz val="10"/>
      <name val="Calibri"/>
      <family val="2"/>
    </font>
    <font>
      <sz val="8"/>
      <color theme="1"/>
      <name val="Century Gothic"/>
      <family val="2"/>
    </font>
    <font>
      <sz val="8.5"/>
      <name val="Calibri"/>
      <family val="2"/>
    </font>
    <font>
      <b/>
      <sz val="20"/>
      <color rgb="FFFF0000"/>
      <name val="Century Gothic"/>
      <family val="2"/>
    </font>
    <font>
      <b/>
      <sz val="18"/>
      <color rgb="FFFF0000"/>
      <name val="Century Gothic"/>
      <family val="2"/>
    </font>
    <font>
      <vertAlign val="superscript"/>
      <sz val="10"/>
      <name val="Century Gothic"/>
      <family val="2"/>
    </font>
    <font>
      <vertAlign val="subscript"/>
      <sz val="11"/>
      <color theme="1"/>
      <name val="Century Gothic"/>
      <family val="2"/>
    </font>
    <font>
      <sz val="12"/>
      <color theme="0"/>
      <name val="Century Gothic"/>
      <family val="2"/>
    </font>
    <font>
      <b/>
      <sz val="22"/>
      <color theme="0"/>
      <name val="Calibri"/>
      <family val="2"/>
      <scheme val="minor"/>
    </font>
    <font>
      <b/>
      <sz val="16"/>
      <name val="Calibri"/>
      <family val="2"/>
      <scheme val="minor"/>
    </font>
    <font>
      <b/>
      <u/>
      <sz val="11"/>
      <name val="Century Gothic"/>
      <family val="2"/>
    </font>
    <font>
      <b/>
      <sz val="11"/>
      <color theme="5"/>
      <name val="Century Gothic"/>
      <family val="2"/>
    </font>
    <font>
      <b/>
      <sz val="14"/>
      <color theme="0"/>
      <name val="Roboto"/>
    </font>
    <font>
      <sz val="14"/>
      <color theme="1"/>
      <name val="Roboto"/>
    </font>
    <font>
      <sz val="12"/>
      <name val="Roboto"/>
    </font>
    <font>
      <sz val="12"/>
      <color theme="0"/>
      <name val="Roboto"/>
    </font>
    <font>
      <sz val="12"/>
      <color theme="1"/>
      <name val="Roboto"/>
    </font>
    <font>
      <sz val="11"/>
      <color theme="1"/>
      <name val="Roboto"/>
    </font>
    <font>
      <b/>
      <sz val="12"/>
      <color theme="1"/>
      <name val="Roboto"/>
    </font>
    <font>
      <sz val="16"/>
      <color theme="1"/>
      <name val="Roboto"/>
    </font>
    <font>
      <b/>
      <sz val="14"/>
      <color theme="1"/>
      <name val="Roboto"/>
    </font>
    <font>
      <b/>
      <sz val="16"/>
      <color theme="1"/>
      <name val="Roboto"/>
    </font>
    <font>
      <b/>
      <sz val="18"/>
      <color theme="1"/>
      <name val="Roboto"/>
    </font>
    <font>
      <vertAlign val="subscript"/>
      <sz val="11"/>
      <color theme="1"/>
      <name val="Roboto"/>
    </font>
    <font>
      <b/>
      <vertAlign val="subscript"/>
      <sz val="14"/>
      <color theme="0"/>
      <name val="Roboto"/>
    </font>
    <font>
      <sz val="14"/>
      <name val="Roboto"/>
    </font>
    <font>
      <sz val="14"/>
      <color theme="0"/>
      <name val="Roboto"/>
    </font>
    <font>
      <b/>
      <sz val="14"/>
      <name val="Roboto"/>
    </font>
    <font>
      <vertAlign val="subscript"/>
      <sz val="14"/>
      <name val="Roboto"/>
    </font>
    <font>
      <b/>
      <sz val="11"/>
      <color theme="1"/>
      <name val="Roboto"/>
    </font>
    <font>
      <sz val="28"/>
      <color theme="0"/>
      <name val="Roboto"/>
    </font>
    <font>
      <sz val="36"/>
      <color theme="0"/>
      <name val="Roboto"/>
    </font>
    <font>
      <sz val="8"/>
      <color theme="1"/>
      <name val="Roboto Light"/>
    </font>
    <font>
      <b/>
      <sz val="8"/>
      <color rgb="FFFF0000"/>
      <name val="Roboto Light"/>
    </font>
    <font>
      <sz val="8"/>
      <name val="Roboto Light"/>
    </font>
    <font>
      <b/>
      <sz val="12"/>
      <color theme="0"/>
      <name val="Roboto"/>
    </font>
    <font>
      <u/>
      <sz val="14"/>
      <color theme="1"/>
      <name val="Roboto"/>
    </font>
    <font>
      <b/>
      <vertAlign val="subscript"/>
      <sz val="12"/>
      <color theme="1"/>
      <name val="Roboto"/>
    </font>
    <font>
      <b/>
      <sz val="11"/>
      <color theme="0"/>
      <name val="Roboto"/>
    </font>
    <font>
      <b/>
      <vertAlign val="subscript"/>
      <sz val="11"/>
      <color theme="0"/>
      <name val="Roboto"/>
    </font>
    <font>
      <sz val="36"/>
      <color theme="0"/>
      <name val="Calibri"/>
      <family val="2"/>
      <scheme val="minor"/>
    </font>
    <font>
      <b/>
      <sz val="36"/>
      <color theme="0"/>
      <name val="Calibri"/>
      <family val="2"/>
      <scheme val="minor"/>
    </font>
    <font>
      <b/>
      <sz val="36"/>
      <color theme="0"/>
      <name val="Arial"/>
      <family val="2"/>
    </font>
    <font>
      <sz val="36"/>
      <color theme="0"/>
      <name val="Arial"/>
      <family val="2"/>
    </font>
    <font>
      <i/>
      <sz val="11"/>
      <color theme="1"/>
      <name val="Calibri"/>
      <family val="2"/>
      <scheme val="minor"/>
    </font>
    <font>
      <b/>
      <i/>
      <sz val="12"/>
      <color theme="1"/>
      <name val="Century Gothic"/>
      <family val="2"/>
    </font>
    <font>
      <sz val="11"/>
      <color rgb="FFD9D9D9"/>
      <name val="Roboto Light"/>
    </font>
    <font>
      <sz val="11"/>
      <color rgb="FF000000"/>
      <name val="Century Gothic"/>
      <family val="2"/>
    </font>
    <font>
      <b/>
      <sz val="11"/>
      <color rgb="FF000000"/>
      <name val="Century Gothic"/>
      <family val="2"/>
    </font>
    <font>
      <b/>
      <i/>
      <sz val="11"/>
      <color theme="1"/>
      <name val="Roboto Light"/>
    </font>
    <font>
      <b/>
      <sz val="20"/>
      <color theme="1" tint="0.249977111117893"/>
      <name val="Roboto Light"/>
    </font>
    <font>
      <b/>
      <sz val="11"/>
      <color rgb="FFFF0000"/>
      <name val="Calibri"/>
      <family val="2"/>
    </font>
    <font>
      <sz val="20"/>
      <color theme="1"/>
      <name val="Century Gothic"/>
      <family val="2"/>
    </font>
    <font>
      <sz val="8"/>
      <color indexed="60"/>
      <name val="Verdana"/>
      <family val="2"/>
    </font>
    <font>
      <sz val="8"/>
      <name val="Verdana"/>
      <family val="2"/>
    </font>
    <font>
      <sz val="8"/>
      <name val="Calibri"/>
      <family val="2"/>
      <scheme val="minor"/>
    </font>
    <font>
      <u/>
      <sz val="11"/>
      <color theme="10"/>
      <name val="Calibri"/>
      <family val="2"/>
      <scheme val="minor"/>
    </font>
    <font>
      <sz val="7"/>
      <color theme="1"/>
      <name val="Roboto Light"/>
    </font>
    <font>
      <u/>
      <sz val="10"/>
      <color indexed="12"/>
      <name val="Roboto Light"/>
    </font>
    <font>
      <b/>
      <sz val="9"/>
      <color indexed="81"/>
      <name val="Tahoma"/>
      <family val="2"/>
    </font>
    <font>
      <b/>
      <sz val="9"/>
      <color theme="1"/>
      <name val="Roboto Light"/>
    </font>
    <font>
      <b/>
      <sz val="12"/>
      <color theme="0"/>
      <name val="Century Gothic"/>
      <family val="2"/>
    </font>
    <font>
      <b/>
      <sz val="11"/>
      <color theme="4"/>
      <name val="Roboto Light"/>
    </font>
    <font>
      <u/>
      <sz val="12"/>
      <color indexed="12"/>
      <name val="Roboto"/>
    </font>
    <font>
      <u/>
      <sz val="9"/>
      <color theme="1"/>
      <name val="Century Gothic"/>
      <family val="2"/>
    </font>
    <font>
      <sz val="9"/>
      <color rgb="FFFF0000"/>
      <name val="Century Gothic"/>
      <family val="2"/>
    </font>
    <font>
      <b/>
      <vertAlign val="subscript"/>
      <sz val="14"/>
      <color rgb="FFFF0000"/>
      <name val="Roboto"/>
    </font>
    <font>
      <b/>
      <sz val="14"/>
      <color rgb="FFFF0000"/>
      <name val="Roboto"/>
    </font>
    <font>
      <sz val="9"/>
      <color indexed="81"/>
      <name val="Tahoma"/>
      <family val="2"/>
    </font>
    <font>
      <b/>
      <sz val="9"/>
      <color indexed="81"/>
      <name val="Tahoma"/>
      <family val="2"/>
    </font>
    <font>
      <b/>
      <sz val="14"/>
      <color rgb="FFFF0000"/>
      <name val="Calibri"/>
      <family val="2"/>
    </font>
    <font>
      <b/>
      <sz val="16"/>
      <color theme="0"/>
      <name val="Roboto"/>
    </font>
    <font>
      <b/>
      <sz val="9"/>
      <color rgb="FF000000"/>
      <name val="Tahoma"/>
      <family val="2"/>
    </font>
    <font>
      <sz val="9"/>
      <color rgb="FF000000"/>
      <name val="Tahoma"/>
      <family val="2"/>
    </font>
  </fonts>
  <fills count="5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rgb="FFCCFFFF"/>
        <bgColor indexed="64"/>
      </patternFill>
    </fill>
    <fill>
      <patternFill patternType="solid">
        <fgColor indexed="50"/>
        <bgColor indexed="64"/>
      </patternFill>
    </fill>
    <fill>
      <patternFill patternType="solid">
        <fgColor rgb="FFFFFF00"/>
        <bgColor indexed="64"/>
      </patternFill>
    </fill>
    <fill>
      <patternFill patternType="solid">
        <fgColor indexed="8"/>
        <bgColor indexed="64"/>
      </patternFill>
    </fill>
    <fill>
      <patternFill patternType="solid">
        <fgColor indexed="2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indexed="43"/>
        <bgColor indexed="64"/>
      </patternFill>
    </fill>
    <fill>
      <patternFill patternType="solid">
        <fgColor indexed="47"/>
        <bgColor indexed="64"/>
      </patternFill>
    </fill>
    <fill>
      <patternFill patternType="solid">
        <fgColor indexed="45"/>
        <bgColor indexed="64"/>
      </patternFill>
    </fill>
    <fill>
      <patternFill patternType="solid">
        <fgColor indexed="9"/>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0"/>
        <bgColor indexed="64"/>
      </patternFill>
    </fill>
    <fill>
      <patternFill patternType="solid">
        <fgColor rgb="FFF68B3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1" tint="4.9989318521683403E-2"/>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9"/>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bgColor indexed="64"/>
      </patternFill>
    </fill>
    <fill>
      <patternFill patternType="solid">
        <fgColor theme="5" tint="0.79998168889431442"/>
        <bgColor indexed="64"/>
      </patternFill>
    </fill>
    <fill>
      <patternFill patternType="solid">
        <fgColor theme="2" tint="-0.749992370372631"/>
        <bgColor indexed="64"/>
      </patternFill>
    </fill>
    <fill>
      <patternFill patternType="solid">
        <fgColor theme="3" tint="0.79998168889431442"/>
        <bgColor indexed="64"/>
      </patternFill>
    </fill>
    <fill>
      <patternFill patternType="solid">
        <fgColor rgb="FF172735"/>
        <bgColor indexed="64"/>
      </patternFill>
    </fill>
    <fill>
      <patternFill patternType="solid">
        <fgColor rgb="FFFFCC99"/>
        <bgColor indexed="64"/>
      </patternFill>
    </fill>
    <fill>
      <patternFill patternType="solid">
        <fgColor rgb="FFFF99CC"/>
        <bgColor indexed="64"/>
      </patternFill>
    </fill>
    <fill>
      <patternFill patternType="solid">
        <fgColor theme="5"/>
        <bgColor indexed="64"/>
      </patternFill>
    </fill>
    <fill>
      <patternFill patternType="solid">
        <fgColor theme="4"/>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EEA54C"/>
        <bgColor indexed="64"/>
      </patternFill>
    </fill>
    <fill>
      <patternFill patternType="solid">
        <fgColor rgb="FFF2F2F2"/>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rgb="FFCDFFCF"/>
        <bgColor indexed="64"/>
      </patternFill>
    </fill>
    <fill>
      <patternFill patternType="solid">
        <fgColor rgb="FF00B050"/>
        <bgColor indexed="64"/>
      </patternFill>
    </fill>
    <fill>
      <patternFill patternType="solid">
        <fgColor rgb="FFFEFFFF"/>
        <bgColor indexed="64"/>
      </patternFill>
    </fill>
  </fills>
  <borders count="147">
    <border>
      <start/>
      <end/>
      <top/>
      <bottom/>
      <diagonal/>
    </border>
    <border>
      <start style="thin">
        <color indexed="64"/>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style="thin">
        <color indexed="64"/>
      </start>
      <end/>
      <top/>
      <bottom style="thin">
        <color indexed="64"/>
      </bottom>
      <diagonal/>
    </border>
    <border>
      <start/>
      <end style="thin">
        <color indexed="64"/>
      </end>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style="thin">
        <color indexed="64"/>
      </start>
      <end style="thin">
        <color indexed="64"/>
      </end>
      <top style="thin">
        <color indexed="64"/>
      </top>
      <bottom style="thin">
        <color indexed="64"/>
      </bottom>
      <diagonal/>
    </border>
    <border>
      <start/>
      <end/>
      <top style="thin">
        <color indexed="64"/>
      </top>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end/>
      <top style="thin">
        <color indexed="64"/>
      </top>
      <bottom style="thin">
        <color indexed="64"/>
      </bottom>
      <diagonal/>
    </border>
    <border>
      <start style="medium">
        <color indexed="64"/>
      </start>
      <end/>
      <top/>
      <bottom/>
      <diagonal/>
    </border>
    <border>
      <start style="medium">
        <color indexed="64"/>
      </start>
      <end/>
      <top style="medium">
        <color indexed="64"/>
      </top>
      <bottom/>
      <diagonal/>
    </border>
    <border>
      <start/>
      <end/>
      <top style="medium">
        <color indexed="64"/>
      </top>
      <bottom/>
      <diagonal/>
    </border>
    <border>
      <start/>
      <end/>
      <top/>
      <bottom style="medium">
        <color indexed="64"/>
      </bottom>
      <diagonal/>
    </border>
    <border>
      <start style="medium">
        <color indexed="64"/>
      </start>
      <end/>
      <top style="medium">
        <color indexed="64"/>
      </top>
      <bottom style="medium">
        <color indexed="64"/>
      </bottom>
      <diagonal/>
    </border>
    <border>
      <start style="medium">
        <color indexed="64"/>
      </start>
      <end/>
      <top/>
      <bottom style="medium">
        <color indexed="64"/>
      </bottom>
      <diagonal/>
    </border>
    <border>
      <start/>
      <end/>
      <top/>
      <bottom style="thin">
        <color indexed="64"/>
      </bottom>
      <diagonal/>
    </border>
    <border>
      <start/>
      <end style="medium">
        <color indexed="64"/>
      </end>
      <top style="medium">
        <color indexed="64"/>
      </top>
      <bottom/>
      <diagonal/>
    </border>
    <border>
      <start/>
      <end style="medium">
        <color indexed="64"/>
      </end>
      <top/>
      <bottom/>
      <diagonal/>
    </border>
    <border>
      <start/>
      <end style="medium">
        <color indexed="64"/>
      </end>
      <top/>
      <bottom style="medium">
        <color indexed="64"/>
      </bottom>
      <diagonal/>
    </border>
    <border>
      <start style="medium">
        <color indexed="64"/>
      </start>
      <end/>
      <top/>
      <bottom style="thin">
        <color indexed="64"/>
      </bottom>
      <diagonal/>
    </border>
    <border>
      <start/>
      <end style="medium">
        <color indexed="64"/>
      </end>
      <top/>
      <bottom style="thin">
        <color indexed="64"/>
      </bottom>
      <diagonal/>
    </border>
    <border>
      <start style="medium">
        <color indexed="64"/>
      </start>
      <end/>
      <top style="thin">
        <color indexed="64"/>
      </top>
      <bottom style="thin">
        <color indexed="64"/>
      </bottom>
      <diagonal/>
    </border>
    <border>
      <start/>
      <end style="medium">
        <color indexed="64"/>
      </end>
      <top style="thin">
        <color indexed="64"/>
      </top>
      <bottom style="thin">
        <color indexed="64"/>
      </bottom>
      <diagonal/>
    </border>
    <border>
      <start style="medium">
        <color indexed="64"/>
      </start>
      <end/>
      <top style="thin">
        <color indexed="64"/>
      </top>
      <bottom/>
      <diagonal/>
    </border>
    <border>
      <start style="medium">
        <color indexed="64"/>
      </start>
      <end style="thin">
        <color indexed="64"/>
      </end>
      <top style="thin">
        <color indexed="64"/>
      </top>
      <bottom/>
      <diagonal/>
    </border>
    <border>
      <start style="medium">
        <color indexed="64"/>
      </start>
      <end style="thin">
        <color indexed="64"/>
      </end>
      <top/>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style="thin">
        <color indexed="64"/>
      </top>
      <bottom/>
      <diagonal/>
    </border>
    <border>
      <start style="thin">
        <color indexed="64"/>
      </start>
      <end style="medium">
        <color indexed="64"/>
      </end>
      <top/>
      <bottom/>
      <diagonal/>
    </border>
    <border>
      <start style="thin">
        <color indexed="64"/>
      </start>
      <end style="medium">
        <color indexed="64"/>
      </end>
      <top style="thin">
        <color indexed="64"/>
      </top>
      <bottom style="thin">
        <color indexed="64"/>
      </bottom>
      <diagonal/>
    </border>
    <border>
      <start/>
      <end/>
      <top style="medium">
        <color indexed="64"/>
      </top>
      <bottom style="medium">
        <color indexed="64"/>
      </bottom>
      <diagonal/>
    </border>
    <border>
      <start/>
      <end style="medium">
        <color indexed="64"/>
      </end>
      <top style="medium">
        <color indexed="64"/>
      </top>
      <bottom style="medium">
        <color indexed="64"/>
      </bottom>
      <diagonal/>
    </border>
    <border>
      <start style="medium">
        <color indexed="64"/>
      </start>
      <end style="thin">
        <color indexed="64"/>
      </end>
      <top style="medium">
        <color indexed="64"/>
      </top>
      <bottom style="thin">
        <color indexed="64"/>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thin">
        <color indexed="64"/>
      </top>
      <bottom style="thin">
        <color indexed="64"/>
      </bottom>
      <diagonal/>
    </border>
    <border>
      <start style="thin">
        <color indexed="64"/>
      </start>
      <end style="medium">
        <color indexed="64"/>
      </end>
      <top style="thin">
        <color indexed="64"/>
      </top>
      <bottom style="medium">
        <color indexed="64"/>
      </bottom>
      <diagonal/>
    </border>
    <border>
      <start/>
      <end/>
      <top/>
      <bottom style="thin">
        <color theme="4" tint="0.39997558519241921"/>
      </bottom>
      <diagonal/>
    </border>
    <border>
      <start style="medium">
        <color indexed="64"/>
      </start>
      <end style="medium">
        <color indexed="64"/>
      </end>
      <top style="thin">
        <color indexed="64"/>
      </top>
      <bottom style="thin">
        <color indexed="64"/>
      </bottom>
      <diagonal/>
    </border>
    <border>
      <start style="medium">
        <color indexed="64"/>
      </start>
      <end style="medium">
        <color indexed="64"/>
      </end>
      <top style="thin">
        <color indexed="64"/>
      </top>
      <bottom style="medium">
        <color indexed="64"/>
      </bottom>
      <diagonal/>
    </border>
    <border>
      <start/>
      <end/>
      <top style="medium">
        <color indexed="64"/>
      </top>
      <bottom style="thin">
        <color indexed="64"/>
      </bottom>
      <diagonal/>
    </border>
    <border>
      <start/>
      <end style="medium">
        <color indexed="64"/>
      </end>
      <top style="medium">
        <color indexed="64"/>
      </top>
      <bottom style="thin">
        <color indexed="64"/>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end style="thin">
        <color indexed="64"/>
      </end>
      <top style="medium">
        <color indexed="64"/>
      </top>
      <bottom style="medium">
        <color indexed="64"/>
      </bottom>
      <diagonal/>
    </border>
    <border>
      <start style="medium">
        <color indexed="64"/>
      </start>
      <end style="medium">
        <color indexed="64"/>
      </end>
      <top style="thin">
        <color indexed="64"/>
      </top>
      <bottom/>
      <diagonal/>
    </border>
    <border>
      <start style="medium">
        <color indexed="64"/>
      </start>
      <end style="medium">
        <color indexed="64"/>
      </end>
      <top/>
      <bottom/>
      <diagonal/>
    </border>
    <border>
      <start style="thin">
        <color indexed="64"/>
      </start>
      <end style="medium">
        <color indexed="64"/>
      </end>
      <top/>
      <bottom style="medium">
        <color indexed="64"/>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end style="dotted">
        <color indexed="64"/>
      </end>
      <top/>
      <bottom/>
      <diagonal/>
    </border>
    <border>
      <start/>
      <end style="dashed">
        <color indexed="64"/>
      </end>
      <top/>
      <bottom/>
      <diagonal/>
    </border>
    <border>
      <start style="dashed">
        <color indexed="64"/>
      </start>
      <end style="dashed">
        <color indexed="64"/>
      </end>
      <top/>
      <bottom/>
      <diagonal/>
    </border>
    <border>
      <start style="medium">
        <color indexed="64"/>
      </start>
      <end/>
      <top style="medium">
        <color indexed="64"/>
      </top>
      <bottom style="thin">
        <color indexed="64"/>
      </bottom>
      <diagonal/>
    </border>
    <border>
      <start/>
      <end style="hair">
        <color auto="1"/>
      </end>
      <top/>
      <bottom/>
      <diagonal/>
    </border>
    <border>
      <start/>
      <end/>
      <top/>
      <bottom style="dotted">
        <color theme="0" tint="-0.499984740745262"/>
      </bottom>
      <diagonal/>
    </border>
    <border>
      <start/>
      <end/>
      <top style="dotted">
        <color theme="0" tint="-0.499984740745262"/>
      </top>
      <bottom style="dotted">
        <color theme="0" tint="-0.499984740745262"/>
      </bottom>
      <diagonal/>
    </border>
    <border>
      <start/>
      <end/>
      <top style="dotted">
        <color theme="0" tint="-0.499984740745262"/>
      </top>
      <bottom/>
      <diagonal/>
    </border>
    <border>
      <start/>
      <end style="thin">
        <color theme="0"/>
      </end>
      <top/>
      <bottom style="thin">
        <color theme="0"/>
      </bottom>
      <diagonal/>
    </border>
    <border>
      <start style="thin">
        <color theme="0"/>
      </start>
      <end/>
      <top/>
      <bottom style="thin">
        <color theme="0"/>
      </bottom>
      <diagonal/>
    </border>
    <border>
      <start/>
      <end style="thin">
        <color theme="0"/>
      </end>
      <top style="thin">
        <color theme="0"/>
      </top>
      <bottom style="thin">
        <color theme="0"/>
      </bottom>
      <diagonal/>
    </border>
    <border>
      <start style="thin">
        <color theme="0"/>
      </start>
      <end/>
      <top style="thin">
        <color theme="0"/>
      </top>
      <bottom style="thin">
        <color theme="0"/>
      </bottom>
      <diagonal/>
    </border>
    <border>
      <start/>
      <end style="thin">
        <color theme="0"/>
      </end>
      <top style="thin">
        <color theme="0"/>
      </top>
      <bottom/>
      <diagonal/>
    </border>
    <border>
      <start style="thin">
        <color theme="0"/>
      </start>
      <end/>
      <top style="thin">
        <color theme="0"/>
      </top>
      <bottom/>
      <diagonal/>
    </border>
    <border>
      <start style="thin">
        <color theme="0"/>
      </start>
      <end style="thin">
        <color theme="0"/>
      </end>
      <top/>
      <bottom style="thin">
        <color theme="0"/>
      </bottom>
      <diagonal/>
    </border>
    <border>
      <start style="thin">
        <color theme="0"/>
      </start>
      <end style="thin">
        <color theme="0"/>
      </end>
      <top style="thin">
        <color theme="0"/>
      </top>
      <bottom style="thin">
        <color theme="0"/>
      </bottom>
      <diagonal/>
    </border>
    <border>
      <start style="thin">
        <color theme="0"/>
      </start>
      <end style="thin">
        <color theme="0"/>
      </end>
      <top style="thin">
        <color theme="0"/>
      </top>
      <bottom/>
      <diagonal/>
    </border>
    <border>
      <start/>
      <end style="thin">
        <color theme="0"/>
      </end>
      <top/>
      <bottom/>
      <diagonal/>
    </border>
    <border>
      <start style="thin">
        <color theme="0"/>
      </start>
      <end style="thin">
        <color theme="0"/>
      </end>
      <top/>
      <bottom/>
      <diagonal/>
    </border>
    <border>
      <start style="thin">
        <color theme="0"/>
      </start>
      <end/>
      <top/>
      <bottom/>
      <diagonal/>
    </border>
    <border>
      <start/>
      <end/>
      <top style="hair">
        <color theme="0" tint="-0.24994659260841701"/>
      </top>
      <bottom style="hair">
        <color theme="0" tint="-0.24994659260841701"/>
      </bottom>
      <diagonal/>
    </border>
    <border>
      <start/>
      <end/>
      <top/>
      <bottom style="thin">
        <color theme="0"/>
      </bottom>
      <diagonal/>
    </border>
    <border>
      <start/>
      <end style="dotted">
        <color theme="0" tint="-0.24994659260841701"/>
      </end>
      <top/>
      <bottom/>
      <diagonal/>
    </border>
    <border>
      <start/>
      <end style="dotted">
        <color theme="0" tint="-0.14996795556505021"/>
      </end>
      <top/>
      <bottom/>
      <diagonal/>
    </border>
    <border>
      <start style="dotted">
        <color theme="0" tint="-0.14996795556505021"/>
      </start>
      <end/>
      <top/>
      <bottom/>
      <diagonal/>
    </border>
    <border>
      <start/>
      <end style="dotted">
        <color theme="0"/>
      </end>
      <top/>
      <bottom style="dotted">
        <color theme="0"/>
      </bottom>
      <diagonal/>
    </border>
    <border>
      <start style="dotted">
        <color theme="0"/>
      </start>
      <end style="dotted">
        <color theme="0"/>
      </end>
      <top/>
      <bottom style="dotted">
        <color theme="0"/>
      </bottom>
      <diagonal/>
    </border>
    <border>
      <start style="dotted">
        <color theme="0"/>
      </start>
      <end/>
      <top/>
      <bottom style="dotted">
        <color theme="0"/>
      </bottom>
      <diagonal/>
    </border>
    <border>
      <start/>
      <end style="thin">
        <color theme="0"/>
      </end>
      <top style="thin">
        <color theme="0"/>
      </top>
      <bottom style="thin">
        <color indexed="64"/>
      </bottom>
      <diagonal/>
    </border>
    <border>
      <start style="thin">
        <color theme="0"/>
      </start>
      <end/>
      <top style="thin">
        <color theme="0"/>
      </top>
      <bottom style="thin">
        <color indexed="64"/>
      </bottom>
      <diagonal/>
    </border>
    <border>
      <start style="thin">
        <color indexed="64"/>
      </start>
      <end style="thin">
        <color theme="0"/>
      </end>
      <top style="thin">
        <color indexed="64"/>
      </top>
      <bottom style="thin">
        <color theme="0"/>
      </bottom>
      <diagonal/>
    </border>
    <border>
      <start style="thin">
        <color theme="0"/>
      </start>
      <end style="thin">
        <color theme="0"/>
      </end>
      <top style="thin">
        <color indexed="64"/>
      </top>
      <bottom style="thin">
        <color theme="0"/>
      </bottom>
      <diagonal/>
    </border>
    <border>
      <start style="thin">
        <color theme="0"/>
      </start>
      <end style="thin">
        <color indexed="64"/>
      </end>
      <top style="thin">
        <color indexed="64"/>
      </top>
      <bottom style="thin">
        <color theme="0"/>
      </bottom>
      <diagonal/>
    </border>
    <border>
      <start style="thin">
        <color indexed="64"/>
      </start>
      <end style="thin">
        <color theme="0"/>
      </end>
      <top style="thin">
        <color theme="0"/>
      </top>
      <bottom style="thin">
        <color theme="0"/>
      </bottom>
      <diagonal/>
    </border>
    <border>
      <start style="thin">
        <color theme="0"/>
      </start>
      <end style="thin">
        <color indexed="64"/>
      </end>
      <top style="thin">
        <color theme="0"/>
      </top>
      <bottom style="thin">
        <color theme="0"/>
      </bottom>
      <diagonal/>
    </border>
    <border>
      <start style="thin">
        <color indexed="64"/>
      </start>
      <end style="thin">
        <color theme="0"/>
      </end>
      <top style="thin">
        <color theme="0"/>
      </top>
      <bottom style="thin">
        <color indexed="64"/>
      </bottom>
      <diagonal/>
    </border>
    <border>
      <start style="thin">
        <color theme="0"/>
      </start>
      <end style="thin">
        <color theme="0"/>
      </end>
      <top style="thin">
        <color theme="0"/>
      </top>
      <bottom style="thin">
        <color indexed="64"/>
      </bottom>
      <diagonal/>
    </border>
    <border>
      <start style="thin">
        <color theme="0"/>
      </start>
      <end style="thin">
        <color indexed="64"/>
      </end>
      <top style="thin">
        <color theme="0"/>
      </top>
      <bottom style="thin">
        <color indexed="64"/>
      </bottom>
      <diagonal/>
    </border>
    <border>
      <start/>
      <end style="dotted">
        <color theme="0" tint="-0.14996795556505021"/>
      </end>
      <top style="thin">
        <color indexed="64"/>
      </top>
      <bottom/>
      <diagonal/>
    </border>
    <border>
      <start style="thin">
        <color indexed="64"/>
      </start>
      <end style="dotted">
        <color theme="0" tint="-0.14996795556505021"/>
      </end>
      <top style="thin">
        <color indexed="64"/>
      </top>
      <bottom/>
      <diagonal/>
    </border>
    <border>
      <start style="thin">
        <color indexed="64"/>
      </start>
      <end style="dotted">
        <color theme="0" tint="-0.14996795556505021"/>
      </end>
      <top/>
      <bottom/>
      <diagonal/>
    </border>
    <border>
      <start style="thin">
        <color indexed="64"/>
      </start>
      <end style="dotted">
        <color theme="0"/>
      </end>
      <top style="thin">
        <color indexed="64"/>
      </top>
      <bottom/>
      <diagonal/>
    </border>
    <border>
      <start/>
      <end style="thin">
        <color theme="0"/>
      </end>
      <top/>
      <bottom style="thin">
        <color indexed="64"/>
      </bottom>
      <diagonal/>
    </border>
    <border>
      <start/>
      <end/>
      <top style="thin">
        <color theme="0"/>
      </top>
      <bottom style="thin">
        <color indexed="64"/>
      </bottom>
      <diagonal/>
    </border>
    <border>
      <start/>
      <end/>
      <top/>
      <bottom style="hair">
        <color theme="0" tint="-0.14996795556505021"/>
      </bottom>
      <diagonal/>
    </border>
    <border>
      <start/>
      <end/>
      <top style="hair">
        <color theme="0" tint="-0.14996795556505021"/>
      </top>
      <bottom style="hair">
        <color theme="0" tint="-0.14996795556505021"/>
      </bottom>
      <diagonal/>
    </border>
    <border>
      <start/>
      <end/>
      <top style="hair">
        <color theme="0" tint="-0.14996795556505021"/>
      </top>
      <bottom/>
      <diagonal/>
    </border>
    <border>
      <start/>
      <end/>
      <top/>
      <bottom style="dotted">
        <color theme="0" tint="-0.24994659260841701"/>
      </bottom>
      <diagonal/>
    </border>
    <border>
      <start/>
      <end/>
      <top style="dotted">
        <color theme="0" tint="-0.24994659260841701"/>
      </top>
      <bottom style="dotted">
        <color theme="0" tint="-0.24994659260841701"/>
      </bottom>
      <diagonal/>
    </border>
    <border>
      <start/>
      <end/>
      <top style="dotted">
        <color theme="0" tint="-0.24994659260841701"/>
      </top>
      <bottom/>
      <diagonal/>
    </border>
    <border>
      <start style="dotted">
        <color theme="0" tint="-0.24994659260841701"/>
      </start>
      <end style="dotted">
        <color theme="0" tint="-0.24994659260841701"/>
      </end>
      <top/>
      <bottom/>
      <diagonal/>
    </border>
    <border>
      <start style="dotted">
        <color theme="0" tint="-0.24994659260841701"/>
      </start>
      <end/>
      <top/>
      <bottom/>
      <diagonal/>
    </border>
    <border>
      <start style="thin">
        <color indexed="64"/>
      </start>
      <end style="thin">
        <color indexed="64"/>
      </end>
      <top style="thin">
        <color theme="1"/>
      </top>
      <bottom style="thin">
        <color indexed="64"/>
      </bottom>
      <diagonal/>
    </border>
    <border>
      <start style="dotted">
        <color theme="0" tint="-0.14996795556505021"/>
      </start>
      <end style="dotted">
        <color theme="0" tint="-0.14996795556505021"/>
      </end>
      <top/>
      <bottom/>
      <diagonal/>
    </border>
    <border>
      <start style="dotted">
        <color auto="1"/>
      </start>
      <end style="dotted">
        <color auto="1"/>
      </end>
      <top/>
      <bottom/>
      <diagonal/>
    </border>
    <border>
      <start style="dotted">
        <color auto="1"/>
      </start>
      <end/>
      <top/>
      <bottom/>
      <diagonal/>
    </border>
    <border>
      <start/>
      <end/>
      <top/>
      <bottom style="double">
        <color indexed="64"/>
      </bottom>
      <diagonal/>
    </border>
    <border>
      <start/>
      <end/>
      <top style="double">
        <color indexed="64"/>
      </top>
      <bottom/>
      <diagonal/>
    </border>
    <border>
      <start/>
      <end/>
      <top/>
      <bottom style="dotted">
        <color indexed="64"/>
      </bottom>
      <diagonal/>
    </border>
    <border>
      <start/>
      <end/>
      <top/>
      <bottom style="hair">
        <color auto="1"/>
      </bottom>
      <diagonal/>
    </border>
    <border>
      <start/>
      <end/>
      <top style="thin">
        <color theme="0"/>
      </top>
      <bottom style="thin">
        <color theme="0"/>
      </bottom>
      <diagonal/>
    </border>
    <border>
      <start/>
      <end/>
      <top style="thin">
        <color theme="0"/>
      </top>
      <bottom/>
      <diagonal/>
    </border>
    <border>
      <start/>
      <end/>
      <top/>
      <bottom style="dotted">
        <color theme="0" tint="-0.14996795556505021"/>
      </bottom>
      <diagonal/>
    </border>
    <border>
      <start/>
      <end/>
      <top style="dotted">
        <color theme="0" tint="-0.14996795556505021"/>
      </top>
      <bottom style="dotted">
        <color theme="0" tint="-0.14996795556505021"/>
      </bottom>
      <diagonal/>
    </border>
    <border>
      <start/>
      <end/>
      <top/>
      <bottom style="thin">
        <color theme="1"/>
      </bottom>
      <diagonal/>
    </border>
    <border>
      <start/>
      <end/>
      <top style="thin">
        <color indexed="64"/>
      </top>
      <bottom style="medium">
        <color indexed="64"/>
      </bottom>
      <diagonal/>
    </border>
    <border>
      <start style="thin">
        <color indexed="64"/>
      </start>
      <end style="medium">
        <color indexed="64"/>
      </end>
      <top/>
      <bottom style="thin">
        <color indexed="64"/>
      </bottom>
      <diagonal/>
    </border>
    <border>
      <start/>
      <end style="thin">
        <color indexed="64"/>
      </end>
      <top/>
      <bottom style="medium">
        <color indexed="64"/>
      </bottom>
      <diagonal/>
    </border>
    <border>
      <start/>
      <end style="thin">
        <color theme="0"/>
      </end>
      <top style="thin">
        <color indexed="64"/>
      </top>
      <bottom style="thin">
        <color theme="0"/>
      </bottom>
      <diagonal/>
    </border>
    <border>
      <start style="thin">
        <color theme="0"/>
      </start>
      <end/>
      <top style="thin">
        <color indexed="64"/>
      </top>
      <bottom style="thin">
        <color theme="0"/>
      </bottom>
      <diagonal/>
    </border>
    <border>
      <start style="dotted">
        <color theme="8" tint="0.59996337778862885"/>
      </start>
      <end style="dotted">
        <color theme="8" tint="0.59996337778862885"/>
      </end>
      <top/>
      <bottom/>
      <diagonal/>
    </border>
    <border>
      <start style="dotted">
        <color indexed="64"/>
      </start>
      <end/>
      <top style="thin">
        <color indexed="64"/>
      </top>
      <bottom/>
      <diagonal/>
    </border>
    <border>
      <start style="dotted">
        <color auto="1"/>
      </start>
      <end/>
      <top/>
      <bottom style="thin">
        <color indexed="64"/>
      </bottom>
      <diagonal/>
    </border>
    <border>
      <start style="thin">
        <color indexed="64"/>
      </start>
      <end style="thin">
        <color indexed="64"/>
      </end>
      <top style="thin">
        <color indexed="64"/>
      </top>
      <bottom style="thin">
        <color theme="0"/>
      </bottom>
      <diagonal/>
    </border>
    <border>
      <start style="thin">
        <color indexed="64"/>
      </start>
      <end style="thin">
        <color indexed="64"/>
      </end>
      <top style="thin">
        <color theme="0"/>
      </top>
      <bottom style="thin">
        <color theme="0"/>
      </bottom>
      <diagonal/>
    </border>
    <border>
      <start style="thin">
        <color indexed="64"/>
      </start>
      <end style="thin">
        <color indexed="64"/>
      </end>
      <top style="thin">
        <color theme="0"/>
      </top>
      <bottom style="thin">
        <color indexed="64"/>
      </bottom>
      <diagonal/>
    </border>
    <border>
      <start/>
      <end style="thin">
        <color theme="0"/>
      </end>
      <top style="thin">
        <color indexed="64"/>
      </top>
      <bottom/>
      <diagonal/>
    </border>
    <border>
      <start style="thin">
        <color theme="0"/>
      </start>
      <end style="thin">
        <color theme="0"/>
      </end>
      <top style="thin">
        <color indexed="64"/>
      </top>
      <bottom/>
      <diagonal/>
    </border>
    <border>
      <start style="thin">
        <color theme="0"/>
      </start>
      <end/>
      <top style="thin">
        <color indexed="64"/>
      </top>
      <bottom/>
      <diagonal/>
    </border>
    <border>
      <start/>
      <end/>
      <top style="thin">
        <color indexed="64"/>
      </top>
      <bottom style="thin">
        <color theme="0"/>
      </bottom>
      <diagonal/>
    </border>
    <border>
      <start style="thin">
        <color indexed="64"/>
      </start>
      <end style="thin">
        <color theme="0"/>
      </end>
      <top style="thin">
        <color theme="0"/>
      </top>
      <bottom/>
      <diagonal/>
    </border>
    <border>
      <start style="thin">
        <color indexed="64"/>
      </start>
      <end style="thin">
        <color theme="0"/>
      </end>
      <top/>
      <bottom style="thin">
        <color theme="0"/>
      </bottom>
      <diagonal/>
    </border>
    <border>
      <start style="thick">
        <color theme="0"/>
      </start>
      <end/>
      <top/>
      <bottom/>
      <diagonal/>
    </border>
    <border>
      <start/>
      <end style="medium">
        <color rgb="FFFFFFFF"/>
      </end>
      <top/>
      <bottom style="medium">
        <color rgb="FFFFFFFF"/>
      </bottom>
      <diagonal/>
    </border>
    <border>
      <start/>
      <end/>
      <top/>
      <bottom style="medium">
        <color rgb="FFFFFFFF"/>
      </bottom>
      <diagonal/>
    </border>
    <border>
      <start style="thin">
        <color indexed="22"/>
      </start>
      <end style="thin">
        <color indexed="22"/>
      </end>
      <top style="thin">
        <color indexed="22"/>
      </top>
      <bottom style="thin">
        <color indexed="22"/>
      </bottom>
      <diagonal/>
    </border>
    <border>
      <start style="thin">
        <color indexed="22"/>
      </start>
      <end style="thin">
        <color indexed="22"/>
      </end>
      <top/>
      <bottom/>
      <diagonal/>
    </border>
    <border>
      <start style="thin">
        <color rgb="FFFEFFFF"/>
      </start>
      <end/>
      <top/>
      <bottom/>
      <diagonal/>
    </border>
    <border>
      <start/>
      <end style="thin">
        <color rgb="FFFEFFFF"/>
      </end>
      <top/>
      <bottom/>
      <diagonal/>
    </border>
  </borders>
  <cellStyleXfs count="8">
    <xf numFmtId="0" fontId="0" fillId="0" borderId="0"/>
    <xf numFmtId="0" fontId="4" fillId="0" borderId="0"/>
    <xf numFmtId="0" fontId="4" fillId="0" borderId="0"/>
    <xf numFmtId="0" fontId="23" fillId="0" borderId="0" applyNumberFormat="0" applyFill="0" applyBorder="0" applyAlignment="0" applyProtection="0">
      <alignment vertical="top"/>
      <protection locked="0"/>
    </xf>
    <xf numFmtId="43" fontId="38" fillId="0" borderId="0" applyFont="0" applyFill="0" applyBorder="0" applyAlignment="0" applyProtection="0"/>
    <xf numFmtId="43" fontId="38" fillId="0" borderId="0" applyFont="0" applyFill="0" applyBorder="0" applyAlignment="0" applyProtection="0"/>
    <xf numFmtId="9" fontId="38" fillId="0" borderId="0" applyFont="0" applyFill="0" applyBorder="0" applyAlignment="0" applyProtection="0"/>
    <xf numFmtId="0" fontId="303" fillId="0" borderId="0" applyNumberFormat="0" applyFill="0" applyBorder="0" applyAlignment="0" applyProtection="0"/>
  </cellStyleXfs>
  <cellXfs count="4638">
    <xf numFmtId="0" fontId="0" fillId="0" borderId="0" xfId="0"/>
    <xf numFmtId="0" fontId="0" fillId="2" borderId="3" xfId="0" applyFill="1" applyBorder="1"/>
    <xf numFmtId="0" fontId="0" fillId="2" borderId="5" xfId="0" applyFill="1" applyBorder="1"/>
    <xf numFmtId="0" fontId="3" fillId="2" borderId="7" xfId="0" applyFont="1" applyFill="1" applyBorder="1"/>
    <xf numFmtId="0" fontId="0" fillId="4" borderId="0" xfId="0" applyFill="1"/>
    <xf numFmtId="0" fontId="5" fillId="2" borderId="2" xfId="0" applyFont="1" applyFill="1" applyBorder="1"/>
    <xf numFmtId="0" fontId="0" fillId="0" borderId="10" xfId="0" applyBorder="1"/>
    <xf numFmtId="0" fontId="4" fillId="0" borderId="10" xfId="2" applyBorder="1"/>
    <xf numFmtId="0" fontId="8" fillId="7" borderId="7" xfId="0" applyFont="1" applyFill="1" applyBorder="1"/>
    <xf numFmtId="0" fontId="4" fillId="9" borderId="0" xfId="0" applyFont="1" applyFill="1"/>
    <xf numFmtId="0" fontId="0" fillId="10" borderId="17" xfId="0" applyFill="1" applyBorder="1" applyAlignment="1">
      <alignment horizontal="center"/>
    </xf>
    <xf numFmtId="0" fontId="4" fillId="10" borderId="17" xfId="0" applyFont="1" applyFill="1" applyBorder="1"/>
    <xf numFmtId="0" fontId="0" fillId="10" borderId="17" xfId="0" applyFill="1" applyBorder="1"/>
    <xf numFmtId="0" fontId="0" fillId="10" borderId="18" xfId="0" applyFill="1" applyBorder="1" applyAlignment="1">
      <alignment horizontal="center"/>
    </xf>
    <xf numFmtId="0" fontId="0" fillId="10" borderId="18" xfId="0" applyFill="1" applyBorder="1"/>
    <xf numFmtId="0" fontId="0" fillId="10" borderId="0" xfId="0" applyFill="1" applyAlignment="1">
      <alignment horizontal="center"/>
    </xf>
    <xf numFmtId="164" fontId="0" fillId="0" borderId="0" xfId="0" applyNumberFormat="1"/>
    <xf numFmtId="1" fontId="0" fillId="0" borderId="0" xfId="0" applyNumberFormat="1"/>
    <xf numFmtId="0" fontId="0" fillId="10" borderId="0" xfId="0" applyFill="1"/>
    <xf numFmtId="0" fontId="4" fillId="6" borderId="8" xfId="0" applyFont="1" applyFill="1" applyBorder="1" applyAlignment="1">
      <alignment horizontal="center" wrapText="1"/>
    </xf>
    <xf numFmtId="0" fontId="0" fillId="6" borderId="8" xfId="0" applyFill="1" applyBorder="1"/>
    <xf numFmtId="0" fontId="0" fillId="6" borderId="0" xfId="0" applyFill="1"/>
    <xf numFmtId="0" fontId="4" fillId="6" borderId="0" xfId="0" applyFont="1" applyFill="1" applyAlignment="1">
      <alignment horizontal="center" wrapText="1"/>
    </xf>
    <xf numFmtId="0" fontId="4" fillId="6" borderId="0" xfId="0" applyFont="1" applyFill="1" applyAlignment="1">
      <alignment horizontal="center"/>
    </xf>
    <xf numFmtId="0" fontId="2" fillId="6" borderId="10" xfId="0" applyFont="1" applyFill="1" applyBorder="1" applyAlignment="1">
      <alignment horizontal="center" vertical="top"/>
    </xf>
    <xf numFmtId="0" fontId="15" fillId="6" borderId="10" xfId="0" applyFont="1" applyFill="1" applyBorder="1" applyAlignment="1">
      <alignment horizontal="center" vertical="top"/>
    </xf>
    <xf numFmtId="0" fontId="2" fillId="6" borderId="12" xfId="0" applyFont="1" applyFill="1" applyBorder="1" applyAlignment="1">
      <alignment horizontal="left" vertical="center" indent="1"/>
    </xf>
    <xf numFmtId="0" fontId="2" fillId="6" borderId="13" xfId="0" applyFont="1" applyFill="1" applyBorder="1" applyAlignment="1">
      <alignment horizontal="left" vertical="center"/>
    </xf>
    <xf numFmtId="0" fontId="4" fillId="6" borderId="10" xfId="0" applyFont="1" applyFill="1" applyBorder="1" applyAlignment="1">
      <alignment horizontal="center" vertical="top" wrapText="1"/>
    </xf>
    <xf numFmtId="0" fontId="2" fillId="6" borderId="10" xfId="0" applyFont="1" applyFill="1" applyBorder="1" applyAlignment="1">
      <alignment horizontal="center" vertical="center"/>
    </xf>
    <xf numFmtId="0" fontId="0" fillId="6" borderId="10" xfId="0" applyFill="1" applyBorder="1" applyAlignment="1">
      <alignment horizontal="center" vertical="top" wrapText="1"/>
    </xf>
    <xf numFmtId="0" fontId="0" fillId="6" borderId="10" xfId="0" applyFill="1" applyBorder="1" applyAlignment="1">
      <alignment horizontal="center" wrapText="1"/>
    </xf>
    <xf numFmtId="0" fontId="3" fillId="6" borderId="10" xfId="0" applyFont="1" applyFill="1" applyBorder="1" applyAlignment="1">
      <alignment horizontal="center" vertical="center"/>
    </xf>
    <xf numFmtId="0" fontId="3" fillId="6" borderId="10" xfId="0" applyFont="1" applyFill="1" applyBorder="1" applyAlignment="1">
      <alignment horizontal="left" vertical="center"/>
    </xf>
    <xf numFmtId="0" fontId="2" fillId="6" borderId="7" xfId="0" applyFont="1" applyFill="1" applyBorder="1" applyAlignment="1">
      <alignment horizontal="left" vertical="center"/>
    </xf>
    <xf numFmtId="0" fontId="0" fillId="6" borderId="8" xfId="0" applyFill="1" applyBorder="1" applyAlignment="1">
      <alignment vertical="top"/>
    </xf>
    <xf numFmtId="0" fontId="4" fillId="6" borderId="8" xfId="0" applyFont="1" applyFill="1" applyBorder="1" applyAlignment="1">
      <alignment vertical="top"/>
    </xf>
    <xf numFmtId="0" fontId="0" fillId="6" borderId="9" xfId="0" applyFill="1" applyBorder="1"/>
    <xf numFmtId="0" fontId="2" fillId="6" borderId="7" xfId="0" applyFont="1" applyFill="1" applyBorder="1" applyAlignment="1">
      <alignment horizontal="center" vertical="center"/>
    </xf>
    <xf numFmtId="0" fontId="0" fillId="6" borderId="8" xfId="0" applyFill="1" applyBorder="1" applyAlignment="1">
      <alignment horizontal="center" vertical="top" wrapText="1"/>
    </xf>
    <xf numFmtId="0" fontId="0" fillId="6" borderId="8" xfId="0" applyFill="1" applyBorder="1" applyAlignment="1">
      <alignment horizontal="center" vertical="top"/>
    </xf>
    <xf numFmtId="0" fontId="0" fillId="6" borderId="8" xfId="0" applyFill="1" applyBorder="1" applyAlignment="1">
      <alignment horizontal="center"/>
    </xf>
    <xf numFmtId="0" fontId="0" fillId="6" borderId="9" xfId="0" applyFill="1" applyBorder="1" applyAlignment="1">
      <alignment horizontal="center"/>
    </xf>
    <xf numFmtId="0" fontId="4" fillId="6" borderId="8" xfId="0" applyFont="1" applyFill="1" applyBorder="1" applyAlignment="1">
      <alignment horizontal="center" vertical="top" wrapText="1"/>
    </xf>
    <xf numFmtId="0" fontId="0" fillId="6" borderId="7" xfId="0" applyFill="1" applyBorder="1" applyAlignment="1">
      <alignment horizontal="center"/>
    </xf>
    <xf numFmtId="2" fontId="0" fillId="6" borderId="7" xfId="0" applyNumberFormat="1" applyFill="1" applyBorder="1" applyAlignment="1">
      <alignment horizontal="center" wrapText="1"/>
    </xf>
    <xf numFmtId="2" fontId="0" fillId="6" borderId="8" xfId="0" applyNumberFormat="1" applyFill="1" applyBorder="1" applyAlignment="1">
      <alignment horizontal="center" wrapText="1"/>
    </xf>
    <xf numFmtId="2" fontId="0" fillId="6" borderId="8" xfId="0" applyNumberFormat="1" applyFill="1" applyBorder="1" applyAlignment="1">
      <alignment horizontal="center"/>
    </xf>
    <xf numFmtId="2" fontId="0" fillId="6" borderId="9" xfId="0" applyNumberFormat="1" applyFill="1" applyBorder="1" applyAlignment="1">
      <alignment horizontal="center"/>
    </xf>
    <xf numFmtId="0" fontId="5" fillId="10" borderId="16" xfId="0" applyFont="1" applyFill="1" applyBorder="1" applyAlignment="1">
      <alignment horizontal="left"/>
    </xf>
    <xf numFmtId="0" fontId="5" fillId="10" borderId="15" xfId="0" applyFont="1" applyFill="1" applyBorder="1" applyAlignment="1">
      <alignment horizontal="left"/>
    </xf>
    <xf numFmtId="0" fontId="3" fillId="10" borderId="17" xfId="0" applyFont="1" applyFill="1" applyBorder="1"/>
    <xf numFmtId="0" fontId="33" fillId="6" borderId="20" xfId="0" applyFont="1" applyFill="1" applyBorder="1"/>
    <xf numFmtId="0" fontId="29" fillId="6" borderId="18" xfId="0" applyFont="1" applyFill="1" applyBorder="1"/>
    <xf numFmtId="0" fontId="28" fillId="10" borderId="7" xfId="0" applyFont="1" applyFill="1" applyBorder="1" applyAlignment="1">
      <alignment horizontal="center"/>
    </xf>
    <xf numFmtId="0" fontId="0" fillId="6" borderId="8" xfId="0" applyFill="1" applyBorder="1" applyAlignment="1">
      <alignment horizontal="left"/>
    </xf>
    <xf numFmtId="0" fontId="0" fillId="6" borderId="8" xfId="0" applyFill="1" applyBorder="1" applyAlignment="1">
      <alignment horizontal="right"/>
    </xf>
    <xf numFmtId="0" fontId="0" fillId="6" borderId="9" xfId="0" applyFill="1" applyBorder="1" applyAlignment="1">
      <alignment horizontal="right"/>
    </xf>
    <xf numFmtId="2" fontId="0" fillId="0" borderId="0" xfId="0" applyNumberFormat="1"/>
    <xf numFmtId="0" fontId="28" fillId="10" borderId="7" xfId="0" applyFont="1" applyFill="1" applyBorder="1" applyAlignment="1">
      <alignment horizontal="left"/>
    </xf>
    <xf numFmtId="2" fontId="0" fillId="6" borderId="9" xfId="0" applyNumberFormat="1" applyFill="1" applyBorder="1"/>
    <xf numFmtId="2" fontId="0" fillId="6" borderId="8" xfId="0" applyNumberFormat="1" applyFill="1" applyBorder="1"/>
    <xf numFmtId="0" fontId="28" fillId="10" borderId="10" xfId="0" applyFont="1" applyFill="1" applyBorder="1" applyAlignment="1">
      <alignment horizontal="center"/>
    </xf>
    <xf numFmtId="0" fontId="0" fillId="6" borderId="7" xfId="0" applyFill="1" applyBorder="1"/>
    <xf numFmtId="0" fontId="0" fillId="0" borderId="10" xfId="0" applyBorder="1" applyAlignment="1">
      <alignment horizontal="center"/>
    </xf>
    <xf numFmtId="0" fontId="28" fillId="10" borderId="10" xfId="0" applyFont="1" applyFill="1" applyBorder="1" applyAlignment="1">
      <alignment horizontal="left"/>
    </xf>
    <xf numFmtId="0" fontId="8" fillId="7" borderId="1" xfId="0" applyFont="1" applyFill="1" applyBorder="1"/>
    <xf numFmtId="0" fontId="3" fillId="12" borderId="10" xfId="0" applyFont="1" applyFill="1" applyBorder="1"/>
    <xf numFmtId="0" fontId="3" fillId="12" borderId="14" xfId="0" applyFont="1" applyFill="1" applyBorder="1"/>
    <xf numFmtId="0" fontId="3" fillId="12" borderId="13" xfId="0" applyFont="1" applyFill="1" applyBorder="1" applyAlignment="1">
      <alignment horizontal="left"/>
    </xf>
    <xf numFmtId="0" fontId="3" fillId="12" borderId="10" xfId="0" applyFont="1" applyFill="1" applyBorder="1" applyAlignment="1">
      <alignment horizontal="left"/>
    </xf>
    <xf numFmtId="0" fontId="9" fillId="0" borderId="0" xfId="0" applyFont="1"/>
    <xf numFmtId="0" fontId="10" fillId="9" borderId="7" xfId="0" applyFont="1" applyFill="1" applyBorder="1"/>
    <xf numFmtId="0" fontId="10" fillId="9" borderId="9" xfId="0" applyFont="1" applyFill="1" applyBorder="1"/>
    <xf numFmtId="0" fontId="10" fillId="9" borderId="7" xfId="0" applyFont="1" applyFill="1" applyBorder="1" applyAlignment="1">
      <alignment horizontal="center"/>
    </xf>
    <xf numFmtId="0" fontId="10" fillId="9" borderId="9" xfId="0" applyFont="1" applyFill="1" applyBorder="1" applyAlignment="1">
      <alignment horizontal="center"/>
    </xf>
    <xf numFmtId="0" fontId="45" fillId="9" borderId="7" xfId="0" applyFont="1" applyFill="1" applyBorder="1" applyAlignment="1">
      <alignment horizontal="center"/>
    </xf>
    <xf numFmtId="0" fontId="45" fillId="9" borderId="9" xfId="0" applyFont="1" applyFill="1" applyBorder="1" applyAlignment="1">
      <alignment horizontal="center"/>
    </xf>
    <xf numFmtId="0" fontId="4" fillId="8" borderId="7" xfId="0" applyFont="1" applyFill="1" applyBorder="1" applyAlignment="1">
      <alignment horizontal="center"/>
    </xf>
    <xf numFmtId="0" fontId="4" fillId="8" borderId="9" xfId="0" applyFont="1" applyFill="1" applyBorder="1" applyAlignment="1">
      <alignment horizontal="center"/>
    </xf>
    <xf numFmtId="0" fontId="4" fillId="14" borderId="12" xfId="0" applyFont="1" applyFill="1" applyBorder="1" applyAlignment="1">
      <alignment horizontal="left" vertical="center" indent="7"/>
    </xf>
    <xf numFmtId="0" fontId="4" fillId="14" borderId="14" xfId="0" applyFont="1" applyFill="1" applyBorder="1" applyAlignment="1">
      <alignment horizontal="left" vertical="center" indent="7"/>
    </xf>
    <xf numFmtId="0" fontId="4" fillId="14" borderId="13" xfId="0" applyFont="1" applyFill="1" applyBorder="1" applyAlignment="1">
      <alignment horizontal="left" vertical="center" indent="7"/>
    </xf>
    <xf numFmtId="1" fontId="10" fillId="12" borderId="8" xfId="0" applyNumberFormat="1" applyFont="1" applyFill="1" applyBorder="1" applyAlignment="1">
      <alignment horizontal="center"/>
    </xf>
    <xf numFmtId="0" fontId="30" fillId="0" borderId="0" xfId="0" applyFont="1"/>
    <xf numFmtId="2" fontId="10" fillId="12" borderId="8" xfId="0" applyNumberFormat="1" applyFont="1" applyFill="1" applyBorder="1" applyAlignment="1">
      <alignment horizontal="center"/>
    </xf>
    <xf numFmtId="2" fontId="10" fillId="12" borderId="9" xfId="0" applyNumberFormat="1" applyFont="1" applyFill="1" applyBorder="1" applyAlignment="1">
      <alignment horizontal="center"/>
    </xf>
    <xf numFmtId="166" fontId="0" fillId="0" borderId="0" xfId="4" applyNumberFormat="1" applyFont="1" applyBorder="1"/>
    <xf numFmtId="2" fontId="10" fillId="12" borderId="8" xfId="0" applyNumberFormat="1" applyFont="1" applyFill="1" applyBorder="1"/>
    <xf numFmtId="2" fontId="10" fillId="12" borderId="3" xfId="0" applyNumberFormat="1" applyFont="1" applyFill="1" applyBorder="1"/>
    <xf numFmtId="2" fontId="10" fillId="12" borderId="4" xfId="0" applyNumberFormat="1" applyFont="1" applyFill="1" applyBorder="1"/>
    <xf numFmtId="2" fontId="10" fillId="12" borderId="5" xfId="0" applyNumberFormat="1" applyFont="1" applyFill="1" applyBorder="1"/>
    <xf numFmtId="2" fontId="10" fillId="12" borderId="6" xfId="0" applyNumberFormat="1" applyFont="1" applyFill="1" applyBorder="1"/>
    <xf numFmtId="2" fontId="10" fillId="12" borderId="9" xfId="0" applyNumberFormat="1" applyFont="1" applyFill="1" applyBorder="1"/>
    <xf numFmtId="2" fontId="44" fillId="12" borderId="8" xfId="0" applyNumberFormat="1" applyFont="1" applyFill="1" applyBorder="1" applyAlignment="1">
      <alignment horizontal="center"/>
    </xf>
    <xf numFmtId="2" fontId="44" fillId="12" borderId="3" xfId="0" applyNumberFormat="1" applyFont="1" applyFill="1" applyBorder="1" applyAlignment="1">
      <alignment horizontal="center"/>
    </xf>
    <xf numFmtId="2" fontId="10" fillId="12" borderId="4" xfId="0" applyNumberFormat="1" applyFont="1" applyFill="1" applyBorder="1" applyAlignment="1">
      <alignment horizontal="center"/>
    </xf>
    <xf numFmtId="2" fontId="48" fillId="12" borderId="4" xfId="0" applyNumberFormat="1" applyFont="1" applyFill="1" applyBorder="1" applyAlignment="1">
      <alignment horizontal="center"/>
    </xf>
    <xf numFmtId="2" fontId="45" fillId="12" borderId="10" xfId="0" applyNumberFormat="1" applyFont="1" applyFill="1" applyBorder="1"/>
    <xf numFmtId="2" fontId="44" fillId="12" borderId="5" xfId="0" applyNumberFormat="1" applyFont="1" applyFill="1" applyBorder="1" applyAlignment="1">
      <alignment horizontal="left" vertical="top" indent="11"/>
    </xf>
    <xf numFmtId="2" fontId="10" fillId="12" borderId="10" xfId="0" applyNumberFormat="1" applyFont="1" applyFill="1" applyBorder="1" applyAlignment="1">
      <alignment horizontal="center"/>
    </xf>
    <xf numFmtId="2" fontId="44" fillId="12" borderId="9" xfId="0" applyNumberFormat="1" applyFont="1" applyFill="1" applyBorder="1" applyAlignment="1">
      <alignment horizontal="center"/>
    </xf>
    <xf numFmtId="0" fontId="3" fillId="10" borderId="16" xfId="0" applyFont="1" applyFill="1" applyBorder="1"/>
    <xf numFmtId="0" fontId="0" fillId="10" borderId="22" xfId="0" applyFill="1" applyBorder="1"/>
    <xf numFmtId="0" fontId="3" fillId="10" borderId="15" xfId="0" applyFont="1" applyFill="1" applyBorder="1"/>
    <xf numFmtId="0" fontId="3" fillId="10" borderId="25" xfId="0" applyFont="1" applyFill="1" applyBorder="1"/>
    <xf numFmtId="0" fontId="0" fillId="10" borderId="21" xfId="0" applyFill="1" applyBorder="1"/>
    <xf numFmtId="0" fontId="0" fillId="10" borderId="26" xfId="0" applyFill="1" applyBorder="1"/>
    <xf numFmtId="0" fontId="0" fillId="10" borderId="27" xfId="0" applyFill="1" applyBorder="1"/>
    <xf numFmtId="2" fontId="0" fillId="6" borderId="7" xfId="0" applyNumberFormat="1" applyFill="1" applyBorder="1"/>
    <xf numFmtId="0" fontId="20" fillId="13" borderId="19" xfId="0" applyFont="1" applyFill="1" applyBorder="1" applyAlignment="1">
      <alignment vertical="center"/>
    </xf>
    <xf numFmtId="2" fontId="44" fillId="12" borderId="3" xfId="0" applyNumberFormat="1" applyFont="1" applyFill="1" applyBorder="1" applyAlignment="1">
      <alignment horizontal="left" vertical="top" indent="10"/>
    </xf>
    <xf numFmtId="0" fontId="5" fillId="12" borderId="8" xfId="0" applyFont="1" applyFill="1" applyBorder="1" applyAlignment="1">
      <alignment horizontal="center"/>
    </xf>
    <xf numFmtId="0" fontId="5" fillId="12" borderId="8" xfId="0" applyFont="1" applyFill="1" applyBorder="1" applyAlignment="1">
      <alignment horizontal="center" vertical="center" wrapText="1"/>
    </xf>
    <xf numFmtId="49" fontId="5" fillId="12" borderId="8" xfId="0" applyNumberFormat="1" applyFont="1" applyFill="1" applyBorder="1" applyAlignment="1">
      <alignment horizontal="center" vertical="center"/>
    </xf>
    <xf numFmtId="49" fontId="5" fillId="12" borderId="8" xfId="0" applyNumberFormat="1" applyFont="1" applyFill="1" applyBorder="1" applyAlignment="1">
      <alignment horizontal="center" vertical="center" wrapText="1"/>
    </xf>
    <xf numFmtId="0" fontId="15" fillId="12" borderId="8" xfId="0" applyFont="1" applyFill="1" applyBorder="1" applyAlignment="1">
      <alignment horizontal="center" vertical="center" wrapText="1"/>
    </xf>
    <xf numFmtId="2" fontId="10" fillId="12" borderId="7" xfId="0" applyNumberFormat="1" applyFont="1" applyFill="1" applyBorder="1" applyAlignment="1">
      <alignment horizontal="center"/>
    </xf>
    <xf numFmtId="2" fontId="10" fillId="12" borderId="6" xfId="0" applyNumberFormat="1" applyFont="1" applyFill="1" applyBorder="1" applyAlignment="1">
      <alignment horizontal="center"/>
    </xf>
    <xf numFmtId="2" fontId="44" fillId="12" borderId="5" xfId="0" applyNumberFormat="1" applyFont="1" applyFill="1" applyBorder="1" applyAlignment="1">
      <alignment horizontal="left" vertical="top" indent="14"/>
    </xf>
    <xf numFmtId="2" fontId="10" fillId="12" borderId="6" xfId="0" applyNumberFormat="1" applyFont="1" applyFill="1" applyBorder="1" applyAlignment="1">
      <alignment horizontal="left" indent="14"/>
    </xf>
    <xf numFmtId="0" fontId="5" fillId="12" borderId="10" xfId="0" applyFont="1" applyFill="1" applyBorder="1" applyAlignment="1">
      <alignment horizontal="center" vertical="center" wrapText="1"/>
    </xf>
    <xf numFmtId="2" fontId="44" fillId="12" borderId="4" xfId="0" applyNumberFormat="1" applyFont="1" applyFill="1" applyBorder="1" applyAlignment="1">
      <alignment horizontal="center"/>
    </xf>
    <xf numFmtId="2" fontId="10" fillId="12" borderId="9" xfId="0" applyNumberFormat="1" applyFont="1" applyFill="1" applyBorder="1" applyAlignment="1">
      <alignment horizontal="left"/>
    </xf>
    <xf numFmtId="0" fontId="0" fillId="10" borderId="23" xfId="0" applyFill="1" applyBorder="1"/>
    <xf numFmtId="0" fontId="0" fillId="10" borderId="14" xfId="0" applyFill="1" applyBorder="1"/>
    <xf numFmtId="0" fontId="0" fillId="10" borderId="28" xfId="0" applyFill="1" applyBorder="1"/>
    <xf numFmtId="0" fontId="0" fillId="6" borderId="15" xfId="0" applyFill="1" applyBorder="1"/>
    <xf numFmtId="0" fontId="0" fillId="6" borderId="23" xfId="0" applyFill="1" applyBorder="1"/>
    <xf numFmtId="0" fontId="0" fillId="6" borderId="20" xfId="0" applyFill="1" applyBorder="1"/>
    <xf numFmtId="0" fontId="0" fillId="6" borderId="18" xfId="0" applyFill="1" applyBorder="1"/>
    <xf numFmtId="0" fontId="0" fillId="6" borderId="24" xfId="0" applyFill="1" applyBorder="1"/>
    <xf numFmtId="165" fontId="0" fillId="6" borderId="7" xfId="0" applyNumberFormat="1" applyFill="1" applyBorder="1" applyAlignment="1">
      <alignment horizontal="right"/>
    </xf>
    <xf numFmtId="0" fontId="28" fillId="6" borderId="31" xfId="0" applyFont="1" applyFill="1" applyBorder="1"/>
    <xf numFmtId="0" fontId="0" fillId="6" borderId="30" xfId="0" applyFill="1" applyBorder="1" applyAlignment="1">
      <alignment horizontal="left"/>
    </xf>
    <xf numFmtId="0" fontId="0" fillId="6" borderId="31" xfId="0" applyFill="1" applyBorder="1" applyAlignment="1">
      <alignment horizontal="left"/>
    </xf>
    <xf numFmtId="0" fontId="0" fillId="6" borderId="32" xfId="0" applyFill="1" applyBorder="1" applyAlignment="1">
      <alignment horizontal="left"/>
    </xf>
    <xf numFmtId="0" fontId="0" fillId="6" borderId="29" xfId="0" applyFill="1" applyBorder="1"/>
    <xf numFmtId="0" fontId="4" fillId="8" borderId="3" xfId="0" applyFont="1" applyFill="1" applyBorder="1"/>
    <xf numFmtId="0" fontId="4" fillId="8" borderId="4" xfId="0" applyFont="1" applyFill="1" applyBorder="1"/>
    <xf numFmtId="0" fontId="4" fillId="8" borderId="6" xfId="0" applyFont="1" applyFill="1" applyBorder="1"/>
    <xf numFmtId="0" fontId="0" fillId="9" borderId="5" xfId="0" applyFill="1" applyBorder="1"/>
    <xf numFmtId="0" fontId="5" fillId="8" borderId="12" xfId="0" applyFont="1" applyFill="1" applyBorder="1"/>
    <xf numFmtId="0" fontId="5" fillId="8" borderId="13" xfId="0" applyFont="1" applyFill="1" applyBorder="1"/>
    <xf numFmtId="0" fontId="4" fillId="0" borderId="0" xfId="0" applyFont="1" applyAlignment="1">
      <alignment horizontal="right"/>
    </xf>
    <xf numFmtId="0" fontId="23" fillId="0" borderId="0" xfId="3" applyAlignment="1" applyProtection="1"/>
    <xf numFmtId="0" fontId="5" fillId="12" borderId="10" xfId="0" applyFont="1" applyFill="1" applyBorder="1"/>
    <xf numFmtId="0" fontId="5" fillId="9" borderId="1" xfId="0" applyFont="1" applyFill="1" applyBorder="1"/>
    <xf numFmtId="0" fontId="5" fillId="9" borderId="11" xfId="0" applyFont="1" applyFill="1" applyBorder="1"/>
    <xf numFmtId="0" fontId="0" fillId="9" borderId="2" xfId="0" applyFill="1" applyBorder="1"/>
    <xf numFmtId="0" fontId="0" fillId="9" borderId="3" xfId="0" applyFill="1" applyBorder="1"/>
    <xf numFmtId="0" fontId="0" fillId="9" borderId="0" xfId="0" applyFill="1"/>
    <xf numFmtId="0" fontId="0" fillId="9" borderId="4" xfId="0" applyFill="1" applyBorder="1"/>
    <xf numFmtId="0" fontId="0" fillId="9" borderId="6" xfId="0" applyFill="1" applyBorder="1"/>
    <xf numFmtId="0" fontId="5" fillId="9" borderId="3" xfId="0" applyFont="1" applyFill="1" applyBorder="1"/>
    <xf numFmtId="0" fontId="5" fillId="9" borderId="0" xfId="0" applyFont="1" applyFill="1"/>
    <xf numFmtId="0" fontId="5" fillId="9" borderId="4" xfId="0" applyFont="1" applyFill="1" applyBorder="1"/>
    <xf numFmtId="2" fontId="44" fillId="12" borderId="3" xfId="0" applyNumberFormat="1" applyFont="1" applyFill="1" applyBorder="1" applyAlignment="1">
      <alignment horizontal="left" vertical="top" indent="14"/>
    </xf>
    <xf numFmtId="2" fontId="10" fillId="12" borderId="4" xfId="0" applyNumberFormat="1" applyFont="1" applyFill="1" applyBorder="1" applyAlignment="1">
      <alignment horizontal="left" indent="14"/>
    </xf>
    <xf numFmtId="0" fontId="20" fillId="13" borderId="37" xfId="0" applyFont="1" applyFill="1" applyBorder="1"/>
    <xf numFmtId="0" fontId="51" fillId="13" borderId="37" xfId="0" applyFont="1" applyFill="1" applyBorder="1" applyAlignment="1">
      <alignment vertical="center"/>
    </xf>
    <xf numFmtId="0" fontId="20" fillId="13" borderId="38" xfId="0" applyFont="1" applyFill="1" applyBorder="1"/>
    <xf numFmtId="2" fontId="52" fillId="6" borderId="8" xfId="0" applyNumberFormat="1" applyFont="1" applyFill="1" applyBorder="1" applyAlignment="1">
      <alignment horizontal="center" vertical="center"/>
    </xf>
    <xf numFmtId="0" fontId="9" fillId="6" borderId="8" xfId="0" applyFont="1" applyFill="1" applyBorder="1" applyAlignment="1">
      <alignment horizontal="center"/>
    </xf>
    <xf numFmtId="2" fontId="9" fillId="6" borderId="8" xfId="0" applyNumberFormat="1" applyFont="1" applyFill="1" applyBorder="1" applyAlignment="1">
      <alignment horizontal="center"/>
    </xf>
    <xf numFmtId="0" fontId="37" fillId="6" borderId="8" xfId="0" applyFont="1" applyFill="1" applyBorder="1" applyAlignment="1">
      <alignment vertical="top"/>
    </xf>
    <xf numFmtId="0" fontId="0" fillId="11" borderId="4" xfId="0" applyFill="1" applyBorder="1" applyAlignment="1">
      <alignment horizontal="center"/>
    </xf>
    <xf numFmtId="0" fontId="0" fillId="6" borderId="2" xfId="0" applyFill="1" applyBorder="1" applyAlignment="1">
      <alignment horizontal="center" wrapText="1"/>
    </xf>
    <xf numFmtId="0" fontId="0" fillId="6" borderId="4" xfId="0" applyFill="1" applyBorder="1" applyAlignment="1">
      <alignment horizontal="center" wrapText="1"/>
    </xf>
    <xf numFmtId="0" fontId="0" fillId="6" borderId="4" xfId="0" applyFill="1" applyBorder="1" applyAlignment="1">
      <alignment horizontal="center"/>
    </xf>
    <xf numFmtId="0" fontId="9" fillId="6" borderId="4" xfId="0" applyFont="1" applyFill="1" applyBorder="1" applyAlignment="1">
      <alignment horizontal="center"/>
    </xf>
    <xf numFmtId="0" fontId="0" fillId="6" borderId="6" xfId="0" applyFill="1" applyBorder="1" applyAlignment="1">
      <alignment horizontal="center"/>
    </xf>
    <xf numFmtId="2" fontId="9" fillId="6" borderId="8" xfId="0" applyNumberFormat="1" applyFont="1" applyFill="1" applyBorder="1" applyAlignment="1">
      <alignment horizontal="center" wrapText="1"/>
    </xf>
    <xf numFmtId="0" fontId="52" fillId="6" borderId="4" xfId="0" applyFont="1" applyFill="1" applyBorder="1" applyAlignment="1">
      <alignment horizontal="center" vertical="center"/>
    </xf>
    <xf numFmtId="165" fontId="0" fillId="0" borderId="0" xfId="0" applyNumberFormat="1"/>
    <xf numFmtId="167" fontId="30" fillId="0" borderId="0" xfId="0" applyNumberFormat="1" applyFont="1"/>
    <xf numFmtId="0" fontId="5" fillId="0" borderId="10" xfId="2" applyFont="1" applyBorder="1" applyAlignment="1">
      <alignment horizontal="center"/>
    </xf>
    <xf numFmtId="0" fontId="5" fillId="0" borderId="10" xfId="2" applyFont="1" applyBorder="1" applyAlignment="1">
      <alignment horizontal="left"/>
    </xf>
    <xf numFmtId="0" fontId="4" fillId="0" borderId="0" xfId="2"/>
    <xf numFmtId="0" fontId="10" fillId="0" borderId="0" xfId="0" applyFont="1"/>
    <xf numFmtId="0" fontId="10" fillId="0" borderId="19" xfId="0" applyFont="1" applyBorder="1"/>
    <xf numFmtId="0" fontId="10" fillId="0" borderId="37" xfId="0" applyFont="1" applyBorder="1"/>
    <xf numFmtId="0" fontId="10" fillId="0" borderId="38" xfId="0" applyFont="1" applyBorder="1"/>
    <xf numFmtId="1" fontId="10" fillId="0" borderId="10" xfId="0" applyNumberFormat="1" applyFont="1" applyBorder="1"/>
    <xf numFmtId="1" fontId="10" fillId="0" borderId="0" xfId="0" applyNumberFormat="1" applyFont="1"/>
    <xf numFmtId="0" fontId="5" fillId="2" borderId="9" xfId="0" applyFont="1" applyFill="1" applyBorder="1"/>
    <xf numFmtId="0" fontId="44" fillId="2" borderId="9" xfId="0" applyFont="1" applyFill="1" applyBorder="1"/>
    <xf numFmtId="1" fontId="44" fillId="2" borderId="9" xfId="0" applyNumberFormat="1" applyFont="1" applyFill="1" applyBorder="1"/>
    <xf numFmtId="0" fontId="4" fillId="0" borderId="10" xfId="2" applyBorder="1" applyAlignment="1">
      <alignment horizontal="left"/>
    </xf>
    <xf numFmtId="0" fontId="54" fillId="0" borderId="0" xfId="0" applyFont="1"/>
    <xf numFmtId="0" fontId="5" fillId="0" borderId="42" xfId="2" applyFont="1" applyBorder="1" applyAlignment="1">
      <alignment horizontal="left"/>
    </xf>
    <xf numFmtId="0" fontId="5" fillId="0" borderId="36" xfId="2" applyFont="1" applyBorder="1" applyAlignment="1">
      <alignment horizontal="center"/>
    </xf>
    <xf numFmtId="0" fontId="4" fillId="0" borderId="42" xfId="2" applyBorder="1"/>
    <xf numFmtId="0" fontId="4" fillId="0" borderId="36" xfId="2" applyBorder="1" applyAlignment="1">
      <alignment horizontal="left"/>
    </xf>
    <xf numFmtId="1" fontId="0" fillId="5" borderId="23" xfId="0" applyNumberFormat="1" applyFill="1" applyBorder="1"/>
    <xf numFmtId="0" fontId="4" fillId="0" borderId="42" xfId="2" applyBorder="1" applyAlignment="1">
      <alignment horizontal="left"/>
    </xf>
    <xf numFmtId="1" fontId="0" fillId="5" borderId="36" xfId="0" applyNumberFormat="1" applyFill="1" applyBorder="1"/>
    <xf numFmtId="1" fontId="10" fillId="0" borderId="42" xfId="0" applyNumberFormat="1" applyFont="1" applyBorder="1"/>
    <xf numFmtId="1" fontId="0" fillId="5" borderId="43" xfId="0" applyNumberFormat="1" applyFill="1" applyBorder="1"/>
    <xf numFmtId="0" fontId="7" fillId="0" borderId="39" xfId="2" applyFont="1" applyBorder="1" applyAlignment="1">
      <alignment horizontal="left" indent="22"/>
    </xf>
    <xf numFmtId="0" fontId="6" fillId="0" borderId="40" xfId="1" applyFont="1" applyBorder="1" applyAlignment="1">
      <alignment horizontal="left" indent="11"/>
    </xf>
    <xf numFmtId="0" fontId="6" fillId="0" borderId="40" xfId="2" applyFont="1" applyBorder="1" applyAlignment="1">
      <alignment horizontal="left" indent="11"/>
    </xf>
    <xf numFmtId="0" fontId="6" fillId="0" borderId="41" xfId="2" applyFont="1" applyBorder="1" applyAlignment="1">
      <alignment horizontal="left" indent="11"/>
    </xf>
    <xf numFmtId="0" fontId="4" fillId="19" borderId="36" xfId="2" applyFill="1" applyBorder="1" applyAlignment="1">
      <alignment horizontal="left"/>
    </xf>
    <xf numFmtId="1" fontId="10" fillId="19" borderId="36" xfId="0" applyNumberFormat="1" applyFont="1" applyFill="1" applyBorder="1"/>
    <xf numFmtId="0" fontId="3" fillId="20" borderId="44" xfId="0" applyFont="1" applyFill="1" applyBorder="1"/>
    <xf numFmtId="0" fontId="0" fillId="0" borderId="0" xfId="0" applyAlignment="1">
      <alignment horizontal="left"/>
    </xf>
    <xf numFmtId="0" fontId="4" fillId="0" borderId="0" xfId="1"/>
    <xf numFmtId="0" fontId="37" fillId="0" borderId="0" xfId="0" applyFont="1"/>
    <xf numFmtId="1" fontId="0" fillId="5" borderId="10" xfId="0" applyNumberFormat="1" applyFill="1" applyBorder="1"/>
    <xf numFmtId="1" fontId="4" fillId="5" borderId="10" xfId="0" applyNumberFormat="1" applyFont="1" applyFill="1" applyBorder="1"/>
    <xf numFmtId="1" fontId="0" fillId="6" borderId="10" xfId="0" applyNumberFormat="1" applyFill="1" applyBorder="1"/>
    <xf numFmtId="0" fontId="4" fillId="19" borderId="45" xfId="2" applyFill="1" applyBorder="1" applyAlignment="1">
      <alignment horizontal="left"/>
    </xf>
    <xf numFmtId="0" fontId="4" fillId="19" borderId="46" xfId="2" applyFill="1" applyBorder="1" applyAlignment="1">
      <alignment horizontal="left"/>
    </xf>
    <xf numFmtId="0" fontId="4" fillId="19" borderId="43" xfId="2" applyFill="1" applyBorder="1" applyAlignment="1">
      <alignment horizontal="left"/>
    </xf>
    <xf numFmtId="0" fontId="4" fillId="0" borderId="10" xfId="0" applyFont="1" applyBorder="1"/>
    <xf numFmtId="0" fontId="5" fillId="0" borderId="39" xfId="1" applyFont="1" applyBorder="1" applyAlignment="1">
      <alignment horizontal="left" indent="16"/>
    </xf>
    <xf numFmtId="0" fontId="3" fillId="0" borderId="47" xfId="0" applyFont="1" applyBorder="1"/>
    <xf numFmtId="0" fontId="3" fillId="0" borderId="48" xfId="0" applyFont="1" applyBorder="1"/>
    <xf numFmtId="0" fontId="5" fillId="0" borderId="42" xfId="2" applyFont="1" applyBorder="1" applyAlignment="1">
      <alignment horizontal="center"/>
    </xf>
    <xf numFmtId="0" fontId="4" fillId="0" borderId="49" xfId="2" applyBorder="1" applyAlignment="1">
      <alignment horizontal="left"/>
    </xf>
    <xf numFmtId="0" fontId="4" fillId="0" borderId="50" xfId="0" applyFont="1" applyBorder="1"/>
    <xf numFmtId="0" fontId="4" fillId="0" borderId="10" xfId="1" applyBorder="1"/>
    <xf numFmtId="0" fontId="4" fillId="0" borderId="0" xfId="0" applyFont="1"/>
    <xf numFmtId="2" fontId="45" fillId="12" borderId="10" xfId="0" applyNumberFormat="1" applyFont="1" applyFill="1" applyBorder="1" applyAlignment="1">
      <alignment horizontal="center"/>
    </xf>
    <xf numFmtId="0" fontId="3" fillId="2" borderId="10" xfId="0" applyFont="1" applyFill="1" applyBorder="1" applyAlignment="1">
      <alignment horizontal="center"/>
    </xf>
    <xf numFmtId="49" fontId="44" fillId="12" borderId="3" xfId="0" applyNumberFormat="1" applyFont="1" applyFill="1" applyBorder="1" applyAlignment="1">
      <alignment horizontal="center"/>
    </xf>
    <xf numFmtId="2" fontId="4" fillId="12" borderId="0" xfId="0" applyNumberFormat="1" applyFont="1" applyFill="1" applyAlignment="1">
      <alignment horizontal="right"/>
    </xf>
    <xf numFmtId="0" fontId="20" fillId="13" borderId="19" xfId="0" applyFont="1" applyFill="1" applyBorder="1"/>
    <xf numFmtId="0" fontId="21" fillId="13" borderId="37" xfId="0" applyFont="1" applyFill="1" applyBorder="1" applyAlignment="1">
      <alignment horizontal="left" vertical="center"/>
    </xf>
    <xf numFmtId="0" fontId="20" fillId="13" borderId="51" xfId="0" applyFont="1" applyFill="1" applyBorder="1"/>
    <xf numFmtId="9" fontId="0" fillId="0" borderId="0" xfId="0" applyNumberFormat="1"/>
    <xf numFmtId="0" fontId="0" fillId="21" borderId="0" xfId="0" applyFill="1"/>
    <xf numFmtId="2" fontId="0" fillId="21" borderId="0" xfId="0" applyNumberFormat="1" applyFill="1"/>
    <xf numFmtId="0" fontId="3" fillId="2" borderId="10" xfId="0" applyFont="1" applyFill="1" applyBorder="1" applyAlignment="1">
      <alignment horizontal="left"/>
    </xf>
    <xf numFmtId="0" fontId="0" fillId="0" borderId="0" xfId="0" applyAlignment="1">
      <alignment horizontal="center"/>
    </xf>
    <xf numFmtId="0" fontId="0" fillId="0" borderId="8" xfId="0" applyBorder="1"/>
    <xf numFmtId="0" fontId="0" fillId="0" borderId="9" xfId="0" applyBorder="1"/>
    <xf numFmtId="0" fontId="0" fillId="0" borderId="7" xfId="0" applyBorder="1"/>
    <xf numFmtId="0" fontId="50" fillId="10" borderId="22" xfId="0" applyFont="1" applyFill="1" applyBorder="1"/>
    <xf numFmtId="0" fontId="50" fillId="10" borderId="17" xfId="0" applyFont="1" applyFill="1" applyBorder="1"/>
    <xf numFmtId="2" fontId="9" fillId="6" borderId="7" xfId="0" applyNumberFormat="1" applyFont="1" applyFill="1" applyBorder="1"/>
    <xf numFmtId="2" fontId="9" fillId="6" borderId="8" xfId="0" applyNumberFormat="1" applyFont="1" applyFill="1" applyBorder="1"/>
    <xf numFmtId="2" fontId="9" fillId="6" borderId="9" xfId="0" applyNumberFormat="1" applyFont="1" applyFill="1" applyBorder="1"/>
    <xf numFmtId="2" fontId="0" fillId="6" borderId="4" xfId="0" applyNumberFormat="1" applyFill="1" applyBorder="1"/>
    <xf numFmtId="2" fontId="4" fillId="6" borderId="8" xfId="0" applyNumberFormat="1" applyFont="1" applyFill="1" applyBorder="1"/>
    <xf numFmtId="2" fontId="37" fillId="6" borderId="8" xfId="0" applyNumberFormat="1" applyFont="1" applyFill="1" applyBorder="1"/>
    <xf numFmtId="2" fontId="0" fillId="6" borderId="6" xfId="0" applyNumberFormat="1" applyFill="1" applyBorder="1"/>
    <xf numFmtId="2" fontId="0" fillId="6" borderId="1" xfId="0" applyNumberFormat="1" applyFill="1" applyBorder="1"/>
    <xf numFmtId="2" fontId="0" fillId="6" borderId="3" xfId="0" applyNumberFormat="1" applyFill="1" applyBorder="1"/>
    <xf numFmtId="2" fontId="9" fillId="6" borderId="3" xfId="0" applyNumberFormat="1" applyFont="1" applyFill="1" applyBorder="1"/>
    <xf numFmtId="2" fontId="0" fillId="6" borderId="0" xfId="0" applyNumberFormat="1" applyFill="1"/>
    <xf numFmtId="2" fontId="0" fillId="6" borderId="5" xfId="0" applyNumberFormat="1" applyFill="1" applyBorder="1"/>
    <xf numFmtId="2" fontId="9" fillId="6" borderId="1" xfId="0" applyNumberFormat="1" applyFont="1" applyFill="1" applyBorder="1"/>
    <xf numFmtId="2" fontId="0" fillId="6" borderId="11" xfId="0" applyNumberFormat="1" applyFill="1" applyBorder="1"/>
    <xf numFmtId="0" fontId="28" fillId="10" borderId="10" xfId="0" applyFont="1" applyFill="1" applyBorder="1"/>
    <xf numFmtId="2" fontId="0" fillId="12" borderId="7" xfId="0" applyNumberFormat="1" applyFill="1" applyBorder="1"/>
    <xf numFmtId="2" fontId="0" fillId="12" borderId="8" xfId="0" applyNumberFormat="1" applyFill="1" applyBorder="1"/>
    <xf numFmtId="2" fontId="0" fillId="12" borderId="9" xfId="0" applyNumberFormat="1" applyFill="1" applyBorder="1"/>
    <xf numFmtId="2" fontId="0" fillId="6" borderId="2" xfId="0" applyNumberFormat="1" applyFill="1" applyBorder="1"/>
    <xf numFmtId="0" fontId="0" fillId="12" borderId="7" xfId="0" applyFill="1" applyBorder="1"/>
    <xf numFmtId="0" fontId="0" fillId="12" borderId="8" xfId="0" applyFill="1" applyBorder="1"/>
    <xf numFmtId="0" fontId="0" fillId="12" borderId="9" xfId="0" applyFill="1" applyBorder="1"/>
    <xf numFmtId="0" fontId="0" fillId="6" borderId="1" xfId="0" applyFill="1" applyBorder="1"/>
    <xf numFmtId="0" fontId="0" fillId="6" borderId="3" xfId="0" applyFill="1" applyBorder="1"/>
    <xf numFmtId="0" fontId="0" fillId="6" borderId="5" xfId="0" applyFill="1" applyBorder="1"/>
    <xf numFmtId="0" fontId="0" fillId="6" borderId="2" xfId="0" applyFill="1" applyBorder="1"/>
    <xf numFmtId="0" fontId="9" fillId="6" borderId="7" xfId="0" applyFont="1" applyFill="1" applyBorder="1"/>
    <xf numFmtId="0" fontId="9" fillId="6" borderId="1" xfId="0" applyFont="1" applyFill="1" applyBorder="1"/>
    <xf numFmtId="0" fontId="0" fillId="6" borderId="4" xfId="0" applyFill="1" applyBorder="1"/>
    <xf numFmtId="0" fontId="9" fillId="6" borderId="8" xfId="0" applyFont="1" applyFill="1" applyBorder="1"/>
    <xf numFmtId="0" fontId="9" fillId="6" borderId="3" xfId="0" applyFont="1" applyFill="1" applyBorder="1"/>
    <xf numFmtId="0" fontId="0" fillId="6" borderId="6" xfId="0" applyFill="1" applyBorder="1"/>
    <xf numFmtId="0" fontId="9" fillId="6" borderId="9" xfId="0" applyFont="1" applyFill="1" applyBorder="1"/>
    <xf numFmtId="0" fontId="9" fillId="6" borderId="5" xfId="0" applyFont="1" applyFill="1" applyBorder="1"/>
    <xf numFmtId="0" fontId="9" fillId="6" borderId="2" xfId="0" applyFont="1" applyFill="1" applyBorder="1"/>
    <xf numFmtId="0" fontId="9" fillId="6" borderId="4" xfId="0" applyFont="1" applyFill="1" applyBorder="1"/>
    <xf numFmtId="0" fontId="9" fillId="6" borderId="6" xfId="0" applyFont="1" applyFill="1" applyBorder="1"/>
    <xf numFmtId="0" fontId="3" fillId="10" borderId="0" xfId="0" applyFont="1" applyFill="1"/>
    <xf numFmtId="0" fontId="9" fillId="6" borderId="0" xfId="0" applyFont="1" applyFill="1"/>
    <xf numFmtId="0" fontId="9" fillId="6" borderId="21" xfId="0" applyFont="1" applyFill="1" applyBorder="1"/>
    <xf numFmtId="0" fontId="9" fillId="6" borderId="11" xfId="0" applyFont="1" applyFill="1" applyBorder="1"/>
    <xf numFmtId="0" fontId="0" fillId="6" borderId="0" xfId="0" applyFill="1" applyAlignment="1">
      <alignment horizontal="right"/>
    </xf>
    <xf numFmtId="0" fontId="37" fillId="12" borderId="8" xfId="0" applyFont="1" applyFill="1" applyBorder="1"/>
    <xf numFmtId="0" fontId="0" fillId="22" borderId="0" xfId="0" applyFill="1"/>
    <xf numFmtId="0" fontId="0" fillId="22" borderId="11" xfId="0" applyFill="1" applyBorder="1"/>
    <xf numFmtId="0" fontId="50" fillId="12" borderId="10" xfId="0" applyFont="1" applyFill="1" applyBorder="1"/>
    <xf numFmtId="0" fontId="0" fillId="22" borderId="10" xfId="0" applyFill="1" applyBorder="1"/>
    <xf numFmtId="0" fontId="3" fillId="0" borderId="14" xfId="0" applyFont="1" applyBorder="1"/>
    <xf numFmtId="0" fontId="0" fillId="22" borderId="14" xfId="0" applyFill="1" applyBorder="1"/>
    <xf numFmtId="0" fontId="50" fillId="12" borderId="21" xfId="0" applyFont="1" applyFill="1" applyBorder="1"/>
    <xf numFmtId="0" fontId="0" fillId="6" borderId="11" xfId="0" applyFill="1" applyBorder="1"/>
    <xf numFmtId="0" fontId="0" fillId="6" borderId="21" xfId="0" applyFill="1" applyBorder="1"/>
    <xf numFmtId="0" fontId="32" fillId="10" borderId="10" xfId="0" applyFont="1" applyFill="1" applyBorder="1"/>
    <xf numFmtId="0" fontId="32" fillId="10" borderId="10" xfId="0" applyFont="1" applyFill="1" applyBorder="1" applyAlignment="1">
      <alignment horizontal="left"/>
    </xf>
    <xf numFmtId="0" fontId="3" fillId="20" borderId="10" xfId="0" applyFont="1" applyFill="1" applyBorder="1"/>
    <xf numFmtId="0" fontId="28" fillId="10" borderId="7" xfId="0" applyFont="1" applyFill="1" applyBorder="1"/>
    <xf numFmtId="2" fontId="4" fillId="6" borderId="4" xfId="0" applyNumberFormat="1" applyFont="1" applyFill="1" applyBorder="1"/>
    <xf numFmtId="2" fontId="0" fillId="6" borderId="21" xfId="0" applyNumberFormat="1" applyFill="1" applyBorder="1"/>
    <xf numFmtId="2" fontId="0" fillId="12" borderId="3" xfId="0" applyNumberFormat="1" applyFill="1" applyBorder="1"/>
    <xf numFmtId="2" fontId="9" fillId="6" borderId="5" xfId="0" applyNumberFormat="1" applyFont="1" applyFill="1" applyBorder="1"/>
    <xf numFmtId="2" fontId="9" fillId="12" borderId="7" xfId="0" applyNumberFormat="1" applyFont="1" applyFill="1" applyBorder="1"/>
    <xf numFmtId="2" fontId="9" fillId="12" borderId="8" xfId="0" applyNumberFormat="1" applyFont="1" applyFill="1" applyBorder="1"/>
    <xf numFmtId="2" fontId="9" fillId="12" borderId="9" xfId="0" applyNumberFormat="1" applyFont="1" applyFill="1" applyBorder="1"/>
    <xf numFmtId="2" fontId="9" fillId="12" borderId="4" xfId="0" applyNumberFormat="1" applyFont="1" applyFill="1" applyBorder="1"/>
    <xf numFmtId="0" fontId="9" fillId="12" borderId="8" xfId="0" applyFont="1" applyFill="1" applyBorder="1"/>
    <xf numFmtId="0" fontId="9" fillId="12" borderId="7" xfId="0" applyFont="1" applyFill="1" applyBorder="1"/>
    <xf numFmtId="0" fontId="9" fillId="12" borderId="9" xfId="0" applyFont="1" applyFill="1" applyBorder="1"/>
    <xf numFmtId="0" fontId="9" fillId="12" borderId="3" xfId="0" applyFont="1" applyFill="1" applyBorder="1"/>
    <xf numFmtId="2" fontId="4" fillId="6" borderId="0" xfId="0" applyNumberFormat="1" applyFont="1" applyFill="1"/>
    <xf numFmtId="2" fontId="4" fillId="6" borderId="3" xfId="0" applyNumberFormat="1" applyFont="1" applyFill="1" applyBorder="1"/>
    <xf numFmtId="0" fontId="0" fillId="12" borderId="0" xfId="0" applyFill="1" applyAlignment="1">
      <alignment horizontal="right" vertical="center" wrapText="1"/>
    </xf>
    <xf numFmtId="0" fontId="3" fillId="2" borderId="10" xfId="0" applyFont="1" applyFill="1" applyBorder="1"/>
    <xf numFmtId="0" fontId="0" fillId="2" borderId="10" xfId="0" applyFill="1" applyBorder="1"/>
    <xf numFmtId="0" fontId="28" fillId="10" borderId="1" xfId="0" applyFont="1" applyFill="1" applyBorder="1" applyAlignment="1">
      <alignment horizontal="center"/>
    </xf>
    <xf numFmtId="0" fontId="28" fillId="10" borderId="2" xfId="0" applyFont="1" applyFill="1" applyBorder="1" applyAlignment="1">
      <alignment horizontal="center"/>
    </xf>
    <xf numFmtId="0" fontId="28" fillId="10" borderId="52" xfId="0" applyFont="1" applyFill="1" applyBorder="1" applyAlignment="1">
      <alignment horizontal="center"/>
    </xf>
    <xf numFmtId="0" fontId="59" fillId="0" borderId="0" xfId="0" applyFont="1" applyAlignment="1">
      <alignment horizontal="left" vertical="center"/>
    </xf>
    <xf numFmtId="0" fontId="0" fillId="0" borderId="10" xfId="0" applyBorder="1" applyAlignment="1">
      <alignment wrapText="1"/>
    </xf>
    <xf numFmtId="0" fontId="0" fillId="12" borderId="1" xfId="0" applyFill="1" applyBorder="1"/>
    <xf numFmtId="0" fontId="0" fillId="12" borderId="3" xfId="0" applyFill="1" applyBorder="1"/>
    <xf numFmtId="0" fontId="32" fillId="10" borderId="31" xfId="0" applyFont="1" applyFill="1" applyBorder="1"/>
    <xf numFmtId="0" fontId="28" fillId="10" borderId="8" xfId="0" applyFont="1" applyFill="1" applyBorder="1" applyAlignment="1">
      <alignment horizontal="center"/>
    </xf>
    <xf numFmtId="0" fontId="28" fillId="10" borderId="3" xfId="0" applyFont="1" applyFill="1" applyBorder="1" applyAlignment="1">
      <alignment horizontal="center"/>
    </xf>
    <xf numFmtId="0" fontId="28" fillId="10" borderId="53" xfId="0" applyFont="1" applyFill="1" applyBorder="1" applyAlignment="1">
      <alignment horizontal="center"/>
    </xf>
    <xf numFmtId="0" fontId="28" fillId="10" borderId="4" xfId="0" applyFont="1" applyFill="1" applyBorder="1" applyAlignment="1">
      <alignment horizontal="center"/>
    </xf>
    <xf numFmtId="0" fontId="28" fillId="10" borderId="35" xfId="0" applyFont="1" applyFill="1" applyBorder="1" applyAlignment="1">
      <alignment horizontal="center"/>
    </xf>
    <xf numFmtId="0" fontId="5" fillId="10" borderId="1" xfId="0" applyFont="1" applyFill="1" applyBorder="1" applyAlignment="1">
      <alignment horizontal="left"/>
    </xf>
    <xf numFmtId="0" fontId="3" fillId="10" borderId="11" xfId="0" applyFont="1" applyFill="1" applyBorder="1"/>
    <xf numFmtId="0" fontId="0" fillId="10" borderId="11" xfId="0" applyFill="1" applyBorder="1"/>
    <xf numFmtId="0" fontId="31" fillId="10" borderId="11" xfId="0" applyFont="1" applyFill="1" applyBorder="1"/>
    <xf numFmtId="0" fontId="30" fillId="10" borderId="11" xfId="0" applyFont="1" applyFill="1" applyBorder="1"/>
    <xf numFmtId="0" fontId="0" fillId="10" borderId="2" xfId="0" applyFill="1" applyBorder="1"/>
    <xf numFmtId="0" fontId="5" fillId="10" borderId="5" xfId="0" applyFont="1" applyFill="1" applyBorder="1" applyAlignment="1">
      <alignment horizontal="left"/>
    </xf>
    <xf numFmtId="0" fontId="31" fillId="10" borderId="21" xfId="0" applyFont="1" applyFill="1" applyBorder="1"/>
    <xf numFmtId="0" fontId="0" fillId="10" borderId="6" xfId="0" applyFill="1" applyBorder="1"/>
    <xf numFmtId="0" fontId="0" fillId="0" borderId="0" xfId="0" applyAlignment="1">
      <alignment horizontal="right"/>
    </xf>
    <xf numFmtId="166" fontId="0" fillId="0" borderId="0" xfId="4" applyNumberFormat="1" applyFont="1"/>
    <xf numFmtId="0" fontId="28" fillId="10" borderId="34" xfId="0" applyFont="1" applyFill="1" applyBorder="1" applyAlignment="1">
      <alignment horizontal="left"/>
    </xf>
    <xf numFmtId="0" fontId="7" fillId="0" borderId="5" xfId="0" applyFont="1" applyBorder="1"/>
    <xf numFmtId="0" fontId="50" fillId="0" borderId="21" xfId="0" applyFont="1" applyBorder="1"/>
    <xf numFmtId="0" fontId="0" fillId="0" borderId="21" xfId="0" applyBorder="1"/>
    <xf numFmtId="0" fontId="7" fillId="0" borderId="10" xfId="0" applyFont="1" applyBorder="1" applyAlignment="1">
      <alignment horizontal="left" indent="2"/>
    </xf>
    <xf numFmtId="0" fontId="4" fillId="0" borderId="13" xfId="0" applyFont="1" applyBorder="1" applyAlignment="1">
      <alignment horizontal="center"/>
    </xf>
    <xf numFmtId="0" fontId="6" fillId="0" borderId="10" xfId="0" applyFont="1" applyBorder="1" applyAlignment="1">
      <alignment horizontal="center"/>
    </xf>
    <xf numFmtId="0" fontId="32" fillId="10" borderId="7" xfId="0" applyFont="1" applyFill="1" applyBorder="1" applyAlignment="1">
      <alignment horizontal="center"/>
    </xf>
    <xf numFmtId="0" fontId="32" fillId="10" borderId="2" xfId="0" applyFont="1" applyFill="1" applyBorder="1" applyAlignment="1">
      <alignment horizontal="center"/>
    </xf>
    <xf numFmtId="0" fontId="32" fillId="10" borderId="8" xfId="0" applyFont="1" applyFill="1" applyBorder="1"/>
    <xf numFmtId="0" fontId="32" fillId="10" borderId="8" xfId="0" applyFont="1" applyFill="1" applyBorder="1" applyAlignment="1">
      <alignment horizontal="center"/>
    </xf>
    <xf numFmtId="0" fontId="3" fillId="10" borderId="0" xfId="0" applyFont="1" applyFill="1" applyAlignment="1">
      <alignment vertical="center"/>
    </xf>
    <xf numFmtId="0" fontId="3" fillId="10" borderId="16" xfId="0" applyFont="1" applyFill="1" applyBorder="1" applyAlignment="1">
      <alignment vertical="center"/>
    </xf>
    <xf numFmtId="0" fontId="3" fillId="10" borderId="17" xfId="0" applyFont="1" applyFill="1" applyBorder="1" applyAlignment="1">
      <alignment vertical="center"/>
    </xf>
    <xf numFmtId="0" fontId="3" fillId="10" borderId="22" xfId="0" applyFont="1" applyFill="1" applyBorder="1" applyAlignment="1">
      <alignment vertical="center"/>
    </xf>
    <xf numFmtId="0" fontId="3" fillId="10" borderId="15" xfId="0" applyFont="1" applyFill="1" applyBorder="1" applyAlignment="1">
      <alignment vertical="center"/>
    </xf>
    <xf numFmtId="0" fontId="3" fillId="10" borderId="23" xfId="0" applyFont="1" applyFill="1" applyBorder="1" applyAlignment="1">
      <alignment vertical="center"/>
    </xf>
    <xf numFmtId="0" fontId="63" fillId="6" borderId="1" xfId="0" applyFont="1" applyFill="1" applyBorder="1" applyAlignment="1">
      <alignment horizontal="left" vertical="center"/>
    </xf>
    <xf numFmtId="0" fontId="64" fillId="6" borderId="11" xfId="0" applyFont="1" applyFill="1" applyBorder="1" applyAlignment="1">
      <alignment wrapText="1"/>
    </xf>
    <xf numFmtId="0" fontId="64" fillId="6" borderId="2" xfId="0" applyFont="1" applyFill="1" applyBorder="1" applyAlignment="1">
      <alignment wrapText="1"/>
    </xf>
    <xf numFmtId="0" fontId="3" fillId="10" borderId="12" xfId="0" applyFont="1" applyFill="1" applyBorder="1"/>
    <xf numFmtId="0" fontId="3" fillId="10" borderId="14" xfId="0" applyFont="1" applyFill="1" applyBorder="1"/>
    <xf numFmtId="0" fontId="0" fillId="10" borderId="13" xfId="0" applyFill="1" applyBorder="1"/>
    <xf numFmtId="0" fontId="3" fillId="12" borderId="7" xfId="0" applyFont="1" applyFill="1" applyBorder="1"/>
    <xf numFmtId="0" fontId="0" fillId="0" borderId="11" xfId="0" applyBorder="1"/>
    <xf numFmtId="0" fontId="0" fillId="9" borderId="8" xfId="0" applyFill="1" applyBorder="1" applyAlignment="1">
      <alignment horizontal="center"/>
    </xf>
    <xf numFmtId="0" fontId="0" fillId="9" borderId="9" xfId="0" applyFill="1" applyBorder="1" applyAlignment="1">
      <alignment horizontal="center"/>
    </xf>
    <xf numFmtId="0" fontId="0" fillId="0" borderId="2" xfId="0" applyBorder="1"/>
    <xf numFmtId="0" fontId="0" fillId="0" borderId="4" xfId="0" applyBorder="1"/>
    <xf numFmtId="0" fontId="0" fillId="0" borderId="6" xfId="0" applyBorder="1"/>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32" fillId="10" borderId="10" xfId="0" applyFont="1" applyFill="1" applyBorder="1" applyAlignment="1">
      <alignment horizontal="center"/>
    </xf>
    <xf numFmtId="0" fontId="3" fillId="10" borderId="3" xfId="0" applyFont="1" applyFill="1" applyBorder="1" applyAlignment="1">
      <alignment vertical="center"/>
    </xf>
    <xf numFmtId="0" fontId="3" fillId="10" borderId="4" xfId="0" applyFont="1" applyFill="1" applyBorder="1" applyAlignment="1">
      <alignment vertical="center"/>
    </xf>
    <xf numFmtId="0" fontId="32" fillId="10" borderId="3" xfId="0" applyFont="1" applyFill="1" applyBorder="1"/>
    <xf numFmtId="0" fontId="32" fillId="10" borderId="4" xfId="0" applyFont="1" applyFill="1" applyBorder="1" applyAlignment="1">
      <alignment horizontal="center"/>
    </xf>
    <xf numFmtId="0" fontId="3" fillId="10" borderId="12" xfId="0" applyFont="1" applyFill="1" applyBorder="1" applyAlignment="1">
      <alignment vertical="center"/>
    </xf>
    <xf numFmtId="0" fontId="32" fillId="10" borderId="12" xfId="0" applyFont="1" applyFill="1" applyBorder="1"/>
    <xf numFmtId="0" fontId="32" fillId="10" borderId="13" xfId="0" applyFont="1" applyFill="1" applyBorder="1" applyAlignment="1">
      <alignment horizontal="center"/>
    </xf>
    <xf numFmtId="0" fontId="3" fillId="10" borderId="14" xfId="0" applyFont="1" applyFill="1" applyBorder="1" applyAlignment="1">
      <alignment vertical="center"/>
    </xf>
    <xf numFmtId="0" fontId="3" fillId="10" borderId="2" xfId="0" applyFont="1" applyFill="1" applyBorder="1" applyAlignment="1">
      <alignment horizontal="center" vertical="top" wrapText="1"/>
    </xf>
    <xf numFmtId="0" fontId="3" fillId="10" borderId="1" xfId="0" applyFont="1" applyFill="1" applyBorder="1" applyAlignment="1">
      <alignment horizontal="left" vertical="top"/>
    </xf>
    <xf numFmtId="0" fontId="3" fillId="10" borderId="10" xfId="0" applyFont="1" applyFill="1" applyBorder="1" applyAlignment="1">
      <alignment horizontal="left" vertical="top"/>
    </xf>
    <xf numFmtId="0" fontId="0" fillId="19" borderId="0" xfId="0" applyFill="1"/>
    <xf numFmtId="0" fontId="8" fillId="7" borderId="11" xfId="0" applyFont="1" applyFill="1" applyBorder="1"/>
    <xf numFmtId="0" fontId="8" fillId="7" borderId="2" xfId="0" applyFont="1" applyFill="1" applyBorder="1"/>
    <xf numFmtId="166" fontId="0" fillId="0" borderId="0" xfId="0" applyNumberFormat="1"/>
    <xf numFmtId="0" fontId="0" fillId="23" borderId="0" xfId="0" applyFill="1"/>
    <xf numFmtId="3" fontId="0" fillId="0" borderId="0" xfId="0" applyNumberFormat="1"/>
    <xf numFmtId="0" fontId="6" fillId="18" borderId="0" xfId="0" applyFont="1" applyFill="1"/>
    <xf numFmtId="1" fontId="6" fillId="18" borderId="0" xfId="0" applyNumberFormat="1" applyFont="1" applyFill="1" applyAlignment="1">
      <alignment horizontal="left"/>
    </xf>
    <xf numFmtId="0" fontId="0" fillId="17" borderId="0" xfId="0" applyFill="1" applyAlignment="1">
      <alignment horizontal="center" vertical="center"/>
    </xf>
    <xf numFmtId="164" fontId="0" fillId="6" borderId="8" xfId="0" applyNumberFormat="1" applyFill="1" applyBorder="1"/>
    <xf numFmtId="0" fontId="3" fillId="10" borderId="1" xfId="0" applyFont="1" applyFill="1" applyBorder="1" applyAlignment="1">
      <alignment vertical="center"/>
    </xf>
    <xf numFmtId="0" fontId="3" fillId="10" borderId="11" xfId="0" applyFont="1" applyFill="1" applyBorder="1" applyAlignment="1">
      <alignment vertical="center"/>
    </xf>
    <xf numFmtId="0" fontId="3" fillId="10" borderId="5" xfId="0" applyFont="1" applyFill="1" applyBorder="1" applyAlignment="1">
      <alignment vertical="center"/>
    </xf>
    <xf numFmtId="0" fontId="3" fillId="10" borderId="21" xfId="0" applyFont="1" applyFill="1" applyBorder="1" applyAlignment="1">
      <alignment vertical="center"/>
    </xf>
    <xf numFmtId="0" fontId="0" fillId="10" borderId="27" xfId="0" applyFill="1" applyBorder="1" applyAlignment="1">
      <alignment horizontal="left"/>
    </xf>
    <xf numFmtId="0" fontId="0" fillId="10" borderId="8" xfId="0" applyFill="1" applyBorder="1"/>
    <xf numFmtId="2" fontId="0" fillId="10" borderId="8" xfId="0" applyNumberFormat="1" applyFill="1" applyBorder="1" applyAlignment="1">
      <alignment horizontal="center"/>
    </xf>
    <xf numFmtId="0" fontId="0" fillId="6" borderId="8" xfId="0" applyFill="1" applyBorder="1" applyAlignment="1">
      <alignment wrapText="1"/>
    </xf>
    <xf numFmtId="0" fontId="4" fillId="6" borderId="8" xfId="2" applyFill="1" applyBorder="1" applyAlignment="1">
      <alignment horizontal="left"/>
    </xf>
    <xf numFmtId="1" fontId="10" fillId="6" borderId="9" xfId="0" applyNumberFormat="1" applyFont="1" applyFill="1" applyBorder="1"/>
    <xf numFmtId="0" fontId="4" fillId="6" borderId="3" xfId="2" applyFill="1" applyBorder="1" applyAlignment="1">
      <alignment horizontal="left"/>
    </xf>
    <xf numFmtId="1" fontId="10" fillId="6" borderId="5" xfId="0" applyNumberFormat="1" applyFont="1" applyFill="1" applyBorder="1"/>
    <xf numFmtId="0" fontId="4" fillId="6" borderId="0" xfId="2" applyFill="1" applyAlignment="1">
      <alignment horizontal="left"/>
    </xf>
    <xf numFmtId="1" fontId="10" fillId="6" borderId="21" xfId="0" applyNumberFormat="1" applyFont="1" applyFill="1" applyBorder="1"/>
    <xf numFmtId="0" fontId="4" fillId="6" borderId="11" xfId="2" applyFill="1" applyBorder="1" applyAlignment="1">
      <alignment horizontal="left"/>
    </xf>
    <xf numFmtId="0" fontId="4" fillId="6" borderId="7" xfId="2" applyFill="1" applyBorder="1" applyAlignment="1">
      <alignment horizontal="left"/>
    </xf>
    <xf numFmtId="1" fontId="10" fillId="6" borderId="8" xfId="0" applyNumberFormat="1" applyFont="1" applyFill="1" applyBorder="1"/>
    <xf numFmtId="0" fontId="4" fillId="6" borderId="2" xfId="2" applyFill="1" applyBorder="1" applyAlignment="1">
      <alignment horizontal="left"/>
    </xf>
    <xf numFmtId="0" fontId="4" fillId="6" borderId="4" xfId="2" applyFill="1" applyBorder="1" applyAlignment="1">
      <alignment horizontal="left"/>
    </xf>
    <xf numFmtId="1" fontId="10" fillId="6" borderId="6" xfId="0" applyNumberFormat="1" applyFont="1" applyFill="1" applyBorder="1"/>
    <xf numFmtId="0" fontId="4" fillId="6" borderId="1" xfId="2" applyFill="1" applyBorder="1" applyAlignment="1">
      <alignment horizontal="left"/>
    </xf>
    <xf numFmtId="1" fontId="10" fillId="6" borderId="3" xfId="0" applyNumberFormat="1" applyFont="1" applyFill="1" applyBorder="1"/>
    <xf numFmtId="0" fontId="3" fillId="10" borderId="7" xfId="0" applyFont="1" applyFill="1" applyBorder="1" applyAlignment="1">
      <alignment horizontal="center" vertical="center"/>
    </xf>
    <xf numFmtId="0" fontId="3" fillId="10" borderId="9" xfId="0" applyFont="1" applyFill="1" applyBorder="1" applyAlignment="1">
      <alignment horizontal="center" vertical="center"/>
    </xf>
    <xf numFmtId="0" fontId="0" fillId="10" borderId="5" xfId="0" applyFill="1" applyBorder="1"/>
    <xf numFmtId="0" fontId="0" fillId="6" borderId="1" xfId="0" applyFill="1" applyBorder="1" applyAlignment="1">
      <alignment horizontal="center"/>
    </xf>
    <xf numFmtId="0" fontId="0" fillId="6" borderId="11" xfId="0" applyFill="1" applyBorder="1" applyAlignment="1">
      <alignment horizontal="center"/>
    </xf>
    <xf numFmtId="0" fontId="0" fillId="6" borderId="5" xfId="0" applyFill="1" applyBorder="1" applyAlignment="1">
      <alignment horizontal="left"/>
    </xf>
    <xf numFmtId="0" fontId="0" fillId="6" borderId="21" xfId="0" applyFill="1" applyBorder="1" applyAlignment="1">
      <alignment horizontal="center"/>
    </xf>
    <xf numFmtId="0" fontId="37" fillId="6" borderId="0" xfId="0" applyFont="1" applyFill="1" applyAlignment="1">
      <alignment horizontal="left"/>
    </xf>
    <xf numFmtId="0" fontId="37" fillId="6" borderId="8" xfId="0" applyFont="1" applyFill="1" applyBorder="1"/>
    <xf numFmtId="0" fontId="37" fillId="6" borderId="18" xfId="0" applyFont="1" applyFill="1" applyBorder="1" applyAlignment="1">
      <alignment horizontal="left"/>
    </xf>
    <xf numFmtId="0" fontId="37" fillId="6" borderId="33" xfId="0" applyFont="1" applyFill="1" applyBorder="1"/>
    <xf numFmtId="0" fontId="0" fillId="6" borderId="10" xfId="0" applyFill="1" applyBorder="1" applyAlignment="1">
      <alignment horizontal="center"/>
    </xf>
    <xf numFmtId="0" fontId="4" fillId="8" borderId="8" xfId="0" applyFont="1" applyFill="1" applyBorder="1" applyAlignment="1">
      <alignment horizontal="center"/>
    </xf>
    <xf numFmtId="0" fontId="5" fillId="8" borderId="10" xfId="0" applyFont="1" applyFill="1" applyBorder="1" applyAlignment="1">
      <alignment horizontal="center" wrapText="1"/>
    </xf>
    <xf numFmtId="0" fontId="5" fillId="8" borderId="10" xfId="0" applyFont="1" applyFill="1" applyBorder="1" applyAlignment="1">
      <alignment horizontal="center" vertical="center"/>
    </xf>
    <xf numFmtId="0" fontId="3" fillId="20" borderId="7" xfId="0" applyFont="1" applyFill="1" applyBorder="1"/>
    <xf numFmtId="0" fontId="9" fillId="6" borderId="15" xfId="0" applyFont="1" applyFill="1" applyBorder="1"/>
    <xf numFmtId="0" fontId="9" fillId="6" borderId="20" xfId="0" applyFont="1" applyFill="1" applyBorder="1"/>
    <xf numFmtId="2" fontId="4" fillId="0" borderId="0" xfId="0" applyNumberFormat="1" applyFont="1"/>
    <xf numFmtId="0" fontId="13" fillId="10" borderId="0" xfId="0" applyFont="1" applyFill="1"/>
    <xf numFmtId="0" fontId="13" fillId="10" borderId="0" xfId="0" applyFont="1" applyFill="1" applyAlignment="1">
      <alignment horizontal="center"/>
    </xf>
    <xf numFmtId="0" fontId="4" fillId="10" borderId="0" xfId="0" applyFont="1" applyFill="1" applyAlignment="1">
      <alignment horizontal="center"/>
    </xf>
    <xf numFmtId="0" fontId="4" fillId="10" borderId="0" xfId="0" applyFont="1" applyFill="1"/>
    <xf numFmtId="0" fontId="13" fillId="10" borderId="11" xfId="0" applyFont="1" applyFill="1" applyBorder="1" applyAlignment="1">
      <alignment horizontal="center"/>
    </xf>
    <xf numFmtId="0" fontId="4" fillId="10" borderId="11" xfId="0" applyFont="1" applyFill="1" applyBorder="1" applyAlignment="1">
      <alignment horizontal="center"/>
    </xf>
    <xf numFmtId="0" fontId="4" fillId="10" borderId="11" xfId="0" applyFont="1" applyFill="1" applyBorder="1"/>
    <xf numFmtId="0" fontId="32" fillId="10" borderId="12" xfId="0" applyFont="1" applyFill="1" applyBorder="1" applyAlignment="1">
      <alignment horizontal="center"/>
    </xf>
    <xf numFmtId="0" fontId="32" fillId="10" borderId="14" xfId="0" applyFont="1" applyFill="1" applyBorder="1" applyAlignment="1">
      <alignment horizontal="center"/>
    </xf>
    <xf numFmtId="0" fontId="4" fillId="10" borderId="14" xfId="0" applyFont="1" applyFill="1" applyBorder="1"/>
    <xf numFmtId="0" fontId="13" fillId="10" borderId="14" xfId="0" applyFont="1" applyFill="1" applyBorder="1"/>
    <xf numFmtId="0" fontId="37" fillId="6" borderId="0" xfId="0" applyFont="1" applyFill="1"/>
    <xf numFmtId="0" fontId="32" fillId="10" borderId="1" xfId="0" applyFont="1" applyFill="1" applyBorder="1" applyAlignment="1">
      <alignment horizontal="center"/>
    </xf>
    <xf numFmtId="0" fontId="32" fillId="10" borderId="11" xfId="0" applyFont="1" applyFill="1" applyBorder="1" applyAlignment="1">
      <alignment horizontal="center"/>
    </xf>
    <xf numFmtId="0" fontId="32" fillId="10" borderId="12" xfId="0" applyFont="1" applyFill="1" applyBorder="1" applyAlignment="1">
      <alignment horizontal="left"/>
    </xf>
    <xf numFmtId="0" fontId="32" fillId="10" borderId="1" xfId="0" applyFont="1" applyFill="1" applyBorder="1" applyAlignment="1">
      <alignment horizontal="left"/>
    </xf>
    <xf numFmtId="0" fontId="32" fillId="10" borderId="5" xfId="0" applyFont="1" applyFill="1" applyBorder="1" applyAlignment="1">
      <alignment horizontal="left"/>
    </xf>
    <xf numFmtId="0" fontId="0" fillId="6" borderId="3" xfId="0" applyFill="1" applyBorder="1" applyAlignment="1">
      <alignment horizontal="center"/>
    </xf>
    <xf numFmtId="0" fontId="0" fillId="24" borderId="0" xfId="0" applyFill="1"/>
    <xf numFmtId="0" fontId="0" fillId="6" borderId="0" xfId="0" applyFill="1" applyAlignment="1">
      <alignment horizontal="center"/>
    </xf>
    <xf numFmtId="1" fontId="0" fillId="6" borderId="0" xfId="0" applyNumberFormat="1" applyFill="1"/>
    <xf numFmtId="0" fontId="0" fillId="11" borderId="0" xfId="0" applyFill="1"/>
    <xf numFmtId="0" fontId="0" fillId="21" borderId="7" xfId="0" applyFill="1" applyBorder="1"/>
    <xf numFmtId="0" fontId="0" fillId="6" borderId="2" xfId="0" applyFill="1" applyBorder="1" applyAlignment="1">
      <alignment horizontal="center"/>
    </xf>
    <xf numFmtId="1" fontId="7" fillId="6" borderId="1" xfId="0" applyNumberFormat="1" applyFont="1" applyFill="1" applyBorder="1"/>
    <xf numFmtId="1" fontId="4" fillId="6" borderId="3" xfId="0" applyNumberFormat="1" applyFont="1" applyFill="1" applyBorder="1"/>
    <xf numFmtId="0" fontId="0" fillId="6" borderId="5" xfId="0" applyFill="1" applyBorder="1" applyAlignment="1">
      <alignment horizontal="center"/>
    </xf>
    <xf numFmtId="0" fontId="0" fillId="12" borderId="0" xfId="0" applyFill="1"/>
    <xf numFmtId="0" fontId="4" fillId="6" borderId="10" xfId="2" applyFill="1" applyBorder="1" applyAlignment="1">
      <alignment horizontal="left"/>
    </xf>
    <xf numFmtId="1" fontId="10" fillId="6" borderId="10" xfId="0" applyNumberFormat="1" applyFont="1" applyFill="1" applyBorder="1"/>
    <xf numFmtId="0" fontId="9" fillId="6" borderId="7" xfId="0" applyFont="1" applyFill="1" applyBorder="1" applyAlignment="1">
      <alignment horizontal="center"/>
    </xf>
    <xf numFmtId="0" fontId="9" fillId="6" borderId="0" xfId="0" applyFont="1" applyFill="1" applyAlignment="1">
      <alignment horizontal="center"/>
    </xf>
    <xf numFmtId="0" fontId="9" fillId="6" borderId="9" xfId="0" applyFont="1" applyFill="1" applyBorder="1" applyAlignment="1">
      <alignment horizontal="center"/>
    </xf>
    <xf numFmtId="0" fontId="37" fillId="6" borderId="8" xfId="0" applyFont="1" applyFill="1" applyBorder="1" applyAlignment="1">
      <alignment horizontal="center"/>
    </xf>
    <xf numFmtId="0" fontId="37" fillId="6" borderId="3" xfId="0" applyFont="1" applyFill="1" applyBorder="1" applyAlignment="1">
      <alignment horizontal="center"/>
    </xf>
    <xf numFmtId="0" fontId="37" fillId="6" borderId="4" xfId="0" applyFont="1" applyFill="1" applyBorder="1" applyAlignment="1">
      <alignment horizontal="center"/>
    </xf>
    <xf numFmtId="0" fontId="37" fillId="6" borderId="7" xfId="0" applyFont="1" applyFill="1" applyBorder="1" applyAlignment="1">
      <alignment horizontal="center"/>
    </xf>
    <xf numFmtId="164" fontId="0" fillId="6" borderId="8" xfId="0" applyNumberFormat="1" applyFill="1" applyBorder="1" applyAlignment="1">
      <alignment horizontal="center"/>
    </xf>
    <xf numFmtId="0" fontId="37" fillId="6" borderId="21" xfId="0" applyFont="1" applyFill="1" applyBorder="1"/>
    <xf numFmtId="0" fontId="0" fillId="6" borderId="32" xfId="0" applyFill="1" applyBorder="1"/>
    <xf numFmtId="0" fontId="37" fillId="6" borderId="2" xfId="0" applyFont="1" applyFill="1" applyBorder="1" applyAlignment="1">
      <alignment horizontal="center"/>
    </xf>
    <xf numFmtId="165" fontId="37" fillId="6" borderId="8" xfId="0" applyNumberFormat="1" applyFont="1" applyFill="1" applyBorder="1" applyAlignment="1">
      <alignment horizontal="center"/>
    </xf>
    <xf numFmtId="164" fontId="9" fillId="6" borderId="2" xfId="0" applyNumberFormat="1" applyFont="1" applyFill="1" applyBorder="1" applyAlignment="1">
      <alignment horizontal="center"/>
    </xf>
    <xf numFmtId="164" fontId="9" fillId="6" borderId="4" xfId="0" applyNumberFormat="1" applyFont="1" applyFill="1" applyBorder="1" applyAlignment="1">
      <alignment horizontal="center"/>
    </xf>
    <xf numFmtId="0" fontId="32" fillId="2" borderId="5" xfId="0" applyFont="1" applyFill="1" applyBorder="1" applyAlignment="1">
      <alignment horizontal="left"/>
    </xf>
    <xf numFmtId="0" fontId="0" fillId="2" borderId="21" xfId="0" applyFill="1" applyBorder="1"/>
    <xf numFmtId="0" fontId="0" fillId="2" borderId="0" xfId="0" applyFill="1"/>
    <xf numFmtId="0" fontId="32" fillId="2" borderId="10" xfId="0" applyFont="1" applyFill="1" applyBorder="1" applyAlignment="1">
      <alignment horizontal="left"/>
    </xf>
    <xf numFmtId="0" fontId="32" fillId="2" borderId="0" xfId="0" applyFont="1" applyFill="1" applyAlignment="1">
      <alignment horizontal="left"/>
    </xf>
    <xf numFmtId="0" fontId="0" fillId="2" borderId="0" xfId="0" applyFill="1" applyAlignment="1">
      <alignment horizontal="left"/>
    </xf>
    <xf numFmtId="0" fontId="32" fillId="2" borderId="7" xfId="0" applyFont="1" applyFill="1" applyBorder="1" applyAlignment="1">
      <alignment horizontal="left"/>
    </xf>
    <xf numFmtId="0" fontId="32" fillId="2" borderId="1" xfId="0" applyFont="1" applyFill="1" applyBorder="1" applyAlignment="1">
      <alignment horizontal="center"/>
    </xf>
    <xf numFmtId="0" fontId="32" fillId="2" borderId="7" xfId="0" applyFont="1" applyFill="1" applyBorder="1" applyAlignment="1">
      <alignment horizontal="center"/>
    </xf>
    <xf numFmtId="0" fontId="32" fillId="2" borderId="10" xfId="0" applyFont="1" applyFill="1" applyBorder="1" applyAlignment="1">
      <alignment horizontal="center"/>
    </xf>
    <xf numFmtId="0" fontId="32" fillId="2" borderId="11" xfId="0" applyFont="1" applyFill="1" applyBorder="1" applyAlignment="1">
      <alignment horizontal="center"/>
    </xf>
    <xf numFmtId="0" fontId="0" fillId="2" borderId="0" xfId="0" applyFill="1" applyAlignment="1">
      <alignment horizontal="center"/>
    </xf>
    <xf numFmtId="164" fontId="0" fillId="6" borderId="1" xfId="0" applyNumberFormat="1" applyFill="1" applyBorder="1" applyAlignment="1">
      <alignment horizontal="center"/>
    </xf>
    <xf numFmtId="164" fontId="0" fillId="6" borderId="7" xfId="0" applyNumberFormat="1" applyFill="1" applyBorder="1" applyAlignment="1">
      <alignment horizontal="center"/>
    </xf>
    <xf numFmtId="164" fontId="0" fillId="6" borderId="3" xfId="0" applyNumberFormat="1" applyFill="1" applyBorder="1" applyAlignment="1">
      <alignment horizontal="center"/>
    </xf>
    <xf numFmtId="2" fontId="37" fillId="6" borderId="8" xfId="0" applyNumberFormat="1" applyFont="1" applyFill="1" applyBorder="1" applyAlignment="1">
      <alignment horizontal="center"/>
    </xf>
    <xf numFmtId="0" fontId="32" fillId="22" borderId="10" xfId="0" applyFont="1" applyFill="1" applyBorder="1" applyAlignment="1">
      <alignment horizontal="center"/>
    </xf>
    <xf numFmtId="165" fontId="37" fillId="6" borderId="7" xfId="0" applyNumberFormat="1" applyFont="1" applyFill="1" applyBorder="1" applyAlignment="1">
      <alignment horizontal="center"/>
    </xf>
    <xf numFmtId="2" fontId="37" fillId="6" borderId="7" xfId="0" applyNumberFormat="1" applyFont="1" applyFill="1" applyBorder="1" applyAlignment="1">
      <alignment horizontal="center"/>
    </xf>
    <xf numFmtId="0" fontId="32" fillId="11" borderId="11" xfId="0" applyFont="1" applyFill="1" applyBorder="1" applyAlignment="1">
      <alignment horizontal="center"/>
    </xf>
    <xf numFmtId="0" fontId="32" fillId="11" borderId="2" xfId="0" applyFont="1" applyFill="1" applyBorder="1" applyAlignment="1">
      <alignment horizontal="center"/>
    </xf>
    <xf numFmtId="0" fontId="32" fillId="22" borderId="7" xfId="0" applyFont="1" applyFill="1" applyBorder="1" applyAlignment="1">
      <alignment horizontal="center"/>
    </xf>
    <xf numFmtId="0" fontId="32" fillId="2" borderId="2" xfId="0" applyFont="1" applyFill="1" applyBorder="1" applyAlignment="1">
      <alignment horizontal="center"/>
    </xf>
    <xf numFmtId="0" fontId="0" fillId="11" borderId="8" xfId="0" applyFill="1" applyBorder="1" applyAlignment="1">
      <alignment horizontal="center"/>
    </xf>
    <xf numFmtId="0" fontId="0" fillId="11" borderId="9" xfId="0" applyFill="1" applyBorder="1" applyAlignment="1">
      <alignment horizontal="center"/>
    </xf>
    <xf numFmtId="1" fontId="0" fillId="6" borderId="11" xfId="0" applyNumberFormat="1" applyFill="1" applyBorder="1"/>
    <xf numFmtId="0" fontId="32" fillId="2" borderId="1" xfId="0" applyFont="1" applyFill="1" applyBorder="1" applyAlignment="1">
      <alignment horizontal="left"/>
    </xf>
    <xf numFmtId="0" fontId="32" fillId="2" borderId="12" xfId="0" applyFont="1" applyFill="1" applyBorder="1" applyAlignment="1">
      <alignment horizontal="left"/>
    </xf>
    <xf numFmtId="0" fontId="32" fillId="2" borderId="13" xfId="0" applyFont="1" applyFill="1" applyBorder="1" applyAlignment="1">
      <alignment horizontal="left"/>
    </xf>
    <xf numFmtId="0" fontId="0" fillId="2" borderId="13" xfId="0" applyFill="1" applyBorder="1"/>
    <xf numFmtId="0" fontId="32" fillId="11" borderId="10" xfId="0" applyFont="1" applyFill="1" applyBorder="1" applyAlignment="1">
      <alignment horizontal="center"/>
    </xf>
    <xf numFmtId="0" fontId="0" fillId="2" borderId="11" xfId="0" applyFill="1" applyBorder="1"/>
    <xf numFmtId="0" fontId="32" fillId="6" borderId="10" xfId="0" applyFont="1" applyFill="1" applyBorder="1" applyAlignment="1">
      <alignment horizontal="left"/>
    </xf>
    <xf numFmtId="0" fontId="32" fillId="6" borderId="10" xfId="0" applyFont="1" applyFill="1" applyBorder="1" applyAlignment="1">
      <alignment horizontal="center"/>
    </xf>
    <xf numFmtId="0" fontId="37" fillId="11" borderId="8" xfId="0" applyFont="1" applyFill="1" applyBorder="1" applyAlignment="1">
      <alignment horizontal="center"/>
    </xf>
    <xf numFmtId="0" fontId="89" fillId="11" borderId="8" xfId="0" applyFont="1" applyFill="1" applyBorder="1" applyAlignment="1">
      <alignment horizontal="center"/>
    </xf>
    <xf numFmtId="0" fontId="89" fillId="11" borderId="8" xfId="0" applyFont="1" applyFill="1" applyBorder="1"/>
    <xf numFmtId="0" fontId="28" fillId="6" borderId="3" xfId="0" applyFont="1" applyFill="1" applyBorder="1"/>
    <xf numFmtId="0" fontId="37" fillId="6" borderId="5" xfId="0" applyFont="1" applyFill="1" applyBorder="1"/>
    <xf numFmtId="2" fontId="0" fillId="6" borderId="7" xfId="0" applyNumberFormat="1" applyFill="1" applyBorder="1" applyAlignment="1">
      <alignment horizontal="center"/>
    </xf>
    <xf numFmtId="0" fontId="50" fillId="6" borderId="12" xfId="0" applyFont="1" applyFill="1" applyBorder="1"/>
    <xf numFmtId="0" fontId="9" fillId="6" borderId="14" xfId="0" applyFont="1" applyFill="1" applyBorder="1" applyAlignment="1">
      <alignment horizontal="right"/>
    </xf>
    <xf numFmtId="0" fontId="9" fillId="6" borderId="14" xfId="0" applyFont="1" applyFill="1" applyBorder="1"/>
    <xf numFmtId="2" fontId="9" fillId="6" borderId="14" xfId="0" applyNumberFormat="1" applyFont="1" applyFill="1" applyBorder="1"/>
    <xf numFmtId="0" fontId="32" fillId="10" borderId="9" xfId="0" applyFont="1" applyFill="1" applyBorder="1"/>
    <xf numFmtId="0" fontId="32" fillId="10" borderId="11" xfId="0" applyFont="1" applyFill="1" applyBorder="1"/>
    <xf numFmtId="0" fontId="32" fillId="10" borderId="5" xfId="0" applyFont="1" applyFill="1" applyBorder="1"/>
    <xf numFmtId="0" fontId="32" fillId="10" borderId="21" xfId="0" applyFont="1" applyFill="1" applyBorder="1"/>
    <xf numFmtId="0" fontId="32" fillId="10" borderId="6" xfId="0" applyFont="1" applyFill="1" applyBorder="1"/>
    <xf numFmtId="0" fontId="50" fillId="6" borderId="1" xfId="0" applyFont="1" applyFill="1" applyBorder="1"/>
    <xf numFmtId="0" fontId="32" fillId="10" borderId="0" xfId="0" applyFont="1" applyFill="1" applyAlignment="1">
      <alignment horizontal="center"/>
    </xf>
    <xf numFmtId="0" fontId="32" fillId="10" borderId="3" xfId="0" applyFont="1" applyFill="1" applyBorder="1" applyAlignment="1">
      <alignment horizontal="left"/>
    </xf>
    <xf numFmtId="0" fontId="32" fillId="10" borderId="9" xfId="0" applyFont="1" applyFill="1" applyBorder="1" applyAlignment="1">
      <alignment horizontal="left"/>
    </xf>
    <xf numFmtId="0" fontId="32" fillId="10" borderId="9" xfId="0" applyFont="1" applyFill="1" applyBorder="1" applyAlignment="1">
      <alignment horizontal="center"/>
    </xf>
    <xf numFmtId="0" fontId="32" fillId="10" borderId="14" xfId="0" applyFont="1" applyFill="1" applyBorder="1"/>
    <xf numFmtId="0" fontId="32" fillId="10" borderId="13" xfId="0" applyFont="1" applyFill="1" applyBorder="1"/>
    <xf numFmtId="0" fontId="0" fillId="6" borderId="12" xfId="0" applyFill="1" applyBorder="1"/>
    <xf numFmtId="0" fontId="0" fillId="6" borderId="14" xfId="0" applyFill="1" applyBorder="1"/>
    <xf numFmtId="164" fontId="0" fillId="6" borderId="9" xfId="0" applyNumberFormat="1" applyFill="1" applyBorder="1" applyAlignment="1">
      <alignment horizontal="center"/>
    </xf>
    <xf numFmtId="0" fontId="0" fillId="6" borderId="13" xfId="0" applyFill="1" applyBorder="1" applyAlignment="1">
      <alignment horizontal="center"/>
    </xf>
    <xf numFmtId="0" fontId="32" fillId="10" borderId="0" xfId="0" applyFont="1" applyFill="1"/>
    <xf numFmtId="0" fontId="32" fillId="10" borderId="0" xfId="0" applyFont="1" applyFill="1" applyAlignment="1">
      <alignment horizontal="left"/>
    </xf>
    <xf numFmtId="0" fontId="32" fillId="24" borderId="12" xfId="0" applyFont="1" applyFill="1" applyBorder="1"/>
    <xf numFmtId="0" fontId="32" fillId="24" borderId="1" xfId="0" applyFont="1" applyFill="1" applyBorder="1"/>
    <xf numFmtId="0" fontId="3" fillId="24" borderId="3" xfId="0" applyFont="1" applyFill="1" applyBorder="1" applyAlignment="1">
      <alignment horizontal="left"/>
    </xf>
    <xf numFmtId="0" fontId="50" fillId="6" borderId="31" xfId="0" applyFont="1" applyFill="1" applyBorder="1" applyAlignment="1">
      <alignment horizontal="left"/>
    </xf>
    <xf numFmtId="0" fontId="32" fillId="10" borderId="1" xfId="0" applyFont="1" applyFill="1" applyBorder="1"/>
    <xf numFmtId="0" fontId="0" fillId="10" borderId="1" xfId="0" applyFill="1" applyBorder="1"/>
    <xf numFmtId="0" fontId="94" fillId="6" borderId="0" xfId="0" applyFont="1" applyFill="1" applyAlignment="1">
      <alignment horizontal="center"/>
    </xf>
    <xf numFmtId="0" fontId="0" fillId="10" borderId="21" xfId="0" applyFill="1" applyBorder="1" applyAlignment="1">
      <alignment horizontal="center"/>
    </xf>
    <xf numFmtId="0" fontId="4" fillId="10" borderId="21" xfId="0" applyFont="1" applyFill="1" applyBorder="1"/>
    <xf numFmtId="0" fontId="0" fillId="6" borderId="54" xfId="0" applyFill="1" applyBorder="1" applyAlignment="1">
      <alignment horizontal="right"/>
    </xf>
    <xf numFmtId="0" fontId="0" fillId="6" borderId="55" xfId="0" applyFill="1" applyBorder="1"/>
    <xf numFmtId="0" fontId="0" fillId="6" borderId="57" xfId="0" applyFill="1" applyBorder="1" applyAlignment="1">
      <alignment horizontal="right"/>
    </xf>
    <xf numFmtId="164" fontId="0" fillId="11" borderId="7" xfId="0" applyNumberFormat="1" applyFill="1" applyBorder="1" applyAlignment="1">
      <alignment horizontal="center"/>
    </xf>
    <xf numFmtId="164" fontId="0" fillId="11" borderId="8" xfId="0" applyNumberFormat="1" applyFill="1" applyBorder="1" applyAlignment="1">
      <alignment horizontal="center"/>
    </xf>
    <xf numFmtId="164" fontId="0" fillId="11" borderId="9" xfId="0" applyNumberFormat="1" applyFill="1" applyBorder="1" applyAlignment="1">
      <alignment horizontal="center"/>
    </xf>
    <xf numFmtId="0" fontId="32" fillId="10" borderId="7" xfId="0" applyFont="1" applyFill="1" applyBorder="1"/>
    <xf numFmtId="0" fontId="37" fillId="2" borderId="8" xfId="0" applyFont="1" applyFill="1" applyBorder="1"/>
    <xf numFmtId="0" fontId="37" fillId="2" borderId="4" xfId="0" applyFont="1" applyFill="1" applyBorder="1"/>
    <xf numFmtId="0" fontId="37" fillId="2" borderId="9" xfId="0" applyFont="1" applyFill="1" applyBorder="1"/>
    <xf numFmtId="0" fontId="37" fillId="2" borderId="6" xfId="0" applyFont="1" applyFill="1" applyBorder="1"/>
    <xf numFmtId="0" fontId="37" fillId="2" borderId="3" xfId="0" applyFont="1" applyFill="1" applyBorder="1"/>
    <xf numFmtId="0" fontId="37" fillId="2" borderId="5" xfId="0" applyFont="1" applyFill="1" applyBorder="1"/>
    <xf numFmtId="0" fontId="3" fillId="10" borderId="10" xfId="0" applyFont="1" applyFill="1" applyBorder="1"/>
    <xf numFmtId="2" fontId="0" fillId="6" borderId="4" xfId="0" applyNumberFormat="1" applyFill="1" applyBorder="1" applyAlignment="1">
      <alignment horizontal="left"/>
    </xf>
    <xf numFmtId="2" fontId="0" fillId="6" borderId="8" xfId="0" applyNumberFormat="1" applyFill="1" applyBorder="1" applyAlignment="1">
      <alignment horizontal="left"/>
    </xf>
    <xf numFmtId="2" fontId="9" fillId="6" borderId="8" xfId="0" applyNumberFormat="1" applyFont="1" applyFill="1" applyBorder="1" applyAlignment="1">
      <alignment horizontal="left"/>
    </xf>
    <xf numFmtId="2" fontId="9" fillId="6" borderId="3" xfId="0" applyNumberFormat="1" applyFont="1" applyFill="1" applyBorder="1" applyAlignment="1">
      <alignment horizontal="left"/>
    </xf>
    <xf numFmtId="0" fontId="0" fillId="6" borderId="7" xfId="0" applyFill="1" applyBorder="1" applyAlignment="1">
      <alignment horizontal="left"/>
    </xf>
    <xf numFmtId="0" fontId="0" fillId="6" borderId="11" xfId="0" applyFill="1" applyBorder="1" applyAlignment="1">
      <alignment horizontal="left"/>
    </xf>
    <xf numFmtId="0" fontId="0" fillId="6" borderId="1" xfId="0" applyFill="1" applyBorder="1" applyAlignment="1">
      <alignment horizontal="left"/>
    </xf>
    <xf numFmtId="0" fontId="0" fillId="6" borderId="2" xfId="0" applyFill="1" applyBorder="1" applyAlignment="1">
      <alignment horizontal="left"/>
    </xf>
    <xf numFmtId="0" fontId="0" fillId="6" borderId="0" xfId="0" applyFill="1" applyAlignment="1">
      <alignment horizontal="left"/>
    </xf>
    <xf numFmtId="0" fontId="0" fillId="6" borderId="3" xfId="0" applyFill="1" applyBorder="1" applyAlignment="1">
      <alignment horizontal="left"/>
    </xf>
    <xf numFmtId="0" fontId="0" fillId="6" borderId="4" xfId="0" applyFill="1" applyBorder="1" applyAlignment="1">
      <alignment horizontal="left"/>
    </xf>
    <xf numFmtId="2" fontId="0" fillId="6" borderId="3" xfId="0" applyNumberFormat="1" applyFill="1" applyBorder="1" applyAlignment="1">
      <alignment horizontal="left"/>
    </xf>
    <xf numFmtId="2" fontId="37" fillId="6" borderId="8" xfId="0" applyNumberFormat="1" applyFont="1" applyFill="1" applyBorder="1" applyAlignment="1">
      <alignment horizontal="left"/>
    </xf>
    <xf numFmtId="2" fontId="0" fillId="6" borderId="6" xfId="0" applyNumberFormat="1" applyFill="1" applyBorder="1" applyAlignment="1">
      <alignment horizontal="left"/>
    </xf>
    <xf numFmtId="2" fontId="0" fillId="6" borderId="9" xfId="0" applyNumberFormat="1" applyFill="1" applyBorder="1" applyAlignment="1">
      <alignment horizontal="left"/>
    </xf>
    <xf numFmtId="2" fontId="9" fillId="6" borderId="9" xfId="0" applyNumberFormat="1" applyFont="1" applyFill="1" applyBorder="1" applyAlignment="1">
      <alignment horizontal="left"/>
    </xf>
    <xf numFmtId="0" fontId="0" fillId="6" borderId="9" xfId="0" applyFill="1" applyBorder="1" applyAlignment="1">
      <alignment horizontal="left"/>
    </xf>
    <xf numFmtId="0" fontId="0" fillId="6" borderId="21" xfId="0" applyFill="1" applyBorder="1" applyAlignment="1">
      <alignment horizontal="left"/>
    </xf>
    <xf numFmtId="0" fontId="0" fillId="6" borderId="6" xfId="0" applyFill="1" applyBorder="1" applyAlignment="1">
      <alignment horizontal="left"/>
    </xf>
    <xf numFmtId="2" fontId="9" fillId="6" borderId="7" xfId="0" applyNumberFormat="1" applyFont="1" applyFill="1" applyBorder="1" applyAlignment="1">
      <alignment horizontal="left"/>
    </xf>
    <xf numFmtId="2" fontId="0" fillId="6" borderId="7" xfId="0" applyNumberFormat="1" applyFill="1" applyBorder="1" applyAlignment="1">
      <alignment horizontal="left"/>
    </xf>
    <xf numFmtId="2" fontId="0" fillId="6" borderId="1" xfId="0" applyNumberFormat="1" applyFill="1" applyBorder="1" applyAlignment="1">
      <alignment horizontal="left"/>
    </xf>
    <xf numFmtId="2" fontId="0" fillId="6" borderId="2" xfId="0" applyNumberFormat="1" applyFill="1" applyBorder="1" applyAlignment="1">
      <alignment horizontal="left"/>
    </xf>
    <xf numFmtId="2" fontId="9" fillId="6" borderId="11" xfId="0" applyNumberFormat="1" applyFont="1" applyFill="1" applyBorder="1" applyAlignment="1">
      <alignment horizontal="left"/>
    </xf>
    <xf numFmtId="2" fontId="9" fillId="6" borderId="0" xfId="0" applyNumberFormat="1" applyFont="1" applyFill="1" applyAlignment="1">
      <alignment horizontal="left"/>
    </xf>
    <xf numFmtId="2" fontId="0" fillId="6" borderId="0" xfId="0" applyNumberFormat="1" applyFill="1" applyAlignment="1">
      <alignment horizontal="left"/>
    </xf>
    <xf numFmtId="2" fontId="9" fillId="6" borderId="4" xfId="0" applyNumberFormat="1" applyFont="1" applyFill="1" applyBorder="1" applyAlignment="1">
      <alignment horizontal="left"/>
    </xf>
    <xf numFmtId="2" fontId="9" fillId="6" borderId="1" xfId="0" applyNumberFormat="1" applyFont="1" applyFill="1" applyBorder="1" applyAlignment="1">
      <alignment horizontal="left"/>
    </xf>
    <xf numFmtId="2" fontId="0" fillId="6" borderId="11" xfId="0" applyNumberFormat="1" applyFill="1" applyBorder="1" applyAlignment="1">
      <alignment horizontal="left"/>
    </xf>
    <xf numFmtId="2" fontId="9" fillId="6" borderId="5" xfId="0" applyNumberFormat="1" applyFont="1" applyFill="1" applyBorder="1" applyAlignment="1">
      <alignment horizontal="left"/>
    </xf>
    <xf numFmtId="2" fontId="9" fillId="6" borderId="21" xfId="0" applyNumberFormat="1" applyFont="1" applyFill="1" applyBorder="1" applyAlignment="1">
      <alignment horizontal="left"/>
    </xf>
    <xf numFmtId="0" fontId="9" fillId="12" borderId="2" xfId="0" applyFont="1" applyFill="1" applyBorder="1" applyAlignment="1">
      <alignment horizontal="left"/>
    </xf>
    <xf numFmtId="0" fontId="9" fillId="12" borderId="1" xfId="0" applyFont="1" applyFill="1" applyBorder="1" applyAlignment="1">
      <alignment horizontal="left"/>
    </xf>
    <xf numFmtId="2" fontId="9" fillId="12" borderId="7" xfId="0" applyNumberFormat="1" applyFont="1" applyFill="1" applyBorder="1" applyAlignment="1">
      <alignment horizontal="left"/>
    </xf>
    <xf numFmtId="2" fontId="9" fillId="12" borderId="2" xfId="0" applyNumberFormat="1" applyFont="1" applyFill="1" applyBorder="1" applyAlignment="1">
      <alignment horizontal="left"/>
    </xf>
    <xf numFmtId="0" fontId="9" fillId="12" borderId="11" xfId="0" applyFont="1" applyFill="1" applyBorder="1" applyAlignment="1">
      <alignment horizontal="left"/>
    </xf>
    <xf numFmtId="0" fontId="9" fillId="12" borderId="7" xfId="0" applyFont="1" applyFill="1" applyBorder="1" applyAlignment="1">
      <alignment horizontal="left"/>
    </xf>
    <xf numFmtId="0" fontId="9" fillId="12" borderId="4" xfId="0" applyFont="1" applyFill="1" applyBorder="1" applyAlignment="1">
      <alignment horizontal="left"/>
    </xf>
    <xf numFmtId="0" fontId="9" fillId="12" borderId="3" xfId="0" applyFont="1" applyFill="1" applyBorder="1" applyAlignment="1">
      <alignment horizontal="left"/>
    </xf>
    <xf numFmtId="2" fontId="9" fillId="12" borderId="8" xfId="0" applyNumberFormat="1" applyFont="1" applyFill="1" applyBorder="1" applyAlignment="1">
      <alignment horizontal="left"/>
    </xf>
    <xf numFmtId="2" fontId="9" fillId="12" borderId="4" xfId="0" applyNumberFormat="1" applyFont="1" applyFill="1" applyBorder="1" applyAlignment="1">
      <alignment horizontal="left"/>
    </xf>
    <xf numFmtId="0" fontId="9" fillId="12" borderId="0" xfId="0" applyFont="1" applyFill="1" applyAlignment="1">
      <alignment horizontal="left"/>
    </xf>
    <xf numFmtId="0" fontId="9" fillId="12" borderId="8" xfId="0" applyFont="1" applyFill="1" applyBorder="1" applyAlignment="1">
      <alignment horizontal="left"/>
    </xf>
    <xf numFmtId="0" fontId="9" fillId="12" borderId="6" xfId="0" applyFont="1" applyFill="1" applyBorder="1" applyAlignment="1">
      <alignment horizontal="left"/>
    </xf>
    <xf numFmtId="0" fontId="9" fillId="12" borderId="5" xfId="0" applyFont="1" applyFill="1" applyBorder="1" applyAlignment="1">
      <alignment horizontal="left"/>
    </xf>
    <xf numFmtId="2" fontId="9" fillId="12" borderId="9" xfId="0" applyNumberFormat="1" applyFont="1" applyFill="1" applyBorder="1" applyAlignment="1">
      <alignment horizontal="left"/>
    </xf>
    <xf numFmtId="2" fontId="9" fillId="12" borderId="6" xfId="0" applyNumberFormat="1" applyFont="1" applyFill="1" applyBorder="1" applyAlignment="1">
      <alignment horizontal="left"/>
    </xf>
    <xf numFmtId="0" fontId="9" fillId="12" borderId="21" xfId="0" applyFont="1" applyFill="1" applyBorder="1" applyAlignment="1">
      <alignment horizontal="left"/>
    </xf>
    <xf numFmtId="0" fontId="9" fillId="12" borderId="9" xfId="0" applyFont="1" applyFill="1" applyBorder="1" applyAlignment="1">
      <alignment horizontal="left"/>
    </xf>
    <xf numFmtId="2" fontId="9" fillId="6" borderId="2" xfId="0" applyNumberFormat="1" applyFont="1" applyFill="1" applyBorder="1" applyAlignment="1">
      <alignment horizontal="left"/>
    </xf>
    <xf numFmtId="2" fontId="9" fillId="6" borderId="6" xfId="0" applyNumberFormat="1" applyFont="1" applyFill="1" applyBorder="1" applyAlignment="1">
      <alignment horizontal="left"/>
    </xf>
    <xf numFmtId="0" fontId="9" fillId="6" borderId="7" xfId="0" applyFont="1" applyFill="1" applyBorder="1" applyAlignment="1">
      <alignment horizontal="left"/>
    </xf>
    <xf numFmtId="0" fontId="9" fillId="6" borderId="8" xfId="0" applyFont="1" applyFill="1" applyBorder="1" applyAlignment="1">
      <alignment horizontal="left"/>
    </xf>
    <xf numFmtId="2" fontId="0" fillId="6" borderId="5" xfId="0" applyNumberFormat="1" applyFill="1" applyBorder="1" applyAlignment="1">
      <alignment horizontal="left"/>
    </xf>
    <xf numFmtId="0" fontId="9" fillId="6" borderId="9" xfId="0" applyFont="1" applyFill="1" applyBorder="1" applyAlignment="1">
      <alignment horizontal="left"/>
    </xf>
    <xf numFmtId="0" fontId="9" fillId="6" borderId="2" xfId="0" applyFont="1" applyFill="1" applyBorder="1" applyAlignment="1">
      <alignment horizontal="left"/>
    </xf>
    <xf numFmtId="0" fontId="9" fillId="6" borderId="4" xfId="0" applyFont="1" applyFill="1" applyBorder="1" applyAlignment="1">
      <alignment horizontal="left"/>
    </xf>
    <xf numFmtId="0" fontId="9" fillId="6" borderId="6" xfId="0" applyFont="1" applyFill="1" applyBorder="1" applyAlignment="1">
      <alignment horizontal="left"/>
    </xf>
    <xf numFmtId="0" fontId="97" fillId="11" borderId="2" xfId="0" applyFont="1" applyFill="1" applyBorder="1"/>
    <xf numFmtId="0" fontId="97" fillId="11" borderId="7" xfId="0" applyFont="1" applyFill="1" applyBorder="1"/>
    <xf numFmtId="0" fontId="97" fillId="11" borderId="4" xfId="0" applyFont="1" applyFill="1" applyBorder="1"/>
    <xf numFmtId="0" fontId="97" fillId="11" borderId="8" xfId="0" applyFont="1" applyFill="1" applyBorder="1"/>
    <xf numFmtId="2" fontId="97" fillId="11" borderId="8" xfId="0" applyNumberFormat="1" applyFont="1" applyFill="1" applyBorder="1"/>
    <xf numFmtId="0" fontId="97" fillId="11" borderId="8" xfId="0" applyFont="1" applyFill="1" applyBorder="1" applyAlignment="1">
      <alignment horizontal="left"/>
    </xf>
    <xf numFmtId="0" fontId="10" fillId="0" borderId="7" xfId="0" applyFont="1" applyBorder="1" applyAlignment="1">
      <alignment horizontal="center"/>
    </xf>
    <xf numFmtId="0" fontId="10" fillId="0" borderId="9" xfId="0" applyFont="1" applyBorder="1" applyAlignment="1">
      <alignment horizontal="center"/>
    </xf>
    <xf numFmtId="0" fontId="37" fillId="0" borderId="10" xfId="0" applyFont="1" applyBorder="1"/>
    <xf numFmtId="0" fontId="89" fillId="11" borderId="7" xfId="0" applyFont="1" applyFill="1" applyBorder="1" applyAlignment="1">
      <alignment horizontal="center"/>
    </xf>
    <xf numFmtId="0" fontId="0" fillId="6" borderId="10" xfId="0" applyFill="1" applyBorder="1"/>
    <xf numFmtId="0" fontId="50" fillId="12" borderId="13" xfId="0" applyFont="1" applyFill="1" applyBorder="1"/>
    <xf numFmtId="0" fontId="94" fillId="6" borderId="3" xfId="0" applyFont="1" applyFill="1" applyBorder="1"/>
    <xf numFmtId="0" fontId="4" fillId="6" borderId="21" xfId="0" applyFont="1" applyFill="1" applyBorder="1" applyAlignment="1">
      <alignment horizontal="center"/>
    </xf>
    <xf numFmtId="0" fontId="0" fillId="2" borderId="14" xfId="0" applyFill="1" applyBorder="1"/>
    <xf numFmtId="0" fontId="32" fillId="2" borderId="10" xfId="0" applyFont="1" applyFill="1" applyBorder="1"/>
    <xf numFmtId="0" fontId="32" fillId="2" borderId="13" xfId="0" applyFont="1" applyFill="1" applyBorder="1"/>
    <xf numFmtId="0" fontId="28" fillId="2" borderId="9" xfId="0" applyFont="1" applyFill="1" applyBorder="1"/>
    <xf numFmtId="0" fontId="28" fillId="2" borderId="10" xfId="0" applyFont="1" applyFill="1" applyBorder="1" applyAlignment="1">
      <alignment horizontal="center"/>
    </xf>
    <xf numFmtId="0" fontId="28" fillId="6" borderId="8" xfId="0" applyFont="1" applyFill="1" applyBorder="1"/>
    <xf numFmtId="0" fontId="50" fillId="6" borderId="7" xfId="0" applyFont="1" applyFill="1" applyBorder="1" applyAlignment="1">
      <alignment horizontal="center"/>
    </xf>
    <xf numFmtId="0" fontId="7" fillId="10" borderId="1" xfId="0" applyFont="1" applyFill="1" applyBorder="1"/>
    <xf numFmtId="164" fontId="9" fillId="6" borderId="8" xfId="0" applyNumberFormat="1" applyFont="1" applyFill="1" applyBorder="1" applyAlignment="1">
      <alignment horizontal="center"/>
    </xf>
    <xf numFmtId="164" fontId="9" fillId="6" borderId="3" xfId="0" applyNumberFormat="1" applyFont="1" applyFill="1" applyBorder="1" applyAlignment="1">
      <alignment horizontal="center"/>
    </xf>
    <xf numFmtId="164" fontId="9" fillId="6" borderId="7" xfId="0" applyNumberFormat="1" applyFont="1" applyFill="1" applyBorder="1" applyAlignment="1">
      <alignment horizontal="center"/>
    </xf>
    <xf numFmtId="1" fontId="0" fillId="5" borderId="2" xfId="0" applyNumberFormat="1" applyFill="1" applyBorder="1"/>
    <xf numFmtId="1" fontId="0" fillId="5" borderId="4" xfId="0" applyNumberFormat="1" applyFill="1" applyBorder="1"/>
    <xf numFmtId="164" fontId="0" fillId="9" borderId="3" xfId="0" applyNumberFormat="1" applyFill="1" applyBorder="1" applyAlignment="1">
      <alignment horizontal="center"/>
    </xf>
    <xf numFmtId="164" fontId="0" fillId="9" borderId="8" xfId="0" applyNumberFormat="1" applyFill="1" applyBorder="1" applyAlignment="1">
      <alignment horizontal="center"/>
    </xf>
    <xf numFmtId="0" fontId="0" fillId="9" borderId="4" xfId="0" applyFill="1" applyBorder="1" applyAlignment="1">
      <alignment horizontal="center"/>
    </xf>
    <xf numFmtId="164" fontId="0" fillId="6" borderId="4" xfId="0" applyNumberFormat="1" applyFill="1" applyBorder="1" applyAlignment="1">
      <alignment horizontal="center"/>
    </xf>
    <xf numFmtId="164" fontId="0" fillId="9" borderId="4" xfId="0" applyNumberFormat="1" applyFill="1" applyBorder="1" applyAlignment="1">
      <alignment horizontal="center"/>
    </xf>
    <xf numFmtId="0" fontId="37" fillId="6" borderId="6" xfId="0" applyFont="1" applyFill="1" applyBorder="1" applyAlignment="1">
      <alignment horizontal="center"/>
    </xf>
    <xf numFmtId="0" fontId="37" fillId="6" borderId="9" xfId="0" applyFont="1" applyFill="1" applyBorder="1" applyAlignment="1">
      <alignment horizontal="center"/>
    </xf>
    <xf numFmtId="1" fontId="4" fillId="6" borderId="5" xfId="0" applyNumberFormat="1" applyFont="1" applyFill="1" applyBorder="1"/>
    <xf numFmtId="0" fontId="89" fillId="11" borderId="10" xfId="0" applyFont="1" applyFill="1" applyBorder="1" applyAlignment="1">
      <alignment horizontal="center"/>
    </xf>
    <xf numFmtId="2" fontId="89" fillId="11" borderId="8" xfId="0" applyNumberFormat="1" applyFont="1" applyFill="1" applyBorder="1" applyAlignment="1">
      <alignment horizontal="center"/>
    </xf>
    <xf numFmtId="164" fontId="89" fillId="11" borderId="1" xfId="0" applyNumberFormat="1" applyFont="1" applyFill="1" applyBorder="1" applyAlignment="1">
      <alignment horizontal="center"/>
    </xf>
    <xf numFmtId="164" fontId="89" fillId="11" borderId="3" xfId="0" applyNumberFormat="1" applyFont="1" applyFill="1" applyBorder="1" applyAlignment="1">
      <alignment horizontal="center"/>
    </xf>
    <xf numFmtId="164" fontId="89" fillId="11" borderId="5" xfId="0" applyNumberFormat="1" applyFont="1" applyFill="1" applyBorder="1" applyAlignment="1">
      <alignment horizontal="center"/>
    </xf>
    <xf numFmtId="0" fontId="0" fillId="12" borderId="0" xfId="0" applyFill="1" applyAlignment="1">
      <alignment vertical="center"/>
    </xf>
    <xf numFmtId="0" fontId="3" fillId="12" borderId="0" xfId="0" applyFont="1" applyFill="1"/>
    <xf numFmtId="0" fontId="37" fillId="6" borderId="8" xfId="0" applyFont="1" applyFill="1" applyBorder="1" applyAlignment="1">
      <alignment horizontal="left"/>
    </xf>
    <xf numFmtId="164" fontId="37" fillId="6" borderId="23" xfId="0" applyNumberFormat="1" applyFont="1" applyFill="1" applyBorder="1"/>
    <xf numFmtId="0" fontId="22" fillId="6" borderId="8" xfId="0" applyFont="1" applyFill="1" applyBorder="1" applyAlignment="1">
      <alignment horizontal="left"/>
    </xf>
    <xf numFmtId="0" fontId="22" fillId="6" borderId="0" xfId="0" applyFont="1" applyFill="1" applyAlignment="1">
      <alignment horizontal="left"/>
    </xf>
    <xf numFmtId="0" fontId="22" fillId="6" borderId="8" xfId="0" applyFont="1" applyFill="1" applyBorder="1"/>
    <xf numFmtId="0" fontId="37" fillId="6" borderId="33" xfId="0" applyFont="1" applyFill="1" applyBorder="1" applyAlignment="1">
      <alignment horizontal="left"/>
    </xf>
    <xf numFmtId="164" fontId="37" fillId="6" borderId="24" xfId="0" applyNumberFormat="1" applyFont="1" applyFill="1" applyBorder="1"/>
    <xf numFmtId="0" fontId="4" fillId="6" borderId="8" xfId="0" applyFont="1" applyFill="1" applyBorder="1" applyAlignment="1">
      <alignment horizontal="left"/>
    </xf>
    <xf numFmtId="0" fontId="3" fillId="2" borderId="1" xfId="0" applyFont="1" applyFill="1" applyBorder="1"/>
    <xf numFmtId="0" fontId="37" fillId="6" borderId="9" xfId="0" applyFont="1" applyFill="1" applyBorder="1" applyAlignment="1">
      <alignment horizontal="left"/>
    </xf>
    <xf numFmtId="0" fontId="0" fillId="2" borderId="8" xfId="0" applyFill="1" applyBorder="1"/>
    <xf numFmtId="0" fontId="0" fillId="22" borderId="0" xfId="0" applyFill="1" applyAlignment="1">
      <alignment horizontal="left"/>
    </xf>
    <xf numFmtId="0" fontId="0" fillId="2" borderId="7" xfId="0" applyFill="1" applyBorder="1"/>
    <xf numFmtId="0" fontId="7" fillId="0" borderId="11" xfId="0" applyFont="1" applyBorder="1"/>
    <xf numFmtId="0" fontId="0" fillId="2" borderId="9" xfId="0" applyFill="1" applyBorder="1"/>
    <xf numFmtId="0" fontId="0" fillId="2" borderId="3" xfId="0" applyFill="1" applyBorder="1" applyAlignment="1">
      <alignment horizontal="center"/>
    </xf>
    <xf numFmtId="0" fontId="0" fillId="2" borderId="1" xfId="0" applyFill="1" applyBorder="1" applyAlignment="1">
      <alignment horizontal="center"/>
    </xf>
    <xf numFmtId="0" fontId="0" fillId="2" borderId="5" xfId="0" applyFill="1" applyBorder="1" applyAlignment="1">
      <alignment horizontal="center"/>
    </xf>
    <xf numFmtId="3" fontId="0" fillId="22" borderId="0" xfId="0" applyNumberFormat="1" applyFill="1"/>
    <xf numFmtId="0" fontId="0" fillId="22" borderId="0" xfId="0" applyFill="1" applyAlignment="1">
      <alignment horizontal="center"/>
    </xf>
    <xf numFmtId="164" fontId="0" fillId="22" borderId="0" xfId="0" applyNumberFormat="1" applyFill="1" applyAlignment="1">
      <alignment horizontal="left"/>
    </xf>
    <xf numFmtId="0" fontId="0" fillId="21" borderId="14" xfId="0" applyFill="1" applyBorder="1"/>
    <xf numFmtId="0" fontId="0" fillId="2" borderId="1" xfId="0" applyFill="1" applyBorder="1" applyAlignment="1">
      <alignment horizontal="left"/>
    </xf>
    <xf numFmtId="0" fontId="10" fillId="25" borderId="8" xfId="0" applyFont="1" applyFill="1" applyBorder="1"/>
    <xf numFmtId="0" fontId="10" fillId="25" borderId="8" xfId="0" applyFont="1" applyFill="1" applyBorder="1" applyAlignment="1">
      <alignment horizontal="left"/>
    </xf>
    <xf numFmtId="0" fontId="10" fillId="25" borderId="4" xfId="0" applyFont="1" applyFill="1" applyBorder="1"/>
    <xf numFmtId="0" fontId="7" fillId="0" borderId="1" xfId="0" applyFont="1" applyBorder="1"/>
    <xf numFmtId="0" fontId="3" fillId="0" borderId="11" xfId="0" applyFont="1" applyBorder="1"/>
    <xf numFmtId="0" fontId="4" fillId="0" borderId="7" xfId="0" applyFont="1" applyBorder="1" applyAlignment="1">
      <alignment horizontal="center"/>
    </xf>
    <xf numFmtId="0" fontId="4" fillId="0" borderId="9" xfId="0" applyFont="1" applyBorder="1" applyAlignment="1">
      <alignment horizontal="center"/>
    </xf>
    <xf numFmtId="0" fontId="7" fillId="0" borderId="21" xfId="0" applyFont="1" applyBorder="1"/>
    <xf numFmtId="0" fontId="3" fillId="0" borderId="2" xfId="0" applyFont="1" applyBorder="1"/>
    <xf numFmtId="0" fontId="50" fillId="0" borderId="6" xfId="0" applyFont="1" applyBorder="1"/>
    <xf numFmtId="0" fontId="10" fillId="12" borderId="8" xfId="0" applyFont="1" applyFill="1" applyBorder="1"/>
    <xf numFmtId="0" fontId="10" fillId="12" borderId="8" xfId="0" applyFont="1" applyFill="1" applyBorder="1" applyAlignment="1">
      <alignment horizontal="center"/>
    </xf>
    <xf numFmtId="0" fontId="10" fillId="12" borderId="10" xfId="0" applyFont="1" applyFill="1" applyBorder="1" applyAlignment="1">
      <alignment horizontal="center"/>
    </xf>
    <xf numFmtId="0" fontId="10" fillId="12" borderId="7" xfId="0" applyFont="1" applyFill="1" applyBorder="1" applyAlignment="1">
      <alignment horizontal="center"/>
    </xf>
    <xf numFmtId="0" fontId="67" fillId="11" borderId="0" xfId="0" applyFont="1" applyFill="1" applyAlignment="1">
      <alignment horizontal="left"/>
    </xf>
    <xf numFmtId="0" fontId="22" fillId="25" borderId="0" xfId="0" applyFont="1" applyFill="1" applyAlignment="1">
      <alignment horizontal="left"/>
    </xf>
    <xf numFmtId="0" fontId="10" fillId="2" borderId="7" xfId="0" applyFont="1" applyFill="1" applyBorder="1" applyAlignment="1">
      <alignment horizontal="left"/>
    </xf>
    <xf numFmtId="0" fontId="10" fillId="2" borderId="8" xfId="0" applyFont="1" applyFill="1" applyBorder="1" applyAlignment="1">
      <alignment horizontal="left"/>
    </xf>
    <xf numFmtId="0" fontId="10" fillId="2" borderId="9" xfId="0" applyFont="1" applyFill="1" applyBorder="1" applyAlignment="1">
      <alignment horizontal="left"/>
    </xf>
    <xf numFmtId="0" fontId="10" fillId="2" borderId="4" xfId="0" applyFont="1" applyFill="1" applyBorder="1"/>
    <xf numFmtId="0" fontId="10" fillId="2" borderId="6" xfId="0" applyFont="1" applyFill="1" applyBorder="1"/>
    <xf numFmtId="165" fontId="10" fillId="2" borderId="7" xfId="0" applyNumberFormat="1" applyFont="1" applyFill="1" applyBorder="1" applyAlignment="1">
      <alignment horizontal="left"/>
    </xf>
    <xf numFmtId="0" fontId="10" fillId="2" borderId="1" xfId="0" applyFont="1" applyFill="1" applyBorder="1" applyAlignment="1">
      <alignment horizontal="left"/>
    </xf>
    <xf numFmtId="0" fontId="0" fillId="2" borderId="7" xfId="0" applyFill="1" applyBorder="1" applyAlignment="1">
      <alignment horizontal="left" vertical="center" wrapText="1"/>
    </xf>
    <xf numFmtId="165" fontId="10" fillId="2" borderId="8" xfId="0" applyNumberFormat="1" applyFont="1" applyFill="1" applyBorder="1" applyAlignment="1">
      <alignment horizontal="left"/>
    </xf>
    <xf numFmtId="0" fontId="10" fillId="2" borderId="3" xfId="0" applyFont="1" applyFill="1" applyBorder="1" applyAlignment="1">
      <alignment horizontal="left"/>
    </xf>
    <xf numFmtId="0" fontId="0" fillId="2" borderId="8" xfId="0" applyFill="1" applyBorder="1" applyAlignment="1">
      <alignment horizontal="left" vertical="center" wrapText="1"/>
    </xf>
    <xf numFmtId="165" fontId="10" fillId="2" borderId="9" xfId="0" applyNumberFormat="1" applyFont="1" applyFill="1" applyBorder="1" applyAlignment="1">
      <alignment horizontal="left"/>
    </xf>
    <xf numFmtId="0" fontId="10" fillId="2" borderId="5" xfId="0" applyFont="1" applyFill="1" applyBorder="1" applyAlignment="1">
      <alignment horizontal="left"/>
    </xf>
    <xf numFmtId="0" fontId="0" fillId="2" borderId="9" xfId="0" applyFill="1" applyBorder="1" applyAlignment="1">
      <alignment horizontal="left" vertical="center" wrapText="1"/>
    </xf>
    <xf numFmtId="2" fontId="97" fillId="11" borderId="8" xfId="0" applyNumberFormat="1" applyFont="1" applyFill="1" applyBorder="1" applyAlignment="1">
      <alignment horizontal="left"/>
    </xf>
    <xf numFmtId="0" fontId="4" fillId="25" borderId="8" xfId="0" applyFont="1" applyFill="1" applyBorder="1"/>
    <xf numFmtId="2" fontId="4" fillId="25" borderId="8" xfId="0" applyNumberFormat="1" applyFont="1" applyFill="1" applyBorder="1"/>
    <xf numFmtId="0" fontId="5" fillId="25" borderId="8" xfId="0" applyFont="1" applyFill="1" applyBorder="1" applyAlignment="1">
      <alignment horizontal="center"/>
    </xf>
    <xf numFmtId="0" fontId="22" fillId="11" borderId="0" xfId="0" applyFont="1" applyFill="1" applyAlignment="1">
      <alignment horizontal="left"/>
    </xf>
    <xf numFmtId="0" fontId="4" fillId="11" borderId="7" xfId="0" applyFont="1" applyFill="1" applyBorder="1" applyAlignment="1">
      <alignment horizontal="center"/>
    </xf>
    <xf numFmtId="0" fontId="4" fillId="11" borderId="4" xfId="0" applyFont="1" applyFill="1" applyBorder="1" applyAlignment="1">
      <alignment horizontal="center"/>
    </xf>
    <xf numFmtId="0" fontId="5" fillId="11" borderId="8" xfId="0" applyFont="1" applyFill="1" applyBorder="1"/>
    <xf numFmtId="2" fontId="5" fillId="11" borderId="8" xfId="0" applyNumberFormat="1" applyFont="1" applyFill="1" applyBorder="1"/>
    <xf numFmtId="0" fontId="5" fillId="11" borderId="8" xfId="0" applyFont="1" applyFill="1" applyBorder="1" applyAlignment="1">
      <alignment horizontal="center"/>
    </xf>
    <xf numFmtId="0" fontId="4" fillId="25" borderId="10" xfId="0" applyFont="1" applyFill="1" applyBorder="1" applyAlignment="1">
      <alignment horizontal="center"/>
    </xf>
    <xf numFmtId="0" fontId="4" fillId="25" borderId="8" xfId="0" applyFont="1" applyFill="1" applyBorder="1" applyAlignment="1">
      <alignment horizontal="center"/>
    </xf>
    <xf numFmtId="0" fontId="4" fillId="2" borderId="8" xfId="0" applyFont="1" applyFill="1" applyBorder="1" applyAlignment="1">
      <alignment horizontal="left"/>
    </xf>
    <xf numFmtId="0" fontId="9" fillId="6" borderId="1" xfId="0" applyFont="1" applyFill="1" applyBorder="1" applyAlignment="1">
      <alignment horizontal="left"/>
    </xf>
    <xf numFmtId="0" fontId="9" fillId="6" borderId="3" xfId="0" applyFont="1" applyFill="1" applyBorder="1" applyAlignment="1">
      <alignment horizontal="left"/>
    </xf>
    <xf numFmtId="0" fontId="9" fillId="6" borderId="5" xfId="0" applyFont="1" applyFill="1" applyBorder="1" applyAlignment="1">
      <alignment horizontal="left"/>
    </xf>
    <xf numFmtId="0" fontId="37" fillId="6" borderId="10" xfId="0" applyFont="1" applyFill="1" applyBorder="1" applyAlignment="1">
      <alignment horizontal="center"/>
    </xf>
    <xf numFmtId="0" fontId="28" fillId="10" borderId="9" xfId="0" applyFont="1" applyFill="1" applyBorder="1" applyAlignment="1">
      <alignment horizontal="center"/>
    </xf>
    <xf numFmtId="0" fontId="3" fillId="6" borderId="1" xfId="0" applyFont="1" applyFill="1" applyBorder="1"/>
    <xf numFmtId="0" fontId="3" fillId="6" borderId="3" xfId="0" applyFont="1" applyFill="1" applyBorder="1" applyAlignment="1">
      <alignment horizontal="left"/>
    </xf>
    <xf numFmtId="0" fontId="28" fillId="10" borderId="13" xfId="0" applyFont="1" applyFill="1" applyBorder="1" applyAlignment="1">
      <alignment horizontal="left"/>
    </xf>
    <xf numFmtId="0" fontId="28" fillId="10" borderId="6" xfId="0" applyFont="1" applyFill="1" applyBorder="1" applyAlignment="1">
      <alignment horizontal="center"/>
    </xf>
    <xf numFmtId="0" fontId="37" fillId="22" borderId="0" xfId="0" applyFont="1" applyFill="1" applyAlignment="1">
      <alignment horizontal="left"/>
    </xf>
    <xf numFmtId="0" fontId="4" fillId="2" borderId="7" xfId="0" applyFont="1" applyFill="1" applyBorder="1" applyAlignment="1">
      <alignment horizontal="left"/>
    </xf>
    <xf numFmtId="0" fontId="62" fillId="2" borderId="14" xfId="0" applyFont="1" applyFill="1" applyBorder="1"/>
    <xf numFmtId="0" fontId="37" fillId="11" borderId="8" xfId="0" applyFont="1" applyFill="1" applyBorder="1"/>
    <xf numFmtId="0" fontId="99" fillId="11" borderId="7" xfId="0" applyFont="1" applyFill="1" applyBorder="1"/>
    <xf numFmtId="0" fontId="0" fillId="21" borderId="13" xfId="0" applyFill="1" applyBorder="1"/>
    <xf numFmtId="0" fontId="3" fillId="21" borderId="12" xfId="0" applyFont="1" applyFill="1" applyBorder="1"/>
    <xf numFmtId="0" fontId="0" fillId="21" borderId="8" xfId="0" applyFill="1" applyBorder="1"/>
    <xf numFmtId="0" fontId="0" fillId="21" borderId="9" xfId="0" applyFill="1" applyBorder="1"/>
    <xf numFmtId="0" fontId="37" fillId="21" borderId="8" xfId="0" applyFont="1" applyFill="1" applyBorder="1"/>
    <xf numFmtId="0" fontId="7" fillId="10" borderId="13" xfId="0" applyFont="1" applyFill="1" applyBorder="1" applyAlignment="1">
      <alignment horizontal="center"/>
    </xf>
    <xf numFmtId="164" fontId="0" fillId="11" borderId="0" xfId="0" applyNumberFormat="1" applyFill="1" applyAlignment="1">
      <alignment horizontal="center"/>
    </xf>
    <xf numFmtId="164" fontId="0" fillId="11" borderId="1" xfId="0" applyNumberFormat="1" applyFill="1" applyBorder="1" applyAlignment="1">
      <alignment horizontal="center"/>
    </xf>
    <xf numFmtId="164" fontId="0" fillId="11" borderId="3" xfId="0" applyNumberFormat="1" applyFill="1" applyBorder="1" applyAlignment="1">
      <alignment horizontal="center"/>
    </xf>
    <xf numFmtId="164" fontId="0" fillId="11" borderId="5" xfId="0" applyNumberFormat="1" applyFill="1" applyBorder="1" applyAlignment="1">
      <alignment horizontal="center"/>
    </xf>
    <xf numFmtId="0" fontId="7" fillId="10" borderId="12" xfId="0" applyFont="1" applyFill="1" applyBorder="1"/>
    <xf numFmtId="0" fontId="32" fillId="10" borderId="6" xfId="0" applyFont="1" applyFill="1" applyBorder="1" applyAlignment="1">
      <alignment horizontal="center"/>
    </xf>
    <xf numFmtId="2" fontId="0" fillId="12" borderId="7" xfId="0" applyNumberFormat="1" applyFill="1" applyBorder="1" applyAlignment="1">
      <alignment horizontal="left"/>
    </xf>
    <xf numFmtId="164" fontId="0" fillId="6" borderId="7" xfId="0" applyNumberFormat="1" applyFill="1" applyBorder="1" applyAlignment="1">
      <alignment horizontal="left"/>
    </xf>
    <xf numFmtId="164" fontId="0" fillId="11" borderId="0" xfId="0" applyNumberFormat="1" applyFill="1" applyAlignment="1">
      <alignment horizontal="left"/>
    </xf>
    <xf numFmtId="2" fontId="0" fillId="12" borderId="8" xfId="0" applyNumberFormat="1" applyFill="1" applyBorder="1" applyAlignment="1">
      <alignment horizontal="left"/>
    </xf>
    <xf numFmtId="164" fontId="0" fillId="6" borderId="8" xfId="0" applyNumberFormat="1" applyFill="1" applyBorder="1" applyAlignment="1">
      <alignment horizontal="left"/>
    </xf>
    <xf numFmtId="2" fontId="0" fillId="12" borderId="9" xfId="0" applyNumberFormat="1" applyFill="1" applyBorder="1" applyAlignment="1">
      <alignment horizontal="left"/>
    </xf>
    <xf numFmtId="164" fontId="0" fillId="6" borderId="9" xfId="0" applyNumberFormat="1" applyFill="1" applyBorder="1" applyAlignment="1">
      <alignment horizontal="left"/>
    </xf>
    <xf numFmtId="164" fontId="0" fillId="11" borderId="11" xfId="0" applyNumberFormat="1" applyFill="1" applyBorder="1" applyAlignment="1">
      <alignment horizontal="left"/>
    </xf>
    <xf numFmtId="164" fontId="0" fillId="11" borderId="21" xfId="0" applyNumberFormat="1" applyFill="1" applyBorder="1" applyAlignment="1">
      <alignment horizontal="left"/>
    </xf>
    <xf numFmtId="164" fontId="0" fillId="11" borderId="7" xfId="0" applyNumberFormat="1" applyFill="1" applyBorder="1" applyAlignment="1">
      <alignment horizontal="left"/>
    </xf>
    <xf numFmtId="164" fontId="0" fillId="11" borderId="8" xfId="0" applyNumberFormat="1" applyFill="1" applyBorder="1" applyAlignment="1">
      <alignment horizontal="left"/>
    </xf>
    <xf numFmtId="164" fontId="0" fillId="11" borderId="9" xfId="0" applyNumberFormat="1" applyFill="1" applyBorder="1" applyAlignment="1">
      <alignment horizontal="left"/>
    </xf>
    <xf numFmtId="164" fontId="0" fillId="11" borderId="1" xfId="0" applyNumberFormat="1" applyFill="1" applyBorder="1" applyAlignment="1">
      <alignment horizontal="left"/>
    </xf>
    <xf numFmtId="164" fontId="0" fillId="11" borderId="3" xfId="0" applyNumberFormat="1" applyFill="1" applyBorder="1" applyAlignment="1">
      <alignment horizontal="left"/>
    </xf>
    <xf numFmtId="164" fontId="0" fillId="11" borderId="5" xfId="0" applyNumberFormat="1" applyFill="1" applyBorder="1" applyAlignment="1">
      <alignment horizontal="left"/>
    </xf>
    <xf numFmtId="0" fontId="106" fillId="10" borderId="12" xfId="0" applyFont="1" applyFill="1" applyBorder="1"/>
    <xf numFmtId="0" fontId="107" fillId="10" borderId="9" xfId="0" applyFont="1" applyFill="1" applyBorder="1"/>
    <xf numFmtId="0" fontId="7" fillId="10" borderId="12" xfId="0" applyFont="1" applyFill="1" applyBorder="1" applyAlignment="1">
      <alignment horizontal="left"/>
    </xf>
    <xf numFmtId="0" fontId="0" fillId="0" borderId="14" xfId="0" applyBorder="1"/>
    <xf numFmtId="0" fontId="89" fillId="11" borderId="10" xfId="0" applyFont="1" applyFill="1" applyBorder="1" applyAlignment="1">
      <alignment horizontal="left"/>
    </xf>
    <xf numFmtId="0" fontId="37" fillId="11" borderId="7" xfId="0" applyFont="1" applyFill="1" applyBorder="1"/>
    <xf numFmtId="0" fontId="0" fillId="11" borderId="9" xfId="0" applyFill="1" applyBorder="1" applyAlignment="1">
      <alignment horizontal="left"/>
    </xf>
    <xf numFmtId="0" fontId="3" fillId="2" borderId="7" xfId="0" applyFont="1" applyFill="1" applyBorder="1" applyAlignment="1">
      <alignment horizontal="center"/>
    </xf>
    <xf numFmtId="171" fontId="0" fillId="22" borderId="0" xfId="0" applyNumberFormat="1" applyFill="1" applyAlignment="1">
      <alignment horizontal="left"/>
    </xf>
    <xf numFmtId="0" fontId="3" fillId="21" borderId="7" xfId="0" applyFont="1" applyFill="1" applyBorder="1"/>
    <xf numFmtId="0" fontId="37" fillId="21" borderId="9" xfId="0" applyFont="1" applyFill="1" applyBorder="1"/>
    <xf numFmtId="0" fontId="3" fillId="2" borderId="8" xfId="0" applyFont="1" applyFill="1" applyBorder="1"/>
    <xf numFmtId="0" fontId="3" fillId="21" borderId="8" xfId="0" applyFont="1" applyFill="1" applyBorder="1" applyAlignment="1">
      <alignment horizontal="center"/>
    </xf>
    <xf numFmtId="0" fontId="3" fillId="2" borderId="9" xfId="0" applyFont="1" applyFill="1" applyBorder="1"/>
    <xf numFmtId="0" fontId="0" fillId="3" borderId="0" xfId="0" applyFill="1"/>
    <xf numFmtId="0" fontId="10" fillId="21" borderId="8" xfId="0" applyFont="1" applyFill="1" applyBorder="1"/>
    <xf numFmtId="0" fontId="10" fillId="21" borderId="8" xfId="0" applyFont="1" applyFill="1" applyBorder="1" applyAlignment="1">
      <alignment horizontal="center"/>
    </xf>
    <xf numFmtId="0" fontId="3" fillId="21" borderId="0" xfId="0" applyFont="1" applyFill="1"/>
    <xf numFmtId="0" fontId="10" fillId="21" borderId="8" xfId="0" applyFont="1" applyFill="1" applyBorder="1" applyAlignment="1">
      <alignment horizontal="left"/>
    </xf>
    <xf numFmtId="2" fontId="10" fillId="21" borderId="8" xfId="0" applyNumberFormat="1" applyFont="1" applyFill="1" applyBorder="1"/>
    <xf numFmtId="0" fontId="10" fillId="21" borderId="4" xfId="0" applyFont="1" applyFill="1" applyBorder="1"/>
    <xf numFmtId="0" fontId="44" fillId="12" borderId="8" xfId="0" applyFont="1" applyFill="1" applyBorder="1"/>
    <xf numFmtId="165" fontId="97" fillId="11" borderId="8" xfId="0" applyNumberFormat="1" applyFont="1" applyFill="1" applyBorder="1"/>
    <xf numFmtId="3" fontId="10" fillId="12" borderId="9" xfId="0" applyNumberFormat="1" applyFont="1" applyFill="1" applyBorder="1" applyAlignment="1">
      <alignment horizontal="center"/>
    </xf>
    <xf numFmtId="0" fontId="0" fillId="2" borderId="10" xfId="0" applyFill="1" applyBorder="1" applyAlignment="1">
      <alignment horizontal="left"/>
    </xf>
    <xf numFmtId="0" fontId="3" fillId="2" borderId="12" xfId="0" applyFont="1" applyFill="1" applyBorder="1" applyAlignment="1">
      <alignment horizontal="center"/>
    </xf>
    <xf numFmtId="0" fontId="3" fillId="2" borderId="9"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1" fillId="2" borderId="7" xfId="0" applyFont="1" applyFill="1" applyBorder="1"/>
    <xf numFmtId="0" fontId="31" fillId="2" borderId="2" xfId="0" applyFont="1" applyFill="1" applyBorder="1"/>
    <xf numFmtId="0" fontId="31" fillId="2" borderId="10" xfId="0" applyFont="1" applyFill="1" applyBorder="1"/>
    <xf numFmtId="164" fontId="0" fillId="0" borderId="0" xfId="0" applyNumberFormat="1" applyAlignment="1">
      <alignment horizontal="left"/>
    </xf>
    <xf numFmtId="164" fontId="0" fillId="2" borderId="7" xfId="0" applyNumberFormat="1" applyFill="1" applyBorder="1" applyAlignment="1">
      <alignment horizontal="left"/>
    </xf>
    <xf numFmtId="164" fontId="0" fillId="2" borderId="8" xfId="0" applyNumberFormat="1" applyFill="1" applyBorder="1" applyAlignment="1">
      <alignment horizontal="left"/>
    </xf>
    <xf numFmtId="164" fontId="0" fillId="2" borderId="9" xfId="0" applyNumberFormat="1" applyFill="1" applyBorder="1" applyAlignment="1">
      <alignment horizontal="left"/>
    </xf>
    <xf numFmtId="0" fontId="3" fillId="2" borderId="13" xfId="0" applyFont="1" applyFill="1" applyBorder="1" applyAlignment="1">
      <alignment horizontal="center"/>
    </xf>
    <xf numFmtId="0" fontId="22" fillId="2" borderId="13" xfId="0" applyFont="1" applyFill="1" applyBorder="1" applyAlignment="1">
      <alignment horizontal="center"/>
    </xf>
    <xf numFmtId="0" fontId="22" fillId="2" borderId="10" xfId="0" applyFont="1" applyFill="1" applyBorder="1" applyAlignment="1">
      <alignment horizontal="center"/>
    </xf>
    <xf numFmtId="0" fontId="22" fillId="2" borderId="12" xfId="0" applyFont="1" applyFill="1" applyBorder="1" applyAlignment="1">
      <alignment horizontal="center"/>
    </xf>
    <xf numFmtId="0" fontId="22" fillId="2" borderId="8" xfId="0" applyFont="1" applyFill="1" applyBorder="1" applyAlignment="1">
      <alignment horizontal="center"/>
    </xf>
    <xf numFmtId="0" fontId="22" fillId="22" borderId="0" xfId="0" applyFont="1" applyFill="1" applyAlignment="1">
      <alignment horizontal="center"/>
    </xf>
    <xf numFmtId="0" fontId="0" fillId="11" borderId="8" xfId="0" applyFill="1" applyBorder="1" applyAlignment="1">
      <alignment horizontal="left"/>
    </xf>
    <xf numFmtId="0" fontId="31" fillId="24" borderId="9" xfId="0" applyFont="1" applyFill="1" applyBorder="1"/>
    <xf numFmtId="164" fontId="0" fillId="2" borderId="11" xfId="0" applyNumberFormat="1" applyFill="1" applyBorder="1" applyAlignment="1">
      <alignment horizontal="center"/>
    </xf>
    <xf numFmtId="164" fontId="0" fillId="2" borderId="0" xfId="0" applyNumberFormat="1" applyFill="1" applyAlignment="1">
      <alignment horizontal="center"/>
    </xf>
    <xf numFmtId="164" fontId="0" fillId="2" borderId="21" xfId="0" applyNumberFormat="1" applyFill="1" applyBorder="1" applyAlignment="1">
      <alignment horizontal="center"/>
    </xf>
    <xf numFmtId="0" fontId="7" fillId="2" borderId="7" xfId="0" applyFont="1" applyFill="1" applyBorder="1" applyAlignment="1">
      <alignment horizontal="center"/>
    </xf>
    <xf numFmtId="0" fontId="112" fillId="11" borderId="0" xfId="0" applyFont="1" applyFill="1"/>
    <xf numFmtId="0" fontId="89" fillId="6" borderId="9" xfId="0" applyFont="1" applyFill="1" applyBorder="1" applyAlignment="1">
      <alignment horizontal="center"/>
    </xf>
    <xf numFmtId="0" fontId="0" fillId="11" borderId="7" xfId="0" applyFill="1" applyBorder="1"/>
    <xf numFmtId="0" fontId="0" fillId="11" borderId="7" xfId="0" applyFill="1" applyBorder="1" applyAlignment="1">
      <alignment horizontal="center"/>
    </xf>
    <xf numFmtId="0" fontId="37" fillId="11" borderId="7" xfId="0" applyFont="1" applyFill="1" applyBorder="1" applyAlignment="1">
      <alignment horizontal="left"/>
    </xf>
    <xf numFmtId="0" fontId="0" fillId="11" borderId="7" xfId="0" applyFill="1" applyBorder="1" applyAlignment="1">
      <alignment horizontal="left"/>
    </xf>
    <xf numFmtId="0" fontId="0" fillId="11" borderId="8" xfId="0" applyFill="1" applyBorder="1"/>
    <xf numFmtId="0" fontId="37" fillId="11" borderId="8" xfId="0" applyFont="1" applyFill="1" applyBorder="1" applyAlignment="1">
      <alignment horizontal="left"/>
    </xf>
    <xf numFmtId="0" fontId="10" fillId="2" borderId="9" xfId="0" applyFont="1" applyFill="1" applyBorder="1" applyAlignment="1">
      <alignment horizontal="center"/>
    </xf>
    <xf numFmtId="0" fontId="44" fillId="2" borderId="1" xfId="0" applyFont="1" applyFill="1" applyBorder="1" applyAlignment="1">
      <alignment horizontal="left" indent="12"/>
    </xf>
    <xf numFmtId="0" fontId="40" fillId="2" borderId="3" xfId="0" applyFont="1" applyFill="1" applyBorder="1" applyAlignment="1">
      <alignment horizontal="center"/>
    </xf>
    <xf numFmtId="0" fontId="10" fillId="2" borderId="5" xfId="0" applyFont="1" applyFill="1" applyBorder="1" applyAlignment="1">
      <alignment horizontal="center"/>
    </xf>
    <xf numFmtId="0" fontId="44" fillId="2" borderId="3" xfId="0" applyFont="1" applyFill="1" applyBorder="1" applyAlignment="1">
      <alignment horizontal="center"/>
    </xf>
    <xf numFmtId="0" fontId="44" fillId="2" borderId="3" xfId="0" applyFont="1" applyFill="1" applyBorder="1"/>
    <xf numFmtId="0" fontId="44" fillId="2" borderId="11" xfId="0" applyFont="1" applyFill="1" applyBorder="1" applyAlignment="1">
      <alignment horizontal="left" indent="12"/>
    </xf>
    <xf numFmtId="0" fontId="44" fillId="2" borderId="7" xfId="0" applyFont="1" applyFill="1" applyBorder="1" applyAlignment="1">
      <alignment horizontal="center"/>
    </xf>
    <xf numFmtId="0" fontId="44" fillId="2" borderId="1" xfId="0" applyFont="1" applyFill="1" applyBorder="1" applyAlignment="1">
      <alignment horizontal="center"/>
    </xf>
    <xf numFmtId="0" fontId="44" fillId="2" borderId="11" xfId="0" applyFont="1" applyFill="1" applyBorder="1" applyAlignment="1">
      <alignment horizontal="left" indent="10"/>
    </xf>
    <xf numFmtId="0" fontId="10" fillId="2" borderId="2" xfId="0" applyFont="1" applyFill="1" applyBorder="1" applyAlignment="1">
      <alignment horizontal="left" indent="10"/>
    </xf>
    <xf numFmtId="0" fontId="44" fillId="12" borderId="5" xfId="0" applyFont="1" applyFill="1" applyBorder="1" applyAlignment="1">
      <alignment horizontal="left" indent="12"/>
    </xf>
    <xf numFmtId="0" fontId="44" fillId="12" borderId="21" xfId="0" applyFont="1" applyFill="1" applyBorder="1" applyAlignment="1">
      <alignment horizontal="left" indent="10"/>
    </xf>
    <xf numFmtId="0" fontId="10" fillId="12" borderId="6" xfId="0" applyFont="1" applyFill="1" applyBorder="1" applyAlignment="1">
      <alignment horizontal="left" indent="10"/>
    </xf>
    <xf numFmtId="0" fontId="89" fillId="19" borderId="14" xfId="0" applyFont="1" applyFill="1" applyBorder="1"/>
    <xf numFmtId="0" fontId="89" fillId="19" borderId="13" xfId="0" applyFont="1" applyFill="1" applyBorder="1"/>
    <xf numFmtId="0" fontId="99" fillId="19" borderId="11" xfId="0" applyFont="1" applyFill="1" applyBorder="1"/>
    <xf numFmtId="0" fontId="115" fillId="19" borderId="14" xfId="0" applyFont="1" applyFill="1" applyBorder="1"/>
    <xf numFmtId="0" fontId="115" fillId="19" borderId="13" xfId="0" applyFont="1" applyFill="1" applyBorder="1"/>
    <xf numFmtId="0" fontId="3" fillId="17" borderId="9" xfId="0" applyFont="1" applyFill="1" applyBorder="1" applyAlignment="1">
      <alignment horizontal="center" vertical="center"/>
    </xf>
    <xf numFmtId="0" fontId="117" fillId="19" borderId="14" xfId="0" applyFont="1" applyFill="1" applyBorder="1"/>
    <xf numFmtId="0" fontId="116" fillId="19" borderId="1" xfId="0" applyFont="1" applyFill="1" applyBorder="1"/>
    <xf numFmtId="2" fontId="10" fillId="2" borderId="1" xfId="0" applyNumberFormat="1" applyFont="1" applyFill="1" applyBorder="1" applyAlignment="1">
      <alignment horizontal="left"/>
    </xf>
    <xf numFmtId="2" fontId="10" fillId="2" borderId="3" xfId="0" applyNumberFormat="1" applyFont="1" applyFill="1" applyBorder="1" applyAlignment="1">
      <alignment horizontal="left"/>
    </xf>
    <xf numFmtId="2" fontId="10" fillId="2" borderId="5" xfId="0" applyNumberFormat="1" applyFont="1" applyFill="1" applyBorder="1" applyAlignment="1">
      <alignment horizontal="left"/>
    </xf>
    <xf numFmtId="0" fontId="4" fillId="2" borderId="3" xfId="0" applyFont="1" applyFill="1" applyBorder="1" applyAlignment="1">
      <alignment horizontal="left"/>
    </xf>
    <xf numFmtId="164" fontId="90" fillId="15" borderId="1" xfId="0" applyNumberFormat="1" applyFont="1" applyFill="1" applyBorder="1" applyAlignment="1">
      <alignment horizontal="center" vertical="center"/>
    </xf>
    <xf numFmtId="0" fontId="90" fillId="16" borderId="1" xfId="0" applyFont="1" applyFill="1" applyBorder="1" applyAlignment="1">
      <alignment horizontal="center" vertical="center"/>
    </xf>
    <xf numFmtId="0" fontId="90" fillId="17" borderId="7" xfId="0" applyFont="1" applyFill="1" applyBorder="1" applyAlignment="1">
      <alignment horizontal="center" vertical="center"/>
    </xf>
    <xf numFmtId="164" fontId="90" fillId="15" borderId="3" xfId="0" applyNumberFormat="1" applyFont="1" applyFill="1" applyBorder="1" applyAlignment="1">
      <alignment horizontal="center" vertical="center"/>
    </xf>
    <xf numFmtId="0" fontId="90" fillId="16" borderId="3" xfId="0" applyFont="1" applyFill="1" applyBorder="1" applyAlignment="1">
      <alignment horizontal="center" vertical="center"/>
    </xf>
    <xf numFmtId="0" fontId="90" fillId="17" borderId="8" xfId="0" applyFont="1" applyFill="1" applyBorder="1" applyAlignment="1">
      <alignment horizontal="center" vertical="center"/>
    </xf>
    <xf numFmtId="164" fontId="90" fillId="15" borderId="5" xfId="0" applyNumberFormat="1" applyFont="1" applyFill="1" applyBorder="1" applyAlignment="1">
      <alignment horizontal="center" vertical="center"/>
    </xf>
    <xf numFmtId="0" fontId="90" fillId="16" borderId="5" xfId="0" applyFont="1" applyFill="1" applyBorder="1" applyAlignment="1">
      <alignment horizontal="center" vertical="center"/>
    </xf>
    <xf numFmtId="0" fontId="90" fillId="17" borderId="9" xfId="0" applyFont="1" applyFill="1" applyBorder="1" applyAlignment="1">
      <alignment horizontal="left" vertical="center" indent="3"/>
    </xf>
    <xf numFmtId="0" fontId="116" fillId="19" borderId="14" xfId="0" applyFont="1" applyFill="1" applyBorder="1"/>
    <xf numFmtId="0" fontId="10" fillId="2" borderId="10" xfId="0" applyFont="1" applyFill="1" applyBorder="1" applyAlignment="1">
      <alignment horizontal="left"/>
    </xf>
    <xf numFmtId="0" fontId="4" fillId="2" borderId="10" xfId="0" applyFont="1" applyFill="1" applyBorder="1" applyAlignment="1">
      <alignment horizontal="left"/>
    </xf>
    <xf numFmtId="0" fontId="9" fillId="12" borderId="0" xfId="0" applyFont="1" applyFill="1"/>
    <xf numFmtId="0" fontId="9" fillId="26" borderId="0" xfId="0" applyFont="1" applyFill="1"/>
    <xf numFmtId="0" fontId="118" fillId="14" borderId="14" xfId="0" applyFont="1" applyFill="1" applyBorder="1" applyAlignment="1">
      <alignment vertical="center"/>
    </xf>
    <xf numFmtId="0" fontId="5" fillId="14" borderId="2" xfId="0" applyFont="1" applyFill="1" applyBorder="1"/>
    <xf numFmtId="0" fontId="90" fillId="16" borderId="7" xfId="0" applyFont="1" applyFill="1" applyBorder="1" applyAlignment="1">
      <alignment horizontal="center" vertical="center"/>
    </xf>
    <xf numFmtId="0" fontId="3" fillId="16" borderId="9" xfId="0" applyFont="1" applyFill="1" applyBorder="1" applyAlignment="1">
      <alignment horizontal="center" vertical="center"/>
    </xf>
    <xf numFmtId="0" fontId="3" fillId="9" borderId="0" xfId="0" applyFont="1" applyFill="1" applyAlignment="1">
      <alignment horizontal="center"/>
    </xf>
    <xf numFmtId="0" fontId="5" fillId="9" borderId="0" xfId="0" applyFont="1" applyFill="1" applyAlignment="1">
      <alignment horizontal="center"/>
    </xf>
    <xf numFmtId="0" fontId="89" fillId="19" borderId="0" xfId="0" applyFont="1" applyFill="1"/>
    <xf numFmtId="0" fontId="6" fillId="22" borderId="0" xfId="0" applyFont="1" applyFill="1" applyAlignment="1">
      <alignment horizontal="left"/>
    </xf>
    <xf numFmtId="0" fontId="6" fillId="22" borderId="0" xfId="0" applyFont="1" applyFill="1"/>
    <xf numFmtId="0" fontId="4" fillId="22" borderId="0" xfId="0" applyFont="1" applyFill="1"/>
    <xf numFmtId="0" fontId="4" fillId="31" borderId="0" xfId="0" applyFont="1" applyFill="1"/>
    <xf numFmtId="0" fontId="24" fillId="31" borderId="0" xfId="0" applyFont="1" applyFill="1" applyAlignment="1">
      <alignment vertical="center"/>
    </xf>
    <xf numFmtId="0" fontId="24" fillId="31" borderId="0" xfId="0" applyFont="1" applyFill="1" applyAlignment="1">
      <alignment vertical="center" wrapText="1"/>
    </xf>
    <xf numFmtId="0" fontId="4" fillId="31" borderId="0" xfId="0" applyFont="1" applyFill="1" applyAlignment="1">
      <alignment wrapText="1"/>
    </xf>
    <xf numFmtId="0" fontId="4" fillId="31" borderId="1" xfId="0" applyFont="1" applyFill="1" applyBorder="1"/>
    <xf numFmtId="0" fontId="4" fillId="31" borderId="11" xfId="0" applyFont="1" applyFill="1" applyBorder="1"/>
    <xf numFmtId="0" fontId="4" fillId="31" borderId="2" xfId="0" applyFont="1" applyFill="1" applyBorder="1"/>
    <xf numFmtId="0" fontId="4" fillId="31" borderId="12" xfId="0" applyFont="1" applyFill="1" applyBorder="1"/>
    <xf numFmtId="0" fontId="4" fillId="31" borderId="14" xfId="0" applyFont="1" applyFill="1" applyBorder="1"/>
    <xf numFmtId="0" fontId="4" fillId="31" borderId="13" xfId="0" applyFont="1" applyFill="1" applyBorder="1"/>
    <xf numFmtId="0" fontId="4" fillId="31" borderId="0" xfId="0" applyFont="1" applyFill="1" applyAlignment="1">
      <alignment horizontal="center"/>
    </xf>
    <xf numFmtId="0" fontId="4" fillId="31" borderId="4" xfId="0" applyFont="1" applyFill="1" applyBorder="1"/>
    <xf numFmtId="0" fontId="4" fillId="31" borderId="1" xfId="0" applyFont="1" applyFill="1" applyBorder="1" applyAlignment="1">
      <alignment horizontal="left"/>
    </xf>
    <xf numFmtId="0" fontId="4" fillId="31" borderId="3" xfId="0" applyFont="1" applyFill="1" applyBorder="1"/>
    <xf numFmtId="0" fontId="4" fillId="31" borderId="0" xfId="0" applyFont="1" applyFill="1" applyAlignment="1">
      <alignment horizontal="right"/>
    </xf>
    <xf numFmtId="0" fontId="23" fillId="31" borderId="0" xfId="3" applyFill="1" applyBorder="1" applyAlignment="1" applyProtection="1"/>
    <xf numFmtId="0" fontId="5" fillId="31" borderId="0" xfId="0" applyFont="1" applyFill="1" applyAlignment="1">
      <alignment horizontal="center" wrapText="1"/>
    </xf>
    <xf numFmtId="0" fontId="5" fillId="31" borderId="3" xfId="0" applyFont="1" applyFill="1" applyBorder="1" applyAlignment="1">
      <alignment horizontal="left"/>
    </xf>
    <xf numFmtId="0" fontId="0" fillId="31" borderId="0" xfId="0" applyFill="1" applyAlignment="1">
      <alignment horizontal="center"/>
    </xf>
    <xf numFmtId="0" fontId="5" fillId="31" borderId="0" xfId="0" applyFont="1" applyFill="1" applyAlignment="1">
      <alignment horizontal="center"/>
    </xf>
    <xf numFmtId="0" fontId="4" fillId="31" borderId="4" xfId="0" applyFont="1" applyFill="1" applyBorder="1" applyAlignment="1">
      <alignment horizontal="center"/>
    </xf>
    <xf numFmtId="0" fontId="23" fillId="31" borderId="3" xfId="3" applyFill="1" applyBorder="1" applyAlignment="1" applyProtection="1"/>
    <xf numFmtId="0" fontId="5" fillId="31" borderId="0" xfId="0" applyFont="1" applyFill="1" applyAlignment="1">
      <alignment wrapText="1"/>
    </xf>
    <xf numFmtId="0" fontId="5" fillId="31" borderId="0" xfId="0" applyFont="1" applyFill="1"/>
    <xf numFmtId="0" fontId="4" fillId="31" borderId="5" xfId="0" applyFont="1" applyFill="1" applyBorder="1"/>
    <xf numFmtId="172" fontId="4" fillId="31" borderId="6" xfId="0" applyNumberFormat="1" applyFont="1" applyFill="1" applyBorder="1"/>
    <xf numFmtId="165" fontId="120" fillId="31" borderId="6" xfId="0" applyNumberFormat="1" applyFont="1" applyFill="1" applyBorder="1" applyAlignment="1">
      <alignment horizontal="center"/>
    </xf>
    <xf numFmtId="0" fontId="5" fillId="31" borderId="0" xfId="0" applyFont="1" applyFill="1" applyAlignment="1">
      <alignment horizontal="center" vertical="center"/>
    </xf>
    <xf numFmtId="0" fontId="5" fillId="31" borderId="21" xfId="0" applyFont="1" applyFill="1" applyBorder="1" applyAlignment="1">
      <alignment horizontal="center" wrapText="1"/>
    </xf>
    <xf numFmtId="0" fontId="121" fillId="31" borderId="0" xfId="0" applyFont="1" applyFill="1" applyAlignment="1">
      <alignment horizontal="center" vertical="top"/>
    </xf>
    <xf numFmtId="0" fontId="111" fillId="31" borderId="0" xfId="0" applyFont="1" applyFill="1" applyAlignment="1">
      <alignment horizontal="center"/>
    </xf>
    <xf numFmtId="0" fontId="121" fillId="31" borderId="0" xfId="0" applyFont="1" applyFill="1" applyAlignment="1">
      <alignment horizontal="center"/>
    </xf>
    <xf numFmtId="0" fontId="101" fillId="31" borderId="3" xfId="0" applyFont="1" applyFill="1" applyBorder="1" applyAlignment="1">
      <alignment horizontal="left"/>
    </xf>
    <xf numFmtId="0" fontId="4" fillId="31" borderId="0" xfId="0" applyFont="1" applyFill="1" applyAlignment="1">
      <alignment horizontal="center" wrapText="1"/>
    </xf>
    <xf numFmtId="0" fontId="5" fillId="31" borderId="21" xfId="0" applyFont="1" applyFill="1" applyBorder="1" applyAlignment="1">
      <alignment horizontal="center"/>
    </xf>
    <xf numFmtId="164" fontId="111" fillId="31" borderId="21" xfId="0" applyNumberFormat="1" applyFont="1" applyFill="1" applyBorder="1" applyAlignment="1">
      <alignment horizontal="center"/>
    </xf>
    <xf numFmtId="0" fontId="111" fillId="31" borderId="21" xfId="0" applyFont="1" applyFill="1" applyBorder="1" applyAlignment="1">
      <alignment horizontal="center"/>
    </xf>
    <xf numFmtId="0" fontId="4" fillId="31" borderId="6" xfId="0" applyFont="1" applyFill="1" applyBorder="1" applyAlignment="1">
      <alignment horizontal="center"/>
    </xf>
    <xf numFmtId="0" fontId="5" fillId="31" borderId="4" xfId="0" applyFont="1" applyFill="1" applyBorder="1" applyAlignment="1">
      <alignment horizontal="center" wrapText="1"/>
    </xf>
    <xf numFmtId="0" fontId="4" fillId="31" borderId="0" xfId="0" quotePrefix="1" applyFont="1" applyFill="1" applyAlignment="1">
      <alignment horizontal="center" wrapText="1"/>
    </xf>
    <xf numFmtId="0" fontId="4" fillId="32" borderId="0" xfId="0" applyFont="1" applyFill="1"/>
    <xf numFmtId="164" fontId="5" fillId="32" borderId="0" xfId="0" applyNumberFormat="1" applyFont="1" applyFill="1" applyAlignment="1">
      <alignment horizontal="center"/>
    </xf>
    <xf numFmtId="0" fontId="4" fillId="32" borderId="0" xfId="0" applyFont="1" applyFill="1" applyAlignment="1">
      <alignment horizontal="center"/>
    </xf>
    <xf numFmtId="164" fontId="4" fillId="32" borderId="0" xfId="0" applyNumberFormat="1" applyFont="1" applyFill="1" applyAlignment="1">
      <alignment horizontal="center"/>
    </xf>
    <xf numFmtId="164" fontId="4" fillId="32" borderId="0" xfId="0" applyNumberFormat="1" applyFont="1" applyFill="1" applyAlignment="1">
      <alignment horizontal="left"/>
    </xf>
    <xf numFmtId="0" fontId="0" fillId="32" borderId="0" xfId="0" applyFill="1"/>
    <xf numFmtId="165" fontId="0" fillId="32" borderId="0" xfId="0" applyNumberFormat="1" applyFill="1" applyAlignment="1">
      <alignment horizontal="center"/>
    </xf>
    <xf numFmtId="0" fontId="4" fillId="32" borderId="3" xfId="0" applyFont="1" applyFill="1" applyBorder="1"/>
    <xf numFmtId="2" fontId="4" fillId="32" borderId="0" xfId="0" quotePrefix="1" applyNumberFormat="1" applyFont="1" applyFill="1" applyAlignment="1">
      <alignment horizontal="center"/>
    </xf>
    <xf numFmtId="2" fontId="4" fillId="32" borderId="4" xfId="0" quotePrefix="1" applyNumberFormat="1" applyFont="1" applyFill="1" applyBorder="1" applyAlignment="1">
      <alignment horizontal="center"/>
    </xf>
    <xf numFmtId="164" fontId="4" fillId="31" borderId="3" xfId="0" applyNumberFormat="1" applyFont="1" applyFill="1" applyBorder="1" applyAlignment="1">
      <alignment horizontal="left"/>
    </xf>
    <xf numFmtId="0" fontId="5" fillId="31" borderId="3" xfId="0" applyFont="1" applyFill="1" applyBorder="1" applyAlignment="1">
      <alignment horizontal="center" vertical="center"/>
    </xf>
    <xf numFmtId="0" fontId="5" fillId="31" borderId="3" xfId="0" applyFont="1" applyFill="1" applyBorder="1" applyAlignment="1">
      <alignment horizontal="center"/>
    </xf>
    <xf numFmtId="0" fontId="0" fillId="32" borderId="4" xfId="0" applyFill="1" applyBorder="1"/>
    <xf numFmtId="0" fontId="0" fillId="32" borderId="3" xfId="0" applyFill="1" applyBorder="1"/>
    <xf numFmtId="0" fontId="0" fillId="32" borderId="5" xfId="0" applyFill="1" applyBorder="1"/>
    <xf numFmtId="0" fontId="0" fillId="32" borderId="21" xfId="0" applyFill="1" applyBorder="1"/>
    <xf numFmtId="0" fontId="0" fillId="32" borderId="6" xfId="0" applyFill="1" applyBorder="1"/>
    <xf numFmtId="0" fontId="4" fillId="32" borderId="10" xfId="0" applyFont="1" applyFill="1" applyBorder="1"/>
    <xf numFmtId="2" fontId="5" fillId="32" borderId="10" xfId="0" applyNumberFormat="1" applyFont="1" applyFill="1" applyBorder="1" applyAlignment="1">
      <alignment horizontal="center"/>
    </xf>
    <xf numFmtId="0" fontId="4" fillId="22" borderId="10" xfId="0" applyFont="1" applyFill="1" applyBorder="1" applyAlignment="1">
      <alignment vertical="center" wrapText="1"/>
    </xf>
    <xf numFmtId="0" fontId="4" fillId="22" borderId="10" xfId="0" applyFont="1" applyFill="1" applyBorder="1" applyAlignment="1">
      <alignment horizontal="center" vertical="center" wrapText="1"/>
    </xf>
    <xf numFmtId="1" fontId="4" fillId="22" borderId="10" xfId="0" applyNumberFormat="1" applyFont="1" applyFill="1" applyBorder="1" applyAlignment="1">
      <alignment horizontal="center" vertical="center" wrapText="1"/>
    </xf>
    <xf numFmtId="3" fontId="4" fillId="22" borderId="10" xfId="0" applyNumberFormat="1" applyFont="1" applyFill="1" applyBorder="1" applyAlignment="1">
      <alignment horizontal="center" vertical="center" wrapText="1"/>
    </xf>
    <xf numFmtId="0" fontId="5" fillId="22" borderId="0" xfId="0" applyFont="1" applyFill="1"/>
    <xf numFmtId="3" fontId="5" fillId="22" borderId="0" xfId="0" applyNumberFormat="1" applyFont="1" applyFill="1"/>
    <xf numFmtId="0" fontId="5" fillId="32" borderId="0" xfId="0" applyFont="1" applyFill="1" applyAlignment="1">
      <alignment vertical="center" wrapText="1"/>
    </xf>
    <xf numFmtId="0" fontId="5" fillId="32" borderId="0" xfId="0" applyFont="1" applyFill="1"/>
    <xf numFmtId="3" fontId="5" fillId="32" borderId="0" xfId="0" applyNumberFormat="1" applyFont="1" applyFill="1"/>
    <xf numFmtId="0" fontId="5" fillId="32" borderId="0" xfId="0" applyFont="1" applyFill="1" applyAlignment="1">
      <alignment horizontal="center" vertical="center" wrapText="1"/>
    </xf>
    <xf numFmtId="0" fontId="0" fillId="31" borderId="0" xfId="0" applyFill="1"/>
    <xf numFmtId="0" fontId="5" fillId="22" borderId="10" xfId="0" applyFont="1" applyFill="1" applyBorder="1" applyAlignment="1">
      <alignment vertical="center" wrapText="1"/>
    </xf>
    <xf numFmtId="0" fontId="3" fillId="22" borderId="10" xfId="0" applyFont="1" applyFill="1" applyBorder="1"/>
    <xf numFmtId="3" fontId="3" fillId="22" borderId="10" xfId="0" applyNumberFormat="1" applyFont="1" applyFill="1" applyBorder="1" applyAlignment="1">
      <alignment horizontal="center"/>
    </xf>
    <xf numFmtId="3" fontId="5" fillId="22" borderId="10" xfId="0" applyNumberFormat="1" applyFont="1" applyFill="1" applyBorder="1" applyAlignment="1">
      <alignment horizontal="center" vertical="center" wrapText="1"/>
    </xf>
    <xf numFmtId="0" fontId="5" fillId="32" borderId="10" xfId="0" applyFont="1" applyFill="1" applyBorder="1" applyAlignment="1">
      <alignment horizontal="center" vertical="center" wrapText="1"/>
    </xf>
    <xf numFmtId="0" fontId="90" fillId="32" borderId="0" xfId="0" applyFont="1" applyFill="1"/>
    <xf numFmtId="0" fontId="5" fillId="32" borderId="21" xfId="0" applyFont="1" applyFill="1" applyBorder="1" applyAlignment="1">
      <alignment vertical="center" wrapText="1"/>
    </xf>
    <xf numFmtId="0" fontId="0" fillId="33" borderId="0" xfId="0" applyFill="1"/>
    <xf numFmtId="0" fontId="0" fillId="33" borderId="0" xfId="0" applyFill="1" applyAlignment="1">
      <alignment horizontal="center"/>
    </xf>
    <xf numFmtId="0" fontId="4" fillId="33" borderId="0" xfId="0" applyFont="1" applyFill="1"/>
    <xf numFmtId="0" fontId="4" fillId="33" borderId="0" xfId="0" applyFont="1" applyFill="1" applyAlignment="1">
      <alignment horizontal="center"/>
    </xf>
    <xf numFmtId="0" fontId="4" fillId="33" borderId="0" xfId="0" applyFont="1" applyFill="1" applyAlignment="1">
      <alignment horizontal="left"/>
    </xf>
    <xf numFmtId="0" fontId="124" fillId="30" borderId="0" xfId="0" applyFont="1" applyFill="1" applyAlignment="1">
      <alignment vertical="center"/>
    </xf>
    <xf numFmtId="0" fontId="125" fillId="30" borderId="0" xfId="0" applyFont="1" applyFill="1" applyAlignment="1">
      <alignment vertical="top" wrapText="1"/>
    </xf>
    <xf numFmtId="0" fontId="125" fillId="30" borderId="0" xfId="0" applyFont="1" applyFill="1"/>
    <xf numFmtId="0" fontId="89" fillId="30" borderId="0" xfId="0" applyFont="1" applyFill="1"/>
    <xf numFmtId="0" fontId="96" fillId="30" borderId="0" xfId="0" applyFont="1" applyFill="1"/>
    <xf numFmtId="0" fontId="96" fillId="30" borderId="0" xfId="0" applyFont="1" applyFill="1" applyAlignment="1">
      <alignment horizontal="center"/>
    </xf>
    <xf numFmtId="0" fontId="89" fillId="30" borderId="0" xfId="0" applyFont="1" applyFill="1" applyAlignment="1">
      <alignment horizontal="center"/>
    </xf>
    <xf numFmtId="0" fontId="89" fillId="30" borderId="10" xfId="0" applyFont="1" applyFill="1" applyBorder="1"/>
    <xf numFmtId="0" fontId="89" fillId="30" borderId="10" xfId="0" applyFont="1" applyFill="1" applyBorder="1" applyAlignment="1">
      <alignment horizontal="left"/>
    </xf>
    <xf numFmtId="0" fontId="0" fillId="33" borderId="10" xfId="0" applyFill="1" applyBorder="1"/>
    <xf numFmtId="1" fontId="0" fillId="33" borderId="10" xfId="0" applyNumberFormat="1" applyFill="1" applyBorder="1" applyAlignment="1">
      <alignment horizontal="center"/>
    </xf>
    <xf numFmtId="0" fontId="100" fillId="33" borderId="10" xfId="0" applyFont="1" applyFill="1" applyBorder="1"/>
    <xf numFmtId="0" fontId="0" fillId="33" borderId="10" xfId="0" applyFill="1" applyBorder="1" applyAlignment="1">
      <alignment horizontal="center"/>
    </xf>
    <xf numFmtId="0" fontId="6" fillId="33" borderId="10" xfId="0" applyFont="1" applyFill="1" applyBorder="1" applyAlignment="1">
      <alignment horizontal="center"/>
    </xf>
    <xf numFmtId="0" fontId="69" fillId="22" borderId="0" xfId="0" applyFont="1" applyFill="1"/>
    <xf numFmtId="0" fontId="81" fillId="22" borderId="0" xfId="0" applyFont="1" applyFill="1"/>
    <xf numFmtId="0" fontId="126" fillId="19" borderId="0" xfId="0" applyFont="1" applyFill="1" applyAlignment="1">
      <alignment vertical="center"/>
    </xf>
    <xf numFmtId="0" fontId="56" fillId="2" borderId="0" xfId="0" applyFont="1" applyFill="1" applyAlignment="1">
      <alignment horizontal="center"/>
    </xf>
    <xf numFmtId="0" fontId="56" fillId="12" borderId="0" xfId="0" applyFont="1" applyFill="1" applyAlignment="1">
      <alignment horizontal="left"/>
    </xf>
    <xf numFmtId="0" fontId="70" fillId="12" borderId="0" xfId="0" applyFont="1" applyFill="1"/>
    <xf numFmtId="0" fontId="69" fillId="13" borderId="0" xfId="0" applyFont="1" applyFill="1"/>
    <xf numFmtId="164" fontId="69" fillId="15" borderId="0" xfId="0" applyNumberFormat="1" applyFont="1" applyFill="1" applyAlignment="1">
      <alignment horizontal="center" vertical="center"/>
    </xf>
    <xf numFmtId="0" fontId="70" fillId="16" borderId="0" xfId="0" applyFont="1" applyFill="1" applyAlignment="1">
      <alignment horizontal="left" indent="10"/>
    </xf>
    <xf numFmtId="0" fontId="74" fillId="17" borderId="0" xfId="0" applyFont="1" applyFill="1" applyAlignment="1">
      <alignment horizontal="left" vertical="center" indent="7"/>
    </xf>
    <xf numFmtId="0" fontId="55" fillId="16" borderId="0" xfId="0" applyFont="1" applyFill="1" applyAlignment="1">
      <alignment horizontal="center" vertical="center"/>
    </xf>
    <xf numFmtId="0" fontId="55" fillId="17" borderId="0" xfId="0" applyFont="1" applyFill="1" applyAlignment="1">
      <alignment horizontal="center" vertical="center"/>
    </xf>
    <xf numFmtId="0" fontId="69" fillId="13" borderId="0" xfId="0" applyFont="1" applyFill="1" applyAlignment="1">
      <alignment horizontal="center"/>
    </xf>
    <xf numFmtId="0" fontId="69" fillId="16" borderId="0" xfId="0" applyFont="1" applyFill="1" applyAlignment="1">
      <alignment horizontal="center" vertical="center"/>
    </xf>
    <xf numFmtId="0" fontId="69" fillId="16" borderId="0" xfId="0" applyFont="1" applyFill="1" applyAlignment="1">
      <alignment horizontal="center" vertical="center" wrapText="1"/>
    </xf>
    <xf numFmtId="0" fontId="69" fillId="17" borderId="0" xfId="0" applyFont="1" applyFill="1" applyAlignment="1">
      <alignment horizontal="center" vertical="center"/>
    </xf>
    <xf numFmtId="164" fontId="74" fillId="15" borderId="0" xfId="0" applyNumberFormat="1" applyFont="1" applyFill="1" applyAlignment="1">
      <alignment horizontal="center" vertical="center"/>
    </xf>
    <xf numFmtId="0" fontId="88" fillId="16" borderId="0" xfId="0" applyFont="1" applyFill="1" applyAlignment="1">
      <alignment horizontal="left" vertical="center"/>
    </xf>
    <xf numFmtId="0" fontId="88" fillId="17" borderId="0" xfId="0" applyFont="1" applyFill="1" applyAlignment="1">
      <alignment horizontal="left" vertical="center" indent="1"/>
    </xf>
    <xf numFmtId="3" fontId="69" fillId="22" borderId="0" xfId="0" applyNumberFormat="1" applyFont="1" applyFill="1" applyAlignment="1">
      <alignment horizontal="center"/>
    </xf>
    <xf numFmtId="3" fontId="69" fillId="6" borderId="21" xfId="0" applyNumberFormat="1" applyFont="1" applyFill="1" applyBorder="1" applyAlignment="1">
      <alignment horizontal="center"/>
    </xf>
    <xf numFmtId="0" fontId="55" fillId="16" borderId="0" xfId="0" applyFont="1" applyFill="1" applyAlignment="1">
      <alignment horizontal="left" vertical="center"/>
    </xf>
    <xf numFmtId="0" fontId="55" fillId="16" borderId="0" xfId="0" applyFont="1" applyFill="1" applyAlignment="1">
      <alignment horizontal="center"/>
    </xf>
    <xf numFmtId="0" fontId="55" fillId="17" borderId="0" xfId="0" applyFont="1" applyFill="1" applyAlignment="1">
      <alignment horizontal="left" vertical="center"/>
    </xf>
    <xf numFmtId="0" fontId="74" fillId="17" borderId="0" xfId="0" applyFont="1" applyFill="1" applyAlignment="1">
      <alignment horizontal="center" vertical="center"/>
    </xf>
    <xf numFmtId="0" fontId="56" fillId="12" borderId="0" xfId="0" applyFont="1" applyFill="1" applyAlignment="1">
      <alignment horizontal="center"/>
    </xf>
    <xf numFmtId="0" fontId="55" fillId="16" borderId="0" xfId="0" applyFont="1" applyFill="1" applyAlignment="1">
      <alignment horizontal="left" indent="10"/>
    </xf>
    <xf numFmtId="0" fontId="55" fillId="17" borderId="0" xfId="0" applyFont="1" applyFill="1" applyAlignment="1">
      <alignment horizontal="left" vertical="center" indent="1"/>
    </xf>
    <xf numFmtId="1" fontId="69" fillId="22" borderId="0" xfId="0" applyNumberFormat="1" applyFont="1" applyFill="1" applyAlignment="1">
      <alignment horizontal="center"/>
    </xf>
    <xf numFmtId="165" fontId="77" fillId="19" borderId="0" xfId="0" applyNumberFormat="1" applyFont="1" applyFill="1" applyAlignment="1">
      <alignment horizontal="center"/>
    </xf>
    <xf numFmtId="165" fontId="69" fillId="2" borderId="0" xfId="0" applyNumberFormat="1" applyFont="1" applyFill="1" applyAlignment="1">
      <alignment horizontal="center"/>
    </xf>
    <xf numFmtId="164" fontId="77" fillId="19" borderId="0" xfId="0" applyNumberFormat="1" applyFont="1" applyFill="1" applyAlignment="1">
      <alignment horizontal="center"/>
    </xf>
    <xf numFmtId="0" fontId="127" fillId="6" borderId="0" xfId="0" applyFont="1" applyFill="1"/>
    <xf numFmtId="3" fontId="127" fillId="6" borderId="0" xfId="0" applyNumberFormat="1" applyFont="1" applyFill="1" applyAlignment="1">
      <alignment horizontal="center"/>
    </xf>
    <xf numFmtId="173" fontId="77" fillId="19" borderId="0" xfId="0" applyNumberFormat="1" applyFont="1" applyFill="1" applyAlignment="1">
      <alignment horizontal="center"/>
    </xf>
    <xf numFmtId="173" fontId="69" fillId="2" borderId="0" xfId="0" applyNumberFormat="1" applyFont="1" applyFill="1" applyAlignment="1">
      <alignment horizontal="center"/>
    </xf>
    <xf numFmtId="173" fontId="69" fillId="22" borderId="0" xfId="0" applyNumberFormat="1" applyFont="1" applyFill="1" applyAlignment="1">
      <alignment horizontal="center"/>
    </xf>
    <xf numFmtId="0" fontId="9" fillId="6" borderId="5" xfId="0" applyFont="1" applyFill="1" applyBorder="1" applyAlignment="1">
      <alignment horizontal="center"/>
    </xf>
    <xf numFmtId="0" fontId="37" fillId="2" borderId="0" xfId="0" applyFont="1" applyFill="1"/>
    <xf numFmtId="0" fontId="5" fillId="2" borderId="0" xfId="0" applyFont="1" applyFill="1" applyAlignment="1">
      <alignment horizontal="center"/>
    </xf>
    <xf numFmtId="0" fontId="4" fillId="2" borderId="0" xfId="0" applyFont="1" applyFill="1" applyAlignment="1">
      <alignment horizontal="center"/>
    </xf>
    <xf numFmtId="0" fontId="130" fillId="2" borderId="0" xfId="0" applyFont="1" applyFill="1" applyAlignment="1">
      <alignment horizontal="center"/>
    </xf>
    <xf numFmtId="0" fontId="4" fillId="2" borderId="0" xfId="0" applyFont="1" applyFill="1"/>
    <xf numFmtId="0" fontId="121" fillId="2" borderId="0" xfId="0" applyFont="1" applyFill="1" applyAlignment="1">
      <alignment horizontal="center" vertical="top"/>
    </xf>
    <xf numFmtId="0" fontId="111" fillId="2" borderId="0" xfId="0" applyFont="1" applyFill="1" applyAlignment="1">
      <alignment horizontal="center"/>
    </xf>
    <xf numFmtId="0" fontId="121" fillId="2" borderId="0" xfId="0" applyFont="1" applyFill="1" applyAlignment="1">
      <alignment horizontal="center"/>
    </xf>
    <xf numFmtId="0" fontId="4" fillId="6" borderId="0" xfId="0" applyFont="1" applyFill="1"/>
    <xf numFmtId="0" fontId="4" fillId="6" borderId="10" xfId="0" applyFont="1" applyFill="1" applyBorder="1" applyAlignment="1">
      <alignment horizontal="center"/>
    </xf>
    <xf numFmtId="164" fontId="111" fillId="6" borderId="10" xfId="0" applyNumberFormat="1" applyFont="1" applyFill="1" applyBorder="1" applyAlignment="1">
      <alignment horizontal="center"/>
    </xf>
    <xf numFmtId="0" fontId="111" fillId="6" borderId="10" xfId="0" applyFont="1" applyFill="1" applyBorder="1" applyAlignment="1">
      <alignment horizontal="center"/>
    </xf>
    <xf numFmtId="0" fontId="4" fillId="6" borderId="10" xfId="0" applyFont="1" applyFill="1" applyBorder="1"/>
    <xf numFmtId="164" fontId="4" fillId="6" borderId="0" xfId="0" applyNumberFormat="1" applyFont="1" applyFill="1" applyAlignment="1">
      <alignment horizontal="left"/>
    </xf>
    <xf numFmtId="165" fontId="0" fillId="6" borderId="10" xfId="0" applyNumberFormat="1" applyFill="1" applyBorder="1" applyAlignment="1">
      <alignment horizontal="center"/>
    </xf>
    <xf numFmtId="0" fontId="6" fillId="6" borderId="10" xfId="0" applyFont="1" applyFill="1" applyBorder="1" applyAlignment="1">
      <alignment horizontal="center"/>
    </xf>
    <xf numFmtId="164" fontId="6" fillId="6" borderId="10" xfId="0" applyNumberFormat="1" applyFont="1" applyFill="1" applyBorder="1" applyAlignment="1">
      <alignment horizontal="center"/>
    </xf>
    <xf numFmtId="0" fontId="6" fillId="35" borderId="10" xfId="0" applyFont="1" applyFill="1" applyBorder="1" applyAlignment="1">
      <alignment horizontal="center"/>
    </xf>
    <xf numFmtId="0" fontId="4" fillId="6" borderId="14" xfId="0" applyFont="1" applyFill="1" applyBorder="1"/>
    <xf numFmtId="0" fontId="4" fillId="6" borderId="13" xfId="0" applyFont="1" applyFill="1" applyBorder="1"/>
    <xf numFmtId="0" fontId="4" fillId="35" borderId="5" xfId="0" applyFont="1" applyFill="1" applyBorder="1" applyAlignment="1">
      <alignment horizontal="center"/>
    </xf>
    <xf numFmtId="0" fontId="4" fillId="35" borderId="21" xfId="0" applyFont="1" applyFill="1" applyBorder="1" applyAlignment="1">
      <alignment horizontal="center"/>
    </xf>
    <xf numFmtId="0" fontId="4" fillId="35" borderId="4" xfId="0" applyFont="1" applyFill="1" applyBorder="1" applyAlignment="1">
      <alignment horizontal="center"/>
    </xf>
    <xf numFmtId="0" fontId="32" fillId="2" borderId="14" xfId="0" applyFont="1" applyFill="1" applyBorder="1"/>
    <xf numFmtId="0" fontId="6" fillId="6" borderId="0" xfId="0" applyFont="1" applyFill="1" applyAlignment="1">
      <alignment horizontal="center"/>
    </xf>
    <xf numFmtId="0" fontId="6" fillId="6" borderId="5" xfId="0" applyFont="1" applyFill="1" applyBorder="1" applyAlignment="1">
      <alignment horizontal="center"/>
    </xf>
    <xf numFmtId="0" fontId="6" fillId="6" borderId="21" xfId="0" applyFont="1" applyFill="1" applyBorder="1" applyAlignment="1">
      <alignment horizontal="center"/>
    </xf>
    <xf numFmtId="0" fontId="3" fillId="6" borderId="10" xfId="0" applyFont="1" applyFill="1" applyBorder="1" applyAlignment="1">
      <alignment horizontal="center"/>
    </xf>
    <xf numFmtId="165" fontId="69" fillId="22" borderId="0" xfId="0" applyNumberFormat="1" applyFont="1" applyFill="1"/>
    <xf numFmtId="165" fontId="9" fillId="6" borderId="10" xfId="0" applyNumberFormat="1" applyFont="1" applyFill="1" applyBorder="1" applyAlignment="1">
      <alignment horizontal="center"/>
    </xf>
    <xf numFmtId="0" fontId="77" fillId="22" borderId="0" xfId="0" applyFont="1" applyFill="1" applyAlignment="1">
      <alignment horizontal="center"/>
    </xf>
    <xf numFmtId="165" fontId="77" fillId="2" borderId="0" xfId="0" applyNumberFormat="1" applyFont="1" applyFill="1" applyAlignment="1">
      <alignment horizontal="center"/>
    </xf>
    <xf numFmtId="9" fontId="77" fillId="19" borderId="0" xfId="6" applyFont="1" applyFill="1" applyAlignment="1">
      <alignment horizontal="center"/>
    </xf>
    <xf numFmtId="4" fontId="77" fillId="19" borderId="0" xfId="0" applyNumberFormat="1" applyFont="1" applyFill="1" applyAlignment="1">
      <alignment horizontal="center"/>
    </xf>
    <xf numFmtId="4" fontId="69" fillId="2" borderId="0" xfId="0" applyNumberFormat="1" applyFont="1" applyFill="1" applyAlignment="1">
      <alignment horizontal="center"/>
    </xf>
    <xf numFmtId="3" fontId="0" fillId="32" borderId="0" xfId="0" applyNumberFormat="1" applyFill="1"/>
    <xf numFmtId="0" fontId="0" fillId="32" borderId="0" xfId="0" applyFill="1" applyAlignment="1">
      <alignment horizontal="center"/>
    </xf>
    <xf numFmtId="3" fontId="0" fillId="32" borderId="0" xfId="0" applyNumberFormat="1" applyFill="1" applyAlignment="1">
      <alignment horizontal="center"/>
    </xf>
    <xf numFmtId="0" fontId="0" fillId="32" borderId="0" xfId="0" applyFill="1" applyAlignment="1">
      <alignment horizontal="right"/>
    </xf>
    <xf numFmtId="174" fontId="0" fillId="32" borderId="0" xfId="0" applyNumberFormat="1" applyFill="1" applyAlignment="1">
      <alignment horizontal="center"/>
    </xf>
    <xf numFmtId="4" fontId="69" fillId="22" borderId="0" xfId="0" applyNumberFormat="1" applyFont="1" applyFill="1"/>
    <xf numFmtId="173" fontId="0" fillId="32" borderId="0" xfId="0" applyNumberFormat="1" applyFill="1" applyAlignment="1">
      <alignment horizontal="center"/>
    </xf>
    <xf numFmtId="173" fontId="0" fillId="32" borderId="0" xfId="0" applyNumberFormat="1" applyFill="1"/>
    <xf numFmtId="0" fontId="89" fillId="30" borderId="0" xfId="0" applyFont="1" applyFill="1" applyAlignment="1">
      <alignment horizontal="left"/>
    </xf>
    <xf numFmtId="1" fontId="0" fillId="33" borderId="0" xfId="0" applyNumberFormat="1" applyFill="1" applyAlignment="1">
      <alignment horizontal="center"/>
    </xf>
    <xf numFmtId="0" fontId="6" fillId="33" borderId="0" xfId="0" applyFont="1" applyFill="1" applyAlignment="1">
      <alignment horizontal="center"/>
    </xf>
    <xf numFmtId="0" fontId="69" fillId="22" borderId="0" xfId="0" applyFont="1" applyFill="1" applyAlignment="1">
      <alignment horizontal="left"/>
    </xf>
    <xf numFmtId="0" fontId="70" fillId="22" borderId="0" xfId="0" applyFont="1" applyFill="1"/>
    <xf numFmtId="0" fontId="23" fillId="22" borderId="0" xfId="3" applyFill="1" applyAlignment="1" applyProtection="1"/>
    <xf numFmtId="0" fontId="131" fillId="34" borderId="10" xfId="0" applyFont="1" applyFill="1" applyBorder="1" applyAlignment="1">
      <alignment horizontal="center" vertical="center"/>
    </xf>
    <xf numFmtId="0" fontId="131" fillId="34" borderId="10" xfId="0" applyFont="1" applyFill="1" applyBorder="1" applyAlignment="1">
      <alignment horizontal="center" vertical="center" wrapText="1"/>
    </xf>
    <xf numFmtId="0" fontId="84" fillId="22" borderId="8" xfId="0" applyFont="1" applyFill="1" applyBorder="1" applyAlignment="1">
      <alignment horizontal="left" vertical="center"/>
    </xf>
    <xf numFmtId="0" fontId="110" fillId="22" borderId="8" xfId="0" applyFont="1" applyFill="1" applyBorder="1" applyAlignment="1">
      <alignment horizontal="left" vertical="center"/>
    </xf>
    <xf numFmtId="0" fontId="110" fillId="22" borderId="8" xfId="0" applyFont="1" applyFill="1" applyBorder="1" applyAlignment="1">
      <alignment vertical="center"/>
    </xf>
    <xf numFmtId="0" fontId="110" fillId="22" borderId="0" xfId="0" applyFont="1" applyFill="1" applyAlignment="1">
      <alignment vertical="center"/>
    </xf>
    <xf numFmtId="0" fontId="84" fillId="22" borderId="0" xfId="0" applyFont="1" applyFill="1" applyAlignment="1">
      <alignment vertical="center" wrapText="1"/>
    </xf>
    <xf numFmtId="0" fontId="110" fillId="9" borderId="8" xfId="0" applyFont="1" applyFill="1" applyBorder="1" applyAlignment="1">
      <alignment vertical="center"/>
    </xf>
    <xf numFmtId="0" fontId="110" fillId="9" borderId="0" xfId="0" applyFont="1" applyFill="1" applyAlignment="1">
      <alignment vertical="center"/>
    </xf>
    <xf numFmtId="0" fontId="69" fillId="12" borderId="0" xfId="0" applyFont="1" applyFill="1" applyAlignment="1">
      <alignment horizontal="center"/>
    </xf>
    <xf numFmtId="9" fontId="77" fillId="19" borderId="0" xfId="0" applyNumberFormat="1" applyFont="1" applyFill="1" applyAlignment="1">
      <alignment horizontal="center"/>
    </xf>
    <xf numFmtId="9" fontId="69" fillId="22" borderId="0" xfId="6" applyFont="1" applyFill="1" applyAlignment="1">
      <alignment horizontal="center"/>
    </xf>
    <xf numFmtId="0" fontId="32" fillId="10" borderId="14" xfId="0" applyFont="1" applyFill="1" applyBorder="1" applyAlignment="1">
      <alignment horizontal="left"/>
    </xf>
    <xf numFmtId="0" fontId="50" fillId="6" borderId="5" xfId="0" applyFont="1" applyFill="1" applyBorder="1"/>
    <xf numFmtId="2" fontId="9" fillId="6" borderId="21" xfId="0" applyNumberFormat="1" applyFont="1" applyFill="1" applyBorder="1" applyAlignment="1">
      <alignment horizontal="center"/>
    </xf>
    <xf numFmtId="0" fontId="0" fillId="10" borderId="14" xfId="0" applyFill="1" applyBorder="1" applyAlignment="1">
      <alignment horizontal="left"/>
    </xf>
    <xf numFmtId="0" fontId="9" fillId="10" borderId="14" xfId="0" applyFont="1" applyFill="1" applyBorder="1" applyAlignment="1">
      <alignment horizontal="right"/>
    </xf>
    <xf numFmtId="0" fontId="0" fillId="36" borderId="0" xfId="0" applyFill="1"/>
    <xf numFmtId="0" fontId="93" fillId="0" borderId="0" xfId="0" applyFont="1"/>
    <xf numFmtId="0" fontId="89" fillId="36" borderId="0" xfId="0" applyFont="1" applyFill="1"/>
    <xf numFmtId="0" fontId="69" fillId="22" borderId="0" xfId="0" applyFont="1" applyFill="1" applyAlignment="1">
      <alignment vertical="center"/>
    </xf>
    <xf numFmtId="0" fontId="69" fillId="12" borderId="0" xfId="0" applyFont="1" applyFill="1"/>
    <xf numFmtId="0" fontId="74" fillId="12" borderId="0" xfId="0" applyFont="1" applyFill="1" applyAlignment="1">
      <alignment horizontal="center"/>
    </xf>
    <xf numFmtId="0" fontId="70" fillId="12" borderId="0" xfId="0" applyFont="1" applyFill="1" applyAlignment="1">
      <alignment horizontal="center"/>
    </xf>
    <xf numFmtId="0" fontId="70" fillId="12" borderId="0" xfId="0" applyFont="1" applyFill="1" applyAlignment="1">
      <alignment horizontal="right"/>
    </xf>
    <xf numFmtId="0" fontId="74" fillId="12" borderId="0" xfId="0" applyFont="1" applyFill="1" applyAlignment="1">
      <alignment horizontal="left"/>
    </xf>
    <xf numFmtId="0" fontId="112" fillId="19" borderId="0" xfId="0" applyFont="1" applyFill="1" applyAlignment="1">
      <alignment vertical="center"/>
    </xf>
    <xf numFmtId="0" fontId="126" fillId="22" borderId="0" xfId="0" applyFont="1" applyFill="1" applyAlignment="1">
      <alignment vertical="center"/>
    </xf>
    <xf numFmtId="0" fontId="89" fillId="36" borderId="10" xfId="0" applyFont="1" applyFill="1" applyBorder="1" applyAlignment="1">
      <alignment wrapText="1"/>
    </xf>
    <xf numFmtId="0" fontId="133" fillId="22" borderId="0" xfId="0" applyFont="1" applyFill="1" applyAlignment="1">
      <alignment vertical="center"/>
    </xf>
    <xf numFmtId="0" fontId="28" fillId="10" borderId="10" xfId="0" applyFont="1" applyFill="1" applyBorder="1" applyAlignment="1">
      <alignment wrapText="1"/>
    </xf>
    <xf numFmtId="0" fontId="0" fillId="6" borderId="3" xfId="0" applyFill="1" applyBorder="1" applyAlignment="1">
      <alignment horizontal="center" wrapText="1"/>
    </xf>
    <xf numFmtId="0" fontId="0" fillId="6" borderId="0" xfId="0" applyFill="1" applyAlignment="1">
      <alignment horizontal="center" wrapText="1"/>
    </xf>
    <xf numFmtId="0" fontId="0" fillId="6" borderId="0" xfId="0" applyFill="1" applyAlignment="1">
      <alignment wrapText="1"/>
    </xf>
    <xf numFmtId="0" fontId="89" fillId="36" borderId="0" xfId="0" applyFont="1" applyFill="1" applyAlignment="1">
      <alignment wrapText="1"/>
    </xf>
    <xf numFmtId="0" fontId="89" fillId="11" borderId="0" xfId="0" applyFont="1" applyFill="1"/>
    <xf numFmtId="0" fontId="0" fillId="6" borderId="10" xfId="0" applyFill="1" applyBorder="1" applyAlignment="1">
      <alignment horizontal="left" wrapText="1"/>
    </xf>
    <xf numFmtId="0" fontId="69" fillId="22" borderId="0" xfId="0" applyFont="1" applyFill="1" applyAlignment="1">
      <alignment wrapText="1"/>
    </xf>
    <xf numFmtId="0" fontId="70" fillId="37" borderId="0" xfId="0" applyFont="1" applyFill="1" applyAlignment="1">
      <alignment horizontal="left" vertical="center"/>
    </xf>
    <xf numFmtId="0" fontId="70" fillId="38" borderId="0" xfId="0" applyFont="1" applyFill="1" applyAlignment="1">
      <alignment horizontal="left" vertical="center" indent="1"/>
    </xf>
    <xf numFmtId="0" fontId="69" fillId="37" borderId="0" xfId="0" applyFont="1" applyFill="1"/>
    <xf numFmtId="0" fontId="69" fillId="38" borderId="0" xfId="0" applyFont="1" applyFill="1"/>
    <xf numFmtId="0" fontId="69" fillId="37" borderId="0" xfId="0" applyFont="1" applyFill="1" applyAlignment="1">
      <alignment horizontal="center"/>
    </xf>
    <xf numFmtId="0" fontId="69" fillId="38" borderId="0" xfId="0" applyFont="1" applyFill="1" applyAlignment="1">
      <alignment horizontal="center"/>
    </xf>
    <xf numFmtId="0" fontId="69" fillId="2" borderId="0" xfId="0" applyFont="1" applyFill="1" applyAlignment="1">
      <alignment horizontal="center"/>
    </xf>
    <xf numFmtId="0" fontId="74" fillId="37" borderId="0" xfId="0" applyFont="1" applyFill="1"/>
    <xf numFmtId="0" fontId="74" fillId="38" borderId="0" xfId="0" applyFont="1" applyFill="1"/>
    <xf numFmtId="0" fontId="69" fillId="37" borderId="0" xfId="0" applyFont="1" applyFill="1" applyAlignment="1">
      <alignment horizontal="center" wrapText="1"/>
    </xf>
    <xf numFmtId="0" fontId="69" fillId="38" borderId="0" xfId="0" applyFont="1" applyFill="1" applyAlignment="1">
      <alignment horizontal="center" wrapText="1"/>
    </xf>
    <xf numFmtId="0" fontId="69" fillId="10" borderId="0" xfId="0" applyFont="1" applyFill="1"/>
    <xf numFmtId="0" fontId="77" fillId="19" borderId="0" xfId="0" applyFont="1" applyFill="1" applyAlignment="1">
      <alignment horizontal="center"/>
    </xf>
    <xf numFmtId="3" fontId="77" fillId="19" borderId="0" xfId="0" applyNumberFormat="1" applyFont="1" applyFill="1" applyAlignment="1">
      <alignment horizontal="center"/>
    </xf>
    <xf numFmtId="0" fontId="127" fillId="10" borderId="0" xfId="0" applyFont="1" applyFill="1" applyAlignment="1">
      <alignment vertical="center"/>
    </xf>
    <xf numFmtId="0" fontId="133" fillId="10" borderId="0" xfId="0" applyFont="1" applyFill="1" applyAlignment="1">
      <alignment vertical="center"/>
    </xf>
    <xf numFmtId="0" fontId="55" fillId="22" borderId="0" xfId="0" applyFont="1" applyFill="1" applyAlignment="1">
      <alignment horizontal="center" vertical="center"/>
    </xf>
    <xf numFmtId="0" fontId="74" fillId="2" borderId="0" xfId="0" applyFont="1" applyFill="1"/>
    <xf numFmtId="0" fontId="69" fillId="2" borderId="0" xfId="0" applyFont="1" applyFill="1"/>
    <xf numFmtId="0" fontId="86" fillId="22" borderId="0" xfId="0" applyFont="1" applyFill="1" applyAlignment="1">
      <alignment horizontal="center" vertical="center"/>
    </xf>
    <xf numFmtId="0" fontId="86" fillId="22" borderId="0" xfId="0" applyFont="1" applyFill="1" applyAlignment="1">
      <alignment vertical="center"/>
    </xf>
    <xf numFmtId="0" fontId="87" fillId="22" borderId="0" xfId="0" applyFont="1" applyFill="1"/>
    <xf numFmtId="0" fontId="80" fillId="22" borderId="0" xfId="0" applyFont="1" applyFill="1"/>
    <xf numFmtId="0" fontId="69" fillId="28" borderId="0" xfId="0" applyFont="1" applyFill="1"/>
    <xf numFmtId="0" fontId="134" fillId="22" borderId="0" xfId="0" applyFont="1" applyFill="1" applyAlignment="1">
      <alignment horizontal="left"/>
    </xf>
    <xf numFmtId="0" fontId="70" fillId="19" borderId="0" xfId="0" applyFont="1" applyFill="1"/>
    <xf numFmtId="0" fontId="74" fillId="12" borderId="10" xfId="0" applyFont="1" applyFill="1" applyBorder="1" applyAlignment="1">
      <alignment horizontal="center" vertical="center"/>
    </xf>
    <xf numFmtId="0" fontId="75" fillId="11" borderId="11" xfId="0" applyFont="1" applyFill="1" applyBorder="1" applyAlignment="1">
      <alignment horizontal="center"/>
    </xf>
    <xf numFmtId="0" fontId="69" fillId="21" borderId="17" xfId="0" applyFont="1" applyFill="1" applyBorder="1"/>
    <xf numFmtId="0" fontId="69" fillId="21" borderId="56" xfId="0" applyFont="1" applyFill="1" applyBorder="1"/>
    <xf numFmtId="0" fontId="56" fillId="22" borderId="0" xfId="0" applyFont="1" applyFill="1"/>
    <xf numFmtId="0" fontId="70" fillId="28" borderId="0" xfId="0" applyFont="1" applyFill="1"/>
    <xf numFmtId="171" fontId="70" fillId="22" borderId="0" xfId="0" applyNumberFormat="1" applyFont="1" applyFill="1" applyAlignment="1">
      <alignment horizontal="center"/>
    </xf>
    <xf numFmtId="0" fontId="72" fillId="12" borderId="0" xfId="0" applyFont="1" applyFill="1"/>
    <xf numFmtId="0" fontId="72" fillId="12" borderId="0" xfId="0" applyFont="1" applyFill="1" applyAlignment="1">
      <alignment horizontal="center" vertical="center"/>
    </xf>
    <xf numFmtId="0" fontId="72" fillId="12" borderId="0" xfId="0" applyFont="1" applyFill="1" applyAlignment="1">
      <alignment horizontal="left" vertical="center"/>
    </xf>
    <xf numFmtId="0" fontId="72" fillId="12" borderId="0" xfId="0" applyFont="1" applyFill="1" applyAlignment="1">
      <alignment horizontal="left"/>
    </xf>
    <xf numFmtId="0" fontId="55" fillId="12" borderId="0" xfId="0" applyFont="1" applyFill="1" applyAlignment="1">
      <alignment horizontal="center"/>
    </xf>
    <xf numFmtId="0" fontId="78" fillId="12" borderId="0" xfId="0" applyFont="1" applyFill="1" applyAlignment="1">
      <alignment horizontal="left" indent="2"/>
    </xf>
    <xf numFmtId="0" fontId="72" fillId="12" borderId="0" xfId="0" applyFont="1" applyFill="1" applyAlignment="1">
      <alignment horizontal="center"/>
    </xf>
    <xf numFmtId="0" fontId="72" fillId="12" borderId="21" xfId="0" applyFont="1" applyFill="1" applyBorder="1" applyAlignment="1">
      <alignment horizontal="left"/>
    </xf>
    <xf numFmtId="0" fontId="72" fillId="12" borderId="21" xfId="0" applyFont="1" applyFill="1" applyBorder="1" applyAlignment="1">
      <alignment horizontal="left" indent="2"/>
    </xf>
    <xf numFmtId="0" fontId="72" fillId="12" borderId="0" xfId="0" applyFont="1" applyFill="1" applyAlignment="1">
      <alignment horizontal="left" indent="2"/>
    </xf>
    <xf numFmtId="0" fontId="69" fillId="0" borderId="4" xfId="0" applyFont="1" applyBorder="1" applyAlignment="1">
      <alignment horizontal="center"/>
    </xf>
    <xf numFmtId="0" fontId="79" fillId="6" borderId="0" xfId="0" applyFont="1" applyFill="1"/>
    <xf numFmtId="0" fontId="79" fillId="6" borderId="0" xfId="0" applyFont="1" applyFill="1" applyAlignment="1">
      <alignment horizontal="right"/>
    </xf>
    <xf numFmtId="164" fontId="69" fillId="2" borderId="66" xfId="0" applyNumberFormat="1" applyFont="1" applyFill="1" applyBorder="1" applyAlignment="1">
      <alignment horizontal="center"/>
    </xf>
    <xf numFmtId="164" fontId="69" fillId="2" borderId="72" xfId="0" applyNumberFormat="1" applyFont="1" applyFill="1" applyBorder="1" applyAlignment="1">
      <alignment horizontal="center"/>
    </xf>
    <xf numFmtId="171" fontId="69" fillId="2" borderId="72" xfId="0" applyNumberFormat="1" applyFont="1" applyFill="1" applyBorder="1" applyAlignment="1">
      <alignment horizontal="center"/>
    </xf>
    <xf numFmtId="164" fontId="69" fillId="2" borderId="73" xfId="0" applyNumberFormat="1" applyFont="1" applyFill="1" applyBorder="1" applyAlignment="1">
      <alignment horizontal="center"/>
    </xf>
    <xf numFmtId="171" fontId="69" fillId="2" borderId="73" xfId="0" applyNumberFormat="1" applyFont="1" applyFill="1" applyBorder="1" applyAlignment="1">
      <alignment horizontal="center"/>
    </xf>
    <xf numFmtId="164" fontId="69" fillId="2" borderId="74" xfId="0" applyNumberFormat="1" applyFont="1" applyFill="1" applyBorder="1" applyAlignment="1">
      <alignment horizontal="center"/>
    </xf>
    <xf numFmtId="171" fontId="69" fillId="2" borderId="74" xfId="0" applyNumberFormat="1" applyFont="1" applyFill="1" applyBorder="1" applyAlignment="1">
      <alignment horizontal="center"/>
    </xf>
    <xf numFmtId="3" fontId="69" fillId="2" borderId="72" xfId="0" applyNumberFormat="1" applyFont="1" applyFill="1" applyBorder="1" applyAlignment="1">
      <alignment horizontal="center"/>
    </xf>
    <xf numFmtId="3" fontId="69" fillId="2" borderId="73" xfId="0" applyNumberFormat="1" applyFont="1" applyFill="1" applyBorder="1" applyAlignment="1">
      <alignment horizontal="center"/>
    </xf>
    <xf numFmtId="3" fontId="69" fillId="2" borderId="74" xfId="0" applyNumberFormat="1" applyFont="1" applyFill="1" applyBorder="1" applyAlignment="1">
      <alignment horizontal="center"/>
    </xf>
    <xf numFmtId="0" fontId="69" fillId="2" borderId="72" xfId="0" applyFont="1" applyFill="1" applyBorder="1" applyAlignment="1">
      <alignment horizontal="center"/>
    </xf>
    <xf numFmtId="9" fontId="69" fillId="2" borderId="72" xfId="6" applyFont="1" applyFill="1" applyBorder="1" applyAlignment="1">
      <alignment horizontal="center"/>
    </xf>
    <xf numFmtId="9" fontId="69" fillId="2" borderId="67" xfId="6" applyFont="1" applyFill="1" applyBorder="1" applyAlignment="1">
      <alignment horizontal="center"/>
    </xf>
    <xf numFmtId="0" fontId="69" fillId="2" borderId="73" xfId="0" applyFont="1" applyFill="1" applyBorder="1" applyAlignment="1">
      <alignment horizontal="center"/>
    </xf>
    <xf numFmtId="0" fontId="69" fillId="2" borderId="74" xfId="0" applyFont="1" applyFill="1" applyBorder="1" applyAlignment="1">
      <alignment horizontal="center"/>
    </xf>
    <xf numFmtId="3" fontId="69" fillId="6" borderId="69" xfId="0" applyNumberFormat="1" applyFont="1" applyFill="1" applyBorder="1" applyAlignment="1">
      <alignment horizontal="center"/>
    </xf>
    <xf numFmtId="3" fontId="69" fillId="6" borderId="77" xfId="0" applyNumberFormat="1" applyFont="1" applyFill="1" applyBorder="1" applyAlignment="1">
      <alignment horizontal="center"/>
    </xf>
    <xf numFmtId="1" fontId="69" fillId="2" borderId="0" xfId="0" applyNumberFormat="1" applyFont="1" applyFill="1" applyAlignment="1">
      <alignment horizontal="center"/>
    </xf>
    <xf numFmtId="2" fontId="69" fillId="2" borderId="0" xfId="0" applyNumberFormat="1" applyFont="1" applyFill="1" applyAlignment="1">
      <alignment horizontal="center"/>
    </xf>
    <xf numFmtId="0" fontId="69" fillId="6" borderId="0" xfId="0" applyFont="1" applyFill="1"/>
    <xf numFmtId="9" fontId="69" fillId="22" borderId="0" xfId="6" applyFont="1" applyFill="1"/>
    <xf numFmtId="3" fontId="77" fillId="22" borderId="0" xfId="0" applyNumberFormat="1" applyFont="1" applyFill="1" applyAlignment="1">
      <alignment horizontal="center"/>
    </xf>
    <xf numFmtId="0" fontId="69" fillId="22" borderId="1" xfId="0" applyFont="1" applyFill="1" applyBorder="1"/>
    <xf numFmtId="0" fontId="69" fillId="22" borderId="3" xfId="0" applyFont="1" applyFill="1" applyBorder="1"/>
    <xf numFmtId="0" fontId="69" fillId="22" borderId="4" xfId="0" applyFont="1" applyFill="1" applyBorder="1"/>
    <xf numFmtId="0" fontId="69" fillId="22" borderId="5" xfId="0" applyFont="1" applyFill="1" applyBorder="1"/>
    <xf numFmtId="0" fontId="56" fillId="22" borderId="0" xfId="0" applyFont="1" applyFill="1" applyAlignment="1">
      <alignment horizontal="left" vertical="center" indent="1"/>
    </xf>
    <xf numFmtId="0" fontId="88" fillId="22" borderId="2" xfId="0" applyFont="1" applyFill="1" applyBorder="1" applyAlignment="1">
      <alignment horizontal="center"/>
    </xf>
    <xf numFmtId="171" fontId="69" fillId="22" borderId="0" xfId="0" applyNumberFormat="1" applyFont="1" applyFill="1" applyAlignment="1">
      <alignment horizontal="center"/>
    </xf>
    <xf numFmtId="0" fontId="0" fillId="6" borderId="10" xfId="0" applyFill="1" applyBorder="1" applyAlignment="1">
      <alignment horizontal="left"/>
    </xf>
    <xf numFmtId="0" fontId="74" fillId="22" borderId="11" xfId="0" applyFont="1" applyFill="1" applyBorder="1" applyAlignment="1">
      <alignment horizontal="left" indent="12"/>
    </xf>
    <xf numFmtId="0" fontId="69" fillId="22" borderId="11" xfId="0" applyFont="1" applyFill="1" applyBorder="1" applyAlignment="1">
      <alignment horizontal="left" indent="7"/>
    </xf>
    <xf numFmtId="0" fontId="74" fillId="22" borderId="11" xfId="0" applyFont="1" applyFill="1" applyBorder="1" applyAlignment="1">
      <alignment horizontal="center"/>
    </xf>
    <xf numFmtId="0" fontId="69" fillId="6" borderId="3" xfId="0" applyFont="1" applyFill="1" applyBorder="1"/>
    <xf numFmtId="0" fontId="74" fillId="6" borderId="0" xfId="0" applyFont="1" applyFill="1" applyAlignment="1">
      <alignment horizontal="center"/>
    </xf>
    <xf numFmtId="0" fontId="74" fillId="6" borderId="4" xfId="0" applyFont="1" applyFill="1" applyBorder="1" applyAlignment="1">
      <alignment horizontal="center"/>
    </xf>
    <xf numFmtId="0" fontId="75" fillId="11" borderId="3" xfId="0" applyFont="1" applyFill="1" applyBorder="1" applyAlignment="1">
      <alignment horizontal="center"/>
    </xf>
    <xf numFmtId="0" fontId="75" fillId="11" borderId="0" xfId="0" applyFont="1" applyFill="1" applyAlignment="1">
      <alignment horizontal="center"/>
    </xf>
    <xf numFmtId="0" fontId="69" fillId="6" borderId="0" xfId="0" applyFont="1" applyFill="1" applyAlignment="1">
      <alignment horizontal="center"/>
    </xf>
    <xf numFmtId="0" fontId="69" fillId="6" borderId="4" xfId="0" applyFont="1" applyFill="1" applyBorder="1"/>
    <xf numFmtId="0" fontId="69" fillId="22" borderId="4" xfId="0" applyFont="1" applyFill="1" applyBorder="1" applyAlignment="1">
      <alignment horizontal="center"/>
    </xf>
    <xf numFmtId="0" fontId="69" fillId="22" borderId="6" xfId="0" applyFont="1" applyFill="1" applyBorder="1" applyAlignment="1">
      <alignment horizontal="center"/>
    </xf>
    <xf numFmtId="0" fontId="74" fillId="12" borderId="0" xfId="0" applyFont="1" applyFill="1" applyAlignment="1">
      <alignment horizontal="left" indent="1"/>
    </xf>
    <xf numFmtId="164" fontId="69" fillId="22" borderId="0" xfId="0" applyNumberFormat="1" applyFont="1" applyFill="1" applyAlignment="1">
      <alignment horizontal="center"/>
    </xf>
    <xf numFmtId="0" fontId="55" fillId="16" borderId="0" xfId="0" applyFont="1" applyFill="1"/>
    <xf numFmtId="0" fontId="55" fillId="17" borderId="0" xfId="0" applyFont="1" applyFill="1"/>
    <xf numFmtId="0" fontId="69" fillId="12" borderId="0" xfId="0" applyFont="1" applyFill="1" applyAlignment="1">
      <alignment horizontal="left" indent="1"/>
    </xf>
    <xf numFmtId="0" fontId="110" fillId="12" borderId="0" xfId="0" applyFont="1" applyFill="1" applyAlignment="1">
      <alignment horizontal="center"/>
    </xf>
    <xf numFmtId="3" fontId="79" fillId="6" borderId="0" xfId="0" applyNumberFormat="1" applyFont="1" applyFill="1" applyAlignment="1">
      <alignment horizontal="center"/>
    </xf>
    <xf numFmtId="0" fontId="74" fillId="12" borderId="0" xfId="0" applyFont="1" applyFill="1" applyAlignment="1">
      <alignment horizontal="left" indent="13"/>
    </xf>
    <xf numFmtId="0" fontId="69" fillId="2" borderId="66" xfId="0" applyFont="1" applyFill="1" applyBorder="1" applyAlignment="1">
      <alignment horizontal="center"/>
    </xf>
    <xf numFmtId="2" fontId="69" fillId="2" borderId="67" xfId="0" applyNumberFormat="1" applyFont="1" applyFill="1" applyBorder="1" applyAlignment="1">
      <alignment horizontal="center"/>
    </xf>
    <xf numFmtId="0" fontId="69" fillId="2" borderId="68" xfId="0" applyFont="1" applyFill="1" applyBorder="1" applyAlignment="1">
      <alignment horizontal="center"/>
    </xf>
    <xf numFmtId="2" fontId="69" fillId="2" borderId="69" xfId="0" applyNumberFormat="1" applyFont="1" applyFill="1" applyBorder="1" applyAlignment="1">
      <alignment horizontal="center"/>
    </xf>
    <xf numFmtId="0" fontId="69" fillId="2" borderId="70" xfId="0" applyFont="1" applyFill="1" applyBorder="1" applyAlignment="1">
      <alignment horizontal="center"/>
    </xf>
    <xf numFmtId="2" fontId="69" fillId="2" borderId="71" xfId="0" applyNumberFormat="1" applyFont="1" applyFill="1" applyBorder="1" applyAlignment="1">
      <alignment horizontal="center"/>
    </xf>
    <xf numFmtId="164" fontId="55" fillId="22" borderId="0" xfId="0" applyNumberFormat="1" applyFont="1" applyFill="1" applyAlignment="1">
      <alignment horizontal="center"/>
    </xf>
    <xf numFmtId="164" fontId="82" fillId="22" borderId="0" xfId="0" applyNumberFormat="1" applyFont="1" applyFill="1" applyAlignment="1">
      <alignment horizontal="center"/>
    </xf>
    <xf numFmtId="0" fontId="3" fillId="22" borderId="0" xfId="0" applyFont="1" applyFill="1"/>
    <xf numFmtId="0" fontId="70" fillId="22" borderId="0" xfId="0" applyFont="1" applyFill="1" applyAlignment="1">
      <alignment vertical="center"/>
    </xf>
    <xf numFmtId="0" fontId="70" fillId="22" borderId="0" xfId="0" applyFont="1" applyFill="1" applyAlignment="1">
      <alignment vertical="top" wrapText="1"/>
    </xf>
    <xf numFmtId="0" fontId="70" fillId="22" borderId="0" xfId="0" applyFont="1" applyFill="1" applyAlignment="1">
      <alignment wrapText="1"/>
    </xf>
    <xf numFmtId="0" fontId="70" fillId="22" borderId="0" xfId="0" applyFont="1" applyFill="1" applyAlignment="1">
      <alignment vertical="center" wrapText="1"/>
    </xf>
    <xf numFmtId="0" fontId="70" fillId="22" borderId="0" xfId="0" applyFont="1" applyFill="1" applyAlignment="1">
      <alignment vertical="top"/>
    </xf>
    <xf numFmtId="0" fontId="70" fillId="22" borderId="0" xfId="0" applyFont="1" applyFill="1" applyAlignment="1">
      <alignment horizontal="left" vertical="center"/>
    </xf>
    <xf numFmtId="0" fontId="56" fillId="2" borderId="66" xfId="0" applyFont="1" applyFill="1" applyBorder="1" applyAlignment="1">
      <alignment horizontal="left" vertical="center" wrapText="1"/>
    </xf>
    <xf numFmtId="0" fontId="70" fillId="2" borderId="67" xfId="0" applyFont="1" applyFill="1" applyBorder="1" applyAlignment="1">
      <alignment horizontal="left" vertical="center" wrapText="1"/>
    </xf>
    <xf numFmtId="0" fontId="70" fillId="2" borderId="67" xfId="0" applyFont="1" applyFill="1" applyBorder="1" applyAlignment="1">
      <alignment vertical="center" wrapText="1"/>
    </xf>
    <xf numFmtId="0" fontId="56" fillId="2" borderId="68" xfId="0" applyFont="1" applyFill="1" applyBorder="1" applyAlignment="1">
      <alignment horizontal="left" vertical="center" wrapText="1"/>
    </xf>
    <xf numFmtId="0" fontId="56" fillId="2" borderId="68" xfId="0" applyFont="1" applyFill="1" applyBorder="1" applyAlignment="1">
      <alignment vertical="center" wrapText="1"/>
    </xf>
    <xf numFmtId="0" fontId="56" fillId="2" borderId="70" xfId="0" applyFont="1" applyFill="1" applyBorder="1" applyAlignment="1">
      <alignment horizontal="left" vertical="center" wrapText="1"/>
    </xf>
    <xf numFmtId="0" fontId="56" fillId="22" borderId="0" xfId="0" applyFont="1" applyFill="1" applyAlignment="1">
      <alignment horizontal="left" vertical="center" wrapText="1"/>
    </xf>
    <xf numFmtId="0" fontId="56" fillId="22" borderId="75" xfId="0" applyFont="1" applyFill="1" applyBorder="1" applyAlignment="1">
      <alignment horizontal="left" vertical="center" wrapText="1"/>
    </xf>
    <xf numFmtId="0" fontId="70" fillId="22" borderId="77" xfId="0" applyFont="1" applyFill="1" applyBorder="1" applyAlignment="1">
      <alignment horizontal="left" vertical="center" wrapText="1"/>
    </xf>
    <xf numFmtId="0" fontId="70" fillId="2" borderId="69" xfId="0" applyFont="1" applyFill="1" applyBorder="1" applyAlignment="1">
      <alignment horizontal="left" vertical="center" wrapText="1"/>
    </xf>
    <xf numFmtId="0" fontId="70" fillId="2" borderId="71" xfId="0" applyFont="1" applyFill="1" applyBorder="1" applyAlignment="1">
      <alignment horizontal="left" vertical="center" wrapText="1"/>
    </xf>
    <xf numFmtId="0" fontId="74" fillId="22" borderId="0" xfId="0" applyFont="1" applyFill="1" applyAlignment="1">
      <alignment vertical="center" wrapText="1"/>
    </xf>
    <xf numFmtId="0" fontId="74" fillId="36" borderId="0" xfId="0" applyFont="1" applyFill="1" applyAlignment="1">
      <alignment vertical="center" wrapText="1"/>
    </xf>
    <xf numFmtId="0" fontId="69" fillId="22" borderId="0" xfId="0" applyFont="1" applyFill="1" applyAlignment="1">
      <alignment vertical="center" wrapText="1"/>
    </xf>
    <xf numFmtId="0" fontId="128" fillId="36" borderId="0" xfId="0" applyFont="1" applyFill="1" applyAlignment="1">
      <alignment vertical="center" wrapText="1"/>
    </xf>
    <xf numFmtId="0" fontId="70" fillId="36" borderId="0" xfId="0" applyFont="1" applyFill="1"/>
    <xf numFmtId="0" fontId="131" fillId="34" borderId="0" xfId="0" applyFont="1" applyFill="1" applyAlignment="1">
      <alignment vertical="center"/>
    </xf>
    <xf numFmtId="171" fontId="69" fillId="22" borderId="66" xfId="0" applyNumberFormat="1" applyFont="1" applyFill="1" applyBorder="1" applyAlignment="1">
      <alignment horizontal="center"/>
    </xf>
    <xf numFmtId="171" fontId="69" fillId="22" borderId="79" xfId="0" applyNumberFormat="1" applyFont="1" applyFill="1" applyBorder="1" applyAlignment="1">
      <alignment horizontal="center"/>
    </xf>
    <xf numFmtId="0" fontId="127" fillId="22" borderId="0" xfId="0" applyFont="1" applyFill="1" applyAlignment="1">
      <alignment vertical="center"/>
    </xf>
    <xf numFmtId="0" fontId="74" fillId="2" borderId="0" xfId="0" applyFont="1" applyFill="1" applyAlignment="1">
      <alignment horizontal="left" indent="6"/>
    </xf>
    <xf numFmtId="3" fontId="69" fillId="22" borderId="0" xfId="0" applyNumberFormat="1" applyFont="1" applyFill="1" applyAlignment="1">
      <alignment horizontal="left"/>
    </xf>
    <xf numFmtId="0" fontId="79" fillId="22" borderId="0" xfId="0" applyFont="1" applyFill="1"/>
    <xf numFmtId="0" fontId="74" fillId="12" borderId="21" xfId="0" applyFont="1" applyFill="1" applyBorder="1" applyAlignment="1">
      <alignment horizontal="left"/>
    </xf>
    <xf numFmtId="0" fontId="56" fillId="22" borderId="0" xfId="0" applyFont="1" applyFill="1" applyAlignment="1">
      <alignment horizontal="left" vertical="center"/>
    </xf>
    <xf numFmtId="0" fontId="74" fillId="2" borderId="0" xfId="0" applyFont="1" applyFill="1" applyAlignment="1">
      <alignment horizontal="left" indent="1"/>
    </xf>
    <xf numFmtId="171" fontId="77" fillId="19" borderId="0" xfId="0" applyNumberFormat="1" applyFont="1" applyFill="1" applyAlignment="1">
      <alignment horizontal="center"/>
    </xf>
    <xf numFmtId="0" fontId="56" fillId="2" borderId="0" xfId="0" applyFont="1" applyFill="1" applyAlignment="1">
      <alignment horizontal="left" vertical="center" indent="1"/>
    </xf>
    <xf numFmtId="0" fontId="56" fillId="2" borderId="0" xfId="0" applyFont="1" applyFill="1" applyAlignment="1">
      <alignment horizontal="left" vertical="center" indent="12"/>
    </xf>
    <xf numFmtId="0" fontId="56" fillId="2" borderId="0" xfId="0" applyFont="1" applyFill="1" applyAlignment="1">
      <alignment horizontal="left" vertical="center" indent="4"/>
    </xf>
    <xf numFmtId="0" fontId="70" fillId="2" borderId="0" xfId="0" applyFont="1" applyFill="1" applyAlignment="1">
      <alignment horizontal="left" vertical="top"/>
    </xf>
    <xf numFmtId="0" fontId="70" fillId="2" borderId="0" xfId="0" applyFont="1" applyFill="1" applyAlignment="1">
      <alignment horizontal="center" vertical="top"/>
    </xf>
    <xf numFmtId="9" fontId="69" fillId="22" borderId="0" xfId="0" applyNumberFormat="1" applyFont="1" applyFill="1" applyAlignment="1">
      <alignment horizontal="center"/>
    </xf>
    <xf numFmtId="164" fontId="0" fillId="2" borderId="7" xfId="0" applyNumberFormat="1" applyFill="1" applyBorder="1" applyAlignment="1">
      <alignment horizontal="center"/>
    </xf>
    <xf numFmtId="164" fontId="0" fillId="2" borderId="8" xfId="0" applyNumberFormat="1" applyFill="1" applyBorder="1" applyAlignment="1">
      <alignment horizontal="center"/>
    </xf>
    <xf numFmtId="164" fontId="0" fillId="2" borderId="9" xfId="0" applyNumberFormat="1" applyFill="1" applyBorder="1" applyAlignment="1">
      <alignment horizontal="center"/>
    </xf>
    <xf numFmtId="9" fontId="0" fillId="2" borderId="10" xfId="6" applyFont="1" applyFill="1" applyBorder="1" applyAlignment="1">
      <alignment horizontal="left"/>
    </xf>
    <xf numFmtId="3" fontId="69" fillId="22" borderId="0" xfId="0" applyNumberFormat="1" applyFont="1" applyFill="1"/>
    <xf numFmtId="0" fontId="74" fillId="22" borderId="11" xfId="0" applyFont="1" applyFill="1" applyBorder="1" applyAlignment="1">
      <alignment horizontal="left"/>
    </xf>
    <xf numFmtId="171" fontId="70" fillId="28" borderId="0" xfId="0" applyNumberFormat="1" applyFont="1" applyFill="1" applyAlignment="1">
      <alignment horizontal="center"/>
    </xf>
    <xf numFmtId="0" fontId="74" fillId="22" borderId="0" xfId="0" applyFont="1" applyFill="1" applyAlignment="1">
      <alignment vertical="center"/>
    </xf>
    <xf numFmtId="0" fontId="127" fillId="12" borderId="0" xfId="0" applyFont="1" applyFill="1"/>
    <xf numFmtId="0" fontId="127" fillId="12" borderId="0" xfId="0" applyFont="1" applyFill="1" applyAlignment="1">
      <alignment vertical="center"/>
    </xf>
    <xf numFmtId="0" fontId="138" fillId="22" borderId="0" xfId="0" applyFont="1" applyFill="1" applyAlignment="1">
      <alignment vertical="center"/>
    </xf>
    <xf numFmtId="0" fontId="71" fillId="12" borderId="0" xfId="0" applyFont="1" applyFill="1" applyAlignment="1">
      <alignment vertical="center"/>
    </xf>
    <xf numFmtId="0" fontId="69" fillId="22" borderId="72" xfId="0" applyFont="1" applyFill="1" applyBorder="1" applyAlignment="1">
      <alignment horizontal="center"/>
    </xf>
    <xf numFmtId="9" fontId="69" fillId="22" borderId="72" xfId="6" applyFont="1" applyFill="1" applyBorder="1" applyAlignment="1">
      <alignment horizontal="center"/>
    </xf>
    <xf numFmtId="0" fontId="79" fillId="2" borderId="0" xfId="0" applyFont="1" applyFill="1" applyAlignment="1">
      <alignment horizontal="center"/>
    </xf>
    <xf numFmtId="0" fontId="127" fillId="22" borderId="0" xfId="0" applyFont="1" applyFill="1"/>
    <xf numFmtId="0" fontId="74" fillId="22" borderId="0" xfId="0" applyFont="1" applyFill="1" applyAlignment="1">
      <alignment horizontal="left" indent="2"/>
    </xf>
    <xf numFmtId="164" fontId="70" fillId="22" borderId="0" xfId="0" applyNumberFormat="1" applyFont="1" applyFill="1" applyAlignment="1">
      <alignment horizontal="center"/>
    </xf>
    <xf numFmtId="2" fontId="77" fillId="19" borderId="0" xfId="0" applyNumberFormat="1" applyFont="1" applyFill="1" applyAlignment="1">
      <alignment horizontal="center"/>
    </xf>
    <xf numFmtId="0" fontId="69" fillId="27" borderId="0" xfId="0" applyFont="1" applyFill="1"/>
    <xf numFmtId="0" fontId="79" fillId="22" borderId="21" xfId="0" applyFont="1" applyFill="1" applyBorder="1"/>
    <xf numFmtId="0" fontId="79" fillId="12" borderId="0" xfId="0" applyFont="1" applyFill="1" applyAlignment="1">
      <alignment vertical="center"/>
    </xf>
    <xf numFmtId="0" fontId="69" fillId="35" borderId="0" xfId="0" applyFont="1" applyFill="1"/>
    <xf numFmtId="0" fontId="127" fillId="22" borderId="21" xfId="0" applyFont="1" applyFill="1" applyBorder="1"/>
    <xf numFmtId="0" fontId="74" fillId="37" borderId="0" xfId="0" applyFont="1" applyFill="1" applyAlignment="1">
      <alignment horizontal="left" indent="15"/>
    </xf>
    <xf numFmtId="0" fontId="74" fillId="37" borderId="0" xfId="0" applyFont="1" applyFill="1" applyAlignment="1">
      <alignment horizontal="center"/>
    </xf>
    <xf numFmtId="0" fontId="74" fillId="38" borderId="0" xfId="0" applyFont="1" applyFill="1" applyAlignment="1">
      <alignment horizontal="left" indent="7"/>
    </xf>
    <xf numFmtId="0" fontId="74" fillId="38" borderId="0" xfId="0" applyFont="1" applyFill="1" applyAlignment="1">
      <alignment horizontal="center"/>
    </xf>
    <xf numFmtId="0" fontId="79" fillId="2" borderId="0" xfId="0" applyFont="1" applyFill="1"/>
    <xf numFmtId="0" fontId="74" fillId="35" borderId="0" xfId="0" applyFont="1" applyFill="1"/>
    <xf numFmtId="0" fontId="69" fillId="35" borderId="0" xfId="0" applyFont="1" applyFill="1" applyAlignment="1">
      <alignment horizontal="center"/>
    </xf>
    <xf numFmtId="0" fontId="74" fillId="27" borderId="0" xfId="0" applyFont="1" applyFill="1"/>
    <xf numFmtId="0" fontId="69" fillId="27" borderId="0" xfId="0" applyFont="1" applyFill="1" applyAlignment="1">
      <alignment horizontal="center"/>
    </xf>
    <xf numFmtId="0" fontId="74" fillId="33" borderId="0" xfId="0" applyFont="1" applyFill="1"/>
    <xf numFmtId="0" fontId="69" fillId="33" borderId="0" xfId="0" applyFont="1" applyFill="1"/>
    <xf numFmtId="0" fontId="69" fillId="33" borderId="0" xfId="0" applyFont="1" applyFill="1" applyAlignment="1">
      <alignment horizontal="center"/>
    </xf>
    <xf numFmtId="0" fontId="79" fillId="12" borderId="0" xfId="0" applyFont="1" applyFill="1"/>
    <xf numFmtId="0" fontId="74" fillId="27" borderId="0" xfId="0" applyFont="1" applyFill="1" applyAlignment="1">
      <alignment vertical="center"/>
    </xf>
    <xf numFmtId="171" fontId="69" fillId="2" borderId="0" xfId="0" applyNumberFormat="1" applyFont="1" applyFill="1" applyAlignment="1">
      <alignment horizontal="center"/>
    </xf>
    <xf numFmtId="0" fontId="74" fillId="22" borderId="0" xfId="0" applyFont="1" applyFill="1"/>
    <xf numFmtId="3" fontId="70" fillId="2" borderId="66" xfId="0" applyNumberFormat="1" applyFont="1" applyFill="1" applyBorder="1" applyAlignment="1">
      <alignment horizontal="center" wrapText="1"/>
    </xf>
    <xf numFmtId="3" fontId="70" fillId="2" borderId="72" xfId="0" applyNumberFormat="1" applyFont="1" applyFill="1" applyBorder="1" applyAlignment="1">
      <alignment horizontal="center" wrapText="1"/>
    </xf>
    <xf numFmtId="3" fontId="70" fillId="6" borderId="67" xfId="0" applyNumberFormat="1" applyFont="1" applyFill="1" applyBorder="1" applyAlignment="1">
      <alignment horizontal="center"/>
    </xf>
    <xf numFmtId="3" fontId="70" fillId="6" borderId="69" xfId="0" applyNumberFormat="1" applyFont="1" applyFill="1" applyBorder="1" applyAlignment="1">
      <alignment horizontal="center"/>
    </xf>
    <xf numFmtId="3" fontId="70" fillId="6" borderId="71" xfId="0" applyNumberFormat="1" applyFont="1" applyFill="1" applyBorder="1" applyAlignment="1">
      <alignment horizontal="center"/>
    </xf>
    <xf numFmtId="0" fontId="79" fillId="35" borderId="0" xfId="0" applyFont="1" applyFill="1"/>
    <xf numFmtId="171" fontId="69" fillId="28" borderId="0" xfId="0" applyNumberFormat="1" applyFont="1" applyFill="1"/>
    <xf numFmtId="0" fontId="68" fillId="22" borderId="0" xfId="0" applyFont="1" applyFill="1" applyAlignment="1">
      <alignment vertical="center"/>
    </xf>
    <xf numFmtId="0" fontId="69" fillId="12" borderId="10" xfId="0" applyFont="1" applyFill="1" applyBorder="1" applyAlignment="1">
      <alignment horizontal="center"/>
    </xf>
    <xf numFmtId="0" fontId="69" fillId="12" borderId="12" xfId="0" applyFont="1" applyFill="1" applyBorder="1" applyAlignment="1">
      <alignment horizontal="center"/>
    </xf>
    <xf numFmtId="0" fontId="69" fillId="12" borderId="13" xfId="0" applyFont="1" applyFill="1" applyBorder="1" applyAlignment="1">
      <alignment horizontal="center"/>
    </xf>
    <xf numFmtId="0" fontId="69" fillId="12" borderId="14" xfId="0" applyFont="1" applyFill="1" applyBorder="1" applyAlignment="1">
      <alignment horizontal="center"/>
    </xf>
    <xf numFmtId="0" fontId="70" fillId="12" borderId="13" xfId="0" applyFont="1" applyFill="1" applyBorder="1" applyAlignment="1">
      <alignment horizontal="center"/>
    </xf>
    <xf numFmtId="0" fontId="70" fillId="12" borderId="12" xfId="0" applyFont="1" applyFill="1" applyBorder="1" applyAlignment="1">
      <alignment horizontal="center"/>
    </xf>
    <xf numFmtId="0" fontId="70" fillId="12" borderId="7" xfId="0" applyFont="1" applyFill="1" applyBorder="1" applyAlignment="1">
      <alignment horizontal="center"/>
    </xf>
    <xf numFmtId="0" fontId="77" fillId="19" borderId="8" xfId="0" applyFont="1" applyFill="1" applyBorder="1" applyAlignment="1">
      <alignment horizontal="center"/>
    </xf>
    <xf numFmtId="164" fontId="77" fillId="19" borderId="8" xfId="0" applyNumberFormat="1" applyFont="1" applyFill="1" applyBorder="1" applyAlignment="1">
      <alignment horizontal="center"/>
    </xf>
    <xf numFmtId="0" fontId="74" fillId="22" borderId="1" xfId="0" applyFont="1" applyFill="1" applyBorder="1" applyAlignment="1">
      <alignment horizontal="center" vertical="center"/>
    </xf>
    <xf numFmtId="0" fontId="69" fillId="22" borderId="11" xfId="0" applyFont="1" applyFill="1" applyBorder="1" applyAlignment="1">
      <alignment horizontal="center"/>
    </xf>
    <xf numFmtId="0" fontId="74" fillId="22" borderId="11" xfId="0" applyFont="1" applyFill="1" applyBorder="1" applyAlignment="1">
      <alignment horizontal="center" vertical="center"/>
    </xf>
    <xf numFmtId="0" fontId="56" fillId="22" borderId="5" xfId="0" applyFont="1" applyFill="1" applyBorder="1" applyAlignment="1">
      <alignment horizontal="center"/>
    </xf>
    <xf numFmtId="0" fontId="56" fillId="22" borderId="21" xfId="0" applyFont="1" applyFill="1" applyBorder="1" applyAlignment="1">
      <alignment horizontal="center"/>
    </xf>
    <xf numFmtId="0" fontId="70" fillId="22" borderId="21" xfId="0" applyFont="1" applyFill="1" applyBorder="1" applyAlignment="1">
      <alignment horizontal="center"/>
    </xf>
    <xf numFmtId="0" fontId="70" fillId="22" borderId="6" xfId="0" applyFont="1" applyFill="1" applyBorder="1" applyAlignment="1">
      <alignment horizontal="center"/>
    </xf>
    <xf numFmtId="0" fontId="69" fillId="3" borderId="0" xfId="0" applyFont="1" applyFill="1"/>
    <xf numFmtId="0" fontId="74" fillId="35" borderId="0" xfId="0" applyFont="1" applyFill="1" applyAlignment="1">
      <alignment vertical="center"/>
    </xf>
    <xf numFmtId="0" fontId="69" fillId="35" borderId="0" xfId="0" applyFont="1" applyFill="1" applyAlignment="1">
      <alignment wrapText="1"/>
    </xf>
    <xf numFmtId="0" fontId="79" fillId="33" borderId="0" xfId="0" applyFont="1" applyFill="1" applyAlignment="1">
      <alignment vertical="center"/>
    </xf>
    <xf numFmtId="0" fontId="133" fillId="28" borderId="0" xfId="0" applyFont="1" applyFill="1" applyAlignment="1">
      <alignment vertical="center"/>
    </xf>
    <xf numFmtId="0" fontId="127" fillId="28" borderId="0" xfId="0" applyFont="1" applyFill="1" applyAlignment="1">
      <alignment vertical="center"/>
    </xf>
    <xf numFmtId="3" fontId="70" fillId="2" borderId="66" xfId="0" applyNumberFormat="1" applyFont="1" applyFill="1" applyBorder="1" applyAlignment="1">
      <alignment horizontal="center"/>
    </xf>
    <xf numFmtId="3" fontId="70" fillId="2" borderId="67" xfId="0" applyNumberFormat="1" applyFont="1" applyFill="1" applyBorder="1" applyAlignment="1">
      <alignment horizontal="center"/>
    </xf>
    <xf numFmtId="3" fontId="70" fillId="2" borderId="68" xfId="0" applyNumberFormat="1" applyFont="1" applyFill="1" applyBorder="1" applyAlignment="1">
      <alignment horizontal="center"/>
    </xf>
    <xf numFmtId="3" fontId="70" fillId="2" borderId="69" xfId="0" applyNumberFormat="1" applyFont="1" applyFill="1" applyBorder="1" applyAlignment="1">
      <alignment horizontal="center"/>
    </xf>
    <xf numFmtId="1" fontId="88" fillId="18" borderId="0" xfId="0" applyNumberFormat="1" applyFont="1" applyFill="1"/>
    <xf numFmtId="0" fontId="70" fillId="12" borderId="14" xfId="0" applyFont="1" applyFill="1" applyBorder="1" applyAlignment="1">
      <alignment horizontal="center"/>
    </xf>
    <xf numFmtId="3" fontId="70" fillId="12" borderId="14" xfId="0" applyNumberFormat="1" applyFont="1" applyFill="1" applyBorder="1" applyAlignment="1">
      <alignment horizontal="center"/>
    </xf>
    <xf numFmtId="3" fontId="70" fillId="2" borderId="86" xfId="0" applyNumberFormat="1" applyFont="1" applyFill="1" applyBorder="1" applyAlignment="1">
      <alignment horizontal="center"/>
    </xf>
    <xf numFmtId="3" fontId="70" fillId="2" borderId="87" xfId="0" applyNumberFormat="1" applyFont="1" applyFill="1" applyBorder="1" applyAlignment="1">
      <alignment horizontal="center"/>
    </xf>
    <xf numFmtId="0" fontId="70" fillId="12" borderId="14" xfId="0" applyFont="1" applyFill="1" applyBorder="1" applyAlignment="1">
      <alignment horizontal="left"/>
    </xf>
    <xf numFmtId="0" fontId="70" fillId="12" borderId="0" xfId="0" applyFont="1" applyFill="1" applyAlignment="1">
      <alignment horizontal="left"/>
    </xf>
    <xf numFmtId="0" fontId="70" fillId="12" borderId="21" xfId="0" applyFont="1" applyFill="1" applyBorder="1" applyAlignment="1">
      <alignment horizontal="left"/>
    </xf>
    <xf numFmtId="0" fontId="69" fillId="0" borderId="0" xfId="0" applyFont="1"/>
    <xf numFmtId="0" fontId="80" fillId="3" borderId="7" xfId="0" applyFont="1" applyFill="1" applyBorder="1"/>
    <xf numFmtId="0" fontId="69" fillId="2" borderId="1" xfId="0" applyFont="1" applyFill="1" applyBorder="1"/>
    <xf numFmtId="0" fontId="69" fillId="2" borderId="2" xfId="0" applyFont="1" applyFill="1" applyBorder="1"/>
    <xf numFmtId="0" fontId="74" fillId="2" borderId="1" xfId="0" applyFont="1" applyFill="1" applyBorder="1" applyAlignment="1">
      <alignment horizontal="left" indent="18"/>
    </xf>
    <xf numFmtId="0" fontId="74" fillId="2" borderId="11" xfId="0" applyFont="1" applyFill="1" applyBorder="1" applyAlignment="1">
      <alignment horizontal="left" indent="10"/>
    </xf>
    <xf numFmtId="0" fontId="74" fillId="2" borderId="11" xfId="0" applyFont="1" applyFill="1" applyBorder="1" applyAlignment="1">
      <alignment horizontal="center"/>
    </xf>
    <xf numFmtId="0" fontId="69" fillId="2" borderId="11" xfId="0" applyFont="1" applyFill="1" applyBorder="1"/>
    <xf numFmtId="0" fontId="74" fillId="2" borderId="3" xfId="0" applyFont="1" applyFill="1" applyBorder="1" applyAlignment="1">
      <alignment horizontal="left" indent="7"/>
    </xf>
    <xf numFmtId="0" fontId="140" fillId="2" borderId="0" xfId="0" applyFont="1" applyFill="1"/>
    <xf numFmtId="0" fontId="56" fillId="22" borderId="7" xfId="0" applyFont="1" applyFill="1" applyBorder="1" applyAlignment="1">
      <alignment horizontal="center"/>
    </xf>
    <xf numFmtId="0" fontId="68" fillId="2" borderId="3" xfId="0" applyFont="1" applyFill="1" applyBorder="1" applyAlignment="1">
      <alignment horizontal="center"/>
    </xf>
    <xf numFmtId="0" fontId="56" fillId="2" borderId="5" xfId="0" applyFont="1" applyFill="1" applyBorder="1" applyAlignment="1">
      <alignment horizontal="left" indent="10"/>
    </xf>
    <xf numFmtId="0" fontId="70" fillId="2" borderId="21" xfId="0" applyFont="1" applyFill="1" applyBorder="1" applyAlignment="1">
      <alignment horizontal="center"/>
    </xf>
    <xf numFmtId="0" fontId="70" fillId="2" borderId="21" xfId="0" applyFont="1" applyFill="1" applyBorder="1"/>
    <xf numFmtId="0" fontId="70" fillId="2" borderId="6" xfId="0" applyFont="1" applyFill="1" applyBorder="1"/>
    <xf numFmtId="0" fontId="56" fillId="22" borderId="9" xfId="0" applyFont="1" applyFill="1" applyBorder="1" applyAlignment="1">
      <alignment horizontal="center"/>
    </xf>
    <xf numFmtId="0" fontId="70" fillId="2" borderId="10" xfId="0" applyFont="1" applyFill="1" applyBorder="1"/>
    <xf numFmtId="0" fontId="56" fillId="2" borderId="8" xfId="0" applyFont="1" applyFill="1" applyBorder="1" applyAlignment="1">
      <alignment horizontal="center"/>
    </xf>
    <xf numFmtId="0" fontId="70" fillId="2" borderId="4" xfId="0" applyFont="1" applyFill="1" applyBorder="1"/>
    <xf numFmtId="0" fontId="70" fillId="2" borderId="9" xfId="0" applyFont="1" applyFill="1" applyBorder="1"/>
    <xf numFmtId="0" fontId="69" fillId="3" borderId="8" xfId="0" applyFont="1" applyFill="1" applyBorder="1"/>
    <xf numFmtId="0" fontId="69" fillId="2" borderId="8" xfId="0" applyFont="1" applyFill="1" applyBorder="1" applyAlignment="1">
      <alignment horizontal="center" vertical="top"/>
    </xf>
    <xf numFmtId="0" fontId="70" fillId="2" borderId="8" xfId="0" applyFont="1" applyFill="1" applyBorder="1"/>
    <xf numFmtId="0" fontId="70" fillId="2" borderId="8" xfId="0" applyFont="1" applyFill="1" applyBorder="1" applyAlignment="1">
      <alignment wrapText="1"/>
    </xf>
    <xf numFmtId="0" fontId="56" fillId="2" borderId="9" xfId="0" applyFont="1" applyFill="1" applyBorder="1" applyAlignment="1">
      <alignment horizontal="center"/>
    </xf>
    <xf numFmtId="0" fontId="70" fillId="2" borderId="8" xfId="0" applyFont="1" applyFill="1" applyBorder="1" applyAlignment="1">
      <alignment horizontal="center"/>
    </xf>
    <xf numFmtId="0" fontId="69" fillId="2" borderId="7" xfId="0" applyFont="1" applyFill="1" applyBorder="1"/>
    <xf numFmtId="0" fontId="74" fillId="2" borderId="10" xfId="0" applyFont="1" applyFill="1" applyBorder="1" applyAlignment="1">
      <alignment horizontal="left"/>
    </xf>
    <xf numFmtId="0" fontId="74" fillId="2" borderId="9" xfId="0" applyFont="1" applyFill="1" applyBorder="1" applyAlignment="1">
      <alignment horizontal="center"/>
    </xf>
    <xf numFmtId="0" fontId="69" fillId="2" borderId="8" xfId="0" applyFont="1" applyFill="1" applyBorder="1" applyAlignment="1">
      <alignment horizontal="center"/>
    </xf>
    <xf numFmtId="0" fontId="69" fillId="2" borderId="3" xfId="0" applyFont="1" applyFill="1" applyBorder="1" applyAlignment="1">
      <alignment horizontal="center"/>
    </xf>
    <xf numFmtId="0" fontId="69" fillId="2" borderId="7" xfId="0" applyFont="1" applyFill="1" applyBorder="1" applyAlignment="1">
      <alignment horizontal="center"/>
    </xf>
    <xf numFmtId="0" fontId="69" fillId="2" borderId="4" xfId="0" applyFont="1" applyFill="1" applyBorder="1" applyAlignment="1">
      <alignment horizontal="center"/>
    </xf>
    <xf numFmtId="0" fontId="69" fillId="2" borderId="2" xfId="0" applyFont="1" applyFill="1" applyBorder="1" applyAlignment="1">
      <alignment horizontal="center"/>
    </xf>
    <xf numFmtId="0" fontId="69" fillId="2" borderId="3" xfId="0" applyFont="1" applyFill="1" applyBorder="1"/>
    <xf numFmtId="0" fontId="69" fillId="2" borderId="1" xfId="0" applyFont="1" applyFill="1" applyBorder="1" applyAlignment="1">
      <alignment horizontal="center"/>
    </xf>
    <xf numFmtId="0" fontId="69" fillId="2" borderId="11" xfId="0" applyFont="1" applyFill="1" applyBorder="1" applyAlignment="1">
      <alignment horizontal="center"/>
    </xf>
    <xf numFmtId="0" fontId="74" fillId="2" borderId="8" xfId="0" applyFont="1" applyFill="1" applyBorder="1" applyAlignment="1">
      <alignment horizontal="center"/>
    </xf>
    <xf numFmtId="0" fontId="74" fillId="2" borderId="12" xfId="0" applyFont="1" applyFill="1" applyBorder="1" applyAlignment="1">
      <alignment horizontal="left"/>
    </xf>
    <xf numFmtId="0" fontId="69" fillId="2" borderId="10" xfId="0" applyFont="1" applyFill="1" applyBorder="1"/>
    <xf numFmtId="0" fontId="74" fillId="2" borderId="3" xfId="0" applyFont="1" applyFill="1" applyBorder="1" applyAlignment="1">
      <alignment horizontal="center"/>
    </xf>
    <xf numFmtId="0" fontId="74" fillId="2" borderId="1" xfId="0" applyFont="1" applyFill="1" applyBorder="1" applyAlignment="1">
      <alignment horizontal="left"/>
    </xf>
    <xf numFmtId="0" fontId="74" fillId="2" borderId="3" xfId="0" applyFont="1" applyFill="1" applyBorder="1" applyAlignment="1">
      <alignment horizontal="left"/>
    </xf>
    <xf numFmtId="0" fontId="69" fillId="2" borderId="8" xfId="0" applyFont="1" applyFill="1" applyBorder="1"/>
    <xf numFmtId="0" fontId="74" fillId="2" borderId="5" xfId="0" applyFont="1" applyFill="1" applyBorder="1" applyAlignment="1">
      <alignment horizontal="left"/>
    </xf>
    <xf numFmtId="0" fontId="69" fillId="2" borderId="9" xfId="0" applyFont="1" applyFill="1" applyBorder="1"/>
    <xf numFmtId="0" fontId="69" fillId="2" borderId="5" xfId="0" applyFont="1" applyFill="1" applyBorder="1"/>
    <xf numFmtId="0" fontId="74" fillId="2" borderId="21" xfId="0" applyFont="1" applyFill="1" applyBorder="1" applyAlignment="1">
      <alignment horizontal="left" indent="4"/>
    </xf>
    <xf numFmtId="0" fontId="74" fillId="2" borderId="21" xfId="0" applyFont="1" applyFill="1" applyBorder="1" applyAlignment="1">
      <alignment horizontal="center"/>
    </xf>
    <xf numFmtId="0" fontId="74" fillId="2" borderId="10" xfId="0" applyFont="1" applyFill="1" applyBorder="1" applyAlignment="1">
      <alignment horizontal="center"/>
    </xf>
    <xf numFmtId="0" fontId="69" fillId="2" borderId="6" xfId="0" applyFont="1" applyFill="1" applyBorder="1" applyAlignment="1">
      <alignment horizontal="center"/>
    </xf>
    <xf numFmtId="0" fontId="69" fillId="2" borderId="9" xfId="0" applyFont="1" applyFill="1" applyBorder="1" applyAlignment="1">
      <alignment horizontal="center"/>
    </xf>
    <xf numFmtId="0" fontId="69" fillId="2" borderId="5" xfId="0" applyFont="1" applyFill="1" applyBorder="1" applyAlignment="1">
      <alignment horizontal="center"/>
    </xf>
    <xf numFmtId="0" fontId="69" fillId="2" borderId="21" xfId="0" applyFont="1" applyFill="1" applyBorder="1" applyAlignment="1">
      <alignment horizontal="center"/>
    </xf>
    <xf numFmtId="0" fontId="74" fillId="3" borderId="9" xfId="0" applyFont="1" applyFill="1" applyBorder="1" applyAlignment="1">
      <alignment horizontal="center"/>
    </xf>
    <xf numFmtId="0" fontId="74" fillId="3" borderId="10" xfId="0" applyFont="1" applyFill="1" applyBorder="1" applyAlignment="1">
      <alignment horizontal="center"/>
    </xf>
    <xf numFmtId="0" fontId="69" fillId="3" borderId="10" xfId="0" applyFont="1" applyFill="1" applyBorder="1" applyAlignment="1">
      <alignment horizontal="center"/>
    </xf>
    <xf numFmtId="0" fontId="69" fillId="3" borderId="9" xfId="0" applyFont="1" applyFill="1" applyBorder="1" applyAlignment="1">
      <alignment horizontal="center"/>
    </xf>
    <xf numFmtId="0" fontId="69" fillId="3" borderId="5" xfId="0" applyFont="1" applyFill="1" applyBorder="1" applyAlignment="1">
      <alignment horizontal="center"/>
    </xf>
    <xf numFmtId="0" fontId="69" fillId="3" borderId="9" xfId="0" applyFont="1" applyFill="1" applyBorder="1"/>
    <xf numFmtId="0" fontId="56" fillId="22" borderId="1" xfId="0" applyFont="1" applyFill="1" applyBorder="1" applyAlignment="1">
      <alignment horizontal="center"/>
    </xf>
    <xf numFmtId="0" fontId="69" fillId="2" borderId="13" xfId="0" applyFont="1" applyFill="1" applyBorder="1"/>
    <xf numFmtId="0" fontId="69" fillId="0" borderId="10" xfId="0" applyFont="1" applyBorder="1"/>
    <xf numFmtId="0" fontId="74" fillId="2" borderId="7" xfId="0" applyFont="1" applyFill="1" applyBorder="1" applyAlignment="1">
      <alignment horizontal="left"/>
    </xf>
    <xf numFmtId="0" fontId="74" fillId="2" borderId="8" xfId="0" applyFont="1" applyFill="1" applyBorder="1" applyAlignment="1">
      <alignment horizontal="left"/>
    </xf>
    <xf numFmtId="0" fontId="69" fillId="2" borderId="4" xfId="0" applyFont="1" applyFill="1" applyBorder="1"/>
    <xf numFmtId="0" fontId="74" fillId="2" borderId="9" xfId="0" applyFont="1" applyFill="1" applyBorder="1" applyAlignment="1">
      <alignment horizontal="left"/>
    </xf>
    <xf numFmtId="0" fontId="69" fillId="2" borderId="6" xfId="0" applyFont="1" applyFill="1" applyBorder="1"/>
    <xf numFmtId="0" fontId="74" fillId="2" borderId="5" xfId="0" applyFont="1" applyFill="1" applyBorder="1" applyAlignment="1">
      <alignment horizontal="left" indent="3"/>
    </xf>
    <xf numFmtId="0" fontId="74" fillId="2" borderId="6" xfId="0" applyFont="1" applyFill="1" applyBorder="1" applyAlignment="1">
      <alignment horizontal="center"/>
    </xf>
    <xf numFmtId="0" fontId="69" fillId="0" borderId="10" xfId="0" applyFont="1" applyBorder="1" applyAlignment="1">
      <alignment horizontal="right"/>
    </xf>
    <xf numFmtId="0" fontId="69" fillId="0" borderId="10" xfId="0" applyFont="1" applyBorder="1" applyAlignment="1">
      <alignment horizontal="left"/>
    </xf>
    <xf numFmtId="0" fontId="69" fillId="0" borderId="0" xfId="0" quotePrefix="1" applyFont="1"/>
    <xf numFmtId="0" fontId="69" fillId="36" borderId="0" xfId="0" applyFont="1" applyFill="1"/>
    <xf numFmtId="0" fontId="136" fillId="36" borderId="0" xfId="0" applyFont="1" applyFill="1"/>
    <xf numFmtId="0" fontId="69" fillId="22" borderId="12" xfId="0" applyFont="1" applyFill="1" applyBorder="1"/>
    <xf numFmtId="0" fontId="81" fillId="22" borderId="14" xfId="0" applyFont="1" applyFill="1" applyBorder="1"/>
    <xf numFmtId="0" fontId="80" fillId="22" borderId="14" xfId="0" applyFont="1" applyFill="1" applyBorder="1" applyAlignment="1">
      <alignment horizontal="left" indent="10"/>
    </xf>
    <xf numFmtId="0" fontId="80" fillId="22" borderId="14" xfId="0" applyFont="1" applyFill="1" applyBorder="1"/>
    <xf numFmtId="0" fontId="81" fillId="22" borderId="13" xfId="0" applyFont="1" applyFill="1" applyBorder="1"/>
    <xf numFmtId="0" fontId="56" fillId="29" borderId="11" xfId="0" applyFont="1" applyFill="1" applyBorder="1" applyAlignment="1">
      <alignment horizontal="left" indent="10"/>
    </xf>
    <xf numFmtId="0" fontId="70" fillId="29" borderId="11" xfId="0" applyFont="1" applyFill="1" applyBorder="1" applyAlignment="1">
      <alignment horizontal="center"/>
    </xf>
    <xf numFmtId="0" fontId="70" fillId="29" borderId="11" xfId="0" applyFont="1" applyFill="1" applyBorder="1"/>
    <xf numFmtId="0" fontId="56" fillId="40" borderId="12" xfId="0" applyFont="1" applyFill="1" applyBorder="1" applyAlignment="1">
      <alignment horizontal="left" indent="10"/>
    </xf>
    <xf numFmtId="0" fontId="70" fillId="40" borderId="14" xfId="0" applyFont="1" applyFill="1" applyBorder="1" applyAlignment="1">
      <alignment horizontal="center"/>
    </xf>
    <xf numFmtId="0" fontId="70" fillId="40" borderId="14" xfId="0" applyFont="1" applyFill="1" applyBorder="1"/>
    <xf numFmtId="0" fontId="70" fillId="40" borderId="13" xfId="0" applyFont="1" applyFill="1" applyBorder="1"/>
    <xf numFmtId="0" fontId="56" fillId="22" borderId="8" xfId="0" applyFont="1" applyFill="1" applyBorder="1" applyAlignment="1">
      <alignment horizontal="center"/>
    </xf>
    <xf numFmtId="0" fontId="70" fillId="29" borderId="2" xfId="0" applyFont="1" applyFill="1" applyBorder="1"/>
    <xf numFmtId="0" fontId="69" fillId="22" borderId="3" xfId="0" applyFont="1" applyFill="1" applyBorder="1" applyAlignment="1">
      <alignment horizontal="center"/>
    </xf>
    <xf numFmtId="0" fontId="69" fillId="2" borderId="88" xfId="0" applyFont="1" applyFill="1" applyBorder="1" applyAlignment="1">
      <alignment horizontal="center" vertical="center"/>
    </xf>
    <xf numFmtId="0" fontId="69" fillId="2" borderId="89" xfId="0" applyFont="1" applyFill="1" applyBorder="1" applyAlignment="1">
      <alignment horizontal="center" vertical="center"/>
    </xf>
    <xf numFmtId="0" fontId="69" fillId="2" borderId="90" xfId="0" applyFont="1" applyFill="1" applyBorder="1" applyAlignment="1">
      <alignment horizontal="center" vertical="center"/>
    </xf>
    <xf numFmtId="0" fontId="74" fillId="22" borderId="4" xfId="0" applyFont="1" applyFill="1" applyBorder="1" applyAlignment="1">
      <alignment horizontal="center"/>
    </xf>
    <xf numFmtId="0" fontId="69" fillId="22" borderId="7" xfId="0" applyFont="1" applyFill="1" applyBorder="1" applyAlignment="1">
      <alignment horizontal="center"/>
    </xf>
    <xf numFmtId="0" fontId="69" fillId="2" borderId="91" xfId="0" applyFont="1" applyFill="1" applyBorder="1" applyAlignment="1">
      <alignment horizontal="center" vertical="center"/>
    </xf>
    <xf numFmtId="0" fontId="69" fillId="2" borderId="73" xfId="0" applyFont="1" applyFill="1" applyBorder="1" applyAlignment="1">
      <alignment horizontal="center" vertical="center"/>
    </xf>
    <xf numFmtId="0" fontId="69" fillId="2" borderId="92" xfId="0" applyFont="1" applyFill="1" applyBorder="1" applyAlignment="1">
      <alignment horizontal="center" vertical="center"/>
    </xf>
    <xf numFmtId="0" fontId="69" fillId="22" borderId="8" xfId="0" applyFont="1" applyFill="1" applyBorder="1" applyAlignment="1">
      <alignment horizontal="center"/>
    </xf>
    <xf numFmtId="0" fontId="69" fillId="2" borderId="93" xfId="0" applyFont="1" applyFill="1" applyBorder="1" applyAlignment="1">
      <alignment horizontal="center" vertical="center"/>
    </xf>
    <xf numFmtId="0" fontId="69" fillId="2" borderId="94" xfId="0" applyFont="1" applyFill="1" applyBorder="1" applyAlignment="1">
      <alignment horizontal="center" vertical="center"/>
    </xf>
    <xf numFmtId="0" fontId="69" fillId="2" borderId="95" xfId="0" applyFont="1" applyFill="1" applyBorder="1" applyAlignment="1">
      <alignment horizontal="center" vertical="center"/>
    </xf>
    <xf numFmtId="0" fontId="69" fillId="0" borderId="10" xfId="0" applyFont="1" applyBorder="1" applyAlignment="1">
      <alignment horizontal="center"/>
    </xf>
    <xf numFmtId="0" fontId="70" fillId="2" borderId="10" xfId="0" applyFont="1" applyFill="1" applyBorder="1" applyAlignment="1">
      <alignment horizontal="center"/>
    </xf>
    <xf numFmtId="0" fontId="139" fillId="22" borderId="0" xfId="0" applyFont="1" applyFill="1" applyAlignment="1">
      <alignment horizontal="center" vertical="center"/>
    </xf>
    <xf numFmtId="0" fontId="69" fillId="12" borderId="10" xfId="0" applyFont="1" applyFill="1" applyBorder="1" applyAlignment="1">
      <alignment horizontal="center" wrapText="1"/>
    </xf>
    <xf numFmtId="0" fontId="129" fillId="22" borderId="0" xfId="0" applyFont="1" applyFill="1" applyAlignment="1">
      <alignment vertical="center"/>
    </xf>
    <xf numFmtId="0" fontId="74" fillId="2" borderId="10" xfId="0" applyFont="1" applyFill="1" applyBorder="1"/>
    <xf numFmtId="0" fontId="74" fillId="9" borderId="10" xfId="0" applyFont="1" applyFill="1" applyBorder="1" applyAlignment="1">
      <alignment horizontal="center"/>
    </xf>
    <xf numFmtId="0" fontId="69" fillId="2" borderId="21" xfId="0" applyFont="1" applyFill="1" applyBorder="1"/>
    <xf numFmtId="0" fontId="139" fillId="2" borderId="21" xfId="0" applyFont="1" applyFill="1" applyBorder="1" applyAlignment="1">
      <alignment vertical="center"/>
    </xf>
    <xf numFmtId="0" fontId="71" fillId="2" borderId="8" xfId="0" applyFont="1" applyFill="1" applyBorder="1"/>
    <xf numFmtId="0" fontId="129" fillId="2" borderId="21" xfId="0" applyFont="1" applyFill="1" applyBorder="1" applyAlignment="1">
      <alignment vertical="center"/>
    </xf>
    <xf numFmtId="3" fontId="69" fillId="28" borderId="10" xfId="0" applyNumberFormat="1" applyFont="1" applyFill="1" applyBorder="1" applyAlignment="1">
      <alignment horizontal="center"/>
    </xf>
    <xf numFmtId="0" fontId="56" fillId="40" borderId="10" xfId="0" applyFont="1" applyFill="1" applyBorder="1"/>
    <xf numFmtId="0" fontId="71" fillId="40" borderId="2" xfId="0" applyFont="1" applyFill="1" applyBorder="1"/>
    <xf numFmtId="0" fontId="56" fillId="29" borderId="12" xfId="0" applyFont="1" applyFill="1" applyBorder="1" applyAlignment="1">
      <alignment horizontal="left"/>
    </xf>
    <xf numFmtId="0" fontId="56" fillId="29" borderId="13" xfId="0" applyFont="1" applyFill="1" applyBorder="1" applyAlignment="1">
      <alignment horizontal="center"/>
    </xf>
    <xf numFmtId="0" fontId="56" fillId="22" borderId="5" xfId="0" applyFont="1" applyFill="1" applyBorder="1"/>
    <xf numFmtId="0" fontId="56" fillId="22" borderId="6" xfId="0" applyFont="1" applyFill="1" applyBorder="1"/>
    <xf numFmtId="0" fontId="77" fillId="36" borderId="0" xfId="0" applyFont="1" applyFill="1"/>
    <xf numFmtId="0" fontId="126" fillId="35" borderId="0" xfId="0" applyFont="1" applyFill="1" applyAlignment="1">
      <alignment vertical="center"/>
    </xf>
    <xf numFmtId="0" fontId="133" fillId="35" borderId="0" xfId="0" applyFont="1" applyFill="1" applyAlignment="1">
      <alignment vertical="center"/>
    </xf>
    <xf numFmtId="0" fontId="74" fillId="35" borderId="0" xfId="0" applyFont="1" applyFill="1" applyAlignment="1">
      <alignment vertical="center" wrapText="1"/>
    </xf>
    <xf numFmtId="3" fontId="69" fillId="35" borderId="0" xfId="0" applyNumberFormat="1" applyFont="1" applyFill="1" applyAlignment="1">
      <alignment horizontal="center"/>
    </xf>
    <xf numFmtId="0" fontId="74" fillId="35" borderId="21" xfId="0" applyFont="1" applyFill="1" applyBorder="1" applyAlignment="1">
      <alignment vertical="center" wrapText="1"/>
    </xf>
    <xf numFmtId="3" fontId="69" fillId="35" borderId="0" xfId="0" applyNumberFormat="1" applyFont="1" applyFill="1"/>
    <xf numFmtId="0" fontId="69" fillId="35" borderId="21" xfId="0" applyFont="1" applyFill="1" applyBorder="1"/>
    <xf numFmtId="3" fontId="70" fillId="2" borderId="79" xfId="0" applyNumberFormat="1" applyFont="1" applyFill="1" applyBorder="1" applyAlignment="1">
      <alignment horizontal="center"/>
    </xf>
    <xf numFmtId="0" fontId="70" fillId="22" borderId="0" xfId="0" applyFont="1" applyFill="1" applyAlignment="1">
      <alignment horizontal="center"/>
    </xf>
    <xf numFmtId="3" fontId="70" fillId="22" borderId="0" xfId="0" applyNumberFormat="1" applyFont="1" applyFill="1" applyAlignment="1">
      <alignment horizontal="center"/>
    </xf>
    <xf numFmtId="0" fontId="0" fillId="6" borderId="11" xfId="0" applyFill="1" applyBorder="1" applyAlignment="1">
      <alignment horizontal="center" wrapText="1"/>
    </xf>
    <xf numFmtId="0" fontId="79" fillId="22" borderId="0" xfId="0" applyFont="1" applyFill="1" applyAlignment="1">
      <alignment horizontal="right"/>
    </xf>
    <xf numFmtId="3" fontId="79" fillId="22" borderId="0" xfId="0" applyNumberFormat="1" applyFont="1" applyFill="1"/>
    <xf numFmtId="0" fontId="70" fillId="12" borderId="21" xfId="0" applyFont="1" applyFill="1" applyBorder="1" applyAlignment="1">
      <alignment horizontal="right"/>
    </xf>
    <xf numFmtId="3" fontId="70" fillId="18" borderId="0" xfId="0" applyNumberFormat="1" applyFont="1" applyFill="1" applyAlignment="1">
      <alignment horizontal="center"/>
    </xf>
    <xf numFmtId="3" fontId="69" fillId="35" borderId="0" xfId="0" applyNumberFormat="1" applyFont="1" applyFill="1" applyAlignment="1">
      <alignment horizontal="center" vertical="center" wrapText="1"/>
    </xf>
    <xf numFmtId="0" fontId="69" fillId="32" borderId="0" xfId="0" applyFont="1" applyFill="1"/>
    <xf numFmtId="0" fontId="74" fillId="35" borderId="0" xfId="0" applyFont="1" applyFill="1" applyAlignment="1">
      <alignment horizontal="left"/>
    </xf>
    <xf numFmtId="3" fontId="70" fillId="2" borderId="94" xfId="0" applyNumberFormat="1" applyFont="1" applyFill="1" applyBorder="1" applyAlignment="1">
      <alignment horizontal="center"/>
    </xf>
    <xf numFmtId="3" fontId="70" fillId="6" borderId="0" xfId="0" applyNumberFormat="1" applyFont="1" applyFill="1" applyAlignment="1">
      <alignment horizontal="center"/>
    </xf>
    <xf numFmtId="0" fontId="69" fillId="3" borderId="0" xfId="0" applyFont="1" applyFill="1" applyAlignment="1">
      <alignment horizontal="right"/>
    </xf>
    <xf numFmtId="0" fontId="69" fillId="35" borderId="0" xfId="0" applyFont="1" applyFill="1" applyAlignment="1">
      <alignment horizontal="right"/>
    </xf>
    <xf numFmtId="3" fontId="69" fillId="22" borderId="72" xfId="0" applyNumberFormat="1" applyFont="1" applyFill="1" applyBorder="1" applyAlignment="1">
      <alignment horizontal="center"/>
    </xf>
    <xf numFmtId="0" fontId="69" fillId="22" borderId="0" xfId="0" applyFont="1" applyFill="1" applyAlignment="1">
      <alignment horizontal="right"/>
    </xf>
    <xf numFmtId="0" fontId="69" fillId="41" borderId="0" xfId="0" applyFont="1" applyFill="1"/>
    <xf numFmtId="0" fontId="74" fillId="41" borderId="0" xfId="0" applyFont="1" applyFill="1"/>
    <xf numFmtId="0" fontId="69" fillId="41" borderId="0" xfId="0" applyFont="1" applyFill="1" applyAlignment="1">
      <alignment horizontal="center"/>
    </xf>
    <xf numFmtId="0" fontId="88" fillId="32" borderId="0" xfId="0" applyFont="1" applyFill="1" applyAlignment="1">
      <alignment vertical="center"/>
    </xf>
    <xf numFmtId="0" fontId="69" fillId="32" borderId="0" xfId="0" applyFont="1" applyFill="1" applyAlignment="1">
      <alignment horizontal="center" vertical="center"/>
    </xf>
    <xf numFmtId="0" fontId="88" fillId="32" borderId="0" xfId="0" applyFont="1" applyFill="1" applyAlignment="1">
      <alignment horizontal="left" vertical="center"/>
    </xf>
    <xf numFmtId="0" fontId="69" fillId="32" borderId="0" xfId="0" applyFont="1" applyFill="1" applyAlignment="1">
      <alignment vertical="center"/>
    </xf>
    <xf numFmtId="0" fontId="69" fillId="32" borderId="0" xfId="0" applyFont="1" applyFill="1" applyAlignment="1">
      <alignment horizontal="left"/>
    </xf>
    <xf numFmtId="0" fontId="69" fillId="32" borderId="0" xfId="0" applyFont="1" applyFill="1" applyAlignment="1">
      <alignment horizontal="center"/>
    </xf>
    <xf numFmtId="0" fontId="55" fillId="32" borderId="0" xfId="0" applyFont="1" applyFill="1" applyAlignment="1">
      <alignment horizontal="center" vertical="center"/>
    </xf>
    <xf numFmtId="0" fontId="55" fillId="32" borderId="0" xfId="0" applyFont="1" applyFill="1" applyAlignment="1">
      <alignment horizontal="center"/>
    </xf>
    <xf numFmtId="0" fontId="79" fillId="32" borderId="0" xfId="0" applyFont="1" applyFill="1"/>
    <xf numFmtId="0" fontId="74" fillId="32" borderId="0" xfId="0" applyFont="1" applyFill="1"/>
    <xf numFmtId="164" fontId="77" fillId="19" borderId="4" xfId="0" applyNumberFormat="1" applyFont="1" applyFill="1" applyBorder="1" applyAlignment="1">
      <alignment horizontal="center"/>
    </xf>
    <xf numFmtId="164" fontId="77" fillId="19" borderId="97" xfId="0" applyNumberFormat="1" applyFont="1" applyFill="1" applyBorder="1" applyAlignment="1">
      <alignment horizontal="center"/>
    </xf>
    <xf numFmtId="164" fontId="77" fillId="19" borderId="98" xfId="0" applyNumberFormat="1" applyFont="1" applyFill="1" applyBorder="1" applyAlignment="1">
      <alignment horizontal="center"/>
    </xf>
    <xf numFmtId="164" fontId="77" fillId="19" borderId="96" xfId="0" applyNumberFormat="1" applyFont="1" applyFill="1" applyBorder="1" applyAlignment="1">
      <alignment horizontal="center"/>
    </xf>
    <xf numFmtId="164" fontId="77" fillId="19" borderId="81" xfId="0" applyNumberFormat="1" applyFont="1" applyFill="1" applyBorder="1" applyAlignment="1">
      <alignment horizontal="center"/>
    </xf>
    <xf numFmtId="0" fontId="88" fillId="22" borderId="7" xfId="0" applyFont="1" applyFill="1" applyBorder="1" applyAlignment="1">
      <alignment horizontal="center"/>
    </xf>
    <xf numFmtId="0" fontId="70" fillId="22" borderId="9" xfId="0" applyFont="1" applyFill="1" applyBorder="1" applyAlignment="1">
      <alignment horizontal="center"/>
    </xf>
    <xf numFmtId="0" fontId="77" fillId="19" borderId="96" xfId="0" applyFont="1" applyFill="1" applyBorder="1" applyAlignment="1">
      <alignment horizontal="center"/>
    </xf>
    <xf numFmtId="0" fontId="77" fillId="19" borderId="99" xfId="0" applyFont="1" applyFill="1" applyBorder="1" applyAlignment="1">
      <alignment horizontal="center"/>
    </xf>
    <xf numFmtId="0" fontId="69" fillId="32" borderId="0" xfId="0" applyFont="1" applyFill="1" applyAlignment="1">
      <alignment wrapText="1"/>
    </xf>
    <xf numFmtId="0" fontId="69" fillId="32" borderId="0" xfId="0" applyFont="1" applyFill="1" applyAlignment="1">
      <alignment horizontal="right"/>
    </xf>
    <xf numFmtId="1" fontId="69" fillId="22" borderId="0" xfId="0" applyNumberFormat="1" applyFont="1" applyFill="1"/>
    <xf numFmtId="0" fontId="55" fillId="32" borderId="0" xfId="0" applyFont="1" applyFill="1"/>
    <xf numFmtId="0" fontId="69" fillId="33" borderId="0" xfId="0" applyFont="1" applyFill="1" applyAlignment="1">
      <alignment horizontal="right"/>
    </xf>
    <xf numFmtId="0" fontId="79" fillId="33" borderId="0" xfId="0" applyFont="1" applyFill="1"/>
    <xf numFmtId="0" fontId="83" fillId="2" borderId="0" xfId="0" applyFont="1" applyFill="1"/>
    <xf numFmtId="3" fontId="70" fillId="2" borderId="100" xfId="0" applyNumberFormat="1" applyFont="1" applyFill="1" applyBorder="1" applyAlignment="1">
      <alignment horizontal="center"/>
    </xf>
    <xf numFmtId="3" fontId="70" fillId="2" borderId="101" xfId="0" applyNumberFormat="1" applyFont="1" applyFill="1" applyBorder="1" applyAlignment="1">
      <alignment horizontal="center"/>
    </xf>
    <xf numFmtId="0" fontId="83" fillId="35" borderId="0" xfId="0" applyFont="1" applyFill="1"/>
    <xf numFmtId="0" fontId="79" fillId="35" borderId="21" xfId="0" applyFont="1" applyFill="1" applyBorder="1" applyAlignment="1">
      <alignment vertical="center" wrapText="1"/>
    </xf>
    <xf numFmtId="0" fontId="79" fillId="35" borderId="21" xfId="0" applyFont="1" applyFill="1" applyBorder="1" applyAlignment="1">
      <alignment vertical="center"/>
    </xf>
    <xf numFmtId="0" fontId="69" fillId="35" borderId="0" xfId="0" applyFont="1" applyFill="1" applyAlignment="1">
      <alignment vertical="center"/>
    </xf>
    <xf numFmtId="0" fontId="79" fillId="41" borderId="0" xfId="0" applyFont="1" applyFill="1"/>
    <xf numFmtId="0" fontId="83" fillId="33" borderId="0" xfId="0" applyFont="1" applyFill="1"/>
    <xf numFmtId="0" fontId="83" fillId="33" borderId="0" xfId="0" applyFont="1" applyFill="1" applyAlignment="1">
      <alignment horizontal="center"/>
    </xf>
    <xf numFmtId="0" fontId="79" fillId="27" borderId="0" xfId="0" applyFont="1" applyFill="1"/>
    <xf numFmtId="0" fontId="83" fillId="27" borderId="0" xfId="0" applyFont="1" applyFill="1"/>
    <xf numFmtId="0" fontId="79" fillId="27" borderId="0" xfId="0" applyFont="1" applyFill="1" applyAlignment="1">
      <alignment vertical="center"/>
    </xf>
    <xf numFmtId="0" fontId="83" fillId="35" borderId="0" xfId="0" applyFont="1" applyFill="1" applyAlignment="1">
      <alignment horizontal="center"/>
    </xf>
    <xf numFmtId="0" fontId="83" fillId="27" borderId="0" xfId="0" applyFont="1" applyFill="1" applyAlignment="1">
      <alignment horizontal="center"/>
    </xf>
    <xf numFmtId="0" fontId="68" fillId="32" borderId="0" xfId="0" applyFont="1" applyFill="1" applyAlignment="1">
      <alignment vertical="center"/>
    </xf>
    <xf numFmtId="0" fontId="83" fillId="32" borderId="0" xfId="0" applyFont="1" applyFill="1" applyAlignment="1">
      <alignment horizontal="center" vertical="center"/>
    </xf>
    <xf numFmtId="0" fontId="68" fillId="32" borderId="0" xfId="0" applyFont="1" applyFill="1" applyAlignment="1">
      <alignment horizontal="left" vertical="center"/>
    </xf>
    <xf numFmtId="0" fontId="83" fillId="32" borderId="0" xfId="0" applyFont="1" applyFill="1" applyAlignment="1">
      <alignment vertical="center"/>
    </xf>
    <xf numFmtId="0" fontId="83" fillId="32" borderId="0" xfId="0" applyFont="1" applyFill="1" applyAlignment="1">
      <alignment horizontal="left"/>
    </xf>
    <xf numFmtId="0" fontId="83" fillId="32" borderId="0" xfId="0" applyFont="1" applyFill="1" applyAlignment="1">
      <alignment horizontal="center"/>
    </xf>
    <xf numFmtId="0" fontId="73" fillId="32" borderId="0" xfId="0" applyFont="1" applyFill="1" applyAlignment="1">
      <alignment horizontal="center" vertical="center"/>
    </xf>
    <xf numFmtId="0" fontId="73" fillId="32" borderId="0" xfId="0" applyFont="1" applyFill="1" applyAlignment="1">
      <alignment horizontal="center"/>
    </xf>
    <xf numFmtId="0" fontId="79" fillId="37" borderId="0" xfId="0" applyFont="1" applyFill="1"/>
    <xf numFmtId="0" fontId="79" fillId="38" borderId="0" xfId="0" applyFont="1" applyFill="1"/>
    <xf numFmtId="0" fontId="79" fillId="37" borderId="0" xfId="0" applyFont="1" applyFill="1" applyAlignment="1">
      <alignment horizontal="center"/>
    </xf>
    <xf numFmtId="0" fontId="79" fillId="38" borderId="0" xfId="0" applyFont="1" applyFill="1" applyAlignment="1">
      <alignment horizontal="center"/>
    </xf>
    <xf numFmtId="0" fontId="83" fillId="37" borderId="0" xfId="0" applyFont="1" applyFill="1"/>
    <xf numFmtId="0" fontId="83" fillId="38" borderId="0" xfId="0" applyFont="1" applyFill="1"/>
    <xf numFmtId="0" fontId="79" fillId="16" borderId="0" xfId="0" applyFont="1" applyFill="1" applyAlignment="1">
      <alignment horizontal="center" vertical="center"/>
    </xf>
    <xf numFmtId="0" fontId="79" fillId="17" borderId="0" xfId="0" applyFont="1" applyFill="1" applyAlignment="1">
      <alignment horizontal="center"/>
    </xf>
    <xf numFmtId="0" fontId="79" fillId="2" borderId="0" xfId="0" applyFont="1" applyFill="1" applyAlignment="1">
      <alignment horizontal="left" indent="2"/>
    </xf>
    <xf numFmtId="0" fontId="83" fillId="16" borderId="0" xfId="0" applyFont="1" applyFill="1" applyAlignment="1">
      <alignment horizontal="center"/>
    </xf>
    <xf numFmtId="0" fontId="83" fillId="17" borderId="0" xfId="0" applyFont="1" applyFill="1" applyAlignment="1">
      <alignment horizontal="center"/>
    </xf>
    <xf numFmtId="0" fontId="83" fillId="37" borderId="0" xfId="0" applyFont="1" applyFill="1" applyAlignment="1">
      <alignment horizontal="center"/>
    </xf>
    <xf numFmtId="0" fontId="83" fillId="37" borderId="0" xfId="0" applyFont="1" applyFill="1" applyAlignment="1">
      <alignment horizontal="center" wrapText="1"/>
    </xf>
    <xf numFmtId="0" fontId="83" fillId="38" borderId="0" xfId="0" applyFont="1" applyFill="1" applyAlignment="1">
      <alignment horizontal="center"/>
    </xf>
    <xf numFmtId="0" fontId="83" fillId="38" borderId="0" xfId="0" applyFont="1" applyFill="1" applyAlignment="1">
      <alignment horizontal="center" wrapText="1"/>
    </xf>
    <xf numFmtId="0" fontId="83" fillId="22" borderId="0" xfId="0" applyFont="1" applyFill="1"/>
    <xf numFmtId="0" fontId="141" fillId="7" borderId="12" xfId="0" applyFont="1" applyFill="1" applyBorder="1"/>
    <xf numFmtId="0" fontId="74" fillId="22" borderId="21" xfId="0" applyFont="1" applyFill="1" applyBorder="1" applyAlignment="1">
      <alignment horizontal="left" indent="1"/>
    </xf>
    <xf numFmtId="0" fontId="74" fillId="22" borderId="21" xfId="0" applyFont="1" applyFill="1" applyBorder="1" applyAlignment="1">
      <alignment horizontal="left" indent="4"/>
    </xf>
    <xf numFmtId="0" fontId="79" fillId="2" borderId="0" xfId="0" applyFont="1" applyFill="1" applyAlignment="1">
      <alignment horizontal="left"/>
    </xf>
    <xf numFmtId="0" fontId="83" fillId="2" borderId="0" xfId="0" applyFont="1" applyFill="1" applyAlignment="1">
      <alignment horizontal="left"/>
    </xf>
    <xf numFmtId="0" fontId="83" fillId="2" borderId="0" xfId="0" applyFont="1" applyFill="1" applyAlignment="1">
      <alignment horizontal="center"/>
    </xf>
    <xf numFmtId="4" fontId="69" fillId="2" borderId="66" xfId="0" applyNumberFormat="1" applyFont="1" applyFill="1" applyBorder="1" applyAlignment="1">
      <alignment horizontal="center"/>
    </xf>
    <xf numFmtId="1" fontId="69" fillId="2" borderId="72" xfId="0" applyNumberFormat="1" applyFont="1" applyFill="1" applyBorder="1" applyAlignment="1">
      <alignment horizontal="center"/>
    </xf>
    <xf numFmtId="0" fontId="74" fillId="2" borderId="0" xfId="0" applyFont="1" applyFill="1" applyAlignment="1">
      <alignment horizontal="left"/>
    </xf>
    <xf numFmtId="0" fontId="88" fillId="15" borderId="0" xfId="0" applyFont="1" applyFill="1" applyAlignment="1">
      <alignment horizontal="center" vertical="center"/>
    </xf>
    <xf numFmtId="0" fontId="88" fillId="16" borderId="0" xfId="0" applyFont="1" applyFill="1" applyAlignment="1">
      <alignment horizontal="center"/>
    </xf>
    <xf numFmtId="0" fontId="74" fillId="17" borderId="0" xfId="0" applyFont="1" applyFill="1" applyAlignment="1">
      <alignment horizontal="center"/>
    </xf>
    <xf numFmtId="0" fontId="75" fillId="11" borderId="0" xfId="0" applyFont="1" applyFill="1"/>
    <xf numFmtId="0" fontId="56" fillId="2" borderId="0" xfId="0" applyFont="1" applyFill="1" applyAlignment="1">
      <alignment horizontal="left"/>
    </xf>
    <xf numFmtId="0" fontId="88" fillId="16" borderId="0" xfId="0" applyFont="1" applyFill="1"/>
    <xf numFmtId="0" fontId="88" fillId="38" borderId="0" xfId="0" applyFont="1" applyFill="1" applyAlignment="1">
      <alignment horizontal="center"/>
    </xf>
    <xf numFmtId="0" fontId="88" fillId="37" borderId="0" xfId="0" applyFont="1" applyFill="1" applyAlignment="1">
      <alignment horizontal="center"/>
    </xf>
    <xf numFmtId="0" fontId="84" fillId="16" borderId="0" xfId="0" applyFont="1" applyFill="1" applyAlignment="1">
      <alignment horizontal="center"/>
    </xf>
    <xf numFmtId="0" fontId="110" fillId="17" borderId="0" xfId="0" applyFont="1" applyFill="1" applyAlignment="1">
      <alignment horizontal="center"/>
    </xf>
    <xf numFmtId="0" fontId="72" fillId="17" borderId="0" xfId="0" applyFont="1" applyFill="1" applyAlignment="1">
      <alignment horizontal="center"/>
    </xf>
    <xf numFmtId="0" fontId="70" fillId="37" borderId="0" xfId="0" applyFont="1" applyFill="1" applyAlignment="1">
      <alignment horizontal="center"/>
    </xf>
    <xf numFmtId="0" fontId="70" fillId="38" borderId="0" xfId="0" applyFont="1" applyFill="1" applyAlignment="1">
      <alignment horizontal="center"/>
    </xf>
    <xf numFmtId="164" fontId="69" fillId="2" borderId="83" xfId="0" applyNumberFormat="1" applyFont="1" applyFill="1" applyBorder="1" applyAlignment="1">
      <alignment horizontal="center"/>
    </xf>
    <xf numFmtId="164" fontId="69" fillId="2" borderId="84" xfId="0" applyNumberFormat="1" applyFont="1" applyFill="1" applyBorder="1" applyAlignment="1">
      <alignment horizontal="center"/>
    </xf>
    <xf numFmtId="164" fontId="69" fillId="2" borderId="85" xfId="0" applyNumberFormat="1" applyFont="1" applyFill="1" applyBorder="1" applyAlignment="1">
      <alignment horizontal="center"/>
    </xf>
    <xf numFmtId="164" fontId="69" fillId="2" borderId="67" xfId="0" applyNumberFormat="1" applyFont="1" applyFill="1" applyBorder="1" applyAlignment="1">
      <alignment horizontal="center"/>
    </xf>
    <xf numFmtId="1" fontId="69" fillId="2" borderId="66" xfId="0" applyNumberFormat="1" applyFont="1" applyFill="1" applyBorder="1" applyAlignment="1">
      <alignment horizontal="center"/>
    </xf>
    <xf numFmtId="1" fontId="69" fillId="2" borderId="67" xfId="0" applyNumberFormat="1" applyFont="1" applyFill="1" applyBorder="1" applyAlignment="1">
      <alignment horizontal="center"/>
    </xf>
    <xf numFmtId="1" fontId="69" fillId="2" borderId="73" xfId="0" applyNumberFormat="1" applyFont="1" applyFill="1" applyBorder="1" applyAlignment="1">
      <alignment horizontal="center"/>
    </xf>
    <xf numFmtId="1" fontId="69" fillId="2" borderId="69" xfId="0" applyNumberFormat="1" applyFont="1" applyFill="1" applyBorder="1" applyAlignment="1">
      <alignment horizontal="center"/>
    </xf>
    <xf numFmtId="1" fontId="69" fillId="2" borderId="79" xfId="0" applyNumberFormat="1" applyFont="1" applyFill="1" applyBorder="1" applyAlignment="1">
      <alignment horizontal="center"/>
    </xf>
    <xf numFmtId="1" fontId="69" fillId="2" borderId="68" xfId="0" applyNumberFormat="1" applyFont="1" applyFill="1" applyBorder="1" applyAlignment="1">
      <alignment horizontal="center"/>
    </xf>
    <xf numFmtId="1" fontId="69" fillId="2" borderId="70" xfId="0" applyNumberFormat="1" applyFont="1" applyFill="1" applyBorder="1" applyAlignment="1">
      <alignment horizontal="center"/>
    </xf>
    <xf numFmtId="1" fontId="69" fillId="2" borderId="74" xfId="0" applyNumberFormat="1" applyFont="1" applyFill="1" applyBorder="1" applyAlignment="1">
      <alignment horizontal="center"/>
    </xf>
    <xf numFmtId="1" fontId="69" fillId="2" borderId="71" xfId="0" applyNumberFormat="1" applyFont="1" applyFill="1" applyBorder="1" applyAlignment="1">
      <alignment horizontal="center"/>
    </xf>
    <xf numFmtId="0" fontId="79" fillId="35" borderId="21" xfId="0" applyFont="1" applyFill="1" applyBorder="1"/>
    <xf numFmtId="0" fontId="141" fillId="7" borderId="0" xfId="0" applyFont="1" applyFill="1"/>
    <xf numFmtId="0" fontId="77" fillId="22" borderId="0" xfId="0" applyFont="1" applyFill="1"/>
    <xf numFmtId="0" fontId="88" fillId="22" borderId="0" xfId="0" applyFont="1" applyFill="1" applyAlignment="1">
      <alignment horizontal="center"/>
    </xf>
    <xf numFmtId="0" fontId="74" fillId="22" borderId="0" xfId="0" applyFont="1" applyFill="1" applyAlignment="1">
      <alignment horizontal="center"/>
    </xf>
    <xf numFmtId="0" fontId="56" fillId="22" borderId="0" xfId="0" applyFont="1" applyFill="1" applyAlignment="1">
      <alignment horizontal="center"/>
    </xf>
    <xf numFmtId="0" fontId="88" fillId="35" borderId="0" xfId="0" applyFont="1" applyFill="1" applyAlignment="1">
      <alignment horizontal="center"/>
    </xf>
    <xf numFmtId="0" fontId="70" fillId="35" borderId="0" xfId="0" applyFont="1" applyFill="1" applyAlignment="1">
      <alignment horizontal="center"/>
    </xf>
    <xf numFmtId="9" fontId="69" fillId="22" borderId="0" xfId="6" applyFont="1" applyFill="1" applyBorder="1" applyAlignment="1">
      <alignment horizontal="center"/>
    </xf>
    <xf numFmtId="4" fontId="69" fillId="22" borderId="0" xfId="0" applyNumberFormat="1" applyFont="1" applyFill="1" applyAlignment="1">
      <alignment horizontal="center"/>
    </xf>
    <xf numFmtId="0" fontId="70" fillId="22" borderId="0" xfId="0" applyFont="1" applyFill="1" applyAlignment="1">
      <alignment horizontal="right"/>
    </xf>
    <xf numFmtId="3" fontId="70" fillId="22" borderId="68" xfId="0" applyNumberFormat="1" applyFont="1" applyFill="1" applyBorder="1" applyAlignment="1">
      <alignment horizontal="center"/>
    </xf>
    <xf numFmtId="3" fontId="70" fillId="22" borderId="79" xfId="0" applyNumberFormat="1" applyFont="1" applyFill="1" applyBorder="1" applyAlignment="1">
      <alignment horizontal="center"/>
    </xf>
    <xf numFmtId="3" fontId="70" fillId="22" borderId="66" xfId="0" applyNumberFormat="1" applyFont="1" applyFill="1" applyBorder="1" applyAlignment="1">
      <alignment horizontal="center"/>
    </xf>
    <xf numFmtId="0" fontId="79" fillId="3" borderId="0" xfId="0" applyFont="1" applyFill="1" applyAlignment="1">
      <alignment horizontal="center"/>
    </xf>
    <xf numFmtId="0" fontId="79" fillId="40" borderId="0" xfId="0" applyFont="1" applyFill="1"/>
    <xf numFmtId="0" fontId="69" fillId="40" borderId="0" xfId="0" applyFont="1" applyFill="1"/>
    <xf numFmtId="0" fontId="79" fillId="40" borderId="0" xfId="0" applyFont="1" applyFill="1" applyAlignment="1">
      <alignment horizontal="center"/>
    </xf>
    <xf numFmtId="0" fontId="69" fillId="42" borderId="0" xfId="0" applyFont="1" applyFill="1"/>
    <xf numFmtId="0" fontId="79" fillId="42" borderId="0" xfId="0" applyFont="1" applyFill="1"/>
    <xf numFmtId="0" fontId="79" fillId="42" borderId="0" xfId="0" applyFont="1" applyFill="1" applyAlignment="1">
      <alignment horizontal="center"/>
    </xf>
    <xf numFmtId="0" fontId="74" fillId="42" borderId="0" xfId="0" applyFont="1" applyFill="1"/>
    <xf numFmtId="0" fontId="74" fillId="3" borderId="0" xfId="0" applyFont="1" applyFill="1"/>
    <xf numFmtId="0" fontId="74" fillId="42" borderId="0" xfId="0" applyFont="1" applyFill="1" applyAlignment="1">
      <alignment horizontal="center"/>
    </xf>
    <xf numFmtId="0" fontId="74" fillId="40" borderId="0" xfId="0" applyFont="1" applyFill="1"/>
    <xf numFmtId="0" fontId="74" fillId="3" borderId="0" xfId="0" applyFont="1" applyFill="1" applyAlignment="1">
      <alignment vertical="center"/>
    </xf>
    <xf numFmtId="4" fontId="77" fillId="22" borderId="0" xfId="0" applyNumberFormat="1" applyFont="1" applyFill="1" applyAlignment="1">
      <alignment horizontal="center"/>
    </xf>
    <xf numFmtId="0" fontId="69" fillId="40" borderId="0" xfId="0" applyFont="1" applyFill="1" applyAlignment="1">
      <alignment horizontal="center"/>
    </xf>
    <xf numFmtId="3" fontId="69" fillId="40" borderId="75" xfId="0" applyNumberFormat="1" applyFont="1" applyFill="1" applyBorder="1" applyAlignment="1">
      <alignment horizontal="center"/>
    </xf>
    <xf numFmtId="3" fontId="83" fillId="40" borderId="75" xfId="0" applyNumberFormat="1" applyFont="1" applyFill="1" applyBorder="1" applyAlignment="1">
      <alignment horizontal="left"/>
    </xf>
    <xf numFmtId="0" fontId="76" fillId="22" borderId="0" xfId="0" applyFont="1" applyFill="1"/>
    <xf numFmtId="165" fontId="69" fillId="22" borderId="4" xfId="0" applyNumberFormat="1" applyFont="1" applyFill="1" applyBorder="1" applyAlignment="1">
      <alignment horizontal="center"/>
    </xf>
    <xf numFmtId="0" fontId="3" fillId="0" borderId="0" xfId="0" applyFont="1"/>
    <xf numFmtId="0" fontId="132" fillId="36" borderId="0" xfId="0" applyFont="1" applyFill="1" applyAlignment="1">
      <alignment vertical="center"/>
    </xf>
    <xf numFmtId="0" fontId="55" fillId="22" borderId="21" xfId="0" applyFont="1" applyFill="1" applyBorder="1"/>
    <xf numFmtId="0" fontId="55" fillId="22" borderId="0" xfId="0" applyFont="1" applyFill="1"/>
    <xf numFmtId="0" fontId="88" fillId="22" borderId="21" xfId="0" applyFont="1" applyFill="1" applyBorder="1"/>
    <xf numFmtId="0" fontId="88" fillId="22" borderId="0" xfId="0" applyFont="1" applyFill="1"/>
    <xf numFmtId="0" fontId="143" fillId="22" borderId="0" xfId="3" applyFont="1" applyFill="1" applyAlignment="1" applyProtection="1"/>
    <xf numFmtId="0" fontId="99" fillId="36" borderId="0" xfId="0" applyFont="1" applyFill="1" applyAlignment="1">
      <alignment vertical="center"/>
    </xf>
    <xf numFmtId="0" fontId="144" fillId="36" borderId="0" xfId="0" applyFont="1" applyFill="1" applyAlignment="1">
      <alignment horizontal="left" vertical="center"/>
    </xf>
    <xf numFmtId="0" fontId="37" fillId="36" borderId="0" xfId="0" applyFont="1" applyFill="1"/>
    <xf numFmtId="0" fontId="56" fillId="2" borderId="69" xfId="0" applyFont="1" applyFill="1" applyBorder="1" applyAlignment="1">
      <alignment horizontal="left" vertical="center" wrapText="1"/>
    </xf>
    <xf numFmtId="0" fontId="10" fillId="0" borderId="0" xfId="0" applyFont="1" applyAlignment="1">
      <alignment horizontal="left"/>
    </xf>
    <xf numFmtId="0" fontId="89" fillId="6" borderId="0" xfId="0" applyFont="1" applyFill="1" applyAlignment="1">
      <alignment horizontal="center"/>
    </xf>
    <xf numFmtId="2" fontId="89" fillId="6" borderId="0" xfId="0" applyNumberFormat="1" applyFont="1" applyFill="1" applyAlignment="1">
      <alignment horizontal="center"/>
    </xf>
    <xf numFmtId="2" fontId="89" fillId="6" borderId="21" xfId="0" applyNumberFormat="1" applyFont="1" applyFill="1" applyBorder="1" applyAlignment="1">
      <alignment horizontal="center"/>
    </xf>
    <xf numFmtId="0" fontId="56" fillId="2" borderId="71" xfId="0" applyFont="1" applyFill="1" applyBorder="1" applyAlignment="1">
      <alignment horizontal="left" vertical="center" wrapText="1"/>
    </xf>
    <xf numFmtId="1" fontId="44" fillId="2" borderId="0" xfId="0" applyNumberFormat="1" applyFont="1" applyFill="1" applyAlignment="1">
      <alignment horizontal="center"/>
    </xf>
    <xf numFmtId="0" fontId="3" fillId="22" borderId="0" xfId="0" applyFont="1" applyFill="1" applyAlignment="1">
      <alignment horizontal="left"/>
    </xf>
    <xf numFmtId="0" fontId="0" fillId="3" borderId="0" xfId="0" applyFill="1" applyAlignment="1">
      <alignment horizontal="center"/>
    </xf>
    <xf numFmtId="0" fontId="10" fillId="22" borderId="0" xfId="0" applyFont="1" applyFill="1" applyAlignment="1">
      <alignment horizontal="center"/>
    </xf>
    <xf numFmtId="0" fontId="0" fillId="6" borderId="14" xfId="0" applyFill="1" applyBorder="1" applyAlignment="1">
      <alignment horizontal="center"/>
    </xf>
    <xf numFmtId="0" fontId="56" fillId="2" borderId="70" xfId="0" applyFont="1" applyFill="1" applyBorder="1" applyAlignment="1">
      <alignment horizontal="left" vertical="center"/>
    </xf>
    <xf numFmtId="0" fontId="74" fillId="2" borderId="0" xfId="0" applyFont="1" applyFill="1" applyAlignment="1">
      <alignment vertical="center" wrapText="1"/>
    </xf>
    <xf numFmtId="0" fontId="70" fillId="22" borderId="0" xfId="0" applyFont="1" applyFill="1" applyAlignment="1">
      <alignment horizontal="left" vertical="center" wrapText="1"/>
    </xf>
    <xf numFmtId="0" fontId="95" fillId="6" borderId="7" xfId="0" applyFont="1" applyFill="1" applyBorder="1" applyAlignment="1">
      <alignment horizontal="center"/>
    </xf>
    <xf numFmtId="0" fontId="145" fillId="19" borderId="0" xfId="0" applyFont="1" applyFill="1" applyAlignment="1">
      <alignment horizontal="left" vertical="center"/>
    </xf>
    <xf numFmtId="0" fontId="28" fillId="10" borderId="13" xfId="0" applyFont="1" applyFill="1" applyBorder="1" applyAlignment="1">
      <alignment wrapText="1"/>
    </xf>
    <xf numFmtId="0" fontId="0" fillId="6" borderId="12" xfId="0" applyFill="1" applyBorder="1" applyAlignment="1">
      <alignment horizontal="center" wrapText="1"/>
    </xf>
    <xf numFmtId="0" fontId="28" fillId="10" borderId="6" xfId="0" applyFont="1" applyFill="1" applyBorder="1" applyAlignment="1">
      <alignment wrapText="1"/>
    </xf>
    <xf numFmtId="0" fontId="0" fillId="6" borderId="9" xfId="0" applyFill="1" applyBorder="1" applyAlignment="1">
      <alignment horizontal="center" wrapText="1"/>
    </xf>
    <xf numFmtId="0" fontId="0" fillId="6" borderId="5" xfId="0" applyFill="1" applyBorder="1" applyAlignment="1">
      <alignment horizontal="center" wrapText="1"/>
    </xf>
    <xf numFmtId="0" fontId="0" fillId="6" borderId="7" xfId="0" applyFill="1" applyBorder="1" applyAlignment="1">
      <alignment horizontal="center" wrapText="1"/>
    </xf>
    <xf numFmtId="0" fontId="0" fillId="6" borderId="1" xfId="0" applyFill="1" applyBorder="1" applyAlignment="1">
      <alignment horizontal="center" wrapText="1"/>
    </xf>
    <xf numFmtId="0" fontId="4" fillId="6" borderId="4" xfId="2" applyFill="1" applyBorder="1" applyAlignment="1">
      <alignment horizontal="center"/>
    </xf>
    <xf numFmtId="0" fontId="95" fillId="6" borderId="8" xfId="0" applyFont="1" applyFill="1" applyBorder="1" applyAlignment="1">
      <alignment horizontal="center"/>
    </xf>
    <xf numFmtId="0" fontId="3" fillId="6" borderId="1" xfId="0" applyFont="1" applyFill="1" applyBorder="1" applyAlignment="1">
      <alignment horizontal="center" wrapText="1"/>
    </xf>
    <xf numFmtId="0" fontId="37" fillId="6" borderId="1" xfId="0" applyFont="1" applyFill="1" applyBorder="1" applyAlignment="1">
      <alignment horizontal="center"/>
    </xf>
    <xf numFmtId="0" fontId="28" fillId="10" borderId="0" xfId="0" applyFont="1" applyFill="1" applyAlignment="1">
      <alignment wrapText="1"/>
    </xf>
    <xf numFmtId="0" fontId="3" fillId="6" borderId="3" xfId="0" applyFont="1" applyFill="1" applyBorder="1" applyAlignment="1">
      <alignment horizontal="center" wrapText="1"/>
    </xf>
    <xf numFmtId="0" fontId="4" fillId="0" borderId="0" xfId="2" applyAlignment="1">
      <alignment horizontal="left"/>
    </xf>
    <xf numFmtId="0" fontId="110" fillId="22" borderId="0" xfId="0" applyFont="1" applyFill="1"/>
    <xf numFmtId="0" fontId="110" fillId="22" borderId="21" xfId="0" applyFont="1" applyFill="1" applyBorder="1"/>
    <xf numFmtId="0" fontId="37" fillId="6" borderId="5" xfId="0" applyFont="1" applyFill="1" applyBorder="1" applyAlignment="1">
      <alignment horizontal="center"/>
    </xf>
    <xf numFmtId="0" fontId="110" fillId="3" borderId="0" xfId="0" applyFont="1" applyFill="1"/>
    <xf numFmtId="0" fontId="4" fillId="6" borderId="6" xfId="2" applyFill="1" applyBorder="1" applyAlignment="1">
      <alignment horizontal="left"/>
    </xf>
    <xf numFmtId="0" fontId="146" fillId="22" borderId="14" xfId="0" applyFont="1" applyFill="1" applyBorder="1"/>
    <xf numFmtId="0" fontId="30" fillId="22" borderId="0" xfId="0" applyFont="1" applyFill="1" applyAlignment="1">
      <alignment horizontal="left" wrapText="1"/>
    </xf>
    <xf numFmtId="0" fontId="110" fillId="40" borderId="0" xfId="0" applyFont="1" applyFill="1"/>
    <xf numFmtId="0" fontId="74" fillId="10" borderId="21" xfId="0" applyFont="1" applyFill="1" applyBorder="1"/>
    <xf numFmtId="0" fontId="74" fillId="6" borderId="0" xfId="0" applyFont="1" applyFill="1" applyAlignment="1">
      <alignment horizontal="right"/>
    </xf>
    <xf numFmtId="0" fontId="74" fillId="6" borderId="0" xfId="0" applyFont="1" applyFill="1"/>
    <xf numFmtId="0" fontId="0" fillId="11" borderId="3" xfId="0" applyFill="1" applyBorder="1" applyAlignment="1">
      <alignment horizontal="center"/>
    </xf>
    <xf numFmtId="0" fontId="3" fillId="6" borderId="7" xfId="0" applyFont="1" applyFill="1" applyBorder="1" applyAlignment="1">
      <alignment horizontal="center" wrapText="1"/>
    </xf>
    <xf numFmtId="0" fontId="0" fillId="6" borderId="110" xfId="0" applyFill="1" applyBorder="1" applyAlignment="1">
      <alignment horizontal="center"/>
    </xf>
    <xf numFmtId="0" fontId="3" fillId="6" borderId="10" xfId="0" applyFont="1" applyFill="1" applyBorder="1" applyAlignment="1">
      <alignment horizontal="center" wrapText="1"/>
    </xf>
    <xf numFmtId="0" fontId="74" fillId="22" borderId="0" xfId="0" applyFont="1" applyFill="1" applyAlignment="1">
      <alignment horizontal="center" vertical="center" wrapText="1"/>
    </xf>
    <xf numFmtId="0" fontId="72" fillId="22" borderId="0" xfId="0" applyFont="1" applyFill="1" applyAlignment="1">
      <alignment horizontal="center" vertical="center" wrapText="1"/>
    </xf>
    <xf numFmtId="0" fontId="72" fillId="22" borderId="0" xfId="0" applyFont="1" applyFill="1" applyAlignment="1">
      <alignment horizontal="center"/>
    </xf>
    <xf numFmtId="2" fontId="69" fillId="22" borderId="0" xfId="0" applyNumberFormat="1" applyFont="1" applyFill="1"/>
    <xf numFmtId="2" fontId="69" fillId="22" borderId="0" xfId="0" applyNumberFormat="1" applyFont="1" applyFill="1" applyAlignment="1">
      <alignment horizontal="center"/>
    </xf>
    <xf numFmtId="0" fontId="110" fillId="22" borderId="0" xfId="0" applyFont="1" applyFill="1" applyAlignment="1">
      <alignment horizontal="left"/>
    </xf>
    <xf numFmtId="0" fontId="110" fillId="22" borderId="0" xfId="0" applyFont="1" applyFill="1" applyAlignment="1">
      <alignment horizontal="left" wrapText="1"/>
    </xf>
    <xf numFmtId="0" fontId="110" fillId="22" borderId="21" xfId="0" applyFont="1" applyFill="1" applyBorder="1" applyAlignment="1">
      <alignment horizontal="left" wrapText="1"/>
    </xf>
    <xf numFmtId="0" fontId="110" fillId="22" borderId="11" xfId="0" applyFont="1" applyFill="1" applyBorder="1" applyAlignment="1">
      <alignment horizontal="left" wrapText="1"/>
    </xf>
    <xf numFmtId="0" fontId="110" fillId="40" borderId="0" xfId="0" applyFont="1" applyFill="1" applyAlignment="1">
      <alignment horizontal="left" wrapText="1"/>
    </xf>
    <xf numFmtId="2" fontId="74" fillId="22" borderId="0" xfId="0" applyNumberFormat="1" applyFont="1" applyFill="1" applyAlignment="1">
      <alignment horizontal="center"/>
    </xf>
    <xf numFmtId="0" fontId="74" fillId="22" borderId="21" xfId="0" applyFont="1" applyFill="1" applyBorder="1" applyAlignment="1">
      <alignment horizontal="left"/>
    </xf>
    <xf numFmtId="0" fontId="146" fillId="22" borderId="0" xfId="0" applyFont="1" applyFill="1" applyAlignment="1">
      <alignment horizontal="left"/>
    </xf>
    <xf numFmtId="0" fontId="146" fillId="22" borderId="0" xfId="0" applyFont="1" applyFill="1" applyAlignment="1">
      <alignment horizontal="center"/>
    </xf>
    <xf numFmtId="4" fontId="37" fillId="6" borderId="7" xfId="0" applyNumberFormat="1" applyFont="1" applyFill="1" applyBorder="1" applyAlignment="1">
      <alignment horizontal="center"/>
    </xf>
    <xf numFmtId="4" fontId="37" fillId="6" borderId="8" xfId="0" applyNumberFormat="1" applyFont="1" applyFill="1" applyBorder="1" applyAlignment="1">
      <alignment horizontal="center"/>
    </xf>
    <xf numFmtId="4" fontId="37" fillId="6" borderId="9" xfId="0" applyNumberFormat="1" applyFont="1" applyFill="1" applyBorder="1" applyAlignment="1">
      <alignment horizontal="center"/>
    </xf>
    <xf numFmtId="0" fontId="0" fillId="0" borderId="0" xfId="0" applyAlignment="1">
      <alignment vertical="center"/>
    </xf>
    <xf numFmtId="0" fontId="112" fillId="22" borderId="0" xfId="0" applyFont="1" applyFill="1" applyAlignment="1">
      <alignment vertical="center"/>
    </xf>
    <xf numFmtId="164" fontId="0" fillId="12" borderId="7" xfId="0" applyNumberFormat="1" applyFill="1" applyBorder="1" applyAlignment="1">
      <alignment horizontal="center"/>
    </xf>
    <xf numFmtId="164" fontId="0" fillId="12" borderId="8" xfId="0" applyNumberFormat="1" applyFill="1" applyBorder="1" applyAlignment="1">
      <alignment horizontal="center"/>
    </xf>
    <xf numFmtId="0" fontId="132" fillId="19" borderId="0" xfId="0" applyFont="1" applyFill="1"/>
    <xf numFmtId="0" fontId="77" fillId="19" borderId="0" xfId="0" applyFont="1" applyFill="1"/>
    <xf numFmtId="0" fontId="74" fillId="9" borderId="13" xfId="0" applyFont="1" applyFill="1" applyBorder="1" applyAlignment="1">
      <alignment horizontal="center"/>
    </xf>
    <xf numFmtId="0" fontId="88" fillId="9" borderId="7" xfId="0" applyFont="1" applyFill="1" applyBorder="1" applyAlignment="1">
      <alignment horizontal="center"/>
    </xf>
    <xf numFmtId="0" fontId="148" fillId="18" borderId="0" xfId="0" applyFont="1" applyFill="1"/>
    <xf numFmtId="0" fontId="69" fillId="0" borderId="7" xfId="0" applyFont="1" applyBorder="1"/>
    <xf numFmtId="0" fontId="56" fillId="9" borderId="7" xfId="0" applyFont="1" applyFill="1" applyBorder="1" applyAlignment="1">
      <alignment horizontal="center"/>
    </xf>
    <xf numFmtId="0" fontId="70" fillId="9" borderId="7" xfId="0" applyFont="1" applyFill="1" applyBorder="1" applyAlignment="1">
      <alignment horizontal="center"/>
    </xf>
    <xf numFmtId="0" fontId="69" fillId="22" borderId="0" xfId="0" applyFont="1" applyFill="1" applyAlignment="1">
      <alignment horizontal="center"/>
    </xf>
    <xf numFmtId="164" fontId="55" fillId="22" borderId="7" xfId="0" applyNumberFormat="1" applyFont="1" applyFill="1" applyBorder="1" applyAlignment="1">
      <alignment horizontal="center"/>
    </xf>
    <xf numFmtId="0" fontId="69" fillId="0" borderId="8" xfId="0" applyFont="1" applyBorder="1" applyAlignment="1">
      <alignment horizontal="center"/>
    </xf>
    <xf numFmtId="164" fontId="55" fillId="22" borderId="8" xfId="0" applyNumberFormat="1" applyFont="1" applyFill="1" applyBorder="1" applyAlignment="1">
      <alignment horizontal="center"/>
    </xf>
    <xf numFmtId="164" fontId="55" fillId="22" borderId="9" xfId="0" applyNumberFormat="1" applyFont="1" applyFill="1" applyBorder="1" applyAlignment="1">
      <alignment horizontal="center"/>
    </xf>
    <xf numFmtId="0" fontId="74" fillId="12" borderId="12" xfId="0" applyFont="1" applyFill="1" applyBorder="1" applyAlignment="1">
      <alignment horizontal="left" indent="16"/>
    </xf>
    <xf numFmtId="0" fontId="74" fillId="12" borderId="13" xfId="0" applyFont="1" applyFill="1" applyBorder="1" applyAlignment="1">
      <alignment horizontal="left" indent="16"/>
    </xf>
    <xf numFmtId="0" fontId="74" fillId="12" borderId="10" xfId="0" applyFont="1" applyFill="1" applyBorder="1" applyAlignment="1">
      <alignment horizontal="left" indent="16"/>
    </xf>
    <xf numFmtId="0" fontId="74" fillId="12" borderId="7" xfId="0" applyFont="1" applyFill="1" applyBorder="1" applyAlignment="1">
      <alignment horizontal="center" vertical="center"/>
    </xf>
    <xf numFmtId="0" fontId="74" fillId="12" borderId="3" xfId="0" applyFont="1" applyFill="1" applyBorder="1" applyAlignment="1">
      <alignment horizontal="center"/>
    </xf>
    <xf numFmtId="0" fontId="74" fillId="12" borderId="5" xfId="0" applyFont="1" applyFill="1" applyBorder="1" applyAlignment="1">
      <alignment horizontal="left" indent="2"/>
    </xf>
    <xf numFmtId="0" fontId="74" fillId="12" borderId="5" xfId="0" applyFont="1" applyFill="1" applyBorder="1" applyAlignment="1">
      <alignment horizontal="center"/>
    </xf>
    <xf numFmtId="0" fontId="74" fillId="12" borderId="21" xfId="0" applyFont="1" applyFill="1" applyBorder="1" applyAlignment="1">
      <alignment horizontal="center"/>
    </xf>
    <xf numFmtId="0" fontId="69" fillId="12" borderId="7" xfId="0" applyFont="1" applyFill="1" applyBorder="1" applyAlignment="1">
      <alignment horizontal="center"/>
    </xf>
    <xf numFmtId="0" fontId="69" fillId="12" borderId="5" xfId="0" applyFont="1" applyFill="1" applyBorder="1" applyAlignment="1">
      <alignment horizontal="center"/>
    </xf>
    <xf numFmtId="0" fontId="69" fillId="22" borderId="7" xfId="0" applyFont="1" applyFill="1" applyBorder="1"/>
    <xf numFmtId="0" fontId="69" fillId="22" borderId="1" xfId="0" applyFont="1" applyFill="1" applyBorder="1" applyAlignment="1">
      <alignment horizontal="center"/>
    </xf>
    <xf numFmtId="164" fontId="69" fillId="22" borderId="7" xfId="0" applyNumberFormat="1" applyFont="1" applyFill="1" applyBorder="1" applyAlignment="1">
      <alignment horizontal="center"/>
    </xf>
    <xf numFmtId="2" fontId="69" fillId="22" borderId="8" xfId="0" applyNumberFormat="1" applyFont="1" applyFill="1" applyBorder="1" applyAlignment="1">
      <alignment horizontal="center"/>
    </xf>
    <xf numFmtId="0" fontId="69" fillId="22" borderId="8" xfId="0" applyFont="1" applyFill="1" applyBorder="1"/>
    <xf numFmtId="164" fontId="69" fillId="22" borderId="8" xfId="0" applyNumberFormat="1" applyFont="1" applyFill="1" applyBorder="1" applyAlignment="1">
      <alignment horizontal="center"/>
    </xf>
    <xf numFmtId="0" fontId="69" fillId="22" borderId="9" xfId="0" applyFont="1" applyFill="1" applyBorder="1" applyAlignment="1">
      <alignment horizontal="center"/>
    </xf>
    <xf numFmtId="0" fontId="69" fillId="22" borderId="5" xfId="0" applyFont="1" applyFill="1" applyBorder="1" applyAlignment="1">
      <alignment horizontal="center"/>
    </xf>
    <xf numFmtId="0" fontId="74" fillId="25" borderId="1" xfId="0" applyFont="1" applyFill="1" applyBorder="1" applyAlignment="1">
      <alignment horizontal="left" indent="15"/>
    </xf>
    <xf numFmtId="0" fontId="74" fillId="25" borderId="11" xfId="0" applyFont="1" applyFill="1" applyBorder="1" applyAlignment="1">
      <alignment horizontal="left" indent="15"/>
    </xf>
    <xf numFmtId="0" fontId="75" fillId="11" borderId="1" xfId="0" applyFont="1" applyFill="1" applyBorder="1" applyAlignment="1">
      <alignment horizontal="left" indent="5"/>
    </xf>
    <xf numFmtId="0" fontId="75" fillId="11" borderId="2" xfId="0" applyFont="1" applyFill="1" applyBorder="1" applyAlignment="1">
      <alignment horizontal="center"/>
    </xf>
    <xf numFmtId="0" fontId="74" fillId="8" borderId="11" xfId="0" applyFont="1" applyFill="1" applyBorder="1" applyAlignment="1">
      <alignment horizontal="left" indent="2"/>
    </xf>
    <xf numFmtId="0" fontId="74" fillId="8" borderId="1" xfId="0" applyFont="1" applyFill="1" applyBorder="1" applyAlignment="1">
      <alignment horizontal="left"/>
    </xf>
    <xf numFmtId="0" fontId="74" fillId="8" borderId="2" xfId="0" applyFont="1" applyFill="1" applyBorder="1" applyAlignment="1">
      <alignment horizontal="left"/>
    </xf>
    <xf numFmtId="0" fontId="74" fillId="8" borderId="1" xfId="0" applyFont="1" applyFill="1" applyBorder="1" applyAlignment="1">
      <alignment horizontal="left" indent="2"/>
    </xf>
    <xf numFmtId="0" fontId="88" fillId="9" borderId="7" xfId="0" applyFont="1" applyFill="1" applyBorder="1" applyAlignment="1">
      <alignment horizontal="left"/>
    </xf>
    <xf numFmtId="0" fontId="88" fillId="8" borderId="1" xfId="0" applyFont="1" applyFill="1" applyBorder="1" applyAlignment="1">
      <alignment horizontal="left" indent="1"/>
    </xf>
    <xf numFmtId="0" fontId="88" fillId="8" borderId="2" xfId="0" applyFont="1" applyFill="1" applyBorder="1" applyAlignment="1">
      <alignment horizontal="center"/>
    </xf>
    <xf numFmtId="0" fontId="74" fillId="9" borderId="3" xfId="0" applyFont="1" applyFill="1" applyBorder="1" applyAlignment="1">
      <alignment horizontal="left"/>
    </xf>
    <xf numFmtId="0" fontId="55" fillId="15" borderId="7" xfId="0" applyFont="1" applyFill="1" applyBorder="1" applyAlignment="1">
      <alignment horizontal="center" vertical="center"/>
    </xf>
    <xf numFmtId="0" fontId="88" fillId="16" borderId="1" xfId="0" applyFont="1" applyFill="1" applyBorder="1" applyAlignment="1">
      <alignment horizontal="left" indent="1"/>
    </xf>
    <xf numFmtId="0" fontId="88" fillId="16" borderId="2" xfId="0" applyFont="1" applyFill="1" applyBorder="1" applyAlignment="1">
      <alignment horizontal="left" indent="10"/>
    </xf>
    <xf numFmtId="0" fontId="88" fillId="17" borderId="1" xfId="0" applyFont="1" applyFill="1" applyBorder="1" applyAlignment="1">
      <alignment horizontal="center"/>
    </xf>
    <xf numFmtId="0" fontId="88" fillId="17" borderId="11" xfId="0" applyFont="1" applyFill="1" applyBorder="1" applyAlignment="1">
      <alignment horizontal="left" indent="5"/>
    </xf>
    <xf numFmtId="0" fontId="69" fillId="16" borderId="7" xfId="0" applyFont="1" applyFill="1" applyBorder="1" applyAlignment="1">
      <alignment horizontal="center"/>
    </xf>
    <xf numFmtId="0" fontId="69" fillId="17" borderId="2" xfId="0" applyFont="1" applyFill="1" applyBorder="1" applyAlignment="1">
      <alignment horizontal="center"/>
    </xf>
    <xf numFmtId="0" fontId="69" fillId="17" borderId="1" xfId="0" applyFont="1" applyFill="1" applyBorder="1" applyAlignment="1">
      <alignment horizontal="center"/>
    </xf>
    <xf numFmtId="0" fontId="69" fillId="17" borderId="7" xfId="0" applyFont="1" applyFill="1" applyBorder="1" applyAlignment="1">
      <alignment horizontal="center"/>
    </xf>
    <xf numFmtId="0" fontId="74" fillId="9" borderId="5" xfId="0" applyFont="1" applyFill="1" applyBorder="1" applyAlignment="1">
      <alignment horizontal="center"/>
    </xf>
    <xf numFmtId="0" fontId="69" fillId="15" borderId="9" xfId="0" applyFont="1" applyFill="1" applyBorder="1" applyAlignment="1">
      <alignment horizontal="center" vertical="center"/>
    </xf>
    <xf numFmtId="0" fontId="69" fillId="16" borderId="12" xfId="0" applyFont="1" applyFill="1" applyBorder="1" applyAlignment="1">
      <alignment horizontal="center" vertical="center"/>
    </xf>
    <xf numFmtId="0" fontId="69" fillId="16" borderId="13" xfId="0" applyFont="1" applyFill="1" applyBorder="1" applyAlignment="1">
      <alignment horizontal="left" vertical="center" wrapText="1"/>
    </xf>
    <xf numFmtId="0" fontId="69" fillId="17" borderId="12" xfId="0" applyFont="1" applyFill="1" applyBorder="1" applyAlignment="1">
      <alignment horizontal="center" vertical="center"/>
    </xf>
    <xf numFmtId="0" fontId="69" fillId="17" borderId="14" xfId="0" applyFont="1" applyFill="1" applyBorder="1" applyAlignment="1">
      <alignment vertical="center"/>
    </xf>
    <xf numFmtId="0" fontId="69" fillId="16" borderId="9" xfId="0" applyFont="1" applyFill="1" applyBorder="1" applyAlignment="1">
      <alignment horizontal="center"/>
    </xf>
    <xf numFmtId="0" fontId="69" fillId="17" borderId="6" xfId="0" applyFont="1" applyFill="1" applyBorder="1" applyAlignment="1">
      <alignment horizontal="center"/>
    </xf>
    <xf numFmtId="0" fontId="69" fillId="17" borderId="5" xfId="0" applyFont="1" applyFill="1" applyBorder="1" applyAlignment="1">
      <alignment horizontal="center"/>
    </xf>
    <xf numFmtId="0" fontId="69" fillId="17" borderId="9" xfId="0" applyFont="1" applyFill="1" applyBorder="1" applyAlignment="1">
      <alignment horizontal="center"/>
    </xf>
    <xf numFmtId="0" fontId="69" fillId="8" borderId="6" xfId="0" applyFont="1" applyFill="1" applyBorder="1" applyAlignment="1">
      <alignment horizontal="center"/>
    </xf>
    <xf numFmtId="170" fontId="69" fillId="0" borderId="0" xfId="0" applyNumberFormat="1" applyFont="1"/>
    <xf numFmtId="164" fontId="82" fillId="19" borderId="7" xfId="0" applyNumberFormat="1" applyFont="1" applyFill="1" applyBorder="1" applyAlignment="1">
      <alignment horizontal="center"/>
    </xf>
    <xf numFmtId="0" fontId="77" fillId="19" borderId="7" xfId="0" applyFont="1" applyFill="1" applyBorder="1" applyAlignment="1">
      <alignment horizontal="center"/>
    </xf>
    <xf numFmtId="164" fontId="77" fillId="19" borderId="7" xfId="0" applyNumberFormat="1" applyFont="1" applyFill="1" applyBorder="1" applyAlignment="1">
      <alignment horizontal="center"/>
    </xf>
    <xf numFmtId="0" fontId="69" fillId="22" borderId="9" xfId="0" applyFont="1" applyFill="1" applyBorder="1"/>
    <xf numFmtId="164" fontId="69" fillId="22" borderId="9" xfId="0" applyNumberFormat="1" applyFont="1" applyFill="1" applyBorder="1" applyAlignment="1">
      <alignment horizontal="center"/>
    </xf>
    <xf numFmtId="0" fontId="74" fillId="2" borderId="13" xfId="0" applyFont="1" applyFill="1" applyBorder="1" applyAlignment="1">
      <alignment horizontal="center"/>
    </xf>
    <xf numFmtId="0" fontId="69" fillId="12" borderId="10" xfId="0" applyFont="1" applyFill="1" applyBorder="1" applyAlignment="1">
      <alignment horizontal="center" vertical="center"/>
    </xf>
    <xf numFmtId="0" fontId="69" fillId="12" borderId="10" xfId="0" applyFont="1" applyFill="1" applyBorder="1" applyAlignment="1">
      <alignment horizontal="center" vertical="center" wrapText="1"/>
    </xf>
    <xf numFmtId="0" fontId="70" fillId="22" borderId="10" xfId="0" applyFont="1" applyFill="1" applyBorder="1" applyAlignment="1">
      <alignment vertical="center"/>
    </xf>
    <xf numFmtId="0" fontId="70" fillId="22" borderId="10" xfId="0" applyFont="1" applyFill="1" applyBorder="1" applyAlignment="1">
      <alignment vertical="center" wrapText="1"/>
    </xf>
    <xf numFmtId="0" fontId="70" fillId="0" borderId="7" xfId="0" applyFont="1" applyBorder="1" applyAlignment="1">
      <alignment vertical="center"/>
    </xf>
    <xf numFmtId="0" fontId="70" fillId="0" borderId="7" xfId="0" applyFont="1" applyBorder="1" applyAlignment="1">
      <alignment vertical="center" wrapText="1"/>
    </xf>
    <xf numFmtId="0" fontId="68" fillId="22" borderId="8" xfId="0" applyFont="1" applyFill="1" applyBorder="1" applyAlignment="1">
      <alignment horizontal="center"/>
    </xf>
    <xf numFmtId="0" fontId="68" fillId="22" borderId="9" xfId="0" applyFont="1" applyFill="1" applyBorder="1" applyAlignment="1">
      <alignment horizontal="center"/>
    </xf>
    <xf numFmtId="0" fontId="73" fillId="22" borderId="9" xfId="0" applyFont="1" applyFill="1" applyBorder="1" applyAlignment="1">
      <alignment horizontal="center"/>
    </xf>
    <xf numFmtId="0" fontId="74" fillId="12" borderId="10" xfId="0" applyFont="1" applyFill="1" applyBorder="1" applyAlignment="1">
      <alignment horizontal="center"/>
    </xf>
    <xf numFmtId="0" fontId="70" fillId="22" borderId="2" xfId="0" applyFont="1" applyFill="1" applyBorder="1" applyAlignment="1">
      <alignment horizontal="center" vertical="center"/>
    </xf>
    <xf numFmtId="0" fontId="70" fillId="0" borderId="2" xfId="0" applyFont="1" applyBorder="1" applyAlignment="1">
      <alignment horizontal="center" vertical="center"/>
    </xf>
    <xf numFmtId="0" fontId="70" fillId="12" borderId="2" xfId="0" applyFont="1" applyFill="1" applyBorder="1" applyAlignment="1">
      <alignment horizontal="center" vertical="center"/>
    </xf>
    <xf numFmtId="0" fontId="70" fillId="12" borderId="10" xfId="0" applyFont="1" applyFill="1" applyBorder="1" applyAlignment="1">
      <alignment vertical="center"/>
    </xf>
    <xf numFmtId="0" fontId="70" fillId="12" borderId="10" xfId="0" applyFont="1" applyFill="1" applyBorder="1" applyAlignment="1">
      <alignment vertical="center" wrapText="1"/>
    </xf>
    <xf numFmtId="0" fontId="81" fillId="0" borderId="0" xfId="0" applyFont="1"/>
    <xf numFmtId="0" fontId="149" fillId="36" borderId="0" xfId="0" applyFont="1" applyFill="1" applyAlignment="1">
      <alignment vertical="center"/>
    </xf>
    <xf numFmtId="0" fontId="150" fillId="36" borderId="0" xfId="0" applyFont="1" applyFill="1"/>
    <xf numFmtId="0" fontId="151" fillId="36" borderId="0" xfId="0" applyFont="1" applyFill="1" applyAlignment="1">
      <alignment horizontal="center"/>
    </xf>
    <xf numFmtId="0" fontId="152" fillId="36" borderId="0" xfId="0" applyFont="1" applyFill="1" applyAlignment="1">
      <alignment horizontal="left" vertical="center"/>
    </xf>
    <xf numFmtId="0" fontId="149" fillId="36" borderId="0" xfId="0" applyFont="1" applyFill="1" applyAlignment="1">
      <alignment horizontal="right" vertical="center"/>
    </xf>
    <xf numFmtId="0" fontId="150" fillId="22" borderId="0" xfId="0" applyFont="1" applyFill="1"/>
    <xf numFmtId="0" fontId="153" fillId="22" borderId="0" xfId="0" applyFont="1" applyFill="1"/>
    <xf numFmtId="0" fontId="154" fillId="36" borderId="0" xfId="0" applyFont="1" applyFill="1" applyAlignment="1">
      <alignment vertical="center"/>
    </xf>
    <xf numFmtId="0" fontId="155" fillId="36" borderId="0" xfId="0" applyFont="1" applyFill="1" applyAlignment="1">
      <alignment vertical="center"/>
    </xf>
    <xf numFmtId="0" fontId="156" fillId="36" borderId="0" xfId="0" applyFont="1" applyFill="1" applyAlignment="1">
      <alignment horizontal="left" vertical="center"/>
    </xf>
    <xf numFmtId="0" fontId="157" fillId="36" borderId="0" xfId="0" applyFont="1" applyFill="1" applyAlignment="1">
      <alignment horizontal="left" vertical="center" indent="57"/>
    </xf>
    <xf numFmtId="0" fontId="158" fillId="36" borderId="0" xfId="0" applyFont="1" applyFill="1" applyAlignment="1">
      <alignment horizontal="left" vertical="center" indent="57"/>
    </xf>
    <xf numFmtId="0" fontId="159" fillId="36" borderId="0" xfId="0" applyFont="1" applyFill="1" applyAlignment="1">
      <alignment vertical="center"/>
    </xf>
    <xf numFmtId="0" fontId="160" fillId="12" borderId="0" xfId="0" applyFont="1" applyFill="1" applyAlignment="1">
      <alignment horizontal="left"/>
    </xf>
    <xf numFmtId="0" fontId="160" fillId="12" borderId="0" xfId="0" applyFont="1" applyFill="1" applyAlignment="1">
      <alignment horizontal="center"/>
    </xf>
    <xf numFmtId="0" fontId="150" fillId="12" borderId="0" xfId="0" applyFont="1" applyFill="1"/>
    <xf numFmtId="0" fontId="150" fillId="10" borderId="0" xfId="0" applyFont="1" applyFill="1"/>
    <xf numFmtId="0" fontId="160" fillId="10" borderId="0" xfId="0" applyFont="1" applyFill="1"/>
    <xf numFmtId="0" fontId="159" fillId="10" borderId="0" xfId="0" applyFont="1" applyFill="1" applyAlignment="1">
      <alignment vertical="center"/>
    </xf>
    <xf numFmtId="0" fontId="150" fillId="10" borderId="21" xfId="0" applyFont="1" applyFill="1" applyBorder="1"/>
    <xf numFmtId="0" fontId="161" fillId="10" borderId="21" xfId="0" applyFont="1" applyFill="1" applyBorder="1" applyAlignment="1">
      <alignment horizontal="left" vertical="center" indent="2"/>
    </xf>
    <xf numFmtId="0" fontId="161" fillId="10" borderId="21" xfId="0" applyFont="1" applyFill="1" applyBorder="1" applyAlignment="1">
      <alignment vertical="center"/>
    </xf>
    <xf numFmtId="0" fontId="162" fillId="12" borderId="21" xfId="0" applyFont="1" applyFill="1" applyBorder="1" applyAlignment="1">
      <alignment horizontal="left" indent="7"/>
    </xf>
    <xf numFmtId="0" fontId="150" fillId="12" borderId="21" xfId="0" applyFont="1" applyFill="1" applyBorder="1"/>
    <xf numFmtId="0" fontId="150" fillId="12" borderId="0" xfId="0" applyFont="1" applyFill="1" applyAlignment="1">
      <alignment wrapText="1"/>
    </xf>
    <xf numFmtId="0" fontId="160" fillId="12" borderId="21" xfId="0" applyFont="1" applyFill="1" applyBorder="1" applyAlignment="1">
      <alignment horizontal="left" indent="2"/>
    </xf>
    <xf numFmtId="0" fontId="160" fillId="12" borderId="0" xfId="0" applyFont="1" applyFill="1" applyAlignment="1">
      <alignment horizontal="left" indent="1"/>
    </xf>
    <xf numFmtId="0" fontId="150" fillId="12" borderId="0" xfId="0" applyFont="1" applyFill="1" applyAlignment="1">
      <alignment horizontal="left" indent="7"/>
    </xf>
    <xf numFmtId="0" fontId="164" fillId="10" borderId="0" xfId="0" applyFont="1" applyFill="1" applyAlignment="1">
      <alignment vertical="center"/>
    </xf>
    <xf numFmtId="0" fontId="161" fillId="10" borderId="0" xfId="0" applyFont="1" applyFill="1" applyAlignment="1">
      <alignment horizontal="center" vertical="center"/>
    </xf>
    <xf numFmtId="0" fontId="161" fillId="10" borderId="0" xfId="0" applyFont="1" applyFill="1" applyAlignment="1">
      <alignment horizontal="left" vertical="center" indent="18"/>
    </xf>
    <xf numFmtId="0" fontId="161" fillId="10" borderId="0" xfId="0" applyFont="1" applyFill="1" applyAlignment="1">
      <alignment horizontal="left" vertical="center" indent="1"/>
    </xf>
    <xf numFmtId="0" fontId="165" fillId="10" borderId="0" xfId="0" applyFont="1" applyFill="1" applyAlignment="1">
      <alignment vertical="center"/>
    </xf>
    <xf numFmtId="0" fontId="161" fillId="10" borderId="0" xfId="0" applyFont="1" applyFill="1" applyAlignment="1">
      <alignment horizontal="left" vertical="center" indent="3"/>
    </xf>
    <xf numFmtId="0" fontId="161" fillId="10" borderId="0" xfId="0" applyFont="1" applyFill="1" applyAlignment="1">
      <alignment vertical="center"/>
    </xf>
    <xf numFmtId="0" fontId="161" fillId="10" borderId="0" xfId="0" applyFont="1" applyFill="1" applyAlignment="1">
      <alignment horizontal="left" vertical="center"/>
    </xf>
    <xf numFmtId="0" fontId="161" fillId="10" borderId="11" xfId="0" applyFont="1" applyFill="1" applyBorder="1" applyAlignment="1">
      <alignment horizontal="left" vertical="center"/>
    </xf>
    <xf numFmtId="0" fontId="166" fillId="22" borderId="0" xfId="0" applyFont="1" applyFill="1" applyAlignment="1">
      <alignment horizontal="left" vertical="center" indent="57"/>
    </xf>
    <xf numFmtId="0" fontId="160" fillId="12" borderId="0" xfId="0" applyFont="1" applyFill="1" applyAlignment="1">
      <alignment horizontal="left" indent="3"/>
    </xf>
    <xf numFmtId="0" fontId="167" fillId="12" borderId="0" xfId="0" applyFont="1" applyFill="1" applyAlignment="1">
      <alignment horizontal="center"/>
    </xf>
    <xf numFmtId="0" fontId="150" fillId="12" borderId="0" xfId="0" applyFont="1" applyFill="1" applyAlignment="1">
      <alignment horizontal="center"/>
    </xf>
    <xf numFmtId="0" fontId="168" fillId="10" borderId="0" xfId="0" applyFont="1" applyFill="1" applyAlignment="1">
      <alignment vertical="center"/>
    </xf>
    <xf numFmtId="0" fontId="169" fillId="10" borderId="0" xfId="0" applyFont="1" applyFill="1" applyAlignment="1">
      <alignment vertical="center"/>
    </xf>
    <xf numFmtId="0" fontId="170" fillId="10" borderId="0" xfId="0" applyFont="1" applyFill="1" applyAlignment="1">
      <alignment vertical="center"/>
    </xf>
    <xf numFmtId="0" fontId="171" fillId="12" borderId="0" xfId="0" applyFont="1" applyFill="1"/>
    <xf numFmtId="0" fontId="172" fillId="12" borderId="0" xfId="0" applyFont="1" applyFill="1"/>
    <xf numFmtId="0" fontId="161" fillId="12" borderId="0" xfId="0" applyFont="1" applyFill="1" applyAlignment="1">
      <alignment horizontal="center"/>
    </xf>
    <xf numFmtId="0" fontId="173" fillId="22" borderId="0" xfId="0" applyFont="1" applyFill="1"/>
    <xf numFmtId="0" fontId="150" fillId="12" borderId="0" xfId="0" applyFont="1" applyFill="1" applyAlignment="1">
      <alignment horizontal="left" vertical="center"/>
    </xf>
    <xf numFmtId="3" fontId="161" fillId="12" borderId="0" xfId="0" applyNumberFormat="1" applyFont="1" applyFill="1" applyAlignment="1">
      <alignment horizontal="center" vertical="center"/>
    </xf>
    <xf numFmtId="0" fontId="161" fillId="12" borderId="0" xfId="0" applyFont="1" applyFill="1" applyAlignment="1">
      <alignment horizontal="center" vertical="center"/>
    </xf>
    <xf numFmtId="2" fontId="161" fillId="10" borderId="0" xfId="0" applyNumberFormat="1" applyFont="1" applyFill="1" applyAlignment="1">
      <alignment horizontal="center" vertical="center"/>
    </xf>
    <xf numFmtId="0" fontId="161" fillId="22" borderId="0" xfId="0" applyFont="1" applyFill="1" applyAlignment="1">
      <alignment vertical="center"/>
    </xf>
    <xf numFmtId="0" fontId="151" fillId="22" borderId="0" xfId="0" applyFont="1" applyFill="1" applyAlignment="1">
      <alignment horizontal="center"/>
    </xf>
    <xf numFmtId="0" fontId="174" fillId="12" borderId="0" xfId="0" applyFont="1" applyFill="1"/>
    <xf numFmtId="0" fontId="154" fillId="22" borderId="0" xfId="0" applyFont="1" applyFill="1" applyAlignment="1">
      <alignment vertical="center"/>
    </xf>
    <xf numFmtId="0" fontId="176" fillId="36" borderId="0" xfId="0" applyFont="1" applyFill="1"/>
    <xf numFmtId="0" fontId="162" fillId="12" borderId="21" xfId="0" applyFont="1" applyFill="1" applyBorder="1" applyAlignment="1">
      <alignment horizontal="left" indent="11"/>
    </xf>
    <xf numFmtId="0" fontId="177" fillId="12" borderId="0" xfId="0" applyFont="1" applyFill="1" applyAlignment="1">
      <alignment wrapText="1"/>
    </xf>
    <xf numFmtId="0" fontId="177" fillId="12" borderId="0" xfId="0" applyFont="1" applyFill="1"/>
    <xf numFmtId="0" fontId="160" fillId="12" borderId="0" xfId="0" applyFont="1" applyFill="1"/>
    <xf numFmtId="0" fontId="160" fillId="12" borderId="0" xfId="0" applyFont="1" applyFill="1" applyAlignment="1">
      <alignment horizontal="left" indent="4"/>
    </xf>
    <xf numFmtId="0" fontId="177" fillId="12" borderId="0" xfId="0" applyFont="1" applyFill="1" applyAlignment="1">
      <alignment horizontal="left" indent="7"/>
    </xf>
    <xf numFmtId="0" fontId="161" fillId="12" borderId="0" xfId="0" applyFont="1" applyFill="1" applyAlignment="1">
      <alignment horizontal="right"/>
    </xf>
    <xf numFmtId="0" fontId="178" fillId="12" borderId="0" xfId="0" applyFont="1" applyFill="1" applyAlignment="1">
      <alignment horizontal="left" indent="1"/>
    </xf>
    <xf numFmtId="0" fontId="150" fillId="12" borderId="0" xfId="0" applyFont="1" applyFill="1" applyAlignment="1">
      <alignment horizontal="left" indent="2"/>
    </xf>
    <xf numFmtId="0" fontId="177" fillId="12" borderId="0" xfId="0" applyFont="1" applyFill="1" applyAlignment="1">
      <alignment horizontal="center"/>
    </xf>
    <xf numFmtId="0" fontId="161" fillId="10" borderId="0" xfId="0" applyFont="1" applyFill="1" applyAlignment="1">
      <alignment horizontal="left" vertical="center" indent="2"/>
    </xf>
    <xf numFmtId="0" fontId="160" fillId="12" borderId="0" xfId="0" applyFont="1" applyFill="1" applyAlignment="1">
      <alignment horizontal="center" vertical="center"/>
    </xf>
    <xf numFmtId="0" fontId="161" fillId="12" borderId="0" xfId="0" applyFont="1" applyFill="1" applyAlignment="1">
      <alignment horizontal="left"/>
    </xf>
    <xf numFmtId="0" fontId="160" fillId="12" borderId="0" xfId="0" applyFont="1" applyFill="1" applyAlignment="1">
      <alignment horizontal="left" indent="2"/>
    </xf>
    <xf numFmtId="0" fontId="161" fillId="12" borderId="0" xfId="0" applyFont="1" applyFill="1" applyAlignment="1">
      <alignment horizontal="center" vertical="center" wrapText="1"/>
    </xf>
    <xf numFmtId="0" fontId="150" fillId="12" borderId="0" xfId="0" applyFont="1" applyFill="1" applyAlignment="1">
      <alignment horizontal="center" vertical="center"/>
    </xf>
    <xf numFmtId="0" fontId="161" fillId="12" borderId="0" xfId="0" applyFont="1" applyFill="1"/>
    <xf numFmtId="2" fontId="150" fillId="22" borderId="0" xfId="0" applyNumberFormat="1" applyFont="1" applyFill="1"/>
    <xf numFmtId="3" fontId="150" fillId="12" borderId="0" xfId="0" applyNumberFormat="1" applyFont="1" applyFill="1" applyAlignment="1">
      <alignment horizontal="center"/>
    </xf>
    <xf numFmtId="3" fontId="150" fillId="12" borderId="0" xfId="0" applyNumberFormat="1" applyFont="1" applyFill="1" applyAlignment="1">
      <alignment horizontal="center" wrapText="1"/>
    </xf>
    <xf numFmtId="3" fontId="160" fillId="12" borderId="0" xfId="0" applyNumberFormat="1" applyFont="1" applyFill="1" applyAlignment="1">
      <alignment horizontal="center"/>
    </xf>
    <xf numFmtId="3" fontId="160" fillId="12" borderId="0" xfId="0" applyNumberFormat="1" applyFont="1" applyFill="1" applyAlignment="1">
      <alignment horizontal="right"/>
    </xf>
    <xf numFmtId="3" fontId="180" fillId="12" borderId="0" xfId="0" applyNumberFormat="1" applyFont="1" applyFill="1" applyAlignment="1">
      <alignment horizontal="left" vertical="center" indent="1"/>
    </xf>
    <xf numFmtId="3" fontId="150" fillId="12" borderId="0" xfId="0" applyNumberFormat="1" applyFont="1" applyFill="1" applyAlignment="1">
      <alignment horizontal="right"/>
    </xf>
    <xf numFmtId="0" fontId="158" fillId="10" borderId="0" xfId="0" applyFont="1" applyFill="1" applyAlignment="1">
      <alignment horizontal="left" vertical="center" indent="57"/>
    </xf>
    <xf numFmtId="0" fontId="181" fillId="12" borderId="0" xfId="0" applyFont="1" applyFill="1"/>
    <xf numFmtId="0" fontId="150" fillId="12" borderId="0" xfId="0" applyFont="1" applyFill="1" applyAlignment="1">
      <alignment horizontal="left"/>
    </xf>
    <xf numFmtId="0" fontId="150" fillId="12" borderId="0" xfId="0" applyFont="1" applyFill="1" applyAlignment="1">
      <alignment horizontal="right"/>
    </xf>
    <xf numFmtId="0" fontId="167" fillId="12" borderId="0" xfId="0" applyFont="1" applyFill="1"/>
    <xf numFmtId="0" fontId="150" fillId="12" borderId="0" xfId="0" applyFont="1" applyFill="1" applyAlignment="1">
      <alignment vertical="top" wrapText="1"/>
    </xf>
    <xf numFmtId="0" fontId="150" fillId="12" borderId="11" xfId="0" applyFont="1" applyFill="1" applyBorder="1"/>
    <xf numFmtId="0" fontId="182" fillId="12" borderId="11" xfId="0" applyFont="1" applyFill="1" applyBorder="1"/>
    <xf numFmtId="0" fontId="183" fillId="12" borderId="11" xfId="0" applyFont="1" applyFill="1" applyBorder="1"/>
    <xf numFmtId="0" fontId="176" fillId="12" borderId="11" xfId="0" applyFont="1" applyFill="1" applyBorder="1"/>
    <xf numFmtId="0" fontId="162" fillId="12" borderId="11" xfId="0" applyFont="1" applyFill="1" applyBorder="1" applyAlignment="1">
      <alignment horizontal="right" indent="4"/>
    </xf>
    <xf numFmtId="3" fontId="167" fillId="12" borderId="11" xfId="0" applyNumberFormat="1" applyFont="1" applyFill="1" applyBorder="1" applyAlignment="1">
      <alignment horizontal="center" vertical="center"/>
    </xf>
    <xf numFmtId="0" fontId="161" fillId="12" borderId="11" xfId="0" applyFont="1" applyFill="1" applyBorder="1"/>
    <xf numFmtId="0" fontId="167" fillId="12" borderId="11" xfId="0" applyFont="1" applyFill="1" applyBorder="1" applyAlignment="1">
      <alignment horizontal="center" vertical="center"/>
    </xf>
    <xf numFmtId="0" fontId="184" fillId="12" borderId="0" xfId="0" applyFont="1" applyFill="1"/>
    <xf numFmtId="0" fontId="153" fillId="10" borderId="0" xfId="0" applyFont="1" applyFill="1"/>
    <xf numFmtId="0" fontId="150" fillId="22" borderId="0" xfId="0" applyFont="1" applyFill="1" applyAlignment="1">
      <alignment vertical="top" wrapText="1"/>
    </xf>
    <xf numFmtId="0" fontId="150" fillId="22" borderId="0" xfId="0" applyFont="1" applyFill="1" applyAlignment="1">
      <alignment wrapText="1"/>
    </xf>
    <xf numFmtId="0" fontId="153" fillId="22" borderId="0" xfId="0" applyFont="1" applyFill="1" applyAlignment="1">
      <alignment vertical="top" wrapText="1"/>
    </xf>
    <xf numFmtId="0" fontId="153" fillId="22" borderId="0" xfId="0" applyFont="1" applyFill="1" applyAlignment="1">
      <alignment wrapText="1"/>
    </xf>
    <xf numFmtId="0" fontId="166" fillId="22" borderId="0" xfId="0" applyFont="1" applyFill="1" applyAlignment="1">
      <alignment horizontal="left" vertical="center" indent="52"/>
    </xf>
    <xf numFmtId="0" fontId="158" fillId="22" borderId="0" xfId="0" applyFont="1" applyFill="1" applyAlignment="1">
      <alignment horizontal="left" vertical="center" indent="57"/>
    </xf>
    <xf numFmtId="0" fontId="161" fillId="36" borderId="0" xfId="0" applyFont="1" applyFill="1" applyAlignment="1">
      <alignment horizontal="center" vertical="center"/>
    </xf>
    <xf numFmtId="0" fontId="185" fillId="22" borderId="0" xfId="0" applyFont="1" applyFill="1" applyAlignment="1">
      <alignment horizontal="left" vertical="center" indent="32"/>
    </xf>
    <xf numFmtId="0" fontId="161" fillId="22" borderId="0" xfId="0" applyFont="1" applyFill="1" applyAlignment="1">
      <alignment horizontal="left" vertical="center" indent="32"/>
    </xf>
    <xf numFmtId="0" fontId="186" fillId="22" borderId="0" xfId="0" applyFont="1" applyFill="1" applyAlignment="1">
      <alignment horizontal="left" vertical="center" indent="32"/>
    </xf>
    <xf numFmtId="0" fontId="181" fillId="36" borderId="0" xfId="0" applyFont="1" applyFill="1" applyAlignment="1">
      <alignment vertical="center"/>
    </xf>
    <xf numFmtId="0" fontId="155" fillId="36" borderId="0" xfId="0" applyFont="1" applyFill="1" applyAlignment="1">
      <alignment horizontal="left" vertical="center"/>
    </xf>
    <xf numFmtId="0" fontId="166" fillId="36" borderId="0" xfId="0" applyFont="1" applyFill="1" applyAlignment="1">
      <alignment horizontal="left" vertical="center" indent="32"/>
    </xf>
    <xf numFmtId="0" fontId="162" fillId="12" borderId="21" xfId="0" applyFont="1" applyFill="1" applyBorder="1" applyAlignment="1">
      <alignment horizontal="left" indent="12"/>
    </xf>
    <xf numFmtId="0" fontId="187" fillId="12" borderId="0" xfId="0" applyFont="1" applyFill="1" applyAlignment="1">
      <alignment horizontal="center"/>
    </xf>
    <xf numFmtId="0" fontId="167" fillId="12" borderId="0" xfId="0" applyFont="1" applyFill="1" applyAlignment="1">
      <alignment horizontal="left" indent="11"/>
    </xf>
    <xf numFmtId="0" fontId="160" fillId="12" borderId="0" xfId="0" applyFont="1" applyFill="1" applyAlignment="1">
      <alignment horizontal="left" indent="11"/>
    </xf>
    <xf numFmtId="0" fontId="151" fillId="10" borderId="0" xfId="0" applyFont="1" applyFill="1" applyAlignment="1">
      <alignment horizontal="center"/>
    </xf>
    <xf numFmtId="0" fontId="152" fillId="10" borderId="0" xfId="0" applyFont="1" applyFill="1" applyAlignment="1">
      <alignment horizontal="left" vertical="center"/>
    </xf>
    <xf numFmtId="0" fontId="167" fillId="12" borderId="21" xfId="0" applyFont="1" applyFill="1" applyBorder="1" applyAlignment="1">
      <alignment horizontal="left" indent="11"/>
    </xf>
    <xf numFmtId="0" fontId="160" fillId="12" borderId="21" xfId="0" applyFont="1" applyFill="1" applyBorder="1" applyAlignment="1">
      <alignment horizontal="left" indent="11"/>
    </xf>
    <xf numFmtId="0" fontId="167" fillId="12" borderId="0" xfId="0" applyFont="1" applyFill="1" applyAlignment="1">
      <alignment horizontal="left" indent="1"/>
    </xf>
    <xf numFmtId="0" fontId="158" fillId="10" borderId="0" xfId="0" applyFont="1" applyFill="1" applyAlignment="1">
      <alignment horizontal="center" vertical="center"/>
    </xf>
    <xf numFmtId="0" fontId="167" fillId="10" borderId="0" xfId="0" applyFont="1" applyFill="1" applyAlignment="1">
      <alignment horizontal="left" vertical="center"/>
    </xf>
    <xf numFmtId="0" fontId="167" fillId="10" borderId="0" xfId="0" applyFont="1" applyFill="1" applyAlignment="1">
      <alignment horizontal="left" vertical="center" indent="1"/>
    </xf>
    <xf numFmtId="0" fontId="167" fillId="10" borderId="0" xfId="0" applyFont="1" applyFill="1" applyAlignment="1">
      <alignment horizontal="left" vertical="center" indent="2"/>
    </xf>
    <xf numFmtId="0" fontId="167" fillId="10" borderId="0" xfId="0" applyFont="1" applyFill="1" applyAlignment="1">
      <alignment vertical="center"/>
    </xf>
    <xf numFmtId="0" fontId="188" fillId="12" borderId="0" xfId="0" applyFont="1" applyFill="1" applyAlignment="1">
      <alignment horizontal="center"/>
    </xf>
    <xf numFmtId="0" fontId="167" fillId="10" borderId="0" xfId="0" applyFont="1" applyFill="1" applyAlignment="1">
      <alignment horizontal="left" vertical="center" indent="13"/>
    </xf>
    <xf numFmtId="0" fontId="189" fillId="10" borderId="0" xfId="0" applyFont="1" applyFill="1" applyAlignment="1">
      <alignment vertical="center"/>
    </xf>
    <xf numFmtId="0" fontId="190" fillId="10" borderId="0" xfId="0" applyFont="1" applyFill="1" applyAlignment="1">
      <alignment horizontal="center" vertical="center"/>
    </xf>
    <xf numFmtId="0" fontId="190" fillId="10" borderId="0" xfId="0" applyFont="1" applyFill="1" applyAlignment="1">
      <alignment horizontal="left" vertical="center" indent="2"/>
    </xf>
    <xf numFmtId="0" fontId="190" fillId="10" borderId="0" xfId="0" applyFont="1" applyFill="1" applyAlignment="1">
      <alignment vertical="center"/>
    </xf>
    <xf numFmtId="3" fontId="161" fillId="12" borderId="0" xfId="0" applyNumberFormat="1" applyFont="1" applyFill="1" applyAlignment="1">
      <alignment horizontal="center"/>
    </xf>
    <xf numFmtId="0" fontId="150" fillId="22" borderId="0" xfId="0" applyFont="1" applyFill="1" applyAlignment="1">
      <alignment horizontal="center"/>
    </xf>
    <xf numFmtId="0" fontId="167" fillId="12" borderId="0" xfId="0" applyFont="1" applyFill="1" applyAlignment="1">
      <alignment horizontal="left"/>
    </xf>
    <xf numFmtId="0" fontId="187" fillId="12" borderId="21" xfId="0" applyFont="1" applyFill="1" applyBorder="1" applyAlignment="1">
      <alignment horizontal="center"/>
    </xf>
    <xf numFmtId="0" fontId="167" fillId="12" borderId="21" xfId="0" applyFont="1" applyFill="1" applyBorder="1" applyAlignment="1">
      <alignment horizontal="center"/>
    </xf>
    <xf numFmtId="0" fontId="191" fillId="12" borderId="0" xfId="0" applyFont="1" applyFill="1" applyAlignment="1">
      <alignment horizontal="center"/>
    </xf>
    <xf numFmtId="0" fontId="160" fillId="12" borderId="0" xfId="0" applyFont="1" applyFill="1" applyAlignment="1">
      <alignment horizontal="left" vertical="center"/>
    </xf>
    <xf numFmtId="0" fontId="187" fillId="12" borderId="0" xfId="0" applyFont="1" applyFill="1" applyAlignment="1">
      <alignment horizontal="left" indent="3"/>
    </xf>
    <xf numFmtId="0" fontId="192" fillId="12" borderId="0" xfId="0" applyFont="1" applyFill="1"/>
    <xf numFmtId="0" fontId="150" fillId="12" borderId="0" xfId="0" applyFont="1" applyFill="1" applyAlignment="1">
      <alignment horizontal="left" vertical="center" wrapText="1"/>
    </xf>
    <xf numFmtId="0" fontId="160" fillId="12" borderId="0" xfId="0" applyFont="1" applyFill="1" applyAlignment="1">
      <alignment horizontal="right"/>
    </xf>
    <xf numFmtId="0" fontId="161" fillId="12" borderId="0" xfId="0" applyFont="1" applyFill="1" applyAlignment="1">
      <alignment horizontal="left" indent="20"/>
    </xf>
    <xf numFmtId="0" fontId="173" fillId="12" borderId="0" xfId="0" applyFont="1" applyFill="1" applyAlignment="1">
      <alignment horizontal="center"/>
    </xf>
    <xf numFmtId="0" fontId="173" fillId="12" borderId="0" xfId="0" applyFont="1" applyFill="1" applyAlignment="1">
      <alignment horizontal="left"/>
    </xf>
    <xf numFmtId="0" fontId="192" fillId="12" borderId="0" xfId="0" applyFont="1" applyFill="1" applyAlignment="1">
      <alignment horizontal="center"/>
    </xf>
    <xf numFmtId="0" fontId="161" fillId="12" borderId="11" xfId="0" applyFont="1" applyFill="1" applyBorder="1" applyAlignment="1">
      <alignment horizontal="left"/>
    </xf>
    <xf numFmtId="0" fontId="167" fillId="12" borderId="11" xfId="0" applyFont="1" applyFill="1" applyBorder="1" applyAlignment="1">
      <alignment horizontal="right" indent="2"/>
    </xf>
    <xf numFmtId="0" fontId="161" fillId="12" borderId="11" xfId="0" applyFont="1" applyFill="1" applyBorder="1" applyAlignment="1">
      <alignment horizontal="center"/>
    </xf>
    <xf numFmtId="0" fontId="150" fillId="22" borderId="0" xfId="0" applyFont="1" applyFill="1" applyAlignment="1">
      <alignment horizontal="left"/>
    </xf>
    <xf numFmtId="0" fontId="159" fillId="22" borderId="0" xfId="0" applyFont="1" applyFill="1" applyAlignment="1">
      <alignment vertical="center"/>
    </xf>
    <xf numFmtId="0" fontId="159" fillId="22" borderId="0" xfId="0" applyFont="1" applyFill="1" applyAlignment="1">
      <alignment horizontal="left" vertical="center"/>
    </xf>
    <xf numFmtId="0" fontId="161" fillId="22" borderId="0" xfId="0" applyFont="1" applyFill="1" applyAlignment="1">
      <alignment horizontal="left" vertical="center"/>
    </xf>
    <xf numFmtId="0" fontId="159" fillId="22" borderId="0" xfId="0" applyFont="1" applyFill="1" applyAlignment="1">
      <alignment horizontal="left" vertical="center" indent="32"/>
    </xf>
    <xf numFmtId="0" fontId="152" fillId="22" borderId="0" xfId="0" applyFont="1" applyFill="1" applyAlignment="1">
      <alignment horizontal="left" vertical="center"/>
    </xf>
    <xf numFmtId="0" fontId="150" fillId="36" borderId="0" xfId="0" applyFont="1" applyFill="1" applyAlignment="1">
      <alignment horizontal="left" indent="7"/>
    </xf>
    <xf numFmtId="0" fontId="193" fillId="22" borderId="0" xfId="0" applyFont="1" applyFill="1"/>
    <xf numFmtId="0" fontId="155" fillId="22" borderId="0" xfId="0" applyFont="1" applyFill="1" applyAlignment="1">
      <alignment vertical="center"/>
    </xf>
    <xf numFmtId="0" fontId="194" fillId="10" borderId="21" xfId="0" applyFont="1" applyFill="1" applyBorder="1" applyAlignment="1">
      <alignment vertical="center"/>
    </xf>
    <xf numFmtId="0" fontId="160" fillId="12" borderId="0" xfId="0" applyFont="1" applyFill="1" applyAlignment="1">
      <alignment horizontal="left" indent="5"/>
    </xf>
    <xf numFmtId="0" fontId="160" fillId="12" borderId="21" xfId="0" applyFont="1" applyFill="1" applyBorder="1" applyAlignment="1">
      <alignment horizontal="left" indent="8"/>
    </xf>
    <xf numFmtId="0" fontId="160" fillId="12" borderId="21" xfId="0" applyFont="1" applyFill="1" applyBorder="1" applyAlignment="1">
      <alignment horizontal="left" vertical="center" indent="26"/>
    </xf>
    <xf numFmtId="0" fontId="160" fillId="12" borderId="21" xfId="0" applyFont="1" applyFill="1" applyBorder="1" applyAlignment="1">
      <alignment horizontal="left" indent="26"/>
    </xf>
    <xf numFmtId="0" fontId="176" fillId="12" borderId="0" xfId="0" applyFont="1" applyFill="1" applyAlignment="1">
      <alignment horizontal="center"/>
    </xf>
    <xf numFmtId="0" fontId="160" fillId="12" borderId="0" xfId="0" applyFont="1" applyFill="1" applyAlignment="1">
      <alignment horizontal="center" wrapText="1"/>
    </xf>
    <xf numFmtId="0" fontId="167" fillId="12" borderId="21" xfId="0" applyFont="1" applyFill="1" applyBorder="1" applyAlignment="1">
      <alignment horizontal="left" indent="6"/>
    </xf>
    <xf numFmtId="0" fontId="167" fillId="12" borderId="21" xfId="3" applyFont="1" applyFill="1" applyBorder="1" applyAlignment="1" applyProtection="1">
      <alignment horizontal="center" wrapText="1"/>
    </xf>
    <xf numFmtId="0" fontId="174" fillId="10" borderId="0" xfId="0" applyFont="1" applyFill="1" applyAlignment="1">
      <alignment vertical="center"/>
    </xf>
    <xf numFmtId="0" fontId="167" fillId="12" borderId="0" xfId="3" applyFont="1" applyFill="1" applyBorder="1" applyAlignment="1" applyProtection="1">
      <alignment horizontal="center"/>
    </xf>
    <xf numFmtId="0" fontId="167" fillId="10" borderId="0" xfId="0" applyFont="1" applyFill="1" applyAlignment="1">
      <alignment horizontal="left" vertical="center" indent="3"/>
    </xf>
    <xf numFmtId="0" fontId="167" fillId="10" borderId="0" xfId="0" applyFont="1" applyFill="1" applyAlignment="1">
      <alignment horizontal="left" vertical="center" indent="9"/>
    </xf>
    <xf numFmtId="0" fontId="167" fillId="12" borderId="0" xfId="3" applyFont="1" applyFill="1" applyBorder="1" applyAlignment="1" applyProtection="1">
      <alignment horizontal="center" wrapText="1"/>
    </xf>
    <xf numFmtId="0" fontId="195" fillId="10" borderId="0" xfId="0" applyFont="1" applyFill="1" applyAlignment="1">
      <alignment vertical="center"/>
    </xf>
    <xf numFmtId="0" fontId="161" fillId="10" borderId="0" xfId="0" applyFont="1" applyFill="1" applyAlignment="1">
      <alignment horizontal="left" vertical="center" indent="4"/>
    </xf>
    <xf numFmtId="0" fontId="167" fillId="10" borderId="0" xfId="0" applyFont="1" applyFill="1" applyAlignment="1">
      <alignment horizontal="left" vertical="center" indent="4"/>
    </xf>
    <xf numFmtId="3" fontId="174" fillId="12" borderId="0" xfId="0" applyNumberFormat="1" applyFont="1" applyFill="1"/>
    <xf numFmtId="0" fontId="159" fillId="10" borderId="0" xfId="0" applyFont="1" applyFill="1" applyAlignment="1">
      <alignment horizontal="left" vertical="center" indent="32"/>
    </xf>
    <xf numFmtId="2" fontId="161" fillId="10" borderId="0" xfId="0" applyNumberFormat="1" applyFont="1" applyFill="1" applyAlignment="1">
      <alignment vertical="center"/>
    </xf>
    <xf numFmtId="0" fontId="178" fillId="12" borderId="0" xfId="0" applyFont="1" applyFill="1"/>
    <xf numFmtId="0" fontId="160" fillId="12" borderId="0" xfId="0" applyFont="1" applyFill="1" applyAlignment="1">
      <alignment horizontal="left" indent="15"/>
    </xf>
    <xf numFmtId="0" fontId="160" fillId="12" borderId="0" xfId="0" applyFont="1" applyFill="1" applyAlignment="1">
      <alignment horizontal="left" vertical="center" indent="8"/>
    </xf>
    <xf numFmtId="0" fontId="150" fillId="12" borderId="0" xfId="0" applyFont="1" applyFill="1" applyAlignment="1">
      <alignment horizontal="left" indent="8"/>
    </xf>
    <xf numFmtId="0" fontId="178" fillId="12" borderId="0" xfId="0" applyFont="1" applyFill="1" applyAlignment="1">
      <alignment horizontal="left"/>
    </xf>
    <xf numFmtId="0" fontId="160" fillId="12" borderId="0" xfId="0" applyFont="1" applyFill="1" applyAlignment="1">
      <alignment horizontal="left" indent="26"/>
    </xf>
    <xf numFmtId="0" fontId="160" fillId="12" borderId="0" xfId="0" applyFont="1" applyFill="1" applyAlignment="1">
      <alignment horizontal="left" vertical="center" indent="26"/>
    </xf>
    <xf numFmtId="0" fontId="187" fillId="12" borderId="21" xfId="0" applyFont="1" applyFill="1" applyBorder="1" applyAlignment="1">
      <alignment horizontal="left" indent="3"/>
    </xf>
    <xf numFmtId="0" fontId="167" fillId="12" borderId="0" xfId="0" applyFont="1" applyFill="1" applyAlignment="1">
      <alignment horizontal="center" vertical="center"/>
    </xf>
    <xf numFmtId="0" fontId="194" fillId="12" borderId="0" xfId="0" applyFont="1" applyFill="1" applyAlignment="1">
      <alignment horizontal="left" vertical="top" indent="4"/>
    </xf>
    <xf numFmtId="0" fontId="150" fillId="12" borderId="0" xfId="0" applyFont="1" applyFill="1" applyAlignment="1">
      <alignment horizontal="center" wrapText="1"/>
    </xf>
    <xf numFmtId="0" fontId="176" fillId="12" borderId="0" xfId="0" applyFont="1" applyFill="1" applyAlignment="1">
      <alignment horizontal="center" vertical="center" wrapText="1"/>
    </xf>
    <xf numFmtId="0" fontId="150" fillId="12" borderId="0" xfId="0" applyFont="1" applyFill="1" applyAlignment="1">
      <alignment horizontal="left" indent="11"/>
    </xf>
    <xf numFmtId="0" fontId="150" fillId="12" borderId="0" xfId="0" applyFont="1" applyFill="1" applyAlignment="1">
      <alignment horizontal="left" indent="1"/>
    </xf>
    <xf numFmtId="0" fontId="164" fillId="12" borderId="0" xfId="0" applyFont="1" applyFill="1" applyAlignment="1">
      <alignment horizontal="left" indent="24"/>
    </xf>
    <xf numFmtId="0" fontId="164" fillId="12" borderId="0" xfId="0" applyFont="1" applyFill="1" applyAlignment="1">
      <alignment horizontal="left"/>
    </xf>
    <xf numFmtId="0" fontId="186" fillId="12" borderId="0" xfId="0" applyFont="1" applyFill="1" applyAlignment="1">
      <alignment horizontal="left" indent="7"/>
    </xf>
    <xf numFmtId="0" fontId="150" fillId="12" borderId="0" xfId="0" applyFont="1" applyFill="1" applyAlignment="1">
      <alignment vertical="center"/>
    </xf>
    <xf numFmtId="0" fontId="167" fillId="12" borderId="11" xfId="0" applyFont="1" applyFill="1" applyBorder="1" applyAlignment="1">
      <alignment horizontal="right"/>
    </xf>
    <xf numFmtId="0" fontId="167" fillId="12" borderId="11" xfId="0" applyFont="1" applyFill="1" applyBorder="1"/>
    <xf numFmtId="0" fontId="167" fillId="12" borderId="11" xfId="0" applyFont="1" applyFill="1" applyBorder="1" applyAlignment="1">
      <alignment horizontal="center"/>
    </xf>
    <xf numFmtId="0" fontId="160" fillId="22" borderId="0" xfId="0" applyFont="1" applyFill="1"/>
    <xf numFmtId="0" fontId="176" fillId="22" borderId="0" xfId="0" applyFont="1" applyFill="1"/>
    <xf numFmtId="0" fontId="176" fillId="22" borderId="0" xfId="0" applyFont="1" applyFill="1" applyAlignment="1">
      <alignment wrapText="1"/>
    </xf>
    <xf numFmtId="0" fontId="196" fillId="22" borderId="0" xfId="0" applyFont="1" applyFill="1"/>
    <xf numFmtId="0" fontId="190" fillId="22" borderId="0" xfId="0" applyFont="1" applyFill="1"/>
    <xf numFmtId="0" fontId="150" fillId="22" borderId="0" xfId="0" applyFont="1" applyFill="1" applyAlignment="1">
      <alignment vertical="center"/>
    </xf>
    <xf numFmtId="0" fontId="153" fillId="22" borderId="0" xfId="0" applyFont="1" applyFill="1" applyAlignment="1">
      <alignment vertical="center"/>
    </xf>
    <xf numFmtId="0" fontId="160" fillId="22" borderId="0" xfId="0" applyFont="1" applyFill="1" applyAlignment="1">
      <alignment vertical="center"/>
    </xf>
    <xf numFmtId="0" fontId="160" fillId="22" borderId="0" xfId="0" applyFont="1" applyFill="1" applyAlignment="1">
      <alignment vertical="center" wrapText="1"/>
    </xf>
    <xf numFmtId="0" fontId="150" fillId="22" borderId="0" xfId="0" applyFont="1" applyFill="1" applyAlignment="1">
      <alignment vertical="top"/>
    </xf>
    <xf numFmtId="0" fontId="152" fillId="36" borderId="0" xfId="0" applyFont="1" applyFill="1" applyAlignment="1">
      <alignment horizontal="center" vertical="center" wrapText="1"/>
    </xf>
    <xf numFmtId="0" fontId="197" fillId="36" borderId="0" xfId="0" applyFont="1" applyFill="1" applyAlignment="1">
      <alignment vertical="center"/>
    </xf>
    <xf numFmtId="0" fontId="150" fillId="36" borderId="0" xfId="0" applyFont="1" applyFill="1" applyAlignment="1">
      <alignment vertical="center"/>
    </xf>
    <xf numFmtId="0" fontId="152" fillId="36" borderId="0" xfId="0" applyFont="1" applyFill="1" applyAlignment="1">
      <alignment vertical="center"/>
    </xf>
    <xf numFmtId="0" fontId="156" fillId="36" borderId="0" xfId="0" applyFont="1" applyFill="1" applyAlignment="1">
      <alignment horizontal="right" vertical="center"/>
    </xf>
    <xf numFmtId="0" fontId="157" fillId="10" borderId="0" xfId="0" applyFont="1" applyFill="1" applyAlignment="1">
      <alignment horizontal="left" vertical="center" indent="13"/>
    </xf>
    <xf numFmtId="0" fontId="167" fillId="12" borderId="21" xfId="0" applyFont="1" applyFill="1" applyBorder="1" applyAlignment="1">
      <alignment horizontal="left" vertical="center" indent="1"/>
    </xf>
    <xf numFmtId="0" fontId="167" fillId="12" borderId="21" xfId="0" applyFont="1" applyFill="1" applyBorder="1" applyAlignment="1">
      <alignment horizontal="center" vertical="center"/>
    </xf>
    <xf numFmtId="0" fontId="167" fillId="12" borderId="0" xfId="0" applyFont="1" applyFill="1" applyAlignment="1">
      <alignment horizontal="left" indent="4"/>
    </xf>
    <xf numFmtId="0" fontId="167" fillId="12" borderId="0" xfId="0" applyFont="1" applyFill="1" applyAlignment="1">
      <alignment horizontal="left" vertical="center" indent="1"/>
    </xf>
    <xf numFmtId="0" fontId="190" fillId="12" borderId="0" xfId="0" applyFont="1" applyFill="1" applyAlignment="1">
      <alignment horizontal="center" vertical="center"/>
    </xf>
    <xf numFmtId="0" fontId="159" fillId="12" borderId="0" xfId="0" applyFont="1" applyFill="1" applyAlignment="1">
      <alignment vertical="center"/>
    </xf>
    <xf numFmtId="0" fontId="167" fillId="12" borderId="0" xfId="0" applyFont="1" applyFill="1" applyAlignment="1">
      <alignment vertical="center"/>
    </xf>
    <xf numFmtId="0" fontId="167" fillId="10" borderId="21" xfId="0" applyFont="1" applyFill="1" applyBorder="1" applyAlignment="1">
      <alignment horizontal="left" vertical="center" indent="1"/>
    </xf>
    <xf numFmtId="0" fontId="161" fillId="10" borderId="21" xfId="0" applyFont="1" applyFill="1" applyBorder="1" applyAlignment="1">
      <alignment horizontal="left" vertical="center" indent="1"/>
    </xf>
    <xf numFmtId="0" fontId="167" fillId="10" borderId="0" xfId="0" applyFont="1" applyFill="1" applyAlignment="1">
      <alignment horizontal="left" vertical="center" indent="5"/>
    </xf>
    <xf numFmtId="0" fontId="167" fillId="10" borderId="21" xfId="0" applyFont="1" applyFill="1" applyBorder="1" applyAlignment="1">
      <alignment horizontal="left" vertical="center"/>
    </xf>
    <xf numFmtId="0" fontId="161" fillId="10" borderId="21" xfId="0" applyFont="1" applyFill="1" applyBorder="1" applyAlignment="1">
      <alignment horizontal="left" vertical="center" indent="4"/>
    </xf>
    <xf numFmtId="0" fontId="167" fillId="10" borderId="0" xfId="0" applyFont="1" applyFill="1" applyAlignment="1">
      <alignment horizontal="left" vertical="center" indent="7"/>
    </xf>
    <xf numFmtId="0" fontId="158" fillId="10" borderId="21" xfId="0" applyFont="1" applyFill="1" applyBorder="1" applyAlignment="1">
      <alignment horizontal="center" vertical="center"/>
    </xf>
    <xf numFmtId="3" fontId="159" fillId="12" borderId="0" xfId="0" applyNumberFormat="1" applyFont="1" applyFill="1" applyAlignment="1">
      <alignment vertical="center"/>
    </xf>
    <xf numFmtId="164" fontId="150" fillId="10" borderId="0" xfId="0" applyNumberFormat="1" applyFont="1" applyFill="1"/>
    <xf numFmtId="0" fontId="190" fillId="10" borderId="0" xfId="0" applyFont="1" applyFill="1" applyAlignment="1">
      <alignment horizontal="right" vertical="center"/>
    </xf>
    <xf numFmtId="0" fontId="198" fillId="12" borderId="0" xfId="0" applyFont="1" applyFill="1" applyAlignment="1">
      <alignment vertical="center"/>
    </xf>
    <xf numFmtId="3" fontId="198" fillId="12" borderId="0" xfId="0" applyNumberFormat="1" applyFont="1" applyFill="1" applyAlignment="1">
      <alignment horizontal="center" vertical="center"/>
    </xf>
    <xf numFmtId="164" fontId="150" fillId="10" borderId="0" xfId="0" applyNumberFormat="1" applyFont="1" applyFill="1" applyAlignment="1">
      <alignment horizontal="left"/>
    </xf>
    <xf numFmtId="164" fontId="161" fillId="10" borderId="0" xfId="0" applyNumberFormat="1" applyFont="1" applyFill="1" applyAlignment="1">
      <alignment horizontal="center" vertical="center"/>
    </xf>
    <xf numFmtId="164" fontId="161" fillId="10" borderId="0" xfId="0" applyNumberFormat="1" applyFont="1" applyFill="1" applyAlignment="1">
      <alignment horizontal="left" vertical="center"/>
    </xf>
    <xf numFmtId="0" fontId="159" fillId="12" borderId="0" xfId="0" applyFont="1" applyFill="1" applyAlignment="1">
      <alignment horizontal="left" vertical="center" indent="6"/>
    </xf>
    <xf numFmtId="171" fontId="161" fillId="10" borderId="0" xfId="0" applyNumberFormat="1" applyFont="1" applyFill="1" applyAlignment="1">
      <alignment horizontal="center" vertical="center"/>
    </xf>
    <xf numFmtId="171" fontId="150" fillId="10" borderId="0" xfId="0" applyNumberFormat="1" applyFont="1" applyFill="1" applyAlignment="1">
      <alignment horizontal="center" vertical="center" wrapText="1"/>
    </xf>
    <xf numFmtId="171" fontId="150" fillId="10" borderId="0" xfId="0" applyNumberFormat="1" applyFont="1" applyFill="1" applyAlignment="1">
      <alignment horizontal="center" vertical="top"/>
    </xf>
    <xf numFmtId="0" fontId="186" fillId="12" borderId="0" xfId="0" applyFont="1" applyFill="1" applyAlignment="1">
      <alignment vertical="center"/>
    </xf>
    <xf numFmtId="0" fontId="167" fillId="12" borderId="0" xfId="0" applyFont="1" applyFill="1" applyAlignment="1">
      <alignment horizontal="left" vertical="center"/>
    </xf>
    <xf numFmtId="0" fontId="160" fillId="12" borderId="11" xfId="0" applyFont="1" applyFill="1" applyBorder="1"/>
    <xf numFmtId="0" fontId="159" fillId="12" borderId="11" xfId="0" applyFont="1" applyFill="1" applyBorder="1" applyAlignment="1">
      <alignment vertical="center"/>
    </xf>
    <xf numFmtId="3" fontId="167" fillId="12" borderId="11" xfId="0" applyNumberFormat="1" applyFont="1" applyFill="1" applyBorder="1" applyAlignment="1">
      <alignment horizontal="left" vertical="center"/>
    </xf>
    <xf numFmtId="171" fontId="150" fillId="10" borderId="0" xfId="0" applyNumberFormat="1" applyFont="1" applyFill="1" applyAlignment="1">
      <alignment horizontal="center"/>
    </xf>
    <xf numFmtId="0" fontId="164" fillId="12" borderId="0" xfId="0" applyFont="1" applyFill="1" applyAlignment="1">
      <alignment horizontal="left" vertical="top"/>
    </xf>
    <xf numFmtId="0" fontId="199" fillId="22" borderId="0" xfId="0" applyFont="1" applyFill="1"/>
    <xf numFmtId="0" fontId="167" fillId="10" borderId="21" xfId="0" applyFont="1" applyFill="1" applyBorder="1" applyAlignment="1">
      <alignment vertical="center"/>
    </xf>
    <xf numFmtId="0" fontId="167" fillId="10" borderId="21" xfId="0" applyFont="1" applyFill="1" applyBorder="1" applyAlignment="1">
      <alignment horizontal="left" vertical="center" indent="5"/>
    </xf>
    <xf numFmtId="0" fontId="160" fillId="12" borderId="0" xfId="0" applyFont="1" applyFill="1" applyAlignment="1">
      <alignment horizontal="left" indent="7"/>
    </xf>
    <xf numFmtId="3" fontId="198" fillId="12" borderId="0" xfId="0" applyNumberFormat="1" applyFont="1" applyFill="1" applyAlignment="1">
      <alignment vertical="center"/>
    </xf>
    <xf numFmtId="0" fontId="160" fillId="12" borderId="11" xfId="0" applyFont="1" applyFill="1" applyBorder="1" applyAlignment="1">
      <alignment horizontal="right"/>
    </xf>
    <xf numFmtId="0" fontId="152" fillId="36" borderId="0" xfId="0" applyFont="1" applyFill="1" applyAlignment="1">
      <alignment horizontal="left" vertical="center" indent="38"/>
    </xf>
    <xf numFmtId="0" fontId="159" fillId="22" borderId="0" xfId="0" applyFont="1" applyFill="1" applyAlignment="1">
      <alignment horizontal="left" vertical="center" indent="15"/>
    </xf>
    <xf numFmtId="0" fontId="159" fillId="22" borderId="0" xfId="0" applyFont="1" applyFill="1" applyAlignment="1">
      <alignment horizontal="left" vertical="center" indent="3"/>
    </xf>
    <xf numFmtId="0" fontId="161" fillId="10" borderId="0" xfId="0" applyFont="1" applyFill="1" applyAlignment="1">
      <alignment horizontal="left" vertical="center" indent="16"/>
    </xf>
    <xf numFmtId="0" fontId="167" fillId="12" borderId="0" xfId="0" applyFont="1" applyFill="1" applyAlignment="1">
      <alignment horizontal="left" indent="2"/>
    </xf>
    <xf numFmtId="0" fontId="161" fillId="10" borderId="0" xfId="0" applyFont="1" applyFill="1" applyAlignment="1">
      <alignment horizontal="left" vertical="top"/>
    </xf>
    <xf numFmtId="0" fontId="167" fillId="10" borderId="0" xfId="0" applyFont="1" applyFill="1" applyAlignment="1">
      <alignment horizontal="center" vertical="top"/>
    </xf>
    <xf numFmtId="0" fontId="167" fillId="10" borderId="0" xfId="0" applyFont="1" applyFill="1" applyAlignment="1">
      <alignment horizontal="left" vertical="top"/>
    </xf>
    <xf numFmtId="0" fontId="167" fillId="10" borderId="21" xfId="0" applyFont="1" applyFill="1" applyBorder="1" applyAlignment="1">
      <alignment horizontal="left" vertical="top"/>
    </xf>
    <xf numFmtId="0" fontId="161" fillId="10" borderId="21" xfId="0" applyFont="1" applyFill="1" applyBorder="1" applyAlignment="1">
      <alignment horizontal="left" vertical="top"/>
    </xf>
    <xf numFmtId="0" fontId="161" fillId="10" borderId="0" xfId="0" applyFont="1" applyFill="1" applyAlignment="1">
      <alignment horizontal="center" vertical="top"/>
    </xf>
    <xf numFmtId="164" fontId="161" fillId="10" borderId="0" xfId="0" applyNumberFormat="1" applyFont="1" applyFill="1" applyAlignment="1">
      <alignment horizontal="center" vertical="top"/>
    </xf>
    <xf numFmtId="171" fontId="161" fillId="10" borderId="0" xfId="0" applyNumberFormat="1" applyFont="1" applyFill="1" applyAlignment="1">
      <alignment horizontal="center" vertical="top"/>
    </xf>
    <xf numFmtId="0" fontId="200" fillId="12" borderId="0" xfId="0" applyFont="1" applyFill="1" applyAlignment="1">
      <alignment horizontal="left" indent="21"/>
    </xf>
    <xf numFmtId="0" fontId="201" fillId="12" borderId="0" xfId="0" applyFont="1" applyFill="1" applyAlignment="1">
      <alignment horizontal="left" indent="8"/>
    </xf>
    <xf numFmtId="0" fontId="150" fillId="12" borderId="11" xfId="0" applyFont="1" applyFill="1" applyBorder="1" applyAlignment="1">
      <alignment horizontal="center"/>
    </xf>
    <xf numFmtId="3" fontId="160" fillId="12" borderId="11" xfId="0" applyNumberFormat="1" applyFont="1" applyFill="1" applyBorder="1" applyAlignment="1">
      <alignment horizontal="center"/>
    </xf>
    <xf numFmtId="0" fontId="160" fillId="12" borderId="11" xfId="0" applyFont="1" applyFill="1" applyBorder="1" applyAlignment="1">
      <alignment horizontal="center"/>
    </xf>
    <xf numFmtId="0" fontId="174" fillId="12" borderId="0" xfId="0" applyFont="1" applyFill="1" applyAlignment="1">
      <alignment horizontal="left"/>
    </xf>
    <xf numFmtId="0" fontId="202" fillId="36" borderId="0" xfId="0" applyFont="1" applyFill="1" applyAlignment="1">
      <alignment horizontal="left" vertical="center"/>
    </xf>
    <xf numFmtId="0" fontId="186" fillId="12" borderId="0" xfId="0" applyFont="1" applyFill="1" applyAlignment="1">
      <alignment horizontal="center" vertical="center"/>
    </xf>
    <xf numFmtId="0" fontId="186" fillId="12" borderId="0" xfId="0" applyFont="1" applyFill="1" applyAlignment="1">
      <alignment horizontal="left" vertical="center" indent="1"/>
    </xf>
    <xf numFmtId="0" fontId="203" fillId="12" borderId="0" xfId="0" applyFont="1" applyFill="1" applyAlignment="1">
      <alignment vertical="center"/>
    </xf>
    <xf numFmtId="0" fontId="204" fillId="12" borderId="0" xfId="0" applyFont="1" applyFill="1" applyAlignment="1">
      <alignment vertical="center"/>
    </xf>
    <xf numFmtId="0" fontId="206" fillId="12" borderId="0" xfId="0" applyFont="1" applyFill="1"/>
    <xf numFmtId="0" fontId="164" fillId="12" borderId="0" xfId="0" applyFont="1" applyFill="1"/>
    <xf numFmtId="0" fontId="164" fillId="22" borderId="0" xfId="0" applyFont="1" applyFill="1"/>
    <xf numFmtId="0" fontId="161" fillId="22" borderId="0" xfId="0" applyFont="1" applyFill="1"/>
    <xf numFmtId="0" fontId="159" fillId="22" borderId="0" xfId="0" applyFont="1" applyFill="1" applyAlignment="1">
      <alignment horizontal="left" indent="11"/>
    </xf>
    <xf numFmtId="0" fontId="161" fillId="36" borderId="0" xfId="0" applyFont="1" applyFill="1"/>
    <xf numFmtId="0" fontId="175" fillId="36" borderId="0" xfId="0" applyFont="1" applyFill="1"/>
    <xf numFmtId="0" fontId="159" fillId="22" borderId="0" xfId="0" applyFont="1" applyFill="1" applyAlignment="1">
      <alignment horizontal="left" vertical="center" indent="12"/>
    </xf>
    <xf numFmtId="0" fontId="161" fillId="22" borderId="0" xfId="0" applyFont="1" applyFill="1" applyAlignment="1">
      <alignment horizontal="left" vertical="center" indent="22"/>
    </xf>
    <xf numFmtId="0" fontId="164" fillId="22" borderId="0" xfId="0" applyFont="1" applyFill="1" applyAlignment="1">
      <alignment horizontal="left" vertical="center" indent="3"/>
    </xf>
    <xf numFmtId="0" fontId="207" fillId="36" borderId="0" xfId="0" applyFont="1" applyFill="1" applyAlignment="1">
      <alignment horizontal="left" vertical="center"/>
    </xf>
    <xf numFmtId="0" fontId="208" fillId="36" borderId="0" xfId="0" applyFont="1" applyFill="1" applyAlignment="1">
      <alignment horizontal="left" vertical="center"/>
    </xf>
    <xf numFmtId="0" fontId="209" fillId="36" borderId="0" xfId="0" applyFont="1" applyFill="1" applyAlignment="1">
      <alignment horizontal="left" vertical="center"/>
    </xf>
    <xf numFmtId="0" fontId="159" fillId="10" borderId="0" xfId="0" applyFont="1" applyFill="1" applyAlignment="1">
      <alignment horizontal="left" vertical="center" indent="12"/>
    </xf>
    <xf numFmtId="0" fontId="170" fillId="10" borderId="0" xfId="0" applyFont="1" applyFill="1" applyAlignment="1">
      <alignment horizontal="left" vertical="center"/>
    </xf>
    <xf numFmtId="0" fontId="161" fillId="10" borderId="0" xfId="0" applyFont="1" applyFill="1" applyAlignment="1">
      <alignment horizontal="left" vertical="center" indent="12"/>
    </xf>
    <xf numFmtId="0" fontId="159" fillId="10" borderId="21" xfId="0" applyFont="1" applyFill="1" applyBorder="1" applyAlignment="1">
      <alignment horizontal="left" vertical="center" indent="15"/>
    </xf>
    <xf numFmtId="0" fontId="159" fillId="10" borderId="21" xfId="0" applyFont="1" applyFill="1" applyBorder="1" applyAlignment="1">
      <alignment horizontal="left" vertical="center" indent="12"/>
    </xf>
    <xf numFmtId="0" fontId="170" fillId="10" borderId="21" xfId="0" applyFont="1" applyFill="1" applyBorder="1" applyAlignment="1">
      <alignment horizontal="left" vertical="center"/>
    </xf>
    <xf numFmtId="0" fontId="161" fillId="10" borderId="21" xfId="0" applyFont="1" applyFill="1" applyBorder="1" applyAlignment="1">
      <alignment horizontal="left" vertical="center" indent="12"/>
    </xf>
    <xf numFmtId="0" fontId="160" fillId="12" borderId="21" xfId="0" applyFont="1" applyFill="1" applyBorder="1" applyAlignment="1">
      <alignment horizontal="left" indent="9"/>
    </xf>
    <xf numFmtId="0" fontId="150" fillId="12" borderId="21" xfId="0" applyFont="1" applyFill="1" applyBorder="1" applyAlignment="1">
      <alignment horizontal="left" indent="9"/>
    </xf>
    <xf numFmtId="0" fontId="150" fillId="12" borderId="0" xfId="0" applyFont="1" applyFill="1" applyAlignment="1">
      <alignment horizontal="left" indent="4"/>
    </xf>
    <xf numFmtId="0" fontId="160" fillId="12" borderId="21" xfId="0" applyFont="1" applyFill="1" applyBorder="1" applyAlignment="1">
      <alignment horizontal="left" indent="3"/>
    </xf>
    <xf numFmtId="0" fontId="160" fillId="12" borderId="0" xfId="0" applyFont="1" applyFill="1" applyAlignment="1">
      <alignment horizontal="left" indent="6"/>
    </xf>
    <xf numFmtId="0" fontId="167" fillId="10" borderId="0" xfId="0" applyFont="1" applyFill="1" applyAlignment="1">
      <alignment horizontal="center" vertical="center"/>
    </xf>
    <xf numFmtId="0" fontId="161" fillId="10" borderId="0" xfId="0" applyFont="1" applyFill="1" applyAlignment="1">
      <alignment horizontal="left" vertical="center" indent="5"/>
    </xf>
    <xf numFmtId="0" fontId="167" fillId="10" borderId="0" xfId="0" applyFont="1" applyFill="1" applyAlignment="1">
      <alignment horizontal="left" vertical="center" indent="12"/>
    </xf>
    <xf numFmtId="0" fontId="210" fillId="12" borderId="0" xfId="0" applyFont="1" applyFill="1" applyAlignment="1">
      <alignment horizontal="center" vertical="top"/>
    </xf>
    <xf numFmtId="0" fontId="173" fillId="36" borderId="0" xfId="0" applyFont="1" applyFill="1" applyAlignment="1">
      <alignment vertical="center"/>
    </xf>
    <xf numFmtId="0" fontId="202" fillId="36" borderId="0" xfId="0" applyFont="1" applyFill="1" applyAlignment="1">
      <alignment vertical="center"/>
    </xf>
    <xf numFmtId="0" fontId="202" fillId="22" borderId="0" xfId="0" applyFont="1" applyFill="1" applyAlignment="1">
      <alignment vertical="center"/>
    </xf>
    <xf numFmtId="0" fontId="190" fillId="22" borderId="0" xfId="0" applyFont="1" applyFill="1" applyAlignment="1" applyProtection="1">
      <alignment horizontal="center"/>
      <protection locked="0"/>
    </xf>
    <xf numFmtId="0" fontId="173" fillId="36" borderId="0" xfId="0" applyFont="1" applyFill="1"/>
    <xf numFmtId="0" fontId="162" fillId="12" borderId="0" xfId="0" applyFont="1" applyFill="1" applyAlignment="1">
      <alignment horizontal="center"/>
    </xf>
    <xf numFmtId="0" fontId="162" fillId="12" borderId="0" xfId="0" applyFont="1" applyFill="1" applyAlignment="1">
      <alignment horizontal="left" indent="4"/>
    </xf>
    <xf numFmtId="0" fontId="162" fillId="12" borderId="0" xfId="0" applyFont="1" applyFill="1" applyAlignment="1">
      <alignment horizontal="left" indent="25"/>
    </xf>
    <xf numFmtId="0" fontId="186" fillId="12" borderId="0" xfId="3" quotePrefix="1" applyFont="1" applyFill="1" applyBorder="1" applyAlignment="1" applyProtection="1">
      <alignment horizontal="center"/>
    </xf>
    <xf numFmtId="0" fontId="212" fillId="12" borderId="0" xfId="0" applyFont="1" applyFill="1"/>
    <xf numFmtId="0" fontId="176" fillId="12" borderId="0" xfId="0" applyFont="1" applyFill="1"/>
    <xf numFmtId="0" fontId="162" fillId="12" borderId="0" xfId="0" applyFont="1" applyFill="1" applyAlignment="1">
      <alignment horizontal="left" indent="3"/>
    </xf>
    <xf numFmtId="0" fontId="176" fillId="12" borderId="0" xfId="0" applyFont="1" applyFill="1" applyAlignment="1">
      <alignment horizontal="left" indent="3"/>
    </xf>
    <xf numFmtId="0" fontId="213" fillId="12" borderId="0" xfId="0" applyFont="1" applyFill="1" applyAlignment="1">
      <alignment horizontal="left" indent="4"/>
    </xf>
    <xf numFmtId="0" fontId="213" fillId="12" borderId="0" xfId="0" applyFont="1" applyFill="1" applyAlignment="1">
      <alignment horizontal="center"/>
    </xf>
    <xf numFmtId="0" fontId="162" fillId="12" borderId="0" xfId="0" applyFont="1" applyFill="1" applyAlignment="1">
      <alignment horizontal="left" indent="8"/>
    </xf>
    <xf numFmtId="0" fontId="216" fillId="12" borderId="0" xfId="0" applyFont="1" applyFill="1" applyAlignment="1">
      <alignment horizontal="left"/>
    </xf>
    <xf numFmtId="0" fontId="176" fillId="12" borderId="21" xfId="0" applyFont="1" applyFill="1" applyBorder="1" applyAlignment="1">
      <alignment horizontal="left"/>
    </xf>
    <xf numFmtId="0" fontId="162" fillId="12" borderId="21" xfId="0" applyFont="1" applyFill="1" applyBorder="1" applyAlignment="1">
      <alignment horizontal="center"/>
    </xf>
    <xf numFmtId="0" fontId="150" fillId="12" borderId="21" xfId="0" applyFont="1" applyFill="1" applyBorder="1" applyAlignment="1">
      <alignment horizontal="center"/>
    </xf>
    <xf numFmtId="0" fontId="176" fillId="12" borderId="21" xfId="0" applyFont="1" applyFill="1" applyBorder="1" applyAlignment="1">
      <alignment horizontal="center"/>
    </xf>
    <xf numFmtId="0" fontId="213" fillId="12" borderId="21" xfId="0" applyFont="1" applyFill="1" applyBorder="1" applyAlignment="1">
      <alignment horizontal="center"/>
    </xf>
    <xf numFmtId="0" fontId="176" fillId="12" borderId="21" xfId="0" applyFont="1" applyFill="1" applyBorder="1" applyAlignment="1">
      <alignment horizontal="left" indent="1"/>
    </xf>
    <xf numFmtId="0" fontId="212" fillId="12" borderId="21" xfId="0" applyFont="1" applyFill="1" applyBorder="1" applyAlignment="1">
      <alignment horizontal="center"/>
    </xf>
    <xf numFmtId="0" fontId="176" fillId="12" borderId="0" xfId="0" applyFont="1" applyFill="1" applyAlignment="1">
      <alignment horizontal="left"/>
    </xf>
    <xf numFmtId="0" fontId="173" fillId="12" borderId="21" xfId="0" applyFont="1" applyFill="1" applyBorder="1"/>
    <xf numFmtId="0" fontId="162" fillId="12" borderId="0" xfId="0" applyFont="1" applyFill="1" applyAlignment="1">
      <alignment horizontal="left" indent="1"/>
    </xf>
    <xf numFmtId="0" fontId="176" fillId="12" borderId="0" xfId="0" applyFont="1" applyFill="1" applyAlignment="1">
      <alignment horizontal="left" indent="8"/>
    </xf>
    <xf numFmtId="0" fontId="176" fillId="12" borderId="0" xfId="0" applyFont="1" applyFill="1" applyAlignment="1">
      <alignment horizontal="left" indent="1"/>
    </xf>
    <xf numFmtId="0" fontId="212" fillId="12" borderId="0" xfId="0" applyFont="1" applyFill="1" applyAlignment="1">
      <alignment horizontal="center"/>
    </xf>
    <xf numFmtId="3" fontId="150" fillId="22" borderId="62" xfId="0" applyNumberFormat="1" applyFont="1" applyFill="1" applyBorder="1" applyAlignment="1" applyProtection="1">
      <alignment horizontal="center"/>
      <protection locked="0"/>
    </xf>
    <xf numFmtId="3" fontId="150" fillId="22" borderId="0" xfId="0" applyNumberFormat="1" applyFont="1" applyFill="1" applyAlignment="1" applyProtection="1">
      <alignment horizontal="center"/>
      <protection locked="0"/>
    </xf>
    <xf numFmtId="0" fontId="173" fillId="36" borderId="0" xfId="0" applyFont="1" applyFill="1" applyAlignment="1" applyProtection="1">
      <alignment horizontal="center" vertical="center"/>
      <protection locked="0"/>
    </xf>
    <xf numFmtId="3" fontId="176" fillId="12" borderId="0" xfId="0" applyNumberFormat="1" applyFont="1" applyFill="1" applyAlignment="1">
      <alignment horizontal="center"/>
    </xf>
    <xf numFmtId="3" fontId="213" fillId="12" borderId="0" xfId="0" applyNumberFormat="1" applyFont="1" applyFill="1" applyAlignment="1">
      <alignment horizontal="center"/>
    </xf>
    <xf numFmtId="3" fontId="150" fillId="12" borderId="0" xfId="0" applyNumberFormat="1" applyFont="1" applyFill="1" applyAlignment="1">
      <alignment horizontal="center" vertical="center"/>
    </xf>
    <xf numFmtId="0" fontId="221" fillId="12" borderId="0" xfId="0" applyFont="1" applyFill="1" applyAlignment="1">
      <alignment horizontal="left"/>
    </xf>
    <xf numFmtId="0" fontId="173" fillId="12" borderId="0" xfId="0" applyFont="1" applyFill="1" applyAlignment="1">
      <alignment vertical="center"/>
    </xf>
    <xf numFmtId="0" fontId="173" fillId="12" borderId="0" xfId="0" applyFont="1" applyFill="1" applyAlignment="1">
      <alignment horizontal="center" vertical="center"/>
    </xf>
    <xf numFmtId="3" fontId="162" fillId="12" borderId="11" xfId="0" applyNumberFormat="1" applyFont="1" applyFill="1" applyBorder="1" applyAlignment="1">
      <alignment horizontal="center"/>
    </xf>
    <xf numFmtId="0" fontId="162" fillId="12" borderId="11" xfId="0" applyFont="1" applyFill="1" applyBorder="1" applyAlignment="1">
      <alignment horizontal="center"/>
    </xf>
    <xf numFmtId="0" fontId="162" fillId="12" borderId="0" xfId="0" applyFont="1" applyFill="1" applyAlignment="1">
      <alignment horizontal="left"/>
    </xf>
    <xf numFmtId="0" fontId="213" fillId="12" borderId="0" xfId="0" applyFont="1" applyFill="1" applyAlignment="1">
      <alignment horizontal="left" indent="1"/>
    </xf>
    <xf numFmtId="0" fontId="176" fillId="22" borderId="62" xfId="0" applyFont="1" applyFill="1" applyBorder="1" applyAlignment="1" applyProtection="1">
      <alignment horizontal="left"/>
      <protection locked="0"/>
    </xf>
    <xf numFmtId="3" fontId="176" fillId="22" borderId="0" xfId="0" applyNumberFormat="1" applyFont="1" applyFill="1" applyAlignment="1" applyProtection="1">
      <alignment horizontal="center"/>
      <protection locked="0"/>
    </xf>
    <xf numFmtId="0" fontId="162" fillId="12" borderId="0" xfId="0" applyFont="1" applyFill="1"/>
    <xf numFmtId="0" fontId="156" fillId="12" borderId="0" xfId="0" applyFont="1" applyFill="1" applyAlignment="1">
      <alignment vertical="center"/>
    </xf>
    <xf numFmtId="0" fontId="176" fillId="22" borderId="0" xfId="0" applyFont="1" applyFill="1" applyAlignment="1" applyProtection="1">
      <alignment horizontal="left"/>
      <protection locked="0"/>
    </xf>
    <xf numFmtId="3" fontId="156" fillId="12" borderId="0" xfId="0" applyNumberFormat="1" applyFont="1" applyFill="1" applyAlignment="1">
      <alignment horizontal="center" vertical="center"/>
    </xf>
    <xf numFmtId="4" fontId="161" fillId="22" borderId="0" xfId="0" applyNumberFormat="1" applyFont="1" applyFill="1" applyAlignment="1" applyProtection="1">
      <alignment horizontal="center" vertical="center"/>
      <protection locked="0"/>
    </xf>
    <xf numFmtId="0" fontId="176" fillId="12" borderId="21" xfId="0" applyFont="1" applyFill="1" applyBorder="1" applyAlignment="1">
      <alignment horizontal="left" indent="7"/>
    </xf>
    <xf numFmtId="0" fontId="176" fillId="12" borderId="21" xfId="0" applyFont="1" applyFill="1" applyBorder="1"/>
    <xf numFmtId="3" fontId="176" fillId="12" borderId="21" xfId="0" applyNumberFormat="1" applyFont="1" applyFill="1" applyBorder="1" applyAlignment="1">
      <alignment horizontal="center"/>
    </xf>
    <xf numFmtId="0" fontId="150" fillId="22" borderId="0" xfId="0" applyFont="1" applyFill="1" applyProtection="1">
      <protection locked="0"/>
    </xf>
    <xf numFmtId="3" fontId="161" fillId="22" borderId="0" xfId="0" applyNumberFormat="1" applyFont="1" applyFill="1" applyAlignment="1" applyProtection="1">
      <alignment horizontal="center"/>
      <protection locked="0"/>
    </xf>
    <xf numFmtId="173" fontId="161" fillId="22" borderId="0" xfId="0" applyNumberFormat="1" applyFont="1" applyFill="1" applyAlignment="1" applyProtection="1">
      <alignment horizontal="center" vertical="center"/>
      <protection locked="0"/>
    </xf>
    <xf numFmtId="3" fontId="150" fillId="22" borderId="0" xfId="0" applyNumberFormat="1" applyFont="1" applyFill="1" applyAlignment="1" applyProtection="1">
      <alignment horizontal="center" vertical="center"/>
      <protection locked="0"/>
    </xf>
    <xf numFmtId="0" fontId="150" fillId="22" borderId="0" xfId="0" applyFont="1" applyFill="1" applyAlignment="1" applyProtection="1">
      <alignment horizontal="center" vertical="center"/>
      <protection locked="0"/>
    </xf>
    <xf numFmtId="3" fontId="150" fillId="12" borderId="0" xfId="0" applyNumberFormat="1" applyFont="1" applyFill="1"/>
    <xf numFmtId="0" fontId="150" fillId="22" borderId="0" xfId="0" applyFont="1" applyFill="1" applyAlignment="1" applyProtection="1">
      <alignment horizontal="center"/>
      <protection locked="0"/>
    </xf>
    <xf numFmtId="0" fontId="173" fillId="12" borderId="0" xfId="0" applyFont="1" applyFill="1"/>
    <xf numFmtId="0" fontId="176" fillId="22" borderId="0" xfId="0" applyFont="1" applyFill="1" applyProtection="1">
      <protection locked="0"/>
    </xf>
    <xf numFmtId="3" fontId="164" fillId="22" borderId="0" xfId="0" applyNumberFormat="1" applyFont="1" applyFill="1" applyAlignment="1" applyProtection="1">
      <alignment horizontal="center"/>
      <protection locked="0"/>
    </xf>
    <xf numFmtId="0" fontId="186" fillId="12" borderId="21" xfId="3" quotePrefix="1" applyFont="1" applyFill="1" applyBorder="1" applyAlignment="1" applyProtection="1">
      <alignment horizontal="center"/>
    </xf>
    <xf numFmtId="0" fontId="186" fillId="12" borderId="21" xfId="3" quotePrefix="1" applyFont="1" applyFill="1" applyBorder="1" applyAlignment="1" applyProtection="1">
      <alignment horizontal="left" indent="19"/>
    </xf>
    <xf numFmtId="0" fontId="164" fillId="12" borderId="0" xfId="3" quotePrefix="1" applyFont="1" applyFill="1" applyBorder="1" applyAlignment="1" applyProtection="1">
      <alignment horizontal="center"/>
    </xf>
    <xf numFmtId="0" fontId="206" fillId="12" borderId="0" xfId="0" applyFont="1" applyFill="1" applyAlignment="1" applyProtection="1">
      <alignment horizontal="center" wrapText="1"/>
      <protection locked="0"/>
    </xf>
    <xf numFmtId="0" fontId="149" fillId="36" borderId="0" xfId="0" applyFont="1" applyFill="1" applyAlignment="1">
      <alignment horizontal="center" vertical="center"/>
    </xf>
    <xf numFmtId="0" fontId="174" fillId="22" borderId="105" xfId="0" applyFont="1" applyFill="1" applyBorder="1" applyProtection="1">
      <protection locked="0"/>
    </xf>
    <xf numFmtId="0" fontId="174" fillId="22" borderId="0" xfId="0" applyFont="1" applyFill="1" applyAlignment="1" applyProtection="1">
      <alignment horizontal="center" wrapText="1"/>
      <protection locked="0"/>
    </xf>
    <xf numFmtId="0" fontId="224" fillId="12" borderId="0" xfId="3" quotePrefix="1" applyFont="1" applyFill="1" applyBorder="1" applyAlignment="1" applyProtection="1">
      <alignment horizontal="center"/>
    </xf>
    <xf numFmtId="0" fontId="174" fillId="22" borderId="0" xfId="0" applyFont="1" applyFill="1" applyAlignment="1" applyProtection="1">
      <alignment horizontal="center"/>
      <protection locked="0"/>
    </xf>
    <xf numFmtId="0" fontId="150" fillId="22" borderId="58" xfId="0" applyFont="1" applyFill="1" applyBorder="1" applyAlignment="1" applyProtection="1">
      <alignment horizontal="center" vertical="center"/>
      <protection locked="0"/>
    </xf>
    <xf numFmtId="0" fontId="150" fillId="2" borderId="80" xfId="0" applyFont="1" applyFill="1" applyBorder="1" applyAlignment="1" applyProtection="1">
      <alignment horizontal="center"/>
      <protection locked="0"/>
    </xf>
    <xf numFmtId="0" fontId="150" fillId="2" borderId="108" xfId="0" applyFont="1" applyFill="1" applyBorder="1" applyAlignment="1" applyProtection="1">
      <alignment horizontal="center"/>
      <protection locked="0"/>
    </xf>
    <xf numFmtId="0" fontId="150" fillId="2" borderId="109" xfId="0" applyFont="1" applyFill="1" applyBorder="1" applyAlignment="1" applyProtection="1">
      <alignment horizontal="center"/>
      <protection locked="0"/>
    </xf>
    <xf numFmtId="0" fontId="174" fillId="22" borderId="106" xfId="0" applyFont="1" applyFill="1" applyBorder="1" applyProtection="1">
      <protection locked="0"/>
    </xf>
    <xf numFmtId="0" fontId="174" fillId="22" borderId="107" xfId="0" applyFont="1" applyFill="1" applyBorder="1" applyProtection="1">
      <protection locked="0"/>
    </xf>
    <xf numFmtId="0" fontId="160" fillId="10" borderId="0" xfId="0" applyFont="1" applyFill="1" applyAlignment="1">
      <alignment horizontal="center"/>
    </xf>
    <xf numFmtId="0" fontId="150" fillId="10" borderId="0" xfId="0" applyFont="1" applyFill="1" applyAlignment="1">
      <alignment horizontal="center"/>
    </xf>
    <xf numFmtId="0" fontId="3" fillId="6" borderId="8" xfId="0" applyFont="1" applyFill="1" applyBorder="1" applyAlignment="1">
      <alignment horizontal="center" wrapText="1"/>
    </xf>
    <xf numFmtId="0" fontId="3" fillId="6" borderId="0" xfId="0" applyFont="1" applyFill="1" applyAlignment="1">
      <alignment horizontal="center" wrapText="1"/>
    </xf>
    <xf numFmtId="2" fontId="69" fillId="2" borderId="66" xfId="0" applyNumberFormat="1" applyFont="1" applyFill="1" applyBorder="1" applyAlignment="1">
      <alignment horizontal="center"/>
    </xf>
    <xf numFmtId="2" fontId="69" fillId="2" borderId="72" xfId="0" applyNumberFormat="1" applyFont="1" applyFill="1" applyBorder="1" applyAlignment="1">
      <alignment horizontal="center"/>
    </xf>
    <xf numFmtId="165" fontId="69" fillId="2" borderId="66" xfId="0" applyNumberFormat="1" applyFont="1" applyFill="1" applyBorder="1" applyAlignment="1">
      <alignment horizontal="center"/>
    </xf>
    <xf numFmtId="3" fontId="70" fillId="2" borderId="70" xfId="0" applyNumberFormat="1" applyFont="1" applyFill="1" applyBorder="1" applyAlignment="1">
      <alignment horizontal="center"/>
    </xf>
    <xf numFmtId="3" fontId="70" fillId="2" borderId="75" xfId="0" applyNumberFormat="1" applyFont="1" applyFill="1" applyBorder="1" applyAlignment="1">
      <alignment horizontal="center"/>
    </xf>
    <xf numFmtId="3" fontId="70" fillId="2" borderId="0" xfId="0" applyNumberFormat="1" applyFont="1" applyFill="1" applyAlignment="1">
      <alignment horizontal="center"/>
    </xf>
    <xf numFmtId="0" fontId="69" fillId="22" borderId="11" xfId="0" applyFont="1" applyFill="1" applyBorder="1" applyAlignment="1">
      <alignment horizontal="right"/>
    </xf>
    <xf numFmtId="3" fontId="70" fillId="18" borderId="11" xfId="0" applyNumberFormat="1" applyFont="1" applyFill="1" applyBorder="1" applyAlignment="1">
      <alignment horizontal="center"/>
    </xf>
    <xf numFmtId="3" fontId="69" fillId="6" borderId="68" xfId="0" applyNumberFormat="1" applyFont="1" applyFill="1" applyBorder="1" applyAlignment="1">
      <alignment horizontal="center"/>
    </xf>
    <xf numFmtId="0" fontId="74" fillId="22" borderId="21" xfId="0" applyFont="1" applyFill="1" applyBorder="1"/>
    <xf numFmtId="173" fontId="69" fillId="22" borderId="0" xfId="0" applyNumberFormat="1" applyFont="1" applyFill="1"/>
    <xf numFmtId="0" fontId="74" fillId="22" borderId="0" xfId="0" applyFont="1" applyFill="1" applyAlignment="1">
      <alignment horizontal="center" wrapText="1"/>
    </xf>
    <xf numFmtId="0" fontId="74" fillId="22" borderId="0" xfId="0" applyFont="1" applyFill="1" applyAlignment="1">
      <alignment horizontal="left"/>
    </xf>
    <xf numFmtId="0" fontId="69" fillId="11" borderId="0" xfId="0" applyFont="1" applyFill="1"/>
    <xf numFmtId="0" fontId="197" fillId="36" borderId="0" xfId="0" applyFont="1" applyFill="1" applyAlignment="1">
      <alignment horizontal="left" vertical="center"/>
    </xf>
    <xf numFmtId="0" fontId="3" fillId="22" borderId="21" xfId="0" applyFont="1" applyFill="1" applyBorder="1"/>
    <xf numFmtId="0" fontId="167" fillId="12" borderId="21" xfId="3" quotePrefix="1" applyFont="1" applyFill="1" applyBorder="1" applyAlignment="1" applyProtection="1">
      <alignment horizontal="left"/>
    </xf>
    <xf numFmtId="0" fontId="167" fillId="12" borderId="21" xfId="3" quotePrefix="1" applyFont="1" applyFill="1" applyBorder="1" applyAlignment="1" applyProtection="1">
      <alignment horizontal="center"/>
    </xf>
    <xf numFmtId="0" fontId="167" fillId="12" borderId="0" xfId="3" quotePrefix="1" applyFont="1" applyFill="1" applyBorder="1" applyAlignment="1" applyProtection="1">
      <alignment horizontal="center"/>
    </xf>
    <xf numFmtId="0" fontId="161" fillId="12" borderId="0" xfId="3" quotePrefix="1" applyFont="1" applyFill="1" applyBorder="1" applyAlignment="1" applyProtection="1">
      <alignment horizontal="center"/>
    </xf>
    <xf numFmtId="0" fontId="150" fillId="22" borderId="106" xfId="0" applyFont="1" applyFill="1" applyBorder="1" applyProtection="1">
      <protection locked="0"/>
    </xf>
    <xf numFmtId="0" fontId="155" fillId="36" borderId="0" xfId="0" applyFont="1" applyFill="1" applyAlignment="1">
      <alignment horizontal="right" vertical="center"/>
    </xf>
    <xf numFmtId="0" fontId="4" fillId="22" borderId="0" xfId="0" applyFont="1" applyFill="1" applyAlignment="1">
      <alignment horizontal="left"/>
    </xf>
    <xf numFmtId="1" fontId="0" fillId="22" borderId="0" xfId="0" applyNumberFormat="1" applyFill="1" applyAlignment="1">
      <alignment horizontal="center"/>
    </xf>
    <xf numFmtId="1" fontId="4" fillId="22" borderId="0" xfId="0" applyNumberFormat="1" applyFont="1" applyFill="1" applyAlignment="1">
      <alignment horizontal="center"/>
    </xf>
    <xf numFmtId="0" fontId="4" fillId="22" borderId="21" xfId="0" applyFont="1" applyFill="1" applyBorder="1" applyAlignment="1">
      <alignment horizontal="center"/>
    </xf>
    <xf numFmtId="0" fontId="5" fillId="22" borderId="14" xfId="0" applyFont="1" applyFill="1" applyBorder="1" applyAlignment="1">
      <alignment horizontal="left"/>
    </xf>
    <xf numFmtId="1" fontId="5" fillId="22" borderId="14" xfId="0" applyNumberFormat="1" applyFont="1" applyFill="1" applyBorder="1" applyAlignment="1">
      <alignment horizontal="center"/>
    </xf>
    <xf numFmtId="0" fontId="5" fillId="22" borderId="14" xfId="0" applyFont="1" applyFill="1" applyBorder="1" applyAlignment="1">
      <alignment horizontal="center"/>
    </xf>
    <xf numFmtId="0" fontId="0" fillId="22" borderId="21" xfId="0" applyFill="1" applyBorder="1" applyAlignment="1">
      <alignment horizontal="center"/>
    </xf>
    <xf numFmtId="0" fontId="0" fillId="22" borderId="11" xfId="0" applyFill="1" applyBorder="1" applyAlignment="1">
      <alignment horizontal="center"/>
    </xf>
    <xf numFmtId="3" fontId="0" fillId="22" borderId="21" xfId="0" applyNumberFormat="1" applyFill="1" applyBorder="1" applyAlignment="1">
      <alignment horizontal="center"/>
    </xf>
    <xf numFmtId="0" fontId="3" fillId="22" borderId="14" xfId="0" applyFont="1" applyFill="1" applyBorder="1"/>
    <xf numFmtId="0" fontId="72" fillId="19" borderId="0" xfId="0" applyFont="1" applyFill="1"/>
    <xf numFmtId="0" fontId="72" fillId="22" borderId="0" xfId="0" applyFont="1" applyFill="1"/>
    <xf numFmtId="0" fontId="78" fillId="22" borderId="21" xfId="0" applyFont="1" applyFill="1" applyBorder="1"/>
    <xf numFmtId="0" fontId="72" fillId="22" borderId="21" xfId="0" applyFont="1" applyFill="1" applyBorder="1"/>
    <xf numFmtId="0" fontId="78" fillId="22" borderId="0" xfId="0" applyFont="1" applyFill="1"/>
    <xf numFmtId="0" fontId="55" fillId="12" borderId="14" xfId="0" applyFont="1" applyFill="1" applyBorder="1" applyAlignment="1">
      <alignment horizontal="left"/>
    </xf>
    <xf numFmtId="0" fontId="55" fillId="12" borderId="14" xfId="0" applyFont="1" applyFill="1" applyBorder="1" applyAlignment="1">
      <alignment horizontal="center"/>
    </xf>
    <xf numFmtId="3" fontId="55" fillId="12" borderId="14" xfId="0" applyNumberFormat="1" applyFont="1" applyFill="1" applyBorder="1" applyAlignment="1">
      <alignment horizontal="center"/>
    </xf>
    <xf numFmtId="171" fontId="82" fillId="19" borderId="0" xfId="0" applyNumberFormat="1" applyFont="1" applyFill="1" applyAlignment="1">
      <alignment horizontal="center" vertical="center"/>
    </xf>
    <xf numFmtId="171" fontId="72" fillId="2" borderId="0" xfId="0" applyNumberFormat="1" applyFont="1" applyFill="1" applyAlignment="1">
      <alignment horizontal="center"/>
    </xf>
    <xf numFmtId="3" fontId="82" fillId="19" borderId="0" xfId="0" applyNumberFormat="1" applyFont="1" applyFill="1" applyAlignment="1">
      <alignment horizontal="center" vertical="center"/>
    </xf>
    <xf numFmtId="3" fontId="72" fillId="2" borderId="0" xfId="0" applyNumberFormat="1" applyFont="1" applyFill="1" applyAlignment="1">
      <alignment horizontal="center"/>
    </xf>
    <xf numFmtId="9" fontId="82" fillId="19" borderId="0" xfId="6" applyFont="1" applyFill="1" applyAlignment="1">
      <alignment horizontal="center" vertical="center"/>
    </xf>
    <xf numFmtId="9" fontId="72" fillId="2" borderId="0" xfId="6" applyFont="1" applyFill="1" applyAlignment="1">
      <alignment horizontal="center"/>
    </xf>
    <xf numFmtId="0" fontId="72" fillId="22" borderId="10" xfId="0" applyFont="1" applyFill="1" applyBorder="1"/>
    <xf numFmtId="0" fontId="72" fillId="22" borderId="10" xfId="0" applyFont="1" applyFill="1" applyBorder="1" applyAlignment="1">
      <alignment horizontal="center"/>
    </xf>
    <xf numFmtId="0" fontId="55" fillId="12" borderId="0" xfId="0" applyFont="1" applyFill="1" applyAlignment="1">
      <alignment horizontal="right"/>
    </xf>
    <xf numFmtId="3" fontId="55" fillId="2" borderId="66" xfId="0" applyNumberFormat="1" applyFont="1" applyFill="1" applyBorder="1" applyAlignment="1">
      <alignment horizontal="center"/>
    </xf>
    <xf numFmtId="3" fontId="72" fillId="22" borderId="0" xfId="0" applyNumberFormat="1" applyFont="1" applyFill="1" applyAlignment="1">
      <alignment horizontal="left"/>
    </xf>
    <xf numFmtId="3" fontId="55" fillId="2" borderId="79" xfId="0" applyNumberFormat="1" applyFont="1" applyFill="1" applyBorder="1" applyAlignment="1">
      <alignment horizontal="center"/>
    </xf>
    <xf numFmtId="3" fontId="55" fillId="2" borderId="0" xfId="0" applyNumberFormat="1" applyFont="1" applyFill="1" applyAlignment="1">
      <alignment horizontal="center"/>
    </xf>
    <xf numFmtId="0" fontId="72" fillId="22" borderId="11" xfId="0" applyFont="1" applyFill="1" applyBorder="1" applyAlignment="1">
      <alignment horizontal="right"/>
    </xf>
    <xf numFmtId="3" fontId="72" fillId="22" borderId="11" xfId="0" applyNumberFormat="1" applyFont="1" applyFill="1" applyBorder="1" applyAlignment="1">
      <alignment horizontal="center"/>
    </xf>
    <xf numFmtId="3" fontId="55" fillId="18" borderId="11" xfId="0" applyNumberFormat="1" applyFont="1" applyFill="1" applyBorder="1" applyAlignment="1">
      <alignment horizontal="center"/>
    </xf>
    <xf numFmtId="0" fontId="72" fillId="21" borderId="0" xfId="0" applyFont="1" applyFill="1" applyAlignment="1">
      <alignment horizontal="center"/>
    </xf>
    <xf numFmtId="0" fontId="72" fillId="38" borderId="0" xfId="0" applyFont="1" applyFill="1" applyAlignment="1">
      <alignment horizontal="center"/>
    </xf>
    <xf numFmtId="0" fontId="72" fillId="6" borderId="0" xfId="0" applyFont="1" applyFill="1" applyAlignment="1">
      <alignment horizontal="center"/>
    </xf>
    <xf numFmtId="3" fontId="72" fillId="2" borderId="66" xfId="0" applyNumberFormat="1" applyFont="1" applyFill="1" applyBorder="1" applyAlignment="1">
      <alignment horizontal="center"/>
    </xf>
    <xf numFmtId="0" fontId="72" fillId="2" borderId="72" xfId="0" applyFont="1" applyFill="1" applyBorder="1" applyAlignment="1">
      <alignment horizontal="center"/>
    </xf>
    <xf numFmtId="0" fontId="72" fillId="2" borderId="67" xfId="0" applyFont="1" applyFill="1" applyBorder="1" applyAlignment="1">
      <alignment horizontal="center"/>
    </xf>
    <xf numFmtId="3" fontId="72" fillId="2" borderId="67" xfId="0" applyNumberFormat="1" applyFont="1" applyFill="1" applyBorder="1" applyAlignment="1">
      <alignment horizontal="center"/>
    </xf>
    <xf numFmtId="3" fontId="72" fillId="2" borderId="72" xfId="0" applyNumberFormat="1" applyFont="1" applyFill="1" applyBorder="1" applyAlignment="1">
      <alignment horizontal="center"/>
    </xf>
    <xf numFmtId="3" fontId="72" fillId="6" borderId="67" xfId="0" applyNumberFormat="1" applyFont="1" applyFill="1" applyBorder="1" applyAlignment="1">
      <alignment horizontal="center"/>
    </xf>
    <xf numFmtId="3" fontId="72" fillId="22" borderId="0" xfId="0" applyNumberFormat="1" applyFont="1" applyFill="1"/>
    <xf numFmtId="3" fontId="72" fillId="22" borderId="0" xfId="0" applyNumberFormat="1" applyFont="1" applyFill="1" applyAlignment="1">
      <alignment horizontal="center"/>
    </xf>
    <xf numFmtId="3" fontId="72" fillId="2" borderId="68" xfId="0" applyNumberFormat="1" applyFont="1" applyFill="1" applyBorder="1" applyAlignment="1">
      <alignment horizontal="center"/>
    </xf>
    <xf numFmtId="0" fontId="72" fillId="2" borderId="73" xfId="0" applyFont="1" applyFill="1" applyBorder="1" applyAlignment="1">
      <alignment horizontal="center"/>
    </xf>
    <xf numFmtId="0" fontId="72" fillId="2" borderId="69" xfId="0" applyFont="1" applyFill="1" applyBorder="1" applyAlignment="1">
      <alignment horizontal="center"/>
    </xf>
    <xf numFmtId="3" fontId="72" fillId="2" borderId="69" xfId="0" applyNumberFormat="1" applyFont="1" applyFill="1" applyBorder="1" applyAlignment="1">
      <alignment horizontal="center"/>
    </xf>
    <xf numFmtId="3" fontId="72" fillId="2" borderId="73" xfId="0" applyNumberFormat="1" applyFont="1" applyFill="1" applyBorder="1" applyAlignment="1">
      <alignment horizontal="center"/>
    </xf>
    <xf numFmtId="3" fontId="72" fillId="6" borderId="69" xfId="0" applyNumberFormat="1" applyFont="1" applyFill="1" applyBorder="1" applyAlignment="1">
      <alignment horizontal="center"/>
    </xf>
    <xf numFmtId="3" fontId="72" fillId="2" borderId="70" xfId="0" applyNumberFormat="1" applyFont="1" applyFill="1" applyBorder="1" applyAlignment="1">
      <alignment horizontal="center"/>
    </xf>
    <xf numFmtId="0" fontId="72" fillId="2" borderId="74" xfId="0" applyFont="1" applyFill="1" applyBorder="1" applyAlignment="1">
      <alignment horizontal="center"/>
    </xf>
    <xf numFmtId="0" fontId="72" fillId="2" borderId="71" xfId="0" applyFont="1" applyFill="1" applyBorder="1" applyAlignment="1">
      <alignment horizontal="center"/>
    </xf>
    <xf numFmtId="3" fontId="72" fillId="2" borderId="71" xfId="0" applyNumberFormat="1" applyFont="1" applyFill="1" applyBorder="1" applyAlignment="1">
      <alignment horizontal="center"/>
    </xf>
    <xf numFmtId="3" fontId="72" fillId="2" borderId="74" xfId="0" applyNumberFormat="1" applyFont="1" applyFill="1" applyBorder="1" applyAlignment="1">
      <alignment horizontal="center"/>
    </xf>
    <xf numFmtId="3" fontId="72" fillId="6" borderId="71" xfId="0" applyNumberFormat="1" applyFont="1" applyFill="1" applyBorder="1" applyAlignment="1">
      <alignment horizontal="center"/>
    </xf>
    <xf numFmtId="3" fontId="72" fillId="6" borderId="0" xfId="0" applyNumberFormat="1" applyFont="1" applyFill="1"/>
    <xf numFmtId="3" fontId="72" fillId="6" borderId="0" xfId="0" applyNumberFormat="1" applyFont="1" applyFill="1" applyAlignment="1">
      <alignment horizontal="right"/>
    </xf>
    <xf numFmtId="3" fontId="72" fillId="6" borderId="0" xfId="0" applyNumberFormat="1" applyFont="1" applyFill="1" applyAlignment="1">
      <alignment horizontal="center"/>
    </xf>
    <xf numFmtId="2" fontId="82" fillId="19" borderId="0" xfId="6" applyNumberFormat="1" applyFont="1" applyFill="1" applyAlignment="1">
      <alignment horizontal="center" vertical="center"/>
    </xf>
    <xf numFmtId="2" fontId="72" fillId="2" borderId="0" xfId="6" applyNumberFormat="1" applyFont="1" applyFill="1" applyAlignment="1">
      <alignment horizontal="center"/>
    </xf>
    <xf numFmtId="0" fontId="72" fillId="2" borderId="66" xfId="0" applyFont="1" applyFill="1" applyBorder="1" applyAlignment="1">
      <alignment horizontal="center"/>
    </xf>
    <xf numFmtId="1" fontId="72" fillId="2" borderId="67" xfId="0" applyNumberFormat="1" applyFont="1" applyFill="1" applyBorder="1" applyAlignment="1">
      <alignment horizontal="center"/>
    </xf>
    <xf numFmtId="0" fontId="72" fillId="2" borderId="68" xfId="0" applyFont="1" applyFill="1" applyBorder="1" applyAlignment="1">
      <alignment horizontal="center"/>
    </xf>
    <xf numFmtId="1" fontId="72" fillId="2" borderId="69" xfId="0" applyNumberFormat="1" applyFont="1" applyFill="1" applyBorder="1" applyAlignment="1">
      <alignment horizontal="center"/>
    </xf>
    <xf numFmtId="0" fontId="72" fillId="2" borderId="70" xfId="0" applyFont="1" applyFill="1" applyBorder="1" applyAlignment="1">
      <alignment horizontal="center"/>
    </xf>
    <xf numFmtId="1" fontId="72" fillId="2" borderId="71" xfId="0" applyNumberFormat="1" applyFont="1" applyFill="1" applyBorder="1" applyAlignment="1">
      <alignment horizontal="center"/>
    </xf>
    <xf numFmtId="0" fontId="72" fillId="22" borderId="116" xfId="0" applyFont="1" applyFill="1" applyBorder="1"/>
    <xf numFmtId="0" fontId="72" fillId="22" borderId="117" xfId="0" applyFont="1" applyFill="1" applyBorder="1"/>
    <xf numFmtId="0" fontId="78" fillId="22" borderId="0" xfId="0" applyFont="1" applyFill="1" applyAlignment="1">
      <alignment horizontal="center"/>
    </xf>
    <xf numFmtId="0" fontId="72" fillId="22" borderId="0" xfId="0" applyFont="1" applyFill="1" applyAlignment="1">
      <alignment horizontal="right"/>
    </xf>
    <xf numFmtId="4" fontId="82" fillId="19" borderId="0" xfId="0" applyNumberFormat="1" applyFont="1" applyFill="1" applyAlignment="1">
      <alignment horizontal="center"/>
    </xf>
    <xf numFmtId="4" fontId="72" fillId="22" borderId="0" xfId="0" applyNumberFormat="1" applyFont="1" applyFill="1" applyAlignment="1">
      <alignment horizontal="center"/>
    </xf>
    <xf numFmtId="3" fontId="82" fillId="19" borderId="79" xfId="0" applyNumberFormat="1" applyFont="1" applyFill="1" applyBorder="1" applyAlignment="1">
      <alignment horizontal="center"/>
    </xf>
    <xf numFmtId="3" fontId="82" fillId="19" borderId="118" xfId="0" applyNumberFormat="1" applyFont="1" applyFill="1" applyBorder="1" applyAlignment="1">
      <alignment horizontal="center"/>
    </xf>
    <xf numFmtId="3" fontId="82" fillId="19" borderId="119" xfId="0" applyNumberFormat="1" applyFont="1" applyFill="1" applyBorder="1" applyAlignment="1">
      <alignment horizontal="center"/>
    </xf>
    <xf numFmtId="0" fontId="229" fillId="19" borderId="0" xfId="0" applyFont="1" applyFill="1" applyAlignment="1">
      <alignment horizontal="center"/>
    </xf>
    <xf numFmtId="171" fontId="72" fillId="2" borderId="66" xfId="0" applyNumberFormat="1" applyFont="1" applyFill="1" applyBorder="1" applyAlignment="1">
      <alignment horizontal="center"/>
    </xf>
    <xf numFmtId="0" fontId="72" fillId="2" borderId="0" xfId="0" applyFont="1" applyFill="1" applyAlignment="1">
      <alignment horizontal="center"/>
    </xf>
    <xf numFmtId="0" fontId="150" fillId="22" borderId="0" xfId="0" applyFont="1" applyFill="1" applyAlignment="1" applyProtection="1">
      <alignment horizontal="left"/>
      <protection locked="0"/>
    </xf>
    <xf numFmtId="2" fontId="72" fillId="22" borderId="0" xfId="0" applyNumberFormat="1" applyFont="1" applyFill="1" applyAlignment="1">
      <alignment horizontal="center"/>
    </xf>
    <xf numFmtId="0" fontId="230" fillId="19" borderId="0" xfId="0" applyFont="1" applyFill="1" applyAlignment="1">
      <alignment horizontal="left" vertical="center"/>
    </xf>
    <xf numFmtId="0" fontId="128" fillId="19" borderId="0" xfId="0" applyFont="1" applyFill="1" applyAlignment="1">
      <alignment horizontal="left" vertical="center"/>
    </xf>
    <xf numFmtId="173" fontId="69" fillId="2" borderId="73" xfId="0" applyNumberFormat="1" applyFont="1" applyFill="1" applyBorder="1" applyAlignment="1">
      <alignment horizontal="center"/>
    </xf>
    <xf numFmtId="0" fontId="110" fillId="22" borderId="3" xfId="0" applyFont="1" applyFill="1" applyBorder="1" applyAlignment="1">
      <alignment vertical="center"/>
    </xf>
    <xf numFmtId="166" fontId="9" fillId="0" borderId="0" xfId="4" applyNumberFormat="1" applyFont="1" applyBorder="1"/>
    <xf numFmtId="43" fontId="9" fillId="0" borderId="0" xfId="0" applyNumberFormat="1" applyFont="1"/>
    <xf numFmtId="0" fontId="9" fillId="0" borderId="0" xfId="0" applyFont="1" applyAlignment="1">
      <alignment horizontal="center"/>
    </xf>
    <xf numFmtId="3" fontId="9" fillId="0" borderId="0" xfId="0" applyNumberFormat="1" applyFont="1"/>
    <xf numFmtId="2" fontId="9" fillId="0" borderId="0" xfId="0" applyNumberFormat="1" applyFont="1"/>
    <xf numFmtId="166" fontId="9" fillId="0" borderId="0" xfId="0" applyNumberFormat="1" applyFont="1"/>
    <xf numFmtId="168" fontId="9" fillId="0" borderId="0" xfId="4" applyNumberFormat="1" applyFont="1" applyBorder="1"/>
    <xf numFmtId="0" fontId="231" fillId="12" borderId="0" xfId="0" applyFont="1" applyFill="1" applyAlignment="1">
      <alignment horizontal="left" indent="24"/>
    </xf>
    <xf numFmtId="0" fontId="231" fillId="12" borderId="0" xfId="0" applyFont="1" applyFill="1" applyAlignment="1">
      <alignment horizontal="left" indent="15"/>
    </xf>
    <xf numFmtId="3" fontId="74" fillId="6" borderId="0" xfId="0" applyNumberFormat="1" applyFont="1" applyFill="1" applyAlignment="1">
      <alignment horizontal="center"/>
    </xf>
    <xf numFmtId="0" fontId="232" fillId="22" borderId="0" xfId="0" applyFont="1" applyFill="1"/>
    <xf numFmtId="0" fontId="207" fillId="36" borderId="0" xfId="0" applyFont="1" applyFill="1" applyAlignment="1">
      <alignment horizontal="center" vertical="center"/>
    </xf>
    <xf numFmtId="0" fontId="110" fillId="12" borderId="8" xfId="0" applyFont="1" applyFill="1" applyBorder="1" applyAlignment="1">
      <alignment vertical="center"/>
    </xf>
    <xf numFmtId="0" fontId="110" fillId="12" borderId="0" xfId="0" applyFont="1" applyFill="1" applyAlignment="1">
      <alignment vertical="center"/>
    </xf>
    <xf numFmtId="0" fontId="84" fillId="12" borderId="8" xfId="0" applyFont="1" applyFill="1" applyBorder="1" applyAlignment="1">
      <alignment horizontal="left" vertical="center"/>
    </xf>
    <xf numFmtId="0" fontId="84" fillId="12" borderId="0" xfId="0" applyFont="1" applyFill="1" applyAlignment="1">
      <alignment vertical="center"/>
    </xf>
    <xf numFmtId="0" fontId="162" fillId="12" borderId="11" xfId="0" applyFont="1" applyFill="1" applyBorder="1" applyAlignment="1">
      <alignment horizontal="right"/>
    </xf>
    <xf numFmtId="0" fontId="167" fillId="12" borderId="11" xfId="0" applyFont="1" applyFill="1" applyBorder="1" applyAlignment="1">
      <alignment horizontal="right" vertical="center"/>
    </xf>
    <xf numFmtId="165" fontId="37" fillId="6" borderId="9" xfId="0" applyNumberFormat="1" applyFont="1" applyFill="1" applyBorder="1" applyAlignment="1">
      <alignment horizontal="center"/>
    </xf>
    <xf numFmtId="0" fontId="150" fillId="36" borderId="0" xfId="0" applyFont="1" applyFill="1" applyAlignment="1">
      <alignment horizontal="center"/>
    </xf>
    <xf numFmtId="0" fontId="166" fillId="22" borderId="0" xfId="0" applyFont="1" applyFill="1" applyAlignment="1">
      <alignment horizontal="left" vertical="center" indent="1"/>
    </xf>
    <xf numFmtId="0" fontId="158" fillId="22" borderId="0" xfId="0" applyFont="1" applyFill="1" applyAlignment="1">
      <alignment horizontal="center" vertical="center"/>
    </xf>
    <xf numFmtId="0" fontId="214" fillId="36" borderId="0" xfId="0" applyFont="1" applyFill="1" applyAlignment="1">
      <alignment horizontal="left" vertical="top" indent="57"/>
    </xf>
    <xf numFmtId="0" fontId="174" fillId="12" borderId="0" xfId="0" applyFont="1" applyFill="1" applyAlignment="1">
      <alignment horizontal="left" indent="5"/>
    </xf>
    <xf numFmtId="0" fontId="214" fillId="10" borderId="0" xfId="0" applyFont="1" applyFill="1" applyAlignment="1">
      <alignment horizontal="left" vertical="top" indent="57"/>
    </xf>
    <xf numFmtId="0" fontId="215" fillId="12" borderId="0" xfId="0" applyFont="1" applyFill="1" applyAlignment="1">
      <alignment horizontal="left" vertical="center"/>
    </xf>
    <xf numFmtId="0" fontId="162" fillId="12" borderId="21" xfId="0" applyFont="1" applyFill="1" applyBorder="1" applyAlignment="1">
      <alignment horizontal="left"/>
    </xf>
    <xf numFmtId="0" fontId="212" fillId="12" borderId="21" xfId="0" applyFont="1" applyFill="1" applyBorder="1"/>
    <xf numFmtId="0" fontId="162" fillId="12" borderId="21" xfId="0" applyFont="1" applyFill="1" applyBorder="1" applyAlignment="1">
      <alignment horizontal="left" indent="3"/>
    </xf>
    <xf numFmtId="0" fontId="176" fillId="12" borderId="21" xfId="0" applyFont="1" applyFill="1" applyBorder="1" applyAlignment="1">
      <alignment horizontal="left" indent="3"/>
    </xf>
    <xf numFmtId="0" fontId="162" fillId="12" borderId="21" xfId="0" applyFont="1" applyFill="1" applyBorder="1"/>
    <xf numFmtId="0" fontId="215" fillId="10" borderId="0" xfId="0" applyFont="1" applyFill="1" applyAlignment="1">
      <alignment horizontal="left" vertical="center"/>
    </xf>
    <xf numFmtId="0" fontId="214" fillId="10" borderId="21" xfId="0" applyFont="1" applyFill="1" applyBorder="1" applyAlignment="1">
      <alignment horizontal="left" vertical="top" indent="60"/>
    </xf>
    <xf numFmtId="0" fontId="161" fillId="10" borderId="21" xfId="0" applyFont="1" applyFill="1" applyBorder="1" applyAlignment="1">
      <alignment horizontal="center" vertical="top"/>
    </xf>
    <xf numFmtId="0" fontId="214" fillId="10" borderId="21" xfId="0" applyFont="1" applyFill="1" applyBorder="1" applyAlignment="1">
      <alignment horizontal="center" vertical="top"/>
    </xf>
    <xf numFmtId="0" fontId="167" fillId="10" borderId="21" xfId="0" applyFont="1" applyFill="1" applyBorder="1" applyAlignment="1">
      <alignment horizontal="center" vertical="top"/>
    </xf>
    <xf numFmtId="0" fontId="158" fillId="12" borderId="0" xfId="0" applyFont="1" applyFill="1" applyAlignment="1">
      <alignment horizontal="left" vertical="center" indent="57"/>
    </xf>
    <xf numFmtId="0" fontId="176" fillId="10" borderId="0" xfId="0" applyFont="1" applyFill="1" applyAlignment="1">
      <alignment horizontal="left" vertical="top" indent="4"/>
    </xf>
    <xf numFmtId="0" fontId="176" fillId="10" borderId="0" xfId="0" applyFont="1" applyFill="1" applyAlignment="1">
      <alignment horizontal="left" vertical="top" indent="3"/>
    </xf>
    <xf numFmtId="0" fontId="195" fillId="12" borderId="0" xfId="0" applyFont="1" applyFill="1" applyAlignment="1">
      <alignment horizontal="left" vertical="center"/>
    </xf>
    <xf numFmtId="0" fontId="176" fillId="12" borderId="0" xfId="0" applyFont="1" applyFill="1" applyAlignment="1">
      <alignment horizontal="left" indent="4"/>
    </xf>
    <xf numFmtId="0" fontId="176" fillId="12" borderId="0" xfId="0" applyFont="1" applyFill="1" applyAlignment="1">
      <alignment horizontal="left" indent="5"/>
    </xf>
    <xf numFmtId="0" fontId="195" fillId="10" borderId="0" xfId="0" applyFont="1" applyFill="1" applyAlignment="1">
      <alignment horizontal="left" vertical="center"/>
    </xf>
    <xf numFmtId="0" fontId="214" fillId="10" borderId="0" xfId="0" applyFont="1" applyFill="1" applyAlignment="1">
      <alignment horizontal="left" vertical="top"/>
    </xf>
    <xf numFmtId="0" fontId="161" fillId="10" borderId="0" xfId="0" applyFont="1" applyFill="1" applyAlignment="1">
      <alignment horizontal="left" vertical="top" indent="57"/>
    </xf>
    <xf numFmtId="0" fontId="156" fillId="36" borderId="0" xfId="0" applyFont="1" applyFill="1"/>
    <xf numFmtId="0" fontId="156" fillId="36" borderId="0" xfId="0" applyFont="1" applyFill="1" applyAlignment="1">
      <alignment horizontal="center"/>
    </xf>
    <xf numFmtId="0" fontId="162" fillId="12" borderId="21" xfId="0" applyFont="1" applyFill="1" applyBorder="1" applyAlignment="1">
      <alignment horizontal="left" indent="1"/>
    </xf>
    <xf numFmtId="0" fontId="162" fillId="12" borderId="0" xfId="0" applyFont="1" applyFill="1" applyAlignment="1">
      <alignment horizontal="left" indent="28"/>
    </xf>
    <xf numFmtId="0" fontId="161" fillId="10" borderId="0" xfId="0" applyFont="1" applyFill="1" applyAlignment="1">
      <alignment horizontal="left" vertical="top" indent="4"/>
    </xf>
    <xf numFmtId="0" fontId="161" fillId="10" borderId="0" xfId="0" applyFont="1" applyFill="1" applyAlignment="1">
      <alignment horizontal="left" vertical="top" indent="3"/>
    </xf>
    <xf numFmtId="0" fontId="176" fillId="12" borderId="0" xfId="0" applyFont="1" applyFill="1" applyAlignment="1">
      <alignment horizontal="left" indent="25"/>
    </xf>
    <xf numFmtId="0" fontId="161" fillId="10" borderId="0" xfId="0" applyFont="1" applyFill="1"/>
    <xf numFmtId="0" fontId="222" fillId="10" borderId="0" xfId="0" applyFont="1" applyFill="1"/>
    <xf numFmtId="0" fontId="214" fillId="10" borderId="0" xfId="0" applyFont="1" applyFill="1" applyAlignment="1">
      <alignment horizontal="center" vertical="top"/>
    </xf>
    <xf numFmtId="0" fontId="153" fillId="10" borderId="0" xfId="0" applyFont="1" applyFill="1" applyAlignment="1">
      <alignment horizontal="center"/>
    </xf>
    <xf numFmtId="0" fontId="150" fillId="10" borderId="0" xfId="0" applyFont="1" applyFill="1" applyAlignment="1">
      <alignment horizontal="left" vertical="center"/>
    </xf>
    <xf numFmtId="0" fontId="153" fillId="22" borderId="0" xfId="0" applyFont="1" applyFill="1" applyAlignment="1">
      <alignment horizontal="center"/>
    </xf>
    <xf numFmtId="0" fontId="186" fillId="12" borderId="0" xfId="0" applyFont="1" applyFill="1" applyAlignment="1">
      <alignment horizontal="left" indent="4"/>
    </xf>
    <xf numFmtId="0" fontId="160" fillId="10" borderId="0" xfId="0" applyFont="1" applyFill="1" applyAlignment="1">
      <alignment horizontal="center" vertical="center"/>
    </xf>
    <xf numFmtId="0" fontId="225" fillId="10" borderId="114" xfId="0" applyFont="1" applyFill="1" applyBorder="1"/>
    <xf numFmtId="0" fontId="160" fillId="10" borderId="114" xfId="0" applyFont="1" applyFill="1" applyBorder="1"/>
    <xf numFmtId="0" fontId="150" fillId="10" borderId="114" xfId="0" applyFont="1" applyFill="1" applyBorder="1"/>
    <xf numFmtId="0" fontId="150" fillId="10" borderId="115" xfId="0" applyFont="1" applyFill="1" applyBorder="1"/>
    <xf numFmtId="0" fontId="177" fillId="12" borderId="0" xfId="0" applyFont="1" applyFill="1" applyAlignment="1">
      <alignment horizontal="left" indent="1"/>
    </xf>
    <xf numFmtId="0" fontId="177" fillId="12" borderId="0" xfId="0" applyFont="1" applyFill="1" applyAlignment="1">
      <alignment horizontal="left" indent="4"/>
    </xf>
    <xf numFmtId="0" fontId="162" fillId="10" borderId="116" xfId="0" applyFont="1" applyFill="1" applyBorder="1"/>
    <xf numFmtId="0" fontId="150" fillId="10" borderId="116" xfId="0" applyFont="1" applyFill="1" applyBorder="1"/>
    <xf numFmtId="0" fontId="160" fillId="10" borderId="116" xfId="0" applyFont="1" applyFill="1" applyBorder="1"/>
    <xf numFmtId="0" fontId="160" fillId="12" borderId="0" xfId="0" applyFont="1" applyFill="1" applyAlignment="1">
      <alignment horizontal="left" indent="25"/>
    </xf>
    <xf numFmtId="0" fontId="162" fillId="10" borderId="0" xfId="0" applyFont="1" applyFill="1"/>
    <xf numFmtId="0" fontId="160" fillId="10" borderId="21" xfId="0" applyFont="1" applyFill="1" applyBorder="1"/>
    <xf numFmtId="0" fontId="161" fillId="10" borderId="21" xfId="0" applyFont="1" applyFill="1" applyBorder="1"/>
    <xf numFmtId="0" fontId="150" fillId="12" borderId="0" xfId="0" applyFont="1" applyFill="1" applyAlignment="1">
      <alignment horizontal="left" indent="5"/>
    </xf>
    <xf numFmtId="0" fontId="161" fillId="10" borderId="0" xfId="0" applyFont="1" applyFill="1" applyAlignment="1">
      <alignment horizontal="center"/>
    </xf>
    <xf numFmtId="171" fontId="161" fillId="10" borderId="0" xfId="0" applyNumberFormat="1" applyFont="1" applyFill="1" applyAlignment="1">
      <alignment horizontal="center"/>
    </xf>
    <xf numFmtId="9" fontId="150" fillId="10" borderId="0" xfId="6" applyFont="1" applyFill="1" applyAlignment="1" applyProtection="1">
      <alignment horizontal="center"/>
    </xf>
    <xf numFmtId="4" fontId="150" fillId="10" borderId="0" xfId="0" applyNumberFormat="1" applyFont="1" applyFill="1" applyAlignment="1">
      <alignment horizontal="center"/>
    </xf>
    <xf numFmtId="2" fontId="150" fillId="10" borderId="0" xfId="0" applyNumberFormat="1" applyFont="1" applyFill="1" applyAlignment="1">
      <alignment horizontal="center"/>
    </xf>
    <xf numFmtId="0" fontId="225" fillId="22" borderId="0" xfId="0" applyFont="1" applyFill="1" applyAlignment="1">
      <alignment horizontal="left"/>
    </xf>
    <xf numFmtId="0" fontId="225" fillId="22" borderId="0" xfId="0" applyFont="1" applyFill="1" applyAlignment="1">
      <alignment horizontal="left" vertical="center"/>
    </xf>
    <xf numFmtId="0" fontId="160" fillId="22" borderId="0" xfId="0" applyFont="1" applyFill="1" applyAlignment="1">
      <alignment horizontal="left" indent="3"/>
    </xf>
    <xf numFmtId="0" fontId="160" fillId="22" borderId="0" xfId="0" applyFont="1" applyFill="1" applyAlignment="1">
      <alignment horizontal="left" indent="2"/>
    </xf>
    <xf numFmtId="0" fontId="160" fillId="22" borderId="0" xfId="0" applyFont="1" applyFill="1" applyAlignment="1">
      <alignment horizontal="left" indent="4"/>
    </xf>
    <xf numFmtId="0" fontId="160" fillId="22" borderId="0" xfId="0" applyFont="1" applyFill="1" applyAlignment="1">
      <alignment horizontal="left" indent="1"/>
    </xf>
    <xf numFmtId="0" fontId="161" fillId="22" borderId="0" xfId="0" applyFont="1" applyFill="1" applyAlignment="1" applyProtection="1">
      <alignment vertical="top"/>
      <protection locked="0"/>
    </xf>
    <xf numFmtId="0" fontId="161" fillId="22" borderId="0" xfId="0" applyFont="1" applyFill="1" applyAlignment="1" applyProtection="1">
      <alignment horizontal="center" vertical="top"/>
      <protection locked="0"/>
    </xf>
    <xf numFmtId="0" fontId="174" fillId="10" borderId="0" xfId="0" applyFont="1" applyFill="1" applyAlignment="1">
      <alignment horizontal="center" vertical="center"/>
    </xf>
    <xf numFmtId="171" fontId="150" fillId="22" borderId="58" xfId="0" applyNumberFormat="1" applyFont="1" applyFill="1" applyBorder="1" applyProtection="1">
      <protection locked="0"/>
    </xf>
    <xf numFmtId="171" fontId="150" fillId="22" borderId="112" xfId="0" applyNumberFormat="1" applyFont="1" applyFill="1" applyBorder="1" applyProtection="1">
      <protection locked="0"/>
    </xf>
    <xf numFmtId="171" fontId="150" fillId="22" borderId="113" xfId="0" applyNumberFormat="1" applyFont="1" applyFill="1" applyBorder="1" applyProtection="1">
      <protection locked="0"/>
    </xf>
    <xf numFmtId="9" fontId="150" fillId="22" borderId="58" xfId="6" applyFont="1" applyFill="1" applyBorder="1" applyAlignment="1" applyProtection="1">
      <alignment horizontal="center"/>
      <protection locked="0"/>
    </xf>
    <xf numFmtId="9" fontId="150" fillId="22" borderId="112" xfId="6" applyFont="1" applyFill="1" applyBorder="1" applyAlignment="1" applyProtection="1">
      <alignment horizontal="center"/>
      <protection locked="0"/>
    </xf>
    <xf numFmtId="9" fontId="150" fillId="22" borderId="113" xfId="6" applyFont="1" applyFill="1" applyBorder="1" applyAlignment="1" applyProtection="1">
      <alignment horizontal="center"/>
      <protection locked="0"/>
    </xf>
    <xf numFmtId="4" fontId="150" fillId="22" borderId="58" xfId="0" applyNumberFormat="1" applyFont="1" applyFill="1" applyBorder="1" applyAlignment="1" applyProtection="1">
      <alignment horizontal="center"/>
      <protection locked="0"/>
    </xf>
    <xf numFmtId="4" fontId="150" fillId="22" borderId="112" xfId="0" applyNumberFormat="1" applyFont="1" applyFill="1" applyBorder="1" applyAlignment="1" applyProtection="1">
      <alignment horizontal="center"/>
      <protection locked="0"/>
    </xf>
    <xf numFmtId="4" fontId="150" fillId="22" borderId="113" xfId="0" applyNumberFormat="1" applyFont="1" applyFill="1" applyBorder="1" applyAlignment="1" applyProtection="1">
      <alignment horizontal="center"/>
      <protection locked="0"/>
    </xf>
    <xf numFmtId="0" fontId="164" fillId="22" borderId="0" xfId="0" applyFont="1" applyFill="1" applyAlignment="1" applyProtection="1">
      <alignment horizontal="center"/>
      <protection locked="0"/>
    </xf>
    <xf numFmtId="4" fontId="161" fillId="22" borderId="0" xfId="0" applyNumberFormat="1" applyFont="1" applyFill="1" applyAlignment="1" applyProtection="1">
      <alignment horizontal="center"/>
      <protection locked="0"/>
    </xf>
    <xf numFmtId="0" fontId="213" fillId="10" borderId="0" xfId="0" applyFont="1" applyFill="1" applyAlignment="1">
      <alignment vertical="center"/>
    </xf>
    <xf numFmtId="0" fontId="28" fillId="10" borderId="1" xfId="0" applyFont="1" applyFill="1" applyBorder="1" applyAlignment="1">
      <alignment wrapText="1"/>
    </xf>
    <xf numFmtId="0" fontId="4" fillId="6" borderId="5" xfId="2" applyFill="1" applyBorder="1" applyAlignment="1">
      <alignment horizontal="left"/>
    </xf>
    <xf numFmtId="0" fontId="3" fillId="6" borderId="11" xfId="0" applyFont="1" applyFill="1" applyBorder="1"/>
    <xf numFmtId="0" fontId="3" fillId="6" borderId="11" xfId="0" applyFont="1" applyFill="1" applyBorder="1" applyAlignment="1">
      <alignment horizontal="center" wrapText="1"/>
    </xf>
    <xf numFmtId="0" fontId="37" fillId="6" borderId="0" xfId="0" applyFont="1" applyFill="1" applyAlignment="1">
      <alignment horizontal="center"/>
    </xf>
    <xf numFmtId="0" fontId="79" fillId="3" borderId="21" xfId="0" applyFont="1" applyFill="1" applyBorder="1"/>
    <xf numFmtId="0" fontId="69" fillId="3" borderId="21" xfId="0" applyFont="1" applyFill="1" applyBorder="1"/>
    <xf numFmtId="0" fontId="74" fillId="3" borderId="21" xfId="0" applyFont="1" applyFill="1" applyBorder="1"/>
    <xf numFmtId="0" fontId="4" fillId="6" borderId="9" xfId="2" applyFill="1" applyBorder="1" applyAlignment="1">
      <alignment horizontal="left"/>
    </xf>
    <xf numFmtId="0" fontId="72" fillId="37" borderId="0" xfId="0" applyFont="1" applyFill="1" applyAlignment="1">
      <alignment horizontal="center"/>
    </xf>
    <xf numFmtId="0" fontId="230" fillId="41" borderId="0" xfId="0" applyFont="1" applyFill="1" applyAlignment="1">
      <alignment horizontal="center" vertical="center"/>
    </xf>
    <xf numFmtId="0" fontId="230" fillId="22" borderId="0" xfId="0" applyFont="1" applyFill="1" applyAlignment="1">
      <alignment horizontal="center" vertical="center"/>
    </xf>
    <xf numFmtId="0" fontId="230" fillId="22" borderId="21" xfId="0" applyFont="1" applyFill="1" applyBorder="1" applyAlignment="1">
      <alignment horizontal="center" vertical="center"/>
    </xf>
    <xf numFmtId="0" fontId="70" fillId="22" borderId="14" xfId="0" applyFont="1" applyFill="1" applyBorder="1" applyAlignment="1">
      <alignment horizontal="left"/>
    </xf>
    <xf numFmtId="0" fontId="70" fillId="22" borderId="14" xfId="0" applyFont="1" applyFill="1" applyBorder="1" applyAlignment="1">
      <alignment horizontal="center"/>
    </xf>
    <xf numFmtId="3" fontId="70" fillId="22" borderId="14" xfId="0" applyNumberFormat="1" applyFont="1" applyFill="1" applyBorder="1" applyAlignment="1">
      <alignment horizontal="center"/>
    </xf>
    <xf numFmtId="1" fontId="88" fillId="22" borderId="0" xfId="0" applyNumberFormat="1" applyFont="1" applyFill="1"/>
    <xf numFmtId="175" fontId="82" fillId="19" borderId="66" xfId="0" applyNumberFormat="1" applyFont="1" applyFill="1" applyBorder="1" applyAlignment="1">
      <alignment horizontal="center" vertical="center"/>
    </xf>
    <xf numFmtId="175" fontId="82" fillId="19" borderId="68" xfId="0" applyNumberFormat="1" applyFont="1" applyFill="1" applyBorder="1" applyAlignment="1">
      <alignment horizontal="center" vertical="center"/>
    </xf>
    <xf numFmtId="175" fontId="82" fillId="19" borderId="70" xfId="0" applyNumberFormat="1" applyFont="1" applyFill="1" applyBorder="1" applyAlignment="1">
      <alignment horizontal="center" vertical="center"/>
    </xf>
    <xf numFmtId="0" fontId="72" fillId="2" borderId="67" xfId="0" applyFont="1" applyFill="1" applyBorder="1"/>
    <xf numFmtId="0" fontId="72" fillId="2" borderId="69" xfId="0" applyFont="1" applyFill="1" applyBorder="1"/>
    <xf numFmtId="0" fontId="72" fillId="2" borderId="71" xfId="0" applyFont="1" applyFill="1" applyBorder="1"/>
    <xf numFmtId="171" fontId="82" fillId="19" borderId="79" xfId="0" applyNumberFormat="1" applyFont="1" applyFill="1" applyBorder="1" applyAlignment="1">
      <alignment horizontal="center"/>
    </xf>
    <xf numFmtId="171" fontId="82" fillId="19" borderId="118" xfId="0" applyNumberFormat="1" applyFont="1" applyFill="1" applyBorder="1" applyAlignment="1">
      <alignment horizontal="center"/>
    </xf>
    <xf numFmtId="171" fontId="82" fillId="19" borderId="119" xfId="0" applyNumberFormat="1" applyFont="1" applyFill="1" applyBorder="1" applyAlignment="1">
      <alignment horizontal="center"/>
    </xf>
    <xf numFmtId="0" fontId="72" fillId="22" borderId="79" xfId="0" applyFont="1" applyFill="1" applyBorder="1"/>
    <xf numFmtId="0" fontId="72" fillId="22" borderId="118" xfId="0" applyFont="1" applyFill="1" applyBorder="1"/>
    <xf numFmtId="0" fontId="72" fillId="22" borderId="119" xfId="0" applyFont="1" applyFill="1" applyBorder="1"/>
    <xf numFmtId="164" fontId="72" fillId="22" borderId="79" xfId="0" applyNumberFormat="1" applyFont="1" applyFill="1" applyBorder="1" applyAlignment="1">
      <alignment horizontal="center"/>
    </xf>
    <xf numFmtId="164" fontId="72" fillId="22" borderId="118" xfId="0" applyNumberFormat="1" applyFont="1" applyFill="1" applyBorder="1" applyAlignment="1">
      <alignment horizontal="center"/>
    </xf>
    <xf numFmtId="164" fontId="72" fillId="22" borderId="119" xfId="0" applyNumberFormat="1" applyFont="1" applyFill="1" applyBorder="1" applyAlignment="1">
      <alignment horizontal="center"/>
    </xf>
    <xf numFmtId="4" fontId="72" fillId="2" borderId="66" xfId="0" applyNumberFormat="1" applyFont="1" applyFill="1" applyBorder="1" applyAlignment="1">
      <alignment horizontal="center"/>
    </xf>
    <xf numFmtId="4" fontId="72" fillId="2" borderId="72" xfId="0" applyNumberFormat="1" applyFont="1" applyFill="1" applyBorder="1" applyAlignment="1">
      <alignment horizontal="center"/>
    </xf>
    <xf numFmtId="4" fontId="72" fillId="2" borderId="67" xfId="0" applyNumberFormat="1" applyFont="1" applyFill="1" applyBorder="1" applyAlignment="1">
      <alignment horizontal="center"/>
    </xf>
    <xf numFmtId="0" fontId="235" fillId="0" borderId="0" xfId="0" applyFont="1" applyAlignment="1">
      <alignment horizontal="left" vertical="center" wrapText="1"/>
    </xf>
    <xf numFmtId="171" fontId="0" fillId="22" borderId="0" xfId="0" applyNumberFormat="1" applyFill="1" applyAlignment="1">
      <alignment horizontal="center"/>
    </xf>
    <xf numFmtId="0" fontId="0" fillId="2" borderId="68" xfId="0" applyFill="1" applyBorder="1" applyAlignment="1">
      <alignment horizontal="center"/>
    </xf>
    <xf numFmtId="0" fontId="0" fillId="2" borderId="73" xfId="0" applyFill="1" applyBorder="1" applyAlignment="1">
      <alignment horizontal="center"/>
    </xf>
    <xf numFmtId="0" fontId="0" fillId="2" borderId="69" xfId="0" applyFill="1" applyBorder="1" applyAlignment="1">
      <alignment horizontal="center"/>
    </xf>
    <xf numFmtId="0" fontId="0" fillId="2" borderId="70" xfId="0" applyFill="1" applyBorder="1" applyAlignment="1">
      <alignment horizontal="center"/>
    </xf>
    <xf numFmtId="0" fontId="0" fillId="2" borderId="74" xfId="0" applyFill="1" applyBorder="1" applyAlignment="1">
      <alignment horizontal="center"/>
    </xf>
    <xf numFmtId="0" fontId="0" fillId="2" borderId="71" xfId="0" applyFill="1" applyBorder="1" applyAlignment="1">
      <alignment horizontal="center"/>
    </xf>
    <xf numFmtId="0" fontId="99" fillId="29" borderId="0" xfId="0" applyFont="1" applyFill="1" applyAlignment="1">
      <alignment vertical="center"/>
    </xf>
    <xf numFmtId="171" fontId="99" fillId="29" borderId="0" xfId="0" applyNumberFormat="1" applyFont="1" applyFill="1" applyAlignment="1">
      <alignment horizontal="center" vertical="center"/>
    </xf>
    <xf numFmtId="0" fontId="0" fillId="13" borderId="66" xfId="0" applyFill="1" applyBorder="1" applyAlignment="1">
      <alignment horizontal="center"/>
    </xf>
    <xf numFmtId="0" fontId="0" fillId="13" borderId="72" xfId="0" applyFill="1" applyBorder="1" applyAlignment="1">
      <alignment horizontal="center"/>
    </xf>
    <xf numFmtId="171" fontId="0" fillId="13" borderId="72" xfId="0" applyNumberFormat="1" applyFill="1" applyBorder="1" applyAlignment="1">
      <alignment horizontal="center"/>
    </xf>
    <xf numFmtId="0" fontId="0" fillId="13" borderId="67" xfId="0" applyFill="1" applyBorder="1" applyAlignment="1">
      <alignment horizontal="center"/>
    </xf>
    <xf numFmtId="0" fontId="0" fillId="22" borderId="122" xfId="0" applyFill="1" applyBorder="1" applyAlignment="1">
      <alignment horizontal="center"/>
    </xf>
    <xf numFmtId="0" fontId="69" fillId="22" borderId="47" xfId="0" applyFont="1" applyFill="1" applyBorder="1"/>
    <xf numFmtId="164" fontId="77" fillId="22" borderId="0" xfId="0" applyNumberFormat="1" applyFont="1" applyFill="1" applyAlignment="1">
      <alignment horizontal="center"/>
    </xf>
    <xf numFmtId="0" fontId="74" fillId="9" borderId="10" xfId="0" applyFont="1" applyFill="1" applyBorder="1" applyAlignment="1">
      <alignment horizontal="center" vertical="center"/>
    </xf>
    <xf numFmtId="0" fontId="56" fillId="9" borderId="10" xfId="0" applyFont="1" applyFill="1" applyBorder="1" applyAlignment="1">
      <alignment horizontal="center"/>
    </xf>
    <xf numFmtId="171" fontId="69" fillId="2" borderId="9" xfId="0" applyNumberFormat="1" applyFont="1" applyFill="1" applyBorder="1" applyAlignment="1">
      <alignment horizontal="center"/>
    </xf>
    <xf numFmtId="0" fontId="70" fillId="9" borderId="10" xfId="0" applyFont="1" applyFill="1" applyBorder="1" applyAlignment="1">
      <alignment horizontal="center"/>
    </xf>
    <xf numFmtId="171" fontId="69" fillId="2" borderId="7" xfId="0" applyNumberFormat="1" applyFont="1" applyFill="1" applyBorder="1" applyAlignment="1">
      <alignment horizontal="center"/>
    </xf>
    <xf numFmtId="171" fontId="69" fillId="2" borderId="8" xfId="0" applyNumberFormat="1" applyFont="1" applyFill="1" applyBorder="1" applyAlignment="1">
      <alignment horizontal="center"/>
    </xf>
    <xf numFmtId="164" fontId="82" fillId="19" borderId="10" xfId="0" applyNumberFormat="1" applyFont="1" applyFill="1" applyBorder="1" applyAlignment="1">
      <alignment horizontal="center"/>
    </xf>
    <xf numFmtId="171" fontId="69" fillId="2" borderId="21" xfId="0" applyNumberFormat="1" applyFont="1" applyFill="1" applyBorder="1" applyAlignment="1">
      <alignment horizontal="center"/>
    </xf>
    <xf numFmtId="0" fontId="77" fillId="19" borderId="10" xfId="0" applyFont="1" applyFill="1" applyBorder="1" applyAlignment="1">
      <alignment horizontal="center"/>
    </xf>
    <xf numFmtId="164" fontId="77" fillId="19" borderId="10" xfId="0" applyNumberFormat="1" applyFont="1" applyFill="1" applyBorder="1" applyAlignment="1">
      <alignment horizontal="center"/>
    </xf>
    <xf numFmtId="0" fontId="69" fillId="0" borderId="9" xfId="0" applyFont="1" applyBorder="1"/>
    <xf numFmtId="0" fontId="159" fillId="12" borderId="11" xfId="0" applyFont="1" applyFill="1" applyBorder="1" applyAlignment="1">
      <alignment horizontal="center" vertical="center"/>
    </xf>
    <xf numFmtId="0" fontId="161" fillId="10" borderId="0" xfId="0" applyFont="1" applyFill="1" applyAlignment="1">
      <alignment horizontal="left" vertical="center" indent="8"/>
    </xf>
    <xf numFmtId="0" fontId="239" fillId="22" borderId="0" xfId="0" applyFont="1" applyFill="1"/>
    <xf numFmtId="0" fontId="74" fillId="22" borderId="61" xfId="0" applyFont="1" applyFill="1" applyBorder="1" applyAlignment="1">
      <alignment horizontal="left" indent="12"/>
    </xf>
    <xf numFmtId="0" fontId="74" fillId="22" borderId="47" xfId="0" applyFont="1" applyFill="1" applyBorder="1" applyAlignment="1">
      <alignment horizontal="left" indent="12"/>
    </xf>
    <xf numFmtId="0" fontId="69" fillId="22" borderId="47" xfId="0" applyFont="1" applyFill="1" applyBorder="1" applyAlignment="1">
      <alignment horizontal="left" indent="7"/>
    </xf>
    <xf numFmtId="0" fontId="69" fillId="22" borderId="48" xfId="0" applyFont="1" applyFill="1" applyBorder="1"/>
    <xf numFmtId="0" fontId="74" fillId="22" borderId="61" xfId="0" applyFont="1" applyFill="1" applyBorder="1" applyAlignment="1">
      <alignment horizontal="center"/>
    </xf>
    <xf numFmtId="0" fontId="74" fillId="22" borderId="61" xfId="0" applyFont="1" applyFill="1" applyBorder="1" applyAlignment="1">
      <alignment horizontal="left"/>
    </xf>
    <xf numFmtId="0" fontId="74" fillId="32" borderId="42" xfId="0" applyFont="1" applyFill="1" applyBorder="1" applyAlignment="1">
      <alignment horizontal="left" indent="12"/>
    </xf>
    <xf numFmtId="0" fontId="74" fillId="32" borderId="10" xfId="0" applyFont="1" applyFill="1" applyBorder="1" applyAlignment="1">
      <alignment horizontal="left" indent="12"/>
    </xf>
    <xf numFmtId="0" fontId="74" fillId="32" borderId="12" xfId="0" applyFont="1" applyFill="1" applyBorder="1" applyAlignment="1">
      <alignment horizontal="center"/>
    </xf>
    <xf numFmtId="0" fontId="74" fillId="32" borderId="12" xfId="0" applyFont="1" applyFill="1" applyBorder="1" applyAlignment="1">
      <alignment horizontal="left" indent="12"/>
    </xf>
    <xf numFmtId="0" fontId="69" fillId="32" borderId="13" xfId="0" applyFont="1" applyFill="1" applyBorder="1" applyAlignment="1">
      <alignment horizontal="left" indent="7"/>
    </xf>
    <xf numFmtId="0" fontId="74" fillId="32" borderId="36" xfId="0" applyFont="1" applyFill="1" applyBorder="1" applyAlignment="1">
      <alignment horizontal="center"/>
    </xf>
    <xf numFmtId="0" fontId="74" fillId="32" borderId="25" xfId="0" applyFont="1" applyFill="1" applyBorder="1" applyAlignment="1">
      <alignment horizontal="left" indent="12"/>
    </xf>
    <xf numFmtId="0" fontId="74" fillId="32" borderId="9" xfId="0" applyFont="1" applyFill="1" applyBorder="1" applyAlignment="1">
      <alignment horizontal="left" indent="12"/>
    </xf>
    <xf numFmtId="0" fontId="74" fillId="32" borderId="5" xfId="0" applyFont="1" applyFill="1" applyBorder="1" applyAlignment="1">
      <alignment horizontal="center"/>
    </xf>
    <xf numFmtId="0" fontId="74" fillId="32" borderId="5" xfId="0" applyFont="1" applyFill="1" applyBorder="1" applyAlignment="1">
      <alignment horizontal="left" indent="12"/>
    </xf>
    <xf numFmtId="0" fontId="69" fillId="32" borderId="6" xfId="0" applyFont="1" applyFill="1" applyBorder="1" applyAlignment="1">
      <alignment horizontal="left" indent="7"/>
    </xf>
    <xf numFmtId="0" fontId="74" fillId="32" borderId="124" xfId="0" applyFont="1" applyFill="1" applyBorder="1" applyAlignment="1">
      <alignment horizontal="center"/>
    </xf>
    <xf numFmtId="0" fontId="74" fillId="32" borderId="42" xfId="0" applyFont="1" applyFill="1" applyBorder="1" applyAlignment="1">
      <alignment horizontal="center"/>
    </xf>
    <xf numFmtId="0" fontId="74" fillId="32" borderId="36" xfId="0" applyFont="1" applyFill="1" applyBorder="1"/>
    <xf numFmtId="0" fontId="147" fillId="32" borderId="12" xfId="0" applyFont="1" applyFill="1" applyBorder="1" applyAlignment="1">
      <alignment horizontal="left"/>
    </xf>
    <xf numFmtId="0" fontId="147" fillId="32" borderId="14" xfId="0" applyFont="1" applyFill="1" applyBorder="1" applyAlignment="1">
      <alignment horizontal="left"/>
    </xf>
    <xf numFmtId="0" fontId="147" fillId="32" borderId="13" xfId="0" applyFont="1" applyFill="1" applyBorder="1" applyAlignment="1">
      <alignment horizontal="left"/>
    </xf>
    <xf numFmtId="0" fontId="74" fillId="0" borderId="7" xfId="0" applyFont="1" applyBorder="1" applyAlignment="1">
      <alignment horizontal="center"/>
    </xf>
    <xf numFmtId="0" fontId="69" fillId="32" borderId="13" xfId="0" applyFont="1" applyFill="1" applyBorder="1"/>
    <xf numFmtId="0" fontId="69" fillId="32" borderId="12" xfId="0" applyFont="1" applyFill="1" applyBorder="1"/>
    <xf numFmtId="0" fontId="74" fillId="32" borderId="10" xfId="0" applyFont="1" applyFill="1" applyBorder="1" applyAlignment="1">
      <alignment horizontal="center"/>
    </xf>
    <xf numFmtId="0" fontId="74" fillId="32" borderId="28" xfId="0" applyFont="1" applyFill="1" applyBorder="1" applyAlignment="1">
      <alignment horizontal="center"/>
    </xf>
    <xf numFmtId="0" fontId="88" fillId="32" borderId="3" xfId="0" applyFont="1" applyFill="1" applyBorder="1" applyAlignment="1">
      <alignment horizontal="left"/>
    </xf>
    <xf numFmtId="0" fontId="88" fillId="32" borderId="5" xfId="0" applyFont="1" applyFill="1" applyBorder="1" applyAlignment="1">
      <alignment horizontal="left"/>
    </xf>
    <xf numFmtId="0" fontId="88" fillId="32" borderId="9" xfId="0" applyFont="1" applyFill="1" applyBorder="1" applyAlignment="1">
      <alignment horizontal="left"/>
    </xf>
    <xf numFmtId="0" fontId="75" fillId="11" borderId="1" xfId="0" applyFont="1" applyFill="1" applyBorder="1" applyAlignment="1">
      <alignment horizontal="center"/>
    </xf>
    <xf numFmtId="0" fontId="69" fillId="32" borderId="42" xfId="0" applyFont="1" applyFill="1" applyBorder="1" applyAlignment="1">
      <alignment horizontal="center"/>
    </xf>
    <xf numFmtId="0" fontId="69" fillId="32" borderId="10" xfId="0" applyFont="1" applyFill="1" applyBorder="1" applyAlignment="1">
      <alignment horizontal="center"/>
    </xf>
    <xf numFmtId="0" fontId="69" fillId="32" borderId="36" xfId="0" applyFont="1" applyFill="1" applyBorder="1" applyAlignment="1">
      <alignment horizontal="center"/>
    </xf>
    <xf numFmtId="0" fontId="69" fillId="32" borderId="42" xfId="0" applyFont="1" applyFill="1" applyBorder="1"/>
    <xf numFmtId="0" fontId="69" fillId="32" borderId="28" xfId="0" applyFont="1" applyFill="1" applyBorder="1"/>
    <xf numFmtId="0" fontId="69" fillId="22" borderId="2" xfId="0" applyFont="1" applyFill="1" applyBorder="1"/>
    <xf numFmtId="0" fontId="88" fillId="10" borderId="12" xfId="0" applyFont="1" applyFill="1" applyBorder="1" applyAlignment="1">
      <alignment horizontal="center"/>
    </xf>
    <xf numFmtId="0" fontId="69" fillId="32" borderId="7" xfId="0" applyFont="1" applyFill="1" applyBorder="1" applyAlignment="1">
      <alignment horizontal="left" vertical="top"/>
    </xf>
    <xf numFmtId="0" fontId="69" fillId="32" borderId="11" xfId="0" applyFont="1" applyFill="1" applyBorder="1"/>
    <xf numFmtId="2" fontId="77" fillId="19" borderId="30" xfId="0" applyNumberFormat="1" applyFont="1" applyFill="1" applyBorder="1" applyAlignment="1">
      <alignment horizontal="center"/>
    </xf>
    <xf numFmtId="2" fontId="69" fillId="22" borderId="7" xfId="0" applyNumberFormat="1" applyFont="1" applyFill="1" applyBorder="1" applyAlignment="1">
      <alignment horizontal="center"/>
    </xf>
    <xf numFmtId="4" fontId="69" fillId="2" borderId="7" xfId="0" applyNumberFormat="1" applyFont="1" applyFill="1" applyBorder="1" applyAlignment="1">
      <alignment horizontal="center"/>
    </xf>
    <xf numFmtId="2" fontId="77" fillId="19" borderId="7" xfId="0" applyNumberFormat="1" applyFont="1" applyFill="1" applyBorder="1" applyAlignment="1">
      <alignment horizontal="center"/>
    </xf>
    <xf numFmtId="4" fontId="69" fillId="2" borderId="34" xfId="0" applyNumberFormat="1" applyFont="1" applyFill="1" applyBorder="1" applyAlignment="1">
      <alignment horizontal="center"/>
    </xf>
    <xf numFmtId="2" fontId="77" fillId="19" borderId="2" xfId="0" applyNumberFormat="1" applyFont="1" applyFill="1" applyBorder="1" applyAlignment="1">
      <alignment horizontal="center"/>
    </xf>
    <xf numFmtId="2" fontId="69" fillId="22" borderId="2" xfId="0" applyNumberFormat="1" applyFont="1" applyFill="1" applyBorder="1" applyAlignment="1">
      <alignment horizontal="center"/>
    </xf>
    <xf numFmtId="2" fontId="69" fillId="2" borderId="34" xfId="0" applyNumberFormat="1" applyFont="1" applyFill="1" applyBorder="1" applyAlignment="1">
      <alignment horizontal="center"/>
    </xf>
    <xf numFmtId="164" fontId="69" fillId="2" borderId="34" xfId="0" applyNumberFormat="1" applyFont="1" applyFill="1" applyBorder="1" applyAlignment="1">
      <alignment horizontal="center"/>
    </xf>
    <xf numFmtId="2" fontId="77" fillId="19" borderId="31" xfId="0" applyNumberFormat="1" applyFont="1" applyFill="1" applyBorder="1" applyAlignment="1">
      <alignment horizontal="center"/>
    </xf>
    <xf numFmtId="4" fontId="69" fillId="2" borderId="8" xfId="0" applyNumberFormat="1" applyFont="1" applyFill="1" applyBorder="1" applyAlignment="1">
      <alignment horizontal="center"/>
    </xf>
    <xf numFmtId="2" fontId="77" fillId="19" borderId="8" xfId="0" applyNumberFormat="1" applyFont="1" applyFill="1" applyBorder="1" applyAlignment="1">
      <alignment horizontal="center"/>
    </xf>
    <xf numFmtId="4" fontId="69" fillId="2" borderId="35" xfId="0" applyNumberFormat="1" applyFont="1" applyFill="1" applyBorder="1" applyAlignment="1">
      <alignment horizontal="center"/>
    </xf>
    <xf numFmtId="2" fontId="77" fillId="19" borderId="4" xfId="0" applyNumberFormat="1" applyFont="1" applyFill="1" applyBorder="1" applyAlignment="1">
      <alignment horizontal="center"/>
    </xf>
    <xf numFmtId="2" fontId="69" fillId="22" borderId="4" xfId="0" applyNumberFormat="1" applyFont="1" applyFill="1" applyBorder="1" applyAlignment="1">
      <alignment horizontal="center"/>
    </xf>
    <xf numFmtId="2" fontId="69" fillId="2" borderId="35" xfId="0" applyNumberFormat="1" applyFont="1" applyFill="1" applyBorder="1" applyAlignment="1">
      <alignment horizontal="center"/>
    </xf>
    <xf numFmtId="164" fontId="69" fillId="2" borderId="35" xfId="0" applyNumberFormat="1" applyFont="1" applyFill="1" applyBorder="1" applyAlignment="1">
      <alignment horizontal="center"/>
    </xf>
    <xf numFmtId="0" fontId="88" fillId="10" borderId="1" xfId="0" applyFont="1" applyFill="1" applyBorder="1" applyAlignment="1">
      <alignment horizontal="center"/>
    </xf>
    <xf numFmtId="0" fontId="69" fillId="32" borderId="50" xfId="0" applyFont="1" applyFill="1" applyBorder="1" applyAlignment="1">
      <alignment horizontal="left" vertical="top"/>
    </xf>
    <xf numFmtId="0" fontId="69" fillId="32" borderId="123" xfId="0" applyFont="1" applyFill="1" applyBorder="1"/>
    <xf numFmtId="2" fontId="77" fillId="19" borderId="32" xfId="0" applyNumberFormat="1" applyFont="1" applyFill="1" applyBorder="1" applyAlignment="1">
      <alignment horizontal="center"/>
    </xf>
    <xf numFmtId="2" fontId="69" fillId="22" borderId="33" xfId="0" applyNumberFormat="1" applyFont="1" applyFill="1" applyBorder="1" applyAlignment="1">
      <alignment horizontal="center"/>
    </xf>
    <xf numFmtId="4" fontId="69" fillId="2" borderId="33" xfId="0" applyNumberFormat="1" applyFont="1" applyFill="1" applyBorder="1" applyAlignment="1">
      <alignment horizontal="center"/>
    </xf>
    <xf numFmtId="2" fontId="77" fillId="19" borderId="33" xfId="0" applyNumberFormat="1" applyFont="1" applyFill="1" applyBorder="1" applyAlignment="1">
      <alignment horizontal="center"/>
    </xf>
    <xf numFmtId="4" fontId="69" fillId="2" borderId="54" xfId="0" applyNumberFormat="1" applyFont="1" applyFill="1" applyBorder="1" applyAlignment="1">
      <alignment horizontal="center"/>
    </xf>
    <xf numFmtId="2" fontId="77" fillId="19" borderId="125" xfId="0" applyNumberFormat="1" applyFont="1" applyFill="1" applyBorder="1" applyAlignment="1">
      <alignment horizontal="center"/>
    </xf>
    <xf numFmtId="2" fontId="69" fillId="22" borderId="125" xfId="0" applyNumberFormat="1" applyFont="1" applyFill="1" applyBorder="1" applyAlignment="1">
      <alignment horizontal="center"/>
    </xf>
    <xf numFmtId="2" fontId="69" fillId="2" borderId="54" xfId="0" applyNumberFormat="1" applyFont="1" applyFill="1" applyBorder="1" applyAlignment="1">
      <alignment horizontal="center"/>
    </xf>
    <xf numFmtId="164" fontId="69" fillId="2" borderId="54" xfId="0" applyNumberFormat="1" applyFont="1" applyFill="1" applyBorder="1" applyAlignment="1">
      <alignment horizontal="center"/>
    </xf>
    <xf numFmtId="0" fontId="134" fillId="22" borderId="11" xfId="0" applyFont="1" applyFill="1" applyBorder="1" applyAlignment="1">
      <alignment horizontal="center"/>
    </xf>
    <xf numFmtId="0" fontId="69" fillId="22" borderId="0" xfId="0" applyFont="1" applyFill="1" applyAlignment="1">
      <alignment horizontal="left" vertical="top"/>
    </xf>
    <xf numFmtId="0" fontId="69" fillId="22" borderId="6" xfId="0" applyFont="1" applyFill="1" applyBorder="1"/>
    <xf numFmtId="0" fontId="134" fillId="22" borderId="0" xfId="0" applyFont="1" applyFill="1" applyAlignment="1">
      <alignment horizontal="center"/>
    </xf>
    <xf numFmtId="0" fontId="74" fillId="32" borderId="0" xfId="0" applyFont="1" applyFill="1" applyAlignment="1">
      <alignment horizontal="center"/>
    </xf>
    <xf numFmtId="2" fontId="69" fillId="32" borderId="0" xfId="0" applyNumberFormat="1" applyFont="1" applyFill="1" applyAlignment="1">
      <alignment horizontal="center"/>
    </xf>
    <xf numFmtId="0" fontId="70" fillId="32" borderId="0" xfId="0" applyFont="1" applyFill="1"/>
    <xf numFmtId="0" fontId="146" fillId="32" borderId="0" xfId="0" applyFont="1" applyFill="1" applyAlignment="1">
      <alignment horizontal="center"/>
    </xf>
    <xf numFmtId="0" fontId="74" fillId="32" borderId="0" xfId="0" applyFont="1" applyFill="1" applyAlignment="1">
      <alignment horizontal="left" indent="1"/>
    </xf>
    <xf numFmtId="0" fontId="74" fillId="19" borderId="0" xfId="0" applyFont="1" applyFill="1"/>
    <xf numFmtId="2" fontId="74" fillId="32" borderId="0" xfId="0" applyNumberFormat="1" applyFont="1" applyFill="1" applyAlignment="1">
      <alignment horizontal="center"/>
    </xf>
    <xf numFmtId="0" fontId="74" fillId="11" borderId="0" xfId="0" applyFont="1" applyFill="1" applyAlignment="1">
      <alignment horizontal="center"/>
    </xf>
    <xf numFmtId="0" fontId="74" fillId="32" borderId="0" xfId="0" applyFont="1" applyFill="1" applyAlignment="1">
      <alignment horizontal="left" indent="2"/>
    </xf>
    <xf numFmtId="0" fontId="74" fillId="32" borderId="0" xfId="0" applyFont="1" applyFill="1" applyAlignment="1">
      <alignment horizontal="left"/>
    </xf>
    <xf numFmtId="0" fontId="69" fillId="19" borderId="0" xfId="0" applyFont="1" applyFill="1"/>
    <xf numFmtId="0" fontId="70" fillId="32" borderId="0" xfId="0" applyFont="1" applyFill="1" applyAlignment="1">
      <alignment horizontal="center"/>
    </xf>
    <xf numFmtId="0" fontId="56" fillId="32" borderId="0" xfId="0" applyFont="1" applyFill="1"/>
    <xf numFmtId="0" fontId="69" fillId="10" borderId="0" xfId="0" applyFont="1" applyFill="1" applyAlignment="1">
      <alignment horizontal="left"/>
    </xf>
    <xf numFmtId="1" fontId="88" fillId="12" borderId="14" xfId="0" applyNumberFormat="1" applyFont="1" applyFill="1" applyBorder="1" applyAlignment="1">
      <alignment horizontal="left"/>
    </xf>
    <xf numFmtId="1" fontId="88" fillId="12" borderId="14" xfId="0" applyNumberFormat="1" applyFont="1" applyFill="1" applyBorder="1" applyAlignment="1">
      <alignment horizontal="center"/>
    </xf>
    <xf numFmtId="2" fontId="69" fillId="2" borderId="73" xfId="0" applyNumberFormat="1" applyFont="1" applyFill="1" applyBorder="1" applyAlignment="1">
      <alignment horizontal="center"/>
    </xf>
    <xf numFmtId="3" fontId="70" fillId="2" borderId="126" xfId="0" applyNumberFormat="1" applyFont="1" applyFill="1" applyBorder="1" applyAlignment="1">
      <alignment horizontal="center" vertical="center" wrapText="1"/>
    </xf>
    <xf numFmtId="3" fontId="70" fillId="2" borderId="89" xfId="0" applyNumberFormat="1" applyFont="1" applyFill="1" applyBorder="1" applyAlignment="1">
      <alignment horizontal="center" vertical="center" wrapText="1"/>
    </xf>
    <xf numFmtId="3" fontId="70" fillId="2" borderId="127" xfId="0" applyNumberFormat="1" applyFont="1" applyFill="1" applyBorder="1" applyAlignment="1">
      <alignment horizontal="center" vertical="center" wrapText="1"/>
    </xf>
    <xf numFmtId="3" fontId="70" fillId="2" borderId="73" xfId="0" applyNumberFormat="1" applyFont="1" applyFill="1" applyBorder="1" applyAlignment="1">
      <alignment horizontal="center"/>
    </xf>
    <xf numFmtId="2" fontId="69" fillId="2" borderId="74" xfId="0" applyNumberFormat="1" applyFont="1" applyFill="1" applyBorder="1" applyAlignment="1">
      <alignment horizontal="center"/>
    </xf>
    <xf numFmtId="2" fontId="69" fillId="22" borderId="0" xfId="0" applyNumberFormat="1" applyFont="1" applyFill="1" applyAlignment="1">
      <alignment horizontal="left"/>
    </xf>
    <xf numFmtId="0" fontId="74" fillId="25" borderId="0" xfId="0" applyFont="1" applyFill="1" applyAlignment="1">
      <alignment horizontal="left" indent="16"/>
    </xf>
    <xf numFmtId="0" fontId="69" fillId="8" borderId="0" xfId="0" applyFont="1" applyFill="1" applyAlignment="1">
      <alignment horizontal="left"/>
    </xf>
    <xf numFmtId="0" fontId="69" fillId="8" borderId="0" xfId="0" applyFont="1" applyFill="1" applyAlignment="1">
      <alignment horizontal="center"/>
    </xf>
    <xf numFmtId="0" fontId="77" fillId="39" borderId="0" xfId="0" applyFont="1" applyFill="1" applyAlignment="1">
      <alignment horizontal="left"/>
    </xf>
    <xf numFmtId="0" fontId="77" fillId="39" borderId="0" xfId="0" applyFont="1" applyFill="1" applyAlignment="1">
      <alignment horizontal="center"/>
    </xf>
    <xf numFmtId="0" fontId="74" fillId="9" borderId="0" xfId="0" applyFont="1" applyFill="1" applyAlignment="1">
      <alignment horizontal="center"/>
    </xf>
    <xf numFmtId="0" fontId="88" fillId="16" borderId="0" xfId="0" applyFont="1" applyFill="1" applyAlignment="1">
      <alignment horizontal="left" indent="1"/>
    </xf>
    <xf numFmtId="0" fontId="88" fillId="16" borderId="0" xfId="0" applyFont="1" applyFill="1" applyAlignment="1">
      <alignment horizontal="left"/>
    </xf>
    <xf numFmtId="0" fontId="88" fillId="17" borderId="0" xfId="0" applyFont="1" applyFill="1" applyAlignment="1">
      <alignment horizontal="left" indent="4"/>
    </xf>
    <xf numFmtId="0" fontId="88" fillId="17" borderId="0" xfId="0" applyFont="1" applyFill="1" applyAlignment="1">
      <alignment horizontal="center"/>
    </xf>
    <xf numFmtId="0" fontId="242" fillId="39" borderId="0" xfId="0" applyFont="1" applyFill="1" applyAlignment="1">
      <alignment horizontal="left" indent="1"/>
    </xf>
    <xf numFmtId="0" fontId="242" fillId="39" borderId="0" xfId="0" applyFont="1" applyFill="1" applyAlignment="1">
      <alignment horizontal="center"/>
    </xf>
    <xf numFmtId="0" fontId="74" fillId="9" borderId="0" xfId="0" applyFont="1" applyFill="1" applyAlignment="1">
      <alignment horizontal="left"/>
    </xf>
    <xf numFmtId="3" fontId="70" fillId="2" borderId="72" xfId="0" applyNumberFormat="1" applyFont="1" applyFill="1" applyBorder="1" applyAlignment="1">
      <alignment horizontal="center"/>
    </xf>
    <xf numFmtId="0" fontId="74" fillId="8" borderId="0" xfId="0" applyFont="1" applyFill="1" applyAlignment="1">
      <alignment horizontal="left"/>
    </xf>
    <xf numFmtId="0" fontId="70" fillId="22" borderId="21" xfId="0" applyFont="1" applyFill="1" applyBorder="1"/>
    <xf numFmtId="0" fontId="227" fillId="36" borderId="0" xfId="0" applyFont="1" applyFill="1" applyAlignment="1">
      <alignment horizontal="left" vertical="center"/>
    </xf>
    <xf numFmtId="2" fontId="69" fillId="22" borderId="11" xfId="0" applyNumberFormat="1" applyFont="1" applyFill="1" applyBorder="1" applyAlignment="1">
      <alignment horizontal="center"/>
    </xf>
    <xf numFmtId="0" fontId="31" fillId="6" borderId="1" xfId="0" applyFont="1" applyFill="1" applyBorder="1" applyAlignment="1">
      <alignment horizontal="center"/>
    </xf>
    <xf numFmtId="0" fontId="31" fillId="6" borderId="11" xfId="0" applyFont="1" applyFill="1" applyBorder="1" applyAlignment="1">
      <alignment horizontal="center"/>
    </xf>
    <xf numFmtId="0" fontId="111" fillId="6" borderId="11" xfId="0" applyFont="1" applyFill="1" applyBorder="1" applyAlignment="1">
      <alignment horizontal="center"/>
    </xf>
    <xf numFmtId="0" fontId="4" fillId="6" borderId="3" xfId="0" applyFont="1" applyFill="1" applyBorder="1" applyAlignment="1">
      <alignment horizontal="center"/>
    </xf>
    <xf numFmtId="0" fontId="6" fillId="6" borderId="3" xfId="0" applyFont="1" applyFill="1" applyBorder="1" applyAlignment="1">
      <alignment horizontal="center"/>
    </xf>
    <xf numFmtId="0" fontId="4" fillId="6" borderId="11" xfId="0" applyFont="1" applyFill="1" applyBorder="1"/>
    <xf numFmtId="0" fontId="167" fillId="10" borderId="21" xfId="0" applyFont="1" applyFill="1" applyBorder="1" applyAlignment="1">
      <alignment horizontal="left" vertical="center" indent="12"/>
    </xf>
    <xf numFmtId="0" fontId="3" fillId="2" borderId="12" xfId="0" applyFont="1" applyFill="1" applyBorder="1"/>
    <xf numFmtId="171" fontId="89" fillId="19" borderId="0" xfId="0" applyNumberFormat="1" applyFont="1" applyFill="1" applyAlignment="1">
      <alignment horizontal="center"/>
    </xf>
    <xf numFmtId="171" fontId="0" fillId="2" borderId="0" xfId="0" applyNumberFormat="1" applyFill="1" applyAlignment="1">
      <alignment horizontal="center"/>
    </xf>
    <xf numFmtId="0" fontId="3" fillId="3" borderId="21" xfId="0" applyFont="1" applyFill="1" applyBorder="1"/>
    <xf numFmtId="0" fontId="136" fillId="36" borderId="0" xfId="0" applyFont="1" applyFill="1" applyAlignment="1">
      <alignment vertical="center"/>
    </xf>
    <xf numFmtId="3" fontId="56" fillId="6" borderId="0" xfId="0" applyNumberFormat="1" applyFont="1" applyFill="1" applyAlignment="1">
      <alignment horizontal="center"/>
    </xf>
    <xf numFmtId="0" fontId="56" fillId="6" borderId="0" xfId="0" applyFont="1" applyFill="1" applyAlignment="1">
      <alignment horizontal="right"/>
    </xf>
    <xf numFmtId="0" fontId="213" fillId="10" borderId="0" xfId="0" applyFont="1" applyFill="1" applyAlignment="1">
      <alignment horizontal="left" indent="4"/>
    </xf>
    <xf numFmtId="0" fontId="176" fillId="10" borderId="0" xfId="0" applyFont="1" applyFill="1" applyAlignment="1">
      <alignment horizontal="right"/>
    </xf>
    <xf numFmtId="0" fontId="150" fillId="10" borderId="0" xfId="0" applyFont="1" applyFill="1" applyAlignment="1">
      <alignment horizontal="center" vertical="center"/>
    </xf>
    <xf numFmtId="0" fontId="162" fillId="10" borderId="0" xfId="0" applyFont="1" applyFill="1" applyAlignment="1">
      <alignment horizontal="center"/>
    </xf>
    <xf numFmtId="0" fontId="162" fillId="10" borderId="0" xfId="0" applyFont="1" applyFill="1" applyAlignment="1">
      <alignment horizontal="left" indent="4"/>
    </xf>
    <xf numFmtId="0" fontId="162" fillId="10" borderId="0" xfId="0" applyFont="1" applyFill="1" applyAlignment="1">
      <alignment horizontal="left" indent="25"/>
    </xf>
    <xf numFmtId="0" fontId="186" fillId="10" borderId="0" xfId="3" quotePrefix="1" applyFont="1" applyFill="1" applyBorder="1" applyAlignment="1" applyProtection="1">
      <alignment horizontal="center"/>
    </xf>
    <xf numFmtId="0" fontId="212" fillId="10" borderId="0" xfId="0" applyFont="1" applyFill="1"/>
    <xf numFmtId="0" fontId="176" fillId="10" borderId="0" xfId="0" applyFont="1" applyFill="1"/>
    <xf numFmtId="0" fontId="162" fillId="10" borderId="0" xfId="0" applyFont="1" applyFill="1" applyAlignment="1">
      <alignment horizontal="left" indent="3"/>
    </xf>
    <xf numFmtId="0" fontId="176" fillId="10" borderId="0" xfId="0" applyFont="1" applyFill="1" applyAlignment="1">
      <alignment horizontal="left" indent="3"/>
    </xf>
    <xf numFmtId="0" fontId="162" fillId="10" borderId="0" xfId="0" applyFont="1" applyFill="1" applyAlignment="1">
      <alignment horizontal="left"/>
    </xf>
    <xf numFmtId="0" fontId="162" fillId="10" borderId="0" xfId="0" applyFont="1" applyFill="1" applyAlignment="1">
      <alignment horizontal="left" indent="8"/>
    </xf>
    <xf numFmtId="0" fontId="216" fillId="10" borderId="0" xfId="0" applyFont="1" applyFill="1" applyAlignment="1">
      <alignment horizontal="left"/>
    </xf>
    <xf numFmtId="0" fontId="176" fillId="10" borderId="0" xfId="0" applyFont="1" applyFill="1" applyAlignment="1">
      <alignment horizontal="left"/>
    </xf>
    <xf numFmtId="0" fontId="176" fillId="10" borderId="0" xfId="0" applyFont="1" applyFill="1" applyAlignment="1">
      <alignment horizontal="center"/>
    </xf>
    <xf numFmtId="0" fontId="213" fillId="10" borderId="0" xfId="0" applyFont="1" applyFill="1" applyAlignment="1">
      <alignment horizontal="center"/>
    </xf>
    <xf numFmtId="0" fontId="162" fillId="10" borderId="0" xfId="0" applyFont="1" applyFill="1" applyAlignment="1">
      <alignment horizontal="left" indent="1"/>
    </xf>
    <xf numFmtId="0" fontId="212" fillId="10" borderId="0" xfId="0" applyFont="1" applyFill="1" applyAlignment="1">
      <alignment horizontal="center"/>
    </xf>
    <xf numFmtId="0" fontId="213" fillId="10" borderId="0" xfId="0" applyFont="1" applyFill="1" applyAlignment="1">
      <alignment horizontal="left" indent="1"/>
    </xf>
    <xf numFmtId="3" fontId="213" fillId="10" borderId="0" xfId="0" applyNumberFormat="1" applyFont="1" applyFill="1" applyAlignment="1">
      <alignment horizontal="center"/>
    </xf>
    <xf numFmtId="3" fontId="160" fillId="10" borderId="0" xfId="0" applyNumberFormat="1" applyFont="1" applyFill="1" applyAlignment="1">
      <alignment horizontal="center"/>
    </xf>
    <xf numFmtId="0" fontId="176" fillId="10" borderId="0" xfId="0" applyFont="1" applyFill="1" applyAlignment="1">
      <alignment horizontal="left" indent="1"/>
    </xf>
    <xf numFmtId="2" fontId="213" fillId="10" borderId="0" xfId="0" applyNumberFormat="1" applyFont="1" applyFill="1" applyAlignment="1">
      <alignment horizontal="center"/>
    </xf>
    <xf numFmtId="3" fontId="150" fillId="10" borderId="0" xfId="0" applyNumberFormat="1" applyFont="1" applyFill="1" applyAlignment="1">
      <alignment horizontal="center"/>
    </xf>
    <xf numFmtId="3" fontId="176" fillId="10" borderId="0" xfId="0" applyNumberFormat="1" applyFont="1" applyFill="1" applyAlignment="1">
      <alignment horizontal="center"/>
    </xf>
    <xf numFmtId="0" fontId="150" fillId="10" borderId="0" xfId="0" applyFont="1" applyFill="1" applyAlignment="1">
      <alignment horizontal="left"/>
    </xf>
    <xf numFmtId="3" fontId="150" fillId="10" borderId="0" xfId="0" applyNumberFormat="1" applyFont="1" applyFill="1" applyAlignment="1">
      <alignment horizontal="center" vertical="center"/>
    </xf>
    <xf numFmtId="0" fontId="221" fillId="10" borderId="0" xfId="0" applyFont="1" applyFill="1" applyAlignment="1">
      <alignment horizontal="left"/>
    </xf>
    <xf numFmtId="0" fontId="176" fillId="10" borderId="0" xfId="0" applyFont="1" applyFill="1" applyAlignment="1">
      <alignment horizontal="left" indent="8"/>
    </xf>
    <xf numFmtId="0" fontId="160" fillId="10" borderId="0" xfId="0" applyFont="1" applyFill="1" applyAlignment="1">
      <alignment horizontal="left"/>
    </xf>
    <xf numFmtId="0" fontId="176" fillId="10" borderId="0" xfId="0" applyFont="1" applyFill="1" applyAlignment="1">
      <alignment horizontal="center" vertical="center"/>
    </xf>
    <xf numFmtId="9" fontId="150" fillId="10" borderId="0" xfId="6" applyFont="1" applyFill="1" applyBorder="1" applyAlignment="1" applyProtection="1">
      <alignment horizontal="center" vertical="center"/>
    </xf>
    <xf numFmtId="0" fontId="150" fillId="10" borderId="0" xfId="0" applyFont="1" applyFill="1" applyAlignment="1">
      <alignment vertical="center"/>
    </xf>
    <xf numFmtId="0" fontId="173" fillId="10" borderId="0" xfId="0" applyFont="1" applyFill="1" applyAlignment="1">
      <alignment vertical="center"/>
    </xf>
    <xf numFmtId="0" fontId="173" fillId="10" borderId="0" xfId="0" applyFont="1" applyFill="1" applyAlignment="1">
      <alignment horizontal="center" vertical="center"/>
    </xf>
    <xf numFmtId="9" fontId="176" fillId="10" borderId="0" xfId="6" applyFont="1" applyFill="1" applyBorder="1" applyAlignment="1" applyProtection="1">
      <alignment horizontal="center" vertical="center"/>
    </xf>
    <xf numFmtId="0" fontId="176" fillId="10" borderId="0" xfId="0" applyFont="1" applyFill="1" applyAlignment="1">
      <alignment horizontal="left" vertical="center"/>
    </xf>
    <xf numFmtId="173" fontId="150" fillId="10" borderId="0" xfId="0" applyNumberFormat="1" applyFont="1" applyFill="1" applyAlignment="1">
      <alignment horizontal="center" vertical="center"/>
    </xf>
    <xf numFmtId="0" fontId="173" fillId="10" borderId="0" xfId="0" applyFont="1" applyFill="1"/>
    <xf numFmtId="165" fontId="150" fillId="10" borderId="0" xfId="0" applyNumberFormat="1" applyFont="1" applyFill="1" applyAlignment="1">
      <alignment horizontal="center"/>
    </xf>
    <xf numFmtId="165" fontId="161" fillId="10" borderId="0" xfId="0" applyNumberFormat="1" applyFont="1" applyFill="1" applyAlignment="1">
      <alignment horizontal="center"/>
    </xf>
    <xf numFmtId="0" fontId="174" fillId="10" borderId="21" xfId="0" applyFont="1" applyFill="1" applyBorder="1"/>
    <xf numFmtId="173" fontId="150" fillId="10" borderId="0" xfId="0" applyNumberFormat="1" applyFont="1" applyFill="1" applyAlignment="1">
      <alignment horizontal="center"/>
    </xf>
    <xf numFmtId="0" fontId="150" fillId="10" borderId="0" xfId="0" applyFont="1" applyFill="1" applyAlignment="1">
      <alignment horizontal="right"/>
    </xf>
    <xf numFmtId="9" fontId="150" fillId="10" borderId="0" xfId="0" applyNumberFormat="1" applyFont="1" applyFill="1" applyAlignment="1">
      <alignment horizontal="center"/>
    </xf>
    <xf numFmtId="0" fontId="172" fillId="10" borderId="0" xfId="0" applyFont="1" applyFill="1" applyAlignment="1">
      <alignment horizontal="left"/>
    </xf>
    <xf numFmtId="0" fontId="171" fillId="10" borderId="0" xfId="0" applyFont="1" applyFill="1" applyAlignment="1">
      <alignment horizontal="left"/>
    </xf>
    <xf numFmtId="0" fontId="174" fillId="10" borderId="21" xfId="0" applyFont="1" applyFill="1" applyBorder="1" applyAlignment="1">
      <alignment horizontal="left"/>
    </xf>
    <xf numFmtId="0" fontId="176" fillId="10" borderId="21" xfId="0" applyFont="1" applyFill="1" applyBorder="1" applyAlignment="1">
      <alignment horizontal="center"/>
    </xf>
    <xf numFmtId="0" fontId="176" fillId="10" borderId="21" xfId="0" applyFont="1" applyFill="1" applyBorder="1" applyAlignment="1">
      <alignment horizontal="left"/>
    </xf>
    <xf numFmtId="3" fontId="174" fillId="10" borderId="21" xfId="0" applyNumberFormat="1" applyFont="1" applyFill="1" applyBorder="1" applyAlignment="1">
      <alignment horizontal="left"/>
    </xf>
    <xf numFmtId="0" fontId="150" fillId="10" borderId="21" xfId="0" applyFont="1" applyFill="1" applyBorder="1" applyAlignment="1">
      <alignment horizontal="center"/>
    </xf>
    <xf numFmtId="4" fontId="176" fillId="10" borderId="0" xfId="0" applyNumberFormat="1" applyFont="1" applyFill="1" applyAlignment="1">
      <alignment horizontal="center"/>
    </xf>
    <xf numFmtId="171" fontId="150" fillId="10" borderId="0" xfId="0" applyNumberFormat="1" applyFont="1" applyFill="1" applyAlignment="1">
      <alignment horizontal="center" vertical="center"/>
    </xf>
    <xf numFmtId="9" fontId="176" fillId="10" borderId="0" xfId="6" applyFont="1" applyFill="1" applyBorder="1" applyAlignment="1" applyProtection="1">
      <alignment horizontal="center"/>
    </xf>
    <xf numFmtId="0" fontId="171" fillId="10" borderId="0" xfId="0" applyFont="1" applyFill="1"/>
    <xf numFmtId="0" fontId="215" fillId="10" borderId="0" xfId="0" applyFont="1" applyFill="1" applyAlignment="1">
      <alignment horizontal="left" vertical="center" indent="1"/>
    </xf>
    <xf numFmtId="0" fontId="167" fillId="10" borderId="0" xfId="0" applyFont="1" applyFill="1" applyAlignment="1">
      <alignment horizontal="left" vertical="top" indent="12"/>
    </xf>
    <xf numFmtId="0" fontId="214" fillId="10" borderId="0" xfId="0" applyFont="1" applyFill="1" applyAlignment="1">
      <alignment horizontal="left" vertical="top" indent="60"/>
    </xf>
    <xf numFmtId="0" fontId="217" fillId="10" borderId="0" xfId="0" applyFont="1" applyFill="1" applyAlignment="1">
      <alignment horizontal="left"/>
    </xf>
    <xf numFmtId="0" fontId="218" fillId="10" borderId="0" xfId="0" applyFont="1" applyFill="1" applyAlignment="1">
      <alignment horizontal="left" vertical="center" indent="57"/>
    </xf>
    <xf numFmtId="0" fontId="219" fillId="10" borderId="21" xfId="0" applyFont="1" applyFill="1" applyBorder="1"/>
    <xf numFmtId="0" fontId="220" fillId="10" borderId="21" xfId="0" applyFont="1" applyFill="1" applyBorder="1" applyAlignment="1">
      <alignment horizontal="left" vertical="center"/>
    </xf>
    <xf numFmtId="0" fontId="158" fillId="10" borderId="21" xfId="0" applyFont="1" applyFill="1" applyBorder="1" applyAlignment="1">
      <alignment horizontal="left" vertical="center" indent="57"/>
    </xf>
    <xf numFmtId="0" fontId="161" fillId="10" borderId="21" xfId="0" applyFont="1" applyFill="1" applyBorder="1" applyAlignment="1">
      <alignment horizontal="left" vertical="center"/>
    </xf>
    <xf numFmtId="0" fontId="176" fillId="10" borderId="21" xfId="0" applyFont="1" applyFill="1" applyBorder="1" applyAlignment="1">
      <alignment horizontal="left" vertical="top" indent="4"/>
    </xf>
    <xf numFmtId="0" fontId="176" fillId="10" borderId="0" xfId="0" applyFont="1" applyFill="1" applyAlignment="1">
      <alignment horizontal="left" vertical="top" indent="2"/>
    </xf>
    <xf numFmtId="0" fontId="218" fillId="10" borderId="0" xfId="0" applyFont="1" applyFill="1" applyAlignment="1">
      <alignment horizontal="left" vertical="top"/>
    </xf>
    <xf numFmtId="0" fontId="162" fillId="10" borderId="0" xfId="0" applyFont="1" applyFill="1" applyAlignment="1">
      <alignment horizontal="right"/>
    </xf>
    <xf numFmtId="0" fontId="210" fillId="10" borderId="0" xfId="0" applyFont="1" applyFill="1"/>
    <xf numFmtId="4" fontId="222" fillId="10" borderId="0" xfId="0" applyNumberFormat="1" applyFont="1" applyFill="1"/>
    <xf numFmtId="0" fontId="223" fillId="10" borderId="0" xfId="0" applyFont="1" applyFill="1" applyAlignment="1">
      <alignment horizontal="left"/>
    </xf>
    <xf numFmtId="0" fontId="164" fillId="10" borderId="0" xfId="0" applyFont="1" applyFill="1" applyAlignment="1">
      <alignment horizontal="center" vertical="center"/>
    </xf>
    <xf numFmtId="0" fontId="161" fillId="10" borderId="0" xfId="0" applyFont="1" applyFill="1" applyAlignment="1">
      <alignment vertical="top"/>
    </xf>
    <xf numFmtId="0" fontId="69" fillId="0" borderId="21" xfId="0" applyFont="1" applyBorder="1"/>
    <xf numFmtId="0" fontId="132" fillId="19" borderId="0" xfId="0" applyFont="1" applyFill="1" applyAlignment="1">
      <alignment vertical="center"/>
    </xf>
    <xf numFmtId="0" fontId="69" fillId="0" borderId="4" xfId="0" applyFont="1" applyBorder="1"/>
    <xf numFmtId="0" fontId="244" fillId="36" borderId="0" xfId="0" applyFont="1" applyFill="1" applyAlignment="1">
      <alignment horizontal="left"/>
    </xf>
    <xf numFmtId="164" fontId="55" fillId="22" borderId="4" xfId="0" applyNumberFormat="1" applyFont="1" applyFill="1" applyBorder="1" applyAlignment="1">
      <alignment horizontal="center"/>
    </xf>
    <xf numFmtId="0" fontId="0" fillId="2" borderId="66" xfId="0" applyFill="1" applyBorder="1"/>
    <xf numFmtId="0" fontId="0" fillId="2" borderId="72" xfId="0" applyFill="1" applyBorder="1"/>
    <xf numFmtId="0" fontId="0" fillId="2" borderId="67" xfId="0" applyFill="1" applyBorder="1"/>
    <xf numFmtId="0" fontId="0" fillId="2" borderId="68" xfId="0" applyFill="1" applyBorder="1"/>
    <xf numFmtId="0" fontId="0" fillId="2" borderId="73" xfId="0" applyFill="1" applyBorder="1"/>
    <xf numFmtId="0" fontId="0" fillId="2" borderId="69" xfId="0" applyFill="1" applyBorder="1"/>
    <xf numFmtId="0" fontId="37" fillId="2" borderId="73" xfId="0" applyFont="1" applyFill="1" applyBorder="1"/>
    <xf numFmtId="0" fontId="0" fillId="2" borderId="70" xfId="0" applyFill="1" applyBorder="1"/>
    <xf numFmtId="0" fontId="0" fillId="2" borderId="74" xfId="0" applyFill="1" applyBorder="1"/>
    <xf numFmtId="0" fontId="0" fillId="2" borderId="71" xfId="0" applyFill="1" applyBorder="1"/>
    <xf numFmtId="0" fontId="97" fillId="36" borderId="73" xfId="0" applyFont="1" applyFill="1" applyBorder="1" applyAlignment="1">
      <alignment horizontal="left"/>
    </xf>
    <xf numFmtId="0" fontId="74" fillId="28" borderId="7" xfId="0" applyFont="1" applyFill="1" applyBorder="1" applyAlignment="1">
      <alignment horizontal="left" indent="16"/>
    </xf>
    <xf numFmtId="0" fontId="74" fillId="28" borderId="8" xfId="0" applyFont="1" applyFill="1" applyBorder="1" applyAlignment="1">
      <alignment horizontal="center"/>
    </xf>
    <xf numFmtId="0" fontId="74" fillId="28" borderId="9" xfId="0" applyFont="1" applyFill="1" applyBorder="1" applyAlignment="1">
      <alignment horizontal="center"/>
    </xf>
    <xf numFmtId="0" fontId="69" fillId="28" borderId="3" xfId="0" applyFont="1" applyFill="1" applyBorder="1" applyAlignment="1">
      <alignment horizontal="left"/>
    </xf>
    <xf numFmtId="0" fontId="69" fillId="28" borderId="5" xfId="0" applyFont="1" applyFill="1" applyBorder="1" applyAlignment="1">
      <alignment horizontal="left"/>
    </xf>
    <xf numFmtId="0" fontId="56" fillId="10" borderId="2" xfId="0" applyFont="1" applyFill="1" applyBorder="1" applyAlignment="1">
      <alignment vertical="center"/>
    </xf>
    <xf numFmtId="0" fontId="70" fillId="10" borderId="0" xfId="0" applyFont="1" applyFill="1" applyAlignment="1">
      <alignment horizontal="center"/>
    </xf>
    <xf numFmtId="0" fontId="70" fillId="10" borderId="0" xfId="0" applyFont="1" applyFill="1"/>
    <xf numFmtId="0" fontId="70" fillId="10" borderId="7" xfId="0" applyFont="1" applyFill="1" applyBorder="1"/>
    <xf numFmtId="0" fontId="70" fillId="10" borderId="8" xfId="0" applyFont="1" applyFill="1" applyBorder="1"/>
    <xf numFmtId="0" fontId="70" fillId="10" borderId="9" xfId="0" applyFont="1" applyFill="1" applyBorder="1"/>
    <xf numFmtId="0" fontId="56" fillId="10" borderId="1" xfId="0" applyFont="1" applyFill="1" applyBorder="1" applyAlignment="1">
      <alignment vertical="center"/>
    </xf>
    <xf numFmtId="0" fontId="56" fillId="10" borderId="11" xfId="0" applyFont="1" applyFill="1" applyBorder="1" applyAlignment="1">
      <alignment vertical="center"/>
    </xf>
    <xf numFmtId="0" fontId="74" fillId="10" borderId="3" xfId="0" applyFont="1" applyFill="1" applyBorder="1" applyAlignment="1">
      <alignment horizontal="center"/>
    </xf>
    <xf numFmtId="0" fontId="56" fillId="10" borderId="0" xfId="0" applyFont="1" applyFill="1" applyAlignment="1">
      <alignment horizontal="center"/>
    </xf>
    <xf numFmtId="0" fontId="74" fillId="10" borderId="5" xfId="0" applyFont="1" applyFill="1" applyBorder="1" applyAlignment="1">
      <alignment horizontal="center"/>
    </xf>
    <xf numFmtId="0" fontId="74" fillId="10" borderId="21" xfId="0" applyFont="1" applyFill="1" applyBorder="1" applyAlignment="1">
      <alignment horizontal="center"/>
    </xf>
    <xf numFmtId="0" fontId="69" fillId="10" borderId="21" xfId="0" applyFont="1" applyFill="1" applyBorder="1" applyAlignment="1">
      <alignment horizontal="left"/>
    </xf>
    <xf numFmtId="164" fontId="69" fillId="2" borderId="89" xfId="0" applyNumberFormat="1" applyFont="1" applyFill="1" applyBorder="1" applyAlignment="1">
      <alignment horizontal="center"/>
    </xf>
    <xf numFmtId="2" fontId="69" fillId="2" borderId="89" xfId="0" applyNumberFormat="1" applyFont="1" applyFill="1" applyBorder="1" applyAlignment="1">
      <alignment horizontal="center"/>
    </xf>
    <xf numFmtId="171" fontId="69" fillId="2" borderId="89" xfId="0" applyNumberFormat="1" applyFont="1" applyFill="1" applyBorder="1" applyAlignment="1">
      <alignment horizontal="center"/>
    </xf>
    <xf numFmtId="164" fontId="69" fillId="2" borderId="94" xfId="0" applyNumberFormat="1" applyFont="1" applyFill="1" applyBorder="1" applyAlignment="1">
      <alignment horizontal="center"/>
    </xf>
    <xf numFmtId="2" fontId="69" fillId="2" borderId="94" xfId="0" applyNumberFormat="1" applyFont="1" applyFill="1" applyBorder="1" applyAlignment="1">
      <alignment horizontal="center"/>
    </xf>
    <xf numFmtId="171" fontId="69" fillId="2" borderId="94" xfId="0" applyNumberFormat="1" applyFont="1" applyFill="1" applyBorder="1" applyAlignment="1">
      <alignment horizontal="center"/>
    </xf>
    <xf numFmtId="164" fontId="69" fillId="21" borderId="90" xfId="0" applyNumberFormat="1" applyFont="1" applyFill="1" applyBorder="1" applyAlignment="1">
      <alignment horizontal="center"/>
    </xf>
    <xf numFmtId="0" fontId="74" fillId="41" borderId="14" xfId="0" applyFont="1" applyFill="1" applyBorder="1" applyAlignment="1">
      <alignment horizontal="left" vertical="center" indent="2"/>
    </xf>
    <xf numFmtId="0" fontId="69" fillId="41" borderId="14" xfId="0" applyFont="1" applyFill="1" applyBorder="1"/>
    <xf numFmtId="0" fontId="69" fillId="41" borderId="13" xfId="0" applyFont="1" applyFill="1" applyBorder="1"/>
    <xf numFmtId="0" fontId="74" fillId="41" borderId="12" xfId="0" applyFont="1" applyFill="1" applyBorder="1" applyAlignment="1">
      <alignment horizontal="center"/>
    </xf>
    <xf numFmtId="0" fontId="74" fillId="41" borderId="12" xfId="0" applyFont="1" applyFill="1" applyBorder="1" applyAlignment="1">
      <alignment horizontal="left" indent="2"/>
    </xf>
    <xf numFmtId="0" fontId="74" fillId="41" borderId="10" xfId="0" applyFont="1" applyFill="1" applyBorder="1" applyAlignment="1">
      <alignment horizontal="left" indent="2"/>
    </xf>
    <xf numFmtId="0" fontId="88" fillId="41" borderId="12" xfId="0" applyFont="1" applyFill="1" applyBorder="1" applyAlignment="1">
      <alignment horizontal="left" vertical="center"/>
    </xf>
    <xf numFmtId="0" fontId="88" fillId="41" borderId="10" xfId="0" applyFont="1" applyFill="1" applyBorder="1" applyAlignment="1">
      <alignment horizontal="left" vertical="center"/>
    </xf>
    <xf numFmtId="0" fontId="88" fillId="41" borderId="7" xfId="0" applyFont="1" applyFill="1" applyBorder="1" applyAlignment="1">
      <alignment horizontal="center" vertical="center" wrapText="1"/>
    </xf>
    <xf numFmtId="0" fontId="56" fillId="41" borderId="5" xfId="0" applyFont="1" applyFill="1" applyBorder="1" applyAlignment="1">
      <alignment horizontal="left" indent="6"/>
    </xf>
    <xf numFmtId="0" fontId="56" fillId="41" borderId="6" xfId="0" applyFont="1" applyFill="1" applyBorder="1" applyAlignment="1">
      <alignment horizontal="left" indent="3"/>
    </xf>
    <xf numFmtId="0" fontId="69" fillId="41" borderId="6" xfId="0" applyFont="1" applyFill="1" applyBorder="1"/>
    <xf numFmtId="0" fontId="56" fillId="41" borderId="2" xfId="0" applyFont="1" applyFill="1" applyBorder="1" applyAlignment="1">
      <alignment horizontal="center"/>
    </xf>
    <xf numFmtId="0" fontId="79" fillId="41" borderId="10" xfId="0" applyFont="1" applyFill="1" applyBorder="1" applyAlignment="1">
      <alignment horizontal="center"/>
    </xf>
    <xf numFmtId="0" fontId="88" fillId="41" borderId="7" xfId="0" applyFont="1" applyFill="1" applyBorder="1" applyAlignment="1">
      <alignment horizontal="center" vertical="center"/>
    </xf>
    <xf numFmtId="0" fontId="74" fillId="41" borderId="10" xfId="0" applyFont="1" applyFill="1" applyBorder="1" applyAlignment="1">
      <alignment horizontal="center"/>
    </xf>
    <xf numFmtId="0" fontId="55" fillId="41" borderId="10" xfId="0" applyFont="1" applyFill="1" applyBorder="1" applyAlignment="1">
      <alignment horizontal="center" wrapText="1"/>
    </xf>
    <xf numFmtId="0" fontId="69" fillId="41" borderId="10" xfId="0" applyFont="1" applyFill="1" applyBorder="1" applyAlignment="1">
      <alignment horizontal="center"/>
    </xf>
    <xf numFmtId="0" fontId="70" fillId="41" borderId="10" xfId="0" applyFont="1" applyFill="1" applyBorder="1" applyAlignment="1">
      <alignment horizontal="center"/>
    </xf>
    <xf numFmtId="0" fontId="70" fillId="41" borderId="21" xfId="0" applyFont="1" applyFill="1" applyBorder="1" applyAlignment="1">
      <alignment horizontal="center"/>
    </xf>
    <xf numFmtId="0" fontId="70" fillId="41" borderId="9" xfId="0" applyFont="1" applyFill="1" applyBorder="1" applyAlignment="1">
      <alignment horizontal="center"/>
    </xf>
    <xf numFmtId="0" fontId="70" fillId="41" borderId="6" xfId="0" applyFont="1" applyFill="1" applyBorder="1" applyAlignment="1">
      <alignment horizontal="center"/>
    </xf>
    <xf numFmtId="0" fontId="56" fillId="41" borderId="10" xfId="0" applyFont="1" applyFill="1" applyBorder="1" applyAlignment="1">
      <alignment horizontal="center"/>
    </xf>
    <xf numFmtId="0" fontId="74" fillId="41" borderId="2" xfId="0" applyFont="1" applyFill="1" applyBorder="1" applyAlignment="1">
      <alignment horizontal="center"/>
    </xf>
    <xf numFmtId="0" fontId="74" fillId="41" borderId="7" xfId="0" applyFont="1" applyFill="1" applyBorder="1" applyAlignment="1">
      <alignment horizontal="center"/>
    </xf>
    <xf numFmtId="0" fontId="69" fillId="41" borderId="7" xfId="0" applyFont="1" applyFill="1" applyBorder="1" applyAlignment="1">
      <alignment horizontal="center"/>
    </xf>
    <xf numFmtId="0" fontId="127" fillId="41" borderId="1" xfId="0" applyFont="1" applyFill="1" applyBorder="1" applyAlignment="1">
      <alignment horizontal="left" vertical="center"/>
    </xf>
    <xf numFmtId="0" fontId="74" fillId="41" borderId="12" xfId="0" applyFont="1" applyFill="1" applyBorder="1" applyAlignment="1">
      <alignment horizontal="left"/>
    </xf>
    <xf numFmtId="0" fontId="79" fillId="41" borderId="12" xfId="0" applyFont="1" applyFill="1" applyBorder="1" applyAlignment="1">
      <alignment horizontal="left" vertical="center"/>
    </xf>
    <xf numFmtId="0" fontId="79" fillId="41" borderId="14" xfId="0" applyFont="1" applyFill="1" applyBorder="1" applyAlignment="1">
      <alignment horizontal="center" vertical="center"/>
    </xf>
    <xf numFmtId="0" fontId="79" fillId="41" borderId="12" xfId="0" applyFont="1" applyFill="1" applyBorder="1"/>
    <xf numFmtId="3" fontId="69" fillId="2" borderId="88" xfId="4" applyNumberFormat="1" applyFont="1" applyFill="1" applyBorder="1" applyAlignment="1" applyProtection="1">
      <alignment horizontal="center"/>
    </xf>
    <xf numFmtId="3" fontId="69" fillId="2" borderId="89" xfId="0" applyNumberFormat="1" applyFont="1" applyFill="1" applyBorder="1" applyAlignment="1">
      <alignment horizontal="center"/>
    </xf>
    <xf numFmtId="3" fontId="69" fillId="2" borderId="90" xfId="0" applyNumberFormat="1" applyFont="1" applyFill="1" applyBorder="1" applyAlignment="1">
      <alignment horizontal="center"/>
    </xf>
    <xf numFmtId="3" fontId="69" fillId="2" borderId="91" xfId="4" applyNumberFormat="1" applyFont="1" applyFill="1" applyBorder="1" applyAlignment="1" applyProtection="1">
      <alignment horizontal="center"/>
    </xf>
    <xf numFmtId="3" fontId="69" fillId="2" borderId="92" xfId="0" applyNumberFormat="1" applyFont="1" applyFill="1" applyBorder="1" applyAlignment="1">
      <alignment horizontal="center"/>
    </xf>
    <xf numFmtId="3" fontId="69" fillId="2" borderId="93" xfId="4" applyNumberFormat="1" applyFont="1" applyFill="1" applyBorder="1" applyAlignment="1" applyProtection="1">
      <alignment horizontal="center"/>
    </xf>
    <xf numFmtId="3" fontId="69" fillId="2" borderId="94" xfId="0" applyNumberFormat="1" applyFont="1" applyFill="1" applyBorder="1" applyAlignment="1">
      <alignment horizontal="center"/>
    </xf>
    <xf numFmtId="3" fontId="69" fillId="2" borderId="95" xfId="0" applyNumberFormat="1" applyFont="1" applyFill="1" applyBorder="1" applyAlignment="1">
      <alignment horizontal="center"/>
    </xf>
    <xf numFmtId="3" fontId="72" fillId="6" borderId="131" xfId="0" applyNumberFormat="1" applyFont="1" applyFill="1" applyBorder="1" applyAlignment="1">
      <alignment horizontal="center"/>
    </xf>
    <xf numFmtId="3" fontId="72" fillId="6" borderId="132" xfId="0" applyNumberFormat="1" applyFont="1" applyFill="1" applyBorder="1" applyAlignment="1">
      <alignment horizontal="center"/>
    </xf>
    <xf numFmtId="3" fontId="72" fillId="6" borderId="133" xfId="0" applyNumberFormat="1" applyFont="1" applyFill="1" applyBorder="1" applyAlignment="1">
      <alignment horizontal="center"/>
    </xf>
    <xf numFmtId="171" fontId="89" fillId="22" borderId="0" xfId="0" applyNumberFormat="1" applyFont="1" applyFill="1" applyAlignment="1">
      <alignment horizontal="center"/>
    </xf>
    <xf numFmtId="173" fontId="4" fillId="6" borderId="7" xfId="2" applyNumberFormat="1" applyFill="1" applyBorder="1" applyAlignment="1">
      <alignment horizontal="left"/>
    </xf>
    <xf numFmtId="173" fontId="0" fillId="6" borderId="7" xfId="0" applyNumberFormat="1" applyFill="1" applyBorder="1" applyAlignment="1">
      <alignment horizontal="center"/>
    </xf>
    <xf numFmtId="173" fontId="9" fillId="6" borderId="7" xfId="0" applyNumberFormat="1" applyFont="1" applyFill="1" applyBorder="1" applyAlignment="1">
      <alignment horizontal="center"/>
    </xf>
    <xf numFmtId="173" fontId="9" fillId="6" borderId="1" xfId="0" applyNumberFormat="1" applyFont="1" applyFill="1" applyBorder="1" applyAlignment="1">
      <alignment horizontal="center"/>
    </xf>
    <xf numFmtId="173" fontId="37" fillId="6" borderId="1" xfId="0" applyNumberFormat="1" applyFont="1" applyFill="1" applyBorder="1" applyAlignment="1">
      <alignment horizontal="center"/>
    </xf>
    <xf numFmtId="173" fontId="37" fillId="6" borderId="7" xfId="0" applyNumberFormat="1" applyFont="1" applyFill="1" applyBorder="1" applyAlignment="1">
      <alignment horizontal="center"/>
    </xf>
    <xf numFmtId="173" fontId="0" fillId="11" borderId="7" xfId="0" applyNumberFormat="1" applyFill="1" applyBorder="1"/>
    <xf numFmtId="173" fontId="9" fillId="11" borderId="7" xfId="0" applyNumberFormat="1" applyFont="1" applyFill="1" applyBorder="1" applyAlignment="1">
      <alignment horizontal="center"/>
    </xf>
    <xf numFmtId="173" fontId="0" fillId="6" borderId="0" xfId="0" applyNumberFormat="1" applyFill="1"/>
    <xf numFmtId="173" fontId="4" fillId="6" borderId="8" xfId="2" applyNumberFormat="1" applyFill="1" applyBorder="1" applyAlignment="1">
      <alignment horizontal="left"/>
    </xf>
    <xf numFmtId="173" fontId="0" fillId="6" borderId="8" xfId="0" applyNumberFormat="1" applyFill="1" applyBorder="1" applyAlignment="1">
      <alignment horizontal="center"/>
    </xf>
    <xf numFmtId="173" fontId="9" fillId="6" borderId="8" xfId="0" applyNumberFormat="1" applyFont="1" applyFill="1" applyBorder="1" applyAlignment="1">
      <alignment horizontal="center"/>
    </xf>
    <xf numFmtId="173" fontId="9" fillId="6" borderId="3" xfId="0" applyNumberFormat="1" applyFont="1" applyFill="1" applyBorder="1" applyAlignment="1">
      <alignment horizontal="center"/>
    </xf>
    <xf numFmtId="173" fontId="37" fillId="6" borderId="3" xfId="0" applyNumberFormat="1" applyFont="1" applyFill="1" applyBorder="1" applyAlignment="1">
      <alignment horizontal="center"/>
    </xf>
    <xf numFmtId="173" fontId="37" fillId="6" borderId="8" xfId="0" applyNumberFormat="1" applyFont="1" applyFill="1" applyBorder="1" applyAlignment="1">
      <alignment horizontal="center"/>
    </xf>
    <xf numFmtId="173" fontId="0" fillId="11" borderId="8" xfId="0" applyNumberFormat="1" applyFill="1" applyBorder="1"/>
    <xf numFmtId="173" fontId="9" fillId="11" borderId="8" xfId="0" applyNumberFormat="1" applyFont="1" applyFill="1" applyBorder="1" applyAlignment="1">
      <alignment horizontal="center"/>
    </xf>
    <xf numFmtId="173" fontId="37" fillId="44" borderId="8" xfId="0" applyNumberFormat="1" applyFont="1" applyFill="1" applyBorder="1" applyAlignment="1">
      <alignment horizontal="center"/>
    </xf>
    <xf numFmtId="173" fontId="37" fillId="2" borderId="8" xfId="0" applyNumberFormat="1" applyFont="1" applyFill="1" applyBorder="1" applyAlignment="1">
      <alignment horizontal="center"/>
    </xf>
    <xf numFmtId="173" fontId="37" fillId="2" borderId="3" xfId="0" applyNumberFormat="1" applyFont="1" applyFill="1" applyBorder="1" applyAlignment="1">
      <alignment horizontal="center"/>
    </xf>
    <xf numFmtId="173" fontId="0" fillId="11" borderId="8" xfId="0" applyNumberFormat="1" applyFill="1" applyBorder="1" applyAlignment="1">
      <alignment horizontal="center"/>
    </xf>
    <xf numFmtId="173" fontId="10" fillId="6" borderId="8" xfId="0" applyNumberFormat="1" applyFont="1" applyFill="1" applyBorder="1"/>
    <xf numFmtId="173" fontId="0" fillId="44" borderId="8" xfId="0" applyNumberFormat="1" applyFill="1" applyBorder="1" applyAlignment="1">
      <alignment horizontal="center"/>
    </xf>
    <xf numFmtId="171" fontId="4" fillId="6" borderId="7" xfId="2" applyNumberFormat="1" applyFill="1" applyBorder="1" applyAlignment="1">
      <alignment horizontal="left"/>
    </xf>
    <xf numFmtId="171" fontId="37" fillId="6" borderId="7" xfId="0" applyNumberFormat="1" applyFont="1" applyFill="1" applyBorder="1" applyAlignment="1">
      <alignment horizontal="center"/>
    </xf>
    <xf numFmtId="171" fontId="0" fillId="11" borderId="0" xfId="0" applyNumberFormat="1" applyFill="1"/>
    <xf numFmtId="171" fontId="0" fillId="6" borderId="7" xfId="0" applyNumberFormat="1" applyFill="1" applyBorder="1" applyAlignment="1">
      <alignment horizontal="center"/>
    </xf>
    <xf numFmtId="171" fontId="9" fillId="6" borderId="7" xfId="0" applyNumberFormat="1" applyFont="1" applyFill="1" applyBorder="1" applyAlignment="1">
      <alignment horizontal="center"/>
    </xf>
    <xf numFmtId="171" fontId="9" fillId="11" borderId="7" xfId="0" applyNumberFormat="1" applyFont="1" applyFill="1" applyBorder="1" applyAlignment="1">
      <alignment horizontal="center"/>
    </xf>
    <xf numFmtId="171" fontId="0" fillId="6" borderId="0" xfId="0" applyNumberFormat="1" applyFill="1"/>
    <xf numFmtId="171" fontId="4" fillId="6" borderId="8" xfId="2" applyNumberFormat="1" applyFill="1" applyBorder="1" applyAlignment="1">
      <alignment horizontal="left"/>
    </xf>
    <xf numFmtId="171" fontId="37" fillId="6" borderId="8" xfId="0" applyNumberFormat="1" applyFont="1" applyFill="1" applyBorder="1" applyAlignment="1">
      <alignment horizontal="center"/>
    </xf>
    <xf numFmtId="171" fontId="0" fillId="6" borderId="8" xfId="0" applyNumberFormat="1" applyFill="1" applyBorder="1" applyAlignment="1">
      <alignment horizontal="center"/>
    </xf>
    <xf numFmtId="171" fontId="9" fillId="6" borderId="8" xfId="0" applyNumberFormat="1" applyFont="1" applyFill="1" applyBorder="1" applyAlignment="1">
      <alignment horizontal="center"/>
    </xf>
    <xf numFmtId="171" fontId="9" fillId="11" borderId="8" xfId="0" applyNumberFormat="1" applyFont="1" applyFill="1" applyBorder="1" applyAlignment="1">
      <alignment horizontal="center"/>
    </xf>
    <xf numFmtId="171" fontId="0" fillId="11" borderId="8" xfId="0" applyNumberFormat="1" applyFill="1" applyBorder="1" applyAlignment="1">
      <alignment horizontal="center"/>
    </xf>
    <xf numFmtId="171" fontId="10" fillId="6" borderId="8" xfId="0" applyNumberFormat="1" applyFont="1" applyFill="1" applyBorder="1"/>
    <xf numFmtId="0" fontId="10" fillId="0" borderId="10" xfId="0" applyFont="1" applyBorder="1" applyAlignment="1">
      <alignment wrapText="1"/>
    </xf>
    <xf numFmtId="0" fontId="4" fillId="0" borderId="9" xfId="0" applyFont="1" applyBorder="1" applyAlignment="1">
      <alignment wrapText="1"/>
    </xf>
    <xf numFmtId="0" fontId="10" fillId="0" borderId="9" xfId="0" applyFont="1" applyBorder="1" applyAlignment="1">
      <alignment wrapText="1"/>
    </xf>
    <xf numFmtId="1" fontId="10" fillId="0" borderId="9" xfId="0" applyNumberFormat="1" applyFont="1" applyBorder="1" applyAlignment="1">
      <alignment wrapText="1"/>
    </xf>
    <xf numFmtId="0" fontId="10" fillId="0" borderId="10" xfId="0" applyFont="1" applyBorder="1" applyAlignment="1">
      <alignment horizontal="left" wrapText="1"/>
    </xf>
    <xf numFmtId="0" fontId="4" fillId="0" borderId="10" xfId="0" applyFont="1" applyBorder="1" applyAlignment="1">
      <alignment wrapText="1"/>
    </xf>
    <xf numFmtId="1" fontId="10" fillId="0" borderId="10" xfId="0" applyNumberFormat="1" applyFont="1" applyBorder="1" applyAlignment="1">
      <alignment wrapText="1"/>
    </xf>
    <xf numFmtId="0" fontId="5" fillId="0" borderId="0" xfId="0" applyFont="1"/>
    <xf numFmtId="0" fontId="44" fillId="0" borderId="0" xfId="0" applyFont="1"/>
    <xf numFmtId="1" fontId="44" fillId="0" borderId="0" xfId="0" applyNumberFormat="1" applyFont="1"/>
    <xf numFmtId="164" fontId="0" fillId="6" borderId="7" xfId="0" applyNumberFormat="1" applyFill="1" applyBorder="1"/>
    <xf numFmtId="164" fontId="4" fillId="6" borderId="7" xfId="2" applyNumberFormat="1" applyFill="1" applyBorder="1" applyAlignment="1">
      <alignment horizontal="left"/>
    </xf>
    <xf numFmtId="164" fontId="0" fillId="6" borderId="1" xfId="0" applyNumberFormat="1" applyFill="1" applyBorder="1" applyAlignment="1">
      <alignment horizontal="left"/>
    </xf>
    <xf numFmtId="164" fontId="9" fillId="6" borderId="3" xfId="0" applyNumberFormat="1" applyFont="1" applyFill="1" applyBorder="1" applyAlignment="1">
      <alignment horizontal="left"/>
    </xf>
    <xf numFmtId="164" fontId="9" fillId="6" borderId="1" xfId="0" applyNumberFormat="1" applyFont="1" applyFill="1" applyBorder="1" applyAlignment="1">
      <alignment horizontal="left"/>
    </xf>
    <xf numFmtId="164" fontId="0" fillId="22" borderId="1" xfId="0" applyNumberFormat="1" applyFill="1" applyBorder="1" applyAlignment="1">
      <alignment horizontal="center"/>
    </xf>
    <xf numFmtId="164" fontId="0" fillId="6" borderId="1" xfId="0" applyNumberFormat="1" applyFill="1" applyBorder="1"/>
    <xf numFmtId="164" fontId="0" fillId="0" borderId="11" xfId="0" applyNumberFormat="1" applyBorder="1"/>
    <xf numFmtId="164" fontId="4" fillId="6" borderId="8" xfId="2" applyNumberFormat="1" applyFill="1" applyBorder="1" applyAlignment="1">
      <alignment horizontal="left"/>
    </xf>
    <xf numFmtId="164" fontId="0" fillId="6" borderId="3" xfId="0" applyNumberFormat="1" applyFill="1" applyBorder="1" applyAlignment="1">
      <alignment horizontal="left"/>
    </xf>
    <xf numFmtId="164" fontId="0" fillId="6" borderId="3" xfId="0" applyNumberFormat="1" applyFill="1" applyBorder="1"/>
    <xf numFmtId="164" fontId="0" fillId="6" borderId="9" xfId="0" applyNumberFormat="1" applyFill="1" applyBorder="1"/>
    <xf numFmtId="164" fontId="10" fillId="6" borderId="9" xfId="0" applyNumberFormat="1" applyFont="1" applyFill="1" applyBorder="1"/>
    <xf numFmtId="164" fontId="0" fillId="6" borderId="5" xfId="0" applyNumberFormat="1" applyFill="1" applyBorder="1" applyAlignment="1">
      <alignment horizontal="left"/>
    </xf>
    <xf numFmtId="164" fontId="9" fillId="6" borderId="5" xfId="0" applyNumberFormat="1" applyFont="1" applyFill="1" applyBorder="1" applyAlignment="1">
      <alignment horizontal="left"/>
    </xf>
    <xf numFmtId="164" fontId="0" fillId="6" borderId="5" xfId="0" applyNumberFormat="1" applyFill="1" applyBorder="1" applyAlignment="1">
      <alignment horizontal="center"/>
    </xf>
    <xf numFmtId="164" fontId="0" fillId="6" borderId="5" xfId="0" applyNumberFormat="1" applyFill="1" applyBorder="1"/>
    <xf numFmtId="164" fontId="0" fillId="0" borderId="21" xfId="0" applyNumberFormat="1" applyBorder="1"/>
    <xf numFmtId="164" fontId="4" fillId="6" borderId="1" xfId="2" applyNumberFormat="1" applyFill="1" applyBorder="1" applyAlignment="1">
      <alignment horizontal="left"/>
    </xf>
    <xf numFmtId="164" fontId="9" fillId="6" borderId="7" xfId="0" applyNumberFormat="1" applyFont="1" applyFill="1" applyBorder="1" applyAlignment="1">
      <alignment horizontal="left"/>
    </xf>
    <xf numFmtId="164" fontId="4" fillId="6" borderId="3" xfId="2" applyNumberFormat="1" applyFill="1" applyBorder="1" applyAlignment="1">
      <alignment horizontal="left"/>
    </xf>
    <xf numFmtId="164" fontId="9" fillId="6" borderId="8" xfId="0" applyNumberFormat="1" applyFont="1" applyFill="1" applyBorder="1" applyAlignment="1">
      <alignment horizontal="left"/>
    </xf>
    <xf numFmtId="164" fontId="10" fillId="6" borderId="5" xfId="0" applyNumberFormat="1" applyFont="1" applyFill="1" applyBorder="1"/>
    <xf numFmtId="164" fontId="9" fillId="6" borderId="9" xfId="0" applyNumberFormat="1" applyFont="1" applyFill="1" applyBorder="1" applyAlignment="1">
      <alignment horizontal="left"/>
    </xf>
    <xf numFmtId="164" fontId="4" fillId="6" borderId="11" xfId="2" applyNumberFormat="1" applyFill="1" applyBorder="1" applyAlignment="1">
      <alignment horizontal="left"/>
    </xf>
    <xf numFmtId="164" fontId="4" fillId="6" borderId="0" xfId="2" applyNumberFormat="1" applyFill="1" applyAlignment="1">
      <alignment horizontal="left"/>
    </xf>
    <xf numFmtId="164" fontId="10" fillId="6" borderId="21" xfId="0" applyNumberFormat="1" applyFont="1" applyFill="1" applyBorder="1"/>
    <xf numFmtId="164" fontId="4" fillId="6" borderId="2" xfId="2" applyNumberFormat="1" applyFill="1" applyBorder="1" applyAlignment="1">
      <alignment horizontal="left"/>
    </xf>
    <xf numFmtId="164" fontId="0" fillId="6" borderId="2" xfId="0" applyNumberFormat="1" applyFill="1" applyBorder="1"/>
    <xf numFmtId="164" fontId="0" fillId="6" borderId="4" xfId="0" applyNumberFormat="1" applyFill="1" applyBorder="1"/>
    <xf numFmtId="164" fontId="4" fillId="6" borderId="4" xfId="2" applyNumberFormat="1" applyFill="1" applyBorder="1" applyAlignment="1">
      <alignment horizontal="left"/>
    </xf>
    <xf numFmtId="164" fontId="10" fillId="6" borderId="6" xfId="0" applyNumberFormat="1" applyFont="1" applyFill="1" applyBorder="1"/>
    <xf numFmtId="164" fontId="0" fillId="6" borderId="6" xfId="0" applyNumberFormat="1" applyFill="1" applyBorder="1"/>
    <xf numFmtId="0" fontId="186" fillId="12" borderId="0" xfId="0" applyFont="1" applyFill="1" applyAlignment="1">
      <alignment horizontal="right" vertical="top" indent="1"/>
    </xf>
    <xf numFmtId="0" fontId="157" fillId="12" borderId="0" xfId="0" applyFont="1" applyFill="1" applyAlignment="1">
      <alignment horizontal="right" vertical="center"/>
    </xf>
    <xf numFmtId="0" fontId="157" fillId="12" borderId="0" xfId="0" applyFont="1" applyFill="1" applyAlignment="1">
      <alignment horizontal="right" vertical="center" indent="1"/>
    </xf>
    <xf numFmtId="164" fontId="37" fillId="6" borderId="8" xfId="0" applyNumberFormat="1" applyFont="1" applyFill="1" applyBorder="1" applyAlignment="1">
      <alignment horizontal="center"/>
    </xf>
    <xf numFmtId="164" fontId="0" fillId="9" borderId="9" xfId="0" applyNumberFormat="1" applyFill="1" applyBorder="1" applyAlignment="1">
      <alignment horizontal="center"/>
    </xf>
    <xf numFmtId="164" fontId="0" fillId="9" borderId="6" xfId="0" applyNumberFormat="1" applyFill="1" applyBorder="1" applyAlignment="1">
      <alignment horizontal="center"/>
    </xf>
    <xf numFmtId="0" fontId="0" fillId="9" borderId="6" xfId="0" applyFill="1" applyBorder="1" applyAlignment="1">
      <alignment horizontal="center"/>
    </xf>
    <xf numFmtId="0" fontId="89" fillId="22" borderId="0" xfId="0" applyFont="1" applyFill="1"/>
    <xf numFmtId="0" fontId="9" fillId="22" borderId="0" xfId="0" applyFont="1" applyFill="1"/>
    <xf numFmtId="0" fontId="41" fillId="22" borderId="0" xfId="0" applyFont="1" applyFill="1"/>
    <xf numFmtId="2" fontId="0" fillId="2" borderId="73" xfId="0" applyNumberFormat="1" applyFill="1" applyBorder="1" applyAlignment="1">
      <alignment horizontal="center"/>
    </xf>
    <xf numFmtId="1" fontId="0" fillId="2" borderId="73" xfId="0" applyNumberFormat="1" applyFill="1" applyBorder="1" applyAlignment="1">
      <alignment horizontal="center"/>
    </xf>
    <xf numFmtId="0" fontId="3" fillId="6" borderId="0" xfId="0" applyFont="1" applyFill="1" applyAlignment="1">
      <alignment horizontal="center"/>
    </xf>
    <xf numFmtId="0" fontId="3" fillId="32" borderId="0" xfId="0" applyFont="1" applyFill="1" applyAlignment="1">
      <alignment horizontal="center"/>
    </xf>
    <xf numFmtId="0" fontId="3" fillId="32" borderId="0" xfId="0" applyFont="1" applyFill="1" applyAlignment="1">
      <alignment horizontal="left" indent="2"/>
    </xf>
    <xf numFmtId="0" fontId="3" fillId="32" borderId="0" xfId="0" applyFont="1" applyFill="1" applyAlignment="1">
      <alignment horizontal="left"/>
    </xf>
    <xf numFmtId="0" fontId="50" fillId="32" borderId="0" xfId="0" applyFont="1" applyFill="1" applyAlignment="1">
      <alignment horizontal="center"/>
    </xf>
    <xf numFmtId="0" fontId="108" fillId="32" borderId="0" xfId="0" applyFont="1" applyFill="1" applyAlignment="1">
      <alignment horizontal="left" indent="1"/>
    </xf>
    <xf numFmtId="0" fontId="9" fillId="32" borderId="0" xfId="0" applyFont="1" applyFill="1"/>
    <xf numFmtId="0" fontId="3" fillId="32" borderId="0" xfId="0" applyFont="1" applyFill="1" applyAlignment="1">
      <alignment horizontal="left" indent="4"/>
    </xf>
    <xf numFmtId="0" fontId="30" fillId="32" borderId="0" xfId="0" applyFont="1" applyFill="1" applyAlignment="1">
      <alignment horizontal="center"/>
    </xf>
    <xf numFmtId="0" fontId="3" fillId="41" borderId="0" xfId="0" applyFont="1" applyFill="1" applyAlignment="1">
      <alignment horizontal="left" indent="4"/>
    </xf>
    <xf numFmtId="0" fontId="3" fillId="41" borderId="0" xfId="0" applyFont="1" applyFill="1" applyAlignment="1">
      <alignment horizontal="center"/>
    </xf>
    <xf numFmtId="0" fontId="3" fillId="41" borderId="0" xfId="0" applyFont="1" applyFill="1" applyAlignment="1">
      <alignment horizontal="center" vertical="top"/>
    </xf>
    <xf numFmtId="0" fontId="3" fillId="30" borderId="0" xfId="0" applyFont="1" applyFill="1" applyAlignment="1">
      <alignment horizontal="center"/>
    </xf>
    <xf numFmtId="0" fontId="3" fillId="30" borderId="0" xfId="0" applyFont="1" applyFill="1" applyAlignment="1">
      <alignment horizontal="left" indent="4"/>
    </xf>
    <xf numFmtId="0" fontId="3" fillId="30" borderId="0" xfId="0" applyFont="1" applyFill="1"/>
    <xf numFmtId="0" fontId="0" fillId="30" borderId="0" xfId="0" applyFill="1"/>
    <xf numFmtId="2" fontId="0" fillId="2" borderId="72" xfId="0" applyNumberFormat="1" applyFill="1" applyBorder="1" applyAlignment="1">
      <alignment horizontal="center"/>
    </xf>
    <xf numFmtId="1" fontId="0" fillId="2" borderId="72" xfId="0" applyNumberFormat="1" applyFill="1" applyBorder="1" applyAlignment="1">
      <alignment horizontal="center"/>
    </xf>
    <xf numFmtId="4" fontId="0" fillId="2" borderId="67" xfId="0" applyNumberFormat="1" applyFill="1" applyBorder="1" applyAlignment="1">
      <alignment horizontal="center"/>
    </xf>
    <xf numFmtId="4" fontId="0" fillId="2" borderId="69" xfId="0" applyNumberFormat="1" applyFill="1" applyBorder="1" applyAlignment="1">
      <alignment horizontal="center"/>
    </xf>
    <xf numFmtId="2" fontId="0" fillId="2" borderId="74" xfId="0" applyNumberFormat="1" applyFill="1" applyBorder="1" applyAlignment="1">
      <alignment horizontal="center"/>
    </xf>
    <xf numFmtId="1" fontId="0" fillId="2" borderId="74" xfId="0" applyNumberFormat="1" applyFill="1" applyBorder="1" applyAlignment="1">
      <alignment horizontal="center"/>
    </xf>
    <xf numFmtId="4" fontId="0" fillId="2" borderId="71" xfId="0" applyNumberFormat="1" applyFill="1" applyBorder="1" applyAlignment="1">
      <alignment horizontal="center"/>
    </xf>
    <xf numFmtId="0" fontId="8" fillId="19" borderId="0" xfId="0" applyFont="1" applyFill="1"/>
    <xf numFmtId="0" fontId="3" fillId="2" borderId="0" xfId="0" applyFont="1" applyFill="1"/>
    <xf numFmtId="0" fontId="3" fillId="2" borderId="0" xfId="0" applyFont="1" applyFill="1" applyAlignment="1">
      <alignment horizontal="left" indent="9"/>
    </xf>
    <xf numFmtId="0" fontId="3" fillId="2" borderId="0" xfId="0" applyFont="1" applyFill="1" applyAlignment="1">
      <alignment horizontal="left" indent="6"/>
    </xf>
    <xf numFmtId="0" fontId="3" fillId="16" borderId="0" xfId="0" applyFont="1" applyFill="1" applyAlignment="1">
      <alignment horizontal="left" vertical="center" indent="6"/>
    </xf>
    <xf numFmtId="0" fontId="3" fillId="17" borderId="0" xfId="0" applyFont="1" applyFill="1" applyAlignment="1">
      <alignment horizontal="left" indent="9"/>
    </xf>
    <xf numFmtId="0" fontId="0" fillId="17" borderId="0" xfId="0" applyFill="1" applyAlignment="1">
      <alignment horizontal="center"/>
    </xf>
    <xf numFmtId="0" fontId="0" fillId="16" borderId="0" xfId="0" applyFill="1" applyAlignment="1">
      <alignment horizontal="center" vertical="center"/>
    </xf>
    <xf numFmtId="3" fontId="0" fillId="2" borderId="70" xfId="0" applyNumberFormat="1" applyFill="1" applyBorder="1" applyAlignment="1">
      <alignment horizontal="center"/>
    </xf>
    <xf numFmtId="3" fontId="0" fillId="6" borderId="71" xfId="0" applyNumberFormat="1" applyFill="1" applyBorder="1" applyAlignment="1">
      <alignment horizontal="center"/>
    </xf>
    <xf numFmtId="3" fontId="69" fillId="24" borderId="10" xfId="0" applyNumberFormat="1" applyFont="1" applyFill="1" applyBorder="1" applyAlignment="1">
      <alignment horizontal="center" vertical="center"/>
    </xf>
    <xf numFmtId="1" fontId="4" fillId="12" borderId="0" xfId="0" applyNumberFormat="1" applyFont="1" applyFill="1"/>
    <xf numFmtId="1" fontId="4" fillId="12" borderId="0" xfId="0" applyNumberFormat="1" applyFont="1" applyFill="1" applyAlignment="1">
      <alignment horizontal="left"/>
    </xf>
    <xf numFmtId="0" fontId="37" fillId="12" borderId="21" xfId="0" applyFont="1" applyFill="1" applyBorder="1"/>
    <xf numFmtId="1" fontId="5" fillId="12" borderId="14" xfId="0" applyNumberFormat="1" applyFont="1" applyFill="1" applyBorder="1" applyAlignment="1">
      <alignment horizontal="left"/>
    </xf>
    <xf numFmtId="1" fontId="5" fillId="12" borderId="14" xfId="0" applyNumberFormat="1" applyFont="1" applyFill="1" applyBorder="1" applyAlignment="1">
      <alignment horizontal="center"/>
    </xf>
    <xf numFmtId="1" fontId="4" fillId="12" borderId="21" xfId="0" applyNumberFormat="1" applyFont="1" applyFill="1" applyBorder="1"/>
    <xf numFmtId="0" fontId="5" fillId="12" borderId="21" xfId="0" applyFont="1" applyFill="1" applyBorder="1" applyAlignment="1">
      <alignment horizontal="left"/>
    </xf>
    <xf numFmtId="1" fontId="37" fillId="22" borderId="0" xfId="0" applyNumberFormat="1" applyFont="1" applyFill="1" applyAlignment="1">
      <alignment horizontal="left" vertical="center" wrapText="1"/>
    </xf>
    <xf numFmtId="1" fontId="5" fillId="2" borderId="14" xfId="0" applyNumberFormat="1" applyFont="1" applyFill="1" applyBorder="1" applyAlignment="1">
      <alignment horizontal="center"/>
    </xf>
    <xf numFmtId="0" fontId="5" fillId="2" borderId="14" xfId="0" applyFont="1" applyFill="1" applyBorder="1" applyAlignment="1">
      <alignment horizontal="center"/>
    </xf>
    <xf numFmtId="1" fontId="37" fillId="2" borderId="126" xfId="0" applyNumberFormat="1" applyFont="1" applyFill="1" applyBorder="1" applyAlignment="1">
      <alignment horizontal="center" vertical="center" wrapText="1"/>
    </xf>
    <xf numFmtId="1" fontId="37" fillId="2" borderId="127" xfId="0" applyNumberFormat="1" applyFont="1" applyFill="1" applyBorder="1" applyAlignment="1">
      <alignment horizontal="center" vertical="center" wrapText="1"/>
    </xf>
    <xf numFmtId="1" fontId="37" fillId="2" borderId="68" xfId="0" applyNumberFormat="1" applyFont="1" applyFill="1" applyBorder="1" applyAlignment="1">
      <alignment horizontal="center" vertical="center" wrapText="1"/>
    </xf>
    <xf numFmtId="1" fontId="37" fillId="2" borderId="69" xfId="0" applyNumberFormat="1" applyFont="1" applyFill="1" applyBorder="1" applyAlignment="1">
      <alignment horizontal="center" vertical="center" wrapText="1"/>
    </xf>
    <xf numFmtId="1" fontId="37" fillId="2" borderId="86" xfId="0" applyNumberFormat="1" applyFont="1" applyFill="1" applyBorder="1" applyAlignment="1">
      <alignment horizontal="center" vertical="center" wrapText="1"/>
    </xf>
    <xf numFmtId="1" fontId="37" fillId="2" borderId="87" xfId="0" applyNumberFormat="1" applyFont="1" applyFill="1" applyBorder="1" applyAlignment="1">
      <alignment horizontal="center" vertical="center" wrapText="1"/>
    </xf>
    <xf numFmtId="3" fontId="37" fillId="2" borderId="126" xfId="0" applyNumberFormat="1" applyFont="1" applyFill="1" applyBorder="1" applyAlignment="1">
      <alignment horizontal="center" vertical="center" wrapText="1"/>
    </xf>
    <xf numFmtId="3" fontId="37" fillId="2" borderId="89" xfId="0" applyNumberFormat="1" applyFont="1" applyFill="1" applyBorder="1" applyAlignment="1">
      <alignment horizontal="center" vertical="center" wrapText="1"/>
    </xf>
    <xf numFmtId="3" fontId="37" fillId="2" borderId="127" xfId="0" applyNumberFormat="1" applyFont="1" applyFill="1" applyBorder="1" applyAlignment="1">
      <alignment horizontal="center" vertical="center" wrapText="1"/>
    </xf>
    <xf numFmtId="3" fontId="37" fillId="2" borderId="68" xfId="0" applyNumberFormat="1" applyFont="1" applyFill="1" applyBorder="1" applyAlignment="1">
      <alignment horizontal="center" vertical="center" wrapText="1"/>
    </xf>
    <xf numFmtId="1" fontId="37" fillId="2" borderId="73" xfId="0" applyNumberFormat="1" applyFont="1" applyFill="1" applyBorder="1" applyAlignment="1">
      <alignment horizontal="center" vertical="center" wrapText="1"/>
    </xf>
    <xf numFmtId="3" fontId="37" fillId="2" borderId="69" xfId="0" applyNumberFormat="1" applyFont="1" applyFill="1" applyBorder="1" applyAlignment="1">
      <alignment horizontal="center" vertical="center" wrapText="1"/>
    </xf>
    <xf numFmtId="3" fontId="22" fillId="2" borderId="86" xfId="0" applyNumberFormat="1" applyFont="1" applyFill="1" applyBorder="1" applyAlignment="1">
      <alignment horizontal="center" vertical="center" wrapText="1"/>
    </xf>
    <xf numFmtId="3" fontId="22" fillId="2" borderId="94" xfId="0" applyNumberFormat="1" applyFont="1" applyFill="1" applyBorder="1" applyAlignment="1">
      <alignment horizontal="center" vertical="center" wrapText="1"/>
    </xf>
    <xf numFmtId="3" fontId="22" fillId="2" borderId="87" xfId="0" applyNumberFormat="1" applyFont="1" applyFill="1" applyBorder="1" applyAlignment="1">
      <alignment horizontal="center" vertical="center" wrapText="1"/>
    </xf>
    <xf numFmtId="170" fontId="70" fillId="2" borderId="126" xfId="0" applyNumberFormat="1" applyFont="1" applyFill="1" applyBorder="1" applyAlignment="1">
      <alignment horizontal="center" vertical="center" wrapText="1"/>
    </xf>
    <xf numFmtId="170" fontId="70" fillId="2" borderId="89" xfId="0" applyNumberFormat="1" applyFont="1" applyFill="1" applyBorder="1" applyAlignment="1">
      <alignment horizontal="center" vertical="center" wrapText="1"/>
    </xf>
    <xf numFmtId="170" fontId="70" fillId="2" borderId="127" xfId="0" applyNumberFormat="1" applyFont="1" applyFill="1" applyBorder="1" applyAlignment="1">
      <alignment horizontal="center" vertical="center" wrapText="1"/>
    </xf>
    <xf numFmtId="170" fontId="70" fillId="2" borderId="68" xfId="0" applyNumberFormat="1" applyFont="1" applyFill="1" applyBorder="1" applyAlignment="1">
      <alignment horizontal="center" vertical="center" wrapText="1"/>
    </xf>
    <xf numFmtId="170" fontId="70" fillId="2" borderId="73" xfId="0" applyNumberFormat="1" applyFont="1" applyFill="1" applyBorder="1" applyAlignment="1">
      <alignment horizontal="center" vertical="center" wrapText="1"/>
    </xf>
    <xf numFmtId="1" fontId="70" fillId="2" borderId="69" xfId="0" applyNumberFormat="1" applyFont="1" applyFill="1" applyBorder="1" applyAlignment="1">
      <alignment horizontal="center"/>
    </xf>
    <xf numFmtId="1" fontId="70" fillId="2" borderId="68" xfId="0" applyNumberFormat="1" applyFont="1" applyFill="1" applyBorder="1" applyAlignment="1">
      <alignment horizontal="center" vertical="center" wrapText="1"/>
    </xf>
    <xf numFmtId="1" fontId="70" fillId="2" borderId="73" xfId="0" applyNumberFormat="1" applyFont="1" applyFill="1" applyBorder="1" applyAlignment="1">
      <alignment horizontal="center" vertical="center" wrapText="1"/>
    </xf>
    <xf numFmtId="1" fontId="70" fillId="2" borderId="69" xfId="0" applyNumberFormat="1" applyFont="1" applyFill="1" applyBorder="1" applyAlignment="1">
      <alignment horizontal="center" vertical="center" wrapText="1"/>
    </xf>
    <xf numFmtId="0" fontId="70" fillId="45" borderId="0" xfId="0" applyFont="1" applyFill="1"/>
    <xf numFmtId="0" fontId="70" fillId="45" borderId="0" xfId="0" applyFont="1" applyFill="1" applyAlignment="1">
      <alignment horizontal="center"/>
    </xf>
    <xf numFmtId="0" fontId="70" fillId="45" borderId="21" xfId="0" applyFont="1" applyFill="1" applyBorder="1" applyAlignment="1">
      <alignment horizontal="center"/>
    </xf>
    <xf numFmtId="0" fontId="56" fillId="45" borderId="11" xfId="0" applyFont="1" applyFill="1" applyBorder="1" applyAlignment="1">
      <alignment horizontal="left" indent="6"/>
    </xf>
    <xf numFmtId="0" fontId="70" fillId="45" borderId="11" xfId="0" applyFont="1" applyFill="1" applyBorder="1"/>
    <xf numFmtId="0" fontId="56" fillId="45" borderId="11" xfId="0" applyFont="1" applyFill="1" applyBorder="1" applyAlignment="1">
      <alignment horizontal="left" indent="5"/>
    </xf>
    <xf numFmtId="1" fontId="70" fillId="33" borderId="66" xfId="0" applyNumberFormat="1" applyFont="1" applyFill="1" applyBorder="1" applyAlignment="1">
      <alignment horizontal="center"/>
    </xf>
    <xf numFmtId="1" fontId="70" fillId="33" borderId="72" xfId="0" applyNumberFormat="1" applyFont="1" applyFill="1" applyBorder="1" applyAlignment="1">
      <alignment horizontal="center"/>
    </xf>
    <xf numFmtId="1" fontId="70" fillId="33" borderId="67" xfId="0" applyNumberFormat="1" applyFont="1" applyFill="1" applyBorder="1" applyAlignment="1">
      <alignment horizontal="center"/>
    </xf>
    <xf numFmtId="1" fontId="70" fillId="33" borderId="68" xfId="0" applyNumberFormat="1" applyFont="1" applyFill="1" applyBorder="1" applyAlignment="1">
      <alignment horizontal="center"/>
    </xf>
    <xf numFmtId="1" fontId="70" fillId="33" borderId="73" xfId="0" applyNumberFormat="1" applyFont="1" applyFill="1" applyBorder="1" applyAlignment="1">
      <alignment horizontal="center"/>
    </xf>
    <xf numFmtId="1" fontId="70" fillId="33" borderId="69" xfId="0" applyNumberFormat="1" applyFont="1" applyFill="1" applyBorder="1" applyAlignment="1">
      <alignment horizontal="center"/>
    </xf>
    <xf numFmtId="1" fontId="70" fillId="33" borderId="70" xfId="0" applyNumberFormat="1" applyFont="1" applyFill="1" applyBorder="1" applyAlignment="1">
      <alignment horizontal="center"/>
    </xf>
    <xf numFmtId="1" fontId="70" fillId="33" borderId="74" xfId="0" applyNumberFormat="1" applyFont="1" applyFill="1" applyBorder="1" applyAlignment="1">
      <alignment horizontal="center"/>
    </xf>
    <xf numFmtId="1" fontId="70" fillId="33" borderId="71" xfId="0" applyNumberFormat="1" applyFont="1" applyFill="1" applyBorder="1" applyAlignment="1">
      <alignment horizontal="center"/>
    </xf>
    <xf numFmtId="0" fontId="56" fillId="33" borderId="134" xfId="0" applyFont="1" applyFill="1" applyBorder="1" applyAlignment="1">
      <alignment horizontal="center"/>
    </xf>
    <xf numFmtId="0" fontId="56" fillId="33" borderId="135" xfId="0" applyFont="1" applyFill="1" applyBorder="1" applyAlignment="1">
      <alignment horizontal="center"/>
    </xf>
    <xf numFmtId="0" fontId="56" fillId="33" borderId="136" xfId="0" applyFont="1" applyFill="1" applyBorder="1" applyAlignment="1">
      <alignment horizontal="center"/>
    </xf>
    <xf numFmtId="0" fontId="56" fillId="45" borderId="11" xfId="0" applyFont="1" applyFill="1" applyBorder="1" applyAlignment="1">
      <alignment horizontal="left"/>
    </xf>
    <xf numFmtId="0" fontId="56" fillId="45" borderId="11" xfId="0" applyFont="1" applyFill="1" applyBorder="1" applyAlignment="1">
      <alignment horizontal="center"/>
    </xf>
    <xf numFmtId="0" fontId="70" fillId="16" borderId="0" xfId="0" applyFont="1" applyFill="1" applyAlignment="1">
      <alignment horizontal="center" vertical="center"/>
    </xf>
    <xf numFmtId="0" fontId="70" fillId="17" borderId="0" xfId="0" applyFont="1" applyFill="1" applyAlignment="1">
      <alignment horizontal="center" vertical="center"/>
    </xf>
    <xf numFmtId="0" fontId="70" fillId="22" borderId="0" xfId="0" applyFont="1" applyFill="1" applyAlignment="1">
      <alignment horizontal="left"/>
    </xf>
    <xf numFmtId="1" fontId="55" fillId="33" borderId="66" xfId="0" applyNumberFormat="1" applyFont="1" applyFill="1" applyBorder="1" applyAlignment="1">
      <alignment horizontal="center"/>
    </xf>
    <xf numFmtId="1" fontId="55" fillId="33" borderId="72" xfId="0" applyNumberFormat="1" applyFont="1" applyFill="1" applyBorder="1" applyAlignment="1">
      <alignment horizontal="center"/>
    </xf>
    <xf numFmtId="3" fontId="70" fillId="33" borderId="72" xfId="0" applyNumberFormat="1" applyFont="1" applyFill="1" applyBorder="1" applyAlignment="1">
      <alignment horizontal="center"/>
    </xf>
    <xf numFmtId="0" fontId="70" fillId="33" borderId="72" xfId="0" applyFont="1" applyFill="1" applyBorder="1" applyAlignment="1">
      <alignment horizontal="center"/>
    </xf>
    <xf numFmtId="3" fontId="70" fillId="33" borderId="67" xfId="0" applyNumberFormat="1" applyFont="1" applyFill="1" applyBorder="1" applyAlignment="1">
      <alignment horizontal="center"/>
    </xf>
    <xf numFmtId="1" fontId="55" fillId="33" borderId="68" xfId="0" applyNumberFormat="1" applyFont="1" applyFill="1" applyBorder="1" applyAlignment="1">
      <alignment horizontal="center"/>
    </xf>
    <xf numFmtId="1" fontId="55" fillId="33" borderId="73" xfId="0" applyNumberFormat="1" applyFont="1" applyFill="1" applyBorder="1" applyAlignment="1">
      <alignment horizontal="center"/>
    </xf>
    <xf numFmtId="3" fontId="70" fillId="33" borderId="73" xfId="0" applyNumberFormat="1" applyFont="1" applyFill="1" applyBorder="1" applyAlignment="1">
      <alignment horizontal="center"/>
    </xf>
    <xf numFmtId="0" fontId="70" fillId="33" borderId="73" xfId="0" applyFont="1" applyFill="1" applyBorder="1" applyAlignment="1">
      <alignment horizontal="center"/>
    </xf>
    <xf numFmtId="3" fontId="70" fillId="33" borderId="69" xfId="0" applyNumberFormat="1" applyFont="1" applyFill="1" applyBorder="1" applyAlignment="1">
      <alignment horizontal="center"/>
    </xf>
    <xf numFmtId="1" fontId="55" fillId="33" borderId="70" xfId="0" applyNumberFormat="1" applyFont="1" applyFill="1" applyBorder="1" applyAlignment="1">
      <alignment horizontal="center"/>
    </xf>
    <xf numFmtId="1" fontId="55" fillId="33" borderId="74" xfId="0" applyNumberFormat="1" applyFont="1" applyFill="1" applyBorder="1" applyAlignment="1">
      <alignment horizontal="center"/>
    </xf>
    <xf numFmtId="3" fontId="70" fillId="33" borderId="74" xfId="0" applyNumberFormat="1" applyFont="1" applyFill="1" applyBorder="1" applyAlignment="1">
      <alignment horizontal="center"/>
    </xf>
    <xf numFmtId="0" fontId="70" fillId="33" borderId="74" xfId="0" applyFont="1" applyFill="1" applyBorder="1" applyAlignment="1">
      <alignment horizontal="center"/>
    </xf>
    <xf numFmtId="3" fontId="70" fillId="33" borderId="71" xfId="0" applyNumberFormat="1" applyFont="1" applyFill="1" applyBorder="1" applyAlignment="1">
      <alignment horizontal="center"/>
    </xf>
    <xf numFmtId="0" fontId="70" fillId="45" borderId="0" xfId="0" applyFont="1" applyFill="1" applyAlignment="1">
      <alignment horizontal="left" indent="13"/>
    </xf>
    <xf numFmtId="0" fontId="88" fillId="45" borderId="0" xfId="0" applyFont="1" applyFill="1"/>
    <xf numFmtId="0" fontId="88" fillId="45" borderId="0" xfId="0" applyFont="1" applyFill="1" applyAlignment="1">
      <alignment horizontal="left" indent="8"/>
    </xf>
    <xf numFmtId="0" fontId="88" fillId="45" borderId="0" xfId="0" applyFont="1" applyFill="1" applyAlignment="1">
      <alignment horizontal="left" indent="2"/>
    </xf>
    <xf numFmtId="0" fontId="55" fillId="45" borderId="0" xfId="0" applyFont="1" applyFill="1" applyAlignment="1">
      <alignment horizontal="left" indent="6"/>
    </xf>
    <xf numFmtId="0" fontId="55" fillId="45" borderId="0" xfId="0" applyFont="1" applyFill="1"/>
    <xf numFmtId="0" fontId="88" fillId="45" borderId="0" xfId="0" applyFont="1" applyFill="1" applyAlignment="1">
      <alignment horizontal="left"/>
    </xf>
    <xf numFmtId="0" fontId="56" fillId="45" borderId="0" xfId="0" applyFont="1" applyFill="1"/>
    <xf numFmtId="0" fontId="56" fillId="45" borderId="11" xfId="0" applyFont="1" applyFill="1" applyBorder="1" applyAlignment="1">
      <alignment horizontal="left" indent="13"/>
    </xf>
    <xf numFmtId="0" fontId="70" fillId="45" borderId="11" xfId="0" applyFont="1" applyFill="1" applyBorder="1" applyAlignment="1">
      <alignment horizontal="left" indent="13"/>
    </xf>
    <xf numFmtId="0" fontId="88" fillId="45" borderId="11" xfId="0" applyFont="1" applyFill="1" applyBorder="1" applyAlignment="1">
      <alignment horizontal="left" vertical="center" indent="9"/>
    </xf>
    <xf numFmtId="0" fontId="88" fillId="45" borderId="11" xfId="0" applyFont="1" applyFill="1" applyBorder="1"/>
    <xf numFmtId="1" fontId="0" fillId="22" borderId="0" xfId="0" applyNumberFormat="1" applyFill="1"/>
    <xf numFmtId="0" fontId="5" fillId="45" borderId="0" xfId="0" applyFont="1" applyFill="1"/>
    <xf numFmtId="0" fontId="22" fillId="45" borderId="0" xfId="0" applyFont="1" applyFill="1" applyAlignment="1">
      <alignment horizontal="left" indent="10"/>
    </xf>
    <xf numFmtId="0" fontId="37" fillId="45" borderId="0" xfId="0" applyFont="1" applyFill="1"/>
    <xf numFmtId="0" fontId="5" fillId="45" borderId="0" xfId="0" applyFont="1" applyFill="1" applyAlignment="1">
      <alignment horizontal="left" vertical="center"/>
    </xf>
    <xf numFmtId="0" fontId="5" fillId="45" borderId="0" xfId="0" applyFont="1" applyFill="1" applyAlignment="1">
      <alignment horizontal="left" indent="3"/>
    </xf>
    <xf numFmtId="0" fontId="22" fillId="45" borderId="0" xfId="0" applyFont="1" applyFill="1" applyAlignment="1">
      <alignment horizontal="left" indent="6"/>
    </xf>
    <xf numFmtId="0" fontId="22" fillId="45" borderId="0" xfId="0" applyFont="1" applyFill="1" applyAlignment="1">
      <alignment horizontal="left" indent="5"/>
    </xf>
    <xf numFmtId="0" fontId="5" fillId="45" borderId="0" xfId="0" applyFont="1" applyFill="1" applyAlignment="1">
      <alignment horizontal="left"/>
    </xf>
    <xf numFmtId="0" fontId="37" fillId="45" borderId="0" xfId="0" applyFont="1" applyFill="1" applyAlignment="1">
      <alignment horizontal="center"/>
    </xf>
    <xf numFmtId="0" fontId="22" fillId="45" borderId="0" xfId="0" applyFont="1" applyFill="1" applyAlignment="1">
      <alignment horizontal="center" vertical="center"/>
    </xf>
    <xf numFmtId="0" fontId="22" fillId="45" borderId="0" xfId="0" applyFont="1" applyFill="1" applyAlignment="1">
      <alignment horizontal="center"/>
    </xf>
    <xf numFmtId="0" fontId="3" fillId="45" borderId="0" xfId="0" applyFont="1" applyFill="1" applyAlignment="1">
      <alignment horizontal="center"/>
    </xf>
    <xf numFmtId="3" fontId="37" fillId="33" borderId="66" xfId="0" applyNumberFormat="1" applyFont="1" applyFill="1" applyBorder="1" applyAlignment="1">
      <alignment horizontal="center"/>
    </xf>
    <xf numFmtId="3" fontId="37" fillId="33" borderId="72" xfId="0" applyNumberFormat="1" applyFont="1" applyFill="1" applyBorder="1" applyAlignment="1">
      <alignment horizontal="center"/>
    </xf>
    <xf numFmtId="3" fontId="37" fillId="33" borderId="67" xfId="0" applyNumberFormat="1" applyFont="1" applyFill="1" applyBorder="1" applyAlignment="1">
      <alignment horizontal="center"/>
    </xf>
    <xf numFmtId="3" fontId="37" fillId="33" borderId="68" xfId="0" applyNumberFormat="1" applyFont="1" applyFill="1" applyBorder="1" applyAlignment="1">
      <alignment horizontal="center"/>
    </xf>
    <xf numFmtId="3" fontId="37" fillId="33" borderId="73" xfId="0" applyNumberFormat="1" applyFont="1" applyFill="1" applyBorder="1" applyAlignment="1">
      <alignment horizontal="center"/>
    </xf>
    <xf numFmtId="3" fontId="37" fillId="33" borderId="69" xfId="0" applyNumberFormat="1" applyFont="1" applyFill="1" applyBorder="1" applyAlignment="1">
      <alignment horizontal="center"/>
    </xf>
    <xf numFmtId="3" fontId="37" fillId="33" borderId="70" xfId="0" applyNumberFormat="1" applyFont="1" applyFill="1" applyBorder="1" applyAlignment="1">
      <alignment horizontal="center"/>
    </xf>
    <xf numFmtId="3" fontId="37" fillId="33" borderId="74" xfId="0" applyNumberFormat="1" applyFont="1" applyFill="1" applyBorder="1" applyAlignment="1">
      <alignment horizontal="center"/>
    </xf>
    <xf numFmtId="3" fontId="37" fillId="33" borderId="71" xfId="0" applyNumberFormat="1" applyFont="1" applyFill="1" applyBorder="1" applyAlignment="1">
      <alignment horizontal="center"/>
    </xf>
    <xf numFmtId="0" fontId="245" fillId="22" borderId="0" xfId="0" applyFont="1" applyFill="1"/>
    <xf numFmtId="0" fontId="246" fillId="22" borderId="0" xfId="0" applyFont="1" applyFill="1"/>
    <xf numFmtId="0" fontId="245" fillId="22" borderId="21" xfId="0" applyFont="1" applyFill="1" applyBorder="1"/>
    <xf numFmtId="0" fontId="246" fillId="22" borderId="0" xfId="0" applyFont="1" applyFill="1" applyAlignment="1">
      <alignment horizontal="center"/>
    </xf>
    <xf numFmtId="0" fontId="69" fillId="2" borderId="0" xfId="0" applyFont="1" applyFill="1" applyAlignment="1">
      <alignment horizontal="right"/>
    </xf>
    <xf numFmtId="0" fontId="167" fillId="22" borderId="0" xfId="0" applyFont="1" applyFill="1" applyAlignment="1">
      <alignment vertical="center"/>
    </xf>
    <xf numFmtId="0" fontId="246" fillId="22" borderId="0" xfId="0" quotePrefix="1" applyFont="1" applyFill="1"/>
    <xf numFmtId="0" fontId="170" fillId="10" borderId="116" xfId="0" applyFont="1" applyFill="1" applyBorder="1" applyAlignment="1">
      <alignment vertical="center"/>
    </xf>
    <xf numFmtId="0" fontId="159" fillId="10" borderId="116" xfId="0" applyFont="1" applyFill="1" applyBorder="1" applyAlignment="1">
      <alignment vertical="center"/>
    </xf>
    <xf numFmtId="0" fontId="157" fillId="10" borderId="116" xfId="0" applyFont="1" applyFill="1" applyBorder="1" applyAlignment="1">
      <alignment vertical="center"/>
    </xf>
    <xf numFmtId="0" fontId="157" fillId="10" borderId="116" xfId="0" applyFont="1" applyFill="1" applyBorder="1" applyAlignment="1">
      <alignment horizontal="left" vertical="center"/>
    </xf>
    <xf numFmtId="0" fontId="186" fillId="10" borderId="116" xfId="0" applyFont="1" applyFill="1" applyBorder="1" applyAlignment="1">
      <alignment horizontal="left" vertical="center"/>
    </xf>
    <xf numFmtId="0" fontId="71" fillId="22" borderId="0" xfId="0" applyFont="1" applyFill="1"/>
    <xf numFmtId="0" fontId="250" fillId="22" borderId="0" xfId="0" applyFont="1" applyFill="1"/>
    <xf numFmtId="0" fontId="133" fillId="22" borderId="0" xfId="0" applyFont="1" applyFill="1"/>
    <xf numFmtId="0" fontId="251" fillId="36" borderId="0" xfId="0" applyFont="1" applyFill="1" applyAlignment="1">
      <alignment horizontal="left" indent="2"/>
    </xf>
    <xf numFmtId="0" fontId="69" fillId="36" borderId="0" xfId="0" applyFont="1" applyFill="1" applyAlignment="1">
      <alignment horizontal="center"/>
    </xf>
    <xf numFmtId="0" fontId="251" fillId="36" borderId="0" xfId="0" applyFont="1" applyFill="1" applyAlignment="1">
      <alignment vertical="top"/>
    </xf>
    <xf numFmtId="0" fontId="69" fillId="22" borderId="10" xfId="0" applyFont="1" applyFill="1" applyBorder="1"/>
    <xf numFmtId="0" fontId="141" fillId="7" borderId="1" xfId="0" applyFont="1" applyFill="1" applyBorder="1"/>
    <xf numFmtId="0" fontId="141" fillId="7" borderId="14" xfId="0" applyFont="1" applyFill="1" applyBorder="1" applyAlignment="1">
      <alignment horizontal="center"/>
    </xf>
    <xf numFmtId="0" fontId="141" fillId="7" borderId="11" xfId="0" applyFont="1" applyFill="1" applyBorder="1" applyAlignment="1">
      <alignment horizontal="center"/>
    </xf>
    <xf numFmtId="0" fontId="141" fillId="7" borderId="14" xfId="0" applyFont="1" applyFill="1" applyBorder="1"/>
    <xf numFmtId="0" fontId="80" fillId="8" borderId="7" xfId="0" applyFont="1" applyFill="1" applyBorder="1" applyAlignment="1">
      <alignment horizontal="center"/>
    </xf>
    <xf numFmtId="0" fontId="80" fillId="8" borderId="1" xfId="0" applyFont="1" applyFill="1" applyBorder="1" applyAlignment="1">
      <alignment horizontal="center"/>
    </xf>
    <xf numFmtId="0" fontId="80" fillId="8" borderId="12" xfId="0" applyFont="1" applyFill="1" applyBorder="1" applyAlignment="1">
      <alignment horizontal="left" indent="5"/>
    </xf>
    <xf numFmtId="0" fontId="80" fillId="8" borderId="14" xfId="0" applyFont="1" applyFill="1" applyBorder="1" applyAlignment="1">
      <alignment horizontal="left" indent="12"/>
    </xf>
    <xf numFmtId="0" fontId="72" fillId="9" borderId="7" xfId="0" applyFont="1" applyFill="1" applyBorder="1"/>
    <xf numFmtId="0" fontId="72" fillId="9" borderId="1" xfId="0" applyFont="1" applyFill="1" applyBorder="1"/>
    <xf numFmtId="0" fontId="74" fillId="12" borderId="1" xfId="0" applyFont="1" applyFill="1" applyBorder="1" applyAlignment="1">
      <alignment horizontal="center"/>
    </xf>
    <xf numFmtId="0" fontId="78" fillId="12" borderId="12" xfId="0" applyFont="1" applyFill="1" applyBorder="1" applyAlignment="1">
      <alignment horizontal="left" indent="3"/>
    </xf>
    <xf numFmtId="0" fontId="74" fillId="12" borderId="13" xfId="0" applyFont="1" applyFill="1" applyBorder="1" applyAlignment="1">
      <alignment horizontal="left" indent="7"/>
    </xf>
    <xf numFmtId="0" fontId="69" fillId="9" borderId="14" xfId="0" applyFont="1" applyFill="1" applyBorder="1" applyAlignment="1">
      <alignment horizontal="left" indent="6"/>
    </xf>
    <xf numFmtId="0" fontId="69" fillId="9" borderId="13" xfId="0" applyFont="1" applyFill="1" applyBorder="1" applyAlignment="1">
      <alignment horizontal="left" indent="13"/>
    </xf>
    <xf numFmtId="0" fontId="69" fillId="9" borderId="14" xfId="0" applyFont="1" applyFill="1" applyBorder="1" applyAlignment="1">
      <alignment horizontal="left" indent="7"/>
    </xf>
    <xf numFmtId="0" fontId="69" fillId="9" borderId="13" xfId="0" applyFont="1" applyFill="1" applyBorder="1" applyAlignment="1">
      <alignment horizontal="left" indent="7"/>
    </xf>
    <xf numFmtId="0" fontId="69" fillId="8" borderId="12" xfId="0" applyFont="1" applyFill="1" applyBorder="1" applyAlignment="1">
      <alignment horizontal="left" indent="2"/>
    </xf>
    <xf numFmtId="0" fontId="69" fillId="8" borderId="13" xfId="0" applyFont="1" applyFill="1" applyBorder="1" applyAlignment="1">
      <alignment horizontal="center"/>
    </xf>
    <xf numFmtId="0" fontId="69" fillId="8" borderId="12" xfId="0" applyFont="1" applyFill="1" applyBorder="1" applyAlignment="1">
      <alignment horizontal="center"/>
    </xf>
    <xf numFmtId="0" fontId="69" fillId="8" borderId="14" xfId="0" applyFont="1" applyFill="1" applyBorder="1" applyAlignment="1">
      <alignment horizontal="center"/>
    </xf>
    <xf numFmtId="0" fontId="69" fillId="8" borderId="7" xfId="0" applyFont="1" applyFill="1" applyBorder="1" applyAlignment="1">
      <alignment horizontal="center"/>
    </xf>
    <xf numFmtId="0" fontId="69" fillId="9" borderId="9" xfId="0" applyFont="1" applyFill="1" applyBorder="1" applyAlignment="1">
      <alignment horizontal="center"/>
    </xf>
    <xf numFmtId="0" fontId="72" fillId="9" borderId="8" xfId="0" applyFont="1" applyFill="1" applyBorder="1"/>
    <xf numFmtId="0" fontId="72" fillId="9" borderId="3" xfId="0" applyFont="1" applyFill="1" applyBorder="1"/>
    <xf numFmtId="0" fontId="78" fillId="37" borderId="7" xfId="0" applyFont="1" applyFill="1" applyBorder="1" applyAlignment="1">
      <alignment horizontal="center"/>
    </xf>
    <xf numFmtId="0" fontId="74" fillId="38" borderId="7" xfId="0" applyFont="1" applyFill="1" applyBorder="1"/>
    <xf numFmtId="0" fontId="69" fillId="15" borderId="7" xfId="0" applyFont="1" applyFill="1" applyBorder="1" applyAlignment="1">
      <alignment horizontal="center" vertical="center"/>
    </xf>
    <xf numFmtId="0" fontId="69" fillId="16" borderId="2" xfId="0" applyFont="1" applyFill="1" applyBorder="1" applyAlignment="1">
      <alignment horizontal="center" vertical="center"/>
    </xf>
    <xf numFmtId="0" fontId="69" fillId="17" borderId="2" xfId="0" applyFont="1" applyFill="1" applyBorder="1" applyAlignment="1">
      <alignment horizontal="center" vertical="center"/>
    </xf>
    <xf numFmtId="2" fontId="55" fillId="8" borderId="10" xfId="0" applyNumberFormat="1" applyFont="1" applyFill="1" applyBorder="1" applyAlignment="1">
      <alignment horizontal="center"/>
    </xf>
    <xf numFmtId="0" fontId="69" fillId="9" borderId="10" xfId="0" applyFont="1" applyFill="1" applyBorder="1" applyAlignment="1">
      <alignment horizontal="center"/>
    </xf>
    <xf numFmtId="0" fontId="69" fillId="9" borderId="12" xfId="0" applyFont="1" applyFill="1" applyBorder="1" applyAlignment="1">
      <alignment horizontal="center"/>
    </xf>
    <xf numFmtId="0" fontId="78" fillId="37" borderId="9" xfId="0" applyFont="1" applyFill="1" applyBorder="1" applyAlignment="1">
      <alignment horizontal="center"/>
    </xf>
    <xf numFmtId="0" fontId="74" fillId="38" borderId="9" xfId="0" applyFont="1" applyFill="1" applyBorder="1" applyAlignment="1">
      <alignment horizontal="center"/>
    </xf>
    <xf numFmtId="0" fontId="69" fillId="16" borderId="21" xfId="0" applyFont="1" applyFill="1" applyBorder="1" applyAlignment="1">
      <alignment horizontal="center" vertical="center"/>
    </xf>
    <xf numFmtId="0" fontId="69" fillId="16" borderId="6" xfId="0" applyFont="1" applyFill="1" applyBorder="1" applyAlignment="1">
      <alignment horizontal="center" vertical="center"/>
    </xf>
    <xf numFmtId="0" fontId="69" fillId="17" borderId="5" xfId="0" applyFont="1" applyFill="1" applyBorder="1" applyAlignment="1">
      <alignment horizontal="center" vertical="center"/>
    </xf>
    <xf numFmtId="0" fontId="69" fillId="16" borderId="14" xfId="0" applyFont="1" applyFill="1" applyBorder="1" applyAlignment="1">
      <alignment horizontal="left" vertical="center"/>
    </xf>
    <xf numFmtId="0" fontId="69" fillId="16" borderId="13" xfId="0" applyFont="1" applyFill="1" applyBorder="1" applyAlignment="1">
      <alignment horizontal="left" vertical="center" indent="5"/>
    </xf>
    <xf numFmtId="0" fontId="69" fillId="9" borderId="10" xfId="0" applyFont="1" applyFill="1" applyBorder="1"/>
    <xf numFmtId="0" fontId="56" fillId="11" borderId="0" xfId="0" applyFont="1" applyFill="1" applyAlignment="1">
      <alignment horizontal="left"/>
    </xf>
    <xf numFmtId="0" fontId="242" fillId="11" borderId="8" xfId="0" applyFont="1" applyFill="1" applyBorder="1" applyAlignment="1">
      <alignment horizontal="left"/>
    </xf>
    <xf numFmtId="0" fontId="242" fillId="11" borderId="8" xfId="0" applyFont="1" applyFill="1" applyBorder="1"/>
    <xf numFmtId="0" fontId="242" fillId="11" borderId="8" xfId="0" applyFont="1" applyFill="1" applyBorder="1" applyAlignment="1">
      <alignment horizontal="center"/>
    </xf>
    <xf numFmtId="0" fontId="242" fillId="11" borderId="12" xfId="0" applyFont="1" applyFill="1" applyBorder="1" applyAlignment="1">
      <alignment horizontal="center"/>
    </xf>
    <xf numFmtId="171" fontId="242" fillId="36" borderId="0" xfId="0" applyNumberFormat="1" applyFont="1" applyFill="1" applyAlignment="1">
      <alignment horizontal="center"/>
    </xf>
    <xf numFmtId="171" fontId="82" fillId="36" borderId="0" xfId="0" applyNumberFormat="1" applyFont="1" applyFill="1" applyAlignment="1">
      <alignment horizontal="center"/>
    </xf>
    <xf numFmtId="171" fontId="242" fillId="11" borderId="13" xfId="0" applyNumberFormat="1" applyFont="1" applyFill="1" applyBorder="1" applyAlignment="1">
      <alignment horizontal="center"/>
    </xf>
    <xf numFmtId="171" fontId="242" fillId="11" borderId="10" xfId="0" applyNumberFormat="1" applyFont="1" applyFill="1" applyBorder="1" applyAlignment="1">
      <alignment horizontal="center"/>
    </xf>
    <xf numFmtId="0" fontId="242" fillId="11" borderId="10" xfId="0" applyFont="1" applyFill="1" applyBorder="1" applyAlignment="1">
      <alignment horizontal="center"/>
    </xf>
    <xf numFmtId="0" fontId="74" fillId="21" borderId="0" xfId="0" applyFont="1" applyFill="1"/>
    <xf numFmtId="0" fontId="72" fillId="21" borderId="8" xfId="0" applyFont="1" applyFill="1" applyBorder="1" applyAlignment="1">
      <alignment horizontal="left"/>
    </xf>
    <xf numFmtId="0" fontId="72" fillId="21" borderId="8" xfId="0" applyFont="1" applyFill="1" applyBorder="1" applyAlignment="1">
      <alignment horizontal="center"/>
    </xf>
    <xf numFmtId="0" fontId="72" fillId="21" borderId="8" xfId="0" applyFont="1" applyFill="1" applyBorder="1"/>
    <xf numFmtId="0" fontId="72" fillId="21" borderId="3" xfId="0" applyFont="1" applyFill="1" applyBorder="1" applyAlignment="1">
      <alignment horizontal="center"/>
    </xf>
    <xf numFmtId="171" fontId="72" fillId="21" borderId="8" xfId="0" applyNumberFormat="1" applyFont="1" applyFill="1" applyBorder="1" applyAlignment="1">
      <alignment horizontal="center"/>
    </xf>
    <xf numFmtId="0" fontId="56" fillId="25" borderId="0" xfId="0" applyFont="1" applyFill="1" applyAlignment="1">
      <alignment horizontal="left"/>
    </xf>
    <xf numFmtId="0" fontId="72" fillId="25" borderId="8" xfId="0" applyFont="1" applyFill="1" applyBorder="1" applyAlignment="1">
      <alignment horizontal="left"/>
    </xf>
    <xf numFmtId="0" fontId="72" fillId="25" borderId="8" xfId="0" applyFont="1" applyFill="1" applyBorder="1"/>
    <xf numFmtId="0" fontId="72" fillId="25" borderId="8" xfId="0" applyFont="1" applyFill="1" applyBorder="1" applyAlignment="1">
      <alignment horizontal="center"/>
    </xf>
    <xf numFmtId="0" fontId="72" fillId="25" borderId="3" xfId="0" applyFont="1" applyFill="1" applyBorder="1" applyAlignment="1">
      <alignment horizontal="center"/>
    </xf>
    <xf numFmtId="171" fontId="72" fillId="25" borderId="8" xfId="0" applyNumberFormat="1" applyFont="1" applyFill="1" applyBorder="1" applyAlignment="1">
      <alignment horizontal="center"/>
    </xf>
    <xf numFmtId="0" fontId="74" fillId="12" borderId="0" xfId="0" applyFont="1" applyFill="1"/>
    <xf numFmtId="0" fontId="72" fillId="12" borderId="8" xfId="0" applyFont="1" applyFill="1" applyBorder="1" applyAlignment="1">
      <alignment horizontal="left"/>
    </xf>
    <xf numFmtId="0" fontId="72" fillId="12" borderId="8" xfId="0" applyFont="1" applyFill="1" applyBorder="1" applyAlignment="1">
      <alignment horizontal="center"/>
    </xf>
    <xf numFmtId="0" fontId="72" fillId="12" borderId="8" xfId="0" applyFont="1" applyFill="1" applyBorder="1"/>
    <xf numFmtId="0" fontId="72" fillId="12" borderId="3" xfId="0" applyFont="1" applyFill="1" applyBorder="1" applyAlignment="1">
      <alignment horizontal="center"/>
    </xf>
    <xf numFmtId="171" fontId="82" fillId="36" borderId="21" xfId="0" applyNumberFormat="1" applyFont="1" applyFill="1" applyBorder="1" applyAlignment="1">
      <alignment horizontal="center"/>
    </xf>
    <xf numFmtId="171" fontId="72" fillId="12" borderId="8" xfId="0" applyNumberFormat="1" applyFont="1" applyFill="1" applyBorder="1" applyAlignment="1">
      <alignment horizontal="center"/>
    </xf>
    <xf numFmtId="171" fontId="77" fillId="36" borderId="0" xfId="0" applyNumberFormat="1" applyFont="1" applyFill="1" applyAlignment="1">
      <alignment horizontal="center" vertical="center"/>
    </xf>
    <xf numFmtId="0" fontId="69" fillId="0" borderId="0" xfId="0" applyFont="1" applyAlignment="1">
      <alignment horizontal="center"/>
    </xf>
    <xf numFmtId="0" fontId="56" fillId="45" borderId="0" xfId="0" applyFont="1" applyFill="1" applyAlignment="1">
      <alignment horizontal="left" indent="9"/>
    </xf>
    <xf numFmtId="0" fontId="88" fillId="45" borderId="0" xfId="0" applyFont="1" applyFill="1" applyAlignment="1">
      <alignment horizontal="left" vertical="center" indent="9"/>
    </xf>
    <xf numFmtId="0" fontId="88" fillId="45" borderId="0" xfId="0" applyFont="1" applyFill="1" applyAlignment="1">
      <alignment horizontal="left" indent="6"/>
    </xf>
    <xf numFmtId="3" fontId="70" fillId="33" borderId="66" xfId="0" applyNumberFormat="1" applyFont="1" applyFill="1" applyBorder="1" applyAlignment="1">
      <alignment horizontal="center" vertical="center"/>
    </xf>
    <xf numFmtId="3" fontId="70" fillId="33" borderId="72" xfId="0" applyNumberFormat="1" applyFont="1" applyFill="1" applyBorder="1" applyAlignment="1">
      <alignment horizontal="center" vertical="center"/>
    </xf>
    <xf numFmtId="3" fontId="70" fillId="33" borderId="67" xfId="0" applyNumberFormat="1" applyFont="1" applyFill="1" applyBorder="1" applyAlignment="1">
      <alignment horizontal="center" vertical="center"/>
    </xf>
    <xf numFmtId="3" fontId="70" fillId="33" borderId="68" xfId="0" applyNumberFormat="1" applyFont="1" applyFill="1" applyBorder="1" applyAlignment="1">
      <alignment horizontal="center" vertical="center"/>
    </xf>
    <xf numFmtId="3" fontId="70" fillId="33" borderId="73" xfId="0" applyNumberFormat="1" applyFont="1" applyFill="1" applyBorder="1" applyAlignment="1">
      <alignment horizontal="center" vertical="center"/>
    </xf>
    <xf numFmtId="3" fontId="70" fillId="33" borderId="69" xfId="0" applyNumberFormat="1" applyFont="1" applyFill="1" applyBorder="1" applyAlignment="1">
      <alignment horizontal="center" vertical="center"/>
    </xf>
    <xf numFmtId="3" fontId="70" fillId="33" borderId="70" xfId="0" applyNumberFormat="1" applyFont="1" applyFill="1" applyBorder="1" applyAlignment="1">
      <alignment horizontal="center" vertical="center"/>
    </xf>
    <xf numFmtId="3" fontId="70" fillId="33" borderId="74" xfId="0" applyNumberFormat="1" applyFont="1" applyFill="1" applyBorder="1" applyAlignment="1">
      <alignment horizontal="center" vertical="center"/>
    </xf>
    <xf numFmtId="3" fontId="70" fillId="33" borderId="71" xfId="0" applyNumberFormat="1" applyFont="1" applyFill="1" applyBorder="1" applyAlignment="1">
      <alignment horizontal="center" vertical="center"/>
    </xf>
    <xf numFmtId="0" fontId="242" fillId="11" borderId="3" xfId="0" applyFont="1" applyFill="1" applyBorder="1"/>
    <xf numFmtId="0" fontId="72" fillId="21" borderId="3" xfId="0" applyFont="1" applyFill="1" applyBorder="1"/>
    <xf numFmtId="0" fontId="72" fillId="25" borderId="3" xfId="0" applyFont="1" applyFill="1" applyBorder="1"/>
    <xf numFmtId="0" fontId="72" fillId="12" borderId="3" xfId="0" applyFont="1" applyFill="1" applyBorder="1"/>
    <xf numFmtId="0" fontId="69" fillId="16" borderId="66" xfId="0" applyFont="1" applyFill="1" applyBorder="1" applyAlignment="1">
      <alignment horizontal="center" vertical="center"/>
    </xf>
    <xf numFmtId="0" fontId="69" fillId="17" borderId="72" xfId="0" applyFont="1" applyFill="1" applyBorder="1" applyAlignment="1">
      <alignment horizontal="center" vertical="center"/>
    </xf>
    <xf numFmtId="0" fontId="69" fillId="16" borderId="72" xfId="0" applyFont="1" applyFill="1" applyBorder="1" applyAlignment="1">
      <alignment horizontal="center" vertical="center"/>
    </xf>
    <xf numFmtId="0" fontId="69" fillId="17" borderId="67" xfId="0" applyFont="1" applyFill="1" applyBorder="1" applyAlignment="1">
      <alignment horizontal="center" vertical="center"/>
    </xf>
    <xf numFmtId="3" fontId="88" fillId="11" borderId="68" xfId="0" applyNumberFormat="1" applyFont="1" applyFill="1" applyBorder="1" applyAlignment="1">
      <alignment horizontal="center"/>
    </xf>
    <xf numFmtId="3" fontId="88" fillId="11" borderId="73" xfId="0" applyNumberFormat="1" applyFont="1" applyFill="1" applyBorder="1" applyAlignment="1">
      <alignment horizontal="center"/>
    </xf>
    <xf numFmtId="3" fontId="88" fillId="11" borderId="69" xfId="0" applyNumberFormat="1" applyFont="1" applyFill="1" applyBorder="1" applyAlignment="1">
      <alignment horizontal="center"/>
    </xf>
    <xf numFmtId="3" fontId="72" fillId="21" borderId="68" xfId="0" applyNumberFormat="1" applyFont="1" applyFill="1" applyBorder="1" applyAlignment="1">
      <alignment horizontal="center"/>
    </xf>
    <xf numFmtId="3" fontId="72" fillId="21" borderId="73" xfId="0" applyNumberFormat="1" applyFont="1" applyFill="1" applyBorder="1" applyAlignment="1">
      <alignment horizontal="center"/>
    </xf>
    <xf numFmtId="3" fontId="72" fillId="21" borderId="69" xfId="0" applyNumberFormat="1" applyFont="1" applyFill="1" applyBorder="1" applyAlignment="1">
      <alignment horizontal="center"/>
    </xf>
    <xf numFmtId="3" fontId="72" fillId="25" borderId="68" xfId="0" applyNumberFormat="1" applyFont="1" applyFill="1" applyBorder="1" applyAlignment="1">
      <alignment horizontal="center"/>
    </xf>
    <xf numFmtId="3" fontId="72" fillId="25" borderId="73" xfId="0" applyNumberFormat="1" applyFont="1" applyFill="1" applyBorder="1" applyAlignment="1">
      <alignment horizontal="center"/>
    </xf>
    <xf numFmtId="3" fontId="72" fillId="25" borderId="69" xfId="0" applyNumberFormat="1" applyFont="1" applyFill="1" applyBorder="1" applyAlignment="1">
      <alignment horizontal="center"/>
    </xf>
    <xf numFmtId="0" fontId="88" fillId="45" borderId="0" xfId="0" applyFont="1" applyFill="1" applyAlignment="1">
      <alignment horizontal="left" indent="1"/>
    </xf>
    <xf numFmtId="0" fontId="69" fillId="13" borderId="11" xfId="0" applyFont="1" applyFill="1" applyBorder="1"/>
    <xf numFmtId="0" fontId="69" fillId="13" borderId="11" xfId="0" applyFont="1" applyFill="1" applyBorder="1" applyAlignment="1">
      <alignment horizontal="center"/>
    </xf>
    <xf numFmtId="0" fontId="69" fillId="13" borderId="21" xfId="0" applyFont="1" applyFill="1" applyBorder="1"/>
    <xf numFmtId="0" fontId="69" fillId="13" borderId="21" xfId="0" applyFont="1" applyFill="1" applyBorder="1" applyAlignment="1">
      <alignment horizontal="center"/>
    </xf>
    <xf numFmtId="2" fontId="55" fillId="13" borderId="137" xfId="0" applyNumberFormat="1" applyFont="1" applyFill="1" applyBorder="1"/>
    <xf numFmtId="2" fontId="55" fillId="13" borderId="118" xfId="0" applyNumberFormat="1" applyFont="1" applyFill="1" applyBorder="1"/>
    <xf numFmtId="2" fontId="55" fillId="13" borderId="119" xfId="0" applyNumberFormat="1" applyFont="1" applyFill="1" applyBorder="1"/>
    <xf numFmtId="164" fontId="69" fillId="14" borderId="137" xfId="0" applyNumberFormat="1" applyFont="1" applyFill="1" applyBorder="1" applyAlignment="1">
      <alignment horizontal="center"/>
    </xf>
    <xf numFmtId="164" fontId="69" fillId="14" borderId="118" xfId="0" applyNumberFormat="1" applyFont="1" applyFill="1" applyBorder="1" applyAlignment="1">
      <alignment horizontal="center"/>
    </xf>
    <xf numFmtId="164" fontId="69" fillId="14" borderId="119" xfId="0" applyNumberFormat="1" applyFont="1" applyFill="1" applyBorder="1" applyAlignment="1">
      <alignment horizontal="center"/>
    </xf>
    <xf numFmtId="0" fontId="74" fillId="13" borderId="21" xfId="0" applyFont="1" applyFill="1" applyBorder="1"/>
    <xf numFmtId="0" fontId="56" fillId="12" borderId="0" xfId="0" applyFont="1" applyFill="1" applyAlignment="1">
      <alignment horizontal="left" vertical="top" indent="9"/>
    </xf>
    <xf numFmtId="0" fontId="56" fillId="12" borderId="0" xfId="0" applyFont="1" applyFill="1" applyAlignment="1">
      <alignment horizontal="left" indent="2"/>
    </xf>
    <xf numFmtId="0" fontId="70" fillId="12" borderId="0" xfId="0" applyFont="1" applyFill="1" applyAlignment="1">
      <alignment horizontal="left" indent="12"/>
    </xf>
    <xf numFmtId="0" fontId="56" fillId="12" borderId="0" xfId="0" applyFont="1" applyFill="1" applyAlignment="1">
      <alignment horizontal="left" indent="1"/>
    </xf>
    <xf numFmtId="0" fontId="56" fillId="12" borderId="0" xfId="0" applyFont="1" applyFill="1"/>
    <xf numFmtId="0" fontId="70" fillId="12" borderId="0" xfId="0" applyFont="1" applyFill="1" applyAlignment="1">
      <alignment horizontal="left" indent="4"/>
    </xf>
    <xf numFmtId="0" fontId="74" fillId="8" borderId="0" xfId="0" applyFont="1" applyFill="1" applyAlignment="1">
      <alignment horizontal="center"/>
    </xf>
    <xf numFmtId="0" fontId="74" fillId="15" borderId="0" xfId="0" applyFont="1" applyFill="1" applyAlignment="1">
      <alignment horizontal="center" vertical="center"/>
    </xf>
    <xf numFmtId="0" fontId="88" fillId="16" borderId="0" xfId="0" applyFont="1" applyFill="1" applyAlignment="1">
      <alignment horizontal="left" vertical="top" indent="8"/>
    </xf>
    <xf numFmtId="0" fontId="88" fillId="16" borderId="0" xfId="0" applyFont="1" applyFill="1" applyAlignment="1">
      <alignment horizontal="left" indent="10"/>
    </xf>
    <xf numFmtId="0" fontId="88" fillId="17" borderId="0" xfId="0" applyFont="1" applyFill="1" applyAlignment="1">
      <alignment horizontal="left" indent="5"/>
    </xf>
    <xf numFmtId="0" fontId="74" fillId="16" borderId="0" xfId="0" applyFont="1" applyFill="1" applyAlignment="1">
      <alignment horizontal="center"/>
    </xf>
    <xf numFmtId="0" fontId="69" fillId="15" borderId="0" xfId="0" applyFont="1" applyFill="1" applyAlignment="1">
      <alignment horizontal="center" vertical="center"/>
    </xf>
    <xf numFmtId="0" fontId="74" fillId="16" borderId="0" xfId="0" applyFont="1" applyFill="1" applyAlignment="1">
      <alignment horizontal="center" vertical="center"/>
    </xf>
    <xf numFmtId="0" fontId="74" fillId="16" borderId="0" xfId="0" applyFont="1" applyFill="1" applyAlignment="1">
      <alignment horizontal="left" vertical="center" wrapText="1"/>
    </xf>
    <xf numFmtId="0" fontId="69" fillId="16" borderId="0" xfId="0" applyFont="1" applyFill="1" applyAlignment="1">
      <alignment horizontal="center"/>
    </xf>
    <xf numFmtId="0" fontId="69" fillId="17" borderId="0" xfId="0" applyFont="1" applyFill="1" applyAlignment="1">
      <alignment horizontal="center"/>
    </xf>
    <xf numFmtId="0" fontId="242" fillId="11" borderId="0" xfId="0" applyFont="1" applyFill="1" applyAlignment="1">
      <alignment horizontal="center"/>
    </xf>
    <xf numFmtId="0" fontId="82" fillId="11" borderId="0" xfId="0" applyFont="1" applyFill="1" applyAlignment="1">
      <alignment horizontal="center"/>
    </xf>
    <xf numFmtId="3" fontId="242" fillId="11" borderId="0" xfId="0" applyNumberFormat="1" applyFont="1" applyFill="1" applyAlignment="1">
      <alignment horizontal="center"/>
    </xf>
    <xf numFmtId="3" fontId="72" fillId="21" borderId="0" xfId="0" applyNumberFormat="1" applyFont="1" applyFill="1" applyAlignment="1">
      <alignment horizontal="center"/>
    </xf>
    <xf numFmtId="0" fontId="72" fillId="25" borderId="0" xfId="0" applyFont="1" applyFill="1" applyAlignment="1">
      <alignment horizontal="center"/>
    </xf>
    <xf numFmtId="3" fontId="72" fillId="25" borderId="0" xfId="0" applyNumberFormat="1" applyFont="1" applyFill="1" applyAlignment="1">
      <alignment horizontal="center"/>
    </xf>
    <xf numFmtId="0" fontId="69" fillId="26" borderId="0" xfId="0" applyFont="1" applyFill="1"/>
    <xf numFmtId="3" fontId="78" fillId="6" borderId="0" xfId="0" applyNumberFormat="1" applyFont="1" applyFill="1" applyAlignment="1">
      <alignment horizontal="left"/>
    </xf>
    <xf numFmtId="0" fontId="69" fillId="22" borderId="0" xfId="0" applyFont="1" applyFill="1" applyAlignment="1">
      <alignment horizontal="center" vertical="center"/>
    </xf>
    <xf numFmtId="171" fontId="77" fillId="36" borderId="11" xfId="0" applyNumberFormat="1" applyFont="1" applyFill="1" applyBorder="1" applyAlignment="1">
      <alignment horizontal="center" vertical="center"/>
    </xf>
    <xf numFmtId="171" fontId="69" fillId="2" borderId="11" xfId="0" applyNumberFormat="1" applyFont="1" applyFill="1" applyBorder="1" applyAlignment="1">
      <alignment horizontal="center"/>
    </xf>
    <xf numFmtId="0" fontId="55" fillId="22" borderId="11" xfId="0" applyFont="1" applyFill="1" applyBorder="1" applyAlignment="1">
      <alignment horizontal="center"/>
    </xf>
    <xf numFmtId="0" fontId="69" fillId="22" borderId="11" xfId="0" applyFont="1" applyFill="1" applyBorder="1" applyAlignment="1">
      <alignment horizontal="center" vertical="center"/>
    </xf>
    <xf numFmtId="0" fontId="55" fillId="22" borderId="0" xfId="0" applyFont="1" applyFill="1" applyAlignment="1">
      <alignment horizontal="center"/>
    </xf>
    <xf numFmtId="171" fontId="69" fillId="2" borderId="126" xfId="0" applyNumberFormat="1" applyFont="1" applyFill="1" applyBorder="1" applyAlignment="1">
      <alignment horizontal="center" vertical="center"/>
    </xf>
    <xf numFmtId="171" fontId="69" fillId="2" borderId="127" xfId="0" applyNumberFormat="1" applyFont="1" applyFill="1" applyBorder="1" applyAlignment="1">
      <alignment horizontal="center" vertical="center"/>
    </xf>
    <xf numFmtId="171" fontId="69" fillId="2" borderId="68" xfId="0" applyNumberFormat="1" applyFont="1" applyFill="1" applyBorder="1" applyAlignment="1">
      <alignment horizontal="center" vertical="center"/>
    </xf>
    <xf numFmtId="171" fontId="69" fillId="2" borderId="69" xfId="0" applyNumberFormat="1" applyFont="1" applyFill="1" applyBorder="1" applyAlignment="1">
      <alignment horizontal="center" vertical="center"/>
    </xf>
    <xf numFmtId="171" fontId="69" fillId="2" borderId="70" xfId="0" applyNumberFormat="1" applyFont="1" applyFill="1" applyBorder="1" applyAlignment="1">
      <alignment horizontal="center" vertical="center"/>
    </xf>
    <xf numFmtId="171" fontId="69" fillId="2" borderId="71" xfId="0" applyNumberFormat="1" applyFont="1" applyFill="1" applyBorder="1" applyAlignment="1">
      <alignment horizontal="center" vertical="center"/>
    </xf>
    <xf numFmtId="165" fontId="69" fillId="2" borderId="11" xfId="0" applyNumberFormat="1" applyFont="1" applyFill="1" applyBorder="1" applyAlignment="1">
      <alignment horizontal="center"/>
    </xf>
    <xf numFmtId="0" fontId="242" fillId="11" borderId="7" xfId="0" applyFont="1" applyFill="1" applyBorder="1" applyAlignment="1">
      <alignment horizontal="center"/>
    </xf>
    <xf numFmtId="2" fontId="242" fillId="11" borderId="7" xfId="0" applyNumberFormat="1" applyFont="1" applyFill="1" applyBorder="1" applyAlignment="1">
      <alignment horizontal="center"/>
    </xf>
    <xf numFmtId="2" fontId="242" fillId="11" borderId="1" xfId="0" applyNumberFormat="1" applyFont="1" applyFill="1" applyBorder="1" applyAlignment="1">
      <alignment horizontal="center"/>
    </xf>
    <xf numFmtId="2" fontId="72" fillId="21" borderId="8" xfId="0" applyNumberFormat="1" applyFont="1" applyFill="1" applyBorder="1" applyAlignment="1">
      <alignment horizontal="center"/>
    </xf>
    <xf numFmtId="2" fontId="72" fillId="25" borderId="8" xfId="0" applyNumberFormat="1" applyFont="1" applyFill="1" applyBorder="1" applyAlignment="1">
      <alignment horizontal="center"/>
    </xf>
    <xf numFmtId="2" fontId="72" fillId="12" borderId="8" xfId="0" applyNumberFormat="1" applyFont="1" applyFill="1" applyBorder="1" applyAlignment="1">
      <alignment horizontal="center"/>
    </xf>
    <xf numFmtId="0" fontId="74" fillId="0" borderId="0" xfId="0" applyFont="1" applyAlignment="1">
      <alignment horizontal="right"/>
    </xf>
    <xf numFmtId="0" fontId="0" fillId="22" borderId="21" xfId="0" applyFill="1" applyBorder="1" applyAlignment="1">
      <alignment vertical="center"/>
    </xf>
    <xf numFmtId="3" fontId="74" fillId="2" borderId="0" xfId="0" applyNumberFormat="1" applyFont="1" applyFill="1" applyAlignment="1">
      <alignment horizontal="center"/>
    </xf>
    <xf numFmtId="3" fontId="70" fillId="40" borderId="10" xfId="0" applyNumberFormat="1" applyFont="1" applyFill="1" applyBorder="1" applyAlignment="1">
      <alignment horizontal="center"/>
    </xf>
    <xf numFmtId="3" fontId="69" fillId="0" borderId="10" xfId="0" applyNumberFormat="1" applyFont="1" applyBorder="1" applyAlignment="1">
      <alignment horizontal="center"/>
    </xf>
    <xf numFmtId="3" fontId="69" fillId="29" borderId="10" xfId="0" applyNumberFormat="1" applyFont="1" applyFill="1" applyBorder="1" applyAlignment="1">
      <alignment horizontal="center"/>
    </xf>
    <xf numFmtId="3" fontId="74" fillId="12" borderId="9" xfId="0" applyNumberFormat="1" applyFont="1" applyFill="1" applyBorder="1" applyAlignment="1">
      <alignment horizontal="center"/>
    </xf>
    <xf numFmtId="3" fontId="74" fillId="12" borderId="6" xfId="0" applyNumberFormat="1" applyFont="1" applyFill="1" applyBorder="1" applyAlignment="1">
      <alignment horizontal="center"/>
    </xf>
    <xf numFmtId="3" fontId="70" fillId="40" borderId="10" xfId="0" applyNumberFormat="1" applyFont="1" applyFill="1" applyBorder="1" applyAlignment="1">
      <alignment horizontal="center" vertical="center"/>
    </xf>
    <xf numFmtId="3" fontId="69" fillId="0" borderId="10" xfId="0" applyNumberFormat="1" applyFont="1" applyBorder="1" applyAlignment="1">
      <alignment horizontal="center" vertical="center"/>
    </xf>
    <xf numFmtId="3" fontId="69" fillId="29" borderId="10" xfId="0" applyNumberFormat="1" applyFont="1" applyFill="1" applyBorder="1" applyAlignment="1">
      <alignment horizontal="center" vertical="center"/>
    </xf>
    <xf numFmtId="3" fontId="69" fillId="22" borderId="10" xfId="0" applyNumberFormat="1" applyFont="1" applyFill="1" applyBorder="1" applyAlignment="1">
      <alignment horizontal="center" vertical="center"/>
    </xf>
    <xf numFmtId="3" fontId="69" fillId="0" borderId="9" xfId="0" applyNumberFormat="1" applyFont="1" applyBorder="1" applyAlignment="1">
      <alignment horizontal="center"/>
    </xf>
    <xf numFmtId="3" fontId="69" fillId="40" borderId="10" xfId="0" applyNumberFormat="1" applyFont="1" applyFill="1" applyBorder="1" applyAlignment="1">
      <alignment horizontal="center" vertical="center"/>
    </xf>
    <xf numFmtId="4" fontId="69" fillId="6" borderId="70" xfId="0" applyNumberFormat="1" applyFont="1" applyFill="1" applyBorder="1" applyAlignment="1">
      <alignment horizontal="center"/>
    </xf>
    <xf numFmtId="4" fontId="69" fillId="6" borderId="71" xfId="0" applyNumberFormat="1" applyFont="1" applyFill="1" applyBorder="1" applyAlignment="1">
      <alignment horizontal="center"/>
    </xf>
    <xf numFmtId="0" fontId="171" fillId="22" borderId="0" xfId="0" applyFont="1" applyFill="1" applyAlignment="1">
      <alignment vertical="center"/>
    </xf>
    <xf numFmtId="0" fontId="176" fillId="22" borderId="0" xfId="0" applyFont="1" applyFill="1" applyAlignment="1">
      <alignment vertical="center"/>
    </xf>
    <xf numFmtId="0" fontId="69" fillId="10" borderId="3" xfId="0" applyFont="1" applyFill="1" applyBorder="1" applyAlignment="1">
      <alignment horizontal="center"/>
    </xf>
    <xf numFmtId="0" fontId="69" fillId="10" borderId="5" xfId="0" applyFont="1" applyFill="1" applyBorder="1" applyAlignment="1">
      <alignment horizontal="center"/>
    </xf>
    <xf numFmtId="3" fontId="69" fillId="6" borderId="0" xfId="0" applyNumberFormat="1" applyFont="1" applyFill="1" applyAlignment="1">
      <alignment horizontal="center"/>
    </xf>
    <xf numFmtId="0" fontId="89" fillId="36" borderId="0" xfId="0" applyFont="1" applyFill="1" applyAlignment="1">
      <alignment horizontal="right"/>
    </xf>
    <xf numFmtId="0" fontId="254" fillId="36" borderId="0" xfId="0" applyFont="1" applyFill="1" applyAlignment="1">
      <alignment horizontal="right" vertical="center"/>
    </xf>
    <xf numFmtId="0" fontId="69" fillId="36" borderId="0" xfId="0" applyFont="1" applyFill="1" applyAlignment="1">
      <alignment horizontal="right"/>
    </xf>
    <xf numFmtId="0" fontId="83" fillId="36" borderId="0" xfId="0" applyFont="1" applyFill="1"/>
    <xf numFmtId="0" fontId="254" fillId="36" borderId="0" xfId="0" applyFont="1" applyFill="1" applyAlignment="1">
      <alignment horizontal="right"/>
    </xf>
    <xf numFmtId="0" fontId="254" fillId="36" borderId="0" xfId="0" applyFont="1" applyFill="1" applyAlignment="1">
      <alignment horizontal="center"/>
    </xf>
    <xf numFmtId="0" fontId="254" fillId="22" borderId="0" xfId="0" applyFont="1" applyFill="1" applyAlignment="1">
      <alignment horizontal="right"/>
    </xf>
    <xf numFmtId="0" fontId="254" fillId="22" borderId="0" xfId="0" applyFont="1" applyFill="1" applyAlignment="1">
      <alignment horizontal="center"/>
    </xf>
    <xf numFmtId="0" fontId="254" fillId="22" borderId="0" xfId="0" applyFont="1" applyFill="1" applyAlignment="1">
      <alignment horizontal="right" vertical="center"/>
    </xf>
    <xf numFmtId="0" fontId="89" fillId="22" borderId="0" xfId="0" applyFont="1" applyFill="1" applyAlignment="1">
      <alignment horizontal="right"/>
    </xf>
    <xf numFmtId="3" fontId="77" fillId="36" borderId="0" xfId="0" applyNumberFormat="1" applyFont="1" applyFill="1"/>
    <xf numFmtId="0" fontId="89" fillId="36" borderId="0" xfId="0" applyFont="1" applyFill="1" applyAlignment="1">
      <alignment horizontal="center"/>
    </xf>
    <xf numFmtId="0" fontId="44" fillId="2" borderId="2" xfId="0" applyFont="1" applyFill="1" applyBorder="1" applyAlignment="1">
      <alignment horizontal="center"/>
    </xf>
    <xf numFmtId="2" fontId="29" fillId="2" borderId="8" xfId="0" applyNumberFormat="1" applyFont="1" applyFill="1" applyBorder="1" applyAlignment="1">
      <alignment horizontal="center" vertical="center" wrapText="1"/>
    </xf>
    <xf numFmtId="2" fontId="29" fillId="2" borderId="9" xfId="0" applyNumberFormat="1" applyFont="1" applyFill="1" applyBorder="1" applyAlignment="1">
      <alignment horizontal="center" vertical="center" wrapText="1"/>
    </xf>
    <xf numFmtId="0" fontId="44" fillId="12" borderId="0" xfId="0" applyFont="1" applyFill="1" applyAlignment="1">
      <alignment horizontal="left" vertical="center" wrapText="1"/>
    </xf>
    <xf numFmtId="0" fontId="44" fillId="12" borderId="0" xfId="0" applyFont="1" applyFill="1" applyAlignment="1">
      <alignment horizontal="center" vertical="center" wrapText="1"/>
    </xf>
    <xf numFmtId="4" fontId="3" fillId="6" borderId="0" xfId="0" applyNumberFormat="1" applyFont="1" applyFill="1"/>
    <xf numFmtId="3" fontId="0" fillId="6" borderId="0" xfId="0" applyNumberFormat="1" applyFill="1" applyAlignment="1">
      <alignment horizontal="center"/>
    </xf>
    <xf numFmtId="4" fontId="0" fillId="22" borderId="0" xfId="0" applyNumberFormat="1" applyFill="1"/>
    <xf numFmtId="3" fontId="10" fillId="6" borderId="73" xfId="0" applyNumberFormat="1" applyFont="1" applyFill="1" applyBorder="1" applyAlignment="1">
      <alignment horizontal="center"/>
    </xf>
    <xf numFmtId="3" fontId="10" fillId="6" borderId="74" xfId="0" applyNumberFormat="1" applyFont="1" applyFill="1" applyBorder="1" applyAlignment="1">
      <alignment horizontal="center"/>
    </xf>
    <xf numFmtId="1" fontId="4" fillId="25" borderId="73" xfId="0" applyNumberFormat="1" applyFont="1" applyFill="1" applyBorder="1" applyAlignment="1">
      <alignment horizontal="center"/>
    </xf>
    <xf numFmtId="1" fontId="10" fillId="21" borderId="73" xfId="0" applyNumberFormat="1" applyFont="1" applyFill="1" applyBorder="1" applyAlignment="1">
      <alignment horizontal="center"/>
    </xf>
    <xf numFmtId="3" fontId="10" fillId="2" borderId="72" xfId="0" applyNumberFormat="1" applyFont="1" applyFill="1" applyBorder="1" applyAlignment="1">
      <alignment horizontal="center"/>
    </xf>
    <xf numFmtId="3" fontId="10" fillId="6" borderId="72" xfId="0" applyNumberFormat="1" applyFont="1" applyFill="1" applyBorder="1" applyAlignment="1">
      <alignment horizontal="center"/>
    </xf>
    <xf numFmtId="1" fontId="4" fillId="11" borderId="72" xfId="0" applyNumberFormat="1" applyFont="1" applyFill="1" applyBorder="1" applyAlignment="1">
      <alignment horizontal="center"/>
    </xf>
    <xf numFmtId="1" fontId="4" fillId="25" borderId="68" xfId="0" applyNumberFormat="1" applyFont="1" applyFill="1" applyBorder="1" applyAlignment="1">
      <alignment horizontal="center"/>
    </xf>
    <xf numFmtId="1" fontId="10" fillId="12" borderId="74" xfId="0" applyNumberFormat="1" applyFont="1" applyFill="1" applyBorder="1" applyAlignment="1">
      <alignment horizontal="center"/>
    </xf>
    <xf numFmtId="0" fontId="37" fillId="12" borderId="0" xfId="0" applyFont="1" applyFill="1"/>
    <xf numFmtId="0" fontId="22" fillId="12" borderId="0" xfId="0" applyFont="1" applyFill="1" applyAlignment="1">
      <alignment horizontal="left" indent="12"/>
    </xf>
    <xf numFmtId="0" fontId="3" fillId="8" borderId="0" xfId="0" applyFont="1" applyFill="1"/>
    <xf numFmtId="164" fontId="40" fillId="15" borderId="0" xfId="0" applyNumberFormat="1" applyFont="1" applyFill="1" applyAlignment="1">
      <alignment horizontal="center" vertical="center"/>
    </xf>
    <xf numFmtId="0" fontId="5" fillId="16" borderId="0" xfId="0" applyFont="1" applyFill="1" applyAlignment="1">
      <alignment horizontal="left" vertical="center"/>
    </xf>
    <xf numFmtId="0" fontId="5" fillId="16" borderId="0" xfId="0" applyFont="1" applyFill="1" applyAlignment="1">
      <alignment horizontal="left" indent="10"/>
    </xf>
    <xf numFmtId="0" fontId="5" fillId="17" borderId="0" xfId="0" applyFont="1" applyFill="1" applyAlignment="1">
      <alignment horizontal="center" vertical="center"/>
    </xf>
    <xf numFmtId="0" fontId="40" fillId="17" borderId="0" xfId="0" applyFont="1" applyFill="1" applyAlignment="1">
      <alignment horizontal="left" vertical="center" indent="7"/>
    </xf>
    <xf numFmtId="0" fontId="40" fillId="16" borderId="0" xfId="0" applyFont="1" applyFill="1" applyAlignment="1">
      <alignment horizontal="center" vertical="center"/>
    </xf>
    <xf numFmtId="0" fontId="40" fillId="16" borderId="0" xfId="0" applyFont="1" applyFill="1" applyAlignment="1">
      <alignment horizontal="left" vertical="center" wrapText="1"/>
    </xf>
    <xf numFmtId="0" fontId="39" fillId="17" borderId="0" xfId="0" applyFont="1" applyFill="1" applyAlignment="1">
      <alignment horizontal="center" vertical="center"/>
    </xf>
    <xf numFmtId="0" fontId="5" fillId="11" borderId="0" xfId="0" applyFont="1" applyFill="1"/>
    <xf numFmtId="0" fontId="44" fillId="12" borderId="0" xfId="0" applyFont="1" applyFill="1"/>
    <xf numFmtId="0" fontId="5" fillId="11" borderId="0" xfId="0" applyFont="1" applyFill="1" applyAlignment="1">
      <alignment horizontal="center"/>
    </xf>
    <xf numFmtId="0" fontId="5" fillId="25" borderId="0" xfId="0" applyFont="1" applyFill="1" applyAlignment="1">
      <alignment horizontal="center"/>
    </xf>
    <xf numFmtId="0" fontId="10" fillId="21" borderId="0" xfId="0" applyFont="1" applyFill="1" applyAlignment="1">
      <alignment horizontal="center"/>
    </xf>
    <xf numFmtId="0" fontId="10" fillId="12" borderId="0" xfId="0" applyFont="1" applyFill="1" applyAlignment="1">
      <alignment horizontal="center"/>
    </xf>
    <xf numFmtId="0" fontId="39" fillId="22" borderId="139" xfId="0" applyFont="1" applyFill="1" applyBorder="1" applyAlignment="1">
      <alignment horizontal="center" vertical="center"/>
    </xf>
    <xf numFmtId="0" fontId="39" fillId="22" borderId="72" xfId="0" applyFont="1" applyFill="1" applyBorder="1" applyAlignment="1">
      <alignment horizontal="center" vertical="center"/>
    </xf>
    <xf numFmtId="0" fontId="39" fillId="22" borderId="91" xfId="0" applyFont="1" applyFill="1" applyBorder="1" applyAlignment="1">
      <alignment horizontal="center" vertical="center"/>
    </xf>
    <xf numFmtId="0" fontId="39" fillId="22" borderId="73" xfId="0" applyFont="1" applyFill="1" applyBorder="1" applyAlignment="1">
      <alignment horizontal="center" vertical="center"/>
    </xf>
    <xf numFmtId="0" fontId="39" fillId="22" borderId="138" xfId="0" applyFont="1" applyFill="1" applyBorder="1" applyAlignment="1">
      <alignment horizontal="center" vertical="center"/>
    </xf>
    <xf numFmtId="0" fontId="39" fillId="22" borderId="74" xfId="0" applyFont="1" applyFill="1" applyBorder="1" applyAlignment="1">
      <alignment horizontal="center" vertical="center"/>
    </xf>
    <xf numFmtId="0" fontId="22" fillId="12" borderId="0" xfId="0" applyFont="1" applyFill="1" applyAlignment="1">
      <alignment horizontal="left"/>
    </xf>
    <xf numFmtId="0" fontId="37" fillId="12" borderId="0" xfId="0" applyFont="1" applyFill="1" applyAlignment="1">
      <alignment horizontal="left" indent="12"/>
    </xf>
    <xf numFmtId="0" fontId="22" fillId="12" borderId="0" xfId="0" applyFont="1" applyFill="1" applyAlignment="1">
      <alignment horizontal="left" indent="3"/>
    </xf>
    <xf numFmtId="0" fontId="22" fillId="12" borderId="0" xfId="0" applyFont="1" applyFill="1"/>
    <xf numFmtId="0" fontId="37" fillId="12" borderId="0" xfId="0" applyFont="1" applyFill="1" applyAlignment="1">
      <alignment horizontal="left" indent="4"/>
    </xf>
    <xf numFmtId="0" fontId="22" fillId="12" borderId="0" xfId="0" applyFont="1" applyFill="1" applyAlignment="1">
      <alignment horizontal="left" indent="4"/>
    </xf>
    <xf numFmtId="0" fontId="0" fillId="16" borderId="0" xfId="0" applyFill="1" applyAlignment="1">
      <alignment horizontal="center"/>
    </xf>
    <xf numFmtId="0" fontId="39" fillId="22" borderId="67" xfId="0" applyFont="1" applyFill="1" applyBorder="1" applyAlignment="1">
      <alignment horizontal="center" vertical="center"/>
    </xf>
    <xf numFmtId="0" fontId="39" fillId="22" borderId="69" xfId="0" applyFont="1" applyFill="1" applyBorder="1" applyAlignment="1">
      <alignment horizontal="center" vertical="center"/>
    </xf>
    <xf numFmtId="0" fontId="39" fillId="22" borderId="71" xfId="0" applyFont="1" applyFill="1" applyBorder="1" applyAlignment="1">
      <alignment horizontal="center" vertical="center"/>
    </xf>
    <xf numFmtId="2" fontId="5" fillId="11" borderId="13" xfId="0" applyNumberFormat="1" applyFont="1" applyFill="1" applyBorder="1" applyAlignment="1">
      <alignment horizontal="center"/>
    </xf>
    <xf numFmtId="2" fontId="5" fillId="11" borderId="10" xfId="0" applyNumberFormat="1" applyFont="1" applyFill="1" applyBorder="1" applyAlignment="1">
      <alignment horizontal="center"/>
    </xf>
    <xf numFmtId="2" fontId="4" fillId="25" borderId="13" xfId="0" applyNumberFormat="1" applyFont="1" applyFill="1" applyBorder="1" applyAlignment="1">
      <alignment horizontal="center"/>
    </xf>
    <xf numFmtId="2" fontId="4" fillId="25" borderId="10" xfId="0" applyNumberFormat="1" applyFont="1" applyFill="1" applyBorder="1" applyAlignment="1">
      <alignment horizontal="center"/>
    </xf>
    <xf numFmtId="2" fontId="10" fillId="21" borderId="10" xfId="0" applyNumberFormat="1" applyFont="1" applyFill="1" applyBorder="1" applyAlignment="1">
      <alignment horizontal="center"/>
    </xf>
    <xf numFmtId="0" fontId="7" fillId="0" borderId="0" xfId="0" applyFont="1" applyAlignment="1">
      <alignment horizontal="center"/>
    </xf>
    <xf numFmtId="0" fontId="7" fillId="0" borderId="0" xfId="0" applyFont="1" applyAlignment="1">
      <alignment horizontal="center" vertical="top"/>
    </xf>
    <xf numFmtId="3" fontId="37" fillId="25" borderId="73" xfId="0" applyNumberFormat="1" applyFont="1" applyFill="1" applyBorder="1" applyAlignment="1">
      <alignment horizontal="center"/>
    </xf>
    <xf numFmtId="3" fontId="3" fillId="21" borderId="73" xfId="0" applyNumberFormat="1" applyFont="1" applyFill="1" applyBorder="1" applyAlignment="1">
      <alignment horizontal="center"/>
    </xf>
    <xf numFmtId="0" fontId="44" fillId="22" borderId="11" xfId="0" applyFont="1" applyFill="1" applyBorder="1"/>
    <xf numFmtId="1" fontId="10" fillId="12" borderId="14" xfId="0" applyNumberFormat="1" applyFont="1" applyFill="1" applyBorder="1" applyAlignment="1">
      <alignment horizontal="left"/>
    </xf>
    <xf numFmtId="1" fontId="10" fillId="12" borderId="14" xfId="0" applyNumberFormat="1" applyFont="1" applyFill="1" applyBorder="1" applyAlignment="1">
      <alignment horizontal="center"/>
    </xf>
    <xf numFmtId="1" fontId="10" fillId="12" borderId="0" xfId="0" applyNumberFormat="1" applyFont="1" applyFill="1" applyAlignment="1">
      <alignment horizontal="left"/>
    </xf>
    <xf numFmtId="3" fontId="0" fillId="2" borderId="126" xfId="0" applyNumberFormat="1" applyFill="1" applyBorder="1" applyAlignment="1">
      <alignment horizontal="center" vertical="center" wrapText="1"/>
    </xf>
    <xf numFmtId="3" fontId="0" fillId="2" borderId="89" xfId="0" applyNumberFormat="1" applyFill="1" applyBorder="1" applyAlignment="1">
      <alignment horizontal="center" vertical="center" wrapText="1"/>
    </xf>
    <xf numFmtId="3" fontId="0" fillId="2" borderId="127" xfId="0" applyNumberFormat="1" applyFill="1" applyBorder="1" applyAlignment="1">
      <alignment horizontal="center" vertical="center" wrapText="1"/>
    </xf>
    <xf numFmtId="3" fontId="0" fillId="2" borderId="68" xfId="0" applyNumberFormat="1" applyFill="1" applyBorder="1" applyAlignment="1">
      <alignment horizontal="center" vertical="center" wrapText="1"/>
    </xf>
    <xf numFmtId="3" fontId="0" fillId="2" borderId="73" xfId="0" applyNumberFormat="1" applyFill="1" applyBorder="1" applyAlignment="1">
      <alignment horizontal="center" vertical="center" wrapText="1"/>
    </xf>
    <xf numFmtId="3" fontId="0" fillId="2" borderId="69" xfId="0" applyNumberFormat="1" applyFill="1" applyBorder="1" applyAlignment="1">
      <alignment horizontal="center" vertical="center" wrapText="1"/>
    </xf>
    <xf numFmtId="3" fontId="0" fillId="2" borderId="86" xfId="0" applyNumberFormat="1" applyFill="1" applyBorder="1" applyAlignment="1">
      <alignment horizontal="center" vertical="center" wrapText="1"/>
    </xf>
    <xf numFmtId="3" fontId="0" fillId="2" borderId="94" xfId="0" applyNumberFormat="1" applyFill="1" applyBorder="1" applyAlignment="1">
      <alignment horizontal="center" vertical="center" wrapText="1"/>
    </xf>
    <xf numFmtId="3" fontId="0" fillId="2" borderId="87" xfId="0" applyNumberFormat="1" applyFill="1" applyBorder="1" applyAlignment="1">
      <alignment horizontal="center" vertical="center" wrapText="1"/>
    </xf>
    <xf numFmtId="3" fontId="3" fillId="22" borderId="11" xfId="0" applyNumberFormat="1" applyFont="1" applyFill="1" applyBorder="1" applyAlignment="1">
      <alignment horizontal="center" vertical="center" wrapText="1"/>
    </xf>
    <xf numFmtId="3" fontId="0" fillId="2" borderId="68" xfId="0" applyNumberFormat="1" applyFill="1" applyBorder="1" applyAlignment="1">
      <alignment horizontal="center"/>
    </xf>
    <xf numFmtId="3" fontId="0" fillId="2" borderId="73" xfId="0" applyNumberFormat="1" applyFill="1" applyBorder="1" applyAlignment="1">
      <alignment horizontal="center"/>
    </xf>
    <xf numFmtId="0" fontId="3" fillId="16" borderId="0" xfId="0" applyFont="1" applyFill="1" applyAlignment="1">
      <alignment horizontal="center" vertical="center"/>
    </xf>
    <xf numFmtId="0" fontId="3" fillId="17" borderId="0" xfId="0" applyFont="1" applyFill="1" applyAlignment="1">
      <alignment horizontal="center" vertical="center"/>
    </xf>
    <xf numFmtId="0" fontId="22" fillId="12" borderId="0" xfId="0" applyFont="1" applyFill="1" applyAlignment="1">
      <alignment horizontal="center" vertical="center"/>
    </xf>
    <xf numFmtId="1" fontId="5" fillId="11" borderId="66" xfId="0" applyNumberFormat="1" applyFont="1" applyFill="1" applyBorder="1" applyAlignment="1">
      <alignment horizontal="center"/>
    </xf>
    <xf numFmtId="1" fontId="5" fillId="11" borderId="72" xfId="0" applyNumberFormat="1" applyFont="1" applyFill="1" applyBorder="1" applyAlignment="1">
      <alignment horizontal="center"/>
    </xf>
    <xf numFmtId="1" fontId="5" fillId="11" borderId="67" xfId="0" applyNumberFormat="1" applyFont="1" applyFill="1" applyBorder="1" applyAlignment="1">
      <alignment horizontal="center"/>
    </xf>
    <xf numFmtId="0" fontId="4" fillId="25" borderId="69" xfId="0" applyFont="1" applyFill="1" applyBorder="1" applyAlignment="1">
      <alignment horizontal="center"/>
    </xf>
    <xf numFmtId="3" fontId="10" fillId="21" borderId="68" xfId="0" applyNumberFormat="1" applyFont="1" applyFill="1" applyBorder="1" applyAlignment="1">
      <alignment horizontal="center"/>
    </xf>
    <xf numFmtId="3" fontId="10" fillId="21" borderId="73" xfId="0" applyNumberFormat="1" applyFont="1" applyFill="1" applyBorder="1" applyAlignment="1">
      <alignment horizontal="center"/>
    </xf>
    <xf numFmtId="3" fontId="10" fillId="21" borderId="69" xfId="0" applyNumberFormat="1" applyFont="1" applyFill="1" applyBorder="1" applyAlignment="1">
      <alignment horizontal="center"/>
    </xf>
    <xf numFmtId="37" fontId="0" fillId="2" borderId="68" xfId="0" applyNumberFormat="1" applyFill="1" applyBorder="1" applyAlignment="1">
      <alignment horizontal="center"/>
    </xf>
    <xf numFmtId="37" fontId="0" fillId="2" borderId="73" xfId="0" applyNumberFormat="1" applyFill="1" applyBorder="1" applyAlignment="1">
      <alignment horizontal="center"/>
    </xf>
    <xf numFmtId="37" fontId="0" fillId="2" borderId="69" xfId="0" applyNumberFormat="1" applyFill="1" applyBorder="1" applyAlignment="1">
      <alignment horizontal="center"/>
    </xf>
    <xf numFmtId="37" fontId="0" fillId="2" borderId="70" xfId="0" applyNumberFormat="1" applyFill="1" applyBorder="1" applyAlignment="1">
      <alignment horizontal="center"/>
    </xf>
    <xf numFmtId="37" fontId="0" fillId="2" borderId="74" xfId="0" applyNumberFormat="1" applyFill="1" applyBorder="1" applyAlignment="1">
      <alignment horizontal="center"/>
    </xf>
    <xf numFmtId="37" fontId="0" fillId="2" borderId="71" xfId="0" applyNumberFormat="1" applyFill="1" applyBorder="1" applyAlignment="1">
      <alignment horizontal="center"/>
    </xf>
    <xf numFmtId="37" fontId="3" fillId="22" borderId="11" xfId="0" applyNumberFormat="1" applyFont="1" applyFill="1" applyBorder="1" applyAlignment="1">
      <alignment horizontal="center"/>
    </xf>
    <xf numFmtId="37" fontId="0" fillId="2" borderId="66" xfId="0" applyNumberFormat="1" applyFill="1" applyBorder="1" applyAlignment="1">
      <alignment horizontal="center"/>
    </xf>
    <xf numFmtId="37" fontId="0" fillId="2" borderId="72" xfId="0" applyNumberFormat="1" applyFill="1" applyBorder="1" applyAlignment="1">
      <alignment horizontal="center"/>
    </xf>
    <xf numFmtId="37" fontId="0" fillId="2" borderId="67" xfId="0" applyNumberFormat="1" applyFill="1" applyBorder="1" applyAlignment="1">
      <alignment horizontal="center"/>
    </xf>
    <xf numFmtId="3" fontId="10" fillId="12" borderId="86" xfId="0" applyNumberFormat="1" applyFont="1" applyFill="1" applyBorder="1" applyAlignment="1">
      <alignment horizontal="center"/>
    </xf>
    <xf numFmtId="0" fontId="4" fillId="11" borderId="72" xfId="0" applyFont="1" applyFill="1" applyBorder="1" applyAlignment="1">
      <alignment horizontal="center"/>
    </xf>
    <xf numFmtId="0" fontId="10" fillId="21" borderId="73" xfId="0" applyFont="1" applyFill="1" applyBorder="1" applyAlignment="1">
      <alignment horizontal="center"/>
    </xf>
    <xf numFmtId="3" fontId="4" fillId="2" borderId="73" xfId="0" applyNumberFormat="1" applyFont="1" applyFill="1" applyBorder="1" applyAlignment="1">
      <alignment horizontal="center"/>
    </xf>
    <xf numFmtId="3" fontId="5" fillId="11" borderId="72" xfId="0" applyNumberFormat="1" applyFont="1" applyFill="1" applyBorder="1" applyAlignment="1">
      <alignment horizontal="center"/>
    </xf>
    <xf numFmtId="3" fontId="4" fillId="11" borderId="72" xfId="0" applyNumberFormat="1" applyFont="1" applyFill="1" applyBorder="1" applyAlignment="1">
      <alignment horizontal="center"/>
    </xf>
    <xf numFmtId="3" fontId="4" fillId="2" borderId="69" xfId="0" applyNumberFormat="1" applyFont="1" applyFill="1" applyBorder="1" applyAlignment="1">
      <alignment horizontal="center"/>
    </xf>
    <xf numFmtId="3" fontId="4" fillId="2" borderId="74" xfId="0" applyNumberFormat="1" applyFont="1" applyFill="1" applyBorder="1" applyAlignment="1">
      <alignment horizontal="center"/>
    </xf>
    <xf numFmtId="3" fontId="4" fillId="2" borderId="71" xfId="0" applyNumberFormat="1" applyFont="1" applyFill="1" applyBorder="1" applyAlignment="1">
      <alignment horizontal="center"/>
    </xf>
    <xf numFmtId="0" fontId="3" fillId="6" borderId="0" xfId="0" applyFont="1" applyFill="1"/>
    <xf numFmtId="0" fontId="40" fillId="15" borderId="0" xfId="0" applyFont="1" applyFill="1" applyAlignment="1">
      <alignment horizontal="center" vertical="center"/>
    </xf>
    <xf numFmtId="0" fontId="5" fillId="16" borderId="0" xfId="0" applyFont="1" applyFill="1" applyAlignment="1">
      <alignment horizontal="left" vertical="top"/>
    </xf>
    <xf numFmtId="0" fontId="5" fillId="17" borderId="0" xfId="0" applyFont="1" applyFill="1" applyAlignment="1">
      <alignment horizontal="left" indent="11"/>
    </xf>
    <xf numFmtId="0" fontId="39" fillId="15" borderId="0" xfId="0" applyFont="1" applyFill="1" applyAlignment="1">
      <alignment horizontal="center" vertical="center"/>
    </xf>
    <xf numFmtId="0" fontId="10" fillId="2" borderId="0" xfId="0" applyFont="1" applyFill="1"/>
    <xf numFmtId="0" fontId="10" fillId="22" borderId="0" xfId="0" applyFont="1" applyFill="1"/>
    <xf numFmtId="0" fontId="100" fillId="22" borderId="0" xfId="0" applyFont="1" applyFill="1" applyAlignment="1">
      <alignment horizontal="center" vertical="center"/>
    </xf>
    <xf numFmtId="3" fontId="4" fillId="2" borderId="66" xfId="0" applyNumberFormat="1" applyFont="1" applyFill="1" applyBorder="1" applyAlignment="1">
      <alignment horizontal="center"/>
    </xf>
    <xf numFmtId="3" fontId="4" fillId="2" borderId="72" xfId="0" applyNumberFormat="1" applyFont="1" applyFill="1" applyBorder="1" applyAlignment="1">
      <alignment horizontal="center"/>
    </xf>
    <xf numFmtId="0" fontId="4" fillId="2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center" vertical="top"/>
    </xf>
    <xf numFmtId="3" fontId="37" fillId="11" borderId="66" xfId="0" applyNumberFormat="1" applyFont="1" applyFill="1" applyBorder="1" applyAlignment="1">
      <alignment horizontal="center"/>
    </xf>
    <xf numFmtId="3" fontId="37" fillId="11" borderId="72" xfId="0" applyNumberFormat="1" applyFont="1" applyFill="1" applyBorder="1" applyAlignment="1">
      <alignment horizontal="center"/>
    </xf>
    <xf numFmtId="3" fontId="37" fillId="11" borderId="67" xfId="0" applyNumberFormat="1" applyFont="1" applyFill="1" applyBorder="1" applyAlignment="1">
      <alignment horizontal="center"/>
    </xf>
    <xf numFmtId="2" fontId="37" fillId="11" borderId="72" xfId="0" applyNumberFormat="1" applyFont="1" applyFill="1" applyBorder="1" applyAlignment="1">
      <alignment horizontal="center"/>
    </xf>
    <xf numFmtId="2" fontId="4" fillId="2" borderId="73" xfId="0" applyNumberFormat="1" applyFont="1" applyFill="1" applyBorder="1" applyAlignment="1">
      <alignment horizontal="center"/>
    </xf>
    <xf numFmtId="3" fontId="0" fillId="21" borderId="68" xfId="0" applyNumberFormat="1" applyFill="1" applyBorder="1" applyAlignment="1">
      <alignment horizontal="center"/>
    </xf>
    <xf numFmtId="3" fontId="0" fillId="21" borderId="73" xfId="0" applyNumberFormat="1" applyFill="1" applyBorder="1" applyAlignment="1">
      <alignment horizontal="center"/>
    </xf>
    <xf numFmtId="3" fontId="0" fillId="21" borderId="69" xfId="0" applyNumberFormat="1" applyFill="1" applyBorder="1" applyAlignment="1">
      <alignment horizontal="center"/>
    </xf>
    <xf numFmtId="164" fontId="0" fillId="22" borderId="0" xfId="0" applyNumberFormat="1" applyFill="1" applyAlignment="1">
      <alignment horizontal="center"/>
    </xf>
    <xf numFmtId="0" fontId="37" fillId="22" borderId="0" xfId="0" applyFont="1" applyFill="1" applyAlignment="1">
      <alignment horizontal="center"/>
    </xf>
    <xf numFmtId="3" fontId="4" fillId="22" borderId="0" xfId="0" applyNumberFormat="1" applyFont="1" applyFill="1" applyAlignment="1">
      <alignment horizontal="center"/>
    </xf>
    <xf numFmtId="2" fontId="4" fillId="2" borderId="73" xfId="0" applyNumberFormat="1" applyFont="1" applyFill="1" applyBorder="1" applyAlignment="1" applyProtection="1">
      <alignment horizontal="center"/>
      <protection locked="0"/>
    </xf>
    <xf numFmtId="0" fontId="116" fillId="19" borderId="0" xfId="0" applyFont="1" applyFill="1"/>
    <xf numFmtId="0" fontId="99" fillId="19" borderId="0" xfId="0" applyFont="1" applyFill="1"/>
    <xf numFmtId="164" fontId="37" fillId="2" borderId="69" xfId="0" applyNumberFormat="1" applyFont="1" applyFill="1" applyBorder="1" applyAlignment="1">
      <alignment horizontal="center"/>
    </xf>
    <xf numFmtId="2" fontId="4" fillId="2" borderId="74" xfId="0" applyNumberFormat="1" applyFont="1" applyFill="1" applyBorder="1" applyAlignment="1" applyProtection="1">
      <alignment horizontal="center"/>
      <protection locked="0"/>
    </xf>
    <xf numFmtId="2" fontId="4" fillId="2" borderId="74" xfId="0" applyNumberFormat="1" applyFont="1" applyFill="1" applyBorder="1" applyAlignment="1">
      <alignment horizontal="center"/>
    </xf>
    <xf numFmtId="164" fontId="37" fillId="2" borderId="71" xfId="0" applyNumberFormat="1" applyFont="1" applyFill="1" applyBorder="1" applyAlignment="1">
      <alignment horizontal="center"/>
    </xf>
    <xf numFmtId="0" fontId="89" fillId="19" borderId="4" xfId="0" applyFont="1" applyFill="1" applyBorder="1"/>
    <xf numFmtId="1" fontId="4" fillId="2" borderId="66" xfId="0" applyNumberFormat="1" applyFont="1" applyFill="1" applyBorder="1" applyAlignment="1">
      <alignment horizontal="center"/>
    </xf>
    <xf numFmtId="2" fontId="4" fillId="2" borderId="72" xfId="0" applyNumberFormat="1" applyFont="1" applyFill="1" applyBorder="1" applyAlignment="1">
      <alignment horizontal="center"/>
    </xf>
    <xf numFmtId="0" fontId="10" fillId="25" borderId="73" xfId="0" applyFont="1" applyFill="1" applyBorder="1" applyAlignment="1">
      <alignment horizontal="center"/>
    </xf>
    <xf numFmtId="0" fontId="10" fillId="25" borderId="0" xfId="0" applyFont="1" applyFill="1"/>
    <xf numFmtId="0" fontId="97" fillId="11" borderId="0" xfId="0" applyFont="1" applyFill="1" applyAlignment="1">
      <alignment horizontal="center"/>
    </xf>
    <xf numFmtId="0" fontId="10" fillId="25" borderId="0" xfId="0" applyFont="1" applyFill="1" applyAlignment="1">
      <alignment horizontal="center"/>
    </xf>
    <xf numFmtId="2" fontId="0" fillId="21" borderId="0" xfId="0" applyNumberFormat="1" applyFill="1" applyAlignment="1">
      <alignment horizontal="center"/>
    </xf>
    <xf numFmtId="2" fontId="0" fillId="0" borderId="0" xfId="0" applyNumberFormat="1" applyAlignment="1">
      <alignment horizontal="center"/>
    </xf>
    <xf numFmtId="0" fontId="97" fillId="11" borderId="66" xfId="0" applyFont="1" applyFill="1" applyBorder="1" applyAlignment="1">
      <alignment horizontal="center"/>
    </xf>
    <xf numFmtId="0" fontId="97" fillId="11" borderId="72" xfId="0" applyFont="1" applyFill="1" applyBorder="1" applyAlignment="1">
      <alignment horizontal="center"/>
    </xf>
    <xf numFmtId="3" fontId="97" fillId="11" borderId="72" xfId="0" applyNumberFormat="1" applyFont="1" applyFill="1" applyBorder="1" applyAlignment="1">
      <alignment horizontal="center"/>
    </xf>
    <xf numFmtId="0" fontId="97" fillId="11" borderId="67" xfId="0" applyFont="1" applyFill="1" applyBorder="1" applyAlignment="1">
      <alignment horizontal="center"/>
    </xf>
    <xf numFmtId="0" fontId="10" fillId="25" borderId="68" xfId="0" applyFont="1" applyFill="1" applyBorder="1" applyAlignment="1">
      <alignment horizontal="center"/>
    </xf>
    <xf numFmtId="0" fontId="10" fillId="25" borderId="69" xfId="0" applyFont="1" applyFill="1" applyBorder="1" applyAlignment="1">
      <alignment horizontal="center"/>
    </xf>
    <xf numFmtId="2" fontId="0" fillId="2" borderId="68" xfId="0" applyNumberFormat="1" applyFill="1" applyBorder="1" applyAlignment="1">
      <alignment horizontal="center"/>
    </xf>
    <xf numFmtId="3" fontId="0" fillId="2" borderId="74" xfId="0" applyNumberFormat="1" applyFill="1" applyBorder="1" applyAlignment="1">
      <alignment horizontal="center"/>
    </xf>
    <xf numFmtId="0" fontId="44" fillId="32" borderId="0" xfId="0" applyFont="1" applyFill="1"/>
    <xf numFmtId="0" fontId="44" fillId="32" borderId="0" xfId="0" applyFont="1" applyFill="1" applyAlignment="1">
      <alignment horizontal="center"/>
    </xf>
    <xf numFmtId="0" fontId="10" fillId="32" borderId="0" xfId="0" applyFont="1" applyFill="1" applyAlignment="1">
      <alignment horizontal="left"/>
    </xf>
    <xf numFmtId="1" fontId="10" fillId="32" borderId="0" xfId="0" applyNumberFormat="1" applyFont="1" applyFill="1" applyAlignment="1">
      <alignment horizontal="left"/>
    </xf>
    <xf numFmtId="1" fontId="10" fillId="32" borderId="0" xfId="0" applyNumberFormat="1" applyFont="1" applyFill="1" applyAlignment="1">
      <alignment horizontal="center"/>
    </xf>
    <xf numFmtId="0" fontId="10" fillId="32" borderId="0" xfId="0" applyFont="1" applyFill="1"/>
    <xf numFmtId="2" fontId="0" fillId="21" borderId="0" xfId="0" applyNumberFormat="1" applyFill="1" applyAlignment="1">
      <alignment horizontal="left"/>
    </xf>
    <xf numFmtId="0" fontId="5" fillId="11" borderId="66" xfId="0" applyFont="1" applyFill="1" applyBorder="1" applyAlignment="1">
      <alignment horizontal="center"/>
    </xf>
    <xf numFmtId="0" fontId="10" fillId="32" borderId="0" xfId="0" applyFont="1" applyFill="1" applyAlignment="1">
      <alignment horizontal="left" indent="8"/>
    </xf>
    <xf numFmtId="0" fontId="0" fillId="32" borderId="0" xfId="0" applyFill="1" applyAlignment="1">
      <alignment horizontal="left" indent="8"/>
    </xf>
    <xf numFmtId="0" fontId="5" fillId="8" borderId="0" xfId="0" applyFont="1" applyFill="1"/>
    <xf numFmtId="4" fontId="97" fillId="11" borderId="0" xfId="0" applyNumberFormat="1" applyFont="1" applyFill="1" applyAlignment="1">
      <alignment horizontal="center"/>
    </xf>
    <xf numFmtId="4" fontId="10" fillId="25" borderId="0" xfId="0" applyNumberFormat="1" applyFont="1" applyFill="1" applyAlignment="1">
      <alignment horizontal="center"/>
    </xf>
    <xf numFmtId="4" fontId="0" fillId="21" borderId="0" xfId="0" applyNumberFormat="1" applyFill="1" applyAlignment="1">
      <alignment horizontal="center"/>
    </xf>
    <xf numFmtId="4" fontId="10" fillId="2" borderId="21" xfId="0" applyNumberFormat="1" applyFont="1" applyFill="1" applyBorder="1" applyAlignment="1">
      <alignment horizontal="center"/>
    </xf>
    <xf numFmtId="4" fontId="37" fillId="2" borderId="126" xfId="0" applyNumberFormat="1" applyFont="1" applyFill="1" applyBorder="1" applyAlignment="1">
      <alignment horizontal="center"/>
    </xf>
    <xf numFmtId="4" fontId="37" fillId="2" borderId="89" xfId="0" applyNumberFormat="1" applyFont="1" applyFill="1" applyBorder="1" applyAlignment="1">
      <alignment horizontal="center"/>
    </xf>
    <xf numFmtId="4" fontId="37" fillId="2" borderId="127" xfId="0" applyNumberFormat="1" applyFont="1" applyFill="1" applyBorder="1" applyAlignment="1">
      <alignment horizontal="center"/>
    </xf>
    <xf numFmtId="4" fontId="37" fillId="2" borderId="68" xfId="0" applyNumberFormat="1" applyFont="1" applyFill="1" applyBorder="1" applyAlignment="1">
      <alignment horizontal="center"/>
    </xf>
    <xf numFmtId="4" fontId="37" fillId="2" borderId="73" xfId="0" applyNumberFormat="1" applyFont="1" applyFill="1" applyBorder="1" applyAlignment="1">
      <alignment horizontal="center"/>
    </xf>
    <xf numFmtId="4" fontId="37" fillId="2" borderId="69" xfId="0" applyNumberFormat="1" applyFont="1" applyFill="1" applyBorder="1" applyAlignment="1">
      <alignment horizontal="center"/>
    </xf>
    <xf numFmtId="4" fontId="37" fillId="2" borderId="70" xfId="0" applyNumberFormat="1" applyFont="1" applyFill="1" applyBorder="1" applyAlignment="1">
      <alignment horizontal="center"/>
    </xf>
    <xf numFmtId="4" fontId="37" fillId="2" borderId="74" xfId="0" applyNumberFormat="1" applyFont="1" applyFill="1" applyBorder="1" applyAlignment="1">
      <alignment horizontal="center"/>
    </xf>
    <xf numFmtId="4" fontId="37" fillId="2" borderId="71" xfId="0" applyNumberFormat="1" applyFont="1" applyFill="1" applyBorder="1" applyAlignment="1">
      <alignment horizontal="center"/>
    </xf>
    <xf numFmtId="0" fontId="65" fillId="7" borderId="0" xfId="0" applyFont="1" applyFill="1"/>
    <xf numFmtId="0" fontId="22" fillId="12" borderId="0" xfId="0" applyFont="1" applyFill="1" applyAlignment="1">
      <alignment horizontal="left" indent="14"/>
    </xf>
    <xf numFmtId="0" fontId="50" fillId="12" borderId="0" xfId="0" applyFont="1" applyFill="1" applyAlignment="1">
      <alignment horizontal="left"/>
    </xf>
    <xf numFmtId="0" fontId="50" fillId="12" borderId="0" xfId="0" applyFont="1" applyFill="1" applyAlignment="1">
      <alignment horizontal="left" indent="4"/>
    </xf>
    <xf numFmtId="0" fontId="37" fillId="12" borderId="0" xfId="0" applyFont="1" applyFill="1" applyAlignment="1">
      <alignment horizontal="left" vertical="center"/>
    </xf>
    <xf numFmtId="0" fontId="3" fillId="8" borderId="0" xfId="0" applyFont="1" applyFill="1" applyAlignment="1">
      <alignment horizontal="left" indent="5"/>
    </xf>
    <xf numFmtId="0" fontId="3" fillId="9" borderId="0" xfId="0" applyFont="1" applyFill="1"/>
    <xf numFmtId="0" fontId="3" fillId="8" borderId="0" xfId="0" applyFont="1" applyFill="1" applyAlignment="1">
      <alignment horizontal="left" indent="1"/>
    </xf>
    <xf numFmtId="0" fontId="3" fillId="9" borderId="0" xfId="0" applyFont="1" applyFill="1" applyAlignment="1">
      <alignment horizontal="left"/>
    </xf>
    <xf numFmtId="0" fontId="3" fillId="9" borderId="0" xfId="0" applyFont="1" applyFill="1" applyAlignment="1">
      <alignment horizontal="left" indent="6"/>
    </xf>
    <xf numFmtId="0" fontId="5" fillId="16" borderId="0" xfId="0" applyFont="1" applyFill="1" applyAlignment="1">
      <alignment horizontal="left" vertical="center" indent="7"/>
    </xf>
    <xf numFmtId="0" fontId="5" fillId="16" borderId="0" xfId="0" applyFont="1" applyFill="1" applyAlignment="1">
      <alignment horizontal="center"/>
    </xf>
    <xf numFmtId="0" fontId="5" fillId="17" borderId="0" xfId="0" applyFont="1" applyFill="1" applyAlignment="1">
      <alignment horizontal="left" indent="12"/>
    </xf>
    <xf numFmtId="0" fontId="9" fillId="8" borderId="0" xfId="0" applyFont="1" applyFill="1" applyAlignment="1">
      <alignment horizontal="center"/>
    </xf>
    <xf numFmtId="0" fontId="22" fillId="2" borderId="0" xfId="0" applyFont="1" applyFill="1"/>
    <xf numFmtId="1" fontId="97" fillId="11" borderId="72" xfId="0" applyNumberFormat="1" applyFont="1" applyFill="1" applyBorder="1" applyAlignment="1">
      <alignment horizontal="center"/>
    </xf>
    <xf numFmtId="3" fontId="37" fillId="2" borderId="71" xfId="0" applyNumberFormat="1" applyFont="1" applyFill="1" applyBorder="1" applyAlignment="1">
      <alignment horizontal="center"/>
    </xf>
    <xf numFmtId="3" fontId="37" fillId="2" borderId="67" xfId="0" applyNumberFormat="1" applyFont="1" applyFill="1" applyBorder="1" applyAlignment="1">
      <alignment horizontal="center"/>
    </xf>
    <xf numFmtId="3" fontId="0" fillId="21" borderId="0" xfId="0" applyNumberFormat="1" applyFill="1" applyAlignment="1">
      <alignment horizontal="center"/>
    </xf>
    <xf numFmtId="3" fontId="37" fillId="6" borderId="67" xfId="0" applyNumberFormat="1" applyFont="1" applyFill="1" applyBorder="1" applyAlignment="1">
      <alignment horizontal="center"/>
    </xf>
    <xf numFmtId="3" fontId="37" fillId="6" borderId="69" xfId="0" applyNumberFormat="1" applyFont="1" applyFill="1" applyBorder="1" applyAlignment="1">
      <alignment horizontal="center"/>
    </xf>
    <xf numFmtId="3" fontId="37" fillId="6" borderId="71" xfId="0" applyNumberFormat="1" applyFont="1" applyFill="1" applyBorder="1" applyAlignment="1">
      <alignment horizontal="center"/>
    </xf>
    <xf numFmtId="0" fontId="22" fillId="6" borderId="0" xfId="0" applyFont="1" applyFill="1" applyAlignment="1">
      <alignment horizontal="center"/>
    </xf>
    <xf numFmtId="3" fontId="22" fillId="6" borderId="0" xfId="0" applyNumberFormat="1" applyFont="1" applyFill="1" applyAlignment="1">
      <alignment horizontal="center"/>
    </xf>
    <xf numFmtId="0" fontId="0" fillId="2" borderId="72" xfId="0" applyFill="1" applyBorder="1" applyAlignment="1">
      <alignment horizontal="center"/>
    </xf>
    <xf numFmtId="0" fontId="5" fillId="9" borderId="0" xfId="0" applyFont="1" applyFill="1" applyAlignment="1">
      <alignment horizontal="left" indent="14"/>
    </xf>
    <xf numFmtId="0" fontId="4" fillId="9" borderId="0" xfId="0" applyFont="1" applyFill="1" applyAlignment="1">
      <alignment horizontal="left"/>
    </xf>
    <xf numFmtId="0" fontId="44" fillId="9" borderId="0" xfId="0" applyFont="1" applyFill="1" applyAlignment="1">
      <alignment horizontal="center"/>
    </xf>
    <xf numFmtId="0" fontId="22" fillId="9" borderId="0" xfId="0" applyFont="1" applyFill="1"/>
    <xf numFmtId="0" fontId="6" fillId="9" borderId="0" xfId="0" applyFont="1" applyFill="1" applyAlignment="1">
      <alignment horizontal="center"/>
    </xf>
    <xf numFmtId="0" fontId="37" fillId="9" borderId="0" xfId="0" applyFont="1" applyFill="1" applyAlignment="1">
      <alignment horizontal="left"/>
    </xf>
    <xf numFmtId="0" fontId="37" fillId="9" borderId="0" xfId="0" applyFont="1" applyFill="1" applyAlignment="1">
      <alignment horizontal="center"/>
    </xf>
    <xf numFmtId="0" fontId="22" fillId="9" borderId="0" xfId="0" applyFont="1" applyFill="1" applyAlignment="1">
      <alignment horizontal="center"/>
    </xf>
    <xf numFmtId="0" fontId="0" fillId="9" borderId="0" xfId="0" applyFill="1" applyAlignment="1">
      <alignment horizontal="center"/>
    </xf>
    <xf numFmtId="164" fontId="0" fillId="8" borderId="0" xfId="0" applyNumberFormat="1" applyFill="1" applyAlignment="1">
      <alignment horizontal="center"/>
    </xf>
    <xf numFmtId="0" fontId="44" fillId="9" borderId="0" xfId="0" applyFont="1" applyFill="1" applyAlignment="1">
      <alignment horizontal="left"/>
    </xf>
    <xf numFmtId="0" fontId="0" fillId="2" borderId="67" xfId="0" applyFill="1" applyBorder="1" applyAlignment="1">
      <alignment horizontal="center"/>
    </xf>
    <xf numFmtId="0" fontId="116" fillId="19" borderId="3" xfId="0" applyFont="1" applyFill="1" applyBorder="1"/>
    <xf numFmtId="0" fontId="5" fillId="9" borderId="0" xfId="0" applyFont="1" applyFill="1" applyAlignment="1">
      <alignment horizontal="left"/>
    </xf>
    <xf numFmtId="0" fontId="90" fillId="17" borderId="0" xfId="0" applyFont="1" applyFill="1" applyAlignment="1">
      <alignment horizontal="left" vertical="center" indent="3"/>
    </xf>
    <xf numFmtId="2" fontId="0" fillId="11" borderId="0" xfId="0" applyNumberFormat="1" applyFill="1" applyAlignment="1">
      <alignment horizontal="center" vertical="center"/>
    </xf>
    <xf numFmtId="0" fontId="5" fillId="22" borderId="0" xfId="0" applyFont="1" applyFill="1" applyAlignment="1">
      <alignment horizontal="left" indent="14"/>
    </xf>
    <xf numFmtId="2" fontId="0" fillId="22" borderId="0" xfId="0" applyNumberFormat="1" applyFill="1" applyAlignment="1">
      <alignment horizontal="left"/>
    </xf>
    <xf numFmtId="0" fontId="99" fillId="22" borderId="0" xfId="0" applyFont="1" applyFill="1"/>
    <xf numFmtId="3" fontId="0" fillId="11" borderId="0" xfId="0" applyNumberFormat="1" applyFill="1" applyAlignment="1">
      <alignment horizontal="center" vertical="center"/>
    </xf>
    <xf numFmtId="3" fontId="10" fillId="25" borderId="0" xfId="0" applyNumberFormat="1" applyFont="1" applyFill="1" applyAlignment="1">
      <alignment horizontal="center"/>
    </xf>
    <xf numFmtId="3" fontId="0" fillId="0" borderId="0" xfId="0" applyNumberFormat="1" applyAlignment="1">
      <alignment horizontal="center"/>
    </xf>
    <xf numFmtId="0" fontId="102" fillId="22" borderId="0" xfId="0" applyFont="1" applyFill="1"/>
    <xf numFmtId="3" fontId="22" fillId="2" borderId="0" xfId="0" applyNumberFormat="1" applyFont="1" applyFill="1" applyAlignment="1">
      <alignment horizontal="center"/>
    </xf>
    <xf numFmtId="166" fontId="102" fillId="2" borderId="0" xfId="4" applyNumberFormat="1" applyFont="1" applyFill="1" applyBorder="1" applyAlignment="1">
      <alignment horizontal="center"/>
    </xf>
    <xf numFmtId="166" fontId="102" fillId="2" borderId="0" xfId="4" applyNumberFormat="1" applyFont="1" applyFill="1" applyBorder="1" applyAlignment="1"/>
    <xf numFmtId="0" fontId="102" fillId="2" borderId="0" xfId="0" applyFont="1" applyFill="1"/>
    <xf numFmtId="0" fontId="74" fillId="12" borderId="0" xfId="0" applyFont="1" applyFill="1" applyAlignment="1">
      <alignment horizontal="left" indent="2"/>
    </xf>
    <xf numFmtId="0" fontId="74" fillId="12" borderId="0" xfId="0" applyFont="1" applyFill="1" applyAlignment="1">
      <alignment horizontal="left" indent="5"/>
    </xf>
    <xf numFmtId="0" fontId="69" fillId="12" borderId="0" xfId="0" applyFont="1" applyFill="1" applyAlignment="1">
      <alignment horizontal="left"/>
    </xf>
    <xf numFmtId="0" fontId="242" fillId="11" borderId="66" xfId="0" applyFont="1" applyFill="1" applyBorder="1" applyAlignment="1">
      <alignment horizontal="center"/>
    </xf>
    <xf numFmtId="0" fontId="242" fillId="11" borderId="72" xfId="0" applyFont="1" applyFill="1" applyBorder="1" applyAlignment="1">
      <alignment horizontal="center"/>
    </xf>
    <xf numFmtId="0" fontId="242" fillId="11" borderId="67" xfId="0" applyFont="1" applyFill="1" applyBorder="1" applyAlignment="1">
      <alignment horizontal="center"/>
    </xf>
    <xf numFmtId="3" fontId="72" fillId="12" borderId="21" xfId="0" applyNumberFormat="1" applyFont="1" applyFill="1" applyBorder="1" applyAlignment="1">
      <alignment horizontal="center"/>
    </xf>
    <xf numFmtId="4" fontId="69" fillId="2" borderId="11" xfId="0" applyNumberFormat="1" applyFont="1" applyFill="1" applyBorder="1" applyAlignment="1">
      <alignment horizontal="center" vertical="center"/>
    </xf>
    <xf numFmtId="4" fontId="69" fillId="2" borderId="0" xfId="0" applyNumberFormat="1" applyFont="1" applyFill="1" applyAlignment="1">
      <alignment horizontal="center" vertical="center"/>
    </xf>
    <xf numFmtId="3" fontId="4" fillId="46" borderId="86" xfId="0" applyNumberFormat="1" applyFont="1" applyFill="1" applyBorder="1" applyAlignment="1">
      <alignment horizontal="center"/>
    </xf>
    <xf numFmtId="3" fontId="4" fillId="46" borderId="94" xfId="0" applyNumberFormat="1" applyFont="1" applyFill="1" applyBorder="1" applyAlignment="1">
      <alignment horizontal="center"/>
    </xf>
    <xf numFmtId="3" fontId="4" fillId="46" borderId="87" xfId="0" applyNumberFormat="1" applyFont="1" applyFill="1" applyBorder="1" applyAlignment="1">
      <alignment horizontal="center"/>
    </xf>
    <xf numFmtId="3" fontId="4" fillId="46" borderId="66" xfId="0" applyNumberFormat="1" applyFont="1" applyFill="1" applyBorder="1" applyAlignment="1">
      <alignment horizontal="center"/>
    </xf>
    <xf numFmtId="3" fontId="4" fillId="46" borderId="72" xfId="0" applyNumberFormat="1" applyFont="1" applyFill="1" applyBorder="1" applyAlignment="1">
      <alignment horizontal="center"/>
    </xf>
    <xf numFmtId="3" fontId="4" fillId="46" borderId="67" xfId="0" applyNumberFormat="1" applyFont="1" applyFill="1" applyBorder="1" applyAlignment="1">
      <alignment horizontal="center"/>
    </xf>
    <xf numFmtId="3" fontId="4" fillId="46" borderId="68" xfId="0" applyNumberFormat="1" applyFont="1" applyFill="1" applyBorder="1" applyAlignment="1">
      <alignment horizontal="center"/>
    </xf>
    <xf numFmtId="3" fontId="4" fillId="46" borderId="73" xfId="0" applyNumberFormat="1" applyFont="1" applyFill="1" applyBorder="1" applyAlignment="1">
      <alignment horizontal="center"/>
    </xf>
    <xf numFmtId="3" fontId="4" fillId="46" borderId="70" xfId="0" applyNumberFormat="1" applyFont="1" applyFill="1" applyBorder="1" applyAlignment="1">
      <alignment horizontal="center"/>
    </xf>
    <xf numFmtId="3" fontId="4" fillId="46" borderId="74" xfId="0" applyNumberFormat="1" applyFont="1" applyFill="1" applyBorder="1" applyAlignment="1">
      <alignment horizontal="center"/>
    </xf>
    <xf numFmtId="1" fontId="10" fillId="2" borderId="73" xfId="0" applyNumberFormat="1" applyFont="1" applyFill="1" applyBorder="1" applyAlignment="1">
      <alignment horizontal="center" vertical="center" wrapText="1"/>
    </xf>
    <xf numFmtId="3" fontId="0" fillId="46" borderId="73" xfId="0" applyNumberFormat="1" applyFill="1" applyBorder="1" applyAlignment="1">
      <alignment horizontal="center" vertical="center" wrapText="1"/>
    </xf>
    <xf numFmtId="1" fontId="10" fillId="46" borderId="73" xfId="0" applyNumberFormat="1" applyFont="1" applyFill="1" applyBorder="1" applyAlignment="1">
      <alignment horizontal="center" vertical="center" wrapText="1"/>
    </xf>
    <xf numFmtId="0" fontId="7" fillId="0" borderId="0" xfId="0" applyFont="1" applyAlignment="1">
      <alignment horizontal="left" indent="6"/>
    </xf>
    <xf numFmtId="0" fontId="6" fillId="0" borderId="0" xfId="0" applyFont="1" applyAlignment="1">
      <alignment horizontal="left" indent="6"/>
    </xf>
    <xf numFmtId="3" fontId="0" fillId="46" borderId="72" xfId="0" applyNumberFormat="1" applyFill="1" applyBorder="1" applyAlignment="1">
      <alignment horizontal="center" vertical="center" wrapText="1"/>
    </xf>
    <xf numFmtId="3" fontId="37" fillId="25" borderId="68" xfId="0" applyNumberFormat="1" applyFont="1" applyFill="1" applyBorder="1" applyAlignment="1">
      <alignment horizontal="center"/>
    </xf>
    <xf numFmtId="3" fontId="37" fillId="25" borderId="69" xfId="0" applyNumberFormat="1" applyFont="1" applyFill="1" applyBorder="1" applyAlignment="1">
      <alignment horizontal="center"/>
    </xf>
    <xf numFmtId="3" fontId="3" fillId="21" borderId="68" xfId="0" applyNumberFormat="1" applyFont="1" applyFill="1" applyBorder="1" applyAlignment="1">
      <alignment horizontal="center"/>
    </xf>
    <xf numFmtId="3" fontId="3" fillId="21" borderId="69" xfId="0" applyNumberFormat="1" applyFont="1" applyFill="1" applyBorder="1" applyAlignment="1">
      <alignment horizontal="center"/>
    </xf>
    <xf numFmtId="3" fontId="22" fillId="11" borderId="66" xfId="0" applyNumberFormat="1" applyFont="1" applyFill="1" applyBorder="1" applyAlignment="1">
      <alignment horizontal="center"/>
    </xf>
    <xf numFmtId="3" fontId="22" fillId="11" borderId="72" xfId="0" applyNumberFormat="1" applyFont="1" applyFill="1" applyBorder="1" applyAlignment="1">
      <alignment horizontal="center"/>
    </xf>
    <xf numFmtId="3" fontId="22" fillId="11" borderId="67" xfId="0" applyNumberFormat="1" applyFont="1" applyFill="1" applyBorder="1" applyAlignment="1">
      <alignment horizontal="center"/>
    </xf>
    <xf numFmtId="0" fontId="44" fillId="32" borderId="0" xfId="0" applyFont="1" applyFill="1" applyAlignment="1">
      <alignment horizontal="left" indent="8"/>
    </xf>
    <xf numFmtId="0" fontId="10" fillId="32" borderId="0" xfId="0" applyFont="1" applyFill="1" applyAlignment="1">
      <alignment horizontal="left" indent="6"/>
    </xf>
    <xf numFmtId="0" fontId="44" fillId="32" borderId="0" xfId="0" applyFont="1" applyFill="1" applyAlignment="1">
      <alignment horizontal="left" indent="6"/>
    </xf>
    <xf numFmtId="0" fontId="44" fillId="32" borderId="0" xfId="0" applyFont="1" applyFill="1" applyAlignment="1">
      <alignment horizontal="center" vertical="top"/>
    </xf>
    <xf numFmtId="3" fontId="0" fillId="46" borderId="66" xfId="0" applyNumberFormat="1" applyFill="1" applyBorder="1" applyAlignment="1">
      <alignment horizontal="center" vertical="center" wrapText="1"/>
    </xf>
    <xf numFmtId="3" fontId="0" fillId="46" borderId="67" xfId="0" applyNumberFormat="1" applyFill="1" applyBorder="1" applyAlignment="1">
      <alignment horizontal="center" vertical="center" wrapText="1"/>
    </xf>
    <xf numFmtId="3" fontId="0" fillId="46" borderId="68" xfId="0" applyNumberFormat="1" applyFill="1" applyBorder="1" applyAlignment="1">
      <alignment horizontal="center" vertical="center" wrapText="1"/>
    </xf>
    <xf numFmtId="3" fontId="0" fillId="46" borderId="69" xfId="0" applyNumberFormat="1" applyFill="1" applyBorder="1" applyAlignment="1">
      <alignment horizontal="center" vertical="center" wrapText="1"/>
    </xf>
    <xf numFmtId="3" fontId="0" fillId="46" borderId="70" xfId="0" applyNumberFormat="1" applyFill="1" applyBorder="1" applyAlignment="1">
      <alignment horizontal="center" vertical="center" wrapText="1"/>
    </xf>
    <xf numFmtId="3" fontId="0" fillId="46" borderId="74" xfId="0" applyNumberFormat="1" applyFill="1" applyBorder="1" applyAlignment="1">
      <alignment horizontal="center" vertical="center" wrapText="1"/>
    </xf>
    <xf numFmtId="3" fontId="0" fillId="46" borderId="71" xfId="0" applyNumberFormat="1" applyFill="1" applyBorder="1" applyAlignment="1">
      <alignment horizontal="center" vertical="center" wrapText="1"/>
    </xf>
    <xf numFmtId="1" fontId="10" fillId="25" borderId="73" xfId="0" applyNumberFormat="1" applyFont="1" applyFill="1" applyBorder="1" applyAlignment="1">
      <alignment horizontal="center"/>
    </xf>
    <xf numFmtId="1" fontId="10" fillId="25" borderId="69" xfId="0" applyNumberFormat="1" applyFont="1" applyFill="1" applyBorder="1" applyAlignment="1">
      <alignment horizontal="center"/>
    </xf>
    <xf numFmtId="1" fontId="10" fillId="46" borderId="68" xfId="0" applyNumberFormat="1" applyFont="1" applyFill="1" applyBorder="1" applyAlignment="1">
      <alignment horizontal="center" vertical="center" wrapText="1"/>
    </xf>
    <xf numFmtId="1" fontId="10" fillId="46" borderId="69" xfId="0" applyNumberFormat="1" applyFont="1" applyFill="1" applyBorder="1" applyAlignment="1">
      <alignment horizontal="center" vertical="center" wrapText="1"/>
    </xf>
    <xf numFmtId="1" fontId="10" fillId="46" borderId="70" xfId="0" applyNumberFormat="1" applyFont="1" applyFill="1" applyBorder="1" applyAlignment="1">
      <alignment horizontal="center" vertical="center" wrapText="1"/>
    </xf>
    <xf numFmtId="1" fontId="10" fillId="46" borderId="74" xfId="0" applyNumberFormat="1" applyFont="1" applyFill="1" applyBorder="1" applyAlignment="1">
      <alignment horizontal="center" vertical="center" wrapText="1"/>
    </xf>
    <xf numFmtId="1" fontId="10" fillId="46" borderId="71" xfId="0" applyNumberFormat="1" applyFont="1" applyFill="1" applyBorder="1" applyAlignment="1">
      <alignment horizontal="center" vertical="center" wrapText="1"/>
    </xf>
    <xf numFmtId="0" fontId="4" fillId="11" borderId="8" xfId="0" applyFont="1" applyFill="1" applyBorder="1" applyAlignment="1">
      <alignment horizontal="center"/>
    </xf>
    <xf numFmtId="0" fontId="0" fillId="21" borderId="8" xfId="0" applyFill="1" applyBorder="1" applyAlignment="1">
      <alignment horizontal="center"/>
    </xf>
    <xf numFmtId="37" fontId="0" fillId="2" borderId="7" xfId="0" applyNumberFormat="1" applyFill="1" applyBorder="1" applyAlignment="1">
      <alignment horizontal="center"/>
    </xf>
    <xf numFmtId="37" fontId="0" fillId="2" borderId="2" xfId="0" applyNumberFormat="1" applyFill="1" applyBorder="1" applyAlignment="1">
      <alignment horizontal="center"/>
    </xf>
    <xf numFmtId="37" fontId="0" fillId="2" borderId="8" xfId="0" applyNumberFormat="1" applyFill="1" applyBorder="1" applyAlignment="1">
      <alignment horizontal="center"/>
    </xf>
    <xf numFmtId="37" fontId="0" fillId="2" borderId="4" xfId="0" applyNumberFormat="1" applyFill="1" applyBorder="1" applyAlignment="1">
      <alignment horizontal="center"/>
    </xf>
    <xf numFmtId="37" fontId="0" fillId="2" borderId="9" xfId="0" applyNumberFormat="1" applyFill="1" applyBorder="1" applyAlignment="1">
      <alignment horizontal="center"/>
    </xf>
    <xf numFmtId="37" fontId="0" fillId="2" borderId="6" xfId="0" applyNumberFormat="1" applyFill="1" applyBorder="1" applyAlignment="1">
      <alignment horizontal="center"/>
    </xf>
    <xf numFmtId="0" fontId="3" fillId="0" borderId="10" xfId="0" applyFont="1" applyBorder="1" applyAlignment="1">
      <alignment horizontal="center"/>
    </xf>
    <xf numFmtId="37" fontId="3" fillId="0" borderId="10" xfId="0" applyNumberFormat="1" applyFont="1" applyBorder="1" applyAlignment="1">
      <alignment horizontal="center"/>
    </xf>
    <xf numFmtId="0" fontId="3" fillId="0" borderId="13" xfId="0" applyFont="1" applyBorder="1" applyAlignment="1">
      <alignment horizontal="center"/>
    </xf>
    <xf numFmtId="1" fontId="10" fillId="46" borderId="66" xfId="0" applyNumberFormat="1" applyFont="1" applyFill="1" applyBorder="1" applyAlignment="1">
      <alignment horizontal="center" vertical="center" wrapText="1"/>
    </xf>
    <xf numFmtId="1" fontId="10" fillId="46" borderId="72" xfId="0" applyNumberFormat="1" applyFont="1" applyFill="1" applyBorder="1" applyAlignment="1">
      <alignment horizontal="center" vertical="center" wrapText="1"/>
    </xf>
    <xf numFmtId="1" fontId="10" fillId="46" borderId="67" xfId="0" applyNumberFormat="1" applyFont="1" applyFill="1" applyBorder="1" applyAlignment="1">
      <alignment horizontal="center" vertical="center" wrapText="1"/>
    </xf>
    <xf numFmtId="1" fontId="88" fillId="11" borderId="0" xfId="0" applyNumberFormat="1" applyFont="1" applyFill="1" applyAlignment="1">
      <alignment horizontal="center"/>
    </xf>
    <xf numFmtId="1" fontId="242" fillId="11" borderId="0" xfId="0" applyNumberFormat="1" applyFont="1" applyFill="1" applyAlignment="1">
      <alignment horizontal="left"/>
    </xf>
    <xf numFmtId="3" fontId="69" fillId="0" borderId="0" xfId="0" applyNumberFormat="1" applyFont="1"/>
    <xf numFmtId="0" fontId="5" fillId="14" borderId="0" xfId="0" applyFont="1" applyFill="1"/>
    <xf numFmtId="0" fontId="22" fillId="0" borderId="0" xfId="0" applyFont="1" applyAlignment="1">
      <alignment horizontal="center"/>
    </xf>
    <xf numFmtId="0" fontId="37" fillId="2" borderId="21" xfId="0" applyFont="1" applyFill="1" applyBorder="1"/>
    <xf numFmtId="0" fontId="97" fillId="11" borderId="0" xfId="0" applyFont="1" applyFill="1"/>
    <xf numFmtId="0" fontId="4" fillId="25" borderId="0" xfId="0" applyFont="1" applyFill="1"/>
    <xf numFmtId="0" fontId="5" fillId="16" borderId="0" xfId="0" applyFont="1" applyFill="1"/>
    <xf numFmtId="0" fontId="3" fillId="22" borderId="0" xfId="0" applyFont="1" applyFill="1" applyAlignment="1">
      <alignment horizontal="center"/>
    </xf>
    <xf numFmtId="0" fontId="3" fillId="2" borderId="0" xfId="0" applyFont="1" applyFill="1" applyAlignment="1">
      <alignment horizontal="left"/>
    </xf>
    <xf numFmtId="0" fontId="89" fillId="19" borderId="11" xfId="0" applyFont="1" applyFill="1" applyBorder="1"/>
    <xf numFmtId="0" fontId="117" fillId="19" borderId="11" xfId="0" applyFont="1" applyFill="1" applyBorder="1"/>
    <xf numFmtId="0" fontId="89" fillId="19" borderId="2" xfId="0" applyFont="1" applyFill="1" applyBorder="1"/>
    <xf numFmtId="0" fontId="69" fillId="22" borderId="21" xfId="0" applyFont="1" applyFill="1" applyBorder="1"/>
    <xf numFmtId="3" fontId="69" fillId="22" borderId="21" xfId="0" applyNumberFormat="1" applyFont="1" applyFill="1" applyBorder="1" applyAlignment="1">
      <alignment horizontal="center"/>
    </xf>
    <xf numFmtId="0" fontId="69" fillId="22" borderId="11" xfId="0" applyFont="1" applyFill="1" applyBorder="1"/>
    <xf numFmtId="3" fontId="69" fillId="2" borderId="0" xfId="0" applyNumberFormat="1" applyFont="1" applyFill="1" applyAlignment="1">
      <alignment horizontal="center"/>
    </xf>
    <xf numFmtId="3" fontId="69" fillId="2" borderId="66" xfId="0" applyNumberFormat="1" applyFont="1" applyFill="1" applyBorder="1" applyAlignment="1">
      <alignment horizontal="center"/>
    </xf>
    <xf numFmtId="3" fontId="69" fillId="2" borderId="67" xfId="0" applyNumberFormat="1" applyFont="1" applyFill="1" applyBorder="1" applyAlignment="1">
      <alignment horizontal="center"/>
    </xf>
    <xf numFmtId="3" fontId="69" fillId="2" borderId="68" xfId="0" applyNumberFormat="1" applyFont="1" applyFill="1" applyBorder="1" applyAlignment="1">
      <alignment horizontal="center"/>
    </xf>
    <xf numFmtId="3" fontId="69" fillId="2" borderId="70" xfId="0" applyNumberFormat="1" applyFont="1" applyFill="1" applyBorder="1" applyAlignment="1">
      <alignment horizontal="center"/>
    </xf>
    <xf numFmtId="3" fontId="69" fillId="2" borderId="75" xfId="0" applyNumberFormat="1" applyFont="1" applyFill="1" applyBorder="1" applyAlignment="1">
      <alignment horizontal="center"/>
    </xf>
    <xf numFmtId="3" fontId="69" fillId="6" borderId="67" xfId="0" applyNumberFormat="1" applyFont="1" applyFill="1" applyBorder="1" applyAlignment="1">
      <alignment horizontal="center"/>
    </xf>
    <xf numFmtId="3" fontId="69" fillId="6" borderId="71" xfId="0" applyNumberFormat="1" applyFont="1" applyFill="1" applyBorder="1" applyAlignment="1">
      <alignment horizontal="center"/>
    </xf>
    <xf numFmtId="0" fontId="74" fillId="22" borderId="11" xfId="0" applyFont="1" applyFill="1" applyBorder="1"/>
    <xf numFmtId="3" fontId="69" fillId="22" borderId="66" xfId="0" applyNumberFormat="1" applyFont="1" applyFill="1" applyBorder="1" applyAlignment="1">
      <alignment horizontal="center"/>
    </xf>
    <xf numFmtId="0" fontId="69" fillId="22" borderId="21" xfId="0" applyFont="1" applyFill="1" applyBorder="1" applyAlignment="1">
      <alignment horizontal="center"/>
    </xf>
    <xf numFmtId="3" fontId="69" fillId="6" borderId="72" xfId="0" applyNumberFormat="1" applyFont="1" applyFill="1" applyBorder="1" applyAlignment="1">
      <alignment horizontal="center"/>
    </xf>
    <xf numFmtId="3" fontId="69" fillId="2" borderId="69" xfId="0" applyNumberFormat="1" applyFont="1" applyFill="1" applyBorder="1" applyAlignment="1">
      <alignment horizontal="center"/>
    </xf>
    <xf numFmtId="3" fontId="69" fillId="2" borderId="71" xfId="0" applyNumberFormat="1" applyFont="1" applyFill="1" applyBorder="1" applyAlignment="1">
      <alignment horizontal="center"/>
    </xf>
    <xf numFmtId="3" fontId="69" fillId="22" borderId="75" xfId="0" applyNumberFormat="1" applyFont="1" applyFill="1" applyBorder="1" applyAlignment="1">
      <alignment horizontal="center"/>
    </xf>
    <xf numFmtId="3" fontId="69" fillId="22" borderId="76" xfId="0" applyNumberFormat="1" applyFont="1" applyFill="1" applyBorder="1" applyAlignment="1">
      <alignment horizontal="center"/>
    </xf>
    <xf numFmtId="3" fontId="69" fillId="22" borderId="68" xfId="0" applyNumberFormat="1" applyFont="1" applyFill="1" applyBorder="1" applyAlignment="1">
      <alignment horizontal="center"/>
    </xf>
    <xf numFmtId="3" fontId="69" fillId="22" borderId="69" xfId="0" applyNumberFormat="1" applyFont="1" applyFill="1" applyBorder="1" applyAlignment="1">
      <alignment horizontal="center"/>
    </xf>
    <xf numFmtId="3" fontId="69" fillId="22" borderId="71" xfId="0" applyNumberFormat="1" applyFont="1" applyFill="1" applyBorder="1" applyAlignment="1">
      <alignment horizontal="center"/>
    </xf>
    <xf numFmtId="0" fontId="56" fillId="22" borderId="11" xfId="0" applyFont="1" applyFill="1" applyBorder="1" applyAlignment="1">
      <alignment horizontal="center"/>
    </xf>
    <xf numFmtId="0" fontId="161" fillId="22" borderId="0" xfId="0" applyFont="1" applyFill="1" applyAlignment="1">
      <alignment horizontal="center" vertical="center"/>
    </xf>
    <xf numFmtId="3" fontId="150" fillId="22" borderId="0" xfId="0" applyNumberFormat="1" applyFont="1" applyFill="1" applyAlignment="1">
      <alignment horizontal="center" vertical="center"/>
    </xf>
    <xf numFmtId="0" fontId="174" fillId="22" borderId="0" xfId="0" applyFont="1" applyFill="1"/>
    <xf numFmtId="3" fontId="69" fillId="22" borderId="11" xfId="0" applyNumberFormat="1" applyFont="1" applyFill="1" applyBorder="1" applyAlignment="1">
      <alignment horizontal="center"/>
    </xf>
    <xf numFmtId="3" fontId="69" fillId="6" borderId="66" xfId="0" applyNumberFormat="1" applyFont="1" applyFill="1" applyBorder="1" applyAlignment="1">
      <alignment horizontal="center"/>
    </xf>
    <xf numFmtId="3" fontId="69" fillId="6" borderId="70" xfId="0" applyNumberFormat="1" applyFont="1" applyFill="1" applyBorder="1" applyAlignment="1">
      <alignment horizontal="center"/>
    </xf>
    <xf numFmtId="3" fontId="0" fillId="22" borderId="0" xfId="0" applyNumberFormat="1" applyFill="1" applyAlignment="1">
      <alignment horizontal="center"/>
    </xf>
    <xf numFmtId="3" fontId="69" fillId="22" borderId="77" xfId="0" applyNumberFormat="1" applyFont="1" applyFill="1" applyBorder="1" applyAlignment="1">
      <alignment horizontal="center"/>
    </xf>
    <xf numFmtId="171" fontId="0" fillId="2" borderId="73" xfId="0" applyNumberFormat="1" applyFill="1" applyBorder="1" applyAlignment="1">
      <alignment horizontal="center"/>
    </xf>
    <xf numFmtId="171" fontId="0" fillId="2" borderId="74" xfId="0" applyNumberFormat="1" applyFill="1" applyBorder="1" applyAlignment="1">
      <alignment horizontal="center"/>
    </xf>
    <xf numFmtId="0" fontId="56" fillId="32" borderId="0" xfId="0" applyFont="1" applyFill="1" applyAlignment="1">
      <alignment horizontal="left"/>
    </xf>
    <xf numFmtId="0" fontId="56" fillId="32" borderId="0" xfId="0" applyFont="1" applyFill="1" applyAlignment="1">
      <alignment horizontal="center"/>
    </xf>
    <xf numFmtId="1" fontId="55" fillId="12" borderId="0" xfId="0" applyNumberFormat="1" applyFont="1" applyFill="1" applyAlignment="1">
      <alignment horizontal="left"/>
    </xf>
    <xf numFmtId="3" fontId="70" fillId="2" borderId="68" xfId="0" applyNumberFormat="1" applyFont="1" applyFill="1" applyBorder="1" applyAlignment="1">
      <alignment horizontal="center" vertical="center" wrapText="1"/>
    </xf>
    <xf numFmtId="3" fontId="70" fillId="2" borderId="73" xfId="0" applyNumberFormat="1" applyFont="1" applyFill="1" applyBorder="1" applyAlignment="1">
      <alignment horizontal="center" vertical="center" wrapText="1"/>
    </xf>
    <xf numFmtId="3" fontId="70" fillId="2" borderId="69" xfId="0" applyNumberFormat="1" applyFont="1" applyFill="1" applyBorder="1" applyAlignment="1">
      <alignment horizontal="center" vertical="center" wrapText="1"/>
    </xf>
    <xf numFmtId="0" fontId="69" fillId="25" borderId="0" xfId="0" applyFont="1" applyFill="1"/>
    <xf numFmtId="3" fontId="74" fillId="22" borderId="0" xfId="0" applyNumberFormat="1" applyFont="1" applyFill="1" applyAlignment="1">
      <alignment horizontal="center"/>
    </xf>
    <xf numFmtId="0" fontId="69" fillId="22" borderId="129" xfId="0" applyFont="1" applyFill="1" applyBorder="1"/>
    <xf numFmtId="0" fontId="69" fillId="22" borderId="113" xfId="0" applyFont="1" applyFill="1" applyBorder="1"/>
    <xf numFmtId="0" fontId="69" fillId="22" borderId="130" xfId="0" applyFont="1" applyFill="1" applyBorder="1"/>
    <xf numFmtId="3" fontId="69" fillId="2" borderId="118" xfId="0" applyNumberFormat="1" applyFont="1" applyFill="1" applyBorder="1" applyAlignment="1">
      <alignment horizontal="center"/>
    </xf>
    <xf numFmtId="3" fontId="69" fillId="2" borderId="119" xfId="0" applyNumberFormat="1" applyFont="1" applyFill="1" applyBorder="1" applyAlignment="1">
      <alignment horizontal="center"/>
    </xf>
    <xf numFmtId="3" fontId="69" fillId="6" borderId="74" xfId="0" applyNumberFormat="1" applyFont="1" applyFill="1" applyBorder="1" applyAlignment="1">
      <alignment horizontal="center"/>
    </xf>
    <xf numFmtId="3" fontId="69" fillId="2" borderId="79" xfId="0" applyNumberFormat="1" applyFont="1" applyFill="1" applyBorder="1" applyAlignment="1">
      <alignment horizontal="center"/>
    </xf>
    <xf numFmtId="3" fontId="69" fillId="2" borderId="77" xfId="0" applyNumberFormat="1" applyFont="1" applyFill="1" applyBorder="1" applyAlignment="1">
      <alignment horizontal="center"/>
    </xf>
    <xf numFmtId="0" fontId="243" fillId="21" borderId="21" xfId="0" applyFont="1" applyFill="1" applyBorder="1"/>
    <xf numFmtId="0" fontId="89" fillId="19" borderId="0" xfId="0" applyFont="1" applyFill="1" applyAlignment="1">
      <alignment vertical="center"/>
    </xf>
    <xf numFmtId="164" fontId="0" fillId="2" borderId="73" xfId="0" applyNumberFormat="1" applyFill="1" applyBorder="1" applyAlignment="1">
      <alignment horizontal="center"/>
    </xf>
    <xf numFmtId="3" fontId="3" fillId="6" borderId="0" xfId="0" applyNumberFormat="1" applyFont="1" applyFill="1" applyAlignment="1">
      <alignment horizontal="center"/>
    </xf>
    <xf numFmtId="164" fontId="0" fillId="2" borderId="66" xfId="0" applyNumberFormat="1" applyFill="1" applyBorder="1" applyAlignment="1">
      <alignment horizontal="center"/>
    </xf>
    <xf numFmtId="171" fontId="0" fillId="2" borderId="72" xfId="0" applyNumberFormat="1" applyFill="1" applyBorder="1" applyAlignment="1">
      <alignment horizontal="center"/>
    </xf>
    <xf numFmtId="3" fontId="0" fillId="2" borderId="72" xfId="0" applyNumberFormat="1" applyFill="1" applyBorder="1" applyAlignment="1">
      <alignment horizontal="center"/>
    </xf>
    <xf numFmtId="164" fontId="0" fillId="2" borderId="72" xfId="0" applyNumberFormat="1" applyFill="1" applyBorder="1" applyAlignment="1">
      <alignment horizontal="center"/>
    </xf>
    <xf numFmtId="164" fontId="0" fillId="2" borderId="74" xfId="0" applyNumberFormat="1" applyFill="1" applyBorder="1" applyAlignment="1">
      <alignment horizontal="center"/>
    </xf>
    <xf numFmtId="0" fontId="3" fillId="2" borderId="0" xfId="0" applyFont="1" applyFill="1" applyAlignment="1">
      <alignment horizontal="left" indent="3"/>
    </xf>
    <xf numFmtId="0" fontId="3" fillId="17" borderId="0" xfId="0" applyFont="1" applyFill="1" applyAlignment="1">
      <alignment horizontal="center"/>
    </xf>
    <xf numFmtId="0" fontId="3" fillId="2" borderId="0" xfId="0" applyFont="1" applyFill="1" applyAlignment="1">
      <alignment horizontal="center"/>
    </xf>
    <xf numFmtId="3" fontId="0" fillId="2" borderId="66" xfId="0" applyNumberFormat="1" applyFill="1" applyBorder="1" applyAlignment="1">
      <alignment horizontal="center"/>
    </xf>
    <xf numFmtId="3" fontId="0" fillId="6" borderId="67" xfId="0" applyNumberFormat="1" applyFill="1" applyBorder="1" applyAlignment="1">
      <alignment horizontal="center"/>
    </xf>
    <xf numFmtId="3" fontId="0" fillId="6" borderId="69" xfId="0" applyNumberFormat="1" applyFill="1" applyBorder="1" applyAlignment="1">
      <alignment horizontal="center"/>
    </xf>
    <xf numFmtId="0" fontId="37" fillId="22" borderId="0" xfId="0" applyFont="1" applyFill="1"/>
    <xf numFmtId="3" fontId="37" fillId="2" borderId="69" xfId="0" applyNumberFormat="1" applyFont="1" applyFill="1" applyBorder="1" applyAlignment="1">
      <alignment horizontal="center"/>
    </xf>
    <xf numFmtId="3" fontId="37" fillId="2" borderId="68" xfId="0" applyNumberFormat="1" applyFont="1" applyFill="1" applyBorder="1" applyAlignment="1">
      <alignment horizontal="center"/>
    </xf>
    <xf numFmtId="0" fontId="69" fillId="22" borderId="70" xfId="0" applyFont="1" applyFill="1" applyBorder="1" applyAlignment="1">
      <alignment horizontal="center"/>
    </xf>
    <xf numFmtId="0" fontId="69" fillId="22" borderId="71" xfId="0" applyFont="1" applyFill="1" applyBorder="1" applyAlignment="1">
      <alignment horizontal="center"/>
    </xf>
    <xf numFmtId="3" fontId="69" fillId="22" borderId="67" xfId="0" applyNumberFormat="1" applyFont="1" applyFill="1" applyBorder="1" applyAlignment="1">
      <alignment horizontal="center"/>
    </xf>
    <xf numFmtId="3" fontId="69" fillId="22" borderId="70" xfId="0" applyNumberFormat="1" applyFont="1" applyFill="1" applyBorder="1" applyAlignment="1">
      <alignment horizontal="center"/>
    </xf>
    <xf numFmtId="3" fontId="69" fillId="22" borderId="74" xfId="0" applyNumberFormat="1" applyFont="1" applyFill="1" applyBorder="1" applyAlignment="1">
      <alignment horizontal="center"/>
    </xf>
    <xf numFmtId="0" fontId="150" fillId="2" borderId="0" xfId="0" applyFont="1" applyFill="1"/>
    <xf numFmtId="0" fontId="248" fillId="22" borderId="0" xfId="0" applyFont="1" applyFill="1"/>
    <xf numFmtId="0" fontId="88" fillId="12" borderId="11" xfId="0" applyFont="1" applyFill="1" applyBorder="1"/>
    <xf numFmtId="1" fontId="55" fillId="12" borderId="14" xfId="0" applyNumberFormat="1" applyFont="1" applyFill="1" applyBorder="1" applyAlignment="1">
      <alignment horizontal="left"/>
    </xf>
    <xf numFmtId="1" fontId="55" fillId="12" borderId="14" xfId="0" applyNumberFormat="1" applyFont="1" applyFill="1" applyBorder="1" applyAlignment="1">
      <alignment horizontal="center"/>
    </xf>
    <xf numFmtId="0" fontId="242" fillId="11" borderId="0" xfId="0" applyFont="1" applyFill="1"/>
    <xf numFmtId="0" fontId="72" fillId="21" borderId="0" xfId="0" applyFont="1" applyFill="1"/>
    <xf numFmtId="0" fontId="72" fillId="25" borderId="0" xfId="0" applyFont="1" applyFill="1"/>
    <xf numFmtId="3" fontId="70" fillId="2" borderId="66" xfId="0" applyNumberFormat="1" applyFont="1" applyFill="1" applyBorder="1" applyAlignment="1">
      <alignment horizontal="center" vertical="center" wrapText="1"/>
    </xf>
    <xf numFmtId="3" fontId="70" fillId="2" borderId="72" xfId="0" applyNumberFormat="1" applyFont="1" applyFill="1" applyBorder="1" applyAlignment="1">
      <alignment horizontal="center" vertical="center" wrapText="1"/>
    </xf>
    <xf numFmtId="3" fontId="70" fillId="2" borderId="67" xfId="0" applyNumberFormat="1" applyFont="1" applyFill="1" applyBorder="1" applyAlignment="1">
      <alignment horizontal="center" vertical="center" wrapText="1"/>
    </xf>
    <xf numFmtId="3" fontId="70" fillId="2" borderId="70" xfId="0" applyNumberFormat="1" applyFont="1" applyFill="1" applyBorder="1" applyAlignment="1">
      <alignment horizontal="center" vertical="center" wrapText="1"/>
    </xf>
    <xf numFmtId="3" fontId="70" fillId="2" borderId="74" xfId="0" applyNumberFormat="1" applyFont="1" applyFill="1" applyBorder="1" applyAlignment="1">
      <alignment horizontal="center" vertical="center" wrapText="1"/>
    </xf>
    <xf numFmtId="3" fontId="70" fillId="2" borderId="71" xfId="0" applyNumberFormat="1" applyFont="1" applyFill="1" applyBorder="1" applyAlignment="1">
      <alignment horizontal="center" vertical="center" wrapText="1"/>
    </xf>
    <xf numFmtId="3" fontId="70" fillId="2" borderId="134" xfId="0" applyNumberFormat="1" applyFont="1" applyFill="1" applyBorder="1" applyAlignment="1">
      <alignment horizontal="center" vertical="center" wrapText="1"/>
    </xf>
    <xf numFmtId="3" fontId="70" fillId="2" borderId="135" xfId="0" applyNumberFormat="1" applyFont="1" applyFill="1" applyBorder="1" applyAlignment="1">
      <alignment horizontal="center" vertical="center" wrapText="1"/>
    </xf>
    <xf numFmtId="3" fontId="70" fillId="2" borderId="136" xfId="0" applyNumberFormat="1" applyFont="1" applyFill="1" applyBorder="1" applyAlignment="1">
      <alignment horizontal="center" vertical="center" wrapText="1"/>
    </xf>
    <xf numFmtId="3" fontId="69" fillId="22" borderId="73" xfId="0" applyNumberFormat="1" applyFont="1" applyFill="1" applyBorder="1" applyAlignment="1">
      <alignment horizontal="center"/>
    </xf>
    <xf numFmtId="0" fontId="155" fillId="36" borderId="76" xfId="0" applyFont="1" applyFill="1" applyBorder="1" applyAlignment="1">
      <alignment horizontal="center" vertical="center"/>
    </xf>
    <xf numFmtId="0" fontId="164" fillId="2" borderId="0" xfId="0" applyFont="1" applyFill="1"/>
    <xf numFmtId="0" fontId="176" fillId="2" borderId="0" xfId="0" applyFont="1" applyFill="1"/>
    <xf numFmtId="0" fontId="155" fillId="36" borderId="77" xfId="0" applyFont="1" applyFill="1" applyBorder="1" applyAlignment="1">
      <alignment vertical="center"/>
    </xf>
    <xf numFmtId="0" fontId="69" fillId="3" borderId="0" xfId="0" applyFont="1" applyFill="1" applyAlignment="1">
      <alignment horizontal="center"/>
    </xf>
    <xf numFmtId="0" fontId="77" fillId="36" borderId="73" xfId="0" applyFont="1" applyFill="1" applyBorder="1" applyAlignment="1">
      <alignment horizontal="center" vertical="center"/>
    </xf>
    <xf numFmtId="0" fontId="69" fillId="46" borderId="0" xfId="0" applyFont="1" applyFill="1" applyAlignment="1">
      <alignment horizontal="center"/>
    </xf>
    <xf numFmtId="0" fontId="74" fillId="3" borderId="0" xfId="0" applyFont="1" applyFill="1" applyAlignment="1">
      <alignment horizontal="center"/>
    </xf>
    <xf numFmtId="3" fontId="69" fillId="3" borderId="66" xfId="0" applyNumberFormat="1" applyFont="1" applyFill="1" applyBorder="1" applyAlignment="1">
      <alignment horizontal="center"/>
    </xf>
    <xf numFmtId="3" fontId="69" fillId="3" borderId="67" xfId="0" applyNumberFormat="1" applyFont="1" applyFill="1" applyBorder="1" applyAlignment="1">
      <alignment horizontal="center"/>
    </xf>
    <xf numFmtId="3" fontId="69" fillId="3" borderId="68" xfId="0" applyNumberFormat="1" applyFont="1" applyFill="1" applyBorder="1" applyAlignment="1">
      <alignment horizontal="center"/>
    </xf>
    <xf numFmtId="3" fontId="69" fillId="3" borderId="69" xfId="0" applyNumberFormat="1" applyFont="1" applyFill="1" applyBorder="1" applyAlignment="1">
      <alignment horizontal="center"/>
    </xf>
    <xf numFmtId="3" fontId="69" fillId="3" borderId="70" xfId="0" applyNumberFormat="1" applyFont="1" applyFill="1" applyBorder="1" applyAlignment="1">
      <alignment horizontal="center"/>
    </xf>
    <xf numFmtId="3" fontId="69" fillId="3" borderId="71" xfId="0" applyNumberFormat="1" applyFont="1" applyFill="1" applyBorder="1" applyAlignment="1">
      <alignment horizontal="center"/>
    </xf>
    <xf numFmtId="3" fontId="69" fillId="3" borderId="0" xfId="0" applyNumberFormat="1" applyFont="1" applyFill="1" applyAlignment="1">
      <alignment horizontal="center"/>
    </xf>
    <xf numFmtId="0" fontId="69" fillId="42" borderId="0" xfId="0" applyFont="1" applyFill="1" applyAlignment="1">
      <alignment horizontal="center"/>
    </xf>
    <xf numFmtId="3" fontId="69" fillId="42" borderId="66" xfId="0" applyNumberFormat="1" applyFont="1" applyFill="1" applyBorder="1" applyAlignment="1">
      <alignment horizontal="center"/>
    </xf>
    <xf numFmtId="3" fontId="69" fillId="42" borderId="72" xfId="0" applyNumberFormat="1" applyFont="1" applyFill="1" applyBorder="1" applyAlignment="1">
      <alignment horizontal="center"/>
    </xf>
    <xf numFmtId="3" fontId="69" fillId="42" borderId="67" xfId="0" applyNumberFormat="1" applyFont="1" applyFill="1" applyBorder="1" applyAlignment="1">
      <alignment horizontal="center"/>
    </xf>
    <xf numFmtId="3" fontId="69" fillId="42" borderId="68" xfId="0" applyNumberFormat="1" applyFont="1" applyFill="1" applyBorder="1" applyAlignment="1">
      <alignment horizontal="center"/>
    </xf>
    <xf numFmtId="3" fontId="69" fillId="42" borderId="73" xfId="0" applyNumberFormat="1" applyFont="1" applyFill="1" applyBorder="1" applyAlignment="1">
      <alignment horizontal="center"/>
    </xf>
    <xf numFmtId="3" fontId="69" fillId="42" borderId="69" xfId="0" applyNumberFormat="1" applyFont="1" applyFill="1" applyBorder="1" applyAlignment="1">
      <alignment horizontal="center"/>
    </xf>
    <xf numFmtId="3" fontId="69" fillId="42" borderId="70" xfId="0" applyNumberFormat="1" applyFont="1" applyFill="1" applyBorder="1" applyAlignment="1">
      <alignment horizontal="center"/>
    </xf>
    <xf numFmtId="3" fontId="69" fillId="42" borderId="74" xfId="0" applyNumberFormat="1" applyFont="1" applyFill="1" applyBorder="1" applyAlignment="1">
      <alignment horizontal="center"/>
    </xf>
    <xf numFmtId="3" fontId="69" fillId="42" borderId="71" xfId="0" applyNumberFormat="1" applyFont="1" applyFill="1" applyBorder="1" applyAlignment="1">
      <alignment horizontal="center"/>
    </xf>
    <xf numFmtId="3" fontId="69" fillId="42" borderId="75" xfId="0" applyNumberFormat="1" applyFont="1" applyFill="1" applyBorder="1" applyAlignment="1">
      <alignment horizontal="center"/>
    </xf>
    <xf numFmtId="3" fontId="69" fillId="42" borderId="76" xfId="0" applyNumberFormat="1" applyFont="1" applyFill="1" applyBorder="1" applyAlignment="1">
      <alignment horizontal="center"/>
    </xf>
    <xf numFmtId="3" fontId="69" fillId="42" borderId="77" xfId="0" applyNumberFormat="1" applyFont="1" applyFill="1" applyBorder="1" applyAlignment="1">
      <alignment horizontal="center"/>
    </xf>
    <xf numFmtId="0" fontId="69" fillId="22" borderId="76" xfId="0" applyFont="1" applyFill="1" applyBorder="1" applyAlignment="1">
      <alignment horizontal="center"/>
    </xf>
    <xf numFmtId="0" fontId="69" fillId="3" borderId="73" xfId="0" applyFont="1" applyFill="1" applyBorder="1" applyAlignment="1">
      <alignment horizontal="center"/>
    </xf>
    <xf numFmtId="0" fontId="69" fillId="42" borderId="73" xfId="0" applyFont="1" applyFill="1" applyBorder="1" applyAlignment="1">
      <alignment horizontal="center"/>
    </xf>
    <xf numFmtId="0" fontId="69" fillId="46" borderId="73" xfId="0" applyFont="1" applyFill="1" applyBorder="1" applyAlignment="1">
      <alignment horizontal="center"/>
    </xf>
    <xf numFmtId="3" fontId="69" fillId="46" borderId="72" xfId="0" applyNumberFormat="1" applyFont="1" applyFill="1" applyBorder="1" applyAlignment="1">
      <alignment horizontal="center"/>
    </xf>
    <xf numFmtId="3" fontId="69" fillId="46" borderId="73" xfId="0" applyNumberFormat="1" applyFont="1" applyFill="1" applyBorder="1" applyAlignment="1">
      <alignment horizontal="center"/>
    </xf>
    <xf numFmtId="3" fontId="69" fillId="46" borderId="74" xfId="0" applyNumberFormat="1" applyFont="1" applyFill="1" applyBorder="1" applyAlignment="1">
      <alignment horizontal="center"/>
    </xf>
    <xf numFmtId="3" fontId="69" fillId="46" borderId="68" xfId="0" applyNumberFormat="1" applyFont="1" applyFill="1" applyBorder="1" applyAlignment="1">
      <alignment horizontal="center"/>
    </xf>
    <xf numFmtId="3" fontId="69" fillId="46" borderId="75" xfId="0" applyNumberFormat="1" applyFont="1" applyFill="1" applyBorder="1" applyAlignment="1">
      <alignment horizontal="center"/>
    </xf>
    <xf numFmtId="3" fontId="69" fillId="46" borderId="76" xfId="0" applyNumberFormat="1" applyFont="1" applyFill="1" applyBorder="1" applyAlignment="1">
      <alignment horizontal="center"/>
    </xf>
    <xf numFmtId="3" fontId="69" fillId="46" borderId="77" xfId="0" applyNumberFormat="1" applyFont="1" applyFill="1" applyBorder="1" applyAlignment="1">
      <alignment horizontal="center"/>
    </xf>
    <xf numFmtId="3" fontId="69" fillId="46" borderId="70" xfId="0" applyNumberFormat="1" applyFont="1" applyFill="1" applyBorder="1" applyAlignment="1">
      <alignment horizontal="center"/>
    </xf>
    <xf numFmtId="3" fontId="69" fillId="46" borderId="71" xfId="0" applyNumberFormat="1" applyFont="1" applyFill="1" applyBorder="1" applyAlignment="1">
      <alignment horizontal="center"/>
    </xf>
    <xf numFmtId="3" fontId="69" fillId="46" borderId="66" xfId="0" applyNumberFormat="1" applyFont="1" applyFill="1" applyBorder="1" applyAlignment="1">
      <alignment horizontal="center"/>
    </xf>
    <xf numFmtId="3" fontId="69" fillId="46" borderId="67" xfId="0" applyNumberFormat="1" applyFont="1" applyFill="1" applyBorder="1" applyAlignment="1">
      <alignment horizontal="center"/>
    </xf>
    <xf numFmtId="3" fontId="69" fillId="46" borderId="69" xfId="0" applyNumberFormat="1" applyFont="1" applyFill="1" applyBorder="1" applyAlignment="1">
      <alignment horizontal="center"/>
    </xf>
    <xf numFmtId="0" fontId="69" fillId="46" borderId="0" xfId="0" applyFont="1" applyFill="1" applyAlignment="1">
      <alignment horizontal="center" wrapText="1"/>
    </xf>
    <xf numFmtId="3" fontId="69" fillId="14" borderId="72" xfId="0" applyNumberFormat="1" applyFont="1" applyFill="1" applyBorder="1" applyAlignment="1">
      <alignment horizontal="center"/>
    </xf>
    <xf numFmtId="3" fontId="69" fillId="14" borderId="73" xfId="0" applyNumberFormat="1" applyFont="1" applyFill="1" applyBorder="1" applyAlignment="1">
      <alignment horizontal="center"/>
    </xf>
    <xf numFmtId="3" fontId="69" fillId="14" borderId="74" xfId="0" applyNumberFormat="1" applyFont="1" applyFill="1" applyBorder="1" applyAlignment="1">
      <alignment horizontal="center"/>
    </xf>
    <xf numFmtId="3" fontId="69" fillId="14" borderId="75" xfId="0" applyNumberFormat="1" applyFont="1" applyFill="1" applyBorder="1" applyAlignment="1">
      <alignment horizontal="center"/>
    </xf>
    <xf numFmtId="0" fontId="74" fillId="46" borderId="77" xfId="0" applyFont="1" applyFill="1" applyBorder="1" applyAlignment="1">
      <alignment horizontal="center"/>
    </xf>
    <xf numFmtId="0" fontId="69" fillId="46" borderId="77" xfId="0" applyFont="1" applyFill="1" applyBorder="1" applyAlignment="1">
      <alignment horizontal="center"/>
    </xf>
    <xf numFmtId="0" fontId="74" fillId="14" borderId="77" xfId="0" applyFont="1" applyFill="1" applyBorder="1" applyAlignment="1">
      <alignment horizontal="center"/>
    </xf>
    <xf numFmtId="0" fontId="69" fillId="3" borderId="68" xfId="0" applyFont="1" applyFill="1" applyBorder="1" applyAlignment="1">
      <alignment horizontal="center"/>
    </xf>
    <xf numFmtId="0" fontId="69" fillId="22" borderId="69" xfId="0" applyFont="1" applyFill="1" applyBorder="1" applyAlignment="1">
      <alignment horizontal="center"/>
    </xf>
    <xf numFmtId="0" fontId="69" fillId="22" borderId="68" xfId="0" applyFont="1" applyFill="1" applyBorder="1" applyAlignment="1">
      <alignment horizontal="center"/>
    </xf>
    <xf numFmtId="0" fontId="69" fillId="22" borderId="73" xfId="0" applyFont="1" applyFill="1" applyBorder="1" applyAlignment="1">
      <alignment horizontal="center"/>
    </xf>
    <xf numFmtId="0" fontId="69" fillId="14" borderId="69" xfId="0" applyFont="1" applyFill="1" applyBorder="1" applyAlignment="1">
      <alignment horizontal="center"/>
    </xf>
    <xf numFmtId="0" fontId="69" fillId="22" borderId="73" xfId="0" quotePrefix="1" applyFont="1" applyFill="1" applyBorder="1" applyAlignment="1">
      <alignment horizontal="center"/>
    </xf>
    <xf numFmtId="0" fontId="69" fillId="22" borderId="68" xfId="0" quotePrefix="1" applyFont="1" applyFill="1" applyBorder="1"/>
    <xf numFmtId="0" fontId="69" fillId="22" borderId="73" xfId="0" applyFont="1" applyFill="1" applyBorder="1"/>
    <xf numFmtId="0" fontId="69" fillId="22" borderId="68" xfId="0" applyFont="1" applyFill="1" applyBorder="1"/>
    <xf numFmtId="3" fontId="69" fillId="3" borderId="73" xfId="0" applyNumberFormat="1" applyFont="1" applyFill="1" applyBorder="1" applyAlignment="1">
      <alignment horizontal="center"/>
    </xf>
    <xf numFmtId="3" fontId="69" fillId="14" borderId="69" xfId="0" applyNumberFormat="1" applyFont="1" applyFill="1" applyBorder="1" applyAlignment="1">
      <alignment horizontal="center"/>
    </xf>
    <xf numFmtId="3" fontId="69" fillId="14" borderId="71" xfId="0" applyNumberFormat="1" applyFont="1" applyFill="1" applyBorder="1" applyAlignment="1">
      <alignment horizontal="center"/>
    </xf>
    <xf numFmtId="0" fontId="155" fillId="36" borderId="77" xfId="0" applyFont="1" applyFill="1" applyBorder="1" applyAlignment="1">
      <alignment horizontal="center" vertical="center"/>
    </xf>
    <xf numFmtId="0" fontId="8" fillId="7" borderId="0" xfId="0" applyFont="1" applyFill="1"/>
    <xf numFmtId="0" fontId="22" fillId="2" borderId="0" xfId="0" applyFont="1" applyFill="1" applyAlignment="1">
      <alignment horizontal="center"/>
    </xf>
    <xf numFmtId="0" fontId="22" fillId="12" borderId="0" xfId="0" applyFont="1" applyFill="1" applyAlignment="1">
      <alignment horizontal="center"/>
    </xf>
    <xf numFmtId="0" fontId="10" fillId="21" borderId="0" xfId="0" applyFont="1" applyFill="1"/>
    <xf numFmtId="0" fontId="3" fillId="16" borderId="0" xfId="0" applyFont="1" applyFill="1" applyAlignment="1">
      <alignment horizontal="center"/>
    </xf>
    <xf numFmtId="0" fontId="0" fillId="12" borderId="0" xfId="0" applyFill="1" applyAlignment="1">
      <alignment horizontal="center"/>
    </xf>
    <xf numFmtId="3" fontId="10" fillId="12" borderId="94" xfId="0" applyNumberFormat="1" applyFont="1" applyFill="1" applyBorder="1" applyAlignment="1">
      <alignment horizontal="center"/>
    </xf>
    <xf numFmtId="0" fontId="4" fillId="8" borderId="0" xfId="0" applyFont="1" applyFill="1"/>
    <xf numFmtId="0" fontId="4" fillId="25" borderId="68" xfId="0" applyFont="1" applyFill="1" applyBorder="1" applyAlignment="1">
      <alignment horizontal="center"/>
    </xf>
    <xf numFmtId="0" fontId="4" fillId="25" borderId="73" xfId="0" applyFont="1" applyFill="1" applyBorder="1" applyAlignment="1">
      <alignment horizontal="center"/>
    </xf>
    <xf numFmtId="3" fontId="10" fillId="12" borderId="87" xfId="0" applyNumberFormat="1" applyFont="1" applyFill="1" applyBorder="1" applyAlignment="1">
      <alignment horizontal="center"/>
    </xf>
    <xf numFmtId="0" fontId="5" fillId="11" borderId="72" xfId="0" applyFont="1" applyFill="1" applyBorder="1" applyAlignment="1">
      <alignment horizontal="center"/>
    </xf>
    <xf numFmtId="3" fontId="4" fillId="25" borderId="73" xfId="0" applyNumberFormat="1" applyFont="1" applyFill="1" applyBorder="1" applyAlignment="1">
      <alignment horizontal="center"/>
    </xf>
    <xf numFmtId="3" fontId="4" fillId="25" borderId="68" xfId="0" applyNumberFormat="1" applyFont="1" applyFill="1" applyBorder="1" applyAlignment="1">
      <alignment horizontal="center"/>
    </xf>
    <xf numFmtId="3" fontId="4" fillId="25" borderId="69" xfId="0" applyNumberFormat="1" applyFont="1" applyFill="1" applyBorder="1" applyAlignment="1">
      <alignment horizontal="center"/>
    </xf>
    <xf numFmtId="0" fontId="4" fillId="25" borderId="0" xfId="0" applyFont="1" applyFill="1" applyAlignment="1">
      <alignment horizontal="center"/>
    </xf>
    <xf numFmtId="0" fontId="10" fillId="2" borderId="0" xfId="0" applyFont="1" applyFill="1" applyAlignment="1">
      <alignment horizontal="center"/>
    </xf>
    <xf numFmtId="0" fontId="3" fillId="12" borderId="0" xfId="0" applyFont="1" applyFill="1" applyAlignment="1">
      <alignment horizontal="center"/>
    </xf>
    <xf numFmtId="2" fontId="0" fillId="21" borderId="68" xfId="0" applyNumberFormat="1" applyFill="1" applyBorder="1" applyAlignment="1">
      <alignment horizontal="center"/>
    </xf>
    <xf numFmtId="2" fontId="0" fillId="21" borderId="73" xfId="0" applyNumberFormat="1" applyFill="1" applyBorder="1" applyAlignment="1">
      <alignment horizontal="center"/>
    </xf>
    <xf numFmtId="2" fontId="0" fillId="21" borderId="69" xfId="0" applyNumberFormat="1" applyFill="1" applyBorder="1" applyAlignment="1">
      <alignment horizontal="center"/>
    </xf>
    <xf numFmtId="0" fontId="10" fillId="2" borderId="94" xfId="0" applyFont="1" applyFill="1" applyBorder="1" applyAlignment="1">
      <alignment horizontal="center"/>
    </xf>
    <xf numFmtId="3" fontId="37" fillId="2" borderId="72" xfId="0" applyNumberFormat="1" applyFont="1" applyFill="1" applyBorder="1" applyAlignment="1">
      <alignment horizontal="center"/>
    </xf>
    <xf numFmtId="3" fontId="37" fillId="2" borderId="73" xfId="0" applyNumberFormat="1" applyFont="1" applyFill="1" applyBorder="1" applyAlignment="1">
      <alignment horizontal="center"/>
    </xf>
    <xf numFmtId="2" fontId="0" fillId="2" borderId="69" xfId="0" applyNumberFormat="1" applyFill="1" applyBorder="1" applyAlignment="1">
      <alignment horizontal="center"/>
    </xf>
    <xf numFmtId="0" fontId="10" fillId="32" borderId="0" xfId="0" applyFont="1" applyFill="1" applyAlignment="1">
      <alignment horizontal="center"/>
    </xf>
    <xf numFmtId="0" fontId="5" fillId="11" borderId="67" xfId="0" applyFont="1" applyFill="1" applyBorder="1" applyAlignment="1">
      <alignment horizontal="center"/>
    </xf>
    <xf numFmtId="0" fontId="37" fillId="2" borderId="68" xfId="0" applyFont="1" applyFill="1" applyBorder="1" applyAlignment="1">
      <alignment horizontal="center"/>
    </xf>
    <xf numFmtId="0" fontId="37" fillId="2" borderId="73" xfId="0" applyFont="1" applyFill="1" applyBorder="1" applyAlignment="1">
      <alignment horizontal="center"/>
    </xf>
    <xf numFmtId="0" fontId="37" fillId="2" borderId="69" xfId="0" applyFont="1" applyFill="1" applyBorder="1" applyAlignment="1">
      <alignment horizontal="center"/>
    </xf>
    <xf numFmtId="0" fontId="37" fillId="2" borderId="70" xfId="0" applyFont="1" applyFill="1" applyBorder="1" applyAlignment="1">
      <alignment horizontal="center"/>
    </xf>
    <xf numFmtId="0" fontId="37" fillId="2" borderId="74" xfId="0" applyFont="1" applyFill="1" applyBorder="1" applyAlignment="1">
      <alignment horizontal="center"/>
    </xf>
    <xf numFmtId="0" fontId="37" fillId="2" borderId="71" xfId="0" applyFont="1" applyFill="1" applyBorder="1" applyAlignment="1">
      <alignment horizontal="center"/>
    </xf>
    <xf numFmtId="0" fontId="37" fillId="2" borderId="66" xfId="0" applyFont="1" applyFill="1" applyBorder="1" applyAlignment="1">
      <alignment horizontal="center"/>
    </xf>
    <xf numFmtId="0" fontId="37" fillId="2" borderId="72" xfId="0" applyFont="1" applyFill="1" applyBorder="1" applyAlignment="1">
      <alignment horizontal="center"/>
    </xf>
    <xf numFmtId="0" fontId="37" fillId="2" borderId="67" xfId="0" applyFont="1" applyFill="1" applyBorder="1" applyAlignment="1">
      <alignment horizontal="center"/>
    </xf>
    <xf numFmtId="0" fontId="10" fillId="2" borderId="86" xfId="0" applyFont="1" applyFill="1" applyBorder="1" applyAlignment="1">
      <alignment horizontal="center"/>
    </xf>
    <xf numFmtId="0" fontId="10" fillId="2" borderId="87" xfId="0" applyFont="1" applyFill="1" applyBorder="1" applyAlignment="1">
      <alignment horizontal="center"/>
    </xf>
    <xf numFmtId="3" fontId="37" fillId="2" borderId="74" xfId="0" applyNumberFormat="1" applyFont="1" applyFill="1" applyBorder="1" applyAlignment="1">
      <alignment horizontal="center"/>
    </xf>
    <xf numFmtId="164" fontId="0" fillId="2" borderId="68" xfId="0" applyNumberFormat="1" applyFill="1" applyBorder="1" applyAlignment="1">
      <alignment horizontal="center"/>
    </xf>
    <xf numFmtId="164" fontId="0" fillId="2" borderId="70" xfId="0" applyNumberFormat="1" applyFill="1" applyBorder="1" applyAlignment="1">
      <alignment horizontal="center"/>
    </xf>
    <xf numFmtId="164" fontId="90" fillId="15" borderId="0" xfId="0" applyNumberFormat="1" applyFont="1" applyFill="1" applyAlignment="1">
      <alignment horizontal="center" vertical="center"/>
    </xf>
    <xf numFmtId="0" fontId="90" fillId="16" borderId="0" xfId="0" applyFont="1" applyFill="1" applyAlignment="1">
      <alignment horizontal="center" vertical="center"/>
    </xf>
    <xf numFmtId="0" fontId="90" fillId="17" borderId="0" xfId="0" applyFont="1" applyFill="1" applyAlignment="1">
      <alignment horizontal="center" vertical="center"/>
    </xf>
    <xf numFmtId="3" fontId="72" fillId="12" borderId="86" xfId="0" applyNumberFormat="1" applyFont="1" applyFill="1" applyBorder="1" applyAlignment="1">
      <alignment horizontal="center"/>
    </xf>
    <xf numFmtId="3" fontId="72" fillId="12" borderId="94" xfId="0" applyNumberFormat="1" applyFont="1" applyFill="1" applyBorder="1" applyAlignment="1">
      <alignment horizontal="center"/>
    </xf>
    <xf numFmtId="3" fontId="72" fillId="12" borderId="87" xfId="0" applyNumberFormat="1" applyFont="1" applyFill="1" applyBorder="1" applyAlignment="1">
      <alignment horizontal="center"/>
    </xf>
    <xf numFmtId="0" fontId="55" fillId="25" borderId="0" xfId="0" applyFont="1" applyFill="1" applyAlignment="1">
      <alignment horizontal="center"/>
    </xf>
    <xf numFmtId="0" fontId="69" fillId="21" borderId="0" xfId="0" applyFont="1" applyFill="1"/>
    <xf numFmtId="0" fontId="55" fillId="21" borderId="0" xfId="0" applyFont="1" applyFill="1" applyAlignment="1">
      <alignment horizontal="center"/>
    </xf>
    <xf numFmtId="37" fontId="70" fillId="0" borderId="0" xfId="0" applyNumberFormat="1" applyFont="1" applyAlignment="1">
      <alignment horizontal="center"/>
    </xf>
    <xf numFmtId="0" fontId="69" fillId="12" borderId="21" xfId="0" applyFont="1" applyFill="1" applyBorder="1"/>
    <xf numFmtId="0" fontId="55" fillId="12" borderId="21" xfId="0" applyFont="1" applyFill="1" applyBorder="1" applyAlignment="1">
      <alignment horizontal="center"/>
    </xf>
    <xf numFmtId="0" fontId="72" fillId="0" borderId="0" xfId="0" applyFont="1" applyAlignment="1">
      <alignment horizontal="center"/>
    </xf>
    <xf numFmtId="0" fontId="69" fillId="0" borderId="0" xfId="0" applyFont="1" applyAlignment="1">
      <alignment horizontal="left"/>
    </xf>
    <xf numFmtId="0" fontId="74" fillId="0" borderId="11" xfId="0" applyFont="1" applyBorder="1" applyAlignment="1">
      <alignment horizontal="center"/>
    </xf>
    <xf numFmtId="37" fontId="74" fillId="0" borderId="11" xfId="0" applyNumberFormat="1" applyFont="1" applyBorder="1" applyAlignment="1">
      <alignment horizontal="center"/>
    </xf>
    <xf numFmtId="0" fontId="22" fillId="47" borderId="0" xfId="0" applyFont="1" applyFill="1" applyAlignment="1">
      <alignment horizontal="left" indent="21"/>
    </xf>
    <xf numFmtId="0" fontId="37" fillId="47" borderId="0" xfId="0" applyFont="1" applyFill="1" applyAlignment="1">
      <alignment horizontal="left" indent="21"/>
    </xf>
    <xf numFmtId="0" fontId="5" fillId="47" borderId="0" xfId="0" applyFont="1" applyFill="1" applyAlignment="1">
      <alignment horizontal="left" indent="5"/>
    </xf>
    <xf numFmtId="0" fontId="22" fillId="47" borderId="0" xfId="0" applyFont="1" applyFill="1" applyAlignment="1">
      <alignment horizontal="left" indent="5"/>
    </xf>
    <xf numFmtId="1" fontId="5" fillId="47" borderId="0" xfId="0" applyNumberFormat="1" applyFont="1" applyFill="1" applyAlignment="1">
      <alignment horizontal="left" indent="5"/>
    </xf>
    <xf numFmtId="0" fontId="5" fillId="47" borderId="0" xfId="0" applyFont="1" applyFill="1" applyAlignment="1">
      <alignment horizontal="left"/>
    </xf>
    <xf numFmtId="1" fontId="5" fillId="47" borderId="0" xfId="0" applyNumberFormat="1" applyFont="1" applyFill="1" applyAlignment="1">
      <alignment horizontal="left" indent="11"/>
    </xf>
    <xf numFmtId="0" fontId="22" fillId="47" borderId="0" xfId="0" applyFont="1" applyFill="1" applyAlignment="1">
      <alignment horizontal="left"/>
    </xf>
    <xf numFmtId="0" fontId="4" fillId="47" borderId="0" xfId="0" applyFont="1" applyFill="1" applyAlignment="1">
      <alignment horizontal="center"/>
    </xf>
    <xf numFmtId="0" fontId="4" fillId="47" borderId="0" xfId="0" applyFont="1" applyFill="1" applyAlignment="1">
      <alignment horizontal="center" vertical="top"/>
    </xf>
    <xf numFmtId="1" fontId="4" fillId="47" borderId="0" xfId="0" applyNumberFormat="1" applyFont="1" applyFill="1" applyAlignment="1">
      <alignment horizontal="center"/>
    </xf>
    <xf numFmtId="0" fontId="3" fillId="0" borderId="0" xfId="0" applyFont="1" applyAlignment="1">
      <alignment horizontal="left" indent="11"/>
    </xf>
    <xf numFmtId="0" fontId="44" fillId="18" borderId="0" xfId="0" applyFont="1" applyFill="1" applyAlignment="1">
      <alignment horizontal="left" indent="13"/>
    </xf>
    <xf numFmtId="0" fontId="44" fillId="18" borderId="0" xfId="0" applyFont="1" applyFill="1" applyAlignment="1">
      <alignment horizontal="left" indent="11"/>
    </xf>
    <xf numFmtId="0" fontId="10" fillId="18" borderId="0" xfId="0" applyFont="1" applyFill="1" applyAlignment="1">
      <alignment horizontal="center"/>
    </xf>
    <xf numFmtId="0" fontId="0" fillId="11" borderId="0" xfId="0" applyFill="1" applyAlignment="1">
      <alignment horizontal="center"/>
    </xf>
    <xf numFmtId="0" fontId="44" fillId="25" borderId="0" xfId="0" applyFont="1" applyFill="1" applyAlignment="1">
      <alignment horizontal="center"/>
    </xf>
    <xf numFmtId="0" fontId="3" fillId="21" borderId="0" xfId="0" applyFont="1" applyFill="1" applyAlignment="1">
      <alignment horizontal="center"/>
    </xf>
    <xf numFmtId="0" fontId="3" fillId="0" borderId="11" xfId="0" applyFont="1" applyBorder="1" applyAlignment="1">
      <alignment horizontal="center"/>
    </xf>
    <xf numFmtId="0" fontId="44" fillId="2" borderId="21" xfId="0" applyFont="1" applyFill="1" applyBorder="1" applyAlignment="1">
      <alignment horizontal="center"/>
    </xf>
    <xf numFmtId="0" fontId="3" fillId="0" borderId="0" xfId="0" applyFont="1" applyAlignment="1">
      <alignment horizontal="left" indent="5"/>
    </xf>
    <xf numFmtId="0" fontId="3" fillId="0" borderId="0" xfId="0" applyFont="1" applyAlignment="1">
      <alignment horizontal="left" indent="1"/>
    </xf>
    <xf numFmtId="0" fontId="5" fillId="0" borderId="0" xfId="0" applyFont="1" applyAlignment="1">
      <alignment horizontal="left" indent="2"/>
    </xf>
    <xf numFmtId="0" fontId="5" fillId="0" borderId="0" xfId="0" applyFont="1" applyAlignment="1">
      <alignment horizontal="left" indent="1"/>
    </xf>
    <xf numFmtId="1" fontId="4" fillId="11" borderId="0" xfId="0" applyNumberFormat="1" applyFont="1" applyFill="1" applyAlignment="1">
      <alignment horizontal="center"/>
    </xf>
    <xf numFmtId="0" fontId="4" fillId="11" borderId="0" xfId="0" applyFont="1" applyFill="1" applyAlignment="1">
      <alignment horizontal="center"/>
    </xf>
    <xf numFmtId="0" fontId="0" fillId="21" borderId="0" xfId="0" applyFill="1" applyAlignment="1">
      <alignment horizontal="center"/>
    </xf>
    <xf numFmtId="3" fontId="4" fillId="0" borderId="0" xfId="0" applyNumberFormat="1" applyFont="1" applyAlignment="1">
      <alignment horizontal="center"/>
    </xf>
    <xf numFmtId="0" fontId="4" fillId="2" borderId="21" xfId="0" applyFont="1" applyFill="1" applyBorder="1" applyAlignment="1">
      <alignment horizontal="left"/>
    </xf>
    <xf numFmtId="0" fontId="4" fillId="2" borderId="21" xfId="0" applyFont="1" applyFill="1" applyBorder="1" applyAlignment="1">
      <alignment horizontal="center"/>
    </xf>
    <xf numFmtId="0" fontId="4" fillId="11" borderId="66" xfId="0" applyFont="1" applyFill="1" applyBorder="1" applyAlignment="1">
      <alignment horizontal="center"/>
    </xf>
    <xf numFmtId="0" fontId="10" fillId="21" borderId="68" xfId="0" applyFont="1" applyFill="1" applyBorder="1" applyAlignment="1">
      <alignment horizontal="center"/>
    </xf>
    <xf numFmtId="0" fontId="10" fillId="21" borderId="69" xfId="0" applyFont="1" applyFill="1" applyBorder="1" applyAlignment="1">
      <alignment horizontal="center"/>
    </xf>
    <xf numFmtId="37" fontId="37" fillId="2" borderId="68" xfId="0" applyNumberFormat="1" applyFont="1" applyFill="1" applyBorder="1" applyAlignment="1">
      <alignment horizontal="center"/>
    </xf>
    <xf numFmtId="37" fontId="37" fillId="2" borderId="73" xfId="0" applyNumberFormat="1" applyFont="1" applyFill="1" applyBorder="1" applyAlignment="1">
      <alignment horizontal="center"/>
    </xf>
    <xf numFmtId="37" fontId="37" fillId="2" borderId="69" xfId="0" applyNumberFormat="1" applyFont="1" applyFill="1" applyBorder="1" applyAlignment="1">
      <alignment horizontal="center"/>
    </xf>
    <xf numFmtId="37" fontId="37" fillId="2" borderId="70" xfId="0" applyNumberFormat="1" applyFont="1" applyFill="1" applyBorder="1" applyAlignment="1">
      <alignment horizontal="center"/>
    </xf>
    <xf numFmtId="37" fontId="37" fillId="2" borderId="74" xfId="0" applyNumberFormat="1" applyFont="1" applyFill="1" applyBorder="1" applyAlignment="1">
      <alignment horizontal="center"/>
    </xf>
    <xf numFmtId="37" fontId="37" fillId="2" borderId="71" xfId="0" applyNumberFormat="1" applyFont="1" applyFill="1" applyBorder="1" applyAlignment="1">
      <alignment horizontal="center"/>
    </xf>
    <xf numFmtId="37" fontId="22" fillId="2" borderId="11" xfId="0" applyNumberFormat="1" applyFont="1" applyFill="1" applyBorder="1" applyAlignment="1">
      <alignment horizontal="center"/>
    </xf>
    <xf numFmtId="0" fontId="44" fillId="32" borderId="0" xfId="0" applyFont="1" applyFill="1" applyAlignment="1">
      <alignment horizontal="left" indent="5"/>
    </xf>
    <xf numFmtId="0" fontId="44" fillId="32" borderId="0" xfId="0" applyFont="1" applyFill="1" applyAlignment="1">
      <alignment horizontal="left" indent="10"/>
    </xf>
    <xf numFmtId="0" fontId="10" fillId="32" borderId="0" xfId="0" applyFont="1" applyFill="1" applyAlignment="1">
      <alignment horizontal="left" indent="10"/>
    </xf>
    <xf numFmtId="0" fontId="10" fillId="32" borderId="0" xfId="0" applyFont="1" applyFill="1" applyAlignment="1">
      <alignment horizontal="left" indent="4"/>
    </xf>
    <xf numFmtId="0" fontId="7" fillId="32" borderId="0" xfId="0" applyFont="1" applyFill="1" applyAlignment="1">
      <alignment horizontal="center"/>
    </xf>
    <xf numFmtId="0" fontId="44" fillId="12" borderId="3" xfId="0" applyFont="1" applyFill="1" applyBorder="1"/>
    <xf numFmtId="0" fontId="115" fillId="19" borderId="11" xfId="0" applyFont="1" applyFill="1" applyBorder="1"/>
    <xf numFmtId="0" fontId="118" fillId="14" borderId="0" xfId="0" applyFont="1" applyFill="1" applyAlignment="1">
      <alignment vertical="center"/>
    </xf>
    <xf numFmtId="2" fontId="0" fillId="11" borderId="72" xfId="0" applyNumberFormat="1" applyFill="1" applyBorder="1" applyAlignment="1">
      <alignment horizontal="center" vertical="center"/>
    </xf>
    <xf numFmtId="0" fontId="0" fillId="0" borderId="72" xfId="0" applyBorder="1" applyAlignment="1">
      <alignment horizontal="center"/>
    </xf>
    <xf numFmtId="2" fontId="0" fillId="11" borderId="67" xfId="0" applyNumberFormat="1" applyFill="1" applyBorder="1" applyAlignment="1">
      <alignment horizontal="center" vertical="center"/>
    </xf>
    <xf numFmtId="2" fontId="37" fillId="25" borderId="73" xfId="0" applyNumberFormat="1" applyFont="1" applyFill="1" applyBorder="1" applyAlignment="1">
      <alignment horizontal="center"/>
    </xf>
    <xf numFmtId="0" fontId="0" fillId="0" borderId="73" xfId="0" applyBorder="1" applyAlignment="1">
      <alignment horizontal="center"/>
    </xf>
    <xf numFmtId="2" fontId="37" fillId="25" borderId="69" xfId="0" applyNumberFormat="1" applyFont="1" applyFill="1" applyBorder="1" applyAlignment="1">
      <alignment horizontal="center"/>
    </xf>
    <xf numFmtId="2" fontId="0" fillId="21" borderId="73" xfId="0" applyNumberFormat="1" applyFill="1" applyBorder="1" applyAlignment="1">
      <alignment horizontal="center" vertical="top"/>
    </xf>
    <xf numFmtId="2" fontId="0" fillId="12" borderId="70" xfId="0" applyNumberFormat="1" applyFill="1" applyBorder="1" applyAlignment="1">
      <alignment horizontal="center"/>
    </xf>
    <xf numFmtId="2" fontId="0" fillId="12" borderId="74" xfId="0" applyNumberFormat="1" applyFill="1" applyBorder="1" applyAlignment="1">
      <alignment horizontal="center"/>
    </xf>
    <xf numFmtId="0" fontId="0" fillId="0" borderId="74" xfId="0" applyBorder="1" applyAlignment="1">
      <alignment horizontal="center"/>
    </xf>
    <xf numFmtId="2" fontId="0" fillId="12" borderId="71" xfId="0" applyNumberFormat="1" applyFill="1" applyBorder="1" applyAlignment="1">
      <alignment horizontal="center"/>
    </xf>
    <xf numFmtId="0" fontId="4" fillId="2" borderId="0" xfId="0" applyFont="1" applyFill="1" applyAlignment="1">
      <alignment horizontal="left"/>
    </xf>
    <xf numFmtId="0" fontId="10" fillId="2" borderId="73" xfId="0" applyFont="1" applyFill="1" applyBorder="1" applyAlignment="1" applyProtection="1">
      <alignment horizontal="center"/>
      <protection locked="0"/>
    </xf>
    <xf numFmtId="2" fontId="10" fillId="2" borderId="73" xfId="0" applyNumberFormat="1" applyFont="1" applyFill="1" applyBorder="1" applyAlignment="1">
      <alignment horizontal="center" vertical="center" wrapText="1"/>
    </xf>
    <xf numFmtId="0" fontId="10" fillId="2" borderId="74" xfId="0" applyFont="1" applyFill="1" applyBorder="1" applyAlignment="1" applyProtection="1">
      <alignment horizontal="center"/>
      <protection locked="0"/>
    </xf>
    <xf numFmtId="2" fontId="10" fillId="2" borderId="74" xfId="0" applyNumberFormat="1" applyFont="1" applyFill="1" applyBorder="1" applyAlignment="1">
      <alignment horizontal="center" vertical="center" wrapText="1"/>
    </xf>
    <xf numFmtId="1" fontId="10" fillId="2" borderId="74" xfId="0" applyNumberFormat="1" applyFont="1" applyFill="1" applyBorder="1" applyAlignment="1">
      <alignment horizontal="center" vertical="center" wrapText="1"/>
    </xf>
    <xf numFmtId="2" fontId="0" fillId="2" borderId="71" xfId="0" applyNumberFormat="1" applyFill="1" applyBorder="1" applyAlignment="1">
      <alignment horizontal="center"/>
    </xf>
    <xf numFmtId="0" fontId="10" fillId="2" borderId="21" xfId="0" applyFont="1" applyFill="1" applyBorder="1"/>
    <xf numFmtId="0" fontId="4" fillId="11" borderId="0" xfId="0" applyFont="1" applyFill="1"/>
    <xf numFmtId="0" fontId="4" fillId="22" borderId="68" xfId="0" applyFont="1" applyFill="1" applyBorder="1" applyAlignment="1">
      <alignment horizontal="center"/>
    </xf>
    <xf numFmtId="0" fontId="4" fillId="22" borderId="70" xfId="0" applyFont="1" applyFill="1" applyBorder="1" applyAlignment="1">
      <alignment horizontal="center"/>
    </xf>
    <xf numFmtId="0" fontId="89" fillId="22" borderId="0" xfId="0" applyFont="1" applyFill="1" applyAlignment="1">
      <alignment horizontal="left" vertical="center"/>
    </xf>
    <xf numFmtId="0" fontId="10" fillId="12" borderId="21" xfId="0" applyFont="1" applyFill="1" applyBorder="1"/>
    <xf numFmtId="0" fontId="10" fillId="12" borderId="21" xfId="0" applyFont="1" applyFill="1" applyBorder="1" applyAlignment="1">
      <alignment horizontal="center"/>
    </xf>
    <xf numFmtId="0" fontId="22" fillId="22" borderId="0" xfId="0" applyFont="1" applyFill="1" applyAlignment="1">
      <alignment horizontal="left" vertical="top" indent="2"/>
    </xf>
    <xf numFmtId="0" fontId="22" fillId="22" borderId="0" xfId="0" applyFont="1" applyFill="1" applyAlignment="1">
      <alignment horizontal="left" indent="6"/>
    </xf>
    <xf numFmtId="0" fontId="22" fillId="22" borderId="0" xfId="0" applyFont="1" applyFill="1" applyAlignment="1">
      <alignment horizontal="left" indent="1"/>
    </xf>
    <xf numFmtId="0" fontId="37" fillId="22" borderId="0" xfId="0" applyFont="1" applyFill="1" applyAlignment="1">
      <alignment horizontal="left" indent="2"/>
    </xf>
    <xf numFmtId="0" fontId="22" fillId="22" borderId="0" xfId="0" applyFont="1" applyFill="1" applyAlignment="1">
      <alignment horizontal="left" indent="5"/>
    </xf>
    <xf numFmtId="0" fontId="37" fillId="22" borderId="0" xfId="0" applyFont="1" applyFill="1" applyAlignment="1">
      <alignment horizontal="left" indent="12"/>
    </xf>
    <xf numFmtId="0" fontId="22" fillId="22" borderId="0" xfId="0" applyFont="1" applyFill="1" applyAlignment="1">
      <alignment horizontal="left" indent="3"/>
    </xf>
    <xf numFmtId="0" fontId="22" fillId="22" borderId="0" xfId="0" applyFont="1" applyFill="1"/>
    <xf numFmtId="0" fontId="37" fillId="22" borderId="0" xfId="0" applyFont="1" applyFill="1" applyAlignment="1">
      <alignment horizontal="left" indent="4"/>
    </xf>
    <xf numFmtId="0" fontId="4" fillId="2" borderId="0" xfId="0" applyFont="1" applyFill="1" applyAlignment="1">
      <alignment horizontal="left" indent="2"/>
    </xf>
    <xf numFmtId="0" fontId="44" fillId="2" borderId="0" xfId="0" applyFont="1" applyFill="1" applyAlignment="1">
      <alignment horizontal="left" indent="5"/>
    </xf>
    <xf numFmtId="0" fontId="44" fillId="2" borderId="0" xfId="0" applyFont="1" applyFill="1" applyAlignment="1">
      <alignment horizontal="left" indent="10"/>
    </xf>
    <xf numFmtId="0" fontId="10" fillId="2" borderId="0" xfId="0" applyFont="1" applyFill="1" applyAlignment="1">
      <alignment horizontal="left" indent="10"/>
    </xf>
    <xf numFmtId="3" fontId="69" fillId="22" borderId="73" xfId="0" quotePrefix="1" applyNumberFormat="1" applyFont="1" applyFill="1" applyBorder="1" applyAlignment="1">
      <alignment horizontal="center"/>
    </xf>
    <xf numFmtId="3" fontId="69" fillId="22" borderId="68" xfId="0" quotePrefix="1" applyNumberFormat="1" applyFont="1" applyFill="1" applyBorder="1"/>
    <xf numFmtId="3" fontId="69" fillId="22" borderId="73" xfId="0" applyNumberFormat="1" applyFont="1" applyFill="1" applyBorder="1"/>
    <xf numFmtId="3" fontId="69" fillId="22" borderId="68" xfId="0" applyNumberFormat="1" applyFont="1" applyFill="1" applyBorder="1"/>
    <xf numFmtId="3" fontId="0" fillId="2" borderId="71" xfId="0" applyNumberFormat="1" applyFill="1" applyBorder="1" applyAlignment="1">
      <alignment horizontal="center"/>
    </xf>
    <xf numFmtId="3" fontId="4" fillId="46" borderId="66" xfId="0" applyNumberFormat="1" applyFont="1" applyFill="1" applyBorder="1" applyAlignment="1">
      <alignment horizontal="center" vertical="center" wrapText="1"/>
    </xf>
    <xf numFmtId="3" fontId="4" fillId="46" borderId="72" xfId="0" applyNumberFormat="1" applyFont="1" applyFill="1" applyBorder="1" applyAlignment="1">
      <alignment horizontal="center" vertical="center" wrapText="1"/>
    </xf>
    <xf numFmtId="3" fontId="37" fillId="46" borderId="72" xfId="0" applyNumberFormat="1" applyFont="1" applyFill="1" applyBorder="1" applyAlignment="1">
      <alignment horizontal="center"/>
    </xf>
    <xf numFmtId="3" fontId="37" fillId="46" borderId="67" xfId="0" applyNumberFormat="1" applyFont="1" applyFill="1" applyBorder="1" applyAlignment="1">
      <alignment horizontal="center"/>
    </xf>
    <xf numFmtId="3" fontId="4" fillId="46" borderId="68" xfId="0" applyNumberFormat="1" applyFont="1" applyFill="1" applyBorder="1" applyAlignment="1">
      <alignment horizontal="center" vertical="center" wrapText="1"/>
    </xf>
    <xf numFmtId="3" fontId="4" fillId="46" borderId="73" xfId="0" applyNumberFormat="1" applyFont="1" applyFill="1" applyBorder="1" applyAlignment="1">
      <alignment horizontal="center" vertical="center" wrapText="1"/>
    </xf>
    <xf numFmtId="3" fontId="37" fillId="46" borderId="73" xfId="0" applyNumberFormat="1" applyFont="1" applyFill="1" applyBorder="1" applyAlignment="1">
      <alignment horizontal="center"/>
    </xf>
    <xf numFmtId="3" fontId="37" fillId="46" borderId="69" xfId="0" applyNumberFormat="1" applyFont="1" applyFill="1" applyBorder="1" applyAlignment="1">
      <alignment horizontal="center"/>
    </xf>
    <xf numFmtId="0" fontId="37" fillId="32" borderId="0" xfId="0" applyFont="1" applyFill="1"/>
    <xf numFmtId="0" fontId="22" fillId="47" borderId="0" xfId="0" applyFont="1" applyFill="1"/>
    <xf numFmtId="0" fontId="37" fillId="47" borderId="0" xfId="0" applyFont="1" applyFill="1"/>
    <xf numFmtId="0" fontId="5" fillId="47" borderId="0" xfId="0" applyFont="1" applyFill="1" applyAlignment="1">
      <alignment horizontal="left" vertical="center"/>
    </xf>
    <xf numFmtId="0" fontId="5" fillId="47" borderId="0" xfId="0" applyFont="1" applyFill="1"/>
    <xf numFmtId="0" fontId="22" fillId="47" borderId="0" xfId="0" applyFont="1" applyFill="1" applyAlignment="1">
      <alignment horizontal="left" indent="2"/>
    </xf>
    <xf numFmtId="0" fontId="5" fillId="47" borderId="0" xfId="0" applyFont="1" applyFill="1" applyAlignment="1">
      <alignment horizontal="left" indent="6"/>
    </xf>
    <xf numFmtId="0" fontId="4" fillId="47" borderId="0" xfId="0" applyFont="1" applyFill="1" applyAlignment="1">
      <alignment horizontal="left" indent="6"/>
    </xf>
    <xf numFmtId="0" fontId="5" fillId="47" borderId="0" xfId="0" applyFont="1" applyFill="1" applyAlignment="1">
      <alignment horizontal="left" indent="7"/>
    </xf>
    <xf numFmtId="0" fontId="5" fillId="47" borderId="0" xfId="0" applyFont="1" applyFill="1" applyAlignment="1">
      <alignment horizontal="center"/>
    </xf>
    <xf numFmtId="0" fontId="5" fillId="47" borderId="0" xfId="0" applyFont="1" applyFill="1" applyAlignment="1">
      <alignment horizontal="left" indent="4"/>
    </xf>
    <xf numFmtId="0" fontId="5" fillId="47" borderId="0" xfId="0" applyFont="1" applyFill="1" applyAlignment="1">
      <alignment horizontal="center" vertical="top"/>
    </xf>
    <xf numFmtId="0" fontId="22" fillId="47" borderId="0" xfId="0" applyFont="1" applyFill="1" applyAlignment="1">
      <alignment horizontal="center"/>
    </xf>
    <xf numFmtId="3" fontId="0" fillId="22" borderId="70" xfId="0" applyNumberFormat="1" applyFill="1" applyBorder="1" applyAlignment="1">
      <alignment horizontal="center"/>
    </xf>
    <xf numFmtId="3" fontId="0" fillId="22" borderId="74" xfId="0" applyNumberFormat="1" applyFill="1" applyBorder="1" applyAlignment="1">
      <alignment horizontal="center"/>
    </xf>
    <xf numFmtId="3" fontId="3" fillId="2" borderId="74" xfId="0" applyNumberFormat="1" applyFont="1" applyFill="1" applyBorder="1" applyAlignment="1">
      <alignment horizontal="center"/>
    </xf>
    <xf numFmtId="0" fontId="8" fillId="7" borderId="0" xfId="0" applyFont="1" applyFill="1" applyAlignment="1">
      <alignment horizontal="center"/>
    </xf>
    <xf numFmtId="0" fontId="5" fillId="15" borderId="0" xfId="0" applyFont="1" applyFill="1" applyAlignment="1">
      <alignment horizontal="center" vertical="center"/>
    </xf>
    <xf numFmtId="0" fontId="3" fillId="2" borderId="0" xfId="0" applyFont="1" applyFill="1" applyAlignment="1">
      <alignment horizontal="left" vertical="center"/>
    </xf>
    <xf numFmtId="0" fontId="0" fillId="22" borderId="0" xfId="0" applyFill="1" applyAlignment="1">
      <alignment horizontal="center" vertical="center"/>
    </xf>
    <xf numFmtId="0" fontId="0" fillId="0" borderId="68" xfId="0" applyBorder="1"/>
    <xf numFmtId="0" fontId="0" fillId="0" borderId="73" xfId="0" applyBorder="1"/>
    <xf numFmtId="0" fontId="0" fillId="0" borderId="69" xfId="0" applyBorder="1"/>
    <xf numFmtId="0" fontId="0" fillId="0" borderId="70" xfId="0" applyBorder="1"/>
    <xf numFmtId="0" fontId="0" fillId="0" borderId="74" xfId="0" applyBorder="1"/>
    <xf numFmtId="0" fontId="3" fillId="6" borderId="74" xfId="0" applyFont="1" applyFill="1" applyBorder="1"/>
    <xf numFmtId="3" fontId="3" fillId="6" borderId="74" xfId="0" applyNumberFormat="1" applyFont="1" applyFill="1" applyBorder="1" applyAlignment="1">
      <alignment horizontal="left"/>
    </xf>
    <xf numFmtId="3" fontId="3" fillId="6" borderId="71" xfId="0" applyNumberFormat="1" applyFont="1" applyFill="1" applyBorder="1" applyAlignment="1">
      <alignment horizontal="left"/>
    </xf>
    <xf numFmtId="0" fontId="3" fillId="2" borderId="0" xfId="0" applyFont="1" applyFill="1" applyAlignment="1">
      <alignment horizontal="left" indent="4"/>
    </xf>
    <xf numFmtId="0" fontId="67" fillId="11" borderId="0" xfId="0" applyFont="1" applyFill="1"/>
    <xf numFmtId="0" fontId="3" fillId="2" borderId="0" xfId="0" applyFont="1" applyFill="1" applyAlignment="1">
      <alignment horizontal="center" vertical="center"/>
    </xf>
    <xf numFmtId="0" fontId="22" fillId="2" borderId="0" xfId="0" applyFont="1" applyFill="1" applyAlignment="1">
      <alignment horizontal="left"/>
    </xf>
    <xf numFmtId="0" fontId="3" fillId="2" borderId="0" xfId="0" applyFont="1" applyFill="1" applyAlignment="1">
      <alignment horizontal="left" indent="5"/>
    </xf>
    <xf numFmtId="0" fontId="31" fillId="2" borderId="0" xfId="0" applyFont="1" applyFill="1" applyAlignment="1">
      <alignment horizontal="left" indent="4"/>
    </xf>
    <xf numFmtId="0" fontId="5" fillId="15" borderId="0" xfId="0" applyFont="1" applyFill="1" applyAlignment="1">
      <alignment horizontal="left" vertical="center"/>
    </xf>
    <xf numFmtId="0" fontId="111" fillId="16" borderId="0" xfId="0" applyFont="1" applyFill="1"/>
    <xf numFmtId="0" fontId="30" fillId="17" borderId="0" xfId="0" applyFont="1" applyFill="1" applyAlignment="1">
      <alignment horizontal="center"/>
    </xf>
    <xf numFmtId="0" fontId="29" fillId="17" borderId="0" xfId="0" applyFont="1" applyFill="1" applyAlignment="1">
      <alignment horizontal="center"/>
    </xf>
    <xf numFmtId="0" fontId="37" fillId="2" borderId="0" xfId="0" applyFont="1" applyFill="1" applyAlignment="1">
      <alignment horizontal="center"/>
    </xf>
    <xf numFmtId="9" fontId="37" fillId="22" borderId="0" xfId="6" applyFont="1" applyFill="1" applyBorder="1" applyAlignment="1">
      <alignment horizontal="left"/>
    </xf>
    <xf numFmtId="9" fontId="0" fillId="22" borderId="0" xfId="6" applyFont="1" applyFill="1" applyBorder="1" applyAlignment="1">
      <alignment horizontal="left"/>
    </xf>
    <xf numFmtId="164" fontId="0" fillId="2" borderId="67" xfId="0" applyNumberFormat="1" applyFill="1" applyBorder="1" applyAlignment="1">
      <alignment horizontal="center"/>
    </xf>
    <xf numFmtId="164" fontId="0" fillId="2" borderId="69" xfId="0" applyNumberFormat="1" applyFill="1" applyBorder="1" applyAlignment="1">
      <alignment horizontal="center"/>
    </xf>
    <xf numFmtId="164" fontId="0" fillId="2" borderId="71" xfId="0" applyNumberFormat="1" applyFill="1" applyBorder="1" applyAlignment="1">
      <alignment horizontal="center"/>
    </xf>
    <xf numFmtId="0" fontId="22" fillId="2" borderId="0" xfId="0" applyFont="1" applyFill="1" applyAlignment="1">
      <alignment horizontal="left" indent="10"/>
    </xf>
    <xf numFmtId="0" fontId="22" fillId="2" borderId="21" xfId="0" applyFont="1" applyFill="1" applyBorder="1" applyAlignment="1">
      <alignment horizontal="left" indent="4"/>
    </xf>
    <xf numFmtId="3" fontId="37" fillId="2" borderId="66" xfId="0" applyNumberFormat="1" applyFont="1" applyFill="1" applyBorder="1" applyAlignment="1">
      <alignment horizontal="center"/>
    </xf>
    <xf numFmtId="3" fontId="37" fillId="2" borderId="70" xfId="0" applyNumberFormat="1" applyFont="1" applyFill="1" applyBorder="1" applyAlignment="1">
      <alignment horizontal="center"/>
    </xf>
    <xf numFmtId="3" fontId="22" fillId="2" borderId="134" xfId="0" applyNumberFormat="1" applyFont="1" applyFill="1" applyBorder="1" applyAlignment="1">
      <alignment horizontal="center"/>
    </xf>
    <xf numFmtId="3" fontId="22" fillId="2" borderId="135" xfId="0" applyNumberFormat="1" applyFont="1" applyFill="1" applyBorder="1" applyAlignment="1">
      <alignment horizontal="center"/>
    </xf>
    <xf numFmtId="3" fontId="22" fillId="2" borderId="136" xfId="0" applyNumberFormat="1" applyFont="1" applyFill="1" applyBorder="1" applyAlignment="1">
      <alignment horizontal="center"/>
    </xf>
    <xf numFmtId="0" fontId="37" fillId="0" borderId="0" xfId="0" applyFont="1" applyAlignment="1">
      <alignment horizontal="center"/>
    </xf>
    <xf numFmtId="0" fontId="37" fillId="2" borderId="21" xfId="0" applyFont="1" applyFill="1" applyBorder="1" applyAlignment="1">
      <alignment horizontal="center"/>
    </xf>
    <xf numFmtId="0" fontId="37" fillId="0" borderId="72" xfId="0" applyFont="1" applyBorder="1" applyAlignment="1">
      <alignment horizontal="center"/>
    </xf>
    <xf numFmtId="0" fontId="37" fillId="0" borderId="73" xfId="0" applyFont="1" applyBorder="1" applyAlignment="1">
      <alignment horizontal="center"/>
    </xf>
    <xf numFmtId="0" fontId="37" fillId="0" borderId="74" xfId="0" applyFont="1" applyBorder="1" applyAlignment="1">
      <alignment horizontal="center"/>
    </xf>
    <xf numFmtId="0" fontId="22" fillId="2" borderId="134" xfId="0" applyFont="1" applyFill="1" applyBorder="1" applyAlignment="1">
      <alignment horizontal="center"/>
    </xf>
    <xf numFmtId="0" fontId="22" fillId="2" borderId="135" xfId="0" applyFont="1" applyFill="1" applyBorder="1" applyAlignment="1">
      <alignment horizontal="center"/>
    </xf>
    <xf numFmtId="0" fontId="22" fillId="2" borderId="136" xfId="0" applyFont="1" applyFill="1" applyBorder="1" applyAlignment="1">
      <alignment horizontal="center"/>
    </xf>
    <xf numFmtId="0" fontId="255" fillId="19" borderId="0" xfId="0" applyFont="1" applyFill="1" applyAlignment="1">
      <alignment vertical="center"/>
    </xf>
    <xf numFmtId="0" fontId="37" fillId="32" borderId="66" xfId="0" applyFont="1" applyFill="1" applyBorder="1"/>
    <xf numFmtId="0" fontId="37" fillId="32" borderId="72" xfId="0" applyFont="1" applyFill="1" applyBorder="1"/>
    <xf numFmtId="0" fontId="37" fillId="32" borderId="67" xfId="0" applyFont="1" applyFill="1" applyBorder="1"/>
    <xf numFmtId="0" fontId="37" fillId="32" borderId="68" xfId="0" applyFont="1" applyFill="1" applyBorder="1"/>
    <xf numFmtId="0" fontId="37" fillId="32" borderId="73" xfId="0" applyFont="1" applyFill="1" applyBorder="1"/>
    <xf numFmtId="0" fontId="37" fillId="32" borderId="69" xfId="0" applyFont="1" applyFill="1" applyBorder="1"/>
    <xf numFmtId="0" fontId="37" fillId="32" borderId="70" xfId="0" applyFont="1" applyFill="1" applyBorder="1"/>
    <xf numFmtId="0" fontId="37" fillId="32" borderId="74" xfId="0" applyFont="1" applyFill="1" applyBorder="1"/>
    <xf numFmtId="0" fontId="37" fillId="32" borderId="71" xfId="0" applyFont="1" applyFill="1" applyBorder="1"/>
    <xf numFmtId="0" fontId="256" fillId="32" borderId="0" xfId="0" applyFont="1" applyFill="1" applyAlignment="1">
      <alignment horizontal="left"/>
    </xf>
    <xf numFmtId="0" fontId="37" fillId="32" borderId="0" xfId="0" applyFont="1" applyFill="1" applyAlignment="1">
      <alignment horizontal="left"/>
    </xf>
    <xf numFmtId="0" fontId="5" fillId="32" borderId="21" xfId="0" applyFont="1" applyFill="1" applyBorder="1" applyAlignment="1">
      <alignment horizontal="left"/>
    </xf>
    <xf numFmtId="0" fontId="50" fillId="22" borderId="0" xfId="0" applyFont="1" applyFill="1" applyAlignment="1">
      <alignment horizontal="left" indent="23"/>
    </xf>
    <xf numFmtId="0" fontId="22" fillId="41" borderId="0" xfId="0" applyFont="1" applyFill="1" applyAlignment="1">
      <alignment horizontal="center"/>
    </xf>
    <xf numFmtId="0" fontId="37" fillId="41" borderId="0" xfId="0" applyFont="1" applyFill="1"/>
    <xf numFmtId="0" fontId="22" fillId="41" borderId="0" xfId="0" applyFont="1" applyFill="1" applyAlignment="1">
      <alignment horizontal="center" vertical="center"/>
    </xf>
    <xf numFmtId="0" fontId="22" fillId="41" borderId="0" xfId="0" applyFont="1" applyFill="1"/>
    <xf numFmtId="0" fontId="37" fillId="41" borderId="0" xfId="0" applyFont="1" applyFill="1" applyAlignment="1">
      <alignment horizontal="center"/>
    </xf>
    <xf numFmtId="0" fontId="0" fillId="46" borderId="0" xfId="0" applyFill="1"/>
    <xf numFmtId="0" fontId="3" fillId="2" borderId="14" xfId="0" applyFont="1" applyFill="1" applyBorder="1"/>
    <xf numFmtId="0" fontId="0" fillId="2" borderId="21" xfId="0" applyFill="1" applyBorder="1" applyAlignment="1">
      <alignment horizontal="left"/>
    </xf>
    <xf numFmtId="0" fontId="5" fillId="22" borderId="21" xfId="0" applyFont="1" applyFill="1" applyBorder="1" applyAlignment="1">
      <alignment horizontal="left" vertical="center"/>
    </xf>
    <xf numFmtId="0" fontId="5" fillId="22" borderId="21" xfId="0" applyFont="1" applyFill="1" applyBorder="1" applyAlignment="1">
      <alignment horizontal="center"/>
    </xf>
    <xf numFmtId="0" fontId="3" fillId="22" borderId="21" xfId="0" applyFont="1" applyFill="1" applyBorder="1" applyAlignment="1">
      <alignment horizontal="center"/>
    </xf>
    <xf numFmtId="3" fontId="3" fillId="6" borderId="74" xfId="0" applyNumberFormat="1" applyFont="1" applyFill="1" applyBorder="1" applyAlignment="1">
      <alignment horizontal="center"/>
    </xf>
    <xf numFmtId="0" fontId="5" fillId="22" borderId="0" xfId="0" applyFont="1" applyFill="1" applyAlignment="1">
      <alignment horizontal="center" vertical="center" wrapText="1"/>
    </xf>
    <xf numFmtId="0" fontId="44" fillId="22" borderId="0" xfId="0" applyFont="1" applyFill="1" applyAlignment="1">
      <alignment horizontal="center" vertical="center" wrapText="1"/>
    </xf>
    <xf numFmtId="3" fontId="74" fillId="22" borderId="11" xfId="0" applyNumberFormat="1" applyFont="1" applyFill="1" applyBorder="1" applyAlignment="1">
      <alignment horizontal="center"/>
    </xf>
    <xf numFmtId="0" fontId="88" fillId="32" borderId="21" xfId="0" applyFont="1" applyFill="1" applyBorder="1" applyAlignment="1">
      <alignment horizontal="center"/>
    </xf>
    <xf numFmtId="0" fontId="69" fillId="18" borderId="0" xfId="0" applyFont="1" applyFill="1"/>
    <xf numFmtId="0" fontId="69" fillId="18" borderId="0" xfId="0" applyFont="1" applyFill="1" applyAlignment="1">
      <alignment vertical="center" wrapText="1"/>
    </xf>
    <xf numFmtId="0" fontId="69" fillId="18" borderId="0" xfId="0" applyFont="1" applyFill="1" applyAlignment="1">
      <alignment horizontal="center" vertical="top"/>
    </xf>
    <xf numFmtId="0" fontId="69" fillId="18" borderId="0" xfId="0" applyFont="1" applyFill="1" applyAlignment="1">
      <alignment vertical="top"/>
    </xf>
    <xf numFmtId="0" fontId="69" fillId="18" borderId="0" xfId="0" applyFont="1" applyFill="1" applyAlignment="1">
      <alignment horizontal="justify" vertical="top"/>
    </xf>
    <xf numFmtId="0" fontId="69" fillId="18" borderId="0" xfId="0" applyFont="1" applyFill="1" applyAlignment="1">
      <alignment horizontal="center" vertical="top" wrapText="1"/>
    </xf>
    <xf numFmtId="0" fontId="69" fillId="22" borderId="70" xfId="0" applyFont="1" applyFill="1" applyBorder="1"/>
    <xf numFmtId="0" fontId="69" fillId="22" borderId="74" xfId="0" applyFont="1" applyFill="1" applyBorder="1"/>
    <xf numFmtId="3" fontId="69" fillId="22" borderId="70" xfId="0" applyNumberFormat="1" applyFont="1" applyFill="1" applyBorder="1"/>
    <xf numFmtId="3" fontId="69" fillId="22" borderId="74" xfId="0" applyNumberFormat="1" applyFont="1" applyFill="1" applyBorder="1"/>
    <xf numFmtId="0" fontId="257" fillId="18" borderId="0" xfId="0" applyFont="1" applyFill="1"/>
    <xf numFmtId="0" fontId="56" fillId="18" borderId="0" xfId="0" applyFont="1" applyFill="1" applyAlignment="1">
      <alignment horizontal="justify" vertical="top" wrapText="1"/>
    </xf>
    <xf numFmtId="9" fontId="74" fillId="22" borderId="0" xfId="6" applyFont="1" applyFill="1" applyAlignment="1">
      <alignment horizontal="center"/>
    </xf>
    <xf numFmtId="0" fontId="258" fillId="22" borderId="0" xfId="0" applyFont="1" applyFill="1" applyAlignment="1">
      <alignment vertical="center"/>
    </xf>
    <xf numFmtId="3" fontId="74" fillId="22" borderId="0" xfId="0" applyNumberFormat="1" applyFont="1" applyFill="1"/>
    <xf numFmtId="3" fontId="74" fillId="6" borderId="75" xfId="0" applyNumberFormat="1" applyFont="1" applyFill="1" applyBorder="1" applyAlignment="1">
      <alignment horizontal="center"/>
    </xf>
    <xf numFmtId="3" fontId="74" fillId="6" borderId="77" xfId="0" applyNumberFormat="1" applyFont="1" applyFill="1" applyBorder="1" applyAlignment="1">
      <alignment horizontal="center"/>
    </xf>
    <xf numFmtId="3" fontId="74" fillId="6" borderId="76" xfId="0" applyNumberFormat="1" applyFont="1" applyFill="1" applyBorder="1" applyAlignment="1">
      <alignment horizontal="center"/>
    </xf>
    <xf numFmtId="0" fontId="0" fillId="22" borderId="21" xfId="0" applyFill="1" applyBorder="1"/>
    <xf numFmtId="0" fontId="211" fillId="22" borderId="0" xfId="0" applyFont="1" applyFill="1"/>
    <xf numFmtId="0" fontId="259" fillId="36" borderId="76" xfId="0" applyFont="1" applyFill="1" applyBorder="1" applyAlignment="1">
      <alignment horizontal="center" vertical="center"/>
    </xf>
    <xf numFmtId="0" fontId="260" fillId="22" borderId="0" xfId="0" applyFont="1" applyFill="1"/>
    <xf numFmtId="3" fontId="261" fillId="22" borderId="73" xfId="0" applyNumberFormat="1" applyFont="1" applyFill="1" applyBorder="1" applyAlignment="1">
      <alignment horizontal="center" vertical="center"/>
    </xf>
    <xf numFmtId="3" fontId="262" fillId="22" borderId="0" xfId="0" applyNumberFormat="1" applyFont="1" applyFill="1" applyAlignment="1">
      <alignment vertical="center"/>
    </xf>
    <xf numFmtId="0" fontId="263" fillId="22" borderId="0" xfId="0" applyFont="1" applyFill="1" applyAlignment="1">
      <alignment vertical="center"/>
    </xf>
    <xf numFmtId="0" fontId="264" fillId="22" borderId="0" xfId="0" applyFont="1" applyFill="1" applyAlignment="1">
      <alignment vertical="center"/>
    </xf>
    <xf numFmtId="0" fontId="265" fillId="22" borderId="0" xfId="0" applyFont="1" applyFill="1" applyAlignment="1">
      <alignment vertical="center"/>
    </xf>
    <xf numFmtId="3" fontId="265" fillId="22" borderId="72" xfId="0" applyNumberFormat="1" applyFont="1" applyFill="1" applyBorder="1" applyAlignment="1">
      <alignment horizontal="center" vertical="center"/>
    </xf>
    <xf numFmtId="0" fontId="265" fillId="22" borderId="118" xfId="0" applyFont="1" applyFill="1" applyBorder="1" applyAlignment="1">
      <alignment vertical="center"/>
    </xf>
    <xf numFmtId="0" fontId="265" fillId="22" borderId="68" xfId="0" applyFont="1" applyFill="1" applyBorder="1" applyAlignment="1">
      <alignment vertical="center"/>
    </xf>
    <xf numFmtId="171" fontId="265" fillId="22" borderId="73" xfId="0" applyNumberFormat="1" applyFont="1" applyFill="1" applyBorder="1" applyAlignment="1">
      <alignment horizontal="center" vertical="center"/>
    </xf>
    <xf numFmtId="171" fontId="265" fillId="22" borderId="76" xfId="0" applyNumberFormat="1" applyFont="1" applyFill="1" applyBorder="1" applyAlignment="1">
      <alignment horizontal="center" vertical="center"/>
    </xf>
    <xf numFmtId="0" fontId="260" fillId="22" borderId="21" xfId="0" applyFont="1" applyFill="1" applyBorder="1"/>
    <xf numFmtId="0" fontId="267" fillId="22" borderId="0" xfId="0" applyFont="1" applyFill="1"/>
    <xf numFmtId="0" fontId="269" fillId="22" borderId="21" xfId="0" applyFont="1" applyFill="1" applyBorder="1"/>
    <xf numFmtId="14" fontId="269" fillId="22" borderId="21" xfId="0" applyNumberFormat="1" applyFont="1" applyFill="1" applyBorder="1"/>
    <xf numFmtId="0" fontId="269" fillId="22" borderId="0" xfId="0" applyFont="1" applyFill="1" applyAlignment="1">
      <alignment vertical="center"/>
    </xf>
    <xf numFmtId="0" fontId="266" fillId="22" borderId="0" xfId="0" applyFont="1" applyFill="1"/>
    <xf numFmtId="0" fontId="264" fillId="22" borderId="0" xfId="0" applyFont="1" applyFill="1"/>
    <xf numFmtId="0" fontId="264" fillId="2" borderId="0" xfId="0" applyFont="1" applyFill="1"/>
    <xf numFmtId="0" fontId="261" fillId="2" borderId="0" xfId="0" applyFont="1" applyFill="1"/>
    <xf numFmtId="0" fontId="263" fillId="2" borderId="0" xfId="0" applyFont="1" applyFill="1"/>
    <xf numFmtId="0" fontId="272" fillId="22" borderId="74" xfId="0" applyFont="1" applyFill="1" applyBorder="1" applyAlignment="1">
      <alignment horizontal="right" vertical="center"/>
    </xf>
    <xf numFmtId="3" fontId="272" fillId="22" borderId="73" xfId="0" applyNumberFormat="1" applyFont="1" applyFill="1" applyBorder="1" applyAlignment="1">
      <alignment horizontal="center" vertical="center"/>
    </xf>
    <xf numFmtId="3" fontId="273" fillId="22" borderId="0" xfId="0" applyNumberFormat="1" applyFont="1" applyFill="1" applyAlignment="1">
      <alignment vertical="center"/>
    </xf>
    <xf numFmtId="3" fontId="272" fillId="22" borderId="74" xfId="0" applyNumberFormat="1" applyFont="1" applyFill="1" applyBorder="1" applyAlignment="1">
      <alignment horizontal="center" vertical="center"/>
    </xf>
    <xf numFmtId="0" fontId="272" fillId="22" borderId="0" xfId="0" applyFont="1" applyFill="1" applyAlignment="1">
      <alignment vertical="center"/>
    </xf>
    <xf numFmtId="3" fontId="272" fillId="22" borderId="68" xfId="0" applyNumberFormat="1" applyFont="1" applyFill="1" applyBorder="1" applyAlignment="1">
      <alignment horizontal="center" vertical="center"/>
    </xf>
    <xf numFmtId="3" fontId="272" fillId="22" borderId="69" xfId="0" applyNumberFormat="1" applyFont="1" applyFill="1" applyBorder="1" applyAlignment="1">
      <alignment horizontal="center" vertical="center"/>
    </xf>
    <xf numFmtId="3" fontId="272" fillId="22" borderId="75" xfId="0" applyNumberFormat="1" applyFont="1" applyFill="1" applyBorder="1" applyAlignment="1">
      <alignment horizontal="center" vertical="center"/>
    </xf>
    <xf numFmtId="3" fontId="272" fillId="22" borderId="76" xfId="0" applyNumberFormat="1" applyFont="1" applyFill="1" applyBorder="1" applyAlignment="1">
      <alignment horizontal="center" vertical="center"/>
    </xf>
    <xf numFmtId="3" fontId="272" fillId="22" borderId="72" xfId="0" applyNumberFormat="1" applyFont="1" applyFill="1" applyBorder="1" applyAlignment="1">
      <alignment horizontal="center" vertical="center"/>
    </xf>
    <xf numFmtId="3" fontId="272" fillId="22" borderId="77" xfId="0" applyNumberFormat="1" applyFont="1" applyFill="1" applyBorder="1" applyAlignment="1">
      <alignment horizontal="center" vertical="center"/>
    </xf>
    <xf numFmtId="3" fontId="272" fillId="22" borderId="0" xfId="0" applyNumberFormat="1" applyFont="1" applyFill="1" applyAlignment="1">
      <alignment horizontal="center" vertical="center"/>
    </xf>
    <xf numFmtId="0" fontId="260" fillId="22" borderId="21" xfId="0" applyFont="1" applyFill="1" applyBorder="1" applyAlignment="1">
      <alignment vertical="center"/>
    </xf>
    <xf numFmtId="0" fontId="260" fillId="22" borderId="0" xfId="0" applyFont="1" applyFill="1" applyAlignment="1">
      <alignment vertical="center"/>
    </xf>
    <xf numFmtId="0" fontId="267" fillId="22" borderId="0" xfId="0" applyFont="1" applyFill="1" applyAlignment="1">
      <alignment vertical="center"/>
    </xf>
    <xf numFmtId="3" fontId="267" fillId="22" borderId="72" xfId="0" applyNumberFormat="1" applyFont="1" applyFill="1" applyBorder="1" applyAlignment="1">
      <alignment horizontal="center" vertical="center"/>
    </xf>
    <xf numFmtId="3" fontId="267" fillId="22" borderId="76" xfId="0" applyNumberFormat="1" applyFont="1" applyFill="1" applyBorder="1" applyAlignment="1">
      <alignment horizontal="center" vertical="center"/>
    </xf>
    <xf numFmtId="0" fontId="267" fillId="22" borderId="68" xfId="0" applyFont="1" applyFill="1" applyBorder="1" applyAlignment="1">
      <alignment vertical="center"/>
    </xf>
    <xf numFmtId="171" fontId="267" fillId="22" borderId="73" xfId="0" applyNumberFormat="1" applyFont="1" applyFill="1" applyBorder="1" applyAlignment="1">
      <alignment horizontal="center" vertical="center"/>
    </xf>
    <xf numFmtId="171" fontId="267" fillId="22" borderId="76" xfId="0" applyNumberFormat="1" applyFont="1" applyFill="1" applyBorder="1" applyAlignment="1">
      <alignment horizontal="center" vertical="center"/>
    </xf>
    <xf numFmtId="171" fontId="267" fillId="22" borderId="74" xfId="0" applyNumberFormat="1" applyFont="1" applyFill="1" applyBorder="1" applyAlignment="1">
      <alignment horizontal="center" vertical="center"/>
    </xf>
    <xf numFmtId="3" fontId="260" fillId="22" borderId="70" xfId="0" applyNumberFormat="1" applyFont="1" applyFill="1" applyBorder="1" applyAlignment="1">
      <alignment horizontal="center" vertical="center"/>
    </xf>
    <xf numFmtId="3" fontId="260" fillId="22" borderId="74" xfId="0" applyNumberFormat="1" applyFont="1" applyFill="1" applyBorder="1" applyAlignment="1">
      <alignment horizontal="center" vertical="center"/>
    </xf>
    <xf numFmtId="3" fontId="260" fillId="22" borderId="71" xfId="0" applyNumberFormat="1" applyFont="1" applyFill="1" applyBorder="1" applyAlignment="1">
      <alignment horizontal="center" vertical="center"/>
    </xf>
    <xf numFmtId="3" fontId="260" fillId="22" borderId="75" xfId="0" applyNumberFormat="1" applyFont="1" applyFill="1" applyBorder="1" applyAlignment="1">
      <alignment horizontal="center" vertical="center"/>
    </xf>
    <xf numFmtId="3" fontId="260" fillId="22" borderId="76" xfId="0" applyNumberFormat="1" applyFont="1" applyFill="1" applyBorder="1" applyAlignment="1">
      <alignment horizontal="center" vertical="center"/>
    </xf>
    <xf numFmtId="0" fontId="176" fillId="22" borderId="0" xfId="0" quotePrefix="1" applyFont="1" applyFill="1" applyAlignment="1">
      <alignment vertical="center"/>
    </xf>
    <xf numFmtId="0" fontId="274" fillId="2" borderId="0" xfId="0" applyFont="1" applyFill="1"/>
    <xf numFmtId="14" fontId="272" fillId="2" borderId="0" xfId="0" applyNumberFormat="1" applyFont="1" applyFill="1"/>
    <xf numFmtId="0" fontId="272" fillId="2" borderId="0" xfId="0" applyFont="1" applyFill="1"/>
    <xf numFmtId="0" fontId="260" fillId="2" borderId="0" xfId="0" applyFont="1" applyFill="1"/>
    <xf numFmtId="0" fontId="274" fillId="2" borderId="21" xfId="0" applyFont="1" applyFill="1" applyBorder="1"/>
    <xf numFmtId="0" fontId="272" fillId="2" borderId="21" xfId="0" applyFont="1" applyFill="1" applyBorder="1"/>
    <xf numFmtId="0" fontId="274" fillId="2" borderId="21" xfId="0" applyFont="1" applyFill="1" applyBorder="1" applyAlignment="1">
      <alignment horizontal="left"/>
    </xf>
    <xf numFmtId="3" fontId="272" fillId="2" borderId="21" xfId="0" applyNumberFormat="1" applyFont="1" applyFill="1" applyBorder="1"/>
    <xf numFmtId="0" fontId="272" fillId="2" borderId="0" xfId="0" applyFont="1" applyFill="1" applyAlignment="1">
      <alignment horizontal="left"/>
    </xf>
    <xf numFmtId="3" fontId="272" fillId="2" borderId="0" xfId="0" applyNumberFormat="1" applyFont="1" applyFill="1"/>
    <xf numFmtId="0" fontId="272" fillId="2" borderId="0" xfId="0" applyFont="1" applyFill="1" applyAlignment="1">
      <alignment horizontal="right"/>
    </xf>
    <xf numFmtId="0" fontId="155" fillId="22" borderId="0" xfId="0" applyFont="1" applyFill="1" applyAlignment="1">
      <alignment horizontal="center" vertical="center"/>
    </xf>
    <xf numFmtId="0" fontId="276" fillId="22" borderId="0" xfId="0" applyFont="1" applyFill="1" applyAlignment="1">
      <alignment horizontal="right"/>
    </xf>
    <xf numFmtId="0" fontId="268" fillId="22" borderId="0" xfId="0" applyFont="1" applyFill="1" applyAlignment="1">
      <alignment horizontal="right"/>
    </xf>
    <xf numFmtId="3" fontId="260" fillId="22" borderId="0" xfId="0" applyNumberFormat="1" applyFont="1" applyFill="1"/>
    <xf numFmtId="0" fontId="278" fillId="36" borderId="0" xfId="0" applyFont="1" applyFill="1" applyAlignment="1">
      <alignment vertical="center"/>
    </xf>
    <xf numFmtId="0" fontId="176" fillId="22" borderId="0" xfId="0" quotePrefix="1" applyFont="1" applyFill="1" applyAlignment="1">
      <alignment horizontal="right" vertical="center"/>
    </xf>
    <xf numFmtId="3" fontId="150" fillId="22" borderId="66" xfId="0" applyNumberFormat="1" applyFont="1" applyFill="1" applyBorder="1" applyAlignment="1">
      <alignment horizontal="center" vertical="center"/>
    </xf>
    <xf numFmtId="3" fontId="150" fillId="22" borderId="73" xfId="0" applyNumberFormat="1" applyFont="1" applyFill="1" applyBorder="1" applyAlignment="1">
      <alignment horizontal="center" vertical="center"/>
    </xf>
    <xf numFmtId="0" fontId="162" fillId="22" borderId="0" xfId="0" applyFont="1" applyFill="1" applyAlignment="1">
      <alignment vertical="center"/>
    </xf>
    <xf numFmtId="3" fontId="267" fillId="22" borderId="21" xfId="0" applyNumberFormat="1" applyFont="1" applyFill="1" applyBorder="1"/>
    <xf numFmtId="0" fontId="248" fillId="22" borderId="0" xfId="0" applyFont="1" applyFill="1" applyAlignment="1">
      <alignment wrapText="1"/>
    </xf>
    <xf numFmtId="0" fontId="282" fillId="36" borderId="76" xfId="0" applyFont="1" applyFill="1" applyBorder="1" applyAlignment="1">
      <alignment horizontal="center" vertical="center"/>
    </xf>
    <xf numFmtId="0" fontId="267" fillId="22" borderId="137" xfId="0" applyFont="1" applyFill="1" applyBorder="1" applyAlignment="1">
      <alignment vertical="center"/>
    </xf>
    <xf numFmtId="3" fontId="267" fillId="22" borderId="89" xfId="0" applyNumberFormat="1" applyFont="1" applyFill="1" applyBorder="1" applyAlignment="1">
      <alignment horizontal="center" vertical="center"/>
    </xf>
    <xf numFmtId="0" fontId="160" fillId="2" borderId="0" xfId="0" applyFont="1" applyFill="1" applyAlignment="1">
      <alignment vertical="center"/>
    </xf>
    <xf numFmtId="3" fontId="160" fillId="2" borderId="72" xfId="0" applyNumberFormat="1" applyFont="1" applyFill="1" applyBorder="1" applyAlignment="1">
      <alignment horizontal="center" vertical="center"/>
    </xf>
    <xf numFmtId="3" fontId="160" fillId="2" borderId="76" xfId="0" applyNumberFormat="1" applyFont="1" applyFill="1" applyBorder="1" applyAlignment="1">
      <alignment horizontal="center" vertical="center"/>
    </xf>
    <xf numFmtId="0" fontId="160" fillId="2" borderId="118" xfId="0" applyFont="1" applyFill="1" applyBorder="1" applyAlignment="1">
      <alignment vertical="center"/>
    </xf>
    <xf numFmtId="171" fontId="160" fillId="2" borderId="73" xfId="0" applyNumberFormat="1" applyFont="1" applyFill="1" applyBorder="1" applyAlignment="1">
      <alignment horizontal="center" vertical="center"/>
    </xf>
    <xf numFmtId="171" fontId="160" fillId="22" borderId="76" xfId="0" applyNumberFormat="1" applyFont="1" applyFill="1" applyBorder="1" applyAlignment="1">
      <alignment horizontal="center" vertical="center"/>
    </xf>
    <xf numFmtId="171" fontId="160" fillId="2" borderId="74" xfId="0" applyNumberFormat="1" applyFont="1" applyFill="1" applyBorder="1" applyAlignment="1">
      <alignment horizontal="center" vertical="center"/>
    </xf>
    <xf numFmtId="171" fontId="160" fillId="2" borderId="76" xfId="0" applyNumberFormat="1" applyFont="1" applyFill="1" applyBorder="1" applyAlignment="1">
      <alignment horizontal="center" vertical="center"/>
    </xf>
    <xf numFmtId="0" fontId="150" fillId="2" borderId="74" xfId="0" applyFont="1" applyFill="1" applyBorder="1" applyAlignment="1">
      <alignment horizontal="right" vertical="center"/>
    </xf>
    <xf numFmtId="3" fontId="150" fillId="2" borderId="74" xfId="0" applyNumberFormat="1" applyFont="1" applyFill="1" applyBorder="1" applyAlignment="1">
      <alignment horizontal="center" vertical="center"/>
    </xf>
    <xf numFmtId="3" fontId="150" fillId="2" borderId="76" xfId="0" applyNumberFormat="1" applyFont="1" applyFill="1" applyBorder="1" applyAlignment="1">
      <alignment horizontal="center" vertical="center"/>
    </xf>
    <xf numFmtId="0" fontId="150" fillId="22" borderId="77" xfId="0" applyFont="1" applyFill="1" applyBorder="1" applyAlignment="1">
      <alignment horizontal="right" vertical="center"/>
    </xf>
    <xf numFmtId="0" fontId="150" fillId="2" borderId="76" xfId="0" applyFont="1" applyFill="1" applyBorder="1" applyAlignment="1">
      <alignment horizontal="right" vertical="center"/>
    </xf>
    <xf numFmtId="0" fontId="150" fillId="22" borderId="76" xfId="0" applyFont="1" applyFill="1" applyBorder="1" applyAlignment="1">
      <alignment horizontal="right" vertical="center"/>
    </xf>
    <xf numFmtId="3" fontId="150" fillId="22" borderId="76" xfId="0" applyNumberFormat="1" applyFont="1" applyFill="1" applyBorder="1" applyAlignment="1">
      <alignment horizontal="center" vertical="center"/>
    </xf>
    <xf numFmtId="0" fontId="150" fillId="22" borderId="67" xfId="0" applyFont="1" applyFill="1" applyBorder="1" applyAlignment="1">
      <alignment horizontal="right" vertical="center"/>
    </xf>
    <xf numFmtId="3" fontId="150" fillId="22" borderId="79" xfId="0" applyNumberFormat="1" applyFont="1" applyFill="1" applyBorder="1" applyAlignment="1">
      <alignment horizontal="center" vertical="center"/>
    </xf>
    <xf numFmtId="0" fontId="150" fillId="2" borderId="77" xfId="0" applyFont="1" applyFill="1" applyBorder="1" applyAlignment="1">
      <alignment vertical="center"/>
    </xf>
    <xf numFmtId="3" fontId="150" fillId="2" borderId="72" xfId="0" applyNumberFormat="1" applyFont="1" applyFill="1" applyBorder="1" applyAlignment="1">
      <alignment horizontal="center" vertical="center"/>
    </xf>
    <xf numFmtId="0" fontId="283" fillId="22" borderId="0" xfId="0" applyFont="1" applyFill="1"/>
    <xf numFmtId="171" fontId="267" fillId="22" borderId="0" xfId="0" applyNumberFormat="1" applyFont="1" applyFill="1" applyAlignment="1">
      <alignment horizontal="center" vertical="center"/>
    </xf>
    <xf numFmtId="0" fontId="176" fillId="22" borderId="0" xfId="0" applyFont="1" applyFill="1" applyAlignment="1">
      <alignment horizontal="center"/>
    </xf>
    <xf numFmtId="0" fontId="265" fillId="22" borderId="137" xfId="0" applyFont="1" applyFill="1" applyBorder="1" applyAlignment="1">
      <alignment vertical="center"/>
    </xf>
    <xf numFmtId="3" fontId="265" fillId="22" borderId="127" xfId="0" applyNumberFormat="1" applyFont="1" applyFill="1" applyBorder="1" applyAlignment="1">
      <alignment horizontal="center" vertical="center"/>
    </xf>
    <xf numFmtId="3" fontId="265" fillId="22" borderId="137" xfId="0" applyNumberFormat="1" applyFont="1" applyFill="1" applyBorder="1" applyAlignment="1">
      <alignment horizontal="center" vertical="center"/>
    </xf>
    <xf numFmtId="3" fontId="265" fillId="22" borderId="126" xfId="0" applyNumberFormat="1" applyFont="1" applyFill="1" applyBorder="1" applyAlignment="1">
      <alignment horizontal="center" vertical="center"/>
    </xf>
    <xf numFmtId="3" fontId="265" fillId="22" borderId="89" xfId="0" applyNumberFormat="1" applyFont="1" applyFill="1" applyBorder="1" applyAlignment="1">
      <alignment horizontal="center" vertical="center"/>
    </xf>
    <xf numFmtId="3" fontId="265" fillId="22" borderId="69" xfId="0" applyNumberFormat="1" applyFont="1" applyFill="1" applyBorder="1" applyAlignment="1">
      <alignment horizontal="center" vertical="center"/>
    </xf>
    <xf numFmtId="3" fontId="265" fillId="22" borderId="118" xfId="0" applyNumberFormat="1" applyFont="1" applyFill="1" applyBorder="1" applyAlignment="1">
      <alignment horizontal="center" vertical="center"/>
    </xf>
    <xf numFmtId="3" fontId="265" fillId="22" borderId="68" xfId="0" applyNumberFormat="1" applyFont="1" applyFill="1" applyBorder="1" applyAlignment="1">
      <alignment horizontal="center" vertical="center"/>
    </xf>
    <xf numFmtId="0" fontId="285" fillId="36" borderId="76" xfId="0" applyFont="1" applyFill="1" applyBorder="1" applyAlignment="1">
      <alignment horizontal="center" vertical="center"/>
    </xf>
    <xf numFmtId="0" fontId="263" fillId="22" borderId="0" xfId="0" applyFont="1" applyFill="1"/>
    <xf numFmtId="9" fontId="69" fillId="22" borderId="0" xfId="0" applyNumberFormat="1" applyFont="1" applyFill="1"/>
    <xf numFmtId="0" fontId="69" fillId="0" borderId="0" xfId="0" applyFont="1" applyAlignment="1">
      <alignment horizontal="right"/>
    </xf>
    <xf numFmtId="0" fontId="75" fillId="40" borderId="0" xfId="0" applyFont="1" applyFill="1"/>
    <xf numFmtId="0" fontId="75" fillId="41" borderId="0" xfId="0" applyFont="1" applyFill="1"/>
    <xf numFmtId="0" fontId="267" fillId="22" borderId="0" xfId="0" applyFont="1" applyFill="1" applyAlignment="1">
      <alignment horizontal="right" vertical="center"/>
    </xf>
    <xf numFmtId="3" fontId="260" fillId="22" borderId="0" xfId="0" applyNumberFormat="1" applyFont="1" applyFill="1" applyAlignment="1">
      <alignment horizontal="center" vertical="center"/>
    </xf>
    <xf numFmtId="0" fontId="276" fillId="22" borderId="21" xfId="0" applyFont="1" applyFill="1" applyBorder="1"/>
    <xf numFmtId="3" fontId="264" fillId="22" borderId="0" xfId="0" applyNumberFormat="1" applyFont="1" applyFill="1" applyAlignment="1">
      <alignment horizontal="center"/>
    </xf>
    <xf numFmtId="9" fontId="264" fillId="22" borderId="0" xfId="0" applyNumberFormat="1" applyFont="1" applyFill="1" applyAlignment="1">
      <alignment horizontal="center"/>
    </xf>
    <xf numFmtId="0" fontId="276" fillId="22" borderId="0" xfId="0" applyFont="1" applyFill="1"/>
    <xf numFmtId="1" fontId="70" fillId="2" borderId="70" xfId="0" applyNumberFormat="1" applyFont="1" applyFill="1" applyBorder="1" applyAlignment="1">
      <alignment horizontal="center" vertical="center" wrapText="1"/>
    </xf>
    <xf numFmtId="1" fontId="70" fillId="2" borderId="74" xfId="0" applyNumberFormat="1" applyFont="1" applyFill="1" applyBorder="1" applyAlignment="1">
      <alignment horizontal="center" vertical="center" wrapText="1"/>
    </xf>
    <xf numFmtId="1" fontId="70" fillId="2" borderId="71" xfId="0" applyNumberFormat="1" applyFont="1" applyFill="1" applyBorder="1" applyAlignment="1">
      <alignment horizontal="center" vertical="center" wrapText="1"/>
    </xf>
    <xf numFmtId="170" fontId="56" fillId="2" borderId="134" xfId="0" applyNumberFormat="1" applyFont="1" applyFill="1" applyBorder="1" applyAlignment="1">
      <alignment horizontal="center" vertical="center" wrapText="1"/>
    </xf>
    <xf numFmtId="170" fontId="56" fillId="2" borderId="135" xfId="0" applyNumberFormat="1" applyFont="1" applyFill="1" applyBorder="1" applyAlignment="1">
      <alignment horizontal="center" vertical="center" wrapText="1"/>
    </xf>
    <xf numFmtId="170" fontId="56" fillId="2" borderId="136" xfId="0" applyNumberFormat="1" applyFont="1" applyFill="1" applyBorder="1" applyAlignment="1">
      <alignment horizontal="center" vertical="center" wrapText="1"/>
    </xf>
    <xf numFmtId="0" fontId="44" fillId="11" borderId="0" xfId="0" applyFont="1" applyFill="1" applyAlignment="1">
      <alignment horizontal="right"/>
    </xf>
    <xf numFmtId="0" fontId="44" fillId="25" borderId="0" xfId="0" applyFont="1" applyFill="1" applyAlignment="1">
      <alignment horizontal="right"/>
    </xf>
    <xf numFmtId="0" fontId="3" fillId="21" borderId="0" xfId="0" applyFont="1" applyFill="1" applyAlignment="1">
      <alignment horizontal="right"/>
    </xf>
    <xf numFmtId="0" fontId="44" fillId="2" borderId="21" xfId="0" applyFont="1" applyFill="1" applyBorder="1" applyAlignment="1">
      <alignment horizontal="right"/>
    </xf>
    <xf numFmtId="0" fontId="279" fillId="12" borderId="0" xfId="0" applyFont="1" applyFill="1"/>
    <xf numFmtId="0" fontId="7" fillId="22" borderId="0" xfId="0" applyFont="1" applyFill="1" applyAlignment="1">
      <alignment horizontal="left" vertical="center" indent="20"/>
    </xf>
    <xf numFmtId="0" fontId="7" fillId="22" borderId="0" xfId="0" applyFont="1" applyFill="1" applyAlignment="1">
      <alignment horizontal="left" indent="17"/>
    </xf>
    <xf numFmtId="0" fontId="7" fillId="22" borderId="0" xfId="0" applyFont="1" applyFill="1"/>
    <xf numFmtId="0" fontId="287" fillId="19" borderId="0" xfId="0" applyFont="1" applyFill="1"/>
    <xf numFmtId="0" fontId="25" fillId="22" borderId="0" xfId="0" applyFont="1" applyFill="1"/>
    <xf numFmtId="0" fontId="42" fillId="22" borderId="0" xfId="0" applyFont="1" applyFill="1" applyAlignment="1">
      <alignment vertical="top"/>
    </xf>
    <xf numFmtId="0" fontId="23" fillId="22" borderId="0" xfId="3" applyFill="1" applyAlignment="1" applyProtection="1">
      <alignment horizontal="center"/>
      <protection locked="0"/>
    </xf>
    <xf numFmtId="0" fontId="5" fillId="22" borderId="0" xfId="0" applyFont="1" applyFill="1" applyAlignment="1">
      <alignment horizontal="center"/>
    </xf>
    <xf numFmtId="0" fontId="288" fillId="19" borderId="0" xfId="0" applyFont="1" applyFill="1" applyAlignment="1">
      <alignment horizontal="left" vertical="center" indent="2"/>
    </xf>
    <xf numFmtId="4" fontId="97" fillId="11" borderId="8" xfId="0" applyNumberFormat="1" applyFont="1" applyFill="1" applyBorder="1" applyAlignment="1">
      <alignment horizontal="center"/>
    </xf>
    <xf numFmtId="0" fontId="30" fillId="0" borderId="11" xfId="0" applyFont="1" applyBorder="1"/>
    <xf numFmtId="2" fontId="37" fillId="11" borderId="12" xfId="0" applyNumberFormat="1" applyFont="1" applyFill="1" applyBorder="1" applyAlignment="1">
      <alignment horizontal="center"/>
    </xf>
    <xf numFmtId="2" fontId="0" fillId="11" borderId="10" xfId="0" applyNumberFormat="1" applyFill="1" applyBorder="1" applyAlignment="1">
      <alignment horizontal="center" vertical="center"/>
    </xf>
    <xf numFmtId="2" fontId="0" fillId="11" borderId="9" xfId="0" applyNumberFormat="1" applyFill="1" applyBorder="1" applyAlignment="1">
      <alignment horizontal="center" vertical="center"/>
    </xf>
    <xf numFmtId="2" fontId="37" fillId="25" borderId="12" xfId="0" applyNumberFormat="1" applyFont="1" applyFill="1" applyBorder="1" applyAlignment="1">
      <alignment horizontal="center"/>
    </xf>
    <xf numFmtId="2" fontId="37" fillId="25" borderId="10" xfId="0" applyNumberFormat="1" applyFont="1" applyFill="1" applyBorder="1" applyAlignment="1">
      <alignment horizontal="center"/>
    </xf>
    <xf numFmtId="2" fontId="0" fillId="21" borderId="12" xfId="0" applyNumberFormat="1" applyFill="1" applyBorder="1" applyAlignment="1">
      <alignment horizontal="center"/>
    </xf>
    <xf numFmtId="2" fontId="0" fillId="21" borderId="10" xfId="0" applyNumberFormat="1" applyFill="1" applyBorder="1" applyAlignment="1">
      <alignment horizontal="center"/>
    </xf>
    <xf numFmtId="2" fontId="0" fillId="12" borderId="12" xfId="0" applyNumberFormat="1" applyFill="1" applyBorder="1" applyAlignment="1">
      <alignment horizontal="center"/>
    </xf>
    <xf numFmtId="2" fontId="0" fillId="12" borderId="10" xfId="0" applyNumberFormat="1" applyFill="1" applyBorder="1" applyAlignment="1">
      <alignment horizontal="center"/>
    </xf>
    <xf numFmtId="0" fontId="112" fillId="19" borderId="0" xfId="0" applyFont="1" applyFill="1" applyAlignment="1">
      <alignment horizontal="left" vertical="center"/>
    </xf>
    <xf numFmtId="2" fontId="96" fillId="19" borderId="72" xfId="0" applyNumberFormat="1" applyFont="1" applyFill="1" applyBorder="1" applyAlignment="1" applyProtection="1">
      <alignment horizontal="center"/>
      <protection locked="0"/>
    </xf>
    <xf numFmtId="0" fontId="287" fillId="36" borderId="0" xfId="0" applyFont="1" applyFill="1"/>
    <xf numFmtId="0" fontId="287" fillId="36" borderId="0" xfId="0" applyFont="1" applyFill="1" applyAlignment="1">
      <alignment horizontal="center"/>
    </xf>
    <xf numFmtId="0" fontId="289" fillId="36" borderId="0" xfId="0" applyFont="1" applyFill="1"/>
    <xf numFmtId="0" fontId="287" fillId="22" borderId="0" xfId="0" applyFont="1" applyFill="1"/>
    <xf numFmtId="0" fontId="290" fillId="22" borderId="0" xfId="0" applyFont="1" applyFill="1" applyAlignment="1">
      <alignment horizontal="center"/>
    </xf>
    <xf numFmtId="0" fontId="287" fillId="22" borderId="0" xfId="0" applyFont="1" applyFill="1" applyAlignment="1">
      <alignment horizontal="center"/>
    </xf>
    <xf numFmtId="0" fontId="3" fillId="6" borderId="8" xfId="0" applyFont="1" applyFill="1" applyBorder="1" applyAlignment="1">
      <alignment horizontal="center"/>
    </xf>
    <xf numFmtId="0" fontId="22" fillId="6" borderId="8" xfId="0" applyFont="1" applyFill="1" applyBorder="1" applyAlignment="1">
      <alignment horizontal="center"/>
    </xf>
    <xf numFmtId="2" fontId="96" fillId="19" borderId="72" xfId="0" applyNumberFormat="1" applyFont="1" applyFill="1" applyBorder="1" applyAlignment="1">
      <alignment horizontal="center"/>
    </xf>
    <xf numFmtId="0" fontId="4" fillId="11" borderId="0" xfId="0" applyFont="1" applyFill="1" applyAlignment="1">
      <alignment horizontal="center" vertical="center"/>
    </xf>
    <xf numFmtId="1" fontId="10" fillId="2" borderId="94" xfId="0" applyNumberFormat="1" applyFont="1" applyFill="1" applyBorder="1" applyAlignment="1">
      <alignment horizontal="center"/>
    </xf>
    <xf numFmtId="1" fontId="96" fillId="19" borderId="72" xfId="0" applyNumberFormat="1" applyFont="1" applyFill="1" applyBorder="1" applyAlignment="1">
      <alignment horizontal="center"/>
    </xf>
    <xf numFmtId="4" fontId="4" fillId="11" borderId="72" xfId="0" applyNumberFormat="1" applyFont="1" applyFill="1" applyBorder="1" applyAlignment="1">
      <alignment horizontal="center"/>
    </xf>
    <xf numFmtId="4" fontId="4" fillId="11" borderId="67" xfId="0" applyNumberFormat="1" applyFont="1" applyFill="1" applyBorder="1" applyAlignment="1">
      <alignment horizontal="center"/>
    </xf>
    <xf numFmtId="4" fontId="4" fillId="25" borderId="73" xfId="0" applyNumberFormat="1" applyFont="1" applyFill="1" applyBorder="1" applyAlignment="1">
      <alignment horizontal="center"/>
    </xf>
    <xf numFmtId="4" fontId="4" fillId="25" borderId="69" xfId="0" applyNumberFormat="1" applyFont="1" applyFill="1" applyBorder="1" applyAlignment="1">
      <alignment horizontal="center"/>
    </xf>
    <xf numFmtId="4" fontId="10" fillId="21" borderId="73" xfId="0" applyNumberFormat="1" applyFont="1" applyFill="1" applyBorder="1" applyAlignment="1">
      <alignment horizontal="center"/>
    </xf>
    <xf numFmtId="4" fontId="10" fillId="21" borderId="69" xfId="0" applyNumberFormat="1" applyFont="1" applyFill="1" applyBorder="1" applyAlignment="1">
      <alignment horizontal="center"/>
    </xf>
    <xf numFmtId="4" fontId="10" fillId="2" borderId="94" xfId="0" applyNumberFormat="1" applyFont="1" applyFill="1" applyBorder="1" applyAlignment="1">
      <alignment horizontal="center"/>
    </xf>
    <xf numFmtId="4" fontId="10" fillId="2" borderId="87" xfId="0" applyNumberFormat="1" applyFont="1" applyFill="1" applyBorder="1" applyAlignment="1">
      <alignment horizontal="center"/>
    </xf>
    <xf numFmtId="0" fontId="50" fillId="6" borderId="21" xfId="0" applyFont="1" applyFill="1" applyBorder="1"/>
    <xf numFmtId="164" fontId="22" fillId="6" borderId="8" xfId="0" applyNumberFormat="1" applyFont="1" applyFill="1" applyBorder="1" applyAlignment="1">
      <alignment horizontal="center"/>
    </xf>
    <xf numFmtId="164" fontId="22" fillId="6" borderId="9" xfId="0" applyNumberFormat="1" applyFont="1" applyFill="1" applyBorder="1" applyAlignment="1">
      <alignment horizontal="center"/>
    </xf>
    <xf numFmtId="0" fontId="10" fillId="2" borderId="21" xfId="0" applyFont="1" applyFill="1" applyBorder="1" applyAlignment="1">
      <alignment horizontal="center"/>
    </xf>
    <xf numFmtId="0" fontId="228" fillId="12" borderId="0" xfId="0" applyFont="1" applyFill="1" applyAlignment="1">
      <alignment horizontal="center"/>
    </xf>
    <xf numFmtId="0" fontId="206" fillId="12" borderId="0" xfId="0" applyFont="1" applyFill="1" applyAlignment="1">
      <alignment horizontal="center"/>
    </xf>
    <xf numFmtId="3" fontId="160" fillId="42" borderId="66" xfId="0" applyNumberFormat="1" applyFont="1" applyFill="1" applyBorder="1" applyAlignment="1">
      <alignment horizontal="center" vertical="center"/>
    </xf>
    <xf numFmtId="3" fontId="160" fillId="42" borderId="67" xfId="0" applyNumberFormat="1" applyFont="1" applyFill="1" applyBorder="1" applyAlignment="1">
      <alignment horizontal="center" vertical="center"/>
    </xf>
    <xf numFmtId="3" fontId="160" fillId="3" borderId="66" xfId="0" applyNumberFormat="1" applyFont="1" applyFill="1" applyBorder="1" applyAlignment="1">
      <alignment horizontal="center" vertical="center"/>
    </xf>
    <xf numFmtId="3" fontId="160" fillId="3" borderId="69" xfId="0" applyNumberFormat="1" applyFont="1" applyFill="1" applyBorder="1" applyAlignment="1">
      <alignment horizontal="center" vertical="center"/>
    </xf>
    <xf numFmtId="3" fontId="160" fillId="48" borderId="74" xfId="0" applyNumberFormat="1" applyFont="1" applyFill="1" applyBorder="1" applyAlignment="1">
      <alignment horizontal="center" vertical="center"/>
    </xf>
    <xf numFmtId="3" fontId="160" fillId="48" borderId="66" xfId="0" applyNumberFormat="1" applyFont="1" applyFill="1" applyBorder="1" applyAlignment="1">
      <alignment horizontal="center" vertical="center"/>
    </xf>
    <xf numFmtId="3" fontId="150" fillId="35" borderId="66" xfId="0" applyNumberFormat="1" applyFont="1" applyFill="1" applyBorder="1" applyAlignment="1">
      <alignment horizontal="center" vertical="center"/>
    </xf>
    <xf numFmtId="3" fontId="150" fillId="35" borderId="68" xfId="0" applyNumberFormat="1" applyFont="1" applyFill="1" applyBorder="1" applyAlignment="1">
      <alignment horizontal="center" vertical="center"/>
    </xf>
    <xf numFmtId="3" fontId="150" fillId="2" borderId="66" xfId="0" applyNumberFormat="1" applyFont="1" applyFill="1" applyBorder="1" applyAlignment="1">
      <alignment horizontal="center" vertical="center"/>
    </xf>
    <xf numFmtId="3" fontId="150" fillId="2" borderId="73" xfId="0" applyNumberFormat="1" applyFont="1" applyFill="1" applyBorder="1" applyAlignment="1">
      <alignment horizontal="center" vertical="center"/>
    </xf>
    <xf numFmtId="3" fontId="150" fillId="42" borderId="72" xfId="0" applyNumberFormat="1" applyFont="1" applyFill="1" applyBorder="1" applyAlignment="1">
      <alignment horizontal="center" vertical="center"/>
    </xf>
    <xf numFmtId="0" fontId="190" fillId="12" borderId="0" xfId="0" applyFont="1" applyFill="1"/>
    <xf numFmtId="3" fontId="4" fillId="25" borderId="0" xfId="0" applyNumberFormat="1" applyFont="1" applyFill="1" applyAlignment="1">
      <alignment horizontal="center"/>
    </xf>
    <xf numFmtId="3" fontId="4" fillId="11" borderId="0" xfId="0" applyNumberFormat="1" applyFont="1" applyFill="1" applyAlignment="1">
      <alignment horizontal="center"/>
    </xf>
    <xf numFmtId="3" fontId="5" fillId="11" borderId="0" xfId="0" applyNumberFormat="1" applyFont="1" applyFill="1" applyAlignment="1">
      <alignment horizontal="center"/>
    </xf>
    <xf numFmtId="3" fontId="5" fillId="25" borderId="0" xfId="0" applyNumberFormat="1" applyFont="1" applyFill="1" applyAlignment="1">
      <alignment horizontal="center"/>
    </xf>
    <xf numFmtId="173" fontId="161" fillId="10" borderId="0" xfId="0" applyNumberFormat="1" applyFont="1" applyFill="1" applyAlignment="1">
      <alignment horizontal="center" vertical="top"/>
    </xf>
    <xf numFmtId="0" fontId="10" fillId="0" borderId="0" xfId="0" applyFont="1" applyAlignment="1">
      <alignment horizontal="left" wrapText="1"/>
    </xf>
    <xf numFmtId="0" fontId="10" fillId="0" borderId="0" xfId="0" applyFont="1" applyAlignment="1">
      <alignment wrapText="1"/>
    </xf>
    <xf numFmtId="0" fontId="4" fillId="0" borderId="0" xfId="0" applyFont="1" applyAlignment="1">
      <alignment wrapText="1"/>
    </xf>
    <xf numFmtId="173" fontId="0" fillId="0" borderId="0" xfId="0" applyNumberFormat="1"/>
    <xf numFmtId="173" fontId="0" fillId="0" borderId="0" xfId="0" applyNumberFormat="1" applyAlignment="1">
      <alignment horizontal="center"/>
    </xf>
    <xf numFmtId="0" fontId="264" fillId="22" borderId="21" xfId="0" applyFont="1" applyFill="1" applyBorder="1" applyAlignment="1">
      <alignment horizontal="center"/>
    </xf>
    <xf numFmtId="0" fontId="276" fillId="22" borderId="21" xfId="0" applyFont="1" applyFill="1" applyBorder="1" applyAlignment="1">
      <alignment horizontal="left"/>
    </xf>
    <xf numFmtId="3" fontId="267" fillId="22" borderId="0" xfId="0" applyNumberFormat="1" applyFont="1" applyFill="1"/>
    <xf numFmtId="3" fontId="81" fillId="22" borderId="0" xfId="0" applyNumberFormat="1" applyFont="1" applyFill="1" applyAlignment="1">
      <alignment horizontal="center"/>
    </xf>
    <xf numFmtId="0" fontId="176" fillId="22" borderId="0" xfId="0" applyFont="1" applyFill="1" applyAlignment="1" applyProtection="1">
      <alignment horizontal="center"/>
      <protection locked="0"/>
    </xf>
    <xf numFmtId="4" fontId="161" fillId="10" borderId="0" xfId="0" applyNumberFormat="1" applyFont="1" applyFill="1" applyAlignment="1">
      <alignment horizontal="center" vertical="center"/>
    </xf>
    <xf numFmtId="3" fontId="150" fillId="22" borderId="58" xfId="0" applyNumberFormat="1" applyFont="1" applyFill="1" applyBorder="1" applyAlignment="1" applyProtection="1">
      <alignment horizontal="center" vertical="center"/>
      <protection locked="0"/>
    </xf>
    <xf numFmtId="0" fontId="173" fillId="36" borderId="0" xfId="0" applyFont="1" applyFill="1" applyAlignment="1" applyProtection="1">
      <alignment vertical="center"/>
      <protection locked="0"/>
    </xf>
    <xf numFmtId="0" fontId="174" fillId="22" borderId="102" xfId="0" applyFont="1" applyFill="1" applyBorder="1" applyAlignment="1" applyProtection="1">
      <alignment horizontal="left"/>
      <protection locked="0"/>
    </xf>
    <xf numFmtId="0" fontId="174" fillId="22" borderId="103" xfId="0" applyFont="1" applyFill="1" applyBorder="1" applyAlignment="1" applyProtection="1">
      <alignment horizontal="left"/>
      <protection locked="0"/>
    </xf>
    <xf numFmtId="0" fontId="174" fillId="22" borderId="104" xfId="0" applyFont="1" applyFill="1" applyBorder="1" applyAlignment="1" applyProtection="1">
      <alignment horizontal="left"/>
      <protection locked="0"/>
    </xf>
    <xf numFmtId="171" fontId="161" fillId="22" borderId="0" xfId="0" applyNumberFormat="1" applyFont="1" applyFill="1" applyAlignment="1" applyProtection="1">
      <alignment horizontal="center" vertical="center"/>
      <protection locked="0"/>
    </xf>
    <xf numFmtId="171" fontId="150" fillId="22" borderId="0" xfId="0" applyNumberFormat="1" applyFont="1" applyFill="1" applyAlignment="1" applyProtection="1">
      <alignment horizontal="center" vertical="center" wrapText="1"/>
      <protection locked="0"/>
    </xf>
    <xf numFmtId="171" fontId="150" fillId="22" borderId="0" xfId="0" applyNumberFormat="1" applyFont="1" applyFill="1" applyAlignment="1" applyProtection="1">
      <alignment horizontal="center" vertical="top"/>
      <protection locked="0"/>
    </xf>
    <xf numFmtId="171" fontId="161" fillId="22" borderId="0" xfId="0" applyNumberFormat="1" applyFont="1" applyFill="1" applyAlignment="1" applyProtection="1">
      <alignment horizontal="center" vertical="top"/>
      <protection locked="0"/>
    </xf>
    <xf numFmtId="0" fontId="150" fillId="22" borderId="0" xfId="0" applyFont="1" applyFill="1" applyAlignment="1" applyProtection="1">
      <alignment horizontal="center" vertical="center" wrapText="1"/>
      <protection locked="0"/>
    </xf>
    <xf numFmtId="0" fontId="150" fillId="2" borderId="0" xfId="0" applyFont="1" applyFill="1" applyProtection="1">
      <protection locked="0"/>
    </xf>
    <xf numFmtId="0" fontId="179" fillId="36" borderId="0" xfId="0" applyFont="1" applyFill="1" applyAlignment="1" applyProtection="1">
      <alignment horizontal="center" vertical="center"/>
      <protection locked="0"/>
    </xf>
    <xf numFmtId="0" fontId="150" fillId="22" borderId="0" xfId="0" applyFont="1" applyFill="1" applyAlignment="1" applyProtection="1">
      <alignment horizontal="center" vertical="top" wrapText="1"/>
      <protection locked="0"/>
    </xf>
    <xf numFmtId="0" fontId="161" fillId="22" borderId="0" xfId="0" applyFont="1" applyFill="1" applyAlignment="1" applyProtection="1">
      <alignment horizontal="center"/>
      <protection locked="0"/>
    </xf>
    <xf numFmtId="0" fontId="174" fillId="22" borderId="102" xfId="0" applyFont="1" applyFill="1" applyBorder="1" applyProtection="1">
      <protection locked="0"/>
    </xf>
    <xf numFmtId="0" fontId="174" fillId="22" borderId="103" xfId="0" applyFont="1" applyFill="1" applyBorder="1" applyProtection="1">
      <protection locked="0"/>
    </xf>
    <xf numFmtId="0" fontId="174" fillId="22" borderId="104" xfId="0" applyFont="1" applyFill="1" applyBorder="1" applyProtection="1">
      <protection locked="0"/>
    </xf>
    <xf numFmtId="0" fontId="150" fillId="22" borderId="0" xfId="0" applyFont="1" applyFill="1" applyAlignment="1" applyProtection="1">
      <alignment horizontal="center" vertical="top"/>
      <protection locked="0"/>
    </xf>
    <xf numFmtId="0" fontId="161" fillId="22" borderId="0" xfId="0" applyFont="1" applyFill="1" applyAlignment="1" applyProtection="1">
      <alignment horizontal="center" vertical="center"/>
      <protection locked="0"/>
    </xf>
    <xf numFmtId="0" fontId="174" fillId="22" borderId="59" xfId="0" applyFont="1" applyFill="1" applyBorder="1" applyAlignment="1" applyProtection="1">
      <alignment horizontal="center" vertical="center"/>
      <protection locked="0"/>
    </xf>
    <xf numFmtId="4" fontId="161" fillId="22" borderId="60" xfId="0" applyNumberFormat="1" applyFont="1" applyFill="1" applyBorder="1" applyAlignment="1" applyProtection="1">
      <alignment horizontal="center" vertical="center"/>
      <protection locked="0"/>
    </xf>
    <xf numFmtId="0" fontId="161" fillId="22" borderId="0" xfId="0" applyFont="1" applyFill="1" applyAlignment="1" applyProtection="1">
      <alignment horizontal="left" vertical="center" indent="1"/>
      <protection locked="0"/>
    </xf>
    <xf numFmtId="2" fontId="29" fillId="2" borderId="8" xfId="0" quotePrefix="1" applyNumberFormat="1" applyFont="1" applyFill="1" applyBorder="1" applyAlignment="1">
      <alignment horizontal="center" vertical="center" wrapText="1"/>
    </xf>
    <xf numFmtId="2" fontId="29" fillId="2" borderId="8" xfId="0" applyNumberFormat="1" applyFont="1" applyFill="1" applyBorder="1" applyAlignment="1">
      <alignment horizontal="center" vertical="top" wrapText="1"/>
    </xf>
    <xf numFmtId="2" fontId="29" fillId="2" borderId="9" xfId="0" quotePrefix="1" applyNumberFormat="1" applyFont="1" applyFill="1" applyBorder="1" applyAlignment="1">
      <alignment horizontal="center" vertical="center" wrapText="1"/>
    </xf>
    <xf numFmtId="2" fontId="29" fillId="2" borderId="9" xfId="0" applyNumberFormat="1" applyFont="1" applyFill="1" applyBorder="1" applyAlignment="1">
      <alignment horizontal="center" vertical="top" wrapText="1"/>
    </xf>
    <xf numFmtId="0" fontId="10" fillId="2" borderId="8" xfId="0" applyFont="1" applyFill="1" applyBorder="1" applyAlignment="1">
      <alignment horizontal="center"/>
    </xf>
    <xf numFmtId="2" fontId="10" fillId="2" borderId="8" xfId="0" applyNumberFormat="1" applyFont="1" applyFill="1" applyBorder="1" applyAlignment="1">
      <alignment horizontal="center"/>
    </xf>
    <xf numFmtId="164" fontId="10" fillId="2" borderId="8" xfId="0" applyNumberFormat="1" applyFont="1" applyFill="1" applyBorder="1" applyAlignment="1">
      <alignment horizontal="center"/>
    </xf>
    <xf numFmtId="2" fontId="10" fillId="2" borderId="8" xfId="0" applyNumberFormat="1" applyFont="1" applyFill="1" applyBorder="1" applyAlignment="1">
      <alignment horizontal="center" vertical="center" wrapText="1"/>
    </xf>
    <xf numFmtId="1" fontId="10" fillId="2" borderId="8" xfId="0" applyNumberFormat="1" applyFont="1" applyFill="1" applyBorder="1" applyAlignment="1">
      <alignment horizontal="center"/>
    </xf>
    <xf numFmtId="2" fontId="10" fillId="2" borderId="9" xfId="0" applyNumberFormat="1" applyFont="1" applyFill="1" applyBorder="1" applyAlignment="1">
      <alignment horizontal="center"/>
    </xf>
    <xf numFmtId="164" fontId="10" fillId="2" borderId="9" xfId="0" applyNumberFormat="1" applyFont="1" applyFill="1" applyBorder="1" applyAlignment="1">
      <alignment horizontal="center"/>
    </xf>
    <xf numFmtId="2" fontId="10" fillId="2" borderId="9" xfId="0" applyNumberFormat="1" applyFont="1" applyFill="1" applyBorder="1" applyAlignment="1">
      <alignment horizontal="center" vertical="center" wrapText="1"/>
    </xf>
    <xf numFmtId="0" fontId="10" fillId="25" borderId="8" xfId="0" applyFont="1" applyFill="1" applyBorder="1" applyAlignment="1">
      <alignment horizontal="center"/>
    </xf>
    <xf numFmtId="2" fontId="10" fillId="25" borderId="8" xfId="0" applyNumberFormat="1" applyFont="1" applyFill="1" applyBorder="1" applyAlignment="1">
      <alignment horizontal="center"/>
    </xf>
    <xf numFmtId="165" fontId="10" fillId="25" borderId="8" xfId="0" applyNumberFormat="1" applyFont="1" applyFill="1" applyBorder="1" applyAlignment="1">
      <alignment horizontal="center"/>
    </xf>
    <xf numFmtId="2" fontId="10" fillId="21" borderId="8" xfId="0" applyNumberFormat="1" applyFont="1" applyFill="1" applyBorder="1" applyAlignment="1">
      <alignment horizontal="center"/>
    </xf>
    <xf numFmtId="165" fontId="10" fillId="21" borderId="8" xfId="0" applyNumberFormat="1" applyFont="1" applyFill="1" applyBorder="1" applyAlignment="1">
      <alignment horizontal="center"/>
    </xf>
    <xf numFmtId="165" fontId="10" fillId="2" borderId="8" xfId="0" applyNumberFormat="1" applyFont="1" applyFill="1" applyBorder="1" applyAlignment="1">
      <alignment horizontal="center"/>
    </xf>
    <xf numFmtId="0" fontId="10" fillId="2" borderId="7" xfId="0" applyFont="1" applyFill="1" applyBorder="1" applyAlignment="1">
      <alignment horizontal="center"/>
    </xf>
    <xf numFmtId="2" fontId="4" fillId="2" borderId="7" xfId="0" applyNumberFormat="1" applyFont="1" applyFill="1" applyBorder="1" applyAlignment="1">
      <alignment horizontal="center"/>
    </xf>
    <xf numFmtId="2" fontId="4" fillId="2" borderId="8" xfId="0" applyNumberFormat="1" applyFont="1" applyFill="1" applyBorder="1" applyAlignment="1">
      <alignment horizontal="center"/>
    </xf>
    <xf numFmtId="2" fontId="4" fillId="2" borderId="9" xfId="0" applyNumberFormat="1" applyFont="1" applyFill="1" applyBorder="1" applyAlignment="1">
      <alignment horizontal="center"/>
    </xf>
    <xf numFmtId="0" fontId="67" fillId="22" borderId="0" xfId="0" applyFont="1" applyFill="1"/>
    <xf numFmtId="0" fontId="150" fillId="22" borderId="0" xfId="0" applyFont="1" applyFill="1" applyAlignment="1">
      <alignment horizontal="center" vertical="center"/>
    </xf>
    <xf numFmtId="0" fontId="173" fillId="36" borderId="0" xfId="0" applyFont="1" applyFill="1" applyAlignment="1">
      <alignment horizontal="center" vertical="center"/>
    </xf>
    <xf numFmtId="0" fontId="179" fillId="36" borderId="0" xfId="0" applyFont="1" applyFill="1" applyAlignment="1" applyProtection="1">
      <alignment vertical="center"/>
      <protection locked="0"/>
    </xf>
    <xf numFmtId="0" fontId="161" fillId="22" borderId="0" xfId="0" applyFont="1" applyFill="1" applyAlignment="1" applyProtection="1">
      <alignment horizontal="left" vertical="center"/>
      <protection locked="0"/>
    </xf>
    <xf numFmtId="171" fontId="161" fillId="22" borderId="128" xfId="0" applyNumberFormat="1" applyFont="1" applyFill="1" applyBorder="1" applyAlignment="1" applyProtection="1">
      <alignment horizontal="center" vertical="center"/>
      <protection locked="0"/>
    </xf>
    <xf numFmtId="3" fontId="150" fillId="22" borderId="0" xfId="0" applyNumberFormat="1" applyFont="1" applyFill="1" applyAlignment="1">
      <alignment vertical="center"/>
    </xf>
    <xf numFmtId="0" fontId="211" fillId="10" borderId="0" xfId="0" applyFont="1" applyFill="1" applyAlignment="1">
      <alignment horizontal="left" vertical="center" indent="2"/>
    </xf>
    <xf numFmtId="0" fontId="211" fillId="22" borderId="0" xfId="0" applyFont="1" applyFill="1" applyAlignment="1">
      <alignment horizontal="left" vertical="center"/>
    </xf>
    <xf numFmtId="0" fontId="160" fillId="10" borderId="21" xfId="0" applyFont="1" applyFill="1" applyBorder="1" applyAlignment="1">
      <alignment vertical="center"/>
    </xf>
    <xf numFmtId="0" fontId="150" fillId="10" borderId="21" xfId="0" applyFont="1" applyFill="1" applyBorder="1" applyAlignment="1">
      <alignment vertical="center"/>
    </xf>
    <xf numFmtId="0" fontId="160" fillId="12" borderId="0" xfId="0" applyFont="1" applyFill="1" applyAlignment="1">
      <alignment vertical="center"/>
    </xf>
    <xf numFmtId="0" fontId="160" fillId="12" borderId="21" xfId="0" applyFont="1" applyFill="1" applyBorder="1" applyAlignment="1">
      <alignment vertical="center"/>
    </xf>
    <xf numFmtId="0" fontId="150" fillId="12" borderId="21" xfId="0" applyFont="1" applyFill="1" applyBorder="1" applyAlignment="1">
      <alignment vertical="center"/>
    </xf>
    <xf numFmtId="0" fontId="160" fillId="10" borderId="0" xfId="0" applyFont="1" applyFill="1" applyAlignment="1">
      <alignment vertical="center"/>
    </xf>
    <xf numFmtId="0" fontId="160" fillId="10" borderId="0" xfId="0" applyFont="1" applyFill="1" applyAlignment="1">
      <alignment horizontal="left" vertical="center"/>
    </xf>
    <xf numFmtId="0" fontId="160" fillId="10" borderId="0" xfId="0" applyFont="1" applyFill="1" applyAlignment="1">
      <alignment horizontal="left" vertical="center" indent="4"/>
    </xf>
    <xf numFmtId="0" fontId="160" fillId="10" borderId="0" xfId="0" applyFont="1" applyFill="1" applyAlignment="1">
      <alignment horizontal="left" vertical="center" indent="1"/>
    </xf>
    <xf numFmtId="0" fontId="150" fillId="10" borderId="0" xfId="0" applyFont="1" applyFill="1" applyAlignment="1">
      <alignment horizontal="left" vertical="center" indent="4"/>
    </xf>
    <xf numFmtId="0" fontId="150" fillId="10" borderId="0" xfId="0" applyFont="1" applyFill="1" applyAlignment="1">
      <alignment horizontal="left" vertical="center" indent="6"/>
    </xf>
    <xf numFmtId="0" fontId="150" fillId="10" borderId="0" xfId="0" applyFont="1" applyFill="1" applyAlignment="1">
      <alignment horizontal="left" vertical="center" indent="5"/>
    </xf>
    <xf numFmtId="0" fontId="160" fillId="10" borderId="0" xfId="0" applyFont="1" applyFill="1" applyAlignment="1">
      <alignment horizontal="left" vertical="center" indent="3"/>
    </xf>
    <xf numFmtId="0" fontId="150" fillId="10" borderId="0" xfId="0" applyFont="1" applyFill="1" applyAlignment="1">
      <alignment horizontal="left" vertical="center" indent="1"/>
    </xf>
    <xf numFmtId="0" fontId="150" fillId="10" borderId="0" xfId="0" applyFont="1" applyFill="1" applyAlignment="1">
      <alignment horizontal="left" vertical="center" indent="3"/>
    </xf>
    <xf numFmtId="1" fontId="150" fillId="10" borderId="0" xfId="0" applyNumberFormat="1" applyFont="1" applyFill="1" applyAlignment="1">
      <alignment horizontal="center" vertical="center"/>
    </xf>
    <xf numFmtId="4" fontId="150" fillId="10" borderId="0" xfId="0" applyNumberFormat="1" applyFont="1" applyFill="1" applyAlignment="1">
      <alignment horizontal="center" vertical="center"/>
    </xf>
    <xf numFmtId="9" fontId="150" fillId="12" borderId="0" xfId="6" applyFont="1" applyFill="1" applyBorder="1" applyAlignment="1" applyProtection="1">
      <alignment horizontal="center" vertical="center"/>
    </xf>
    <xf numFmtId="3" fontId="150" fillId="12" borderId="0" xfId="6" applyNumberFormat="1" applyFont="1" applyFill="1" applyAlignment="1" applyProtection="1">
      <alignment horizontal="center" vertical="center"/>
    </xf>
    <xf numFmtId="171" fontId="150" fillId="22" borderId="0" xfId="0" applyNumberFormat="1" applyFont="1" applyFill="1" applyAlignment="1">
      <alignment horizontal="center" vertical="center"/>
    </xf>
    <xf numFmtId="9" fontId="161" fillId="10" borderId="0" xfId="6" applyFont="1" applyFill="1" applyAlignment="1" applyProtection="1">
      <alignment horizontal="center" vertical="center"/>
    </xf>
    <xf numFmtId="0" fontId="160" fillId="10" borderId="0" xfId="0" applyFont="1" applyFill="1" applyAlignment="1">
      <alignment horizontal="right" vertical="center"/>
    </xf>
    <xf numFmtId="0" fontId="150" fillId="12" borderId="11" xfId="0" applyFont="1" applyFill="1" applyBorder="1" applyAlignment="1">
      <alignment horizontal="center" vertical="center"/>
    </xf>
    <xf numFmtId="0" fontId="160" fillId="12" borderId="11" xfId="0" applyFont="1" applyFill="1" applyBorder="1" applyAlignment="1">
      <alignment horizontal="right" vertical="center"/>
    </xf>
    <xf numFmtId="3" fontId="160" fillId="12" borderId="11" xfId="0" applyNumberFormat="1" applyFont="1" applyFill="1" applyBorder="1" applyAlignment="1">
      <alignment horizontal="center" vertical="center"/>
    </xf>
    <xf numFmtId="0" fontId="194" fillId="10" borderId="0" xfId="0" applyFont="1" applyFill="1" applyAlignment="1">
      <alignment vertical="center"/>
    </xf>
    <xf numFmtId="0" fontId="150" fillId="22" borderId="0" xfId="0" applyFont="1" applyFill="1" applyAlignment="1">
      <alignment horizontal="left" vertical="center"/>
    </xf>
    <xf numFmtId="0" fontId="167" fillId="10" borderId="21" xfId="0" applyFont="1" applyFill="1" applyBorder="1" applyAlignment="1">
      <alignment horizontal="left" vertical="center" indent="2"/>
    </xf>
    <xf numFmtId="0" fontId="161" fillId="22" borderId="0" xfId="0" applyFont="1" applyFill="1" applyAlignment="1">
      <alignment horizontal="left" vertical="center" indent="1"/>
    </xf>
    <xf numFmtId="0" fontId="150" fillId="10" borderId="0" xfId="0" applyFont="1" applyFill="1" applyAlignment="1">
      <alignment horizontal="left" vertical="center" indent="7"/>
    </xf>
    <xf numFmtId="164" fontId="150" fillId="10" borderId="0" xfId="0" applyNumberFormat="1" applyFont="1" applyFill="1" applyAlignment="1">
      <alignment horizontal="center" vertical="center"/>
    </xf>
    <xf numFmtId="9" fontId="150" fillId="10" borderId="0" xfId="6" applyFont="1" applyFill="1" applyAlignment="1" applyProtection="1">
      <alignment horizontal="center" vertical="center"/>
    </xf>
    <xf numFmtId="0" fontId="173" fillId="36" borderId="0" xfId="0" applyFont="1" applyFill="1" applyAlignment="1">
      <alignment horizontal="right" vertical="center"/>
    </xf>
    <xf numFmtId="0" fontId="161" fillId="10" borderId="0" xfId="0" quotePrefix="1" applyFont="1" applyFill="1" applyAlignment="1">
      <alignment horizontal="left" vertical="center"/>
    </xf>
    <xf numFmtId="0" fontId="167" fillId="10" borderId="21" xfId="0" applyFont="1" applyFill="1" applyBorder="1" applyAlignment="1">
      <alignment horizontal="left" vertical="center" indent="10"/>
    </xf>
    <xf numFmtId="0" fontId="160" fillId="12" borderId="21" xfId="0" applyFont="1" applyFill="1" applyBorder="1"/>
    <xf numFmtId="9" fontId="161" fillId="10" borderId="0" xfId="0" applyNumberFormat="1" applyFont="1" applyFill="1" applyAlignment="1">
      <alignment horizontal="center" vertical="center"/>
    </xf>
    <xf numFmtId="0" fontId="167" fillId="22" borderId="0" xfId="0" applyFont="1" applyFill="1" applyAlignment="1">
      <alignment horizontal="left" vertical="center"/>
    </xf>
    <xf numFmtId="0" fontId="208" fillId="22" borderId="0" xfId="0" applyFont="1" applyFill="1" applyAlignment="1">
      <alignment horizontal="left" vertical="center"/>
    </xf>
    <xf numFmtId="0" fontId="160" fillId="22" borderId="0" xfId="0" applyFont="1" applyFill="1" applyAlignment="1">
      <alignment horizontal="left" vertical="center"/>
    </xf>
    <xf numFmtId="3" fontId="150" fillId="10" borderId="0" xfId="0" applyNumberFormat="1" applyFont="1" applyFill="1" applyAlignment="1">
      <alignment vertical="center"/>
    </xf>
    <xf numFmtId="0" fontId="150" fillId="22" borderId="0" xfId="0" applyFont="1" applyFill="1" applyAlignment="1">
      <alignment horizontal="left" vertical="center" indent="4"/>
    </xf>
    <xf numFmtId="3" fontId="206" fillId="12" borderId="0" xfId="0" applyNumberFormat="1" applyFont="1" applyFill="1" applyAlignment="1">
      <alignment horizontal="center" vertical="center"/>
    </xf>
    <xf numFmtId="0" fontId="206" fillId="12" borderId="0" xfId="0" applyFont="1" applyFill="1" applyAlignment="1">
      <alignment vertical="center"/>
    </xf>
    <xf numFmtId="0" fontId="206" fillId="12" borderId="0" xfId="0" applyFont="1" applyFill="1" applyAlignment="1">
      <alignment horizontal="left" vertical="center" indent="1"/>
    </xf>
    <xf numFmtId="0" fontId="206" fillId="12" borderId="0" xfId="0" applyFont="1" applyFill="1" applyAlignment="1">
      <alignment horizontal="left"/>
    </xf>
    <xf numFmtId="0" fontId="150" fillId="10" borderId="0" xfId="0" applyFont="1" applyFill="1" applyAlignment="1">
      <alignment horizontal="right" vertical="center"/>
    </xf>
    <xf numFmtId="9" fontId="161" fillId="12" borderId="0" xfId="6" applyFont="1" applyFill="1" applyAlignment="1" applyProtection="1">
      <alignment horizontal="center" vertical="center"/>
    </xf>
    <xf numFmtId="0" fontId="210" fillId="12" borderId="0" xfId="0" applyFont="1" applyFill="1" applyAlignment="1">
      <alignment vertical="center"/>
    </xf>
    <xf numFmtId="0" fontId="160" fillId="12" borderId="21" xfId="0" applyFont="1" applyFill="1" applyBorder="1" applyAlignment="1">
      <alignment horizontal="center" vertical="center"/>
    </xf>
    <xf numFmtId="0" fontId="234" fillId="10" borderId="0" xfId="0" applyFont="1" applyFill="1" applyAlignment="1">
      <alignment horizontal="center" vertical="center"/>
    </xf>
    <xf numFmtId="0" fontId="150" fillId="22" borderId="0" xfId="0" applyFont="1" applyFill="1" applyAlignment="1" applyProtection="1">
      <alignment horizontal="left" vertical="center"/>
      <protection locked="0"/>
    </xf>
    <xf numFmtId="3" fontId="150" fillId="22" borderId="80" xfId="6" applyNumberFormat="1" applyFont="1" applyFill="1" applyBorder="1" applyAlignment="1" applyProtection="1">
      <alignment horizontal="center" vertical="center"/>
      <protection locked="0"/>
    </xf>
    <xf numFmtId="3" fontId="150" fillId="22" borderId="0" xfId="6" applyNumberFormat="1" applyFont="1" applyFill="1" applyAlignment="1" applyProtection="1">
      <alignment horizontal="center" vertical="center"/>
      <protection locked="0"/>
    </xf>
    <xf numFmtId="0" fontId="150" fillId="22" borderId="80" xfId="0" applyFont="1" applyFill="1" applyBorder="1" applyAlignment="1" applyProtection="1">
      <alignment horizontal="center" vertical="center"/>
      <protection locked="0"/>
    </xf>
    <xf numFmtId="9" fontId="206" fillId="12" borderId="0" xfId="6" applyFont="1" applyFill="1" applyAlignment="1" applyProtection="1">
      <alignment horizontal="center" vertical="center"/>
      <protection locked="0"/>
    </xf>
    <xf numFmtId="0" fontId="150" fillId="22" borderId="81" xfId="0" applyFont="1" applyFill="1" applyBorder="1" applyAlignment="1" applyProtection="1">
      <alignment horizontal="center" vertical="center"/>
      <protection locked="0"/>
    </xf>
    <xf numFmtId="0" fontId="152" fillId="36" borderId="0" xfId="0" applyFont="1" applyFill="1" applyAlignment="1" applyProtection="1">
      <alignment horizontal="left" vertical="center"/>
      <protection locked="0"/>
    </xf>
    <xf numFmtId="0" fontId="174" fillId="22" borderId="0" xfId="0" applyFont="1" applyFill="1" applyAlignment="1" applyProtection="1">
      <alignment horizontal="left"/>
      <protection locked="0"/>
    </xf>
    <xf numFmtId="0" fontId="174" fillId="22" borderId="78" xfId="0" applyFont="1" applyFill="1" applyBorder="1" applyAlignment="1" applyProtection="1">
      <alignment horizontal="left"/>
      <protection locked="0"/>
    </xf>
    <xf numFmtId="3" fontId="150" fillId="22" borderId="80" xfId="0" applyNumberFormat="1" applyFont="1" applyFill="1" applyBorder="1" applyAlignment="1" applyProtection="1">
      <alignment horizontal="center" vertical="center"/>
      <protection locked="0"/>
    </xf>
    <xf numFmtId="0" fontId="161" fillId="22" borderId="0" xfId="0" applyFont="1" applyFill="1" applyAlignment="1" applyProtection="1">
      <alignment vertical="center"/>
      <protection locked="0"/>
    </xf>
    <xf numFmtId="9" fontId="161" fillId="22" borderId="0" xfId="6" applyFont="1" applyFill="1" applyAlignment="1" applyProtection="1">
      <alignment horizontal="center" vertical="center"/>
      <protection locked="0"/>
    </xf>
    <xf numFmtId="9" fontId="161" fillId="22" borderId="81" xfId="6" applyFont="1" applyFill="1" applyBorder="1" applyAlignment="1" applyProtection="1">
      <alignment horizontal="center" vertical="center"/>
      <protection locked="0"/>
    </xf>
    <xf numFmtId="3" fontId="150" fillId="22" borderId="81" xfId="0" applyNumberFormat="1" applyFont="1" applyFill="1" applyBorder="1" applyAlignment="1" applyProtection="1">
      <alignment horizontal="center" vertical="center"/>
      <protection locked="0"/>
    </xf>
    <xf numFmtId="0" fontId="150" fillId="22" borderId="0" xfId="0" applyFont="1" applyFill="1" applyAlignment="1" applyProtection="1">
      <alignment vertical="center"/>
      <protection locked="0"/>
    </xf>
    <xf numFmtId="171" fontId="150" fillId="22" borderId="0" xfId="0" applyNumberFormat="1" applyFont="1" applyFill="1" applyAlignment="1" applyProtection="1">
      <alignment horizontal="center" vertical="center"/>
      <protection locked="0"/>
    </xf>
    <xf numFmtId="3" fontId="161" fillId="22" borderId="0" xfId="0" applyNumberFormat="1" applyFont="1" applyFill="1" applyAlignment="1" applyProtection="1">
      <alignment horizontal="center" vertical="center"/>
      <protection locked="0"/>
    </xf>
    <xf numFmtId="9" fontId="150" fillId="22" borderId="82" xfId="6" applyFont="1" applyFill="1" applyBorder="1" applyAlignment="1" applyProtection="1">
      <alignment horizontal="center" vertical="center"/>
      <protection locked="0"/>
    </xf>
    <xf numFmtId="4" fontId="150" fillId="22" borderId="0" xfId="0" applyNumberFormat="1" applyFont="1" applyFill="1" applyAlignment="1" applyProtection="1">
      <alignment horizontal="center" vertical="center"/>
      <protection locked="0"/>
    </xf>
    <xf numFmtId="9" fontId="150" fillId="22" borderId="0" xfId="6" applyFont="1" applyFill="1" applyAlignment="1" applyProtection="1">
      <alignment horizontal="center" vertical="center"/>
      <protection locked="0"/>
    </xf>
    <xf numFmtId="0" fontId="167" fillId="12" borderId="0" xfId="0" applyFont="1" applyFill="1" applyAlignment="1">
      <alignment horizontal="right"/>
    </xf>
    <xf numFmtId="0" fontId="226" fillId="36" borderId="0" xfId="0" applyFont="1" applyFill="1" applyAlignment="1">
      <alignment vertical="center"/>
    </xf>
    <xf numFmtId="0" fontId="227" fillId="36" borderId="0" xfId="0" applyFont="1" applyFill="1" applyAlignment="1">
      <alignment vertical="center"/>
    </xf>
    <xf numFmtId="0" fontId="176" fillId="10" borderId="21" xfId="0" applyFont="1" applyFill="1" applyBorder="1"/>
    <xf numFmtId="0" fontId="150" fillId="12" borderId="21" xfId="0" applyFont="1" applyFill="1" applyBorder="1" applyAlignment="1">
      <alignment horizontal="left"/>
    </xf>
    <xf numFmtId="0" fontId="160" fillId="10" borderId="0" xfId="0" applyFont="1" applyFill="1" applyAlignment="1">
      <alignment horizontal="left" indent="4"/>
    </xf>
    <xf numFmtId="3" fontId="150" fillId="12" borderId="11" xfId="0" applyNumberFormat="1" applyFont="1" applyFill="1" applyBorder="1" applyAlignment="1">
      <alignment horizontal="center"/>
    </xf>
    <xf numFmtId="0" fontId="150" fillId="12" borderId="116" xfId="0" applyFont="1" applyFill="1" applyBorder="1"/>
    <xf numFmtId="164" fontId="150" fillId="10" borderId="0" xfId="6" applyNumberFormat="1" applyFont="1" applyFill="1" applyAlignment="1" applyProtection="1">
      <alignment horizontal="center"/>
    </xf>
    <xf numFmtId="3" fontId="150" fillId="12" borderId="0" xfId="6" applyNumberFormat="1" applyFont="1" applyFill="1" applyAlignment="1" applyProtection="1">
      <alignment horizontal="center"/>
    </xf>
    <xf numFmtId="0" fontId="150" fillId="10" borderId="117" xfId="0" applyFont="1" applyFill="1" applyBorder="1"/>
    <xf numFmtId="9" fontId="150" fillId="12" borderId="0" xfId="6" applyFont="1" applyFill="1" applyAlignment="1" applyProtection="1">
      <alignment horizontal="center"/>
    </xf>
    <xf numFmtId="3" fontId="150" fillId="10" borderId="0" xfId="0" applyNumberFormat="1" applyFont="1" applyFill="1"/>
    <xf numFmtId="9" fontId="150" fillId="22" borderId="0" xfId="6" applyFont="1" applyFill="1" applyAlignment="1" applyProtection="1">
      <alignment horizontal="center"/>
      <protection locked="0"/>
    </xf>
    <xf numFmtId="3" fontId="150" fillId="22" borderId="0" xfId="6" applyNumberFormat="1" applyFont="1" applyFill="1" applyAlignment="1" applyProtection="1">
      <alignment horizontal="center"/>
      <protection locked="0"/>
    </xf>
    <xf numFmtId="0" fontId="150" fillId="12" borderId="0" xfId="0" applyFont="1" applyFill="1" applyProtection="1">
      <protection locked="0"/>
    </xf>
    <xf numFmtId="171" fontId="150" fillId="22" borderId="0" xfId="0" applyNumberFormat="1" applyFont="1" applyFill="1" applyAlignment="1" applyProtection="1">
      <alignment horizontal="center"/>
      <protection locked="0"/>
    </xf>
    <xf numFmtId="164" fontId="150" fillId="22" borderId="0" xfId="6" applyNumberFormat="1" applyFont="1" applyFill="1" applyAlignment="1" applyProtection="1">
      <alignment horizontal="center"/>
      <protection locked="0"/>
    </xf>
    <xf numFmtId="3" fontId="150" fillId="22" borderId="0" xfId="0" applyNumberFormat="1" applyFont="1" applyFill="1" applyProtection="1">
      <protection locked="0"/>
    </xf>
    <xf numFmtId="0" fontId="164" fillId="22" borderId="0" xfId="0" applyFont="1" applyFill="1" applyAlignment="1" applyProtection="1">
      <alignment horizontal="center" vertical="top" wrapText="1"/>
      <protection locked="0"/>
    </xf>
    <xf numFmtId="9" fontId="150" fillId="10" borderId="0" xfId="6" applyFont="1" applyFill="1" applyBorder="1" applyAlignment="1" applyProtection="1">
      <alignment horizontal="center"/>
    </xf>
    <xf numFmtId="173" fontId="161" fillId="22" borderId="0" xfId="0" applyNumberFormat="1" applyFont="1" applyFill="1" applyAlignment="1" applyProtection="1">
      <alignment horizontal="center"/>
      <protection locked="0"/>
    </xf>
    <xf numFmtId="173" fontId="164" fillId="22" borderId="0" xfId="0" applyNumberFormat="1" applyFont="1" applyFill="1" applyAlignment="1" applyProtection="1">
      <alignment horizontal="center" vertical="center"/>
      <protection locked="0"/>
    </xf>
    <xf numFmtId="165" fontId="161" fillId="22" borderId="0" xfId="0" applyNumberFormat="1" applyFont="1" applyFill="1" applyAlignment="1" applyProtection="1">
      <alignment horizontal="center" vertical="center"/>
      <protection locked="0"/>
    </xf>
    <xf numFmtId="9" fontId="164" fillId="22" borderId="0" xfId="6" applyFont="1" applyFill="1" applyBorder="1" applyAlignment="1" applyProtection="1">
      <alignment horizontal="center" vertical="center"/>
      <protection locked="0"/>
    </xf>
    <xf numFmtId="9" fontId="161" fillId="22" borderId="0" xfId="6" applyFont="1" applyFill="1" applyBorder="1" applyAlignment="1" applyProtection="1">
      <alignment horizontal="center" vertical="center"/>
      <protection locked="0"/>
    </xf>
    <xf numFmtId="0" fontId="176" fillId="22" borderId="0" xfId="0" applyFont="1" applyFill="1" applyAlignment="1" applyProtection="1">
      <alignment horizontal="center" vertical="center"/>
      <protection locked="0"/>
    </xf>
    <xf numFmtId="176" fontId="0" fillId="6" borderId="0" xfId="0" applyNumberFormat="1" applyFill="1" applyAlignment="1">
      <alignment horizontal="center"/>
    </xf>
    <xf numFmtId="177" fontId="0" fillId="6" borderId="8" xfId="0" applyNumberFormat="1" applyFill="1" applyBorder="1" applyAlignment="1">
      <alignment horizontal="center"/>
    </xf>
    <xf numFmtId="0" fontId="0" fillId="0" borderId="0" xfId="0" applyAlignment="1">
      <alignment vertical="top" wrapText="1"/>
    </xf>
    <xf numFmtId="0" fontId="4" fillId="0" borderId="0" xfId="0" applyFont="1" applyAlignment="1">
      <alignment horizontal="left"/>
    </xf>
    <xf numFmtId="0" fontId="23" fillId="22" borderId="0" xfId="3" applyFill="1" applyAlignment="1" applyProtection="1">
      <alignment horizontal="left"/>
    </xf>
    <xf numFmtId="0" fontId="240" fillId="9" borderId="16" xfId="0" applyFont="1" applyFill="1" applyBorder="1"/>
    <xf numFmtId="0" fontId="69" fillId="9" borderId="17" xfId="0" applyFont="1" applyFill="1" applyBorder="1"/>
    <xf numFmtId="0" fontId="69" fillId="9" borderId="22" xfId="0" applyFont="1" applyFill="1" applyBorder="1"/>
    <xf numFmtId="0" fontId="74" fillId="2" borderId="15" xfId="0" applyFont="1" applyFill="1" applyBorder="1"/>
    <xf numFmtId="171" fontId="69" fillId="22" borderId="0" xfId="0" applyNumberFormat="1" applyFont="1" applyFill="1" applyAlignment="1" applyProtection="1">
      <alignment horizontal="center"/>
      <protection locked="0"/>
    </xf>
    <xf numFmtId="0" fontId="69" fillId="2" borderId="23" xfId="0" applyFont="1" applyFill="1" applyBorder="1"/>
    <xf numFmtId="0" fontId="69" fillId="2" borderId="15" xfId="0" applyFont="1" applyFill="1" applyBorder="1"/>
    <xf numFmtId="3" fontId="69" fillId="22" borderId="0" xfId="0" applyNumberFormat="1" applyFont="1" applyFill="1" applyAlignment="1" applyProtection="1">
      <alignment horizontal="center"/>
      <protection locked="0"/>
    </xf>
    <xf numFmtId="0" fontId="69" fillId="2" borderId="20" xfId="0" applyFont="1" applyFill="1" applyBorder="1"/>
    <xf numFmtId="0" fontId="69" fillId="2" borderId="18" xfId="0" applyFont="1" applyFill="1" applyBorder="1"/>
    <xf numFmtId="0" fontId="69" fillId="2" borderId="24" xfId="0" applyFont="1" applyFill="1" applyBorder="1"/>
    <xf numFmtId="0" fontId="56" fillId="22" borderId="19" xfId="0" applyFont="1" applyFill="1" applyBorder="1"/>
    <xf numFmtId="0" fontId="69" fillId="22" borderId="37" xfId="0" applyFont="1" applyFill="1" applyBorder="1"/>
    <xf numFmtId="0" fontId="69" fillId="22" borderId="38" xfId="0" applyFont="1" applyFill="1" applyBorder="1"/>
    <xf numFmtId="0" fontId="292" fillId="22" borderId="37" xfId="0" applyFont="1" applyFill="1" applyBorder="1"/>
    <xf numFmtId="0" fontId="70" fillId="49" borderId="7" xfId="0" applyFont="1" applyFill="1" applyBorder="1" applyAlignment="1">
      <alignment horizontal="center"/>
    </xf>
    <xf numFmtId="0" fontId="88" fillId="49" borderId="2" xfId="0" applyFont="1" applyFill="1" applyBorder="1" applyAlignment="1">
      <alignment horizontal="center"/>
    </xf>
    <xf numFmtId="0" fontId="70" fillId="49" borderId="6" xfId="0" applyFont="1" applyFill="1" applyBorder="1" applyAlignment="1">
      <alignment horizontal="center"/>
    </xf>
    <xf numFmtId="0" fontId="77" fillId="49" borderId="97" xfId="0" applyFont="1" applyFill="1" applyBorder="1" applyAlignment="1">
      <alignment horizontal="center"/>
    </xf>
    <xf numFmtId="0" fontId="77" fillId="49" borderId="98" xfId="0" applyFont="1" applyFill="1" applyBorder="1" applyAlignment="1">
      <alignment horizontal="center"/>
    </xf>
    <xf numFmtId="0" fontId="81" fillId="22" borderId="0" xfId="0" applyFont="1" applyFill="1" applyAlignment="1">
      <alignment wrapText="1"/>
    </xf>
    <xf numFmtId="0" fontId="1" fillId="6" borderId="3" xfId="0" applyFont="1" applyFill="1" applyBorder="1" applyAlignment="1">
      <alignment horizontal="center"/>
    </xf>
    <xf numFmtId="0" fontId="1" fillId="6" borderId="8" xfId="0" applyFont="1" applyFill="1" applyBorder="1" applyAlignment="1">
      <alignment horizontal="center"/>
    </xf>
    <xf numFmtId="3" fontId="150" fillId="2" borderId="81" xfId="0" applyNumberFormat="1" applyFont="1" applyFill="1" applyBorder="1" applyAlignment="1" applyProtection="1">
      <alignment horizontal="left" indent="4"/>
      <protection locked="0"/>
    </xf>
    <xf numFmtId="3" fontId="150" fillId="2" borderId="111" xfId="0" applyNumberFormat="1" applyFont="1" applyFill="1" applyBorder="1" applyAlignment="1" applyProtection="1">
      <alignment horizontal="left" indent="4"/>
      <protection locked="0"/>
    </xf>
    <xf numFmtId="3" fontId="150" fillId="2" borderId="82" xfId="0" applyNumberFormat="1" applyFont="1" applyFill="1" applyBorder="1" applyAlignment="1" applyProtection="1">
      <alignment horizontal="left" indent="4"/>
      <protection locked="0"/>
    </xf>
    <xf numFmtId="9" fontId="161" fillId="22" borderId="0" xfId="0" applyNumberFormat="1" applyFont="1" applyFill="1" applyAlignment="1" applyProtection="1">
      <alignment horizontal="left" vertical="center"/>
      <protection locked="0"/>
    </xf>
    <xf numFmtId="0" fontId="50" fillId="0" borderId="0" xfId="0" applyFont="1"/>
    <xf numFmtId="0" fontId="193" fillId="12" borderId="0" xfId="0" applyFont="1" applyFill="1" applyAlignment="1">
      <alignment horizontal="left" vertical="center"/>
    </xf>
    <xf numFmtId="49" fontId="192" fillId="12" borderId="0" xfId="0" applyNumberFormat="1" applyFont="1" applyFill="1" applyAlignment="1">
      <alignment horizontal="left" vertical="top"/>
    </xf>
    <xf numFmtId="3" fontId="176" fillId="12" borderId="21" xfId="0" applyNumberFormat="1" applyFont="1" applyFill="1" applyBorder="1" applyAlignment="1">
      <alignment horizontal="left"/>
    </xf>
    <xf numFmtId="178" fontId="0" fillId="32" borderId="0" xfId="0" applyNumberFormat="1" applyFill="1" applyAlignment="1">
      <alignment horizontal="center"/>
    </xf>
    <xf numFmtId="0" fontId="9" fillId="6" borderId="8" xfId="0" applyFont="1" applyFill="1" applyBorder="1" applyAlignment="1">
      <alignment horizontal="right"/>
    </xf>
    <xf numFmtId="0" fontId="50" fillId="6" borderId="15" xfId="0" applyFont="1" applyFill="1" applyBorder="1"/>
    <xf numFmtId="0" fontId="9" fillId="6" borderId="57" xfId="0" applyFont="1" applyFill="1" applyBorder="1" applyAlignment="1">
      <alignment horizontal="right"/>
    </xf>
    <xf numFmtId="0" fontId="291" fillId="0" borderId="0" xfId="0" applyFont="1"/>
    <xf numFmtId="0" fontId="192" fillId="12" borderId="0" xfId="0" applyFont="1" applyFill="1" applyAlignment="1">
      <alignment vertical="center"/>
    </xf>
    <xf numFmtId="0" fontId="81" fillId="35" borderId="0" xfId="0" applyFont="1" applyFill="1"/>
    <xf numFmtId="0" fontId="164" fillId="12" borderId="0" xfId="0" applyFont="1" applyFill="1" applyAlignment="1">
      <alignment vertical="center"/>
    </xf>
    <xf numFmtId="0" fontId="164" fillId="12" borderId="0" xfId="0" applyFont="1" applyFill="1" applyAlignment="1">
      <alignment horizontal="left" vertical="center"/>
    </xf>
    <xf numFmtId="0" fontId="3" fillId="8" borderId="0" xfId="0" applyFont="1" applyFill="1" applyAlignment="1">
      <alignment horizontal="center"/>
    </xf>
    <xf numFmtId="164" fontId="69" fillId="15" borderId="3" xfId="0" applyNumberFormat="1" applyFont="1" applyFill="1" applyBorder="1" applyAlignment="1">
      <alignment horizontal="center" vertical="center"/>
    </xf>
    <xf numFmtId="164" fontId="69" fillId="15" borderId="4" xfId="0" applyNumberFormat="1" applyFont="1" applyFill="1" applyBorder="1" applyAlignment="1">
      <alignment horizontal="center" vertical="center"/>
    </xf>
    <xf numFmtId="0" fontId="74" fillId="22" borderId="21" xfId="0" applyFont="1" applyFill="1" applyBorder="1" applyAlignment="1">
      <alignment horizontal="center"/>
    </xf>
    <xf numFmtId="0" fontId="74" fillId="22" borderId="21" xfId="0" applyFont="1" applyFill="1" applyBorder="1" applyAlignment="1">
      <alignment horizontal="center" wrapText="1"/>
    </xf>
    <xf numFmtId="0" fontId="4" fillId="8" borderId="0" xfId="0" applyFont="1" applyFill="1" applyAlignment="1">
      <alignment horizontal="center"/>
    </xf>
    <xf numFmtId="3" fontId="150" fillId="22" borderId="77" xfId="0" applyNumberFormat="1" applyFont="1" applyFill="1" applyBorder="1" applyAlignment="1">
      <alignment horizontal="center" vertical="center"/>
    </xf>
    <xf numFmtId="3" fontId="150" fillId="22" borderId="75" xfId="0" applyNumberFormat="1" applyFont="1" applyFill="1" applyBorder="1" applyAlignment="1">
      <alignment horizontal="center" vertical="center"/>
    </xf>
    <xf numFmtId="3" fontId="160" fillId="48" borderId="71" xfId="0" applyNumberFormat="1" applyFont="1" applyFill="1" applyBorder="1" applyAlignment="1">
      <alignment horizontal="center" vertical="center"/>
    </xf>
    <xf numFmtId="3" fontId="160" fillId="48" borderId="70" xfId="0" applyNumberFormat="1" applyFont="1" applyFill="1" applyBorder="1" applyAlignment="1">
      <alignment horizontal="center" vertical="center"/>
    </xf>
    <xf numFmtId="3" fontId="150" fillId="42" borderId="66" xfId="0" applyNumberFormat="1" applyFont="1" applyFill="1" applyBorder="1" applyAlignment="1">
      <alignment horizontal="center" vertical="center"/>
    </xf>
    <xf numFmtId="0" fontId="69" fillId="18" borderId="0" xfId="0" applyFont="1" applyFill="1" applyAlignment="1">
      <alignment horizontal="justify" vertical="top" wrapText="1"/>
    </xf>
    <xf numFmtId="9" fontId="161" fillId="10" borderId="0" xfId="6" applyFont="1" applyFill="1" applyAlignment="1">
      <alignment horizontal="center" vertical="center"/>
    </xf>
    <xf numFmtId="0" fontId="259" fillId="36" borderId="76" xfId="0" applyFont="1" applyFill="1" applyBorder="1" applyAlignment="1">
      <alignment horizontal="center" vertical="center" wrapText="1"/>
    </xf>
    <xf numFmtId="0" fontId="74" fillId="44" borderId="141" xfId="0" applyFont="1" applyFill="1" applyBorder="1" applyAlignment="1">
      <alignment vertical="center" wrapText="1"/>
    </xf>
    <xf numFmtId="0" fontId="294" fillId="44" borderId="142" xfId="0" applyFont="1" applyFill="1" applyBorder="1" applyAlignment="1">
      <alignment vertical="center" wrapText="1"/>
    </xf>
    <xf numFmtId="0" fontId="295" fillId="44" borderId="141" xfId="0" applyFont="1" applyFill="1" applyBorder="1" applyAlignment="1">
      <alignment vertical="center" wrapText="1"/>
    </xf>
    <xf numFmtId="0" fontId="210" fillId="10" borderId="0" xfId="0" applyFont="1" applyFill="1" applyAlignment="1">
      <alignment horizontal="centerContinuous" wrapText="1"/>
    </xf>
    <xf numFmtId="0" fontId="150" fillId="10" borderId="0" xfId="0" applyFont="1" applyFill="1" applyAlignment="1">
      <alignment horizontal="centerContinuous"/>
    </xf>
    <xf numFmtId="0" fontId="150" fillId="10" borderId="0" xfId="0" applyFont="1" applyFill="1" applyAlignment="1">
      <alignment horizontal="centerContinuous" wrapText="1"/>
    </xf>
    <xf numFmtId="0" fontId="297" fillId="43" borderId="0" xfId="0" applyFont="1" applyFill="1" applyAlignment="1">
      <alignment horizontal="center" vertical="center"/>
    </xf>
    <xf numFmtId="0" fontId="233" fillId="0" borderId="0" xfId="0" applyFont="1" applyAlignment="1">
      <alignment vertical="center"/>
    </xf>
    <xf numFmtId="0" fontId="298" fillId="0" borderId="0" xfId="0" applyFont="1" applyAlignment="1">
      <alignment vertical="center"/>
    </xf>
    <xf numFmtId="0" fontId="56" fillId="2" borderId="0" xfId="0" applyFont="1" applyFill="1" applyAlignment="1">
      <alignment horizontal="left" vertical="center" wrapText="1"/>
    </xf>
    <xf numFmtId="0" fontId="72" fillId="6" borderId="8" xfId="0" applyFont="1" applyFill="1" applyBorder="1" applyAlignment="1">
      <alignment horizontal="center"/>
    </xf>
    <xf numFmtId="0" fontId="242" fillId="6" borderId="8" xfId="0" applyFont="1" applyFill="1" applyBorder="1"/>
    <xf numFmtId="0" fontId="69" fillId="8" borderId="11" xfId="0" applyFont="1" applyFill="1" applyBorder="1"/>
    <xf numFmtId="4" fontId="150" fillId="22" borderId="62" xfId="0" applyNumberFormat="1" applyFont="1" applyFill="1" applyBorder="1" applyAlignment="1" applyProtection="1">
      <alignment horizontal="center"/>
      <protection locked="0"/>
    </xf>
    <xf numFmtId="4" fontId="150" fillId="22" borderId="0" xfId="0" applyNumberFormat="1" applyFont="1" applyFill="1" applyAlignment="1" applyProtection="1">
      <alignment horizontal="center"/>
      <protection locked="0"/>
    </xf>
    <xf numFmtId="4" fontId="176" fillId="22" borderId="62" xfId="0" applyNumberFormat="1" applyFont="1" applyFill="1" applyBorder="1" applyAlignment="1" applyProtection="1">
      <alignment horizontal="center"/>
      <protection locked="0"/>
    </xf>
    <xf numFmtId="4" fontId="176" fillId="22" borderId="0" xfId="0" applyNumberFormat="1" applyFont="1" applyFill="1" applyAlignment="1" applyProtection="1">
      <alignment horizontal="center"/>
      <protection locked="0"/>
    </xf>
    <xf numFmtId="4" fontId="176" fillId="12" borderId="0" xfId="0" applyNumberFormat="1" applyFont="1" applyFill="1" applyAlignment="1">
      <alignment horizontal="center"/>
    </xf>
    <xf numFmtId="9" fontId="150" fillId="12" borderId="0" xfId="0" applyNumberFormat="1" applyFont="1" applyFill="1" applyAlignment="1">
      <alignment horizontal="center"/>
    </xf>
    <xf numFmtId="0" fontId="193" fillId="12" borderId="0" xfId="0" applyFont="1" applyFill="1"/>
    <xf numFmtId="0" fontId="293" fillId="12" borderId="0" xfId="0" applyFont="1" applyFill="1" applyAlignment="1">
      <alignment wrapText="1"/>
    </xf>
    <xf numFmtId="0" fontId="192" fillId="22" borderId="0" xfId="0" applyFont="1" applyFill="1"/>
    <xf numFmtId="0" fontId="206" fillId="10" borderId="0" xfId="0" applyFont="1" applyFill="1" applyAlignment="1" applyProtection="1">
      <alignment horizontal="center" wrapText="1"/>
      <protection locked="0"/>
    </xf>
    <xf numFmtId="0" fontId="74" fillId="22" borderId="48" xfId="0" applyFont="1" applyFill="1" applyBorder="1"/>
    <xf numFmtId="0" fontId="160" fillId="12" borderId="0" xfId="0" applyFont="1" applyFill="1" applyAlignment="1">
      <alignment horizontal="right" vertical="center"/>
    </xf>
    <xf numFmtId="3" fontId="160" fillId="12" borderId="0" xfId="0" applyNumberFormat="1" applyFont="1" applyFill="1" applyAlignment="1">
      <alignment horizontal="center" vertical="center"/>
    </xf>
    <xf numFmtId="4" fontId="69" fillId="2" borderId="72" xfId="0" applyNumberFormat="1" applyFont="1" applyFill="1" applyBorder="1" applyAlignment="1">
      <alignment horizontal="center"/>
    </xf>
    <xf numFmtId="3" fontId="75" fillId="41" borderId="0" xfId="0" applyNumberFormat="1" applyFont="1" applyFill="1"/>
    <xf numFmtId="2" fontId="77" fillId="19" borderId="99" xfId="0" applyNumberFormat="1" applyFont="1" applyFill="1" applyBorder="1" applyAlignment="1">
      <alignment horizontal="center"/>
    </xf>
    <xf numFmtId="0" fontId="5" fillId="22" borderId="0" xfId="0" applyFont="1" applyFill="1" applyAlignment="1">
      <alignment horizontal="left"/>
    </xf>
    <xf numFmtId="1" fontId="5" fillId="22" borderId="0" xfId="0" applyNumberFormat="1" applyFont="1" applyFill="1" applyAlignment="1">
      <alignment horizontal="center"/>
    </xf>
    <xf numFmtId="0" fontId="4" fillId="22" borderId="14" xfId="0" applyFont="1" applyFill="1" applyBorder="1"/>
    <xf numFmtId="0" fontId="4" fillId="22" borderId="14" xfId="0" applyFont="1" applyFill="1" applyBorder="1" applyAlignment="1">
      <alignment wrapText="1"/>
    </xf>
    <xf numFmtId="1" fontId="3" fillId="22" borderId="0" xfId="0" applyNumberFormat="1" applyFont="1" applyFill="1"/>
    <xf numFmtId="0" fontId="5" fillId="22" borderId="14" xfId="0" applyFont="1" applyFill="1" applyBorder="1"/>
    <xf numFmtId="1" fontId="3" fillId="22" borderId="14" xfId="0" applyNumberFormat="1" applyFont="1" applyFill="1" applyBorder="1"/>
    <xf numFmtId="0" fontId="72" fillId="14" borderId="0" xfId="0" applyFont="1" applyFill="1"/>
    <xf numFmtId="0" fontId="230" fillId="14" borderId="0" xfId="0" applyFont="1" applyFill="1" applyAlignment="1">
      <alignment horizontal="left" vertical="center"/>
    </xf>
    <xf numFmtId="0" fontId="299" fillId="14" borderId="0" xfId="0" applyFont="1" applyFill="1"/>
    <xf numFmtId="0" fontId="150" fillId="22" borderId="0" xfId="6" applyNumberFormat="1" applyFont="1" applyFill="1" applyAlignment="1" applyProtection="1">
      <alignment horizontal="center"/>
      <protection locked="0"/>
    </xf>
    <xf numFmtId="0" fontId="150" fillId="14" borderId="0" xfId="6" applyNumberFormat="1" applyFont="1" applyFill="1" applyAlignment="1" applyProtection="1">
      <alignment horizontal="center"/>
    </xf>
    <xf numFmtId="0" fontId="193" fillId="12" borderId="0" xfId="0" applyFont="1" applyFill="1" applyAlignment="1">
      <alignment horizontal="center" vertical="center"/>
    </xf>
    <xf numFmtId="0" fontId="193" fillId="12" borderId="0" xfId="0" applyFont="1" applyFill="1" applyAlignment="1">
      <alignment vertical="center"/>
    </xf>
    <xf numFmtId="0" fontId="193" fillId="12" borderId="0" xfId="0" applyFont="1" applyFill="1" applyAlignment="1">
      <alignment horizontal="right" vertical="center"/>
    </xf>
    <xf numFmtId="0" fontId="0" fillId="0" borderId="0" xfId="0" applyAlignment="1">
      <alignment vertical="top"/>
    </xf>
    <xf numFmtId="0" fontId="300" fillId="15" borderId="143" xfId="0" applyFont="1" applyFill="1" applyBorder="1" applyAlignment="1">
      <alignment vertical="top" wrapText="1"/>
    </xf>
    <xf numFmtId="0" fontId="300" fillId="15" borderId="143" xfId="0" applyFont="1" applyFill="1" applyBorder="1" applyAlignment="1">
      <alignment vertical="top"/>
    </xf>
    <xf numFmtId="0" fontId="180" fillId="12" borderId="0" xfId="0" applyFont="1" applyFill="1" applyAlignment="1">
      <alignment vertical="center"/>
    </xf>
    <xf numFmtId="0" fontId="165" fillId="10" borderId="21" xfId="0" applyFont="1" applyFill="1" applyBorder="1" applyAlignment="1">
      <alignment vertical="center"/>
    </xf>
    <xf numFmtId="171" fontId="160" fillId="10" borderId="0" xfId="0" applyNumberFormat="1" applyFont="1" applyFill="1" applyAlignment="1">
      <alignment horizontal="center" vertical="center"/>
    </xf>
    <xf numFmtId="3" fontId="150" fillId="22" borderId="58" xfId="0" applyNumberFormat="1" applyFont="1" applyFill="1" applyBorder="1" applyAlignment="1" applyProtection="1">
      <alignment horizontal="center"/>
      <protection locked="0"/>
    </xf>
    <xf numFmtId="0" fontId="150" fillId="22" borderId="58" xfId="6" applyNumberFormat="1" applyFont="1" applyFill="1" applyBorder="1" applyAlignment="1" applyProtection="1">
      <alignment horizontal="center"/>
      <protection locked="0"/>
    </xf>
    <xf numFmtId="3" fontId="160" fillId="12" borderId="11" xfId="0" applyNumberFormat="1" applyFont="1" applyFill="1" applyBorder="1" applyAlignment="1">
      <alignment horizontal="right" vertical="center"/>
    </xf>
    <xf numFmtId="0" fontId="150" fillId="12" borderId="0" xfId="0" applyFont="1" applyFill="1" applyAlignment="1">
      <alignment horizontal="centerContinuous" vertical="center"/>
    </xf>
    <xf numFmtId="0" fontId="150" fillId="12" borderId="21" xfId="0" applyFont="1" applyFill="1" applyBorder="1" applyAlignment="1">
      <alignment horizontal="center" vertical="center"/>
    </xf>
    <xf numFmtId="0" fontId="160" fillId="12" borderId="21" xfId="0" applyFont="1" applyFill="1" applyBorder="1" applyAlignment="1">
      <alignment horizontal="centerContinuous" vertical="center"/>
    </xf>
    <xf numFmtId="3" fontId="160" fillId="12" borderId="11" xfId="0" applyNumberFormat="1" applyFont="1" applyFill="1" applyBorder="1" applyAlignment="1">
      <alignment horizontal="right"/>
    </xf>
    <xf numFmtId="0" fontId="160" fillId="12" borderId="21" xfId="0" applyFont="1" applyFill="1" applyBorder="1" applyAlignment="1">
      <alignment horizontal="centerContinuous"/>
    </xf>
    <xf numFmtId="0" fontId="150" fillId="12" borderId="21" xfId="0" applyFont="1" applyFill="1" applyBorder="1" applyAlignment="1">
      <alignment horizontal="centerContinuous"/>
    </xf>
    <xf numFmtId="0" fontId="167" fillId="10" borderId="21" xfId="0" applyFont="1" applyFill="1" applyBorder="1" applyAlignment="1">
      <alignment horizontal="center" vertical="top" wrapText="1"/>
    </xf>
    <xf numFmtId="0" fontId="0" fillId="0" borderId="0" xfId="0" applyAlignment="1">
      <alignment wrapText="1"/>
    </xf>
    <xf numFmtId="0" fontId="0" fillId="3" borderId="0" xfId="0" applyFill="1" applyAlignment="1">
      <alignment wrapText="1"/>
    </xf>
    <xf numFmtId="3" fontId="0" fillId="3" borderId="0" xfId="0" applyNumberFormat="1" applyFill="1" applyAlignment="1">
      <alignment wrapText="1"/>
    </xf>
    <xf numFmtId="3" fontId="0" fillId="0" borderId="0" xfId="0" applyNumberFormat="1" applyAlignment="1">
      <alignment wrapText="1"/>
    </xf>
    <xf numFmtId="0" fontId="0" fillId="50" borderId="0" xfId="0" applyFill="1" applyAlignment="1">
      <alignment wrapText="1"/>
    </xf>
    <xf numFmtId="0" fontId="0" fillId="50" borderId="0" xfId="0" applyFill="1"/>
    <xf numFmtId="1" fontId="161" fillId="10" borderId="0" xfId="0" applyNumberFormat="1" applyFont="1" applyFill="1" applyAlignment="1">
      <alignment horizontal="center" vertical="center"/>
    </xf>
    <xf numFmtId="3" fontId="150" fillId="22" borderId="0" xfId="0" applyNumberFormat="1" applyFont="1" applyFill="1" applyAlignment="1" applyProtection="1">
      <alignment horizontal="center" vertical="center" wrapText="1"/>
      <protection locked="0"/>
    </xf>
    <xf numFmtId="0" fontId="160" fillId="12" borderId="21" xfId="0" applyFont="1" applyFill="1" applyBorder="1" applyAlignment="1">
      <alignment horizontal="center"/>
    </xf>
    <xf numFmtId="0" fontId="152" fillId="36" borderId="0" xfId="0" applyFont="1" applyFill="1" applyAlignment="1">
      <alignment horizontal="centerContinuous" vertical="center" wrapText="1"/>
    </xf>
    <xf numFmtId="0" fontId="259" fillId="36" borderId="77" xfId="0" applyFont="1" applyFill="1" applyBorder="1" applyAlignment="1">
      <alignment vertical="center"/>
    </xf>
    <xf numFmtId="1" fontId="301" fillId="0" borderId="143" xfId="0" applyNumberFormat="1" applyFont="1" applyBorder="1" applyAlignment="1">
      <alignment horizontal="right"/>
    </xf>
    <xf numFmtId="1" fontId="121" fillId="0" borderId="143" xfId="1" applyNumberFormat="1" applyFont="1" applyBorder="1" applyAlignment="1">
      <alignment horizontal="right"/>
    </xf>
    <xf numFmtId="2" fontId="260" fillId="22" borderId="0" xfId="0" applyNumberFormat="1" applyFont="1" applyFill="1"/>
    <xf numFmtId="4" fontId="272" fillId="22" borderId="72" xfId="0" applyNumberFormat="1" applyFont="1" applyFill="1" applyBorder="1" applyAlignment="1">
      <alignment horizontal="center" vertical="center"/>
    </xf>
    <xf numFmtId="0" fontId="0" fillId="0" borderId="0" xfId="0" applyAlignment="1">
      <alignment horizontal="center" wrapText="1"/>
    </xf>
    <xf numFmtId="173" fontId="0" fillId="51" borderId="0" xfId="0" applyNumberFormat="1" applyFill="1" applyAlignment="1">
      <alignment wrapText="1"/>
    </xf>
    <xf numFmtId="0" fontId="300" fillId="15" borderId="144" xfId="0" applyFont="1" applyFill="1" applyBorder="1" applyAlignment="1">
      <alignment vertical="top" wrapText="1"/>
    </xf>
    <xf numFmtId="3" fontId="192" fillId="12" borderId="0" xfId="0" applyNumberFormat="1" applyFont="1" applyFill="1" applyAlignment="1">
      <alignment horizontal="left"/>
    </xf>
    <xf numFmtId="164" fontId="150" fillId="10" borderId="0" xfId="0" applyNumberFormat="1" applyFont="1" applyFill="1" applyAlignment="1">
      <alignment vertical="center"/>
    </xf>
    <xf numFmtId="179" fontId="0" fillId="0" borderId="0" xfId="0" applyNumberFormat="1" applyAlignment="1">
      <alignment horizontal="center"/>
    </xf>
    <xf numFmtId="175" fontId="0" fillId="0" borderId="0" xfId="0" applyNumberFormat="1" applyAlignment="1">
      <alignment horizontal="center"/>
    </xf>
    <xf numFmtId="0" fontId="150" fillId="22" borderId="0" xfId="0" applyFont="1" applyFill="1" applyAlignment="1">
      <alignment horizontal="left" vertical="center" indent="5"/>
    </xf>
    <xf numFmtId="0" fontId="305" fillId="22" borderId="0" xfId="3" applyFont="1" applyFill="1" applyAlignment="1" applyProtection="1">
      <alignment horizontal="left" vertical="center" indent="7"/>
    </xf>
    <xf numFmtId="0" fontId="150" fillId="22" borderId="0" xfId="0" applyFont="1" applyFill="1" applyAlignment="1">
      <alignment horizontal="left" vertical="center" indent="7"/>
    </xf>
    <xf numFmtId="0" fontId="305" fillId="22" borderId="0" xfId="3" applyFont="1" applyFill="1" applyAlignment="1" applyProtection="1">
      <alignment horizontal="left" vertical="center" indent="5"/>
    </xf>
    <xf numFmtId="0" fontId="304" fillId="22" borderId="0" xfId="0" applyFont="1" applyFill="1" applyAlignment="1">
      <alignment horizontal="left" vertical="center" indent="7"/>
    </xf>
    <xf numFmtId="0" fontId="304" fillId="22" borderId="0" xfId="0" applyFont="1" applyFill="1" applyAlignment="1">
      <alignment horizontal="left" vertical="center" indent="5"/>
    </xf>
    <xf numFmtId="164" fontId="161" fillId="10" borderId="0" xfId="0" applyNumberFormat="1" applyFont="1" applyFill="1" applyAlignment="1">
      <alignment vertical="center" wrapText="1"/>
    </xf>
    <xf numFmtId="0" fontId="173" fillId="22" borderId="0" xfId="0" applyFont="1" applyFill="1" applyAlignment="1">
      <alignment vertical="center"/>
    </xf>
    <xf numFmtId="9" fontId="161" fillId="10" borderId="0" xfId="6" applyFont="1" applyFill="1" applyAlignment="1">
      <alignment horizontal="center" vertical="top"/>
    </xf>
    <xf numFmtId="9" fontId="161" fillId="22" borderId="0" xfId="6" applyFont="1" applyFill="1" applyAlignment="1" applyProtection="1">
      <alignment horizontal="center" vertical="top"/>
      <protection locked="0"/>
    </xf>
    <xf numFmtId="180" fontId="150" fillId="10" borderId="0" xfId="0" applyNumberFormat="1" applyFont="1" applyFill="1" applyAlignment="1">
      <alignment horizontal="center" vertical="center"/>
    </xf>
    <xf numFmtId="0" fontId="5" fillId="8" borderId="10" xfId="0" applyFont="1" applyFill="1" applyBorder="1" applyAlignment="1">
      <alignment horizontal="center" vertical="center" wrapText="1"/>
    </xf>
    <xf numFmtId="0" fontId="150" fillId="52" borderId="0" xfId="0" applyFont="1" applyFill="1" applyProtection="1">
      <protection locked="0"/>
    </xf>
    <xf numFmtId="0" fontId="193" fillId="22" borderId="0" xfId="0" applyFont="1" applyFill="1" applyProtection="1">
      <protection hidden="1"/>
    </xf>
    <xf numFmtId="0" fontId="10" fillId="0" borderId="0" xfId="1" applyFont="1"/>
    <xf numFmtId="0" fontId="4" fillId="2" borderId="0" xfId="1" applyFill="1"/>
    <xf numFmtId="0" fontId="37" fillId="2" borderId="0" xfId="0" applyFont="1" applyFill="1" applyAlignment="1">
      <alignment horizontal="left"/>
    </xf>
    <xf numFmtId="0" fontId="3" fillId="0" borderId="44" xfId="0" applyFont="1" applyBorder="1"/>
    <xf numFmtId="2" fontId="0" fillId="2" borderId="0" xfId="0" applyNumberFormat="1" applyFill="1"/>
    <xf numFmtId="2" fontId="37" fillId="2" borderId="0" xfId="0" applyNumberFormat="1" applyFont="1" applyFill="1"/>
    <xf numFmtId="0" fontId="0" fillId="14" borderId="0" xfId="0" applyFill="1"/>
    <xf numFmtId="0" fontId="4" fillId="14" borderId="0" xfId="1" applyFill="1"/>
    <xf numFmtId="0" fontId="0" fillId="14" borderId="0" xfId="0" applyFill="1" applyAlignment="1">
      <alignment horizontal="left"/>
    </xf>
    <xf numFmtId="2" fontId="0" fillId="14" borderId="0" xfId="0" applyNumberFormat="1" applyFill="1"/>
    <xf numFmtId="1" fontId="10" fillId="12" borderId="10" xfId="0" applyNumberFormat="1" applyFont="1" applyFill="1" applyBorder="1" applyAlignment="1">
      <alignment horizontal="center" wrapText="1"/>
    </xf>
    <xf numFmtId="0" fontId="4" fillId="0" borderId="8" xfId="0" applyFont="1" applyBorder="1"/>
    <xf numFmtId="0" fontId="4" fillId="0" borderId="31" xfId="2" applyBorder="1" applyAlignment="1">
      <alignment horizontal="left"/>
    </xf>
    <xf numFmtId="0" fontId="10" fillId="2" borderId="4" xfId="0" applyFont="1" applyFill="1" applyBorder="1" applyAlignment="1">
      <alignment horizontal="center"/>
    </xf>
    <xf numFmtId="0" fontId="10" fillId="2" borderId="6" xfId="0" applyFont="1" applyFill="1" applyBorder="1" applyAlignment="1">
      <alignment horizontal="center"/>
    </xf>
    <xf numFmtId="2" fontId="4" fillId="2" borderId="1" xfId="0" applyNumberFormat="1" applyFont="1" applyFill="1" applyBorder="1" applyAlignment="1">
      <alignment horizontal="center"/>
    </xf>
    <xf numFmtId="2" fontId="4" fillId="2" borderId="3" xfId="0" applyNumberFormat="1" applyFont="1" applyFill="1" applyBorder="1" applyAlignment="1">
      <alignment horizontal="center"/>
    </xf>
    <xf numFmtId="2" fontId="4" fillId="2" borderId="5" xfId="0" applyNumberFormat="1" applyFont="1" applyFill="1" applyBorder="1" applyAlignment="1">
      <alignment horizontal="center"/>
    </xf>
    <xf numFmtId="165" fontId="0" fillId="2" borderId="2" xfId="0" applyNumberFormat="1" applyFill="1" applyBorder="1" applyAlignment="1">
      <alignment horizontal="center" vertical="center" wrapText="1"/>
    </xf>
    <xf numFmtId="165" fontId="0" fillId="2" borderId="4" xfId="0" applyNumberFormat="1" applyFill="1" applyBorder="1" applyAlignment="1">
      <alignment horizontal="center" vertical="center" wrapText="1"/>
    </xf>
    <xf numFmtId="165" fontId="0" fillId="2" borderId="6" xfId="0" applyNumberFormat="1" applyFill="1" applyBorder="1" applyAlignment="1">
      <alignment horizontal="center" vertical="center" wrapText="1"/>
    </xf>
    <xf numFmtId="164" fontId="167" fillId="10" borderId="0" xfId="0" applyNumberFormat="1" applyFont="1" applyFill="1" applyAlignment="1">
      <alignment horizontal="left" vertical="top"/>
    </xf>
    <xf numFmtId="164" fontId="167" fillId="10" borderId="21" xfId="0" applyNumberFormat="1" applyFont="1" applyFill="1" applyBorder="1" applyAlignment="1">
      <alignment vertical="center"/>
    </xf>
    <xf numFmtId="0" fontId="206" fillId="12" borderId="0" xfId="0" applyFont="1" applyFill="1" applyProtection="1">
      <protection hidden="1"/>
    </xf>
    <xf numFmtId="0" fontId="150" fillId="12" borderId="0" xfId="0" applyFont="1" applyFill="1" applyProtection="1">
      <protection hidden="1"/>
    </xf>
    <xf numFmtId="0" fontId="173" fillId="22" borderId="0" xfId="0" applyFont="1" applyFill="1" applyAlignment="1" applyProtection="1">
      <alignment shrinkToFit="1"/>
      <protection hidden="1"/>
    </xf>
    <xf numFmtId="0" fontId="308" fillId="36" borderId="0" xfId="0" applyFont="1" applyFill="1" applyAlignment="1">
      <alignment vertical="center" wrapText="1"/>
    </xf>
    <xf numFmtId="181" fontId="150" fillId="22" borderId="0" xfId="0" applyNumberFormat="1" applyFont="1" applyFill="1" applyAlignment="1" applyProtection="1">
      <alignment horizontal="center"/>
      <protection locked="0"/>
    </xf>
    <xf numFmtId="0" fontId="309" fillId="12" borderId="0" xfId="0" applyFont="1" applyFill="1" applyAlignment="1" applyProtection="1">
      <alignment horizontal="center"/>
      <protection hidden="1"/>
    </xf>
    <xf numFmtId="0" fontId="5" fillId="11" borderId="0" xfId="0" applyFont="1" applyFill="1" applyAlignment="1">
      <alignment horizontal="center" wrapText="1"/>
    </xf>
    <xf numFmtId="3" fontId="0" fillId="11" borderId="0" xfId="0" applyNumberFormat="1" applyFill="1" applyAlignment="1">
      <alignment horizontal="right"/>
    </xf>
    <xf numFmtId="3" fontId="0" fillId="11" borderId="0" xfId="0" applyNumberFormat="1" applyFill="1" applyAlignment="1">
      <alignment horizontal="center"/>
    </xf>
    <xf numFmtId="3" fontId="0" fillId="11" borderId="0" xfId="0" applyNumberFormat="1" applyFill="1"/>
    <xf numFmtId="0" fontId="122" fillId="11" borderId="0" xfId="0" applyFont="1" applyFill="1"/>
    <xf numFmtId="0" fontId="123" fillId="31" borderId="0" xfId="0" applyFont="1" applyFill="1" applyAlignment="1">
      <alignment wrapText="1"/>
    </xf>
    <xf numFmtId="0" fontId="23" fillId="22" borderId="0" xfId="3" applyFill="1" applyAlignment="1" applyProtection="1">
      <alignment wrapText="1"/>
    </xf>
    <xf numFmtId="0" fontId="310" fillId="12" borderId="0" xfId="3" applyFont="1" applyFill="1" applyAlignment="1" applyProtection="1"/>
    <xf numFmtId="164" fontId="190" fillId="10" borderId="0" xfId="0" applyNumberFormat="1" applyFont="1" applyFill="1" applyAlignment="1">
      <alignment horizontal="center" vertical="center"/>
    </xf>
    <xf numFmtId="164" fontId="161" fillId="10" borderId="0" xfId="0" applyNumberFormat="1" applyFont="1" applyFill="1" applyAlignment="1">
      <alignment horizontal="left" vertical="top"/>
    </xf>
    <xf numFmtId="0" fontId="167" fillId="12" borderId="11" xfId="3" quotePrefix="1" applyFont="1" applyFill="1" applyBorder="1" applyAlignment="1" applyProtection="1">
      <alignment horizontal="left"/>
    </xf>
    <xf numFmtId="0" fontId="272" fillId="22" borderId="74" xfId="0" applyFont="1" applyFill="1" applyBorder="1" applyAlignment="1">
      <alignment horizontal="center" vertical="center"/>
    </xf>
    <xf numFmtId="0" fontId="84" fillId="12" borderId="8" xfId="0" applyFont="1" applyFill="1" applyBorder="1" applyAlignment="1">
      <alignment vertical="center"/>
    </xf>
    <xf numFmtId="0" fontId="84" fillId="9" borderId="8" xfId="0" applyFont="1" applyFill="1" applyBorder="1" applyAlignment="1">
      <alignment vertical="center"/>
    </xf>
    <xf numFmtId="0" fontId="296" fillId="12" borderId="0" xfId="0" applyFont="1" applyFill="1"/>
    <xf numFmtId="0" fontId="311" fillId="22" borderId="8" xfId="0" applyFont="1" applyFill="1" applyBorder="1" applyAlignment="1">
      <alignment vertical="center"/>
    </xf>
    <xf numFmtId="0" fontId="311" fillId="22" borderId="0" xfId="0" applyFont="1" applyFill="1" applyAlignment="1">
      <alignment vertical="center"/>
    </xf>
    <xf numFmtId="0" fontId="110" fillId="13" borderId="8" xfId="0" applyFont="1" applyFill="1" applyBorder="1" applyAlignment="1">
      <alignment vertical="center"/>
    </xf>
    <xf numFmtId="0" fontId="312" fillId="22" borderId="3" xfId="0" applyFont="1" applyFill="1" applyBorder="1" applyAlignment="1">
      <alignment vertical="center"/>
    </xf>
    <xf numFmtId="0" fontId="143" fillId="2" borderId="67" xfId="3" applyFont="1" applyFill="1" applyBorder="1" applyAlignment="1" applyProtection="1">
      <alignment vertical="center" wrapText="1"/>
    </xf>
    <xf numFmtId="0" fontId="150" fillId="12" borderId="0" xfId="0" applyFont="1" applyFill="1" applyAlignment="1">
      <alignment horizontal="right" vertical="center"/>
    </xf>
    <xf numFmtId="0" fontId="161" fillId="12" borderId="0" xfId="0" applyFont="1" applyFill="1" applyAlignment="1">
      <alignment horizontal="right" vertical="center"/>
    </xf>
    <xf numFmtId="0" fontId="199" fillId="22" borderId="0" xfId="0" applyFont="1" applyFill="1" applyAlignment="1" applyProtection="1">
      <alignment horizontal="center" vertical="center"/>
      <protection locked="0"/>
    </xf>
    <xf numFmtId="3" fontId="161" fillId="12" borderId="0" xfId="0" applyNumberFormat="1" applyFont="1" applyFill="1" applyAlignment="1" applyProtection="1">
      <alignment horizontal="center" vertical="center"/>
      <protection hidden="1"/>
    </xf>
    <xf numFmtId="0" fontId="110" fillId="9" borderId="3" xfId="0" applyFont="1" applyFill="1" applyBorder="1" applyAlignment="1">
      <alignment vertical="center"/>
    </xf>
    <xf numFmtId="0" fontId="160" fillId="12" borderId="21" xfId="0" applyFont="1" applyFill="1" applyBorder="1" applyAlignment="1">
      <alignment horizontal="left" vertical="center"/>
    </xf>
    <xf numFmtId="0" fontId="150" fillId="12" borderId="0" xfId="0" applyFont="1" applyFill="1" applyAlignment="1">
      <alignment horizontal="left" wrapText="1"/>
    </xf>
    <xf numFmtId="3" fontId="4" fillId="46" borderId="0" xfId="0" applyNumberFormat="1" applyFont="1" applyFill="1" applyAlignment="1">
      <alignment horizontal="center"/>
    </xf>
    <xf numFmtId="0" fontId="3" fillId="0" borderId="0" xfId="0" applyFont="1" applyAlignment="1">
      <alignment horizontal="center"/>
    </xf>
    <xf numFmtId="0" fontId="4" fillId="3" borderId="0" xfId="0" applyFont="1" applyFill="1" applyAlignment="1">
      <alignment horizontal="center"/>
    </xf>
    <xf numFmtId="0" fontId="100" fillId="3" borderId="0" xfId="0" applyFont="1" applyFill="1" applyAlignment="1">
      <alignment horizontal="center" vertical="center"/>
    </xf>
    <xf numFmtId="3" fontId="4" fillId="42" borderId="72" xfId="0" applyNumberFormat="1" applyFont="1" applyFill="1" applyBorder="1" applyAlignment="1">
      <alignment horizontal="center"/>
    </xf>
    <xf numFmtId="3" fontId="4" fillId="42" borderId="67" xfId="0" applyNumberFormat="1" applyFont="1" applyFill="1" applyBorder="1" applyAlignment="1">
      <alignment horizontal="center"/>
    </xf>
    <xf numFmtId="3" fontId="4" fillId="42" borderId="73" xfId="0" applyNumberFormat="1" applyFont="1" applyFill="1" applyBorder="1" applyAlignment="1">
      <alignment horizontal="center"/>
    </xf>
    <xf numFmtId="3" fontId="4" fillId="42" borderId="69" xfId="0" applyNumberFormat="1" applyFont="1" applyFill="1" applyBorder="1" applyAlignment="1">
      <alignment horizontal="center"/>
    </xf>
    <xf numFmtId="0" fontId="4" fillId="3" borderId="0" xfId="0" applyFont="1" applyFill="1"/>
    <xf numFmtId="0" fontId="4" fillId="3" borderId="66" xfId="0" applyFont="1" applyFill="1" applyBorder="1" applyAlignment="1">
      <alignment horizontal="center"/>
    </xf>
    <xf numFmtId="0" fontId="4" fillId="3" borderId="68" xfId="0" applyFont="1" applyFill="1" applyBorder="1" applyAlignment="1">
      <alignment horizontal="center"/>
    </xf>
    <xf numFmtId="0" fontId="10" fillId="42" borderId="72" xfId="0" applyFont="1" applyFill="1" applyBorder="1" applyAlignment="1" applyProtection="1">
      <alignment horizontal="center"/>
      <protection locked="0"/>
    </xf>
    <xf numFmtId="0" fontId="10" fillId="42" borderId="73" xfId="0" applyFont="1" applyFill="1" applyBorder="1" applyAlignment="1" applyProtection="1">
      <alignment horizontal="center"/>
      <protection locked="0"/>
    </xf>
    <xf numFmtId="2" fontId="10" fillId="42" borderId="72" xfId="0" applyNumberFormat="1" applyFont="1" applyFill="1" applyBorder="1" applyAlignment="1">
      <alignment horizontal="center" vertical="center" wrapText="1"/>
    </xf>
    <xf numFmtId="2" fontId="10" fillId="42" borderId="73" xfId="0" applyNumberFormat="1" applyFont="1" applyFill="1" applyBorder="1" applyAlignment="1">
      <alignment horizontal="center" vertical="center" wrapText="1"/>
    </xf>
    <xf numFmtId="1" fontId="10" fillId="42" borderId="72" xfId="0" applyNumberFormat="1" applyFont="1" applyFill="1" applyBorder="1" applyAlignment="1">
      <alignment horizontal="center" vertical="center" wrapText="1"/>
    </xf>
    <xf numFmtId="2" fontId="0" fillId="42" borderId="67" xfId="0" applyNumberFormat="1" applyFill="1" applyBorder="1" applyAlignment="1">
      <alignment horizontal="center"/>
    </xf>
    <xf numFmtId="1" fontId="10" fillId="42" borderId="73" xfId="0" applyNumberFormat="1" applyFont="1" applyFill="1" applyBorder="1" applyAlignment="1">
      <alignment horizontal="center" vertical="center" wrapText="1"/>
    </xf>
    <xf numFmtId="182" fontId="0" fillId="42" borderId="69" xfId="0" applyNumberFormat="1" applyFill="1" applyBorder="1" applyAlignment="1">
      <alignment horizontal="center"/>
    </xf>
    <xf numFmtId="2" fontId="0" fillId="42" borderId="69" xfId="0" applyNumberFormat="1" applyFill="1" applyBorder="1" applyAlignment="1">
      <alignment horizontal="center"/>
    </xf>
    <xf numFmtId="37" fontId="37" fillId="42" borderId="66" xfId="0" applyNumberFormat="1" applyFont="1" applyFill="1" applyBorder="1" applyAlignment="1">
      <alignment horizontal="center"/>
    </xf>
    <xf numFmtId="37" fontId="37" fillId="42" borderId="72" xfId="0" applyNumberFormat="1" applyFont="1" applyFill="1" applyBorder="1" applyAlignment="1">
      <alignment horizontal="center"/>
    </xf>
    <xf numFmtId="37" fontId="37" fillId="42" borderId="67" xfId="0" applyNumberFormat="1" applyFont="1" applyFill="1" applyBorder="1" applyAlignment="1">
      <alignment horizontal="center"/>
    </xf>
    <xf numFmtId="37" fontId="37" fillId="42" borderId="68" xfId="0" applyNumberFormat="1" applyFont="1" applyFill="1" applyBorder="1" applyAlignment="1">
      <alignment horizontal="center"/>
    </xf>
    <xf numFmtId="37" fontId="37" fillId="42" borderId="73" xfId="0" applyNumberFormat="1" applyFont="1" applyFill="1" applyBorder="1" applyAlignment="1">
      <alignment horizontal="center"/>
    </xf>
    <xf numFmtId="37" fontId="37" fillId="42" borderId="69" xfId="0" applyNumberFormat="1" applyFont="1" applyFill="1" applyBorder="1" applyAlignment="1">
      <alignment horizontal="center"/>
    </xf>
    <xf numFmtId="1" fontId="4" fillId="3" borderId="66" xfId="0" applyNumberFormat="1" applyFont="1" applyFill="1" applyBorder="1" applyAlignment="1">
      <alignment horizontal="center"/>
    </xf>
    <xf numFmtId="2" fontId="4" fillId="3" borderId="72" xfId="0" applyNumberFormat="1" applyFont="1" applyFill="1" applyBorder="1" applyAlignment="1" applyProtection="1">
      <alignment horizontal="center"/>
      <protection locked="0"/>
    </xf>
    <xf numFmtId="2" fontId="4" fillId="3" borderId="72" xfId="0" applyNumberFormat="1" applyFont="1" applyFill="1" applyBorder="1" applyAlignment="1">
      <alignment horizontal="center"/>
    </xf>
    <xf numFmtId="164" fontId="37" fillId="3" borderId="67" xfId="0" applyNumberFormat="1" applyFont="1" applyFill="1" applyBorder="1" applyAlignment="1">
      <alignment horizontal="center"/>
    </xf>
    <xf numFmtId="2" fontId="4" fillId="3" borderId="73" xfId="0" applyNumberFormat="1" applyFont="1" applyFill="1" applyBorder="1" applyAlignment="1" applyProtection="1">
      <alignment horizontal="center"/>
      <protection locked="0"/>
    </xf>
    <xf numFmtId="2" fontId="4" fillId="3" borderId="73" xfId="0" applyNumberFormat="1" applyFont="1" applyFill="1" applyBorder="1" applyAlignment="1">
      <alignment horizontal="center"/>
    </xf>
    <xf numFmtId="164" fontId="37" fillId="3" borderId="69" xfId="0" applyNumberFormat="1" applyFont="1" applyFill="1" applyBorder="1" applyAlignment="1">
      <alignment horizontal="center"/>
    </xf>
    <xf numFmtId="1" fontId="10" fillId="12" borderId="11" xfId="0" applyNumberFormat="1" applyFont="1" applyFill="1" applyBorder="1" applyAlignment="1">
      <alignment horizontal="center"/>
    </xf>
    <xf numFmtId="3" fontId="0" fillId="2" borderId="70" xfId="0" applyNumberFormat="1" applyFill="1" applyBorder="1" applyAlignment="1">
      <alignment horizontal="center" vertical="center" wrapText="1"/>
    </xf>
    <xf numFmtId="3" fontId="0" fillId="2" borderId="74" xfId="0" applyNumberFormat="1" applyFill="1" applyBorder="1" applyAlignment="1">
      <alignment horizontal="center" vertical="center" wrapText="1"/>
    </xf>
    <xf numFmtId="0" fontId="44" fillId="22" borderId="0" xfId="0" applyFont="1" applyFill="1"/>
    <xf numFmtId="3" fontId="3" fillId="22" borderId="0" xfId="0" applyNumberFormat="1" applyFont="1" applyFill="1" applyAlignment="1">
      <alignment horizontal="center" vertical="center" wrapText="1"/>
    </xf>
    <xf numFmtId="0" fontId="206" fillId="12" borderId="0" xfId="0" applyFont="1" applyFill="1" applyAlignment="1">
      <alignment horizontal="center" vertical="center"/>
    </xf>
    <xf numFmtId="0" fontId="161" fillId="12" borderId="0" xfId="0" applyFont="1" applyFill="1" applyAlignment="1">
      <alignment horizontal="left" vertical="center"/>
    </xf>
    <xf numFmtId="0" fontId="193" fillId="22" borderId="0" xfId="0" applyFont="1" applyFill="1" applyAlignment="1" applyProtection="1">
      <alignment vertical="center"/>
      <protection hidden="1"/>
    </xf>
    <xf numFmtId="3" fontId="272" fillId="0" borderId="73" xfId="0" applyNumberFormat="1" applyFont="1" applyBorder="1" applyAlignment="1">
      <alignment horizontal="center" vertical="center"/>
    </xf>
    <xf numFmtId="0" fontId="317" fillId="22" borderId="0" xfId="0" quotePrefix="1" applyFont="1" applyFill="1" applyAlignment="1">
      <alignment vertical="center"/>
    </xf>
    <xf numFmtId="0" fontId="94" fillId="22" borderId="0" xfId="3" applyFont="1" applyFill="1" applyAlignment="1" applyProtection="1"/>
    <xf numFmtId="164" fontId="190" fillId="10" borderId="0" xfId="0" applyNumberFormat="1" applyFont="1" applyFill="1" applyAlignment="1">
      <alignment horizontal="right" vertical="center"/>
    </xf>
    <xf numFmtId="0" fontId="167" fillId="10" borderId="21" xfId="0" applyFont="1" applyFill="1" applyBorder="1" applyAlignment="1">
      <alignment horizontal="right" vertical="center"/>
    </xf>
    <xf numFmtId="3" fontId="37" fillId="0" borderId="0" xfId="0" applyNumberFormat="1" applyFont="1"/>
    <xf numFmtId="0" fontId="113" fillId="22" borderId="0" xfId="0" applyFont="1" applyFill="1"/>
    <xf numFmtId="0" fontId="55" fillId="38" borderId="0" xfId="0" applyFont="1" applyFill="1" applyAlignment="1">
      <alignment horizontal="center"/>
    </xf>
    <xf numFmtId="0" fontId="55" fillId="6" borderId="0" xfId="0" applyFont="1" applyFill="1" applyAlignment="1">
      <alignment horizontal="center"/>
    </xf>
    <xf numFmtId="171" fontId="55" fillId="2" borderId="66" xfId="0" applyNumberFormat="1" applyFont="1" applyFill="1" applyBorder="1" applyAlignment="1">
      <alignment horizontal="center"/>
    </xf>
    <xf numFmtId="3" fontId="55" fillId="6" borderId="67" xfId="0" applyNumberFormat="1" applyFont="1" applyFill="1" applyBorder="1" applyAlignment="1">
      <alignment horizontal="center"/>
    </xf>
    <xf numFmtId="0" fontId="259" fillId="40" borderId="76" xfId="0" applyFont="1" applyFill="1" applyBorder="1" applyAlignment="1">
      <alignment horizontal="center" vertical="center"/>
    </xf>
    <xf numFmtId="0" fontId="259" fillId="40" borderId="76" xfId="0" applyFont="1" applyFill="1" applyBorder="1" applyAlignment="1">
      <alignment horizontal="center" vertical="center" wrapText="1"/>
    </xf>
    <xf numFmtId="0" fontId="272" fillId="22" borderId="94" xfId="0" applyFont="1" applyFill="1" applyBorder="1" applyAlignment="1">
      <alignment horizontal="right" vertical="center"/>
    </xf>
    <xf numFmtId="3" fontId="150" fillId="22" borderId="0" xfId="0" applyNumberFormat="1" applyFont="1" applyFill="1"/>
    <xf numFmtId="3" fontId="176" fillId="22" borderId="0" xfId="0" applyNumberFormat="1" applyFont="1" applyFill="1" applyAlignment="1">
      <alignment vertical="center"/>
    </xf>
    <xf numFmtId="3" fontId="272" fillId="22" borderId="0" xfId="0" applyNumberFormat="1" applyFont="1" applyFill="1" applyAlignment="1">
      <alignment vertical="center"/>
    </xf>
    <xf numFmtId="3" fontId="272" fillId="0" borderId="0" xfId="0" applyNumberFormat="1" applyFont="1" applyAlignment="1">
      <alignment vertical="center"/>
    </xf>
    <xf numFmtId="0" fontId="282" fillId="36" borderId="77" xfId="0" applyFont="1" applyFill="1" applyBorder="1" applyAlignment="1">
      <alignment horizontal="center" vertical="center"/>
    </xf>
    <xf numFmtId="0" fontId="282" fillId="36" borderId="75" xfId="0" applyFont="1" applyFill="1" applyBorder="1" applyAlignment="1">
      <alignment horizontal="center" vertical="center"/>
    </xf>
    <xf numFmtId="0" fontId="167" fillId="10" borderId="21" xfId="0" applyFont="1" applyFill="1" applyBorder="1" applyAlignment="1">
      <alignment horizontal="center" vertical="center"/>
    </xf>
    <xf numFmtId="0" fontId="167" fillId="10" borderId="21" xfId="0" applyFont="1" applyFill="1" applyBorder="1" applyAlignment="1">
      <alignment horizontal="left" vertical="top" indent="2"/>
    </xf>
    <xf numFmtId="0" fontId="267" fillId="22" borderId="21" xfId="0" applyFont="1" applyFill="1" applyBorder="1" applyAlignment="1">
      <alignment horizontal="right"/>
    </xf>
    <xf numFmtId="0" fontId="173" fillId="22" borderId="0" xfId="0" applyFont="1" applyFill="1" applyProtection="1">
      <protection hidden="1"/>
    </xf>
    <xf numFmtId="0" fontId="259" fillId="22" borderId="0" xfId="0" applyFont="1" applyFill="1" applyAlignment="1" applyProtection="1">
      <alignment horizontal="center" vertical="center" wrapText="1"/>
      <protection hidden="1"/>
    </xf>
    <xf numFmtId="3" fontId="273" fillId="22" borderId="0" xfId="0" applyNumberFormat="1" applyFont="1" applyFill="1" applyAlignment="1" applyProtection="1">
      <alignment horizontal="center" vertical="center"/>
      <protection hidden="1"/>
    </xf>
    <xf numFmtId="183" fontId="69" fillId="2" borderId="72" xfId="0" applyNumberFormat="1" applyFont="1" applyFill="1" applyBorder="1" applyAlignment="1">
      <alignment horizontal="center"/>
    </xf>
    <xf numFmtId="175" fontId="69" fillId="2" borderId="66" xfId="0" applyNumberFormat="1" applyFont="1" applyFill="1" applyBorder="1" applyAlignment="1">
      <alignment horizontal="center"/>
    </xf>
    <xf numFmtId="167" fontId="0" fillId="32" borderId="0" xfId="0" applyNumberFormat="1" applyFill="1" applyAlignment="1">
      <alignment horizontal="center"/>
    </xf>
    <xf numFmtId="182" fontId="4" fillId="32" borderId="0" xfId="0" applyNumberFormat="1" applyFont="1" applyFill="1" applyAlignment="1">
      <alignment horizontal="center"/>
    </xf>
    <xf numFmtId="179" fontId="0" fillId="2" borderId="72" xfId="0" applyNumberFormat="1" applyFill="1" applyBorder="1" applyAlignment="1">
      <alignment horizontal="center"/>
    </xf>
    <xf numFmtId="0" fontId="150" fillId="22" borderId="0" xfId="0" applyFont="1" applyFill="1" applyAlignment="1">
      <alignment horizontal="left" wrapText="1"/>
    </xf>
    <xf numFmtId="0" fontId="150" fillId="22" borderId="0" xfId="0" applyFont="1" applyFill="1" applyAlignment="1">
      <alignment horizontal="left"/>
    </xf>
    <xf numFmtId="0" fontId="279" fillId="22" borderId="0" xfId="0" applyFont="1" applyFill="1" applyAlignment="1">
      <alignment horizontal="left" vertical="top" wrapText="1"/>
    </xf>
    <xf numFmtId="0" fontId="279" fillId="22" borderId="0" xfId="0" applyFont="1" applyFill="1" applyAlignment="1">
      <alignment horizontal="left"/>
    </xf>
    <xf numFmtId="0" fontId="164" fillId="12" borderId="0" xfId="0" applyFont="1" applyFill="1" applyAlignment="1">
      <alignment vertical="center"/>
    </xf>
    <xf numFmtId="0" fontId="186" fillId="22" borderId="63" xfId="0" applyFont="1" applyFill="1" applyBorder="1" applyAlignment="1" applyProtection="1">
      <alignment horizontal="center" vertical="center" wrapText="1"/>
      <protection locked="0"/>
    </xf>
    <xf numFmtId="14" fontId="164" fillId="22" borderId="64" xfId="0" applyNumberFormat="1" applyFont="1" applyFill="1" applyBorder="1" applyAlignment="1" applyProtection="1">
      <alignment horizontal="center" vertical="center" wrapText="1"/>
      <protection locked="0"/>
    </xf>
    <xf numFmtId="0" fontId="164" fillId="22" borderId="63" xfId="0" applyFont="1" applyFill="1" applyBorder="1" applyAlignment="1" applyProtection="1">
      <alignment horizontal="left" vertical="center" indent="2"/>
      <protection locked="0"/>
    </xf>
    <xf numFmtId="0" fontId="164" fillId="22" borderId="64" xfId="0" applyFont="1" applyFill="1" applyBorder="1" applyAlignment="1" applyProtection="1">
      <alignment horizontal="left" vertical="top" wrapText="1" indent="2"/>
      <protection locked="0"/>
    </xf>
    <xf numFmtId="0" fontId="164" fillId="22" borderId="64" xfId="0" applyFont="1" applyFill="1" applyBorder="1" applyAlignment="1" applyProtection="1">
      <alignment horizontal="left" vertical="center" indent="2"/>
      <protection locked="0"/>
    </xf>
    <xf numFmtId="0" fontId="164" fillId="22" borderId="65" xfId="0" applyFont="1" applyFill="1" applyBorder="1" applyAlignment="1" applyProtection="1">
      <alignment horizontal="left" vertical="center" indent="2"/>
      <protection locked="0"/>
    </xf>
    <xf numFmtId="0" fontId="164" fillId="22" borderId="63" xfId="0" applyFont="1" applyFill="1" applyBorder="1" applyAlignment="1" applyProtection="1">
      <alignment vertical="center"/>
      <protection locked="0"/>
    </xf>
    <xf numFmtId="169" fontId="205" fillId="12" borderId="0" xfId="0" applyNumberFormat="1" applyFont="1" applyFill="1" applyAlignment="1">
      <alignment horizontal="center" vertical="top" wrapText="1"/>
    </xf>
    <xf numFmtId="0" fontId="164" fillId="22" borderId="64" xfId="0" applyFont="1" applyFill="1" applyBorder="1" applyAlignment="1" applyProtection="1">
      <alignment horizontal="center" vertical="center" wrapText="1"/>
      <protection locked="0"/>
    </xf>
    <xf numFmtId="0" fontId="186" fillId="22" borderId="64" xfId="0" applyFont="1" applyFill="1" applyBorder="1" applyAlignment="1" applyProtection="1">
      <alignment horizontal="center" vertical="center" wrapText="1"/>
      <protection locked="0"/>
    </xf>
    <xf numFmtId="0" fontId="164" fillId="12" borderId="0" xfId="0" applyFont="1" applyFill="1" applyAlignment="1">
      <alignment horizontal="left" vertical="center"/>
    </xf>
    <xf numFmtId="166" fontId="164" fillId="22" borderId="64" xfId="4" applyNumberFormat="1" applyFont="1" applyFill="1" applyBorder="1" applyAlignment="1" applyProtection="1">
      <alignment horizontal="center" vertical="center" wrapText="1"/>
      <protection locked="0"/>
    </xf>
    <xf numFmtId="0" fontId="186" fillId="12" borderId="0" xfId="0" applyFont="1" applyFill="1" applyAlignment="1">
      <alignment horizontal="left" vertical="center" indent="2"/>
    </xf>
    <xf numFmtId="0" fontId="74" fillId="8" borderId="11" xfId="0" applyFont="1" applyFill="1" applyBorder="1" applyAlignment="1">
      <alignment horizontal="center"/>
    </xf>
    <xf numFmtId="0" fontId="74" fillId="8" borderId="2" xfId="0" applyFont="1" applyFill="1" applyBorder="1" applyAlignment="1">
      <alignment horizontal="center"/>
    </xf>
    <xf numFmtId="0" fontId="74" fillId="32" borderId="16" xfId="0" applyFont="1" applyFill="1" applyBorder="1" applyAlignment="1">
      <alignment horizontal="left" wrapText="1"/>
    </xf>
    <xf numFmtId="0" fontId="74" fillId="32" borderId="15" xfId="0" applyFont="1" applyFill="1" applyBorder="1" applyAlignment="1">
      <alignment horizontal="left" wrapText="1"/>
    </xf>
    <xf numFmtId="0" fontId="74" fillId="32" borderId="25" xfId="0" applyFont="1" applyFill="1" applyBorder="1" applyAlignment="1">
      <alignment horizontal="left" wrapText="1"/>
    </xf>
    <xf numFmtId="0" fontId="3" fillId="10" borderId="12" xfId="0" applyFont="1" applyFill="1" applyBorder="1" applyAlignment="1">
      <alignment horizontal="left" vertical="top" wrapText="1"/>
    </xf>
    <xf numFmtId="0" fontId="3" fillId="10" borderId="13" xfId="0" applyFont="1" applyFill="1" applyBorder="1" applyAlignment="1">
      <alignment horizontal="left" vertical="top" wrapText="1"/>
    </xf>
    <xf numFmtId="0" fontId="9" fillId="6" borderId="12" xfId="0" applyFont="1" applyFill="1" applyBorder="1" applyAlignment="1">
      <alignment horizontal="left"/>
    </xf>
    <xf numFmtId="0" fontId="9" fillId="6" borderId="13" xfId="0" applyFont="1" applyFill="1" applyBorder="1" applyAlignment="1">
      <alignment horizontal="left"/>
    </xf>
    <xf numFmtId="164" fontId="161" fillId="10" borderId="0" xfId="0" applyNumberFormat="1" applyFont="1" applyFill="1" applyAlignment="1">
      <alignment horizontal="left" vertical="center" wrapText="1"/>
    </xf>
    <xf numFmtId="0" fontId="149" fillId="36" borderId="0" xfId="0" applyFont="1" applyFill="1" applyAlignment="1">
      <alignment horizontal="center" vertical="center"/>
    </xf>
    <xf numFmtId="0" fontId="3" fillId="8" borderId="0" xfId="0" applyFont="1" applyFill="1" applyAlignment="1">
      <alignment horizontal="center"/>
    </xf>
    <xf numFmtId="0" fontId="44" fillId="32" borderId="0" xfId="0" applyFont="1" applyFill="1" applyAlignment="1">
      <alignment horizontal="center" wrapText="1"/>
    </xf>
    <xf numFmtId="0" fontId="44" fillId="2" borderId="7" xfId="0" applyFont="1" applyFill="1" applyBorder="1" applyAlignment="1">
      <alignment horizontal="center" wrapText="1"/>
    </xf>
    <xf numFmtId="0" fontId="44" fillId="2" borderId="8" xfId="0" applyFont="1" applyFill="1" applyBorder="1" applyAlignment="1">
      <alignment horizontal="center" wrapText="1"/>
    </xf>
    <xf numFmtId="0" fontId="4" fillId="2" borderId="0" xfId="0" applyFont="1" applyFill="1" applyAlignment="1">
      <alignment horizontal="center"/>
    </xf>
    <xf numFmtId="0" fontId="167" fillId="10" borderId="0" xfId="0" applyFont="1" applyFill="1" applyAlignment="1">
      <alignment horizontal="center" vertical="top" wrapText="1"/>
    </xf>
    <xf numFmtId="0" fontId="69" fillId="8" borderId="1" xfId="0" applyFont="1" applyFill="1" applyBorder="1" applyAlignment="1">
      <alignment horizontal="center"/>
    </xf>
    <xf numFmtId="0" fontId="69" fillId="8" borderId="11" xfId="0" applyFont="1" applyFill="1" applyBorder="1" applyAlignment="1">
      <alignment horizontal="center"/>
    </xf>
    <xf numFmtId="0" fontId="69" fillId="8" borderId="2" xfId="0" applyFont="1" applyFill="1" applyBorder="1" applyAlignment="1">
      <alignment horizontal="center"/>
    </xf>
    <xf numFmtId="0" fontId="69" fillId="37" borderId="3" xfId="0" applyFont="1" applyFill="1" applyBorder="1" applyAlignment="1">
      <alignment horizontal="center" vertical="center"/>
    </xf>
    <xf numFmtId="0" fontId="69" fillId="37" borderId="4" xfId="0" applyFont="1" applyFill="1" applyBorder="1" applyAlignment="1">
      <alignment horizontal="center" vertical="center"/>
    </xf>
    <xf numFmtId="0" fontId="69" fillId="17" borderId="3" xfId="0" applyFont="1" applyFill="1" applyBorder="1" applyAlignment="1">
      <alignment horizontal="center" vertical="center"/>
    </xf>
    <xf numFmtId="0" fontId="69" fillId="17" borderId="4" xfId="0" applyFont="1" applyFill="1" applyBorder="1" applyAlignment="1">
      <alignment horizontal="center" vertical="center"/>
    </xf>
    <xf numFmtId="164" fontId="69" fillId="15" borderId="3" xfId="0" applyNumberFormat="1" applyFont="1" applyFill="1" applyBorder="1" applyAlignment="1">
      <alignment horizontal="center" vertical="center"/>
    </xf>
    <xf numFmtId="164" fontId="69" fillId="15" borderId="4" xfId="0" applyNumberFormat="1" applyFont="1" applyFill="1" applyBorder="1" applyAlignment="1">
      <alignment horizontal="center" vertical="center"/>
    </xf>
    <xf numFmtId="0" fontId="69" fillId="16" borderId="3" xfId="0" applyFont="1" applyFill="1" applyBorder="1" applyAlignment="1">
      <alignment horizontal="center" vertical="center"/>
    </xf>
    <xf numFmtId="0" fontId="69" fillId="16" borderId="4" xfId="0" applyFont="1" applyFill="1" applyBorder="1" applyAlignment="1">
      <alignment horizontal="center" vertical="center"/>
    </xf>
    <xf numFmtId="0" fontId="74" fillId="22" borderId="21" xfId="0" applyFont="1" applyFill="1" applyBorder="1" applyAlignment="1">
      <alignment horizontal="center"/>
    </xf>
    <xf numFmtId="0" fontId="74" fillId="22" borderId="21" xfId="0" applyFont="1" applyFill="1" applyBorder="1" applyAlignment="1">
      <alignment horizontal="center" wrapText="1"/>
    </xf>
    <xf numFmtId="0" fontId="160" fillId="12" borderId="0" xfId="0" applyFont="1" applyFill="1" applyAlignment="1">
      <alignment horizontal="center" vertical="center" wrapText="1"/>
    </xf>
    <xf numFmtId="0" fontId="160" fillId="12" borderId="21" xfId="0" applyFont="1" applyFill="1" applyBorder="1" applyAlignment="1">
      <alignment horizontal="center" vertical="center" wrapText="1"/>
    </xf>
    <xf numFmtId="0" fontId="174" fillId="10" borderId="0" xfId="0" applyFont="1" applyFill="1" applyAlignment="1">
      <alignment horizontal="center" vertical="center" wrapText="1"/>
    </xf>
    <xf numFmtId="0" fontId="174" fillId="22" borderId="78" xfId="0" applyFont="1" applyFill="1" applyBorder="1" applyAlignment="1" applyProtection="1">
      <alignment horizontal="center"/>
      <protection locked="0"/>
    </xf>
    <xf numFmtId="0" fontId="4" fillId="8" borderId="0" xfId="0" applyFont="1" applyFill="1" applyAlignment="1">
      <alignment horizontal="center"/>
    </xf>
    <xf numFmtId="0" fontId="150" fillId="22" borderId="121" xfId="0" applyFont="1" applyFill="1" applyBorder="1" applyAlignment="1" applyProtection="1">
      <alignment horizontal="center"/>
      <protection locked="0"/>
    </xf>
    <xf numFmtId="0" fontId="150" fillId="10" borderId="0" xfId="0" applyFont="1" applyFill="1" applyAlignment="1">
      <alignment horizontal="left" vertical="top" wrapText="1"/>
    </xf>
    <xf numFmtId="0" fontId="150" fillId="10" borderId="0" xfId="0" applyFont="1" applyFill="1" applyAlignment="1">
      <alignment horizontal="center" wrapText="1"/>
    </xf>
    <xf numFmtId="0" fontId="150" fillId="22" borderId="120" xfId="0" applyFont="1" applyFill="1" applyBorder="1" applyAlignment="1" applyProtection="1">
      <alignment horizontal="center"/>
      <protection locked="0"/>
    </xf>
    <xf numFmtId="0" fontId="4" fillId="22" borderId="0" xfId="0" applyFont="1" applyFill="1" applyAlignment="1">
      <alignment horizontal="center"/>
    </xf>
    <xf numFmtId="0" fontId="4" fillId="22" borderId="11" xfId="0" applyFont="1" applyFill="1" applyBorder="1" applyAlignment="1">
      <alignment horizontal="center"/>
    </xf>
    <xf numFmtId="0" fontId="4" fillId="22" borderId="11" xfId="0" applyFont="1" applyFill="1" applyBorder="1" applyAlignment="1">
      <alignment horizontal="left" wrapText="1"/>
    </xf>
    <xf numFmtId="0" fontId="99" fillId="29" borderId="0" xfId="0" applyFont="1" applyFill="1" applyAlignment="1">
      <alignment horizontal="center" vertical="center"/>
    </xf>
    <xf numFmtId="0" fontId="96" fillId="30" borderId="16" xfId="0" applyFont="1" applyFill="1" applyBorder="1" applyAlignment="1">
      <alignment horizontal="left" vertical="top" wrapText="1"/>
    </xf>
    <xf numFmtId="0" fontId="96" fillId="30" borderId="17" xfId="0" applyFont="1" applyFill="1" applyBorder="1" applyAlignment="1">
      <alignment horizontal="left" vertical="top" wrapText="1"/>
    </xf>
    <xf numFmtId="0" fontId="96" fillId="30" borderId="22" xfId="0" applyFont="1" applyFill="1" applyBorder="1" applyAlignment="1">
      <alignment horizontal="left" vertical="top" wrapText="1"/>
    </xf>
    <xf numFmtId="0" fontId="96" fillId="30" borderId="15" xfId="0" applyFont="1" applyFill="1" applyBorder="1" applyAlignment="1">
      <alignment horizontal="left" vertical="top" wrapText="1"/>
    </xf>
    <xf numFmtId="0" fontId="96" fillId="30" borderId="0" xfId="0" applyFont="1" applyFill="1" applyAlignment="1">
      <alignment horizontal="left" vertical="top" wrapText="1"/>
    </xf>
    <xf numFmtId="0" fontId="96" fillId="30" borderId="23" xfId="0" applyFont="1" applyFill="1" applyBorder="1" applyAlignment="1">
      <alignment horizontal="left" vertical="top" wrapText="1"/>
    </xf>
    <xf numFmtId="0" fontId="96" fillId="30" borderId="18" xfId="0" applyFont="1" applyFill="1" applyBorder="1" applyAlignment="1">
      <alignment horizontal="left" vertical="top" wrapText="1"/>
    </xf>
    <xf numFmtId="0" fontId="96" fillId="30" borderId="24" xfId="0" applyFont="1" applyFill="1" applyBorder="1" applyAlignment="1">
      <alignment horizontal="left" vertical="top" wrapText="1"/>
    </xf>
    <xf numFmtId="164" fontId="24" fillId="31" borderId="1" xfId="0" applyNumberFormat="1" applyFont="1" applyFill="1" applyBorder="1" applyAlignment="1">
      <alignment horizontal="left" vertical="center"/>
    </xf>
    <xf numFmtId="164" fontId="24" fillId="31" borderId="11" xfId="0" applyNumberFormat="1" applyFont="1" applyFill="1" applyBorder="1" applyAlignment="1">
      <alignment horizontal="left" vertical="center"/>
    </xf>
    <xf numFmtId="164" fontId="24" fillId="31" borderId="2" xfId="0" applyNumberFormat="1" applyFont="1" applyFill="1" applyBorder="1" applyAlignment="1">
      <alignment horizontal="left" vertical="center"/>
    </xf>
    <xf numFmtId="0" fontId="5" fillId="31" borderId="11" xfId="0" applyFont="1" applyFill="1" applyBorder="1" applyAlignment="1">
      <alignment horizontal="center"/>
    </xf>
    <xf numFmtId="0" fontId="5" fillId="31" borderId="2" xfId="0" applyFont="1" applyFill="1" applyBorder="1" applyAlignment="1">
      <alignment horizontal="center"/>
    </xf>
    <xf numFmtId="0" fontId="5" fillId="31" borderId="0" xfId="0" applyFont="1" applyFill="1" applyAlignment="1">
      <alignment horizontal="center" vertical="center" wrapText="1"/>
    </xf>
    <xf numFmtId="0" fontId="122" fillId="11" borderId="21" xfId="0" applyFont="1" applyFill="1" applyBorder="1" applyAlignment="1">
      <alignment horizontal="center" vertical="center" wrapText="1"/>
    </xf>
    <xf numFmtId="0" fontId="122" fillId="11" borderId="21" xfId="0" applyFont="1" applyFill="1" applyBorder="1" applyAlignment="1">
      <alignment horizontal="center" vertical="center"/>
    </xf>
    <xf numFmtId="0" fontId="4" fillId="31" borderId="21" xfId="0" applyFont="1" applyFill="1" applyBorder="1" applyAlignment="1">
      <alignment horizontal="center"/>
    </xf>
    <xf numFmtId="0" fontId="4" fillId="31" borderId="0" xfId="0" applyFont="1" applyFill="1" applyAlignment="1">
      <alignment horizontal="center"/>
    </xf>
    <xf numFmtId="172" fontId="119" fillId="31" borderId="0" xfId="0" applyNumberFormat="1" applyFont="1" applyFill="1" applyAlignment="1">
      <alignment horizontal="center"/>
    </xf>
    <xf numFmtId="0" fontId="69" fillId="18" borderId="0" xfId="0" applyFont="1" applyFill="1" applyAlignment="1">
      <alignment horizontal="justify" vertical="top" wrapText="1"/>
    </xf>
    <xf numFmtId="0" fontId="277" fillId="36" borderId="0" xfId="0" applyFont="1" applyFill="1" applyAlignment="1">
      <alignment horizontal="center" vertical="center"/>
    </xf>
    <xf numFmtId="0" fontId="277" fillId="36" borderId="140" xfId="0" applyFont="1" applyFill="1" applyBorder="1" applyAlignment="1">
      <alignment horizontal="center" vertical="center"/>
    </xf>
    <xf numFmtId="0" fontId="259" fillId="36" borderId="77" xfId="0" applyFont="1" applyFill="1" applyBorder="1" applyAlignment="1">
      <alignment horizontal="center" vertical="center"/>
    </xf>
    <xf numFmtId="0" fontId="259" fillId="36" borderId="75" xfId="0" applyFont="1" applyFill="1" applyBorder="1" applyAlignment="1">
      <alignment horizontal="center" vertical="center"/>
    </xf>
    <xf numFmtId="0" fontId="272" fillId="22" borderId="73" xfId="0" applyFont="1" applyFill="1" applyBorder="1" applyAlignment="1">
      <alignment horizontal="center" vertical="center" wrapText="1"/>
    </xf>
    <xf numFmtId="0" fontId="282" fillId="36" borderId="77" xfId="0" applyFont="1" applyFill="1" applyBorder="1" applyAlignment="1">
      <alignment horizontal="center" vertical="center"/>
    </xf>
    <xf numFmtId="0" fontId="282" fillId="36" borderId="75" xfId="0" applyFont="1" applyFill="1" applyBorder="1" applyAlignment="1">
      <alignment horizontal="center" vertical="center"/>
    </xf>
    <xf numFmtId="0" fontId="278" fillId="36" borderId="0" xfId="0" applyFont="1" applyFill="1" applyAlignment="1">
      <alignment horizontal="center" vertical="center"/>
    </xf>
    <xf numFmtId="3" fontId="150" fillId="22" borderId="77" xfId="0" applyNumberFormat="1" applyFont="1" applyFill="1" applyBorder="1" applyAlignment="1">
      <alignment horizontal="center" vertical="center"/>
    </xf>
    <xf numFmtId="3" fontId="150" fillId="22" borderId="75" xfId="0" applyNumberFormat="1" applyFont="1" applyFill="1" applyBorder="1" applyAlignment="1">
      <alignment horizontal="center" vertical="center"/>
    </xf>
    <xf numFmtId="3" fontId="150" fillId="22" borderId="69" xfId="0" applyNumberFormat="1" applyFont="1" applyFill="1" applyBorder="1" applyAlignment="1">
      <alignment horizontal="center" vertical="center"/>
    </xf>
    <xf numFmtId="3" fontId="150" fillId="22" borderId="68" xfId="0" applyNumberFormat="1" applyFont="1" applyFill="1" applyBorder="1" applyAlignment="1">
      <alignment horizontal="center" vertical="center"/>
    </xf>
    <xf numFmtId="3" fontId="150" fillId="42" borderId="77" xfId="0" applyNumberFormat="1" applyFont="1" applyFill="1" applyBorder="1" applyAlignment="1">
      <alignment horizontal="center" vertical="center"/>
    </xf>
    <xf numFmtId="3" fontId="150" fillId="42" borderId="75" xfId="0" applyNumberFormat="1" applyFont="1" applyFill="1" applyBorder="1" applyAlignment="1">
      <alignment horizontal="center" vertical="center"/>
    </xf>
    <xf numFmtId="3" fontId="150" fillId="2" borderId="77" xfId="0" applyNumberFormat="1" applyFont="1" applyFill="1" applyBorder="1" applyAlignment="1">
      <alignment horizontal="center" vertical="center"/>
    </xf>
    <xf numFmtId="3" fontId="150" fillId="2" borderId="75" xfId="0" applyNumberFormat="1" applyFont="1" applyFill="1" applyBorder="1" applyAlignment="1">
      <alignment horizontal="center" vertical="center"/>
    </xf>
    <xf numFmtId="3" fontId="150" fillId="42" borderId="67" xfId="0" applyNumberFormat="1" applyFont="1" applyFill="1" applyBorder="1" applyAlignment="1">
      <alignment horizontal="center" vertical="center"/>
    </xf>
    <xf numFmtId="3" fontId="150" fillId="42" borderId="66" xfId="0" applyNumberFormat="1" applyFont="1" applyFill="1" applyBorder="1" applyAlignment="1">
      <alignment horizontal="center" vertical="center"/>
    </xf>
    <xf numFmtId="3" fontId="150" fillId="2" borderId="69" xfId="0" applyNumberFormat="1" applyFont="1" applyFill="1" applyBorder="1" applyAlignment="1">
      <alignment horizontal="center" vertical="center"/>
    </xf>
    <xf numFmtId="3" fontId="150" fillId="2" borderId="68" xfId="0" applyNumberFormat="1" applyFont="1" applyFill="1" applyBorder="1" applyAlignment="1">
      <alignment horizontal="center" vertical="center"/>
    </xf>
    <xf numFmtId="0" fontId="318" fillId="22" borderId="0" xfId="0" applyFont="1" applyFill="1" applyAlignment="1" applyProtection="1">
      <alignment horizontal="center" vertical="center"/>
      <protection hidden="1"/>
    </xf>
    <xf numFmtId="3" fontId="160" fillId="48" borderId="77" xfId="0" applyNumberFormat="1" applyFont="1" applyFill="1" applyBorder="1" applyAlignment="1">
      <alignment horizontal="center" vertical="center"/>
    </xf>
    <xf numFmtId="3" fontId="160" fillId="48" borderId="75" xfId="0" applyNumberFormat="1" applyFont="1" applyFill="1" applyBorder="1" applyAlignment="1">
      <alignment horizontal="center" vertical="center"/>
    </xf>
    <xf numFmtId="0" fontId="318" fillId="36" borderId="145" xfId="0" applyFont="1" applyFill="1" applyBorder="1" applyAlignment="1">
      <alignment horizontal="center" vertical="center"/>
    </xf>
    <xf numFmtId="0" fontId="318" fillId="36" borderId="0" xfId="0" applyFont="1" applyFill="1" applyAlignment="1">
      <alignment horizontal="center" vertical="center"/>
    </xf>
    <xf numFmtId="0" fontId="318" fillId="36" borderId="146" xfId="0" applyFont="1" applyFill="1" applyBorder="1" applyAlignment="1">
      <alignment horizontal="center" vertical="center"/>
    </xf>
    <xf numFmtId="3" fontId="160" fillId="48" borderId="67" xfId="0" applyNumberFormat="1" applyFont="1" applyFill="1" applyBorder="1" applyAlignment="1">
      <alignment horizontal="center" vertical="center"/>
    </xf>
    <xf numFmtId="3" fontId="160" fillId="48" borderId="66" xfId="0" applyNumberFormat="1" applyFont="1" applyFill="1" applyBorder="1" applyAlignment="1">
      <alignment horizontal="center" vertical="center"/>
    </xf>
    <xf numFmtId="3" fontId="160" fillId="48" borderId="71" xfId="0" applyNumberFormat="1" applyFont="1" applyFill="1" applyBorder="1" applyAlignment="1">
      <alignment horizontal="center" vertical="center"/>
    </xf>
    <xf numFmtId="3" fontId="160" fillId="48" borderId="70" xfId="0" applyNumberFormat="1" applyFont="1" applyFill="1" applyBorder="1" applyAlignment="1">
      <alignment horizontal="center" vertical="center"/>
    </xf>
    <xf numFmtId="3" fontId="150" fillId="2" borderId="67" xfId="0" applyNumberFormat="1" applyFont="1" applyFill="1" applyBorder="1" applyAlignment="1">
      <alignment horizontal="center" vertical="center"/>
    </xf>
    <xf numFmtId="3" fontId="150" fillId="2" borderId="66" xfId="0" applyNumberFormat="1" applyFont="1" applyFill="1" applyBorder="1" applyAlignment="1">
      <alignment horizontal="center" vertical="center"/>
    </xf>
    <xf numFmtId="0" fontId="285" fillId="36" borderId="77" xfId="0" applyFont="1" applyFill="1" applyBorder="1" applyAlignment="1">
      <alignment horizontal="center" vertical="center"/>
    </xf>
    <xf numFmtId="0" fontId="285" fillId="36" borderId="75" xfId="0" applyFont="1" applyFill="1" applyBorder="1" applyAlignment="1">
      <alignment horizontal="center" vertical="center"/>
    </xf>
    <xf numFmtId="0" fontId="0" fillId="0" borderId="0" xfId="0" applyAlignment="1">
      <alignment horizontal="center"/>
    </xf>
    <xf numFmtId="0" fontId="137" fillId="22" borderId="0" xfId="0" applyFont="1" applyFill="1" applyAlignment="1">
      <alignment horizontal="left" vertical="center" wrapText="1"/>
    </xf>
  </cellXfs>
  <cellStyles count="8">
    <cellStyle name="Comma" xfId="4" builtinId="3"/>
    <cellStyle name="Comma 2" xfId="5" xr:uid="{00000000-0005-0000-0000-000001000000}"/>
    <cellStyle name="Hyperlink" xfId="3" builtinId="8"/>
    <cellStyle name="Hyperlink 2" xfId="7" xr:uid="{00000000-0005-0000-0000-000003000000}"/>
    <cellStyle name="Normal" xfId="0" builtinId="0"/>
    <cellStyle name="Normal 2" xfId="1" xr:uid="{00000000-0005-0000-0000-000005000000}"/>
    <cellStyle name="Normal 2 2" xfId="2" xr:uid="{00000000-0005-0000-0000-000006000000}"/>
    <cellStyle name="Per cent" xfId="6" builtinId="5"/>
  </cellStyles>
  <dxfs count="14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BECAB"/>
        </patternFill>
      </fill>
    </dxf>
    <dxf>
      <fill>
        <patternFill>
          <bgColor rgb="FFFBECAB"/>
        </patternFill>
      </fill>
    </dxf>
    <dxf>
      <fill>
        <patternFill>
          <bgColor rgb="FFFFC000"/>
        </patternFill>
      </fill>
    </dxf>
    <dxf>
      <fill>
        <patternFill>
          <bgColor rgb="FFFFC000"/>
        </patternFill>
      </fill>
    </dxf>
    <dxf>
      <font>
        <color rgb="FF9C0006"/>
      </font>
      <fill>
        <patternFill>
          <bgColor rgb="FFFFC7CE"/>
        </patternFill>
      </fill>
    </dxf>
    <dxf>
      <font>
        <color rgb="FFFF0000"/>
      </font>
    </dxf>
    <dxf>
      <font>
        <color rgb="FFFF0000"/>
      </font>
    </dxf>
    <dxf>
      <font>
        <color theme="0"/>
      </font>
    </dxf>
    <dxf>
      <font>
        <color theme="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theme="0" tint="-4.9989318521683403E-2"/>
        </patternFill>
      </fill>
      <border>
        <start/>
        <end/>
        <top/>
        <bottom/>
        <vertical/>
        <horizontal/>
      </border>
    </dxf>
    <dxf>
      <fill>
        <patternFill>
          <bgColor rgb="FFFFFF00"/>
        </patternFill>
      </fill>
    </dxf>
    <dxf>
      <font>
        <color theme="4"/>
      </font>
    </dxf>
    <dxf>
      <font>
        <color theme="4"/>
      </font>
    </dxf>
    <dxf>
      <font>
        <color theme="4"/>
      </font>
    </dxf>
    <dxf>
      <font>
        <color theme="4"/>
      </font>
    </dxf>
    <dxf>
      <font>
        <color theme="4"/>
      </font>
    </dxf>
    <dxf>
      <border>
        <start/>
        <end/>
        <top/>
        <bottom style="thin">
          <color rgb="FFEA8C1C"/>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patternType="none">
          <bgColor auto="1"/>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b/>
        <i val="0"/>
        <color rgb="FFFF0000"/>
      </font>
      <fill>
        <patternFill>
          <bgColor theme="0" tint="-0.14996795556505021"/>
        </patternFill>
      </fill>
    </dxf>
    <dxf>
      <font>
        <b/>
        <i val="0"/>
        <color rgb="FFFF0000"/>
      </font>
    </dxf>
    <dxf>
      <font>
        <b/>
        <i val="0"/>
        <color rgb="FFFF0000"/>
      </font>
      <fill>
        <patternFill>
          <bgColor theme="0" tint="-0.14996795556505021"/>
        </patternFill>
      </fill>
    </dxf>
    <dxf>
      <font>
        <color theme="0"/>
      </font>
      <fill>
        <patternFill>
          <bgColor rgb="FFFF0000"/>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theme="0"/>
      </font>
      <fill>
        <patternFill>
          <bgColor theme="5"/>
        </patternFill>
      </fill>
    </dxf>
    <dxf>
      <font>
        <b/>
        <i val="0"/>
        <color theme="0"/>
      </font>
      <fill>
        <patternFill>
          <bgColor theme="5"/>
        </patternFill>
      </fill>
    </dxf>
    <dxf>
      <font>
        <color theme="0"/>
      </font>
      <fill>
        <patternFill>
          <bgColor theme="5"/>
        </patternFill>
      </fill>
    </dxf>
    <dxf>
      <font>
        <color theme="0"/>
      </font>
      <fill>
        <patternFill>
          <bgColor rgb="FFFF000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b/>
        <i val="0"/>
        <color rgb="FFFF0000"/>
      </font>
    </dxf>
    <dxf>
      <font>
        <color theme="0" tint="-0.14996795556505021"/>
      </font>
      <fill>
        <patternFill>
          <bgColor theme="0" tint="-0.14996795556505021"/>
        </patternFill>
      </fill>
    </dxf>
    <dxf>
      <font>
        <color theme="0" tint="-0.14996795556505021"/>
      </font>
    </dxf>
    <dxf>
      <fill>
        <patternFill>
          <bgColor theme="0"/>
        </patternFill>
      </fill>
    </dxf>
    <dxf>
      <fill>
        <patternFill>
          <bgColor theme="8" tint="0.59996337778862885"/>
        </patternFill>
      </fill>
    </dxf>
    <dxf>
      <font>
        <color theme="0" tint="-0.14996795556505021"/>
      </font>
    </dxf>
    <dxf>
      <font>
        <b/>
        <i val="0"/>
        <color theme="1"/>
      </font>
      <fill>
        <patternFill>
          <bgColor theme="0" tint="-0.14996795556505021"/>
        </patternFill>
      </fill>
    </dxf>
    <dxf>
      <border outline="0">
        <top style="thin">
          <color indexed="64"/>
        </top>
      </border>
    </dxf>
    <dxf>
      <border outline="0">
        <start style="thin">
          <color indexed="64"/>
        </start>
        <end style="thin">
          <color indexed="64"/>
        </end>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0000"/>
        <name val="Calibri"/>
        <scheme val="minor"/>
      </font>
      <fill>
        <patternFill patternType="solid">
          <fgColor indexed="64"/>
          <bgColor theme="0" tint="-0.14999847407452621"/>
        </patternFill>
      </fill>
    </dxf>
    <dxf>
      <font>
        <b/>
        <i val="0"/>
        <strike val="0"/>
        <condense val="0"/>
        <extend val="0"/>
        <outline val="0"/>
        <shadow val="0"/>
        <u val="none"/>
        <vertAlign val="baseline"/>
        <sz val="11"/>
        <color theme="1"/>
        <name val="Calibri"/>
        <scheme val="minor"/>
      </font>
      <fill>
        <patternFill patternType="solid">
          <fgColor indexed="64"/>
          <bgColor theme="0"/>
        </patternFill>
      </fill>
      <border diagonalUp="0" diagonalDown="0">
        <start/>
        <end/>
        <top style="thin">
          <color indexed="64"/>
        </top>
        <bottom style="thin">
          <color indexed="64"/>
        </bottom>
        <vertical/>
        <horizontal/>
      </border>
    </dxf>
    <dxf>
      <border outline="0">
        <top style="thin">
          <color indexed="64"/>
        </top>
      </border>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1"/>
        <color rgb="FFFF0000"/>
        <name val="Calibri"/>
        <scheme val="minor"/>
      </font>
      <fill>
        <patternFill patternType="solid">
          <fgColor indexed="64"/>
          <bgColor theme="0" tint="-0.14999847407452621"/>
        </patternFill>
      </fill>
    </dxf>
    <dxf>
      <fill>
        <patternFill patternType="solid">
          <fgColor indexed="64"/>
          <bgColor theme="0"/>
        </patternFill>
      </fill>
      <border diagonalUp="0" diagonalDown="0">
        <start/>
        <end/>
        <top style="thin">
          <color indexed="64"/>
        </top>
        <bottom style="thin">
          <color indexed="64"/>
        </bottom>
        <vertical/>
        <horizontal/>
      </border>
    </dxf>
    <dxf>
      <border outline="0">
        <top style="thin">
          <color indexed="64"/>
        </top>
      </border>
    </dxf>
    <dxf>
      <border outline="0">
        <start style="thin">
          <color indexed="64"/>
        </start>
        <end style="thin">
          <color indexed="64"/>
        </end>
        <top style="thin">
          <color indexed="64"/>
        </top>
        <bottom style="thin">
          <color indexed="64"/>
        </bottom>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1"/>
        <color rgb="FFFF0000"/>
        <name val="Calibri"/>
        <scheme val="minor"/>
      </font>
      <fill>
        <patternFill patternType="solid">
          <fgColor indexed="64"/>
          <bgColor theme="0" tint="-0.14999847407452621"/>
        </patternFill>
      </fill>
    </dxf>
    <dxf>
      <border outline="0">
        <top style="thin">
          <color indexed="64"/>
        </top>
      </border>
    </dxf>
    <dxf>
      <border outline="0">
        <start style="thin">
          <color indexed="64"/>
        </start>
        <end style="thin">
          <color indexed="64"/>
        </end>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0000"/>
        <name val="Calibri"/>
        <scheme val="minor"/>
      </font>
      <fill>
        <patternFill patternType="solid">
          <fgColor indexed="64"/>
          <bgColor theme="0" tint="-0.14999847407452621"/>
        </patternFill>
      </fill>
    </dxf>
    <dxf>
      <border outline="0">
        <top style="thin">
          <color indexed="64"/>
        </top>
      </border>
    </dxf>
    <dxf>
      <border outline="0">
        <start style="thin">
          <color indexed="64"/>
        </start>
        <end style="thin">
          <color indexed="64"/>
        </end>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0000"/>
        <name val="Calibri"/>
        <scheme val="minor"/>
      </font>
      <fill>
        <patternFill patternType="solid">
          <fgColor indexed="64"/>
          <bgColor theme="0" tint="-0.14999847407452621"/>
        </patternFill>
      </fill>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dxf>
    <dxf>
      <border outline="0">
        <start style="thin">
          <color indexed="64"/>
        </start>
        <end style="thin">
          <color indexed="64"/>
        </end>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1"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00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00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00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00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ill>
        <patternFill patternType="solid">
          <fgColor indexed="64"/>
          <bgColor rgb="FFFFFF00"/>
        </patternFill>
      </fill>
      <alignment horizontal="center" vertical="bottom" textRotation="0" wrapText="0" indent="0" justifyLastLine="0" shrinkToFit="0" readingOrder="0"/>
      <border diagonalUp="0" diagonalDown="0">
        <start style="thin">
          <color indexed="64"/>
        </start>
        <end style="thin">
          <color indexed="64"/>
        </end>
        <top/>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00"/>
        </patternFill>
      </fill>
      <alignment horizontal="left" vertical="bottom" textRotation="0" wrapText="0" indent="0" justifyLastLine="0" shrinkToFit="0" readingOrder="0"/>
      <border diagonalUp="0" diagonalDown="0">
        <start/>
        <end style="thin">
          <color indexed="64"/>
        </end>
        <top/>
        <bottom/>
        <vertical/>
        <horizontal/>
      </border>
    </dxf>
    <dxf>
      <border outline="0">
        <start style="thin">
          <color indexed="64"/>
        </start>
        <end style="thin">
          <color indexed="64"/>
        </end>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dxf>
    <dxf>
      <border outline="0">
        <bottom style="thin">
          <color indexed="64"/>
        </bottom>
      </border>
    </dxf>
    <dxf>
      <fill>
        <patternFill patternType="solid">
          <fgColor indexed="64"/>
          <bgColor rgb="FFFFFF00"/>
        </patternFill>
      </fill>
      <alignment horizontal="center" vertical="bottom" textRotation="0" wrapText="1" indent="0" justifyLastLine="0" shrinkToFit="0" readingOrder="0"/>
      <border diagonalUp="0" diagonalDown="0" outline="0">
        <start style="thin">
          <color indexed="64"/>
        </start>
        <end style="thin">
          <color indexed="64"/>
        </end>
        <top/>
        <bottom/>
      </border>
    </dxf>
  </dxfs>
  <tableStyles count="0" defaultTableStyle="TableStyleMedium2" defaultPivotStyle="PivotStyleLight16"/>
  <colors>
    <mruColors>
      <color rgb="FFEEA54C"/>
      <color rgb="FFFEFFFF"/>
      <color rgb="FF238823"/>
      <color rgb="FF172735"/>
      <color rgb="FF008A3E"/>
      <color rgb="FF00682F"/>
      <color rgb="FF1308A8"/>
      <color rgb="FFD9D9D9"/>
      <color rgb="FFF2F2F2"/>
      <color rgb="FFEAEC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purl.oclc.org/ooxml/officeDocument/relationships/worksheet" Target="worksheets/sheet13.xml"/><Relationship Id="rId18" Type="http://purl.oclc.org/ooxml/officeDocument/relationships/worksheet" Target="worksheets/sheet18.xml"/><Relationship Id="rId26" Type="http://purl.oclc.org/ooxml/officeDocument/relationships/worksheet" Target="worksheets/sheet26.xml"/><Relationship Id="rId39" Type="http://purl.oclc.org/ooxml/officeDocument/relationships/worksheet" Target="worksheets/sheet39.xml"/><Relationship Id="rId21" Type="http://purl.oclc.org/ooxml/officeDocument/relationships/worksheet" Target="worksheets/sheet21.xml"/><Relationship Id="rId34" Type="http://purl.oclc.org/ooxml/officeDocument/relationships/worksheet" Target="worksheets/sheet34.xml"/><Relationship Id="rId42" Type="http://purl.oclc.org/ooxml/officeDocument/relationships/worksheet" Target="worksheets/sheet42.xml"/><Relationship Id="rId47" Type="http://purl.oclc.org/ooxml/officeDocument/relationships/externalLink" Target="externalLinks/externalLink2.xml"/><Relationship Id="rId50" Type="http://purl.oclc.org/ooxml/officeDocument/relationships/sharedStrings" Target="sharedStrings.xml"/><Relationship Id="rId55" Type="http://purl.oclc.org/ooxml/officeDocument/relationships/customXml" Target="../customXml/item3.xml"/><Relationship Id="rId7" Type="http://purl.oclc.org/ooxml/officeDocument/relationships/worksheet" Target="worksheets/sheet7.xml"/><Relationship Id="rId2" Type="http://purl.oclc.org/ooxml/officeDocument/relationships/worksheet" Target="worksheets/sheet2.xml"/><Relationship Id="rId16" Type="http://purl.oclc.org/ooxml/officeDocument/relationships/worksheet" Target="worksheets/sheet16.xml"/><Relationship Id="rId29" Type="http://purl.oclc.org/ooxml/officeDocument/relationships/worksheet" Target="worksheets/sheet29.xml"/><Relationship Id="rId11" Type="http://purl.oclc.org/ooxml/officeDocument/relationships/worksheet" Target="worksheets/sheet11.xml"/><Relationship Id="rId24" Type="http://purl.oclc.org/ooxml/officeDocument/relationships/worksheet" Target="worksheets/sheet24.xml"/><Relationship Id="rId32" Type="http://purl.oclc.org/ooxml/officeDocument/relationships/worksheet" Target="worksheets/sheet32.xml"/><Relationship Id="rId37" Type="http://purl.oclc.org/ooxml/officeDocument/relationships/worksheet" Target="worksheets/sheet37.xml"/><Relationship Id="rId40" Type="http://purl.oclc.org/ooxml/officeDocument/relationships/worksheet" Target="worksheets/sheet40.xml"/><Relationship Id="rId45" Type="http://purl.oclc.org/ooxml/officeDocument/relationships/worksheet" Target="worksheets/sheet45.xml"/><Relationship Id="rId53" Type="http://purl.oclc.org/ooxml/officeDocument/relationships/customXml" Target="../customXml/item1.xml"/><Relationship Id="rId5" Type="http://purl.oclc.org/ooxml/officeDocument/relationships/worksheet" Target="worksheets/sheet5.xml"/><Relationship Id="rId19" Type="http://purl.oclc.org/ooxml/officeDocument/relationships/worksheet" Target="worksheets/sheet19.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worksheet" Target="worksheets/sheet14.xml"/><Relationship Id="rId22" Type="http://purl.oclc.org/ooxml/officeDocument/relationships/worksheet" Target="worksheets/sheet22.xml"/><Relationship Id="rId27" Type="http://purl.oclc.org/ooxml/officeDocument/relationships/worksheet" Target="worksheets/sheet27.xml"/><Relationship Id="rId30" Type="http://purl.oclc.org/ooxml/officeDocument/relationships/worksheet" Target="worksheets/sheet30.xml"/><Relationship Id="rId35" Type="http://purl.oclc.org/ooxml/officeDocument/relationships/worksheet" Target="worksheets/sheet35.xml"/><Relationship Id="rId43" Type="http://purl.oclc.org/ooxml/officeDocument/relationships/worksheet" Target="worksheets/sheet43.xml"/><Relationship Id="rId48" Type="http://purl.oclc.org/ooxml/officeDocument/relationships/theme" Target="theme/theme1.xml"/><Relationship Id="rId56" Type="http://purl.oclc.org/ooxml/officeDocument/relationships/customXml" Target="../customXml/item4.xml"/><Relationship Id="rId8" Type="http://purl.oclc.org/ooxml/officeDocument/relationships/worksheet" Target="worksheets/sheet8.xml"/><Relationship Id="rId51" Type="http://purl.oclc.org/ooxml/officeDocument/relationships/sheetMetadata" Target="metadata.xml"/><Relationship Id="rId3" Type="http://purl.oclc.org/ooxml/officeDocument/relationships/worksheet" Target="worksheets/sheet3.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worksheet" Target="worksheets/sheet25.xml"/><Relationship Id="rId33" Type="http://purl.oclc.org/ooxml/officeDocument/relationships/worksheet" Target="worksheets/sheet33.xml"/><Relationship Id="rId38" Type="http://purl.oclc.org/ooxml/officeDocument/relationships/worksheet" Target="worksheets/sheet38.xml"/><Relationship Id="rId46" Type="http://purl.oclc.org/ooxml/officeDocument/relationships/externalLink" Target="externalLinks/externalLink1.xml"/><Relationship Id="rId20" Type="http://purl.oclc.org/ooxml/officeDocument/relationships/worksheet" Target="worksheets/sheet20.xml"/><Relationship Id="rId41" Type="http://purl.oclc.org/ooxml/officeDocument/relationships/worksheet" Target="worksheets/sheet41.xml"/><Relationship Id="rId54" Type="http://purl.oclc.org/ooxml/officeDocument/relationships/customXml" Target="../customXml/item2.xml"/><Relationship Id="rId1" Type="http://purl.oclc.org/ooxml/officeDocument/relationships/worksheet" Target="worksheets/sheet1.xml"/><Relationship Id="rId6" Type="http://purl.oclc.org/ooxml/officeDocument/relationships/worksheet" Target="worksheets/sheet6.xml"/><Relationship Id="rId15" Type="http://purl.oclc.org/ooxml/officeDocument/relationships/worksheet" Target="worksheets/sheet15.xml"/><Relationship Id="rId23" Type="http://purl.oclc.org/ooxml/officeDocument/relationships/worksheet" Target="worksheets/sheet23.xml"/><Relationship Id="rId28" Type="http://purl.oclc.org/ooxml/officeDocument/relationships/worksheet" Target="worksheets/sheet28.xml"/><Relationship Id="rId36" Type="http://purl.oclc.org/ooxml/officeDocument/relationships/worksheet" Target="worksheets/sheet36.xml"/><Relationship Id="rId49" Type="http://purl.oclc.org/ooxml/officeDocument/relationships/styles" Target="styles.xml"/><Relationship Id="rId57" Type="http://purl.oclc.org/ooxml/officeDocument/relationships/customXml" Target="../customXml/item5.xml"/><Relationship Id="rId10" Type="http://purl.oclc.org/ooxml/officeDocument/relationships/worksheet" Target="worksheets/sheet10.xml"/><Relationship Id="rId31" Type="http://purl.oclc.org/ooxml/officeDocument/relationships/worksheet" Target="worksheets/sheet31.xml"/><Relationship Id="rId44" Type="http://purl.oclc.org/ooxml/officeDocument/relationships/worksheet" Target="worksheets/sheet44.xml"/><Relationship Id="rId52"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26729798049221E-2"/>
          <c:y val="7.9333376239038592E-2"/>
          <c:w val="0.95284030010718113"/>
          <c:h val="0.83642857142857141"/>
        </c:manualLayout>
      </c:layout>
      <c:barChart>
        <c:barDir val="bar"/>
        <c:grouping val="clustered"/>
        <c:varyColors val="0"/>
        <c:ser>
          <c:idx val="0"/>
          <c:order val="0"/>
          <c:tx>
            <c:strRef>
              <c:f>[0]!Activitiesbalance</c:f>
              <c:strCache>
                <c:ptCount val="12"/>
                <c:pt idx="0">
                  <c:v>Grasslands </c:v>
                </c:pt>
                <c:pt idx="1">
                  <c:v>Livestock</c:v>
                </c:pt>
                <c:pt idx="2">
                  <c:v>Perennial</c:v>
                </c:pt>
                <c:pt idx="3">
                  <c:v>Other land-use </c:v>
                </c:pt>
                <c:pt idx="6">
                  <c:v>Coastal wetlands</c:v>
                </c:pt>
                <c:pt idx="7">
                  <c:v>Inputs &amp; Investments</c:v>
                </c:pt>
                <c:pt idx="8">
                  <c:v>Inland wetlands</c:v>
                </c:pt>
              </c:strCache>
            </c:strRef>
          </c:tx>
          <c:spPr>
            <a:solidFill>
              <a:srgbClr val="238823"/>
            </a:solidFill>
            <a:ln>
              <a:noFill/>
            </a:ln>
            <a:effectLst/>
          </c:spPr>
          <c:invertIfNegative val="0"/>
          <c:dLbls>
            <c:delete val="1"/>
          </c:dLbls>
          <c:cat>
            <c:strRef>
              <c:f>Graph!$G$29:$G$40</c:f>
              <c:strCache>
                <c:ptCount val="9"/>
                <c:pt idx="0">
                  <c:v>Grasslands </c:v>
                </c:pt>
                <c:pt idx="1">
                  <c:v>Livestock</c:v>
                </c:pt>
                <c:pt idx="2">
                  <c:v>Perennial</c:v>
                </c:pt>
                <c:pt idx="3">
                  <c:v>Other land-use </c:v>
                </c:pt>
                <c:pt idx="6">
                  <c:v>Coastal wetlands</c:v>
                </c:pt>
                <c:pt idx="7">
                  <c:v>Inputs &amp; Investments</c:v>
                </c:pt>
                <c:pt idx="8">
                  <c:v>Inland wetlands</c:v>
                </c:pt>
              </c:strCache>
            </c:strRef>
          </c:cat>
          <c:val>
            <c:numRef>
              <c:f>[0]!fluxesbalance</c:f>
              <c:numCache>
                <c:formatCode>#,##0</c:formatCode>
                <c:ptCount val="7"/>
                <c:pt idx="0">
                  <c:v>-2475.0000000000009</c:v>
                </c:pt>
                <c:pt idx="1">
                  <c:v>-795.33956249999937</c:v>
                </c:pt>
                <c:pt idx="2">
                  <c:v>-672.42442666666739</c:v>
                </c:pt>
                <c:pt idx="3">
                  <c:v>0</c:v>
                </c:pt>
                <c:pt idx="4">
                  <c:v>0</c:v>
                </c:pt>
                <c:pt idx="5">
                  <c:v>0</c:v>
                </c:pt>
                <c:pt idx="6">
                  <c:v>3622.5</c:v>
                </c:pt>
              </c:numCache>
            </c:numRef>
          </c:val>
          <c:extLst>
            <c:ext xmlns:c16="http://schemas.microsoft.com/office/drawing/2014/chart" uri="{C3380CC4-5D6E-409C-BE32-E72D297353CC}">
              <c16:uniqueId val="{00000000-443B-4896-A467-0163CB416BB8}"/>
            </c:ext>
          </c:extLst>
        </c:ser>
        <c:ser>
          <c:idx val="1"/>
          <c:order val="1"/>
          <c:tx>
            <c:strRef>
              <c:f>[0]!Activitiesbalance</c:f>
              <c:strCache>
                <c:ptCount val="12"/>
                <c:pt idx="0">
                  <c:v>Grasslands </c:v>
                </c:pt>
                <c:pt idx="1">
                  <c:v>Livestock</c:v>
                </c:pt>
                <c:pt idx="2">
                  <c:v>Perennial</c:v>
                </c:pt>
                <c:pt idx="3">
                  <c:v>Other land-use </c:v>
                </c:pt>
                <c:pt idx="6">
                  <c:v>Coastal wetlands</c:v>
                </c:pt>
                <c:pt idx="7">
                  <c:v>Inputs &amp; Investments</c:v>
                </c:pt>
                <c:pt idx="8">
                  <c:v>Inland wetlands</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Roboto" panose="02000000000000000000" pitchFamily="2" charset="0"/>
                    <a:ea typeface="Roboto" panose="02000000000000000000" pitchFamily="2" charset="0"/>
                    <a:cs typeface="+mn-cs"/>
                  </a:defRPr>
                </a:pPr>
                <a:endParaRPr lang="en-IT"/>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Graph!$G$29:$G$40</c:f>
              <c:strCache>
                <c:ptCount val="9"/>
                <c:pt idx="0">
                  <c:v>Grasslands </c:v>
                </c:pt>
                <c:pt idx="1">
                  <c:v>Livestock</c:v>
                </c:pt>
                <c:pt idx="2">
                  <c:v>Perennial</c:v>
                </c:pt>
                <c:pt idx="3">
                  <c:v>Other land-use </c:v>
                </c:pt>
                <c:pt idx="6">
                  <c:v>Coastal wetlands</c:v>
                </c:pt>
                <c:pt idx="7">
                  <c:v>Inputs &amp; Investments</c:v>
                </c:pt>
                <c:pt idx="8">
                  <c:v>Inland wetlands</c:v>
                </c:pt>
              </c:strCache>
            </c:strRef>
          </c:cat>
          <c:val>
            <c:numRef>
              <c:f>[0]!labelsbalance</c:f>
              <c:numCache>
                <c:formatCode>General</c:formatCode>
                <c:ptCount val="7"/>
                <c:pt idx="0">
                  <c:v>1</c:v>
                </c:pt>
                <c:pt idx="1">
                  <c:v>1</c:v>
                </c:pt>
                <c:pt idx="2">
                  <c:v>1</c:v>
                </c:pt>
                <c:pt idx="3">
                  <c:v>-1</c:v>
                </c:pt>
                <c:pt idx="4">
                  <c:v>0</c:v>
                </c:pt>
                <c:pt idx="5">
                  <c:v>0</c:v>
                </c:pt>
                <c:pt idx="6">
                  <c:v>-1</c:v>
                </c:pt>
              </c:numCache>
            </c:numRef>
          </c:val>
          <c:extLst>
            <c:ext xmlns:c16="http://schemas.microsoft.com/office/drawing/2014/chart" uri="{C3380CC4-5D6E-409C-BE32-E72D297353CC}">
              <c16:uniqueId val="{00000005-443B-4896-A467-0163CB416BB8}"/>
            </c:ext>
          </c:extLst>
        </c:ser>
        <c:ser>
          <c:idx val="2"/>
          <c:order val="2"/>
          <c:tx>
            <c:strRef>
              <c:f>[0]!Activitiesbalance</c:f>
              <c:strCache>
                <c:ptCount val="12"/>
                <c:pt idx="0">
                  <c:v>Grasslands </c:v>
                </c:pt>
                <c:pt idx="1">
                  <c:v>Livestock</c:v>
                </c:pt>
                <c:pt idx="2">
                  <c:v>Perennial</c:v>
                </c:pt>
                <c:pt idx="3">
                  <c:v>Other land-use </c:v>
                </c:pt>
                <c:pt idx="6">
                  <c:v>Coastal wetlands</c:v>
                </c:pt>
                <c:pt idx="7">
                  <c:v>Inputs &amp; Investments</c:v>
                </c:pt>
                <c:pt idx="8">
                  <c:v>Inland wetlands</c:v>
                </c:pt>
              </c:strCache>
            </c:strRef>
          </c:tx>
          <c:spPr>
            <a:solidFill>
              <a:srgbClr val="C00000"/>
            </a:solidFill>
            <a:ln>
              <a:noFill/>
            </a:ln>
            <a:effectLst/>
          </c:spPr>
          <c:invertIfNegative val="0"/>
          <c:dLbls>
            <c:delete val="1"/>
          </c:dLbls>
          <c:cat>
            <c:strRef>
              <c:f>Graph!$G$29:$G$40</c:f>
              <c:strCache>
                <c:ptCount val="9"/>
                <c:pt idx="0">
                  <c:v>Grasslands </c:v>
                </c:pt>
                <c:pt idx="1">
                  <c:v>Livestock</c:v>
                </c:pt>
                <c:pt idx="2">
                  <c:v>Perennial</c:v>
                </c:pt>
                <c:pt idx="3">
                  <c:v>Other land-use </c:v>
                </c:pt>
                <c:pt idx="6">
                  <c:v>Coastal wetlands</c:v>
                </c:pt>
                <c:pt idx="7">
                  <c:v>Inputs &amp; Investments</c:v>
                </c:pt>
                <c:pt idx="8">
                  <c:v>Inland wetlands</c:v>
                </c:pt>
              </c:strCache>
            </c:strRef>
          </c:cat>
          <c:val>
            <c:numRef>
              <c:f>[0]!positivefluxesbalance</c:f>
              <c:numCache>
                <c:formatCode>#,##0</c:formatCode>
                <c:ptCount val="7"/>
                <c:pt idx="0">
                  <c:v>0</c:v>
                </c:pt>
                <c:pt idx="1">
                  <c:v>0</c:v>
                </c:pt>
                <c:pt idx="2">
                  <c:v>0</c:v>
                </c:pt>
                <c:pt idx="3">
                  <c:v>0</c:v>
                </c:pt>
                <c:pt idx="4">
                  <c:v>0</c:v>
                </c:pt>
                <c:pt idx="5">
                  <c:v>0</c:v>
                </c:pt>
                <c:pt idx="6">
                  <c:v>3622.5</c:v>
                </c:pt>
              </c:numCache>
            </c:numRef>
          </c:val>
          <c:extLst>
            <c:ext xmlns:c16="http://schemas.microsoft.com/office/drawing/2014/chart" uri="{C3380CC4-5D6E-409C-BE32-E72D297353CC}">
              <c16:uniqueId val="{00000006-443B-4896-A467-0163CB416BB8}"/>
            </c:ext>
          </c:extLst>
        </c:ser>
        <c:dLbls>
          <c:dLblPos val="inBase"/>
          <c:showLegendKey val="0"/>
          <c:showVal val="1"/>
          <c:showCatName val="0"/>
          <c:showSerName val="0"/>
          <c:showPercent val="0"/>
          <c:showBubbleSize val="0"/>
        </c:dLbls>
        <c:gapWidth val="10"/>
        <c:overlap val="100"/>
        <c:axId val="584202896"/>
        <c:axId val="584203880"/>
      </c:barChart>
      <c:catAx>
        <c:axId val="584202896"/>
        <c:scaling>
          <c:orientation val="minMax"/>
        </c:scaling>
        <c:delete val="1"/>
        <c:axPos val="l"/>
        <c:numFmt formatCode="General" sourceLinked="1"/>
        <c:majorTickMark val="out"/>
        <c:minorTickMark val="none"/>
        <c:tickLblPos val="nextTo"/>
        <c:crossAx val="584203880"/>
        <c:crosses val="autoZero"/>
        <c:auto val="1"/>
        <c:lblAlgn val="ctr"/>
        <c:lblOffset val="100"/>
        <c:noMultiLvlLbl val="0"/>
      </c:catAx>
      <c:valAx>
        <c:axId val="584203880"/>
        <c:scaling>
          <c:orientation val="minMax"/>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crossAx val="584202896"/>
        <c:crosses val="autoZero"/>
        <c:crossBetween val="between"/>
      </c:valAx>
      <c:spPr>
        <a:noFill/>
        <a:ln w="25400">
          <a:noFill/>
        </a:ln>
        <a:effectLst/>
      </c:spPr>
    </c:plotArea>
    <c:plotVisOnly val="1"/>
    <c:dispBlanksAs val="zero"/>
    <c:showDLblsOverMax val="0"/>
  </c:chart>
  <c:spPr>
    <a:solidFill>
      <a:schemeClr val="bg1"/>
    </a:solidFill>
    <a:ln w="9525" cap="flat" cmpd="sng" algn="ctr">
      <a:noFill/>
      <a:round/>
    </a:ln>
    <a:effectLst/>
  </c:spPr>
  <c:txPr>
    <a:bodyPr/>
    <a:lstStyle/>
    <a:p>
      <a:pPr>
        <a:defRPr>
          <a:latin typeface="Roboto Light" panose="02000000000000000000" pitchFamily="2" charset="0"/>
          <a:ea typeface="Roboto Light" panose="02000000000000000000" pitchFamily="2" charset="0"/>
        </a:defRPr>
      </a:pPr>
      <a:endParaRPr lang="en-IT"/>
    </a:p>
  </c:txPr>
  <c:printSettings>
    <c:headerFooter/>
    <c:pageMargins b="0.75" l="0.7" r="0.7" t="0.75" header="0.3" footer="0.3"/>
    <c:pageSetup/>
  </c:printSettings>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913400655426548E-2"/>
          <c:y val="1.8404374511018787E-2"/>
          <c:w val="0.89823716257477226"/>
          <c:h val="0.90056251464997727"/>
        </c:manualLayout>
      </c:layout>
      <c:barChart>
        <c:barDir val="bar"/>
        <c:grouping val="clustered"/>
        <c:varyColors val="0"/>
        <c:ser>
          <c:idx val="0"/>
          <c:order val="0"/>
          <c:tx>
            <c:v>Net fluxes</c:v>
          </c:tx>
          <c:spPr>
            <a:solidFill>
              <a:srgbClr val="238823"/>
            </a:solidFill>
            <a:ln>
              <a:noFill/>
            </a:ln>
            <a:effectLst/>
          </c:spPr>
          <c:invertIfNegative val="0"/>
          <c:dPt>
            <c:idx val="2"/>
            <c:invertIfNegative val="0"/>
            <c:bubble3D val="0"/>
            <c:spPr>
              <a:solidFill>
                <a:srgbClr val="238823"/>
              </a:solidFill>
              <a:ln>
                <a:noFill/>
              </a:ln>
              <a:effectLst/>
            </c:spPr>
            <c:extLst>
              <c:ext xmlns:c16="http://schemas.microsoft.com/office/drawing/2014/chart" uri="{C3380CC4-5D6E-409C-BE32-E72D297353CC}">
                <c16:uniqueId val="{00000001-5581-4BBB-8E0D-974D6E89ED0B}"/>
              </c:ext>
            </c:extLst>
          </c:dPt>
          <c:cat>
            <c:strRef>
              <c:f>Graph!$C$6:$E$6</c:f>
              <c:strCache>
                <c:ptCount val="3"/>
                <c:pt idx="0">
                  <c:v>WITHOUT</c:v>
                </c:pt>
                <c:pt idx="1">
                  <c:v>WITH</c:v>
                </c:pt>
                <c:pt idx="2">
                  <c:v>BALANCE</c:v>
                </c:pt>
              </c:strCache>
            </c:strRef>
          </c:cat>
          <c:val>
            <c:numRef>
              <c:f>Graph!$C$20:$E$20</c:f>
              <c:numCache>
                <c:formatCode>#,##0</c:formatCode>
                <c:ptCount val="3"/>
                <c:pt idx="0">
                  <c:v>7659524.9936031746</c:v>
                </c:pt>
                <c:pt idx="1">
                  <c:v>7782290.2754779849</c:v>
                </c:pt>
                <c:pt idx="2">
                  <c:v>122765.2818748108</c:v>
                </c:pt>
              </c:numCache>
            </c:numRef>
          </c:val>
          <c:extLst>
            <c:ext xmlns:c16="http://schemas.microsoft.com/office/drawing/2014/chart" uri="{C3380CC4-5D6E-409C-BE32-E72D297353CC}">
              <c16:uniqueId val="{00000000-2431-4BA0-8C5E-BEA7B865F6D5}"/>
            </c:ext>
          </c:extLst>
        </c:ser>
        <c:ser>
          <c:idx val="1"/>
          <c:order val="1"/>
          <c:tx>
            <c:v>postivenetfluxes</c:v>
          </c:tx>
          <c:spPr>
            <a:solidFill>
              <a:srgbClr val="C00000"/>
            </a:solidFill>
            <a:ln>
              <a:noFill/>
            </a:ln>
            <a:effectLst/>
          </c:spPr>
          <c:invertIfNegative val="0"/>
          <c:cat>
            <c:strRef>
              <c:f>Graph!$C$6:$E$6</c:f>
              <c:strCache>
                <c:ptCount val="3"/>
                <c:pt idx="0">
                  <c:v>WITHOUT</c:v>
                </c:pt>
                <c:pt idx="1">
                  <c:v>WITH</c:v>
                </c:pt>
                <c:pt idx="2">
                  <c:v>BALANCE</c:v>
                </c:pt>
              </c:strCache>
            </c:strRef>
          </c:cat>
          <c:val>
            <c:numRef>
              <c:f>Graph!$C$23:$E$23</c:f>
              <c:numCache>
                <c:formatCode>#,##0</c:formatCode>
                <c:ptCount val="3"/>
                <c:pt idx="0">
                  <c:v>7659524.9936031746</c:v>
                </c:pt>
                <c:pt idx="1">
                  <c:v>7782290.2754779849</c:v>
                </c:pt>
                <c:pt idx="2">
                  <c:v>122765.2818748108</c:v>
                </c:pt>
              </c:numCache>
            </c:numRef>
          </c:val>
          <c:extLst>
            <c:ext xmlns:c16="http://schemas.microsoft.com/office/drawing/2014/chart" uri="{C3380CC4-5D6E-409C-BE32-E72D297353CC}">
              <c16:uniqueId val="{00000001-2431-4BA0-8C5E-BEA7B865F6D5}"/>
            </c:ext>
          </c:extLst>
        </c:ser>
        <c:ser>
          <c:idx val="2"/>
          <c:order val="2"/>
          <c:tx>
            <c:v>Label</c:v>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dLblPos val="in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Graph!$C$6:$E$6</c:f>
              <c:strCache>
                <c:ptCount val="3"/>
                <c:pt idx="0">
                  <c:v>WITHOUT</c:v>
                </c:pt>
                <c:pt idx="1">
                  <c:v>WITH</c:v>
                </c:pt>
                <c:pt idx="2">
                  <c:v>BALANCE</c:v>
                </c:pt>
              </c:strCache>
            </c:strRef>
          </c:cat>
          <c:val>
            <c:numRef>
              <c:f>Graph!$C$24:$E$24</c:f>
              <c:numCache>
                <c:formatCode>General</c:formatCode>
                <c:ptCount val="3"/>
                <c:pt idx="0">
                  <c:v>-1.5</c:v>
                </c:pt>
                <c:pt idx="1">
                  <c:v>-1.5</c:v>
                </c:pt>
                <c:pt idx="2">
                  <c:v>-1.5</c:v>
                </c:pt>
              </c:numCache>
            </c:numRef>
          </c:val>
          <c:extLst>
            <c:ext xmlns:c16="http://schemas.microsoft.com/office/drawing/2014/chart" uri="{C3380CC4-5D6E-409C-BE32-E72D297353CC}">
              <c16:uniqueId val="{00000003-2431-4BA0-8C5E-BEA7B865F6D5}"/>
            </c:ext>
          </c:extLst>
        </c:ser>
        <c:dLbls>
          <c:showLegendKey val="0"/>
          <c:showVal val="0"/>
          <c:showCatName val="0"/>
          <c:showSerName val="0"/>
          <c:showPercent val="0"/>
          <c:showBubbleSize val="0"/>
        </c:dLbls>
        <c:gapWidth val="15"/>
        <c:overlap val="100"/>
        <c:axId val="844109320"/>
        <c:axId val="844110632"/>
      </c:barChart>
      <c:catAx>
        <c:axId val="844109320"/>
        <c:scaling>
          <c:orientation val="minMax"/>
        </c:scaling>
        <c:delete val="1"/>
        <c:axPos val="l"/>
        <c:numFmt formatCode="General" sourceLinked="1"/>
        <c:majorTickMark val="none"/>
        <c:minorTickMark val="none"/>
        <c:tickLblPos val="nextTo"/>
        <c:crossAx val="844110632"/>
        <c:crosses val="autoZero"/>
        <c:auto val="1"/>
        <c:lblAlgn val="ctr"/>
        <c:lblOffset val="100"/>
        <c:noMultiLvlLbl val="0"/>
      </c:catAx>
      <c:valAx>
        <c:axId val="844110632"/>
        <c:scaling>
          <c:orientation val="minMax"/>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crossAx val="8441093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IT"/>
    </a:p>
  </c:txPr>
  <c:printSettings>
    <c:headerFooter/>
    <c:pageMargins b="0.75" l="0.7" r="0.7" t="0.75" header="0.3" footer="0.3"/>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913400655426548E-2"/>
          <c:y val="3.8428047697816867E-2"/>
          <c:w val="0.90720717970764342"/>
          <c:h val="0.8805388322621549"/>
        </c:manualLayout>
      </c:layout>
      <c:barChart>
        <c:barDir val="bar"/>
        <c:grouping val="clustered"/>
        <c:varyColors val="0"/>
        <c:ser>
          <c:idx val="0"/>
          <c:order val="0"/>
          <c:tx>
            <c:v>GHG share</c:v>
          </c:tx>
          <c:spPr>
            <a:solidFill>
              <a:srgbClr val="238823"/>
            </a:solidFill>
            <a:ln>
              <a:noFill/>
            </a:ln>
            <a:effectLst/>
          </c:spPr>
          <c:invertIfNegative val="0"/>
          <c:cat>
            <c:strRef>
              <c:f>Graph!$G$6:$K$6</c:f>
              <c:strCache>
                <c:ptCount val="5"/>
                <c:pt idx="0">
                  <c:v>CO2 BIOMASS</c:v>
                </c:pt>
                <c:pt idx="1">
                  <c:v>CO2 SOIL</c:v>
                </c:pt>
                <c:pt idx="2">
                  <c:v>N2O</c:v>
                </c:pt>
                <c:pt idx="3">
                  <c:v>CH4</c:v>
                </c:pt>
                <c:pt idx="4">
                  <c:v>OTHER</c:v>
                </c:pt>
              </c:strCache>
            </c:strRef>
          </c:cat>
          <c:val>
            <c:numRef>
              <c:f>Graph!$G$20:$K$20</c:f>
              <c:numCache>
                <c:formatCode>#,##0</c:formatCode>
                <c:ptCount val="5"/>
                <c:pt idx="0">
                  <c:v>-1774.666666666667</c:v>
                </c:pt>
                <c:pt idx="1">
                  <c:v>111579.82557333302</c:v>
                </c:pt>
                <c:pt idx="2">
                  <c:v>294.62321428571443</c:v>
                </c:pt>
                <c:pt idx="3">
                  <c:v>6054.7437708333309</c:v>
                </c:pt>
                <c:pt idx="4">
                  <c:v>6428.087649692573</c:v>
                </c:pt>
              </c:numCache>
            </c:numRef>
          </c:val>
          <c:extLst>
            <c:ext xmlns:c16="http://schemas.microsoft.com/office/drawing/2014/chart" uri="{C3380CC4-5D6E-409C-BE32-E72D297353CC}">
              <c16:uniqueId val="{00000000-4780-41EC-989B-3306E760B6B2}"/>
            </c:ext>
          </c:extLst>
        </c:ser>
        <c:ser>
          <c:idx val="1"/>
          <c:order val="1"/>
          <c:tx>
            <c:v>postivenetfluxes</c:v>
          </c:tx>
          <c:spPr>
            <a:solidFill>
              <a:srgbClr val="C00000"/>
            </a:solidFill>
            <a:ln>
              <a:noFill/>
            </a:ln>
            <a:effectLst/>
          </c:spPr>
          <c:invertIfNegative val="0"/>
          <c:cat>
            <c:strRef>
              <c:f>Graph!$G$6:$K$6</c:f>
              <c:strCache>
                <c:ptCount val="5"/>
                <c:pt idx="0">
                  <c:v>CO2 BIOMASS</c:v>
                </c:pt>
                <c:pt idx="1">
                  <c:v>CO2 SOIL</c:v>
                </c:pt>
                <c:pt idx="2">
                  <c:v>N2O</c:v>
                </c:pt>
                <c:pt idx="3">
                  <c:v>CH4</c:v>
                </c:pt>
                <c:pt idx="4">
                  <c:v>OTHER</c:v>
                </c:pt>
              </c:strCache>
            </c:strRef>
          </c:cat>
          <c:val>
            <c:numRef>
              <c:f>Graph!$G$23:$K$23</c:f>
              <c:numCache>
                <c:formatCode>#,##0</c:formatCode>
                <c:ptCount val="5"/>
                <c:pt idx="0">
                  <c:v>0</c:v>
                </c:pt>
                <c:pt idx="1">
                  <c:v>111579.82557333302</c:v>
                </c:pt>
                <c:pt idx="2">
                  <c:v>294.62321428571443</c:v>
                </c:pt>
                <c:pt idx="3">
                  <c:v>6054.7437708333309</c:v>
                </c:pt>
                <c:pt idx="4">
                  <c:v>6428.087649692573</c:v>
                </c:pt>
              </c:numCache>
            </c:numRef>
          </c:val>
          <c:extLst>
            <c:ext xmlns:c16="http://schemas.microsoft.com/office/drawing/2014/chart" uri="{C3380CC4-5D6E-409C-BE32-E72D297353CC}">
              <c16:uniqueId val="{00000001-4780-41EC-989B-3306E760B6B2}"/>
            </c:ext>
          </c:extLst>
        </c:ser>
        <c:ser>
          <c:idx val="2"/>
          <c:order val="2"/>
          <c:tx>
            <c:v>Label</c:v>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Graph!$G$6:$K$6</c:f>
              <c:strCache>
                <c:ptCount val="5"/>
                <c:pt idx="0">
                  <c:v>CO2 BIOMASS</c:v>
                </c:pt>
                <c:pt idx="1">
                  <c:v>CO2 SOIL</c:v>
                </c:pt>
                <c:pt idx="2">
                  <c:v>N2O</c:v>
                </c:pt>
                <c:pt idx="3">
                  <c:v>CH4</c:v>
                </c:pt>
                <c:pt idx="4">
                  <c:v>OTHER</c:v>
                </c:pt>
              </c:strCache>
            </c:strRef>
          </c:cat>
          <c:val>
            <c:numRef>
              <c:f>Graph!$G$24:$K$24</c:f>
              <c:numCache>
                <c:formatCode>General</c:formatCode>
                <c:ptCount val="5"/>
                <c:pt idx="0">
                  <c:v>1.5</c:v>
                </c:pt>
                <c:pt idx="1">
                  <c:v>-1.5</c:v>
                </c:pt>
                <c:pt idx="2">
                  <c:v>-1.5</c:v>
                </c:pt>
                <c:pt idx="3">
                  <c:v>-1.5</c:v>
                </c:pt>
                <c:pt idx="4">
                  <c:v>-1.5</c:v>
                </c:pt>
              </c:numCache>
            </c:numRef>
          </c:val>
          <c:extLst>
            <c:ext xmlns:c16="http://schemas.microsoft.com/office/drawing/2014/chart" uri="{C3380CC4-5D6E-409C-BE32-E72D297353CC}">
              <c16:uniqueId val="{00000002-4780-41EC-989B-3306E760B6B2}"/>
            </c:ext>
          </c:extLst>
        </c:ser>
        <c:dLbls>
          <c:showLegendKey val="0"/>
          <c:showVal val="0"/>
          <c:showCatName val="0"/>
          <c:showSerName val="0"/>
          <c:showPercent val="0"/>
          <c:showBubbleSize val="0"/>
        </c:dLbls>
        <c:gapWidth val="15"/>
        <c:overlap val="100"/>
        <c:axId val="844109320"/>
        <c:axId val="844110632"/>
      </c:barChart>
      <c:catAx>
        <c:axId val="844109320"/>
        <c:scaling>
          <c:orientation val="minMax"/>
        </c:scaling>
        <c:delete val="1"/>
        <c:axPos val="l"/>
        <c:numFmt formatCode="General" sourceLinked="1"/>
        <c:majorTickMark val="none"/>
        <c:minorTickMark val="none"/>
        <c:tickLblPos val="nextTo"/>
        <c:crossAx val="844110632"/>
        <c:crosses val="autoZero"/>
        <c:auto val="1"/>
        <c:lblAlgn val="ctr"/>
        <c:lblOffset val="100"/>
        <c:noMultiLvlLbl val="0"/>
      </c:catAx>
      <c:valAx>
        <c:axId val="844110632"/>
        <c:scaling>
          <c:orientation val="minMax"/>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crossAx val="8441093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IT"/>
    </a:p>
  </c:txPr>
  <c:printSettings>
    <c:headerFooter/>
    <c:pageMargins b="0.75" l="0.7" r="0.7" t="0.75" header="0.3" footer="0.3"/>
    <c:pageSetup/>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049285505978437E-2"/>
          <c:y val="4.7568923676207138E-2"/>
          <c:w val="0.87807312083352174"/>
          <c:h val="0.90115856045030562"/>
        </c:manualLayout>
      </c:layout>
      <c:barChart>
        <c:barDir val="bar"/>
        <c:grouping val="clustered"/>
        <c:varyColors val="0"/>
        <c:ser>
          <c:idx val="0"/>
          <c:order val="0"/>
          <c:tx>
            <c:v>fluxeswithout</c:v>
          </c:tx>
          <c:spPr>
            <a:solidFill>
              <a:schemeClr val="accent1"/>
            </a:solidFill>
            <a:ln>
              <a:noFill/>
            </a:ln>
            <a:effectLst/>
          </c:spPr>
          <c:invertIfNegative val="0"/>
          <c:cat>
            <c:strRef>
              <c:f>Graph!$B$105:$B$108</c:f>
              <c:strCache>
                <c:ptCount val="4"/>
                <c:pt idx="0">
                  <c:v>Drainage</c:v>
                </c:pt>
                <c:pt idx="1">
                  <c:v>Rewetting</c:v>
                </c:pt>
                <c:pt idx="2">
                  <c:v>Fire</c:v>
                </c:pt>
                <c:pt idx="3">
                  <c:v>Biomass management</c:v>
                </c:pt>
              </c:strCache>
            </c:strRef>
          </c:cat>
          <c:val>
            <c:numRef>
              <c:f>Graph!$D$105:$D$108</c:f>
              <c:numCache>
                <c:formatCode>#,##0</c:formatCode>
                <c:ptCount val="4"/>
                <c:pt idx="0">
                  <c:v>7197406.7755952394</c:v>
                </c:pt>
                <c:pt idx="1">
                  <c:v>3037.4166666666665</c:v>
                </c:pt>
                <c:pt idx="2">
                  <c:v>0</c:v>
                </c:pt>
                <c:pt idx="3">
                  <c:v>0</c:v>
                </c:pt>
              </c:numCache>
            </c:numRef>
          </c:val>
          <c:extLst>
            <c:ext xmlns:c16="http://schemas.microsoft.com/office/drawing/2014/chart" uri="{C3380CC4-5D6E-409C-BE32-E72D297353CC}">
              <c16:uniqueId val="{00000000-1203-4AF6-9227-869A879CA23A}"/>
            </c:ext>
          </c:extLst>
        </c:ser>
        <c:ser>
          <c:idx val="1"/>
          <c:order val="1"/>
          <c:tx>
            <c:strRef>
              <c:f>[0]!ActivitiesWithout</c:f>
              <c:strCache>
                <c:ptCount val="12"/>
                <c:pt idx="0">
                  <c:v>Perennial</c:v>
                </c:pt>
                <c:pt idx="1">
                  <c:v>Annual</c:v>
                </c:pt>
                <c:pt idx="2">
                  <c:v>Other land-use </c:v>
                </c:pt>
                <c:pt idx="3">
                  <c:v>Flooded rice</c:v>
                </c:pt>
                <c:pt idx="4">
                  <c:v>Grasslands </c:v>
                </c:pt>
                <c:pt idx="5">
                  <c:v>Livestock</c:v>
                </c:pt>
                <c:pt idx="6">
                  <c:v>Coastal wetlands</c:v>
                </c:pt>
                <c:pt idx="7">
                  <c:v>Inputs &amp; Investments</c:v>
                </c:pt>
                <c:pt idx="8">
                  <c:v>Inland wetlands</c:v>
                </c:pt>
              </c:strCache>
            </c:strRef>
          </c:tx>
          <c:spPr>
            <a:solidFill>
              <a:srgbClr val="C00000"/>
            </a:solidFill>
            <a:ln>
              <a:noFill/>
            </a:ln>
            <a:effectLst/>
          </c:spPr>
          <c:invertIfNegative val="1"/>
          <c:cat>
            <c:strRef>
              <c:f>Graph!$B$105:$B$108</c:f>
              <c:strCache>
                <c:ptCount val="4"/>
                <c:pt idx="0">
                  <c:v>Drainage</c:v>
                </c:pt>
                <c:pt idx="1">
                  <c:v>Rewetting</c:v>
                </c:pt>
                <c:pt idx="2">
                  <c:v>Fire</c:v>
                </c:pt>
                <c:pt idx="3">
                  <c:v>Biomass management</c:v>
                </c:pt>
              </c:strCache>
            </c:strRef>
          </c:cat>
          <c:val>
            <c:numRef>
              <c:f>Graph!$E$105:$E$108</c:f>
              <c:numCache>
                <c:formatCode>#,##0</c:formatCode>
                <c:ptCount val="4"/>
                <c:pt idx="0">
                  <c:v>7197406.7755952394</c:v>
                </c:pt>
                <c:pt idx="1">
                  <c:v>3037.4166666666665</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1-1203-4AF6-9227-869A879CA23A}"/>
            </c:ext>
          </c:extLst>
        </c:ser>
        <c:ser>
          <c:idx val="2"/>
          <c:order val="2"/>
          <c:tx>
            <c:v>labels</c:v>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Graph!$B$105:$B$108</c:f>
              <c:strCache>
                <c:ptCount val="4"/>
                <c:pt idx="0">
                  <c:v>Drainage</c:v>
                </c:pt>
                <c:pt idx="1">
                  <c:v>Rewetting</c:v>
                </c:pt>
                <c:pt idx="2">
                  <c:v>Fire</c:v>
                </c:pt>
                <c:pt idx="3">
                  <c:v>Biomass management</c:v>
                </c:pt>
              </c:strCache>
            </c:strRef>
          </c:cat>
          <c:val>
            <c:numRef>
              <c:f>Graph!$F$105:$F$108</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2-1203-4AF6-9227-869A879CA23A}"/>
            </c:ext>
          </c:extLst>
        </c:ser>
        <c:dLbls>
          <c:showLegendKey val="0"/>
          <c:showVal val="0"/>
          <c:showCatName val="0"/>
          <c:showSerName val="0"/>
          <c:showPercent val="0"/>
          <c:showBubbleSize val="0"/>
        </c:dLbls>
        <c:gapWidth val="10"/>
        <c:overlap val="100"/>
        <c:axId val="636120928"/>
        <c:axId val="636115024"/>
      </c:barChart>
      <c:catAx>
        <c:axId val="636120928"/>
        <c:scaling>
          <c:orientation val="minMax"/>
        </c:scaling>
        <c:delete val="1"/>
        <c:axPos val="l"/>
        <c:numFmt formatCode="General" sourceLinked="1"/>
        <c:majorTickMark val="out"/>
        <c:minorTickMark val="none"/>
        <c:tickLblPos val="nextTo"/>
        <c:crossAx val="636115024"/>
        <c:crosses val="autoZero"/>
        <c:auto val="1"/>
        <c:lblAlgn val="ctr"/>
        <c:lblOffset val="100"/>
        <c:noMultiLvlLbl val="0"/>
      </c:catAx>
      <c:valAx>
        <c:axId val="636115024"/>
        <c:scaling>
          <c:orientation val="minMax"/>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crossAx val="636120928"/>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IT"/>
    </a:p>
  </c:txPr>
  <c:printSettings>
    <c:headerFooter/>
    <c:pageMargins b="0.75" l="0.7" r="0.7" t="0.75" header="0.3" footer="0.3"/>
    <c:pageSetup/>
  </c:printSettings>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674796105134E-2"/>
          <c:y val="3.8428047697816867E-2"/>
          <c:w val="0.90720717970764342"/>
          <c:h val="0.8805388322621549"/>
        </c:manualLayout>
      </c:layout>
      <c:barChart>
        <c:barDir val="bar"/>
        <c:grouping val="clustered"/>
        <c:varyColors val="0"/>
        <c:ser>
          <c:idx val="0"/>
          <c:order val="0"/>
          <c:tx>
            <c:v>GHG share</c:v>
          </c:tx>
          <c:spPr>
            <a:solidFill>
              <a:srgbClr val="C00000"/>
            </a:solidFill>
            <a:ln>
              <a:noFill/>
            </a:ln>
            <a:effectLst/>
          </c:spPr>
          <c:invertIfNegative val="1"/>
          <c:cat>
            <c:strRef>
              <c:f>Graph!$H$79:$L$79</c:f>
              <c:strCache>
                <c:ptCount val="5"/>
                <c:pt idx="0">
                  <c:v>CO2 BIOMASS</c:v>
                </c:pt>
                <c:pt idx="1">
                  <c:v>CO2 SOIL</c:v>
                </c:pt>
                <c:pt idx="2">
                  <c:v>N2O SOIL</c:v>
                </c:pt>
                <c:pt idx="3">
                  <c:v>CH4 SOIL</c:v>
                </c:pt>
                <c:pt idx="4">
                  <c:v>FIRE</c:v>
                </c:pt>
              </c:strCache>
            </c:strRef>
          </c:cat>
          <c:val>
            <c:numRef>
              <c:f>Graph!$H$87:$L$87</c:f>
              <c:numCache>
                <c:formatCode>#,##0</c:formatCode>
                <c:ptCount val="5"/>
                <c:pt idx="0">
                  <c:v>0</c:v>
                </c:pt>
                <c:pt idx="1">
                  <c:v>112952.58333333302</c:v>
                </c:pt>
                <c:pt idx="2">
                  <c:v>294.62321428571443</c:v>
                </c:pt>
                <c:pt idx="3">
                  <c:v>3227.5833333333317</c:v>
                </c:pt>
                <c:pt idx="4">
                  <c:v>0</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0-6204-463A-96EB-1BB4D74DA0A8}"/>
            </c:ext>
          </c:extLst>
        </c:ser>
        <c:ser>
          <c:idx val="1"/>
          <c:order val="1"/>
          <c:tx>
            <c:v>postivenetfluxes</c:v>
          </c:tx>
          <c:spPr>
            <a:solidFill>
              <a:srgbClr val="C00000"/>
            </a:solidFill>
            <a:ln>
              <a:noFill/>
            </a:ln>
            <a:effectLst/>
          </c:spPr>
          <c:invertIfNegative val="1"/>
          <c:cat>
            <c:strRef>
              <c:f>Graph!$H$79:$L$79</c:f>
              <c:strCache>
                <c:ptCount val="5"/>
                <c:pt idx="0">
                  <c:v>CO2 BIOMASS</c:v>
                </c:pt>
                <c:pt idx="1">
                  <c:v>CO2 SOIL</c:v>
                </c:pt>
                <c:pt idx="2">
                  <c:v>N2O SOIL</c:v>
                </c:pt>
                <c:pt idx="3">
                  <c:v>CH4 SOIL</c:v>
                </c:pt>
                <c:pt idx="4">
                  <c:v>FIRE</c:v>
                </c:pt>
              </c:strCache>
            </c:strRef>
          </c:cat>
          <c:val>
            <c:numRef>
              <c:f>Graph!$H$90:$L$90</c:f>
              <c:numCache>
                <c:formatCode>#,##0</c:formatCode>
                <c:ptCount val="5"/>
                <c:pt idx="0">
                  <c:v>0</c:v>
                </c:pt>
                <c:pt idx="1">
                  <c:v>112952.58333333302</c:v>
                </c:pt>
                <c:pt idx="2">
                  <c:v>294.62321428571443</c:v>
                </c:pt>
                <c:pt idx="3">
                  <c:v>3227.5833333333317</c:v>
                </c:pt>
                <c:pt idx="4">
                  <c:v>0</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1-6204-463A-96EB-1BB4D74DA0A8}"/>
            </c:ext>
          </c:extLst>
        </c:ser>
        <c:ser>
          <c:idx val="2"/>
          <c:order val="2"/>
          <c:tx>
            <c:v>Label</c:v>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Graph!$H$79:$L$79</c:f>
              <c:strCache>
                <c:ptCount val="5"/>
                <c:pt idx="0">
                  <c:v>CO2 BIOMASS</c:v>
                </c:pt>
                <c:pt idx="1">
                  <c:v>CO2 SOIL</c:v>
                </c:pt>
                <c:pt idx="2">
                  <c:v>N2O SOIL</c:v>
                </c:pt>
                <c:pt idx="3">
                  <c:v>CH4 SOIL</c:v>
                </c:pt>
                <c:pt idx="4">
                  <c:v>FIRE</c:v>
                </c:pt>
              </c:strCache>
            </c:strRef>
          </c:cat>
          <c:val>
            <c:numRef>
              <c:f>Graph!$H$91:$L$91</c:f>
              <c:numCache>
                <c:formatCode>General</c:formatCode>
                <c:ptCount val="5"/>
                <c:pt idx="0">
                  <c:v>1.5</c:v>
                </c:pt>
                <c:pt idx="1">
                  <c:v>-1.5</c:v>
                </c:pt>
                <c:pt idx="2">
                  <c:v>-1.5</c:v>
                </c:pt>
                <c:pt idx="3">
                  <c:v>-1.5</c:v>
                </c:pt>
                <c:pt idx="4">
                  <c:v>1.5</c:v>
                </c:pt>
              </c:numCache>
            </c:numRef>
          </c:val>
          <c:extLst>
            <c:ext xmlns:c16="http://schemas.microsoft.com/office/drawing/2014/chart" uri="{C3380CC4-5D6E-409C-BE32-E72D297353CC}">
              <c16:uniqueId val="{00000002-6204-463A-96EB-1BB4D74DA0A8}"/>
            </c:ext>
          </c:extLst>
        </c:ser>
        <c:dLbls>
          <c:showLegendKey val="0"/>
          <c:showVal val="0"/>
          <c:showCatName val="0"/>
          <c:showSerName val="0"/>
          <c:showPercent val="0"/>
          <c:showBubbleSize val="0"/>
        </c:dLbls>
        <c:gapWidth val="15"/>
        <c:overlap val="100"/>
        <c:axId val="844109320"/>
        <c:axId val="844110632"/>
      </c:barChart>
      <c:catAx>
        <c:axId val="844109320"/>
        <c:scaling>
          <c:orientation val="minMax"/>
        </c:scaling>
        <c:delete val="1"/>
        <c:axPos val="l"/>
        <c:numFmt formatCode="General" sourceLinked="1"/>
        <c:majorTickMark val="none"/>
        <c:minorTickMark val="none"/>
        <c:tickLblPos val="nextTo"/>
        <c:crossAx val="844110632"/>
        <c:crosses val="autoZero"/>
        <c:auto val="1"/>
        <c:lblAlgn val="ctr"/>
        <c:lblOffset val="100"/>
        <c:noMultiLvlLbl val="0"/>
      </c:catAx>
      <c:valAx>
        <c:axId val="844110632"/>
        <c:scaling>
          <c:orientation val="minMax"/>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crossAx val="8441093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IT"/>
    </a:p>
  </c:txPr>
  <c:printSettings>
    <c:headerFooter/>
    <c:pageMargins b="0.75" l="0.7" r="0.7" t="0.75" header="0.3" footer="0.3"/>
    <c:pageSetup/>
  </c:printSettings>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67459495743987E-2"/>
          <c:y val="3.8428047697816867E-2"/>
          <c:w val="0.90720717970764342"/>
          <c:h val="0.8805388322621549"/>
        </c:manualLayout>
      </c:layout>
      <c:barChart>
        <c:barDir val="bar"/>
        <c:grouping val="clustered"/>
        <c:varyColors val="0"/>
        <c:ser>
          <c:idx val="0"/>
          <c:order val="0"/>
          <c:tx>
            <c:v>fluxes</c:v>
          </c:tx>
          <c:spPr>
            <a:solidFill>
              <a:srgbClr val="C00000"/>
            </a:solidFill>
            <a:ln>
              <a:noFill/>
            </a:ln>
            <a:effectLst/>
          </c:spPr>
          <c:invertIfNegative val="1"/>
          <c:cat>
            <c:strRef>
              <c:f>Graph!$D$94:$F$94</c:f>
              <c:strCache>
                <c:ptCount val="3"/>
                <c:pt idx="0">
                  <c:v>WITHOUT</c:v>
                </c:pt>
                <c:pt idx="1">
                  <c:v>WITH</c:v>
                </c:pt>
                <c:pt idx="2">
                  <c:v>BALANCE</c:v>
                </c:pt>
              </c:strCache>
            </c:strRef>
          </c:cat>
          <c:val>
            <c:numRef>
              <c:f>Graph!$D$100:$F$100</c:f>
              <c:numCache>
                <c:formatCode>#,##0</c:formatCode>
                <c:ptCount val="3"/>
                <c:pt idx="0">
                  <c:v>7200444.1922619063</c:v>
                </c:pt>
                <c:pt idx="1">
                  <c:v>7317101.6504761903</c:v>
                </c:pt>
                <c:pt idx="2">
                  <c:v>116657.45821428455</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0-2DD6-4B02-92B4-DCFF532B2F64}"/>
            </c:ext>
          </c:extLst>
        </c:ser>
        <c:ser>
          <c:idx val="1"/>
          <c:order val="1"/>
          <c:tx>
            <c:v>postivenetfluxes</c:v>
          </c:tx>
          <c:spPr>
            <a:solidFill>
              <a:srgbClr val="C00000"/>
            </a:solidFill>
            <a:ln>
              <a:noFill/>
            </a:ln>
            <a:effectLst/>
          </c:spPr>
          <c:invertIfNegative val="1"/>
          <c:cat>
            <c:strRef>
              <c:f>Graph!$D$94:$F$94</c:f>
              <c:strCache>
                <c:ptCount val="3"/>
                <c:pt idx="0">
                  <c:v>WITHOUT</c:v>
                </c:pt>
                <c:pt idx="1">
                  <c:v>WITH</c:v>
                </c:pt>
                <c:pt idx="2">
                  <c:v>BALANCE</c:v>
                </c:pt>
              </c:strCache>
            </c:strRef>
          </c:cat>
          <c:val>
            <c:numRef>
              <c:f>Graph!$D$101:$F$101</c:f>
              <c:numCache>
                <c:formatCode>#,##0</c:formatCode>
                <c:ptCount val="3"/>
                <c:pt idx="0">
                  <c:v>7200444.1922619063</c:v>
                </c:pt>
                <c:pt idx="1">
                  <c:v>7317101.6504761903</c:v>
                </c:pt>
                <c:pt idx="2">
                  <c:v>116657.45821428455</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1-2DD6-4B02-92B4-DCFF532B2F64}"/>
            </c:ext>
          </c:extLst>
        </c:ser>
        <c:ser>
          <c:idx val="2"/>
          <c:order val="2"/>
          <c:tx>
            <c:v>Label</c:v>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Graph!$D$94:$F$94</c:f>
              <c:strCache>
                <c:ptCount val="3"/>
                <c:pt idx="0">
                  <c:v>WITHOUT</c:v>
                </c:pt>
                <c:pt idx="1">
                  <c:v>WITH</c:v>
                </c:pt>
                <c:pt idx="2">
                  <c:v>BALANCE</c:v>
                </c:pt>
              </c:strCache>
            </c:strRef>
          </c:cat>
          <c:val>
            <c:numRef>
              <c:f>Graph!$D$102:$F$102</c:f>
              <c:numCache>
                <c:formatCode>General</c:formatCode>
                <c:ptCount val="3"/>
                <c:pt idx="0">
                  <c:v>-1.5</c:v>
                </c:pt>
                <c:pt idx="1">
                  <c:v>-1.5</c:v>
                </c:pt>
                <c:pt idx="2">
                  <c:v>-1.5</c:v>
                </c:pt>
              </c:numCache>
            </c:numRef>
          </c:val>
          <c:extLst>
            <c:ext xmlns:c16="http://schemas.microsoft.com/office/drawing/2014/chart" uri="{C3380CC4-5D6E-409C-BE32-E72D297353CC}">
              <c16:uniqueId val="{00000002-2DD6-4B02-92B4-DCFF532B2F64}"/>
            </c:ext>
          </c:extLst>
        </c:ser>
        <c:dLbls>
          <c:showLegendKey val="0"/>
          <c:showVal val="0"/>
          <c:showCatName val="0"/>
          <c:showSerName val="0"/>
          <c:showPercent val="0"/>
          <c:showBubbleSize val="0"/>
        </c:dLbls>
        <c:gapWidth val="15"/>
        <c:overlap val="100"/>
        <c:axId val="844109320"/>
        <c:axId val="844110632"/>
      </c:barChart>
      <c:catAx>
        <c:axId val="844109320"/>
        <c:scaling>
          <c:orientation val="minMax"/>
        </c:scaling>
        <c:delete val="1"/>
        <c:axPos val="l"/>
        <c:numFmt formatCode="General" sourceLinked="1"/>
        <c:majorTickMark val="none"/>
        <c:minorTickMark val="none"/>
        <c:tickLblPos val="nextTo"/>
        <c:crossAx val="844110632"/>
        <c:crosses val="autoZero"/>
        <c:auto val="1"/>
        <c:lblAlgn val="ctr"/>
        <c:lblOffset val="100"/>
        <c:noMultiLvlLbl val="0"/>
      </c:catAx>
      <c:valAx>
        <c:axId val="844110632"/>
        <c:scaling>
          <c:orientation val="minMax"/>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crossAx val="8441093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IT"/>
    </a:p>
  </c:txPr>
  <c:printSettings>
    <c:headerFooter/>
    <c:pageMargins b="0.75" l="0.7" r="0.7" t="0.75" header="0.3" footer="0.3"/>
    <c:pageSetup/>
  </c:printSettings>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049285505978437E-2"/>
          <c:y val="4.7568923676207138E-2"/>
          <c:w val="0.87807312083352174"/>
          <c:h val="0.90115856045030562"/>
        </c:manualLayout>
      </c:layout>
      <c:barChart>
        <c:barDir val="bar"/>
        <c:grouping val="clustered"/>
        <c:varyColors val="0"/>
        <c:ser>
          <c:idx val="0"/>
          <c:order val="0"/>
          <c:tx>
            <c:v>fluxeswith</c:v>
          </c:tx>
          <c:spPr>
            <a:solidFill>
              <a:srgbClr val="EEA54C"/>
            </a:solidFill>
            <a:ln>
              <a:noFill/>
            </a:ln>
            <a:effectLst/>
          </c:spPr>
          <c:invertIfNegative val="0"/>
          <c:cat>
            <c:strRef>
              <c:f>Graph!$B$112:$B$115</c:f>
              <c:strCache>
                <c:ptCount val="4"/>
                <c:pt idx="0">
                  <c:v>Drainage</c:v>
                </c:pt>
                <c:pt idx="1">
                  <c:v>Rewetting</c:v>
                </c:pt>
                <c:pt idx="2">
                  <c:v>Fire</c:v>
                </c:pt>
                <c:pt idx="3">
                  <c:v>Biomass management</c:v>
                </c:pt>
              </c:strCache>
            </c:strRef>
          </c:cat>
          <c:val>
            <c:numRef>
              <c:f>Graph!$D$112:$D$115</c:f>
              <c:numCache>
                <c:formatCode>#,##0</c:formatCode>
                <c:ptCount val="4"/>
                <c:pt idx="0">
                  <c:v>7314932.0671428572</c:v>
                </c:pt>
                <c:pt idx="1">
                  <c:v>2169.583333333333</c:v>
                </c:pt>
                <c:pt idx="2">
                  <c:v>0</c:v>
                </c:pt>
                <c:pt idx="3">
                  <c:v>0</c:v>
                </c:pt>
              </c:numCache>
            </c:numRef>
          </c:val>
          <c:extLst>
            <c:ext xmlns:c16="http://schemas.microsoft.com/office/drawing/2014/chart" uri="{C3380CC4-5D6E-409C-BE32-E72D297353CC}">
              <c16:uniqueId val="{00000000-3D61-4668-BAE1-45F18817C622}"/>
            </c:ext>
          </c:extLst>
        </c:ser>
        <c:ser>
          <c:idx val="1"/>
          <c:order val="1"/>
          <c:tx>
            <c:strRef>
              <c:f>[0]!ActivitiesWithout</c:f>
              <c:strCache>
                <c:ptCount val="12"/>
                <c:pt idx="0">
                  <c:v>Perennial</c:v>
                </c:pt>
                <c:pt idx="1">
                  <c:v>Annual</c:v>
                </c:pt>
                <c:pt idx="2">
                  <c:v>Other land-use </c:v>
                </c:pt>
                <c:pt idx="3">
                  <c:v>Flooded rice</c:v>
                </c:pt>
                <c:pt idx="4">
                  <c:v>Grasslands </c:v>
                </c:pt>
                <c:pt idx="5">
                  <c:v>Livestock</c:v>
                </c:pt>
                <c:pt idx="6">
                  <c:v>Coastal wetlands</c:v>
                </c:pt>
                <c:pt idx="7">
                  <c:v>Inputs &amp; Investments</c:v>
                </c:pt>
                <c:pt idx="8">
                  <c:v>Inland wetlands</c:v>
                </c:pt>
              </c:strCache>
            </c:strRef>
          </c:tx>
          <c:spPr>
            <a:solidFill>
              <a:srgbClr val="C00000"/>
            </a:solidFill>
            <a:ln>
              <a:noFill/>
            </a:ln>
            <a:effectLst/>
          </c:spPr>
          <c:invertIfNegative val="1"/>
          <c:cat>
            <c:strRef>
              <c:f>Graph!$B$112:$B$115</c:f>
              <c:strCache>
                <c:ptCount val="4"/>
                <c:pt idx="0">
                  <c:v>Drainage</c:v>
                </c:pt>
                <c:pt idx="1">
                  <c:v>Rewetting</c:v>
                </c:pt>
                <c:pt idx="2">
                  <c:v>Fire</c:v>
                </c:pt>
                <c:pt idx="3">
                  <c:v>Biomass management</c:v>
                </c:pt>
              </c:strCache>
            </c:strRef>
          </c:cat>
          <c:val>
            <c:numRef>
              <c:f>Graph!$E$112:$E$115</c:f>
              <c:numCache>
                <c:formatCode>#,##0</c:formatCode>
                <c:ptCount val="4"/>
                <c:pt idx="0">
                  <c:v>7314932.0671428572</c:v>
                </c:pt>
                <c:pt idx="1">
                  <c:v>2169.583333333333</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1-3D61-4668-BAE1-45F18817C622}"/>
            </c:ext>
          </c:extLst>
        </c:ser>
        <c:ser>
          <c:idx val="2"/>
          <c:order val="2"/>
          <c:tx>
            <c:v>labels</c:v>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Graph!$B$112:$B$115</c:f>
              <c:strCache>
                <c:ptCount val="4"/>
                <c:pt idx="0">
                  <c:v>Drainage</c:v>
                </c:pt>
                <c:pt idx="1">
                  <c:v>Rewetting</c:v>
                </c:pt>
                <c:pt idx="2">
                  <c:v>Fire</c:v>
                </c:pt>
                <c:pt idx="3">
                  <c:v>Biomass management</c:v>
                </c:pt>
              </c:strCache>
            </c:strRef>
          </c:cat>
          <c:val>
            <c:numRef>
              <c:f>Graph!$F$112:$F$115</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2-3D61-4668-BAE1-45F18817C622}"/>
            </c:ext>
          </c:extLst>
        </c:ser>
        <c:dLbls>
          <c:showLegendKey val="0"/>
          <c:showVal val="0"/>
          <c:showCatName val="0"/>
          <c:showSerName val="0"/>
          <c:showPercent val="0"/>
          <c:showBubbleSize val="0"/>
        </c:dLbls>
        <c:gapWidth val="10"/>
        <c:overlap val="100"/>
        <c:axId val="636120928"/>
        <c:axId val="636115024"/>
      </c:barChart>
      <c:catAx>
        <c:axId val="636120928"/>
        <c:scaling>
          <c:orientation val="minMax"/>
        </c:scaling>
        <c:delete val="1"/>
        <c:axPos val="l"/>
        <c:numFmt formatCode="General" sourceLinked="1"/>
        <c:majorTickMark val="out"/>
        <c:minorTickMark val="none"/>
        <c:tickLblPos val="nextTo"/>
        <c:crossAx val="636115024"/>
        <c:crosses val="autoZero"/>
        <c:auto val="1"/>
        <c:lblAlgn val="ctr"/>
        <c:lblOffset val="100"/>
        <c:noMultiLvlLbl val="0"/>
      </c:catAx>
      <c:valAx>
        <c:axId val="636115024"/>
        <c:scaling>
          <c:orientation val="minMax"/>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IT"/>
          </a:p>
        </c:txPr>
        <c:crossAx val="636120928"/>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IT"/>
    </a:p>
  </c:txPr>
  <c:printSettings>
    <c:headerFooter/>
    <c:pageMargins b="0.75" l="0.7" r="0.7" t="0.75" header="0.3" footer="0.3"/>
    <c:pageSetup/>
  </c:printSettings>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'10.Results'!$W$67:$X$67</c:f>
              <c:strCache>
                <c:ptCount val="2"/>
                <c:pt idx="0">
                  <c:v>Annual carbon balance</c:v>
                </c:pt>
              </c:strCache>
            </c:strRef>
          </c:tx>
          <c:spPr>
            <a:solidFill>
              <a:schemeClr val="accent1"/>
            </a:solidFill>
            <a:ln>
              <a:noFill/>
            </a:ln>
            <a:effectLst/>
          </c:spPr>
          <c:invertIfNegative val="0"/>
          <c:cat>
            <c:strRef>
              <c:f>('10.Results'!$Y$66:$AA$66,'10.Results'!$AB$66:$AF$66,'10.Results'!$AG$66:$AR$66)</c:f>
              <c:strCache>
                <c:ptCount val="20"/>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pt idx="15">
                  <c:v>Year 16</c:v>
                </c:pt>
                <c:pt idx="16">
                  <c:v>Year 17</c:v>
                </c:pt>
                <c:pt idx="17">
                  <c:v>Year 18</c:v>
                </c:pt>
                <c:pt idx="18">
                  <c:v>Year 19</c:v>
                </c:pt>
                <c:pt idx="19">
                  <c:v>Year 20</c:v>
                </c:pt>
              </c:strCache>
            </c:strRef>
          </c:cat>
          <c:val>
            <c:numRef>
              <c:f>('10.Results'!$Y$67:$AA$67,'10.Results'!$AB$67:$AF$67,'10.Results'!$AG$67:$AR$67)</c:f>
              <c:numCache>
                <c:formatCode>General</c:formatCode>
                <c:ptCount val="20"/>
              </c:numCache>
            </c:numRef>
          </c:val>
          <c:extLst>
            <c:ext xmlns:c16="http://schemas.microsoft.com/office/drawing/2014/chart" uri="{C3380CC4-5D6E-409C-BE32-E72D297353CC}">
              <c16:uniqueId val="{00000000-D615-4DE2-8323-8DE1D215DE82}"/>
            </c:ext>
          </c:extLst>
        </c:ser>
        <c:ser>
          <c:idx val="1"/>
          <c:order val="1"/>
          <c:tx>
            <c:strRef>
              <c:f>'10.Results'!$W$68:$X$68</c:f>
              <c:strCache>
                <c:ptCount val="2"/>
                <c:pt idx="0">
                  <c:v>Yearly carbon balance</c:v>
                </c:pt>
              </c:strCache>
            </c:strRef>
          </c:tx>
          <c:spPr>
            <a:solidFill>
              <a:srgbClr val="C00000"/>
            </a:solidFill>
            <a:ln>
              <a:noFill/>
            </a:ln>
            <a:effectLst/>
          </c:spPr>
          <c:invertIfNegative val="1"/>
          <c:cat>
            <c:strRef>
              <c:f>('10.Results'!$Y$66:$AA$66,'10.Results'!$AB$66:$AF$66,'10.Results'!$AG$66:$AR$66)</c:f>
              <c:strCache>
                <c:ptCount val="20"/>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pt idx="15">
                  <c:v>Year 16</c:v>
                </c:pt>
                <c:pt idx="16">
                  <c:v>Year 17</c:v>
                </c:pt>
                <c:pt idx="17">
                  <c:v>Year 18</c:v>
                </c:pt>
                <c:pt idx="18">
                  <c:v>Year 19</c:v>
                </c:pt>
                <c:pt idx="19">
                  <c:v>Year 20</c:v>
                </c:pt>
              </c:strCache>
            </c:strRef>
          </c:cat>
          <c:val>
            <c:numRef>
              <c:f>('10.Results'!$Y$68:$AA$68,'10.Results'!$AB$68:$AF$68,'10.Results'!$AG$68:$AR$68)</c:f>
              <c:numCache>
                <c:formatCode>#,##0.00</c:formatCode>
                <c:ptCount val="20"/>
                <c:pt idx="0">
                  <c:v>1605.4802492793337</c:v>
                </c:pt>
                <c:pt idx="1">
                  <c:v>3210.9604985586675</c:v>
                </c:pt>
                <c:pt idx="2">
                  <c:v>4816.4407478380017</c:v>
                </c:pt>
                <c:pt idx="3">
                  <c:v>6421.920997117335</c:v>
                </c:pt>
                <c:pt idx="4">
                  <c:v>8027.4012463966692</c:v>
                </c:pt>
                <c:pt idx="5">
                  <c:v>9632.8814956760052</c:v>
                </c:pt>
                <c:pt idx="6">
                  <c:v>9632.8814956760052</c:v>
                </c:pt>
                <c:pt idx="7">
                  <c:v>9632.8814956760052</c:v>
                </c:pt>
                <c:pt idx="8">
                  <c:v>9632.8814956760052</c:v>
                </c:pt>
                <c:pt idx="9">
                  <c:v>9632.8814956760052</c:v>
                </c:pt>
                <c:pt idx="10">
                  <c:v>9632.8814956760052</c:v>
                </c:pt>
                <c:pt idx="11">
                  <c:v>9632.8814956760052</c:v>
                </c:pt>
                <c:pt idx="12">
                  <c:v>9632.8814956760052</c:v>
                </c:pt>
                <c:pt idx="13">
                  <c:v>9632.8814956760052</c:v>
                </c:pt>
                <c:pt idx="14">
                  <c:v>9632.8814956760052</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1-D615-4DE2-8323-8DE1D215DE82}"/>
            </c:ext>
          </c:extLst>
        </c:ser>
        <c:dLbls>
          <c:showLegendKey val="0"/>
          <c:showVal val="0"/>
          <c:showCatName val="0"/>
          <c:showSerName val="0"/>
          <c:showPercent val="0"/>
          <c:showBubbleSize val="0"/>
        </c:dLbls>
        <c:gapWidth val="219"/>
        <c:overlap val="-27"/>
        <c:axId val="186133215"/>
        <c:axId val="186125727"/>
      </c:barChart>
      <c:catAx>
        <c:axId val="186133215"/>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chemeClr val="tx1"/>
                </a:solidFill>
                <a:latin typeface="Roboto" panose="02000000000000000000" pitchFamily="2" charset="0"/>
                <a:ea typeface="Roboto" panose="02000000000000000000" pitchFamily="2" charset="0"/>
                <a:cs typeface="+mn-cs"/>
              </a:defRPr>
            </a:pPr>
            <a:endParaRPr lang="en-IT"/>
          </a:p>
        </c:txPr>
        <c:crossAx val="186125727"/>
        <c:crosses val="autoZero"/>
        <c:auto val="1"/>
        <c:lblAlgn val="ctr"/>
        <c:lblOffset val="100"/>
        <c:noMultiLvlLbl val="0"/>
      </c:catAx>
      <c:valAx>
        <c:axId val="186125727"/>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Roboto" panose="02000000000000000000" pitchFamily="2" charset="0"/>
                <a:ea typeface="Roboto" panose="02000000000000000000" pitchFamily="2" charset="0"/>
                <a:cs typeface="+mn-cs"/>
              </a:defRPr>
            </a:pPr>
            <a:endParaRPr lang="en-IT"/>
          </a:p>
        </c:txPr>
        <c:crossAx val="186133215"/>
        <c:crossesAt val="0"/>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sz="1800">
          <a:latin typeface="Roboto" panose="02000000000000000000" pitchFamily="2" charset="0"/>
          <a:ea typeface="Roboto" panose="02000000000000000000" pitchFamily="2" charset="0"/>
        </a:defRPr>
      </a:pPr>
      <a:endParaRPr lang="en-IT"/>
    </a:p>
  </c:txPr>
  <c:printSettings>
    <c:headerFooter/>
    <c:pageMargins b="0.75" l="0.7" r="0.7" t="0.75" header="0.3" footer="0.3"/>
    <c:pageSetup/>
  </c:printSettings>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'10.Results'!$W$70</c:f>
              <c:strCache>
                <c:ptCount val="1"/>
                <c:pt idx="0">
                  <c:v>Cumulative carbon balance</c:v>
                </c:pt>
              </c:strCache>
            </c:strRef>
          </c:tx>
          <c:spPr>
            <a:solidFill>
              <a:srgbClr val="C00000"/>
            </a:solidFill>
            <a:ln>
              <a:noFill/>
            </a:ln>
            <a:effectLst/>
          </c:spPr>
          <c:invertIfNegative val="1"/>
          <c:cat>
            <c:strRef>
              <c:extLst>
                <c:ext xmlns:c15="http://schemas.microsoft.com/office/drawing/2012/chart" uri="{02D57815-91ED-43cb-92C2-25804820EDAC}">
                  <c15:fullRef>
                    <c15:sqref>('10.Results'!$X$66:$AA$66,'10.Results'!$AB$66:$AF$66,'10.Results'!$AG$66:$AR$66)</c15:sqref>
                  </c15:fullRef>
                </c:ext>
              </c:extLst>
              <c:f>('10.Results'!$Y$66:$AA$66,'10.Results'!$AB$66:$AF$66,'10.Results'!$AG$66:$AR$66)</c:f>
              <c:strCache>
                <c:ptCount val="20"/>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pt idx="15">
                  <c:v>Year 16</c:v>
                </c:pt>
                <c:pt idx="16">
                  <c:v>Year 17</c:v>
                </c:pt>
                <c:pt idx="17">
                  <c:v>Year 18</c:v>
                </c:pt>
                <c:pt idx="18">
                  <c:v>Year 19</c:v>
                </c:pt>
                <c:pt idx="19">
                  <c:v>Year 20</c:v>
                </c:pt>
              </c:strCache>
            </c:strRef>
          </c:cat>
          <c:val>
            <c:numRef>
              <c:extLst>
                <c:ext xmlns:c15="http://schemas.microsoft.com/office/drawing/2012/chart" uri="{02D57815-91ED-43cb-92C2-25804820EDAC}">
                  <c15:fullRef>
                    <c15:sqref>('10.Results'!$X$70:$AA$70,'10.Results'!$AB$70:$AF$70,'10.Results'!$AG$70:$AR$70)</c15:sqref>
                  </c15:fullRef>
                </c:ext>
              </c:extLst>
              <c:f>('10.Results'!$Y$70:$AA$70,'10.Results'!$AB$70:$AF$70,'10.Results'!$AG$70:$AR$70)</c:f>
              <c:numCache>
                <c:formatCode>#,##0.00</c:formatCode>
                <c:ptCount val="20"/>
                <c:pt idx="0">
                  <c:v>1605.4802492793337</c:v>
                </c:pt>
                <c:pt idx="1">
                  <c:v>4816.4407478380017</c:v>
                </c:pt>
                <c:pt idx="2">
                  <c:v>9632.8814956760034</c:v>
                </c:pt>
                <c:pt idx="3">
                  <c:v>16054.802492793338</c:v>
                </c:pt>
                <c:pt idx="4">
                  <c:v>24082.203739190008</c:v>
                </c:pt>
                <c:pt idx="5">
                  <c:v>33715.085234866012</c:v>
                </c:pt>
                <c:pt idx="6">
                  <c:v>43347.966730542015</c:v>
                </c:pt>
                <c:pt idx="7">
                  <c:v>52980.848226218019</c:v>
                </c:pt>
                <c:pt idx="8">
                  <c:v>62613.729721894022</c:v>
                </c:pt>
                <c:pt idx="9">
                  <c:v>72246.611217570025</c:v>
                </c:pt>
                <c:pt idx="10">
                  <c:v>81879.492713246029</c:v>
                </c:pt>
                <c:pt idx="11">
                  <c:v>91512.374208922032</c:v>
                </c:pt>
                <c:pt idx="12">
                  <c:v>101145.25570459804</c:v>
                </c:pt>
                <c:pt idx="13">
                  <c:v>110778.13720027404</c:v>
                </c:pt>
                <c:pt idx="14">
                  <c:v>120411.01869595004</c:v>
                </c:pt>
                <c:pt idx="15">
                  <c:v>120411.01869595004</c:v>
                </c:pt>
                <c:pt idx="16">
                  <c:v>120411.01869595004</c:v>
                </c:pt>
                <c:pt idx="17">
                  <c:v>120411.01869595004</c:v>
                </c:pt>
                <c:pt idx="18">
                  <c:v>120411.01869595004</c:v>
                </c:pt>
                <c:pt idx="19">
                  <c:v>120411.01869595004</c:v>
                </c:pt>
              </c:numCache>
            </c:numRef>
          </c:val>
          <c:extLst>
            <c:ext xmlns:c14="http://schemas.microsoft.com/office/drawing/2007/8/2/chart" uri="{6F2FDCE9-48DA-4B69-8628-5D25D57E5C99}">
              <c14:invertSolidFillFmt>
                <c14:spPr xmlns:c14="http://schemas.microsoft.com/office/drawing/2007/8/2/chart">
                  <a:solidFill>
                    <a:srgbClr val="238823"/>
                  </a:solidFill>
                  <a:ln>
                    <a:noFill/>
                  </a:ln>
                  <a:effectLst/>
                </c14:spPr>
              </c14:invertSolidFillFmt>
            </c:ext>
            <c:ext xmlns:c16="http://schemas.microsoft.com/office/drawing/2014/chart" uri="{C3380CC4-5D6E-409C-BE32-E72D297353CC}">
              <c16:uniqueId val="{00000000-C3FC-4D64-B56E-A28C65F680D6}"/>
            </c:ext>
          </c:extLst>
        </c:ser>
        <c:dLbls>
          <c:showLegendKey val="0"/>
          <c:showVal val="0"/>
          <c:showCatName val="0"/>
          <c:showSerName val="0"/>
          <c:showPercent val="0"/>
          <c:showBubbleSize val="0"/>
        </c:dLbls>
        <c:gapWidth val="219"/>
        <c:overlap val="-27"/>
        <c:axId val="186171487"/>
        <c:axId val="186156927"/>
      </c:barChart>
      <c:catAx>
        <c:axId val="186171487"/>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chemeClr val="tx1"/>
                </a:solidFill>
                <a:latin typeface="Roboto" panose="02000000000000000000" pitchFamily="2" charset="0"/>
                <a:ea typeface="Roboto" panose="02000000000000000000" pitchFamily="2" charset="0"/>
                <a:cs typeface="+mn-cs"/>
              </a:defRPr>
            </a:pPr>
            <a:endParaRPr lang="en-IT"/>
          </a:p>
        </c:txPr>
        <c:crossAx val="186156927"/>
        <c:crosses val="autoZero"/>
        <c:auto val="1"/>
        <c:lblAlgn val="ctr"/>
        <c:lblOffset val="100"/>
        <c:noMultiLvlLbl val="0"/>
      </c:catAx>
      <c:valAx>
        <c:axId val="186156927"/>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Roboto" panose="02000000000000000000" pitchFamily="2" charset="0"/>
                <a:ea typeface="Roboto" panose="02000000000000000000" pitchFamily="2" charset="0"/>
                <a:cs typeface="+mn-cs"/>
              </a:defRPr>
            </a:pPr>
            <a:endParaRPr lang="en-IT"/>
          </a:p>
        </c:txPr>
        <c:crossAx val="18617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sz="1800">
          <a:latin typeface="Roboto" panose="02000000000000000000" pitchFamily="2" charset="0"/>
          <a:ea typeface="Roboto" panose="02000000000000000000" pitchFamily="2" charset="0"/>
        </a:defRPr>
      </a:pPr>
      <a:endParaRPr lang="en-IT"/>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purl.oclc.org/ooxml/officeDocument/relationships/hyperlink" Target="#'4.Grassland'!A1"/><Relationship Id="rId13" Type="http://purl.oclc.org/ooxml/officeDocument/relationships/hyperlink" Target="#'8. Fisheries and aquaculture'!A1"/><Relationship Id="rId3" Type="http://purl.oclc.org/ooxml/officeDocument/relationships/hyperlink" Target="#'9.Inputs'!A1"/><Relationship Id="rId7" Type="http://purl.oclc.org/ooxml/officeDocument/relationships/hyperlink" Target="#'3.Cropland'!A1"/><Relationship Id="rId12" Type="http://purl.oclc.org/ooxml/officeDocument/relationships/hyperlink" Target="#'10.Results'!A1"/><Relationship Id="rId2" Type="http://purl.oclc.org/ooxml/officeDocument/relationships/image" Target="../media/image2.png"/><Relationship Id="rId1" Type="http://purl.oclc.org/ooxml/officeDocument/relationships/image" Target="../media/image1.png"/><Relationship Id="rId6" Type="http://purl.oclc.org/ooxml/officeDocument/relationships/hyperlink" Target="#'2.LUC'!A1"/><Relationship Id="rId11" Type="http://purl.oclc.org/ooxml/officeDocument/relationships/hyperlink" Target="#'7.Coastal wetlands'!A1"/><Relationship Id="rId5" Type="http://purl.oclc.org/ooxml/officeDocument/relationships/hyperlink" Target="#'1.Description'!A1"/><Relationship Id="rId10" Type="http://purl.oclc.org/ooxml/officeDocument/relationships/hyperlink" Target="#'6.Inland wetlands'!A1"/><Relationship Id="rId4" Type="http://purl.oclc.org/ooxml/officeDocument/relationships/hyperlink" Target="#'0.Start'!A1"/><Relationship Id="rId9" Type="http://purl.oclc.org/ooxml/officeDocument/relationships/hyperlink" Target="#'5.Management'!A1"/></Relationships>
</file>

<file path=xl/drawings/_rels/drawing2.xml.rels><?xml version="1.0" encoding="UTF-8" standalone="yes"?>
<Relationships xmlns="http://schemas.openxmlformats.org/package/2006/relationships"><Relationship Id="rId8" Type="http://purl.oclc.org/ooxml/officeDocument/relationships/hyperlink" Target="#'3.Cropland'!A1"/><Relationship Id="rId13" Type="http://purl.oclc.org/ooxml/officeDocument/relationships/hyperlink" Target="#'10.Results'!A1"/><Relationship Id="rId3" Type="http://purl.oclc.org/ooxml/officeDocument/relationships/hyperlink" Target="#Definitions!A96"/><Relationship Id="rId7" Type="http://purl.oclc.org/ooxml/officeDocument/relationships/hyperlink" Target="#'2.LUC'!A1"/><Relationship Id="rId12" Type="http://purl.oclc.org/ooxml/officeDocument/relationships/hyperlink" Target="#'7.Coastal wetlands'!A1"/><Relationship Id="rId2" Type="http://purl.oclc.org/ooxml/officeDocument/relationships/hyperlink" Target="#HELP!A30"/><Relationship Id="rId1" Type="http://purl.oclc.org/ooxml/officeDocument/relationships/hyperlink" Target="#HELP!S6"/><Relationship Id="rId6" Type="http://purl.oclc.org/ooxml/officeDocument/relationships/hyperlink" Target="#'1.Description'!A1"/><Relationship Id="rId11" Type="http://purl.oclc.org/ooxml/officeDocument/relationships/hyperlink" Target="#'6.Inland wetlands'!A1"/><Relationship Id="rId5" Type="http://purl.oclc.org/ooxml/officeDocument/relationships/hyperlink" Target="#'0.Start'!A1"/><Relationship Id="rId10" Type="http://purl.oclc.org/ooxml/officeDocument/relationships/hyperlink" Target="#'5.Management'!A1"/><Relationship Id="rId4" Type="http://purl.oclc.org/ooxml/officeDocument/relationships/hyperlink" Target="#'9.Inputs'!A1"/><Relationship Id="rId9" Type="http://purl.oclc.org/ooxml/officeDocument/relationships/hyperlink" Target="#'4.Grassland'!A1"/><Relationship Id="rId14" Type="http://purl.oclc.org/ooxml/officeDocument/relationships/hyperlink" Target="#'8. Fisheries and aquaculture'!A1"/></Relationships>
</file>

<file path=xl/drawings/_rels/drawing7.xml.rels><?xml version="1.0" encoding="UTF-8" standalone="yes"?>
<Relationships xmlns="http://schemas.openxmlformats.org/package/2006/relationships"><Relationship Id="rId8" Type="http://purl.oclc.org/ooxml/officeDocument/relationships/hyperlink" Target="#'9.Inputs'!A1"/><Relationship Id="rId13" Type="http://purl.oclc.org/ooxml/officeDocument/relationships/hyperlink" Target="#'4.Grassland'!A1"/><Relationship Id="rId18" Type="http://purl.oclc.org/ooxml/officeDocument/relationships/hyperlink" Target="#'8. Fisheries and aquaculture'!A1"/><Relationship Id="rId3" Type="http://purl.oclc.org/ooxml/officeDocument/relationships/hyperlink" Target="#'2.LUC'!C38"/><Relationship Id="rId7" Type="http://purl.oclc.org/ooxml/officeDocument/relationships/hyperlink" Target="#HELP!D83"/><Relationship Id="rId12" Type="http://purl.oclc.org/ooxml/officeDocument/relationships/hyperlink" Target="#'3.Cropland'!A1"/><Relationship Id="rId17" Type="http://purl.oclc.org/ooxml/officeDocument/relationships/hyperlink" Target="#'10.Results'!A1"/><Relationship Id="rId2" Type="http://purl.oclc.org/ooxml/officeDocument/relationships/hyperlink" Target="#'2.LUC'!C15"/><Relationship Id="rId16" Type="http://purl.oclc.org/ooxml/officeDocument/relationships/hyperlink" Target="#'7.Coastal wetlands'!A1"/><Relationship Id="rId1" Type="http://purl.oclc.org/ooxml/officeDocument/relationships/hyperlink" Target="#'2.LUC'!BK5"/><Relationship Id="rId6" Type="http://purl.oclc.org/ooxml/officeDocument/relationships/hyperlink" Target="#'2.LUC'!BJ55"/><Relationship Id="rId11" Type="http://purl.oclc.org/ooxml/officeDocument/relationships/hyperlink" Target="#'2.LUC'!A1"/><Relationship Id="rId5" Type="http://purl.oclc.org/ooxml/officeDocument/relationships/hyperlink" Target="#'2.LUC'!C61"/><Relationship Id="rId15" Type="http://purl.oclc.org/ooxml/officeDocument/relationships/hyperlink" Target="#'6.Inland wetlands'!A1"/><Relationship Id="rId10" Type="http://purl.oclc.org/ooxml/officeDocument/relationships/hyperlink" Target="#'1.Description'!A1"/><Relationship Id="rId4" Type="http://purl.oclc.org/ooxml/officeDocument/relationships/hyperlink" Target="#'2.LUC'!BO30"/><Relationship Id="rId9" Type="http://purl.oclc.org/ooxml/officeDocument/relationships/hyperlink" Target="#'0.Start'!A1"/><Relationship Id="rId14" Type="http://purl.oclc.org/ooxml/officeDocument/relationships/hyperlink" Target="#'5.Management'!A1"/></Relationships>
</file>

<file path=xl/drawings/_rels/drawing8.xml.rels><?xml version="1.0" encoding="UTF-8" standalone="yes"?>
<Relationships xmlns="http://schemas.openxmlformats.org/package/2006/relationships"><Relationship Id="rId8" Type="http://purl.oclc.org/ooxml/officeDocument/relationships/hyperlink" Target="#Definitions!A28"/><Relationship Id="rId13" Type="http://purl.oclc.org/ooxml/officeDocument/relationships/hyperlink" Target="#'3.Cropland'!A1"/><Relationship Id="rId18" Type="http://purl.oclc.org/ooxml/officeDocument/relationships/hyperlink" Target="#'10.Results'!A1"/><Relationship Id="rId3" Type="http://purl.oclc.org/ooxml/officeDocument/relationships/hyperlink" Target="#'3.Cropland'!BI52"/><Relationship Id="rId7" Type="http://purl.oclc.org/ooxml/officeDocument/relationships/image" Target="../media/image3.png"/><Relationship Id="rId12" Type="http://purl.oclc.org/ooxml/officeDocument/relationships/hyperlink" Target="#'2.LUC'!A1"/><Relationship Id="rId17" Type="http://purl.oclc.org/ooxml/officeDocument/relationships/hyperlink" Target="#'7.Coastal wetlands'!A1"/><Relationship Id="rId2" Type="http://purl.oclc.org/ooxml/officeDocument/relationships/hyperlink" Target="#'3.Cropland'!C19"/><Relationship Id="rId16" Type="http://purl.oclc.org/ooxml/officeDocument/relationships/hyperlink" Target="#'6.Inland wetlands'!A1"/><Relationship Id="rId20" Type="http://purl.oclc.org/ooxml/officeDocument/relationships/hyperlink" Target="#'3.Cropland'!BL89"/><Relationship Id="rId1" Type="http://purl.oclc.org/ooxml/officeDocument/relationships/hyperlink" Target="#'3.Cropland'!BL11"/><Relationship Id="rId6" Type="http://purl.oclc.org/ooxml/officeDocument/relationships/hyperlink" Target="#'3.Cropland'!C102"/><Relationship Id="rId11" Type="http://purl.oclc.org/ooxml/officeDocument/relationships/hyperlink" Target="#'1.Description'!A1"/><Relationship Id="rId5" Type="http://purl.oclc.org/ooxml/officeDocument/relationships/hyperlink" Target="#'3.Cropland'!C61"/><Relationship Id="rId15" Type="http://purl.oclc.org/ooxml/officeDocument/relationships/hyperlink" Target="#'5.Management'!A1"/><Relationship Id="rId10" Type="http://purl.oclc.org/ooxml/officeDocument/relationships/hyperlink" Target="#'0.Start'!A1"/><Relationship Id="rId19" Type="http://purl.oclc.org/ooxml/officeDocument/relationships/hyperlink" Target="#'8. Fisheries and aquaculture'!A1"/><Relationship Id="rId4" Type="http://purl.oclc.org/ooxml/officeDocument/relationships/hyperlink" Target="#Definitions!A1"/><Relationship Id="rId9" Type="http://purl.oclc.org/ooxml/officeDocument/relationships/hyperlink" Target="#'9.Inputs'!A1"/><Relationship Id="rId14" Type="http://purl.oclc.org/ooxml/officeDocument/relationships/hyperlink" Target="#'4.Grassland'!A1"/></Relationships>
</file>

<file path=xl/drawings/_rels/drawing11.xml.rels><?xml version="1.0" encoding="UTF-8" standalone="yes"?>
<Relationships xmlns="http://schemas.openxmlformats.org/package/2006/relationships"><Relationship Id="rId8" Type="http://purl.oclc.org/ooxml/officeDocument/relationships/hyperlink" Target="#Definitions!A70"/><Relationship Id="rId13" Type="http://purl.oclc.org/ooxml/officeDocument/relationships/hyperlink" Target="#'1.Description'!A1"/><Relationship Id="rId18" Type="http://purl.oclc.org/ooxml/officeDocument/relationships/hyperlink" Target="#'6.Inland wetlands'!A1"/><Relationship Id="rId3" Type="http://purl.oclc.org/ooxml/officeDocument/relationships/hyperlink" Target="#'4.Grassland'!BS5"/><Relationship Id="rId21" Type="http://purl.oclc.org/ooxml/officeDocument/relationships/hyperlink" Target="#'8. Fisheries and aquaculture'!A1"/><Relationship Id="rId7" Type="http://purl.oclc.org/ooxml/officeDocument/relationships/hyperlink" Target="#Definitions!A54"/><Relationship Id="rId12" Type="http://purl.oclc.org/ooxml/officeDocument/relationships/hyperlink" Target="#'0.Start'!A1"/><Relationship Id="rId17" Type="http://purl.oclc.org/ooxml/officeDocument/relationships/hyperlink" Target="#'5.Management'!A1"/><Relationship Id="rId2" Type="http://purl.oclc.org/ooxml/officeDocument/relationships/hyperlink" Target="#'4.Grassland'!A33"/><Relationship Id="rId16" Type="http://purl.oclc.org/ooxml/officeDocument/relationships/hyperlink" Target="#'4.Grassland'!A1"/><Relationship Id="rId20" Type="http://purl.oclc.org/ooxml/officeDocument/relationships/hyperlink" Target="#'10.Results'!A1"/><Relationship Id="rId1" Type="http://purl.oclc.org/ooxml/officeDocument/relationships/hyperlink" Target="#'4.Grassland'!B25"/><Relationship Id="rId6" Type="http://purl.oclc.org/ooxml/officeDocument/relationships/hyperlink" Target="#'4.Grassland'!D56"/><Relationship Id="rId11" Type="http://purl.oclc.org/ooxml/officeDocument/relationships/hyperlink" Target="#'9.Inputs'!A1"/><Relationship Id="rId5" Type="http://purl.oclc.org/ooxml/officeDocument/relationships/hyperlink" Target="#'4.Grassland'!C20"/><Relationship Id="rId15" Type="http://purl.oclc.org/ooxml/officeDocument/relationships/hyperlink" Target="#'3.Cropland'!A1"/><Relationship Id="rId10" Type="http://purl.oclc.org/ooxml/officeDocument/relationships/hyperlink" Target="#Definitions!A86"/><Relationship Id="rId19" Type="http://purl.oclc.org/ooxml/officeDocument/relationships/hyperlink" Target="#'7.Coastal wetlands'!A1"/><Relationship Id="rId4" Type="http://purl.oclc.org/ooxml/officeDocument/relationships/hyperlink" Target="#'4.Grassland'!CB48"/><Relationship Id="rId9" Type="http://purl.oclc.org/ooxml/officeDocument/relationships/hyperlink" Target="#Definitions!A44"/><Relationship Id="rId14" Type="http://purl.oclc.org/ooxml/officeDocument/relationships/hyperlink" Target="#'2.LUC'!A1"/></Relationships>
</file>

<file path=xl/drawings/_rels/drawing14.xml.rels><?xml version="1.0" encoding="UTF-8" standalone="yes"?>
<Relationships xmlns="http://schemas.openxmlformats.org/package/2006/relationships"><Relationship Id="rId8" Type="http://purl.oclc.org/ooxml/officeDocument/relationships/hyperlink" Target="#'4.Grassland'!A1"/><Relationship Id="rId13" Type="http://purl.oclc.org/ooxml/officeDocument/relationships/hyperlink" Target="#'8. Fisheries and aquaculture'!A1"/><Relationship Id="rId3" Type="http://purl.oclc.org/ooxml/officeDocument/relationships/hyperlink" Target="#'9.Inputs'!A1"/><Relationship Id="rId7" Type="http://purl.oclc.org/ooxml/officeDocument/relationships/hyperlink" Target="#'3.Cropland'!A1"/><Relationship Id="rId12" Type="http://purl.oclc.org/ooxml/officeDocument/relationships/hyperlink" Target="#'10.Results'!A1"/><Relationship Id="rId2" Type="http://purl.oclc.org/ooxml/officeDocument/relationships/hyperlink" Target="#'5.Management'!A17"/><Relationship Id="rId1" Type="http://purl.oclc.org/ooxml/officeDocument/relationships/hyperlink" Target="#'5.Management'!BO6"/><Relationship Id="rId6" Type="http://purl.oclc.org/ooxml/officeDocument/relationships/hyperlink" Target="#'2.LUC'!A1"/><Relationship Id="rId11" Type="http://purl.oclc.org/ooxml/officeDocument/relationships/hyperlink" Target="#'7.Coastal wetlands'!A1"/><Relationship Id="rId5" Type="http://purl.oclc.org/ooxml/officeDocument/relationships/hyperlink" Target="#'1.Description'!A1"/><Relationship Id="rId10" Type="http://purl.oclc.org/ooxml/officeDocument/relationships/hyperlink" Target="#'6.Inland wetlands'!A1"/><Relationship Id="rId4" Type="http://purl.oclc.org/ooxml/officeDocument/relationships/hyperlink" Target="#'0.Start'!A1"/><Relationship Id="rId9" Type="http://purl.oclc.org/ooxml/officeDocument/relationships/hyperlink" Target="#'5.Management'!A1"/></Relationships>
</file>

<file path=xl/drawings/_rels/drawing15.xml.rels><?xml version="1.0" encoding="UTF-8" standalone="yes"?>
<Relationships xmlns="http://schemas.openxmlformats.org/package/2006/relationships"><Relationship Id="rId13" Type="http://purl.oclc.org/ooxml/officeDocument/relationships/hyperlink" Target="#'6.Inland wetlands'!C15"/><Relationship Id="rId18" Type="http://purl.oclc.org/ooxml/officeDocument/relationships/hyperlink" Target="#'6.Inland wetlands'!EQ28"/><Relationship Id="rId26" Type="http://purl.oclc.org/ooxml/officeDocument/relationships/hyperlink" Target="#'6.Inland wetlands'!C112"/><Relationship Id="rId39" Type="http://purl.oclc.org/ooxml/officeDocument/relationships/hyperlink" Target="#'9.Inputs'!A1"/><Relationship Id="rId21" Type="http://purl.oclc.org/ooxml/officeDocument/relationships/hyperlink" Target="#'6.Inland wetlands'!BQ48"/><Relationship Id="rId34" Type="http://purl.oclc.org/ooxml/officeDocument/relationships/hyperlink" Target="#'6.Inland wetlands'!DY145"/><Relationship Id="rId42" Type="http://purl.oclc.org/ooxml/officeDocument/relationships/hyperlink" Target="#'2.LUC'!A1"/><Relationship Id="rId47" Type="http://purl.oclc.org/ooxml/officeDocument/relationships/hyperlink" Target="#'7.Coastal wetlands'!A1"/><Relationship Id="rId50" Type="http://purl.oclc.org/ooxml/officeDocument/relationships/hyperlink" Target="#'6.Inland wetlands'!C169"/><Relationship Id="rId7" Type="http://purl.oclc.org/ooxml/officeDocument/relationships/hyperlink" Target="#'6.Inland wetlands'!C120"/><Relationship Id="rId2" Type="http://purl.oclc.org/ooxml/officeDocument/relationships/hyperlink" Target="#'6.Inland wetlands'!C103"/><Relationship Id="rId16" Type="http://purl.oclc.org/ooxml/officeDocument/relationships/hyperlink" Target="#'6.Inland wetlands'!CZ28"/><Relationship Id="rId29" Type="http://purl.oclc.org/ooxml/officeDocument/relationships/hyperlink" Target="#'6.Inland wetlands'!CZ110"/><Relationship Id="rId11" Type="http://purl.oclc.org/ooxml/officeDocument/relationships/hyperlink" Target="#'6.Inland wetlands'!DY7"/><Relationship Id="rId24" Type="http://purl.oclc.org/ooxml/officeDocument/relationships/hyperlink" Target="#'6.Inland wetlands'!EQ48"/><Relationship Id="rId32" Type="http://purl.oclc.org/ooxml/officeDocument/relationships/hyperlink" Target="#'6.Inland wetlands'!C82"/><Relationship Id="rId37" Type="http://purl.oclc.org/ooxml/officeDocument/relationships/hyperlink" Target="#'6.Inland wetlands'!DE169"/><Relationship Id="rId40" Type="http://purl.oclc.org/ooxml/officeDocument/relationships/hyperlink" Target="#'0.Start'!A1"/><Relationship Id="rId45" Type="http://purl.oclc.org/ooxml/officeDocument/relationships/hyperlink" Target="#'5.Management'!A1"/><Relationship Id="rId5" Type="http://purl.oclc.org/ooxml/officeDocument/relationships/hyperlink" Target="#'6.Inland wetlands'!C10"/><Relationship Id="rId15" Type="http://purl.oclc.org/ooxml/officeDocument/relationships/hyperlink" Target="#'6.Inland wetlands'!BY28"/><Relationship Id="rId23" Type="http://purl.oclc.org/ooxml/officeDocument/relationships/hyperlink" Target="#'6.Inland wetlands'!DY48"/><Relationship Id="rId28" Type="http://purl.oclc.org/ooxml/officeDocument/relationships/hyperlink" Target="#'6.Inland wetlands'!CA110"/><Relationship Id="rId36" Type="http://purl.oclc.org/ooxml/officeDocument/relationships/hyperlink" Target="#'6.Inland wetlands'!C145"/><Relationship Id="rId49" Type="http://purl.oclc.org/ooxml/officeDocument/relationships/hyperlink" Target="#'8. Fisheries and aquaculture'!A1"/><Relationship Id="rId10" Type="http://purl.oclc.org/ooxml/officeDocument/relationships/hyperlink" Target="#'6.Inland wetlands'!CZ7"/><Relationship Id="rId19" Type="http://purl.oclc.org/ooxml/officeDocument/relationships/hyperlink" Target="#'6.Inland wetlands'!C36"/><Relationship Id="rId31" Type="http://purl.oclc.org/ooxml/officeDocument/relationships/hyperlink" Target="#'6.Inland wetlands'!EQ110"/><Relationship Id="rId44" Type="http://purl.oclc.org/ooxml/officeDocument/relationships/hyperlink" Target="#'4.Grassland'!A1"/><Relationship Id="rId4" Type="http://purl.oclc.org/ooxml/officeDocument/relationships/hyperlink" Target="#'6.Inland wetlands'!G144"/><Relationship Id="rId9" Type="http://purl.oclc.org/ooxml/officeDocument/relationships/hyperlink" Target="#'6.Inland wetlands'!BQ7"/><Relationship Id="rId14" Type="http://purl.oclc.org/ooxml/officeDocument/relationships/hyperlink" Target="#'6.Inland wetlands'!C7"/><Relationship Id="rId22" Type="http://purl.oclc.org/ooxml/officeDocument/relationships/hyperlink" Target="#'6.Inland wetlands'!CZ48"/><Relationship Id="rId27" Type="http://purl.oclc.org/ooxml/officeDocument/relationships/hyperlink" Target="#'6.Inland wetlands'!C9"/><Relationship Id="rId30" Type="http://purl.oclc.org/ooxml/officeDocument/relationships/hyperlink" Target="#'6.Inland wetlands'!DY110"/><Relationship Id="rId35" Type="http://purl.oclc.org/ooxml/officeDocument/relationships/hyperlink" Target="#'6.Inland wetlands'!EQ145"/><Relationship Id="rId43" Type="http://purl.oclc.org/ooxml/officeDocument/relationships/hyperlink" Target="#'3.Cropland'!A1"/><Relationship Id="rId48" Type="http://purl.oclc.org/ooxml/officeDocument/relationships/hyperlink" Target="#'10.Results'!A1"/><Relationship Id="rId8" Type="http://purl.oclc.org/ooxml/officeDocument/relationships/hyperlink" Target="#'6.Inland wetlands'!DA190"/><Relationship Id="rId51" Type="http://purl.oclc.org/ooxml/officeDocument/relationships/hyperlink" Target="#'6.Inland wetlands'!C190"/><Relationship Id="rId3" Type="http://purl.oclc.org/ooxml/officeDocument/relationships/hyperlink" Target="#'6.Inland wetlands'!C128"/><Relationship Id="rId12" Type="http://purl.oclc.org/ooxml/officeDocument/relationships/hyperlink" Target="#'6.Inland wetlands'!EQ7"/><Relationship Id="rId17" Type="http://purl.oclc.org/ooxml/officeDocument/relationships/hyperlink" Target="#'6.Inland wetlands'!DY28"/><Relationship Id="rId25" Type="http://purl.oclc.org/ooxml/officeDocument/relationships/hyperlink" Target="#'6.Inland wetlands'!C56"/><Relationship Id="rId33" Type="http://purl.oclc.org/ooxml/officeDocument/relationships/hyperlink" Target="#'6.Inland wetlands'!C74"/><Relationship Id="rId38" Type="http://purl.oclc.org/ooxml/officeDocument/relationships/hyperlink" Target="#'6.Inland wetlands'!CZ145"/><Relationship Id="rId46" Type="http://purl.oclc.org/ooxml/officeDocument/relationships/hyperlink" Target="#'6.Inland wetlands'!A1"/><Relationship Id="rId20" Type="http://purl.oclc.org/ooxml/officeDocument/relationships/hyperlink" Target="#'6.Inland wetlands'!C41"/><Relationship Id="rId41" Type="http://purl.oclc.org/ooxml/officeDocument/relationships/hyperlink" Target="#'1.Description'!A1"/><Relationship Id="rId1" Type="http://purl.oclc.org/ooxml/officeDocument/relationships/hyperlink" Target="#'6.Inland wetlands'!C80"/><Relationship Id="rId6" Type="http://purl.oclc.org/ooxml/officeDocument/relationships/hyperlink" Target="#'6.Inland wetlands'!C100"/></Relationships>
</file>

<file path=xl/drawings/_rels/drawing18.xml.rels><?xml version="1.0" encoding="UTF-8" standalone="yes"?>
<Relationships xmlns="http://schemas.openxmlformats.org/package/2006/relationships"><Relationship Id="rId8" Type="http://purl.oclc.org/ooxml/officeDocument/relationships/hyperlink" Target="#'3.Cropland'!A1"/><Relationship Id="rId13" Type="http://purl.oclc.org/ooxml/officeDocument/relationships/hyperlink" Target="#'10.Results'!A1"/><Relationship Id="rId18" Type="http://purl.oclc.org/ooxml/officeDocument/relationships/hyperlink" Target="#'7.Coastal wetlands'!C29"/><Relationship Id="rId3" Type="http://purl.oclc.org/ooxml/officeDocument/relationships/image" Target="../media/image4.png"/><Relationship Id="rId7" Type="http://purl.oclc.org/ooxml/officeDocument/relationships/hyperlink" Target="#'2.LUC'!A1"/><Relationship Id="rId12" Type="http://purl.oclc.org/ooxml/officeDocument/relationships/hyperlink" Target="#'7.Coastal wetlands'!A1"/><Relationship Id="rId17" Type="http://purl.oclc.org/ooxml/officeDocument/relationships/hyperlink" Target="#'7.Coastal wetlands'!CK41"/><Relationship Id="rId2" Type="http://purl.oclc.org/ooxml/officeDocument/relationships/hyperlink" Target="#'7.Coastal wetlands'!C4"/><Relationship Id="rId16" Type="http://purl.oclc.org/ooxml/officeDocument/relationships/hyperlink" Target="#'7.Coastal wetlands'!CK24"/><Relationship Id="rId20" Type="http://purl.oclc.org/ooxml/officeDocument/relationships/hyperlink" Target="#'7.Coastal wetlands'!C59"/><Relationship Id="rId1" Type="http://purl.oclc.org/ooxml/officeDocument/relationships/hyperlink" Target="#'7.Coastal wetlands'!CK7"/><Relationship Id="rId6" Type="http://purl.oclc.org/ooxml/officeDocument/relationships/hyperlink" Target="#'1.Description'!A1"/><Relationship Id="rId11" Type="http://purl.oclc.org/ooxml/officeDocument/relationships/hyperlink" Target="#'6.Inland wetlands'!A1"/><Relationship Id="rId5" Type="http://purl.oclc.org/ooxml/officeDocument/relationships/hyperlink" Target="#'0.Start'!A1"/><Relationship Id="rId15" Type="http://purl.oclc.org/ooxml/officeDocument/relationships/hyperlink" Target="#'7.Coastal wetlands'!CK58"/><Relationship Id="rId10" Type="http://purl.oclc.org/ooxml/officeDocument/relationships/hyperlink" Target="#'5.Management'!A1"/><Relationship Id="rId19" Type="http://purl.oclc.org/ooxml/officeDocument/relationships/hyperlink" Target="#'7.Coastal wetlands'!C45"/><Relationship Id="rId4" Type="http://purl.oclc.org/ooxml/officeDocument/relationships/hyperlink" Target="#'9.Inputs'!A1"/><Relationship Id="rId9" Type="http://purl.oclc.org/ooxml/officeDocument/relationships/hyperlink" Target="#'4.Grassland'!A1"/><Relationship Id="rId14" Type="http://purl.oclc.org/ooxml/officeDocument/relationships/hyperlink" Target="#'8. Fisheries and aquaculture'!A1"/></Relationships>
</file>

<file path=xl/drawings/_rels/drawing19.xml.rels><?xml version="1.0" encoding="UTF-8" standalone="yes"?>
<Relationships xmlns="http://schemas.openxmlformats.org/package/2006/relationships"><Relationship Id="rId8" Type="http://purl.oclc.org/ooxml/officeDocument/relationships/hyperlink" Target="#'0.Start'!A1"/><Relationship Id="rId13" Type="http://purl.oclc.org/ooxml/officeDocument/relationships/hyperlink" Target="#'5.Management'!A1"/><Relationship Id="rId3" Type="http://purl.oclc.org/ooxml/officeDocument/relationships/hyperlink" Target="#'8. Fisheries and aquaculture'!CP70"/><Relationship Id="rId7" Type="http://purl.oclc.org/ooxml/officeDocument/relationships/hyperlink" Target="#'9.Inputs'!A1"/><Relationship Id="rId12" Type="http://purl.oclc.org/ooxml/officeDocument/relationships/hyperlink" Target="#'4.Grassland'!A1"/><Relationship Id="rId17" Type="http://purl.oclc.org/ooxml/officeDocument/relationships/hyperlink" Target="#'8. Fisheries and aquaculture'!A1"/><Relationship Id="rId2" Type="http://purl.oclc.org/ooxml/officeDocument/relationships/hyperlink" Target="#'8. Fisheries and aquaculture'!A9"/><Relationship Id="rId16" Type="http://purl.oclc.org/ooxml/officeDocument/relationships/hyperlink" Target="#'10.Results'!A1"/><Relationship Id="rId1" Type="http://purl.oclc.org/ooxml/officeDocument/relationships/hyperlink" Target="#'8. Fisheries and aquaculture'!CP9"/><Relationship Id="rId6" Type="http://purl.oclc.org/ooxml/officeDocument/relationships/hyperlink" Target="#'8. Fisheries and aquaculture'!A40"/><Relationship Id="rId11" Type="http://purl.oclc.org/ooxml/officeDocument/relationships/hyperlink" Target="#'3.Cropland'!A1"/><Relationship Id="rId5" Type="http://purl.oclc.org/ooxml/officeDocument/relationships/hyperlink" Target="#'8. Fisheries and aquaculture'!CP40"/><Relationship Id="rId15" Type="http://purl.oclc.org/ooxml/officeDocument/relationships/hyperlink" Target="#'7.Coastal wetlands'!A1"/><Relationship Id="rId10" Type="http://purl.oclc.org/ooxml/officeDocument/relationships/hyperlink" Target="#'2.LUC'!A1"/><Relationship Id="rId4" Type="http://purl.oclc.org/ooxml/officeDocument/relationships/hyperlink" Target="#'8. Fisheries and aquaculture'!A70"/><Relationship Id="rId9" Type="http://purl.oclc.org/ooxml/officeDocument/relationships/hyperlink" Target="#'1.Description'!A1"/><Relationship Id="rId14" Type="http://purl.oclc.org/ooxml/officeDocument/relationships/hyperlink" Target="#'6.Inland wetlands'!A1"/></Relationships>
</file>

<file path=xl/drawings/_rels/drawing20.xml.rels><?xml version="1.0" encoding="UTF-8" standalone="yes"?>
<Relationships xmlns="http://schemas.openxmlformats.org/package/2006/relationships"><Relationship Id="rId8" Type="http://purl.oclc.org/ooxml/officeDocument/relationships/hyperlink" Target="#'9.Inputs'!A67"/><Relationship Id="rId13" Type="http://purl.oclc.org/ooxml/officeDocument/relationships/hyperlink" Target="#'9.Inputs'!A101"/><Relationship Id="rId18" Type="http://purl.oclc.org/ooxml/officeDocument/relationships/hyperlink" Target="#'1.Description'!A1"/><Relationship Id="rId26" Type="http://purl.oclc.org/ooxml/officeDocument/relationships/hyperlink" Target="#'8. Fisheries and aquaculture'!A1"/><Relationship Id="rId3" Type="http://purl.oclc.org/ooxml/officeDocument/relationships/hyperlink" Target="#'9.Inputs'!BC4"/><Relationship Id="rId21" Type="http://purl.oclc.org/ooxml/officeDocument/relationships/hyperlink" Target="#'4.Grassland'!A1"/><Relationship Id="rId7" Type="http://purl.oclc.org/ooxml/officeDocument/relationships/hyperlink" Target="#'9.Inputs'!BC67"/><Relationship Id="rId12" Type="http://purl.oclc.org/ooxml/officeDocument/relationships/hyperlink" Target="#'9.Inputs'!A1"/><Relationship Id="rId17" Type="http://purl.oclc.org/ooxml/officeDocument/relationships/hyperlink" Target="#'0.Start'!A1"/><Relationship Id="rId25" Type="http://purl.oclc.org/ooxml/officeDocument/relationships/hyperlink" Target="#'10.Results'!A1"/><Relationship Id="rId2" Type="http://purl.oclc.org/ooxml/officeDocument/relationships/hyperlink" Target="#'9.Inputs'!A102"/><Relationship Id="rId16" Type="http://purl.oclc.org/ooxml/officeDocument/relationships/hyperlink" Target="#Definitions!A103"/><Relationship Id="rId20" Type="http://purl.oclc.org/ooxml/officeDocument/relationships/hyperlink" Target="#'3.Cropland'!A1"/><Relationship Id="rId1" Type="http://purl.oclc.org/ooxml/officeDocument/relationships/hyperlink" Target="#'9.Inputs'!A41"/><Relationship Id="rId6" Type="http://purl.oclc.org/ooxml/officeDocument/relationships/hyperlink" Target="#'9.Inputs'!A38"/><Relationship Id="rId11" Type="http://purl.oclc.org/ooxml/officeDocument/relationships/hyperlink" Target="#'9.Inputs'!A71"/><Relationship Id="rId24" Type="http://purl.oclc.org/ooxml/officeDocument/relationships/hyperlink" Target="#'7.Coastal wetlands'!A1"/><Relationship Id="rId5" Type="http://purl.oclc.org/ooxml/officeDocument/relationships/hyperlink" Target="#'9.Inputs'!BC38"/><Relationship Id="rId15" Type="http://purl.oclc.org/ooxml/officeDocument/relationships/hyperlink" Target="#HELP!A105"/><Relationship Id="rId23" Type="http://purl.oclc.org/ooxml/officeDocument/relationships/hyperlink" Target="#'6.Inland wetlands'!A1"/><Relationship Id="rId10" Type="http://purl.oclc.org/ooxml/officeDocument/relationships/hyperlink" Target="#'9.Inputs'!A99"/><Relationship Id="rId19" Type="http://purl.oclc.org/ooxml/officeDocument/relationships/hyperlink" Target="#'2.LUC'!A1"/><Relationship Id="rId4" Type="http://purl.oclc.org/ooxml/officeDocument/relationships/hyperlink" Target="#'9.Inputs'!A3"/><Relationship Id="rId9" Type="http://purl.oclc.org/ooxml/officeDocument/relationships/hyperlink" Target="#'9.Inputs'!AU99"/><Relationship Id="rId14" Type="http://purl.oclc.org/ooxml/officeDocument/relationships/hyperlink" Target="#'9.Inputs'!A40"/><Relationship Id="rId22" Type="http://purl.oclc.org/ooxml/officeDocument/relationships/hyperlink" Target="#'5.Management'!A1"/></Relationships>
</file>

<file path=xl/drawings/_rels/drawing21.xml.rels><?xml version="1.0" encoding="UTF-8" standalone="yes"?>
<Relationships xmlns="http://schemas.openxmlformats.org/package/2006/relationships"><Relationship Id="rId1" Type="http://purl.oclc.org/ooxml/officeDocument/relationships/image" Target="../media/image5.png"/></Relationships>
</file>

<file path=xl/drawings/_rels/drawing22.xml.rels><?xml version="1.0" encoding="UTF-8" standalone="yes"?>
<Relationships xmlns="http://schemas.openxmlformats.org/package/2006/relationships"><Relationship Id="rId2" Type="http://purl.oclc.org/ooxml/officeDocument/relationships/hyperlink" Target="#BALANCE!G148"/><Relationship Id="rId1" Type="http://purl.oclc.org/ooxml/officeDocument/relationships/hyperlink" Target="#BALANCE!G119"/></Relationships>
</file>

<file path=xl/drawings/_rels/drawing23.xml.rels><?xml version="1.0" encoding="UTF-8" standalone="yes"?>
<Relationships xmlns="http://schemas.openxmlformats.org/package/2006/relationships"><Relationship Id="rId8" Type="http://purl.oclc.org/ooxml/officeDocument/relationships/hyperlink" Target="#'9.Inputs'!A1"/><Relationship Id="rId13" Type="http://purl.oclc.org/ooxml/officeDocument/relationships/hyperlink" Target="#'4.Grassland'!A1"/><Relationship Id="rId18" Type="http://purl.oclc.org/ooxml/officeDocument/relationships/hyperlink" Target="#'8. Fisheries and aquaculture'!A1"/><Relationship Id="rId3" Type="http://purl.oclc.org/ooxml/officeDocument/relationships/chart" Target="../charts/chart3.xml"/><Relationship Id="rId21" Type="http://purl.oclc.org/ooxml/officeDocument/relationships/hyperlink" Target="#'10.Results'!AG62"/><Relationship Id="rId7" Type="http://purl.oclc.org/ooxml/officeDocument/relationships/chart" Target="../charts/chart7.xml"/><Relationship Id="rId12" Type="http://purl.oclc.org/ooxml/officeDocument/relationships/hyperlink" Target="#'3.Cropland'!A1"/><Relationship Id="rId17" Type="http://purl.oclc.org/ooxml/officeDocument/relationships/hyperlink" Target="#'10.Results'!A1"/><Relationship Id="rId2" Type="http://purl.oclc.org/ooxml/officeDocument/relationships/chart" Target="../charts/chart2.xml"/><Relationship Id="rId16" Type="http://purl.oclc.org/ooxml/officeDocument/relationships/hyperlink" Target="#'7.Coastal wetlands'!A1"/><Relationship Id="rId20" Type="http://purl.oclc.org/ooxml/officeDocument/relationships/chart" Target="../charts/chart9.xml"/><Relationship Id="rId1" Type="http://purl.oclc.org/ooxml/officeDocument/relationships/chart" Target="../charts/chart1.xml"/><Relationship Id="rId6" Type="http://purl.oclc.org/ooxml/officeDocument/relationships/chart" Target="../charts/chart6.xml"/><Relationship Id="rId11" Type="http://purl.oclc.org/ooxml/officeDocument/relationships/hyperlink" Target="#'2.LUC'!A1"/><Relationship Id="rId5" Type="http://purl.oclc.org/ooxml/officeDocument/relationships/chart" Target="../charts/chart5.xml"/><Relationship Id="rId15" Type="http://purl.oclc.org/ooxml/officeDocument/relationships/hyperlink" Target="#'6.Inland wetlands'!A1"/><Relationship Id="rId23" Type="http://purl.oclc.org/ooxml/officeDocument/relationships/hyperlink" Target="#'10.Results'!AQ115"/><Relationship Id="rId10" Type="http://purl.oclc.org/ooxml/officeDocument/relationships/hyperlink" Target="#'1.Description'!A1"/><Relationship Id="rId19" Type="http://purl.oclc.org/ooxml/officeDocument/relationships/chart" Target="../charts/chart8.xml"/><Relationship Id="rId4" Type="http://purl.oclc.org/ooxml/officeDocument/relationships/chart" Target="../charts/chart4.xml"/><Relationship Id="rId9" Type="http://purl.oclc.org/ooxml/officeDocument/relationships/hyperlink" Target="#'0.Start'!A1"/><Relationship Id="rId14" Type="http://purl.oclc.org/ooxml/officeDocument/relationships/hyperlink" Target="#'5.Management'!A1"/><Relationship Id="rId22" Type="http://purl.oclc.org/ooxml/officeDocument/relationships/hyperlink" Target="#'10.Results'!A114"/></Relationships>
</file>

<file path=xl/drawings/_rels/drawing26.xml.rels><?xml version="1.0" encoding="UTF-8" standalone="yes"?>
<Relationships xmlns="http://schemas.openxmlformats.org/package/2006/relationships"><Relationship Id="rId8" Type="http://purl.oclc.org/ooxml/officeDocument/relationships/hyperlink" Target="#HELP!B30"/><Relationship Id="rId3" Type="http://purl.oclc.org/ooxml/officeDocument/relationships/hyperlink" Target="#'4.Grassland'!I9"/><Relationship Id="rId7" Type="http://purl.oclc.org/ooxml/officeDocument/relationships/hyperlink" Target="#'9.Inputs'!A80"/><Relationship Id="rId2" Type="http://purl.oclc.org/ooxml/officeDocument/relationships/hyperlink" Target="#'4.Grassland'!I53"/><Relationship Id="rId1" Type="http://purl.oclc.org/ooxml/officeDocument/relationships/hyperlink" Target="#'3.Cropland'!C19"/><Relationship Id="rId6" Type="http://purl.oclc.org/ooxml/officeDocument/relationships/hyperlink" Target="#'1.Description'!C22"/><Relationship Id="rId5" Type="http://purl.oclc.org/ooxml/officeDocument/relationships/hyperlink" Target="#'3.Cropland'!C50"/><Relationship Id="rId4" Type="http://purl.oclc.org/ooxml/officeDocument/relationships/hyperlink" Target="#'3.Cropland'!C89"/></Relationships>
</file>

<file path=xl/drawings/_rels/drawing27.xml.rels><?xml version="1.0" encoding="UTF-8" standalone="yes"?>
<Relationships xmlns="http://schemas.openxmlformats.org/package/2006/relationships"><Relationship Id="rId3" Type="http://purl.oclc.org/ooxml/officeDocument/relationships/hyperlink" Target="#'2.LUC'!C21"/><Relationship Id="rId2" Type="http://purl.oclc.org/ooxml/officeDocument/relationships/image" Target="../media/image7.emf"/><Relationship Id="rId1" Type="http://purl.oclc.org/ooxml/officeDocument/relationships/image" Target="../media/image6.png"/><Relationship Id="rId6" Type="http://purl.oclc.org/ooxml/officeDocument/relationships/image" Target="../media/image9.png"/><Relationship Id="rId5" Type="http://purl.oclc.org/ooxml/officeDocument/relationships/image" Target="../media/image8.png"/><Relationship Id="rId4" Type="http://purl.oclc.org/ooxml/officeDocument/relationships/hyperlink" Target="#'9.Inputs'!A80"/></Relationships>
</file>

<file path=xl/drawings/drawing1.xml><?xml version="1.0" encoding="utf-8"?>
<xdr:wsDr xmlns:xdr="http://purl.oclc.org/ooxml/drawingml/spreadsheetDrawing" xmlns:a="http://purl.oclc.org/ooxml/drawingml/main">
  <xdr:twoCellAnchor>
    <xdr:from>
      <xdr:col>1</xdr:col>
      <xdr:colOff>33618</xdr:colOff>
      <xdr:row>0</xdr:row>
      <xdr:rowOff>67235</xdr:rowOff>
    </xdr:from>
    <xdr:to>
      <xdr:col>29</xdr:col>
      <xdr:colOff>139830</xdr:colOff>
      <xdr:row>0</xdr:row>
      <xdr:rowOff>1261782</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640837" y="67235"/>
          <a:ext cx="15953431" cy="1194547"/>
        </a:xfrm>
        <a:prstGeom prst="rect">
          <a:avLst/>
        </a:prstGeom>
        <a:noFill/>
      </xdr:spPr>
    </xdr:sp>
    <xdr:clientData/>
  </xdr:twoCellAnchor>
  <xdr:twoCellAnchor editAs="oneCell">
    <xdr:from>
      <xdr:col>30</xdr:col>
      <xdr:colOff>603253</xdr:colOff>
      <xdr:row>0</xdr:row>
      <xdr:rowOff>267989</xdr:rowOff>
    </xdr:from>
    <xdr:to>
      <xdr:col>36</xdr:col>
      <xdr:colOff>257972</xdr:colOff>
      <xdr:row>0</xdr:row>
      <xdr:rowOff>903058</xdr:rowOff>
    </xdr:to>
    <xdr:pic>
      <xdr:nvPicPr>
        <xdr:cNvPr id="283" name="Picture 282">
          <a:extLst>
            <a:ext uri="{FF2B5EF4-FFF2-40B4-BE49-F238E27FC236}">
              <a16:creationId xmlns:a16="http://schemas.microsoft.com/office/drawing/2014/main" id="{00000000-0008-0000-0000-00001B010000}"/>
            </a:ext>
          </a:extLst>
        </xdr:cNvPr>
        <xdr:cNvPicPr>
          <a:picLocks noChangeAspect="1"/>
        </xdr:cNvPicPr>
      </xdr:nvPicPr>
      <xdr:blipFill>
        <a:blip xmlns:r="http://purl.oclc.org/ooxml/officeDocument/relationships" r:embed="rId1" cstate="print">
          <a:extLst>
            <a:ext uri="{28A0092B-C50C-407E-A947-70E740481C1C}">
              <a14:useLocalDpi xmlns:a14="http://schemas.microsoft.com/office/drawing/2010/main" val="0"/>
            </a:ext>
          </a:extLst>
        </a:blip>
        <a:stretch>
          <a:fillRect/>
        </a:stretch>
      </xdr:blipFill>
      <xdr:spPr>
        <a:xfrm>
          <a:off x="18629316" y="267989"/>
          <a:ext cx="3298031" cy="635069"/>
        </a:xfrm>
        <a:prstGeom prst="rect">
          <a:avLst/>
        </a:prstGeom>
      </xdr:spPr>
    </xdr:pic>
    <xdr:clientData/>
  </xdr:twoCellAnchor>
  <xdr:twoCellAnchor>
    <xdr:from>
      <xdr:col>0</xdr:col>
      <xdr:colOff>150970</xdr:colOff>
      <xdr:row>2</xdr:row>
      <xdr:rowOff>162627</xdr:rowOff>
    </xdr:from>
    <xdr:to>
      <xdr:col>29</xdr:col>
      <xdr:colOff>592665</xdr:colOff>
      <xdr:row>42</xdr:row>
      <xdr:rowOff>322655</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150970" y="1614056"/>
          <a:ext cx="19128838" cy="7653028"/>
          <a:chOff x="150970" y="1654877"/>
          <a:chExt cx="16560112" cy="8743580"/>
        </a:xfrm>
      </xdr:grpSpPr>
      <xdr:grpSp>
        <xdr:nvGrpSpPr>
          <xdr:cNvPr id="288" name="Group 287">
            <a:extLst>
              <a:ext uri="{FF2B5EF4-FFF2-40B4-BE49-F238E27FC236}">
                <a16:creationId xmlns:a16="http://schemas.microsoft.com/office/drawing/2014/main" id="{00000000-0008-0000-0000-000020010000}"/>
              </a:ext>
            </a:extLst>
          </xdr:cNvPr>
          <xdr:cNvGrpSpPr/>
        </xdr:nvGrpSpPr>
        <xdr:grpSpPr>
          <a:xfrm>
            <a:off x="150970" y="1654877"/>
            <a:ext cx="16560112" cy="8743580"/>
            <a:chOff x="648388" y="1771293"/>
            <a:chExt cx="16560112" cy="8743580"/>
          </a:xfrm>
        </xdr:grpSpPr>
        <xdr:grpSp>
          <xdr:nvGrpSpPr>
            <xdr:cNvPr id="286" name="Group 285">
              <a:extLst>
                <a:ext uri="{FF2B5EF4-FFF2-40B4-BE49-F238E27FC236}">
                  <a16:creationId xmlns:a16="http://schemas.microsoft.com/office/drawing/2014/main" id="{00000000-0008-0000-0000-00001E010000}"/>
                </a:ext>
              </a:extLst>
            </xdr:cNvPr>
            <xdr:cNvGrpSpPr/>
          </xdr:nvGrpSpPr>
          <xdr:grpSpPr>
            <a:xfrm>
              <a:off x="648388" y="1771293"/>
              <a:ext cx="16560112" cy="8743580"/>
              <a:chOff x="383804" y="1781875"/>
              <a:chExt cx="16560112" cy="8743580"/>
            </a:xfrm>
          </xdr:grpSpPr>
          <xdr:pic>
            <xdr:nvPicPr>
              <xdr:cNvPr id="285" name="Picture 284">
                <a:extLst>
                  <a:ext uri="{FF2B5EF4-FFF2-40B4-BE49-F238E27FC236}">
                    <a16:creationId xmlns:a16="http://schemas.microsoft.com/office/drawing/2014/main" id="{00000000-0008-0000-0000-00001D010000}"/>
                  </a:ext>
                </a:extLst>
              </xdr:cNvPr>
              <xdr:cNvPicPr>
                <a:picLocks noChangeAspect="1"/>
              </xdr:cNvPicPr>
            </xdr:nvPicPr>
            <xdr:blipFill>
              <a:blip xmlns:r="http://purl.oclc.org/ooxml/officeDocument/relationships" r:embed="rId2">
                <a:extLst>
                  <a:ext uri="{28A0092B-C50C-407E-A947-70E740481C1C}">
                    <a14:useLocalDpi xmlns:a14="http://schemas.microsoft.com/office/drawing/2010/main" val="0"/>
                  </a:ext>
                </a:extLst>
              </a:blip>
              <a:stretch>
                <a:fillRect/>
              </a:stretch>
            </xdr:blipFill>
            <xdr:spPr>
              <a:xfrm>
                <a:off x="455083" y="2465916"/>
                <a:ext cx="16488833" cy="7986332"/>
              </a:xfrm>
              <a:prstGeom prst="rect">
                <a:avLst/>
              </a:prstGeom>
            </xdr:spPr>
          </xdr:pic>
          <xdr:grpSp>
            <xdr:nvGrpSpPr>
              <xdr:cNvPr id="244" name="Group 243">
                <a:extLst>
                  <a:ext uri="{FF2B5EF4-FFF2-40B4-BE49-F238E27FC236}">
                    <a16:creationId xmlns:a16="http://schemas.microsoft.com/office/drawing/2014/main" id="{00000000-0008-0000-0000-0000F4000000}"/>
                  </a:ext>
                </a:extLst>
              </xdr:cNvPr>
              <xdr:cNvGrpSpPr/>
            </xdr:nvGrpSpPr>
            <xdr:grpSpPr>
              <a:xfrm>
                <a:off x="383804" y="1781875"/>
                <a:ext cx="14778977" cy="8743580"/>
                <a:chOff x="545833" y="1749363"/>
                <a:chExt cx="14765192" cy="8458120"/>
              </a:xfrm>
            </xdr:grpSpPr>
            <xdr:grpSp>
              <xdr:nvGrpSpPr>
                <xdr:cNvPr id="172" name="Group 171">
                  <a:extLst>
                    <a:ext uri="{FF2B5EF4-FFF2-40B4-BE49-F238E27FC236}">
                      <a16:creationId xmlns:a16="http://schemas.microsoft.com/office/drawing/2014/main" id="{00000000-0008-0000-0000-0000AC000000}"/>
                    </a:ext>
                  </a:extLst>
                </xdr:cNvPr>
                <xdr:cNvGrpSpPr/>
              </xdr:nvGrpSpPr>
              <xdr:grpSpPr>
                <a:xfrm>
                  <a:off x="545833" y="1749363"/>
                  <a:ext cx="14765192" cy="8458120"/>
                  <a:chOff x="545833" y="1749363"/>
                  <a:chExt cx="14765192" cy="8458120"/>
                </a:xfrm>
              </xdr:grpSpPr>
              <xdr:grpSp>
                <xdr:nvGrpSpPr>
                  <xdr:cNvPr id="165" name="Group 164">
                    <a:extLst>
                      <a:ext uri="{FF2B5EF4-FFF2-40B4-BE49-F238E27FC236}">
                        <a16:creationId xmlns:a16="http://schemas.microsoft.com/office/drawing/2014/main" id="{00000000-0008-0000-0000-0000A5000000}"/>
                      </a:ext>
                    </a:extLst>
                  </xdr:cNvPr>
                  <xdr:cNvGrpSpPr/>
                </xdr:nvGrpSpPr>
                <xdr:grpSpPr>
                  <a:xfrm>
                    <a:off x="545833" y="1749363"/>
                    <a:ext cx="14765192" cy="8458120"/>
                    <a:chOff x="382546" y="1831006"/>
                    <a:chExt cx="14765192" cy="8458120"/>
                  </a:xfrm>
                </xdr:grpSpPr>
                <xdr:sp macro="" textlink="">
                  <xdr:nvSpPr>
                    <xdr:cNvPr id="16" name="TextBox 15">
                      <a:extLst>
                        <a:ext uri="{FF2B5EF4-FFF2-40B4-BE49-F238E27FC236}">
                          <a16:creationId xmlns:a16="http://schemas.microsoft.com/office/drawing/2014/main" id="{00000000-0008-0000-0000-000010000000}"/>
                        </a:ext>
                      </a:extLst>
                    </xdr:cNvPr>
                    <xdr:cNvSpPr txBox="1"/>
                  </xdr:nvSpPr>
                  <xdr:spPr>
                    <a:xfrm rot="10800000" flipH="1" flipV="1">
                      <a:off x="443008" y="9519891"/>
                      <a:ext cx="10489774" cy="769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baseline="0%">
                          <a:solidFill>
                            <a:sysClr val="windowText" lastClr="000000"/>
                          </a:solidFill>
                          <a:latin typeface="Roboto light"/>
                          <a:ea typeface="+mn-ea"/>
                          <a:cs typeface="+mn-cs"/>
                        </a:rPr>
                        <a:t>Map conforms to United Nations World map, May 2020</a:t>
                      </a:r>
                    </a:p>
                    <a:p>
                      <a:r>
                        <a:rPr lang="en-US" sz="1100" b="0" i="0" u="none" strike="noStrike" baseline="0%">
                          <a:solidFill>
                            <a:sysClr val="windowText" lastClr="000000"/>
                          </a:solidFill>
                          <a:latin typeface="Roboto light"/>
                          <a:ea typeface="+mn-ea"/>
                          <a:cs typeface="+mn-cs"/>
                        </a:rPr>
                        <a:t>The boundaries and names shown and the designations used on this map do not imply the expression of any opinion whatsoever on the part of FAO concerning the</a:t>
                      </a:r>
                    </a:p>
                    <a:p>
                      <a:r>
                        <a:rPr lang="en-US" sz="1100" b="0" i="0" u="none" strike="noStrike" baseline="0%">
                          <a:solidFill>
                            <a:sysClr val="windowText" lastClr="000000"/>
                          </a:solidFill>
                          <a:latin typeface="Roboto light"/>
                          <a:ea typeface="+mn-ea"/>
                          <a:cs typeface="+mn-cs"/>
                        </a:rPr>
                        <a:t>legal status of any country, territory, city or area or of its authorities, or concerning the delimitation of its frontiers and boundaries. Dashed lines on maps represent</a:t>
                      </a:r>
                    </a:p>
                    <a:p>
                      <a:r>
                        <a:rPr lang="en-US" sz="1100" b="0" i="0" u="none" strike="noStrike" baseline="0%">
                          <a:solidFill>
                            <a:sysClr val="windowText" lastClr="000000"/>
                          </a:solidFill>
                          <a:latin typeface="Roboto light"/>
                          <a:ea typeface="+mn-ea"/>
                          <a:cs typeface="+mn-cs"/>
                        </a:rPr>
                        <a:t>approximate border lines for which there may not yet be full agreement.</a:t>
                      </a:r>
                      <a:endParaRPr lang="en-US" sz="1100">
                        <a:solidFill>
                          <a:sysClr val="windowText" lastClr="000000"/>
                        </a:solidFill>
                        <a:latin typeface="Roboto light"/>
                      </a:endParaRPr>
                    </a:p>
                  </xdr:txBody>
                </xdr:sp>
                <xdr:grpSp>
                  <xdr:nvGrpSpPr>
                    <xdr:cNvPr id="163" name="Group 162">
                      <a:extLst>
                        <a:ext uri="{FF2B5EF4-FFF2-40B4-BE49-F238E27FC236}">
                          <a16:creationId xmlns:a16="http://schemas.microsoft.com/office/drawing/2014/main" id="{00000000-0008-0000-0000-0000A3000000}"/>
                        </a:ext>
                      </a:extLst>
                    </xdr:cNvPr>
                    <xdr:cNvGrpSpPr/>
                  </xdr:nvGrpSpPr>
                  <xdr:grpSpPr>
                    <a:xfrm>
                      <a:off x="382546" y="1831006"/>
                      <a:ext cx="14765192" cy="7156416"/>
                      <a:chOff x="289964" y="1591235"/>
                      <a:chExt cx="14636271" cy="7453765"/>
                    </a:xfrm>
                  </xdr:grpSpPr>
                  <xdr:grpSp>
                    <xdr:nvGrpSpPr>
                      <xdr:cNvPr id="161" name="Group 160">
                        <a:extLst>
                          <a:ext uri="{FF2B5EF4-FFF2-40B4-BE49-F238E27FC236}">
                            <a16:creationId xmlns:a16="http://schemas.microsoft.com/office/drawing/2014/main" id="{00000000-0008-0000-0000-0000A1000000}"/>
                          </a:ext>
                        </a:extLst>
                      </xdr:cNvPr>
                      <xdr:cNvGrpSpPr/>
                    </xdr:nvGrpSpPr>
                    <xdr:grpSpPr>
                      <a:xfrm>
                        <a:off x="2192167" y="1606431"/>
                        <a:ext cx="12734068" cy="7438569"/>
                        <a:chOff x="1956844" y="1752106"/>
                        <a:chExt cx="12734068" cy="7438569"/>
                      </a:xfrm>
                    </xdr:grpSpPr>
                    <xdr:grpSp>
                      <xdr:nvGrpSpPr>
                        <xdr:cNvPr id="156" name="Group 155">
                          <a:extLst>
                            <a:ext uri="{FF2B5EF4-FFF2-40B4-BE49-F238E27FC236}">
                              <a16:creationId xmlns:a16="http://schemas.microsoft.com/office/drawing/2014/main" id="{00000000-0008-0000-0000-00009C000000}"/>
                            </a:ext>
                          </a:extLst>
                        </xdr:cNvPr>
                        <xdr:cNvGrpSpPr/>
                      </xdr:nvGrpSpPr>
                      <xdr:grpSpPr>
                        <a:xfrm>
                          <a:off x="1956844" y="6622210"/>
                          <a:ext cx="3567606" cy="1466233"/>
                          <a:chOff x="1351727" y="5456798"/>
                          <a:chExt cx="3567606" cy="1466233"/>
                        </a:xfrm>
                      </xdr:grpSpPr>
                      <xdr:grpSp>
                        <xdr:nvGrpSpPr>
                          <xdr:cNvPr id="118" name="Group 117">
                            <a:extLst>
                              <a:ext uri="{FF2B5EF4-FFF2-40B4-BE49-F238E27FC236}">
                                <a16:creationId xmlns:a16="http://schemas.microsoft.com/office/drawing/2014/main" id="{00000000-0008-0000-0000-000076000000}"/>
                              </a:ext>
                            </a:extLst>
                          </xdr:cNvPr>
                          <xdr:cNvGrpSpPr/>
                        </xdr:nvGrpSpPr>
                        <xdr:grpSpPr>
                          <a:xfrm>
                            <a:off x="1351727" y="5763334"/>
                            <a:ext cx="3567606" cy="1159697"/>
                            <a:chOff x="10963162" y="7888941"/>
                            <a:chExt cx="3559661" cy="1157345"/>
                          </a:xfrm>
                        </xdr:grpSpPr>
                        <xdr:sp macro="" textlink="">
                          <xdr:nvSpPr>
                            <xdr:cNvPr id="122" name="TextBox 121">
                              <a:extLst>
                                <a:ext uri="{FF2B5EF4-FFF2-40B4-BE49-F238E27FC236}">
                                  <a16:creationId xmlns:a16="http://schemas.microsoft.com/office/drawing/2014/main" id="{00000000-0008-0000-0000-00007A000000}"/>
                                </a:ext>
                              </a:extLst>
                            </xdr:cNvPr>
                            <xdr:cNvSpPr txBox="1"/>
                          </xdr:nvSpPr>
                          <xdr:spPr>
                            <a:xfrm>
                              <a:off x="11037793" y="8182088"/>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ea typeface="+mn-ea"/>
                                  <a:cs typeface="+mn-cs"/>
                                </a:rPr>
                                <a:t>Grassland rehabilitation</a:t>
                              </a:r>
                            </a:p>
                            <a:p>
                              <a:endParaRPr lang="en-US" sz="1100" b="1" kern="300" spc="100">
                                <a:solidFill>
                                  <a:schemeClr val="tx1">
                                    <a:lumMod val="75%"/>
                                    <a:lumOff val="25%"/>
                                  </a:schemeClr>
                                </a:solidFill>
                                <a:latin typeface="Roboto light"/>
                              </a:endParaRPr>
                            </a:p>
                          </xdr:txBody>
                        </xdr:sp>
                        <xdr:sp macro="" textlink="">
                          <xdr:nvSpPr>
                            <xdr:cNvPr id="123" name="TextBox 122">
                              <a:extLst>
                                <a:ext uri="{FF2B5EF4-FFF2-40B4-BE49-F238E27FC236}">
                                  <a16:creationId xmlns:a16="http://schemas.microsoft.com/office/drawing/2014/main" id="{00000000-0008-0000-0000-00007B000000}"/>
                                </a:ext>
                              </a:extLst>
                            </xdr:cNvPr>
                            <xdr:cNvSpPr txBox="1"/>
                          </xdr:nvSpPr>
                          <xdr:spPr>
                            <a:xfrm>
                              <a:off x="11037793" y="8475235"/>
                              <a:ext cx="3485030" cy="277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ea typeface="+mn-ea"/>
                                  <a:cs typeface="+mn-cs"/>
                                </a:rPr>
                                <a:t>Value chain</a:t>
                              </a:r>
                            </a:p>
                          </xdr:txBody>
                        </xdr:sp>
                        <xdr:sp macro="" textlink="">
                          <xdr:nvSpPr>
                            <xdr:cNvPr id="124" name="TextBox 123">
                              <a:extLst>
                                <a:ext uri="{FF2B5EF4-FFF2-40B4-BE49-F238E27FC236}">
                                  <a16:creationId xmlns:a16="http://schemas.microsoft.com/office/drawing/2014/main" id="{00000000-0008-0000-0000-00007C000000}"/>
                                </a:ext>
                              </a:extLst>
                            </xdr:cNvPr>
                            <xdr:cNvSpPr txBox="1"/>
                          </xdr:nvSpPr>
                          <xdr:spPr>
                            <a:xfrm>
                              <a:off x="11037793" y="8771966"/>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100" b="1" kern="300" spc="100">
                                  <a:solidFill>
                                    <a:schemeClr val="tx1">
                                      <a:lumMod val="75%"/>
                                      <a:lumOff val="25%"/>
                                    </a:schemeClr>
                                  </a:solidFill>
                                  <a:latin typeface="Roboto light"/>
                                  <a:ea typeface="+mn-ea"/>
                                  <a:cs typeface="+mn-cs"/>
                                </a:rPr>
                                <a:t>Forest management</a:t>
                              </a:r>
                            </a:p>
                          </xdr:txBody>
                        </xdr:sp>
                        <xdr:sp macro="" textlink="">
                          <xdr:nvSpPr>
                            <xdr:cNvPr id="125" name="TextBox 124">
                              <a:extLst>
                                <a:ext uri="{FF2B5EF4-FFF2-40B4-BE49-F238E27FC236}">
                                  <a16:creationId xmlns:a16="http://schemas.microsoft.com/office/drawing/2014/main" id="{00000000-0008-0000-0000-00007D000000}"/>
                                </a:ext>
                              </a:extLst>
                            </xdr:cNvPr>
                            <xdr:cNvSpPr txBox="1"/>
                          </xdr:nvSpPr>
                          <xdr:spPr>
                            <a:xfrm>
                              <a:off x="11037793" y="7888941"/>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rPr>
                                <a:t>Rural development</a:t>
                              </a:r>
                            </a:p>
                            <a:p>
                              <a:endParaRPr lang="en-US" sz="1100" b="1" kern="300" spc="100">
                                <a:solidFill>
                                  <a:schemeClr val="tx1">
                                    <a:lumMod val="75%"/>
                                    <a:lumOff val="25%"/>
                                  </a:schemeClr>
                                </a:solidFill>
                                <a:latin typeface="Roboto light"/>
                              </a:endParaRPr>
                            </a:p>
                          </xdr:txBody>
                        </xdr:sp>
                        <xdr:sp macro="" textlink="">
                          <xdr:nvSpPr>
                            <xdr:cNvPr id="126" name="Isosceles Triangle 125">
                              <a:extLst>
                                <a:ext uri="{FF2B5EF4-FFF2-40B4-BE49-F238E27FC236}">
                                  <a16:creationId xmlns:a16="http://schemas.microsoft.com/office/drawing/2014/main" id="{00000000-0008-0000-0000-00007E000000}"/>
                                </a:ext>
                              </a:extLst>
                            </xdr:cNvPr>
                            <xdr:cNvSpPr/>
                          </xdr:nvSpPr>
                          <xdr:spPr>
                            <a:xfrm rot="5400000">
                              <a:off x="10917442" y="7980381"/>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a:solidFill>
                                  <a:schemeClr val="tx1">
                                    <a:lumMod val="75%"/>
                                    <a:lumOff val="25%"/>
                                  </a:schemeClr>
                                </a:solidFill>
                              </a:endParaRPr>
                            </a:p>
                          </xdr:txBody>
                        </xdr:sp>
                        <xdr:sp macro="" textlink="">
                          <xdr:nvSpPr>
                            <xdr:cNvPr id="127" name="Isosceles Triangle 126">
                              <a:extLst>
                                <a:ext uri="{FF2B5EF4-FFF2-40B4-BE49-F238E27FC236}">
                                  <a16:creationId xmlns:a16="http://schemas.microsoft.com/office/drawing/2014/main" id="{00000000-0008-0000-0000-00007F000000}"/>
                                </a:ext>
                              </a:extLst>
                            </xdr:cNvPr>
                            <xdr:cNvSpPr/>
                          </xdr:nvSpPr>
                          <xdr:spPr>
                            <a:xfrm rot="5400000">
                              <a:off x="10917442" y="8284733"/>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sp macro="" textlink="">
                          <xdr:nvSpPr>
                            <xdr:cNvPr id="128" name="Isosceles Triangle 127">
                              <a:extLst>
                                <a:ext uri="{FF2B5EF4-FFF2-40B4-BE49-F238E27FC236}">
                                  <a16:creationId xmlns:a16="http://schemas.microsoft.com/office/drawing/2014/main" id="{00000000-0008-0000-0000-000080000000}"/>
                                </a:ext>
                              </a:extLst>
                            </xdr:cNvPr>
                            <xdr:cNvSpPr/>
                          </xdr:nvSpPr>
                          <xdr:spPr>
                            <a:xfrm rot="5400000">
                              <a:off x="10917442" y="8579672"/>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sp macro="" textlink="">
                          <xdr:nvSpPr>
                            <xdr:cNvPr id="129" name="Isosceles Triangle 128">
                              <a:extLst>
                                <a:ext uri="{FF2B5EF4-FFF2-40B4-BE49-F238E27FC236}">
                                  <a16:creationId xmlns:a16="http://schemas.microsoft.com/office/drawing/2014/main" id="{00000000-0008-0000-0000-000081000000}"/>
                                </a:ext>
                              </a:extLst>
                            </xdr:cNvPr>
                            <xdr:cNvSpPr/>
                          </xdr:nvSpPr>
                          <xdr:spPr>
                            <a:xfrm rot="5400000">
                              <a:off x="10917442" y="8874611"/>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grpSp>
                      <xdr:grpSp>
                        <xdr:nvGrpSpPr>
                          <xdr:cNvPr id="119" name="Group 118">
                            <a:extLst>
                              <a:ext uri="{FF2B5EF4-FFF2-40B4-BE49-F238E27FC236}">
                                <a16:creationId xmlns:a16="http://schemas.microsoft.com/office/drawing/2014/main" id="{00000000-0008-0000-0000-000077000000}"/>
                              </a:ext>
                            </a:extLst>
                          </xdr:cNvPr>
                          <xdr:cNvGrpSpPr/>
                        </xdr:nvGrpSpPr>
                        <xdr:grpSpPr>
                          <a:xfrm>
                            <a:off x="4200962" y="5456798"/>
                            <a:ext cx="364529" cy="371825"/>
                            <a:chOff x="12280485" y="5306231"/>
                            <a:chExt cx="366307" cy="360884"/>
                          </a:xfrm>
                        </xdr:grpSpPr>
                        <xdr:sp macro="" textlink="">
                          <xdr:nvSpPr>
                            <xdr:cNvPr id="120" name="Oval 119">
                              <a:extLst>
                                <a:ext uri="{FF2B5EF4-FFF2-40B4-BE49-F238E27FC236}">
                                  <a16:creationId xmlns:a16="http://schemas.microsoft.com/office/drawing/2014/main" id="{00000000-0008-0000-0000-000078000000}"/>
                                </a:ext>
                              </a:extLst>
                            </xdr:cNvPr>
                            <xdr:cNvSpPr>
                              <a:spLocks noChangeAspect="1"/>
                            </xdr:cNvSpPr>
                          </xdr:nvSpPr>
                          <xdr:spPr>
                            <a:xfrm>
                              <a:off x="12280485" y="5306231"/>
                              <a:ext cx="366307" cy="360884"/>
                            </a:xfrm>
                            <a:prstGeom prst="ellipse">
                              <a:avLst/>
                            </a:prstGeom>
                            <a:solidFill>
                              <a:srgbClr val="0D0D0D">
                                <a:alpha val="40%"/>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1" name="Oval 120">
                              <a:extLst>
                                <a:ext uri="{FF2B5EF4-FFF2-40B4-BE49-F238E27FC236}">
                                  <a16:creationId xmlns:a16="http://schemas.microsoft.com/office/drawing/2014/main" id="{00000000-0008-0000-0000-000079000000}"/>
                                </a:ext>
                              </a:extLst>
                            </xdr:cNvPr>
                            <xdr:cNvSpPr>
                              <a:spLocks noChangeAspect="1"/>
                            </xdr:cNvSpPr>
                          </xdr:nvSpPr>
                          <xdr:spPr>
                            <a:xfrm>
                              <a:off x="12390840" y="5411591"/>
                              <a:ext cx="145598" cy="143070"/>
                            </a:xfrm>
                            <a:prstGeom prst="ellipse">
                              <a:avLst/>
                            </a:prstGeom>
                            <a:solidFill>
                              <a:schemeClr val="tx1">
                                <a:lumMod val="95%"/>
                                <a:lumOff val="5%"/>
                              </a:scheme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160" name="Group 159">
                          <a:extLst>
                            <a:ext uri="{FF2B5EF4-FFF2-40B4-BE49-F238E27FC236}">
                              <a16:creationId xmlns:a16="http://schemas.microsoft.com/office/drawing/2014/main" id="{00000000-0008-0000-0000-0000A0000000}"/>
                            </a:ext>
                          </a:extLst>
                        </xdr:cNvPr>
                        <xdr:cNvGrpSpPr/>
                      </xdr:nvGrpSpPr>
                      <xdr:grpSpPr>
                        <a:xfrm>
                          <a:off x="11111467" y="5471919"/>
                          <a:ext cx="3579445" cy="3619191"/>
                          <a:chOff x="11111467" y="5471919"/>
                          <a:chExt cx="3579445" cy="3619191"/>
                        </a:xfrm>
                      </xdr:grpSpPr>
                      <xdr:grpSp>
                        <xdr:nvGrpSpPr>
                          <xdr:cNvPr id="63" name="Group 62">
                            <a:extLst>
                              <a:ext uri="{FF2B5EF4-FFF2-40B4-BE49-F238E27FC236}">
                                <a16:creationId xmlns:a16="http://schemas.microsoft.com/office/drawing/2014/main" id="{00000000-0008-0000-0000-00003F000000}"/>
                              </a:ext>
                            </a:extLst>
                          </xdr:cNvPr>
                          <xdr:cNvGrpSpPr/>
                        </xdr:nvGrpSpPr>
                        <xdr:grpSpPr>
                          <a:xfrm>
                            <a:off x="12167625" y="5471919"/>
                            <a:ext cx="363739" cy="375759"/>
                            <a:chOff x="12280485" y="5306233"/>
                            <a:chExt cx="363739" cy="358499"/>
                          </a:xfrm>
                        </xdr:grpSpPr>
                        <xdr:sp macro="" textlink="">
                          <xdr:nvSpPr>
                            <xdr:cNvPr id="18" name="Oval 17">
                              <a:extLst>
                                <a:ext uri="{FF2B5EF4-FFF2-40B4-BE49-F238E27FC236}">
                                  <a16:creationId xmlns:a16="http://schemas.microsoft.com/office/drawing/2014/main" id="{00000000-0008-0000-0000-000012000000}"/>
                                </a:ext>
                              </a:extLst>
                            </xdr:cNvPr>
                            <xdr:cNvSpPr>
                              <a:spLocks noChangeAspect="1"/>
                            </xdr:cNvSpPr>
                          </xdr:nvSpPr>
                          <xdr:spPr>
                            <a:xfrm>
                              <a:off x="12280485" y="5306233"/>
                              <a:ext cx="363739" cy="358499"/>
                            </a:xfrm>
                            <a:prstGeom prst="ellipse">
                              <a:avLst/>
                            </a:prstGeom>
                            <a:solidFill>
                              <a:srgbClr val="0D0D0D">
                                <a:alpha val="40%"/>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Oval 16">
                              <a:extLst>
                                <a:ext uri="{FF2B5EF4-FFF2-40B4-BE49-F238E27FC236}">
                                  <a16:creationId xmlns:a16="http://schemas.microsoft.com/office/drawing/2014/main" id="{00000000-0008-0000-0000-000011000000}"/>
                                </a:ext>
                              </a:extLst>
                            </xdr:cNvPr>
                            <xdr:cNvSpPr>
                              <a:spLocks noChangeAspect="1"/>
                            </xdr:cNvSpPr>
                          </xdr:nvSpPr>
                          <xdr:spPr>
                            <a:xfrm>
                              <a:off x="12395927" y="5415163"/>
                              <a:ext cx="144891" cy="140637"/>
                            </a:xfrm>
                            <a:prstGeom prst="ellipse">
                              <a:avLst/>
                            </a:prstGeom>
                            <a:solidFill>
                              <a:schemeClr val="tx1">
                                <a:lumMod val="95%"/>
                                <a:lumOff val="5%"/>
                              </a:scheme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6" name="Group 25">
                            <a:extLst>
                              <a:ext uri="{FF2B5EF4-FFF2-40B4-BE49-F238E27FC236}">
                                <a16:creationId xmlns:a16="http://schemas.microsoft.com/office/drawing/2014/main" id="{00000000-0008-0000-0000-00001A000000}"/>
                              </a:ext>
                            </a:extLst>
                          </xdr:cNvPr>
                          <xdr:cNvGrpSpPr/>
                        </xdr:nvGrpSpPr>
                        <xdr:grpSpPr>
                          <a:xfrm>
                            <a:off x="11111467" y="5752725"/>
                            <a:ext cx="1217057" cy="2020626"/>
                            <a:chOff x="11282745" y="5477287"/>
                            <a:chExt cx="1228514" cy="1969452"/>
                          </a:xfrm>
                        </xdr:grpSpPr>
                        <xdr:cxnSp macro="">
                          <xdr:nvCxnSpPr>
                            <xdr:cNvPr id="22" name="Straight Connector 21">
                              <a:extLst>
                                <a:ext uri="{FF2B5EF4-FFF2-40B4-BE49-F238E27FC236}">
                                  <a16:creationId xmlns:a16="http://schemas.microsoft.com/office/drawing/2014/main" id="{00000000-0008-0000-0000-000016000000}"/>
                                </a:ext>
                              </a:extLst>
                            </xdr:cNvPr>
                            <xdr:cNvCxnSpPr/>
                          </xdr:nvCxnSpPr>
                          <xdr:spPr>
                            <a:xfrm flipH="1">
                              <a:off x="11961137" y="5477287"/>
                              <a:ext cx="550122" cy="1963641"/>
                            </a:xfrm>
                            <a:prstGeom prst="line">
                              <a:avLst/>
                            </a:prstGeom>
                            <a:ln w="3175" cap="sq">
                              <a:solidFill>
                                <a:schemeClr val="tx1">
                                  <a:lumMod val="50%"/>
                                  <a:lumOff val="50%"/>
                                </a:schemeClr>
                              </a:solidFill>
                              <a:prstDash val="sysDash"/>
                              <a:round/>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00000000-0008-0000-0000-000018000000}"/>
                                </a:ext>
                              </a:extLst>
                            </xdr:cNvPr>
                            <xdr:cNvCxnSpPr/>
                          </xdr:nvCxnSpPr>
                          <xdr:spPr>
                            <a:xfrm flipH="1">
                              <a:off x="11282745" y="7444358"/>
                              <a:ext cx="675083" cy="2381"/>
                            </a:xfrm>
                            <a:prstGeom prst="line">
                              <a:avLst/>
                            </a:prstGeom>
                            <a:ln w="3175" cap="sq">
                              <a:solidFill>
                                <a:schemeClr val="tx1">
                                  <a:lumMod val="50%"/>
                                  <a:lumOff val="50%"/>
                                </a:schemeClr>
                              </a:solidFill>
                              <a:prstDash val="sysDash"/>
                              <a:round/>
                              <a:tailEnd type="oval"/>
                            </a:ln>
                          </xdr:spPr>
                          <xdr:style>
                            <a:lnRef idx="1">
                              <a:schemeClr val="accent1"/>
                            </a:lnRef>
                            <a:fillRef idx="0">
                              <a:schemeClr val="accent1"/>
                            </a:fillRef>
                            <a:effectRef idx="0">
                              <a:schemeClr val="accent1"/>
                            </a:effectRef>
                            <a:fontRef idx="minor">
                              <a:schemeClr val="tx1"/>
                            </a:fontRef>
                          </xdr:style>
                        </xdr:cxnSp>
                      </xdr:grpSp>
                      <xdr:grpSp>
                        <xdr:nvGrpSpPr>
                          <xdr:cNvPr id="41" name="Group 40">
                            <a:extLst>
                              <a:ext uri="{FF2B5EF4-FFF2-40B4-BE49-F238E27FC236}">
                                <a16:creationId xmlns:a16="http://schemas.microsoft.com/office/drawing/2014/main" id="{00000000-0008-0000-0000-000029000000}"/>
                              </a:ext>
                            </a:extLst>
                          </xdr:cNvPr>
                          <xdr:cNvGrpSpPr/>
                        </xdr:nvGrpSpPr>
                        <xdr:grpSpPr>
                          <a:xfrm>
                            <a:off x="11131366" y="7943595"/>
                            <a:ext cx="3559546" cy="1147515"/>
                            <a:chOff x="10963162" y="7888941"/>
                            <a:chExt cx="3559661" cy="1157345"/>
                          </a:xfrm>
                        </xdr:grpSpPr>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11037793" y="8182088"/>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ea typeface="+mn-ea"/>
                                  <a:cs typeface="+mn-cs"/>
                                </a:rPr>
                                <a:t>Coastal management</a:t>
                              </a:r>
                            </a:p>
                            <a:p>
                              <a:endParaRPr lang="en-US" sz="1100" b="1" kern="300" spc="100">
                                <a:solidFill>
                                  <a:schemeClr val="tx1">
                                    <a:lumMod val="75%"/>
                                    <a:lumOff val="25%"/>
                                  </a:schemeClr>
                                </a:solidFill>
                                <a:latin typeface="Roboto light"/>
                              </a:endParaRPr>
                            </a:p>
                          </xdr:txBody>
                        </xdr:sp>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11037793" y="8475235"/>
                              <a:ext cx="3485030" cy="277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ea typeface="+mn-ea"/>
                                  <a:cs typeface="+mn-cs"/>
                                </a:rPr>
                                <a:t>Watershed management</a:t>
                              </a:r>
                            </a:p>
                          </xdr:txBody>
                        </xdr:sp>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11037793" y="8771966"/>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100" b="1" kern="300" spc="100">
                                  <a:solidFill>
                                    <a:schemeClr val="tx1">
                                      <a:lumMod val="75%"/>
                                      <a:lumOff val="25%"/>
                                    </a:schemeClr>
                                  </a:solidFill>
                                  <a:latin typeface="Roboto light"/>
                                  <a:ea typeface="+mn-ea"/>
                                  <a:cs typeface="+mn-cs"/>
                                </a:rPr>
                                <a:t>Climate adaptation</a:t>
                              </a:r>
                            </a:p>
                          </xdr:txBody>
                        </xdr:sp>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11037793" y="7888941"/>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rPr>
                                <a:t>Peatland restoration</a:t>
                              </a:r>
                            </a:p>
                            <a:p>
                              <a:endParaRPr lang="en-US" sz="1100" b="1" kern="300" spc="100">
                                <a:solidFill>
                                  <a:schemeClr val="tx1">
                                    <a:lumMod val="75%"/>
                                    <a:lumOff val="25%"/>
                                  </a:schemeClr>
                                </a:solidFill>
                                <a:latin typeface="Roboto light"/>
                              </a:endParaRPr>
                            </a:p>
                          </xdr:txBody>
                        </xdr:sp>
                        <xdr:sp macro="" textlink="">
                          <xdr:nvSpPr>
                            <xdr:cNvPr id="36" name="Isosceles Triangle 35">
                              <a:extLst>
                                <a:ext uri="{FF2B5EF4-FFF2-40B4-BE49-F238E27FC236}">
                                  <a16:creationId xmlns:a16="http://schemas.microsoft.com/office/drawing/2014/main" id="{00000000-0008-0000-0000-000024000000}"/>
                                </a:ext>
                              </a:extLst>
                            </xdr:cNvPr>
                            <xdr:cNvSpPr/>
                          </xdr:nvSpPr>
                          <xdr:spPr>
                            <a:xfrm rot="5400000">
                              <a:off x="10917442" y="7980381"/>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a:solidFill>
                                  <a:schemeClr val="tx1">
                                    <a:lumMod val="75%"/>
                                    <a:lumOff val="25%"/>
                                  </a:schemeClr>
                                </a:solidFill>
                              </a:endParaRPr>
                            </a:p>
                          </xdr:txBody>
                        </xdr:sp>
                        <xdr:sp macro="" textlink="">
                          <xdr:nvSpPr>
                            <xdr:cNvPr id="37" name="Isosceles Triangle 36">
                              <a:extLst>
                                <a:ext uri="{FF2B5EF4-FFF2-40B4-BE49-F238E27FC236}">
                                  <a16:creationId xmlns:a16="http://schemas.microsoft.com/office/drawing/2014/main" id="{00000000-0008-0000-0000-000025000000}"/>
                                </a:ext>
                              </a:extLst>
                            </xdr:cNvPr>
                            <xdr:cNvSpPr/>
                          </xdr:nvSpPr>
                          <xdr:spPr>
                            <a:xfrm rot="5400000">
                              <a:off x="10917442" y="8284733"/>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sp macro="" textlink="">
                          <xdr:nvSpPr>
                            <xdr:cNvPr id="38" name="Isosceles Triangle 37">
                              <a:extLst>
                                <a:ext uri="{FF2B5EF4-FFF2-40B4-BE49-F238E27FC236}">
                                  <a16:creationId xmlns:a16="http://schemas.microsoft.com/office/drawing/2014/main" id="{00000000-0008-0000-0000-000026000000}"/>
                                </a:ext>
                              </a:extLst>
                            </xdr:cNvPr>
                            <xdr:cNvSpPr/>
                          </xdr:nvSpPr>
                          <xdr:spPr>
                            <a:xfrm rot="5400000">
                              <a:off x="10917442" y="8579672"/>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sp macro="" textlink="">
                          <xdr:nvSpPr>
                            <xdr:cNvPr id="39" name="Isosceles Triangle 38">
                              <a:extLst>
                                <a:ext uri="{FF2B5EF4-FFF2-40B4-BE49-F238E27FC236}">
                                  <a16:creationId xmlns:a16="http://schemas.microsoft.com/office/drawing/2014/main" id="{00000000-0008-0000-0000-000027000000}"/>
                                </a:ext>
                              </a:extLst>
                            </xdr:cNvPr>
                            <xdr:cNvSpPr/>
                          </xdr:nvSpPr>
                          <xdr:spPr>
                            <a:xfrm rot="5400000">
                              <a:off x="10917442" y="8874611"/>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grpSp>
                    </xdr:grpSp>
                    <xdr:grpSp>
                      <xdr:nvGrpSpPr>
                        <xdr:cNvPr id="70" name="Group 69">
                          <a:extLst>
                            <a:ext uri="{FF2B5EF4-FFF2-40B4-BE49-F238E27FC236}">
                              <a16:creationId xmlns:a16="http://schemas.microsoft.com/office/drawing/2014/main" id="{00000000-0008-0000-0000-000046000000}"/>
                            </a:ext>
                          </a:extLst>
                        </xdr:cNvPr>
                        <xdr:cNvGrpSpPr/>
                      </xdr:nvGrpSpPr>
                      <xdr:grpSpPr>
                        <a:xfrm>
                          <a:off x="6507734" y="6403129"/>
                          <a:ext cx="3559471" cy="2787546"/>
                          <a:chOff x="6555759" y="6193419"/>
                          <a:chExt cx="3602693" cy="2690695"/>
                        </a:xfrm>
                      </xdr:grpSpPr>
                      <xdr:grpSp>
                        <xdr:nvGrpSpPr>
                          <xdr:cNvPr id="45" name="Group 44">
                            <a:extLst>
                              <a:ext uri="{FF2B5EF4-FFF2-40B4-BE49-F238E27FC236}">
                                <a16:creationId xmlns:a16="http://schemas.microsoft.com/office/drawing/2014/main" id="{00000000-0008-0000-0000-00002D000000}"/>
                              </a:ext>
                            </a:extLst>
                          </xdr:cNvPr>
                          <xdr:cNvGrpSpPr/>
                        </xdr:nvGrpSpPr>
                        <xdr:grpSpPr>
                          <a:xfrm>
                            <a:off x="6580088" y="6443529"/>
                            <a:ext cx="2370861" cy="1236531"/>
                            <a:chOff x="10099859" y="5537666"/>
                            <a:chExt cx="2348978" cy="1252453"/>
                          </a:xfrm>
                        </xdr:grpSpPr>
                        <xdr:cxnSp macro="">
                          <xdr:nvCxnSpPr>
                            <xdr:cNvPr id="55" name="Straight Connector 54">
                              <a:extLst>
                                <a:ext uri="{FF2B5EF4-FFF2-40B4-BE49-F238E27FC236}">
                                  <a16:creationId xmlns:a16="http://schemas.microsoft.com/office/drawing/2014/main" id="{00000000-0008-0000-0000-000037000000}"/>
                                </a:ext>
                              </a:extLst>
                            </xdr:cNvPr>
                            <xdr:cNvCxnSpPr/>
                          </xdr:nvCxnSpPr>
                          <xdr:spPr>
                            <a:xfrm flipH="1">
                              <a:off x="11299452" y="5537666"/>
                              <a:ext cx="1149385" cy="1252453"/>
                            </a:xfrm>
                            <a:prstGeom prst="line">
                              <a:avLst/>
                            </a:prstGeom>
                            <a:ln w="3175" cap="sq">
                              <a:solidFill>
                                <a:schemeClr val="tx1">
                                  <a:lumMod val="50%"/>
                                  <a:lumOff val="50%"/>
                                </a:schemeClr>
                              </a:solidFill>
                              <a:prstDash val="sysDash"/>
                              <a:round/>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00000000-0008-0000-0000-000038000000}"/>
                                </a:ext>
                              </a:extLst>
                            </xdr:cNvPr>
                            <xdr:cNvCxnSpPr/>
                          </xdr:nvCxnSpPr>
                          <xdr:spPr>
                            <a:xfrm flipH="1" flipV="1">
                              <a:off x="10099859" y="6784411"/>
                              <a:ext cx="1200296" cy="3785"/>
                            </a:xfrm>
                            <a:prstGeom prst="line">
                              <a:avLst/>
                            </a:prstGeom>
                            <a:ln w="3175" cap="sq">
                              <a:solidFill>
                                <a:schemeClr val="tx1">
                                  <a:lumMod val="50%"/>
                                  <a:lumOff val="50%"/>
                                </a:schemeClr>
                              </a:solidFill>
                              <a:prstDash val="sysDash"/>
                              <a:round/>
                              <a:tailEnd type="oval"/>
                            </a:ln>
                          </xdr:spPr>
                          <xdr:style>
                            <a:lnRef idx="1">
                              <a:schemeClr val="accent1"/>
                            </a:lnRef>
                            <a:fillRef idx="0">
                              <a:schemeClr val="accent1"/>
                            </a:fillRef>
                            <a:effectRef idx="0">
                              <a:schemeClr val="accent1"/>
                            </a:effectRef>
                            <a:fontRef idx="minor">
                              <a:schemeClr val="tx1"/>
                            </a:fontRef>
                          </xdr:style>
                        </xdr:cxnSp>
                      </xdr:grpSp>
                      <xdr:grpSp>
                        <xdr:nvGrpSpPr>
                          <xdr:cNvPr id="46" name="Group 45">
                            <a:extLst>
                              <a:ext uri="{FF2B5EF4-FFF2-40B4-BE49-F238E27FC236}">
                                <a16:creationId xmlns:a16="http://schemas.microsoft.com/office/drawing/2014/main" id="{00000000-0008-0000-0000-00002E000000}"/>
                              </a:ext>
                            </a:extLst>
                          </xdr:cNvPr>
                          <xdr:cNvGrpSpPr/>
                        </xdr:nvGrpSpPr>
                        <xdr:grpSpPr>
                          <a:xfrm>
                            <a:off x="6555759" y="7769003"/>
                            <a:ext cx="3602693" cy="1115111"/>
                            <a:chOff x="10963162" y="7888941"/>
                            <a:chExt cx="3559661" cy="1157345"/>
                          </a:xfrm>
                        </xdr:grpSpPr>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11037793" y="8182088"/>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ea typeface="+mn-ea"/>
                                  <a:cs typeface="+mn-cs"/>
                                </a:rPr>
                                <a:t>Agroforestry</a:t>
                              </a:r>
                            </a:p>
                            <a:p>
                              <a:endParaRPr lang="en-US" sz="1100" b="1" kern="300" spc="100">
                                <a:solidFill>
                                  <a:schemeClr val="tx1">
                                    <a:lumMod val="75%"/>
                                    <a:lumOff val="25%"/>
                                  </a:schemeClr>
                                </a:solidFill>
                                <a:latin typeface="Roboto light"/>
                              </a:endParaRPr>
                            </a:p>
                          </xdr:txBody>
                        </xdr:sp>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11037793" y="8475235"/>
                              <a:ext cx="3485030" cy="277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ea typeface="+mn-ea"/>
                                  <a:cs typeface="+mn-cs"/>
                                </a:rPr>
                                <a:t>Food security</a:t>
                              </a:r>
                            </a:p>
                          </xdr:txBody>
                        </xdr:sp>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11037793" y="8771966"/>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100" b="1" kern="300" spc="100">
                                  <a:solidFill>
                                    <a:schemeClr val="tx1">
                                      <a:lumMod val="75%"/>
                                      <a:lumOff val="25%"/>
                                    </a:schemeClr>
                                  </a:solidFill>
                                  <a:latin typeface="Roboto light"/>
                                  <a:ea typeface="+mn-ea"/>
                                  <a:cs typeface="+mn-cs"/>
                                </a:rPr>
                                <a:t>Locust impact</a:t>
                              </a:r>
                            </a:p>
                          </xdr:txBody>
                        </xdr:sp>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11037793" y="7888941"/>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rPr>
                                <a:t>Livestock intensification</a:t>
                              </a:r>
                            </a:p>
                            <a:p>
                              <a:endParaRPr lang="en-US" sz="1100" b="1" kern="300" spc="100">
                                <a:solidFill>
                                  <a:schemeClr val="tx1">
                                    <a:lumMod val="75%"/>
                                    <a:lumOff val="25%"/>
                                  </a:schemeClr>
                                </a:solidFill>
                                <a:latin typeface="Roboto light"/>
                              </a:endParaRPr>
                            </a:p>
                          </xdr:txBody>
                        </xdr:sp>
                        <xdr:sp macro="" textlink="">
                          <xdr:nvSpPr>
                            <xdr:cNvPr id="51" name="Isosceles Triangle 50">
                              <a:extLst>
                                <a:ext uri="{FF2B5EF4-FFF2-40B4-BE49-F238E27FC236}">
                                  <a16:creationId xmlns:a16="http://schemas.microsoft.com/office/drawing/2014/main" id="{00000000-0008-0000-0000-000033000000}"/>
                                </a:ext>
                              </a:extLst>
                            </xdr:cNvPr>
                            <xdr:cNvSpPr/>
                          </xdr:nvSpPr>
                          <xdr:spPr>
                            <a:xfrm rot="5400000">
                              <a:off x="10917442" y="7980381"/>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a:solidFill>
                                  <a:schemeClr val="tx1">
                                    <a:lumMod val="75%"/>
                                    <a:lumOff val="25%"/>
                                  </a:schemeClr>
                                </a:solidFill>
                              </a:endParaRPr>
                            </a:p>
                          </xdr:txBody>
                        </xdr:sp>
                        <xdr:sp macro="" textlink="">
                          <xdr:nvSpPr>
                            <xdr:cNvPr id="52" name="Isosceles Triangle 51">
                              <a:extLst>
                                <a:ext uri="{FF2B5EF4-FFF2-40B4-BE49-F238E27FC236}">
                                  <a16:creationId xmlns:a16="http://schemas.microsoft.com/office/drawing/2014/main" id="{00000000-0008-0000-0000-000034000000}"/>
                                </a:ext>
                              </a:extLst>
                            </xdr:cNvPr>
                            <xdr:cNvSpPr/>
                          </xdr:nvSpPr>
                          <xdr:spPr>
                            <a:xfrm rot="5400000">
                              <a:off x="10917442" y="8284733"/>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sp macro="" textlink="">
                          <xdr:nvSpPr>
                            <xdr:cNvPr id="53" name="Isosceles Triangle 52">
                              <a:extLst>
                                <a:ext uri="{FF2B5EF4-FFF2-40B4-BE49-F238E27FC236}">
                                  <a16:creationId xmlns:a16="http://schemas.microsoft.com/office/drawing/2014/main" id="{00000000-0008-0000-0000-000035000000}"/>
                                </a:ext>
                              </a:extLst>
                            </xdr:cNvPr>
                            <xdr:cNvSpPr/>
                          </xdr:nvSpPr>
                          <xdr:spPr>
                            <a:xfrm rot="5400000">
                              <a:off x="10917442" y="8579672"/>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sp macro="" textlink="">
                          <xdr:nvSpPr>
                            <xdr:cNvPr id="54" name="Isosceles Triangle 53">
                              <a:extLst>
                                <a:ext uri="{FF2B5EF4-FFF2-40B4-BE49-F238E27FC236}">
                                  <a16:creationId xmlns:a16="http://schemas.microsoft.com/office/drawing/2014/main" id="{00000000-0008-0000-0000-000036000000}"/>
                                </a:ext>
                              </a:extLst>
                            </xdr:cNvPr>
                            <xdr:cNvSpPr/>
                          </xdr:nvSpPr>
                          <xdr:spPr>
                            <a:xfrm rot="5400000">
                              <a:off x="10917442" y="8874611"/>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grpSp>
                      <xdr:grpSp>
                        <xdr:nvGrpSpPr>
                          <xdr:cNvPr id="64" name="Group 63">
                            <a:extLst>
                              <a:ext uri="{FF2B5EF4-FFF2-40B4-BE49-F238E27FC236}">
                                <a16:creationId xmlns:a16="http://schemas.microsoft.com/office/drawing/2014/main" id="{00000000-0008-0000-0000-000040000000}"/>
                              </a:ext>
                            </a:extLst>
                          </xdr:cNvPr>
                          <xdr:cNvGrpSpPr/>
                        </xdr:nvGrpSpPr>
                        <xdr:grpSpPr>
                          <a:xfrm>
                            <a:off x="8826993" y="6193419"/>
                            <a:ext cx="368955" cy="358906"/>
                            <a:chOff x="12280486" y="5306233"/>
                            <a:chExt cx="368955" cy="358906"/>
                          </a:xfrm>
                        </xdr:grpSpPr>
                        <xdr:sp macro="" textlink="">
                          <xdr:nvSpPr>
                            <xdr:cNvPr id="65" name="Oval 64">
                              <a:extLst>
                                <a:ext uri="{FF2B5EF4-FFF2-40B4-BE49-F238E27FC236}">
                                  <a16:creationId xmlns:a16="http://schemas.microsoft.com/office/drawing/2014/main" id="{00000000-0008-0000-0000-000041000000}"/>
                                </a:ext>
                              </a:extLst>
                            </xdr:cNvPr>
                            <xdr:cNvSpPr>
                              <a:spLocks noChangeAspect="1"/>
                            </xdr:cNvSpPr>
                          </xdr:nvSpPr>
                          <xdr:spPr>
                            <a:xfrm>
                              <a:off x="12280486" y="5306233"/>
                              <a:ext cx="368955" cy="358906"/>
                            </a:xfrm>
                            <a:prstGeom prst="ellipse">
                              <a:avLst/>
                            </a:prstGeom>
                            <a:solidFill>
                              <a:srgbClr val="0D0D0D">
                                <a:alpha val="40%"/>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Oval 65">
                              <a:extLst>
                                <a:ext uri="{FF2B5EF4-FFF2-40B4-BE49-F238E27FC236}">
                                  <a16:creationId xmlns:a16="http://schemas.microsoft.com/office/drawing/2014/main" id="{00000000-0008-0000-0000-000042000000}"/>
                                </a:ext>
                              </a:extLst>
                            </xdr:cNvPr>
                            <xdr:cNvSpPr>
                              <a:spLocks noChangeAspect="1"/>
                            </xdr:cNvSpPr>
                          </xdr:nvSpPr>
                          <xdr:spPr>
                            <a:xfrm>
                              <a:off x="12391638" y="5411014"/>
                              <a:ext cx="146651" cy="142286"/>
                            </a:xfrm>
                            <a:prstGeom prst="ellipse">
                              <a:avLst/>
                            </a:prstGeom>
                            <a:solidFill>
                              <a:schemeClr val="tx1">
                                <a:lumMod val="95%"/>
                                <a:lumOff val="5%"/>
                              </a:scheme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159" name="Group 158">
                          <a:extLst>
                            <a:ext uri="{FF2B5EF4-FFF2-40B4-BE49-F238E27FC236}">
                              <a16:creationId xmlns:a16="http://schemas.microsoft.com/office/drawing/2014/main" id="{00000000-0008-0000-0000-00009F000000}"/>
                            </a:ext>
                          </a:extLst>
                        </xdr:cNvPr>
                        <xdr:cNvGrpSpPr/>
                      </xdr:nvGrpSpPr>
                      <xdr:grpSpPr>
                        <a:xfrm>
                          <a:off x="10237205" y="1752106"/>
                          <a:ext cx="3837783" cy="2359757"/>
                          <a:chOff x="10237205" y="1752106"/>
                          <a:chExt cx="3837783" cy="2359757"/>
                        </a:xfrm>
                      </xdr:grpSpPr>
                      <xdr:grpSp>
                        <xdr:nvGrpSpPr>
                          <xdr:cNvPr id="140" name="Group 139">
                            <a:extLst>
                              <a:ext uri="{FF2B5EF4-FFF2-40B4-BE49-F238E27FC236}">
                                <a16:creationId xmlns:a16="http://schemas.microsoft.com/office/drawing/2014/main" id="{00000000-0008-0000-0000-00008C000000}"/>
                              </a:ext>
                            </a:extLst>
                          </xdr:cNvPr>
                          <xdr:cNvGrpSpPr/>
                        </xdr:nvGrpSpPr>
                        <xdr:grpSpPr>
                          <a:xfrm>
                            <a:off x="10515517" y="1752106"/>
                            <a:ext cx="3559471" cy="567164"/>
                            <a:chOff x="10963162" y="8073549"/>
                            <a:chExt cx="3559661" cy="567464"/>
                          </a:xfrm>
                        </xdr:grpSpPr>
                        <xdr:sp macro="" textlink="">
                          <xdr:nvSpPr>
                            <xdr:cNvPr id="144" name="TextBox 143">
                              <a:extLst>
                                <a:ext uri="{FF2B5EF4-FFF2-40B4-BE49-F238E27FC236}">
                                  <a16:creationId xmlns:a16="http://schemas.microsoft.com/office/drawing/2014/main" id="{00000000-0008-0000-0000-000090000000}"/>
                                </a:ext>
                              </a:extLst>
                            </xdr:cNvPr>
                            <xdr:cNvSpPr txBox="1"/>
                          </xdr:nvSpPr>
                          <xdr:spPr>
                            <a:xfrm>
                              <a:off x="11037793" y="8366693"/>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ea typeface="+mn-ea"/>
                                  <a:cs typeface="+mn-cs"/>
                                </a:rPr>
                                <a:t>Sustainable</a:t>
                              </a:r>
                              <a:r>
                                <a:rPr lang="en-US" sz="1100" b="1" kern="300" spc="100" baseline="0%">
                                  <a:solidFill>
                                    <a:schemeClr val="tx1">
                                      <a:lumMod val="75%"/>
                                      <a:lumOff val="25%"/>
                                    </a:schemeClr>
                                  </a:solidFill>
                                  <a:latin typeface="Roboto light"/>
                                  <a:ea typeface="+mn-ea"/>
                                  <a:cs typeface="+mn-cs"/>
                                </a:rPr>
                                <a:t> management</a:t>
                              </a:r>
                              <a:endParaRPr lang="en-US" sz="1100" b="1" kern="300" spc="100">
                                <a:solidFill>
                                  <a:schemeClr val="tx1">
                                    <a:lumMod val="75%"/>
                                    <a:lumOff val="25%"/>
                                  </a:schemeClr>
                                </a:solidFill>
                                <a:latin typeface="Roboto light"/>
                                <a:ea typeface="+mn-ea"/>
                                <a:cs typeface="+mn-cs"/>
                              </a:endParaRPr>
                            </a:p>
                            <a:p>
                              <a:endParaRPr lang="en-US" sz="1100" b="1" kern="300" spc="100">
                                <a:solidFill>
                                  <a:schemeClr val="tx1">
                                    <a:lumMod val="75%"/>
                                    <a:lumOff val="25%"/>
                                  </a:schemeClr>
                                </a:solidFill>
                                <a:latin typeface="Roboto light"/>
                              </a:endParaRPr>
                            </a:p>
                          </xdr:txBody>
                        </xdr:sp>
                        <xdr:sp macro="" textlink="">
                          <xdr:nvSpPr>
                            <xdr:cNvPr id="147" name="TextBox 146">
                              <a:extLst>
                                <a:ext uri="{FF2B5EF4-FFF2-40B4-BE49-F238E27FC236}">
                                  <a16:creationId xmlns:a16="http://schemas.microsoft.com/office/drawing/2014/main" id="{00000000-0008-0000-0000-000093000000}"/>
                                </a:ext>
                              </a:extLst>
                            </xdr:cNvPr>
                            <xdr:cNvSpPr txBox="1"/>
                          </xdr:nvSpPr>
                          <xdr:spPr>
                            <a:xfrm>
                              <a:off x="11037793" y="8073549"/>
                              <a:ext cx="34850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kern="300" spc="100">
                                  <a:solidFill>
                                    <a:schemeClr val="tx1">
                                      <a:lumMod val="75%"/>
                                      <a:lumOff val="25%"/>
                                    </a:schemeClr>
                                  </a:solidFill>
                                  <a:latin typeface="Roboto light"/>
                                </a:rPr>
                                <a:t>Climate resilience</a:t>
                              </a:r>
                            </a:p>
                            <a:p>
                              <a:endParaRPr lang="en-US" sz="1100" b="1" kern="300" spc="100">
                                <a:solidFill>
                                  <a:schemeClr val="tx1">
                                    <a:lumMod val="75%"/>
                                    <a:lumOff val="25%"/>
                                  </a:schemeClr>
                                </a:solidFill>
                                <a:latin typeface="Roboto light"/>
                              </a:endParaRPr>
                            </a:p>
                          </xdr:txBody>
                        </xdr:sp>
                        <xdr:sp macro="" textlink="">
                          <xdr:nvSpPr>
                            <xdr:cNvPr id="148" name="Isosceles Triangle 147">
                              <a:extLst>
                                <a:ext uri="{FF2B5EF4-FFF2-40B4-BE49-F238E27FC236}">
                                  <a16:creationId xmlns:a16="http://schemas.microsoft.com/office/drawing/2014/main" id="{00000000-0008-0000-0000-000094000000}"/>
                                </a:ext>
                              </a:extLst>
                            </xdr:cNvPr>
                            <xdr:cNvSpPr/>
                          </xdr:nvSpPr>
                          <xdr:spPr>
                            <a:xfrm rot="5400000">
                              <a:off x="10917442" y="8164986"/>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a:solidFill>
                                  <a:schemeClr val="tx1">
                                    <a:lumMod val="75%"/>
                                    <a:lumOff val="25%"/>
                                  </a:schemeClr>
                                </a:solidFill>
                              </a:endParaRPr>
                            </a:p>
                          </xdr:txBody>
                        </xdr:sp>
                        <xdr:sp macro="" textlink="">
                          <xdr:nvSpPr>
                            <xdr:cNvPr id="149" name="Isosceles Triangle 148">
                              <a:extLst>
                                <a:ext uri="{FF2B5EF4-FFF2-40B4-BE49-F238E27FC236}">
                                  <a16:creationId xmlns:a16="http://schemas.microsoft.com/office/drawing/2014/main" id="{00000000-0008-0000-0000-000095000000}"/>
                                </a:ext>
                              </a:extLst>
                            </xdr:cNvPr>
                            <xdr:cNvSpPr/>
                          </xdr:nvSpPr>
                          <xdr:spPr>
                            <a:xfrm rot="5400000">
                              <a:off x="10917442" y="8469337"/>
                              <a:ext cx="182880" cy="91440"/>
                            </a:xfrm>
                            <a:prstGeom prst="triangle">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75%"/>
                                    <a:lumOff val="25%"/>
                                  </a:schemeClr>
                                </a:solidFill>
                              </a:endParaRPr>
                            </a:p>
                          </xdr:txBody>
                        </xdr:sp>
                      </xdr:grpSp>
                      <xdr:grpSp>
                        <xdr:nvGrpSpPr>
                          <xdr:cNvPr id="141" name="Group 140">
                            <a:extLst>
                              <a:ext uri="{FF2B5EF4-FFF2-40B4-BE49-F238E27FC236}">
                                <a16:creationId xmlns:a16="http://schemas.microsoft.com/office/drawing/2014/main" id="{00000000-0008-0000-0000-00008D000000}"/>
                              </a:ext>
                            </a:extLst>
                          </xdr:cNvPr>
                          <xdr:cNvGrpSpPr/>
                        </xdr:nvGrpSpPr>
                        <xdr:grpSpPr>
                          <a:xfrm>
                            <a:off x="10237205" y="3740038"/>
                            <a:ext cx="364529" cy="371825"/>
                            <a:chOff x="12280486" y="5306234"/>
                            <a:chExt cx="364528" cy="371832"/>
                          </a:xfrm>
                        </xdr:grpSpPr>
                        <xdr:sp macro="" textlink="">
                          <xdr:nvSpPr>
                            <xdr:cNvPr id="142" name="Oval 141">
                              <a:extLst>
                                <a:ext uri="{FF2B5EF4-FFF2-40B4-BE49-F238E27FC236}">
                                  <a16:creationId xmlns:a16="http://schemas.microsoft.com/office/drawing/2014/main" id="{00000000-0008-0000-0000-00008E000000}"/>
                                </a:ext>
                              </a:extLst>
                            </xdr:cNvPr>
                            <xdr:cNvSpPr>
                              <a:spLocks noChangeAspect="1"/>
                            </xdr:cNvSpPr>
                          </xdr:nvSpPr>
                          <xdr:spPr>
                            <a:xfrm>
                              <a:off x="12280486" y="5306234"/>
                              <a:ext cx="364528" cy="371832"/>
                            </a:xfrm>
                            <a:prstGeom prst="ellipse">
                              <a:avLst/>
                            </a:prstGeom>
                            <a:solidFill>
                              <a:srgbClr val="0D0D0D">
                                <a:alpha val="40%"/>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 name="Oval 142">
                              <a:extLst>
                                <a:ext uri="{FF2B5EF4-FFF2-40B4-BE49-F238E27FC236}">
                                  <a16:creationId xmlns:a16="http://schemas.microsoft.com/office/drawing/2014/main" id="{00000000-0008-0000-0000-00008F000000}"/>
                                </a:ext>
                              </a:extLst>
                            </xdr:cNvPr>
                            <xdr:cNvSpPr>
                              <a:spLocks noChangeAspect="1"/>
                            </xdr:cNvSpPr>
                          </xdr:nvSpPr>
                          <xdr:spPr>
                            <a:xfrm>
                              <a:off x="12390305" y="5414790"/>
                              <a:ext cx="144891" cy="147411"/>
                            </a:xfrm>
                            <a:prstGeom prst="ellipse">
                              <a:avLst/>
                            </a:prstGeom>
                            <a:solidFill>
                              <a:schemeClr val="tx1">
                                <a:lumMod val="95%"/>
                                <a:lumOff val="5%"/>
                              </a:scheme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sp macro="" textlink="">
                    <xdr:nvSpPr>
                      <xdr:cNvPr id="162" name="TextBox 161">
                        <a:extLst>
                          <a:ext uri="{FF2B5EF4-FFF2-40B4-BE49-F238E27FC236}">
                            <a16:creationId xmlns:a16="http://schemas.microsoft.com/office/drawing/2014/main" id="{00000000-0008-0000-0000-0000A2000000}"/>
                          </a:ext>
                        </a:extLst>
                      </xdr:cNvPr>
                      <xdr:cNvSpPr txBox="1"/>
                    </xdr:nvSpPr>
                    <xdr:spPr>
                      <a:xfrm>
                        <a:off x="289964" y="1591235"/>
                        <a:ext cx="6947647" cy="593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b="1">
                            <a:solidFill>
                              <a:schemeClr val="tx1">
                                <a:lumMod val="75%"/>
                                <a:lumOff val="25%"/>
                              </a:schemeClr>
                            </a:solidFill>
                            <a:latin typeface="Roboto Black" panose="02000000000000000000" pitchFamily="2" charset="0"/>
                            <a:ea typeface="Roboto Black" panose="02000000000000000000" pitchFamily="2" charset="0"/>
                          </a:rPr>
                          <a:t>EX-Ante Carbon-balance Tool</a:t>
                        </a:r>
                      </a:p>
                    </xdr:txBody>
                  </xdr:sp>
                </xdr:grpSp>
              </xdr:grpSp>
              <xdr:cxnSp macro="">
                <xdr:nvCxnSpPr>
                  <xdr:cNvPr id="170" name="Straight Connector 169">
                    <a:extLst>
                      <a:ext uri="{FF2B5EF4-FFF2-40B4-BE49-F238E27FC236}">
                        <a16:creationId xmlns:a16="http://schemas.microsoft.com/office/drawing/2014/main" id="{00000000-0008-0000-0000-0000AA000000}"/>
                      </a:ext>
                    </a:extLst>
                  </xdr:cNvPr>
                  <xdr:cNvCxnSpPr/>
                </xdr:nvCxnSpPr>
                <xdr:spPr>
                  <a:xfrm flipH="1" flipV="1">
                    <a:off x="10987144" y="1817703"/>
                    <a:ext cx="7429" cy="1951478"/>
                  </a:xfrm>
                  <a:prstGeom prst="line">
                    <a:avLst/>
                  </a:prstGeom>
                  <a:ln w="3175" cap="sq">
                    <a:solidFill>
                      <a:schemeClr val="tx1">
                        <a:lumMod val="50%"/>
                        <a:lumOff val="50%"/>
                      </a:schemeClr>
                    </a:solidFill>
                    <a:prstDash val="sysDash"/>
                    <a:round/>
                    <a:tailEnd type="oval"/>
                  </a:ln>
                </xdr:spPr>
                <xdr:style>
                  <a:lnRef idx="1">
                    <a:schemeClr val="accent1"/>
                  </a:lnRef>
                  <a:fillRef idx="0">
                    <a:schemeClr val="accent1"/>
                  </a:fillRef>
                  <a:effectRef idx="0">
                    <a:schemeClr val="accent1"/>
                  </a:effectRef>
                  <a:fontRef idx="minor">
                    <a:schemeClr val="tx1"/>
                  </a:fontRef>
                </xdr:style>
              </xdr:cxnSp>
            </xdr:grpSp>
            <xdr:cxnSp macro="">
              <xdr:nvCxnSpPr>
                <xdr:cNvPr id="176" name="Straight Connector 175">
                  <a:extLst>
                    <a:ext uri="{FF2B5EF4-FFF2-40B4-BE49-F238E27FC236}">
                      <a16:creationId xmlns:a16="http://schemas.microsoft.com/office/drawing/2014/main" id="{00000000-0008-0000-0000-0000B0000000}"/>
                    </a:ext>
                  </a:extLst>
                </xdr:cNvPr>
                <xdr:cNvCxnSpPr/>
              </xdr:nvCxnSpPr>
              <xdr:spPr>
                <a:xfrm flipH="1">
                  <a:off x="2462893" y="6599465"/>
                  <a:ext cx="2952752" cy="0"/>
                </a:xfrm>
                <a:prstGeom prst="line">
                  <a:avLst/>
                </a:prstGeom>
                <a:ln w="3175" cap="sq">
                  <a:solidFill>
                    <a:schemeClr val="tx1">
                      <a:lumMod val="50%"/>
                      <a:lumOff val="50%"/>
                    </a:schemeClr>
                  </a:solidFill>
                  <a:prstDash val="sysDash"/>
                  <a:round/>
                  <a:tailEnd type="oval"/>
                </a:ln>
              </xdr:spPr>
              <xdr:style>
                <a:lnRef idx="1">
                  <a:schemeClr val="accent1"/>
                </a:lnRef>
                <a:fillRef idx="0">
                  <a:schemeClr val="accent1"/>
                </a:fillRef>
                <a:effectRef idx="0">
                  <a:schemeClr val="accent1"/>
                </a:effectRef>
                <a:fontRef idx="minor">
                  <a:schemeClr val="tx1"/>
                </a:fontRef>
              </xdr:style>
            </xdr:cxnSp>
          </xdr:grpSp>
        </xdr:grpSp>
        <xdr:sp macro="" textlink="">
          <xdr:nvSpPr>
            <xdr:cNvPr id="287" name="Rectangle 286">
              <a:extLst>
                <a:ext uri="{FF2B5EF4-FFF2-40B4-BE49-F238E27FC236}">
                  <a16:creationId xmlns:a16="http://schemas.microsoft.com/office/drawing/2014/main" id="{00000000-0008-0000-0000-00001F010000}"/>
                </a:ext>
              </a:extLst>
            </xdr:cNvPr>
            <xdr:cNvSpPr/>
          </xdr:nvSpPr>
          <xdr:spPr>
            <a:xfrm>
              <a:off x="698500" y="10128250"/>
              <a:ext cx="105833" cy="370417"/>
            </a:xfrm>
            <a:prstGeom prst="rect">
              <a:avLst/>
            </a:prstGeom>
            <a:solidFill>
              <a:sysClr val="window" lastClr="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5" name="Group 24">
            <a:extLst>
              <a:ext uri="{FF2B5EF4-FFF2-40B4-BE49-F238E27FC236}">
                <a16:creationId xmlns:a16="http://schemas.microsoft.com/office/drawing/2014/main" id="{00000000-0008-0000-0000-000019000000}"/>
              </a:ext>
            </a:extLst>
          </xdr:cNvPr>
          <xdr:cNvGrpSpPr/>
        </xdr:nvGrpSpPr>
        <xdr:grpSpPr>
          <a:xfrm>
            <a:off x="15129094" y="1705863"/>
            <a:ext cx="935080" cy="369041"/>
            <a:chOff x="15055011" y="1684696"/>
            <a:chExt cx="935080" cy="369041"/>
          </a:xfrm>
        </xdr:grpSpPr>
        <xdr:sp macro="" textlink="">
          <xdr:nvSpPr>
            <xdr:cNvPr id="99" name="Oval 98">
              <a:extLst>
                <a:ext uri="{FF2B5EF4-FFF2-40B4-BE49-F238E27FC236}">
                  <a16:creationId xmlns:a16="http://schemas.microsoft.com/office/drawing/2014/main" id="{00000000-0008-0000-0000-000063000000}"/>
                </a:ext>
              </a:extLst>
            </xdr:cNvPr>
            <xdr:cNvSpPr>
              <a:spLocks noChangeAspect="1"/>
            </xdr:cNvSpPr>
          </xdr:nvSpPr>
          <xdr:spPr>
            <a:xfrm>
              <a:off x="15055011" y="1684696"/>
              <a:ext cx="368083" cy="369041"/>
            </a:xfrm>
            <a:prstGeom prst="ellipse">
              <a:avLst/>
            </a:prstGeom>
            <a:solidFill>
              <a:srgbClr val="0D0D0D">
                <a:alpha val="40%"/>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0" name="Oval 99">
              <a:extLst>
                <a:ext uri="{FF2B5EF4-FFF2-40B4-BE49-F238E27FC236}">
                  <a16:creationId xmlns:a16="http://schemas.microsoft.com/office/drawing/2014/main" id="{00000000-0008-0000-0000-000064000000}"/>
                </a:ext>
              </a:extLst>
            </xdr:cNvPr>
            <xdr:cNvSpPr>
              <a:spLocks noChangeAspect="1"/>
            </xdr:cNvSpPr>
          </xdr:nvSpPr>
          <xdr:spPr>
            <a:xfrm>
              <a:off x="15164739" y="1798138"/>
              <a:ext cx="146304" cy="146304"/>
            </a:xfrm>
            <a:prstGeom prst="ellipse">
              <a:avLst/>
            </a:prstGeom>
            <a:solidFill>
              <a:schemeClr val="tx1">
                <a:lumMod val="95%"/>
                <a:lumOff val="5%"/>
              </a:scheme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09" name="Straight Connector 108">
              <a:extLst>
                <a:ext uri="{FF2B5EF4-FFF2-40B4-BE49-F238E27FC236}">
                  <a16:creationId xmlns:a16="http://schemas.microsoft.com/office/drawing/2014/main" id="{00000000-0008-0000-0000-00006D000000}"/>
                </a:ext>
              </a:extLst>
            </xdr:cNvPr>
            <xdr:cNvCxnSpPr/>
          </xdr:nvCxnSpPr>
          <xdr:spPr>
            <a:xfrm rot="5400000" flipV="1">
              <a:off x="15670051" y="1548316"/>
              <a:ext cx="0" cy="640080"/>
            </a:xfrm>
            <a:prstGeom prst="line">
              <a:avLst/>
            </a:prstGeom>
            <a:ln w="3175" cap="sq">
              <a:solidFill>
                <a:schemeClr val="tx1">
                  <a:lumMod val="50%"/>
                  <a:lumOff val="50%"/>
                </a:schemeClr>
              </a:solidFill>
              <a:prstDash val="sysDash"/>
              <a:round/>
              <a:tailEnd type="ova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0</xdr:col>
      <xdr:colOff>148166</xdr:colOff>
      <xdr:row>0</xdr:row>
      <xdr:rowOff>116417</xdr:rowOff>
    </xdr:from>
    <xdr:to>
      <xdr:col>29</xdr:col>
      <xdr:colOff>1253755</xdr:colOff>
      <xdr:row>0</xdr:row>
      <xdr:rowOff>1042723</xdr:rowOff>
    </xdr:to>
    <xdr:grpSp>
      <xdr:nvGrpSpPr>
        <xdr:cNvPr id="3" name="Group 2">
          <a:hlinkClick xmlns:r="http://purl.oclc.org/ooxml/officeDocument/relationships" r:id="rId3"/>
          <a:extLst>
            <a:ext uri="{FF2B5EF4-FFF2-40B4-BE49-F238E27FC236}">
              <a16:creationId xmlns:a16="http://schemas.microsoft.com/office/drawing/2014/main" id="{00000000-0008-0000-0000-000003000000}"/>
            </a:ext>
          </a:extLst>
        </xdr:cNvPr>
        <xdr:cNvGrpSpPr/>
      </xdr:nvGrpSpPr>
      <xdr:grpSpPr>
        <a:xfrm>
          <a:off x="148166" y="116417"/>
          <a:ext cx="19792732" cy="926306"/>
          <a:chOff x="148166" y="116417"/>
          <a:chExt cx="17238558" cy="926306"/>
        </a:xfrm>
      </xdr:grpSpPr>
      <xdr:grpSp>
        <xdr:nvGrpSpPr>
          <xdr:cNvPr id="2" name="Group 1">
            <a:extLst>
              <a:ext uri="{FF2B5EF4-FFF2-40B4-BE49-F238E27FC236}">
                <a16:creationId xmlns:a16="http://schemas.microsoft.com/office/drawing/2014/main" id="{00000000-0008-0000-0000-000002000000}"/>
              </a:ext>
            </a:extLst>
          </xdr:cNvPr>
          <xdr:cNvGrpSpPr/>
        </xdr:nvGrpSpPr>
        <xdr:grpSpPr>
          <a:xfrm>
            <a:off x="148166" y="116417"/>
            <a:ext cx="17238558" cy="926306"/>
            <a:chOff x="148166" y="116417"/>
            <a:chExt cx="17215408" cy="926306"/>
          </a:xfrm>
        </xdr:grpSpPr>
        <xdr:sp macro="" textlink="">
          <xdr:nvSpPr>
            <xdr:cNvPr id="83" name="Rounded Rectangle 82">
              <a:hlinkClick xmlns:r="http://purl.oclc.org/ooxml/officeDocument/relationships" r:id="rId4"/>
              <a:extLst>
                <a:ext uri="{FF2B5EF4-FFF2-40B4-BE49-F238E27FC236}">
                  <a16:creationId xmlns:a16="http://schemas.microsoft.com/office/drawing/2014/main" id="{00000000-0008-0000-0000-000053000000}"/>
                </a:ext>
              </a:extLst>
            </xdr:cNvPr>
            <xdr:cNvSpPr/>
          </xdr:nvSpPr>
          <xdr:spPr>
            <a:xfrm>
              <a:off x="148166" y="116417"/>
              <a:ext cx="1463040" cy="914400"/>
            </a:xfrm>
            <a:prstGeom prst="roundRect">
              <a:avLst/>
            </a:prstGeom>
            <a:solidFill>
              <a:srgbClr val="F2F2F2"/>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ysClr val="windowText" lastClr="000000"/>
                  </a:solidFill>
                  <a:latin typeface="Roboto Light" panose="02000000000000000000" pitchFamily="2" charset="0"/>
                  <a:ea typeface="Roboto Light" panose="02000000000000000000" pitchFamily="2" charset="0"/>
                  <a:cs typeface="+mn-cs"/>
                </a:rPr>
                <a:t>EX-ACT version 9 Start</a:t>
              </a:r>
            </a:p>
          </xdr:txBody>
        </xdr:sp>
        <xdr:sp macro="" textlink="">
          <xdr:nvSpPr>
            <xdr:cNvPr id="84" name="Rounded Rectangle 83">
              <a:hlinkClick xmlns:r="http://purl.oclc.org/ooxml/officeDocument/relationships" r:id="rId5"/>
              <a:extLst>
                <a:ext uri="{FF2B5EF4-FFF2-40B4-BE49-F238E27FC236}">
                  <a16:creationId xmlns:a16="http://schemas.microsoft.com/office/drawing/2014/main" id="{00000000-0008-0000-0000-000054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85" name="Rounded Rectangle 84">
              <a:hlinkClick xmlns:r="http://purl.oclc.org/ooxml/officeDocument/relationships" r:id="rId6"/>
              <a:extLst>
                <a:ext uri="{FF2B5EF4-FFF2-40B4-BE49-F238E27FC236}">
                  <a16:creationId xmlns:a16="http://schemas.microsoft.com/office/drawing/2014/main" id="{00000000-0008-0000-0000-000055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lt1"/>
                  </a:solidFill>
                  <a:latin typeface="Roboto Light" panose="02000000000000000000" pitchFamily="2" charset="0"/>
                  <a:ea typeface="Roboto Light" panose="02000000000000000000" pitchFamily="2" charset="0"/>
                  <a:cs typeface="+mn-cs"/>
                </a:rPr>
                <a:t>      changes</a:t>
              </a:r>
            </a:p>
          </xdr:txBody>
        </xdr:sp>
        <xdr:sp macro="" textlink="">
          <xdr:nvSpPr>
            <xdr:cNvPr id="86" name="Rounded Rectangle 85">
              <a:hlinkClick xmlns:r="http://purl.oclc.org/ooxml/officeDocument/relationships" r:id="rId7"/>
              <a:extLst>
                <a:ext uri="{FF2B5EF4-FFF2-40B4-BE49-F238E27FC236}">
                  <a16:creationId xmlns:a16="http://schemas.microsoft.com/office/drawing/2014/main" id="{00000000-0008-0000-0000-000056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87" name="Rounded Rectangle 86">
              <a:hlinkClick xmlns:r="http://purl.oclc.org/ooxml/officeDocument/relationships" r:id="rId8"/>
              <a:extLst>
                <a:ext uri="{FF2B5EF4-FFF2-40B4-BE49-F238E27FC236}">
                  <a16:creationId xmlns:a16="http://schemas.microsoft.com/office/drawing/2014/main" id="{00000000-0008-0000-0000-000057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88" name="Rounded Rectangle 87">
              <a:hlinkClick xmlns:r="http://purl.oclc.org/ooxml/officeDocument/relationships" r:id="rId9"/>
              <a:extLst>
                <a:ext uri="{FF2B5EF4-FFF2-40B4-BE49-F238E27FC236}">
                  <a16:creationId xmlns:a16="http://schemas.microsoft.com/office/drawing/2014/main" id="{00000000-0008-0000-0000-000058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89" name="Rounded Rectangle 88">
              <a:hlinkClick xmlns:r="http://purl.oclc.org/ooxml/officeDocument/relationships" r:id="rId10"/>
              <a:extLst>
                <a:ext uri="{FF2B5EF4-FFF2-40B4-BE49-F238E27FC236}">
                  <a16:creationId xmlns:a16="http://schemas.microsoft.com/office/drawing/2014/main" id="{00000000-0008-0000-0000-000059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90" name="Rounded Rectangle 89">
              <a:hlinkClick xmlns:r="http://purl.oclc.org/ooxml/officeDocument/relationships" r:id="rId11"/>
              <a:extLst>
                <a:ext uri="{FF2B5EF4-FFF2-40B4-BE49-F238E27FC236}">
                  <a16:creationId xmlns:a16="http://schemas.microsoft.com/office/drawing/2014/main" id="{00000000-0008-0000-0000-00005A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91" name="Rounded Rectangle 90">
              <a:hlinkClick xmlns:r="http://purl.oclc.org/ooxml/officeDocument/relationships" r:id="rId3"/>
              <a:extLst>
                <a:ext uri="{FF2B5EF4-FFF2-40B4-BE49-F238E27FC236}">
                  <a16:creationId xmlns:a16="http://schemas.microsoft.com/office/drawing/2014/main" id="{00000000-0008-0000-0000-00005B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92" name="Rounded Rectangle 91">
              <a:hlinkClick xmlns:r="http://purl.oclc.org/ooxml/officeDocument/relationships" r:id="rId12"/>
              <a:extLst>
                <a:ext uri="{FF2B5EF4-FFF2-40B4-BE49-F238E27FC236}">
                  <a16:creationId xmlns:a16="http://schemas.microsoft.com/office/drawing/2014/main" id="{00000000-0008-0000-0000-00005C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93" name="Rounded Rectangle 89">
            <a:hlinkClick xmlns:r="http://purl.oclc.org/ooxml/officeDocument/relationships" r:id="rId13"/>
            <a:extLst>
              <a:ext uri="{FF2B5EF4-FFF2-40B4-BE49-F238E27FC236}">
                <a16:creationId xmlns:a16="http://schemas.microsoft.com/office/drawing/2014/main" id="{00000000-0008-0000-0000-00005D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wsDr>
</file>

<file path=xl/drawings/drawing2.xml><?xml version="1.0" encoding="utf-8"?>
<xdr:wsDr xmlns:xdr="http://purl.oclc.org/ooxml/drawingml/spreadsheetDrawing" xmlns:a="http://purl.oclc.org/ooxml/drawingml/main">
  <xdr:twoCellAnchor>
    <xdr:from>
      <xdr:col>21</xdr:col>
      <xdr:colOff>150282</xdr:colOff>
      <xdr:row>8</xdr:row>
      <xdr:rowOff>95249</xdr:rowOff>
    </xdr:from>
    <xdr:to>
      <xdr:col>22</xdr:col>
      <xdr:colOff>605365</xdr:colOff>
      <xdr:row>9</xdr:row>
      <xdr:rowOff>232832</xdr:rowOff>
    </xdr:to>
    <xdr:sp macro="" textlink="">
      <xdr:nvSpPr>
        <xdr:cNvPr id="2" name="Rounded Rectangle 1">
          <a:hlinkClick xmlns:r="http://purl.oclc.org/ooxml/officeDocument/relationships" r:id="rId1"/>
          <a:extLst>
            <a:ext uri="{FF2B5EF4-FFF2-40B4-BE49-F238E27FC236}">
              <a16:creationId xmlns:a16="http://schemas.microsoft.com/office/drawing/2014/main" id="{00000000-0008-0000-0100-000002000000}"/>
            </a:ext>
          </a:extLst>
        </xdr:cNvPr>
        <xdr:cNvSpPr/>
      </xdr:nvSpPr>
      <xdr:spPr>
        <a:xfrm>
          <a:off x="11950699" y="3164416"/>
          <a:ext cx="1068916" cy="380999"/>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latin typeface="Roboto light"/>
            </a:rPr>
            <a:t>Climate?</a:t>
          </a:r>
        </a:p>
      </xdr:txBody>
    </xdr:sp>
    <xdr:clientData/>
  </xdr:twoCellAnchor>
  <xdr:twoCellAnchor>
    <xdr:from>
      <xdr:col>21</xdr:col>
      <xdr:colOff>160866</xdr:colOff>
      <xdr:row>10</xdr:row>
      <xdr:rowOff>120649</xdr:rowOff>
    </xdr:from>
    <xdr:to>
      <xdr:col>23</xdr:col>
      <xdr:colOff>2116</xdr:colOff>
      <xdr:row>12</xdr:row>
      <xdr:rowOff>14816</xdr:rowOff>
    </xdr:to>
    <xdr:sp macro="" textlink="">
      <xdr:nvSpPr>
        <xdr:cNvPr id="5" name="Rounded Rectangle 4">
          <a:hlinkClick xmlns:r="http://purl.oclc.org/ooxml/officeDocument/relationships" r:id="rId2"/>
          <a:extLst>
            <a:ext uri="{FF2B5EF4-FFF2-40B4-BE49-F238E27FC236}">
              <a16:creationId xmlns:a16="http://schemas.microsoft.com/office/drawing/2014/main" id="{00000000-0008-0000-0100-000005000000}"/>
            </a:ext>
          </a:extLst>
        </xdr:cNvPr>
        <xdr:cNvSpPr/>
      </xdr:nvSpPr>
      <xdr:spPr>
        <a:xfrm>
          <a:off x="11739033" y="4301066"/>
          <a:ext cx="1068916" cy="3810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latin typeface="Roboto light"/>
            </a:rPr>
            <a:t>Soil?</a:t>
          </a:r>
        </a:p>
      </xdr:txBody>
    </xdr:sp>
    <xdr:clientData/>
  </xdr:twoCellAnchor>
  <xdr:twoCellAnchor editAs="absolute">
    <xdr:from>
      <xdr:col>7</xdr:col>
      <xdr:colOff>60512</xdr:colOff>
      <xdr:row>21</xdr:row>
      <xdr:rowOff>21179</xdr:rowOff>
    </xdr:from>
    <xdr:to>
      <xdr:col>7</xdr:col>
      <xdr:colOff>323402</xdr:colOff>
      <xdr:row>21</xdr:row>
      <xdr:rowOff>289448</xdr:rowOff>
    </xdr:to>
    <xdr:sp macro="" textlink="">
      <xdr:nvSpPr>
        <xdr:cNvPr id="15" name="Rectangle 14">
          <a:hlinkClick xmlns:r="http://purl.oclc.org/ooxml/officeDocument/relationships" r:id="rId3"/>
          <a:extLst>
            <a:ext uri="{FF2B5EF4-FFF2-40B4-BE49-F238E27FC236}">
              <a16:creationId xmlns:a16="http://schemas.microsoft.com/office/drawing/2014/main" id="{00000000-0008-0000-0100-00000F000000}"/>
            </a:ext>
          </a:extLst>
        </xdr:cNvPr>
        <xdr:cNvSpPr>
          <a:spLocks noChangeAspect="1"/>
        </xdr:cNvSpPr>
      </xdr:nvSpPr>
      <xdr:spPr>
        <a:xfrm>
          <a:off x="4446494" y="6149788"/>
          <a:ext cx="274320" cy="27207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xdr:from>
      <xdr:col>0</xdr:col>
      <xdr:colOff>154782</xdr:colOff>
      <xdr:row>0</xdr:row>
      <xdr:rowOff>166687</xdr:rowOff>
    </xdr:from>
    <xdr:to>
      <xdr:col>30</xdr:col>
      <xdr:colOff>379309</xdr:colOff>
      <xdr:row>0</xdr:row>
      <xdr:rowOff>1092993</xdr:rowOff>
    </xdr:to>
    <xdr:grpSp>
      <xdr:nvGrpSpPr>
        <xdr:cNvPr id="40" name="Group 39">
          <a:hlinkClick xmlns:r="http://purl.oclc.org/ooxml/officeDocument/relationships" r:id="rId4"/>
          <a:extLst>
            <a:ext uri="{FF2B5EF4-FFF2-40B4-BE49-F238E27FC236}">
              <a16:creationId xmlns:a16="http://schemas.microsoft.com/office/drawing/2014/main" id="{00000000-0008-0000-0100-000028000000}"/>
            </a:ext>
          </a:extLst>
        </xdr:cNvPr>
        <xdr:cNvGrpSpPr/>
      </xdr:nvGrpSpPr>
      <xdr:grpSpPr>
        <a:xfrm>
          <a:off x="154782" y="166687"/>
          <a:ext cx="20639777" cy="926306"/>
          <a:chOff x="148166" y="116417"/>
          <a:chExt cx="17238558" cy="926306"/>
        </a:xfrm>
      </xdr:grpSpPr>
      <xdr:grpSp>
        <xdr:nvGrpSpPr>
          <xdr:cNvPr id="41" name="Group 40">
            <a:extLst>
              <a:ext uri="{FF2B5EF4-FFF2-40B4-BE49-F238E27FC236}">
                <a16:creationId xmlns:a16="http://schemas.microsoft.com/office/drawing/2014/main" id="{00000000-0008-0000-0100-000029000000}"/>
              </a:ext>
            </a:extLst>
          </xdr:cNvPr>
          <xdr:cNvGrpSpPr/>
        </xdr:nvGrpSpPr>
        <xdr:grpSpPr>
          <a:xfrm>
            <a:off x="148166" y="116417"/>
            <a:ext cx="17238558" cy="926306"/>
            <a:chOff x="148166" y="116417"/>
            <a:chExt cx="17215408" cy="926306"/>
          </a:xfrm>
        </xdr:grpSpPr>
        <xdr:sp macro="" textlink="">
          <xdr:nvSpPr>
            <xdr:cNvPr id="43" name="Rounded Rectangle 82">
              <a:hlinkClick xmlns:r="http://purl.oclc.org/ooxml/officeDocument/relationships" r:id="rId5"/>
              <a:extLst>
                <a:ext uri="{FF2B5EF4-FFF2-40B4-BE49-F238E27FC236}">
                  <a16:creationId xmlns:a16="http://schemas.microsoft.com/office/drawing/2014/main" id="{00000000-0008-0000-0100-00002B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44" name="Rounded Rectangle 83">
              <a:hlinkClick xmlns:r="http://purl.oclc.org/ooxml/officeDocument/relationships" r:id="rId6"/>
              <a:extLst>
                <a:ext uri="{FF2B5EF4-FFF2-40B4-BE49-F238E27FC236}">
                  <a16:creationId xmlns:a16="http://schemas.microsoft.com/office/drawing/2014/main" id="{00000000-0008-0000-0100-00002C000000}"/>
                </a:ext>
              </a:extLst>
            </xdr:cNvPr>
            <xdr:cNvSpPr/>
          </xdr:nvSpPr>
          <xdr:spPr>
            <a:xfrm>
              <a:off x="1734608" y="116417"/>
              <a:ext cx="1463040"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ysClr val="windowText" lastClr="000000"/>
                  </a:solidFill>
                  <a:latin typeface="Roboto Light" panose="02000000000000000000" pitchFamily="2" charset="0"/>
                  <a:ea typeface="Roboto Light" panose="02000000000000000000" pitchFamily="2" charset="0"/>
                  <a:cs typeface="+mn-cs"/>
                </a:rPr>
                <a:t>Description of project</a:t>
              </a:r>
            </a:p>
          </xdr:txBody>
        </xdr:sp>
        <xdr:sp macro="" textlink="">
          <xdr:nvSpPr>
            <xdr:cNvPr id="45" name="Rounded Rectangle 84">
              <a:hlinkClick xmlns:r="http://purl.oclc.org/ooxml/officeDocument/relationships" r:id="rId7"/>
              <a:extLst>
                <a:ext uri="{FF2B5EF4-FFF2-40B4-BE49-F238E27FC236}">
                  <a16:creationId xmlns:a16="http://schemas.microsoft.com/office/drawing/2014/main" id="{00000000-0008-0000-0100-00002D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lt1"/>
                  </a:solidFill>
                  <a:latin typeface="Roboto Light" panose="02000000000000000000" pitchFamily="2" charset="0"/>
                  <a:ea typeface="Roboto Light" panose="02000000000000000000" pitchFamily="2" charset="0"/>
                  <a:cs typeface="+mn-cs"/>
                </a:rPr>
                <a:t>      changes</a:t>
              </a:r>
            </a:p>
          </xdr:txBody>
        </xdr:sp>
        <xdr:sp macro="" textlink="">
          <xdr:nvSpPr>
            <xdr:cNvPr id="46" name="Rounded Rectangle 85">
              <a:hlinkClick xmlns:r="http://purl.oclc.org/ooxml/officeDocument/relationships" r:id="rId8"/>
              <a:extLst>
                <a:ext uri="{FF2B5EF4-FFF2-40B4-BE49-F238E27FC236}">
                  <a16:creationId xmlns:a16="http://schemas.microsoft.com/office/drawing/2014/main" id="{00000000-0008-0000-0100-00002E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47" name="Rounded Rectangle 86">
              <a:hlinkClick xmlns:r="http://purl.oclc.org/ooxml/officeDocument/relationships" r:id="rId9"/>
              <a:extLst>
                <a:ext uri="{FF2B5EF4-FFF2-40B4-BE49-F238E27FC236}">
                  <a16:creationId xmlns:a16="http://schemas.microsoft.com/office/drawing/2014/main" id="{00000000-0008-0000-0100-00002F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48" name="Rounded Rectangle 87">
              <a:hlinkClick xmlns:r="http://purl.oclc.org/ooxml/officeDocument/relationships" r:id="rId10"/>
              <a:extLst>
                <a:ext uri="{FF2B5EF4-FFF2-40B4-BE49-F238E27FC236}">
                  <a16:creationId xmlns:a16="http://schemas.microsoft.com/office/drawing/2014/main" id="{00000000-0008-0000-0100-000030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49" name="Rounded Rectangle 88">
              <a:hlinkClick xmlns:r="http://purl.oclc.org/ooxml/officeDocument/relationships" r:id="rId11"/>
              <a:extLst>
                <a:ext uri="{FF2B5EF4-FFF2-40B4-BE49-F238E27FC236}">
                  <a16:creationId xmlns:a16="http://schemas.microsoft.com/office/drawing/2014/main" id="{00000000-0008-0000-0100-000031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50" name="Rounded Rectangle 89">
              <a:hlinkClick xmlns:r="http://purl.oclc.org/ooxml/officeDocument/relationships" r:id="rId12"/>
              <a:extLst>
                <a:ext uri="{FF2B5EF4-FFF2-40B4-BE49-F238E27FC236}">
                  <a16:creationId xmlns:a16="http://schemas.microsoft.com/office/drawing/2014/main" id="{00000000-0008-0000-0100-000032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51" name="Rounded Rectangle 90">
              <a:hlinkClick xmlns:r="http://purl.oclc.org/ooxml/officeDocument/relationships" r:id="rId4"/>
              <a:extLst>
                <a:ext uri="{FF2B5EF4-FFF2-40B4-BE49-F238E27FC236}">
                  <a16:creationId xmlns:a16="http://schemas.microsoft.com/office/drawing/2014/main" id="{00000000-0008-0000-0100-000033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52" name="Rounded Rectangle 91">
              <a:hlinkClick xmlns:r="http://purl.oclc.org/ooxml/officeDocument/relationships" r:id="rId13"/>
              <a:extLst>
                <a:ext uri="{FF2B5EF4-FFF2-40B4-BE49-F238E27FC236}">
                  <a16:creationId xmlns:a16="http://schemas.microsoft.com/office/drawing/2014/main" id="{00000000-0008-0000-0100-000034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a:t>
              </a:r>
            </a:p>
            <a:p>
              <a:pPr algn="r"/>
              <a:r>
                <a:rPr lang="en-US" sz="1200" b="1">
                  <a:solidFill>
                    <a:schemeClr val="tx1">
                      <a:lumMod val="75%"/>
                      <a:lumOff val="25%"/>
                    </a:schemeClr>
                  </a:solidFill>
                  <a:latin typeface="Roboto Light" panose="02000000000000000000" pitchFamily="2" charset="0"/>
                  <a:ea typeface="Roboto Light" panose="02000000000000000000" pitchFamily="2" charset="0"/>
                </a:rPr>
                <a:t>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42" name="Rounded Rectangle 89">
            <a:hlinkClick xmlns:r="http://purl.oclc.org/ooxml/officeDocument/relationships" r:id="rId14"/>
            <a:extLst>
              <a:ext uri="{FF2B5EF4-FFF2-40B4-BE49-F238E27FC236}">
                <a16:creationId xmlns:a16="http://schemas.microsoft.com/office/drawing/2014/main" id="{00000000-0008-0000-0100-00002A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wsDr>
</file>

<file path=xl/drawings/drawing3.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8</xdr:col>
          <xdr:colOff>0</xdr:colOff>
          <xdr:row>17</xdr:row>
          <xdr:rowOff>101600</xdr:rowOff>
        </xdr:from>
        <xdr:to>
          <xdr:col>9</xdr:col>
          <xdr:colOff>1371600</xdr:colOff>
          <xdr:row>25</xdr:row>
          <xdr:rowOff>0</xdr:rowOff>
        </xdr:to>
        <xdr:sp macro="" textlink="">
          <xdr:nvSpPr>
            <xdr:cNvPr id="50177" name="Comment 1" hidden="1">
              <a:extLst>
                <a:ext uri="{FF2B5EF4-FFF2-40B4-BE49-F238E27FC236}">
                  <a16:creationId xmlns:a16="http://schemas.microsoft.com/office/drawing/2014/main" id="{0BF3DED0-27D3-6053-8874-47552D2075CF}"/>
                </a:ext>
              </a:extLst>
            </xdr:cNvPr>
            <xdr:cNvSpPr txBox="1">
              <a:spLocks noChangeArrowheads="1"/>
            </xdr:cNvSpPr>
          </xdr:nvSpPr>
          <xdr:spPr bwMode="auto">
            <a:xfrm>
              <a:off x="16852900" y="3695700"/>
              <a:ext cx="34671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annual crops, annual fallow, flooded rice --&gt; </a:t>
              </a:r>
              <a:r>
                <a:rPr lang="en-GB" sz="900" b="1" i="0" u="none" strike="noStrike" baseline="0%">
                  <a:solidFill>
                    <a:srgbClr val="000000"/>
                  </a:solidFill>
                  <a:latin typeface="Tahoma" pitchFamily="2" charset="0"/>
                  <a:ea typeface="Tahoma" pitchFamily="2" charset="0"/>
                  <a:cs typeface="Tahoma" pitchFamily="2" charset="0"/>
                </a:rPr>
                <a:t>AGB</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grassland, perennial agroforestry systems --&gt; Total biomass </a:t>
              </a:r>
              <a:r>
                <a:rPr lang="en-GB" sz="900" b="1" i="0" u="none" strike="noStrike" baseline="0%">
                  <a:solidFill>
                    <a:srgbClr val="000000"/>
                  </a:solidFill>
                  <a:latin typeface="Tahoma" pitchFamily="2" charset="0"/>
                  <a:ea typeface="Tahoma" pitchFamily="2" charset="0"/>
                  <a:cs typeface="Tahoma" pitchFamily="2" charset="0"/>
                </a:rPr>
                <a:t>(AGB + BGB)</a:t>
              </a:r>
            </a:p>
            <a:p>
              <a:pPr algn="l" rtl="0">
                <a:defRPr sz="1000"/>
              </a:pPr>
              <a:endParaRPr lang="en-GB" sz="900" b="1"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perennial monocultures</a:t>
              </a:r>
              <a:r>
                <a:rPr lang="en-GB" sz="900" b="1" i="0" u="none" strike="noStrike" baseline="0%">
                  <a:solidFill>
                    <a:srgbClr val="000000"/>
                  </a:solidFill>
                  <a:latin typeface="Tahoma" pitchFamily="2" charset="0"/>
                  <a:ea typeface="Tahoma" pitchFamily="2" charset="0"/>
                  <a:cs typeface="Tahoma" pitchFamily="2" charset="0"/>
                </a:rPr>
                <a:t> --&gt; AGB</a:t>
              </a:r>
              <a:r>
                <a:rPr lang="en-GB" sz="900" b="0" i="0" u="none" strike="noStrike" baseline="0%">
                  <a:solidFill>
                    <a:srgbClr val="000000"/>
                  </a:solidFill>
                  <a:latin typeface="Tahoma" pitchFamily="2" charset="0"/>
                  <a:ea typeface="Tahoma" pitchFamily="2" charset="0"/>
                  <a:cs typeface="Tahoma" pitchFamily="2" charset="0"/>
                </a:rPr>
                <a:t> (BGB is not available, pls see Tab 5.3 (Updated)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762000</xdr:colOff>
          <xdr:row>17</xdr:row>
          <xdr:rowOff>101600</xdr:rowOff>
        </xdr:from>
        <xdr:to>
          <xdr:col>3</xdr:col>
          <xdr:colOff>0</xdr:colOff>
          <xdr:row>21</xdr:row>
          <xdr:rowOff>0</xdr:rowOff>
        </xdr:to>
        <xdr:sp macro="" textlink="">
          <xdr:nvSpPr>
            <xdr:cNvPr id="50178" name="Comment 2" hidden="1">
              <a:extLst>
                <a:ext uri="{FF2B5EF4-FFF2-40B4-BE49-F238E27FC236}">
                  <a16:creationId xmlns:a16="http://schemas.microsoft.com/office/drawing/2014/main" id="{4C1313C8-7ACD-7910-0617-4560E8A3E4E2}"/>
                </a:ext>
              </a:extLst>
            </xdr:cNvPr>
            <xdr:cNvSpPr txBox="1">
              <a:spLocks noChangeArrowheads="1"/>
            </xdr:cNvSpPr>
          </xdr:nvSpPr>
          <xdr:spPr bwMode="auto">
            <a:xfrm>
              <a:off x="4292600" y="3695700"/>
              <a:ext cx="1397000" cy="812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Not considered in the final C balance</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355600</xdr:colOff>
          <xdr:row>20</xdr:row>
          <xdr:rowOff>101600</xdr:rowOff>
        </xdr:from>
        <xdr:to>
          <xdr:col>18</xdr:col>
          <xdr:colOff>914400</xdr:colOff>
          <xdr:row>28</xdr:row>
          <xdr:rowOff>0</xdr:rowOff>
        </xdr:to>
        <xdr:sp macro="" textlink="">
          <xdr:nvSpPr>
            <xdr:cNvPr id="50179" name="Comment 3" hidden="1">
              <a:extLst>
                <a:ext uri="{FF2B5EF4-FFF2-40B4-BE49-F238E27FC236}">
                  <a16:creationId xmlns:a16="http://schemas.microsoft.com/office/drawing/2014/main" id="{EF7CD899-C8E3-FE94-E463-19E8406CE706}"/>
                </a:ext>
              </a:extLst>
            </xdr:cNvPr>
            <xdr:cNvSpPr txBox="1">
              <a:spLocks noChangeArrowheads="1"/>
            </xdr:cNvSpPr>
          </xdr:nvSpPr>
          <xdr:spPr bwMode="auto">
            <a:xfrm>
              <a:off x="28714700" y="4419600"/>
              <a:ext cx="4114800" cy="1333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ΔC Mineral= SOC in the final land use after def - SOC forest</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When </a:t>
              </a:r>
              <a:r>
                <a:rPr lang="en-GB" sz="900" b="1" i="0" u="none" strike="noStrike" baseline="0%">
                  <a:solidFill>
                    <a:srgbClr val="000000"/>
                  </a:solidFill>
                  <a:latin typeface="Tahoma" pitchFamily="2" charset="0"/>
                  <a:ea typeface="Tahoma" pitchFamily="2" charset="0"/>
                  <a:cs typeface="Tahoma" pitchFamily="2" charset="0"/>
                </a:rPr>
                <a:t>ΔC Mineral&lt;0</a:t>
              </a:r>
              <a:r>
                <a:rPr lang="en-GB" sz="900" b="0" i="0" u="none" strike="noStrike" baseline="0%">
                  <a:solidFill>
                    <a:srgbClr val="000000"/>
                  </a:solidFill>
                  <a:latin typeface="Tahoma" pitchFamily="2" charset="0"/>
                  <a:ea typeface="Tahoma" pitchFamily="2" charset="0"/>
                  <a:cs typeface="Tahoma" pitchFamily="2" charset="0"/>
                </a:rPr>
                <a:t> =&gt; Fsom needs to be estimated</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When </a:t>
              </a:r>
              <a:r>
                <a:rPr lang="en-GB" sz="900" b="1" i="0" u="none" strike="noStrike" baseline="0%">
                  <a:solidFill>
                    <a:srgbClr val="000000"/>
                  </a:solidFill>
                  <a:latin typeface="Tahoma" pitchFamily="2" charset="0"/>
                  <a:ea typeface="Tahoma" pitchFamily="2" charset="0"/>
                  <a:cs typeface="Tahoma" pitchFamily="2" charset="0"/>
                </a:rPr>
                <a:t>ΔC Mineral &gt;0</a:t>
              </a:r>
              <a:r>
                <a:rPr lang="en-GB" sz="900" b="0" i="0" u="none" strike="noStrike" baseline="0%">
                  <a:solidFill>
                    <a:srgbClr val="000000"/>
                  </a:solidFill>
                  <a:latin typeface="Tahoma" pitchFamily="2" charset="0"/>
                  <a:ea typeface="Tahoma" pitchFamily="2" charset="0"/>
                  <a:cs typeface="Tahoma" pitchFamily="2" charset="0"/>
                </a:rPr>
                <a:t> =&gt; no need to estimate Fsom</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1879600</xdr:colOff>
          <xdr:row>17</xdr:row>
          <xdr:rowOff>0</xdr:rowOff>
        </xdr:from>
        <xdr:to>
          <xdr:col>12</xdr:col>
          <xdr:colOff>711200</xdr:colOff>
          <xdr:row>21</xdr:row>
          <xdr:rowOff>0</xdr:rowOff>
        </xdr:to>
        <xdr:sp macro="" textlink="">
          <xdr:nvSpPr>
            <xdr:cNvPr id="50180" name="Comment 4" hidden="1">
              <a:extLst>
                <a:ext uri="{FF2B5EF4-FFF2-40B4-BE49-F238E27FC236}">
                  <a16:creationId xmlns:a16="http://schemas.microsoft.com/office/drawing/2014/main" id="{274D24BB-66F5-E80D-2504-45D9B27F059A}"/>
                </a:ext>
              </a:extLst>
            </xdr:cNvPr>
            <xdr:cNvSpPr txBox="1">
              <a:spLocks noChangeArrowheads="1"/>
            </xdr:cNvSpPr>
          </xdr:nvSpPr>
          <xdr:spPr bwMode="auto">
            <a:xfrm>
              <a:off x="23837900" y="3594100"/>
              <a:ext cx="2235200" cy="914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SOC </a:t>
              </a:r>
              <a:r>
                <a:rPr lang="en-GB" sz="800" b="0" i="0" u="none" strike="noStrike" baseline="0%">
                  <a:solidFill>
                    <a:srgbClr val="000000"/>
                  </a:solidFill>
                  <a:latin typeface="Tahoma" pitchFamily="2" charset="0"/>
                  <a:ea typeface="Tahoma" pitchFamily="2" charset="0"/>
                  <a:cs typeface="Tahoma" pitchFamily="2" charset="0"/>
                </a:rPr>
                <a:t>final land use</a:t>
              </a:r>
              <a:r>
                <a:rPr lang="en-GB" sz="900" b="0" i="0" u="none" strike="noStrike" baseline="0%">
                  <a:solidFill>
                    <a:srgbClr val="000000"/>
                  </a:solidFill>
                  <a:latin typeface="Tahoma" pitchFamily="2" charset="0"/>
                  <a:ea typeface="Tahoma" pitchFamily="2" charset="0"/>
                  <a:cs typeface="Tahoma" pitchFamily="2" charset="0"/>
                </a:rPr>
                <a:t> - SOCforest</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609600</xdr:colOff>
          <xdr:row>17</xdr:row>
          <xdr:rowOff>101600</xdr:rowOff>
        </xdr:from>
        <xdr:to>
          <xdr:col>19</xdr:col>
          <xdr:colOff>762000</xdr:colOff>
          <xdr:row>25</xdr:row>
          <xdr:rowOff>0</xdr:rowOff>
        </xdr:to>
        <xdr:sp macro="" textlink="">
          <xdr:nvSpPr>
            <xdr:cNvPr id="50183" name="Comment 7" hidden="1">
              <a:extLst>
                <a:ext uri="{FF2B5EF4-FFF2-40B4-BE49-F238E27FC236}">
                  <a16:creationId xmlns:a16="http://schemas.microsoft.com/office/drawing/2014/main" id="{B48DB66A-2D3A-36EC-4BC7-8C826A808F5A}"/>
                </a:ext>
              </a:extLst>
            </xdr:cNvPr>
            <xdr:cNvSpPr txBox="1">
              <a:spLocks noChangeArrowheads="1"/>
            </xdr:cNvSpPr>
          </xdr:nvSpPr>
          <xdr:spPr bwMode="auto">
            <a:xfrm>
              <a:off x="29997400" y="3695700"/>
              <a:ext cx="36322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 mineralised in mineral soils as a result of loss of soil C through LU change</a:t>
              </a:r>
            </a:p>
            <a:p>
              <a:pPr algn="l" rtl="0">
                <a:defRPr sz="1000"/>
              </a:pPr>
              <a:endParaRPr lang="en-GB" sz="900" b="1"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Fsom: Should ALWAYS be a (+) value</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1828800</xdr:colOff>
          <xdr:row>5</xdr:row>
          <xdr:rowOff>0</xdr:rowOff>
        </xdr:from>
        <xdr:to>
          <xdr:col>9</xdr:col>
          <xdr:colOff>965200</xdr:colOff>
          <xdr:row>8</xdr:row>
          <xdr:rowOff>101600</xdr:rowOff>
        </xdr:to>
        <xdr:sp macro="" textlink="">
          <xdr:nvSpPr>
            <xdr:cNvPr id="50184" name="Comment 8" hidden="1">
              <a:extLst>
                <a:ext uri="{FF2B5EF4-FFF2-40B4-BE49-F238E27FC236}">
                  <a16:creationId xmlns:a16="http://schemas.microsoft.com/office/drawing/2014/main" id="{D53A1BDE-7183-F34E-AEF5-B5B8273C11E8}"/>
                </a:ext>
              </a:extLst>
            </xdr:cNvPr>
            <xdr:cNvSpPr txBox="1">
              <a:spLocks noChangeArrowheads="1"/>
            </xdr:cNvSpPr>
          </xdr:nvSpPr>
          <xdr:spPr bwMode="auto">
            <a:xfrm>
              <a:off x="18681700" y="1168400"/>
              <a:ext cx="1231900" cy="7366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TABLE 4.12. (UPDATED), page 4.47</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0</xdr:colOff>
          <xdr:row>3</xdr:row>
          <xdr:rowOff>0</xdr:rowOff>
        </xdr:from>
        <xdr:to>
          <xdr:col>16</xdr:col>
          <xdr:colOff>863600</xdr:colOff>
          <xdr:row>10</xdr:row>
          <xdr:rowOff>0</xdr:rowOff>
        </xdr:to>
        <xdr:sp macro="" textlink="">
          <xdr:nvSpPr>
            <xdr:cNvPr id="50186" name="Comment 10" hidden="1">
              <a:extLst>
                <a:ext uri="{FF2B5EF4-FFF2-40B4-BE49-F238E27FC236}">
                  <a16:creationId xmlns:a16="http://schemas.microsoft.com/office/drawing/2014/main" id="{B06D902E-8F22-58DB-58F0-D0DA4F2183D9}"/>
                </a:ext>
              </a:extLst>
            </xdr:cNvPr>
            <xdr:cNvSpPr txBox="1">
              <a:spLocks noChangeArrowheads="1"/>
            </xdr:cNvSpPr>
          </xdr:nvSpPr>
          <xdr:spPr bwMode="auto">
            <a:xfrm>
              <a:off x="28359100" y="927100"/>
              <a:ext cx="18923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SOC before deforestation, SOC forest</a:t>
              </a: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101600</xdr:colOff>
          <xdr:row>16</xdr:row>
          <xdr:rowOff>0</xdr:rowOff>
        </xdr:from>
        <xdr:to>
          <xdr:col>18</xdr:col>
          <xdr:colOff>152400</xdr:colOff>
          <xdr:row>23</xdr:row>
          <xdr:rowOff>0</xdr:rowOff>
        </xdr:to>
        <xdr:sp macro="" textlink="">
          <xdr:nvSpPr>
            <xdr:cNvPr id="50187" name="Comment 11" hidden="1">
              <a:extLst>
                <a:ext uri="{FF2B5EF4-FFF2-40B4-BE49-F238E27FC236}">
                  <a16:creationId xmlns:a16="http://schemas.microsoft.com/office/drawing/2014/main" id="{9E58D8D7-78B0-3073-F4C0-229342F79D60}"/>
                </a:ext>
              </a:extLst>
            </xdr:cNvPr>
            <xdr:cNvSpPr txBox="1">
              <a:spLocks noChangeArrowheads="1"/>
            </xdr:cNvSpPr>
          </xdr:nvSpPr>
          <xdr:spPr bwMode="auto">
            <a:xfrm>
              <a:off x="29489400" y="3403600"/>
              <a:ext cx="2578100" cy="1460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Mass of fuel available for combustion</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1828800</xdr:colOff>
          <xdr:row>16</xdr:row>
          <xdr:rowOff>0</xdr:rowOff>
        </xdr:from>
        <xdr:to>
          <xdr:col>5</xdr:col>
          <xdr:colOff>965200</xdr:colOff>
          <xdr:row>20</xdr:row>
          <xdr:rowOff>50800</xdr:rowOff>
        </xdr:to>
        <xdr:sp macro="" textlink="">
          <xdr:nvSpPr>
            <xdr:cNvPr id="50188" name="Comment 12" hidden="1">
              <a:extLst>
                <a:ext uri="{FF2B5EF4-FFF2-40B4-BE49-F238E27FC236}">
                  <a16:creationId xmlns:a16="http://schemas.microsoft.com/office/drawing/2014/main" id="{84B813C3-4FDF-01BD-3AFB-09D41FC3105F}"/>
                </a:ext>
              </a:extLst>
            </xdr:cNvPr>
            <xdr:cNvSpPr txBox="1">
              <a:spLocks noChangeArrowheads="1"/>
            </xdr:cNvSpPr>
          </xdr:nvSpPr>
          <xdr:spPr bwMode="auto">
            <a:xfrm>
              <a:off x="10147300" y="3403600"/>
              <a:ext cx="1765300" cy="965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represents the % of fuel that has actually been combusted</a:t>
              </a: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101600</xdr:colOff>
          <xdr:row>5</xdr:row>
          <xdr:rowOff>101600</xdr:rowOff>
        </xdr:from>
        <xdr:to>
          <xdr:col>21</xdr:col>
          <xdr:colOff>2286000</xdr:colOff>
          <xdr:row>11</xdr:row>
          <xdr:rowOff>152400</xdr:rowOff>
        </xdr:to>
        <xdr:sp macro="" textlink="">
          <xdr:nvSpPr>
            <xdr:cNvPr id="50191" name="Comment 15" hidden="1">
              <a:extLst>
                <a:ext uri="{FF2B5EF4-FFF2-40B4-BE49-F238E27FC236}">
                  <a16:creationId xmlns:a16="http://schemas.microsoft.com/office/drawing/2014/main" id="{87E4086E-2D4A-0472-576F-06970AF587A1}"/>
                </a:ext>
              </a:extLst>
            </xdr:cNvPr>
            <xdr:cNvSpPr txBox="1">
              <a:spLocks noChangeArrowheads="1"/>
            </xdr:cNvSpPr>
          </xdr:nvSpPr>
          <xdr:spPr bwMode="auto">
            <a:xfrm>
              <a:off x="36626800" y="1270000"/>
              <a:ext cx="2184400" cy="1295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SOC before deforestation, SOC forest</a:t>
              </a:r>
            </a:p>
          </xdr:txBody>
        </xdr:sp>
        <xdr:clientData/>
      </xdr:twoCellAnchor>
    </mc:Fallback>
  </mc:AlternateContent>
</xdr:wsDr>
</file>

<file path=xl/drawings/drawing4.xml><?xml version="1.0" encoding="utf-8"?>
<xdr:wsDr xmlns:xdr="http://purl.oclc.org/ooxml/drawingml/spreadsheetDrawing" xmlns:a="http://purl.oclc.org/ooxml/drawingml/main">
  <xdr:twoCellAnchor>
    <xdr:from>
      <xdr:col>19</xdr:col>
      <xdr:colOff>106954</xdr:colOff>
      <xdr:row>16</xdr:row>
      <xdr:rowOff>25309</xdr:rowOff>
    </xdr:from>
    <xdr:to>
      <xdr:col>20</xdr:col>
      <xdr:colOff>838201</xdr:colOff>
      <xdr:row>18</xdr:row>
      <xdr:rowOff>124369</xdr:rowOff>
    </xdr:to>
    <xdr:sp macro="" textlink="">
      <xdr:nvSpPr>
        <xdr:cNvPr id="14" name="Arrow: Curved Up 13">
          <a:extLst>
            <a:ext uri="{FF2B5EF4-FFF2-40B4-BE49-F238E27FC236}">
              <a16:creationId xmlns:a16="http://schemas.microsoft.com/office/drawing/2014/main" id="{00000000-0008-0000-0200-00000E000000}"/>
            </a:ext>
          </a:extLst>
        </xdr:cNvPr>
        <xdr:cNvSpPr/>
      </xdr:nvSpPr>
      <xdr:spPr>
        <a:xfrm flipV="1">
          <a:off x="33034879" y="3863884"/>
          <a:ext cx="2055222" cy="480060"/>
        </a:xfrm>
        <a:prstGeom prst="curvedUp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mc:AlternateContent xmlns:mc="http://schemas.openxmlformats.org/markup-compatibility/2006">
    <mc:Choice xmlns:v="urn:schemas-microsoft-com:vml" Requires="v"/>
    <mc:Fallback>
      <xdr:twoCellAnchor editAs="absolute">
        <xdr:from>
          <xdr:col>5</xdr:col>
          <xdr:colOff>203200</xdr:colOff>
          <xdr:row>16</xdr:row>
          <xdr:rowOff>0</xdr:rowOff>
        </xdr:from>
        <xdr:to>
          <xdr:col>7</xdr:col>
          <xdr:colOff>3352800</xdr:colOff>
          <xdr:row>26</xdr:row>
          <xdr:rowOff>50800</xdr:rowOff>
        </xdr:to>
        <xdr:sp macro="" textlink="">
          <xdr:nvSpPr>
            <xdr:cNvPr id="70658" name="Comment 2" hidden="1">
              <a:extLst>
                <a:ext uri="{FF2B5EF4-FFF2-40B4-BE49-F238E27FC236}">
                  <a16:creationId xmlns:a16="http://schemas.microsoft.com/office/drawing/2014/main" id="{DC0CBDA1-AC53-D987-DE01-55951B210D10}"/>
                </a:ext>
              </a:extLst>
            </xdr:cNvPr>
            <xdr:cNvSpPr txBox="1">
              <a:spLocks noChangeArrowheads="1"/>
            </xdr:cNvSpPr>
          </xdr:nvSpPr>
          <xdr:spPr bwMode="auto">
            <a:xfrm>
              <a:off x="13792200" y="3848100"/>
              <a:ext cx="5168900" cy="19939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For Grassland</a:t>
              </a:r>
              <a:r>
                <a:rPr lang="en-GB" sz="900" b="0" i="0" u="none" strike="noStrike" baseline="0%">
                  <a:solidFill>
                    <a:srgbClr val="000000"/>
                  </a:solidFill>
                  <a:latin typeface="Tahoma" pitchFamily="2" charset="0"/>
                  <a:ea typeface="Tahoma" pitchFamily="2" charset="0"/>
                  <a:cs typeface="Tahoma" pitchFamily="2" charset="0"/>
                </a:rPr>
                <a:t>: Total (above-ground and below-ground) non-woody</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biomass2 (tonnes d.m./ha).</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For Annual crops = Rice = Annual Fallow</a:t>
              </a:r>
              <a:r>
                <a:rPr lang="en-GB" sz="900" b="0" i="0" u="none" strike="noStrike" baseline="0%">
                  <a:solidFill>
                    <a:srgbClr val="000000"/>
                  </a:solidFill>
                  <a:latin typeface="Tahoma" pitchFamily="2" charset="0"/>
                  <a:ea typeface="Tahoma" pitchFamily="2" charset="0"/>
                  <a:cs typeface="Tahoma" pitchFamily="2" charset="0"/>
                </a:rPr>
                <a:t> = only AGB  (tonnes d.m./ha/year).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For agroforestry :</a:t>
              </a:r>
              <a:r>
                <a:rPr lang="en-GB" sz="900" b="0" i="0" u="none" strike="noStrike" baseline="0%">
                  <a:solidFill>
                    <a:srgbClr val="000000"/>
                  </a:solidFill>
                  <a:latin typeface="Tahoma" pitchFamily="2" charset="0"/>
                  <a:ea typeface="Tahoma" pitchFamily="2" charset="0"/>
                  <a:cs typeface="Tahoma" pitchFamily="2" charset="0"/>
                </a:rPr>
                <a:t> the Lmean was used</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r>
                <a:rPr lang="en-GB" sz="900" b="1" i="0" u="none" strike="noStrike" baseline="0%">
                  <a:solidFill>
                    <a:srgbClr val="000000"/>
                  </a:solidFill>
                  <a:latin typeface="Tahoma" pitchFamily="2" charset="0"/>
                  <a:ea typeface="Tahoma" pitchFamily="2" charset="0"/>
                  <a:cs typeface="Tahoma" pitchFamily="2" charset="0"/>
                </a:rPr>
                <a:t> [ See page 5.14 in IPCC 2019]</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406400</xdr:colOff>
          <xdr:row>14</xdr:row>
          <xdr:rowOff>50800</xdr:rowOff>
        </xdr:from>
        <xdr:to>
          <xdr:col>20</xdr:col>
          <xdr:colOff>508000</xdr:colOff>
          <xdr:row>18</xdr:row>
          <xdr:rowOff>0</xdr:rowOff>
        </xdr:to>
        <xdr:sp macro="" textlink="">
          <xdr:nvSpPr>
            <xdr:cNvPr id="70659" name="Comment 3" hidden="1">
              <a:extLst>
                <a:ext uri="{FF2B5EF4-FFF2-40B4-BE49-F238E27FC236}">
                  <a16:creationId xmlns:a16="http://schemas.microsoft.com/office/drawing/2014/main" id="{F429EBB1-A4F6-01B5-00BB-E178AB31C59F}"/>
                </a:ext>
              </a:extLst>
            </xdr:cNvPr>
            <xdr:cNvSpPr txBox="1">
              <a:spLocks noChangeArrowheads="1"/>
            </xdr:cNvSpPr>
          </xdr:nvSpPr>
          <xdr:spPr bwMode="auto">
            <a:xfrm>
              <a:off x="36982400" y="3517900"/>
              <a:ext cx="1574800" cy="711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double checked!!!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2438400</xdr:colOff>
          <xdr:row>27</xdr:row>
          <xdr:rowOff>0</xdr:rowOff>
        </xdr:from>
        <xdr:to>
          <xdr:col>5</xdr:col>
          <xdr:colOff>914400</xdr:colOff>
          <xdr:row>34</xdr:row>
          <xdr:rowOff>0</xdr:rowOff>
        </xdr:to>
        <xdr:sp macro="" textlink="">
          <xdr:nvSpPr>
            <xdr:cNvPr id="70661" name="Comment 5" hidden="1">
              <a:extLst>
                <a:ext uri="{FF2B5EF4-FFF2-40B4-BE49-F238E27FC236}">
                  <a16:creationId xmlns:a16="http://schemas.microsoft.com/office/drawing/2014/main" id="{3C37B364-A592-8F30-E378-1F427A068AD7}"/>
                </a:ext>
              </a:extLst>
            </xdr:cNvPr>
            <xdr:cNvSpPr txBox="1">
              <a:spLocks noChangeArrowheads="1"/>
            </xdr:cNvSpPr>
          </xdr:nvSpPr>
          <xdr:spPr bwMode="auto">
            <a:xfrm>
              <a:off x="11531600" y="5969000"/>
              <a:ext cx="2971800" cy="12446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DOM we consider the removals occcuring the first 20 years!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DOM &gt; 20 years is not taken into account</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revised</a:t>
              </a: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812800</xdr:colOff>
          <xdr:row>3</xdr:row>
          <xdr:rowOff>0</xdr:rowOff>
        </xdr:from>
        <xdr:to>
          <xdr:col>26</xdr:col>
          <xdr:colOff>254000</xdr:colOff>
          <xdr:row>6</xdr:row>
          <xdr:rowOff>0</xdr:rowOff>
        </xdr:to>
        <xdr:sp macro="" textlink="">
          <xdr:nvSpPr>
            <xdr:cNvPr id="70666" name="Comment 10" hidden="1">
              <a:extLst>
                <a:ext uri="{FF2B5EF4-FFF2-40B4-BE49-F238E27FC236}">
                  <a16:creationId xmlns:a16="http://schemas.microsoft.com/office/drawing/2014/main" id="{CACFA5A7-91F2-6ADE-0781-DCEABA71EB8F}"/>
                </a:ext>
              </a:extLst>
            </xdr:cNvPr>
            <xdr:cNvSpPr txBox="1">
              <a:spLocks noChangeArrowheads="1"/>
            </xdr:cNvSpPr>
          </xdr:nvSpPr>
          <xdr:spPr bwMode="auto">
            <a:xfrm>
              <a:off x="43649900" y="1295400"/>
              <a:ext cx="1435100" cy="6731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SOC in the  final land use --&gt; SOC in Forest after afforestation</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1828800</xdr:colOff>
          <xdr:row>16</xdr:row>
          <xdr:rowOff>50800</xdr:rowOff>
        </xdr:from>
        <xdr:to>
          <xdr:col>8</xdr:col>
          <xdr:colOff>3962400</xdr:colOff>
          <xdr:row>21</xdr:row>
          <xdr:rowOff>0</xdr:rowOff>
        </xdr:to>
        <xdr:sp macro="" textlink="">
          <xdr:nvSpPr>
            <xdr:cNvPr id="70667" name="Comment 11" hidden="1">
              <a:extLst>
                <a:ext uri="{FF2B5EF4-FFF2-40B4-BE49-F238E27FC236}">
                  <a16:creationId xmlns:a16="http://schemas.microsoft.com/office/drawing/2014/main" id="{F56FCE7A-624E-032F-B869-51CC05C6C206}"/>
                </a:ext>
              </a:extLst>
            </xdr:cNvPr>
            <xdr:cNvSpPr txBox="1">
              <a:spLocks noChangeArrowheads="1"/>
            </xdr:cNvSpPr>
          </xdr:nvSpPr>
          <xdr:spPr bwMode="auto">
            <a:xfrm>
              <a:off x="20789900" y="3898900"/>
              <a:ext cx="1562100" cy="952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SOC in the initial land use BEFORE afforestation</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1828800</xdr:colOff>
          <xdr:row>17</xdr:row>
          <xdr:rowOff>0</xdr:rowOff>
        </xdr:from>
        <xdr:to>
          <xdr:col>8</xdr:col>
          <xdr:colOff>3403600</xdr:colOff>
          <xdr:row>23</xdr:row>
          <xdr:rowOff>0</xdr:rowOff>
        </xdr:to>
        <xdr:sp macro="" textlink="">
          <xdr:nvSpPr>
            <xdr:cNvPr id="70668" name="Comment 12" hidden="1">
              <a:extLst>
                <a:ext uri="{FF2B5EF4-FFF2-40B4-BE49-F238E27FC236}">
                  <a16:creationId xmlns:a16="http://schemas.microsoft.com/office/drawing/2014/main" id="{A448B7DD-48F2-9CBC-EC24-9C6EDB438A3E}"/>
                </a:ext>
              </a:extLst>
            </xdr:cNvPr>
            <xdr:cNvSpPr txBox="1">
              <a:spLocks noChangeArrowheads="1"/>
            </xdr:cNvSpPr>
          </xdr:nvSpPr>
          <xdr:spPr bwMode="auto">
            <a:xfrm>
              <a:off x="20789900" y="4038600"/>
              <a:ext cx="1562100" cy="1219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FLU of land uses converted to FL</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609600</xdr:colOff>
          <xdr:row>14</xdr:row>
          <xdr:rowOff>50800</xdr:rowOff>
        </xdr:from>
        <xdr:to>
          <xdr:col>11</xdr:col>
          <xdr:colOff>1270000</xdr:colOff>
          <xdr:row>18</xdr:row>
          <xdr:rowOff>0</xdr:rowOff>
        </xdr:to>
        <xdr:sp macro="" textlink="">
          <xdr:nvSpPr>
            <xdr:cNvPr id="70670" name="Comment 14" hidden="1">
              <a:extLst>
                <a:ext uri="{FF2B5EF4-FFF2-40B4-BE49-F238E27FC236}">
                  <a16:creationId xmlns:a16="http://schemas.microsoft.com/office/drawing/2014/main" id="{CB616819-D546-7DDA-87C6-7D0144456BD3}"/>
                </a:ext>
              </a:extLst>
            </xdr:cNvPr>
            <xdr:cNvSpPr txBox="1">
              <a:spLocks noChangeArrowheads="1"/>
            </xdr:cNvSpPr>
          </xdr:nvSpPr>
          <xdr:spPr bwMode="auto">
            <a:xfrm>
              <a:off x="24371300" y="3517900"/>
              <a:ext cx="1600200" cy="711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Please double check these values!!!</a:t>
              </a: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0</xdr:colOff>
          <xdr:row>17</xdr:row>
          <xdr:rowOff>0</xdr:rowOff>
        </xdr:from>
        <xdr:to>
          <xdr:col>12</xdr:col>
          <xdr:colOff>203200</xdr:colOff>
          <xdr:row>22</xdr:row>
          <xdr:rowOff>0</xdr:rowOff>
        </xdr:to>
        <xdr:sp macro="" textlink="">
          <xdr:nvSpPr>
            <xdr:cNvPr id="70671" name="Comment 15" hidden="1">
              <a:extLst>
                <a:ext uri="{FF2B5EF4-FFF2-40B4-BE49-F238E27FC236}">
                  <a16:creationId xmlns:a16="http://schemas.microsoft.com/office/drawing/2014/main" id="{7FA456AF-0C47-967A-21B8-4F9FA5357F33}"/>
                </a:ext>
              </a:extLst>
            </xdr:cNvPr>
            <xdr:cNvSpPr txBox="1">
              <a:spLocks noChangeArrowheads="1"/>
            </xdr:cNvSpPr>
          </xdr:nvSpPr>
          <xdr:spPr bwMode="auto">
            <a:xfrm>
              <a:off x="24701500" y="4038600"/>
              <a:ext cx="1536700" cy="1041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Please double check!!!! Numbers are higher than EX-ACT v7</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609600</xdr:colOff>
          <xdr:row>17</xdr:row>
          <xdr:rowOff>0</xdr:rowOff>
        </xdr:from>
        <xdr:to>
          <xdr:col>13</xdr:col>
          <xdr:colOff>1016000</xdr:colOff>
          <xdr:row>21</xdr:row>
          <xdr:rowOff>0</xdr:rowOff>
        </xdr:to>
        <xdr:sp macro="" textlink="">
          <xdr:nvSpPr>
            <xdr:cNvPr id="70672" name="Comment 16" hidden="1">
              <a:extLst>
                <a:ext uri="{FF2B5EF4-FFF2-40B4-BE49-F238E27FC236}">
                  <a16:creationId xmlns:a16="http://schemas.microsoft.com/office/drawing/2014/main" id="{14CDEACE-7611-6DA8-D243-6E2231F91B76}"/>
                </a:ext>
              </a:extLst>
            </xdr:cNvPr>
            <xdr:cNvSpPr txBox="1">
              <a:spLocks noChangeArrowheads="1"/>
            </xdr:cNvSpPr>
          </xdr:nvSpPr>
          <xdr:spPr bwMode="auto">
            <a:xfrm>
              <a:off x="26644600" y="4038600"/>
              <a:ext cx="1587500" cy="812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Please double check!!!! Numbers are higher than EX-ACT v7</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0</xdr:colOff>
          <xdr:row>17</xdr:row>
          <xdr:rowOff>0</xdr:rowOff>
        </xdr:from>
        <xdr:to>
          <xdr:col>8</xdr:col>
          <xdr:colOff>2438400</xdr:colOff>
          <xdr:row>24</xdr:row>
          <xdr:rowOff>0</xdr:rowOff>
        </xdr:to>
        <xdr:sp macro="" textlink="">
          <xdr:nvSpPr>
            <xdr:cNvPr id="70673" name="Comment 17" hidden="1">
              <a:extLst>
                <a:ext uri="{FF2B5EF4-FFF2-40B4-BE49-F238E27FC236}">
                  <a16:creationId xmlns:a16="http://schemas.microsoft.com/office/drawing/2014/main" id="{2143A769-C243-B28A-B33B-0E0166B69B8F}"/>
                </a:ext>
              </a:extLst>
            </xdr:cNvPr>
            <xdr:cNvSpPr txBox="1">
              <a:spLocks noChangeArrowheads="1"/>
            </xdr:cNvSpPr>
          </xdr:nvSpPr>
          <xdr:spPr bwMode="auto">
            <a:xfrm>
              <a:off x="18961100" y="4038600"/>
              <a:ext cx="2438400" cy="1397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double check the LUs converted to FL. Should we keep the class other land non-vegetated?</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50800</xdr:colOff>
          <xdr:row>14</xdr:row>
          <xdr:rowOff>50800</xdr:rowOff>
        </xdr:from>
        <xdr:to>
          <xdr:col>16</xdr:col>
          <xdr:colOff>1016000</xdr:colOff>
          <xdr:row>23</xdr:row>
          <xdr:rowOff>0</xdr:rowOff>
        </xdr:to>
        <xdr:sp macro="" textlink="">
          <xdr:nvSpPr>
            <xdr:cNvPr id="70674" name="Comment 18" hidden="1">
              <a:extLst>
                <a:ext uri="{FF2B5EF4-FFF2-40B4-BE49-F238E27FC236}">
                  <a16:creationId xmlns:a16="http://schemas.microsoft.com/office/drawing/2014/main" id="{785AB043-B6CA-F0BB-3A6C-5F3F32A9EC64}"/>
                </a:ext>
              </a:extLst>
            </xdr:cNvPr>
            <xdr:cNvSpPr txBox="1">
              <a:spLocks noChangeArrowheads="1"/>
            </xdr:cNvSpPr>
          </xdr:nvSpPr>
          <xdr:spPr bwMode="auto">
            <a:xfrm>
              <a:off x="30619700" y="3517900"/>
              <a:ext cx="2235200" cy="17399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crop it is estimated that residues after crop is 40% [ assumptuion made din EX-ACT v7)</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fraction is 0.4</a:t>
              </a: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152400</xdr:colOff>
          <xdr:row>18</xdr:row>
          <xdr:rowOff>101600</xdr:rowOff>
        </xdr:from>
        <xdr:to>
          <xdr:col>34</xdr:col>
          <xdr:colOff>457200</xdr:colOff>
          <xdr:row>21</xdr:row>
          <xdr:rowOff>152400</xdr:rowOff>
        </xdr:to>
        <xdr:sp macro="" textlink="">
          <xdr:nvSpPr>
            <xdr:cNvPr id="70681" name="Comment 25" hidden="1">
              <a:extLst>
                <a:ext uri="{FF2B5EF4-FFF2-40B4-BE49-F238E27FC236}">
                  <a16:creationId xmlns:a16="http://schemas.microsoft.com/office/drawing/2014/main" id="{524A5F16-CA5D-CC5F-746D-45A57CECFDDE}"/>
                </a:ext>
              </a:extLst>
            </xdr:cNvPr>
            <xdr:cNvSpPr txBox="1">
              <a:spLocks noChangeArrowheads="1"/>
            </xdr:cNvSpPr>
          </xdr:nvSpPr>
          <xdr:spPr bwMode="auto">
            <a:xfrm>
              <a:off x="49174400" y="4330700"/>
              <a:ext cx="2438400" cy="6731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Maestripieri, Lorenzo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simplified approach - assuming DOM would reach reference level after 20 years in accordance with 2006 GNGGI 4.3.2</a:t>
              </a:r>
            </a:p>
          </xdr:txBody>
        </xdr:sp>
        <xdr:clientData/>
      </xdr:twoCellAnchor>
    </mc:Fallback>
  </mc:AlternateContent>
</xdr:wsDr>
</file>

<file path=xl/drawings/drawing5.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4</xdr:col>
          <xdr:colOff>1219200</xdr:colOff>
          <xdr:row>17</xdr:row>
          <xdr:rowOff>50800</xdr:rowOff>
        </xdr:from>
        <xdr:to>
          <xdr:col>6</xdr:col>
          <xdr:colOff>0</xdr:colOff>
          <xdr:row>23</xdr:row>
          <xdr:rowOff>0</xdr:rowOff>
        </xdr:to>
        <xdr:sp macro="" textlink="">
          <xdr:nvSpPr>
            <xdr:cNvPr id="81921" name="Comment 1" hidden="1">
              <a:extLst>
                <a:ext uri="{FF2B5EF4-FFF2-40B4-BE49-F238E27FC236}">
                  <a16:creationId xmlns:a16="http://schemas.microsoft.com/office/drawing/2014/main" id="{A0A0C8AA-2867-1883-1BC1-DB05944036DF}"/>
                </a:ext>
              </a:extLst>
            </xdr:cNvPr>
            <xdr:cNvSpPr txBox="1">
              <a:spLocks noChangeArrowheads="1"/>
            </xdr:cNvSpPr>
          </xdr:nvSpPr>
          <xdr:spPr bwMode="auto">
            <a:xfrm>
              <a:off x="4356100" y="4140200"/>
              <a:ext cx="1892300" cy="1143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 values --&gt; CO2 emissions</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 ( - ) values --&gt; CO2 removals</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762000</xdr:colOff>
          <xdr:row>17</xdr:row>
          <xdr:rowOff>0</xdr:rowOff>
        </xdr:from>
        <xdr:to>
          <xdr:col>4</xdr:col>
          <xdr:colOff>1473200</xdr:colOff>
          <xdr:row>20</xdr:row>
          <xdr:rowOff>0</xdr:rowOff>
        </xdr:to>
        <xdr:sp macro="" textlink="">
          <xdr:nvSpPr>
            <xdr:cNvPr id="81922" name="Comment 2" hidden="1">
              <a:extLst>
                <a:ext uri="{FF2B5EF4-FFF2-40B4-BE49-F238E27FC236}">
                  <a16:creationId xmlns:a16="http://schemas.microsoft.com/office/drawing/2014/main" id="{28BB262F-FDF6-4C18-D050-4C08A3E4C5C0}"/>
                </a:ext>
              </a:extLst>
            </xdr:cNvPr>
            <xdr:cNvSpPr txBox="1">
              <a:spLocks noChangeArrowheads="1"/>
            </xdr:cNvSpPr>
          </xdr:nvSpPr>
          <xdr:spPr bwMode="auto">
            <a:xfrm>
              <a:off x="2946400" y="4089400"/>
              <a:ext cx="1663700" cy="571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 values --&gt; emissions</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 ( - ) values --&gt; removals</a:t>
              </a: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609600</xdr:colOff>
          <xdr:row>17</xdr:row>
          <xdr:rowOff>0</xdr:rowOff>
        </xdr:from>
        <xdr:to>
          <xdr:col>10</xdr:col>
          <xdr:colOff>914400</xdr:colOff>
          <xdr:row>20</xdr:row>
          <xdr:rowOff>101600</xdr:rowOff>
        </xdr:to>
        <xdr:sp macro="" textlink="">
          <xdr:nvSpPr>
            <xdr:cNvPr id="81926" name="Comment 6" hidden="1">
              <a:extLst>
                <a:ext uri="{FF2B5EF4-FFF2-40B4-BE49-F238E27FC236}">
                  <a16:creationId xmlns:a16="http://schemas.microsoft.com/office/drawing/2014/main" id="{F3F3E23D-870D-B43B-4ACA-4724F58498C1}"/>
                </a:ext>
              </a:extLst>
            </xdr:cNvPr>
            <xdr:cNvSpPr txBox="1">
              <a:spLocks noChangeArrowheads="1"/>
            </xdr:cNvSpPr>
          </xdr:nvSpPr>
          <xdr:spPr bwMode="auto">
            <a:xfrm>
              <a:off x="10566400" y="4089400"/>
              <a:ext cx="1574800" cy="6731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Double check Cf and Gef!!!</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50800</xdr:colOff>
          <xdr:row>17</xdr:row>
          <xdr:rowOff>0</xdr:rowOff>
        </xdr:from>
        <xdr:to>
          <xdr:col>8</xdr:col>
          <xdr:colOff>965200</xdr:colOff>
          <xdr:row>24</xdr:row>
          <xdr:rowOff>0</xdr:rowOff>
        </xdr:to>
        <xdr:sp macro="" textlink="">
          <xdr:nvSpPr>
            <xdr:cNvPr id="81927" name="Comment 7" hidden="1">
              <a:extLst>
                <a:ext uri="{FF2B5EF4-FFF2-40B4-BE49-F238E27FC236}">
                  <a16:creationId xmlns:a16="http://schemas.microsoft.com/office/drawing/2014/main" id="{6546EF63-D3A1-AC37-7210-B73227861589}"/>
                </a:ext>
              </a:extLst>
            </xdr:cNvPr>
            <xdr:cNvSpPr txBox="1">
              <a:spLocks noChangeArrowheads="1"/>
            </xdr:cNvSpPr>
          </xdr:nvSpPr>
          <xdr:spPr bwMode="auto">
            <a:xfrm>
              <a:off x="7480300" y="4089400"/>
              <a:ext cx="2260600" cy="13843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values =&gt; SOC loss</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 values =&gt; SOC gain</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ΔC soil = SOC final - SOC initial</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3098800</xdr:colOff>
          <xdr:row>18</xdr:row>
          <xdr:rowOff>0</xdr:rowOff>
        </xdr:from>
        <xdr:to>
          <xdr:col>9</xdr:col>
          <xdr:colOff>1219200</xdr:colOff>
          <xdr:row>22</xdr:row>
          <xdr:rowOff>0</xdr:rowOff>
        </xdr:to>
        <xdr:sp macro="" textlink="">
          <xdr:nvSpPr>
            <xdr:cNvPr id="81928" name="Comment 8" hidden="1">
              <a:extLst>
                <a:ext uri="{FF2B5EF4-FFF2-40B4-BE49-F238E27FC236}">
                  <a16:creationId xmlns:a16="http://schemas.microsoft.com/office/drawing/2014/main" id="{24129CF6-6147-4B08-A639-59C38B299539}"/>
                </a:ext>
              </a:extLst>
            </xdr:cNvPr>
            <xdr:cNvSpPr txBox="1">
              <a:spLocks noChangeArrowheads="1"/>
            </xdr:cNvSpPr>
          </xdr:nvSpPr>
          <xdr:spPr bwMode="auto">
            <a:xfrm>
              <a:off x="8775700" y="4279900"/>
              <a:ext cx="2400300" cy="787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som: Should ALWAYS be a (+) value</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50800</xdr:colOff>
          <xdr:row>17</xdr:row>
          <xdr:rowOff>0</xdr:rowOff>
        </xdr:from>
        <xdr:to>
          <xdr:col>11</xdr:col>
          <xdr:colOff>1219200</xdr:colOff>
          <xdr:row>24</xdr:row>
          <xdr:rowOff>0</xdr:rowOff>
        </xdr:to>
        <xdr:sp macro="" textlink="">
          <xdr:nvSpPr>
            <xdr:cNvPr id="81929" name="Comment 9" hidden="1">
              <a:extLst>
                <a:ext uri="{FF2B5EF4-FFF2-40B4-BE49-F238E27FC236}">
                  <a16:creationId xmlns:a16="http://schemas.microsoft.com/office/drawing/2014/main" id="{2E090138-3871-B702-5504-AA1FEB9B7084}"/>
                </a:ext>
              </a:extLst>
            </xdr:cNvPr>
            <xdr:cNvSpPr txBox="1">
              <a:spLocks noChangeArrowheads="1"/>
            </xdr:cNvSpPr>
          </xdr:nvSpPr>
          <xdr:spPr bwMode="auto">
            <a:xfrm>
              <a:off x="11277600" y="4089400"/>
              <a:ext cx="2349500" cy="13843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crop it is estimated that residues after crop is 40%</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Assumption taken from EX-ACTv7</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50800</xdr:colOff>
          <xdr:row>19</xdr:row>
          <xdr:rowOff>0</xdr:rowOff>
        </xdr:from>
        <xdr:to>
          <xdr:col>14</xdr:col>
          <xdr:colOff>406400</xdr:colOff>
          <xdr:row>23</xdr:row>
          <xdr:rowOff>0</xdr:rowOff>
        </xdr:to>
        <xdr:sp macro="" textlink="">
          <xdr:nvSpPr>
            <xdr:cNvPr id="81933" name="Comment 13" hidden="1">
              <a:extLst>
                <a:ext uri="{FF2B5EF4-FFF2-40B4-BE49-F238E27FC236}">
                  <a16:creationId xmlns:a16="http://schemas.microsoft.com/office/drawing/2014/main" id="{8A7BC735-B0A5-702E-A4EE-DBE017B50691}"/>
                </a:ext>
              </a:extLst>
            </xdr:cNvPr>
            <xdr:cNvSpPr txBox="1">
              <a:spLocks noChangeArrowheads="1"/>
            </xdr:cNvSpPr>
          </xdr:nvSpPr>
          <xdr:spPr bwMode="auto">
            <a:xfrm>
              <a:off x="15049500" y="4470400"/>
              <a:ext cx="1625600" cy="812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Double check Cf and Gef!!!</a:t>
              </a:r>
            </a:p>
          </xdr:txBody>
        </xdr:sp>
        <xdr:clientData/>
      </xdr:twoCellAnchor>
    </mc:Fallback>
  </mc:AlternateContent>
</xdr:wsDr>
</file>

<file path=xl/drawings/drawing6.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2</xdr:col>
          <xdr:colOff>1270000</xdr:colOff>
          <xdr:row>21</xdr:row>
          <xdr:rowOff>0</xdr:rowOff>
        </xdr:from>
        <xdr:to>
          <xdr:col>3</xdr:col>
          <xdr:colOff>101600</xdr:colOff>
          <xdr:row>25</xdr:row>
          <xdr:rowOff>0</xdr:rowOff>
        </xdr:to>
        <xdr:sp macro="" textlink="">
          <xdr:nvSpPr>
            <xdr:cNvPr id="6150" name="Comment 6" hidden="1">
              <a:extLst>
                <a:ext uri="{FF2B5EF4-FFF2-40B4-BE49-F238E27FC236}">
                  <a16:creationId xmlns:a16="http://schemas.microsoft.com/office/drawing/2014/main" id="{E5C3B5FA-EFE4-87E2-B32B-90F752CD7512}"/>
                </a:ext>
              </a:extLst>
            </xdr:cNvPr>
            <xdr:cNvSpPr txBox="1">
              <a:spLocks noChangeArrowheads="1"/>
            </xdr:cNvSpPr>
          </xdr:nvSpPr>
          <xdr:spPr bwMode="auto">
            <a:xfrm>
              <a:off x="8267700" y="5232400"/>
              <a:ext cx="12319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95"/>
                  <a:ea typeface="Tahoma" pitchFamily="2" charset="-95"/>
                  <a:cs typeface="Tahoma" pitchFamily="2" charset="-95"/>
                </a:rPr>
                <a:t>DELL:</a:t>
              </a:r>
              <a:endParaRPr lang="en-GB" sz="900" b="0" i="0" u="none" strike="noStrike" baseline="0%">
                <a:solidFill>
                  <a:srgbClr val="000000"/>
                </a:solidFill>
                <a:latin typeface="Tahoma" pitchFamily="2" charset="-95"/>
                <a:ea typeface="Tahoma" pitchFamily="2" charset="-95"/>
                <a:cs typeface="Tahoma" pitchFamily="2" charset="-95"/>
              </a:endParaRPr>
            </a:p>
            <a:p>
              <a:pPr algn="l" rtl="0">
                <a:defRPr sz="1000"/>
              </a:pPr>
              <a:r>
                <a:rPr lang="en-GB" sz="900" b="0" i="0" u="none" strike="noStrike" baseline="0%">
                  <a:solidFill>
                    <a:srgbClr val="000000"/>
                  </a:solidFill>
                  <a:latin typeface="Tahoma" pitchFamily="2" charset="-95"/>
                  <a:ea typeface="Tahoma" pitchFamily="2" charset="-95"/>
                  <a:cs typeface="Tahoma" pitchFamily="2" charset="-95"/>
                </a:rPr>
                <a:t>ipcc 2006, Table 11.2, page 11.17</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4267200</xdr:colOff>
          <xdr:row>52</xdr:row>
          <xdr:rowOff>0</xdr:rowOff>
        </xdr:from>
        <xdr:to>
          <xdr:col>1</xdr:col>
          <xdr:colOff>1828800</xdr:colOff>
          <xdr:row>59</xdr:row>
          <xdr:rowOff>0</xdr:rowOff>
        </xdr:to>
        <xdr:sp macro="" textlink="">
          <xdr:nvSpPr>
            <xdr:cNvPr id="6152" name="Comment 8" hidden="1">
              <a:extLst>
                <a:ext uri="{FF2B5EF4-FFF2-40B4-BE49-F238E27FC236}">
                  <a16:creationId xmlns:a16="http://schemas.microsoft.com/office/drawing/2014/main" id="{E1CED202-ACB1-F255-8446-863211229ACF}"/>
                </a:ext>
              </a:extLst>
            </xdr:cNvPr>
            <xdr:cNvSpPr txBox="1">
              <a:spLocks noChangeArrowheads="1"/>
            </xdr:cNvSpPr>
          </xdr:nvSpPr>
          <xdr:spPr bwMode="auto">
            <a:xfrm>
              <a:off x="4267200" y="11176000"/>
              <a:ext cx="2730500" cy="1346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Represents area that has been converted from native conditions and continuously managed for predominantly annual crops over 50 yrs. Land-use factor has been estimated under a baseline condition of full tillage and nominal (‘medium”) carbon input levels. Input and tillage factors are also applied to estimate carbon stock changes, which incudes changes from full tillage and medium input</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3149600</xdr:colOff>
          <xdr:row>61</xdr:row>
          <xdr:rowOff>0</xdr:rowOff>
        </xdr:from>
        <xdr:to>
          <xdr:col>1</xdr:col>
          <xdr:colOff>1219200</xdr:colOff>
          <xdr:row>70</xdr:row>
          <xdr:rowOff>0</xdr:rowOff>
        </xdr:to>
        <xdr:sp macro="" textlink="">
          <xdr:nvSpPr>
            <xdr:cNvPr id="6153" name="Comment 9" hidden="1">
              <a:extLst>
                <a:ext uri="{FF2B5EF4-FFF2-40B4-BE49-F238E27FC236}">
                  <a16:creationId xmlns:a16="http://schemas.microsoft.com/office/drawing/2014/main" id="{455FEF49-11F4-33CA-24A2-B52E00C7782D}"/>
                </a:ext>
              </a:extLst>
            </xdr:cNvPr>
            <xdr:cNvSpPr txBox="1">
              <a:spLocks noChangeArrowheads="1"/>
            </xdr:cNvSpPr>
          </xdr:nvSpPr>
          <xdr:spPr bwMode="auto">
            <a:xfrm>
              <a:off x="3149600" y="12903200"/>
              <a:ext cx="3365500" cy="1714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There were not enough studies to estimate some of the stock change factors for mineral soils in the tropical montane climate region. As an approximation, the average stock change between the temperate and tropical regions was used to approximate the stock change for the tropical montane climate.</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2743200</xdr:colOff>
          <xdr:row>92</xdr:row>
          <xdr:rowOff>50800</xdr:rowOff>
        </xdr:from>
        <xdr:to>
          <xdr:col>1</xdr:col>
          <xdr:colOff>190500</xdr:colOff>
          <xdr:row>100</xdr:row>
          <xdr:rowOff>50800</xdr:rowOff>
        </xdr:to>
        <xdr:sp macro="" textlink="">
          <xdr:nvSpPr>
            <xdr:cNvPr id="6154" name="Comment 10" hidden="1">
              <a:extLst>
                <a:ext uri="{FF2B5EF4-FFF2-40B4-BE49-F238E27FC236}">
                  <a16:creationId xmlns:a16="http://schemas.microsoft.com/office/drawing/2014/main" id="{0D5C2499-8659-8E48-292C-E4CB36F81853}"/>
                </a:ext>
              </a:extLst>
            </xdr:cNvPr>
            <xdr:cNvSpPr txBox="1">
              <a:spLocks noChangeArrowheads="1"/>
            </xdr:cNvSpPr>
          </xdr:nvSpPr>
          <xdr:spPr bwMode="auto">
            <a:xfrm>
              <a:off x="2743200" y="18973800"/>
              <a:ext cx="2743200" cy="1574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refers to organic amendments, animal manures (e.g. slurries, digested manures), N in crop residues and mineralised N from soil organic matter decomposition.</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2743200</xdr:colOff>
          <xdr:row>93</xdr:row>
          <xdr:rowOff>0</xdr:rowOff>
        </xdr:from>
        <xdr:to>
          <xdr:col>1</xdr:col>
          <xdr:colOff>190500</xdr:colOff>
          <xdr:row>102</xdr:row>
          <xdr:rowOff>0</xdr:rowOff>
        </xdr:to>
        <xdr:sp macro="" textlink="">
          <xdr:nvSpPr>
            <xdr:cNvPr id="6156" name="Comment 12" hidden="1">
              <a:extLst>
                <a:ext uri="{FF2B5EF4-FFF2-40B4-BE49-F238E27FC236}">
                  <a16:creationId xmlns:a16="http://schemas.microsoft.com/office/drawing/2014/main" id="{9E47468C-43D4-08CD-E3A2-29C537434F76}"/>
                </a:ext>
              </a:extLst>
            </xdr:cNvPr>
            <xdr:cNvSpPr txBox="1">
              <a:spLocks noChangeArrowheads="1"/>
            </xdr:cNvSpPr>
          </xdr:nvSpPr>
          <xdr:spPr bwMode="auto">
            <a:xfrm>
              <a:off x="2743200" y="19113500"/>
              <a:ext cx="2743200" cy="1790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refers to organic amendments, animal manures (e.g. slurries, digested manures), N in crop residues and mineralised N from soil organic matter decomposition.</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812800</xdr:colOff>
          <xdr:row>17</xdr:row>
          <xdr:rowOff>0</xdr:rowOff>
        </xdr:from>
        <xdr:to>
          <xdr:col>4</xdr:col>
          <xdr:colOff>812800</xdr:colOff>
          <xdr:row>21</xdr:row>
          <xdr:rowOff>0</xdr:rowOff>
        </xdr:to>
        <xdr:sp macro="" textlink="">
          <xdr:nvSpPr>
            <xdr:cNvPr id="6157" name="Comment 13" hidden="1">
              <a:extLst>
                <a:ext uri="{FF2B5EF4-FFF2-40B4-BE49-F238E27FC236}">
                  <a16:creationId xmlns:a16="http://schemas.microsoft.com/office/drawing/2014/main" id="{4AB19FE5-80EF-4858-A730-384B34C600F8}"/>
                </a:ext>
              </a:extLst>
            </xdr:cNvPr>
            <xdr:cNvSpPr txBox="1">
              <a:spLocks noChangeArrowheads="1"/>
            </xdr:cNvSpPr>
          </xdr:nvSpPr>
          <xdr:spPr bwMode="auto">
            <a:xfrm>
              <a:off x="7810500" y="4470400"/>
              <a:ext cx="3886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No estimate is available in 2019 IPCC. Generic value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812800</xdr:colOff>
          <xdr:row>18</xdr:row>
          <xdr:rowOff>0</xdr:rowOff>
        </xdr:from>
        <xdr:to>
          <xdr:col>4</xdr:col>
          <xdr:colOff>406400</xdr:colOff>
          <xdr:row>22</xdr:row>
          <xdr:rowOff>0</xdr:rowOff>
        </xdr:to>
        <xdr:sp macro="" textlink="">
          <xdr:nvSpPr>
            <xdr:cNvPr id="6158" name="Comment 14" hidden="1">
              <a:extLst>
                <a:ext uri="{FF2B5EF4-FFF2-40B4-BE49-F238E27FC236}">
                  <a16:creationId xmlns:a16="http://schemas.microsoft.com/office/drawing/2014/main" id="{23DFF788-C155-7D32-739B-C645CD71D972}"/>
                </a:ext>
              </a:extLst>
            </xdr:cNvPr>
            <xdr:cNvSpPr txBox="1">
              <a:spLocks noChangeArrowheads="1"/>
            </xdr:cNvSpPr>
          </xdr:nvSpPr>
          <xdr:spPr bwMode="auto">
            <a:xfrm>
              <a:off x="7810500" y="4660900"/>
              <a:ext cx="3479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No estimate is available in 2019 IPCC. Generic value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812800</xdr:colOff>
          <xdr:row>19</xdr:row>
          <xdr:rowOff>0</xdr:rowOff>
        </xdr:from>
        <xdr:to>
          <xdr:col>2</xdr:col>
          <xdr:colOff>2489200</xdr:colOff>
          <xdr:row>23</xdr:row>
          <xdr:rowOff>0</xdr:rowOff>
        </xdr:to>
        <xdr:sp macro="" textlink="">
          <xdr:nvSpPr>
            <xdr:cNvPr id="6159" name="Comment 15" hidden="1">
              <a:extLst>
                <a:ext uri="{FF2B5EF4-FFF2-40B4-BE49-F238E27FC236}">
                  <a16:creationId xmlns:a16="http://schemas.microsoft.com/office/drawing/2014/main" id="{BE72FE05-EB36-3097-D6A4-32FA94B95464}"/>
                </a:ext>
              </a:extLst>
            </xdr:cNvPr>
            <xdr:cNvSpPr txBox="1">
              <a:spLocks noChangeArrowheads="1"/>
            </xdr:cNvSpPr>
          </xdr:nvSpPr>
          <xdr:spPr bwMode="auto">
            <a:xfrm>
              <a:off x="7810500" y="4851400"/>
              <a:ext cx="15875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No estimate is available in 2019 IPCC. Generic value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812800</xdr:colOff>
          <xdr:row>23</xdr:row>
          <xdr:rowOff>0</xdr:rowOff>
        </xdr:from>
        <xdr:to>
          <xdr:col>4</xdr:col>
          <xdr:colOff>812800</xdr:colOff>
          <xdr:row>27</xdr:row>
          <xdr:rowOff>0</xdr:rowOff>
        </xdr:to>
        <xdr:sp macro="" textlink="">
          <xdr:nvSpPr>
            <xdr:cNvPr id="6160" name="Comment 16" hidden="1">
              <a:extLst>
                <a:ext uri="{FF2B5EF4-FFF2-40B4-BE49-F238E27FC236}">
                  <a16:creationId xmlns:a16="http://schemas.microsoft.com/office/drawing/2014/main" id="{E2ED5F45-00AA-259B-DE2B-CBA291FD9AF4}"/>
                </a:ext>
              </a:extLst>
            </xdr:cNvPr>
            <xdr:cNvSpPr txBox="1">
              <a:spLocks noChangeArrowheads="1"/>
            </xdr:cNvSpPr>
          </xdr:nvSpPr>
          <xdr:spPr bwMode="auto">
            <a:xfrm>
              <a:off x="7810500" y="5613400"/>
              <a:ext cx="3886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No estimate is available in 2019 IPCC. Generic value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1219200</xdr:colOff>
          <xdr:row>7</xdr:row>
          <xdr:rowOff>50800</xdr:rowOff>
        </xdr:from>
        <xdr:to>
          <xdr:col>2</xdr:col>
          <xdr:colOff>965200</xdr:colOff>
          <xdr:row>11</xdr:row>
          <xdr:rowOff>0</xdr:rowOff>
        </xdr:to>
        <xdr:sp macro="" textlink="">
          <xdr:nvSpPr>
            <xdr:cNvPr id="6161" name="Comment 17" hidden="1">
              <a:extLst>
                <a:ext uri="{FF2B5EF4-FFF2-40B4-BE49-F238E27FC236}">
                  <a16:creationId xmlns:a16="http://schemas.microsoft.com/office/drawing/2014/main" id="{B560543A-C887-A3C4-618B-F850129A94E0}"/>
                </a:ext>
              </a:extLst>
            </xdr:cNvPr>
            <xdr:cNvSpPr txBox="1">
              <a:spLocks noChangeArrowheads="1"/>
            </xdr:cNvSpPr>
          </xdr:nvSpPr>
          <xdr:spPr bwMode="auto">
            <a:xfrm>
              <a:off x="6515100" y="2540000"/>
              <a:ext cx="1447800" cy="787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 value of "Potatoes and Tubers" was used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812800</xdr:colOff>
          <xdr:row>7</xdr:row>
          <xdr:rowOff>50800</xdr:rowOff>
        </xdr:from>
        <xdr:to>
          <xdr:col>2</xdr:col>
          <xdr:colOff>2489200</xdr:colOff>
          <xdr:row>11</xdr:row>
          <xdr:rowOff>0</xdr:rowOff>
        </xdr:to>
        <xdr:sp macro="" textlink="">
          <xdr:nvSpPr>
            <xdr:cNvPr id="6162" name="Comment 18" hidden="1">
              <a:extLst>
                <a:ext uri="{FF2B5EF4-FFF2-40B4-BE49-F238E27FC236}">
                  <a16:creationId xmlns:a16="http://schemas.microsoft.com/office/drawing/2014/main" id="{460ACA7E-68BB-4490-0A98-797615E2C86E}"/>
                </a:ext>
              </a:extLst>
            </xdr:cNvPr>
            <xdr:cNvSpPr txBox="1">
              <a:spLocks noChangeArrowheads="1"/>
            </xdr:cNvSpPr>
          </xdr:nvSpPr>
          <xdr:spPr bwMode="auto">
            <a:xfrm>
              <a:off x="7810500" y="2540000"/>
              <a:ext cx="1587500" cy="787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 value of "Potatoes and Tubers"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1625600</xdr:colOff>
          <xdr:row>7</xdr:row>
          <xdr:rowOff>50800</xdr:rowOff>
        </xdr:from>
        <xdr:to>
          <xdr:col>3</xdr:col>
          <xdr:colOff>711200</xdr:colOff>
          <xdr:row>11</xdr:row>
          <xdr:rowOff>0</xdr:rowOff>
        </xdr:to>
        <xdr:sp macro="" textlink="">
          <xdr:nvSpPr>
            <xdr:cNvPr id="6163" name="Comment 19" hidden="1">
              <a:extLst>
                <a:ext uri="{FF2B5EF4-FFF2-40B4-BE49-F238E27FC236}">
                  <a16:creationId xmlns:a16="http://schemas.microsoft.com/office/drawing/2014/main" id="{789548B8-4404-7896-D0B0-10562C8247D5}"/>
                </a:ext>
              </a:extLst>
            </xdr:cNvPr>
            <xdr:cNvSpPr txBox="1">
              <a:spLocks noChangeArrowheads="1"/>
            </xdr:cNvSpPr>
          </xdr:nvSpPr>
          <xdr:spPr bwMode="auto">
            <a:xfrm>
              <a:off x="8623300" y="2540000"/>
              <a:ext cx="1485900" cy="787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 value of "Potatoes and Tubers"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1219200</xdr:colOff>
          <xdr:row>11</xdr:row>
          <xdr:rowOff>0</xdr:rowOff>
        </xdr:from>
        <xdr:to>
          <xdr:col>2</xdr:col>
          <xdr:colOff>965200</xdr:colOff>
          <xdr:row>15</xdr:row>
          <xdr:rowOff>0</xdr:rowOff>
        </xdr:to>
        <xdr:sp macro="" textlink="">
          <xdr:nvSpPr>
            <xdr:cNvPr id="6164" name="Comment 20" hidden="1">
              <a:extLst>
                <a:ext uri="{FF2B5EF4-FFF2-40B4-BE49-F238E27FC236}">
                  <a16:creationId xmlns:a16="http://schemas.microsoft.com/office/drawing/2014/main" id="{2AE38FFB-389C-3DB0-6662-D200C8D59A33}"/>
                </a:ext>
              </a:extLst>
            </xdr:cNvPr>
            <xdr:cNvSpPr txBox="1">
              <a:spLocks noChangeArrowheads="1"/>
            </xdr:cNvSpPr>
          </xdr:nvSpPr>
          <xdr:spPr bwMode="auto">
            <a:xfrm>
              <a:off x="6515100" y="3327400"/>
              <a:ext cx="1447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From 2006 IPCC, Table 11.2, page 11.17</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1625600</xdr:colOff>
          <xdr:row>11</xdr:row>
          <xdr:rowOff>0</xdr:rowOff>
        </xdr:from>
        <xdr:to>
          <xdr:col>3</xdr:col>
          <xdr:colOff>711200</xdr:colOff>
          <xdr:row>15</xdr:row>
          <xdr:rowOff>0</xdr:rowOff>
        </xdr:to>
        <xdr:sp macro="" textlink="">
          <xdr:nvSpPr>
            <xdr:cNvPr id="6165" name="Comment 21" hidden="1">
              <a:extLst>
                <a:ext uri="{FF2B5EF4-FFF2-40B4-BE49-F238E27FC236}">
                  <a16:creationId xmlns:a16="http://schemas.microsoft.com/office/drawing/2014/main" id="{BF4C64AA-17F8-019A-14FC-215246D44116}"/>
                </a:ext>
              </a:extLst>
            </xdr:cNvPr>
            <xdr:cNvSpPr txBox="1">
              <a:spLocks noChangeArrowheads="1"/>
            </xdr:cNvSpPr>
          </xdr:nvSpPr>
          <xdr:spPr bwMode="auto">
            <a:xfrm>
              <a:off x="8623300" y="3327400"/>
              <a:ext cx="14859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From 2006 IPCC, Table 11.2, page 11.17</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812800</xdr:colOff>
          <xdr:row>11</xdr:row>
          <xdr:rowOff>0</xdr:rowOff>
        </xdr:from>
        <xdr:to>
          <xdr:col>2</xdr:col>
          <xdr:colOff>2489200</xdr:colOff>
          <xdr:row>15</xdr:row>
          <xdr:rowOff>0</xdr:rowOff>
        </xdr:to>
        <xdr:sp macro="" textlink="">
          <xdr:nvSpPr>
            <xdr:cNvPr id="6166" name="Comment 22" hidden="1">
              <a:extLst>
                <a:ext uri="{FF2B5EF4-FFF2-40B4-BE49-F238E27FC236}">
                  <a16:creationId xmlns:a16="http://schemas.microsoft.com/office/drawing/2014/main" id="{0F0C4816-AAAF-6E24-F1EC-E2EAC480E123}"/>
                </a:ext>
              </a:extLst>
            </xdr:cNvPr>
            <xdr:cNvSpPr txBox="1">
              <a:spLocks noChangeArrowheads="1"/>
            </xdr:cNvSpPr>
          </xdr:nvSpPr>
          <xdr:spPr bwMode="auto">
            <a:xfrm>
              <a:off x="7810500" y="3327400"/>
              <a:ext cx="15875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From 2006 IPCC, Table 11.2, page 11.17</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1219200</xdr:colOff>
          <xdr:row>21</xdr:row>
          <xdr:rowOff>0</xdr:rowOff>
        </xdr:from>
        <xdr:to>
          <xdr:col>2</xdr:col>
          <xdr:colOff>965200</xdr:colOff>
          <xdr:row>25</xdr:row>
          <xdr:rowOff>0</xdr:rowOff>
        </xdr:to>
        <xdr:sp macro="" textlink="">
          <xdr:nvSpPr>
            <xdr:cNvPr id="6167" name="Comment 23" hidden="1">
              <a:extLst>
                <a:ext uri="{FF2B5EF4-FFF2-40B4-BE49-F238E27FC236}">
                  <a16:creationId xmlns:a16="http://schemas.microsoft.com/office/drawing/2014/main" id="{572C49C3-BB99-C9BA-F3F7-F0E74C5E6F9E}"/>
                </a:ext>
              </a:extLst>
            </xdr:cNvPr>
            <xdr:cNvSpPr txBox="1">
              <a:spLocks noChangeArrowheads="1"/>
            </xdr:cNvSpPr>
          </xdr:nvSpPr>
          <xdr:spPr bwMode="auto">
            <a:xfrm>
              <a:off x="6515100" y="5232400"/>
              <a:ext cx="1447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From 2006 IPCC, Table 11.2, page 11.17</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812800</xdr:colOff>
          <xdr:row>21</xdr:row>
          <xdr:rowOff>0</xdr:rowOff>
        </xdr:from>
        <xdr:to>
          <xdr:col>2</xdr:col>
          <xdr:colOff>2489200</xdr:colOff>
          <xdr:row>25</xdr:row>
          <xdr:rowOff>0</xdr:rowOff>
        </xdr:to>
        <xdr:sp macro="" textlink="">
          <xdr:nvSpPr>
            <xdr:cNvPr id="6168" name="Comment 24" hidden="1">
              <a:extLst>
                <a:ext uri="{FF2B5EF4-FFF2-40B4-BE49-F238E27FC236}">
                  <a16:creationId xmlns:a16="http://schemas.microsoft.com/office/drawing/2014/main" id="{D22E2F11-F254-1022-F7FE-AB0DD0DCA391}"/>
                </a:ext>
              </a:extLst>
            </xdr:cNvPr>
            <xdr:cNvSpPr txBox="1">
              <a:spLocks noChangeArrowheads="1"/>
            </xdr:cNvSpPr>
          </xdr:nvSpPr>
          <xdr:spPr bwMode="auto">
            <a:xfrm>
              <a:off x="7810500" y="5232400"/>
              <a:ext cx="15875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Generic value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1625600</xdr:colOff>
          <xdr:row>14</xdr:row>
          <xdr:rowOff>0</xdr:rowOff>
        </xdr:from>
        <xdr:to>
          <xdr:col>3</xdr:col>
          <xdr:colOff>711200</xdr:colOff>
          <xdr:row>18</xdr:row>
          <xdr:rowOff>0</xdr:rowOff>
        </xdr:to>
        <xdr:sp macro="" textlink="">
          <xdr:nvSpPr>
            <xdr:cNvPr id="6169" name="Comment 25" hidden="1">
              <a:extLst>
                <a:ext uri="{FF2B5EF4-FFF2-40B4-BE49-F238E27FC236}">
                  <a16:creationId xmlns:a16="http://schemas.microsoft.com/office/drawing/2014/main" id="{BB0910AF-93A3-21B5-D219-C805A6EFDD81}"/>
                </a:ext>
              </a:extLst>
            </xdr:cNvPr>
            <xdr:cNvSpPr txBox="1">
              <a:spLocks noChangeArrowheads="1"/>
            </xdr:cNvSpPr>
          </xdr:nvSpPr>
          <xdr:spPr bwMode="auto">
            <a:xfrm>
              <a:off x="8623300" y="3898900"/>
              <a:ext cx="14859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 generic value for grains was used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1625600</xdr:colOff>
          <xdr:row>17</xdr:row>
          <xdr:rowOff>0</xdr:rowOff>
        </xdr:from>
        <xdr:to>
          <xdr:col>3</xdr:col>
          <xdr:colOff>711200</xdr:colOff>
          <xdr:row>21</xdr:row>
          <xdr:rowOff>0</xdr:rowOff>
        </xdr:to>
        <xdr:sp macro="" textlink="">
          <xdr:nvSpPr>
            <xdr:cNvPr id="6170" name="Comment 26" hidden="1">
              <a:extLst>
                <a:ext uri="{FF2B5EF4-FFF2-40B4-BE49-F238E27FC236}">
                  <a16:creationId xmlns:a16="http://schemas.microsoft.com/office/drawing/2014/main" id="{FAEEA39C-714A-5518-8AE3-85670EEA80BC}"/>
                </a:ext>
              </a:extLst>
            </xdr:cNvPr>
            <xdr:cNvSpPr txBox="1">
              <a:spLocks noChangeArrowheads="1"/>
            </xdr:cNvSpPr>
          </xdr:nvSpPr>
          <xdr:spPr bwMode="auto">
            <a:xfrm>
              <a:off x="8623300" y="4470400"/>
              <a:ext cx="14859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 generic value </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1625600</xdr:colOff>
          <xdr:row>23</xdr:row>
          <xdr:rowOff>0</xdr:rowOff>
        </xdr:from>
        <xdr:to>
          <xdr:col>3</xdr:col>
          <xdr:colOff>711200</xdr:colOff>
          <xdr:row>27</xdr:row>
          <xdr:rowOff>0</xdr:rowOff>
        </xdr:to>
        <xdr:sp macro="" textlink="">
          <xdr:nvSpPr>
            <xdr:cNvPr id="6171" name="Comment 27" hidden="1">
              <a:extLst>
                <a:ext uri="{FF2B5EF4-FFF2-40B4-BE49-F238E27FC236}">
                  <a16:creationId xmlns:a16="http://schemas.microsoft.com/office/drawing/2014/main" id="{9512ED8D-D08E-C92C-12D0-F9C5773AA7CD}"/>
                </a:ext>
              </a:extLst>
            </xdr:cNvPr>
            <xdr:cNvSpPr txBox="1">
              <a:spLocks noChangeArrowheads="1"/>
            </xdr:cNvSpPr>
          </xdr:nvSpPr>
          <xdr:spPr bwMode="auto">
            <a:xfrm>
              <a:off x="8623300" y="5613400"/>
              <a:ext cx="14859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Generic value was used</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660400</xdr:colOff>
          <xdr:row>29</xdr:row>
          <xdr:rowOff>0</xdr:rowOff>
        </xdr:from>
        <xdr:to>
          <xdr:col>0</xdr:col>
          <xdr:colOff>4267200</xdr:colOff>
          <xdr:row>33</xdr:row>
          <xdr:rowOff>0</xdr:rowOff>
        </xdr:to>
        <xdr:sp macro="" textlink="">
          <xdr:nvSpPr>
            <xdr:cNvPr id="6172" name="Comment 28" hidden="1">
              <a:extLst>
                <a:ext uri="{FF2B5EF4-FFF2-40B4-BE49-F238E27FC236}">
                  <a16:creationId xmlns:a16="http://schemas.microsoft.com/office/drawing/2014/main" id="{8D221C5A-CB86-C7A7-D3DC-A728E7FA40A9}"/>
                </a:ext>
              </a:extLst>
            </xdr:cNvPr>
            <xdr:cNvSpPr txBox="1">
              <a:spLocks noChangeArrowheads="1"/>
            </xdr:cNvSpPr>
          </xdr:nvSpPr>
          <xdr:spPr bwMode="auto">
            <a:xfrm>
              <a:off x="660400" y="6756400"/>
              <a:ext cx="3606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mineral soils under native vegetations and for the topsoil 0-30 cm</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1219200</xdr:colOff>
          <xdr:row>592</xdr:row>
          <xdr:rowOff>0</xdr:rowOff>
        </xdr:from>
        <xdr:to>
          <xdr:col>2</xdr:col>
          <xdr:colOff>1219200</xdr:colOff>
          <xdr:row>600</xdr:row>
          <xdr:rowOff>0</xdr:rowOff>
        </xdr:to>
        <xdr:sp macro="" textlink="">
          <xdr:nvSpPr>
            <xdr:cNvPr id="6173" name="Comment 29" hidden="1">
              <a:extLst>
                <a:ext uri="{FF2B5EF4-FFF2-40B4-BE49-F238E27FC236}">
                  <a16:creationId xmlns:a16="http://schemas.microsoft.com/office/drawing/2014/main" id="{D5933048-C98B-38A6-8705-116F3A223D3F}"/>
                </a:ext>
              </a:extLst>
            </xdr:cNvPr>
            <xdr:cNvSpPr txBox="1">
              <a:spLocks noChangeArrowheads="1"/>
            </xdr:cNvSpPr>
          </xdr:nvSpPr>
          <xdr:spPr bwMode="auto">
            <a:xfrm>
              <a:off x="6515100" y="114249200"/>
              <a:ext cx="17018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762000</xdr:colOff>
          <xdr:row>592</xdr:row>
          <xdr:rowOff>0</xdr:rowOff>
        </xdr:from>
        <xdr:to>
          <xdr:col>5</xdr:col>
          <xdr:colOff>863600</xdr:colOff>
          <xdr:row>600</xdr:row>
          <xdr:rowOff>0</xdr:rowOff>
        </xdr:to>
        <xdr:sp macro="" textlink="">
          <xdr:nvSpPr>
            <xdr:cNvPr id="6174" name="Comment 30" hidden="1">
              <a:extLst>
                <a:ext uri="{FF2B5EF4-FFF2-40B4-BE49-F238E27FC236}">
                  <a16:creationId xmlns:a16="http://schemas.microsoft.com/office/drawing/2014/main" id="{C7DF906F-1352-6FB7-465B-72FF08E0E2EE}"/>
                </a:ext>
              </a:extLst>
            </xdr:cNvPr>
            <xdr:cNvSpPr txBox="1">
              <a:spLocks noChangeArrowheads="1"/>
            </xdr:cNvSpPr>
          </xdr:nvSpPr>
          <xdr:spPr bwMode="auto">
            <a:xfrm>
              <a:off x="11645900" y="114249200"/>
              <a:ext cx="17399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812800</xdr:colOff>
          <xdr:row>592</xdr:row>
          <xdr:rowOff>0</xdr:rowOff>
        </xdr:from>
        <xdr:to>
          <xdr:col>7</xdr:col>
          <xdr:colOff>609600</xdr:colOff>
          <xdr:row>600</xdr:row>
          <xdr:rowOff>0</xdr:rowOff>
        </xdr:to>
        <xdr:sp macro="" textlink="">
          <xdr:nvSpPr>
            <xdr:cNvPr id="6175" name="Comment 31" hidden="1">
              <a:extLst>
                <a:ext uri="{FF2B5EF4-FFF2-40B4-BE49-F238E27FC236}">
                  <a16:creationId xmlns:a16="http://schemas.microsoft.com/office/drawing/2014/main" id="{3388A60C-A004-198C-1F22-6CA5C25B5223}"/>
                </a:ext>
              </a:extLst>
            </xdr:cNvPr>
            <xdr:cNvSpPr txBox="1">
              <a:spLocks noChangeArrowheads="1"/>
            </xdr:cNvSpPr>
          </xdr:nvSpPr>
          <xdr:spPr bwMode="auto">
            <a:xfrm>
              <a:off x="15189200" y="114249200"/>
              <a:ext cx="12954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0</xdr:colOff>
          <xdr:row>592</xdr:row>
          <xdr:rowOff>0</xdr:rowOff>
        </xdr:from>
        <xdr:to>
          <xdr:col>8</xdr:col>
          <xdr:colOff>1930400</xdr:colOff>
          <xdr:row>600</xdr:row>
          <xdr:rowOff>0</xdr:rowOff>
        </xdr:to>
        <xdr:sp macro="" textlink="">
          <xdr:nvSpPr>
            <xdr:cNvPr id="6176" name="Comment 32" hidden="1">
              <a:extLst>
                <a:ext uri="{FF2B5EF4-FFF2-40B4-BE49-F238E27FC236}">
                  <a16:creationId xmlns:a16="http://schemas.microsoft.com/office/drawing/2014/main" id="{DA585DB3-F096-07F7-C5F2-5F9E06091290}"/>
                </a:ext>
              </a:extLst>
            </xdr:cNvPr>
            <xdr:cNvSpPr txBox="1">
              <a:spLocks noChangeArrowheads="1"/>
            </xdr:cNvSpPr>
          </xdr:nvSpPr>
          <xdr:spPr bwMode="auto">
            <a:xfrm>
              <a:off x="17970500" y="114249200"/>
              <a:ext cx="19304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1219200</xdr:colOff>
          <xdr:row>592</xdr:row>
          <xdr:rowOff>0</xdr:rowOff>
        </xdr:from>
        <xdr:to>
          <xdr:col>18</xdr:col>
          <xdr:colOff>660400</xdr:colOff>
          <xdr:row>600</xdr:row>
          <xdr:rowOff>0</xdr:rowOff>
        </xdr:to>
        <xdr:sp macro="" textlink="">
          <xdr:nvSpPr>
            <xdr:cNvPr id="6177" name="Comment 33" hidden="1">
              <a:extLst>
                <a:ext uri="{FF2B5EF4-FFF2-40B4-BE49-F238E27FC236}">
                  <a16:creationId xmlns:a16="http://schemas.microsoft.com/office/drawing/2014/main" id="{22D2452B-BAAD-E99D-3DA3-82AB0E2903ED}"/>
                </a:ext>
              </a:extLst>
            </xdr:cNvPr>
            <xdr:cNvSpPr txBox="1">
              <a:spLocks noChangeArrowheads="1"/>
            </xdr:cNvSpPr>
          </xdr:nvSpPr>
          <xdr:spPr bwMode="auto">
            <a:xfrm>
              <a:off x="38036500" y="114249200"/>
              <a:ext cx="15367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1219200</xdr:colOff>
          <xdr:row>592</xdr:row>
          <xdr:rowOff>0</xdr:rowOff>
        </xdr:from>
        <xdr:to>
          <xdr:col>19</xdr:col>
          <xdr:colOff>660400</xdr:colOff>
          <xdr:row>600</xdr:row>
          <xdr:rowOff>0</xdr:rowOff>
        </xdr:to>
        <xdr:sp macro="" textlink="">
          <xdr:nvSpPr>
            <xdr:cNvPr id="6178" name="Comment 34" hidden="1">
              <a:extLst>
                <a:ext uri="{FF2B5EF4-FFF2-40B4-BE49-F238E27FC236}">
                  <a16:creationId xmlns:a16="http://schemas.microsoft.com/office/drawing/2014/main" id="{AE7EB518-17CA-9B6D-F4CE-C1DC42324236}"/>
                </a:ext>
              </a:extLst>
            </xdr:cNvPr>
            <xdr:cNvSpPr txBox="1">
              <a:spLocks noChangeArrowheads="1"/>
            </xdr:cNvSpPr>
          </xdr:nvSpPr>
          <xdr:spPr bwMode="auto">
            <a:xfrm>
              <a:off x="40132000" y="114249200"/>
              <a:ext cx="15367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863600</xdr:colOff>
          <xdr:row>592</xdr:row>
          <xdr:rowOff>0</xdr:rowOff>
        </xdr:from>
        <xdr:to>
          <xdr:col>20</xdr:col>
          <xdr:colOff>355600</xdr:colOff>
          <xdr:row>600</xdr:row>
          <xdr:rowOff>0</xdr:rowOff>
        </xdr:to>
        <xdr:sp macro="" textlink="">
          <xdr:nvSpPr>
            <xdr:cNvPr id="6179" name="Comment 35" hidden="1">
              <a:extLst>
                <a:ext uri="{FF2B5EF4-FFF2-40B4-BE49-F238E27FC236}">
                  <a16:creationId xmlns:a16="http://schemas.microsoft.com/office/drawing/2014/main" id="{B8F6912D-70DF-B0B5-18FF-04B01E982FAB}"/>
                </a:ext>
              </a:extLst>
            </xdr:cNvPr>
            <xdr:cNvSpPr txBox="1">
              <a:spLocks noChangeArrowheads="1"/>
            </xdr:cNvSpPr>
          </xdr:nvSpPr>
          <xdr:spPr bwMode="auto">
            <a:xfrm>
              <a:off x="41871900" y="114249200"/>
              <a:ext cx="16637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1219200</xdr:colOff>
          <xdr:row>592</xdr:row>
          <xdr:rowOff>0</xdr:rowOff>
        </xdr:from>
        <xdr:to>
          <xdr:col>21</xdr:col>
          <xdr:colOff>812800</xdr:colOff>
          <xdr:row>600</xdr:row>
          <xdr:rowOff>0</xdr:rowOff>
        </xdr:to>
        <xdr:sp macro="" textlink="">
          <xdr:nvSpPr>
            <xdr:cNvPr id="6180" name="Comment 36" hidden="1">
              <a:extLst>
                <a:ext uri="{FF2B5EF4-FFF2-40B4-BE49-F238E27FC236}">
                  <a16:creationId xmlns:a16="http://schemas.microsoft.com/office/drawing/2014/main" id="{77126389-748B-726B-3F1E-4F2562E748C7}"/>
                </a:ext>
              </a:extLst>
            </xdr:cNvPr>
            <xdr:cNvSpPr txBox="1">
              <a:spLocks noChangeArrowheads="1"/>
            </xdr:cNvSpPr>
          </xdr:nvSpPr>
          <xdr:spPr bwMode="auto">
            <a:xfrm>
              <a:off x="44399200" y="114249200"/>
              <a:ext cx="16891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1016000</xdr:colOff>
          <xdr:row>592</xdr:row>
          <xdr:rowOff>0</xdr:rowOff>
        </xdr:from>
        <xdr:to>
          <xdr:col>26</xdr:col>
          <xdr:colOff>2743200</xdr:colOff>
          <xdr:row>600</xdr:row>
          <xdr:rowOff>0</xdr:rowOff>
        </xdr:to>
        <xdr:sp macro="" textlink="">
          <xdr:nvSpPr>
            <xdr:cNvPr id="6181" name="Comment 37" hidden="1">
              <a:extLst>
                <a:ext uri="{FF2B5EF4-FFF2-40B4-BE49-F238E27FC236}">
                  <a16:creationId xmlns:a16="http://schemas.microsoft.com/office/drawing/2014/main" id="{9F9ACB74-CB11-27CD-3EA8-414451F69B41}"/>
                </a:ext>
              </a:extLst>
            </xdr:cNvPr>
            <xdr:cNvSpPr txBox="1">
              <a:spLocks noChangeArrowheads="1"/>
            </xdr:cNvSpPr>
          </xdr:nvSpPr>
          <xdr:spPr bwMode="auto">
            <a:xfrm>
              <a:off x="58585100" y="114249200"/>
              <a:ext cx="17272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406400</xdr:colOff>
          <xdr:row>592</xdr:row>
          <xdr:rowOff>0</xdr:rowOff>
        </xdr:from>
        <xdr:to>
          <xdr:col>27</xdr:col>
          <xdr:colOff>1828800</xdr:colOff>
          <xdr:row>600</xdr:row>
          <xdr:rowOff>0</xdr:rowOff>
        </xdr:to>
        <xdr:sp macro="" textlink="">
          <xdr:nvSpPr>
            <xdr:cNvPr id="6182" name="Comment 38" hidden="1">
              <a:extLst>
                <a:ext uri="{FF2B5EF4-FFF2-40B4-BE49-F238E27FC236}">
                  <a16:creationId xmlns:a16="http://schemas.microsoft.com/office/drawing/2014/main" id="{D3B0B26C-4AC2-91AD-29A3-2EA3B85DDAAA}"/>
                </a:ext>
              </a:extLst>
            </xdr:cNvPr>
            <xdr:cNvSpPr txBox="1">
              <a:spLocks noChangeArrowheads="1"/>
            </xdr:cNvSpPr>
          </xdr:nvSpPr>
          <xdr:spPr bwMode="auto">
            <a:xfrm>
              <a:off x="61048900" y="114249200"/>
              <a:ext cx="14224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2844800</xdr:colOff>
          <xdr:row>592</xdr:row>
          <xdr:rowOff>0</xdr:rowOff>
        </xdr:from>
        <xdr:to>
          <xdr:col>28</xdr:col>
          <xdr:colOff>1625600</xdr:colOff>
          <xdr:row>600</xdr:row>
          <xdr:rowOff>0</xdr:rowOff>
        </xdr:to>
        <xdr:sp macro="" textlink="">
          <xdr:nvSpPr>
            <xdr:cNvPr id="6183" name="Comment 39" hidden="1">
              <a:extLst>
                <a:ext uri="{FF2B5EF4-FFF2-40B4-BE49-F238E27FC236}">
                  <a16:creationId xmlns:a16="http://schemas.microsoft.com/office/drawing/2014/main" id="{53FD1658-8390-0897-64B3-591E0367210B}"/>
                </a:ext>
              </a:extLst>
            </xdr:cNvPr>
            <xdr:cNvSpPr txBox="1">
              <a:spLocks noChangeArrowheads="1"/>
            </xdr:cNvSpPr>
          </xdr:nvSpPr>
          <xdr:spPr bwMode="auto">
            <a:xfrm>
              <a:off x="63271400" y="114249200"/>
              <a:ext cx="16256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4.7 and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1625600</xdr:colOff>
          <xdr:row>592</xdr:row>
          <xdr:rowOff>0</xdr:rowOff>
        </xdr:from>
        <xdr:to>
          <xdr:col>36</xdr:col>
          <xdr:colOff>812800</xdr:colOff>
          <xdr:row>600</xdr:row>
          <xdr:rowOff>0</xdr:rowOff>
        </xdr:to>
        <xdr:sp macro="" textlink="">
          <xdr:nvSpPr>
            <xdr:cNvPr id="6184" name="Comment 40" hidden="1">
              <a:extLst>
                <a:ext uri="{FF2B5EF4-FFF2-40B4-BE49-F238E27FC236}">
                  <a16:creationId xmlns:a16="http://schemas.microsoft.com/office/drawing/2014/main" id="{FA0FD7DD-8206-4256-7552-BE41E4ACFCA2}"/>
                </a:ext>
              </a:extLst>
            </xdr:cNvPr>
            <xdr:cNvSpPr txBox="1">
              <a:spLocks noChangeArrowheads="1"/>
            </xdr:cNvSpPr>
          </xdr:nvSpPr>
          <xdr:spPr bwMode="auto">
            <a:xfrm>
              <a:off x="82105500" y="114249200"/>
              <a:ext cx="13716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1473200</xdr:colOff>
          <xdr:row>592</xdr:row>
          <xdr:rowOff>0</xdr:rowOff>
        </xdr:from>
        <xdr:to>
          <xdr:col>37</xdr:col>
          <xdr:colOff>0</xdr:colOff>
          <xdr:row>600</xdr:row>
          <xdr:rowOff>0</xdr:rowOff>
        </xdr:to>
        <xdr:sp macro="" textlink="">
          <xdr:nvSpPr>
            <xdr:cNvPr id="6185" name="Comment 41" hidden="1">
              <a:extLst>
                <a:ext uri="{FF2B5EF4-FFF2-40B4-BE49-F238E27FC236}">
                  <a16:creationId xmlns:a16="http://schemas.microsoft.com/office/drawing/2014/main" id="{722CD265-6153-F27F-74FD-5D6C454E825F}"/>
                </a:ext>
              </a:extLst>
            </xdr:cNvPr>
            <xdr:cNvSpPr txBox="1">
              <a:spLocks noChangeArrowheads="1"/>
            </xdr:cNvSpPr>
          </xdr:nvSpPr>
          <xdr:spPr bwMode="auto">
            <a:xfrm>
              <a:off x="84137500" y="114249200"/>
              <a:ext cx="13716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37</xdr:col>
          <xdr:colOff>609600</xdr:colOff>
          <xdr:row>592</xdr:row>
          <xdr:rowOff>0</xdr:rowOff>
        </xdr:from>
        <xdr:to>
          <xdr:col>37</xdr:col>
          <xdr:colOff>2235200</xdr:colOff>
          <xdr:row>600</xdr:row>
          <xdr:rowOff>0</xdr:rowOff>
        </xdr:to>
        <xdr:sp macro="" textlink="">
          <xdr:nvSpPr>
            <xdr:cNvPr id="6186" name="Comment 42" hidden="1">
              <a:extLst>
                <a:ext uri="{FF2B5EF4-FFF2-40B4-BE49-F238E27FC236}">
                  <a16:creationId xmlns:a16="http://schemas.microsoft.com/office/drawing/2014/main" id="{2804AD31-BFCC-5D5F-448E-3282B5446DB2}"/>
                </a:ext>
              </a:extLst>
            </xdr:cNvPr>
            <xdr:cNvSpPr txBox="1">
              <a:spLocks noChangeArrowheads="1"/>
            </xdr:cNvSpPr>
          </xdr:nvSpPr>
          <xdr:spPr bwMode="auto">
            <a:xfrm>
              <a:off x="86118700" y="114249200"/>
              <a:ext cx="16256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41</xdr:col>
          <xdr:colOff>812800</xdr:colOff>
          <xdr:row>592</xdr:row>
          <xdr:rowOff>0</xdr:rowOff>
        </xdr:from>
        <xdr:to>
          <xdr:col>42</xdr:col>
          <xdr:colOff>711200</xdr:colOff>
          <xdr:row>600</xdr:row>
          <xdr:rowOff>0</xdr:rowOff>
        </xdr:to>
        <xdr:sp macro="" textlink="">
          <xdr:nvSpPr>
            <xdr:cNvPr id="6187" name="Comment 43" hidden="1">
              <a:extLst>
                <a:ext uri="{FF2B5EF4-FFF2-40B4-BE49-F238E27FC236}">
                  <a16:creationId xmlns:a16="http://schemas.microsoft.com/office/drawing/2014/main" id="{EA362257-C4FA-C1D2-A359-4329C667A128}"/>
                </a:ext>
              </a:extLst>
            </xdr:cNvPr>
            <xdr:cNvSpPr txBox="1">
              <a:spLocks noChangeArrowheads="1"/>
            </xdr:cNvSpPr>
          </xdr:nvSpPr>
          <xdr:spPr bwMode="auto">
            <a:xfrm>
              <a:off x="95999300" y="114249200"/>
              <a:ext cx="13843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1828800</xdr:colOff>
          <xdr:row>593</xdr:row>
          <xdr:rowOff>0</xdr:rowOff>
        </xdr:from>
        <xdr:to>
          <xdr:col>30</xdr:col>
          <xdr:colOff>304800</xdr:colOff>
          <xdr:row>603</xdr:row>
          <xdr:rowOff>0</xdr:rowOff>
        </xdr:to>
        <xdr:sp macro="" textlink="">
          <xdr:nvSpPr>
            <xdr:cNvPr id="6189" name="Comment 45" hidden="1">
              <a:extLst>
                <a:ext uri="{FF2B5EF4-FFF2-40B4-BE49-F238E27FC236}">
                  <a16:creationId xmlns:a16="http://schemas.microsoft.com/office/drawing/2014/main" id="{90745B31-D4D5-C1A4-56AA-6C95CCF3BCAD}"/>
                </a:ext>
              </a:extLst>
            </xdr:cNvPr>
            <xdr:cNvSpPr txBox="1">
              <a:spLocks noChangeArrowheads="1"/>
            </xdr:cNvSpPr>
          </xdr:nvSpPr>
          <xdr:spPr bwMode="auto">
            <a:xfrm>
              <a:off x="65100200" y="114439700"/>
              <a:ext cx="3276600" cy="1905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New class in IPCC 2019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Value for Secondary &gt;20 was used given the NA  </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natural and planted forest in Temperate Desert </a:t>
              </a:r>
            </a:p>
          </xdr:txBody>
        </xdr:sp>
        <xdr:clientData/>
      </xdr:twoCellAnchor>
    </mc:Fallback>
  </mc:AlternateContent>
  <mc:AlternateContent xmlns:mc="http://schemas.openxmlformats.org/markup-compatibility/2006">
    <mc:Choice xmlns:v="urn:schemas-microsoft-com:vml" Requires="v"/>
    <mc:Fallback>
      <xdr:twoCellAnchor editAs="absolute">
        <xdr:from>
          <xdr:col>34</xdr:col>
          <xdr:colOff>254000</xdr:colOff>
          <xdr:row>593</xdr:row>
          <xdr:rowOff>0</xdr:rowOff>
        </xdr:from>
        <xdr:to>
          <xdr:col>34</xdr:col>
          <xdr:colOff>2743200</xdr:colOff>
          <xdr:row>600</xdr:row>
          <xdr:rowOff>0</xdr:rowOff>
        </xdr:to>
        <xdr:sp macro="" textlink="">
          <xdr:nvSpPr>
            <xdr:cNvPr id="6190" name="Comment 46" hidden="1">
              <a:extLst>
                <a:ext uri="{FF2B5EF4-FFF2-40B4-BE49-F238E27FC236}">
                  <a16:creationId xmlns:a16="http://schemas.microsoft.com/office/drawing/2014/main" id="{DCB3EC2F-EAEE-06FF-E936-C9E12C4D84EC}"/>
                </a:ext>
              </a:extLst>
            </xdr:cNvPr>
            <xdr:cNvSpPr txBox="1">
              <a:spLocks noChangeArrowheads="1"/>
            </xdr:cNvSpPr>
          </xdr:nvSpPr>
          <xdr:spPr bwMode="auto">
            <a:xfrm>
              <a:off x="77889100" y="114439700"/>
              <a:ext cx="2489200" cy="1333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New class in IPCC 2019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Value for Secondary &gt;20 was used given the NA  </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natural and planted forest in Temperate Desert </a:t>
              </a: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1422400</xdr:colOff>
          <xdr:row>593</xdr:row>
          <xdr:rowOff>0</xdr:rowOff>
        </xdr:from>
        <xdr:to>
          <xdr:col>30</xdr:col>
          <xdr:colOff>355600</xdr:colOff>
          <xdr:row>605</xdr:row>
          <xdr:rowOff>50800</xdr:rowOff>
        </xdr:to>
        <xdr:sp macro="" textlink="">
          <xdr:nvSpPr>
            <xdr:cNvPr id="6192" name="Comment 48" hidden="1">
              <a:extLst>
                <a:ext uri="{FF2B5EF4-FFF2-40B4-BE49-F238E27FC236}">
                  <a16:creationId xmlns:a16="http://schemas.microsoft.com/office/drawing/2014/main" id="{5BC2BD0F-06A0-E10D-F46A-23A1779593C4}"/>
                </a:ext>
              </a:extLst>
            </xdr:cNvPr>
            <xdr:cNvSpPr txBox="1">
              <a:spLocks noChangeArrowheads="1"/>
            </xdr:cNvSpPr>
          </xdr:nvSpPr>
          <xdr:spPr bwMode="auto">
            <a:xfrm>
              <a:off x="67094100" y="114439700"/>
              <a:ext cx="1333500" cy="2336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New forest class in IPCC 2019.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NA for primary forest. The value for secondary forest was used </a:t>
              </a:r>
            </a:p>
          </xdr:txBody>
        </xdr:sp>
        <xdr:clientData/>
      </xdr:twoCellAnchor>
    </mc:Fallback>
  </mc:AlternateContent>
  <mc:AlternateContent xmlns:mc="http://schemas.openxmlformats.org/markup-compatibility/2006">
    <mc:Choice xmlns:v="urn:schemas-microsoft-com:vml" Requires="v"/>
    <mc:Fallback>
      <xdr:twoCellAnchor editAs="absolute">
        <xdr:from>
          <xdr:col>30</xdr:col>
          <xdr:colOff>1828800</xdr:colOff>
          <xdr:row>592</xdr:row>
          <xdr:rowOff>0</xdr:rowOff>
        </xdr:from>
        <xdr:to>
          <xdr:col>31</xdr:col>
          <xdr:colOff>812800</xdr:colOff>
          <xdr:row>599</xdr:row>
          <xdr:rowOff>0</xdr:rowOff>
        </xdr:to>
        <xdr:sp macro="" textlink="">
          <xdr:nvSpPr>
            <xdr:cNvPr id="6193" name="Comment 49" hidden="1">
              <a:extLst>
                <a:ext uri="{FF2B5EF4-FFF2-40B4-BE49-F238E27FC236}">
                  <a16:creationId xmlns:a16="http://schemas.microsoft.com/office/drawing/2014/main" id="{F5938886-A878-E409-AC97-11461C6EED56}"/>
                </a:ext>
              </a:extLst>
            </xdr:cNvPr>
            <xdr:cNvSpPr txBox="1">
              <a:spLocks noChangeArrowheads="1"/>
            </xdr:cNvSpPr>
          </xdr:nvSpPr>
          <xdr:spPr bwMode="auto">
            <a:xfrm>
              <a:off x="69900800" y="114249200"/>
              <a:ext cx="1155700" cy="1333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from Table 4.12 in IPCC 2006</a:t>
              </a: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355600</xdr:colOff>
          <xdr:row>592</xdr:row>
          <xdr:rowOff>0</xdr:rowOff>
        </xdr:from>
        <xdr:to>
          <xdr:col>32</xdr:col>
          <xdr:colOff>1828800</xdr:colOff>
          <xdr:row>601</xdr:row>
          <xdr:rowOff>0</xdr:rowOff>
        </xdr:to>
        <xdr:sp macro="" textlink="">
          <xdr:nvSpPr>
            <xdr:cNvPr id="6194" name="Comment 50" hidden="1">
              <a:extLst>
                <a:ext uri="{FF2B5EF4-FFF2-40B4-BE49-F238E27FC236}">
                  <a16:creationId xmlns:a16="http://schemas.microsoft.com/office/drawing/2014/main" id="{FD75650C-7FF0-7DC0-8B38-497699359360}"/>
                </a:ext>
              </a:extLst>
            </xdr:cNvPr>
            <xdr:cNvSpPr txBox="1">
              <a:spLocks noChangeArrowheads="1"/>
            </xdr:cNvSpPr>
          </xdr:nvSpPr>
          <xdr:spPr bwMode="auto">
            <a:xfrm>
              <a:off x="72771000" y="114249200"/>
              <a:ext cx="1473200" cy="1714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a:t>
              </a: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1320800</xdr:colOff>
          <xdr:row>592</xdr:row>
          <xdr:rowOff>0</xdr:rowOff>
        </xdr:from>
        <xdr:to>
          <xdr:col>33</xdr:col>
          <xdr:colOff>3200400</xdr:colOff>
          <xdr:row>601</xdr:row>
          <xdr:rowOff>0</xdr:rowOff>
        </xdr:to>
        <xdr:sp macro="" textlink="">
          <xdr:nvSpPr>
            <xdr:cNvPr id="6196" name="Comment 52" hidden="1">
              <a:extLst>
                <a:ext uri="{FF2B5EF4-FFF2-40B4-BE49-F238E27FC236}">
                  <a16:creationId xmlns:a16="http://schemas.microsoft.com/office/drawing/2014/main" id="{A837C3AC-6D52-64B0-D2D0-FB1732C6F409}"/>
                </a:ext>
              </a:extLst>
            </xdr:cNvPr>
            <xdr:cNvSpPr txBox="1">
              <a:spLocks noChangeArrowheads="1"/>
            </xdr:cNvSpPr>
          </xdr:nvSpPr>
          <xdr:spPr bwMode="auto">
            <a:xfrm>
              <a:off x="75869800" y="114249200"/>
              <a:ext cx="1765300" cy="1714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a:t>
              </a:r>
            </a:p>
          </xdr:txBody>
        </xdr:sp>
        <xdr:clientData/>
      </xdr:twoCellAnchor>
    </mc:Fallback>
  </mc:AlternateContent>
  <mc:AlternateContent xmlns:mc="http://schemas.openxmlformats.org/markup-compatibility/2006">
    <mc:Choice xmlns:v="urn:schemas-microsoft-com:vml" Requires="v"/>
    <mc:Fallback>
      <xdr:twoCellAnchor editAs="absolute">
        <xdr:from>
          <xdr:col>38</xdr:col>
          <xdr:colOff>812800</xdr:colOff>
          <xdr:row>592</xdr:row>
          <xdr:rowOff>0</xdr:rowOff>
        </xdr:from>
        <xdr:to>
          <xdr:col>39</xdr:col>
          <xdr:colOff>0</xdr:colOff>
          <xdr:row>596</xdr:row>
          <xdr:rowOff>0</xdr:rowOff>
        </xdr:to>
        <xdr:sp macro="" textlink="">
          <xdr:nvSpPr>
            <xdr:cNvPr id="6197" name="Comment 53" hidden="1">
              <a:extLst>
                <a:ext uri="{FF2B5EF4-FFF2-40B4-BE49-F238E27FC236}">
                  <a16:creationId xmlns:a16="http://schemas.microsoft.com/office/drawing/2014/main" id="{9FDA18EF-DFCA-BCD4-4064-7CAB9A06D363}"/>
                </a:ext>
              </a:extLst>
            </xdr:cNvPr>
            <xdr:cNvSpPr txBox="1">
              <a:spLocks noChangeArrowheads="1"/>
            </xdr:cNvSpPr>
          </xdr:nvSpPr>
          <xdr:spPr bwMode="auto">
            <a:xfrm>
              <a:off x="88658700" y="114249200"/>
              <a:ext cx="1600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from Table 4.12, in IPCC 2006</a:t>
              </a:r>
            </a:p>
          </xdr:txBody>
        </xdr:sp>
        <xdr:clientData/>
      </xdr:twoCellAnchor>
    </mc:Fallback>
  </mc:AlternateContent>
  <mc:AlternateContent xmlns:mc="http://schemas.openxmlformats.org/markup-compatibility/2006">
    <mc:Choice xmlns:v="urn:schemas-microsoft-com:vml" Requires="v"/>
    <mc:Fallback>
      <xdr:twoCellAnchor editAs="absolute">
        <xdr:from>
          <xdr:col>39</xdr:col>
          <xdr:colOff>914400</xdr:colOff>
          <xdr:row>593</xdr:row>
          <xdr:rowOff>0</xdr:rowOff>
        </xdr:from>
        <xdr:to>
          <xdr:col>39</xdr:col>
          <xdr:colOff>2641600</xdr:colOff>
          <xdr:row>603</xdr:row>
          <xdr:rowOff>0</xdr:rowOff>
        </xdr:to>
        <xdr:sp macro="" textlink="">
          <xdr:nvSpPr>
            <xdr:cNvPr id="6198" name="Comment 54" hidden="1">
              <a:extLst>
                <a:ext uri="{FF2B5EF4-FFF2-40B4-BE49-F238E27FC236}">
                  <a16:creationId xmlns:a16="http://schemas.microsoft.com/office/drawing/2014/main" id="{652F070B-F74E-1BF3-5004-DBC0655F878F}"/>
                </a:ext>
              </a:extLst>
            </xdr:cNvPr>
            <xdr:cNvSpPr txBox="1">
              <a:spLocks noChangeArrowheads="1"/>
            </xdr:cNvSpPr>
          </xdr:nvSpPr>
          <xdr:spPr bwMode="auto">
            <a:xfrm>
              <a:off x="91173300" y="114439700"/>
              <a:ext cx="1549400" cy="1905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a:t>
              </a:r>
            </a:p>
          </xdr:txBody>
        </xdr:sp>
        <xdr:clientData/>
      </xdr:twoCellAnchor>
    </mc:Fallback>
  </mc:AlternateContent>
  <mc:AlternateContent xmlns:mc="http://schemas.openxmlformats.org/markup-compatibility/2006">
    <mc:Choice xmlns:v="urn:schemas-microsoft-com:vml" Requires="v"/>
    <mc:Fallback>
      <xdr:twoCellAnchor editAs="absolute">
        <xdr:from>
          <xdr:col>40</xdr:col>
          <xdr:colOff>965200</xdr:colOff>
          <xdr:row>592</xdr:row>
          <xdr:rowOff>0</xdr:rowOff>
        </xdr:from>
        <xdr:to>
          <xdr:col>41</xdr:col>
          <xdr:colOff>0</xdr:colOff>
          <xdr:row>601</xdr:row>
          <xdr:rowOff>0</xdr:rowOff>
        </xdr:to>
        <xdr:sp macro="" textlink="">
          <xdr:nvSpPr>
            <xdr:cNvPr id="6199" name="Comment 55" hidden="1">
              <a:extLst>
                <a:ext uri="{FF2B5EF4-FFF2-40B4-BE49-F238E27FC236}">
                  <a16:creationId xmlns:a16="http://schemas.microsoft.com/office/drawing/2014/main" id="{D41DB242-C427-052C-2C77-38922E6087FF}"/>
                </a:ext>
              </a:extLst>
            </xdr:cNvPr>
            <xdr:cNvSpPr txBox="1">
              <a:spLocks noChangeArrowheads="1"/>
            </xdr:cNvSpPr>
          </xdr:nvSpPr>
          <xdr:spPr bwMode="auto">
            <a:xfrm>
              <a:off x="93687900" y="114249200"/>
              <a:ext cx="1498600" cy="1714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a:t>
              </a:r>
            </a:p>
          </xdr:txBody>
        </xdr:sp>
        <xdr:clientData/>
      </xdr:twoCellAnchor>
    </mc:Fallback>
  </mc:AlternateContent>
  <mc:AlternateContent xmlns:mc="http://schemas.openxmlformats.org/markup-compatibility/2006">
    <mc:Choice xmlns:v="urn:schemas-microsoft-com:vml" Requires="v"/>
    <mc:Fallback>
      <xdr:twoCellAnchor editAs="absolute">
        <xdr:from>
          <xdr:col>43</xdr:col>
          <xdr:colOff>355600</xdr:colOff>
          <xdr:row>592</xdr:row>
          <xdr:rowOff>0</xdr:rowOff>
        </xdr:from>
        <xdr:to>
          <xdr:col>44</xdr:col>
          <xdr:colOff>711200</xdr:colOff>
          <xdr:row>596</xdr:row>
          <xdr:rowOff>0</xdr:rowOff>
        </xdr:to>
        <xdr:sp macro="" textlink="">
          <xdr:nvSpPr>
            <xdr:cNvPr id="6200" name="Comment 56" hidden="1">
              <a:extLst>
                <a:ext uri="{FF2B5EF4-FFF2-40B4-BE49-F238E27FC236}">
                  <a16:creationId xmlns:a16="http://schemas.microsoft.com/office/drawing/2014/main" id="{36128617-05C0-5849-95BA-D02B411E1972}"/>
                </a:ext>
              </a:extLst>
            </xdr:cNvPr>
            <xdr:cNvSpPr txBox="1">
              <a:spLocks noChangeArrowheads="1"/>
            </xdr:cNvSpPr>
          </xdr:nvSpPr>
          <xdr:spPr bwMode="auto">
            <a:xfrm>
              <a:off x="98513900" y="114249200"/>
              <a:ext cx="1879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from Table 4.12 in IPCC 2006</a:t>
              </a: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101600</xdr:colOff>
          <xdr:row>592</xdr:row>
          <xdr:rowOff>0</xdr:rowOff>
        </xdr:from>
        <xdr:to>
          <xdr:col>11</xdr:col>
          <xdr:colOff>1828800</xdr:colOff>
          <xdr:row>600</xdr:row>
          <xdr:rowOff>0</xdr:rowOff>
        </xdr:to>
        <xdr:sp macro="" textlink="">
          <xdr:nvSpPr>
            <xdr:cNvPr id="6201" name="Comment 57" hidden="1">
              <a:extLst>
                <a:ext uri="{FF2B5EF4-FFF2-40B4-BE49-F238E27FC236}">
                  <a16:creationId xmlns:a16="http://schemas.microsoft.com/office/drawing/2014/main" id="{85970C01-F52C-98EC-7321-EB288F390A67}"/>
                </a:ext>
              </a:extLst>
            </xdr:cNvPr>
            <xdr:cNvSpPr txBox="1">
              <a:spLocks noChangeArrowheads="1"/>
            </xdr:cNvSpPr>
          </xdr:nvSpPr>
          <xdr:spPr bwMode="auto">
            <a:xfrm>
              <a:off x="23749000" y="114249200"/>
              <a:ext cx="17272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1828800</xdr:colOff>
          <xdr:row>592</xdr:row>
          <xdr:rowOff>0</xdr:rowOff>
        </xdr:from>
        <xdr:to>
          <xdr:col>13</xdr:col>
          <xdr:colOff>660400</xdr:colOff>
          <xdr:row>600</xdr:row>
          <xdr:rowOff>0</xdr:rowOff>
        </xdr:to>
        <xdr:sp macro="" textlink="">
          <xdr:nvSpPr>
            <xdr:cNvPr id="6202" name="Comment 58" hidden="1">
              <a:extLst>
                <a:ext uri="{FF2B5EF4-FFF2-40B4-BE49-F238E27FC236}">
                  <a16:creationId xmlns:a16="http://schemas.microsoft.com/office/drawing/2014/main" id="{2D801E7C-0C06-0DBC-6B80-BE9A483CE9A5}"/>
                </a:ext>
              </a:extLst>
            </xdr:cNvPr>
            <xdr:cNvSpPr txBox="1">
              <a:spLocks noChangeArrowheads="1"/>
            </xdr:cNvSpPr>
          </xdr:nvSpPr>
          <xdr:spPr bwMode="auto">
            <a:xfrm>
              <a:off x="27406600" y="114249200"/>
              <a:ext cx="10033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2489200</xdr:colOff>
          <xdr:row>592</xdr:row>
          <xdr:rowOff>0</xdr:rowOff>
        </xdr:from>
        <xdr:to>
          <xdr:col>15</xdr:col>
          <xdr:colOff>0</xdr:colOff>
          <xdr:row>600</xdr:row>
          <xdr:rowOff>0</xdr:rowOff>
        </xdr:to>
        <xdr:sp macro="" textlink="">
          <xdr:nvSpPr>
            <xdr:cNvPr id="6204" name="Comment 60" hidden="1">
              <a:extLst>
                <a:ext uri="{FF2B5EF4-FFF2-40B4-BE49-F238E27FC236}">
                  <a16:creationId xmlns:a16="http://schemas.microsoft.com/office/drawing/2014/main" id="{A09477A9-AE8E-C8CD-844E-995E829821EF}"/>
                </a:ext>
              </a:extLst>
            </xdr:cNvPr>
            <xdr:cNvSpPr txBox="1">
              <a:spLocks noChangeArrowheads="1"/>
            </xdr:cNvSpPr>
          </xdr:nvSpPr>
          <xdr:spPr bwMode="auto">
            <a:xfrm>
              <a:off x="30149800" y="114249200"/>
              <a:ext cx="24003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762000</xdr:colOff>
          <xdr:row>592</xdr:row>
          <xdr:rowOff>0</xdr:rowOff>
        </xdr:from>
        <xdr:to>
          <xdr:col>17</xdr:col>
          <xdr:colOff>152400</xdr:colOff>
          <xdr:row>600</xdr:row>
          <xdr:rowOff>0</xdr:rowOff>
        </xdr:to>
        <xdr:sp macro="" textlink="">
          <xdr:nvSpPr>
            <xdr:cNvPr id="6205" name="Comment 61" hidden="1">
              <a:extLst>
                <a:ext uri="{FF2B5EF4-FFF2-40B4-BE49-F238E27FC236}">
                  <a16:creationId xmlns:a16="http://schemas.microsoft.com/office/drawing/2014/main" id="{CF70DAB0-0C42-82BB-D7D9-69F5169861C6}"/>
                </a:ext>
              </a:extLst>
            </xdr:cNvPr>
            <xdr:cNvSpPr txBox="1">
              <a:spLocks noChangeArrowheads="1"/>
            </xdr:cNvSpPr>
          </xdr:nvSpPr>
          <xdr:spPr bwMode="auto">
            <a:xfrm>
              <a:off x="35572700" y="114249200"/>
              <a:ext cx="13970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1828800</xdr:colOff>
          <xdr:row>592</xdr:row>
          <xdr:rowOff>0</xdr:rowOff>
        </xdr:from>
        <xdr:to>
          <xdr:col>22</xdr:col>
          <xdr:colOff>1219200</xdr:colOff>
          <xdr:row>600</xdr:row>
          <xdr:rowOff>0</xdr:rowOff>
        </xdr:to>
        <xdr:sp macro="" textlink="">
          <xdr:nvSpPr>
            <xdr:cNvPr id="6206" name="Comment 62" hidden="1">
              <a:extLst>
                <a:ext uri="{FF2B5EF4-FFF2-40B4-BE49-F238E27FC236}">
                  <a16:creationId xmlns:a16="http://schemas.microsoft.com/office/drawing/2014/main" id="{5A9F88D1-36BB-C76A-0328-20E9EDBAA747}"/>
                </a:ext>
              </a:extLst>
            </xdr:cNvPr>
            <xdr:cNvSpPr txBox="1">
              <a:spLocks noChangeArrowheads="1"/>
            </xdr:cNvSpPr>
          </xdr:nvSpPr>
          <xdr:spPr bwMode="auto">
            <a:xfrm>
              <a:off x="47104300" y="114249200"/>
              <a:ext cx="15621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2438400</xdr:colOff>
          <xdr:row>592</xdr:row>
          <xdr:rowOff>0</xdr:rowOff>
        </xdr:from>
        <xdr:to>
          <xdr:col>23</xdr:col>
          <xdr:colOff>1016000</xdr:colOff>
          <xdr:row>600</xdr:row>
          <xdr:rowOff>0</xdr:rowOff>
        </xdr:to>
        <xdr:sp macro="" textlink="">
          <xdr:nvSpPr>
            <xdr:cNvPr id="6208" name="Comment 64" hidden="1">
              <a:extLst>
                <a:ext uri="{FF2B5EF4-FFF2-40B4-BE49-F238E27FC236}">
                  <a16:creationId xmlns:a16="http://schemas.microsoft.com/office/drawing/2014/main" id="{3579FF05-802B-FF1F-2F56-1FDFBE2CB2B6}"/>
                </a:ext>
              </a:extLst>
            </xdr:cNvPr>
            <xdr:cNvSpPr txBox="1">
              <a:spLocks noChangeArrowheads="1"/>
            </xdr:cNvSpPr>
          </xdr:nvSpPr>
          <xdr:spPr bwMode="auto">
            <a:xfrm>
              <a:off x="49885600" y="114249200"/>
              <a:ext cx="10541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1930400</xdr:colOff>
          <xdr:row>592</xdr:row>
          <xdr:rowOff>0</xdr:rowOff>
        </xdr:from>
        <xdr:to>
          <xdr:col>24</xdr:col>
          <xdr:colOff>609600</xdr:colOff>
          <xdr:row>600</xdr:row>
          <xdr:rowOff>0</xdr:rowOff>
        </xdr:to>
        <xdr:sp macro="" textlink="">
          <xdr:nvSpPr>
            <xdr:cNvPr id="6209" name="Comment 65" hidden="1">
              <a:extLst>
                <a:ext uri="{FF2B5EF4-FFF2-40B4-BE49-F238E27FC236}">
                  <a16:creationId xmlns:a16="http://schemas.microsoft.com/office/drawing/2014/main" id="{76A5126A-F9BF-5FD4-B980-EF718AB21D20}"/>
                </a:ext>
              </a:extLst>
            </xdr:cNvPr>
            <xdr:cNvSpPr txBox="1">
              <a:spLocks noChangeArrowheads="1"/>
            </xdr:cNvSpPr>
          </xdr:nvSpPr>
          <xdr:spPr bwMode="auto">
            <a:xfrm>
              <a:off x="51854100" y="114249200"/>
              <a:ext cx="13843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101600</xdr:colOff>
          <xdr:row>592</xdr:row>
          <xdr:rowOff>0</xdr:rowOff>
        </xdr:from>
        <xdr:to>
          <xdr:col>25</xdr:col>
          <xdr:colOff>1524000</xdr:colOff>
          <xdr:row>600</xdr:row>
          <xdr:rowOff>0</xdr:rowOff>
        </xdr:to>
        <xdr:sp macro="" textlink="">
          <xdr:nvSpPr>
            <xdr:cNvPr id="6210" name="Comment 66" hidden="1">
              <a:extLst>
                <a:ext uri="{FF2B5EF4-FFF2-40B4-BE49-F238E27FC236}">
                  <a16:creationId xmlns:a16="http://schemas.microsoft.com/office/drawing/2014/main" id="{FBA5362B-0589-461A-0B80-1B5A9A5CB71B}"/>
                </a:ext>
              </a:extLst>
            </xdr:cNvPr>
            <xdr:cNvSpPr txBox="1">
              <a:spLocks noChangeArrowheads="1"/>
            </xdr:cNvSpPr>
          </xdr:nvSpPr>
          <xdr:spPr bwMode="auto">
            <a:xfrm>
              <a:off x="54673500" y="114249200"/>
              <a:ext cx="14224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Red values are taken from Table 4.12 in IPCC 2006, Chapter 4, page 4.63 </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1524000</xdr:colOff>
          <xdr:row>619</xdr:row>
          <xdr:rowOff>0</xdr:rowOff>
        </xdr:from>
        <xdr:to>
          <xdr:col>14</xdr:col>
          <xdr:colOff>1574800</xdr:colOff>
          <xdr:row>629</xdr:row>
          <xdr:rowOff>0</xdr:rowOff>
        </xdr:to>
        <xdr:sp macro="" textlink="">
          <xdr:nvSpPr>
            <xdr:cNvPr id="6211" name="Comment 67" hidden="1">
              <a:extLst>
                <a:ext uri="{FF2B5EF4-FFF2-40B4-BE49-F238E27FC236}">
                  <a16:creationId xmlns:a16="http://schemas.microsoft.com/office/drawing/2014/main" id="{6C95B97A-C422-1B26-112B-059A15B60E6C}"/>
                </a:ext>
              </a:extLst>
            </xdr:cNvPr>
            <xdr:cNvSpPr txBox="1">
              <a:spLocks noChangeArrowheads="1"/>
            </xdr:cNvSpPr>
          </xdr:nvSpPr>
          <xdr:spPr bwMode="auto">
            <a:xfrm>
              <a:off x="29273500" y="119392700"/>
              <a:ext cx="2451100" cy="1905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no estimate available</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Took the same value as Tropical mountain systems</a:t>
              </a:r>
            </a:p>
          </xdr:txBody>
        </xdr:sp>
        <xdr:clientData/>
      </xdr:twoCellAnchor>
    </mc:Fallback>
  </mc:AlternateContent>
  <mc:AlternateContent xmlns:mc="http://schemas.openxmlformats.org/markup-compatibility/2006">
    <mc:Choice xmlns:v="urn:schemas-microsoft-com:vml" Requires="v"/>
    <mc:Fallback>
      <xdr:twoCellAnchor editAs="absolute">
        <xdr:from>
          <xdr:col>51</xdr:col>
          <xdr:colOff>812800</xdr:colOff>
          <xdr:row>619</xdr:row>
          <xdr:rowOff>0</xdr:rowOff>
        </xdr:from>
        <xdr:to>
          <xdr:col>52</xdr:col>
          <xdr:colOff>0</xdr:colOff>
          <xdr:row>623</xdr:row>
          <xdr:rowOff>0</xdr:rowOff>
        </xdr:to>
        <xdr:sp macro="" textlink="">
          <xdr:nvSpPr>
            <xdr:cNvPr id="6212" name="Comment 68" hidden="1">
              <a:extLst>
                <a:ext uri="{FF2B5EF4-FFF2-40B4-BE49-F238E27FC236}">
                  <a16:creationId xmlns:a16="http://schemas.microsoft.com/office/drawing/2014/main" id="{F3CAE5E2-1187-C066-2324-2AB04E5848FE}"/>
                </a:ext>
              </a:extLst>
            </xdr:cNvPr>
            <xdr:cNvSpPr txBox="1">
              <a:spLocks noChangeArrowheads="1"/>
            </xdr:cNvSpPr>
          </xdr:nvSpPr>
          <xdr:spPr bwMode="auto">
            <a:xfrm>
              <a:off x="120103900" y="119392700"/>
              <a:ext cx="12954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values innred taken from ex-act v.7</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0</xdr:colOff>
          <xdr:row>652</xdr:row>
          <xdr:rowOff>0</xdr:rowOff>
        </xdr:from>
        <xdr:to>
          <xdr:col>3</xdr:col>
          <xdr:colOff>1524000</xdr:colOff>
          <xdr:row>661</xdr:row>
          <xdr:rowOff>0</xdr:rowOff>
        </xdr:to>
        <xdr:sp macro="" textlink="">
          <xdr:nvSpPr>
            <xdr:cNvPr id="6213" name="Comment 69" hidden="1">
              <a:extLst>
                <a:ext uri="{FF2B5EF4-FFF2-40B4-BE49-F238E27FC236}">
                  <a16:creationId xmlns:a16="http://schemas.microsoft.com/office/drawing/2014/main" id="{35C1B9C8-D148-8FC0-51B6-1C3DD0DD9548}"/>
                </a:ext>
              </a:extLst>
            </xdr:cNvPr>
            <xdr:cNvSpPr txBox="1">
              <a:spLocks noChangeArrowheads="1"/>
            </xdr:cNvSpPr>
          </xdr:nvSpPr>
          <xdr:spPr bwMode="auto">
            <a:xfrm>
              <a:off x="6997700" y="125679200"/>
              <a:ext cx="3886200" cy="1714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subtropical desert = 64.4 tC/ha</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 class 'Subtropical dry forest' is mising from table 2.2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0</xdr:colOff>
          <xdr:row>669</xdr:row>
          <xdr:rowOff>0</xdr:rowOff>
        </xdr:from>
        <xdr:to>
          <xdr:col>3</xdr:col>
          <xdr:colOff>1524000</xdr:colOff>
          <xdr:row>679</xdr:row>
          <xdr:rowOff>0</xdr:rowOff>
        </xdr:to>
        <xdr:sp macro="" textlink="">
          <xdr:nvSpPr>
            <xdr:cNvPr id="6214" name="Comment 70" hidden="1">
              <a:extLst>
                <a:ext uri="{FF2B5EF4-FFF2-40B4-BE49-F238E27FC236}">
                  <a16:creationId xmlns:a16="http://schemas.microsoft.com/office/drawing/2014/main" id="{9DAE72FC-25FD-C473-97EF-6A102BC97BFE}"/>
                </a:ext>
              </a:extLst>
            </xdr:cNvPr>
            <xdr:cNvSpPr txBox="1">
              <a:spLocks noChangeArrowheads="1"/>
            </xdr:cNvSpPr>
          </xdr:nvSpPr>
          <xdr:spPr bwMode="auto">
            <a:xfrm>
              <a:off x="6997700" y="128917700"/>
              <a:ext cx="3886200" cy="1828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subtropical desert = 64.4 tC/ha</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The class 'Subtropical dry forest' is mising from table 2.2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5435600</xdr:colOff>
          <xdr:row>553</xdr:row>
          <xdr:rowOff>50800</xdr:rowOff>
        </xdr:from>
        <xdr:to>
          <xdr:col>1</xdr:col>
          <xdr:colOff>914400</xdr:colOff>
          <xdr:row>563</xdr:row>
          <xdr:rowOff>0</xdr:rowOff>
        </xdr:to>
        <xdr:sp macro="" textlink="">
          <xdr:nvSpPr>
            <xdr:cNvPr id="6217" name="Comment 73" hidden="1">
              <a:extLst>
                <a:ext uri="{FF2B5EF4-FFF2-40B4-BE49-F238E27FC236}">
                  <a16:creationId xmlns:a16="http://schemas.microsoft.com/office/drawing/2014/main" id="{A4FFC2E4-A083-A777-2354-2D04973CC31E}"/>
                </a:ext>
              </a:extLst>
            </xdr:cNvPr>
            <xdr:cNvSpPr txBox="1">
              <a:spLocks noChangeArrowheads="1"/>
            </xdr:cNvSpPr>
          </xdr:nvSpPr>
          <xdr:spPr bwMode="auto">
            <a:xfrm>
              <a:off x="5295900" y="107022900"/>
              <a:ext cx="914400" cy="1854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Peak above-ground</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biomass1 (tonnes d.m. ha-1)</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1219200</xdr:colOff>
          <xdr:row>685</xdr:row>
          <xdr:rowOff>0</xdr:rowOff>
        </xdr:from>
        <xdr:to>
          <xdr:col>6</xdr:col>
          <xdr:colOff>1320800</xdr:colOff>
          <xdr:row>694</xdr:row>
          <xdr:rowOff>0</xdr:rowOff>
        </xdr:to>
        <xdr:sp macro="" textlink="">
          <xdr:nvSpPr>
            <xdr:cNvPr id="6269" name="Comment 125" hidden="1">
              <a:extLst>
                <a:ext uri="{FF2B5EF4-FFF2-40B4-BE49-F238E27FC236}">
                  <a16:creationId xmlns:a16="http://schemas.microsoft.com/office/drawing/2014/main" id="{1984648A-05F3-486E-A7C0-B0899D53E5FD}"/>
                </a:ext>
              </a:extLst>
            </xdr:cNvPr>
            <xdr:cNvSpPr txBox="1">
              <a:spLocks noChangeArrowheads="1"/>
            </xdr:cNvSpPr>
          </xdr:nvSpPr>
          <xdr:spPr bwMode="auto">
            <a:xfrm>
              <a:off x="13741400" y="131902200"/>
              <a:ext cx="1955800" cy="1714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represents temporary annual fallow and so it is set same biomass as annual cropland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50800</xdr:colOff>
          <xdr:row>685</xdr:row>
          <xdr:rowOff>0</xdr:rowOff>
        </xdr:from>
        <xdr:to>
          <xdr:col>7</xdr:col>
          <xdr:colOff>1828800</xdr:colOff>
          <xdr:row>690</xdr:row>
          <xdr:rowOff>0</xdr:rowOff>
        </xdr:to>
        <xdr:sp macro="" textlink="">
          <xdr:nvSpPr>
            <xdr:cNvPr id="6271" name="Comment 127" hidden="1">
              <a:extLst>
                <a:ext uri="{FF2B5EF4-FFF2-40B4-BE49-F238E27FC236}">
                  <a16:creationId xmlns:a16="http://schemas.microsoft.com/office/drawing/2014/main" id="{326C2CC7-6341-44B2-21D3-9C31D4768781}"/>
                </a:ext>
              </a:extLst>
            </xdr:cNvPr>
            <xdr:cNvSpPr txBox="1">
              <a:spLocks noChangeArrowheads="1"/>
            </xdr:cNvSpPr>
          </xdr:nvSpPr>
          <xdr:spPr bwMode="auto">
            <a:xfrm>
              <a:off x="15925800" y="131902200"/>
              <a:ext cx="1778000" cy="952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same as annual cropland</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1422400</xdr:colOff>
          <xdr:row>685</xdr:row>
          <xdr:rowOff>0</xdr:rowOff>
        </xdr:from>
        <xdr:to>
          <xdr:col>9</xdr:col>
          <xdr:colOff>1625600</xdr:colOff>
          <xdr:row>690</xdr:row>
          <xdr:rowOff>50800</xdr:rowOff>
        </xdr:to>
        <xdr:sp macro="" textlink="">
          <xdr:nvSpPr>
            <xdr:cNvPr id="6275" name="Comment 131" hidden="1">
              <a:extLst>
                <a:ext uri="{FF2B5EF4-FFF2-40B4-BE49-F238E27FC236}">
                  <a16:creationId xmlns:a16="http://schemas.microsoft.com/office/drawing/2014/main" id="{B8249A18-6B49-1B49-0502-B033FF3FD390}"/>
                </a:ext>
              </a:extLst>
            </xdr:cNvPr>
            <xdr:cNvSpPr txBox="1">
              <a:spLocks noChangeArrowheads="1"/>
            </xdr:cNvSpPr>
          </xdr:nvSpPr>
          <xdr:spPr bwMode="auto">
            <a:xfrm>
              <a:off x="19392900" y="131902200"/>
              <a:ext cx="2222500" cy="10033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Total biomass = AGB + BGB</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0</xdr:colOff>
          <xdr:row>853</xdr:row>
          <xdr:rowOff>50800</xdr:rowOff>
        </xdr:from>
        <xdr:to>
          <xdr:col>1</xdr:col>
          <xdr:colOff>1371600</xdr:colOff>
          <xdr:row>857</xdr:row>
          <xdr:rowOff>50800</xdr:rowOff>
        </xdr:to>
        <xdr:sp macro="" textlink="">
          <xdr:nvSpPr>
            <xdr:cNvPr id="6290" name="Comment 146" hidden="1">
              <a:extLst>
                <a:ext uri="{FF2B5EF4-FFF2-40B4-BE49-F238E27FC236}">
                  <a16:creationId xmlns:a16="http://schemas.microsoft.com/office/drawing/2014/main" id="{E4FA2B88-782B-C82B-84DB-5D75526DB4A7}"/>
                </a:ext>
              </a:extLst>
            </xdr:cNvPr>
            <xdr:cNvSpPr txBox="1">
              <a:spLocks noChangeArrowheads="1"/>
            </xdr:cNvSpPr>
          </xdr:nvSpPr>
          <xdr:spPr bwMode="auto">
            <a:xfrm>
              <a:off x="5295900" y="163969700"/>
              <a:ext cx="1371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Set aside (&lt; 20 yrs)</a:t>
              </a: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1828800</xdr:colOff>
          <xdr:row>687</xdr:row>
          <xdr:rowOff>0</xdr:rowOff>
        </xdr:from>
        <xdr:to>
          <xdr:col>17</xdr:col>
          <xdr:colOff>1422400</xdr:colOff>
          <xdr:row>695</xdr:row>
          <xdr:rowOff>0</xdr:rowOff>
        </xdr:to>
        <xdr:sp macro="" textlink="">
          <xdr:nvSpPr>
            <xdr:cNvPr id="6292" name="Comment 148" hidden="1">
              <a:extLst>
                <a:ext uri="{FF2B5EF4-FFF2-40B4-BE49-F238E27FC236}">
                  <a16:creationId xmlns:a16="http://schemas.microsoft.com/office/drawing/2014/main" id="{9FE38C1E-B617-A737-2E2E-D079E816617D}"/>
                </a:ext>
              </a:extLst>
            </xdr:cNvPr>
            <xdr:cNvSpPr txBox="1">
              <a:spLocks noChangeArrowheads="1"/>
            </xdr:cNvSpPr>
          </xdr:nvSpPr>
          <xdr:spPr bwMode="auto">
            <a:xfrm>
              <a:off x="36639500" y="132283200"/>
              <a:ext cx="1600200" cy="1524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To be double checked!!!</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Native vegetation that has been heavily disturbed. Land with low levels of biomass and soil carbon </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762000</xdr:colOff>
          <xdr:row>854</xdr:row>
          <xdr:rowOff>0</xdr:rowOff>
        </xdr:from>
        <xdr:to>
          <xdr:col>13</xdr:col>
          <xdr:colOff>1219200</xdr:colOff>
          <xdr:row>861</xdr:row>
          <xdr:rowOff>0</xdr:rowOff>
        </xdr:to>
        <xdr:sp macro="" textlink="">
          <xdr:nvSpPr>
            <xdr:cNvPr id="6293" name="Comment 149" hidden="1">
              <a:extLst>
                <a:ext uri="{FF2B5EF4-FFF2-40B4-BE49-F238E27FC236}">
                  <a16:creationId xmlns:a16="http://schemas.microsoft.com/office/drawing/2014/main" id="{F85AF18D-80A5-AE7E-CDF9-E5AE1406ED75}"/>
                </a:ext>
              </a:extLst>
            </xdr:cNvPr>
            <xdr:cNvSpPr txBox="1">
              <a:spLocks noChangeArrowheads="1"/>
            </xdr:cNvSpPr>
          </xdr:nvSpPr>
          <xdr:spPr bwMode="auto">
            <a:xfrm>
              <a:off x="26339800" y="164109400"/>
              <a:ext cx="2628900" cy="1333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Check with Martial  FLU in degraded land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EX-ACT v7: FLU degraded in Afforestation and Deforestation are not the same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In A-R: FLU degraded = 0.33</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In Defo: FLU degraded = 50% FLU annual</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3657600</xdr:colOff>
          <xdr:row>1490</xdr:row>
          <xdr:rowOff>0</xdr:rowOff>
        </xdr:from>
        <xdr:to>
          <xdr:col>0</xdr:col>
          <xdr:colOff>5588000</xdr:colOff>
          <xdr:row>1497</xdr:row>
          <xdr:rowOff>0</xdr:rowOff>
        </xdr:to>
        <xdr:sp macro="" textlink="">
          <xdr:nvSpPr>
            <xdr:cNvPr id="6295" name="Comment 151" hidden="1">
              <a:extLst>
                <a:ext uri="{FF2B5EF4-FFF2-40B4-BE49-F238E27FC236}">
                  <a16:creationId xmlns:a16="http://schemas.microsoft.com/office/drawing/2014/main" id="{7CA3BD72-1714-A4DD-3B0F-4CD4AE61198B}"/>
                </a:ext>
              </a:extLst>
            </xdr:cNvPr>
            <xdr:cNvSpPr txBox="1">
              <a:spLocks noChangeArrowheads="1"/>
            </xdr:cNvSpPr>
          </xdr:nvSpPr>
          <xdr:spPr bwMode="auto">
            <a:xfrm>
              <a:off x="3657600" y="285267400"/>
              <a:ext cx="1638300" cy="1333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Native vegetation that has been heavily disturbed. Land with low levels of biomass and soil carbon </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5384800</xdr:colOff>
          <xdr:row>1474</xdr:row>
          <xdr:rowOff>0</xdr:rowOff>
        </xdr:from>
        <xdr:to>
          <xdr:col>1</xdr:col>
          <xdr:colOff>1219200</xdr:colOff>
          <xdr:row>1478</xdr:row>
          <xdr:rowOff>0</xdr:rowOff>
        </xdr:to>
        <xdr:sp macro="" textlink="">
          <xdr:nvSpPr>
            <xdr:cNvPr id="6296" name="Comment 152" hidden="1">
              <a:extLst>
                <a:ext uri="{FF2B5EF4-FFF2-40B4-BE49-F238E27FC236}">
                  <a16:creationId xmlns:a16="http://schemas.microsoft.com/office/drawing/2014/main" id="{170DAFD8-3C6E-D736-B4B3-D5D9F5A0B8A2}"/>
                </a:ext>
              </a:extLst>
            </xdr:cNvPr>
            <xdr:cNvSpPr txBox="1">
              <a:spLocks noChangeArrowheads="1"/>
            </xdr:cNvSpPr>
          </xdr:nvSpPr>
          <xdr:spPr bwMode="auto">
            <a:xfrm>
              <a:off x="5295900" y="282219400"/>
              <a:ext cx="1219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same values as in EX-ACT v7 To be checked!!!</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203200</xdr:colOff>
          <xdr:row>854</xdr:row>
          <xdr:rowOff>0</xdr:rowOff>
        </xdr:from>
        <xdr:to>
          <xdr:col>4</xdr:col>
          <xdr:colOff>863600</xdr:colOff>
          <xdr:row>858</xdr:row>
          <xdr:rowOff>0</xdr:rowOff>
        </xdr:to>
        <xdr:sp macro="" textlink="">
          <xdr:nvSpPr>
            <xdr:cNvPr id="6313" name="Comment 169" hidden="1">
              <a:extLst>
                <a:ext uri="{FF2B5EF4-FFF2-40B4-BE49-F238E27FC236}">
                  <a16:creationId xmlns:a16="http://schemas.microsoft.com/office/drawing/2014/main" id="{B91B2089-77D2-C9EC-9446-8010B54AC0FF}"/>
                </a:ext>
              </a:extLst>
            </xdr:cNvPr>
            <xdr:cNvSpPr txBox="1">
              <a:spLocks noChangeArrowheads="1"/>
            </xdr:cNvSpPr>
          </xdr:nvSpPr>
          <xdr:spPr bwMode="auto">
            <a:xfrm>
              <a:off x="9601200" y="164109400"/>
              <a:ext cx="21463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double checked!!!</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2184400</xdr:colOff>
          <xdr:row>685</xdr:row>
          <xdr:rowOff>0</xdr:rowOff>
        </xdr:from>
        <xdr:to>
          <xdr:col>4</xdr:col>
          <xdr:colOff>50800</xdr:colOff>
          <xdr:row>689</xdr:row>
          <xdr:rowOff>0</xdr:rowOff>
        </xdr:to>
        <xdr:sp macro="" textlink="">
          <xdr:nvSpPr>
            <xdr:cNvPr id="6335" name="Comment 191" hidden="1">
              <a:extLst>
                <a:ext uri="{FF2B5EF4-FFF2-40B4-BE49-F238E27FC236}">
                  <a16:creationId xmlns:a16="http://schemas.microsoft.com/office/drawing/2014/main" id="{946637F1-65C7-5AD5-71A1-DFFCF6AD5968}"/>
                </a:ext>
              </a:extLst>
            </xdr:cNvPr>
            <xdr:cNvSpPr txBox="1">
              <a:spLocks noChangeArrowheads="1"/>
            </xdr:cNvSpPr>
          </xdr:nvSpPr>
          <xdr:spPr bwMode="auto">
            <a:xfrm>
              <a:off x="9182100" y="131902200"/>
              <a:ext cx="1752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0</xdr:colOff>
          <xdr:row>685</xdr:row>
          <xdr:rowOff>0</xdr:rowOff>
        </xdr:from>
        <xdr:to>
          <xdr:col>5</xdr:col>
          <xdr:colOff>1524000</xdr:colOff>
          <xdr:row>689</xdr:row>
          <xdr:rowOff>0</xdr:rowOff>
        </xdr:to>
        <xdr:sp macro="" textlink="">
          <xdr:nvSpPr>
            <xdr:cNvPr id="6336" name="Comment 192" hidden="1">
              <a:extLst>
                <a:ext uri="{FF2B5EF4-FFF2-40B4-BE49-F238E27FC236}">
                  <a16:creationId xmlns:a16="http://schemas.microsoft.com/office/drawing/2014/main" id="{1443B038-2265-EF77-349B-EC821CB3CE86}"/>
                </a:ext>
              </a:extLst>
            </xdr:cNvPr>
            <xdr:cNvSpPr txBox="1">
              <a:spLocks noChangeArrowheads="1"/>
            </xdr:cNvSpPr>
          </xdr:nvSpPr>
          <xdr:spPr bwMode="auto">
            <a:xfrm>
              <a:off x="12522200" y="131902200"/>
              <a:ext cx="15240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863600</xdr:colOff>
          <xdr:row>685</xdr:row>
          <xdr:rowOff>0</xdr:rowOff>
        </xdr:from>
        <xdr:to>
          <xdr:col>7</xdr:col>
          <xdr:colOff>711200</xdr:colOff>
          <xdr:row>689</xdr:row>
          <xdr:rowOff>0</xdr:rowOff>
        </xdr:to>
        <xdr:sp macro="" textlink="">
          <xdr:nvSpPr>
            <xdr:cNvPr id="6337" name="Comment 193" hidden="1">
              <a:extLst>
                <a:ext uri="{FF2B5EF4-FFF2-40B4-BE49-F238E27FC236}">
                  <a16:creationId xmlns:a16="http://schemas.microsoft.com/office/drawing/2014/main" id="{64A612C9-F507-A953-EFA4-3A61B41E2220}"/>
                </a:ext>
              </a:extLst>
            </xdr:cNvPr>
            <xdr:cNvSpPr txBox="1">
              <a:spLocks noChangeArrowheads="1"/>
            </xdr:cNvSpPr>
          </xdr:nvSpPr>
          <xdr:spPr bwMode="auto">
            <a:xfrm>
              <a:off x="15240000" y="131902200"/>
              <a:ext cx="1346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254000</xdr:colOff>
          <xdr:row>685</xdr:row>
          <xdr:rowOff>0</xdr:rowOff>
        </xdr:from>
        <xdr:to>
          <xdr:col>8</xdr:col>
          <xdr:colOff>2133600</xdr:colOff>
          <xdr:row>689</xdr:row>
          <xdr:rowOff>0</xdr:rowOff>
        </xdr:to>
        <xdr:sp macro="" textlink="">
          <xdr:nvSpPr>
            <xdr:cNvPr id="6338" name="Comment 194" hidden="1">
              <a:extLst>
                <a:ext uri="{FF2B5EF4-FFF2-40B4-BE49-F238E27FC236}">
                  <a16:creationId xmlns:a16="http://schemas.microsoft.com/office/drawing/2014/main" id="{AD8BD0B7-1247-966F-7B52-C98E5296A896}"/>
                </a:ext>
              </a:extLst>
            </xdr:cNvPr>
            <xdr:cNvSpPr txBox="1">
              <a:spLocks noChangeArrowheads="1"/>
            </xdr:cNvSpPr>
          </xdr:nvSpPr>
          <xdr:spPr bwMode="auto">
            <a:xfrm>
              <a:off x="18224500" y="131902200"/>
              <a:ext cx="17653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2133600</xdr:colOff>
          <xdr:row>685</xdr:row>
          <xdr:rowOff>0</xdr:rowOff>
        </xdr:from>
        <xdr:to>
          <xdr:col>9</xdr:col>
          <xdr:colOff>1422400</xdr:colOff>
          <xdr:row>689</xdr:row>
          <xdr:rowOff>0</xdr:rowOff>
        </xdr:to>
        <xdr:sp macro="" textlink="">
          <xdr:nvSpPr>
            <xdr:cNvPr id="6339" name="Comment 195" hidden="1">
              <a:extLst>
                <a:ext uri="{FF2B5EF4-FFF2-40B4-BE49-F238E27FC236}">
                  <a16:creationId xmlns:a16="http://schemas.microsoft.com/office/drawing/2014/main" id="{ACD1737F-103E-8510-5903-9F15E9A1892D}"/>
                </a:ext>
              </a:extLst>
            </xdr:cNvPr>
            <xdr:cNvSpPr txBox="1">
              <a:spLocks noChangeArrowheads="1"/>
            </xdr:cNvSpPr>
          </xdr:nvSpPr>
          <xdr:spPr bwMode="auto">
            <a:xfrm>
              <a:off x="19989800" y="131902200"/>
              <a:ext cx="14224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0</xdr:colOff>
          <xdr:row>685</xdr:row>
          <xdr:rowOff>0</xdr:rowOff>
        </xdr:from>
        <xdr:to>
          <xdr:col>10</xdr:col>
          <xdr:colOff>1828800</xdr:colOff>
          <xdr:row>689</xdr:row>
          <xdr:rowOff>0</xdr:rowOff>
        </xdr:to>
        <xdr:sp macro="" textlink="">
          <xdr:nvSpPr>
            <xdr:cNvPr id="6340" name="Comment 196" hidden="1">
              <a:extLst>
                <a:ext uri="{FF2B5EF4-FFF2-40B4-BE49-F238E27FC236}">
                  <a16:creationId xmlns:a16="http://schemas.microsoft.com/office/drawing/2014/main" id="{D1E9CB85-1951-49C0-13EC-836381F97454}"/>
                </a:ext>
              </a:extLst>
            </xdr:cNvPr>
            <xdr:cNvSpPr txBox="1">
              <a:spLocks noChangeArrowheads="1"/>
            </xdr:cNvSpPr>
          </xdr:nvSpPr>
          <xdr:spPr bwMode="auto">
            <a:xfrm>
              <a:off x="21844000" y="131902200"/>
              <a:ext cx="18034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0</xdr:colOff>
          <xdr:row>685</xdr:row>
          <xdr:rowOff>0</xdr:rowOff>
        </xdr:from>
        <xdr:to>
          <xdr:col>11</xdr:col>
          <xdr:colOff>1828800</xdr:colOff>
          <xdr:row>689</xdr:row>
          <xdr:rowOff>0</xdr:rowOff>
        </xdr:to>
        <xdr:sp macro="" textlink="">
          <xdr:nvSpPr>
            <xdr:cNvPr id="6341" name="Comment 197" hidden="1">
              <a:extLst>
                <a:ext uri="{FF2B5EF4-FFF2-40B4-BE49-F238E27FC236}">
                  <a16:creationId xmlns:a16="http://schemas.microsoft.com/office/drawing/2014/main" id="{74E88D95-6997-AB75-DB36-4B7E9A1D4BD2}"/>
                </a:ext>
              </a:extLst>
            </xdr:cNvPr>
            <xdr:cNvSpPr txBox="1">
              <a:spLocks noChangeArrowheads="1"/>
            </xdr:cNvSpPr>
          </xdr:nvSpPr>
          <xdr:spPr bwMode="auto">
            <a:xfrm>
              <a:off x="23647400" y="131902200"/>
              <a:ext cx="1828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1981200</xdr:colOff>
          <xdr:row>685</xdr:row>
          <xdr:rowOff>0</xdr:rowOff>
        </xdr:from>
        <xdr:to>
          <xdr:col>12</xdr:col>
          <xdr:colOff>1574800</xdr:colOff>
          <xdr:row>689</xdr:row>
          <xdr:rowOff>0</xdr:rowOff>
        </xdr:to>
        <xdr:sp macro="" textlink="">
          <xdr:nvSpPr>
            <xdr:cNvPr id="6342" name="Comment 198" hidden="1">
              <a:extLst>
                <a:ext uri="{FF2B5EF4-FFF2-40B4-BE49-F238E27FC236}">
                  <a16:creationId xmlns:a16="http://schemas.microsoft.com/office/drawing/2014/main" id="{5D3A293A-4E35-022A-674F-61717CF1EC6C}"/>
                </a:ext>
              </a:extLst>
            </xdr:cNvPr>
            <xdr:cNvSpPr txBox="1">
              <a:spLocks noChangeArrowheads="1"/>
            </xdr:cNvSpPr>
          </xdr:nvSpPr>
          <xdr:spPr bwMode="auto">
            <a:xfrm>
              <a:off x="25577800" y="131902200"/>
              <a:ext cx="1574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2082800</xdr:colOff>
          <xdr:row>685</xdr:row>
          <xdr:rowOff>0</xdr:rowOff>
        </xdr:from>
        <xdr:to>
          <xdr:col>13</xdr:col>
          <xdr:colOff>1219200</xdr:colOff>
          <xdr:row>689</xdr:row>
          <xdr:rowOff>0</xdr:rowOff>
        </xdr:to>
        <xdr:sp macro="" textlink="">
          <xdr:nvSpPr>
            <xdr:cNvPr id="6343" name="Comment 199" hidden="1">
              <a:extLst>
                <a:ext uri="{FF2B5EF4-FFF2-40B4-BE49-F238E27FC236}">
                  <a16:creationId xmlns:a16="http://schemas.microsoft.com/office/drawing/2014/main" id="{1543B5D3-3FD2-E2D9-A72A-29C3E2678B5E}"/>
                </a:ext>
              </a:extLst>
            </xdr:cNvPr>
            <xdr:cNvSpPr txBox="1">
              <a:spLocks noChangeArrowheads="1"/>
            </xdr:cNvSpPr>
          </xdr:nvSpPr>
          <xdr:spPr bwMode="auto">
            <a:xfrm>
              <a:off x="27660600" y="131902200"/>
              <a:ext cx="13081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2082800</xdr:colOff>
          <xdr:row>685</xdr:row>
          <xdr:rowOff>0</xdr:rowOff>
        </xdr:from>
        <xdr:to>
          <xdr:col>14</xdr:col>
          <xdr:colOff>2184400</xdr:colOff>
          <xdr:row>689</xdr:row>
          <xdr:rowOff>0</xdr:rowOff>
        </xdr:to>
        <xdr:sp macro="" textlink="">
          <xdr:nvSpPr>
            <xdr:cNvPr id="6344" name="Comment 200" hidden="1">
              <a:extLst>
                <a:ext uri="{FF2B5EF4-FFF2-40B4-BE49-F238E27FC236}">
                  <a16:creationId xmlns:a16="http://schemas.microsoft.com/office/drawing/2014/main" id="{D1ABA7A8-BBD3-420C-8F98-3C5A12ECEB6D}"/>
                </a:ext>
              </a:extLst>
            </xdr:cNvPr>
            <xdr:cNvSpPr txBox="1">
              <a:spLocks noChangeArrowheads="1"/>
            </xdr:cNvSpPr>
          </xdr:nvSpPr>
          <xdr:spPr bwMode="auto">
            <a:xfrm>
              <a:off x="29832300" y="131902200"/>
              <a:ext cx="25019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609600</xdr:colOff>
          <xdr:row>685</xdr:row>
          <xdr:rowOff>0</xdr:rowOff>
        </xdr:from>
        <xdr:to>
          <xdr:col>15</xdr:col>
          <xdr:colOff>2133600</xdr:colOff>
          <xdr:row>689</xdr:row>
          <xdr:rowOff>0</xdr:rowOff>
        </xdr:to>
        <xdr:sp macro="" textlink="">
          <xdr:nvSpPr>
            <xdr:cNvPr id="6345" name="Comment 201" hidden="1">
              <a:extLst>
                <a:ext uri="{FF2B5EF4-FFF2-40B4-BE49-F238E27FC236}">
                  <a16:creationId xmlns:a16="http://schemas.microsoft.com/office/drawing/2014/main" id="{2ED8D629-F312-C018-40C9-E2EFF07C2F7C}"/>
                </a:ext>
              </a:extLst>
            </xdr:cNvPr>
            <xdr:cNvSpPr txBox="1">
              <a:spLocks noChangeArrowheads="1"/>
            </xdr:cNvSpPr>
          </xdr:nvSpPr>
          <xdr:spPr bwMode="auto">
            <a:xfrm>
              <a:off x="33159700" y="131902200"/>
              <a:ext cx="15240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660400</xdr:colOff>
          <xdr:row>685</xdr:row>
          <xdr:rowOff>0</xdr:rowOff>
        </xdr:from>
        <xdr:to>
          <xdr:col>17</xdr:col>
          <xdr:colOff>0</xdr:colOff>
          <xdr:row>689</xdr:row>
          <xdr:rowOff>0</xdr:rowOff>
        </xdr:to>
        <xdr:sp macro="" textlink="">
          <xdr:nvSpPr>
            <xdr:cNvPr id="6346" name="Comment 202" hidden="1">
              <a:extLst>
                <a:ext uri="{FF2B5EF4-FFF2-40B4-BE49-F238E27FC236}">
                  <a16:creationId xmlns:a16="http://schemas.microsoft.com/office/drawing/2014/main" id="{AD2E285D-3C72-8A17-44B3-B2C42D92A0F8}"/>
                </a:ext>
              </a:extLst>
            </xdr:cNvPr>
            <xdr:cNvSpPr txBox="1">
              <a:spLocks noChangeArrowheads="1"/>
            </xdr:cNvSpPr>
          </xdr:nvSpPr>
          <xdr:spPr bwMode="auto">
            <a:xfrm>
              <a:off x="35471100" y="131902200"/>
              <a:ext cx="1346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812800</xdr:colOff>
          <xdr:row>685</xdr:row>
          <xdr:rowOff>0</xdr:rowOff>
        </xdr:from>
        <xdr:to>
          <xdr:col>18</xdr:col>
          <xdr:colOff>101600</xdr:colOff>
          <xdr:row>689</xdr:row>
          <xdr:rowOff>0</xdr:rowOff>
        </xdr:to>
        <xdr:sp macro="" textlink="">
          <xdr:nvSpPr>
            <xdr:cNvPr id="6347" name="Comment 203" hidden="1">
              <a:extLst>
                <a:ext uri="{FF2B5EF4-FFF2-40B4-BE49-F238E27FC236}">
                  <a16:creationId xmlns:a16="http://schemas.microsoft.com/office/drawing/2014/main" id="{27CB14ED-B7B9-BC20-2D1B-43FE3D2FF715}"/>
                </a:ext>
              </a:extLst>
            </xdr:cNvPr>
            <xdr:cNvSpPr txBox="1">
              <a:spLocks noChangeArrowheads="1"/>
            </xdr:cNvSpPr>
          </xdr:nvSpPr>
          <xdr:spPr bwMode="auto">
            <a:xfrm>
              <a:off x="37630100" y="131902200"/>
              <a:ext cx="13843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762000</xdr:colOff>
          <xdr:row>685</xdr:row>
          <xdr:rowOff>0</xdr:rowOff>
        </xdr:from>
        <xdr:to>
          <xdr:col>19</xdr:col>
          <xdr:colOff>0</xdr:colOff>
          <xdr:row>689</xdr:row>
          <xdr:rowOff>0</xdr:rowOff>
        </xdr:to>
        <xdr:sp macro="" textlink="">
          <xdr:nvSpPr>
            <xdr:cNvPr id="6348" name="Comment 204" hidden="1">
              <a:extLst>
                <a:ext uri="{FF2B5EF4-FFF2-40B4-BE49-F238E27FC236}">
                  <a16:creationId xmlns:a16="http://schemas.microsoft.com/office/drawing/2014/main" id="{036BCF49-C27E-A0F6-E6ED-8BFA195E9B62}"/>
                </a:ext>
              </a:extLst>
            </xdr:cNvPr>
            <xdr:cNvSpPr txBox="1">
              <a:spLocks noChangeArrowheads="1"/>
            </xdr:cNvSpPr>
          </xdr:nvSpPr>
          <xdr:spPr bwMode="auto">
            <a:xfrm>
              <a:off x="39674800" y="131902200"/>
              <a:ext cx="13335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762000</xdr:colOff>
          <xdr:row>685</xdr:row>
          <xdr:rowOff>0</xdr:rowOff>
        </xdr:from>
        <xdr:to>
          <xdr:col>20</xdr:col>
          <xdr:colOff>0</xdr:colOff>
          <xdr:row>689</xdr:row>
          <xdr:rowOff>0</xdr:rowOff>
        </xdr:to>
        <xdr:sp macro="" textlink="">
          <xdr:nvSpPr>
            <xdr:cNvPr id="6349" name="Comment 205" hidden="1">
              <a:extLst>
                <a:ext uri="{FF2B5EF4-FFF2-40B4-BE49-F238E27FC236}">
                  <a16:creationId xmlns:a16="http://schemas.microsoft.com/office/drawing/2014/main" id="{F2DBB174-D7C9-8C46-7C72-4F979CCD3756}"/>
                </a:ext>
              </a:extLst>
            </xdr:cNvPr>
            <xdr:cNvSpPr txBox="1">
              <a:spLocks noChangeArrowheads="1"/>
            </xdr:cNvSpPr>
          </xdr:nvSpPr>
          <xdr:spPr bwMode="auto">
            <a:xfrm>
              <a:off x="41770300" y="131902200"/>
              <a:ext cx="14097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660400</xdr:colOff>
          <xdr:row>685</xdr:row>
          <xdr:rowOff>0</xdr:rowOff>
        </xdr:from>
        <xdr:to>
          <xdr:col>21</xdr:col>
          <xdr:colOff>0</xdr:colOff>
          <xdr:row>689</xdr:row>
          <xdr:rowOff>0</xdr:rowOff>
        </xdr:to>
        <xdr:sp macro="" textlink="">
          <xdr:nvSpPr>
            <xdr:cNvPr id="6350" name="Comment 206" hidden="1">
              <a:extLst>
                <a:ext uri="{FF2B5EF4-FFF2-40B4-BE49-F238E27FC236}">
                  <a16:creationId xmlns:a16="http://schemas.microsoft.com/office/drawing/2014/main" id="{EBC545B5-AA8B-ED06-75FE-BF23804F2C78}"/>
                </a:ext>
              </a:extLst>
            </xdr:cNvPr>
            <xdr:cNvSpPr txBox="1">
              <a:spLocks noChangeArrowheads="1"/>
            </xdr:cNvSpPr>
          </xdr:nvSpPr>
          <xdr:spPr bwMode="auto">
            <a:xfrm>
              <a:off x="43840400" y="131902200"/>
              <a:ext cx="14351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711200</xdr:colOff>
          <xdr:row>685</xdr:row>
          <xdr:rowOff>0</xdr:rowOff>
        </xdr:from>
        <xdr:to>
          <xdr:col>22</xdr:col>
          <xdr:colOff>0</xdr:colOff>
          <xdr:row>689</xdr:row>
          <xdr:rowOff>0</xdr:rowOff>
        </xdr:to>
        <xdr:sp macro="" textlink="">
          <xdr:nvSpPr>
            <xdr:cNvPr id="6351" name="Comment 207" hidden="1">
              <a:extLst>
                <a:ext uri="{FF2B5EF4-FFF2-40B4-BE49-F238E27FC236}">
                  <a16:creationId xmlns:a16="http://schemas.microsoft.com/office/drawing/2014/main" id="{4DA71888-CB34-4785-B976-B948048A17EE}"/>
                </a:ext>
              </a:extLst>
            </xdr:cNvPr>
            <xdr:cNvSpPr txBox="1">
              <a:spLocks noChangeArrowheads="1"/>
            </xdr:cNvSpPr>
          </xdr:nvSpPr>
          <xdr:spPr bwMode="auto">
            <a:xfrm>
              <a:off x="45986700" y="131902200"/>
              <a:ext cx="14605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660400</xdr:colOff>
          <xdr:row>685</xdr:row>
          <xdr:rowOff>0</xdr:rowOff>
        </xdr:from>
        <xdr:to>
          <xdr:col>22</xdr:col>
          <xdr:colOff>2438400</xdr:colOff>
          <xdr:row>689</xdr:row>
          <xdr:rowOff>0</xdr:rowOff>
        </xdr:to>
        <xdr:sp macro="" textlink="">
          <xdr:nvSpPr>
            <xdr:cNvPr id="6352" name="Comment 208" hidden="1">
              <a:extLst>
                <a:ext uri="{FF2B5EF4-FFF2-40B4-BE49-F238E27FC236}">
                  <a16:creationId xmlns:a16="http://schemas.microsoft.com/office/drawing/2014/main" id="{D552A378-8876-9A12-E4BD-85E2681568BA}"/>
                </a:ext>
              </a:extLst>
            </xdr:cNvPr>
            <xdr:cNvSpPr txBox="1">
              <a:spLocks noChangeArrowheads="1"/>
            </xdr:cNvSpPr>
          </xdr:nvSpPr>
          <xdr:spPr bwMode="auto">
            <a:xfrm>
              <a:off x="48107600" y="131902200"/>
              <a:ext cx="17780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304800</xdr:colOff>
          <xdr:row>685</xdr:row>
          <xdr:rowOff>0</xdr:rowOff>
        </xdr:from>
        <xdr:to>
          <xdr:col>23</xdr:col>
          <xdr:colOff>1981200</xdr:colOff>
          <xdr:row>689</xdr:row>
          <xdr:rowOff>0</xdr:rowOff>
        </xdr:to>
        <xdr:sp macro="" textlink="">
          <xdr:nvSpPr>
            <xdr:cNvPr id="6353" name="Comment 209" hidden="1">
              <a:extLst>
                <a:ext uri="{FF2B5EF4-FFF2-40B4-BE49-F238E27FC236}">
                  <a16:creationId xmlns:a16="http://schemas.microsoft.com/office/drawing/2014/main" id="{CB5BB0DC-C33D-7B13-4192-E812839037B7}"/>
                </a:ext>
              </a:extLst>
            </xdr:cNvPr>
            <xdr:cNvSpPr txBox="1">
              <a:spLocks noChangeArrowheads="1"/>
            </xdr:cNvSpPr>
          </xdr:nvSpPr>
          <xdr:spPr bwMode="auto">
            <a:xfrm>
              <a:off x="50228500" y="131902200"/>
              <a:ext cx="16764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50800</xdr:colOff>
          <xdr:row>685</xdr:row>
          <xdr:rowOff>0</xdr:rowOff>
        </xdr:from>
        <xdr:to>
          <xdr:col>24</xdr:col>
          <xdr:colOff>1828800</xdr:colOff>
          <xdr:row>689</xdr:row>
          <xdr:rowOff>0</xdr:rowOff>
        </xdr:to>
        <xdr:sp macro="" textlink="">
          <xdr:nvSpPr>
            <xdr:cNvPr id="6354" name="Comment 210" hidden="1">
              <a:extLst>
                <a:ext uri="{FF2B5EF4-FFF2-40B4-BE49-F238E27FC236}">
                  <a16:creationId xmlns:a16="http://schemas.microsoft.com/office/drawing/2014/main" id="{EDBF9416-1C3C-372C-991D-61665E09E17A}"/>
                </a:ext>
              </a:extLst>
            </xdr:cNvPr>
            <xdr:cNvSpPr txBox="1">
              <a:spLocks noChangeArrowheads="1"/>
            </xdr:cNvSpPr>
          </xdr:nvSpPr>
          <xdr:spPr bwMode="auto">
            <a:xfrm>
              <a:off x="52679600" y="131902200"/>
              <a:ext cx="17780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863600</xdr:colOff>
          <xdr:row>685</xdr:row>
          <xdr:rowOff>0</xdr:rowOff>
        </xdr:from>
        <xdr:to>
          <xdr:col>25</xdr:col>
          <xdr:colOff>2590800</xdr:colOff>
          <xdr:row>689</xdr:row>
          <xdr:rowOff>0</xdr:rowOff>
        </xdr:to>
        <xdr:sp macro="" textlink="">
          <xdr:nvSpPr>
            <xdr:cNvPr id="6355" name="Comment 211" hidden="1">
              <a:extLst>
                <a:ext uri="{FF2B5EF4-FFF2-40B4-BE49-F238E27FC236}">
                  <a16:creationId xmlns:a16="http://schemas.microsoft.com/office/drawing/2014/main" id="{B202F9D2-1E0E-BC46-9D43-CBFDC8A76A3C}"/>
                </a:ext>
              </a:extLst>
            </xdr:cNvPr>
            <xdr:cNvSpPr txBox="1">
              <a:spLocks noChangeArrowheads="1"/>
            </xdr:cNvSpPr>
          </xdr:nvSpPr>
          <xdr:spPr bwMode="auto">
            <a:xfrm>
              <a:off x="55435500" y="131902200"/>
              <a:ext cx="1727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3200400</xdr:colOff>
          <xdr:row>685</xdr:row>
          <xdr:rowOff>0</xdr:rowOff>
        </xdr:from>
        <xdr:to>
          <xdr:col>26</xdr:col>
          <xdr:colOff>1320800</xdr:colOff>
          <xdr:row>689</xdr:row>
          <xdr:rowOff>0</xdr:rowOff>
        </xdr:to>
        <xdr:sp macro="" textlink="">
          <xdr:nvSpPr>
            <xdr:cNvPr id="6356" name="Comment 212" hidden="1">
              <a:extLst>
                <a:ext uri="{FF2B5EF4-FFF2-40B4-BE49-F238E27FC236}">
                  <a16:creationId xmlns:a16="http://schemas.microsoft.com/office/drawing/2014/main" id="{D20B168C-6E8E-04C1-FA3D-9C6D1F493D3D}"/>
                </a:ext>
              </a:extLst>
            </xdr:cNvPr>
            <xdr:cNvSpPr txBox="1">
              <a:spLocks noChangeArrowheads="1"/>
            </xdr:cNvSpPr>
          </xdr:nvSpPr>
          <xdr:spPr bwMode="auto">
            <a:xfrm>
              <a:off x="57569100" y="131902200"/>
              <a:ext cx="1320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Carbon stock in biomass after one year</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1219200</xdr:colOff>
          <xdr:row>1518</xdr:row>
          <xdr:rowOff>50800</xdr:rowOff>
        </xdr:from>
        <xdr:to>
          <xdr:col>5</xdr:col>
          <xdr:colOff>1320800</xdr:colOff>
          <xdr:row>1527</xdr:row>
          <xdr:rowOff>0</xdr:rowOff>
        </xdr:to>
        <xdr:sp macro="" textlink="">
          <xdr:nvSpPr>
            <xdr:cNvPr id="6383" name="Comment 239" hidden="1">
              <a:extLst>
                <a:ext uri="{FF2B5EF4-FFF2-40B4-BE49-F238E27FC236}">
                  <a16:creationId xmlns:a16="http://schemas.microsoft.com/office/drawing/2014/main" id="{8C243066-55EF-51BB-2D33-184C7A37ED9A}"/>
                </a:ext>
              </a:extLst>
            </xdr:cNvPr>
            <xdr:cNvSpPr txBox="1">
              <a:spLocks noChangeArrowheads="1"/>
            </xdr:cNvSpPr>
          </xdr:nvSpPr>
          <xdr:spPr bwMode="auto">
            <a:xfrm>
              <a:off x="12103100" y="290741100"/>
              <a:ext cx="1739900" cy="1676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represents temporary annual fallow and so it is set same biomass as annual cropland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203200</xdr:colOff>
          <xdr:row>1518</xdr:row>
          <xdr:rowOff>50800</xdr:rowOff>
        </xdr:from>
        <xdr:to>
          <xdr:col>7</xdr:col>
          <xdr:colOff>50800</xdr:colOff>
          <xdr:row>1523</xdr:row>
          <xdr:rowOff>0</xdr:rowOff>
        </xdr:to>
        <xdr:sp macro="" textlink="">
          <xdr:nvSpPr>
            <xdr:cNvPr id="6384" name="Comment 240" hidden="1">
              <a:extLst>
                <a:ext uri="{FF2B5EF4-FFF2-40B4-BE49-F238E27FC236}">
                  <a16:creationId xmlns:a16="http://schemas.microsoft.com/office/drawing/2014/main" id="{C8C26541-6753-E607-050C-7970B8E839A6}"/>
                </a:ext>
              </a:extLst>
            </xdr:cNvPr>
            <xdr:cNvSpPr txBox="1">
              <a:spLocks noChangeArrowheads="1"/>
            </xdr:cNvSpPr>
          </xdr:nvSpPr>
          <xdr:spPr bwMode="auto">
            <a:xfrm>
              <a:off x="14579600" y="290741100"/>
              <a:ext cx="1346200" cy="914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same as annual cropland</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2133600</xdr:colOff>
          <xdr:row>1518</xdr:row>
          <xdr:rowOff>50800</xdr:rowOff>
        </xdr:from>
        <xdr:to>
          <xdr:col>9</xdr:col>
          <xdr:colOff>0</xdr:colOff>
          <xdr:row>1524</xdr:row>
          <xdr:rowOff>0</xdr:rowOff>
        </xdr:to>
        <xdr:sp macro="" textlink="">
          <xdr:nvSpPr>
            <xdr:cNvPr id="6385" name="Comment 241" hidden="1">
              <a:extLst>
                <a:ext uri="{FF2B5EF4-FFF2-40B4-BE49-F238E27FC236}">
                  <a16:creationId xmlns:a16="http://schemas.microsoft.com/office/drawing/2014/main" id="{D7FE78CA-875F-4BC8-C8B3-D5EF518BF5FD}"/>
                </a:ext>
              </a:extLst>
            </xdr:cNvPr>
            <xdr:cNvSpPr txBox="1">
              <a:spLocks noChangeArrowheads="1"/>
            </xdr:cNvSpPr>
          </xdr:nvSpPr>
          <xdr:spPr bwMode="auto">
            <a:xfrm>
              <a:off x="17970500" y="290741100"/>
              <a:ext cx="2019300" cy="11049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Total biomass = AGB + BGB</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50800</xdr:colOff>
          <xdr:row>1518</xdr:row>
          <xdr:rowOff>50800</xdr:rowOff>
        </xdr:from>
        <xdr:to>
          <xdr:col>19</xdr:col>
          <xdr:colOff>2082800</xdr:colOff>
          <xdr:row>1526</xdr:row>
          <xdr:rowOff>0</xdr:rowOff>
        </xdr:to>
        <xdr:sp macro="" textlink="">
          <xdr:nvSpPr>
            <xdr:cNvPr id="6386" name="Comment 242" hidden="1">
              <a:extLst>
                <a:ext uri="{FF2B5EF4-FFF2-40B4-BE49-F238E27FC236}">
                  <a16:creationId xmlns:a16="http://schemas.microsoft.com/office/drawing/2014/main" id="{72DEDBC7-F9F7-E529-C537-F44A985E0F78}"/>
                </a:ext>
              </a:extLst>
            </xdr:cNvPr>
            <xdr:cNvSpPr txBox="1">
              <a:spLocks noChangeArrowheads="1"/>
            </xdr:cNvSpPr>
          </xdr:nvSpPr>
          <xdr:spPr bwMode="auto">
            <a:xfrm>
              <a:off x="41059100" y="290741100"/>
              <a:ext cx="2032000" cy="14859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Native vegetation that has been heavily disturbed. Land with low levels of biomass and soil carbon </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1473200</xdr:colOff>
          <xdr:row>1519</xdr:row>
          <xdr:rowOff>50800</xdr:rowOff>
        </xdr:from>
        <xdr:to>
          <xdr:col>11</xdr:col>
          <xdr:colOff>1981200</xdr:colOff>
          <xdr:row>1529</xdr:row>
          <xdr:rowOff>0</xdr:rowOff>
        </xdr:to>
        <xdr:sp macro="" textlink="">
          <xdr:nvSpPr>
            <xdr:cNvPr id="6387" name="Comment 243" hidden="1">
              <a:extLst>
                <a:ext uri="{FF2B5EF4-FFF2-40B4-BE49-F238E27FC236}">
                  <a16:creationId xmlns:a16="http://schemas.microsoft.com/office/drawing/2014/main" id="{61D13BAA-7A42-3376-479B-93F7A019E103}"/>
                </a:ext>
              </a:extLst>
            </xdr:cNvPr>
            <xdr:cNvSpPr txBox="1">
              <a:spLocks noChangeArrowheads="1"/>
            </xdr:cNvSpPr>
          </xdr:nvSpPr>
          <xdr:spPr bwMode="auto">
            <a:xfrm>
              <a:off x="23317200" y="290944300"/>
              <a:ext cx="2260600" cy="1854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1422400</xdr:colOff>
          <xdr:row>1519</xdr:row>
          <xdr:rowOff>50800</xdr:rowOff>
        </xdr:from>
        <xdr:to>
          <xdr:col>12</xdr:col>
          <xdr:colOff>1422400</xdr:colOff>
          <xdr:row>1526</xdr:row>
          <xdr:rowOff>0</xdr:rowOff>
        </xdr:to>
        <xdr:sp macro="" textlink="">
          <xdr:nvSpPr>
            <xdr:cNvPr id="6388" name="Comment 244" hidden="1">
              <a:extLst>
                <a:ext uri="{FF2B5EF4-FFF2-40B4-BE49-F238E27FC236}">
                  <a16:creationId xmlns:a16="http://schemas.microsoft.com/office/drawing/2014/main" id="{E9424B39-0C2F-5036-491C-7DAD66E7C63A}"/>
                </a:ext>
              </a:extLst>
            </xdr:cNvPr>
            <xdr:cNvSpPr txBox="1">
              <a:spLocks noChangeArrowheads="1"/>
            </xdr:cNvSpPr>
          </xdr:nvSpPr>
          <xdr:spPr bwMode="auto">
            <a:xfrm>
              <a:off x="25069800" y="290944300"/>
              <a:ext cx="19304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1422400</xdr:colOff>
          <xdr:row>1519</xdr:row>
          <xdr:rowOff>50800</xdr:rowOff>
        </xdr:from>
        <xdr:to>
          <xdr:col>13</xdr:col>
          <xdr:colOff>2235200</xdr:colOff>
          <xdr:row>1529</xdr:row>
          <xdr:rowOff>0</xdr:rowOff>
        </xdr:to>
        <xdr:sp macro="" textlink="">
          <xdr:nvSpPr>
            <xdr:cNvPr id="6389" name="Comment 245" hidden="1">
              <a:extLst>
                <a:ext uri="{FF2B5EF4-FFF2-40B4-BE49-F238E27FC236}">
                  <a16:creationId xmlns:a16="http://schemas.microsoft.com/office/drawing/2014/main" id="{E6599BB4-604E-7503-0BB0-1EC281CB7CF8}"/>
                </a:ext>
              </a:extLst>
            </xdr:cNvPr>
            <xdr:cNvSpPr txBox="1">
              <a:spLocks noChangeArrowheads="1"/>
            </xdr:cNvSpPr>
          </xdr:nvSpPr>
          <xdr:spPr bwMode="auto">
            <a:xfrm>
              <a:off x="27000200" y="290944300"/>
              <a:ext cx="2984500" cy="1854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1473200</xdr:colOff>
          <xdr:row>1519</xdr:row>
          <xdr:rowOff>50800</xdr:rowOff>
        </xdr:from>
        <xdr:to>
          <xdr:col>14</xdr:col>
          <xdr:colOff>2082800</xdr:colOff>
          <xdr:row>1526</xdr:row>
          <xdr:rowOff>0</xdr:rowOff>
        </xdr:to>
        <xdr:sp macro="" textlink="">
          <xdr:nvSpPr>
            <xdr:cNvPr id="6390" name="Comment 246" hidden="1">
              <a:extLst>
                <a:ext uri="{FF2B5EF4-FFF2-40B4-BE49-F238E27FC236}">
                  <a16:creationId xmlns:a16="http://schemas.microsoft.com/office/drawing/2014/main" id="{820DD1DB-02E2-2D8F-0229-69AC2956EA74}"/>
                </a:ext>
              </a:extLst>
            </xdr:cNvPr>
            <xdr:cNvSpPr txBox="1">
              <a:spLocks noChangeArrowheads="1"/>
            </xdr:cNvSpPr>
          </xdr:nvSpPr>
          <xdr:spPr bwMode="auto">
            <a:xfrm>
              <a:off x="29222700" y="290944300"/>
              <a:ext cx="30099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0</xdr:colOff>
          <xdr:row>1519</xdr:row>
          <xdr:rowOff>50800</xdr:rowOff>
        </xdr:from>
        <xdr:to>
          <xdr:col>15</xdr:col>
          <xdr:colOff>2082800</xdr:colOff>
          <xdr:row>1526</xdr:row>
          <xdr:rowOff>0</xdr:rowOff>
        </xdr:to>
        <xdr:sp macro="" textlink="">
          <xdr:nvSpPr>
            <xdr:cNvPr id="6391" name="Comment 247" hidden="1">
              <a:extLst>
                <a:ext uri="{FF2B5EF4-FFF2-40B4-BE49-F238E27FC236}">
                  <a16:creationId xmlns:a16="http://schemas.microsoft.com/office/drawing/2014/main" id="{CC929E01-DAC5-9D3E-607B-0BC7E35BE6E5}"/>
                </a:ext>
              </a:extLst>
            </xdr:cNvPr>
            <xdr:cNvSpPr txBox="1">
              <a:spLocks noChangeArrowheads="1"/>
            </xdr:cNvSpPr>
          </xdr:nvSpPr>
          <xdr:spPr bwMode="auto">
            <a:xfrm>
              <a:off x="32550100" y="290944300"/>
              <a:ext cx="20828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0</xdr:colOff>
          <xdr:row>1519</xdr:row>
          <xdr:rowOff>50800</xdr:rowOff>
        </xdr:from>
        <xdr:to>
          <xdr:col>17</xdr:col>
          <xdr:colOff>0</xdr:colOff>
          <xdr:row>1526</xdr:row>
          <xdr:rowOff>0</xdr:rowOff>
        </xdr:to>
        <xdr:sp macro="" textlink="">
          <xdr:nvSpPr>
            <xdr:cNvPr id="6392" name="Comment 248" hidden="1">
              <a:extLst>
                <a:ext uri="{FF2B5EF4-FFF2-40B4-BE49-F238E27FC236}">
                  <a16:creationId xmlns:a16="http://schemas.microsoft.com/office/drawing/2014/main" id="{2F37EE24-C3F3-E76D-51D7-99A6BF4A1096}"/>
                </a:ext>
              </a:extLst>
            </xdr:cNvPr>
            <xdr:cNvSpPr txBox="1">
              <a:spLocks noChangeArrowheads="1"/>
            </xdr:cNvSpPr>
          </xdr:nvSpPr>
          <xdr:spPr bwMode="auto">
            <a:xfrm>
              <a:off x="34810700" y="290944300"/>
              <a:ext cx="20066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254000</xdr:colOff>
          <xdr:row>1519</xdr:row>
          <xdr:rowOff>50800</xdr:rowOff>
        </xdr:from>
        <xdr:to>
          <xdr:col>18</xdr:col>
          <xdr:colOff>50800</xdr:colOff>
          <xdr:row>1526</xdr:row>
          <xdr:rowOff>0</xdr:rowOff>
        </xdr:to>
        <xdr:sp macro="" textlink="">
          <xdr:nvSpPr>
            <xdr:cNvPr id="6393" name="Comment 249" hidden="1">
              <a:extLst>
                <a:ext uri="{FF2B5EF4-FFF2-40B4-BE49-F238E27FC236}">
                  <a16:creationId xmlns:a16="http://schemas.microsoft.com/office/drawing/2014/main" id="{CA2E86FA-82EB-718F-44E7-7F7C8A501BA1}"/>
                </a:ext>
              </a:extLst>
            </xdr:cNvPr>
            <xdr:cNvSpPr txBox="1">
              <a:spLocks noChangeArrowheads="1"/>
            </xdr:cNvSpPr>
          </xdr:nvSpPr>
          <xdr:spPr bwMode="auto">
            <a:xfrm>
              <a:off x="37071300" y="290944300"/>
              <a:ext cx="18923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101600</xdr:colOff>
          <xdr:row>1519</xdr:row>
          <xdr:rowOff>50800</xdr:rowOff>
        </xdr:from>
        <xdr:to>
          <xdr:col>19</xdr:col>
          <xdr:colOff>0</xdr:colOff>
          <xdr:row>1526</xdr:row>
          <xdr:rowOff>0</xdr:rowOff>
        </xdr:to>
        <xdr:sp macro="" textlink="">
          <xdr:nvSpPr>
            <xdr:cNvPr id="6394" name="Comment 250" hidden="1">
              <a:extLst>
                <a:ext uri="{FF2B5EF4-FFF2-40B4-BE49-F238E27FC236}">
                  <a16:creationId xmlns:a16="http://schemas.microsoft.com/office/drawing/2014/main" id="{E31EA1FE-08AA-DF05-92C6-30C9A99CBB5A}"/>
                </a:ext>
              </a:extLst>
            </xdr:cNvPr>
            <xdr:cNvSpPr txBox="1">
              <a:spLocks noChangeArrowheads="1"/>
            </xdr:cNvSpPr>
          </xdr:nvSpPr>
          <xdr:spPr bwMode="auto">
            <a:xfrm>
              <a:off x="39014400" y="290944300"/>
              <a:ext cx="19939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50800</xdr:colOff>
          <xdr:row>1519</xdr:row>
          <xdr:rowOff>50800</xdr:rowOff>
        </xdr:from>
        <xdr:to>
          <xdr:col>20</xdr:col>
          <xdr:colOff>2438400</xdr:colOff>
          <xdr:row>1526</xdr:row>
          <xdr:rowOff>0</xdr:rowOff>
        </xdr:to>
        <xdr:sp macro="" textlink="">
          <xdr:nvSpPr>
            <xdr:cNvPr id="6395" name="Comment 251" hidden="1">
              <a:extLst>
                <a:ext uri="{FF2B5EF4-FFF2-40B4-BE49-F238E27FC236}">
                  <a16:creationId xmlns:a16="http://schemas.microsoft.com/office/drawing/2014/main" id="{DDF8AF92-A520-724B-2281-9CBC23284951}"/>
                </a:ext>
              </a:extLst>
            </xdr:cNvPr>
            <xdr:cNvSpPr txBox="1">
              <a:spLocks noChangeArrowheads="1"/>
            </xdr:cNvSpPr>
          </xdr:nvSpPr>
          <xdr:spPr bwMode="auto">
            <a:xfrm>
              <a:off x="43230800" y="290944300"/>
              <a:ext cx="20447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101600</xdr:colOff>
          <xdr:row>1519</xdr:row>
          <xdr:rowOff>50800</xdr:rowOff>
        </xdr:from>
        <xdr:to>
          <xdr:col>21</xdr:col>
          <xdr:colOff>2438400</xdr:colOff>
          <xdr:row>1526</xdr:row>
          <xdr:rowOff>0</xdr:rowOff>
        </xdr:to>
        <xdr:sp macro="" textlink="">
          <xdr:nvSpPr>
            <xdr:cNvPr id="6396" name="Comment 252" hidden="1">
              <a:extLst>
                <a:ext uri="{FF2B5EF4-FFF2-40B4-BE49-F238E27FC236}">
                  <a16:creationId xmlns:a16="http://schemas.microsoft.com/office/drawing/2014/main" id="{66B15368-08F7-05A8-1B78-278B53D225A0}"/>
                </a:ext>
              </a:extLst>
            </xdr:cNvPr>
            <xdr:cNvSpPr txBox="1">
              <a:spLocks noChangeArrowheads="1"/>
            </xdr:cNvSpPr>
          </xdr:nvSpPr>
          <xdr:spPr bwMode="auto">
            <a:xfrm>
              <a:off x="45377100" y="290944300"/>
              <a:ext cx="20701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0</xdr:colOff>
          <xdr:row>1519</xdr:row>
          <xdr:rowOff>50800</xdr:rowOff>
        </xdr:from>
        <xdr:to>
          <xdr:col>22</xdr:col>
          <xdr:colOff>2438400</xdr:colOff>
          <xdr:row>1526</xdr:row>
          <xdr:rowOff>0</xdr:rowOff>
        </xdr:to>
        <xdr:sp macro="" textlink="">
          <xdr:nvSpPr>
            <xdr:cNvPr id="6397" name="Comment 253" hidden="1">
              <a:extLst>
                <a:ext uri="{FF2B5EF4-FFF2-40B4-BE49-F238E27FC236}">
                  <a16:creationId xmlns:a16="http://schemas.microsoft.com/office/drawing/2014/main" id="{5643630A-A743-8CF6-F9C6-CDBFDBEE3237}"/>
                </a:ext>
              </a:extLst>
            </xdr:cNvPr>
            <xdr:cNvSpPr txBox="1">
              <a:spLocks noChangeArrowheads="1"/>
            </xdr:cNvSpPr>
          </xdr:nvSpPr>
          <xdr:spPr bwMode="auto">
            <a:xfrm>
              <a:off x="47447200" y="290944300"/>
              <a:ext cx="24384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2540000</xdr:colOff>
          <xdr:row>1519</xdr:row>
          <xdr:rowOff>50800</xdr:rowOff>
        </xdr:from>
        <xdr:to>
          <xdr:col>23</xdr:col>
          <xdr:colOff>1930400</xdr:colOff>
          <xdr:row>1526</xdr:row>
          <xdr:rowOff>0</xdr:rowOff>
        </xdr:to>
        <xdr:sp macro="" textlink="">
          <xdr:nvSpPr>
            <xdr:cNvPr id="6398" name="Comment 254" hidden="1">
              <a:extLst>
                <a:ext uri="{FF2B5EF4-FFF2-40B4-BE49-F238E27FC236}">
                  <a16:creationId xmlns:a16="http://schemas.microsoft.com/office/drawing/2014/main" id="{1221715E-5A74-E84E-6141-A02313E4B70F}"/>
                </a:ext>
              </a:extLst>
            </xdr:cNvPr>
            <xdr:cNvSpPr txBox="1">
              <a:spLocks noChangeArrowheads="1"/>
            </xdr:cNvSpPr>
          </xdr:nvSpPr>
          <xdr:spPr bwMode="auto">
            <a:xfrm>
              <a:off x="49923700" y="290944300"/>
              <a:ext cx="19304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2540000</xdr:colOff>
          <xdr:row>1519</xdr:row>
          <xdr:rowOff>50800</xdr:rowOff>
        </xdr:from>
        <xdr:to>
          <xdr:col>24</xdr:col>
          <xdr:colOff>1574800</xdr:colOff>
          <xdr:row>1526</xdr:row>
          <xdr:rowOff>0</xdr:rowOff>
        </xdr:to>
        <xdr:sp macro="" textlink="">
          <xdr:nvSpPr>
            <xdr:cNvPr id="6399" name="Comment 255" hidden="1">
              <a:extLst>
                <a:ext uri="{FF2B5EF4-FFF2-40B4-BE49-F238E27FC236}">
                  <a16:creationId xmlns:a16="http://schemas.microsoft.com/office/drawing/2014/main" id="{4F41604C-45E2-AB43-FD35-D9088F5763F0}"/>
                </a:ext>
              </a:extLst>
            </xdr:cNvPr>
            <xdr:cNvSpPr txBox="1">
              <a:spLocks noChangeArrowheads="1"/>
            </xdr:cNvSpPr>
          </xdr:nvSpPr>
          <xdr:spPr bwMode="auto">
            <a:xfrm>
              <a:off x="52463700" y="290944300"/>
              <a:ext cx="17399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304800</xdr:colOff>
          <xdr:row>1519</xdr:row>
          <xdr:rowOff>50800</xdr:rowOff>
        </xdr:from>
        <xdr:to>
          <xdr:col>25</xdr:col>
          <xdr:colOff>2540000</xdr:colOff>
          <xdr:row>1526</xdr:row>
          <xdr:rowOff>0</xdr:rowOff>
        </xdr:to>
        <xdr:sp macro="" textlink="">
          <xdr:nvSpPr>
            <xdr:cNvPr id="6400" name="Comment 256" hidden="1">
              <a:extLst>
                <a:ext uri="{FF2B5EF4-FFF2-40B4-BE49-F238E27FC236}">
                  <a16:creationId xmlns:a16="http://schemas.microsoft.com/office/drawing/2014/main" id="{1A51B737-03E9-D4B8-99D2-5B84655D214C}"/>
                </a:ext>
              </a:extLst>
            </xdr:cNvPr>
            <xdr:cNvSpPr txBox="1">
              <a:spLocks noChangeArrowheads="1"/>
            </xdr:cNvSpPr>
          </xdr:nvSpPr>
          <xdr:spPr bwMode="auto">
            <a:xfrm>
              <a:off x="54876700" y="290944300"/>
              <a:ext cx="22352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2540000</xdr:colOff>
          <xdr:row>1519</xdr:row>
          <xdr:rowOff>50800</xdr:rowOff>
        </xdr:from>
        <xdr:to>
          <xdr:col>26</xdr:col>
          <xdr:colOff>1270000</xdr:colOff>
          <xdr:row>1526</xdr:row>
          <xdr:rowOff>0</xdr:rowOff>
        </xdr:to>
        <xdr:sp macro="" textlink="">
          <xdr:nvSpPr>
            <xdr:cNvPr id="6401" name="Comment 257" hidden="1">
              <a:extLst>
                <a:ext uri="{FF2B5EF4-FFF2-40B4-BE49-F238E27FC236}">
                  <a16:creationId xmlns:a16="http://schemas.microsoft.com/office/drawing/2014/main" id="{25CF7373-A4BF-0E7B-D921-810DCAC2D089}"/>
                </a:ext>
              </a:extLst>
            </xdr:cNvPr>
            <xdr:cNvSpPr txBox="1">
              <a:spLocks noChangeArrowheads="1"/>
            </xdr:cNvSpPr>
          </xdr:nvSpPr>
          <xdr:spPr bwMode="auto">
            <a:xfrm>
              <a:off x="57111900" y="290944300"/>
              <a:ext cx="1727200" cy="1282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203200</xdr:colOff>
          <xdr:row>1523</xdr:row>
          <xdr:rowOff>0</xdr:rowOff>
        </xdr:from>
        <xdr:to>
          <xdr:col>7</xdr:col>
          <xdr:colOff>50800</xdr:colOff>
          <xdr:row>1527</xdr:row>
          <xdr:rowOff>50800</xdr:rowOff>
        </xdr:to>
        <xdr:sp macro="" textlink="">
          <xdr:nvSpPr>
            <xdr:cNvPr id="6402" name="Comment 258" hidden="1">
              <a:extLst>
                <a:ext uri="{FF2B5EF4-FFF2-40B4-BE49-F238E27FC236}">
                  <a16:creationId xmlns:a16="http://schemas.microsoft.com/office/drawing/2014/main" id="{1D881EF9-9CC7-2943-CE02-52DC6433C5A6}"/>
                </a:ext>
              </a:extLst>
            </xdr:cNvPr>
            <xdr:cNvSpPr txBox="1">
              <a:spLocks noChangeArrowheads="1"/>
            </xdr:cNvSpPr>
          </xdr:nvSpPr>
          <xdr:spPr bwMode="auto">
            <a:xfrm>
              <a:off x="14579600" y="291655500"/>
              <a:ext cx="1346200" cy="812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same as annual cropland</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0</xdr:colOff>
          <xdr:row>1689</xdr:row>
          <xdr:rowOff>0</xdr:rowOff>
        </xdr:from>
        <xdr:to>
          <xdr:col>1</xdr:col>
          <xdr:colOff>1473200</xdr:colOff>
          <xdr:row>1693</xdr:row>
          <xdr:rowOff>0</xdr:rowOff>
        </xdr:to>
        <xdr:sp macro="" textlink="">
          <xdr:nvSpPr>
            <xdr:cNvPr id="6403" name="Comment 259" hidden="1">
              <a:extLst>
                <a:ext uri="{FF2B5EF4-FFF2-40B4-BE49-F238E27FC236}">
                  <a16:creationId xmlns:a16="http://schemas.microsoft.com/office/drawing/2014/main" id="{170344AE-232A-4E5A-E9B4-77643DE9BE96}"/>
                </a:ext>
              </a:extLst>
            </xdr:cNvPr>
            <xdr:cNvSpPr txBox="1">
              <a:spLocks noChangeArrowheads="1"/>
            </xdr:cNvSpPr>
          </xdr:nvSpPr>
          <xdr:spPr bwMode="auto">
            <a:xfrm>
              <a:off x="5295900" y="323291200"/>
              <a:ext cx="1473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Set aside (&lt; 20 yrs)</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0</xdr:colOff>
          <xdr:row>1689</xdr:row>
          <xdr:rowOff>0</xdr:rowOff>
        </xdr:from>
        <xdr:to>
          <xdr:col>4</xdr:col>
          <xdr:colOff>609600</xdr:colOff>
          <xdr:row>1693</xdr:row>
          <xdr:rowOff>0</xdr:rowOff>
        </xdr:to>
        <xdr:sp macro="" textlink="">
          <xdr:nvSpPr>
            <xdr:cNvPr id="6404" name="Comment 260" hidden="1">
              <a:extLst>
                <a:ext uri="{FF2B5EF4-FFF2-40B4-BE49-F238E27FC236}">
                  <a16:creationId xmlns:a16="http://schemas.microsoft.com/office/drawing/2014/main" id="{40888452-CC1A-3A46-9968-963C7D59712F}"/>
                </a:ext>
              </a:extLst>
            </xdr:cNvPr>
            <xdr:cNvSpPr txBox="1">
              <a:spLocks noChangeArrowheads="1"/>
            </xdr:cNvSpPr>
          </xdr:nvSpPr>
          <xdr:spPr bwMode="auto">
            <a:xfrm>
              <a:off x="9398000" y="323291200"/>
              <a:ext cx="20955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double checked!!!</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2032000</xdr:colOff>
          <xdr:row>1689</xdr:row>
          <xdr:rowOff>0</xdr:rowOff>
        </xdr:from>
        <xdr:to>
          <xdr:col>15</xdr:col>
          <xdr:colOff>609600</xdr:colOff>
          <xdr:row>1696</xdr:row>
          <xdr:rowOff>0</xdr:rowOff>
        </xdr:to>
        <xdr:sp macro="" textlink="">
          <xdr:nvSpPr>
            <xdr:cNvPr id="6405" name="Comment 261" hidden="1">
              <a:extLst>
                <a:ext uri="{FF2B5EF4-FFF2-40B4-BE49-F238E27FC236}">
                  <a16:creationId xmlns:a16="http://schemas.microsoft.com/office/drawing/2014/main" id="{46F0F8AF-5641-3CC7-BFE0-69A51B21D7AD}"/>
                </a:ext>
              </a:extLst>
            </xdr:cNvPr>
            <xdr:cNvSpPr txBox="1">
              <a:spLocks noChangeArrowheads="1"/>
            </xdr:cNvSpPr>
          </xdr:nvSpPr>
          <xdr:spPr bwMode="auto">
            <a:xfrm>
              <a:off x="29781500" y="323291200"/>
              <a:ext cx="3378200" cy="1333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Check with Martial  FLU in degraded land</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EX-ACT v7: FLU degraded in Afforestation and Deforestation are not the same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In A-R: FLU degraded = 0.33</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In Defo: FLU degraded = 50% FLU annual</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660400</xdr:colOff>
          <xdr:row>2321</xdr:row>
          <xdr:rowOff>0</xdr:rowOff>
        </xdr:from>
        <xdr:to>
          <xdr:col>2</xdr:col>
          <xdr:colOff>609600</xdr:colOff>
          <xdr:row>2324</xdr:row>
          <xdr:rowOff>50800</xdr:rowOff>
        </xdr:to>
        <xdr:sp macro="" textlink="">
          <xdr:nvSpPr>
            <xdr:cNvPr id="6406" name="Comment 262" hidden="1">
              <a:extLst>
                <a:ext uri="{FF2B5EF4-FFF2-40B4-BE49-F238E27FC236}">
                  <a16:creationId xmlns:a16="http://schemas.microsoft.com/office/drawing/2014/main" id="{8BE11E57-E811-7C4B-702C-0EA831E6A05F}"/>
                </a:ext>
              </a:extLst>
            </xdr:cNvPr>
            <xdr:cNvSpPr txBox="1">
              <a:spLocks noChangeArrowheads="1"/>
            </xdr:cNvSpPr>
          </xdr:nvSpPr>
          <xdr:spPr bwMode="auto">
            <a:xfrm>
              <a:off x="5956300" y="446087500"/>
              <a:ext cx="1651000" cy="6223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check with GLEAM</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xdr:wsDr>
</file>

<file path=xl/drawings/drawing7.xml><?xml version="1.0" encoding="utf-8"?>
<xdr:wsDr xmlns:xdr="http://purl.oclc.org/ooxml/drawingml/spreadsheetDrawing" xmlns:a="http://purl.oclc.org/ooxml/drawingml/main">
  <xdr:twoCellAnchor editAs="absolute">
    <xdr:from>
      <xdr:col>22</xdr:col>
      <xdr:colOff>149429</xdr:colOff>
      <xdr:row>4</xdr:row>
      <xdr:rowOff>54075</xdr:rowOff>
    </xdr:from>
    <xdr:to>
      <xdr:col>24</xdr:col>
      <xdr:colOff>19031</xdr:colOff>
      <xdr:row>4</xdr:row>
      <xdr:rowOff>511275</xdr:rowOff>
    </xdr:to>
    <xdr:sp macro="" textlink="">
      <xdr:nvSpPr>
        <xdr:cNvPr id="7" name="Pentagone 16">
          <a:hlinkClick xmlns:r="http://purl.oclc.org/ooxml/officeDocument/relationships" r:id="rId1"/>
          <a:extLst>
            <a:ext uri="{FF2B5EF4-FFF2-40B4-BE49-F238E27FC236}">
              <a16:creationId xmlns:a16="http://schemas.microsoft.com/office/drawing/2014/main" id="{00000000-0008-0000-0500-000007000000}"/>
            </a:ext>
          </a:extLst>
        </xdr:cNvPr>
        <xdr:cNvSpPr/>
      </xdr:nvSpPr>
      <xdr:spPr>
        <a:xfrm>
          <a:off x="14038560" y="2599764"/>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 2</a:t>
          </a:r>
        </a:p>
      </xdr:txBody>
    </xdr:sp>
    <xdr:clientData/>
  </xdr:twoCellAnchor>
  <xdr:twoCellAnchor>
    <xdr:from>
      <xdr:col>72</xdr:col>
      <xdr:colOff>121004</xdr:colOff>
      <xdr:row>4</xdr:row>
      <xdr:rowOff>62828</xdr:rowOff>
    </xdr:from>
    <xdr:to>
      <xdr:col>73</xdr:col>
      <xdr:colOff>438102</xdr:colOff>
      <xdr:row>4</xdr:row>
      <xdr:rowOff>520028</xdr:rowOff>
    </xdr:to>
    <xdr:sp macro="" textlink="">
      <xdr:nvSpPr>
        <xdr:cNvPr id="8" name="Pentagone 29">
          <a:hlinkClick xmlns:r="http://purl.oclc.org/ooxml/officeDocument/relationships" r:id="rId2"/>
          <a:extLst>
            <a:ext uri="{FF2B5EF4-FFF2-40B4-BE49-F238E27FC236}">
              <a16:creationId xmlns:a16="http://schemas.microsoft.com/office/drawing/2014/main" id="{00000000-0008-0000-0500-000008000000}"/>
            </a:ext>
          </a:extLst>
        </xdr:cNvPr>
        <xdr:cNvSpPr/>
      </xdr:nvSpPr>
      <xdr:spPr>
        <a:xfrm flipH="1">
          <a:off x="46943183" y="1927007"/>
          <a:ext cx="956633" cy="457200"/>
        </a:xfrm>
        <a:prstGeom prst="roundRect">
          <a:avLst/>
        </a:prstGeom>
        <a:solidFill>
          <a:schemeClr val="bg1"/>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60</xdr:col>
      <xdr:colOff>345024</xdr:colOff>
      <xdr:row>29</xdr:row>
      <xdr:rowOff>45822</xdr:rowOff>
    </xdr:from>
    <xdr:to>
      <xdr:col>62</xdr:col>
      <xdr:colOff>45221</xdr:colOff>
      <xdr:row>29</xdr:row>
      <xdr:rowOff>503022</xdr:rowOff>
    </xdr:to>
    <xdr:sp macro="" textlink="">
      <xdr:nvSpPr>
        <xdr:cNvPr id="10" name="Pentagone 29">
          <a:hlinkClick xmlns:r="http://purl.oclc.org/ooxml/officeDocument/relationships" r:id="rId3"/>
          <a:extLst>
            <a:ext uri="{FF2B5EF4-FFF2-40B4-BE49-F238E27FC236}">
              <a16:creationId xmlns:a16="http://schemas.microsoft.com/office/drawing/2014/main" id="{00000000-0008-0000-0500-00000A000000}"/>
            </a:ext>
          </a:extLst>
        </xdr:cNvPr>
        <xdr:cNvSpPr/>
      </xdr:nvSpPr>
      <xdr:spPr>
        <a:xfrm flipH="1">
          <a:off x="37587774" y="7177666"/>
          <a:ext cx="914635"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editAs="absolute">
    <xdr:from>
      <xdr:col>22</xdr:col>
      <xdr:colOff>94988</xdr:colOff>
      <xdr:row>29</xdr:row>
      <xdr:rowOff>53580</xdr:rowOff>
    </xdr:from>
    <xdr:to>
      <xdr:col>24</xdr:col>
      <xdr:colOff>35075</xdr:colOff>
      <xdr:row>29</xdr:row>
      <xdr:rowOff>510780</xdr:rowOff>
    </xdr:to>
    <xdr:sp macro="" textlink="">
      <xdr:nvSpPr>
        <xdr:cNvPr id="13" name="Pentagone 16">
          <a:hlinkClick xmlns:r="http://purl.oclc.org/ooxml/officeDocument/relationships" r:id="rId4"/>
          <a:extLst>
            <a:ext uri="{FF2B5EF4-FFF2-40B4-BE49-F238E27FC236}">
              <a16:creationId xmlns:a16="http://schemas.microsoft.com/office/drawing/2014/main" id="{00000000-0008-0000-0500-00000D000000}"/>
            </a:ext>
          </a:extLst>
        </xdr:cNvPr>
        <xdr:cNvSpPr/>
      </xdr:nvSpPr>
      <xdr:spPr>
        <a:xfrm>
          <a:off x="14026029" y="7967382"/>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 2</a:t>
          </a:r>
        </a:p>
      </xdr:txBody>
    </xdr:sp>
    <xdr:clientData/>
  </xdr:twoCellAnchor>
  <xdr:twoCellAnchor>
    <xdr:from>
      <xdr:col>62</xdr:col>
      <xdr:colOff>381000</xdr:colOff>
      <xdr:row>54</xdr:row>
      <xdr:rowOff>67236</xdr:rowOff>
    </xdr:from>
    <xdr:to>
      <xdr:col>63</xdr:col>
      <xdr:colOff>588774</xdr:colOff>
      <xdr:row>54</xdr:row>
      <xdr:rowOff>481852</xdr:rowOff>
    </xdr:to>
    <xdr:sp macro="" textlink="">
      <xdr:nvSpPr>
        <xdr:cNvPr id="18" name="Pentagone 29">
          <a:hlinkClick xmlns:r="http://purl.oclc.org/ooxml/officeDocument/relationships" r:id="rId5"/>
          <a:extLst>
            <a:ext uri="{FF2B5EF4-FFF2-40B4-BE49-F238E27FC236}">
              <a16:creationId xmlns:a16="http://schemas.microsoft.com/office/drawing/2014/main" id="{00000000-0008-0000-0500-000012000000}"/>
            </a:ext>
          </a:extLst>
        </xdr:cNvPr>
        <xdr:cNvSpPr/>
      </xdr:nvSpPr>
      <xdr:spPr>
        <a:xfrm flipH="1">
          <a:off x="36396706" y="12718677"/>
          <a:ext cx="812892" cy="414616"/>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editAs="absolute">
    <xdr:from>
      <xdr:col>22</xdr:col>
      <xdr:colOff>227848</xdr:colOff>
      <xdr:row>54</xdr:row>
      <xdr:rowOff>56028</xdr:rowOff>
    </xdr:from>
    <xdr:to>
      <xdr:col>24</xdr:col>
      <xdr:colOff>131740</xdr:colOff>
      <xdr:row>54</xdr:row>
      <xdr:rowOff>512955</xdr:rowOff>
    </xdr:to>
    <xdr:sp macro="" textlink="">
      <xdr:nvSpPr>
        <xdr:cNvPr id="19" name="Pentagone 16">
          <a:hlinkClick xmlns:r="http://purl.oclc.org/ooxml/officeDocument/relationships" r:id="rId6"/>
          <a:extLst>
            <a:ext uri="{FF2B5EF4-FFF2-40B4-BE49-F238E27FC236}">
              <a16:creationId xmlns:a16="http://schemas.microsoft.com/office/drawing/2014/main" id="{00000000-0008-0000-0500-000013000000}"/>
            </a:ext>
          </a:extLst>
        </xdr:cNvPr>
        <xdr:cNvSpPr/>
      </xdr:nvSpPr>
      <xdr:spPr>
        <a:xfrm>
          <a:off x="14488134" y="12142981"/>
          <a:ext cx="941845" cy="449307"/>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a:t>
          </a:r>
          <a:r>
            <a:rPr lang="fr-FR" sz="1600" b="0">
              <a:solidFill>
                <a:sysClr val="windowText" lastClr="000000"/>
              </a:solidFill>
              <a:latin typeface="Century Gothic" panose="020B0502020202020204" pitchFamily="34" charset="0"/>
              <a:cs typeface="Helvetica" panose="020B0604020202020204" pitchFamily="34" charset="0"/>
            </a:rPr>
            <a:t> 2</a:t>
          </a:r>
        </a:p>
      </xdr:txBody>
    </xdr:sp>
    <xdr:clientData/>
  </xdr:twoCellAnchor>
  <xdr:twoCellAnchor editAs="absolute">
    <xdr:from>
      <xdr:col>2</xdr:col>
      <xdr:colOff>2510790</xdr:colOff>
      <xdr:row>7</xdr:row>
      <xdr:rowOff>134983</xdr:rowOff>
    </xdr:from>
    <xdr:to>
      <xdr:col>2</xdr:col>
      <xdr:colOff>2777490</xdr:colOff>
      <xdr:row>8</xdr:row>
      <xdr:rowOff>133078</xdr:rowOff>
    </xdr:to>
    <xdr:sp macro="" textlink="">
      <xdr:nvSpPr>
        <xdr:cNvPr id="24" name="Rectangle 23">
          <a:hlinkClick xmlns:r="http://purl.oclc.org/ooxml/officeDocument/relationships" r:id="rId7"/>
          <a:extLst>
            <a:ext uri="{FF2B5EF4-FFF2-40B4-BE49-F238E27FC236}">
              <a16:creationId xmlns:a16="http://schemas.microsoft.com/office/drawing/2014/main" id="{00000000-0008-0000-0500-000018000000}"/>
            </a:ext>
          </a:extLst>
        </xdr:cNvPr>
        <xdr:cNvSpPr>
          <a:spLocks noChangeAspect="1"/>
        </xdr:cNvSpPr>
      </xdr:nvSpPr>
      <xdr:spPr>
        <a:xfrm>
          <a:off x="2990850" y="2876550"/>
          <a:ext cx="274320" cy="27432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xdr:from>
      <xdr:col>0</xdr:col>
      <xdr:colOff>107156</xdr:colOff>
      <xdr:row>0</xdr:row>
      <xdr:rowOff>202406</xdr:rowOff>
    </xdr:from>
    <xdr:to>
      <xdr:col>26</xdr:col>
      <xdr:colOff>534089</xdr:colOff>
      <xdr:row>0</xdr:row>
      <xdr:rowOff>1128712</xdr:rowOff>
    </xdr:to>
    <xdr:grpSp>
      <xdr:nvGrpSpPr>
        <xdr:cNvPr id="25" name="Group 24">
          <a:hlinkClick xmlns:r="http://purl.oclc.org/ooxml/officeDocument/relationships" r:id="rId8"/>
          <a:extLst>
            <a:ext uri="{FF2B5EF4-FFF2-40B4-BE49-F238E27FC236}">
              <a16:creationId xmlns:a16="http://schemas.microsoft.com/office/drawing/2014/main" id="{00000000-0008-0000-0500-000019000000}"/>
            </a:ext>
          </a:extLst>
        </xdr:cNvPr>
        <xdr:cNvGrpSpPr/>
      </xdr:nvGrpSpPr>
      <xdr:grpSpPr>
        <a:xfrm>
          <a:off x="107156" y="202406"/>
          <a:ext cx="19699183" cy="926306"/>
          <a:chOff x="148166" y="116417"/>
          <a:chExt cx="17238558" cy="926306"/>
        </a:xfrm>
      </xdr:grpSpPr>
      <xdr:grpSp>
        <xdr:nvGrpSpPr>
          <xdr:cNvPr id="26" name="Group 25">
            <a:extLst>
              <a:ext uri="{FF2B5EF4-FFF2-40B4-BE49-F238E27FC236}">
                <a16:creationId xmlns:a16="http://schemas.microsoft.com/office/drawing/2014/main" id="{00000000-0008-0000-0500-00001A000000}"/>
              </a:ext>
            </a:extLst>
          </xdr:cNvPr>
          <xdr:cNvGrpSpPr/>
        </xdr:nvGrpSpPr>
        <xdr:grpSpPr>
          <a:xfrm>
            <a:off x="148166" y="116417"/>
            <a:ext cx="17238558" cy="926306"/>
            <a:chOff x="148166" y="116417"/>
            <a:chExt cx="17215408" cy="926306"/>
          </a:xfrm>
        </xdr:grpSpPr>
        <xdr:sp macro="" textlink="">
          <xdr:nvSpPr>
            <xdr:cNvPr id="28" name="Rounded Rectangle 82">
              <a:hlinkClick xmlns:r="http://purl.oclc.org/ooxml/officeDocument/relationships" r:id="rId9"/>
              <a:extLst>
                <a:ext uri="{FF2B5EF4-FFF2-40B4-BE49-F238E27FC236}">
                  <a16:creationId xmlns:a16="http://schemas.microsoft.com/office/drawing/2014/main" id="{00000000-0008-0000-0500-00001C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29" name="Rounded Rectangle 83">
              <a:hlinkClick xmlns:r="http://purl.oclc.org/ooxml/officeDocument/relationships" r:id="rId10"/>
              <a:extLst>
                <a:ext uri="{FF2B5EF4-FFF2-40B4-BE49-F238E27FC236}">
                  <a16:creationId xmlns:a16="http://schemas.microsoft.com/office/drawing/2014/main" id="{00000000-0008-0000-0500-00001D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30" name="Rounded Rectangle 84">
              <a:hlinkClick xmlns:r="http://purl.oclc.org/ooxml/officeDocument/relationships" r:id="rId11"/>
              <a:extLst>
                <a:ext uri="{FF2B5EF4-FFF2-40B4-BE49-F238E27FC236}">
                  <a16:creationId xmlns:a16="http://schemas.microsoft.com/office/drawing/2014/main" id="{00000000-0008-0000-0500-00001E000000}"/>
                </a:ext>
              </a:extLst>
            </xdr:cNvPr>
            <xdr:cNvSpPr/>
          </xdr:nvSpPr>
          <xdr:spPr>
            <a:xfrm>
              <a:off x="3321050" y="116417"/>
              <a:ext cx="1463040"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ysClr val="windowText" lastClr="000000"/>
                  </a:solidFill>
                  <a:latin typeface="Roboto Light" panose="02000000000000000000" pitchFamily="2" charset="0"/>
                  <a:ea typeface="Roboto Light" panose="02000000000000000000" pitchFamily="2" charset="0"/>
                  <a:cs typeface="+mn-cs"/>
                </a:rPr>
                <a:t>Land-use</a:t>
              </a:r>
            </a:p>
            <a:p>
              <a:pPr marL="0" indent="0" algn="r"/>
              <a:r>
                <a:rPr lang="en-US" sz="1200" b="1">
                  <a:solidFill>
                    <a:sysClr val="windowText" lastClr="000000"/>
                  </a:solidFill>
                  <a:latin typeface="Roboto Light" panose="02000000000000000000" pitchFamily="2" charset="0"/>
                  <a:ea typeface="Roboto Light" panose="02000000000000000000" pitchFamily="2" charset="0"/>
                  <a:cs typeface="+mn-cs"/>
                </a:rPr>
                <a:t>      changes</a:t>
              </a:r>
            </a:p>
          </xdr:txBody>
        </xdr:sp>
        <xdr:sp macro="" textlink="">
          <xdr:nvSpPr>
            <xdr:cNvPr id="31" name="Rounded Rectangle 85">
              <a:hlinkClick xmlns:r="http://purl.oclc.org/ooxml/officeDocument/relationships" r:id="rId12"/>
              <a:extLst>
                <a:ext uri="{FF2B5EF4-FFF2-40B4-BE49-F238E27FC236}">
                  <a16:creationId xmlns:a16="http://schemas.microsoft.com/office/drawing/2014/main" id="{00000000-0008-0000-0500-00001F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32" name="Rounded Rectangle 86">
              <a:hlinkClick xmlns:r="http://purl.oclc.org/ooxml/officeDocument/relationships" r:id="rId13"/>
              <a:extLst>
                <a:ext uri="{FF2B5EF4-FFF2-40B4-BE49-F238E27FC236}">
                  <a16:creationId xmlns:a16="http://schemas.microsoft.com/office/drawing/2014/main" id="{00000000-0008-0000-0500-000020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33" name="Rounded Rectangle 87">
              <a:hlinkClick xmlns:r="http://purl.oclc.org/ooxml/officeDocument/relationships" r:id="rId14"/>
              <a:extLst>
                <a:ext uri="{FF2B5EF4-FFF2-40B4-BE49-F238E27FC236}">
                  <a16:creationId xmlns:a16="http://schemas.microsoft.com/office/drawing/2014/main" id="{00000000-0008-0000-0500-000021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34" name="Rounded Rectangle 88">
              <a:hlinkClick xmlns:r="http://purl.oclc.org/ooxml/officeDocument/relationships" r:id="rId15"/>
              <a:extLst>
                <a:ext uri="{FF2B5EF4-FFF2-40B4-BE49-F238E27FC236}">
                  <a16:creationId xmlns:a16="http://schemas.microsoft.com/office/drawing/2014/main" id="{00000000-0008-0000-0500-000022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35" name="Rounded Rectangle 89">
              <a:hlinkClick xmlns:r="http://purl.oclc.org/ooxml/officeDocument/relationships" r:id="rId16"/>
              <a:extLst>
                <a:ext uri="{FF2B5EF4-FFF2-40B4-BE49-F238E27FC236}">
                  <a16:creationId xmlns:a16="http://schemas.microsoft.com/office/drawing/2014/main" id="{00000000-0008-0000-0500-000023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36" name="Rounded Rectangle 90">
              <a:hlinkClick xmlns:r="http://purl.oclc.org/ooxml/officeDocument/relationships" r:id="rId8"/>
              <a:extLst>
                <a:ext uri="{FF2B5EF4-FFF2-40B4-BE49-F238E27FC236}">
                  <a16:creationId xmlns:a16="http://schemas.microsoft.com/office/drawing/2014/main" id="{00000000-0008-0000-0500-000024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37" name="Rounded Rectangle 91">
              <a:hlinkClick xmlns:r="http://purl.oclc.org/ooxml/officeDocument/relationships" r:id="rId17"/>
              <a:extLst>
                <a:ext uri="{FF2B5EF4-FFF2-40B4-BE49-F238E27FC236}">
                  <a16:creationId xmlns:a16="http://schemas.microsoft.com/office/drawing/2014/main" id="{00000000-0008-0000-0500-000025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27" name="Rounded Rectangle 89">
            <a:hlinkClick xmlns:r="http://purl.oclc.org/ooxml/officeDocument/relationships" r:id="rId18"/>
            <a:extLst>
              <a:ext uri="{FF2B5EF4-FFF2-40B4-BE49-F238E27FC236}">
                <a16:creationId xmlns:a16="http://schemas.microsoft.com/office/drawing/2014/main" id="{00000000-0008-0000-0500-00001B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twoCellAnchor>
    <xdr:from>
      <xdr:col>79</xdr:col>
      <xdr:colOff>294609</xdr:colOff>
      <xdr:row>29</xdr:row>
      <xdr:rowOff>29629</xdr:rowOff>
    </xdr:from>
    <xdr:to>
      <xdr:col>80</xdr:col>
      <xdr:colOff>604134</xdr:colOff>
      <xdr:row>29</xdr:row>
      <xdr:rowOff>486829</xdr:rowOff>
    </xdr:to>
    <xdr:sp macro="" textlink="">
      <xdr:nvSpPr>
        <xdr:cNvPr id="22" name="Pentagone 29">
          <a:hlinkClick xmlns:r="http://purl.oclc.org/ooxml/officeDocument/relationships" r:id="rId3"/>
          <a:extLst>
            <a:ext uri="{FF2B5EF4-FFF2-40B4-BE49-F238E27FC236}">
              <a16:creationId xmlns:a16="http://schemas.microsoft.com/office/drawing/2014/main" id="{00000000-0008-0000-0500-000016000000}"/>
            </a:ext>
          </a:extLst>
        </xdr:cNvPr>
        <xdr:cNvSpPr/>
      </xdr:nvSpPr>
      <xdr:spPr>
        <a:xfrm flipH="1">
          <a:off x="51294180" y="7064522"/>
          <a:ext cx="949061"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56</xdr:col>
      <xdr:colOff>321914</xdr:colOff>
      <xdr:row>4</xdr:row>
      <xdr:rowOff>29014</xdr:rowOff>
    </xdr:from>
    <xdr:to>
      <xdr:col>58</xdr:col>
      <xdr:colOff>26078</xdr:colOff>
      <xdr:row>4</xdr:row>
      <xdr:rowOff>486214</xdr:rowOff>
    </xdr:to>
    <xdr:sp macro="" textlink="">
      <xdr:nvSpPr>
        <xdr:cNvPr id="23" name="Pentagone 29">
          <a:hlinkClick xmlns:r="http://purl.oclc.org/ooxml/officeDocument/relationships" r:id="rId2"/>
          <a:extLst>
            <a:ext uri="{FF2B5EF4-FFF2-40B4-BE49-F238E27FC236}">
              <a16:creationId xmlns:a16="http://schemas.microsoft.com/office/drawing/2014/main" id="{00000000-0008-0000-0500-000017000000}"/>
            </a:ext>
          </a:extLst>
        </xdr:cNvPr>
        <xdr:cNvSpPr/>
      </xdr:nvSpPr>
      <xdr:spPr>
        <a:xfrm flipH="1">
          <a:off x="35135789" y="1922108"/>
          <a:ext cx="918602" cy="457200"/>
        </a:xfrm>
        <a:prstGeom prst="roundRect">
          <a:avLst/>
        </a:prstGeom>
        <a:solidFill>
          <a:schemeClr val="bg1"/>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wsDr>
</file>

<file path=xl/drawings/drawing8.xml><?xml version="1.0" encoding="utf-8"?>
<xdr:wsDr xmlns:xdr="http://purl.oclc.org/ooxml/drawingml/spreadsheetDrawing" xmlns:a="http://purl.oclc.org/ooxml/drawingml/main">
  <xdr:twoCellAnchor>
    <xdr:from>
      <xdr:col>93</xdr:col>
      <xdr:colOff>994834</xdr:colOff>
      <xdr:row>101</xdr:row>
      <xdr:rowOff>74082</xdr:rowOff>
    </xdr:from>
    <xdr:to>
      <xdr:col>93</xdr:col>
      <xdr:colOff>1304925</xdr:colOff>
      <xdr:row>103</xdr:row>
      <xdr:rowOff>95249</xdr:rowOff>
    </xdr:to>
    <xdr:sp macro="" textlink="">
      <xdr:nvSpPr>
        <xdr:cNvPr id="26" name="Rectangle 25">
          <a:extLst>
            <a:ext uri="{FF2B5EF4-FFF2-40B4-BE49-F238E27FC236}">
              <a16:creationId xmlns:a16="http://schemas.microsoft.com/office/drawing/2014/main" id="{00000000-0008-0000-0600-00001A000000}"/>
            </a:ext>
          </a:extLst>
        </xdr:cNvPr>
        <xdr:cNvSpPr/>
      </xdr:nvSpPr>
      <xdr:spPr>
        <a:xfrm>
          <a:off x="1514379" y="24752491"/>
          <a:ext cx="310091"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absolute">
    <xdr:from>
      <xdr:col>23</xdr:col>
      <xdr:colOff>188789</xdr:colOff>
      <xdr:row>5</xdr:row>
      <xdr:rowOff>56400</xdr:rowOff>
    </xdr:from>
    <xdr:to>
      <xdr:col>24</xdr:col>
      <xdr:colOff>38940</xdr:colOff>
      <xdr:row>5</xdr:row>
      <xdr:rowOff>513600</xdr:rowOff>
    </xdr:to>
    <xdr:sp macro="" textlink="">
      <xdr:nvSpPr>
        <xdr:cNvPr id="119" name="Pentagone 16">
          <a:hlinkClick xmlns:r="http://purl.oclc.org/ooxml/officeDocument/relationships" r:id="rId1"/>
          <a:extLst>
            <a:ext uri="{FF2B5EF4-FFF2-40B4-BE49-F238E27FC236}">
              <a16:creationId xmlns:a16="http://schemas.microsoft.com/office/drawing/2014/main" id="{00000000-0008-0000-0600-000077000000}"/>
            </a:ext>
          </a:extLst>
        </xdr:cNvPr>
        <xdr:cNvSpPr/>
      </xdr:nvSpPr>
      <xdr:spPr>
        <a:xfrm>
          <a:off x="18855501" y="2103341"/>
          <a:ext cx="902047" cy="457200"/>
        </a:xfrm>
        <a:prstGeom prst="roundRect">
          <a:avLst/>
        </a:prstGeom>
        <a:solidFill>
          <a:schemeClr val="bg1"/>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a:t>
          </a:r>
          <a:r>
            <a:rPr lang="fr-FR" sz="1600" b="0">
              <a:solidFill>
                <a:sysClr val="windowText" lastClr="000000"/>
              </a:solidFill>
              <a:latin typeface="Century Gothic" panose="020B0502020202020204" pitchFamily="34" charset="0"/>
              <a:cs typeface="Helvetica" panose="020B0604020202020204" pitchFamily="34" charset="0"/>
            </a:rPr>
            <a:t> 2</a:t>
          </a:r>
        </a:p>
      </xdr:txBody>
    </xdr:sp>
    <xdr:clientData/>
  </xdr:twoCellAnchor>
  <xdr:twoCellAnchor>
    <xdr:from>
      <xdr:col>46</xdr:col>
      <xdr:colOff>0</xdr:colOff>
      <xdr:row>9</xdr:row>
      <xdr:rowOff>74082</xdr:rowOff>
    </xdr:from>
    <xdr:to>
      <xdr:col>46</xdr:col>
      <xdr:colOff>0</xdr:colOff>
      <xdr:row>11</xdr:row>
      <xdr:rowOff>95249</xdr:rowOff>
    </xdr:to>
    <xdr:sp macro="" textlink="">
      <xdr:nvSpPr>
        <xdr:cNvPr id="126" name="Rectangle 125">
          <a:extLst>
            <a:ext uri="{FF2B5EF4-FFF2-40B4-BE49-F238E27FC236}">
              <a16:creationId xmlns:a16="http://schemas.microsoft.com/office/drawing/2014/main" id="{00000000-0008-0000-0600-00007E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50</xdr:col>
      <xdr:colOff>16934</xdr:colOff>
      <xdr:row>9</xdr:row>
      <xdr:rowOff>112182</xdr:rowOff>
    </xdr:from>
    <xdr:to>
      <xdr:col>50</xdr:col>
      <xdr:colOff>16934</xdr:colOff>
      <xdr:row>11</xdr:row>
      <xdr:rowOff>133349</xdr:rowOff>
    </xdr:to>
    <xdr:sp macro="" textlink="">
      <xdr:nvSpPr>
        <xdr:cNvPr id="130" name="Rectangle 129">
          <a:extLst>
            <a:ext uri="{FF2B5EF4-FFF2-40B4-BE49-F238E27FC236}">
              <a16:creationId xmlns:a16="http://schemas.microsoft.com/office/drawing/2014/main" id="{00000000-0008-0000-0600-000082000000}"/>
            </a:ext>
          </a:extLst>
        </xdr:cNvPr>
        <xdr:cNvSpPr/>
      </xdr:nvSpPr>
      <xdr:spPr>
        <a:xfrm>
          <a:off x="56341434" y="6119282"/>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52</xdr:col>
      <xdr:colOff>0</xdr:colOff>
      <xdr:row>9</xdr:row>
      <xdr:rowOff>74082</xdr:rowOff>
    </xdr:from>
    <xdr:to>
      <xdr:col>52</xdr:col>
      <xdr:colOff>0</xdr:colOff>
      <xdr:row>11</xdr:row>
      <xdr:rowOff>95249</xdr:rowOff>
    </xdr:to>
    <xdr:sp macro="" textlink="">
      <xdr:nvSpPr>
        <xdr:cNvPr id="133" name="Rectangle 132">
          <a:extLst>
            <a:ext uri="{FF2B5EF4-FFF2-40B4-BE49-F238E27FC236}">
              <a16:creationId xmlns:a16="http://schemas.microsoft.com/office/drawing/2014/main" id="{00000000-0008-0000-0600-000085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60</xdr:col>
      <xdr:colOff>0</xdr:colOff>
      <xdr:row>10</xdr:row>
      <xdr:rowOff>74082</xdr:rowOff>
    </xdr:from>
    <xdr:to>
      <xdr:col>60</xdr:col>
      <xdr:colOff>0</xdr:colOff>
      <xdr:row>12</xdr:row>
      <xdr:rowOff>95249</xdr:rowOff>
    </xdr:to>
    <xdr:sp macro="" textlink="">
      <xdr:nvSpPr>
        <xdr:cNvPr id="136" name="Rectangle 135">
          <a:extLst>
            <a:ext uri="{FF2B5EF4-FFF2-40B4-BE49-F238E27FC236}">
              <a16:creationId xmlns:a16="http://schemas.microsoft.com/office/drawing/2014/main" id="{00000000-0008-0000-0600-000088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63</xdr:col>
      <xdr:colOff>0</xdr:colOff>
      <xdr:row>9</xdr:row>
      <xdr:rowOff>74082</xdr:rowOff>
    </xdr:from>
    <xdr:to>
      <xdr:col>63</xdr:col>
      <xdr:colOff>0</xdr:colOff>
      <xdr:row>11</xdr:row>
      <xdr:rowOff>95249</xdr:rowOff>
    </xdr:to>
    <xdr:sp macro="" textlink="">
      <xdr:nvSpPr>
        <xdr:cNvPr id="142" name="Rectangle 141">
          <a:extLst>
            <a:ext uri="{FF2B5EF4-FFF2-40B4-BE49-F238E27FC236}">
              <a16:creationId xmlns:a16="http://schemas.microsoft.com/office/drawing/2014/main" id="{00000000-0008-0000-0600-00008E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53</xdr:col>
      <xdr:colOff>586318</xdr:colOff>
      <xdr:row>9</xdr:row>
      <xdr:rowOff>126998</xdr:rowOff>
    </xdr:from>
    <xdr:to>
      <xdr:col>53</xdr:col>
      <xdr:colOff>586318</xdr:colOff>
      <xdr:row>11</xdr:row>
      <xdr:rowOff>148165</xdr:rowOff>
    </xdr:to>
    <xdr:sp macro="" textlink="">
      <xdr:nvSpPr>
        <xdr:cNvPr id="144" name="Rectangle 143">
          <a:extLst>
            <a:ext uri="{FF2B5EF4-FFF2-40B4-BE49-F238E27FC236}">
              <a16:creationId xmlns:a16="http://schemas.microsoft.com/office/drawing/2014/main" id="{00000000-0008-0000-0600-000090000000}"/>
            </a:ext>
          </a:extLst>
        </xdr:cNvPr>
        <xdr:cNvSpPr/>
      </xdr:nvSpPr>
      <xdr:spPr>
        <a:xfrm>
          <a:off x="62318901" y="5217581"/>
          <a:ext cx="0" cy="37041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63</xdr:col>
      <xdr:colOff>0</xdr:colOff>
      <xdr:row>9</xdr:row>
      <xdr:rowOff>74082</xdr:rowOff>
    </xdr:from>
    <xdr:to>
      <xdr:col>63</xdr:col>
      <xdr:colOff>0</xdr:colOff>
      <xdr:row>11</xdr:row>
      <xdr:rowOff>95249</xdr:rowOff>
    </xdr:to>
    <xdr:sp macro="" textlink="">
      <xdr:nvSpPr>
        <xdr:cNvPr id="145" name="Rectangle 144">
          <a:extLst>
            <a:ext uri="{FF2B5EF4-FFF2-40B4-BE49-F238E27FC236}">
              <a16:creationId xmlns:a16="http://schemas.microsoft.com/office/drawing/2014/main" id="{00000000-0008-0000-0600-000091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98</xdr:col>
      <xdr:colOff>994834</xdr:colOff>
      <xdr:row>20</xdr:row>
      <xdr:rowOff>74082</xdr:rowOff>
    </xdr:from>
    <xdr:to>
      <xdr:col>98</xdr:col>
      <xdr:colOff>1304925</xdr:colOff>
      <xdr:row>22</xdr:row>
      <xdr:rowOff>95249</xdr:rowOff>
    </xdr:to>
    <xdr:sp macro="" textlink="">
      <xdr:nvSpPr>
        <xdr:cNvPr id="148" name="Rectangle 147">
          <a:extLst>
            <a:ext uri="{FF2B5EF4-FFF2-40B4-BE49-F238E27FC236}">
              <a16:creationId xmlns:a16="http://schemas.microsoft.com/office/drawing/2014/main" id="{00000000-0008-0000-0600-000094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99</xdr:col>
      <xdr:colOff>649213</xdr:colOff>
      <xdr:row>20</xdr:row>
      <xdr:rowOff>137582</xdr:rowOff>
    </xdr:from>
    <xdr:to>
      <xdr:col>99</xdr:col>
      <xdr:colOff>649213</xdr:colOff>
      <xdr:row>22</xdr:row>
      <xdr:rowOff>158749</xdr:rowOff>
    </xdr:to>
    <xdr:sp macro="" textlink="">
      <xdr:nvSpPr>
        <xdr:cNvPr id="149" name="Rectangle 148">
          <a:extLst>
            <a:ext uri="{FF2B5EF4-FFF2-40B4-BE49-F238E27FC236}">
              <a16:creationId xmlns:a16="http://schemas.microsoft.com/office/drawing/2014/main" id="{00000000-0008-0000-0600-000095000000}"/>
            </a:ext>
          </a:extLst>
        </xdr:cNvPr>
        <xdr:cNvSpPr/>
      </xdr:nvSpPr>
      <xdr:spPr>
        <a:xfrm>
          <a:off x="64557427" y="5226653"/>
          <a:ext cx="0" cy="374953"/>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100</xdr:col>
      <xdr:colOff>994834</xdr:colOff>
      <xdr:row>20</xdr:row>
      <xdr:rowOff>74082</xdr:rowOff>
    </xdr:from>
    <xdr:to>
      <xdr:col>100</xdr:col>
      <xdr:colOff>1304925</xdr:colOff>
      <xdr:row>22</xdr:row>
      <xdr:rowOff>95249</xdr:rowOff>
    </xdr:to>
    <xdr:sp macro="" textlink="">
      <xdr:nvSpPr>
        <xdr:cNvPr id="150" name="Rectangle 149">
          <a:extLst>
            <a:ext uri="{FF2B5EF4-FFF2-40B4-BE49-F238E27FC236}">
              <a16:creationId xmlns:a16="http://schemas.microsoft.com/office/drawing/2014/main" id="{00000000-0008-0000-0600-000096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101</xdr:col>
      <xdr:colOff>994834</xdr:colOff>
      <xdr:row>20</xdr:row>
      <xdr:rowOff>74082</xdr:rowOff>
    </xdr:from>
    <xdr:to>
      <xdr:col>101</xdr:col>
      <xdr:colOff>1304925</xdr:colOff>
      <xdr:row>22</xdr:row>
      <xdr:rowOff>95249</xdr:rowOff>
    </xdr:to>
    <xdr:sp macro="" textlink="">
      <xdr:nvSpPr>
        <xdr:cNvPr id="151" name="Rectangle 150">
          <a:extLst>
            <a:ext uri="{FF2B5EF4-FFF2-40B4-BE49-F238E27FC236}">
              <a16:creationId xmlns:a16="http://schemas.microsoft.com/office/drawing/2014/main" id="{00000000-0008-0000-0600-000097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102</xdr:col>
      <xdr:colOff>994834</xdr:colOff>
      <xdr:row>20</xdr:row>
      <xdr:rowOff>74082</xdr:rowOff>
    </xdr:from>
    <xdr:to>
      <xdr:col>102</xdr:col>
      <xdr:colOff>1304925</xdr:colOff>
      <xdr:row>22</xdr:row>
      <xdr:rowOff>95249</xdr:rowOff>
    </xdr:to>
    <xdr:sp macro="" textlink="">
      <xdr:nvSpPr>
        <xdr:cNvPr id="152" name="Rectangle 151">
          <a:extLst>
            <a:ext uri="{FF2B5EF4-FFF2-40B4-BE49-F238E27FC236}">
              <a16:creationId xmlns:a16="http://schemas.microsoft.com/office/drawing/2014/main" id="{00000000-0008-0000-0600-000098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103</xdr:col>
      <xdr:colOff>994834</xdr:colOff>
      <xdr:row>20</xdr:row>
      <xdr:rowOff>74082</xdr:rowOff>
    </xdr:from>
    <xdr:to>
      <xdr:col>103</xdr:col>
      <xdr:colOff>1304925</xdr:colOff>
      <xdr:row>22</xdr:row>
      <xdr:rowOff>95249</xdr:rowOff>
    </xdr:to>
    <xdr:sp macro="" textlink="">
      <xdr:nvSpPr>
        <xdr:cNvPr id="153" name="Rectangle 152">
          <a:extLst>
            <a:ext uri="{FF2B5EF4-FFF2-40B4-BE49-F238E27FC236}">
              <a16:creationId xmlns:a16="http://schemas.microsoft.com/office/drawing/2014/main" id="{00000000-0008-0000-0600-000099000000}"/>
            </a:ext>
          </a:extLst>
        </xdr:cNvPr>
        <xdr:cNvSpPr/>
      </xdr:nvSpPr>
      <xdr:spPr>
        <a:xfrm>
          <a:off x="49153234" y="52556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63</xdr:col>
      <xdr:colOff>163748</xdr:colOff>
      <xdr:row>5</xdr:row>
      <xdr:rowOff>56776</xdr:rowOff>
    </xdr:from>
    <xdr:to>
      <xdr:col>64</xdr:col>
      <xdr:colOff>473030</xdr:colOff>
      <xdr:row>5</xdr:row>
      <xdr:rowOff>513976</xdr:rowOff>
    </xdr:to>
    <xdr:sp macro="" textlink="">
      <xdr:nvSpPr>
        <xdr:cNvPr id="69" name="Pentagone 29">
          <a:hlinkClick xmlns:r="http://purl.oclc.org/ooxml/officeDocument/relationships" r:id="rId2"/>
          <a:extLst>
            <a:ext uri="{FF2B5EF4-FFF2-40B4-BE49-F238E27FC236}">
              <a16:creationId xmlns:a16="http://schemas.microsoft.com/office/drawing/2014/main" id="{00000000-0008-0000-0600-000045000000}"/>
            </a:ext>
          </a:extLst>
        </xdr:cNvPr>
        <xdr:cNvSpPr>
          <a:spLocks/>
        </xdr:cNvSpPr>
      </xdr:nvSpPr>
      <xdr:spPr>
        <a:xfrm flipH="1">
          <a:off x="46365601" y="2096247"/>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45</xdr:col>
      <xdr:colOff>0</xdr:colOff>
      <xdr:row>53</xdr:row>
      <xdr:rowOff>74082</xdr:rowOff>
    </xdr:from>
    <xdr:to>
      <xdr:col>45</xdr:col>
      <xdr:colOff>0</xdr:colOff>
      <xdr:row>55</xdr:row>
      <xdr:rowOff>95249</xdr:rowOff>
    </xdr:to>
    <xdr:sp macro="" textlink="">
      <xdr:nvSpPr>
        <xdr:cNvPr id="81" name="Rectangle 80">
          <a:extLst>
            <a:ext uri="{FF2B5EF4-FFF2-40B4-BE49-F238E27FC236}">
              <a16:creationId xmlns:a16="http://schemas.microsoft.com/office/drawing/2014/main" id="{00000000-0008-0000-0600-000051000000}"/>
            </a:ext>
          </a:extLst>
        </xdr:cNvPr>
        <xdr:cNvSpPr/>
      </xdr:nvSpPr>
      <xdr:spPr>
        <a:xfrm>
          <a:off x="51591634" y="51794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45</xdr:col>
      <xdr:colOff>0</xdr:colOff>
      <xdr:row>53</xdr:row>
      <xdr:rowOff>74082</xdr:rowOff>
    </xdr:from>
    <xdr:to>
      <xdr:col>45</xdr:col>
      <xdr:colOff>0</xdr:colOff>
      <xdr:row>55</xdr:row>
      <xdr:rowOff>95249</xdr:rowOff>
    </xdr:to>
    <xdr:sp macro="" textlink="">
      <xdr:nvSpPr>
        <xdr:cNvPr id="82" name="Rectangle 81">
          <a:extLst>
            <a:ext uri="{FF2B5EF4-FFF2-40B4-BE49-F238E27FC236}">
              <a16:creationId xmlns:a16="http://schemas.microsoft.com/office/drawing/2014/main" id="{00000000-0008-0000-0600-000052000000}"/>
            </a:ext>
          </a:extLst>
        </xdr:cNvPr>
        <xdr:cNvSpPr/>
      </xdr:nvSpPr>
      <xdr:spPr>
        <a:xfrm>
          <a:off x="52239334" y="51794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56</xdr:col>
      <xdr:colOff>0</xdr:colOff>
      <xdr:row>53</xdr:row>
      <xdr:rowOff>74082</xdr:rowOff>
    </xdr:from>
    <xdr:to>
      <xdr:col>56</xdr:col>
      <xdr:colOff>0</xdr:colOff>
      <xdr:row>55</xdr:row>
      <xdr:rowOff>95249</xdr:rowOff>
    </xdr:to>
    <xdr:sp macro="" textlink="">
      <xdr:nvSpPr>
        <xdr:cNvPr id="92" name="Rectangle 91">
          <a:extLst>
            <a:ext uri="{FF2B5EF4-FFF2-40B4-BE49-F238E27FC236}">
              <a16:creationId xmlns:a16="http://schemas.microsoft.com/office/drawing/2014/main" id="{00000000-0008-0000-0600-00005C000000}"/>
            </a:ext>
          </a:extLst>
        </xdr:cNvPr>
        <xdr:cNvSpPr/>
      </xdr:nvSpPr>
      <xdr:spPr>
        <a:xfrm>
          <a:off x="58132134" y="51794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60</xdr:col>
      <xdr:colOff>0</xdr:colOff>
      <xdr:row>53</xdr:row>
      <xdr:rowOff>74082</xdr:rowOff>
    </xdr:from>
    <xdr:to>
      <xdr:col>60</xdr:col>
      <xdr:colOff>0</xdr:colOff>
      <xdr:row>55</xdr:row>
      <xdr:rowOff>95249</xdr:rowOff>
    </xdr:to>
    <xdr:sp macro="" textlink="">
      <xdr:nvSpPr>
        <xdr:cNvPr id="97" name="Rectangle 96">
          <a:extLst>
            <a:ext uri="{FF2B5EF4-FFF2-40B4-BE49-F238E27FC236}">
              <a16:creationId xmlns:a16="http://schemas.microsoft.com/office/drawing/2014/main" id="{00000000-0008-0000-0600-000061000000}"/>
            </a:ext>
          </a:extLst>
        </xdr:cNvPr>
        <xdr:cNvSpPr/>
      </xdr:nvSpPr>
      <xdr:spPr>
        <a:xfrm>
          <a:off x="60951534" y="51794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60</xdr:col>
      <xdr:colOff>586318</xdr:colOff>
      <xdr:row>53</xdr:row>
      <xdr:rowOff>126998</xdr:rowOff>
    </xdr:from>
    <xdr:to>
      <xdr:col>60</xdr:col>
      <xdr:colOff>586318</xdr:colOff>
      <xdr:row>55</xdr:row>
      <xdr:rowOff>148165</xdr:rowOff>
    </xdr:to>
    <xdr:sp macro="" textlink="">
      <xdr:nvSpPr>
        <xdr:cNvPr id="98" name="Rectangle 97">
          <a:extLst>
            <a:ext uri="{FF2B5EF4-FFF2-40B4-BE49-F238E27FC236}">
              <a16:creationId xmlns:a16="http://schemas.microsoft.com/office/drawing/2014/main" id="{00000000-0008-0000-0600-000062000000}"/>
            </a:ext>
          </a:extLst>
        </xdr:cNvPr>
        <xdr:cNvSpPr/>
      </xdr:nvSpPr>
      <xdr:spPr>
        <a:xfrm>
          <a:off x="61546318" y="5232398"/>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62</xdr:col>
      <xdr:colOff>0</xdr:colOff>
      <xdr:row>53</xdr:row>
      <xdr:rowOff>74082</xdr:rowOff>
    </xdr:from>
    <xdr:to>
      <xdr:col>62</xdr:col>
      <xdr:colOff>0</xdr:colOff>
      <xdr:row>55</xdr:row>
      <xdr:rowOff>95249</xdr:rowOff>
    </xdr:to>
    <xdr:sp macro="" textlink="">
      <xdr:nvSpPr>
        <xdr:cNvPr id="100" name="Rectangle 99">
          <a:extLst>
            <a:ext uri="{FF2B5EF4-FFF2-40B4-BE49-F238E27FC236}">
              <a16:creationId xmlns:a16="http://schemas.microsoft.com/office/drawing/2014/main" id="{00000000-0008-0000-0600-000064000000}"/>
            </a:ext>
          </a:extLst>
        </xdr:cNvPr>
        <xdr:cNvSpPr/>
      </xdr:nvSpPr>
      <xdr:spPr>
        <a:xfrm>
          <a:off x="62894634" y="5179482"/>
          <a:ext cx="0" cy="3767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44</xdr:col>
      <xdr:colOff>264584</xdr:colOff>
      <xdr:row>112</xdr:row>
      <xdr:rowOff>61382</xdr:rowOff>
    </xdr:from>
    <xdr:to>
      <xdr:col>44</xdr:col>
      <xdr:colOff>264584</xdr:colOff>
      <xdr:row>114</xdr:row>
      <xdr:rowOff>82549</xdr:rowOff>
    </xdr:to>
    <xdr:sp macro="" textlink="">
      <xdr:nvSpPr>
        <xdr:cNvPr id="161" name="Rectangle 160">
          <a:extLst>
            <a:ext uri="{FF2B5EF4-FFF2-40B4-BE49-F238E27FC236}">
              <a16:creationId xmlns:a16="http://schemas.microsoft.com/office/drawing/2014/main" id="{00000000-0008-0000-0600-0000A1000000}"/>
            </a:ext>
          </a:extLst>
        </xdr:cNvPr>
        <xdr:cNvSpPr/>
      </xdr:nvSpPr>
      <xdr:spPr>
        <a:xfrm>
          <a:off x="57401884" y="28179182"/>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51</xdr:col>
      <xdr:colOff>0</xdr:colOff>
      <xdr:row>112</xdr:row>
      <xdr:rowOff>74082</xdr:rowOff>
    </xdr:from>
    <xdr:to>
      <xdr:col>51</xdr:col>
      <xdr:colOff>0</xdr:colOff>
      <xdr:row>114</xdr:row>
      <xdr:rowOff>95249</xdr:rowOff>
    </xdr:to>
    <xdr:sp macro="" textlink="">
      <xdr:nvSpPr>
        <xdr:cNvPr id="169" name="Rectangle 168">
          <a:extLst>
            <a:ext uri="{FF2B5EF4-FFF2-40B4-BE49-F238E27FC236}">
              <a16:creationId xmlns:a16="http://schemas.microsoft.com/office/drawing/2014/main" id="{00000000-0008-0000-0600-0000A9000000}"/>
            </a:ext>
          </a:extLst>
        </xdr:cNvPr>
        <xdr:cNvSpPr/>
      </xdr:nvSpPr>
      <xdr:spPr>
        <a:xfrm>
          <a:off x="56804984" y="5175249"/>
          <a:ext cx="0" cy="381000"/>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53</xdr:col>
      <xdr:colOff>0</xdr:colOff>
      <xdr:row>112</xdr:row>
      <xdr:rowOff>74082</xdr:rowOff>
    </xdr:from>
    <xdr:to>
      <xdr:col>53</xdr:col>
      <xdr:colOff>0</xdr:colOff>
      <xdr:row>114</xdr:row>
      <xdr:rowOff>95249</xdr:rowOff>
    </xdr:to>
    <xdr:sp macro="" textlink="">
      <xdr:nvSpPr>
        <xdr:cNvPr id="171" name="Rectangle 170">
          <a:extLst>
            <a:ext uri="{FF2B5EF4-FFF2-40B4-BE49-F238E27FC236}">
              <a16:creationId xmlns:a16="http://schemas.microsoft.com/office/drawing/2014/main" id="{00000000-0008-0000-0600-0000AB000000}"/>
            </a:ext>
          </a:extLst>
        </xdr:cNvPr>
        <xdr:cNvSpPr/>
      </xdr:nvSpPr>
      <xdr:spPr>
        <a:xfrm>
          <a:off x="58085567" y="5175249"/>
          <a:ext cx="0" cy="381000"/>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55</xdr:col>
      <xdr:colOff>0</xdr:colOff>
      <xdr:row>112</xdr:row>
      <xdr:rowOff>74082</xdr:rowOff>
    </xdr:from>
    <xdr:to>
      <xdr:col>55</xdr:col>
      <xdr:colOff>0</xdr:colOff>
      <xdr:row>114</xdr:row>
      <xdr:rowOff>95249</xdr:rowOff>
    </xdr:to>
    <xdr:sp macro="" textlink="">
      <xdr:nvSpPr>
        <xdr:cNvPr id="173" name="Rectangle 172">
          <a:extLst>
            <a:ext uri="{FF2B5EF4-FFF2-40B4-BE49-F238E27FC236}">
              <a16:creationId xmlns:a16="http://schemas.microsoft.com/office/drawing/2014/main" id="{00000000-0008-0000-0600-0000AD000000}"/>
            </a:ext>
          </a:extLst>
        </xdr:cNvPr>
        <xdr:cNvSpPr/>
      </xdr:nvSpPr>
      <xdr:spPr>
        <a:xfrm>
          <a:off x="59323817" y="5175249"/>
          <a:ext cx="0" cy="381000"/>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absolute">
    <xdr:from>
      <xdr:col>23</xdr:col>
      <xdr:colOff>227045</xdr:colOff>
      <xdr:row>47</xdr:row>
      <xdr:rowOff>56607</xdr:rowOff>
    </xdr:from>
    <xdr:to>
      <xdr:col>25</xdr:col>
      <xdr:colOff>72670</xdr:colOff>
      <xdr:row>47</xdr:row>
      <xdr:rowOff>513807</xdr:rowOff>
    </xdr:to>
    <xdr:sp macro="" textlink="">
      <xdr:nvSpPr>
        <xdr:cNvPr id="208" name="Pentagone 16">
          <a:hlinkClick xmlns:r="http://purl.oclc.org/ooxml/officeDocument/relationships" r:id="rId3"/>
          <a:extLst>
            <a:ext uri="{FF2B5EF4-FFF2-40B4-BE49-F238E27FC236}">
              <a16:creationId xmlns:a16="http://schemas.microsoft.com/office/drawing/2014/main" id="{00000000-0008-0000-0600-0000D0000000}"/>
            </a:ext>
          </a:extLst>
        </xdr:cNvPr>
        <xdr:cNvSpPr/>
      </xdr:nvSpPr>
      <xdr:spPr>
        <a:xfrm>
          <a:off x="17067945" y="10352460"/>
          <a:ext cx="948284" cy="457200"/>
        </a:xfrm>
        <a:prstGeom prst="roundRect">
          <a:avLst/>
        </a:prstGeom>
        <a:solidFill>
          <a:schemeClr val="bg1"/>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 2</a:t>
          </a:r>
        </a:p>
      </xdr:txBody>
    </xdr:sp>
    <xdr:clientData/>
  </xdr:twoCellAnchor>
  <xdr:twoCellAnchor editAs="absolute">
    <xdr:from>
      <xdr:col>8</xdr:col>
      <xdr:colOff>2170417</xdr:colOff>
      <xdr:row>11</xdr:row>
      <xdr:rowOff>72726</xdr:rowOff>
    </xdr:from>
    <xdr:to>
      <xdr:col>8</xdr:col>
      <xdr:colOff>2437117</xdr:colOff>
      <xdr:row>12</xdr:row>
      <xdr:rowOff>152736</xdr:rowOff>
    </xdr:to>
    <xdr:sp macro="" textlink="">
      <xdr:nvSpPr>
        <xdr:cNvPr id="124" name="Rectangle 123">
          <a:hlinkClick xmlns:r="http://purl.oclc.org/ooxml/officeDocument/relationships" r:id="rId4"/>
          <a:extLst>
            <a:ext uri="{FF2B5EF4-FFF2-40B4-BE49-F238E27FC236}">
              <a16:creationId xmlns:a16="http://schemas.microsoft.com/office/drawing/2014/main" id="{00000000-0008-0000-0600-00007C000000}"/>
            </a:ext>
          </a:extLst>
        </xdr:cNvPr>
        <xdr:cNvSpPr>
          <a:spLocks noChangeAspect="1"/>
        </xdr:cNvSpPr>
      </xdr:nvSpPr>
      <xdr:spPr>
        <a:xfrm>
          <a:off x="9893763" y="3574116"/>
          <a:ext cx="274320" cy="27432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xdr:from>
      <xdr:col>58</xdr:col>
      <xdr:colOff>582705</xdr:colOff>
      <xdr:row>47</xdr:row>
      <xdr:rowOff>57897</xdr:rowOff>
    </xdr:from>
    <xdr:to>
      <xdr:col>60</xdr:col>
      <xdr:colOff>96369</xdr:colOff>
      <xdr:row>47</xdr:row>
      <xdr:rowOff>515097</xdr:rowOff>
    </xdr:to>
    <xdr:sp macro="" textlink="">
      <xdr:nvSpPr>
        <xdr:cNvPr id="162" name="Pentagone 29">
          <a:hlinkClick xmlns:r="http://purl.oclc.org/ooxml/officeDocument/relationships" r:id="rId5"/>
          <a:extLst>
            <a:ext uri="{FF2B5EF4-FFF2-40B4-BE49-F238E27FC236}">
              <a16:creationId xmlns:a16="http://schemas.microsoft.com/office/drawing/2014/main" id="{00000000-0008-0000-0600-0000A2000000}"/>
            </a:ext>
          </a:extLst>
        </xdr:cNvPr>
        <xdr:cNvSpPr/>
      </xdr:nvSpPr>
      <xdr:spPr>
        <a:xfrm flipH="1">
          <a:off x="43120234" y="10468162"/>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58</xdr:col>
      <xdr:colOff>249329</xdr:colOff>
      <xdr:row>107</xdr:row>
      <xdr:rowOff>67936</xdr:rowOff>
    </xdr:from>
    <xdr:to>
      <xdr:col>59</xdr:col>
      <xdr:colOff>558611</xdr:colOff>
      <xdr:row>107</xdr:row>
      <xdr:rowOff>525136</xdr:rowOff>
    </xdr:to>
    <xdr:sp macro="" textlink="">
      <xdr:nvSpPr>
        <xdr:cNvPr id="113" name="Pentagone 29">
          <a:hlinkClick xmlns:r="http://purl.oclc.org/ooxml/officeDocument/relationships" r:id="rId6"/>
          <a:extLst>
            <a:ext uri="{FF2B5EF4-FFF2-40B4-BE49-F238E27FC236}">
              <a16:creationId xmlns:a16="http://schemas.microsoft.com/office/drawing/2014/main" id="{00000000-0008-0000-0600-000071000000}"/>
            </a:ext>
          </a:extLst>
        </xdr:cNvPr>
        <xdr:cNvSpPr/>
      </xdr:nvSpPr>
      <xdr:spPr>
        <a:xfrm flipH="1">
          <a:off x="42786858" y="18456789"/>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45</xdr:col>
      <xdr:colOff>0</xdr:colOff>
      <xdr:row>64</xdr:row>
      <xdr:rowOff>74082</xdr:rowOff>
    </xdr:from>
    <xdr:to>
      <xdr:col>45</xdr:col>
      <xdr:colOff>0</xdr:colOff>
      <xdr:row>66</xdr:row>
      <xdr:rowOff>95249</xdr:rowOff>
    </xdr:to>
    <xdr:sp macro="" textlink="">
      <xdr:nvSpPr>
        <xdr:cNvPr id="135" name="Rectangle 134">
          <a:extLst>
            <a:ext uri="{FF2B5EF4-FFF2-40B4-BE49-F238E27FC236}">
              <a16:creationId xmlns:a16="http://schemas.microsoft.com/office/drawing/2014/main" id="{00000000-0008-0000-0600-000087000000}"/>
            </a:ext>
          </a:extLst>
        </xdr:cNvPr>
        <xdr:cNvSpPr/>
      </xdr:nvSpPr>
      <xdr:spPr>
        <a:xfrm>
          <a:off x="27207882" y="12467788"/>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45</xdr:col>
      <xdr:colOff>0</xdr:colOff>
      <xdr:row>64</xdr:row>
      <xdr:rowOff>74082</xdr:rowOff>
    </xdr:from>
    <xdr:to>
      <xdr:col>45</xdr:col>
      <xdr:colOff>0</xdr:colOff>
      <xdr:row>66</xdr:row>
      <xdr:rowOff>95249</xdr:rowOff>
    </xdr:to>
    <xdr:sp macro="" textlink="">
      <xdr:nvSpPr>
        <xdr:cNvPr id="155" name="Rectangle 154">
          <a:extLst>
            <a:ext uri="{FF2B5EF4-FFF2-40B4-BE49-F238E27FC236}">
              <a16:creationId xmlns:a16="http://schemas.microsoft.com/office/drawing/2014/main" id="{00000000-0008-0000-0600-00009B000000}"/>
            </a:ext>
          </a:extLst>
        </xdr:cNvPr>
        <xdr:cNvSpPr/>
      </xdr:nvSpPr>
      <xdr:spPr>
        <a:xfrm>
          <a:off x="27207882" y="12467788"/>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54</xdr:col>
      <xdr:colOff>0</xdr:colOff>
      <xdr:row>64</xdr:row>
      <xdr:rowOff>74082</xdr:rowOff>
    </xdr:from>
    <xdr:to>
      <xdr:col>54</xdr:col>
      <xdr:colOff>0</xdr:colOff>
      <xdr:row>66</xdr:row>
      <xdr:rowOff>95249</xdr:rowOff>
    </xdr:to>
    <xdr:sp macro="" textlink="">
      <xdr:nvSpPr>
        <xdr:cNvPr id="165" name="Rectangle 164">
          <a:extLst>
            <a:ext uri="{FF2B5EF4-FFF2-40B4-BE49-F238E27FC236}">
              <a16:creationId xmlns:a16="http://schemas.microsoft.com/office/drawing/2014/main" id="{00000000-0008-0000-0600-0000A5000000}"/>
            </a:ext>
          </a:extLst>
        </xdr:cNvPr>
        <xdr:cNvSpPr/>
      </xdr:nvSpPr>
      <xdr:spPr>
        <a:xfrm>
          <a:off x="31051500" y="12467788"/>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56</xdr:col>
      <xdr:colOff>0</xdr:colOff>
      <xdr:row>64</xdr:row>
      <xdr:rowOff>74082</xdr:rowOff>
    </xdr:from>
    <xdr:to>
      <xdr:col>56</xdr:col>
      <xdr:colOff>0</xdr:colOff>
      <xdr:row>66</xdr:row>
      <xdr:rowOff>95249</xdr:rowOff>
    </xdr:to>
    <xdr:sp macro="" textlink="">
      <xdr:nvSpPr>
        <xdr:cNvPr id="176" name="Rectangle 175">
          <a:extLst>
            <a:ext uri="{FF2B5EF4-FFF2-40B4-BE49-F238E27FC236}">
              <a16:creationId xmlns:a16="http://schemas.microsoft.com/office/drawing/2014/main" id="{00000000-0008-0000-0600-0000B0000000}"/>
            </a:ext>
          </a:extLst>
        </xdr:cNvPr>
        <xdr:cNvSpPr/>
      </xdr:nvSpPr>
      <xdr:spPr>
        <a:xfrm>
          <a:off x="32340176" y="12467788"/>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56</xdr:col>
      <xdr:colOff>0</xdr:colOff>
      <xdr:row>64</xdr:row>
      <xdr:rowOff>74082</xdr:rowOff>
    </xdr:from>
    <xdr:to>
      <xdr:col>56</xdr:col>
      <xdr:colOff>0</xdr:colOff>
      <xdr:row>66</xdr:row>
      <xdr:rowOff>95249</xdr:rowOff>
    </xdr:to>
    <xdr:sp macro="" textlink="">
      <xdr:nvSpPr>
        <xdr:cNvPr id="179" name="Rectangle 178">
          <a:extLst>
            <a:ext uri="{FF2B5EF4-FFF2-40B4-BE49-F238E27FC236}">
              <a16:creationId xmlns:a16="http://schemas.microsoft.com/office/drawing/2014/main" id="{00000000-0008-0000-0600-0000B3000000}"/>
            </a:ext>
          </a:extLst>
        </xdr:cNvPr>
        <xdr:cNvSpPr/>
      </xdr:nvSpPr>
      <xdr:spPr>
        <a:xfrm>
          <a:off x="32340176" y="12467788"/>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60</xdr:col>
      <xdr:colOff>0</xdr:colOff>
      <xdr:row>64</xdr:row>
      <xdr:rowOff>74082</xdr:rowOff>
    </xdr:from>
    <xdr:to>
      <xdr:col>60</xdr:col>
      <xdr:colOff>0</xdr:colOff>
      <xdr:row>66</xdr:row>
      <xdr:rowOff>95249</xdr:rowOff>
    </xdr:to>
    <xdr:sp macro="" textlink="">
      <xdr:nvSpPr>
        <xdr:cNvPr id="187" name="Rectangle 186">
          <a:extLst>
            <a:ext uri="{FF2B5EF4-FFF2-40B4-BE49-F238E27FC236}">
              <a16:creationId xmlns:a16="http://schemas.microsoft.com/office/drawing/2014/main" id="{00000000-0008-0000-0600-0000BB000000}"/>
            </a:ext>
          </a:extLst>
        </xdr:cNvPr>
        <xdr:cNvSpPr/>
      </xdr:nvSpPr>
      <xdr:spPr>
        <a:xfrm>
          <a:off x="34760647" y="12467788"/>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60</xdr:col>
      <xdr:colOff>586318</xdr:colOff>
      <xdr:row>64</xdr:row>
      <xdr:rowOff>126998</xdr:rowOff>
    </xdr:from>
    <xdr:to>
      <xdr:col>60</xdr:col>
      <xdr:colOff>586318</xdr:colOff>
      <xdr:row>66</xdr:row>
      <xdr:rowOff>148165</xdr:rowOff>
    </xdr:to>
    <xdr:sp macro="" textlink="">
      <xdr:nvSpPr>
        <xdr:cNvPr id="188" name="Rectangle 187">
          <a:extLst>
            <a:ext uri="{FF2B5EF4-FFF2-40B4-BE49-F238E27FC236}">
              <a16:creationId xmlns:a16="http://schemas.microsoft.com/office/drawing/2014/main" id="{00000000-0008-0000-0600-0000BC000000}"/>
            </a:ext>
          </a:extLst>
        </xdr:cNvPr>
        <xdr:cNvSpPr/>
      </xdr:nvSpPr>
      <xdr:spPr>
        <a:xfrm>
          <a:off x="35346965" y="12520704"/>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62</xdr:col>
      <xdr:colOff>0</xdr:colOff>
      <xdr:row>64</xdr:row>
      <xdr:rowOff>74082</xdr:rowOff>
    </xdr:from>
    <xdr:to>
      <xdr:col>62</xdr:col>
      <xdr:colOff>0</xdr:colOff>
      <xdr:row>66</xdr:row>
      <xdr:rowOff>95249</xdr:rowOff>
    </xdr:to>
    <xdr:sp macro="" textlink="">
      <xdr:nvSpPr>
        <xdr:cNvPr id="190" name="Rectangle 189">
          <a:extLst>
            <a:ext uri="{FF2B5EF4-FFF2-40B4-BE49-F238E27FC236}">
              <a16:creationId xmlns:a16="http://schemas.microsoft.com/office/drawing/2014/main" id="{00000000-0008-0000-0600-0000BE000000}"/>
            </a:ext>
          </a:extLst>
        </xdr:cNvPr>
        <xdr:cNvSpPr/>
      </xdr:nvSpPr>
      <xdr:spPr>
        <a:xfrm>
          <a:off x="36038118" y="12467788"/>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46</xdr:col>
      <xdr:colOff>0</xdr:colOff>
      <xdr:row>20</xdr:row>
      <xdr:rowOff>74082</xdr:rowOff>
    </xdr:from>
    <xdr:to>
      <xdr:col>46</xdr:col>
      <xdr:colOff>0</xdr:colOff>
      <xdr:row>22</xdr:row>
      <xdr:rowOff>95249</xdr:rowOff>
    </xdr:to>
    <xdr:sp macro="" textlink="">
      <xdr:nvSpPr>
        <xdr:cNvPr id="204" name="Rectangle 203">
          <a:extLst>
            <a:ext uri="{FF2B5EF4-FFF2-40B4-BE49-F238E27FC236}">
              <a16:creationId xmlns:a16="http://schemas.microsoft.com/office/drawing/2014/main" id="{00000000-0008-0000-0600-0000CC000000}"/>
            </a:ext>
          </a:extLst>
        </xdr:cNvPr>
        <xdr:cNvSpPr/>
      </xdr:nvSpPr>
      <xdr:spPr>
        <a:xfrm>
          <a:off x="34973559" y="3424641"/>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50</xdr:col>
      <xdr:colOff>16934</xdr:colOff>
      <xdr:row>20</xdr:row>
      <xdr:rowOff>112182</xdr:rowOff>
    </xdr:from>
    <xdr:to>
      <xdr:col>50</xdr:col>
      <xdr:colOff>16934</xdr:colOff>
      <xdr:row>22</xdr:row>
      <xdr:rowOff>133349</xdr:rowOff>
    </xdr:to>
    <xdr:sp macro="" textlink="">
      <xdr:nvSpPr>
        <xdr:cNvPr id="207" name="Rectangle 206">
          <a:extLst>
            <a:ext uri="{FF2B5EF4-FFF2-40B4-BE49-F238E27FC236}">
              <a16:creationId xmlns:a16="http://schemas.microsoft.com/office/drawing/2014/main" id="{00000000-0008-0000-0600-0000CF000000}"/>
            </a:ext>
          </a:extLst>
        </xdr:cNvPr>
        <xdr:cNvSpPr/>
      </xdr:nvSpPr>
      <xdr:spPr>
        <a:xfrm>
          <a:off x="37567846" y="3462741"/>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52</xdr:col>
      <xdr:colOff>0</xdr:colOff>
      <xdr:row>20</xdr:row>
      <xdr:rowOff>74082</xdr:rowOff>
    </xdr:from>
    <xdr:to>
      <xdr:col>52</xdr:col>
      <xdr:colOff>0</xdr:colOff>
      <xdr:row>22</xdr:row>
      <xdr:rowOff>95249</xdr:rowOff>
    </xdr:to>
    <xdr:sp macro="" textlink="">
      <xdr:nvSpPr>
        <xdr:cNvPr id="212" name="Rectangle 211">
          <a:extLst>
            <a:ext uri="{FF2B5EF4-FFF2-40B4-BE49-F238E27FC236}">
              <a16:creationId xmlns:a16="http://schemas.microsoft.com/office/drawing/2014/main" id="{00000000-0008-0000-0600-0000D4000000}"/>
            </a:ext>
          </a:extLst>
        </xdr:cNvPr>
        <xdr:cNvSpPr/>
      </xdr:nvSpPr>
      <xdr:spPr>
        <a:xfrm>
          <a:off x="38839588" y="3424641"/>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60</xdr:col>
      <xdr:colOff>0</xdr:colOff>
      <xdr:row>21</xdr:row>
      <xdr:rowOff>74082</xdr:rowOff>
    </xdr:from>
    <xdr:to>
      <xdr:col>60</xdr:col>
      <xdr:colOff>0</xdr:colOff>
      <xdr:row>23</xdr:row>
      <xdr:rowOff>95249</xdr:rowOff>
    </xdr:to>
    <xdr:sp macro="" textlink="">
      <xdr:nvSpPr>
        <xdr:cNvPr id="213" name="Rectangle 212">
          <a:extLst>
            <a:ext uri="{FF2B5EF4-FFF2-40B4-BE49-F238E27FC236}">
              <a16:creationId xmlns:a16="http://schemas.microsoft.com/office/drawing/2014/main" id="{00000000-0008-0000-0600-0000D5000000}"/>
            </a:ext>
          </a:extLst>
        </xdr:cNvPr>
        <xdr:cNvSpPr/>
      </xdr:nvSpPr>
      <xdr:spPr>
        <a:xfrm>
          <a:off x="43938265" y="3615141"/>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63</xdr:col>
      <xdr:colOff>0</xdr:colOff>
      <xdr:row>20</xdr:row>
      <xdr:rowOff>74082</xdr:rowOff>
    </xdr:from>
    <xdr:to>
      <xdr:col>63</xdr:col>
      <xdr:colOff>0</xdr:colOff>
      <xdr:row>22</xdr:row>
      <xdr:rowOff>95249</xdr:rowOff>
    </xdr:to>
    <xdr:sp macro="" textlink="">
      <xdr:nvSpPr>
        <xdr:cNvPr id="217" name="Rectangle 216">
          <a:extLst>
            <a:ext uri="{FF2B5EF4-FFF2-40B4-BE49-F238E27FC236}">
              <a16:creationId xmlns:a16="http://schemas.microsoft.com/office/drawing/2014/main" id="{00000000-0008-0000-0600-0000D9000000}"/>
            </a:ext>
          </a:extLst>
        </xdr:cNvPr>
        <xdr:cNvSpPr/>
      </xdr:nvSpPr>
      <xdr:spPr>
        <a:xfrm>
          <a:off x="46201853" y="3424641"/>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59</xdr:col>
      <xdr:colOff>199217</xdr:colOff>
      <xdr:row>20</xdr:row>
      <xdr:rowOff>107700</xdr:rowOff>
    </xdr:from>
    <xdr:to>
      <xdr:col>59</xdr:col>
      <xdr:colOff>199217</xdr:colOff>
      <xdr:row>22</xdr:row>
      <xdr:rowOff>128867</xdr:rowOff>
    </xdr:to>
    <xdr:sp macro="" textlink="">
      <xdr:nvSpPr>
        <xdr:cNvPr id="218" name="Rectangle 217">
          <a:extLst>
            <a:ext uri="{FF2B5EF4-FFF2-40B4-BE49-F238E27FC236}">
              <a16:creationId xmlns:a16="http://schemas.microsoft.com/office/drawing/2014/main" id="{00000000-0008-0000-0600-0000DA000000}"/>
            </a:ext>
          </a:extLst>
        </xdr:cNvPr>
        <xdr:cNvSpPr/>
      </xdr:nvSpPr>
      <xdr:spPr>
        <a:xfrm>
          <a:off x="43341864" y="3458259"/>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53</xdr:col>
      <xdr:colOff>586318</xdr:colOff>
      <xdr:row>20</xdr:row>
      <xdr:rowOff>126998</xdr:rowOff>
    </xdr:from>
    <xdr:to>
      <xdr:col>53</xdr:col>
      <xdr:colOff>586318</xdr:colOff>
      <xdr:row>22</xdr:row>
      <xdr:rowOff>148165</xdr:rowOff>
    </xdr:to>
    <xdr:sp macro="" textlink="">
      <xdr:nvSpPr>
        <xdr:cNvPr id="219" name="Rectangle 218">
          <a:extLst>
            <a:ext uri="{FF2B5EF4-FFF2-40B4-BE49-F238E27FC236}">
              <a16:creationId xmlns:a16="http://schemas.microsoft.com/office/drawing/2014/main" id="{00000000-0008-0000-0600-0000DB000000}"/>
            </a:ext>
          </a:extLst>
        </xdr:cNvPr>
        <xdr:cNvSpPr/>
      </xdr:nvSpPr>
      <xdr:spPr>
        <a:xfrm>
          <a:off x="40031024" y="3477557"/>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63</xdr:col>
      <xdr:colOff>0</xdr:colOff>
      <xdr:row>20</xdr:row>
      <xdr:rowOff>74082</xdr:rowOff>
    </xdr:from>
    <xdr:to>
      <xdr:col>63</xdr:col>
      <xdr:colOff>0</xdr:colOff>
      <xdr:row>22</xdr:row>
      <xdr:rowOff>95249</xdr:rowOff>
    </xdr:to>
    <xdr:sp macro="" textlink="">
      <xdr:nvSpPr>
        <xdr:cNvPr id="220" name="Rectangle 219">
          <a:extLst>
            <a:ext uri="{FF2B5EF4-FFF2-40B4-BE49-F238E27FC236}">
              <a16:creationId xmlns:a16="http://schemas.microsoft.com/office/drawing/2014/main" id="{00000000-0008-0000-0600-0000DC000000}"/>
            </a:ext>
          </a:extLst>
        </xdr:cNvPr>
        <xdr:cNvSpPr/>
      </xdr:nvSpPr>
      <xdr:spPr>
        <a:xfrm>
          <a:off x="46201853" y="3424641"/>
          <a:ext cx="0" cy="40216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absolute">
    <xdr:from>
      <xdr:col>66</xdr:col>
      <xdr:colOff>342137</xdr:colOff>
      <xdr:row>105</xdr:row>
      <xdr:rowOff>30197</xdr:rowOff>
    </xdr:from>
    <xdr:to>
      <xdr:col>74</xdr:col>
      <xdr:colOff>111024</xdr:colOff>
      <xdr:row>112</xdr:row>
      <xdr:rowOff>388731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purl.oclc.org/ooxml/officeDocument/relationships" r:embed="rId7"/>
        <a:stretch>
          <a:fillRect/>
        </a:stretch>
      </xdr:blipFill>
      <xdr:spPr>
        <a:xfrm>
          <a:off x="51638548" y="21686433"/>
          <a:ext cx="3851779" cy="1950190"/>
        </a:xfrm>
        <a:prstGeom prst="rect">
          <a:avLst/>
        </a:prstGeom>
      </xdr:spPr>
    </xdr:pic>
    <xdr:clientData/>
  </xdr:twoCellAnchor>
  <xdr:twoCellAnchor editAs="absolute">
    <xdr:from>
      <xdr:col>8</xdr:col>
      <xdr:colOff>2206612</xdr:colOff>
      <xdr:row>21</xdr:row>
      <xdr:rowOff>72726</xdr:rowOff>
    </xdr:from>
    <xdr:to>
      <xdr:col>8</xdr:col>
      <xdr:colOff>2473312</xdr:colOff>
      <xdr:row>22</xdr:row>
      <xdr:rowOff>148926</xdr:rowOff>
    </xdr:to>
    <xdr:sp macro="" textlink="">
      <xdr:nvSpPr>
        <xdr:cNvPr id="140" name="Rectangle 139">
          <a:hlinkClick xmlns:r="http://purl.oclc.org/ooxml/officeDocument/relationships" r:id="rId4"/>
          <a:extLst>
            <a:ext uri="{FF2B5EF4-FFF2-40B4-BE49-F238E27FC236}">
              <a16:creationId xmlns:a16="http://schemas.microsoft.com/office/drawing/2014/main" id="{00000000-0008-0000-0600-00008C000000}"/>
            </a:ext>
          </a:extLst>
        </xdr:cNvPr>
        <xdr:cNvSpPr>
          <a:spLocks noChangeAspect="1"/>
        </xdr:cNvSpPr>
      </xdr:nvSpPr>
      <xdr:spPr>
        <a:xfrm>
          <a:off x="9906009" y="5475034"/>
          <a:ext cx="274320" cy="27432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8</xdr:col>
      <xdr:colOff>2208517</xdr:colOff>
      <xdr:row>53</xdr:row>
      <xdr:rowOff>522</xdr:rowOff>
    </xdr:from>
    <xdr:to>
      <xdr:col>8</xdr:col>
      <xdr:colOff>2473312</xdr:colOff>
      <xdr:row>54</xdr:row>
      <xdr:rowOff>76536</xdr:rowOff>
    </xdr:to>
    <xdr:sp macro="" textlink="">
      <xdr:nvSpPr>
        <xdr:cNvPr id="141" name="Rectangle 140">
          <a:hlinkClick xmlns:r="http://purl.oclc.org/ooxml/officeDocument/relationships" r:id="rId4"/>
          <a:extLst>
            <a:ext uri="{FF2B5EF4-FFF2-40B4-BE49-F238E27FC236}">
              <a16:creationId xmlns:a16="http://schemas.microsoft.com/office/drawing/2014/main" id="{00000000-0008-0000-0600-00008D000000}"/>
            </a:ext>
          </a:extLst>
        </xdr:cNvPr>
        <xdr:cNvSpPr>
          <a:spLocks noChangeAspect="1"/>
        </xdr:cNvSpPr>
      </xdr:nvSpPr>
      <xdr:spPr>
        <a:xfrm>
          <a:off x="9922338" y="11832291"/>
          <a:ext cx="274320" cy="27432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8</xdr:col>
      <xdr:colOff>2044597</xdr:colOff>
      <xdr:row>64</xdr:row>
      <xdr:rowOff>5155</xdr:rowOff>
    </xdr:from>
    <xdr:to>
      <xdr:col>8</xdr:col>
      <xdr:colOff>2311297</xdr:colOff>
      <xdr:row>65</xdr:row>
      <xdr:rowOff>81355</xdr:rowOff>
    </xdr:to>
    <xdr:sp macro="" textlink="">
      <xdr:nvSpPr>
        <xdr:cNvPr id="147" name="Rectangle 146">
          <a:hlinkClick xmlns:r="http://purl.oclc.org/ooxml/officeDocument/relationships" r:id="rId4"/>
          <a:extLst>
            <a:ext uri="{FF2B5EF4-FFF2-40B4-BE49-F238E27FC236}">
              <a16:creationId xmlns:a16="http://schemas.microsoft.com/office/drawing/2014/main" id="{00000000-0008-0000-0600-000093000000}"/>
            </a:ext>
          </a:extLst>
        </xdr:cNvPr>
        <xdr:cNvSpPr>
          <a:spLocks noChangeAspect="1"/>
        </xdr:cNvSpPr>
      </xdr:nvSpPr>
      <xdr:spPr>
        <a:xfrm>
          <a:off x="9709421" y="14079743"/>
          <a:ext cx="266700" cy="26670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8</xdr:col>
      <xdr:colOff>1976951</xdr:colOff>
      <xdr:row>112</xdr:row>
      <xdr:rowOff>375641</xdr:rowOff>
    </xdr:from>
    <xdr:to>
      <xdr:col>8</xdr:col>
      <xdr:colOff>2205551</xdr:colOff>
      <xdr:row>113</xdr:row>
      <xdr:rowOff>172478</xdr:rowOff>
    </xdr:to>
    <xdr:sp macro="" textlink="">
      <xdr:nvSpPr>
        <xdr:cNvPr id="154" name="Rectangle 153">
          <a:hlinkClick xmlns:r="http://purl.oclc.org/ooxml/officeDocument/relationships" r:id="rId8"/>
          <a:extLst>
            <a:ext uri="{FF2B5EF4-FFF2-40B4-BE49-F238E27FC236}">
              <a16:creationId xmlns:a16="http://schemas.microsoft.com/office/drawing/2014/main" id="{00000000-0008-0000-0600-00009A000000}"/>
            </a:ext>
          </a:extLst>
        </xdr:cNvPr>
        <xdr:cNvSpPr>
          <a:spLocks noChangeAspect="1"/>
        </xdr:cNvSpPr>
      </xdr:nvSpPr>
      <xdr:spPr>
        <a:xfrm>
          <a:off x="9641775" y="23672670"/>
          <a:ext cx="228600" cy="25627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8</xdr:col>
      <xdr:colOff>1964110</xdr:colOff>
      <xdr:row>110</xdr:row>
      <xdr:rowOff>160440</xdr:rowOff>
    </xdr:from>
    <xdr:to>
      <xdr:col>8</xdr:col>
      <xdr:colOff>2234620</xdr:colOff>
      <xdr:row>111</xdr:row>
      <xdr:rowOff>179966</xdr:rowOff>
    </xdr:to>
    <xdr:sp macro="" textlink="">
      <xdr:nvSpPr>
        <xdr:cNvPr id="156" name="Rectangle 155">
          <a:hlinkClick xmlns:r="http://purl.oclc.org/ooxml/officeDocument/relationships" r:id="rId8"/>
          <a:extLst>
            <a:ext uri="{FF2B5EF4-FFF2-40B4-BE49-F238E27FC236}">
              <a16:creationId xmlns:a16="http://schemas.microsoft.com/office/drawing/2014/main" id="{00000000-0008-0000-0600-00009C000000}"/>
            </a:ext>
          </a:extLst>
        </xdr:cNvPr>
        <xdr:cNvSpPr>
          <a:spLocks noChangeAspect="1"/>
        </xdr:cNvSpPr>
      </xdr:nvSpPr>
      <xdr:spPr>
        <a:xfrm>
          <a:off x="9628934" y="23020440"/>
          <a:ext cx="270510" cy="266055"/>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6</xdr:col>
      <xdr:colOff>1923575</xdr:colOff>
      <xdr:row>21</xdr:row>
      <xdr:rowOff>56478</xdr:rowOff>
    </xdr:from>
    <xdr:to>
      <xdr:col>6</xdr:col>
      <xdr:colOff>2190275</xdr:colOff>
      <xdr:row>22</xdr:row>
      <xdr:rowOff>155538</xdr:rowOff>
    </xdr:to>
    <xdr:sp macro="" textlink="">
      <xdr:nvSpPr>
        <xdr:cNvPr id="117" name="Rectangle 116">
          <a:hlinkClick xmlns:r="http://purl.oclc.org/ooxml/officeDocument/relationships" r:id="rId4"/>
          <a:extLst>
            <a:ext uri="{FF2B5EF4-FFF2-40B4-BE49-F238E27FC236}">
              <a16:creationId xmlns:a16="http://schemas.microsoft.com/office/drawing/2014/main" id="{00000000-0008-0000-0600-000075000000}"/>
            </a:ext>
          </a:extLst>
        </xdr:cNvPr>
        <xdr:cNvSpPr>
          <a:spLocks noChangeAspect="1"/>
        </xdr:cNvSpPr>
      </xdr:nvSpPr>
      <xdr:spPr>
        <a:xfrm>
          <a:off x="7180730" y="5432612"/>
          <a:ext cx="274320" cy="27207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10</xdr:col>
      <xdr:colOff>1262650</xdr:colOff>
      <xdr:row>21</xdr:row>
      <xdr:rowOff>61634</xdr:rowOff>
    </xdr:from>
    <xdr:to>
      <xdr:col>10</xdr:col>
      <xdr:colOff>1491250</xdr:colOff>
      <xdr:row>22</xdr:row>
      <xdr:rowOff>137834</xdr:rowOff>
    </xdr:to>
    <xdr:sp macro="" textlink="">
      <xdr:nvSpPr>
        <xdr:cNvPr id="118" name="Rectangle 117">
          <a:hlinkClick xmlns:r="http://purl.oclc.org/ooxml/officeDocument/relationships" r:id="rId4"/>
          <a:extLst>
            <a:ext uri="{FF2B5EF4-FFF2-40B4-BE49-F238E27FC236}">
              <a16:creationId xmlns:a16="http://schemas.microsoft.com/office/drawing/2014/main" id="{00000000-0008-0000-0600-000076000000}"/>
            </a:ext>
          </a:extLst>
        </xdr:cNvPr>
        <xdr:cNvSpPr>
          <a:spLocks noChangeAspect="1"/>
        </xdr:cNvSpPr>
      </xdr:nvSpPr>
      <xdr:spPr>
        <a:xfrm>
          <a:off x="11527238" y="5462869"/>
          <a:ext cx="228600" cy="26670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6</xdr:col>
      <xdr:colOff>1885811</xdr:colOff>
      <xdr:row>11</xdr:row>
      <xdr:rowOff>56478</xdr:rowOff>
    </xdr:from>
    <xdr:to>
      <xdr:col>6</xdr:col>
      <xdr:colOff>2169656</xdr:colOff>
      <xdr:row>12</xdr:row>
      <xdr:rowOff>155538</xdr:rowOff>
    </xdr:to>
    <xdr:sp macro="" textlink="">
      <xdr:nvSpPr>
        <xdr:cNvPr id="120" name="Rectangle 119">
          <a:hlinkClick xmlns:r="http://purl.oclc.org/ooxml/officeDocument/relationships" r:id="rId4"/>
          <a:extLst>
            <a:ext uri="{FF2B5EF4-FFF2-40B4-BE49-F238E27FC236}">
              <a16:creationId xmlns:a16="http://schemas.microsoft.com/office/drawing/2014/main" id="{00000000-0008-0000-0600-000078000000}"/>
            </a:ext>
          </a:extLst>
        </xdr:cNvPr>
        <xdr:cNvSpPr>
          <a:spLocks noChangeAspect="1"/>
        </xdr:cNvSpPr>
      </xdr:nvSpPr>
      <xdr:spPr>
        <a:xfrm>
          <a:off x="7144871" y="3550024"/>
          <a:ext cx="274320" cy="27207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10</xdr:col>
      <xdr:colOff>1285846</xdr:colOff>
      <xdr:row>11</xdr:row>
      <xdr:rowOff>68245</xdr:rowOff>
    </xdr:from>
    <xdr:to>
      <xdr:col>12</xdr:col>
      <xdr:colOff>24136</xdr:colOff>
      <xdr:row>12</xdr:row>
      <xdr:rowOff>144445</xdr:rowOff>
    </xdr:to>
    <xdr:sp macro="" textlink="">
      <xdr:nvSpPr>
        <xdr:cNvPr id="121" name="Rectangle 120">
          <a:hlinkClick xmlns:r="http://purl.oclc.org/ooxml/officeDocument/relationships" r:id="rId4"/>
          <a:extLst>
            <a:ext uri="{FF2B5EF4-FFF2-40B4-BE49-F238E27FC236}">
              <a16:creationId xmlns:a16="http://schemas.microsoft.com/office/drawing/2014/main" id="{00000000-0008-0000-0600-000079000000}"/>
            </a:ext>
          </a:extLst>
        </xdr:cNvPr>
        <xdr:cNvSpPr>
          <a:spLocks noChangeAspect="1"/>
        </xdr:cNvSpPr>
      </xdr:nvSpPr>
      <xdr:spPr>
        <a:xfrm>
          <a:off x="11550434" y="3575686"/>
          <a:ext cx="295908" cy="26670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xdr:from>
      <xdr:col>0</xdr:col>
      <xdr:colOff>130969</xdr:colOff>
      <xdr:row>0</xdr:row>
      <xdr:rowOff>178594</xdr:rowOff>
    </xdr:from>
    <xdr:to>
      <xdr:col>24</xdr:col>
      <xdr:colOff>164996</xdr:colOff>
      <xdr:row>0</xdr:row>
      <xdr:rowOff>1104900</xdr:rowOff>
    </xdr:to>
    <xdr:grpSp>
      <xdr:nvGrpSpPr>
        <xdr:cNvPr id="96" name="Group 95">
          <a:hlinkClick xmlns:r="http://purl.oclc.org/ooxml/officeDocument/relationships" r:id="rId9"/>
          <a:extLst>
            <a:ext uri="{FF2B5EF4-FFF2-40B4-BE49-F238E27FC236}">
              <a16:creationId xmlns:a16="http://schemas.microsoft.com/office/drawing/2014/main" id="{00000000-0008-0000-0600-000060000000}"/>
            </a:ext>
          </a:extLst>
        </xdr:cNvPr>
        <xdr:cNvGrpSpPr/>
      </xdr:nvGrpSpPr>
      <xdr:grpSpPr>
        <a:xfrm>
          <a:off x="130969" y="178594"/>
          <a:ext cx="19630127" cy="926306"/>
          <a:chOff x="148166" y="116417"/>
          <a:chExt cx="17238558" cy="926306"/>
        </a:xfrm>
      </xdr:grpSpPr>
      <xdr:grpSp>
        <xdr:nvGrpSpPr>
          <xdr:cNvPr id="99" name="Group 98">
            <a:extLst>
              <a:ext uri="{FF2B5EF4-FFF2-40B4-BE49-F238E27FC236}">
                <a16:creationId xmlns:a16="http://schemas.microsoft.com/office/drawing/2014/main" id="{00000000-0008-0000-0600-000063000000}"/>
              </a:ext>
            </a:extLst>
          </xdr:cNvPr>
          <xdr:cNvGrpSpPr/>
        </xdr:nvGrpSpPr>
        <xdr:grpSpPr>
          <a:xfrm>
            <a:off x="148166" y="116417"/>
            <a:ext cx="17238558" cy="926306"/>
            <a:chOff x="148166" y="116417"/>
            <a:chExt cx="17215408" cy="926306"/>
          </a:xfrm>
        </xdr:grpSpPr>
        <xdr:sp macro="" textlink="">
          <xdr:nvSpPr>
            <xdr:cNvPr id="102" name="Rounded Rectangle 82">
              <a:hlinkClick xmlns:r="http://purl.oclc.org/ooxml/officeDocument/relationships" r:id="rId10"/>
              <a:extLst>
                <a:ext uri="{FF2B5EF4-FFF2-40B4-BE49-F238E27FC236}">
                  <a16:creationId xmlns:a16="http://schemas.microsoft.com/office/drawing/2014/main" id="{00000000-0008-0000-0600-000066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103" name="Rounded Rectangle 83">
              <a:hlinkClick xmlns:r="http://purl.oclc.org/ooxml/officeDocument/relationships" r:id="rId11"/>
              <a:extLst>
                <a:ext uri="{FF2B5EF4-FFF2-40B4-BE49-F238E27FC236}">
                  <a16:creationId xmlns:a16="http://schemas.microsoft.com/office/drawing/2014/main" id="{00000000-0008-0000-0600-000067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105" name="Rounded Rectangle 84">
              <a:hlinkClick xmlns:r="http://purl.oclc.org/ooxml/officeDocument/relationships" r:id="rId12"/>
              <a:extLst>
                <a:ext uri="{FF2B5EF4-FFF2-40B4-BE49-F238E27FC236}">
                  <a16:creationId xmlns:a16="http://schemas.microsoft.com/office/drawing/2014/main" id="{00000000-0008-0000-0600-000069000000}"/>
                </a:ext>
              </a:extLst>
            </xdr:cNvPr>
            <xdr:cNvSpPr/>
          </xdr:nvSpPr>
          <xdr:spPr>
            <a:xfrm>
              <a:off x="3321050" y="116417"/>
              <a:ext cx="1463040" cy="914400"/>
            </a:xfrm>
            <a:prstGeom prst="roundRect">
              <a:avLst/>
            </a:prstGeom>
            <a:solidFill>
              <a:srgbClr val="FFFFFF">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bg1"/>
                  </a:solidFill>
                  <a:latin typeface="Roboto Light" panose="02000000000000000000" pitchFamily="2" charset="0"/>
                  <a:ea typeface="Roboto Light" panose="02000000000000000000" pitchFamily="2" charset="0"/>
                  <a:cs typeface="+mn-cs"/>
                </a:rPr>
                <a:t>      changes</a:t>
              </a:r>
            </a:p>
          </xdr:txBody>
        </xdr:sp>
        <xdr:sp macro="" textlink="">
          <xdr:nvSpPr>
            <xdr:cNvPr id="106" name="Rounded Rectangle 85">
              <a:hlinkClick xmlns:r="http://purl.oclc.org/ooxml/officeDocument/relationships" r:id="rId13"/>
              <a:extLst>
                <a:ext uri="{FF2B5EF4-FFF2-40B4-BE49-F238E27FC236}">
                  <a16:creationId xmlns:a16="http://schemas.microsoft.com/office/drawing/2014/main" id="{00000000-0008-0000-0600-00006A000000}"/>
                </a:ext>
              </a:extLst>
            </xdr:cNvPr>
            <xdr:cNvSpPr/>
          </xdr:nvSpPr>
          <xdr:spPr>
            <a:xfrm>
              <a:off x="4907492" y="116417"/>
              <a:ext cx="1463040"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ysClr val="windowText" lastClr="000000"/>
                  </a:solidFill>
                  <a:latin typeface="Roboto Light" panose="02000000000000000000" pitchFamily="2" charset="0"/>
                  <a:ea typeface="Roboto Light" panose="02000000000000000000" pitchFamily="2" charset="0"/>
                </a:rPr>
                <a:t>Cropland management</a:t>
              </a:r>
            </a:p>
          </xdr:txBody>
        </xdr:sp>
        <xdr:sp macro="" textlink="">
          <xdr:nvSpPr>
            <xdr:cNvPr id="107" name="Rounded Rectangle 86">
              <a:hlinkClick xmlns:r="http://purl.oclc.org/ooxml/officeDocument/relationships" r:id="rId14"/>
              <a:extLst>
                <a:ext uri="{FF2B5EF4-FFF2-40B4-BE49-F238E27FC236}">
                  <a16:creationId xmlns:a16="http://schemas.microsoft.com/office/drawing/2014/main" id="{00000000-0008-0000-0600-00006B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109" name="Rounded Rectangle 87">
              <a:hlinkClick xmlns:r="http://purl.oclc.org/ooxml/officeDocument/relationships" r:id="rId15"/>
              <a:extLst>
                <a:ext uri="{FF2B5EF4-FFF2-40B4-BE49-F238E27FC236}">
                  <a16:creationId xmlns:a16="http://schemas.microsoft.com/office/drawing/2014/main" id="{00000000-0008-0000-0600-00006D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112" name="Rounded Rectangle 88">
              <a:hlinkClick xmlns:r="http://purl.oclc.org/ooxml/officeDocument/relationships" r:id="rId16"/>
              <a:extLst>
                <a:ext uri="{FF2B5EF4-FFF2-40B4-BE49-F238E27FC236}">
                  <a16:creationId xmlns:a16="http://schemas.microsoft.com/office/drawing/2014/main" id="{00000000-0008-0000-0600-000070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114" name="Rounded Rectangle 89">
              <a:hlinkClick xmlns:r="http://purl.oclc.org/ooxml/officeDocument/relationships" r:id="rId17"/>
              <a:extLst>
                <a:ext uri="{FF2B5EF4-FFF2-40B4-BE49-F238E27FC236}">
                  <a16:creationId xmlns:a16="http://schemas.microsoft.com/office/drawing/2014/main" id="{00000000-0008-0000-0600-000072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115" name="Rounded Rectangle 90">
              <a:hlinkClick xmlns:r="http://purl.oclc.org/ooxml/officeDocument/relationships" r:id="rId9"/>
              <a:extLst>
                <a:ext uri="{FF2B5EF4-FFF2-40B4-BE49-F238E27FC236}">
                  <a16:creationId xmlns:a16="http://schemas.microsoft.com/office/drawing/2014/main" id="{00000000-0008-0000-0600-000073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116" name="Rounded Rectangle 91">
              <a:hlinkClick xmlns:r="http://purl.oclc.org/ooxml/officeDocument/relationships" r:id="rId18"/>
              <a:extLst>
                <a:ext uri="{FF2B5EF4-FFF2-40B4-BE49-F238E27FC236}">
                  <a16:creationId xmlns:a16="http://schemas.microsoft.com/office/drawing/2014/main" id="{00000000-0008-0000-0600-000074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101" name="Rounded Rectangle 89">
            <a:hlinkClick xmlns:r="http://purl.oclc.org/ooxml/officeDocument/relationships" r:id="rId19"/>
            <a:extLst>
              <a:ext uri="{FF2B5EF4-FFF2-40B4-BE49-F238E27FC236}">
                <a16:creationId xmlns:a16="http://schemas.microsoft.com/office/drawing/2014/main" id="{00000000-0008-0000-0600-000065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twoCellAnchor editAs="absolute">
    <xdr:from>
      <xdr:col>23</xdr:col>
      <xdr:colOff>543089</xdr:colOff>
      <xdr:row>107</xdr:row>
      <xdr:rowOff>46198</xdr:rowOff>
    </xdr:from>
    <xdr:to>
      <xdr:col>25</xdr:col>
      <xdr:colOff>330438</xdr:colOff>
      <xdr:row>107</xdr:row>
      <xdr:rowOff>541565</xdr:rowOff>
    </xdr:to>
    <xdr:sp macro="" textlink="">
      <xdr:nvSpPr>
        <xdr:cNvPr id="3" name="Pentagone 16">
          <a:hlinkClick xmlns:r="http://purl.oclc.org/ooxml/officeDocument/relationships" r:id="rId20"/>
          <a:extLst>
            <a:ext uri="{FF2B5EF4-FFF2-40B4-BE49-F238E27FC236}">
              <a16:creationId xmlns:a16="http://schemas.microsoft.com/office/drawing/2014/main" id="{A56CCBA1-085C-075D-A3FB-00B40BBC7758}"/>
            </a:ext>
          </a:extLst>
        </xdr:cNvPr>
        <xdr:cNvSpPr/>
      </xdr:nvSpPr>
      <xdr:spPr>
        <a:xfrm>
          <a:off x="16769207" y="22043345"/>
          <a:ext cx="840702" cy="495367"/>
        </a:xfrm>
        <a:prstGeom prst="roundRect">
          <a:avLst/>
        </a:prstGeom>
        <a:solidFill>
          <a:schemeClr val="bg1"/>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a:t>
          </a:r>
          <a:r>
            <a:rPr lang="fr-FR" sz="1600" b="0">
              <a:solidFill>
                <a:sysClr val="windowText" lastClr="000000"/>
              </a:solidFill>
              <a:latin typeface="Century Gothic" panose="020B0502020202020204" pitchFamily="34" charset="0"/>
              <a:cs typeface="Helvetica" panose="020B0604020202020204" pitchFamily="34" charset="0"/>
            </a:rPr>
            <a:t> 2</a:t>
          </a:r>
        </a:p>
      </xdr:txBody>
    </xdr:sp>
    <xdr:clientData/>
  </xdr:twoCellAnchor>
  <xdr:twoCellAnchor editAs="absolute">
    <xdr:from>
      <xdr:col>8</xdr:col>
      <xdr:colOff>1993527</xdr:colOff>
      <xdr:row>83</xdr:row>
      <xdr:rowOff>153046</xdr:rowOff>
    </xdr:from>
    <xdr:to>
      <xdr:col>8</xdr:col>
      <xdr:colOff>2274795</xdr:colOff>
      <xdr:row>85</xdr:row>
      <xdr:rowOff>57796</xdr:rowOff>
    </xdr:to>
    <xdr:sp macro="" textlink="">
      <xdr:nvSpPr>
        <xdr:cNvPr id="4" name="Rectangle 3">
          <a:hlinkClick xmlns:r="http://purl.oclc.org/ooxml/officeDocument/relationships" r:id="rId4"/>
          <a:extLst>
            <a:ext uri="{FF2B5EF4-FFF2-40B4-BE49-F238E27FC236}">
              <a16:creationId xmlns:a16="http://schemas.microsoft.com/office/drawing/2014/main" id="{6EBB1E27-2B4C-425D-ACA0-30642474C137}"/>
            </a:ext>
          </a:extLst>
        </xdr:cNvPr>
        <xdr:cNvSpPr>
          <a:spLocks noChangeAspect="1"/>
        </xdr:cNvSpPr>
      </xdr:nvSpPr>
      <xdr:spPr>
        <a:xfrm>
          <a:off x="9658351" y="17847134"/>
          <a:ext cx="281268" cy="285750"/>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23</xdr:col>
      <xdr:colOff>100853</xdr:colOff>
      <xdr:row>60</xdr:row>
      <xdr:rowOff>44823</xdr:rowOff>
    </xdr:from>
    <xdr:to>
      <xdr:col>24</xdr:col>
      <xdr:colOff>103361</xdr:colOff>
      <xdr:row>61</xdr:row>
      <xdr:rowOff>244288</xdr:rowOff>
    </xdr:to>
    <xdr:sp macro="" textlink="">
      <xdr:nvSpPr>
        <xdr:cNvPr id="5" name="Pentagone 16">
          <a:hlinkClick xmlns:r="http://purl.oclc.org/ooxml/officeDocument/relationships" r:id="rId3"/>
          <a:extLst>
            <a:ext uri="{FF2B5EF4-FFF2-40B4-BE49-F238E27FC236}">
              <a16:creationId xmlns:a16="http://schemas.microsoft.com/office/drawing/2014/main" id="{18536D0E-AFF6-4668-AE13-CE0C7AFA1D6F}"/>
            </a:ext>
          </a:extLst>
        </xdr:cNvPr>
        <xdr:cNvSpPr/>
      </xdr:nvSpPr>
      <xdr:spPr>
        <a:xfrm>
          <a:off x="16326971" y="13222941"/>
          <a:ext cx="898978" cy="457200"/>
        </a:xfrm>
        <a:prstGeom prst="roundRect">
          <a:avLst/>
        </a:prstGeom>
        <a:solidFill>
          <a:schemeClr val="bg1"/>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 2</a:t>
          </a:r>
        </a:p>
      </xdr:txBody>
    </xdr:sp>
    <xdr:clientData/>
  </xdr:twoCellAnchor>
</xdr:wsDr>
</file>

<file path=xl/drawings/drawing9.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10</xdr:col>
          <xdr:colOff>1422400</xdr:colOff>
          <xdr:row>52</xdr:row>
          <xdr:rowOff>0</xdr:rowOff>
        </xdr:from>
        <xdr:to>
          <xdr:col>11</xdr:col>
          <xdr:colOff>1219200</xdr:colOff>
          <xdr:row>56</xdr:row>
          <xdr:rowOff>0</xdr:rowOff>
        </xdr:to>
        <xdr:sp macro="" textlink="">
          <xdr:nvSpPr>
            <xdr:cNvPr id="16385" name="Comment 1" hidden="1">
              <a:extLst>
                <a:ext uri="{FF2B5EF4-FFF2-40B4-BE49-F238E27FC236}">
                  <a16:creationId xmlns:a16="http://schemas.microsoft.com/office/drawing/2014/main" id="{068CA469-2461-8B30-872A-3C6AD2B17870}"/>
                </a:ext>
              </a:extLst>
            </xdr:cNvPr>
            <xdr:cNvSpPr txBox="1">
              <a:spLocks noChangeArrowheads="1"/>
            </xdr:cNvSpPr>
          </xdr:nvSpPr>
          <xdr:spPr bwMode="auto">
            <a:xfrm>
              <a:off x="16433800" y="11633200"/>
              <a:ext cx="16764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checked</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much higher than EX-ACT v7.2</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711200</xdr:colOff>
          <xdr:row>52</xdr:row>
          <xdr:rowOff>0</xdr:rowOff>
        </xdr:from>
        <xdr:to>
          <xdr:col>21</xdr:col>
          <xdr:colOff>762000</xdr:colOff>
          <xdr:row>56</xdr:row>
          <xdr:rowOff>0</xdr:rowOff>
        </xdr:to>
        <xdr:sp macro="" textlink="">
          <xdr:nvSpPr>
            <xdr:cNvPr id="16426" name="Comment 42" hidden="1">
              <a:extLst>
                <a:ext uri="{FF2B5EF4-FFF2-40B4-BE49-F238E27FC236}">
                  <a16:creationId xmlns:a16="http://schemas.microsoft.com/office/drawing/2014/main" id="{4934A6E2-5329-4E71-EF04-37A6D5EE5FFB}"/>
                </a:ext>
              </a:extLst>
            </xdr:cNvPr>
            <xdr:cNvSpPr txBox="1">
              <a:spLocks noChangeArrowheads="1"/>
            </xdr:cNvSpPr>
          </xdr:nvSpPr>
          <xdr:spPr bwMode="auto">
            <a:xfrm>
              <a:off x="31661100" y="11633200"/>
              <a:ext cx="16129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checked</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much higher than EX-ACT v7.2</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0</xdr:colOff>
          <xdr:row>29</xdr:row>
          <xdr:rowOff>50800</xdr:rowOff>
        </xdr:from>
        <xdr:to>
          <xdr:col>14</xdr:col>
          <xdr:colOff>609600</xdr:colOff>
          <xdr:row>33</xdr:row>
          <xdr:rowOff>0</xdr:rowOff>
        </xdr:to>
        <xdr:sp macro="" textlink="">
          <xdr:nvSpPr>
            <xdr:cNvPr id="16447" name="Comment 63" hidden="1">
              <a:extLst>
                <a:ext uri="{FF2B5EF4-FFF2-40B4-BE49-F238E27FC236}">
                  <a16:creationId xmlns:a16="http://schemas.microsoft.com/office/drawing/2014/main" id="{5E30856B-1153-E7CF-9871-434203C1287A}"/>
                </a:ext>
              </a:extLst>
            </xdr:cNvPr>
            <xdr:cNvSpPr txBox="1">
              <a:spLocks noChangeArrowheads="1"/>
            </xdr:cNvSpPr>
          </xdr:nvSpPr>
          <xdr:spPr bwMode="auto">
            <a:xfrm>
              <a:off x="19405600" y="7251700"/>
              <a:ext cx="1727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CHECKED IF METHODOLOGICAL APPROACH IS CORRECT</a:t>
              </a:r>
            </a:p>
          </xdr:txBody>
        </xdr:sp>
        <xdr:clientData/>
      </xdr:twoCellAnchor>
    </mc:Fallback>
  </mc:AlternateContent>
</xdr:wsDr>
</file>

<file path=xl/drawings/drawing10.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xdr:col>
          <xdr:colOff>2235200</xdr:colOff>
          <xdr:row>6</xdr:row>
          <xdr:rowOff>0</xdr:rowOff>
        </xdr:from>
        <xdr:to>
          <xdr:col>3</xdr:col>
          <xdr:colOff>0</xdr:colOff>
          <xdr:row>9</xdr:row>
          <xdr:rowOff>0</xdr:rowOff>
        </xdr:to>
        <xdr:sp macro="" textlink="">
          <xdr:nvSpPr>
            <xdr:cNvPr id="34817" name="Comment 1" hidden="1">
              <a:extLst>
                <a:ext uri="{FF2B5EF4-FFF2-40B4-BE49-F238E27FC236}">
                  <a16:creationId xmlns:a16="http://schemas.microsoft.com/office/drawing/2014/main" id="{DD57344F-FEB1-1D82-3960-555C4383C9A4}"/>
                </a:ext>
              </a:extLst>
            </xdr:cNvPr>
            <xdr:cNvSpPr txBox="1">
              <a:spLocks noChangeArrowheads="1"/>
            </xdr:cNvSpPr>
          </xdr:nvSpPr>
          <xdr:spPr bwMode="auto">
            <a:xfrm>
              <a:off x="4483100" y="1689100"/>
              <a:ext cx="1498600" cy="5842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800" b="1" i="0" u="none" strike="noStrike" baseline="0%">
                  <a:solidFill>
                    <a:srgbClr val="000000"/>
                  </a:solidFill>
                  <a:latin typeface="Tahoma" pitchFamily="2" charset="0"/>
                  <a:ea typeface="Tahoma" pitchFamily="2" charset="0"/>
                  <a:cs typeface="Tahoma" pitchFamily="2" charset="0"/>
                </a:rPr>
                <a:t>Need to be informed just if Burning is set to "yes"</a:t>
              </a:r>
            </a:p>
            <a:p>
              <a:pPr algn="l" rtl="0">
                <a:defRPr sz="1000"/>
              </a:pPr>
              <a:r>
                <a:rPr lang="en-GB" sz="800" b="1" i="0" u="none" strike="noStrike" baseline="0%">
                  <a:solidFill>
                    <a:srgbClr val="000000"/>
                  </a:solidFill>
                  <a:latin typeface="Tahoma" pitchFamily="2" charset="0"/>
                  <a:ea typeface="Tahoma" pitchFamily="2" charset="0"/>
                  <a:cs typeface="Tahoma" pitchFamily="2" charset="0"/>
                </a:rPr>
                <a:t>Default value is 10 tonnes dry matter per ha</a:t>
              </a:r>
            </a:p>
            <a:p>
              <a:pPr algn="l" rtl="0">
                <a:defRPr sz="1000"/>
              </a:pPr>
              <a:endParaRPr lang="en-GB" sz="800" b="1"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2794000</xdr:colOff>
          <xdr:row>6</xdr:row>
          <xdr:rowOff>0</xdr:rowOff>
        </xdr:from>
        <xdr:to>
          <xdr:col>5</xdr:col>
          <xdr:colOff>965200</xdr:colOff>
          <xdr:row>11</xdr:row>
          <xdr:rowOff>0</xdr:rowOff>
        </xdr:to>
        <xdr:sp macro="" textlink="">
          <xdr:nvSpPr>
            <xdr:cNvPr id="34823" name="Comment 7" hidden="1">
              <a:extLst>
                <a:ext uri="{FF2B5EF4-FFF2-40B4-BE49-F238E27FC236}">
                  <a16:creationId xmlns:a16="http://schemas.microsoft.com/office/drawing/2014/main" id="{5DF10AF7-F02A-E508-5556-A592B224C930}"/>
                </a:ext>
              </a:extLst>
            </xdr:cNvPr>
            <xdr:cNvSpPr txBox="1">
              <a:spLocks noChangeArrowheads="1"/>
            </xdr:cNvSpPr>
          </xdr:nvSpPr>
          <xdr:spPr bwMode="auto">
            <a:xfrm>
              <a:off x="4876800" y="1689100"/>
              <a:ext cx="3390900" cy="965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Number of episodes of residue burning each year</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e.g. 1 indicates one episode of residue burning each year</a:t>
              </a:r>
            </a:p>
          </xdr:txBody>
        </xdr:sp>
        <xdr:clientData/>
      </xdr:twoCellAnchor>
    </mc:Fallback>
  </mc:AlternateContent>
</xdr:wsDr>
</file>

<file path=xl/drawings/drawing11.xml><?xml version="1.0" encoding="utf-8"?>
<xdr:wsDr xmlns:xdr="http://purl.oclc.org/ooxml/drawingml/spreadsheetDrawing" xmlns:a="http://purl.oclc.org/ooxml/drawingml/main">
  <xdr:twoCellAnchor>
    <xdr:from>
      <xdr:col>3</xdr:col>
      <xdr:colOff>267570</xdr:colOff>
      <xdr:row>551</xdr:row>
      <xdr:rowOff>149678</xdr:rowOff>
    </xdr:from>
    <xdr:to>
      <xdr:col>4</xdr:col>
      <xdr:colOff>81643</xdr:colOff>
      <xdr:row>554</xdr:row>
      <xdr:rowOff>47055</xdr:rowOff>
    </xdr:to>
    <xdr:sp macro="" textlink="">
      <xdr:nvSpPr>
        <xdr:cNvPr id="19" name="Rectangle 18">
          <a:extLst>
            <a:ext uri="{FF2B5EF4-FFF2-40B4-BE49-F238E27FC236}">
              <a16:creationId xmlns:a16="http://schemas.microsoft.com/office/drawing/2014/main" id="{00000000-0008-0000-0B00-000013000000}"/>
            </a:ext>
          </a:extLst>
        </xdr:cNvPr>
        <xdr:cNvSpPr/>
      </xdr:nvSpPr>
      <xdr:spPr>
        <a:xfrm>
          <a:off x="1437784" y="106217357"/>
          <a:ext cx="399180" cy="468877"/>
        </a:xfrm>
        <a:prstGeom prst="rect">
          <a:avLst/>
        </a:prstGeom>
        <a:solidFill>
          <a:schemeClr val="bg2">
            <a:lumMod val="5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13606</xdr:colOff>
      <xdr:row>551</xdr:row>
      <xdr:rowOff>153081</xdr:rowOff>
    </xdr:from>
    <xdr:to>
      <xdr:col>3</xdr:col>
      <xdr:colOff>231320</xdr:colOff>
      <xdr:row>554</xdr:row>
      <xdr:rowOff>40821</xdr:rowOff>
    </xdr:to>
    <xdr:sp macro="" textlink="">
      <xdr:nvSpPr>
        <xdr:cNvPr id="20" name="Pentagone 29">
          <a:hlinkClick xmlns:r="http://purl.oclc.org/ooxml/officeDocument/relationships" r:id="rId1"/>
          <a:extLst>
            <a:ext uri="{FF2B5EF4-FFF2-40B4-BE49-F238E27FC236}">
              <a16:creationId xmlns:a16="http://schemas.microsoft.com/office/drawing/2014/main" id="{00000000-0008-0000-0B00-000014000000}"/>
            </a:ext>
          </a:extLst>
        </xdr:cNvPr>
        <xdr:cNvSpPr/>
      </xdr:nvSpPr>
      <xdr:spPr>
        <a:xfrm flipH="1">
          <a:off x="598713" y="106220760"/>
          <a:ext cx="802821" cy="459240"/>
        </a:xfrm>
        <a:prstGeom prst="homePlate">
          <a:avLst/>
        </a:prstGeom>
        <a:solidFill>
          <a:srgbClr val="FFC000"/>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nchorCtr="1"/>
        <a:lstStyle/>
        <a:p>
          <a:pPr algn="l"/>
          <a:r>
            <a:rPr lang="fr-FR" sz="1600" b="1">
              <a:solidFill>
                <a:sysClr val="windowText" lastClr="000000"/>
              </a:solidFill>
              <a:latin typeface="Helvetica" panose="020B0604020202020204" pitchFamily="34" charset="0"/>
              <a:cs typeface="Helvetica" panose="020B0604020202020204" pitchFamily="34" charset="0"/>
            </a:rPr>
            <a:t>Back</a:t>
          </a:r>
        </a:p>
      </xdr:txBody>
    </xdr:sp>
    <xdr:clientData/>
  </xdr:twoCellAnchor>
  <xdr:twoCellAnchor>
    <xdr:from>
      <xdr:col>65</xdr:col>
      <xdr:colOff>963008</xdr:colOff>
      <xdr:row>4</xdr:row>
      <xdr:rowOff>70037</xdr:rowOff>
    </xdr:from>
    <xdr:to>
      <xdr:col>65</xdr:col>
      <xdr:colOff>1778715</xdr:colOff>
      <xdr:row>4</xdr:row>
      <xdr:rowOff>478290</xdr:rowOff>
    </xdr:to>
    <xdr:sp macro="" textlink="">
      <xdr:nvSpPr>
        <xdr:cNvPr id="11" name="Pentagone 29">
          <a:hlinkClick xmlns:r="http://purl.oclc.org/ooxml/officeDocument/relationships" r:id="rId2"/>
          <a:extLst>
            <a:ext uri="{FF2B5EF4-FFF2-40B4-BE49-F238E27FC236}">
              <a16:creationId xmlns:a16="http://schemas.microsoft.com/office/drawing/2014/main" id="{00000000-0008-0000-0B00-00000B000000}"/>
            </a:ext>
          </a:extLst>
        </xdr:cNvPr>
        <xdr:cNvSpPr/>
      </xdr:nvSpPr>
      <xdr:spPr>
        <a:xfrm flipH="1">
          <a:off x="44340979" y="2546537"/>
          <a:ext cx="815707" cy="408253"/>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editAs="absolute">
    <xdr:from>
      <xdr:col>31</xdr:col>
      <xdr:colOff>529264</xdr:colOff>
      <xdr:row>4</xdr:row>
      <xdr:rowOff>72790</xdr:rowOff>
    </xdr:from>
    <xdr:to>
      <xdr:col>32</xdr:col>
      <xdr:colOff>728094</xdr:colOff>
      <xdr:row>4</xdr:row>
      <xdr:rowOff>529990</xdr:rowOff>
    </xdr:to>
    <xdr:sp macro="" textlink="">
      <xdr:nvSpPr>
        <xdr:cNvPr id="12" name="Pentagone 16">
          <a:hlinkClick xmlns:r="http://purl.oclc.org/ooxml/officeDocument/relationships" r:id="rId3"/>
          <a:extLst>
            <a:ext uri="{FF2B5EF4-FFF2-40B4-BE49-F238E27FC236}">
              <a16:creationId xmlns:a16="http://schemas.microsoft.com/office/drawing/2014/main" id="{00000000-0008-0000-0B00-00000C000000}"/>
            </a:ext>
          </a:extLst>
        </xdr:cNvPr>
        <xdr:cNvSpPr/>
      </xdr:nvSpPr>
      <xdr:spPr>
        <a:xfrm>
          <a:off x="22069985" y="1857775"/>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 2</a:t>
          </a:r>
        </a:p>
      </xdr:txBody>
    </xdr:sp>
    <xdr:clientData/>
  </xdr:twoCellAnchor>
  <xdr:twoCellAnchor editAs="absolute">
    <xdr:from>
      <xdr:col>31</xdr:col>
      <xdr:colOff>497328</xdr:colOff>
      <xdr:row>47</xdr:row>
      <xdr:rowOff>73174</xdr:rowOff>
    </xdr:from>
    <xdr:to>
      <xdr:col>32</xdr:col>
      <xdr:colOff>720923</xdr:colOff>
      <xdr:row>47</xdr:row>
      <xdr:rowOff>530374</xdr:rowOff>
    </xdr:to>
    <xdr:sp macro="" textlink="">
      <xdr:nvSpPr>
        <xdr:cNvPr id="8" name="Pentagone 16">
          <a:hlinkClick xmlns:r="http://purl.oclc.org/ooxml/officeDocument/relationships" r:id="rId4"/>
          <a:extLst>
            <a:ext uri="{FF2B5EF4-FFF2-40B4-BE49-F238E27FC236}">
              <a16:creationId xmlns:a16="http://schemas.microsoft.com/office/drawing/2014/main" id="{00000000-0008-0000-0B00-000008000000}"/>
            </a:ext>
          </a:extLst>
        </xdr:cNvPr>
        <xdr:cNvSpPr/>
      </xdr:nvSpPr>
      <xdr:spPr>
        <a:xfrm>
          <a:off x="21840265" y="11116235"/>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Tier 2</a:t>
          </a:r>
        </a:p>
      </xdr:txBody>
    </xdr:sp>
    <xdr:clientData/>
  </xdr:twoCellAnchor>
  <xdr:twoCellAnchor editAs="absolute">
    <xdr:from>
      <xdr:col>60</xdr:col>
      <xdr:colOff>2592</xdr:colOff>
      <xdr:row>4</xdr:row>
      <xdr:rowOff>72390</xdr:rowOff>
    </xdr:from>
    <xdr:to>
      <xdr:col>61</xdr:col>
      <xdr:colOff>376830</xdr:colOff>
      <xdr:row>4</xdr:row>
      <xdr:rowOff>529590</xdr:rowOff>
    </xdr:to>
    <xdr:sp macro="" textlink="">
      <xdr:nvSpPr>
        <xdr:cNvPr id="21" name="Pentagone 16">
          <a:hlinkClick xmlns:r="http://purl.oclc.org/ooxml/officeDocument/relationships" r:id="rId5"/>
          <a:extLst>
            <a:ext uri="{FF2B5EF4-FFF2-40B4-BE49-F238E27FC236}">
              <a16:creationId xmlns:a16="http://schemas.microsoft.com/office/drawing/2014/main" id="{00000000-0008-0000-0B00-000015000000}"/>
            </a:ext>
          </a:extLst>
        </xdr:cNvPr>
        <xdr:cNvSpPr/>
      </xdr:nvSpPr>
      <xdr:spPr>
        <a:xfrm>
          <a:off x="43767375" y="1895475"/>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Back</a:t>
          </a:r>
        </a:p>
      </xdr:txBody>
    </xdr:sp>
    <xdr:clientData/>
  </xdr:twoCellAnchor>
  <xdr:twoCellAnchor editAs="absolute">
    <xdr:from>
      <xdr:col>74</xdr:col>
      <xdr:colOff>879948</xdr:colOff>
      <xdr:row>47</xdr:row>
      <xdr:rowOff>72390</xdr:rowOff>
    </xdr:from>
    <xdr:to>
      <xdr:col>75</xdr:col>
      <xdr:colOff>111435</xdr:colOff>
      <xdr:row>47</xdr:row>
      <xdr:rowOff>529590</xdr:rowOff>
    </xdr:to>
    <xdr:sp macro="" textlink="">
      <xdr:nvSpPr>
        <xdr:cNvPr id="22" name="Pentagone 16">
          <a:hlinkClick xmlns:r="http://purl.oclc.org/ooxml/officeDocument/relationships" r:id="rId6"/>
          <a:extLst>
            <a:ext uri="{FF2B5EF4-FFF2-40B4-BE49-F238E27FC236}">
              <a16:creationId xmlns:a16="http://schemas.microsoft.com/office/drawing/2014/main" id="{00000000-0008-0000-0B00-000016000000}"/>
            </a:ext>
          </a:extLst>
        </xdr:cNvPr>
        <xdr:cNvSpPr/>
      </xdr:nvSpPr>
      <xdr:spPr>
        <a:xfrm>
          <a:off x="53311425" y="10277475"/>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Back</a:t>
          </a:r>
        </a:p>
      </xdr:txBody>
    </xdr:sp>
    <xdr:clientData/>
  </xdr:twoCellAnchor>
  <xdr:twoCellAnchor editAs="absolute">
    <xdr:from>
      <xdr:col>10</xdr:col>
      <xdr:colOff>868466</xdr:colOff>
      <xdr:row>50</xdr:row>
      <xdr:rowOff>154911</xdr:rowOff>
    </xdr:from>
    <xdr:to>
      <xdr:col>10</xdr:col>
      <xdr:colOff>1203024</xdr:colOff>
      <xdr:row>51</xdr:row>
      <xdr:rowOff>194682</xdr:rowOff>
    </xdr:to>
    <xdr:sp macro="" textlink="">
      <xdr:nvSpPr>
        <xdr:cNvPr id="23" name="Rectangle 22">
          <a:hlinkClick xmlns:r="http://purl.oclc.org/ooxml/officeDocument/relationships" r:id="rId7"/>
          <a:extLst>
            <a:ext uri="{FF2B5EF4-FFF2-40B4-BE49-F238E27FC236}">
              <a16:creationId xmlns:a16="http://schemas.microsoft.com/office/drawing/2014/main" id="{00000000-0008-0000-0B00-000017000000}"/>
            </a:ext>
          </a:extLst>
        </xdr:cNvPr>
        <xdr:cNvSpPr>
          <a:spLocks noChangeAspect="1"/>
        </xdr:cNvSpPr>
      </xdr:nvSpPr>
      <xdr:spPr>
        <a:xfrm>
          <a:off x="8702779" y="11275349"/>
          <a:ext cx="334558" cy="254083"/>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78</xdr:col>
      <xdr:colOff>42714</xdr:colOff>
      <xdr:row>50</xdr:row>
      <xdr:rowOff>109725</xdr:rowOff>
    </xdr:from>
    <xdr:to>
      <xdr:col>79</xdr:col>
      <xdr:colOff>80662</xdr:colOff>
      <xdr:row>51</xdr:row>
      <xdr:rowOff>157116</xdr:rowOff>
    </xdr:to>
    <xdr:sp macro="" textlink="">
      <xdr:nvSpPr>
        <xdr:cNvPr id="24" name="Rectangle 23">
          <a:hlinkClick xmlns:r="http://purl.oclc.org/ooxml/officeDocument/relationships" r:id="rId8"/>
          <a:extLst>
            <a:ext uri="{FF2B5EF4-FFF2-40B4-BE49-F238E27FC236}">
              <a16:creationId xmlns:a16="http://schemas.microsoft.com/office/drawing/2014/main" id="{00000000-0008-0000-0B00-000018000000}"/>
            </a:ext>
          </a:extLst>
        </xdr:cNvPr>
        <xdr:cNvSpPr>
          <a:spLocks noChangeAspect="1"/>
        </xdr:cNvSpPr>
      </xdr:nvSpPr>
      <xdr:spPr>
        <a:xfrm>
          <a:off x="57256055" y="11059665"/>
          <a:ext cx="272263" cy="269324"/>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8</xdr:col>
      <xdr:colOff>898946</xdr:colOff>
      <xdr:row>50</xdr:row>
      <xdr:rowOff>154911</xdr:rowOff>
    </xdr:from>
    <xdr:to>
      <xdr:col>8</xdr:col>
      <xdr:colOff>1206834</xdr:colOff>
      <xdr:row>51</xdr:row>
      <xdr:rowOff>194682</xdr:rowOff>
    </xdr:to>
    <xdr:sp macro="" textlink="">
      <xdr:nvSpPr>
        <xdr:cNvPr id="25" name="Rectangle 24">
          <a:hlinkClick xmlns:r="http://purl.oclc.org/ooxml/officeDocument/relationships" r:id="rId9"/>
          <a:extLst>
            <a:ext uri="{FF2B5EF4-FFF2-40B4-BE49-F238E27FC236}">
              <a16:creationId xmlns:a16="http://schemas.microsoft.com/office/drawing/2014/main" id="{00000000-0008-0000-0B00-000019000000}"/>
            </a:ext>
          </a:extLst>
        </xdr:cNvPr>
        <xdr:cNvSpPr>
          <a:spLocks noChangeAspect="1"/>
        </xdr:cNvSpPr>
      </xdr:nvSpPr>
      <xdr:spPr>
        <a:xfrm>
          <a:off x="6661571" y="11275349"/>
          <a:ext cx="307888" cy="254083"/>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9</xdr:col>
      <xdr:colOff>1512</xdr:colOff>
      <xdr:row>7</xdr:row>
      <xdr:rowOff>110602</xdr:rowOff>
    </xdr:from>
    <xdr:to>
      <xdr:col>10</xdr:col>
      <xdr:colOff>154591</xdr:colOff>
      <xdr:row>8</xdr:row>
      <xdr:rowOff>149252</xdr:rowOff>
    </xdr:to>
    <xdr:sp macro="" textlink="">
      <xdr:nvSpPr>
        <xdr:cNvPr id="26" name="Rectangle 25">
          <a:hlinkClick xmlns:r="http://purl.oclc.org/ooxml/officeDocument/relationships" r:id="rId10"/>
          <a:extLst>
            <a:ext uri="{FF2B5EF4-FFF2-40B4-BE49-F238E27FC236}">
              <a16:creationId xmlns:a16="http://schemas.microsoft.com/office/drawing/2014/main" id="{00000000-0008-0000-0B00-00001A000000}"/>
            </a:ext>
          </a:extLst>
        </xdr:cNvPr>
        <xdr:cNvSpPr>
          <a:spLocks noChangeAspect="1"/>
        </xdr:cNvSpPr>
      </xdr:nvSpPr>
      <xdr:spPr>
        <a:xfrm>
          <a:off x="7897906" y="2770094"/>
          <a:ext cx="333885" cy="24595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9</xdr:col>
      <xdr:colOff>4762</xdr:colOff>
      <xdr:row>20</xdr:row>
      <xdr:rowOff>111387</xdr:rowOff>
    </xdr:from>
    <xdr:to>
      <xdr:col>10</xdr:col>
      <xdr:colOff>186416</xdr:colOff>
      <xdr:row>21</xdr:row>
      <xdr:rowOff>186232</xdr:rowOff>
    </xdr:to>
    <xdr:sp macro="" textlink="">
      <xdr:nvSpPr>
        <xdr:cNvPr id="27" name="Rectangle 26">
          <a:hlinkClick xmlns:r="http://purl.oclc.org/ooxml/officeDocument/relationships" r:id="rId10"/>
          <a:extLst>
            <a:ext uri="{FF2B5EF4-FFF2-40B4-BE49-F238E27FC236}">
              <a16:creationId xmlns:a16="http://schemas.microsoft.com/office/drawing/2014/main" id="{00000000-0008-0000-0B00-00001B000000}"/>
            </a:ext>
          </a:extLst>
        </xdr:cNvPr>
        <xdr:cNvSpPr>
          <a:spLocks noChangeAspect="1"/>
        </xdr:cNvSpPr>
      </xdr:nvSpPr>
      <xdr:spPr>
        <a:xfrm>
          <a:off x="7906871" y="5172636"/>
          <a:ext cx="333885" cy="24595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xdr:from>
      <xdr:col>0</xdr:col>
      <xdr:colOff>154781</xdr:colOff>
      <xdr:row>0</xdr:row>
      <xdr:rowOff>202407</xdr:rowOff>
    </xdr:from>
    <xdr:to>
      <xdr:col>25</xdr:col>
      <xdr:colOff>153089</xdr:colOff>
      <xdr:row>0</xdr:row>
      <xdr:rowOff>1128713</xdr:rowOff>
    </xdr:to>
    <xdr:grpSp>
      <xdr:nvGrpSpPr>
        <xdr:cNvPr id="28" name="Group 27">
          <a:hlinkClick xmlns:r="http://purl.oclc.org/ooxml/officeDocument/relationships" r:id="rId11"/>
          <a:extLst>
            <a:ext uri="{FF2B5EF4-FFF2-40B4-BE49-F238E27FC236}">
              <a16:creationId xmlns:a16="http://schemas.microsoft.com/office/drawing/2014/main" id="{00000000-0008-0000-0B00-00001C000000}"/>
            </a:ext>
          </a:extLst>
        </xdr:cNvPr>
        <xdr:cNvGrpSpPr/>
      </xdr:nvGrpSpPr>
      <xdr:grpSpPr>
        <a:xfrm>
          <a:off x="154781" y="202407"/>
          <a:ext cx="19645208" cy="926306"/>
          <a:chOff x="148166" y="116417"/>
          <a:chExt cx="17238558" cy="926306"/>
        </a:xfrm>
      </xdr:grpSpPr>
      <xdr:grpSp>
        <xdr:nvGrpSpPr>
          <xdr:cNvPr id="29" name="Group 28">
            <a:extLst>
              <a:ext uri="{FF2B5EF4-FFF2-40B4-BE49-F238E27FC236}">
                <a16:creationId xmlns:a16="http://schemas.microsoft.com/office/drawing/2014/main" id="{00000000-0008-0000-0B00-00001D000000}"/>
              </a:ext>
            </a:extLst>
          </xdr:cNvPr>
          <xdr:cNvGrpSpPr/>
        </xdr:nvGrpSpPr>
        <xdr:grpSpPr>
          <a:xfrm>
            <a:off x="148166" y="116417"/>
            <a:ext cx="17238558" cy="926306"/>
            <a:chOff x="148166" y="116417"/>
            <a:chExt cx="17215408" cy="926306"/>
          </a:xfrm>
        </xdr:grpSpPr>
        <xdr:sp macro="" textlink="">
          <xdr:nvSpPr>
            <xdr:cNvPr id="31" name="Rounded Rectangle 82">
              <a:hlinkClick xmlns:r="http://purl.oclc.org/ooxml/officeDocument/relationships" r:id="rId12"/>
              <a:extLst>
                <a:ext uri="{FF2B5EF4-FFF2-40B4-BE49-F238E27FC236}">
                  <a16:creationId xmlns:a16="http://schemas.microsoft.com/office/drawing/2014/main" id="{00000000-0008-0000-0B00-00001F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32" name="Rounded Rectangle 83">
              <a:hlinkClick xmlns:r="http://purl.oclc.org/ooxml/officeDocument/relationships" r:id="rId13"/>
              <a:extLst>
                <a:ext uri="{FF2B5EF4-FFF2-40B4-BE49-F238E27FC236}">
                  <a16:creationId xmlns:a16="http://schemas.microsoft.com/office/drawing/2014/main" id="{00000000-0008-0000-0B00-000020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33" name="Rounded Rectangle 84">
              <a:hlinkClick xmlns:r="http://purl.oclc.org/ooxml/officeDocument/relationships" r:id="rId14"/>
              <a:extLst>
                <a:ext uri="{FF2B5EF4-FFF2-40B4-BE49-F238E27FC236}">
                  <a16:creationId xmlns:a16="http://schemas.microsoft.com/office/drawing/2014/main" id="{00000000-0008-0000-0B00-000021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lt1"/>
                  </a:solidFill>
                  <a:latin typeface="Roboto Light" panose="02000000000000000000" pitchFamily="2" charset="0"/>
                  <a:ea typeface="Roboto Light" panose="02000000000000000000" pitchFamily="2" charset="0"/>
                  <a:cs typeface="+mn-cs"/>
                </a:rPr>
                <a:t>      changes</a:t>
              </a:r>
            </a:p>
          </xdr:txBody>
        </xdr:sp>
        <xdr:sp macro="" textlink="">
          <xdr:nvSpPr>
            <xdr:cNvPr id="34" name="Rounded Rectangle 85">
              <a:hlinkClick xmlns:r="http://purl.oclc.org/ooxml/officeDocument/relationships" r:id="rId15"/>
              <a:extLst>
                <a:ext uri="{FF2B5EF4-FFF2-40B4-BE49-F238E27FC236}">
                  <a16:creationId xmlns:a16="http://schemas.microsoft.com/office/drawing/2014/main" id="{00000000-0008-0000-0B00-000022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35" name="Rounded Rectangle 86">
              <a:hlinkClick xmlns:r="http://purl.oclc.org/ooxml/officeDocument/relationships" r:id="rId16"/>
              <a:extLst>
                <a:ext uri="{FF2B5EF4-FFF2-40B4-BE49-F238E27FC236}">
                  <a16:creationId xmlns:a16="http://schemas.microsoft.com/office/drawing/2014/main" id="{00000000-0008-0000-0B00-000023000000}"/>
                </a:ext>
              </a:extLst>
            </xdr:cNvPr>
            <xdr:cNvSpPr/>
          </xdr:nvSpPr>
          <xdr:spPr>
            <a:xfrm>
              <a:off x="6493934" y="116417"/>
              <a:ext cx="1463040"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ysClr val="windowText" lastClr="000000"/>
                  </a:solidFill>
                  <a:latin typeface="Roboto Light" panose="02000000000000000000" pitchFamily="2" charset="0"/>
                  <a:ea typeface="Roboto Light" panose="02000000000000000000" pitchFamily="2" charset="0"/>
                </a:rPr>
                <a:t>Grassland</a:t>
              </a:r>
              <a:r>
                <a:rPr lang="en-US" sz="1200" b="1" baseline="0%">
                  <a:solidFill>
                    <a:sysClr val="windowText" lastClr="000000"/>
                  </a:solidFill>
                  <a:latin typeface="Roboto Light" panose="02000000000000000000" pitchFamily="2" charset="0"/>
                  <a:ea typeface="Roboto Light" panose="02000000000000000000" pitchFamily="2" charset="0"/>
                </a:rPr>
                <a:t> and Livestock</a:t>
              </a:r>
              <a:endParaRPr lang="en-US" sz="1200" b="1">
                <a:solidFill>
                  <a:sysClr val="windowText" lastClr="000000"/>
                </a:solidFill>
                <a:latin typeface="Roboto Light" panose="02000000000000000000" pitchFamily="2" charset="0"/>
                <a:ea typeface="Roboto Light" panose="02000000000000000000" pitchFamily="2" charset="0"/>
              </a:endParaRPr>
            </a:p>
          </xdr:txBody>
        </xdr:sp>
        <xdr:sp macro="" textlink="">
          <xdr:nvSpPr>
            <xdr:cNvPr id="36" name="Rounded Rectangle 87">
              <a:hlinkClick xmlns:r="http://purl.oclc.org/ooxml/officeDocument/relationships" r:id="rId17"/>
              <a:extLst>
                <a:ext uri="{FF2B5EF4-FFF2-40B4-BE49-F238E27FC236}">
                  <a16:creationId xmlns:a16="http://schemas.microsoft.com/office/drawing/2014/main" id="{00000000-0008-0000-0B00-000024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37" name="Rounded Rectangle 88">
              <a:hlinkClick xmlns:r="http://purl.oclc.org/ooxml/officeDocument/relationships" r:id="rId18"/>
              <a:extLst>
                <a:ext uri="{FF2B5EF4-FFF2-40B4-BE49-F238E27FC236}">
                  <a16:creationId xmlns:a16="http://schemas.microsoft.com/office/drawing/2014/main" id="{00000000-0008-0000-0B00-000025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38" name="Rounded Rectangle 89">
              <a:hlinkClick xmlns:r="http://purl.oclc.org/ooxml/officeDocument/relationships" r:id="rId19"/>
              <a:extLst>
                <a:ext uri="{FF2B5EF4-FFF2-40B4-BE49-F238E27FC236}">
                  <a16:creationId xmlns:a16="http://schemas.microsoft.com/office/drawing/2014/main" id="{00000000-0008-0000-0B00-000026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39" name="Rounded Rectangle 90">
              <a:hlinkClick xmlns:r="http://purl.oclc.org/ooxml/officeDocument/relationships" r:id="rId11"/>
              <a:extLst>
                <a:ext uri="{FF2B5EF4-FFF2-40B4-BE49-F238E27FC236}">
                  <a16:creationId xmlns:a16="http://schemas.microsoft.com/office/drawing/2014/main" id="{00000000-0008-0000-0B00-000027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40" name="Rounded Rectangle 91">
              <a:hlinkClick xmlns:r="http://purl.oclc.org/ooxml/officeDocument/relationships" r:id="rId20"/>
              <a:extLst>
                <a:ext uri="{FF2B5EF4-FFF2-40B4-BE49-F238E27FC236}">
                  <a16:creationId xmlns:a16="http://schemas.microsoft.com/office/drawing/2014/main" id="{00000000-0008-0000-0B00-000028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30" name="Rounded Rectangle 89">
            <a:hlinkClick xmlns:r="http://purl.oclc.org/ooxml/officeDocument/relationships" r:id="rId21"/>
            <a:extLst>
              <a:ext uri="{FF2B5EF4-FFF2-40B4-BE49-F238E27FC236}">
                <a16:creationId xmlns:a16="http://schemas.microsoft.com/office/drawing/2014/main" id="{00000000-0008-0000-0B00-00001E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wsDr>
</file>

<file path=xl/drawings/drawing12.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9</xdr:col>
          <xdr:colOff>660400</xdr:colOff>
          <xdr:row>3</xdr:row>
          <xdr:rowOff>50800</xdr:rowOff>
        </xdr:from>
        <xdr:to>
          <xdr:col>11</xdr:col>
          <xdr:colOff>406400</xdr:colOff>
          <xdr:row>7</xdr:row>
          <xdr:rowOff>0</xdr:rowOff>
        </xdr:to>
        <xdr:sp macro="" textlink="">
          <xdr:nvSpPr>
            <xdr:cNvPr id="43009" name="Comment 1" hidden="1">
              <a:extLst>
                <a:ext uri="{FF2B5EF4-FFF2-40B4-BE49-F238E27FC236}">
                  <a16:creationId xmlns:a16="http://schemas.microsoft.com/office/drawing/2014/main" id="{30671C71-9309-7726-E458-E0E2C994285A}"/>
                </a:ext>
              </a:extLst>
            </xdr:cNvPr>
            <xdr:cNvSpPr txBox="1">
              <a:spLocks noChangeArrowheads="1"/>
            </xdr:cNvSpPr>
          </xdr:nvSpPr>
          <xdr:spPr bwMode="auto">
            <a:xfrm>
              <a:off x="16357600" y="1460500"/>
              <a:ext cx="1422400" cy="774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*Soil effect limited to 20 years</a:t>
              </a:r>
            </a:p>
          </xdr:txBody>
        </xdr:sp>
        <xdr:clientData/>
      </xdr:twoCellAnchor>
    </mc:Fallback>
  </mc:AlternateContent>
</xdr:wsDr>
</file>

<file path=xl/drawings/drawing13.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3657600</xdr:colOff>
          <xdr:row>55</xdr:row>
          <xdr:rowOff>101600</xdr:rowOff>
        </xdr:from>
        <xdr:to>
          <xdr:col>7</xdr:col>
          <xdr:colOff>711200</xdr:colOff>
          <xdr:row>73</xdr:row>
          <xdr:rowOff>0</xdr:rowOff>
        </xdr:to>
        <xdr:sp macro="" textlink="">
          <xdr:nvSpPr>
            <xdr:cNvPr id="119812" name="Comment 4" hidden="1">
              <a:extLst>
                <a:ext uri="{FF2B5EF4-FFF2-40B4-BE49-F238E27FC236}">
                  <a16:creationId xmlns:a16="http://schemas.microsoft.com/office/drawing/2014/main" id="{7BD248DB-CBAA-FA9C-3EB5-0815CE882C94}"/>
                </a:ext>
              </a:extLst>
            </xdr:cNvPr>
            <xdr:cNvSpPr txBox="1">
              <a:spLocks noChangeArrowheads="1"/>
            </xdr:cNvSpPr>
          </xdr:nvSpPr>
          <xdr:spPr bwMode="auto">
            <a:xfrm>
              <a:off x="9093200" y="11366500"/>
              <a:ext cx="1358900" cy="31496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Default values for all countries other than North America, Europe and Oceania are based on LP.</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Oceania, America and Europe (including Russia) HP is used for default</a:t>
              </a: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355600</xdr:colOff>
          <xdr:row>83</xdr:row>
          <xdr:rowOff>0</xdr:rowOff>
        </xdr:from>
        <xdr:to>
          <xdr:col>27</xdr:col>
          <xdr:colOff>965200</xdr:colOff>
          <xdr:row>107</xdr:row>
          <xdr:rowOff>101600</xdr:rowOff>
        </xdr:to>
        <xdr:sp macro="" textlink="">
          <xdr:nvSpPr>
            <xdr:cNvPr id="119813" name="Comment 5" hidden="1">
              <a:extLst>
                <a:ext uri="{FF2B5EF4-FFF2-40B4-BE49-F238E27FC236}">
                  <a16:creationId xmlns:a16="http://schemas.microsoft.com/office/drawing/2014/main" id="{5ABC2646-14A2-3B65-E70A-457AE23252B2}"/>
                </a:ext>
              </a:extLst>
            </xdr:cNvPr>
            <xdr:cNvSpPr txBox="1">
              <a:spLocks noChangeArrowheads="1"/>
            </xdr:cNvSpPr>
          </xdr:nvSpPr>
          <xdr:spPr bwMode="auto">
            <a:xfrm>
              <a:off x="29387800" y="16687800"/>
              <a:ext cx="1638300" cy="44196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Equation 10.25</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3657600</xdr:colOff>
          <xdr:row>83</xdr:row>
          <xdr:rowOff>101600</xdr:rowOff>
        </xdr:from>
        <xdr:to>
          <xdr:col>7</xdr:col>
          <xdr:colOff>711200</xdr:colOff>
          <xdr:row>111</xdr:row>
          <xdr:rowOff>50800</xdr:rowOff>
        </xdr:to>
        <xdr:sp macro="" textlink="">
          <xdr:nvSpPr>
            <xdr:cNvPr id="119814" name="Comment 6" hidden="1">
              <a:extLst>
                <a:ext uri="{FF2B5EF4-FFF2-40B4-BE49-F238E27FC236}">
                  <a16:creationId xmlns:a16="http://schemas.microsoft.com/office/drawing/2014/main" id="{9D464FD8-E2DA-F7DC-5A90-9AC18B595B77}"/>
                </a:ext>
              </a:extLst>
            </xdr:cNvPr>
            <xdr:cNvSpPr txBox="1">
              <a:spLocks noChangeArrowheads="1"/>
            </xdr:cNvSpPr>
          </xdr:nvSpPr>
          <xdr:spPr bwMode="auto">
            <a:xfrm>
              <a:off x="9093200" y="16789400"/>
              <a:ext cx="1358900" cy="4978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from table 10.21</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254000</xdr:colOff>
          <xdr:row>58</xdr:row>
          <xdr:rowOff>0</xdr:rowOff>
        </xdr:from>
        <xdr:to>
          <xdr:col>16</xdr:col>
          <xdr:colOff>101600</xdr:colOff>
          <xdr:row>61</xdr:row>
          <xdr:rowOff>0</xdr:rowOff>
        </xdr:to>
        <xdr:sp macro="" textlink="">
          <xdr:nvSpPr>
            <xdr:cNvPr id="119815" name="Comment 7" hidden="1">
              <a:extLst>
                <a:ext uri="{FF2B5EF4-FFF2-40B4-BE49-F238E27FC236}">
                  <a16:creationId xmlns:a16="http://schemas.microsoft.com/office/drawing/2014/main" id="{213D7B0A-6D32-BB7C-49A9-FBBE79E20CE4}"/>
                </a:ext>
              </a:extLst>
            </xdr:cNvPr>
            <xdr:cNvSpPr txBox="1">
              <a:spLocks noChangeArrowheads="1"/>
            </xdr:cNvSpPr>
          </xdr:nvSpPr>
          <xdr:spPr bwMode="auto">
            <a:xfrm>
              <a:off x="17640300" y="11798300"/>
              <a:ext cx="1524000" cy="584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EF according to regional MMS</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609600</xdr:colOff>
          <xdr:row>113</xdr:row>
          <xdr:rowOff>0</xdr:rowOff>
        </xdr:from>
        <xdr:to>
          <xdr:col>21</xdr:col>
          <xdr:colOff>152400</xdr:colOff>
          <xdr:row>117</xdr:row>
          <xdr:rowOff>0</xdr:rowOff>
        </xdr:to>
        <xdr:sp macro="" textlink="">
          <xdr:nvSpPr>
            <xdr:cNvPr id="119816" name="Comment 8" hidden="1">
              <a:extLst>
                <a:ext uri="{FF2B5EF4-FFF2-40B4-BE49-F238E27FC236}">
                  <a16:creationId xmlns:a16="http://schemas.microsoft.com/office/drawing/2014/main" id="{41CAC4E6-CD77-7D01-F586-3D4109687C6A}"/>
                </a:ext>
              </a:extLst>
            </xdr:cNvPr>
            <xdr:cNvSpPr txBox="1">
              <a:spLocks noChangeArrowheads="1"/>
            </xdr:cNvSpPr>
          </xdr:nvSpPr>
          <xdr:spPr bwMode="auto">
            <a:xfrm>
              <a:off x="22618700" y="22072600"/>
              <a:ext cx="1320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Equation 10.28</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914400</xdr:colOff>
          <xdr:row>139</xdr:row>
          <xdr:rowOff>0</xdr:rowOff>
        </xdr:from>
        <xdr:to>
          <xdr:col>21</xdr:col>
          <xdr:colOff>609600</xdr:colOff>
          <xdr:row>143</xdr:row>
          <xdr:rowOff>0</xdr:rowOff>
        </xdr:to>
        <xdr:sp macro="" textlink="">
          <xdr:nvSpPr>
            <xdr:cNvPr id="119822" name="Comment 14" hidden="1">
              <a:extLst>
                <a:ext uri="{FF2B5EF4-FFF2-40B4-BE49-F238E27FC236}">
                  <a16:creationId xmlns:a16="http://schemas.microsoft.com/office/drawing/2014/main" id="{C3EB3787-D50B-925F-1917-B828CB0F59FC}"/>
                </a:ext>
              </a:extLst>
            </xdr:cNvPr>
            <xdr:cNvSpPr txBox="1">
              <a:spLocks noChangeArrowheads="1"/>
            </xdr:cNvSpPr>
          </xdr:nvSpPr>
          <xdr:spPr bwMode="auto">
            <a:xfrm>
              <a:off x="22898100" y="26746200"/>
              <a:ext cx="1498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Equation 10.29</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xdr:wsDr>
</file>

<file path=xl/drawings/drawing14.xml><?xml version="1.0" encoding="utf-8"?>
<xdr:wsDr xmlns:xdr="http://purl.oclc.org/ooxml/drawingml/spreadsheetDrawing" xmlns:a="http://purl.oclc.org/ooxml/drawingml/main">
  <xdr:twoCellAnchor editAs="absolute">
    <xdr:from>
      <xdr:col>30</xdr:col>
      <xdr:colOff>321235</xdr:colOff>
      <xdr:row>5</xdr:row>
      <xdr:rowOff>63641</xdr:rowOff>
    </xdr:from>
    <xdr:to>
      <xdr:col>31</xdr:col>
      <xdr:colOff>765921</xdr:colOff>
      <xdr:row>5</xdr:row>
      <xdr:rowOff>520841</xdr:rowOff>
    </xdr:to>
    <xdr:sp macro="" textlink="">
      <xdr:nvSpPr>
        <xdr:cNvPr id="6" name="Pentagone 16">
          <a:hlinkClick xmlns:r="http://purl.oclc.org/ooxml/officeDocument/relationships" r:id="rId1"/>
          <a:extLst>
            <a:ext uri="{FF2B5EF4-FFF2-40B4-BE49-F238E27FC236}">
              <a16:creationId xmlns:a16="http://schemas.microsoft.com/office/drawing/2014/main" id="{00000000-0008-0000-0E00-000006000000}"/>
            </a:ext>
          </a:extLst>
        </xdr:cNvPr>
        <xdr:cNvSpPr/>
      </xdr:nvSpPr>
      <xdr:spPr>
        <a:xfrm>
          <a:off x="17370985" y="2242485"/>
          <a:ext cx="1004280" cy="457200"/>
        </a:xfrm>
        <a:prstGeom prst="roundRect">
          <a:avLst/>
        </a:prstGeom>
        <a:solidFill>
          <a:schemeClr val="bg1"/>
        </a:solidFill>
        <a:ln>
          <a:solidFill>
            <a:schemeClr val="bg1"/>
          </a:solid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2000" b="0">
              <a:solidFill>
                <a:sysClr val="windowText" lastClr="000000"/>
              </a:solidFill>
              <a:latin typeface="Century Gothic" panose="020B0502020202020204" pitchFamily="34" charset="0"/>
              <a:cs typeface="Helvetica" panose="020B0604020202020204" pitchFamily="34" charset="0"/>
            </a:rPr>
            <a:t>Tier 2</a:t>
          </a:r>
        </a:p>
      </xdr:txBody>
    </xdr:sp>
    <xdr:clientData/>
  </xdr:twoCellAnchor>
  <xdr:twoCellAnchor>
    <xdr:from>
      <xdr:col>54</xdr:col>
      <xdr:colOff>414060</xdr:colOff>
      <xdr:row>5</xdr:row>
      <xdr:rowOff>50986</xdr:rowOff>
    </xdr:from>
    <xdr:to>
      <xdr:col>56</xdr:col>
      <xdr:colOff>118225</xdr:colOff>
      <xdr:row>5</xdr:row>
      <xdr:rowOff>508186</xdr:rowOff>
    </xdr:to>
    <xdr:sp macro="" textlink="">
      <xdr:nvSpPr>
        <xdr:cNvPr id="7" name="Pentagone 29">
          <a:hlinkClick xmlns:r="http://purl.oclc.org/ooxml/officeDocument/relationships" r:id="rId2"/>
          <a:extLst>
            <a:ext uri="{FF2B5EF4-FFF2-40B4-BE49-F238E27FC236}">
              <a16:creationId xmlns:a16="http://schemas.microsoft.com/office/drawing/2014/main" id="{00000000-0008-0000-0E00-000007000000}"/>
            </a:ext>
          </a:extLst>
        </xdr:cNvPr>
        <xdr:cNvSpPr>
          <a:spLocks/>
        </xdr:cNvSpPr>
      </xdr:nvSpPr>
      <xdr:spPr>
        <a:xfrm flipH="1">
          <a:off x="32059472" y="2224927"/>
          <a:ext cx="914400"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2000" b="0">
              <a:solidFill>
                <a:sysClr val="windowText" lastClr="000000"/>
              </a:solidFill>
              <a:latin typeface="Century Gothic" panose="020B0502020202020204" pitchFamily="34" charset="0"/>
              <a:ea typeface="+mn-ea"/>
              <a:cs typeface="+mn-cs"/>
            </a:rPr>
            <a:t>Back</a:t>
          </a:r>
        </a:p>
      </xdr:txBody>
    </xdr:sp>
    <xdr:clientData/>
  </xdr:twoCellAnchor>
  <xdr:twoCellAnchor>
    <xdr:from>
      <xdr:col>1</xdr:col>
      <xdr:colOff>78442</xdr:colOff>
      <xdr:row>0</xdr:row>
      <xdr:rowOff>58952</xdr:rowOff>
    </xdr:from>
    <xdr:to>
      <xdr:col>32</xdr:col>
      <xdr:colOff>191962</xdr:colOff>
      <xdr:row>0</xdr:row>
      <xdr:rowOff>1253499</xdr:rowOff>
    </xdr:to>
    <xdr:sp macro="" textlink="">
      <xdr:nvSpPr>
        <xdr:cNvPr id="3" name="Rectangle 2">
          <a:extLst>
            <a:ext uri="{FF2B5EF4-FFF2-40B4-BE49-F238E27FC236}">
              <a16:creationId xmlns:a16="http://schemas.microsoft.com/office/drawing/2014/main" id="{00000000-0008-0000-0E00-000003000000}"/>
            </a:ext>
          </a:extLst>
        </xdr:cNvPr>
        <xdr:cNvSpPr/>
      </xdr:nvSpPr>
      <xdr:spPr>
        <a:xfrm>
          <a:off x="582707" y="58952"/>
          <a:ext cx="15936226" cy="1194547"/>
        </a:xfrm>
        <a:prstGeom prst="rect">
          <a:avLst/>
        </a:prstGeom>
        <a:noFill/>
      </xdr:spPr>
    </xdr:sp>
    <xdr:clientData/>
  </xdr:twoCellAnchor>
  <xdr:twoCellAnchor>
    <xdr:from>
      <xdr:col>22</xdr:col>
      <xdr:colOff>513495</xdr:colOff>
      <xdr:row>0</xdr:row>
      <xdr:rowOff>194135</xdr:rowOff>
    </xdr:from>
    <xdr:to>
      <xdr:col>23</xdr:col>
      <xdr:colOff>438647</xdr:colOff>
      <xdr:row>0</xdr:row>
      <xdr:rowOff>795809</xdr:rowOff>
    </xdr:to>
    <xdr:sp macro="" textlink="">
      <xdr:nvSpPr>
        <xdr:cNvPr id="10" name="Oval 9">
          <a:extLst>
            <a:ext uri="{FF2B5EF4-FFF2-40B4-BE49-F238E27FC236}">
              <a16:creationId xmlns:a16="http://schemas.microsoft.com/office/drawing/2014/main" id="{00000000-0008-0000-0E00-00000A000000}"/>
            </a:ext>
          </a:extLst>
        </xdr:cNvPr>
        <xdr:cNvSpPr/>
      </xdr:nvSpPr>
      <xdr:spPr>
        <a:xfrm>
          <a:off x="11670169" y="194135"/>
          <a:ext cx="604326" cy="601674"/>
        </a:xfrm>
        <a:prstGeom prst="ellipse">
          <a:avLst/>
        </a:prstGeom>
        <a:no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0</xdr:row>
      <xdr:rowOff>190500</xdr:rowOff>
    </xdr:from>
    <xdr:to>
      <xdr:col>31</xdr:col>
      <xdr:colOff>117370</xdr:colOff>
      <xdr:row>0</xdr:row>
      <xdr:rowOff>1116806</xdr:rowOff>
    </xdr:to>
    <xdr:grpSp>
      <xdr:nvGrpSpPr>
        <xdr:cNvPr id="18" name="Group 17">
          <a:hlinkClick xmlns:r="http://purl.oclc.org/ooxml/officeDocument/relationships" r:id="rId3"/>
          <a:extLst>
            <a:ext uri="{FF2B5EF4-FFF2-40B4-BE49-F238E27FC236}">
              <a16:creationId xmlns:a16="http://schemas.microsoft.com/office/drawing/2014/main" id="{00000000-0008-0000-0E00-000012000000}"/>
            </a:ext>
          </a:extLst>
        </xdr:cNvPr>
        <xdr:cNvGrpSpPr/>
      </xdr:nvGrpSpPr>
      <xdr:grpSpPr>
        <a:xfrm>
          <a:off x="142875" y="190500"/>
          <a:ext cx="20119870" cy="926306"/>
          <a:chOff x="148166" y="116417"/>
          <a:chExt cx="17238558" cy="926306"/>
        </a:xfrm>
      </xdr:grpSpPr>
      <xdr:grpSp>
        <xdr:nvGrpSpPr>
          <xdr:cNvPr id="19" name="Group 18">
            <a:extLst>
              <a:ext uri="{FF2B5EF4-FFF2-40B4-BE49-F238E27FC236}">
                <a16:creationId xmlns:a16="http://schemas.microsoft.com/office/drawing/2014/main" id="{00000000-0008-0000-0E00-000013000000}"/>
              </a:ext>
            </a:extLst>
          </xdr:cNvPr>
          <xdr:cNvGrpSpPr/>
        </xdr:nvGrpSpPr>
        <xdr:grpSpPr>
          <a:xfrm>
            <a:off x="148166" y="116417"/>
            <a:ext cx="17238558" cy="926306"/>
            <a:chOff x="148166" y="116417"/>
            <a:chExt cx="17215408" cy="926306"/>
          </a:xfrm>
        </xdr:grpSpPr>
        <xdr:sp macro="" textlink="">
          <xdr:nvSpPr>
            <xdr:cNvPr id="21" name="Rounded Rectangle 82">
              <a:hlinkClick xmlns:r="http://purl.oclc.org/ooxml/officeDocument/relationships" r:id="rId4"/>
              <a:extLst>
                <a:ext uri="{FF2B5EF4-FFF2-40B4-BE49-F238E27FC236}">
                  <a16:creationId xmlns:a16="http://schemas.microsoft.com/office/drawing/2014/main" id="{00000000-0008-0000-0E00-000015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22" name="Rounded Rectangle 83">
              <a:hlinkClick xmlns:r="http://purl.oclc.org/ooxml/officeDocument/relationships" r:id="rId5"/>
              <a:extLst>
                <a:ext uri="{FF2B5EF4-FFF2-40B4-BE49-F238E27FC236}">
                  <a16:creationId xmlns:a16="http://schemas.microsoft.com/office/drawing/2014/main" id="{00000000-0008-0000-0E00-000016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23" name="Rounded Rectangle 84">
              <a:hlinkClick xmlns:r="http://purl.oclc.org/ooxml/officeDocument/relationships" r:id="rId6"/>
              <a:extLst>
                <a:ext uri="{FF2B5EF4-FFF2-40B4-BE49-F238E27FC236}">
                  <a16:creationId xmlns:a16="http://schemas.microsoft.com/office/drawing/2014/main" id="{00000000-0008-0000-0E00-000017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lt1"/>
                  </a:solidFill>
                  <a:latin typeface="Roboto Light" panose="02000000000000000000" pitchFamily="2" charset="0"/>
                  <a:ea typeface="Roboto Light" panose="02000000000000000000" pitchFamily="2" charset="0"/>
                  <a:cs typeface="+mn-cs"/>
                </a:rPr>
                <a:t>      changes</a:t>
              </a:r>
            </a:p>
          </xdr:txBody>
        </xdr:sp>
        <xdr:sp macro="" textlink="">
          <xdr:nvSpPr>
            <xdr:cNvPr id="24" name="Rounded Rectangle 85">
              <a:hlinkClick xmlns:r="http://purl.oclc.org/ooxml/officeDocument/relationships" r:id="rId7"/>
              <a:extLst>
                <a:ext uri="{FF2B5EF4-FFF2-40B4-BE49-F238E27FC236}">
                  <a16:creationId xmlns:a16="http://schemas.microsoft.com/office/drawing/2014/main" id="{00000000-0008-0000-0E00-000018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25" name="Rounded Rectangle 86">
              <a:hlinkClick xmlns:r="http://purl.oclc.org/ooxml/officeDocument/relationships" r:id="rId8"/>
              <a:extLst>
                <a:ext uri="{FF2B5EF4-FFF2-40B4-BE49-F238E27FC236}">
                  <a16:creationId xmlns:a16="http://schemas.microsoft.com/office/drawing/2014/main" id="{00000000-0008-0000-0E00-000019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26" name="Rounded Rectangle 87">
              <a:hlinkClick xmlns:r="http://purl.oclc.org/ooxml/officeDocument/relationships" r:id="rId9"/>
              <a:extLst>
                <a:ext uri="{FF2B5EF4-FFF2-40B4-BE49-F238E27FC236}">
                  <a16:creationId xmlns:a16="http://schemas.microsoft.com/office/drawing/2014/main" id="{00000000-0008-0000-0E00-00001A000000}"/>
                </a:ext>
              </a:extLst>
            </xdr:cNvPr>
            <xdr:cNvSpPr/>
          </xdr:nvSpPr>
          <xdr:spPr>
            <a:xfrm>
              <a:off x="8080376" y="116417"/>
              <a:ext cx="1463040"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ysClr val="windowText" lastClr="000000"/>
                  </a:solidFill>
                  <a:latin typeface="Roboto Light" panose="02000000000000000000" pitchFamily="2" charset="0"/>
                  <a:ea typeface="Roboto Light" panose="02000000000000000000" pitchFamily="2" charset="0"/>
                </a:rPr>
                <a:t>Forest  management</a:t>
              </a:r>
            </a:p>
          </xdr:txBody>
        </xdr:sp>
        <xdr:sp macro="" textlink="">
          <xdr:nvSpPr>
            <xdr:cNvPr id="27" name="Rounded Rectangle 88">
              <a:hlinkClick xmlns:r="http://purl.oclc.org/ooxml/officeDocument/relationships" r:id="rId10"/>
              <a:extLst>
                <a:ext uri="{FF2B5EF4-FFF2-40B4-BE49-F238E27FC236}">
                  <a16:creationId xmlns:a16="http://schemas.microsoft.com/office/drawing/2014/main" id="{00000000-0008-0000-0E00-00001B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28" name="Rounded Rectangle 89">
              <a:hlinkClick xmlns:r="http://purl.oclc.org/ooxml/officeDocument/relationships" r:id="rId11"/>
              <a:extLst>
                <a:ext uri="{FF2B5EF4-FFF2-40B4-BE49-F238E27FC236}">
                  <a16:creationId xmlns:a16="http://schemas.microsoft.com/office/drawing/2014/main" id="{00000000-0008-0000-0E00-00001C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29" name="Rounded Rectangle 90">
              <a:hlinkClick xmlns:r="http://purl.oclc.org/ooxml/officeDocument/relationships" r:id="rId3"/>
              <a:extLst>
                <a:ext uri="{FF2B5EF4-FFF2-40B4-BE49-F238E27FC236}">
                  <a16:creationId xmlns:a16="http://schemas.microsoft.com/office/drawing/2014/main" id="{00000000-0008-0000-0E00-00001D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30" name="Rounded Rectangle 91">
              <a:hlinkClick xmlns:r="http://purl.oclc.org/ooxml/officeDocument/relationships" r:id="rId12"/>
              <a:extLst>
                <a:ext uri="{FF2B5EF4-FFF2-40B4-BE49-F238E27FC236}">
                  <a16:creationId xmlns:a16="http://schemas.microsoft.com/office/drawing/2014/main" id="{00000000-0008-0000-0E00-00001E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20" name="Rounded Rectangle 89">
            <a:hlinkClick xmlns:r="http://purl.oclc.org/ooxml/officeDocument/relationships" r:id="rId13"/>
            <a:extLst>
              <a:ext uri="{FF2B5EF4-FFF2-40B4-BE49-F238E27FC236}">
                <a16:creationId xmlns:a16="http://schemas.microsoft.com/office/drawing/2014/main" id="{00000000-0008-0000-0E00-000014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wsDr>
</file>

<file path=xl/drawings/drawing15.xml><?xml version="1.0" encoding="utf-8"?>
<xdr:wsDr xmlns:xdr="http://purl.oclc.org/ooxml/drawingml/spreadsheetDrawing" xmlns:a="http://purl.oclc.org/ooxml/drawingml/main">
  <xdr:twoCellAnchor>
    <xdr:from>
      <xdr:col>1</xdr:col>
      <xdr:colOff>0</xdr:colOff>
      <xdr:row>0</xdr:row>
      <xdr:rowOff>0</xdr:rowOff>
    </xdr:from>
    <xdr:to>
      <xdr:col>30</xdr:col>
      <xdr:colOff>781951</xdr:colOff>
      <xdr:row>0</xdr:row>
      <xdr:rowOff>1194547</xdr:rowOff>
    </xdr:to>
    <xdr:sp macro="" textlink="">
      <xdr:nvSpPr>
        <xdr:cNvPr id="3" name="Rectangle 2">
          <a:extLst>
            <a:ext uri="{FF2B5EF4-FFF2-40B4-BE49-F238E27FC236}">
              <a16:creationId xmlns:a16="http://schemas.microsoft.com/office/drawing/2014/main" id="{00000000-0008-0000-1000-000003000000}"/>
            </a:ext>
          </a:extLst>
        </xdr:cNvPr>
        <xdr:cNvSpPr/>
      </xdr:nvSpPr>
      <xdr:spPr>
        <a:xfrm>
          <a:off x="342900" y="0"/>
          <a:ext cx="15936226" cy="1194547"/>
        </a:xfrm>
        <a:prstGeom prst="rect">
          <a:avLst/>
        </a:prstGeom>
        <a:noFill/>
      </xdr:spPr>
    </xdr:sp>
    <xdr:clientData/>
  </xdr:twoCellAnchor>
  <xdr:twoCellAnchor>
    <xdr:from>
      <xdr:col>1</xdr:col>
      <xdr:colOff>21601</xdr:colOff>
      <xdr:row>1</xdr:row>
      <xdr:rowOff>417909</xdr:rowOff>
    </xdr:from>
    <xdr:to>
      <xdr:col>4</xdr:col>
      <xdr:colOff>251435</xdr:colOff>
      <xdr:row>3</xdr:row>
      <xdr:rowOff>125492</xdr:rowOff>
    </xdr:to>
    <xdr:grpSp>
      <xdr:nvGrpSpPr>
        <xdr:cNvPr id="31" name="Group 30">
          <a:extLst>
            <a:ext uri="{FF2B5EF4-FFF2-40B4-BE49-F238E27FC236}">
              <a16:creationId xmlns:a16="http://schemas.microsoft.com/office/drawing/2014/main" id="{00000000-0008-0000-1000-00001F000000}"/>
            </a:ext>
          </a:extLst>
        </xdr:cNvPr>
        <xdr:cNvGrpSpPr/>
      </xdr:nvGrpSpPr>
      <xdr:grpSpPr>
        <a:xfrm>
          <a:off x="428001" y="1687909"/>
          <a:ext cx="3511514" cy="713423"/>
          <a:chOff x="366882" y="1691878"/>
          <a:chExt cx="3087334" cy="731520"/>
        </a:xfrm>
      </xdr:grpSpPr>
      <xdr:sp macro="" textlink="">
        <xdr:nvSpPr>
          <xdr:cNvPr id="62" name="Rectangle 61">
            <a:hlinkClick xmlns:r="http://purl.oclc.org/ooxml/officeDocument/relationships" r:id="rId1"/>
            <a:extLst>
              <a:ext uri="{FF2B5EF4-FFF2-40B4-BE49-F238E27FC236}">
                <a16:creationId xmlns:a16="http://schemas.microsoft.com/office/drawing/2014/main" id="{00000000-0008-0000-1000-00003E000000}"/>
              </a:ext>
            </a:extLst>
          </xdr:cNvPr>
          <xdr:cNvSpPr/>
        </xdr:nvSpPr>
        <xdr:spPr>
          <a:xfrm>
            <a:off x="366882" y="16918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Forest mngt.</a:t>
            </a:r>
          </a:p>
        </xdr:txBody>
      </xdr:sp>
      <xdr:sp macro="" textlink="">
        <xdr:nvSpPr>
          <xdr:cNvPr id="74" name="Rectangle 73">
            <a:hlinkClick xmlns:r="http://purl.oclc.org/ooxml/officeDocument/relationships" r:id="rId2"/>
            <a:extLst>
              <a:ext uri="{FF2B5EF4-FFF2-40B4-BE49-F238E27FC236}">
                <a16:creationId xmlns:a16="http://schemas.microsoft.com/office/drawing/2014/main" id="{00000000-0008-0000-1000-00004A000000}"/>
              </a:ext>
            </a:extLst>
          </xdr:cNvPr>
          <xdr:cNvSpPr/>
        </xdr:nvSpPr>
        <xdr:spPr>
          <a:xfrm>
            <a:off x="1152153" y="16918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baseline="0%">
                <a:latin typeface="Roboto Light" panose="02000000000000000000" pitchFamily="2" charset="0"/>
                <a:ea typeface="Roboto Light" panose="02000000000000000000" pitchFamily="2" charset="0"/>
              </a:rPr>
              <a:t>    </a:t>
            </a:r>
            <a:r>
              <a:rPr lang="en-US" sz="900" b="0">
                <a:latin typeface="Roboto Light" panose="02000000000000000000" pitchFamily="2" charset="0"/>
                <a:ea typeface="Roboto Light" panose="02000000000000000000" pitchFamily="2" charset="0"/>
              </a:rPr>
              <a:t>Land mngt.</a:t>
            </a:r>
          </a:p>
        </xdr:txBody>
      </xdr:sp>
      <xdr:sp macro="" textlink="">
        <xdr:nvSpPr>
          <xdr:cNvPr id="81" name="Rectangle 80">
            <a:hlinkClick xmlns:r="http://purl.oclc.org/ooxml/officeDocument/relationships" r:id="rId3"/>
            <a:extLst>
              <a:ext uri="{FF2B5EF4-FFF2-40B4-BE49-F238E27FC236}">
                <a16:creationId xmlns:a16="http://schemas.microsoft.com/office/drawing/2014/main" id="{00000000-0008-0000-1000-000051000000}"/>
              </a:ext>
            </a:extLst>
          </xdr:cNvPr>
          <xdr:cNvSpPr/>
        </xdr:nvSpPr>
        <xdr:spPr>
          <a:xfrm>
            <a:off x="1937424" y="16918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Peat extract</a:t>
            </a:r>
          </a:p>
        </xdr:txBody>
      </xdr:sp>
      <xdr:sp macro="" textlink="">
        <xdr:nvSpPr>
          <xdr:cNvPr id="95" name="Rectangle 94">
            <a:hlinkClick xmlns:r="http://purl.oclc.org/ooxml/officeDocument/relationships" r:id="rId4"/>
            <a:extLst>
              <a:ext uri="{FF2B5EF4-FFF2-40B4-BE49-F238E27FC236}">
                <a16:creationId xmlns:a16="http://schemas.microsoft.com/office/drawing/2014/main" id="{00000000-0008-0000-1000-00005F000000}"/>
              </a:ext>
            </a:extLst>
          </xdr:cNvPr>
          <xdr:cNvSpPr/>
        </xdr:nvSpPr>
        <xdr:spPr>
          <a:xfrm>
            <a:off x="2722696" y="16918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Water.</a:t>
            </a:r>
          </a:p>
        </xdr:txBody>
      </xdr:sp>
    </xdr:grpSp>
    <xdr:clientData/>
  </xdr:twoCellAnchor>
  <xdr:twoCellAnchor>
    <xdr:from>
      <xdr:col>1</xdr:col>
      <xdr:colOff>7314</xdr:colOff>
      <xdr:row>104</xdr:row>
      <xdr:rowOff>104274</xdr:rowOff>
    </xdr:from>
    <xdr:to>
      <xdr:col>4</xdr:col>
      <xdr:colOff>267174</xdr:colOff>
      <xdr:row>108</xdr:row>
      <xdr:rowOff>73794</xdr:rowOff>
    </xdr:to>
    <xdr:grpSp>
      <xdr:nvGrpSpPr>
        <xdr:cNvPr id="30" name="Group 29">
          <a:extLst>
            <a:ext uri="{FF2B5EF4-FFF2-40B4-BE49-F238E27FC236}">
              <a16:creationId xmlns:a16="http://schemas.microsoft.com/office/drawing/2014/main" id="{00000000-0008-0000-1000-00001E000000}"/>
            </a:ext>
          </a:extLst>
        </xdr:cNvPr>
        <xdr:cNvGrpSpPr/>
      </xdr:nvGrpSpPr>
      <xdr:grpSpPr>
        <a:xfrm>
          <a:off x="413714" y="22456274"/>
          <a:ext cx="3541540" cy="701040"/>
          <a:chOff x="352595" y="15391899"/>
          <a:chExt cx="3117360" cy="731520"/>
        </a:xfrm>
      </xdr:grpSpPr>
      <xdr:sp macro="" textlink="">
        <xdr:nvSpPr>
          <xdr:cNvPr id="88" name="Rectangle 87">
            <a:hlinkClick xmlns:r="http://purl.oclc.org/ooxml/officeDocument/relationships" r:id="rId5"/>
            <a:extLst>
              <a:ext uri="{FF2B5EF4-FFF2-40B4-BE49-F238E27FC236}">
                <a16:creationId xmlns:a16="http://schemas.microsoft.com/office/drawing/2014/main" id="{00000000-0008-0000-1000-000058000000}"/>
              </a:ext>
            </a:extLst>
          </xdr:cNvPr>
          <xdr:cNvSpPr/>
        </xdr:nvSpPr>
        <xdr:spPr>
          <a:xfrm>
            <a:off x="352595" y="15391899"/>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LUC</a:t>
            </a:r>
          </a:p>
        </xdr:txBody>
      </xdr:sp>
      <xdr:sp macro="" textlink="">
        <xdr:nvSpPr>
          <xdr:cNvPr id="89" name="Rectangle 88">
            <a:hlinkClick xmlns:r="http://purl.oclc.org/ooxml/officeDocument/relationships" r:id="rId6"/>
            <a:extLst>
              <a:ext uri="{FF2B5EF4-FFF2-40B4-BE49-F238E27FC236}">
                <a16:creationId xmlns:a16="http://schemas.microsoft.com/office/drawing/2014/main" id="{00000000-0008-0000-1000-000059000000}"/>
              </a:ext>
            </a:extLst>
          </xdr:cNvPr>
          <xdr:cNvSpPr/>
        </xdr:nvSpPr>
        <xdr:spPr>
          <a:xfrm>
            <a:off x="1147875" y="15391899"/>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baseline="0%">
                <a:latin typeface="Roboto Light" panose="02000000000000000000" pitchFamily="2" charset="0"/>
                <a:ea typeface="Roboto Light" panose="02000000000000000000" pitchFamily="2" charset="0"/>
              </a:rPr>
              <a:t>    </a:t>
            </a:r>
            <a:r>
              <a:rPr lang="en-US" sz="900" b="0">
                <a:latin typeface="Roboto Light" panose="02000000000000000000" pitchFamily="2" charset="0"/>
                <a:ea typeface="Roboto Light" panose="02000000000000000000" pitchFamily="2" charset="0"/>
              </a:rPr>
              <a:t>Land mngt.</a:t>
            </a:r>
          </a:p>
        </xdr:txBody>
      </xdr:sp>
      <xdr:sp macro="" textlink="">
        <xdr:nvSpPr>
          <xdr:cNvPr id="90" name="Rectangle 89">
            <a:hlinkClick xmlns:r="http://purl.oclc.org/ooxml/officeDocument/relationships" r:id="rId7"/>
            <a:extLst>
              <a:ext uri="{FF2B5EF4-FFF2-40B4-BE49-F238E27FC236}">
                <a16:creationId xmlns:a16="http://schemas.microsoft.com/office/drawing/2014/main" id="{00000000-0008-0000-1000-00005A000000}"/>
              </a:ext>
            </a:extLst>
          </xdr:cNvPr>
          <xdr:cNvSpPr/>
        </xdr:nvSpPr>
        <xdr:spPr>
          <a:xfrm>
            <a:off x="1943155" y="15391899"/>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Peat extract</a:t>
            </a:r>
          </a:p>
        </xdr:txBody>
      </xdr:sp>
      <xdr:sp macro="" textlink="">
        <xdr:nvSpPr>
          <xdr:cNvPr id="82" name="Rectangle 81">
            <a:hlinkClick xmlns:r="http://purl.oclc.org/ooxml/officeDocument/relationships" r:id="rId4"/>
            <a:extLst>
              <a:ext uri="{FF2B5EF4-FFF2-40B4-BE49-F238E27FC236}">
                <a16:creationId xmlns:a16="http://schemas.microsoft.com/office/drawing/2014/main" id="{00000000-0008-0000-1000-000052000000}"/>
              </a:ext>
            </a:extLst>
          </xdr:cNvPr>
          <xdr:cNvSpPr/>
        </xdr:nvSpPr>
        <xdr:spPr>
          <a:xfrm>
            <a:off x="2738435" y="15391899"/>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Water.</a:t>
            </a:r>
          </a:p>
        </xdr:txBody>
      </xdr:sp>
    </xdr:grpSp>
    <xdr:clientData/>
  </xdr:twoCellAnchor>
  <xdr:twoCellAnchor>
    <xdr:from>
      <xdr:col>0</xdr:col>
      <xdr:colOff>337607</xdr:colOff>
      <xdr:row>163</xdr:row>
      <xdr:rowOff>102590</xdr:rowOff>
    </xdr:from>
    <xdr:to>
      <xdr:col>4</xdr:col>
      <xdr:colOff>398143</xdr:colOff>
      <xdr:row>167</xdr:row>
      <xdr:rowOff>72110</xdr:rowOff>
    </xdr:to>
    <xdr:grpSp>
      <xdr:nvGrpSpPr>
        <xdr:cNvPr id="28" name="Group 27">
          <a:extLst>
            <a:ext uri="{FF2B5EF4-FFF2-40B4-BE49-F238E27FC236}">
              <a16:creationId xmlns:a16="http://schemas.microsoft.com/office/drawing/2014/main" id="{00000000-0008-0000-1000-00001C000000}"/>
            </a:ext>
          </a:extLst>
        </xdr:cNvPr>
        <xdr:cNvGrpSpPr/>
      </xdr:nvGrpSpPr>
      <xdr:grpSpPr>
        <a:xfrm>
          <a:off x="337607" y="34250350"/>
          <a:ext cx="3748616" cy="701040"/>
          <a:chOff x="337607" y="25796278"/>
          <a:chExt cx="3263317" cy="731520"/>
        </a:xfrm>
      </xdr:grpSpPr>
      <xdr:sp macro="" textlink="">
        <xdr:nvSpPr>
          <xdr:cNvPr id="91" name="Rectangle 90">
            <a:hlinkClick xmlns:r="http://purl.oclc.org/ooxml/officeDocument/relationships" r:id="rId5"/>
            <a:extLst>
              <a:ext uri="{FF2B5EF4-FFF2-40B4-BE49-F238E27FC236}">
                <a16:creationId xmlns:a16="http://schemas.microsoft.com/office/drawing/2014/main" id="{00000000-0008-0000-1000-00005B000000}"/>
              </a:ext>
            </a:extLst>
          </xdr:cNvPr>
          <xdr:cNvSpPr/>
        </xdr:nvSpPr>
        <xdr:spPr>
          <a:xfrm>
            <a:off x="337607"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LUC</a:t>
            </a:r>
          </a:p>
        </xdr:txBody>
      </xdr:sp>
      <xdr:sp macro="" textlink="">
        <xdr:nvSpPr>
          <xdr:cNvPr id="92" name="Rectangle 91">
            <a:hlinkClick xmlns:r="http://purl.oclc.org/ooxml/officeDocument/relationships" r:id="rId2"/>
            <a:extLst>
              <a:ext uri="{FF2B5EF4-FFF2-40B4-BE49-F238E27FC236}">
                <a16:creationId xmlns:a16="http://schemas.microsoft.com/office/drawing/2014/main" id="{00000000-0008-0000-1000-00005C000000}"/>
              </a:ext>
            </a:extLst>
          </xdr:cNvPr>
          <xdr:cNvSpPr/>
        </xdr:nvSpPr>
        <xdr:spPr>
          <a:xfrm>
            <a:off x="2025471"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baseline="0%">
                <a:latin typeface="Roboto Light" panose="02000000000000000000" pitchFamily="2" charset="0"/>
                <a:ea typeface="Roboto Light" panose="02000000000000000000" pitchFamily="2" charset="0"/>
              </a:rPr>
              <a:t>    </a:t>
            </a:r>
            <a:r>
              <a:rPr lang="en-US" sz="900" b="0">
                <a:latin typeface="Roboto Light" panose="02000000000000000000" pitchFamily="2" charset="0"/>
                <a:ea typeface="Roboto Light" panose="02000000000000000000" pitchFamily="2" charset="0"/>
              </a:rPr>
              <a:t>Land mngt.</a:t>
            </a:r>
          </a:p>
        </xdr:txBody>
      </xdr:sp>
      <xdr:sp macro="" textlink="">
        <xdr:nvSpPr>
          <xdr:cNvPr id="93" name="Rectangle 92">
            <a:hlinkClick xmlns:r="http://purl.oclc.org/ooxml/officeDocument/relationships" r:id="rId1"/>
            <a:extLst>
              <a:ext uri="{FF2B5EF4-FFF2-40B4-BE49-F238E27FC236}">
                <a16:creationId xmlns:a16="http://schemas.microsoft.com/office/drawing/2014/main" id="{00000000-0008-0000-1000-00005D000000}"/>
              </a:ext>
            </a:extLst>
          </xdr:cNvPr>
          <xdr:cNvSpPr/>
        </xdr:nvSpPr>
        <xdr:spPr>
          <a:xfrm>
            <a:off x="1181539"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Forest mngt.</a:t>
            </a:r>
          </a:p>
        </xdr:txBody>
      </xdr:sp>
      <xdr:sp macro="" textlink="">
        <xdr:nvSpPr>
          <xdr:cNvPr id="83" name="Rectangle 82">
            <a:hlinkClick xmlns:r="http://purl.oclc.org/ooxml/officeDocument/relationships" r:id="rId4"/>
            <a:extLst>
              <a:ext uri="{FF2B5EF4-FFF2-40B4-BE49-F238E27FC236}">
                <a16:creationId xmlns:a16="http://schemas.microsoft.com/office/drawing/2014/main" id="{00000000-0008-0000-1000-000053000000}"/>
              </a:ext>
            </a:extLst>
          </xdr:cNvPr>
          <xdr:cNvSpPr/>
        </xdr:nvSpPr>
        <xdr:spPr>
          <a:xfrm>
            <a:off x="2869404"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Water</a:t>
            </a:r>
          </a:p>
        </xdr:txBody>
      </xdr:sp>
    </xdr:grpSp>
    <xdr:clientData/>
  </xdr:twoCellAnchor>
  <xdr:twoCellAnchor editAs="absolute">
    <xdr:from>
      <xdr:col>31</xdr:col>
      <xdr:colOff>212094</xdr:colOff>
      <xdr:row>189</xdr:row>
      <xdr:rowOff>59013</xdr:rowOff>
    </xdr:from>
    <xdr:to>
      <xdr:col>32</xdr:col>
      <xdr:colOff>98927</xdr:colOff>
      <xdr:row>189</xdr:row>
      <xdr:rowOff>513430</xdr:rowOff>
    </xdr:to>
    <xdr:sp macro="" textlink="">
      <xdr:nvSpPr>
        <xdr:cNvPr id="84" name="Rounded Rectangle 83">
          <a:hlinkClick xmlns:r="http://purl.oclc.org/ooxml/officeDocument/relationships" r:id="rId8"/>
          <a:extLst>
            <a:ext uri="{FF2B5EF4-FFF2-40B4-BE49-F238E27FC236}">
              <a16:creationId xmlns:a16="http://schemas.microsoft.com/office/drawing/2014/main" id="{00000000-0008-0000-1000-000054000000}"/>
            </a:ext>
          </a:extLst>
        </xdr:cNvPr>
        <xdr:cNvSpPr/>
      </xdr:nvSpPr>
      <xdr:spPr>
        <a:xfrm>
          <a:off x="23079714" y="39651104"/>
          <a:ext cx="839809" cy="446797"/>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a:t>
          </a:r>
        </a:p>
      </xdr:txBody>
    </xdr:sp>
    <xdr:clientData/>
  </xdr:twoCellAnchor>
  <xdr:twoCellAnchor editAs="absolute">
    <xdr:from>
      <xdr:col>26</xdr:col>
      <xdr:colOff>192000</xdr:colOff>
      <xdr:row>6</xdr:row>
      <xdr:rowOff>56478</xdr:rowOff>
    </xdr:from>
    <xdr:to>
      <xdr:col>27</xdr:col>
      <xdr:colOff>475437</xdr:colOff>
      <xdr:row>6</xdr:row>
      <xdr:rowOff>512333</xdr:rowOff>
    </xdr:to>
    <xdr:sp macro="" textlink="">
      <xdr:nvSpPr>
        <xdr:cNvPr id="4" name="Rounded Rectangle 3">
          <a:hlinkClick xmlns:r="http://purl.oclc.org/ooxml/officeDocument/relationships" r:id="rId9"/>
          <a:extLst>
            <a:ext uri="{FF2B5EF4-FFF2-40B4-BE49-F238E27FC236}">
              <a16:creationId xmlns:a16="http://schemas.microsoft.com/office/drawing/2014/main" id="{00000000-0008-0000-1000-000004000000}"/>
            </a:ext>
          </a:extLst>
        </xdr:cNvPr>
        <xdr:cNvSpPr/>
      </xdr:nvSpPr>
      <xdr:spPr>
        <a:xfrm>
          <a:off x="18929356" y="3164168"/>
          <a:ext cx="1144535" cy="44823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biomass</a:t>
          </a:r>
        </a:p>
      </xdr:txBody>
    </xdr:sp>
    <xdr:clientData/>
  </xdr:twoCellAnchor>
  <xdr:twoCellAnchor editAs="absolute">
    <xdr:from>
      <xdr:col>27</xdr:col>
      <xdr:colOff>626270</xdr:colOff>
      <xdr:row>6</xdr:row>
      <xdr:rowOff>56478</xdr:rowOff>
    </xdr:from>
    <xdr:to>
      <xdr:col>28</xdr:col>
      <xdr:colOff>875057</xdr:colOff>
      <xdr:row>6</xdr:row>
      <xdr:rowOff>512333</xdr:rowOff>
    </xdr:to>
    <xdr:sp macro="" textlink="">
      <xdr:nvSpPr>
        <xdr:cNvPr id="5" name="Rounded Rectangle 4">
          <a:hlinkClick xmlns:r="http://purl.oclc.org/ooxml/officeDocument/relationships" r:id="rId10"/>
          <a:extLst>
            <a:ext uri="{FF2B5EF4-FFF2-40B4-BE49-F238E27FC236}">
              <a16:creationId xmlns:a16="http://schemas.microsoft.com/office/drawing/2014/main" id="{00000000-0008-0000-1000-000005000000}"/>
            </a:ext>
          </a:extLst>
        </xdr:cNvPr>
        <xdr:cNvSpPr/>
      </xdr:nvSpPr>
      <xdr:spPr>
        <a:xfrm>
          <a:off x="20220914" y="3164168"/>
          <a:ext cx="1170432" cy="44823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drainage</a:t>
          </a:r>
        </a:p>
      </xdr:txBody>
    </xdr:sp>
    <xdr:clientData/>
  </xdr:twoCellAnchor>
  <xdr:twoCellAnchor editAs="absolute">
    <xdr:from>
      <xdr:col>29</xdr:col>
      <xdr:colOff>1785</xdr:colOff>
      <xdr:row>6</xdr:row>
      <xdr:rowOff>56478</xdr:rowOff>
    </xdr:from>
    <xdr:to>
      <xdr:col>31</xdr:col>
      <xdr:colOff>16798</xdr:colOff>
      <xdr:row>6</xdr:row>
      <xdr:rowOff>512333</xdr:rowOff>
    </xdr:to>
    <xdr:sp macro="" textlink="">
      <xdr:nvSpPr>
        <xdr:cNvPr id="85" name="Rounded Rectangle 84">
          <a:hlinkClick xmlns:r="http://purl.oclc.org/ooxml/officeDocument/relationships" r:id="rId11"/>
          <a:extLst>
            <a:ext uri="{FF2B5EF4-FFF2-40B4-BE49-F238E27FC236}">
              <a16:creationId xmlns:a16="http://schemas.microsoft.com/office/drawing/2014/main" id="{00000000-0008-0000-1000-000055000000}"/>
            </a:ext>
          </a:extLst>
        </xdr:cNvPr>
        <xdr:cNvSpPr/>
      </xdr:nvSpPr>
      <xdr:spPr>
        <a:xfrm>
          <a:off x="22178786" y="3145492"/>
          <a:ext cx="1358076" cy="44823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fire on soil</a:t>
          </a:r>
        </a:p>
      </xdr:txBody>
    </xdr:sp>
    <xdr:clientData/>
  </xdr:twoCellAnchor>
  <xdr:twoCellAnchor editAs="absolute">
    <xdr:from>
      <xdr:col>31</xdr:col>
      <xdr:colOff>149832</xdr:colOff>
      <xdr:row>6</xdr:row>
      <xdr:rowOff>56478</xdr:rowOff>
    </xdr:from>
    <xdr:to>
      <xdr:col>32</xdr:col>
      <xdr:colOff>400024</xdr:colOff>
      <xdr:row>6</xdr:row>
      <xdr:rowOff>512333</xdr:rowOff>
    </xdr:to>
    <xdr:sp macro="" textlink="">
      <xdr:nvSpPr>
        <xdr:cNvPr id="86" name="Rounded Rectangle 85">
          <a:hlinkClick xmlns:r="http://purl.oclc.org/ooxml/officeDocument/relationships" r:id="rId12"/>
          <a:extLst>
            <a:ext uri="{FF2B5EF4-FFF2-40B4-BE49-F238E27FC236}">
              <a16:creationId xmlns:a16="http://schemas.microsoft.com/office/drawing/2014/main" id="{00000000-0008-0000-1000-000056000000}"/>
            </a:ext>
          </a:extLst>
        </xdr:cNvPr>
        <xdr:cNvSpPr/>
      </xdr:nvSpPr>
      <xdr:spPr>
        <a:xfrm>
          <a:off x="23009272" y="3164168"/>
          <a:ext cx="1241464" cy="44823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rewetting</a:t>
          </a:r>
        </a:p>
      </xdr:txBody>
    </xdr:sp>
    <xdr:clientData/>
  </xdr:twoCellAnchor>
  <xdr:twoCellAnchor editAs="absolute">
    <xdr:from>
      <xdr:col>132</xdr:col>
      <xdr:colOff>172144</xdr:colOff>
      <xdr:row>6</xdr:row>
      <xdr:rowOff>58783</xdr:rowOff>
    </xdr:from>
    <xdr:to>
      <xdr:col>133</xdr:col>
      <xdr:colOff>322535</xdr:colOff>
      <xdr:row>6</xdr:row>
      <xdr:rowOff>492339</xdr:rowOff>
    </xdr:to>
    <xdr:sp macro="" textlink="">
      <xdr:nvSpPr>
        <xdr:cNvPr id="87" name="Rounded Rectangle 86">
          <a:hlinkClick xmlns:r="http://purl.oclc.org/ooxml/officeDocument/relationships" r:id="rId13"/>
          <a:extLst>
            <a:ext uri="{FF2B5EF4-FFF2-40B4-BE49-F238E27FC236}">
              <a16:creationId xmlns:a16="http://schemas.microsoft.com/office/drawing/2014/main" id="{00000000-0008-0000-1000-000057000000}"/>
            </a:ext>
          </a:extLst>
        </xdr:cNvPr>
        <xdr:cNvSpPr/>
      </xdr:nvSpPr>
      <xdr:spPr>
        <a:xfrm>
          <a:off x="93486067" y="3192236"/>
          <a:ext cx="811340" cy="429746"/>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108</xdr:col>
      <xdr:colOff>284679</xdr:colOff>
      <xdr:row>6</xdr:row>
      <xdr:rowOff>22340</xdr:rowOff>
    </xdr:from>
    <xdr:to>
      <xdr:col>109</xdr:col>
      <xdr:colOff>301456</xdr:colOff>
      <xdr:row>6</xdr:row>
      <xdr:rowOff>476851</xdr:rowOff>
    </xdr:to>
    <xdr:sp macro="" textlink="">
      <xdr:nvSpPr>
        <xdr:cNvPr id="94" name="Rounded Rectangle 93">
          <a:hlinkClick xmlns:r="http://purl.oclc.org/ooxml/officeDocument/relationships" r:id="rId14"/>
          <a:extLst>
            <a:ext uri="{FF2B5EF4-FFF2-40B4-BE49-F238E27FC236}">
              <a16:creationId xmlns:a16="http://schemas.microsoft.com/office/drawing/2014/main" id="{00000000-0008-0000-1000-00005E000000}"/>
            </a:ext>
          </a:extLst>
        </xdr:cNvPr>
        <xdr:cNvSpPr/>
      </xdr:nvSpPr>
      <xdr:spPr>
        <a:xfrm>
          <a:off x="77554423" y="3168361"/>
          <a:ext cx="782760" cy="429746"/>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55</xdr:col>
      <xdr:colOff>474423</xdr:colOff>
      <xdr:row>6</xdr:row>
      <xdr:rowOff>94615</xdr:rowOff>
    </xdr:from>
    <xdr:to>
      <xdr:col>57</xdr:col>
      <xdr:colOff>54799</xdr:colOff>
      <xdr:row>6</xdr:row>
      <xdr:rowOff>516741</xdr:rowOff>
    </xdr:to>
    <xdr:sp macro="" textlink="">
      <xdr:nvSpPr>
        <xdr:cNvPr id="96" name="Rounded Rectangle 95">
          <a:hlinkClick xmlns:r="http://purl.oclc.org/ooxml/officeDocument/relationships" r:id="rId13"/>
          <a:extLst>
            <a:ext uri="{FF2B5EF4-FFF2-40B4-BE49-F238E27FC236}">
              <a16:creationId xmlns:a16="http://schemas.microsoft.com/office/drawing/2014/main" id="{00000000-0008-0000-1000-000060000000}"/>
            </a:ext>
          </a:extLst>
        </xdr:cNvPr>
        <xdr:cNvSpPr/>
      </xdr:nvSpPr>
      <xdr:spPr>
        <a:xfrm>
          <a:off x="40865951" y="3209925"/>
          <a:ext cx="807346" cy="429746"/>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26</xdr:col>
      <xdr:colOff>270170</xdr:colOff>
      <xdr:row>40</xdr:row>
      <xdr:rowOff>58317</xdr:rowOff>
    </xdr:from>
    <xdr:to>
      <xdr:col>27</xdr:col>
      <xdr:colOff>550633</xdr:colOff>
      <xdr:row>40</xdr:row>
      <xdr:rowOff>494653</xdr:rowOff>
    </xdr:to>
    <xdr:sp macro="" textlink="">
      <xdr:nvSpPr>
        <xdr:cNvPr id="97" name="Rounded Rectangle 96">
          <a:hlinkClick xmlns:r="http://purl.oclc.org/ooxml/officeDocument/relationships" r:id="rId15"/>
          <a:extLst>
            <a:ext uri="{FF2B5EF4-FFF2-40B4-BE49-F238E27FC236}">
              <a16:creationId xmlns:a16="http://schemas.microsoft.com/office/drawing/2014/main" id="{00000000-0008-0000-1000-000061000000}"/>
            </a:ext>
          </a:extLst>
        </xdr:cNvPr>
        <xdr:cNvSpPr/>
      </xdr:nvSpPr>
      <xdr:spPr>
        <a:xfrm>
          <a:off x="19571182" y="9852370"/>
          <a:ext cx="1177494" cy="449671"/>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biomass</a:t>
          </a:r>
        </a:p>
      </xdr:txBody>
    </xdr:sp>
    <xdr:clientData/>
  </xdr:twoCellAnchor>
  <xdr:twoCellAnchor editAs="absolute">
    <xdr:from>
      <xdr:col>27</xdr:col>
      <xdr:colOff>668688</xdr:colOff>
      <xdr:row>40</xdr:row>
      <xdr:rowOff>17528</xdr:rowOff>
    </xdr:from>
    <xdr:to>
      <xdr:col>28</xdr:col>
      <xdr:colOff>970211</xdr:colOff>
      <xdr:row>40</xdr:row>
      <xdr:rowOff>472914</xdr:rowOff>
    </xdr:to>
    <xdr:sp macro="" textlink="">
      <xdr:nvSpPr>
        <xdr:cNvPr id="98" name="Rounded Rectangle 97">
          <a:hlinkClick xmlns:r="http://purl.oclc.org/ooxml/officeDocument/relationships" r:id="rId16"/>
          <a:extLst>
            <a:ext uri="{FF2B5EF4-FFF2-40B4-BE49-F238E27FC236}">
              <a16:creationId xmlns:a16="http://schemas.microsoft.com/office/drawing/2014/main" id="{00000000-0008-0000-1000-000062000000}"/>
            </a:ext>
          </a:extLst>
        </xdr:cNvPr>
        <xdr:cNvSpPr/>
      </xdr:nvSpPr>
      <xdr:spPr>
        <a:xfrm>
          <a:off x="20853396" y="9834441"/>
          <a:ext cx="1265116" cy="449671"/>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drainage</a:t>
          </a:r>
        </a:p>
      </xdr:txBody>
    </xdr:sp>
    <xdr:clientData/>
  </xdr:twoCellAnchor>
  <xdr:twoCellAnchor editAs="absolute">
    <xdr:from>
      <xdr:col>29</xdr:col>
      <xdr:colOff>18307</xdr:colOff>
      <xdr:row>40</xdr:row>
      <xdr:rowOff>58317</xdr:rowOff>
    </xdr:from>
    <xdr:to>
      <xdr:col>31</xdr:col>
      <xdr:colOff>54662</xdr:colOff>
      <xdr:row>40</xdr:row>
      <xdr:rowOff>494653</xdr:rowOff>
    </xdr:to>
    <xdr:sp macro="" textlink="">
      <xdr:nvSpPr>
        <xdr:cNvPr id="99" name="Rounded Rectangle 98">
          <a:hlinkClick xmlns:r="http://purl.oclc.org/ooxml/officeDocument/relationships" r:id="rId17"/>
          <a:extLst>
            <a:ext uri="{FF2B5EF4-FFF2-40B4-BE49-F238E27FC236}">
              <a16:creationId xmlns:a16="http://schemas.microsoft.com/office/drawing/2014/main" id="{00000000-0008-0000-1000-000063000000}"/>
            </a:ext>
          </a:extLst>
        </xdr:cNvPr>
        <xdr:cNvSpPr/>
      </xdr:nvSpPr>
      <xdr:spPr>
        <a:xfrm>
          <a:off x="22218729" y="9852370"/>
          <a:ext cx="1369631" cy="449671"/>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fire on soil</a:t>
          </a:r>
        </a:p>
      </xdr:txBody>
    </xdr:sp>
    <xdr:clientData/>
  </xdr:twoCellAnchor>
  <xdr:twoCellAnchor editAs="absolute">
    <xdr:from>
      <xdr:col>31</xdr:col>
      <xdr:colOff>173461</xdr:colOff>
      <xdr:row>40</xdr:row>
      <xdr:rowOff>58318</xdr:rowOff>
    </xdr:from>
    <xdr:to>
      <xdr:col>32</xdr:col>
      <xdr:colOff>438874</xdr:colOff>
      <xdr:row>40</xdr:row>
      <xdr:rowOff>494654</xdr:rowOff>
    </xdr:to>
    <xdr:sp macro="" textlink="">
      <xdr:nvSpPr>
        <xdr:cNvPr id="100" name="Rounded Rectangle 99">
          <a:hlinkClick xmlns:r="http://purl.oclc.org/ooxml/officeDocument/relationships" r:id="rId18"/>
          <a:extLst>
            <a:ext uri="{FF2B5EF4-FFF2-40B4-BE49-F238E27FC236}">
              <a16:creationId xmlns:a16="http://schemas.microsoft.com/office/drawing/2014/main" id="{00000000-0008-0000-1000-000064000000}"/>
            </a:ext>
          </a:extLst>
        </xdr:cNvPr>
        <xdr:cNvSpPr/>
      </xdr:nvSpPr>
      <xdr:spPr>
        <a:xfrm>
          <a:off x="23710969" y="9852371"/>
          <a:ext cx="1268115" cy="449671"/>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rewetting</a:t>
          </a:r>
        </a:p>
      </xdr:txBody>
    </xdr:sp>
    <xdr:clientData/>
  </xdr:twoCellAnchor>
  <xdr:twoCellAnchor editAs="absolute">
    <xdr:from>
      <xdr:col>65</xdr:col>
      <xdr:colOff>191074</xdr:colOff>
      <xdr:row>40</xdr:row>
      <xdr:rowOff>75079</xdr:rowOff>
    </xdr:from>
    <xdr:to>
      <xdr:col>66</xdr:col>
      <xdr:colOff>398332</xdr:colOff>
      <xdr:row>40</xdr:row>
      <xdr:rowOff>515786</xdr:rowOff>
    </xdr:to>
    <xdr:sp macro="" textlink="">
      <xdr:nvSpPr>
        <xdr:cNvPr id="101" name="Rounded Rectangle 100">
          <a:hlinkClick xmlns:r="http://purl.oclc.org/ooxml/officeDocument/relationships" r:id="rId19"/>
          <a:extLst>
            <a:ext uri="{FF2B5EF4-FFF2-40B4-BE49-F238E27FC236}">
              <a16:creationId xmlns:a16="http://schemas.microsoft.com/office/drawing/2014/main" id="{00000000-0008-0000-1000-000065000000}"/>
            </a:ext>
          </a:extLst>
        </xdr:cNvPr>
        <xdr:cNvSpPr/>
      </xdr:nvSpPr>
      <xdr:spPr>
        <a:xfrm>
          <a:off x="48188109" y="9882467"/>
          <a:ext cx="838598" cy="431182"/>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110</xdr:col>
      <xdr:colOff>135210</xdr:colOff>
      <xdr:row>40</xdr:row>
      <xdr:rowOff>40229</xdr:rowOff>
    </xdr:from>
    <xdr:to>
      <xdr:col>111</xdr:col>
      <xdr:colOff>361242</xdr:colOff>
      <xdr:row>40</xdr:row>
      <xdr:rowOff>477343</xdr:rowOff>
    </xdr:to>
    <xdr:sp macro="" textlink="">
      <xdr:nvSpPr>
        <xdr:cNvPr id="102" name="Rounded Rectangle 101">
          <a:hlinkClick xmlns:r="http://purl.oclc.org/ooxml/officeDocument/relationships" r:id="rId20"/>
          <a:extLst>
            <a:ext uri="{FF2B5EF4-FFF2-40B4-BE49-F238E27FC236}">
              <a16:creationId xmlns:a16="http://schemas.microsoft.com/office/drawing/2014/main" id="{00000000-0008-0000-1000-000066000000}"/>
            </a:ext>
          </a:extLst>
        </xdr:cNvPr>
        <xdr:cNvSpPr/>
      </xdr:nvSpPr>
      <xdr:spPr>
        <a:xfrm>
          <a:off x="78780884" y="10206002"/>
          <a:ext cx="837883" cy="427589"/>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132</xdr:col>
      <xdr:colOff>363080</xdr:colOff>
      <xdr:row>40</xdr:row>
      <xdr:rowOff>92225</xdr:rowOff>
    </xdr:from>
    <xdr:to>
      <xdr:col>133</xdr:col>
      <xdr:colOff>554622</xdr:colOff>
      <xdr:row>40</xdr:row>
      <xdr:rowOff>511977</xdr:rowOff>
    </xdr:to>
    <xdr:sp macro="" textlink="">
      <xdr:nvSpPr>
        <xdr:cNvPr id="103" name="Rounded Rectangle 102">
          <a:hlinkClick xmlns:r="http://purl.oclc.org/ooxml/officeDocument/relationships" r:id="rId19"/>
          <a:extLst>
            <a:ext uri="{FF2B5EF4-FFF2-40B4-BE49-F238E27FC236}">
              <a16:creationId xmlns:a16="http://schemas.microsoft.com/office/drawing/2014/main" id="{00000000-0008-0000-1000-000067000000}"/>
            </a:ext>
          </a:extLst>
        </xdr:cNvPr>
        <xdr:cNvSpPr/>
      </xdr:nvSpPr>
      <xdr:spPr>
        <a:xfrm>
          <a:off x="96288346" y="9891993"/>
          <a:ext cx="826692" cy="431182"/>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27</xdr:col>
      <xdr:colOff>170655</xdr:colOff>
      <xdr:row>73</xdr:row>
      <xdr:rowOff>57853</xdr:rowOff>
    </xdr:from>
    <xdr:to>
      <xdr:col>28</xdr:col>
      <xdr:colOff>439251</xdr:colOff>
      <xdr:row>73</xdr:row>
      <xdr:rowOff>496527</xdr:rowOff>
    </xdr:to>
    <xdr:sp macro="" textlink="">
      <xdr:nvSpPr>
        <xdr:cNvPr id="105" name="Rounded Rectangle 104">
          <a:hlinkClick xmlns:r="http://purl.oclc.org/ooxml/officeDocument/relationships" r:id="rId21"/>
          <a:extLst>
            <a:ext uri="{FF2B5EF4-FFF2-40B4-BE49-F238E27FC236}">
              <a16:creationId xmlns:a16="http://schemas.microsoft.com/office/drawing/2014/main" id="{00000000-0008-0000-1000-000069000000}"/>
            </a:ext>
          </a:extLst>
        </xdr:cNvPr>
        <xdr:cNvSpPr/>
      </xdr:nvSpPr>
      <xdr:spPr>
        <a:xfrm>
          <a:off x="19769771" y="16508481"/>
          <a:ext cx="1174424" cy="4424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biomass</a:t>
          </a:r>
        </a:p>
      </xdr:txBody>
    </xdr:sp>
    <xdr:clientData/>
  </xdr:twoCellAnchor>
  <xdr:twoCellAnchor editAs="absolute">
    <xdr:from>
      <xdr:col>28</xdr:col>
      <xdr:colOff>513775</xdr:colOff>
      <xdr:row>73</xdr:row>
      <xdr:rowOff>57852</xdr:rowOff>
    </xdr:from>
    <xdr:to>
      <xdr:col>30</xdr:col>
      <xdr:colOff>591537</xdr:colOff>
      <xdr:row>73</xdr:row>
      <xdr:rowOff>496526</xdr:rowOff>
    </xdr:to>
    <xdr:sp macro="" textlink="">
      <xdr:nvSpPr>
        <xdr:cNvPr id="106" name="Rounded Rectangle 105">
          <a:hlinkClick xmlns:r="http://purl.oclc.org/ooxml/officeDocument/relationships" r:id="rId22"/>
          <a:extLst>
            <a:ext uri="{FF2B5EF4-FFF2-40B4-BE49-F238E27FC236}">
              <a16:creationId xmlns:a16="http://schemas.microsoft.com/office/drawing/2014/main" id="{00000000-0008-0000-1000-00006A000000}"/>
            </a:ext>
          </a:extLst>
        </xdr:cNvPr>
        <xdr:cNvSpPr/>
      </xdr:nvSpPr>
      <xdr:spPr>
        <a:xfrm>
          <a:off x="21041579" y="16508480"/>
          <a:ext cx="1170279" cy="4424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drainage</a:t>
          </a:r>
        </a:p>
      </xdr:txBody>
    </xdr:sp>
    <xdr:clientData/>
  </xdr:twoCellAnchor>
  <xdr:twoCellAnchor editAs="absolute">
    <xdr:from>
      <xdr:col>30</xdr:col>
      <xdr:colOff>701700</xdr:colOff>
      <xdr:row>73</xdr:row>
      <xdr:rowOff>57852</xdr:rowOff>
    </xdr:from>
    <xdr:to>
      <xdr:col>31</xdr:col>
      <xdr:colOff>779386</xdr:colOff>
      <xdr:row>73</xdr:row>
      <xdr:rowOff>496526</xdr:rowOff>
    </xdr:to>
    <xdr:sp macro="" textlink="">
      <xdr:nvSpPr>
        <xdr:cNvPr id="107" name="Rounded Rectangle 106">
          <a:hlinkClick xmlns:r="http://purl.oclc.org/ooxml/officeDocument/relationships" r:id="rId23"/>
          <a:extLst>
            <a:ext uri="{FF2B5EF4-FFF2-40B4-BE49-F238E27FC236}">
              <a16:creationId xmlns:a16="http://schemas.microsoft.com/office/drawing/2014/main" id="{00000000-0008-0000-1000-00006B000000}"/>
            </a:ext>
          </a:extLst>
        </xdr:cNvPr>
        <xdr:cNvSpPr/>
      </xdr:nvSpPr>
      <xdr:spPr>
        <a:xfrm>
          <a:off x="22327736" y="16508480"/>
          <a:ext cx="1315460" cy="4424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fire on soil</a:t>
          </a:r>
        </a:p>
      </xdr:txBody>
    </xdr:sp>
    <xdr:clientData/>
  </xdr:twoCellAnchor>
  <xdr:twoCellAnchor editAs="absolute">
    <xdr:from>
      <xdr:col>31</xdr:col>
      <xdr:colOff>860091</xdr:colOff>
      <xdr:row>73</xdr:row>
      <xdr:rowOff>57852</xdr:rowOff>
    </xdr:from>
    <xdr:to>
      <xdr:col>32</xdr:col>
      <xdr:colOff>1122311</xdr:colOff>
      <xdr:row>73</xdr:row>
      <xdr:rowOff>496526</xdr:rowOff>
    </xdr:to>
    <xdr:sp macro="" textlink="">
      <xdr:nvSpPr>
        <xdr:cNvPr id="108" name="Rounded Rectangle 107">
          <a:hlinkClick xmlns:r="http://purl.oclc.org/ooxml/officeDocument/relationships" r:id="rId24"/>
          <a:extLst>
            <a:ext uri="{FF2B5EF4-FFF2-40B4-BE49-F238E27FC236}">
              <a16:creationId xmlns:a16="http://schemas.microsoft.com/office/drawing/2014/main" id="{00000000-0008-0000-1000-00006C000000}"/>
            </a:ext>
          </a:extLst>
        </xdr:cNvPr>
        <xdr:cNvSpPr/>
      </xdr:nvSpPr>
      <xdr:spPr>
        <a:xfrm>
          <a:off x="23723901" y="16508480"/>
          <a:ext cx="1232341" cy="4424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rewetting</a:t>
          </a:r>
        </a:p>
      </xdr:txBody>
    </xdr:sp>
    <xdr:clientData/>
  </xdr:twoCellAnchor>
  <xdr:twoCellAnchor editAs="absolute">
    <xdr:from>
      <xdr:col>56</xdr:col>
      <xdr:colOff>209928</xdr:colOff>
      <xdr:row>73</xdr:row>
      <xdr:rowOff>96103</xdr:rowOff>
    </xdr:from>
    <xdr:to>
      <xdr:col>57</xdr:col>
      <xdr:colOff>474114</xdr:colOff>
      <xdr:row>73</xdr:row>
      <xdr:rowOff>514383</xdr:rowOff>
    </xdr:to>
    <xdr:sp macro="" textlink="">
      <xdr:nvSpPr>
        <xdr:cNvPr id="109" name="Rounded Rectangle 108">
          <a:hlinkClick xmlns:r="http://purl.oclc.org/ooxml/officeDocument/relationships" r:id="rId25"/>
          <a:extLst>
            <a:ext uri="{FF2B5EF4-FFF2-40B4-BE49-F238E27FC236}">
              <a16:creationId xmlns:a16="http://schemas.microsoft.com/office/drawing/2014/main" id="{00000000-0008-0000-1000-00006D000000}"/>
            </a:ext>
          </a:extLst>
        </xdr:cNvPr>
        <xdr:cNvSpPr/>
      </xdr:nvSpPr>
      <xdr:spPr>
        <a:xfrm>
          <a:off x="41294587" y="16541016"/>
          <a:ext cx="867595" cy="42399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91</xdr:col>
      <xdr:colOff>187325</xdr:colOff>
      <xdr:row>111</xdr:row>
      <xdr:rowOff>59742</xdr:rowOff>
    </xdr:from>
    <xdr:to>
      <xdr:col>92</xdr:col>
      <xdr:colOff>363974</xdr:colOff>
      <xdr:row>111</xdr:row>
      <xdr:rowOff>494737</xdr:rowOff>
    </xdr:to>
    <xdr:sp macro="" textlink="">
      <xdr:nvSpPr>
        <xdr:cNvPr id="110" name="Rounded Rectangle 109">
          <a:hlinkClick xmlns:r="http://purl.oclc.org/ooxml/officeDocument/relationships" r:id="rId26"/>
          <a:extLst>
            <a:ext uri="{FF2B5EF4-FFF2-40B4-BE49-F238E27FC236}">
              <a16:creationId xmlns:a16="http://schemas.microsoft.com/office/drawing/2014/main" id="{00000000-0008-0000-1000-00006E000000}"/>
            </a:ext>
          </a:extLst>
        </xdr:cNvPr>
        <xdr:cNvSpPr/>
      </xdr:nvSpPr>
      <xdr:spPr>
        <a:xfrm>
          <a:off x="65028763" y="24209427"/>
          <a:ext cx="795297" cy="43118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132</xdr:col>
      <xdr:colOff>515015</xdr:colOff>
      <xdr:row>73</xdr:row>
      <xdr:rowOff>93667</xdr:rowOff>
    </xdr:from>
    <xdr:to>
      <xdr:col>134</xdr:col>
      <xdr:colOff>54457</xdr:colOff>
      <xdr:row>73</xdr:row>
      <xdr:rowOff>517662</xdr:rowOff>
    </xdr:to>
    <xdr:sp macro="" textlink="">
      <xdr:nvSpPr>
        <xdr:cNvPr id="111" name="Rounded Rectangle 110">
          <a:hlinkClick xmlns:r="http://purl.oclc.org/ooxml/officeDocument/relationships" r:id="rId25"/>
          <a:extLst>
            <a:ext uri="{FF2B5EF4-FFF2-40B4-BE49-F238E27FC236}">
              <a16:creationId xmlns:a16="http://schemas.microsoft.com/office/drawing/2014/main" id="{00000000-0008-0000-1000-00006F000000}"/>
            </a:ext>
          </a:extLst>
        </xdr:cNvPr>
        <xdr:cNvSpPr/>
      </xdr:nvSpPr>
      <xdr:spPr>
        <a:xfrm>
          <a:off x="93469490" y="16544295"/>
          <a:ext cx="767215" cy="42399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91</xdr:col>
      <xdr:colOff>20975</xdr:colOff>
      <xdr:row>6</xdr:row>
      <xdr:rowOff>57150</xdr:rowOff>
    </xdr:from>
    <xdr:to>
      <xdr:col>92</xdr:col>
      <xdr:colOff>245260</xdr:colOff>
      <xdr:row>6</xdr:row>
      <xdr:rowOff>474999</xdr:rowOff>
    </xdr:to>
    <xdr:sp macro="" textlink="">
      <xdr:nvSpPr>
        <xdr:cNvPr id="112" name="Rounded Rectangle 111">
          <a:hlinkClick xmlns:r="http://purl.oclc.org/ooxml/officeDocument/relationships" r:id="rId27"/>
          <a:extLst>
            <a:ext uri="{FF2B5EF4-FFF2-40B4-BE49-F238E27FC236}">
              <a16:creationId xmlns:a16="http://schemas.microsoft.com/office/drawing/2014/main" id="{00000000-0008-0000-1000-000070000000}"/>
            </a:ext>
          </a:extLst>
        </xdr:cNvPr>
        <xdr:cNvSpPr/>
      </xdr:nvSpPr>
      <xdr:spPr>
        <a:xfrm>
          <a:off x="64682577" y="3159125"/>
          <a:ext cx="799894" cy="4311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27</xdr:col>
      <xdr:colOff>56527</xdr:colOff>
      <xdr:row>111</xdr:row>
      <xdr:rowOff>58930</xdr:rowOff>
    </xdr:from>
    <xdr:to>
      <xdr:col>28</xdr:col>
      <xdr:colOff>247349</xdr:colOff>
      <xdr:row>111</xdr:row>
      <xdr:rowOff>512198</xdr:rowOff>
    </xdr:to>
    <xdr:sp macro="" textlink="">
      <xdr:nvSpPr>
        <xdr:cNvPr id="113" name="Rounded Rectangle 112">
          <a:hlinkClick xmlns:r="http://purl.oclc.org/ooxml/officeDocument/relationships" r:id="rId28"/>
          <a:extLst>
            <a:ext uri="{FF2B5EF4-FFF2-40B4-BE49-F238E27FC236}">
              <a16:creationId xmlns:a16="http://schemas.microsoft.com/office/drawing/2014/main" id="{00000000-0008-0000-1000-000071000000}"/>
            </a:ext>
          </a:extLst>
        </xdr:cNvPr>
        <xdr:cNvSpPr/>
      </xdr:nvSpPr>
      <xdr:spPr>
        <a:xfrm>
          <a:off x="19638498" y="24200995"/>
          <a:ext cx="1119510" cy="453268"/>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biomass</a:t>
          </a:r>
        </a:p>
      </xdr:txBody>
    </xdr:sp>
    <xdr:clientData/>
  </xdr:twoCellAnchor>
  <xdr:twoCellAnchor editAs="absolute">
    <xdr:from>
      <xdr:col>28</xdr:col>
      <xdr:colOff>307083</xdr:colOff>
      <xdr:row>111</xdr:row>
      <xdr:rowOff>58930</xdr:rowOff>
    </xdr:from>
    <xdr:to>
      <xdr:col>30</xdr:col>
      <xdr:colOff>399669</xdr:colOff>
      <xdr:row>111</xdr:row>
      <xdr:rowOff>512198</xdr:rowOff>
    </xdr:to>
    <xdr:sp macro="" textlink="">
      <xdr:nvSpPr>
        <xdr:cNvPr id="114" name="Rounded Rectangle 113">
          <a:hlinkClick xmlns:r="http://purl.oclc.org/ooxml/officeDocument/relationships" r:id="rId29"/>
          <a:extLst>
            <a:ext uri="{FF2B5EF4-FFF2-40B4-BE49-F238E27FC236}">
              <a16:creationId xmlns:a16="http://schemas.microsoft.com/office/drawing/2014/main" id="{00000000-0008-0000-1000-000072000000}"/>
            </a:ext>
          </a:extLst>
        </xdr:cNvPr>
        <xdr:cNvSpPr/>
      </xdr:nvSpPr>
      <xdr:spPr>
        <a:xfrm>
          <a:off x="20821552" y="24200995"/>
          <a:ext cx="1215583" cy="453268"/>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drainage</a:t>
          </a:r>
        </a:p>
      </xdr:txBody>
    </xdr:sp>
    <xdr:clientData/>
  </xdr:twoCellAnchor>
  <xdr:twoCellAnchor editAs="absolute">
    <xdr:from>
      <xdr:col>30</xdr:col>
      <xdr:colOff>478344</xdr:colOff>
      <xdr:row>111</xdr:row>
      <xdr:rowOff>53775</xdr:rowOff>
    </xdr:from>
    <xdr:to>
      <xdr:col>31</xdr:col>
      <xdr:colOff>592189</xdr:colOff>
      <xdr:row>111</xdr:row>
      <xdr:rowOff>510853</xdr:rowOff>
    </xdr:to>
    <xdr:sp macro="" textlink="">
      <xdr:nvSpPr>
        <xdr:cNvPr id="115" name="Rounded Rectangle 114">
          <a:hlinkClick xmlns:r="http://purl.oclc.org/ooxml/officeDocument/relationships" r:id="rId30"/>
          <a:extLst>
            <a:ext uri="{FF2B5EF4-FFF2-40B4-BE49-F238E27FC236}">
              <a16:creationId xmlns:a16="http://schemas.microsoft.com/office/drawing/2014/main" id="{00000000-0008-0000-1000-000073000000}"/>
            </a:ext>
          </a:extLst>
        </xdr:cNvPr>
        <xdr:cNvSpPr/>
      </xdr:nvSpPr>
      <xdr:spPr>
        <a:xfrm>
          <a:off x="22108190" y="24192030"/>
          <a:ext cx="1340189" cy="453268"/>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fire on soil</a:t>
          </a:r>
        </a:p>
      </xdr:txBody>
    </xdr:sp>
    <xdr:clientData/>
  </xdr:twoCellAnchor>
  <xdr:twoCellAnchor editAs="absolute">
    <xdr:from>
      <xdr:col>31</xdr:col>
      <xdr:colOff>666233</xdr:colOff>
      <xdr:row>111</xdr:row>
      <xdr:rowOff>53775</xdr:rowOff>
    </xdr:from>
    <xdr:to>
      <xdr:col>32</xdr:col>
      <xdr:colOff>955924</xdr:colOff>
      <xdr:row>111</xdr:row>
      <xdr:rowOff>510853</xdr:rowOff>
    </xdr:to>
    <xdr:sp macro="" textlink="">
      <xdr:nvSpPr>
        <xdr:cNvPr id="116" name="Rounded Rectangle 115">
          <a:hlinkClick xmlns:r="http://purl.oclc.org/ooxml/officeDocument/relationships" r:id="rId31"/>
          <a:extLst>
            <a:ext uri="{FF2B5EF4-FFF2-40B4-BE49-F238E27FC236}">
              <a16:creationId xmlns:a16="http://schemas.microsoft.com/office/drawing/2014/main" id="{00000000-0008-0000-1000-000074000000}"/>
            </a:ext>
          </a:extLst>
        </xdr:cNvPr>
        <xdr:cNvSpPr/>
      </xdr:nvSpPr>
      <xdr:spPr>
        <a:xfrm>
          <a:off x="23522423" y="24192030"/>
          <a:ext cx="1257907" cy="453268"/>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rewetting</a:t>
          </a:r>
        </a:p>
      </xdr:txBody>
    </xdr:sp>
    <xdr:clientData/>
  </xdr:twoCellAnchor>
  <xdr:twoCellAnchor editAs="absolute">
    <xdr:from>
      <xdr:col>67</xdr:col>
      <xdr:colOff>363640</xdr:colOff>
      <xdr:row>111</xdr:row>
      <xdr:rowOff>95721</xdr:rowOff>
    </xdr:from>
    <xdr:to>
      <xdr:col>68</xdr:col>
      <xdr:colOff>548838</xdr:colOff>
      <xdr:row>111</xdr:row>
      <xdr:rowOff>514002</xdr:rowOff>
    </xdr:to>
    <xdr:sp macro="" textlink="">
      <xdr:nvSpPr>
        <xdr:cNvPr id="118" name="Rounded Rectangle 117">
          <a:hlinkClick xmlns:r="http://purl.oclc.org/ooxml/officeDocument/relationships" r:id="rId32"/>
          <a:extLst>
            <a:ext uri="{FF2B5EF4-FFF2-40B4-BE49-F238E27FC236}">
              <a16:creationId xmlns:a16="http://schemas.microsoft.com/office/drawing/2014/main" id="{00000000-0008-0000-1000-000076000000}"/>
            </a:ext>
          </a:extLst>
        </xdr:cNvPr>
        <xdr:cNvSpPr/>
      </xdr:nvSpPr>
      <xdr:spPr>
        <a:xfrm>
          <a:off x="48290106" y="24232071"/>
          <a:ext cx="792417" cy="423996"/>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92</xdr:col>
      <xdr:colOff>631268</xdr:colOff>
      <xdr:row>73</xdr:row>
      <xdr:rowOff>59378</xdr:rowOff>
    </xdr:from>
    <xdr:to>
      <xdr:col>94</xdr:col>
      <xdr:colOff>209740</xdr:colOff>
      <xdr:row>73</xdr:row>
      <xdr:rowOff>477492</xdr:rowOff>
    </xdr:to>
    <xdr:sp macro="" textlink="">
      <xdr:nvSpPr>
        <xdr:cNvPr id="119" name="Rounded Rectangle 118">
          <a:hlinkClick xmlns:r="http://purl.oclc.org/ooxml/officeDocument/relationships" r:id="rId33"/>
          <a:extLst>
            <a:ext uri="{FF2B5EF4-FFF2-40B4-BE49-F238E27FC236}">
              <a16:creationId xmlns:a16="http://schemas.microsoft.com/office/drawing/2014/main" id="{00000000-0008-0000-1000-000077000000}"/>
            </a:ext>
          </a:extLst>
        </xdr:cNvPr>
        <xdr:cNvSpPr/>
      </xdr:nvSpPr>
      <xdr:spPr>
        <a:xfrm>
          <a:off x="66083734" y="16521436"/>
          <a:ext cx="859109" cy="4066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110</xdr:col>
      <xdr:colOff>550173</xdr:colOff>
      <xdr:row>73</xdr:row>
      <xdr:rowOff>94518</xdr:rowOff>
    </xdr:from>
    <xdr:to>
      <xdr:col>112</xdr:col>
      <xdr:colOff>152293</xdr:colOff>
      <xdr:row>73</xdr:row>
      <xdr:rowOff>510727</xdr:rowOff>
    </xdr:to>
    <xdr:sp macro="" textlink="">
      <xdr:nvSpPr>
        <xdr:cNvPr id="120" name="Rounded Rectangle 119">
          <a:hlinkClick xmlns:r="http://purl.oclc.org/ooxml/officeDocument/relationships" r:id="rId32"/>
          <a:extLst>
            <a:ext uri="{FF2B5EF4-FFF2-40B4-BE49-F238E27FC236}">
              <a16:creationId xmlns:a16="http://schemas.microsoft.com/office/drawing/2014/main" id="{00000000-0008-0000-1000-000078000000}"/>
            </a:ext>
          </a:extLst>
        </xdr:cNvPr>
        <xdr:cNvSpPr/>
      </xdr:nvSpPr>
      <xdr:spPr>
        <a:xfrm>
          <a:off x="79191431" y="16562291"/>
          <a:ext cx="827987" cy="4066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93</xdr:col>
      <xdr:colOff>57763</xdr:colOff>
      <xdr:row>40</xdr:row>
      <xdr:rowOff>55175</xdr:rowOff>
    </xdr:from>
    <xdr:to>
      <xdr:col>94</xdr:col>
      <xdr:colOff>208266</xdr:colOff>
      <xdr:row>40</xdr:row>
      <xdr:rowOff>474295</xdr:rowOff>
    </xdr:to>
    <xdr:sp macro="" textlink="">
      <xdr:nvSpPr>
        <xdr:cNvPr id="121" name="Rounded Rectangle 120">
          <a:hlinkClick xmlns:r="http://purl.oclc.org/ooxml/officeDocument/relationships" r:id="rId20"/>
          <a:extLst>
            <a:ext uri="{FF2B5EF4-FFF2-40B4-BE49-F238E27FC236}">
              <a16:creationId xmlns:a16="http://schemas.microsoft.com/office/drawing/2014/main" id="{00000000-0008-0000-1000-000079000000}"/>
            </a:ext>
          </a:extLst>
        </xdr:cNvPr>
        <xdr:cNvSpPr/>
      </xdr:nvSpPr>
      <xdr:spPr>
        <a:xfrm>
          <a:off x="66192089" y="10213328"/>
          <a:ext cx="773785" cy="41531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30</xdr:col>
      <xdr:colOff>326563</xdr:colOff>
      <xdr:row>144</xdr:row>
      <xdr:rowOff>56765</xdr:rowOff>
    </xdr:from>
    <xdr:to>
      <xdr:col>31</xdr:col>
      <xdr:colOff>438144</xdr:colOff>
      <xdr:row>144</xdr:row>
      <xdr:rowOff>517903</xdr:rowOff>
    </xdr:to>
    <xdr:sp macro="" textlink="">
      <xdr:nvSpPr>
        <xdr:cNvPr id="124" name="Rounded Rectangle 123">
          <a:hlinkClick xmlns:r="http://purl.oclc.org/ooxml/officeDocument/relationships" r:id="rId34"/>
          <a:extLst>
            <a:ext uri="{FF2B5EF4-FFF2-40B4-BE49-F238E27FC236}">
              <a16:creationId xmlns:a16="http://schemas.microsoft.com/office/drawing/2014/main" id="{00000000-0008-0000-1000-00007C000000}"/>
            </a:ext>
          </a:extLst>
        </xdr:cNvPr>
        <xdr:cNvSpPr/>
      </xdr:nvSpPr>
      <xdr:spPr>
        <a:xfrm>
          <a:off x="21971649" y="30788225"/>
          <a:ext cx="1339830" cy="455423"/>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fire on soil</a:t>
          </a:r>
        </a:p>
      </xdr:txBody>
    </xdr:sp>
    <xdr:clientData/>
  </xdr:twoCellAnchor>
  <xdr:twoCellAnchor editAs="absolute">
    <xdr:from>
      <xdr:col>31</xdr:col>
      <xdr:colOff>536167</xdr:colOff>
      <xdr:row>144</xdr:row>
      <xdr:rowOff>57324</xdr:rowOff>
    </xdr:from>
    <xdr:to>
      <xdr:col>32</xdr:col>
      <xdr:colOff>815522</xdr:colOff>
      <xdr:row>144</xdr:row>
      <xdr:rowOff>512747</xdr:rowOff>
    </xdr:to>
    <xdr:sp macro="" textlink="">
      <xdr:nvSpPr>
        <xdr:cNvPr id="125" name="Rounded Rectangle 124">
          <a:hlinkClick xmlns:r="http://purl.oclc.org/ooxml/officeDocument/relationships" r:id="rId35"/>
          <a:extLst>
            <a:ext uri="{FF2B5EF4-FFF2-40B4-BE49-F238E27FC236}">
              <a16:creationId xmlns:a16="http://schemas.microsoft.com/office/drawing/2014/main" id="{00000000-0008-0000-1000-00007D000000}"/>
            </a:ext>
          </a:extLst>
        </xdr:cNvPr>
        <xdr:cNvSpPr/>
      </xdr:nvSpPr>
      <xdr:spPr>
        <a:xfrm>
          <a:off x="23396167" y="30779259"/>
          <a:ext cx="1239951" cy="455423"/>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rewetting</a:t>
          </a:r>
        </a:p>
      </xdr:txBody>
    </xdr:sp>
    <xdr:clientData/>
  </xdr:twoCellAnchor>
  <xdr:twoCellAnchor editAs="absolute">
    <xdr:from>
      <xdr:col>109</xdr:col>
      <xdr:colOff>130253</xdr:colOff>
      <xdr:row>111</xdr:row>
      <xdr:rowOff>53885</xdr:rowOff>
    </xdr:from>
    <xdr:to>
      <xdr:col>110</xdr:col>
      <xdr:colOff>324601</xdr:colOff>
      <xdr:row>111</xdr:row>
      <xdr:rowOff>472658</xdr:rowOff>
    </xdr:to>
    <xdr:sp macro="" textlink="">
      <xdr:nvSpPr>
        <xdr:cNvPr id="126" name="Rounded Rectangle 125">
          <a:hlinkClick xmlns:r="http://purl.oclc.org/ooxml/officeDocument/relationships" r:id="rId26"/>
          <a:extLst>
            <a:ext uri="{FF2B5EF4-FFF2-40B4-BE49-F238E27FC236}">
              <a16:creationId xmlns:a16="http://schemas.microsoft.com/office/drawing/2014/main" id="{00000000-0008-0000-1000-00007E000000}"/>
            </a:ext>
          </a:extLst>
        </xdr:cNvPr>
        <xdr:cNvSpPr/>
      </xdr:nvSpPr>
      <xdr:spPr>
        <a:xfrm>
          <a:off x="78171912" y="24195950"/>
          <a:ext cx="809187" cy="426393"/>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134</xdr:col>
      <xdr:colOff>132919</xdr:colOff>
      <xdr:row>144</xdr:row>
      <xdr:rowOff>56300</xdr:rowOff>
    </xdr:from>
    <xdr:to>
      <xdr:col>135</xdr:col>
      <xdr:colOff>358284</xdr:colOff>
      <xdr:row>144</xdr:row>
      <xdr:rowOff>492193</xdr:rowOff>
    </xdr:to>
    <xdr:sp macro="" textlink="">
      <xdr:nvSpPr>
        <xdr:cNvPr id="127" name="Rounded Rectangle 126">
          <a:hlinkClick xmlns:r="http://purl.oclc.org/ooxml/officeDocument/relationships" r:id="rId36"/>
          <a:extLst>
            <a:ext uri="{FF2B5EF4-FFF2-40B4-BE49-F238E27FC236}">
              <a16:creationId xmlns:a16="http://schemas.microsoft.com/office/drawing/2014/main" id="{00000000-0008-0000-1000-00007F000000}"/>
            </a:ext>
          </a:extLst>
        </xdr:cNvPr>
        <xdr:cNvSpPr/>
      </xdr:nvSpPr>
      <xdr:spPr>
        <a:xfrm>
          <a:off x="94307547" y="30787760"/>
          <a:ext cx="828773" cy="422558"/>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92</xdr:col>
      <xdr:colOff>513800</xdr:colOff>
      <xdr:row>144</xdr:row>
      <xdr:rowOff>54065</xdr:rowOff>
    </xdr:from>
    <xdr:to>
      <xdr:col>93</xdr:col>
      <xdr:colOff>590725</xdr:colOff>
      <xdr:row>144</xdr:row>
      <xdr:rowOff>475724</xdr:rowOff>
    </xdr:to>
    <xdr:sp macro="" textlink="">
      <xdr:nvSpPr>
        <xdr:cNvPr id="128" name="Rounded Rectangle 127">
          <a:hlinkClick xmlns:r="http://purl.oclc.org/ooxml/officeDocument/relationships" r:id="rId36"/>
          <a:extLst>
            <a:ext uri="{FF2B5EF4-FFF2-40B4-BE49-F238E27FC236}">
              <a16:creationId xmlns:a16="http://schemas.microsoft.com/office/drawing/2014/main" id="{00000000-0008-0000-1000-000080000000}"/>
            </a:ext>
          </a:extLst>
        </xdr:cNvPr>
        <xdr:cNvSpPr/>
      </xdr:nvSpPr>
      <xdr:spPr>
        <a:xfrm>
          <a:off x="66263242" y="30741982"/>
          <a:ext cx="753744" cy="4311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31</xdr:col>
      <xdr:colOff>208863</xdr:colOff>
      <xdr:row>168</xdr:row>
      <xdr:rowOff>55397</xdr:rowOff>
    </xdr:from>
    <xdr:to>
      <xdr:col>32</xdr:col>
      <xdr:colOff>401289</xdr:colOff>
      <xdr:row>168</xdr:row>
      <xdr:rowOff>513333</xdr:rowOff>
    </xdr:to>
    <xdr:sp macro="" textlink="">
      <xdr:nvSpPr>
        <xdr:cNvPr id="129" name="Rounded Rectangle 128">
          <a:hlinkClick xmlns:r="http://purl.oclc.org/ooxml/officeDocument/relationships" r:id="rId37"/>
          <a:extLst>
            <a:ext uri="{FF2B5EF4-FFF2-40B4-BE49-F238E27FC236}">
              <a16:creationId xmlns:a16="http://schemas.microsoft.com/office/drawing/2014/main" id="{00000000-0008-0000-1000-000081000000}"/>
            </a:ext>
          </a:extLst>
        </xdr:cNvPr>
        <xdr:cNvSpPr/>
      </xdr:nvSpPr>
      <xdr:spPr>
        <a:xfrm>
          <a:off x="23078388" y="35537451"/>
          <a:ext cx="1133972" cy="440791"/>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drainage</a:t>
          </a:r>
        </a:p>
      </xdr:txBody>
    </xdr:sp>
    <xdr:clientData/>
  </xdr:twoCellAnchor>
  <xdr:twoCellAnchor editAs="absolute">
    <xdr:from>
      <xdr:col>134</xdr:col>
      <xdr:colOff>92708</xdr:colOff>
      <xdr:row>111</xdr:row>
      <xdr:rowOff>77320</xdr:rowOff>
    </xdr:from>
    <xdr:to>
      <xdr:col>135</xdr:col>
      <xdr:colOff>284114</xdr:colOff>
      <xdr:row>111</xdr:row>
      <xdr:rowOff>515905</xdr:rowOff>
    </xdr:to>
    <xdr:sp macro="" textlink="">
      <xdr:nvSpPr>
        <xdr:cNvPr id="130" name="Rounded Rectangle 129">
          <a:hlinkClick xmlns:r="http://purl.oclc.org/ooxml/officeDocument/relationships" r:id="rId26"/>
          <a:extLst>
            <a:ext uri="{FF2B5EF4-FFF2-40B4-BE49-F238E27FC236}">
              <a16:creationId xmlns:a16="http://schemas.microsoft.com/office/drawing/2014/main" id="{00000000-0008-0000-1000-000082000000}"/>
            </a:ext>
          </a:extLst>
        </xdr:cNvPr>
        <xdr:cNvSpPr/>
      </xdr:nvSpPr>
      <xdr:spPr>
        <a:xfrm>
          <a:off x="94263526" y="24223195"/>
          <a:ext cx="802434" cy="43477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110</xdr:col>
      <xdr:colOff>154567</xdr:colOff>
      <xdr:row>144</xdr:row>
      <xdr:rowOff>60617</xdr:rowOff>
    </xdr:from>
    <xdr:to>
      <xdr:col>111</xdr:col>
      <xdr:colOff>362374</xdr:colOff>
      <xdr:row>144</xdr:row>
      <xdr:rowOff>479363</xdr:rowOff>
    </xdr:to>
    <xdr:sp macro="" textlink="">
      <xdr:nvSpPr>
        <xdr:cNvPr id="131" name="Rounded Rectangle 130">
          <a:hlinkClick xmlns:r="http://purl.oclc.org/ooxml/officeDocument/relationships" r:id="rId36"/>
          <a:extLst>
            <a:ext uri="{FF2B5EF4-FFF2-40B4-BE49-F238E27FC236}">
              <a16:creationId xmlns:a16="http://schemas.microsoft.com/office/drawing/2014/main" id="{00000000-0008-0000-1000-000083000000}"/>
            </a:ext>
          </a:extLst>
        </xdr:cNvPr>
        <xdr:cNvSpPr/>
      </xdr:nvSpPr>
      <xdr:spPr>
        <a:xfrm>
          <a:off x="78807255" y="30790172"/>
          <a:ext cx="801690" cy="414936"/>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28</xdr:col>
      <xdr:colOff>167709</xdr:colOff>
      <xdr:row>144</xdr:row>
      <xdr:rowOff>60154</xdr:rowOff>
    </xdr:from>
    <xdr:to>
      <xdr:col>30</xdr:col>
      <xdr:colOff>247609</xdr:colOff>
      <xdr:row>144</xdr:row>
      <xdr:rowOff>514570</xdr:rowOff>
    </xdr:to>
    <xdr:sp macro="" textlink="">
      <xdr:nvSpPr>
        <xdr:cNvPr id="73" name="Rounded Rectangle 122">
          <a:hlinkClick xmlns:r="http://purl.oclc.org/ooxml/officeDocument/relationships" r:id="rId38"/>
          <a:extLst>
            <a:ext uri="{FF2B5EF4-FFF2-40B4-BE49-F238E27FC236}">
              <a16:creationId xmlns:a16="http://schemas.microsoft.com/office/drawing/2014/main" id="{00000000-0008-0000-1000-000049000000}"/>
            </a:ext>
          </a:extLst>
        </xdr:cNvPr>
        <xdr:cNvSpPr/>
      </xdr:nvSpPr>
      <xdr:spPr>
        <a:xfrm>
          <a:off x="20678368" y="30789709"/>
          <a:ext cx="1199087" cy="446796"/>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latin typeface="Roboto light"/>
            </a:rPr>
            <a:t>Tier 2 drainage</a:t>
          </a:r>
        </a:p>
      </xdr:txBody>
    </xdr:sp>
    <xdr:clientData/>
  </xdr:twoCellAnchor>
  <xdr:twoCellAnchor>
    <xdr:from>
      <xdr:col>0</xdr:col>
      <xdr:colOff>190500</xdr:colOff>
      <xdr:row>0</xdr:row>
      <xdr:rowOff>142875</xdr:rowOff>
    </xdr:from>
    <xdr:to>
      <xdr:col>24</xdr:col>
      <xdr:colOff>633308</xdr:colOff>
      <xdr:row>0</xdr:row>
      <xdr:rowOff>1069181</xdr:rowOff>
    </xdr:to>
    <xdr:grpSp>
      <xdr:nvGrpSpPr>
        <xdr:cNvPr id="71" name="Group 70">
          <a:hlinkClick xmlns:r="http://purl.oclc.org/ooxml/officeDocument/relationships" r:id="rId39"/>
          <a:extLst>
            <a:ext uri="{FF2B5EF4-FFF2-40B4-BE49-F238E27FC236}">
              <a16:creationId xmlns:a16="http://schemas.microsoft.com/office/drawing/2014/main" id="{00000000-0008-0000-1000-000047000000}"/>
            </a:ext>
          </a:extLst>
        </xdr:cNvPr>
        <xdr:cNvGrpSpPr/>
      </xdr:nvGrpSpPr>
      <xdr:grpSpPr>
        <a:xfrm>
          <a:off x="190500" y="142875"/>
          <a:ext cx="20437688" cy="926306"/>
          <a:chOff x="148166" y="116417"/>
          <a:chExt cx="17238558" cy="926306"/>
        </a:xfrm>
      </xdr:grpSpPr>
      <xdr:grpSp>
        <xdr:nvGrpSpPr>
          <xdr:cNvPr id="72" name="Group 71">
            <a:extLst>
              <a:ext uri="{FF2B5EF4-FFF2-40B4-BE49-F238E27FC236}">
                <a16:creationId xmlns:a16="http://schemas.microsoft.com/office/drawing/2014/main" id="{00000000-0008-0000-1000-000048000000}"/>
              </a:ext>
            </a:extLst>
          </xdr:cNvPr>
          <xdr:cNvGrpSpPr/>
        </xdr:nvGrpSpPr>
        <xdr:grpSpPr>
          <a:xfrm>
            <a:off x="148166" y="116417"/>
            <a:ext cx="17238558" cy="926306"/>
            <a:chOff x="148166" y="116417"/>
            <a:chExt cx="17215408" cy="926306"/>
          </a:xfrm>
        </xdr:grpSpPr>
        <xdr:sp macro="" textlink="">
          <xdr:nvSpPr>
            <xdr:cNvPr id="76" name="Rounded Rectangle 82">
              <a:hlinkClick xmlns:r="http://purl.oclc.org/ooxml/officeDocument/relationships" r:id="rId40"/>
              <a:extLst>
                <a:ext uri="{FF2B5EF4-FFF2-40B4-BE49-F238E27FC236}">
                  <a16:creationId xmlns:a16="http://schemas.microsoft.com/office/drawing/2014/main" id="{00000000-0008-0000-1000-00004C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77" name="Rounded Rectangle 83">
              <a:hlinkClick xmlns:r="http://purl.oclc.org/ooxml/officeDocument/relationships" r:id="rId41"/>
              <a:extLst>
                <a:ext uri="{FF2B5EF4-FFF2-40B4-BE49-F238E27FC236}">
                  <a16:creationId xmlns:a16="http://schemas.microsoft.com/office/drawing/2014/main" id="{00000000-0008-0000-1000-00004D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78" name="Rounded Rectangle 84">
              <a:hlinkClick xmlns:r="http://purl.oclc.org/ooxml/officeDocument/relationships" r:id="rId42"/>
              <a:extLst>
                <a:ext uri="{FF2B5EF4-FFF2-40B4-BE49-F238E27FC236}">
                  <a16:creationId xmlns:a16="http://schemas.microsoft.com/office/drawing/2014/main" id="{00000000-0008-0000-1000-00004E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      </a:t>
              </a:r>
            </a:p>
            <a:p>
              <a:pPr marL="0" indent="0" algn="r"/>
              <a:r>
                <a:rPr lang="en-US" sz="1200" b="1">
                  <a:solidFill>
                    <a:schemeClr val="lt1"/>
                  </a:solidFill>
                  <a:latin typeface="Roboto Light" panose="02000000000000000000" pitchFamily="2" charset="0"/>
                  <a:ea typeface="Roboto Light" panose="02000000000000000000" pitchFamily="2" charset="0"/>
                  <a:cs typeface="+mn-cs"/>
                </a:rPr>
                <a:t>changes</a:t>
              </a:r>
            </a:p>
          </xdr:txBody>
        </xdr:sp>
        <xdr:sp macro="" textlink="">
          <xdr:nvSpPr>
            <xdr:cNvPr id="79" name="Rounded Rectangle 85">
              <a:hlinkClick xmlns:r="http://purl.oclc.org/ooxml/officeDocument/relationships" r:id="rId43"/>
              <a:extLst>
                <a:ext uri="{FF2B5EF4-FFF2-40B4-BE49-F238E27FC236}">
                  <a16:creationId xmlns:a16="http://schemas.microsoft.com/office/drawing/2014/main" id="{00000000-0008-0000-1000-00004F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80" name="Rounded Rectangle 86">
              <a:hlinkClick xmlns:r="http://purl.oclc.org/ooxml/officeDocument/relationships" r:id="rId44"/>
              <a:extLst>
                <a:ext uri="{FF2B5EF4-FFF2-40B4-BE49-F238E27FC236}">
                  <a16:creationId xmlns:a16="http://schemas.microsoft.com/office/drawing/2014/main" id="{00000000-0008-0000-1000-000050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117" name="Rounded Rectangle 87">
              <a:hlinkClick xmlns:r="http://purl.oclc.org/ooxml/officeDocument/relationships" r:id="rId45"/>
              <a:extLst>
                <a:ext uri="{FF2B5EF4-FFF2-40B4-BE49-F238E27FC236}">
                  <a16:creationId xmlns:a16="http://schemas.microsoft.com/office/drawing/2014/main" id="{00000000-0008-0000-1000-000075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122" name="Rounded Rectangle 88">
              <a:hlinkClick xmlns:r="http://purl.oclc.org/ooxml/officeDocument/relationships" r:id="rId46"/>
              <a:extLst>
                <a:ext uri="{FF2B5EF4-FFF2-40B4-BE49-F238E27FC236}">
                  <a16:creationId xmlns:a16="http://schemas.microsoft.com/office/drawing/2014/main" id="{00000000-0008-0000-1000-00007A000000}"/>
                </a:ext>
              </a:extLst>
            </xdr:cNvPr>
            <xdr:cNvSpPr/>
          </xdr:nvSpPr>
          <xdr:spPr>
            <a:xfrm>
              <a:off x="9666818" y="116417"/>
              <a:ext cx="1463040"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ysClr val="windowText" lastClr="000000"/>
                  </a:solidFill>
                  <a:latin typeface="Roboto Light" panose="02000000000000000000" pitchFamily="2" charset="0"/>
                  <a:ea typeface="Roboto Light" panose="02000000000000000000" pitchFamily="2" charset="0"/>
                </a:rPr>
                <a:t>Inland wetlands</a:t>
              </a:r>
            </a:p>
          </xdr:txBody>
        </xdr:sp>
        <xdr:sp macro="" textlink="">
          <xdr:nvSpPr>
            <xdr:cNvPr id="123" name="Rounded Rectangle 89">
              <a:hlinkClick xmlns:r="http://purl.oclc.org/ooxml/officeDocument/relationships" r:id="rId47"/>
              <a:extLst>
                <a:ext uri="{FF2B5EF4-FFF2-40B4-BE49-F238E27FC236}">
                  <a16:creationId xmlns:a16="http://schemas.microsoft.com/office/drawing/2014/main" id="{00000000-0008-0000-1000-00007B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132" name="Rounded Rectangle 90">
              <a:hlinkClick xmlns:r="http://purl.oclc.org/ooxml/officeDocument/relationships" r:id="rId39"/>
              <a:extLst>
                <a:ext uri="{FF2B5EF4-FFF2-40B4-BE49-F238E27FC236}">
                  <a16:creationId xmlns:a16="http://schemas.microsoft.com/office/drawing/2014/main" id="{00000000-0008-0000-1000-000084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133" name="Rounded Rectangle 91">
              <a:hlinkClick xmlns:r="http://purl.oclc.org/ooxml/officeDocument/relationships" r:id="rId48"/>
              <a:extLst>
                <a:ext uri="{FF2B5EF4-FFF2-40B4-BE49-F238E27FC236}">
                  <a16:creationId xmlns:a16="http://schemas.microsoft.com/office/drawing/2014/main" id="{00000000-0008-0000-1000-000085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p>
            <a:p>
              <a:pPr algn="r"/>
              <a:r>
                <a:rPr lang="en-US" sz="1200" b="1">
                  <a:solidFill>
                    <a:schemeClr val="tx1">
                      <a:lumMod val="75%"/>
                      <a:lumOff val="25%"/>
                    </a:schemeClr>
                  </a:solidFill>
                  <a:latin typeface="Roboto Light" panose="02000000000000000000" pitchFamily="2" charset="0"/>
                  <a:ea typeface="Roboto Light" panose="02000000000000000000" pitchFamily="2" charset="0"/>
                </a:rPr>
                <a:t>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75" name="Rounded Rectangle 89">
            <a:hlinkClick xmlns:r="http://purl.oclc.org/ooxml/officeDocument/relationships" r:id="rId49"/>
            <a:extLst>
              <a:ext uri="{FF2B5EF4-FFF2-40B4-BE49-F238E27FC236}">
                <a16:creationId xmlns:a16="http://schemas.microsoft.com/office/drawing/2014/main" id="{00000000-0008-0000-1000-00004B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twoCellAnchor>
    <xdr:from>
      <xdr:col>1</xdr:col>
      <xdr:colOff>10886</xdr:colOff>
      <xdr:row>184</xdr:row>
      <xdr:rowOff>97971</xdr:rowOff>
    </xdr:from>
    <xdr:to>
      <xdr:col>4</xdr:col>
      <xdr:colOff>419765</xdr:colOff>
      <xdr:row>188</xdr:row>
      <xdr:rowOff>67492</xdr:rowOff>
    </xdr:to>
    <xdr:grpSp>
      <xdr:nvGrpSpPr>
        <xdr:cNvPr id="134" name="Group 133">
          <a:extLst>
            <a:ext uri="{FF2B5EF4-FFF2-40B4-BE49-F238E27FC236}">
              <a16:creationId xmlns:a16="http://schemas.microsoft.com/office/drawing/2014/main" id="{00000000-0008-0000-1000-000086000000}"/>
            </a:ext>
          </a:extLst>
        </xdr:cNvPr>
        <xdr:cNvGrpSpPr/>
      </xdr:nvGrpSpPr>
      <xdr:grpSpPr>
        <a:xfrm>
          <a:off x="417286" y="38370691"/>
          <a:ext cx="3690559" cy="701041"/>
          <a:chOff x="337607" y="25796278"/>
          <a:chExt cx="3263317" cy="731520"/>
        </a:xfrm>
      </xdr:grpSpPr>
      <xdr:sp macro="" textlink="">
        <xdr:nvSpPr>
          <xdr:cNvPr id="135" name="Rectangle 134">
            <a:hlinkClick xmlns:r="http://purl.oclc.org/ooxml/officeDocument/relationships" r:id="rId5"/>
            <a:extLst>
              <a:ext uri="{FF2B5EF4-FFF2-40B4-BE49-F238E27FC236}">
                <a16:creationId xmlns:a16="http://schemas.microsoft.com/office/drawing/2014/main" id="{00000000-0008-0000-1000-000087000000}"/>
              </a:ext>
            </a:extLst>
          </xdr:cNvPr>
          <xdr:cNvSpPr/>
        </xdr:nvSpPr>
        <xdr:spPr>
          <a:xfrm>
            <a:off x="337607"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LUC</a:t>
            </a:r>
          </a:p>
        </xdr:txBody>
      </xdr:sp>
      <xdr:sp macro="" textlink="">
        <xdr:nvSpPr>
          <xdr:cNvPr id="136" name="Rectangle 135">
            <a:hlinkClick xmlns:r="http://purl.oclc.org/ooxml/officeDocument/relationships" r:id="rId2"/>
            <a:extLst>
              <a:ext uri="{FF2B5EF4-FFF2-40B4-BE49-F238E27FC236}">
                <a16:creationId xmlns:a16="http://schemas.microsoft.com/office/drawing/2014/main" id="{00000000-0008-0000-1000-000088000000}"/>
              </a:ext>
            </a:extLst>
          </xdr:cNvPr>
          <xdr:cNvSpPr/>
        </xdr:nvSpPr>
        <xdr:spPr>
          <a:xfrm>
            <a:off x="2025471"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baseline="0%">
                <a:latin typeface="Roboto Light" panose="02000000000000000000" pitchFamily="2" charset="0"/>
                <a:ea typeface="Roboto Light" panose="02000000000000000000" pitchFamily="2" charset="0"/>
              </a:rPr>
              <a:t>    </a:t>
            </a:r>
            <a:r>
              <a:rPr lang="en-US" sz="900" b="0">
                <a:latin typeface="Roboto Light" panose="02000000000000000000" pitchFamily="2" charset="0"/>
                <a:ea typeface="Roboto Light" panose="02000000000000000000" pitchFamily="2" charset="0"/>
              </a:rPr>
              <a:t>Land mngt.</a:t>
            </a:r>
          </a:p>
        </xdr:txBody>
      </xdr:sp>
      <xdr:sp macro="" textlink="">
        <xdr:nvSpPr>
          <xdr:cNvPr id="137" name="Rectangle 136">
            <a:hlinkClick xmlns:r="http://purl.oclc.org/ooxml/officeDocument/relationships" r:id="rId1"/>
            <a:extLst>
              <a:ext uri="{FF2B5EF4-FFF2-40B4-BE49-F238E27FC236}">
                <a16:creationId xmlns:a16="http://schemas.microsoft.com/office/drawing/2014/main" id="{00000000-0008-0000-1000-000089000000}"/>
              </a:ext>
            </a:extLst>
          </xdr:cNvPr>
          <xdr:cNvSpPr/>
        </xdr:nvSpPr>
        <xdr:spPr>
          <a:xfrm>
            <a:off x="1181539"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    Forest mngt.</a:t>
            </a:r>
          </a:p>
        </xdr:txBody>
      </xdr:sp>
      <xdr:sp macro="" textlink="">
        <xdr:nvSpPr>
          <xdr:cNvPr id="138" name="Rectangle 137">
            <a:hlinkClick xmlns:r="http://purl.oclc.org/ooxml/officeDocument/relationships" r:id="rId4"/>
            <a:extLst>
              <a:ext uri="{FF2B5EF4-FFF2-40B4-BE49-F238E27FC236}">
                <a16:creationId xmlns:a16="http://schemas.microsoft.com/office/drawing/2014/main" id="{00000000-0008-0000-1000-00008A000000}"/>
              </a:ext>
            </a:extLst>
          </xdr:cNvPr>
          <xdr:cNvSpPr/>
        </xdr:nvSpPr>
        <xdr:spPr>
          <a:xfrm>
            <a:off x="2869404" y="25796278"/>
            <a:ext cx="731520" cy="73152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900" b="0">
                <a:latin typeface="Roboto Light" panose="02000000000000000000" pitchFamily="2" charset="0"/>
                <a:ea typeface="Roboto Light" panose="02000000000000000000" pitchFamily="2" charset="0"/>
              </a:rPr>
              <a:t>Water</a:t>
            </a:r>
          </a:p>
        </xdr:txBody>
      </xdr:sp>
    </xdr:grpSp>
    <xdr:clientData/>
  </xdr:twoCellAnchor>
  <xdr:twoCellAnchor editAs="absolute">
    <xdr:from>
      <xdr:col>87</xdr:col>
      <xdr:colOff>249708</xdr:colOff>
      <xdr:row>168</xdr:row>
      <xdr:rowOff>76694</xdr:rowOff>
    </xdr:from>
    <xdr:to>
      <xdr:col>88</xdr:col>
      <xdr:colOff>54747</xdr:colOff>
      <xdr:row>168</xdr:row>
      <xdr:rowOff>511689</xdr:rowOff>
    </xdr:to>
    <xdr:sp macro="" textlink="">
      <xdr:nvSpPr>
        <xdr:cNvPr id="139" name="Rounded Rectangle 138">
          <a:hlinkClick xmlns:r="http://purl.oclc.org/ooxml/officeDocument/relationships" r:id="rId50"/>
          <a:extLst>
            <a:ext uri="{FF2B5EF4-FFF2-40B4-BE49-F238E27FC236}">
              <a16:creationId xmlns:a16="http://schemas.microsoft.com/office/drawing/2014/main" id="{00000000-0008-0000-1000-00008B000000}"/>
            </a:ext>
          </a:extLst>
        </xdr:cNvPr>
        <xdr:cNvSpPr/>
      </xdr:nvSpPr>
      <xdr:spPr>
        <a:xfrm>
          <a:off x="64982504" y="34743212"/>
          <a:ext cx="805277" cy="43118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editAs="absolute">
    <xdr:from>
      <xdr:col>91</xdr:col>
      <xdr:colOff>552898</xdr:colOff>
      <xdr:row>189</xdr:row>
      <xdr:rowOff>96451</xdr:rowOff>
    </xdr:from>
    <xdr:to>
      <xdr:col>93</xdr:col>
      <xdr:colOff>19296</xdr:colOff>
      <xdr:row>189</xdr:row>
      <xdr:rowOff>514300</xdr:rowOff>
    </xdr:to>
    <xdr:sp macro="" textlink="">
      <xdr:nvSpPr>
        <xdr:cNvPr id="141" name="Rounded Rectangle 140">
          <a:hlinkClick xmlns:r="http://purl.oclc.org/ooxml/officeDocument/relationships" r:id="rId51"/>
          <a:extLst>
            <a:ext uri="{FF2B5EF4-FFF2-40B4-BE49-F238E27FC236}">
              <a16:creationId xmlns:a16="http://schemas.microsoft.com/office/drawing/2014/main" id="{00000000-0008-0000-1000-00008D000000}"/>
            </a:ext>
          </a:extLst>
        </xdr:cNvPr>
        <xdr:cNvSpPr/>
      </xdr:nvSpPr>
      <xdr:spPr>
        <a:xfrm>
          <a:off x="67432518" y="38817176"/>
          <a:ext cx="805276" cy="431184"/>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wsDr>
</file>

<file path=xl/drawings/drawing16.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762000</xdr:colOff>
          <xdr:row>125</xdr:row>
          <xdr:rowOff>152400</xdr:rowOff>
        </xdr:from>
        <xdr:to>
          <xdr:col>9</xdr:col>
          <xdr:colOff>584200</xdr:colOff>
          <xdr:row>134</xdr:row>
          <xdr:rowOff>0</xdr:rowOff>
        </xdr:to>
        <xdr:sp macro="" textlink="">
          <xdr:nvSpPr>
            <xdr:cNvPr id="105910" name="Comment 438" hidden="1">
              <a:extLst>
                <a:ext uri="{FF2B5EF4-FFF2-40B4-BE49-F238E27FC236}">
                  <a16:creationId xmlns:a16="http://schemas.microsoft.com/office/drawing/2014/main" id="{08A2B774-2B00-FDEA-8810-A245CD60CD8F}"/>
                </a:ext>
              </a:extLst>
            </xdr:cNvPr>
            <xdr:cNvSpPr txBox="1">
              <a:spLocks noChangeArrowheads="1"/>
            </xdr:cNvSpPr>
          </xdr:nvSpPr>
          <xdr:spPr bwMode="auto">
            <a:xfrm>
              <a:off x="8648700" y="26009600"/>
              <a:ext cx="4787900" cy="16129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For Grassland</a:t>
              </a:r>
              <a:r>
                <a:rPr lang="en-GB" sz="900" b="0" i="0" u="none" strike="noStrike" baseline="0%">
                  <a:solidFill>
                    <a:srgbClr val="000000"/>
                  </a:solidFill>
                  <a:latin typeface="Tahoma" pitchFamily="2" charset="0"/>
                  <a:ea typeface="Tahoma" pitchFamily="2" charset="0"/>
                  <a:cs typeface="Tahoma" pitchFamily="2" charset="0"/>
                </a:rPr>
                <a:t>: Total (above-ground and below-ground) non-woody</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biomass2 (tonnes d.m./ha).</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For Annual crops = Rice = Annual Fallow</a:t>
              </a:r>
              <a:r>
                <a:rPr lang="en-GB" sz="900" b="0" i="0" u="none" strike="noStrike" baseline="0%">
                  <a:solidFill>
                    <a:srgbClr val="000000"/>
                  </a:solidFill>
                  <a:latin typeface="Tahoma" pitchFamily="2" charset="0"/>
                  <a:ea typeface="Tahoma" pitchFamily="2" charset="0"/>
                  <a:cs typeface="Tahoma" pitchFamily="2" charset="0"/>
                </a:rPr>
                <a:t> = only AGB  (tonnes d.m./ha/year). </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For agroforestry :</a:t>
              </a:r>
              <a:r>
                <a:rPr lang="en-GB" sz="900" b="0" i="0" u="none" strike="noStrike" baseline="0%">
                  <a:solidFill>
                    <a:srgbClr val="000000"/>
                  </a:solidFill>
                  <a:latin typeface="Tahoma" pitchFamily="2" charset="0"/>
                  <a:ea typeface="Tahoma" pitchFamily="2" charset="0"/>
                  <a:cs typeface="Tahoma" pitchFamily="2" charset="0"/>
                </a:rPr>
                <a:t> the Lmean was used</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Countries should use Lmean in updated Table 5.1 and 5.3 in the case that carbon removal has occurred by land use change where the age of the perennial crop removed is unknown. Carbon losses are estimated by multiplying the annual area of land conversion by Lmean.</a:t>
              </a:r>
              <a:r>
                <a:rPr lang="en-GB" sz="900" b="1" i="0" u="none" strike="noStrike" baseline="0%">
                  <a:solidFill>
                    <a:srgbClr val="000000"/>
                  </a:solidFill>
                  <a:latin typeface="Tahoma" pitchFamily="2" charset="0"/>
                  <a:ea typeface="Tahoma" pitchFamily="2" charset="0"/>
                  <a:cs typeface="Tahoma" pitchFamily="2" charset="0"/>
                </a:rPr>
                <a:t> [ See page 5.14 in IPCC 2019]</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762000</xdr:colOff>
          <xdr:row>111</xdr:row>
          <xdr:rowOff>609600</xdr:rowOff>
        </xdr:from>
        <xdr:to>
          <xdr:col>11</xdr:col>
          <xdr:colOff>914400</xdr:colOff>
          <xdr:row>155</xdr:row>
          <xdr:rowOff>0</xdr:rowOff>
        </xdr:to>
        <xdr:sp macro="" textlink="">
          <xdr:nvSpPr>
            <xdr:cNvPr id="105912" name="Comment 440" hidden="1">
              <a:extLst>
                <a:ext uri="{FF2B5EF4-FFF2-40B4-BE49-F238E27FC236}">
                  <a16:creationId xmlns:a16="http://schemas.microsoft.com/office/drawing/2014/main" id="{656E058D-7127-CADA-DC63-EC7517F231DA}"/>
                </a:ext>
              </a:extLst>
            </xdr:cNvPr>
            <xdr:cNvSpPr txBox="1">
              <a:spLocks noChangeArrowheads="1"/>
            </xdr:cNvSpPr>
          </xdr:nvSpPr>
          <xdr:spPr bwMode="auto">
            <a:xfrm>
              <a:off x="14871700" y="23342600"/>
              <a:ext cx="1574800" cy="84836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to be kept in case future methodologies provide the C stock and drainage emissions can be made depedent on it</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38100</xdr:colOff>
          <xdr:row>123</xdr:row>
          <xdr:rowOff>0</xdr:rowOff>
        </xdr:from>
        <xdr:to>
          <xdr:col>8</xdr:col>
          <xdr:colOff>762000</xdr:colOff>
          <xdr:row>126</xdr:row>
          <xdr:rowOff>0</xdr:rowOff>
        </xdr:to>
        <xdr:sp macro="" textlink="">
          <xdr:nvSpPr>
            <xdr:cNvPr id="105914" name="Comment 442" hidden="1">
              <a:extLst>
                <a:ext uri="{FF2B5EF4-FFF2-40B4-BE49-F238E27FC236}">
                  <a16:creationId xmlns:a16="http://schemas.microsoft.com/office/drawing/2014/main" id="{9961CE03-E19A-3255-40CA-DB79EBECEF24}"/>
                </a:ext>
              </a:extLst>
            </xdr:cNvPr>
            <xdr:cNvSpPr txBox="1">
              <a:spLocks noChangeArrowheads="1"/>
            </xdr:cNvSpPr>
          </xdr:nvSpPr>
          <xdr:spPr bwMode="auto">
            <a:xfrm>
              <a:off x="10299700" y="25501600"/>
              <a:ext cx="1663700" cy="533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Please double check these values!!!</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914400</xdr:colOff>
          <xdr:row>125</xdr:row>
          <xdr:rowOff>152400</xdr:rowOff>
        </xdr:from>
        <xdr:to>
          <xdr:col>9</xdr:col>
          <xdr:colOff>25400</xdr:colOff>
          <xdr:row>129</xdr:row>
          <xdr:rowOff>254000</xdr:rowOff>
        </xdr:to>
        <xdr:sp macro="" textlink="">
          <xdr:nvSpPr>
            <xdr:cNvPr id="105916" name="Comment 444" hidden="1">
              <a:extLst>
                <a:ext uri="{FF2B5EF4-FFF2-40B4-BE49-F238E27FC236}">
                  <a16:creationId xmlns:a16="http://schemas.microsoft.com/office/drawing/2014/main" id="{BC4BC43B-91CD-960A-72D0-F7B581029D9A}"/>
                </a:ext>
              </a:extLst>
            </xdr:cNvPr>
            <xdr:cNvSpPr txBox="1">
              <a:spLocks noChangeArrowheads="1"/>
            </xdr:cNvSpPr>
          </xdr:nvSpPr>
          <xdr:spPr bwMode="auto">
            <a:xfrm>
              <a:off x="11176000" y="26009600"/>
              <a:ext cx="1701800" cy="812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Please double check!!!! Numbers are higher than EX-ACT v7</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762000</xdr:colOff>
          <xdr:row>125</xdr:row>
          <xdr:rowOff>152400</xdr:rowOff>
        </xdr:from>
        <xdr:to>
          <xdr:col>9</xdr:col>
          <xdr:colOff>762000</xdr:colOff>
          <xdr:row>128</xdr:row>
          <xdr:rowOff>0</xdr:rowOff>
        </xdr:to>
        <xdr:sp macro="" textlink="">
          <xdr:nvSpPr>
            <xdr:cNvPr id="105917" name="Comment 445" hidden="1">
              <a:extLst>
                <a:ext uri="{FF2B5EF4-FFF2-40B4-BE49-F238E27FC236}">
                  <a16:creationId xmlns:a16="http://schemas.microsoft.com/office/drawing/2014/main" id="{A40B6B8B-9BF8-9854-505D-46C65DC30AE3}"/>
                </a:ext>
              </a:extLst>
            </xdr:cNvPr>
            <xdr:cNvSpPr txBox="1">
              <a:spLocks noChangeArrowheads="1"/>
            </xdr:cNvSpPr>
          </xdr:nvSpPr>
          <xdr:spPr bwMode="auto">
            <a:xfrm>
              <a:off x="11963400" y="26009600"/>
              <a:ext cx="1651000" cy="381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Please double check!!!! Numbers are higher than EX-ACT v7</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114300</xdr:colOff>
          <xdr:row>221</xdr:row>
          <xdr:rowOff>0</xdr:rowOff>
        </xdr:from>
        <xdr:to>
          <xdr:col>15</xdr:col>
          <xdr:colOff>533400</xdr:colOff>
          <xdr:row>234</xdr:row>
          <xdr:rowOff>152400</xdr:rowOff>
        </xdr:to>
        <xdr:sp macro="" textlink="">
          <xdr:nvSpPr>
            <xdr:cNvPr id="105918" name="Comment 446" hidden="1">
              <a:extLst>
                <a:ext uri="{FF2B5EF4-FFF2-40B4-BE49-F238E27FC236}">
                  <a16:creationId xmlns:a16="http://schemas.microsoft.com/office/drawing/2014/main" id="{F8E18E16-5994-E45D-8314-070E22FD2734}"/>
                </a:ext>
              </a:extLst>
            </xdr:cNvPr>
            <xdr:cNvSpPr txBox="1">
              <a:spLocks noChangeArrowheads="1"/>
            </xdr:cNvSpPr>
          </xdr:nvSpPr>
          <xdr:spPr bwMode="auto">
            <a:xfrm>
              <a:off x="19494500" y="45262800"/>
              <a:ext cx="1612900" cy="2692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 values --&gt; emissions</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 ( - ) values --&gt; removals</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279400</xdr:colOff>
          <xdr:row>209</xdr:row>
          <xdr:rowOff>0</xdr:rowOff>
        </xdr:from>
        <xdr:to>
          <xdr:col>17</xdr:col>
          <xdr:colOff>419100</xdr:colOff>
          <xdr:row>215</xdr:row>
          <xdr:rowOff>660400</xdr:rowOff>
        </xdr:to>
        <xdr:sp macro="" textlink="">
          <xdr:nvSpPr>
            <xdr:cNvPr id="105921" name="Comment 449" hidden="1">
              <a:extLst>
                <a:ext uri="{FF2B5EF4-FFF2-40B4-BE49-F238E27FC236}">
                  <a16:creationId xmlns:a16="http://schemas.microsoft.com/office/drawing/2014/main" id="{67A649ED-B638-4017-9ECF-8548E6CBC705}"/>
                </a:ext>
              </a:extLst>
            </xdr:cNvPr>
            <xdr:cNvSpPr txBox="1">
              <a:spLocks noChangeArrowheads="1"/>
            </xdr:cNvSpPr>
          </xdr:nvSpPr>
          <xdr:spPr bwMode="auto">
            <a:xfrm>
              <a:off x="20853400" y="42240200"/>
              <a:ext cx="2209800" cy="1651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crop it is estimated that residues after crop is 40%</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Assumption taken from EX-ACTv7</a:t>
              </a: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558800</xdr:colOff>
          <xdr:row>211</xdr:row>
          <xdr:rowOff>152400</xdr:rowOff>
        </xdr:from>
        <xdr:to>
          <xdr:col>17</xdr:col>
          <xdr:colOff>1168400</xdr:colOff>
          <xdr:row>212</xdr:row>
          <xdr:rowOff>0</xdr:rowOff>
        </xdr:to>
        <xdr:sp macro="" textlink="">
          <xdr:nvSpPr>
            <xdr:cNvPr id="105922" name="Comment 450" hidden="1">
              <a:extLst>
                <a:ext uri="{FF2B5EF4-FFF2-40B4-BE49-F238E27FC236}">
                  <a16:creationId xmlns:a16="http://schemas.microsoft.com/office/drawing/2014/main" id="{FEBD379A-630A-AD0E-4201-9A597197ACB8}"/>
                </a:ext>
              </a:extLst>
            </xdr:cNvPr>
            <xdr:cNvSpPr txBox="1">
              <a:spLocks noChangeArrowheads="1"/>
            </xdr:cNvSpPr>
          </xdr:nvSpPr>
          <xdr:spPr bwMode="auto">
            <a:xfrm>
              <a:off x="22250400" y="42773600"/>
              <a:ext cx="1562100" cy="25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Double check Cf and Gef!!!</a:t>
              </a: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914400</xdr:colOff>
          <xdr:row>211</xdr:row>
          <xdr:rowOff>152400</xdr:rowOff>
        </xdr:from>
        <xdr:to>
          <xdr:col>19</xdr:col>
          <xdr:colOff>215900</xdr:colOff>
          <xdr:row>212</xdr:row>
          <xdr:rowOff>0</xdr:rowOff>
        </xdr:to>
        <xdr:sp macro="" textlink="">
          <xdr:nvSpPr>
            <xdr:cNvPr id="105923" name="Comment 451" hidden="1">
              <a:extLst>
                <a:ext uri="{FF2B5EF4-FFF2-40B4-BE49-F238E27FC236}">
                  <a16:creationId xmlns:a16="http://schemas.microsoft.com/office/drawing/2014/main" id="{46C10FB9-D7C2-145C-841F-C23E6D63D04E}"/>
                </a:ext>
              </a:extLst>
            </xdr:cNvPr>
            <xdr:cNvSpPr txBox="1">
              <a:spLocks noChangeArrowheads="1"/>
            </xdr:cNvSpPr>
          </xdr:nvSpPr>
          <xdr:spPr bwMode="auto">
            <a:xfrm>
              <a:off x="23558500" y="42773600"/>
              <a:ext cx="1651000" cy="25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Double check Cf and Gef!!!</a:t>
              </a: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762000</xdr:colOff>
          <xdr:row>314</xdr:row>
          <xdr:rowOff>152400</xdr:rowOff>
        </xdr:from>
        <xdr:to>
          <xdr:col>29</xdr:col>
          <xdr:colOff>431800</xdr:colOff>
          <xdr:row>316</xdr:row>
          <xdr:rowOff>1016000</xdr:rowOff>
        </xdr:to>
        <xdr:sp macro="" textlink="">
          <xdr:nvSpPr>
            <xdr:cNvPr id="106166" name="Comment 694" hidden="1">
              <a:extLst>
                <a:ext uri="{FF2B5EF4-FFF2-40B4-BE49-F238E27FC236}">
                  <a16:creationId xmlns:a16="http://schemas.microsoft.com/office/drawing/2014/main" id="{84901943-CDF1-43EA-0BCF-B5E62749FDAD}"/>
                </a:ext>
              </a:extLst>
            </xdr:cNvPr>
            <xdr:cNvSpPr txBox="1">
              <a:spLocks noChangeArrowheads="1"/>
            </xdr:cNvSpPr>
          </xdr:nvSpPr>
          <xdr:spPr bwMode="auto">
            <a:xfrm>
              <a:off x="34277300" y="63157100"/>
              <a:ext cx="1511300" cy="10541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same equation as EX-ACT v7</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635000</xdr:colOff>
          <xdr:row>125</xdr:row>
          <xdr:rowOff>0</xdr:rowOff>
        </xdr:from>
        <xdr:to>
          <xdr:col>8</xdr:col>
          <xdr:colOff>482600</xdr:colOff>
          <xdr:row>129</xdr:row>
          <xdr:rowOff>254000</xdr:rowOff>
        </xdr:to>
        <xdr:sp macro="" textlink="">
          <xdr:nvSpPr>
            <xdr:cNvPr id="106168" name="Comment 696" hidden="1">
              <a:extLst>
                <a:ext uri="{FF2B5EF4-FFF2-40B4-BE49-F238E27FC236}">
                  <a16:creationId xmlns:a16="http://schemas.microsoft.com/office/drawing/2014/main" id="{7F49B2AE-4A29-F454-5B1E-1BD0FD3A0A3B}"/>
                </a:ext>
              </a:extLst>
            </xdr:cNvPr>
            <xdr:cNvSpPr txBox="1">
              <a:spLocks noChangeArrowheads="1"/>
            </xdr:cNvSpPr>
          </xdr:nvSpPr>
          <xdr:spPr bwMode="auto">
            <a:xfrm>
              <a:off x="9867900" y="25857200"/>
              <a:ext cx="1816100" cy="965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crop (annual) it is estimated that residues after crop is 40%</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Assumption taken from EX-ACTv7</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63500</xdr:colOff>
          <xdr:row>405</xdr:row>
          <xdr:rowOff>0</xdr:rowOff>
        </xdr:from>
        <xdr:to>
          <xdr:col>14</xdr:col>
          <xdr:colOff>914400</xdr:colOff>
          <xdr:row>407</xdr:row>
          <xdr:rowOff>0</xdr:rowOff>
        </xdr:to>
        <xdr:sp macro="" textlink="">
          <xdr:nvSpPr>
            <xdr:cNvPr id="106190" name="Comment 718" hidden="1">
              <a:extLst>
                <a:ext uri="{FF2B5EF4-FFF2-40B4-BE49-F238E27FC236}">
                  <a16:creationId xmlns:a16="http://schemas.microsoft.com/office/drawing/2014/main" id="{24B9A051-228F-97F3-C36B-4D3DE4A3FC7C}"/>
                </a:ext>
              </a:extLst>
            </xdr:cNvPr>
            <xdr:cNvSpPr txBox="1">
              <a:spLocks noChangeArrowheads="1"/>
            </xdr:cNvSpPr>
          </xdr:nvSpPr>
          <xdr:spPr bwMode="auto">
            <a:xfrm>
              <a:off x="18186400" y="81953100"/>
              <a:ext cx="2108200" cy="558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For crop it is estimated that residues after crop is 40%</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Assumption taken from EX-ACTv7</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114300</xdr:colOff>
          <xdr:row>407</xdr:row>
          <xdr:rowOff>0</xdr:rowOff>
        </xdr:from>
        <xdr:to>
          <xdr:col>15</xdr:col>
          <xdr:colOff>381000</xdr:colOff>
          <xdr:row>407</xdr:row>
          <xdr:rowOff>0</xdr:rowOff>
        </xdr:to>
        <xdr:sp macro="" textlink="">
          <xdr:nvSpPr>
            <xdr:cNvPr id="106191" name="Comment 719" hidden="1">
              <a:extLst>
                <a:ext uri="{FF2B5EF4-FFF2-40B4-BE49-F238E27FC236}">
                  <a16:creationId xmlns:a16="http://schemas.microsoft.com/office/drawing/2014/main" id="{457C6332-1DF7-0B6B-9BC9-480FC989C8DF}"/>
                </a:ext>
              </a:extLst>
            </xdr:cNvPr>
            <xdr:cNvSpPr txBox="1">
              <a:spLocks noChangeArrowheads="1"/>
            </xdr:cNvSpPr>
          </xdr:nvSpPr>
          <xdr:spPr bwMode="auto">
            <a:xfrm>
              <a:off x="19494500" y="82511900"/>
              <a:ext cx="1460500" cy="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Double check Cf and Gef!!!</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812800</xdr:colOff>
          <xdr:row>407</xdr:row>
          <xdr:rowOff>0</xdr:rowOff>
        </xdr:from>
        <xdr:to>
          <xdr:col>17</xdr:col>
          <xdr:colOff>419100</xdr:colOff>
          <xdr:row>407</xdr:row>
          <xdr:rowOff>0</xdr:rowOff>
        </xdr:to>
        <xdr:sp macro="" textlink="">
          <xdr:nvSpPr>
            <xdr:cNvPr id="106192" name="Comment 720" hidden="1">
              <a:extLst>
                <a:ext uri="{FF2B5EF4-FFF2-40B4-BE49-F238E27FC236}">
                  <a16:creationId xmlns:a16="http://schemas.microsoft.com/office/drawing/2014/main" id="{6003525D-F815-A02F-EBB1-75CD0E6CFED5}"/>
                </a:ext>
              </a:extLst>
            </xdr:cNvPr>
            <xdr:cNvSpPr txBox="1">
              <a:spLocks noChangeArrowheads="1"/>
            </xdr:cNvSpPr>
          </xdr:nvSpPr>
          <xdr:spPr bwMode="auto">
            <a:xfrm>
              <a:off x="21386800" y="82511900"/>
              <a:ext cx="1676400" cy="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Double check Cf and Gef!!!</a:t>
              </a:r>
            </a:p>
          </xdr:txBody>
        </xdr:sp>
        <xdr:clientData/>
      </xdr:twoCellAnchor>
    </mc:Fallback>
  </mc:AlternateContent>
</xdr:wsDr>
</file>

<file path=xl/drawings/drawing17.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24</xdr:col>
          <xdr:colOff>152400</xdr:colOff>
          <xdr:row>34</xdr:row>
          <xdr:rowOff>0</xdr:rowOff>
        </xdr:from>
        <xdr:to>
          <xdr:col>26</xdr:col>
          <xdr:colOff>203200</xdr:colOff>
          <xdr:row>37</xdr:row>
          <xdr:rowOff>0</xdr:rowOff>
        </xdr:to>
        <xdr:sp macro="" textlink="">
          <xdr:nvSpPr>
            <xdr:cNvPr id="93185" name="Comment 1" hidden="1">
              <a:extLst>
                <a:ext uri="{FF2B5EF4-FFF2-40B4-BE49-F238E27FC236}">
                  <a16:creationId xmlns:a16="http://schemas.microsoft.com/office/drawing/2014/main" id="{7CA65C70-5A56-FB38-A01A-C092C917122F}"/>
                </a:ext>
              </a:extLst>
            </xdr:cNvPr>
            <xdr:cNvSpPr txBox="1">
              <a:spLocks noChangeArrowheads="1"/>
            </xdr:cNvSpPr>
          </xdr:nvSpPr>
          <xdr:spPr bwMode="auto">
            <a:xfrm>
              <a:off x="25920700" y="7162800"/>
              <a:ext cx="1549400" cy="685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 values --&gt; emissions</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 (-) values --&gt; removals</a:t>
              </a: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50800</xdr:colOff>
          <xdr:row>34</xdr:row>
          <xdr:rowOff>152400</xdr:rowOff>
        </xdr:from>
        <xdr:to>
          <xdr:col>31</xdr:col>
          <xdr:colOff>254000</xdr:colOff>
          <xdr:row>38</xdr:row>
          <xdr:rowOff>0</xdr:rowOff>
        </xdr:to>
        <xdr:sp macro="" textlink="">
          <xdr:nvSpPr>
            <xdr:cNvPr id="93188" name="Comment 4" hidden="1">
              <a:extLst>
                <a:ext uri="{FF2B5EF4-FFF2-40B4-BE49-F238E27FC236}">
                  <a16:creationId xmlns:a16="http://schemas.microsoft.com/office/drawing/2014/main" id="{4A670B65-47CC-CB2E-1642-4C2BCE13F4E5}"/>
                </a:ext>
              </a:extLst>
            </xdr:cNvPr>
            <xdr:cNvSpPr txBox="1">
              <a:spLocks noChangeArrowheads="1"/>
            </xdr:cNvSpPr>
          </xdr:nvSpPr>
          <xdr:spPr bwMode="auto">
            <a:xfrm>
              <a:off x="29438600" y="7315200"/>
              <a:ext cx="1524000" cy="7239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same equation as EX-ACT v7</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609600</xdr:colOff>
          <xdr:row>17</xdr:row>
          <xdr:rowOff>0</xdr:rowOff>
        </xdr:from>
        <xdr:to>
          <xdr:col>22</xdr:col>
          <xdr:colOff>0</xdr:colOff>
          <xdr:row>21</xdr:row>
          <xdr:rowOff>0</xdr:rowOff>
        </xdr:to>
        <xdr:sp macro="" textlink="">
          <xdr:nvSpPr>
            <xdr:cNvPr id="93189" name="Comment 5" hidden="1">
              <a:extLst>
                <a:ext uri="{FF2B5EF4-FFF2-40B4-BE49-F238E27FC236}">
                  <a16:creationId xmlns:a16="http://schemas.microsoft.com/office/drawing/2014/main" id="{217062BA-EC11-750F-F2E1-683053ABE79A}"/>
                </a:ext>
              </a:extLst>
            </xdr:cNvPr>
            <xdr:cNvSpPr txBox="1">
              <a:spLocks noChangeArrowheads="1"/>
            </xdr:cNvSpPr>
          </xdr:nvSpPr>
          <xdr:spPr bwMode="auto">
            <a:xfrm>
              <a:off x="23075900" y="3924300"/>
              <a:ext cx="1371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Adapted from table 5.10</a:t>
              </a:r>
            </a:p>
          </xdr:txBody>
        </xdr:sp>
        <xdr:clientData/>
      </xdr:twoCellAnchor>
    </mc:Fallback>
  </mc:AlternateContent>
</xdr:wsDr>
</file>

<file path=xl/drawings/drawing18.xml><?xml version="1.0" encoding="utf-8"?>
<xdr:wsDr xmlns:xdr="http://purl.oclc.org/ooxml/drawingml/spreadsheetDrawing" xmlns:a="http://purl.oclc.org/ooxml/drawingml/main">
  <xdr:twoCellAnchor>
    <xdr:from>
      <xdr:col>33</xdr:col>
      <xdr:colOff>425823</xdr:colOff>
      <xdr:row>3</xdr:row>
      <xdr:rowOff>56029</xdr:rowOff>
    </xdr:from>
    <xdr:to>
      <xdr:col>34</xdr:col>
      <xdr:colOff>735105</xdr:colOff>
      <xdr:row>3</xdr:row>
      <xdr:rowOff>513229</xdr:rowOff>
    </xdr:to>
    <xdr:sp macro="" textlink="">
      <xdr:nvSpPr>
        <xdr:cNvPr id="15" name="Rounded Rectangle 14">
          <a:hlinkClick xmlns:r="http://purl.oclc.org/ooxml/officeDocument/relationships" r:id="rId1"/>
          <a:extLst>
            <a:ext uri="{FF2B5EF4-FFF2-40B4-BE49-F238E27FC236}">
              <a16:creationId xmlns:a16="http://schemas.microsoft.com/office/drawing/2014/main" id="{00000000-0008-0000-1500-00000F000000}"/>
            </a:ext>
          </a:extLst>
        </xdr:cNvPr>
        <xdr:cNvSpPr/>
      </xdr:nvSpPr>
      <xdr:spPr>
        <a:xfrm>
          <a:off x="15452911" y="2095500"/>
          <a:ext cx="914400" cy="4572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Tier 2</a:t>
          </a:r>
        </a:p>
      </xdr:txBody>
    </xdr:sp>
    <xdr:clientData/>
  </xdr:twoCellAnchor>
  <xdr:twoCellAnchor>
    <xdr:from>
      <xdr:col>87</xdr:col>
      <xdr:colOff>212912</xdr:colOff>
      <xdr:row>3</xdr:row>
      <xdr:rowOff>44823</xdr:rowOff>
    </xdr:from>
    <xdr:to>
      <xdr:col>88</xdr:col>
      <xdr:colOff>387724</xdr:colOff>
      <xdr:row>3</xdr:row>
      <xdr:rowOff>502023</xdr:rowOff>
    </xdr:to>
    <xdr:sp macro="" textlink="">
      <xdr:nvSpPr>
        <xdr:cNvPr id="16" name="Rounded Rectangle 15">
          <a:hlinkClick xmlns:r="http://purl.oclc.org/ooxml/officeDocument/relationships" r:id="rId2"/>
          <a:extLst>
            <a:ext uri="{FF2B5EF4-FFF2-40B4-BE49-F238E27FC236}">
              <a16:creationId xmlns:a16="http://schemas.microsoft.com/office/drawing/2014/main" id="{00000000-0008-0000-1500-000010000000}"/>
            </a:ext>
          </a:extLst>
        </xdr:cNvPr>
        <xdr:cNvSpPr/>
      </xdr:nvSpPr>
      <xdr:spPr>
        <a:xfrm>
          <a:off x="47277618" y="2084294"/>
          <a:ext cx="914400" cy="4572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Back</a:t>
          </a:r>
        </a:p>
      </xdr:txBody>
    </xdr:sp>
    <xdr:clientData/>
  </xdr:twoCellAnchor>
  <xdr:twoCellAnchor editAs="oneCell">
    <xdr:from>
      <xdr:col>93</xdr:col>
      <xdr:colOff>176892</xdr:colOff>
      <xdr:row>42</xdr:row>
      <xdr:rowOff>29936</xdr:rowOff>
    </xdr:from>
    <xdr:to>
      <xdr:col>98</xdr:col>
      <xdr:colOff>35009</xdr:colOff>
      <xdr:row>56</xdr:row>
      <xdr:rowOff>71258</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purl.oclc.org/ooxml/officeDocument/relationships" r:embed="rId3"/>
        <a:stretch>
          <a:fillRect/>
        </a:stretch>
      </xdr:blipFill>
      <xdr:spPr>
        <a:xfrm>
          <a:off x="55108928" y="10153650"/>
          <a:ext cx="2919724" cy="2727916"/>
        </a:xfrm>
        <a:prstGeom prst="rect">
          <a:avLst/>
        </a:prstGeom>
      </xdr:spPr>
    </xdr:pic>
    <xdr:clientData/>
  </xdr:twoCellAnchor>
  <xdr:twoCellAnchor>
    <xdr:from>
      <xdr:col>0</xdr:col>
      <xdr:colOff>116417</xdr:colOff>
      <xdr:row>0</xdr:row>
      <xdr:rowOff>148166</xdr:rowOff>
    </xdr:from>
    <xdr:to>
      <xdr:col>33</xdr:col>
      <xdr:colOff>262892</xdr:colOff>
      <xdr:row>0</xdr:row>
      <xdr:rowOff>1074472</xdr:rowOff>
    </xdr:to>
    <xdr:grpSp>
      <xdr:nvGrpSpPr>
        <xdr:cNvPr id="21" name="Group 20">
          <a:hlinkClick xmlns:r="http://purl.oclc.org/ooxml/officeDocument/relationships" r:id="rId4"/>
          <a:extLst>
            <a:ext uri="{FF2B5EF4-FFF2-40B4-BE49-F238E27FC236}">
              <a16:creationId xmlns:a16="http://schemas.microsoft.com/office/drawing/2014/main" id="{00000000-0008-0000-1500-000015000000}"/>
            </a:ext>
          </a:extLst>
        </xdr:cNvPr>
        <xdr:cNvGrpSpPr/>
      </xdr:nvGrpSpPr>
      <xdr:grpSpPr>
        <a:xfrm>
          <a:off x="116417" y="148166"/>
          <a:ext cx="19691775" cy="926306"/>
          <a:chOff x="148166" y="116417"/>
          <a:chExt cx="17238558" cy="926306"/>
        </a:xfrm>
      </xdr:grpSpPr>
      <xdr:grpSp>
        <xdr:nvGrpSpPr>
          <xdr:cNvPr id="22" name="Group 21">
            <a:extLst>
              <a:ext uri="{FF2B5EF4-FFF2-40B4-BE49-F238E27FC236}">
                <a16:creationId xmlns:a16="http://schemas.microsoft.com/office/drawing/2014/main" id="{00000000-0008-0000-1500-000016000000}"/>
              </a:ext>
            </a:extLst>
          </xdr:cNvPr>
          <xdr:cNvGrpSpPr/>
        </xdr:nvGrpSpPr>
        <xdr:grpSpPr>
          <a:xfrm>
            <a:off x="148166" y="116417"/>
            <a:ext cx="17238558" cy="926306"/>
            <a:chOff x="148166" y="116417"/>
            <a:chExt cx="17215408" cy="926306"/>
          </a:xfrm>
        </xdr:grpSpPr>
        <xdr:sp macro="" textlink="">
          <xdr:nvSpPr>
            <xdr:cNvPr id="29" name="Rounded Rectangle 82">
              <a:hlinkClick xmlns:r="http://purl.oclc.org/ooxml/officeDocument/relationships" r:id="rId5"/>
              <a:extLst>
                <a:ext uri="{FF2B5EF4-FFF2-40B4-BE49-F238E27FC236}">
                  <a16:creationId xmlns:a16="http://schemas.microsoft.com/office/drawing/2014/main" id="{00000000-0008-0000-1500-00001D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30" name="Rounded Rectangle 83">
              <a:hlinkClick xmlns:r="http://purl.oclc.org/ooxml/officeDocument/relationships" r:id="rId6"/>
              <a:extLst>
                <a:ext uri="{FF2B5EF4-FFF2-40B4-BE49-F238E27FC236}">
                  <a16:creationId xmlns:a16="http://schemas.microsoft.com/office/drawing/2014/main" id="{00000000-0008-0000-1500-00001E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31" name="Rounded Rectangle 84">
              <a:hlinkClick xmlns:r="http://purl.oclc.org/ooxml/officeDocument/relationships" r:id="rId7"/>
              <a:extLst>
                <a:ext uri="{FF2B5EF4-FFF2-40B4-BE49-F238E27FC236}">
                  <a16:creationId xmlns:a16="http://schemas.microsoft.com/office/drawing/2014/main" id="{00000000-0008-0000-1500-00001F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lt1"/>
                  </a:solidFill>
                  <a:latin typeface="Roboto Light" panose="02000000000000000000" pitchFamily="2" charset="0"/>
                  <a:ea typeface="Roboto Light" panose="02000000000000000000" pitchFamily="2" charset="0"/>
                  <a:cs typeface="+mn-cs"/>
                </a:rPr>
                <a:t>      changes</a:t>
              </a:r>
            </a:p>
          </xdr:txBody>
        </xdr:sp>
        <xdr:sp macro="" textlink="">
          <xdr:nvSpPr>
            <xdr:cNvPr id="32" name="Rounded Rectangle 85">
              <a:hlinkClick xmlns:r="http://purl.oclc.org/ooxml/officeDocument/relationships" r:id="rId8"/>
              <a:extLst>
                <a:ext uri="{FF2B5EF4-FFF2-40B4-BE49-F238E27FC236}">
                  <a16:creationId xmlns:a16="http://schemas.microsoft.com/office/drawing/2014/main" id="{00000000-0008-0000-1500-000020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33" name="Rounded Rectangle 86">
              <a:hlinkClick xmlns:r="http://purl.oclc.org/ooxml/officeDocument/relationships" r:id="rId9"/>
              <a:extLst>
                <a:ext uri="{FF2B5EF4-FFF2-40B4-BE49-F238E27FC236}">
                  <a16:creationId xmlns:a16="http://schemas.microsoft.com/office/drawing/2014/main" id="{00000000-0008-0000-1500-000021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34" name="Rounded Rectangle 87">
              <a:hlinkClick xmlns:r="http://purl.oclc.org/ooxml/officeDocument/relationships" r:id="rId10"/>
              <a:extLst>
                <a:ext uri="{FF2B5EF4-FFF2-40B4-BE49-F238E27FC236}">
                  <a16:creationId xmlns:a16="http://schemas.microsoft.com/office/drawing/2014/main" id="{00000000-0008-0000-1500-000022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35" name="Rounded Rectangle 88">
              <a:hlinkClick xmlns:r="http://purl.oclc.org/ooxml/officeDocument/relationships" r:id="rId11"/>
              <a:extLst>
                <a:ext uri="{FF2B5EF4-FFF2-40B4-BE49-F238E27FC236}">
                  <a16:creationId xmlns:a16="http://schemas.microsoft.com/office/drawing/2014/main" id="{00000000-0008-0000-1500-000023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36" name="Rounded Rectangle 89">
              <a:hlinkClick xmlns:r="http://purl.oclc.org/ooxml/officeDocument/relationships" r:id="rId12"/>
              <a:extLst>
                <a:ext uri="{FF2B5EF4-FFF2-40B4-BE49-F238E27FC236}">
                  <a16:creationId xmlns:a16="http://schemas.microsoft.com/office/drawing/2014/main" id="{00000000-0008-0000-1500-000024000000}"/>
                </a:ext>
              </a:extLst>
            </xdr:cNvPr>
            <xdr:cNvSpPr/>
          </xdr:nvSpPr>
          <xdr:spPr>
            <a:xfrm>
              <a:off x="11253259" y="116417"/>
              <a:ext cx="1476294"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ysClr val="windowText" lastClr="000000"/>
                  </a:solidFill>
                  <a:latin typeface="Roboto Light" panose="02000000000000000000" pitchFamily="2" charset="0"/>
                  <a:ea typeface="Roboto Light" panose="02000000000000000000" pitchFamily="2" charset="0"/>
                </a:rPr>
                <a:t>Coastal wetland</a:t>
              </a:r>
              <a:r>
                <a:rPr lang="en-US" sz="1200" b="1" baseline="0%">
                  <a:solidFill>
                    <a:sysClr val="windowText" lastClr="000000"/>
                  </a:solidFill>
                  <a:latin typeface="Roboto Light" panose="02000000000000000000" pitchFamily="2" charset="0"/>
                  <a:ea typeface="Roboto Light" panose="02000000000000000000" pitchFamily="2" charset="0"/>
                </a:rPr>
                <a:t>s</a:t>
              </a:r>
              <a:endParaRPr lang="en-US" sz="1200" b="1">
                <a:solidFill>
                  <a:sysClr val="windowText" lastClr="000000"/>
                </a:solidFill>
                <a:latin typeface="Roboto Light" panose="02000000000000000000" pitchFamily="2" charset="0"/>
                <a:ea typeface="Roboto Light" panose="02000000000000000000" pitchFamily="2" charset="0"/>
              </a:endParaRPr>
            </a:p>
          </xdr:txBody>
        </xdr:sp>
        <xdr:sp macro="" textlink="">
          <xdr:nvSpPr>
            <xdr:cNvPr id="37" name="Rounded Rectangle 90">
              <a:hlinkClick xmlns:r="http://purl.oclc.org/ooxml/officeDocument/relationships" r:id="rId4"/>
              <a:extLst>
                <a:ext uri="{FF2B5EF4-FFF2-40B4-BE49-F238E27FC236}">
                  <a16:creationId xmlns:a16="http://schemas.microsoft.com/office/drawing/2014/main" id="{00000000-0008-0000-1500-000025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38" name="Rounded Rectangle 91">
              <a:hlinkClick xmlns:r="http://purl.oclc.org/ooxml/officeDocument/relationships" r:id="rId13"/>
              <a:extLst>
                <a:ext uri="{FF2B5EF4-FFF2-40B4-BE49-F238E27FC236}">
                  <a16:creationId xmlns:a16="http://schemas.microsoft.com/office/drawing/2014/main" id="{00000000-0008-0000-1500-000026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23" name="Rounded Rectangle 89">
            <a:hlinkClick xmlns:r="http://purl.oclc.org/ooxml/officeDocument/relationships" r:id="rId14"/>
            <a:extLst>
              <a:ext uri="{FF2B5EF4-FFF2-40B4-BE49-F238E27FC236}">
                <a16:creationId xmlns:a16="http://schemas.microsoft.com/office/drawing/2014/main" id="{00000000-0008-0000-1500-000017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twoCellAnchor>
    <xdr:from>
      <xdr:col>33</xdr:col>
      <xdr:colOff>580119</xdr:colOff>
      <xdr:row>57</xdr:row>
      <xdr:rowOff>26760</xdr:rowOff>
    </xdr:from>
    <xdr:to>
      <xdr:col>34</xdr:col>
      <xdr:colOff>911172</xdr:colOff>
      <xdr:row>57</xdr:row>
      <xdr:rowOff>483960</xdr:rowOff>
    </xdr:to>
    <xdr:sp macro="" textlink="">
      <xdr:nvSpPr>
        <xdr:cNvPr id="39" name="Rounded Rectangle 14">
          <a:hlinkClick xmlns:r="http://purl.oclc.org/ooxml/officeDocument/relationships" r:id="rId15"/>
          <a:extLst>
            <a:ext uri="{FF2B5EF4-FFF2-40B4-BE49-F238E27FC236}">
              <a16:creationId xmlns:a16="http://schemas.microsoft.com/office/drawing/2014/main" id="{00000000-0008-0000-1500-000027000000}"/>
            </a:ext>
          </a:extLst>
        </xdr:cNvPr>
        <xdr:cNvSpPr/>
      </xdr:nvSpPr>
      <xdr:spPr>
        <a:xfrm>
          <a:off x="18062576" y="11848646"/>
          <a:ext cx="951539" cy="4572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Tier 2</a:t>
          </a:r>
        </a:p>
      </xdr:txBody>
    </xdr:sp>
    <xdr:clientData/>
  </xdr:twoCellAnchor>
  <xdr:twoCellAnchor>
    <xdr:from>
      <xdr:col>33</xdr:col>
      <xdr:colOff>462642</xdr:colOff>
      <xdr:row>23</xdr:row>
      <xdr:rowOff>40820</xdr:rowOff>
    </xdr:from>
    <xdr:to>
      <xdr:col>35</xdr:col>
      <xdr:colOff>27215</xdr:colOff>
      <xdr:row>23</xdr:row>
      <xdr:rowOff>340177</xdr:rowOff>
    </xdr:to>
    <xdr:sp macro="" textlink="">
      <xdr:nvSpPr>
        <xdr:cNvPr id="20" name="Rounded Rectangle 14">
          <a:hlinkClick xmlns:r="http://purl.oclc.org/ooxml/officeDocument/relationships" r:id="rId16"/>
          <a:extLst>
            <a:ext uri="{FF2B5EF4-FFF2-40B4-BE49-F238E27FC236}">
              <a16:creationId xmlns:a16="http://schemas.microsoft.com/office/drawing/2014/main" id="{00000000-0008-0000-1500-000014000000}"/>
            </a:ext>
          </a:extLst>
        </xdr:cNvPr>
        <xdr:cNvSpPr/>
      </xdr:nvSpPr>
      <xdr:spPr>
        <a:xfrm>
          <a:off x="17594035" y="6014356"/>
          <a:ext cx="1211037" cy="299357"/>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Tier 2</a:t>
          </a:r>
        </a:p>
      </xdr:txBody>
    </xdr:sp>
    <xdr:clientData/>
  </xdr:twoCellAnchor>
  <xdr:twoCellAnchor>
    <xdr:from>
      <xdr:col>33</xdr:col>
      <xdr:colOff>478971</xdr:colOff>
      <xdr:row>40</xdr:row>
      <xdr:rowOff>13606</xdr:rowOff>
    </xdr:from>
    <xdr:to>
      <xdr:col>34</xdr:col>
      <xdr:colOff>1020536</xdr:colOff>
      <xdr:row>40</xdr:row>
      <xdr:rowOff>351063</xdr:rowOff>
    </xdr:to>
    <xdr:sp macro="" textlink="">
      <xdr:nvSpPr>
        <xdr:cNvPr id="24" name="Rounded Rectangle 14">
          <a:hlinkClick xmlns:r="http://purl.oclc.org/ooxml/officeDocument/relationships" r:id="rId17"/>
          <a:extLst>
            <a:ext uri="{FF2B5EF4-FFF2-40B4-BE49-F238E27FC236}">
              <a16:creationId xmlns:a16="http://schemas.microsoft.com/office/drawing/2014/main" id="{00000000-0008-0000-1500-000018000000}"/>
            </a:ext>
          </a:extLst>
        </xdr:cNvPr>
        <xdr:cNvSpPr/>
      </xdr:nvSpPr>
      <xdr:spPr>
        <a:xfrm>
          <a:off x="17610364" y="9511392"/>
          <a:ext cx="1153886" cy="337457"/>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Tier 2</a:t>
          </a:r>
        </a:p>
      </xdr:txBody>
    </xdr:sp>
    <xdr:clientData/>
  </xdr:twoCellAnchor>
  <xdr:twoCellAnchor>
    <xdr:from>
      <xdr:col>87</xdr:col>
      <xdr:colOff>321468</xdr:colOff>
      <xdr:row>23</xdr:row>
      <xdr:rowOff>23811</xdr:rowOff>
    </xdr:from>
    <xdr:to>
      <xdr:col>88</xdr:col>
      <xdr:colOff>434649</xdr:colOff>
      <xdr:row>23</xdr:row>
      <xdr:rowOff>362648</xdr:rowOff>
    </xdr:to>
    <xdr:sp macro="" textlink="">
      <xdr:nvSpPr>
        <xdr:cNvPr id="25" name="Rounded Rectangle 24">
          <a:hlinkClick xmlns:r="http://purl.oclc.org/ooxml/officeDocument/relationships" r:id="rId18"/>
          <a:extLst>
            <a:ext uri="{FF2B5EF4-FFF2-40B4-BE49-F238E27FC236}">
              <a16:creationId xmlns:a16="http://schemas.microsoft.com/office/drawing/2014/main" id="{00000000-0008-0000-1500-000019000000}"/>
            </a:ext>
          </a:extLst>
        </xdr:cNvPr>
        <xdr:cNvSpPr/>
      </xdr:nvSpPr>
      <xdr:spPr>
        <a:xfrm>
          <a:off x="51173062" y="5857874"/>
          <a:ext cx="851368" cy="338837"/>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Back</a:t>
          </a:r>
        </a:p>
      </xdr:txBody>
    </xdr:sp>
    <xdr:clientData/>
  </xdr:twoCellAnchor>
  <xdr:twoCellAnchor>
    <xdr:from>
      <xdr:col>87</xdr:col>
      <xdr:colOff>354805</xdr:colOff>
      <xdr:row>40</xdr:row>
      <xdr:rowOff>9523</xdr:rowOff>
    </xdr:from>
    <xdr:to>
      <xdr:col>88</xdr:col>
      <xdr:colOff>467986</xdr:colOff>
      <xdr:row>40</xdr:row>
      <xdr:rowOff>348360</xdr:rowOff>
    </xdr:to>
    <xdr:sp macro="" textlink="">
      <xdr:nvSpPr>
        <xdr:cNvPr id="26" name="Rounded Rectangle 25">
          <a:hlinkClick xmlns:r="http://purl.oclc.org/ooxml/officeDocument/relationships" r:id="rId19"/>
          <a:extLst>
            <a:ext uri="{FF2B5EF4-FFF2-40B4-BE49-F238E27FC236}">
              <a16:creationId xmlns:a16="http://schemas.microsoft.com/office/drawing/2014/main" id="{00000000-0008-0000-1500-00001A000000}"/>
            </a:ext>
          </a:extLst>
        </xdr:cNvPr>
        <xdr:cNvSpPr/>
      </xdr:nvSpPr>
      <xdr:spPr>
        <a:xfrm>
          <a:off x="51206399" y="9224961"/>
          <a:ext cx="851368" cy="338837"/>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Back</a:t>
          </a:r>
        </a:p>
      </xdr:txBody>
    </xdr:sp>
    <xdr:clientData/>
  </xdr:twoCellAnchor>
  <xdr:twoCellAnchor>
    <xdr:from>
      <xdr:col>87</xdr:col>
      <xdr:colOff>316705</xdr:colOff>
      <xdr:row>57</xdr:row>
      <xdr:rowOff>126205</xdr:rowOff>
    </xdr:from>
    <xdr:to>
      <xdr:col>88</xdr:col>
      <xdr:colOff>429886</xdr:colOff>
      <xdr:row>57</xdr:row>
      <xdr:rowOff>465042</xdr:rowOff>
    </xdr:to>
    <xdr:sp macro="" textlink="">
      <xdr:nvSpPr>
        <xdr:cNvPr id="27" name="Rounded Rectangle 26">
          <a:hlinkClick xmlns:r="http://purl.oclc.org/ooxml/officeDocument/relationships" r:id="rId20"/>
          <a:extLst>
            <a:ext uri="{FF2B5EF4-FFF2-40B4-BE49-F238E27FC236}">
              <a16:creationId xmlns:a16="http://schemas.microsoft.com/office/drawing/2014/main" id="{00000000-0008-0000-1500-00001B000000}"/>
            </a:ext>
          </a:extLst>
        </xdr:cNvPr>
        <xdr:cNvSpPr/>
      </xdr:nvSpPr>
      <xdr:spPr>
        <a:xfrm>
          <a:off x="51168299" y="12651580"/>
          <a:ext cx="851368" cy="338837"/>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Back</a:t>
          </a:r>
        </a:p>
      </xdr:txBody>
    </xdr:sp>
    <xdr:clientData/>
  </xdr:twoCellAnchor>
</xdr:wsDr>
</file>

<file path=xl/drawings/drawing19.xml><?xml version="1.0" encoding="utf-8"?>
<xdr:wsDr xmlns:xdr="http://purl.oclc.org/ooxml/drawingml/spreadsheetDrawing" xmlns:a="http://purl.oclc.org/ooxml/drawingml/main">
  <xdr:twoCellAnchor>
    <xdr:from>
      <xdr:col>33</xdr:col>
      <xdr:colOff>425823</xdr:colOff>
      <xdr:row>5</xdr:row>
      <xdr:rowOff>56029</xdr:rowOff>
    </xdr:from>
    <xdr:to>
      <xdr:col>34</xdr:col>
      <xdr:colOff>735105</xdr:colOff>
      <xdr:row>5</xdr:row>
      <xdr:rowOff>513229</xdr:rowOff>
    </xdr:to>
    <xdr:sp macro="" textlink="">
      <xdr:nvSpPr>
        <xdr:cNvPr id="2" name="Rounded Rectangle 16">
          <a:hlinkClick xmlns:r="http://purl.oclc.org/ooxml/officeDocument/relationships" r:id="rId1"/>
          <a:extLst>
            <a:ext uri="{FF2B5EF4-FFF2-40B4-BE49-F238E27FC236}">
              <a16:creationId xmlns:a16="http://schemas.microsoft.com/office/drawing/2014/main" id="{00000000-0008-0000-1800-000002000000}"/>
            </a:ext>
          </a:extLst>
        </xdr:cNvPr>
        <xdr:cNvSpPr/>
      </xdr:nvSpPr>
      <xdr:spPr>
        <a:xfrm>
          <a:off x="17485098" y="14495929"/>
          <a:ext cx="918882" cy="4572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Tier 2</a:t>
          </a:r>
        </a:p>
      </xdr:txBody>
    </xdr:sp>
    <xdr:clientData/>
  </xdr:twoCellAnchor>
  <xdr:twoCellAnchor>
    <xdr:from>
      <xdr:col>87</xdr:col>
      <xdr:colOff>212912</xdr:colOff>
      <xdr:row>5</xdr:row>
      <xdr:rowOff>44823</xdr:rowOff>
    </xdr:from>
    <xdr:to>
      <xdr:col>88</xdr:col>
      <xdr:colOff>387724</xdr:colOff>
      <xdr:row>5</xdr:row>
      <xdr:rowOff>502023</xdr:rowOff>
    </xdr:to>
    <xdr:sp macro="" textlink="">
      <xdr:nvSpPr>
        <xdr:cNvPr id="3" name="Rounded Rectangle 17">
          <a:hlinkClick xmlns:r="http://purl.oclc.org/ooxml/officeDocument/relationships" r:id="rId2"/>
          <a:extLst>
            <a:ext uri="{FF2B5EF4-FFF2-40B4-BE49-F238E27FC236}">
              <a16:creationId xmlns:a16="http://schemas.microsoft.com/office/drawing/2014/main" id="{00000000-0008-0000-1800-000003000000}"/>
            </a:ext>
          </a:extLst>
        </xdr:cNvPr>
        <xdr:cNvSpPr/>
      </xdr:nvSpPr>
      <xdr:spPr>
        <a:xfrm>
          <a:off x="51152612" y="14484723"/>
          <a:ext cx="917762" cy="4572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Back</a:t>
          </a:r>
        </a:p>
      </xdr:txBody>
    </xdr:sp>
    <xdr:clientData/>
  </xdr:twoCellAnchor>
  <xdr:twoCellAnchor>
    <xdr:from>
      <xdr:col>33</xdr:col>
      <xdr:colOff>425823</xdr:colOff>
      <xdr:row>66</xdr:row>
      <xdr:rowOff>56029</xdr:rowOff>
    </xdr:from>
    <xdr:to>
      <xdr:col>34</xdr:col>
      <xdr:colOff>735105</xdr:colOff>
      <xdr:row>66</xdr:row>
      <xdr:rowOff>513229</xdr:rowOff>
    </xdr:to>
    <xdr:sp macro="" textlink="">
      <xdr:nvSpPr>
        <xdr:cNvPr id="4" name="Rounded Rectangle 21">
          <a:hlinkClick xmlns:r="http://purl.oclc.org/ooxml/officeDocument/relationships" r:id="rId3"/>
          <a:extLst>
            <a:ext uri="{FF2B5EF4-FFF2-40B4-BE49-F238E27FC236}">
              <a16:creationId xmlns:a16="http://schemas.microsoft.com/office/drawing/2014/main" id="{00000000-0008-0000-1800-000004000000}"/>
            </a:ext>
          </a:extLst>
        </xdr:cNvPr>
        <xdr:cNvSpPr/>
      </xdr:nvSpPr>
      <xdr:spPr>
        <a:xfrm>
          <a:off x="17485098" y="21611104"/>
          <a:ext cx="918882" cy="4572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Tier 2</a:t>
          </a:r>
        </a:p>
      </xdr:txBody>
    </xdr:sp>
    <xdr:clientData/>
  </xdr:twoCellAnchor>
  <xdr:twoCellAnchor>
    <xdr:from>
      <xdr:col>87</xdr:col>
      <xdr:colOff>212912</xdr:colOff>
      <xdr:row>66</xdr:row>
      <xdr:rowOff>44823</xdr:rowOff>
    </xdr:from>
    <xdr:to>
      <xdr:col>88</xdr:col>
      <xdr:colOff>387724</xdr:colOff>
      <xdr:row>66</xdr:row>
      <xdr:rowOff>502023</xdr:rowOff>
    </xdr:to>
    <xdr:sp macro="" textlink="">
      <xdr:nvSpPr>
        <xdr:cNvPr id="5" name="Rounded Rectangle 22">
          <a:hlinkClick xmlns:r="http://purl.oclc.org/ooxml/officeDocument/relationships" r:id="rId4"/>
          <a:extLst>
            <a:ext uri="{FF2B5EF4-FFF2-40B4-BE49-F238E27FC236}">
              <a16:creationId xmlns:a16="http://schemas.microsoft.com/office/drawing/2014/main" id="{00000000-0008-0000-1800-000005000000}"/>
            </a:ext>
          </a:extLst>
        </xdr:cNvPr>
        <xdr:cNvSpPr/>
      </xdr:nvSpPr>
      <xdr:spPr>
        <a:xfrm>
          <a:off x="51152612" y="21599898"/>
          <a:ext cx="917762" cy="4572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Back</a:t>
          </a:r>
        </a:p>
      </xdr:txBody>
    </xdr:sp>
    <xdr:clientData/>
  </xdr:twoCellAnchor>
  <xdr:twoCellAnchor>
    <xdr:from>
      <xdr:col>33</xdr:col>
      <xdr:colOff>425823</xdr:colOff>
      <xdr:row>36</xdr:row>
      <xdr:rowOff>56029</xdr:rowOff>
    </xdr:from>
    <xdr:to>
      <xdr:col>34</xdr:col>
      <xdr:colOff>735105</xdr:colOff>
      <xdr:row>36</xdr:row>
      <xdr:rowOff>513229</xdr:rowOff>
    </xdr:to>
    <xdr:sp macro="" textlink="">
      <xdr:nvSpPr>
        <xdr:cNvPr id="28" name="Rounded Rectangle 16">
          <a:hlinkClick xmlns:r="http://purl.oclc.org/ooxml/officeDocument/relationships" r:id="rId5"/>
          <a:extLst>
            <a:ext uri="{FF2B5EF4-FFF2-40B4-BE49-F238E27FC236}">
              <a16:creationId xmlns:a16="http://schemas.microsoft.com/office/drawing/2014/main" id="{00000000-0008-0000-1800-00001C000000}"/>
            </a:ext>
          </a:extLst>
        </xdr:cNvPr>
        <xdr:cNvSpPr/>
      </xdr:nvSpPr>
      <xdr:spPr>
        <a:xfrm>
          <a:off x="20999823" y="2665879"/>
          <a:ext cx="795057" cy="333375"/>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Tier 2</a:t>
          </a:r>
        </a:p>
      </xdr:txBody>
    </xdr:sp>
    <xdr:clientData/>
  </xdr:twoCellAnchor>
  <xdr:twoCellAnchor>
    <xdr:from>
      <xdr:col>87</xdr:col>
      <xdr:colOff>212912</xdr:colOff>
      <xdr:row>36</xdr:row>
      <xdr:rowOff>44823</xdr:rowOff>
    </xdr:from>
    <xdr:to>
      <xdr:col>88</xdr:col>
      <xdr:colOff>387724</xdr:colOff>
      <xdr:row>36</xdr:row>
      <xdr:rowOff>502023</xdr:rowOff>
    </xdr:to>
    <xdr:sp macro="" textlink="">
      <xdr:nvSpPr>
        <xdr:cNvPr id="29" name="Rounded Rectangle 17">
          <a:hlinkClick xmlns:r="http://purl.oclc.org/ooxml/officeDocument/relationships" r:id="rId6"/>
          <a:extLst>
            <a:ext uri="{FF2B5EF4-FFF2-40B4-BE49-F238E27FC236}">
              <a16:creationId xmlns:a16="http://schemas.microsoft.com/office/drawing/2014/main" id="{00000000-0008-0000-1800-00001D000000}"/>
            </a:ext>
          </a:extLst>
        </xdr:cNvPr>
        <xdr:cNvSpPr/>
      </xdr:nvSpPr>
      <xdr:spPr>
        <a:xfrm>
          <a:off x="53705312" y="2654673"/>
          <a:ext cx="784412" cy="342900"/>
        </a:xfrm>
        <a:prstGeom prst="roundRect">
          <a:avLst/>
        </a:prstGeom>
        <a:solidFill>
          <a:schemeClr val="bg1"/>
        </a:solidFill>
        <a:ln>
          <a:solidFill>
            <a:schemeClr val="bg1"/>
          </a:solid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a:rPr>
            <a:t>Back</a:t>
          </a:r>
        </a:p>
      </xdr:txBody>
    </xdr:sp>
    <xdr:clientData/>
  </xdr:twoCellAnchor>
  <xdr:twoCellAnchor>
    <xdr:from>
      <xdr:col>1</xdr:col>
      <xdr:colOff>0</xdr:colOff>
      <xdr:row>0</xdr:row>
      <xdr:rowOff>137583</xdr:rowOff>
    </xdr:from>
    <xdr:to>
      <xdr:col>29</xdr:col>
      <xdr:colOff>463975</xdr:colOff>
      <xdr:row>0</xdr:row>
      <xdr:rowOff>1063889</xdr:rowOff>
    </xdr:to>
    <xdr:grpSp>
      <xdr:nvGrpSpPr>
        <xdr:cNvPr id="43" name="Group 42">
          <a:hlinkClick xmlns:r="http://purl.oclc.org/ooxml/officeDocument/relationships" r:id="rId7"/>
          <a:extLst>
            <a:ext uri="{FF2B5EF4-FFF2-40B4-BE49-F238E27FC236}">
              <a16:creationId xmlns:a16="http://schemas.microsoft.com/office/drawing/2014/main" id="{00000000-0008-0000-1800-00002B000000}"/>
            </a:ext>
          </a:extLst>
        </xdr:cNvPr>
        <xdr:cNvGrpSpPr/>
      </xdr:nvGrpSpPr>
      <xdr:grpSpPr>
        <a:xfrm>
          <a:off x="254000" y="137583"/>
          <a:ext cx="16815225" cy="926306"/>
          <a:chOff x="148166" y="116417"/>
          <a:chExt cx="17238558" cy="926306"/>
        </a:xfrm>
      </xdr:grpSpPr>
      <xdr:grpSp>
        <xdr:nvGrpSpPr>
          <xdr:cNvPr id="44" name="Group 43">
            <a:extLst>
              <a:ext uri="{FF2B5EF4-FFF2-40B4-BE49-F238E27FC236}">
                <a16:creationId xmlns:a16="http://schemas.microsoft.com/office/drawing/2014/main" id="{00000000-0008-0000-1800-00002C000000}"/>
              </a:ext>
            </a:extLst>
          </xdr:cNvPr>
          <xdr:cNvGrpSpPr/>
        </xdr:nvGrpSpPr>
        <xdr:grpSpPr>
          <a:xfrm>
            <a:off x="148166" y="116417"/>
            <a:ext cx="17238558" cy="926306"/>
            <a:chOff x="148166" y="116417"/>
            <a:chExt cx="17215408" cy="926306"/>
          </a:xfrm>
        </xdr:grpSpPr>
        <xdr:sp macro="" textlink="">
          <xdr:nvSpPr>
            <xdr:cNvPr id="46" name="Rounded Rectangle 82">
              <a:hlinkClick xmlns:r="http://purl.oclc.org/ooxml/officeDocument/relationships" r:id="rId8"/>
              <a:extLst>
                <a:ext uri="{FF2B5EF4-FFF2-40B4-BE49-F238E27FC236}">
                  <a16:creationId xmlns:a16="http://schemas.microsoft.com/office/drawing/2014/main" id="{00000000-0008-0000-1800-00002E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47" name="Rounded Rectangle 83">
              <a:hlinkClick xmlns:r="http://purl.oclc.org/ooxml/officeDocument/relationships" r:id="rId9"/>
              <a:extLst>
                <a:ext uri="{FF2B5EF4-FFF2-40B4-BE49-F238E27FC236}">
                  <a16:creationId xmlns:a16="http://schemas.microsoft.com/office/drawing/2014/main" id="{00000000-0008-0000-1800-00002F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48" name="Rounded Rectangle 84">
              <a:hlinkClick xmlns:r="http://purl.oclc.org/ooxml/officeDocument/relationships" r:id="rId10"/>
              <a:extLst>
                <a:ext uri="{FF2B5EF4-FFF2-40B4-BE49-F238E27FC236}">
                  <a16:creationId xmlns:a16="http://schemas.microsoft.com/office/drawing/2014/main" id="{00000000-0008-0000-1800-000030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      changes</a:t>
              </a:r>
            </a:p>
          </xdr:txBody>
        </xdr:sp>
        <xdr:sp macro="" textlink="">
          <xdr:nvSpPr>
            <xdr:cNvPr id="49" name="Rounded Rectangle 85">
              <a:hlinkClick xmlns:r="http://purl.oclc.org/ooxml/officeDocument/relationships" r:id="rId11"/>
              <a:extLst>
                <a:ext uri="{FF2B5EF4-FFF2-40B4-BE49-F238E27FC236}">
                  <a16:creationId xmlns:a16="http://schemas.microsoft.com/office/drawing/2014/main" id="{00000000-0008-0000-1800-000031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50" name="Rounded Rectangle 86">
              <a:hlinkClick xmlns:r="http://purl.oclc.org/ooxml/officeDocument/relationships" r:id="rId12"/>
              <a:extLst>
                <a:ext uri="{FF2B5EF4-FFF2-40B4-BE49-F238E27FC236}">
                  <a16:creationId xmlns:a16="http://schemas.microsoft.com/office/drawing/2014/main" id="{00000000-0008-0000-1800-000032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51" name="Rounded Rectangle 87">
              <a:hlinkClick xmlns:r="http://purl.oclc.org/ooxml/officeDocument/relationships" r:id="rId13"/>
              <a:extLst>
                <a:ext uri="{FF2B5EF4-FFF2-40B4-BE49-F238E27FC236}">
                  <a16:creationId xmlns:a16="http://schemas.microsoft.com/office/drawing/2014/main" id="{00000000-0008-0000-1800-000033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52" name="Rounded Rectangle 88">
              <a:hlinkClick xmlns:r="http://purl.oclc.org/ooxml/officeDocument/relationships" r:id="rId14"/>
              <a:extLst>
                <a:ext uri="{FF2B5EF4-FFF2-40B4-BE49-F238E27FC236}">
                  <a16:creationId xmlns:a16="http://schemas.microsoft.com/office/drawing/2014/main" id="{00000000-0008-0000-1800-000034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53" name="Rounded Rectangle 89">
              <a:hlinkClick xmlns:r="http://purl.oclc.org/ooxml/officeDocument/relationships" r:id="rId15"/>
              <a:extLst>
                <a:ext uri="{FF2B5EF4-FFF2-40B4-BE49-F238E27FC236}">
                  <a16:creationId xmlns:a16="http://schemas.microsoft.com/office/drawing/2014/main" id="{00000000-0008-0000-1800-000035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54" name="Rounded Rectangle 90">
              <a:hlinkClick xmlns:r="http://purl.oclc.org/ooxml/officeDocument/relationships" r:id="rId7"/>
              <a:extLst>
                <a:ext uri="{FF2B5EF4-FFF2-40B4-BE49-F238E27FC236}">
                  <a16:creationId xmlns:a16="http://schemas.microsoft.com/office/drawing/2014/main" id="{00000000-0008-0000-1800-000036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55" name="Rounded Rectangle 91">
              <a:hlinkClick xmlns:r="http://purl.oclc.org/ooxml/officeDocument/relationships" r:id="rId16"/>
              <a:extLst>
                <a:ext uri="{FF2B5EF4-FFF2-40B4-BE49-F238E27FC236}">
                  <a16:creationId xmlns:a16="http://schemas.microsoft.com/office/drawing/2014/main" id="{00000000-0008-0000-1800-000037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45" name="Rounded Rectangle 89">
            <a:hlinkClick xmlns:r="http://purl.oclc.org/ooxml/officeDocument/relationships" r:id="rId17"/>
            <a:extLst>
              <a:ext uri="{FF2B5EF4-FFF2-40B4-BE49-F238E27FC236}">
                <a16:creationId xmlns:a16="http://schemas.microsoft.com/office/drawing/2014/main" id="{00000000-0008-0000-1800-00002D000000}"/>
              </a:ext>
            </a:extLst>
          </xdr:cNvPr>
          <xdr:cNvSpPr/>
        </xdr:nvSpPr>
        <xdr:spPr>
          <a:xfrm>
            <a:off x="12811125" y="119063"/>
            <a:ext cx="1478279"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ysClr val="windowText" lastClr="000000"/>
                </a:solidFill>
                <a:latin typeface="Roboto Light" panose="02000000000000000000" pitchFamily="2" charset="0"/>
                <a:ea typeface="Roboto Light" panose="02000000000000000000" pitchFamily="2" charset="0"/>
              </a:rPr>
              <a:t>Fisheries and aquaculture</a:t>
            </a:r>
          </a:p>
        </xdr:txBody>
      </xdr:sp>
    </xdr:grpSp>
    <xdr:clientData/>
  </xdr:twoCellAnchor>
</xdr:wsDr>
</file>

<file path=xl/drawings/drawing20.xml><?xml version="1.0" encoding="utf-8"?>
<xdr:wsDr xmlns:xdr="http://purl.oclc.org/ooxml/drawingml/spreadsheetDrawing" xmlns:a="http://purl.oclc.org/ooxml/drawingml/main">
  <xdr:twoCellAnchor>
    <xdr:from>
      <xdr:col>37</xdr:col>
      <xdr:colOff>1143000</xdr:colOff>
      <xdr:row>82</xdr:row>
      <xdr:rowOff>134470</xdr:rowOff>
    </xdr:from>
    <xdr:to>
      <xdr:col>44</xdr:col>
      <xdr:colOff>571500</xdr:colOff>
      <xdr:row>82</xdr:row>
      <xdr:rowOff>156883</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a:off x="32900471" y="20361088"/>
          <a:ext cx="5009029" cy="22413"/>
        </a:xfrm>
        <a:prstGeom prst="straightConnector1">
          <a:avLst/>
        </a:prstGeom>
        <a:ln w="28575">
          <a:headEnd type="diamond"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268941</xdr:colOff>
      <xdr:row>82</xdr:row>
      <xdr:rowOff>147917</xdr:rowOff>
    </xdr:from>
    <xdr:to>
      <xdr:col>53</xdr:col>
      <xdr:colOff>78441</xdr:colOff>
      <xdr:row>82</xdr:row>
      <xdr:rowOff>168089</xdr:rowOff>
    </xdr:to>
    <xdr:cxnSp macro="">
      <xdr:nvCxnSpPr>
        <xdr:cNvPr id="5" name="Straight Arrow Connector 4">
          <a:extLst>
            <a:ext uri="{FF2B5EF4-FFF2-40B4-BE49-F238E27FC236}">
              <a16:creationId xmlns:a16="http://schemas.microsoft.com/office/drawing/2014/main" id="{00000000-0008-0000-1C00-000005000000}"/>
            </a:ext>
          </a:extLst>
        </xdr:cNvPr>
        <xdr:cNvCxnSpPr/>
      </xdr:nvCxnSpPr>
      <xdr:spPr>
        <a:xfrm flipH="1">
          <a:off x="40307559" y="18872946"/>
          <a:ext cx="3081617" cy="20172"/>
        </a:xfrm>
        <a:prstGeom prst="straightConnector1">
          <a:avLst/>
        </a:prstGeom>
        <a:ln w="28575">
          <a:headEnd type="diamond"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editAs="absolute">
    <xdr:from>
      <xdr:col>0</xdr:col>
      <xdr:colOff>476348</xdr:colOff>
      <xdr:row>1</xdr:row>
      <xdr:rowOff>173528</xdr:rowOff>
    </xdr:from>
    <xdr:to>
      <xdr:col>2</xdr:col>
      <xdr:colOff>626843</xdr:colOff>
      <xdr:row>2</xdr:row>
      <xdr:rowOff>554355</xdr:rowOff>
    </xdr:to>
    <xdr:sp macro="" textlink="">
      <xdr:nvSpPr>
        <xdr:cNvPr id="11" name="Rectangle 10">
          <a:hlinkClick xmlns:r="http://purl.oclc.org/ooxml/officeDocument/relationships" r:id="rId1"/>
          <a:extLst>
            <a:ext uri="{FF2B5EF4-FFF2-40B4-BE49-F238E27FC236}">
              <a16:creationId xmlns:a16="http://schemas.microsoft.com/office/drawing/2014/main" id="{00000000-0008-0000-1C00-00000B000000}"/>
            </a:ext>
          </a:extLst>
        </xdr:cNvPr>
        <xdr:cNvSpPr/>
      </xdr:nvSpPr>
      <xdr:spPr>
        <a:xfrm>
          <a:off x="472538" y="1458619"/>
          <a:ext cx="733201" cy="728209"/>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baseline="0%">
              <a:latin typeface="Roboto Light" panose="02000000000000000000" pitchFamily="2" charset="0"/>
              <a:ea typeface="Roboto Light" panose="02000000000000000000" pitchFamily="2" charset="0"/>
            </a:rPr>
            <a:t>    </a:t>
          </a:r>
          <a:r>
            <a:rPr lang="en-US" sz="1050" b="0">
              <a:latin typeface="Roboto Light" panose="02000000000000000000" pitchFamily="2" charset="0"/>
              <a:ea typeface="Roboto Light" panose="02000000000000000000" pitchFamily="2" charset="0"/>
            </a:rPr>
            <a:t>Energy</a:t>
          </a:r>
        </a:p>
      </xdr:txBody>
    </xdr:sp>
    <xdr:clientData/>
  </xdr:twoCellAnchor>
  <xdr:twoCellAnchor editAs="absolute">
    <xdr:from>
      <xdr:col>2</xdr:col>
      <xdr:colOff>1735277</xdr:colOff>
      <xdr:row>1</xdr:row>
      <xdr:rowOff>173528</xdr:rowOff>
    </xdr:from>
    <xdr:to>
      <xdr:col>2</xdr:col>
      <xdr:colOff>2455466</xdr:colOff>
      <xdr:row>2</xdr:row>
      <xdr:rowOff>552449</xdr:rowOff>
    </xdr:to>
    <xdr:sp macro="" textlink="">
      <xdr:nvSpPr>
        <xdr:cNvPr id="17" name="Rectangle 16">
          <a:hlinkClick xmlns:r="http://purl.oclc.org/ooxml/officeDocument/relationships" r:id="rId2"/>
          <a:extLst>
            <a:ext uri="{FF2B5EF4-FFF2-40B4-BE49-F238E27FC236}">
              <a16:creationId xmlns:a16="http://schemas.microsoft.com/office/drawing/2014/main" id="{00000000-0008-0000-1C00-000011000000}"/>
            </a:ext>
          </a:extLst>
        </xdr:cNvPr>
        <xdr:cNvSpPr/>
      </xdr:nvSpPr>
      <xdr:spPr>
        <a:xfrm>
          <a:off x="2314173" y="1458619"/>
          <a:ext cx="727809" cy="728208"/>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a:t>
          </a:r>
          <a:r>
            <a:rPr lang="en-US" sz="1000" b="0">
              <a:latin typeface="Roboto Light" panose="02000000000000000000" pitchFamily="2" charset="0"/>
              <a:ea typeface="Roboto Light" panose="02000000000000000000" pitchFamily="2" charset="0"/>
            </a:rPr>
            <a:t>Infrastructure</a:t>
          </a:r>
        </a:p>
      </xdr:txBody>
    </xdr:sp>
    <xdr:clientData/>
  </xdr:twoCellAnchor>
  <xdr:twoCellAnchor>
    <xdr:from>
      <xdr:col>21</xdr:col>
      <xdr:colOff>85002</xdr:colOff>
      <xdr:row>3</xdr:row>
      <xdr:rowOff>57630</xdr:rowOff>
    </xdr:from>
    <xdr:to>
      <xdr:col>21</xdr:col>
      <xdr:colOff>990743</xdr:colOff>
      <xdr:row>3</xdr:row>
      <xdr:rowOff>514830</xdr:rowOff>
    </xdr:to>
    <xdr:sp macro="" textlink="">
      <xdr:nvSpPr>
        <xdr:cNvPr id="19" name="Rounded Rectangle 18">
          <a:hlinkClick xmlns:r="http://purl.oclc.org/ooxml/officeDocument/relationships" r:id="rId3"/>
          <a:extLst>
            <a:ext uri="{FF2B5EF4-FFF2-40B4-BE49-F238E27FC236}">
              <a16:creationId xmlns:a16="http://schemas.microsoft.com/office/drawing/2014/main" id="{00000000-0008-0000-1C00-000013000000}"/>
            </a:ext>
          </a:extLst>
        </xdr:cNvPr>
        <xdr:cNvSpPr/>
      </xdr:nvSpPr>
      <xdr:spPr>
        <a:xfrm>
          <a:off x="19230252" y="2098701"/>
          <a:ext cx="905741"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Tier 2</a:t>
          </a:r>
        </a:p>
      </xdr:txBody>
    </xdr:sp>
    <xdr:clientData/>
  </xdr:twoCellAnchor>
  <xdr:twoCellAnchor>
    <xdr:from>
      <xdr:col>51</xdr:col>
      <xdr:colOff>344836</xdr:colOff>
      <xdr:row>3</xdr:row>
      <xdr:rowOff>68762</xdr:rowOff>
    </xdr:from>
    <xdr:to>
      <xdr:col>53</xdr:col>
      <xdr:colOff>49001</xdr:colOff>
      <xdr:row>3</xdr:row>
      <xdr:rowOff>525962</xdr:rowOff>
    </xdr:to>
    <xdr:sp macro="" textlink="">
      <xdr:nvSpPr>
        <xdr:cNvPr id="20" name="Rounded Rectangle 19">
          <a:hlinkClick xmlns:r="http://purl.oclc.org/ooxml/officeDocument/relationships" r:id="rId4"/>
          <a:extLst>
            <a:ext uri="{FF2B5EF4-FFF2-40B4-BE49-F238E27FC236}">
              <a16:creationId xmlns:a16="http://schemas.microsoft.com/office/drawing/2014/main" id="{00000000-0008-0000-1C00-000014000000}"/>
            </a:ext>
          </a:extLst>
        </xdr:cNvPr>
        <xdr:cNvSpPr/>
      </xdr:nvSpPr>
      <xdr:spPr>
        <a:xfrm>
          <a:off x="42540586" y="2354762"/>
          <a:ext cx="916438"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xdr:from>
      <xdr:col>21</xdr:col>
      <xdr:colOff>22411</xdr:colOff>
      <xdr:row>40</xdr:row>
      <xdr:rowOff>55011</xdr:rowOff>
    </xdr:from>
    <xdr:to>
      <xdr:col>21</xdr:col>
      <xdr:colOff>936811</xdr:colOff>
      <xdr:row>40</xdr:row>
      <xdr:rowOff>512211</xdr:rowOff>
    </xdr:to>
    <xdr:sp macro="" textlink="">
      <xdr:nvSpPr>
        <xdr:cNvPr id="21" name="Rounded Rectangle 20">
          <a:hlinkClick xmlns:r="http://purl.oclc.org/ooxml/officeDocument/relationships" r:id="rId5"/>
          <a:extLst>
            <a:ext uri="{FF2B5EF4-FFF2-40B4-BE49-F238E27FC236}">
              <a16:creationId xmlns:a16="http://schemas.microsoft.com/office/drawing/2014/main" id="{00000000-0008-0000-1C00-000015000000}"/>
            </a:ext>
          </a:extLst>
        </xdr:cNvPr>
        <xdr:cNvSpPr/>
      </xdr:nvSpPr>
      <xdr:spPr>
        <a:xfrm>
          <a:off x="19107047" y="10463238"/>
          <a:ext cx="914400"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Tier 2</a:t>
          </a:r>
        </a:p>
      </xdr:txBody>
    </xdr:sp>
    <xdr:clientData/>
  </xdr:twoCellAnchor>
  <xdr:twoCellAnchor>
    <xdr:from>
      <xdr:col>51</xdr:col>
      <xdr:colOff>381000</xdr:colOff>
      <xdr:row>40</xdr:row>
      <xdr:rowOff>40239</xdr:rowOff>
    </xdr:from>
    <xdr:to>
      <xdr:col>53</xdr:col>
      <xdr:colOff>85165</xdr:colOff>
      <xdr:row>40</xdr:row>
      <xdr:rowOff>497439</xdr:rowOff>
    </xdr:to>
    <xdr:sp macro="" textlink="">
      <xdr:nvSpPr>
        <xdr:cNvPr id="22" name="Rounded Rectangle 21">
          <a:hlinkClick xmlns:r="http://purl.oclc.org/ooxml/officeDocument/relationships" r:id="rId6"/>
          <a:extLst>
            <a:ext uri="{FF2B5EF4-FFF2-40B4-BE49-F238E27FC236}">
              <a16:creationId xmlns:a16="http://schemas.microsoft.com/office/drawing/2014/main" id="{00000000-0008-0000-1C00-000016000000}"/>
            </a:ext>
          </a:extLst>
        </xdr:cNvPr>
        <xdr:cNvSpPr/>
      </xdr:nvSpPr>
      <xdr:spPr>
        <a:xfrm>
          <a:off x="42576750" y="10708239"/>
          <a:ext cx="916438"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xdr:from>
      <xdr:col>21</xdr:col>
      <xdr:colOff>22412</xdr:colOff>
      <xdr:row>69</xdr:row>
      <xdr:rowOff>55011</xdr:rowOff>
    </xdr:from>
    <xdr:to>
      <xdr:col>21</xdr:col>
      <xdr:colOff>936812</xdr:colOff>
      <xdr:row>69</xdr:row>
      <xdr:rowOff>512211</xdr:rowOff>
    </xdr:to>
    <xdr:sp macro="" textlink="">
      <xdr:nvSpPr>
        <xdr:cNvPr id="23" name="Rounded Rectangle 22">
          <a:hlinkClick xmlns:r="http://purl.oclc.org/ooxml/officeDocument/relationships" r:id="rId7"/>
          <a:extLst>
            <a:ext uri="{FF2B5EF4-FFF2-40B4-BE49-F238E27FC236}">
              <a16:creationId xmlns:a16="http://schemas.microsoft.com/office/drawing/2014/main" id="{00000000-0008-0000-1C00-000017000000}"/>
            </a:ext>
          </a:extLst>
        </xdr:cNvPr>
        <xdr:cNvSpPr/>
      </xdr:nvSpPr>
      <xdr:spPr>
        <a:xfrm>
          <a:off x="19107048" y="16888284"/>
          <a:ext cx="914400"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Tier 2</a:t>
          </a:r>
        </a:p>
      </xdr:txBody>
    </xdr:sp>
    <xdr:clientData/>
  </xdr:twoCellAnchor>
  <xdr:twoCellAnchor>
    <xdr:from>
      <xdr:col>52</xdr:col>
      <xdr:colOff>224117</xdr:colOff>
      <xdr:row>69</xdr:row>
      <xdr:rowOff>53991</xdr:rowOff>
    </xdr:from>
    <xdr:to>
      <xdr:col>53</xdr:col>
      <xdr:colOff>533399</xdr:colOff>
      <xdr:row>69</xdr:row>
      <xdr:rowOff>511191</xdr:rowOff>
    </xdr:to>
    <xdr:sp macro="" textlink="">
      <xdr:nvSpPr>
        <xdr:cNvPr id="24" name="Rounded Rectangle 23">
          <a:hlinkClick xmlns:r="http://purl.oclc.org/ooxml/officeDocument/relationships" r:id="rId8"/>
          <a:extLst>
            <a:ext uri="{FF2B5EF4-FFF2-40B4-BE49-F238E27FC236}">
              <a16:creationId xmlns:a16="http://schemas.microsoft.com/office/drawing/2014/main" id="{00000000-0008-0000-1C00-000018000000}"/>
            </a:ext>
          </a:extLst>
        </xdr:cNvPr>
        <xdr:cNvSpPr/>
      </xdr:nvSpPr>
      <xdr:spPr>
        <a:xfrm>
          <a:off x="43026003" y="17103741"/>
          <a:ext cx="915419"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p>
      </xdr:txBody>
    </xdr:sp>
    <xdr:clientData/>
  </xdr:twoCellAnchor>
  <xdr:twoCellAnchor>
    <xdr:from>
      <xdr:col>21</xdr:col>
      <xdr:colOff>22412</xdr:colOff>
      <xdr:row>101</xdr:row>
      <xdr:rowOff>60032</xdr:rowOff>
    </xdr:from>
    <xdr:to>
      <xdr:col>21</xdr:col>
      <xdr:colOff>936812</xdr:colOff>
      <xdr:row>101</xdr:row>
      <xdr:rowOff>517232</xdr:rowOff>
    </xdr:to>
    <xdr:sp macro="" textlink="">
      <xdr:nvSpPr>
        <xdr:cNvPr id="25" name="Rounded Rectangle 24">
          <a:hlinkClick xmlns:r="http://purl.oclc.org/ooxml/officeDocument/relationships" r:id="rId9"/>
          <a:extLst>
            <a:ext uri="{FF2B5EF4-FFF2-40B4-BE49-F238E27FC236}">
              <a16:creationId xmlns:a16="http://schemas.microsoft.com/office/drawing/2014/main" id="{00000000-0008-0000-1C00-000019000000}"/>
            </a:ext>
          </a:extLst>
        </xdr:cNvPr>
        <xdr:cNvSpPr/>
      </xdr:nvSpPr>
      <xdr:spPr>
        <a:xfrm>
          <a:off x="19167662" y="20144175"/>
          <a:ext cx="914400"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Tier 2</a:t>
          </a:r>
        </a:p>
      </xdr:txBody>
    </xdr:sp>
    <xdr:clientData/>
  </xdr:twoCellAnchor>
  <xdr:twoCellAnchor>
    <xdr:from>
      <xdr:col>44</xdr:col>
      <xdr:colOff>392206</xdr:colOff>
      <xdr:row>101</xdr:row>
      <xdr:rowOff>61122</xdr:rowOff>
    </xdr:from>
    <xdr:to>
      <xdr:col>45</xdr:col>
      <xdr:colOff>701488</xdr:colOff>
      <xdr:row>101</xdr:row>
      <xdr:rowOff>518322</xdr:rowOff>
    </xdr:to>
    <xdr:sp macro="" textlink="">
      <xdr:nvSpPr>
        <xdr:cNvPr id="26" name="Rounded Rectangle 25">
          <a:hlinkClick xmlns:r="http://purl.oclc.org/ooxml/officeDocument/relationships" r:id="rId10"/>
          <a:extLst>
            <a:ext uri="{FF2B5EF4-FFF2-40B4-BE49-F238E27FC236}">
              <a16:creationId xmlns:a16="http://schemas.microsoft.com/office/drawing/2014/main" id="{00000000-0008-0000-1C00-00001A000000}"/>
            </a:ext>
          </a:extLst>
        </xdr:cNvPr>
        <xdr:cNvSpPr/>
      </xdr:nvSpPr>
      <xdr:spPr>
        <a:xfrm>
          <a:off x="37790820" y="21440417"/>
          <a:ext cx="915418" cy="457200"/>
        </a:xfrm>
        <a:prstGeom prst="roundRect">
          <a:avLst/>
        </a:prstGeom>
        <a:solidFill>
          <a:schemeClr val="bg1"/>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latin typeface="Roboto Light" panose="02000000000000000000" pitchFamily="2" charset="0"/>
              <a:ea typeface="Roboto Light" panose="02000000000000000000" pitchFamily="2" charset="0"/>
            </a:rPr>
            <a:t>Back</a:t>
          </a:r>
          <a:endParaRPr lang="en-US" sz="2000" b="0">
            <a:solidFill>
              <a:sysClr val="windowText" lastClr="000000"/>
            </a:solidFill>
            <a:latin typeface="Roboto Light" panose="02000000000000000000" pitchFamily="2" charset="0"/>
            <a:ea typeface="Roboto Light" panose="02000000000000000000" pitchFamily="2" charset="0"/>
          </a:endParaRPr>
        </a:p>
      </xdr:txBody>
    </xdr:sp>
    <xdr:clientData/>
  </xdr:twoCellAnchor>
  <xdr:twoCellAnchor>
    <xdr:from>
      <xdr:col>2</xdr:col>
      <xdr:colOff>27215</xdr:colOff>
      <xdr:row>0</xdr:row>
      <xdr:rowOff>95250</xdr:rowOff>
    </xdr:from>
    <xdr:to>
      <xdr:col>17</xdr:col>
      <xdr:colOff>2070549</xdr:colOff>
      <xdr:row>1</xdr:row>
      <xdr:rowOff>10726</xdr:rowOff>
    </xdr:to>
    <xdr:sp macro="" textlink="">
      <xdr:nvSpPr>
        <xdr:cNvPr id="3" name="Rectangle 2">
          <a:extLst>
            <a:ext uri="{FF2B5EF4-FFF2-40B4-BE49-F238E27FC236}">
              <a16:creationId xmlns:a16="http://schemas.microsoft.com/office/drawing/2014/main" id="{00000000-0008-0000-1C00-000003000000}"/>
            </a:ext>
          </a:extLst>
        </xdr:cNvPr>
        <xdr:cNvSpPr/>
      </xdr:nvSpPr>
      <xdr:spPr>
        <a:xfrm>
          <a:off x="607374" y="95250"/>
          <a:ext cx="15880561" cy="1188362"/>
        </a:xfrm>
        <a:prstGeom prst="rect">
          <a:avLst/>
        </a:prstGeom>
        <a:noFill/>
      </xdr:spPr>
    </xdr:sp>
    <xdr:clientData/>
  </xdr:twoCellAnchor>
  <xdr:twoCellAnchor editAs="absolute">
    <xdr:from>
      <xdr:col>2</xdr:col>
      <xdr:colOff>818856</xdr:colOff>
      <xdr:row>1</xdr:row>
      <xdr:rowOff>173528</xdr:rowOff>
    </xdr:from>
    <xdr:to>
      <xdr:col>2</xdr:col>
      <xdr:colOff>1546047</xdr:colOff>
      <xdr:row>2</xdr:row>
      <xdr:rowOff>554355</xdr:rowOff>
    </xdr:to>
    <xdr:sp macro="" textlink="">
      <xdr:nvSpPr>
        <xdr:cNvPr id="30" name="Rectangle 29">
          <a:hlinkClick xmlns:r="http://purl.oclc.org/ooxml/officeDocument/relationships" r:id="rId11"/>
          <a:extLst>
            <a:ext uri="{FF2B5EF4-FFF2-40B4-BE49-F238E27FC236}">
              <a16:creationId xmlns:a16="http://schemas.microsoft.com/office/drawing/2014/main" id="{00000000-0008-0000-1C00-00001E000000}"/>
            </a:ext>
          </a:extLst>
        </xdr:cNvPr>
        <xdr:cNvSpPr/>
      </xdr:nvSpPr>
      <xdr:spPr>
        <a:xfrm>
          <a:off x="1397752" y="1458619"/>
          <a:ext cx="727191" cy="728209"/>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Irrigation</a:t>
          </a:r>
        </a:p>
      </xdr:txBody>
    </xdr:sp>
    <xdr:clientData/>
  </xdr:twoCellAnchor>
  <xdr:twoCellAnchor editAs="absolute">
    <xdr:from>
      <xdr:col>0</xdr:col>
      <xdr:colOff>474039</xdr:colOff>
      <xdr:row>38</xdr:row>
      <xdr:rowOff>135810</xdr:rowOff>
    </xdr:from>
    <xdr:to>
      <xdr:col>2</xdr:col>
      <xdr:colOff>612177</xdr:colOff>
      <xdr:row>39</xdr:row>
      <xdr:rowOff>706610</xdr:rowOff>
    </xdr:to>
    <xdr:sp macro="" textlink="">
      <xdr:nvSpPr>
        <xdr:cNvPr id="32" name="Rectangle 31">
          <a:hlinkClick xmlns:r="http://purl.oclc.org/ooxml/officeDocument/relationships" r:id="rId12"/>
          <a:extLst>
            <a:ext uri="{FF2B5EF4-FFF2-40B4-BE49-F238E27FC236}">
              <a16:creationId xmlns:a16="http://schemas.microsoft.com/office/drawing/2014/main" id="{00000000-0008-0000-1C00-000020000000}"/>
            </a:ext>
          </a:extLst>
        </xdr:cNvPr>
        <xdr:cNvSpPr/>
      </xdr:nvSpPr>
      <xdr:spPr>
        <a:xfrm>
          <a:off x="466419" y="10060636"/>
          <a:ext cx="728464" cy="74987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Inputs</a:t>
          </a:r>
        </a:p>
      </xdr:txBody>
    </xdr:sp>
    <xdr:clientData/>
  </xdr:twoCellAnchor>
  <xdr:twoCellAnchor editAs="absolute">
    <xdr:from>
      <xdr:col>2</xdr:col>
      <xdr:colOff>1582683</xdr:colOff>
      <xdr:row>39</xdr:row>
      <xdr:rowOff>556</xdr:rowOff>
    </xdr:from>
    <xdr:to>
      <xdr:col>2</xdr:col>
      <xdr:colOff>2304777</xdr:colOff>
      <xdr:row>39</xdr:row>
      <xdr:rowOff>744711</xdr:rowOff>
    </xdr:to>
    <xdr:sp macro="" textlink="">
      <xdr:nvSpPr>
        <xdr:cNvPr id="34" name="Rectangle 33">
          <a:hlinkClick xmlns:r="http://purl.oclc.org/ooxml/officeDocument/relationships" r:id="rId13"/>
          <a:extLst>
            <a:ext uri="{FF2B5EF4-FFF2-40B4-BE49-F238E27FC236}">
              <a16:creationId xmlns:a16="http://schemas.microsoft.com/office/drawing/2014/main" id="{00000000-0008-0000-1C00-000022000000}"/>
            </a:ext>
          </a:extLst>
        </xdr:cNvPr>
        <xdr:cNvSpPr/>
      </xdr:nvSpPr>
      <xdr:spPr>
        <a:xfrm>
          <a:off x="2155864" y="10089212"/>
          <a:ext cx="727809" cy="74987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a:t>
          </a:r>
          <a:r>
            <a:rPr lang="en-US" sz="1000" b="0">
              <a:latin typeface="Roboto Light" panose="02000000000000000000" pitchFamily="2" charset="0"/>
              <a:ea typeface="Roboto Light" panose="02000000000000000000" pitchFamily="2" charset="0"/>
            </a:rPr>
            <a:t>Infrastructure</a:t>
          </a:r>
        </a:p>
      </xdr:txBody>
    </xdr:sp>
    <xdr:clientData/>
  </xdr:twoCellAnchor>
  <xdr:twoCellAnchor editAs="absolute">
    <xdr:from>
      <xdr:col>2</xdr:col>
      <xdr:colOff>723877</xdr:colOff>
      <xdr:row>38</xdr:row>
      <xdr:rowOff>152955</xdr:rowOff>
    </xdr:from>
    <xdr:to>
      <xdr:col>2</xdr:col>
      <xdr:colOff>1468732</xdr:colOff>
      <xdr:row>39</xdr:row>
      <xdr:rowOff>708515</xdr:rowOff>
    </xdr:to>
    <xdr:sp macro="" textlink="">
      <xdr:nvSpPr>
        <xdr:cNvPr id="35" name="Rectangle 34">
          <a:hlinkClick xmlns:r="http://purl.oclc.org/ooxml/officeDocument/relationships" r:id="rId11"/>
          <a:extLst>
            <a:ext uri="{FF2B5EF4-FFF2-40B4-BE49-F238E27FC236}">
              <a16:creationId xmlns:a16="http://schemas.microsoft.com/office/drawing/2014/main" id="{00000000-0008-0000-1C00-000023000000}"/>
            </a:ext>
          </a:extLst>
        </xdr:cNvPr>
        <xdr:cNvSpPr/>
      </xdr:nvSpPr>
      <xdr:spPr>
        <a:xfrm>
          <a:off x="1306583" y="10070161"/>
          <a:ext cx="731520" cy="74987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Irrigation</a:t>
          </a:r>
        </a:p>
      </xdr:txBody>
    </xdr:sp>
    <xdr:clientData/>
  </xdr:twoCellAnchor>
  <xdr:twoCellAnchor editAs="absolute">
    <xdr:from>
      <xdr:col>1</xdr:col>
      <xdr:colOff>1936</xdr:colOff>
      <xdr:row>67</xdr:row>
      <xdr:rowOff>403048</xdr:rowOff>
    </xdr:from>
    <xdr:to>
      <xdr:col>2</xdr:col>
      <xdr:colOff>624871</xdr:colOff>
      <xdr:row>68</xdr:row>
      <xdr:rowOff>625585</xdr:rowOff>
    </xdr:to>
    <xdr:sp macro="" textlink="">
      <xdr:nvSpPr>
        <xdr:cNvPr id="36" name="Rectangle 35">
          <a:hlinkClick xmlns:r="http://purl.oclc.org/ooxml/officeDocument/relationships" r:id="rId12"/>
          <a:extLst>
            <a:ext uri="{FF2B5EF4-FFF2-40B4-BE49-F238E27FC236}">
              <a16:creationId xmlns:a16="http://schemas.microsoft.com/office/drawing/2014/main" id="{00000000-0008-0000-1C00-000024000000}"/>
            </a:ext>
          </a:extLst>
        </xdr:cNvPr>
        <xdr:cNvSpPr/>
      </xdr:nvSpPr>
      <xdr:spPr>
        <a:xfrm>
          <a:off x="483789" y="17000641"/>
          <a:ext cx="727598" cy="732740"/>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Inputs</a:t>
          </a:r>
        </a:p>
      </xdr:txBody>
    </xdr:sp>
    <xdr:clientData/>
  </xdr:twoCellAnchor>
  <xdr:twoCellAnchor editAs="absolute">
    <xdr:from>
      <xdr:col>2</xdr:col>
      <xdr:colOff>740987</xdr:colOff>
      <xdr:row>67</xdr:row>
      <xdr:rowOff>397333</xdr:rowOff>
    </xdr:from>
    <xdr:to>
      <xdr:col>2</xdr:col>
      <xdr:colOff>1464887</xdr:colOff>
      <xdr:row>68</xdr:row>
      <xdr:rowOff>628387</xdr:rowOff>
    </xdr:to>
    <xdr:sp macro="" textlink="">
      <xdr:nvSpPr>
        <xdr:cNvPr id="37" name="Rectangle 36">
          <a:hlinkClick xmlns:r="http://purl.oclc.org/ooxml/officeDocument/relationships" r:id="rId1"/>
          <a:extLst>
            <a:ext uri="{FF2B5EF4-FFF2-40B4-BE49-F238E27FC236}">
              <a16:creationId xmlns:a16="http://schemas.microsoft.com/office/drawing/2014/main" id="{00000000-0008-0000-1C00-000025000000}"/>
            </a:ext>
          </a:extLst>
        </xdr:cNvPr>
        <xdr:cNvSpPr/>
      </xdr:nvSpPr>
      <xdr:spPr>
        <a:xfrm>
          <a:off x="1312263" y="17010166"/>
          <a:ext cx="731520" cy="735542"/>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baseline="0%">
              <a:latin typeface="Roboto Light" panose="02000000000000000000" pitchFamily="2" charset="0"/>
              <a:ea typeface="Roboto Light" panose="02000000000000000000" pitchFamily="2" charset="0"/>
            </a:rPr>
            <a:t>    </a:t>
          </a:r>
          <a:r>
            <a:rPr lang="en-US" sz="1050" b="0">
              <a:latin typeface="Roboto Light" panose="02000000000000000000" pitchFamily="2" charset="0"/>
              <a:ea typeface="Roboto Light" panose="02000000000000000000" pitchFamily="2" charset="0"/>
            </a:rPr>
            <a:t>Energy</a:t>
          </a:r>
        </a:p>
      </xdr:txBody>
    </xdr:sp>
    <xdr:clientData/>
  </xdr:twoCellAnchor>
  <xdr:twoCellAnchor editAs="absolute">
    <xdr:from>
      <xdr:col>2</xdr:col>
      <xdr:colOff>1546713</xdr:colOff>
      <xdr:row>67</xdr:row>
      <xdr:rowOff>399238</xdr:rowOff>
    </xdr:from>
    <xdr:to>
      <xdr:col>2</xdr:col>
      <xdr:colOff>2266902</xdr:colOff>
      <xdr:row>68</xdr:row>
      <xdr:rowOff>670296</xdr:rowOff>
    </xdr:to>
    <xdr:sp macro="" textlink="">
      <xdr:nvSpPr>
        <xdr:cNvPr id="38" name="Rectangle 37">
          <a:hlinkClick xmlns:r="http://purl.oclc.org/ooxml/officeDocument/relationships" r:id="rId13"/>
          <a:extLst>
            <a:ext uri="{FF2B5EF4-FFF2-40B4-BE49-F238E27FC236}">
              <a16:creationId xmlns:a16="http://schemas.microsoft.com/office/drawing/2014/main" id="{00000000-0008-0000-1C00-000026000000}"/>
            </a:ext>
          </a:extLst>
        </xdr:cNvPr>
        <xdr:cNvSpPr/>
      </xdr:nvSpPr>
      <xdr:spPr>
        <a:xfrm>
          <a:off x="2125609" y="17019691"/>
          <a:ext cx="727809" cy="735541"/>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Infrastructure</a:t>
          </a:r>
        </a:p>
      </xdr:txBody>
    </xdr:sp>
    <xdr:clientData/>
  </xdr:twoCellAnchor>
  <xdr:twoCellAnchor editAs="absolute">
    <xdr:from>
      <xdr:col>0</xdr:col>
      <xdr:colOff>476533</xdr:colOff>
      <xdr:row>97</xdr:row>
      <xdr:rowOff>19067</xdr:rowOff>
    </xdr:from>
    <xdr:to>
      <xdr:col>2</xdr:col>
      <xdr:colOff>632015</xdr:colOff>
      <xdr:row>100</xdr:row>
      <xdr:rowOff>149854</xdr:rowOff>
    </xdr:to>
    <xdr:sp macro="" textlink="">
      <xdr:nvSpPr>
        <xdr:cNvPr id="40" name="Rectangle 39">
          <a:hlinkClick xmlns:r="http://purl.oclc.org/ooxml/officeDocument/relationships" r:id="rId12"/>
          <a:extLst>
            <a:ext uri="{FF2B5EF4-FFF2-40B4-BE49-F238E27FC236}">
              <a16:creationId xmlns:a16="http://schemas.microsoft.com/office/drawing/2014/main" id="{00000000-0008-0000-1C00-000028000000}"/>
            </a:ext>
          </a:extLst>
        </xdr:cNvPr>
        <xdr:cNvSpPr/>
      </xdr:nvSpPr>
      <xdr:spPr>
        <a:xfrm>
          <a:off x="467008" y="24393094"/>
          <a:ext cx="755333" cy="732767"/>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    Inputs</a:t>
          </a:r>
        </a:p>
      </xdr:txBody>
    </xdr:sp>
    <xdr:clientData/>
  </xdr:twoCellAnchor>
  <xdr:twoCellAnchor editAs="absolute">
    <xdr:from>
      <xdr:col>2</xdr:col>
      <xdr:colOff>741654</xdr:colOff>
      <xdr:row>97</xdr:row>
      <xdr:rowOff>19067</xdr:rowOff>
    </xdr:from>
    <xdr:to>
      <xdr:col>2</xdr:col>
      <xdr:colOff>1486509</xdr:colOff>
      <xdr:row>100</xdr:row>
      <xdr:rowOff>172714</xdr:rowOff>
    </xdr:to>
    <xdr:sp macro="" textlink="">
      <xdr:nvSpPr>
        <xdr:cNvPr id="41" name="Rectangle 40">
          <a:hlinkClick xmlns:r="http://purl.oclc.org/ooxml/officeDocument/relationships" r:id="rId14"/>
          <a:extLst>
            <a:ext uri="{FF2B5EF4-FFF2-40B4-BE49-F238E27FC236}">
              <a16:creationId xmlns:a16="http://schemas.microsoft.com/office/drawing/2014/main" id="{00000000-0008-0000-1C00-000029000000}"/>
            </a:ext>
          </a:extLst>
        </xdr:cNvPr>
        <xdr:cNvSpPr/>
      </xdr:nvSpPr>
      <xdr:spPr>
        <a:xfrm>
          <a:off x="1337695" y="24402619"/>
          <a:ext cx="731520" cy="732767"/>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baseline="0%">
              <a:latin typeface="Roboto Light" panose="02000000000000000000" pitchFamily="2" charset="0"/>
              <a:ea typeface="Roboto Light" panose="02000000000000000000" pitchFamily="2" charset="0"/>
            </a:rPr>
            <a:t>    </a:t>
          </a:r>
          <a:r>
            <a:rPr lang="en-US" sz="1050" b="0">
              <a:latin typeface="Roboto Light" panose="02000000000000000000" pitchFamily="2" charset="0"/>
              <a:ea typeface="Roboto Light" panose="02000000000000000000" pitchFamily="2" charset="0"/>
            </a:rPr>
            <a:t>Energy</a:t>
          </a:r>
        </a:p>
      </xdr:txBody>
    </xdr:sp>
    <xdr:clientData/>
  </xdr:twoCellAnchor>
  <xdr:twoCellAnchor editAs="absolute">
    <xdr:from>
      <xdr:col>16</xdr:col>
      <xdr:colOff>653276</xdr:colOff>
      <xdr:row>83</xdr:row>
      <xdr:rowOff>437197</xdr:rowOff>
    </xdr:from>
    <xdr:to>
      <xdr:col>17</xdr:col>
      <xdr:colOff>47487</xdr:colOff>
      <xdr:row>84</xdr:row>
      <xdr:rowOff>173971</xdr:rowOff>
    </xdr:to>
    <xdr:sp macro="" textlink="">
      <xdr:nvSpPr>
        <xdr:cNvPr id="39" name="Rectangle 38">
          <a:hlinkClick xmlns:r="http://purl.oclc.org/ooxml/officeDocument/relationships" r:id="rId15"/>
          <a:extLst>
            <a:ext uri="{FF2B5EF4-FFF2-40B4-BE49-F238E27FC236}">
              <a16:creationId xmlns:a16="http://schemas.microsoft.com/office/drawing/2014/main" id="{00000000-0008-0000-1C00-000027000000}"/>
            </a:ext>
          </a:extLst>
        </xdr:cNvPr>
        <xdr:cNvSpPr>
          <a:spLocks noChangeAspect="1"/>
        </xdr:cNvSpPr>
      </xdr:nvSpPr>
      <xdr:spPr>
        <a:xfrm>
          <a:off x="15716250" y="21488400"/>
          <a:ext cx="283845" cy="27207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2</xdr:col>
      <xdr:colOff>1355575</xdr:colOff>
      <xdr:row>76</xdr:row>
      <xdr:rowOff>92280</xdr:rowOff>
    </xdr:from>
    <xdr:to>
      <xdr:col>2</xdr:col>
      <xdr:colOff>1637515</xdr:colOff>
      <xdr:row>76</xdr:row>
      <xdr:rowOff>360549</xdr:rowOff>
    </xdr:to>
    <xdr:sp macro="" textlink="">
      <xdr:nvSpPr>
        <xdr:cNvPr id="42" name="Rectangle 41">
          <a:hlinkClick xmlns:r="http://purl.oclc.org/ooxml/officeDocument/relationships" r:id="rId16"/>
          <a:extLst>
            <a:ext uri="{FF2B5EF4-FFF2-40B4-BE49-F238E27FC236}">
              <a16:creationId xmlns:a16="http://schemas.microsoft.com/office/drawing/2014/main" id="{00000000-0008-0000-1C00-00002A000000}"/>
            </a:ext>
          </a:extLst>
        </xdr:cNvPr>
        <xdr:cNvSpPr>
          <a:spLocks noChangeAspect="1"/>
        </xdr:cNvSpPr>
      </xdr:nvSpPr>
      <xdr:spPr>
        <a:xfrm>
          <a:off x="1945901" y="19616737"/>
          <a:ext cx="274320" cy="272079"/>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editAs="absolute">
    <xdr:from>
      <xdr:col>2</xdr:col>
      <xdr:colOff>1355575</xdr:colOff>
      <xdr:row>83</xdr:row>
      <xdr:rowOff>437281</xdr:rowOff>
    </xdr:from>
    <xdr:to>
      <xdr:col>2</xdr:col>
      <xdr:colOff>1637515</xdr:colOff>
      <xdr:row>85</xdr:row>
      <xdr:rowOff>2607</xdr:rowOff>
    </xdr:to>
    <xdr:sp macro="" textlink="">
      <xdr:nvSpPr>
        <xdr:cNvPr id="44" name="Rectangle 43">
          <a:hlinkClick xmlns:r="http://purl.oclc.org/ooxml/officeDocument/relationships" r:id="rId16"/>
          <a:extLst>
            <a:ext uri="{FF2B5EF4-FFF2-40B4-BE49-F238E27FC236}">
              <a16:creationId xmlns:a16="http://schemas.microsoft.com/office/drawing/2014/main" id="{00000000-0008-0000-1C00-00002C000000}"/>
            </a:ext>
          </a:extLst>
        </xdr:cNvPr>
        <xdr:cNvSpPr>
          <a:spLocks noChangeAspect="1"/>
        </xdr:cNvSpPr>
      </xdr:nvSpPr>
      <xdr:spPr>
        <a:xfrm>
          <a:off x="1945901" y="21695288"/>
          <a:ext cx="274320" cy="284266"/>
        </a:xfrm>
        <a:prstGeom prst="rect">
          <a:avLst/>
        </a:prstGeom>
        <a:solidFill>
          <a:srgbClr val="EEA54C"/>
        </a:solidFill>
        <a:ln>
          <a:noFill/>
        </a:ln>
        <a:effectLst/>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a:solidFill>
                <a:schemeClr val="tx1">
                  <a:lumMod val="75%"/>
                  <a:lumOff val="25%"/>
                </a:schemeClr>
              </a:solidFill>
              <a:latin typeface="Roboto light"/>
            </a:rPr>
            <a:t>?</a:t>
          </a:r>
        </a:p>
      </xdr:txBody>
    </xdr:sp>
    <xdr:clientData/>
  </xdr:twoCellAnchor>
  <xdr:twoCellAnchor>
    <xdr:from>
      <xdr:col>0</xdr:col>
      <xdr:colOff>166688</xdr:colOff>
      <xdr:row>0</xdr:row>
      <xdr:rowOff>166688</xdr:rowOff>
    </xdr:from>
    <xdr:to>
      <xdr:col>17</xdr:col>
      <xdr:colOff>2081902</xdr:colOff>
      <xdr:row>0</xdr:row>
      <xdr:rowOff>1092994</xdr:rowOff>
    </xdr:to>
    <xdr:grpSp>
      <xdr:nvGrpSpPr>
        <xdr:cNvPr id="43" name="Group 42">
          <a:hlinkClick xmlns:r="http://purl.oclc.org/ooxml/officeDocument/relationships" r:id="rId12"/>
          <a:extLst>
            <a:ext uri="{FF2B5EF4-FFF2-40B4-BE49-F238E27FC236}">
              <a16:creationId xmlns:a16="http://schemas.microsoft.com/office/drawing/2014/main" id="{00000000-0008-0000-1C00-00002B000000}"/>
            </a:ext>
          </a:extLst>
        </xdr:cNvPr>
        <xdr:cNvGrpSpPr/>
      </xdr:nvGrpSpPr>
      <xdr:grpSpPr>
        <a:xfrm>
          <a:off x="166688" y="166688"/>
          <a:ext cx="19788141" cy="926306"/>
          <a:chOff x="148166" y="116417"/>
          <a:chExt cx="17238558" cy="926306"/>
        </a:xfrm>
      </xdr:grpSpPr>
      <xdr:grpSp>
        <xdr:nvGrpSpPr>
          <xdr:cNvPr id="45" name="Group 44">
            <a:extLst>
              <a:ext uri="{FF2B5EF4-FFF2-40B4-BE49-F238E27FC236}">
                <a16:creationId xmlns:a16="http://schemas.microsoft.com/office/drawing/2014/main" id="{00000000-0008-0000-1C00-00002D000000}"/>
              </a:ext>
            </a:extLst>
          </xdr:cNvPr>
          <xdr:cNvGrpSpPr/>
        </xdr:nvGrpSpPr>
        <xdr:grpSpPr>
          <a:xfrm>
            <a:off x="148166" y="116417"/>
            <a:ext cx="17238558" cy="926306"/>
            <a:chOff x="148166" y="116417"/>
            <a:chExt cx="17215408" cy="926306"/>
          </a:xfrm>
        </xdr:grpSpPr>
        <xdr:sp macro="" textlink="">
          <xdr:nvSpPr>
            <xdr:cNvPr id="47" name="Rounded Rectangle 82">
              <a:hlinkClick xmlns:r="http://purl.oclc.org/ooxml/officeDocument/relationships" r:id="rId17"/>
              <a:extLst>
                <a:ext uri="{FF2B5EF4-FFF2-40B4-BE49-F238E27FC236}">
                  <a16:creationId xmlns:a16="http://schemas.microsoft.com/office/drawing/2014/main" id="{00000000-0008-0000-1C00-00002F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48" name="Rounded Rectangle 83">
              <a:hlinkClick xmlns:r="http://purl.oclc.org/ooxml/officeDocument/relationships" r:id="rId18"/>
              <a:extLst>
                <a:ext uri="{FF2B5EF4-FFF2-40B4-BE49-F238E27FC236}">
                  <a16:creationId xmlns:a16="http://schemas.microsoft.com/office/drawing/2014/main" id="{00000000-0008-0000-1C00-000030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49" name="Rounded Rectangle 84">
              <a:hlinkClick xmlns:r="http://purl.oclc.org/ooxml/officeDocument/relationships" r:id="rId19"/>
              <a:extLst>
                <a:ext uri="{FF2B5EF4-FFF2-40B4-BE49-F238E27FC236}">
                  <a16:creationId xmlns:a16="http://schemas.microsoft.com/office/drawing/2014/main" id="{00000000-0008-0000-1C00-000031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lt1"/>
                  </a:solidFill>
                  <a:latin typeface="Roboto Light" panose="02000000000000000000" pitchFamily="2" charset="0"/>
                  <a:ea typeface="Roboto Light" panose="02000000000000000000" pitchFamily="2" charset="0"/>
                  <a:cs typeface="+mn-cs"/>
                </a:rPr>
                <a:t>      changes</a:t>
              </a:r>
            </a:p>
          </xdr:txBody>
        </xdr:sp>
        <xdr:sp macro="" textlink="">
          <xdr:nvSpPr>
            <xdr:cNvPr id="50" name="Rounded Rectangle 85">
              <a:hlinkClick xmlns:r="http://purl.oclc.org/ooxml/officeDocument/relationships" r:id="rId20"/>
              <a:extLst>
                <a:ext uri="{FF2B5EF4-FFF2-40B4-BE49-F238E27FC236}">
                  <a16:creationId xmlns:a16="http://schemas.microsoft.com/office/drawing/2014/main" id="{00000000-0008-0000-1C00-000032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51" name="Rounded Rectangle 86">
              <a:hlinkClick xmlns:r="http://purl.oclc.org/ooxml/officeDocument/relationships" r:id="rId21"/>
              <a:extLst>
                <a:ext uri="{FF2B5EF4-FFF2-40B4-BE49-F238E27FC236}">
                  <a16:creationId xmlns:a16="http://schemas.microsoft.com/office/drawing/2014/main" id="{00000000-0008-0000-1C00-000033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52" name="Rounded Rectangle 87">
              <a:hlinkClick xmlns:r="http://purl.oclc.org/ooxml/officeDocument/relationships" r:id="rId22"/>
              <a:extLst>
                <a:ext uri="{FF2B5EF4-FFF2-40B4-BE49-F238E27FC236}">
                  <a16:creationId xmlns:a16="http://schemas.microsoft.com/office/drawing/2014/main" id="{00000000-0008-0000-1C00-000034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53" name="Rounded Rectangle 88">
              <a:hlinkClick xmlns:r="http://purl.oclc.org/ooxml/officeDocument/relationships" r:id="rId23"/>
              <a:extLst>
                <a:ext uri="{FF2B5EF4-FFF2-40B4-BE49-F238E27FC236}">
                  <a16:creationId xmlns:a16="http://schemas.microsoft.com/office/drawing/2014/main" id="{00000000-0008-0000-1C00-000035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54" name="Rounded Rectangle 89">
              <a:hlinkClick xmlns:r="http://purl.oclc.org/ooxml/officeDocument/relationships" r:id="rId24"/>
              <a:extLst>
                <a:ext uri="{FF2B5EF4-FFF2-40B4-BE49-F238E27FC236}">
                  <a16:creationId xmlns:a16="http://schemas.microsoft.com/office/drawing/2014/main" id="{00000000-0008-0000-1C00-000036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55" name="Rounded Rectangle 90">
              <a:hlinkClick xmlns:r="http://purl.oclc.org/ooxml/officeDocument/relationships" r:id="rId12"/>
              <a:extLst>
                <a:ext uri="{FF2B5EF4-FFF2-40B4-BE49-F238E27FC236}">
                  <a16:creationId xmlns:a16="http://schemas.microsoft.com/office/drawing/2014/main" id="{00000000-0008-0000-1C00-000037000000}"/>
                </a:ext>
              </a:extLst>
            </xdr:cNvPr>
            <xdr:cNvSpPr/>
          </xdr:nvSpPr>
          <xdr:spPr>
            <a:xfrm>
              <a:off x="14314095" y="128323"/>
              <a:ext cx="1463040" cy="914400"/>
            </a:xfrm>
            <a:prstGeom prst="roundRect">
              <a:avLst/>
            </a:prstGeom>
            <a:solidFill>
              <a:srgbClr val="FFFFF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ysClr val="windowText" lastClr="000000"/>
                  </a:solidFill>
                  <a:latin typeface="Roboto Light" panose="02000000000000000000" pitchFamily="2" charset="0"/>
                  <a:ea typeface="Roboto Light" panose="02000000000000000000" pitchFamily="2" charset="0"/>
                </a:rPr>
                <a:t>Inputs and Investments</a:t>
              </a:r>
            </a:p>
          </xdr:txBody>
        </xdr:sp>
        <xdr:sp macro="" textlink="">
          <xdr:nvSpPr>
            <xdr:cNvPr id="56" name="Rounded Rectangle 91">
              <a:hlinkClick xmlns:r="http://purl.oclc.org/ooxml/officeDocument/relationships" r:id="rId25"/>
              <a:extLst>
                <a:ext uri="{FF2B5EF4-FFF2-40B4-BE49-F238E27FC236}">
                  <a16:creationId xmlns:a16="http://schemas.microsoft.com/office/drawing/2014/main" id="{00000000-0008-0000-1C00-000038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         </a:t>
              </a:r>
              <a:r>
                <a:rPr lang="en-US" sz="1200" b="1" baseline="0%">
                  <a:solidFill>
                    <a:schemeClr val="tx1">
                      <a:lumMod val="75%"/>
                      <a:lumOff val="25%"/>
                    </a:schemeClr>
                  </a:solidFill>
                  <a:latin typeface="Roboto Light" panose="02000000000000000000" pitchFamily="2" charset="0"/>
                  <a:ea typeface="Roboto Light" panose="02000000000000000000" pitchFamily="2" charset="0"/>
                </a:rPr>
                <a:t> 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46" name="Rounded Rectangle 89">
            <a:hlinkClick xmlns:r="http://purl.oclc.org/ooxml/officeDocument/relationships" r:id="rId26"/>
            <a:extLst>
              <a:ext uri="{FF2B5EF4-FFF2-40B4-BE49-F238E27FC236}">
                <a16:creationId xmlns:a16="http://schemas.microsoft.com/office/drawing/2014/main" id="{00000000-0008-0000-1C00-00002E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wsDr>
</file>

<file path=xl/drawings/drawing21.xml><?xml version="1.0" encoding="utf-8"?>
<xdr:wsDr xmlns:xdr="http://purl.oclc.org/ooxml/drawingml/spreadsheetDrawing" xmlns:a="http://purl.oclc.org/ooxml/drawingml/main">
  <xdr:twoCellAnchor editAs="oneCell">
    <xdr:from>
      <xdr:col>19</xdr:col>
      <xdr:colOff>514350</xdr:colOff>
      <xdr:row>1</xdr:row>
      <xdr:rowOff>61956</xdr:rowOff>
    </xdr:from>
    <xdr:to>
      <xdr:col>22</xdr:col>
      <xdr:colOff>457200</xdr:colOff>
      <xdr:row>3</xdr:row>
      <xdr:rowOff>187526</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purl.oclc.org/ooxml/officeDocument/relationships" r:embed="rId1"/>
        <a:stretch>
          <a:fillRect/>
        </a:stretch>
      </xdr:blipFill>
      <xdr:spPr>
        <a:xfrm>
          <a:off x="16954500" y="33799506"/>
          <a:ext cx="2276475" cy="782795"/>
        </a:xfrm>
        <a:prstGeom prst="rect">
          <a:avLst/>
        </a:prstGeom>
      </xdr:spPr>
    </xdr:pic>
    <xdr:clientData/>
  </xdr:twoCellAnchor>
</xdr:wsDr>
</file>

<file path=xl/drawings/drawing22.xml><?xml version="1.0" encoding="utf-8"?>
<xdr:wsDr xmlns:xdr="http://purl.oclc.org/ooxml/drawingml/spreadsheetDrawing" xmlns:a="http://purl.oclc.org/ooxml/drawingml/main">
  <xdr:twoCellAnchor editAs="absolute">
    <xdr:from>
      <xdr:col>1</xdr:col>
      <xdr:colOff>0</xdr:colOff>
      <xdr:row>72</xdr:row>
      <xdr:rowOff>0</xdr:rowOff>
    </xdr:from>
    <xdr:to>
      <xdr:col>1</xdr:col>
      <xdr:colOff>727598</xdr:colOff>
      <xdr:row>75</xdr:row>
      <xdr:rowOff>141375</xdr:rowOff>
    </xdr:to>
    <xdr:sp macro="" textlink="">
      <xdr:nvSpPr>
        <xdr:cNvPr id="2" name="Rectangle 1">
          <a:hlinkClick xmlns:r="http://purl.oclc.org/ooxml/officeDocument/relationships" r:id="rId1"/>
          <a:extLst>
            <a:ext uri="{FF2B5EF4-FFF2-40B4-BE49-F238E27FC236}">
              <a16:creationId xmlns:a16="http://schemas.microsoft.com/office/drawing/2014/main" id="{00000000-0008-0000-1F00-000002000000}"/>
            </a:ext>
          </a:extLst>
        </xdr:cNvPr>
        <xdr:cNvSpPr/>
      </xdr:nvSpPr>
      <xdr:spPr>
        <a:xfrm>
          <a:off x="612321" y="15076714"/>
          <a:ext cx="727598" cy="732742"/>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a:latin typeface="Roboto Light" panose="02000000000000000000" pitchFamily="2" charset="0"/>
              <a:ea typeface="Roboto Light" panose="02000000000000000000" pitchFamily="2" charset="0"/>
            </a:rPr>
            <a:t>Without</a:t>
          </a:r>
        </a:p>
      </xdr:txBody>
    </xdr:sp>
    <xdr:clientData/>
  </xdr:twoCellAnchor>
  <xdr:twoCellAnchor editAs="absolute">
    <xdr:from>
      <xdr:col>1</xdr:col>
      <xdr:colOff>914199</xdr:colOff>
      <xdr:row>72</xdr:row>
      <xdr:rowOff>0</xdr:rowOff>
    </xdr:from>
    <xdr:to>
      <xdr:col>1</xdr:col>
      <xdr:colOff>1664769</xdr:colOff>
      <xdr:row>75</xdr:row>
      <xdr:rowOff>141375</xdr:rowOff>
    </xdr:to>
    <xdr:sp macro="" textlink="">
      <xdr:nvSpPr>
        <xdr:cNvPr id="3" name="Rectangle 2">
          <a:hlinkClick xmlns:r="http://purl.oclc.org/ooxml/officeDocument/relationships" r:id="rId2"/>
          <a:extLst>
            <a:ext uri="{FF2B5EF4-FFF2-40B4-BE49-F238E27FC236}">
              <a16:creationId xmlns:a16="http://schemas.microsoft.com/office/drawing/2014/main" id="{00000000-0008-0000-1F00-000003000000}"/>
            </a:ext>
          </a:extLst>
        </xdr:cNvPr>
        <xdr:cNvSpPr/>
      </xdr:nvSpPr>
      <xdr:spPr>
        <a:xfrm>
          <a:off x="1526520" y="15076714"/>
          <a:ext cx="731520" cy="732742"/>
        </a:xfrm>
        <a:prstGeom prst="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050" b="0" baseline="0%">
              <a:latin typeface="Roboto Light" panose="02000000000000000000" pitchFamily="2" charset="0"/>
              <a:ea typeface="Roboto Light" panose="02000000000000000000" pitchFamily="2" charset="0"/>
            </a:rPr>
            <a:t>    </a:t>
          </a:r>
          <a:r>
            <a:rPr lang="en-US" sz="1050" b="0">
              <a:latin typeface="Roboto Light" panose="02000000000000000000" pitchFamily="2" charset="0"/>
              <a:ea typeface="Roboto Light" panose="02000000000000000000" pitchFamily="2" charset="0"/>
            </a:rPr>
            <a:t>With</a:t>
          </a:r>
        </a:p>
      </xdr:txBody>
    </xdr:sp>
    <xdr:clientData/>
  </xdr:twoCellAnchor>
  <mc:AlternateContent xmlns:mc="http://schemas.openxmlformats.org/markup-compatibility/2006">
    <mc:Choice xmlns:v="urn:schemas-microsoft-com:vml" Requires="v"/>
    <mc:Fallback>
      <xdr:twoCellAnchor editAs="absolute">
        <xdr:from>
          <xdr:col>9</xdr:col>
          <xdr:colOff>50800</xdr:colOff>
          <xdr:row>79</xdr:row>
          <xdr:rowOff>0</xdr:rowOff>
        </xdr:from>
        <xdr:to>
          <xdr:col>10</xdr:col>
          <xdr:colOff>711200</xdr:colOff>
          <xdr:row>82</xdr:row>
          <xdr:rowOff>0</xdr:rowOff>
        </xdr:to>
        <xdr:sp macro="" textlink="">
          <xdr:nvSpPr>
            <xdr:cNvPr id="161805" name="Comment 13" hidden="1">
              <a:extLst>
                <a:ext uri="{FF2B5EF4-FFF2-40B4-BE49-F238E27FC236}">
                  <a16:creationId xmlns:a16="http://schemas.microsoft.com/office/drawing/2014/main" id="{07B1E3C3-4527-CE05-68EB-5404D1DC2A14}"/>
                </a:ext>
              </a:extLst>
            </xdr:cNvPr>
            <xdr:cNvSpPr txBox="1">
              <a:spLocks noChangeArrowheads="1"/>
            </xdr:cNvSpPr>
          </xdr:nvSpPr>
          <xdr:spPr bwMode="auto">
            <a:xfrm>
              <a:off x="12052300" y="14516100"/>
              <a:ext cx="1612900" cy="7747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LaureSophie Schiettecatte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OTHER for Inland wetland only refers for Fire emissions where the uncertainties if higher</a:t>
              </a:r>
            </a:p>
          </xdr:txBody>
        </xdr:sp>
        <xdr:clientData/>
      </xdr:twoCellAnchor>
    </mc:Fallback>
  </mc:AlternateContent>
</xdr:wsDr>
</file>

<file path=xl/drawings/drawing23.xml><?xml version="1.0" encoding="utf-8"?>
<xdr:wsDr xmlns:xdr="http://purl.oclc.org/ooxml/drawingml/spreadsheetDrawing" xmlns:a="http://purl.oclc.org/ooxml/drawingml/main">
  <xdr:twoCellAnchor>
    <xdr:from>
      <xdr:col>0</xdr:col>
      <xdr:colOff>428625</xdr:colOff>
      <xdr:row>0</xdr:row>
      <xdr:rowOff>0</xdr:rowOff>
    </xdr:from>
    <xdr:to>
      <xdr:col>22</xdr:col>
      <xdr:colOff>459586</xdr:colOff>
      <xdr:row>0</xdr:row>
      <xdr:rowOff>1188362</xdr:rowOff>
    </xdr:to>
    <xdr:sp macro="" textlink="">
      <xdr:nvSpPr>
        <xdr:cNvPr id="15" name="Rectangle 14">
          <a:extLst>
            <a:ext uri="{FF2B5EF4-FFF2-40B4-BE49-F238E27FC236}">
              <a16:creationId xmlns:a16="http://schemas.microsoft.com/office/drawing/2014/main" id="{00000000-0008-0000-2300-00000F000000}"/>
            </a:ext>
          </a:extLst>
        </xdr:cNvPr>
        <xdr:cNvSpPr/>
      </xdr:nvSpPr>
      <xdr:spPr>
        <a:xfrm>
          <a:off x="428625" y="0"/>
          <a:ext cx="26170282" cy="1188362"/>
        </a:xfrm>
        <a:prstGeom prst="rect">
          <a:avLst/>
        </a:prstGeom>
        <a:noFill/>
      </xdr:spPr>
    </xdr:sp>
    <xdr:clientData/>
  </xdr:twoCellAnchor>
  <xdr:twoCellAnchor>
    <xdr:from>
      <xdr:col>4</xdr:col>
      <xdr:colOff>820963</xdr:colOff>
      <xdr:row>6</xdr:row>
      <xdr:rowOff>5169</xdr:rowOff>
    </xdr:from>
    <xdr:to>
      <xdr:col>8</xdr:col>
      <xdr:colOff>1256392</xdr:colOff>
      <xdr:row>20</xdr:row>
      <xdr:rowOff>198062</xdr:rowOff>
    </xdr:to>
    <xdr:grpSp>
      <xdr:nvGrpSpPr>
        <xdr:cNvPr id="7" name="Group 6">
          <a:extLst>
            <a:ext uri="{FF2B5EF4-FFF2-40B4-BE49-F238E27FC236}">
              <a16:creationId xmlns:a16="http://schemas.microsoft.com/office/drawing/2014/main" id="{00000000-0008-0000-2300-000007000000}"/>
            </a:ext>
          </a:extLst>
        </xdr:cNvPr>
        <xdr:cNvGrpSpPr/>
      </xdr:nvGrpSpPr>
      <xdr:grpSpPr>
        <a:xfrm>
          <a:off x="6027963" y="2726598"/>
          <a:ext cx="6150429" cy="3313464"/>
          <a:chOff x="5492750" y="8995834"/>
          <a:chExt cx="3407834" cy="1900905"/>
        </a:xfrm>
      </xdr:grpSpPr>
      <xdr:grpSp>
        <xdr:nvGrpSpPr>
          <xdr:cNvPr id="6" name="Group 5">
            <a:extLst>
              <a:ext uri="{FF2B5EF4-FFF2-40B4-BE49-F238E27FC236}">
                <a16:creationId xmlns:a16="http://schemas.microsoft.com/office/drawing/2014/main" id="{00000000-0008-0000-2300-000006000000}"/>
              </a:ext>
            </a:extLst>
          </xdr:cNvPr>
          <xdr:cNvGrpSpPr/>
        </xdr:nvGrpSpPr>
        <xdr:grpSpPr>
          <a:xfrm>
            <a:off x="5492750" y="8995834"/>
            <a:ext cx="3407834" cy="1900905"/>
            <a:chOff x="5492750" y="8995834"/>
            <a:chExt cx="3407834" cy="1900905"/>
          </a:xfrm>
        </xdr:grpSpPr>
        <xdr:sp macro="" textlink="$F$131">
          <xdr:nvSpPr>
            <xdr:cNvPr id="2" name="Rectangle 1">
              <a:extLst>
                <a:ext uri="{FF2B5EF4-FFF2-40B4-BE49-F238E27FC236}">
                  <a16:creationId xmlns:a16="http://schemas.microsoft.com/office/drawing/2014/main" id="{00000000-0008-0000-2300-000002000000}"/>
                </a:ext>
              </a:extLst>
            </xdr:cNvPr>
            <xdr:cNvSpPr/>
          </xdr:nvSpPr>
          <xdr:spPr>
            <a:xfrm>
              <a:off x="5492750" y="8995834"/>
              <a:ext cx="3407833" cy="1900905"/>
            </a:xfrm>
            <a:prstGeom prst="rect">
              <a:avLst/>
            </a:prstGeom>
            <a:solidFill>
              <a:srgbClr val="F2F2F2"/>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fld id="{48479C05-C8CF-4623-B2AF-22061EB26280}" type="TxLink">
                <a:rPr lang="en-US" sz="4400" b="1" i="0" u="none" strike="noStrike">
                  <a:solidFill>
                    <a:schemeClr val="tx1"/>
                  </a:solidFill>
                  <a:latin typeface="Roboto" panose="02000000000000000000" pitchFamily="2" charset="0"/>
                  <a:ea typeface="Roboto" panose="02000000000000000000" pitchFamily="2" charset="0"/>
                </a:rPr>
                <a:pPr algn="ctr"/>
                <a:t>120.411</a:t>
              </a:fld>
              <a:endParaRPr lang="en-US" sz="4000">
                <a:solidFill>
                  <a:schemeClr val="tx1"/>
                </a:solidFill>
                <a:latin typeface="Roboto" panose="02000000000000000000" pitchFamily="2" charset="0"/>
                <a:ea typeface="Roboto" panose="02000000000000000000" pitchFamily="2" charset="0"/>
              </a:endParaRPr>
            </a:p>
          </xdr:txBody>
        </xdr:sp>
        <xdr:sp macro="" textlink="">
          <xdr:nvSpPr>
            <xdr:cNvPr id="4" name="TextBox 3">
              <a:extLst>
                <a:ext uri="{FF2B5EF4-FFF2-40B4-BE49-F238E27FC236}">
                  <a16:creationId xmlns:a16="http://schemas.microsoft.com/office/drawing/2014/main" id="{00000000-0008-0000-2300-000004000000}"/>
                </a:ext>
              </a:extLst>
            </xdr:cNvPr>
            <xdr:cNvSpPr txBox="1"/>
          </xdr:nvSpPr>
          <xdr:spPr>
            <a:xfrm>
              <a:off x="5492750" y="10170583"/>
              <a:ext cx="340783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tx1"/>
                  </a:solidFill>
                  <a:latin typeface="Roboto" panose="02000000000000000000" pitchFamily="2" charset="0"/>
                  <a:ea typeface="Roboto" panose="02000000000000000000" pitchFamily="2" charset="0"/>
                </a:rPr>
                <a:t>tCO</a:t>
              </a:r>
              <a:r>
                <a:rPr lang="en-US" sz="2400" baseline="-25%">
                  <a:solidFill>
                    <a:schemeClr val="tx1"/>
                  </a:solidFill>
                  <a:latin typeface="Roboto" panose="02000000000000000000" pitchFamily="2" charset="0"/>
                  <a:ea typeface="Roboto" panose="02000000000000000000" pitchFamily="2" charset="0"/>
                </a:rPr>
                <a:t>2</a:t>
              </a:r>
              <a:r>
                <a:rPr lang="en-US" sz="2400">
                  <a:solidFill>
                    <a:schemeClr val="tx1"/>
                  </a:solidFill>
                  <a:latin typeface="Roboto" panose="02000000000000000000" pitchFamily="2" charset="0"/>
                  <a:ea typeface="Roboto" panose="02000000000000000000" pitchFamily="2" charset="0"/>
                </a:rPr>
                <a:t>-e</a:t>
              </a:r>
            </a:p>
          </xdr:txBody>
        </xdr:sp>
      </xdr:grpSp>
      <xdr:sp macro="" textlink="">
        <xdr:nvSpPr>
          <xdr:cNvPr id="26" name="TextBox 25">
            <a:extLst>
              <a:ext uri="{FF2B5EF4-FFF2-40B4-BE49-F238E27FC236}">
                <a16:creationId xmlns:a16="http://schemas.microsoft.com/office/drawing/2014/main" id="{00000000-0008-0000-2300-00001A000000}"/>
              </a:ext>
            </a:extLst>
          </xdr:cNvPr>
          <xdr:cNvSpPr txBox="1"/>
        </xdr:nvSpPr>
        <xdr:spPr>
          <a:xfrm>
            <a:off x="5492750" y="9168828"/>
            <a:ext cx="340783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solidFill>
                <a:latin typeface="Roboto" panose="02000000000000000000" pitchFamily="2" charset="0"/>
                <a:ea typeface="Roboto" panose="02000000000000000000" pitchFamily="2" charset="0"/>
              </a:rPr>
              <a:t>MITIGATION</a:t>
            </a:r>
            <a:r>
              <a:rPr lang="en-US" sz="2800" b="1" baseline="0%">
                <a:solidFill>
                  <a:schemeClr val="tx1"/>
                </a:solidFill>
                <a:latin typeface="Roboto" panose="02000000000000000000" pitchFamily="2" charset="0"/>
                <a:ea typeface="Roboto" panose="02000000000000000000" pitchFamily="2" charset="0"/>
              </a:rPr>
              <a:t> POTENTIAL</a:t>
            </a:r>
            <a:endParaRPr lang="en-US" sz="2800" b="1">
              <a:solidFill>
                <a:schemeClr val="tx1"/>
              </a:solidFill>
              <a:latin typeface="Roboto" panose="02000000000000000000" pitchFamily="2" charset="0"/>
              <a:ea typeface="Roboto" panose="02000000000000000000" pitchFamily="2" charset="0"/>
            </a:endParaRPr>
          </a:p>
        </xdr:txBody>
      </xdr:sp>
    </xdr:grpSp>
    <xdr:clientData/>
  </xdr:twoCellAnchor>
  <xdr:twoCellAnchor>
    <xdr:from>
      <xdr:col>1</xdr:col>
      <xdr:colOff>2229</xdr:colOff>
      <xdr:row>26</xdr:row>
      <xdr:rowOff>154402</xdr:rowOff>
    </xdr:from>
    <xdr:to>
      <xdr:col>9</xdr:col>
      <xdr:colOff>0</xdr:colOff>
      <xdr:row>58</xdr:row>
      <xdr:rowOff>203170</xdr:rowOff>
    </xdr:to>
    <xdr:graphicFrame macro="">
      <xdr:nvGraphicFramePr>
        <xdr:cNvPr id="29" name="Chart 28">
          <a:extLst>
            <a:ext uri="{FF2B5EF4-FFF2-40B4-BE49-F238E27FC236}">
              <a16:creationId xmlns:a16="http://schemas.microsoft.com/office/drawing/2014/main" id="{00000000-0008-0000-2300-00001D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9</xdr:col>
      <xdr:colOff>396874</xdr:colOff>
      <xdr:row>4</xdr:row>
      <xdr:rowOff>158750</xdr:rowOff>
    </xdr:from>
    <xdr:to>
      <xdr:col>16</xdr:col>
      <xdr:colOff>746124</xdr:colOff>
      <xdr:row>24</xdr:row>
      <xdr:rowOff>47625</xdr:rowOff>
    </xdr:to>
    <xdr:graphicFrame macro="">
      <xdr:nvGraphicFramePr>
        <xdr:cNvPr id="36" name="Chart 35">
          <a:extLst>
            <a:ext uri="{FF2B5EF4-FFF2-40B4-BE49-F238E27FC236}">
              <a16:creationId xmlns:a16="http://schemas.microsoft.com/office/drawing/2014/main" id="{00000000-0008-0000-2300-000024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9</xdr:col>
      <xdr:colOff>0</xdr:colOff>
      <xdr:row>28</xdr:row>
      <xdr:rowOff>0</xdr:rowOff>
    </xdr:from>
    <xdr:to>
      <xdr:col>17</xdr:col>
      <xdr:colOff>11206</xdr:colOff>
      <xdr:row>58</xdr:row>
      <xdr:rowOff>156883</xdr:rowOff>
    </xdr:to>
    <xdr:graphicFrame macro="">
      <xdr:nvGraphicFramePr>
        <xdr:cNvPr id="37" name="Chart 36">
          <a:extLst>
            <a:ext uri="{FF2B5EF4-FFF2-40B4-BE49-F238E27FC236}">
              <a16:creationId xmlns:a16="http://schemas.microsoft.com/office/drawing/2014/main" id="{00000000-0008-0000-2300-000025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xdr:col>
      <xdr:colOff>54561</xdr:colOff>
      <xdr:row>232</xdr:row>
      <xdr:rowOff>133736</xdr:rowOff>
    </xdr:from>
    <xdr:to>
      <xdr:col>9</xdr:col>
      <xdr:colOff>26748</xdr:colOff>
      <xdr:row>264</xdr:row>
      <xdr:rowOff>182504</xdr:rowOff>
    </xdr:to>
    <xdr:graphicFrame macro="">
      <xdr:nvGraphicFramePr>
        <xdr:cNvPr id="38" name="Chart 37">
          <a:extLst>
            <a:ext uri="{FF2B5EF4-FFF2-40B4-BE49-F238E27FC236}">
              <a16:creationId xmlns:a16="http://schemas.microsoft.com/office/drawing/2014/main" id="{00000000-0008-0000-2300-000026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0</xdr:col>
      <xdr:colOff>560295</xdr:colOff>
      <xdr:row>197</xdr:row>
      <xdr:rowOff>70037</xdr:rowOff>
    </xdr:from>
    <xdr:to>
      <xdr:col>8</xdr:col>
      <xdr:colOff>1299883</xdr:colOff>
      <xdr:row>228</xdr:row>
      <xdr:rowOff>36420</xdr:rowOff>
    </xdr:to>
    <xdr:graphicFrame macro="">
      <xdr:nvGraphicFramePr>
        <xdr:cNvPr id="41" name="Chart 40">
          <a:extLst>
            <a:ext uri="{FF2B5EF4-FFF2-40B4-BE49-F238E27FC236}">
              <a16:creationId xmlns:a16="http://schemas.microsoft.com/office/drawing/2014/main" id="{00000000-0008-0000-2300-000029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9</xdr:col>
      <xdr:colOff>0</xdr:colOff>
      <xdr:row>197</xdr:row>
      <xdr:rowOff>70037</xdr:rowOff>
    </xdr:from>
    <xdr:to>
      <xdr:col>17</xdr:col>
      <xdr:colOff>13307</xdr:colOff>
      <xdr:row>228</xdr:row>
      <xdr:rowOff>36420</xdr:rowOff>
    </xdr:to>
    <xdr:graphicFrame macro="">
      <xdr:nvGraphicFramePr>
        <xdr:cNvPr id="27" name="Chart 26">
          <a:extLst>
            <a:ext uri="{FF2B5EF4-FFF2-40B4-BE49-F238E27FC236}">
              <a16:creationId xmlns:a16="http://schemas.microsoft.com/office/drawing/2014/main" id="{00000000-0008-0000-2300-00001B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9</xdr:col>
      <xdr:colOff>0</xdr:colOff>
      <xdr:row>232</xdr:row>
      <xdr:rowOff>133736</xdr:rowOff>
    </xdr:from>
    <xdr:to>
      <xdr:col>16</xdr:col>
      <xdr:colOff>1269968</xdr:colOff>
      <xdr:row>264</xdr:row>
      <xdr:rowOff>182504</xdr:rowOff>
    </xdr:to>
    <xdr:graphicFrame macro="">
      <xdr:nvGraphicFramePr>
        <xdr:cNvPr id="28" name="Chart 27">
          <a:extLst>
            <a:ext uri="{FF2B5EF4-FFF2-40B4-BE49-F238E27FC236}">
              <a16:creationId xmlns:a16="http://schemas.microsoft.com/office/drawing/2014/main" id="{00000000-0008-0000-2300-00001C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twoCellAnchor>
    <xdr:from>
      <xdr:col>0</xdr:col>
      <xdr:colOff>121227</xdr:colOff>
      <xdr:row>0</xdr:row>
      <xdr:rowOff>190500</xdr:rowOff>
    </xdr:from>
    <xdr:to>
      <xdr:col>15</xdr:col>
      <xdr:colOff>578467</xdr:colOff>
      <xdr:row>0</xdr:row>
      <xdr:rowOff>1116806</xdr:rowOff>
    </xdr:to>
    <xdr:grpSp>
      <xdr:nvGrpSpPr>
        <xdr:cNvPr id="31" name="Group 30">
          <a:hlinkClick xmlns:r="http://purl.oclc.org/ooxml/officeDocument/relationships" r:id="rId8"/>
          <a:extLst>
            <a:ext uri="{FF2B5EF4-FFF2-40B4-BE49-F238E27FC236}">
              <a16:creationId xmlns:a16="http://schemas.microsoft.com/office/drawing/2014/main" id="{00000000-0008-0000-2300-00001F000000}"/>
            </a:ext>
          </a:extLst>
        </xdr:cNvPr>
        <xdr:cNvGrpSpPr/>
      </xdr:nvGrpSpPr>
      <xdr:grpSpPr>
        <a:xfrm>
          <a:off x="121227" y="190500"/>
          <a:ext cx="21793240" cy="926306"/>
          <a:chOff x="148166" y="116417"/>
          <a:chExt cx="17238558" cy="926306"/>
        </a:xfrm>
      </xdr:grpSpPr>
      <xdr:grpSp>
        <xdr:nvGrpSpPr>
          <xdr:cNvPr id="32" name="Group 31">
            <a:extLst>
              <a:ext uri="{FF2B5EF4-FFF2-40B4-BE49-F238E27FC236}">
                <a16:creationId xmlns:a16="http://schemas.microsoft.com/office/drawing/2014/main" id="{00000000-0008-0000-2300-000020000000}"/>
              </a:ext>
            </a:extLst>
          </xdr:cNvPr>
          <xdr:cNvGrpSpPr/>
        </xdr:nvGrpSpPr>
        <xdr:grpSpPr>
          <a:xfrm>
            <a:off x="148166" y="116417"/>
            <a:ext cx="17238558" cy="926306"/>
            <a:chOff x="148166" y="116417"/>
            <a:chExt cx="17215408" cy="926306"/>
          </a:xfrm>
        </xdr:grpSpPr>
        <xdr:sp macro="" textlink="">
          <xdr:nvSpPr>
            <xdr:cNvPr id="35" name="Rounded Rectangle 82">
              <a:hlinkClick xmlns:r="http://purl.oclc.org/ooxml/officeDocument/relationships" r:id="rId9"/>
              <a:extLst>
                <a:ext uri="{FF2B5EF4-FFF2-40B4-BE49-F238E27FC236}">
                  <a16:creationId xmlns:a16="http://schemas.microsoft.com/office/drawing/2014/main" id="{00000000-0008-0000-2300-000023000000}"/>
                </a:ext>
              </a:extLst>
            </xdr:cNvPr>
            <xdr:cNvSpPr/>
          </xdr:nvSpPr>
          <xdr:spPr>
            <a:xfrm>
              <a:off x="148166" y="116417"/>
              <a:ext cx="1463040" cy="914400"/>
            </a:xfrm>
            <a:prstGeom prst="roundRect">
              <a:avLst/>
            </a:prstGeom>
            <a:solidFill>
              <a:srgbClr val="F2F2F2">
                <a:alpha val="15%"/>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bg1"/>
                  </a:solidFill>
                  <a:latin typeface="Roboto Light" panose="02000000000000000000" pitchFamily="2" charset="0"/>
                  <a:ea typeface="Roboto Light" panose="02000000000000000000" pitchFamily="2" charset="0"/>
                  <a:cs typeface="+mn-cs"/>
                </a:rPr>
                <a:t>EX-ACT version 9 Start</a:t>
              </a:r>
            </a:p>
          </xdr:txBody>
        </xdr:sp>
        <xdr:sp macro="" textlink="">
          <xdr:nvSpPr>
            <xdr:cNvPr id="39" name="Rounded Rectangle 83">
              <a:hlinkClick xmlns:r="http://purl.oclc.org/ooxml/officeDocument/relationships" r:id="rId10"/>
              <a:extLst>
                <a:ext uri="{FF2B5EF4-FFF2-40B4-BE49-F238E27FC236}">
                  <a16:creationId xmlns:a16="http://schemas.microsoft.com/office/drawing/2014/main" id="{00000000-0008-0000-2300-000027000000}"/>
                </a:ext>
              </a:extLst>
            </xdr:cNvPr>
            <xdr:cNvSpPr/>
          </xdr:nvSpPr>
          <xdr:spPr>
            <a:xfrm>
              <a:off x="173460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Description of project</a:t>
              </a:r>
            </a:p>
          </xdr:txBody>
        </xdr:sp>
        <xdr:sp macro="" textlink="">
          <xdr:nvSpPr>
            <xdr:cNvPr id="40" name="Rounded Rectangle 84">
              <a:hlinkClick xmlns:r="http://purl.oclc.org/ooxml/officeDocument/relationships" r:id="rId11"/>
              <a:extLst>
                <a:ext uri="{FF2B5EF4-FFF2-40B4-BE49-F238E27FC236}">
                  <a16:creationId xmlns:a16="http://schemas.microsoft.com/office/drawing/2014/main" id="{00000000-0008-0000-2300-000028000000}"/>
                </a:ext>
              </a:extLst>
            </xdr:cNvPr>
            <xdr:cNvSpPr/>
          </xdr:nvSpPr>
          <xdr:spPr>
            <a:xfrm>
              <a:off x="3321050"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marL="0" indent="0" algn="r"/>
              <a:r>
                <a:rPr lang="en-US" sz="1200" b="1">
                  <a:solidFill>
                    <a:schemeClr val="lt1"/>
                  </a:solidFill>
                  <a:latin typeface="Roboto Light" panose="02000000000000000000" pitchFamily="2" charset="0"/>
                  <a:ea typeface="Roboto Light" panose="02000000000000000000" pitchFamily="2" charset="0"/>
                  <a:cs typeface="+mn-cs"/>
                </a:rPr>
                <a:t>Land-use</a:t>
              </a:r>
            </a:p>
            <a:p>
              <a:pPr marL="0" indent="0" algn="r"/>
              <a:r>
                <a:rPr lang="en-US" sz="1200" b="1">
                  <a:solidFill>
                    <a:schemeClr val="lt1"/>
                  </a:solidFill>
                  <a:latin typeface="Roboto Light" panose="02000000000000000000" pitchFamily="2" charset="0"/>
                  <a:ea typeface="Roboto Light" panose="02000000000000000000" pitchFamily="2" charset="0"/>
                  <a:cs typeface="+mn-cs"/>
                </a:rPr>
                <a:t>      changes</a:t>
              </a:r>
            </a:p>
          </xdr:txBody>
        </xdr:sp>
        <xdr:sp macro="" textlink="">
          <xdr:nvSpPr>
            <xdr:cNvPr id="42" name="Rounded Rectangle 85">
              <a:hlinkClick xmlns:r="http://purl.oclc.org/ooxml/officeDocument/relationships" r:id="rId12"/>
              <a:extLst>
                <a:ext uri="{FF2B5EF4-FFF2-40B4-BE49-F238E27FC236}">
                  <a16:creationId xmlns:a16="http://schemas.microsoft.com/office/drawing/2014/main" id="{00000000-0008-0000-2300-00002A000000}"/>
                </a:ext>
              </a:extLst>
            </xdr:cNvPr>
            <xdr:cNvSpPr/>
          </xdr:nvSpPr>
          <xdr:spPr>
            <a:xfrm>
              <a:off x="4907492"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Cropland management</a:t>
              </a:r>
            </a:p>
          </xdr:txBody>
        </xdr:sp>
        <xdr:sp macro="" textlink="">
          <xdr:nvSpPr>
            <xdr:cNvPr id="43" name="Rounded Rectangle 86">
              <a:hlinkClick xmlns:r="http://purl.oclc.org/ooxml/officeDocument/relationships" r:id="rId13"/>
              <a:extLst>
                <a:ext uri="{FF2B5EF4-FFF2-40B4-BE49-F238E27FC236}">
                  <a16:creationId xmlns:a16="http://schemas.microsoft.com/office/drawing/2014/main" id="{00000000-0008-0000-2300-00002B000000}"/>
                </a:ext>
              </a:extLst>
            </xdr:cNvPr>
            <xdr:cNvSpPr/>
          </xdr:nvSpPr>
          <xdr:spPr>
            <a:xfrm>
              <a:off x="6493934"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Grassland</a:t>
              </a:r>
              <a:r>
                <a:rPr lang="en-US" sz="1200" b="1" baseline="0%">
                  <a:latin typeface="Roboto Light" panose="02000000000000000000" pitchFamily="2" charset="0"/>
                  <a:ea typeface="Roboto Light" panose="02000000000000000000" pitchFamily="2" charset="0"/>
                </a:rPr>
                <a:t> and Livestock</a:t>
              </a:r>
              <a:endParaRPr lang="en-US" sz="1200" b="1">
                <a:latin typeface="Roboto Light" panose="02000000000000000000" pitchFamily="2" charset="0"/>
                <a:ea typeface="Roboto Light" panose="02000000000000000000" pitchFamily="2" charset="0"/>
              </a:endParaRPr>
            </a:p>
          </xdr:txBody>
        </xdr:sp>
        <xdr:sp macro="" textlink="">
          <xdr:nvSpPr>
            <xdr:cNvPr id="44" name="Rounded Rectangle 87">
              <a:hlinkClick xmlns:r="http://purl.oclc.org/ooxml/officeDocument/relationships" r:id="rId14"/>
              <a:extLst>
                <a:ext uri="{FF2B5EF4-FFF2-40B4-BE49-F238E27FC236}">
                  <a16:creationId xmlns:a16="http://schemas.microsoft.com/office/drawing/2014/main" id="{00000000-0008-0000-2300-00002C000000}"/>
                </a:ext>
              </a:extLst>
            </xdr:cNvPr>
            <xdr:cNvSpPr/>
          </xdr:nvSpPr>
          <xdr:spPr>
            <a:xfrm>
              <a:off x="8080376"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Forest  management</a:t>
              </a:r>
            </a:p>
          </xdr:txBody>
        </xdr:sp>
        <xdr:sp macro="" textlink="">
          <xdr:nvSpPr>
            <xdr:cNvPr id="45" name="Rounded Rectangle 88">
              <a:hlinkClick xmlns:r="http://purl.oclc.org/ooxml/officeDocument/relationships" r:id="rId15"/>
              <a:extLst>
                <a:ext uri="{FF2B5EF4-FFF2-40B4-BE49-F238E27FC236}">
                  <a16:creationId xmlns:a16="http://schemas.microsoft.com/office/drawing/2014/main" id="{00000000-0008-0000-2300-00002D000000}"/>
                </a:ext>
              </a:extLst>
            </xdr:cNvPr>
            <xdr:cNvSpPr/>
          </xdr:nvSpPr>
          <xdr:spPr>
            <a:xfrm>
              <a:off x="9666818" y="116417"/>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Inland wetlands</a:t>
              </a:r>
            </a:p>
          </xdr:txBody>
        </xdr:sp>
        <xdr:sp macro="" textlink="">
          <xdr:nvSpPr>
            <xdr:cNvPr id="46" name="Rounded Rectangle 89">
              <a:hlinkClick xmlns:r="http://purl.oclc.org/ooxml/officeDocument/relationships" r:id="rId16"/>
              <a:extLst>
                <a:ext uri="{FF2B5EF4-FFF2-40B4-BE49-F238E27FC236}">
                  <a16:creationId xmlns:a16="http://schemas.microsoft.com/office/drawing/2014/main" id="{00000000-0008-0000-2300-00002E000000}"/>
                </a:ext>
              </a:extLst>
            </xdr:cNvPr>
            <xdr:cNvSpPr/>
          </xdr:nvSpPr>
          <xdr:spPr>
            <a:xfrm>
              <a:off x="11253259" y="116417"/>
              <a:ext cx="1476294"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Coastal wetland</a:t>
              </a:r>
              <a:r>
                <a:rPr lang="en-US" sz="1200" b="1" baseline="0%">
                  <a:latin typeface="Roboto Light" panose="02000000000000000000" pitchFamily="2" charset="0"/>
                  <a:ea typeface="Roboto Light" panose="02000000000000000000" pitchFamily="2" charset="0"/>
                </a:rPr>
                <a:t>s</a:t>
              </a:r>
              <a:endParaRPr lang="en-US" sz="1200" b="1">
                <a:latin typeface="Roboto Light" panose="02000000000000000000" pitchFamily="2" charset="0"/>
                <a:ea typeface="Roboto Light" panose="02000000000000000000" pitchFamily="2" charset="0"/>
              </a:endParaRPr>
            </a:p>
          </xdr:txBody>
        </xdr:sp>
        <xdr:sp macro="" textlink="">
          <xdr:nvSpPr>
            <xdr:cNvPr id="47" name="Rounded Rectangle 90">
              <a:hlinkClick xmlns:r="http://purl.oclc.org/ooxml/officeDocument/relationships" r:id="rId8"/>
              <a:extLst>
                <a:ext uri="{FF2B5EF4-FFF2-40B4-BE49-F238E27FC236}">
                  <a16:creationId xmlns:a16="http://schemas.microsoft.com/office/drawing/2014/main" id="{00000000-0008-0000-2300-00002F000000}"/>
                </a:ext>
              </a:extLst>
            </xdr:cNvPr>
            <xdr:cNvSpPr/>
          </xdr:nvSpPr>
          <xdr:spPr>
            <a:xfrm>
              <a:off x="14314095" y="128323"/>
              <a:ext cx="1463040"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Inputs and Investments</a:t>
              </a:r>
            </a:p>
          </xdr:txBody>
        </xdr:sp>
        <xdr:sp macro="" textlink="">
          <xdr:nvSpPr>
            <xdr:cNvPr id="48" name="Rounded Rectangle 91">
              <a:hlinkClick xmlns:r="http://purl.oclc.org/ooxml/officeDocument/relationships" r:id="rId17"/>
              <a:extLst>
                <a:ext uri="{FF2B5EF4-FFF2-40B4-BE49-F238E27FC236}">
                  <a16:creationId xmlns:a16="http://schemas.microsoft.com/office/drawing/2014/main" id="{00000000-0008-0000-2300-000030000000}"/>
                </a:ext>
              </a:extLst>
            </xdr:cNvPr>
            <xdr:cNvSpPr/>
          </xdr:nvSpPr>
          <xdr:spPr>
            <a:xfrm>
              <a:off x="15900534" y="128323"/>
              <a:ext cx="1463040" cy="914400"/>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1200" b="1">
                <a:solidFill>
                  <a:schemeClr val="tx1">
                    <a:lumMod val="75%"/>
                    <a:lumOff val="25%"/>
                  </a:schemeClr>
                </a:solidFill>
                <a:latin typeface="Roboto Light" panose="02000000000000000000" pitchFamily="2" charset="0"/>
                <a:ea typeface="Roboto Light" panose="02000000000000000000" pitchFamily="2" charset="0"/>
              </a:endParaRPr>
            </a:p>
            <a:p>
              <a:pPr algn="r"/>
              <a:r>
                <a:rPr lang="en-US" sz="1200" b="1">
                  <a:solidFill>
                    <a:schemeClr val="tx1">
                      <a:lumMod val="75%"/>
                      <a:lumOff val="25%"/>
                    </a:schemeClr>
                  </a:solidFill>
                  <a:latin typeface="Roboto Light" panose="02000000000000000000" pitchFamily="2" charset="0"/>
                  <a:ea typeface="Roboto Light" panose="02000000000000000000" pitchFamily="2" charset="0"/>
                </a:rPr>
                <a:t>Detailed</a:t>
              </a:r>
            </a:p>
            <a:p>
              <a:pPr algn="r"/>
              <a:r>
                <a:rPr lang="en-US" sz="1200" b="1" baseline="0%">
                  <a:solidFill>
                    <a:schemeClr val="tx1">
                      <a:lumMod val="75%"/>
                      <a:lumOff val="25%"/>
                    </a:schemeClr>
                  </a:solidFill>
                  <a:latin typeface="Roboto Light" panose="02000000000000000000" pitchFamily="2" charset="0"/>
                  <a:ea typeface="Roboto Light" panose="02000000000000000000" pitchFamily="2" charset="0"/>
                </a:rPr>
                <a:t>r</a:t>
              </a:r>
              <a:r>
                <a:rPr lang="en-US" sz="1200" b="1">
                  <a:solidFill>
                    <a:schemeClr val="tx1">
                      <a:lumMod val="75%"/>
                      <a:lumOff val="25%"/>
                    </a:schemeClr>
                  </a:solidFill>
                  <a:latin typeface="Roboto Light" panose="02000000000000000000" pitchFamily="2" charset="0"/>
                  <a:ea typeface="Roboto Light" panose="02000000000000000000" pitchFamily="2" charset="0"/>
                </a:rPr>
                <a:t>esults</a:t>
              </a:r>
            </a:p>
          </xdr:txBody>
        </xdr:sp>
      </xdr:grpSp>
      <xdr:sp macro="" textlink="">
        <xdr:nvSpPr>
          <xdr:cNvPr id="33" name="Rounded Rectangle 89">
            <a:hlinkClick xmlns:r="http://purl.oclc.org/ooxml/officeDocument/relationships" r:id="rId18"/>
            <a:extLst>
              <a:ext uri="{FF2B5EF4-FFF2-40B4-BE49-F238E27FC236}">
                <a16:creationId xmlns:a16="http://schemas.microsoft.com/office/drawing/2014/main" id="{00000000-0008-0000-2300-000021000000}"/>
              </a:ext>
            </a:extLst>
          </xdr:cNvPr>
          <xdr:cNvSpPr/>
        </xdr:nvSpPr>
        <xdr:spPr>
          <a:xfrm>
            <a:off x="12811125" y="119063"/>
            <a:ext cx="1478279" cy="914400"/>
          </a:xfrm>
          <a:prstGeom prst="roundRect">
            <a:avLst/>
          </a:prstGeom>
          <a:solidFill>
            <a:srgbClr val="FFFFFF">
              <a:alpha val="14.902%"/>
            </a:srgbClr>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latin typeface="Roboto Light" panose="02000000000000000000" pitchFamily="2" charset="0"/>
                <a:ea typeface="Roboto Light" panose="02000000000000000000" pitchFamily="2" charset="0"/>
              </a:rPr>
              <a:t>Fisheries and aquaculture</a:t>
            </a:r>
          </a:p>
        </xdr:txBody>
      </xdr:sp>
    </xdr:grpSp>
    <xdr:clientData/>
  </xdr:twoCellAnchor>
  <xdr:twoCellAnchor>
    <xdr:from>
      <xdr:col>1</xdr:col>
      <xdr:colOff>155864</xdr:colOff>
      <xdr:row>62</xdr:row>
      <xdr:rowOff>138544</xdr:rowOff>
    </xdr:from>
    <xdr:to>
      <xdr:col>8</xdr:col>
      <xdr:colOff>1073727</xdr:colOff>
      <xdr:row>99</xdr:row>
      <xdr:rowOff>190499</xdr:rowOff>
    </xdr:to>
    <xdr:graphicFrame macro="">
      <xdr:nvGraphicFramePr>
        <xdr:cNvPr id="3" name="Chart 2">
          <a:extLst>
            <a:ext uri="{FF2B5EF4-FFF2-40B4-BE49-F238E27FC236}">
              <a16:creationId xmlns:a16="http://schemas.microsoft.com/office/drawing/2014/main" id="{00000000-0008-0000-2300-000003000000}"/>
            </a:ext>
          </a:extLst>
        </xdr:cNvPr>
        <xdr:cNvGraphicFramePr/>
      </xdr:nvGraphicFramePr>
      <xdr:xfrm>
        <a:off x="0" y="0"/>
        <a:ext cx="0" cy="0"/>
      </xdr:xfrm>
      <a:graphic>
        <a:graphicData uri="http://purl.oclc.org/ooxml/drawingml/chart">
          <c:chart xmlns:c="http://purl.oclc.org/ooxml/drawingml/chart" xmlns:r="http://purl.oclc.org/ooxml/officeDocument/relationships" r:id="rId19"/>
        </a:graphicData>
      </a:graphic>
    </xdr:graphicFrame>
    <xdr:clientData/>
  </xdr:twoCellAnchor>
  <xdr:twoCellAnchor>
    <xdr:from>
      <xdr:col>9</xdr:col>
      <xdr:colOff>43292</xdr:colOff>
      <xdr:row>62</xdr:row>
      <xdr:rowOff>152400</xdr:rowOff>
    </xdr:from>
    <xdr:to>
      <xdr:col>17</xdr:col>
      <xdr:colOff>0</xdr:colOff>
      <xdr:row>100</xdr:row>
      <xdr:rowOff>0</xdr:rowOff>
    </xdr:to>
    <xdr:graphicFrame macro="">
      <xdr:nvGraphicFramePr>
        <xdr:cNvPr id="5" name="Chart 4">
          <a:extLst>
            <a:ext uri="{FF2B5EF4-FFF2-40B4-BE49-F238E27FC236}">
              <a16:creationId xmlns:a16="http://schemas.microsoft.com/office/drawing/2014/main" id="{00000000-0008-0000-2300-000005000000}"/>
            </a:ext>
          </a:extLst>
        </xdr:cNvPr>
        <xdr:cNvGraphicFramePr/>
      </xdr:nvGraphicFramePr>
      <xdr:xfrm>
        <a:off x="0" y="0"/>
        <a:ext cx="0" cy="0"/>
      </xdr:xfrm>
      <a:graphic>
        <a:graphicData uri="http://purl.oclc.org/ooxml/drawingml/chart">
          <c:chart xmlns:c="http://purl.oclc.org/ooxml/drawingml/chart" xmlns:r="http://purl.oclc.org/ooxml/officeDocument/relationships" r:id="rId20"/>
        </a:graphicData>
      </a:graphic>
    </xdr:graphicFrame>
    <xdr:clientData/>
  </xdr:twoCellAnchor>
  <xdr:twoCellAnchor>
    <xdr:from>
      <xdr:col>15</xdr:col>
      <xdr:colOff>1265466</xdr:colOff>
      <xdr:row>111</xdr:row>
      <xdr:rowOff>68037</xdr:rowOff>
    </xdr:from>
    <xdr:to>
      <xdr:col>17</xdr:col>
      <xdr:colOff>0</xdr:colOff>
      <xdr:row>114</xdr:row>
      <xdr:rowOff>136072</xdr:rowOff>
    </xdr:to>
    <xdr:sp macro="" textlink="">
      <xdr:nvSpPr>
        <xdr:cNvPr id="30" name="Rounded Rectangle 18">
          <a:hlinkClick xmlns:r="http://purl.oclc.org/ooxml/officeDocument/relationships" r:id="rId21"/>
          <a:extLst>
            <a:ext uri="{FF2B5EF4-FFF2-40B4-BE49-F238E27FC236}">
              <a16:creationId xmlns:a16="http://schemas.microsoft.com/office/drawing/2014/main" id="{00000000-0008-0000-2300-00001E000000}"/>
            </a:ext>
          </a:extLst>
        </xdr:cNvPr>
        <xdr:cNvSpPr/>
      </xdr:nvSpPr>
      <xdr:spPr>
        <a:xfrm>
          <a:off x="19866430" y="24982716"/>
          <a:ext cx="1360713" cy="870856"/>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Roboto Light" panose="02000000000000000000" pitchFamily="2" charset="0"/>
              <a:ea typeface="Roboto Light" panose="02000000000000000000" pitchFamily="2" charset="0"/>
            </a:rPr>
            <a:t>Tier 2 </a:t>
          </a:r>
        </a:p>
        <a:p>
          <a:pPr algn="ctr"/>
          <a:r>
            <a:rPr lang="en-US" sz="1400" b="1">
              <a:solidFill>
                <a:sysClr val="windowText" lastClr="000000"/>
              </a:solidFill>
              <a:latin typeface="Roboto Light" panose="02000000000000000000" pitchFamily="2" charset="0"/>
              <a:ea typeface="Roboto Light" panose="02000000000000000000" pitchFamily="2" charset="0"/>
            </a:rPr>
            <a:t>Annual emissions</a:t>
          </a:r>
        </a:p>
      </xdr:txBody>
    </xdr:sp>
    <xdr:clientData/>
  </xdr:twoCellAnchor>
  <xdr:twoCellAnchor>
    <xdr:from>
      <xdr:col>22</xdr:col>
      <xdr:colOff>408216</xdr:colOff>
      <xdr:row>61</xdr:row>
      <xdr:rowOff>353786</xdr:rowOff>
    </xdr:from>
    <xdr:to>
      <xdr:col>23</xdr:col>
      <xdr:colOff>517073</xdr:colOff>
      <xdr:row>63</xdr:row>
      <xdr:rowOff>152398</xdr:rowOff>
    </xdr:to>
    <xdr:sp macro="" textlink="">
      <xdr:nvSpPr>
        <xdr:cNvPr id="49" name="Rounded Rectangle 91">
          <a:hlinkClick xmlns:r="http://purl.oclc.org/ooxml/officeDocument/relationships" r:id="rId22"/>
          <a:extLst>
            <a:ext uri="{FF2B5EF4-FFF2-40B4-BE49-F238E27FC236}">
              <a16:creationId xmlns:a16="http://schemas.microsoft.com/office/drawing/2014/main" id="{00000000-0008-0000-2300-000031000000}"/>
            </a:ext>
          </a:extLst>
        </xdr:cNvPr>
        <xdr:cNvSpPr/>
      </xdr:nvSpPr>
      <xdr:spPr>
        <a:xfrm>
          <a:off x="26574752" y="14355536"/>
          <a:ext cx="1428750" cy="710291"/>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a:solidFill>
                <a:schemeClr val="tx1">
                  <a:lumMod val="75%"/>
                  <a:lumOff val="25%"/>
                </a:schemeClr>
              </a:solidFill>
              <a:latin typeface="Roboto Light" panose="02000000000000000000" pitchFamily="2" charset="0"/>
              <a:ea typeface="Roboto Light" panose="02000000000000000000" pitchFamily="2" charset="0"/>
            </a:rPr>
            <a:t>Back to Detailed Results</a:t>
          </a:r>
        </a:p>
      </xdr:txBody>
    </xdr:sp>
    <xdr:clientData/>
  </xdr:twoCellAnchor>
  <xdr:twoCellAnchor>
    <xdr:from>
      <xdr:col>10</xdr:col>
      <xdr:colOff>1265464</xdr:colOff>
      <xdr:row>111</xdr:row>
      <xdr:rowOff>40821</xdr:rowOff>
    </xdr:from>
    <xdr:to>
      <xdr:col>12</xdr:col>
      <xdr:colOff>13606</xdr:colOff>
      <xdr:row>114</xdr:row>
      <xdr:rowOff>108856</xdr:rowOff>
    </xdr:to>
    <xdr:sp macro="" textlink="">
      <xdr:nvSpPr>
        <xdr:cNvPr id="8" name="Rounded Rectangle 18">
          <a:hlinkClick xmlns:r="http://purl.oclc.org/ooxml/officeDocument/relationships" r:id="rId23"/>
          <a:extLst>
            <a:ext uri="{FF2B5EF4-FFF2-40B4-BE49-F238E27FC236}">
              <a16:creationId xmlns:a16="http://schemas.microsoft.com/office/drawing/2014/main" id="{5D9A2C68-07A5-42E9-890B-4B76B0081891}"/>
            </a:ext>
          </a:extLst>
        </xdr:cNvPr>
        <xdr:cNvSpPr/>
      </xdr:nvSpPr>
      <xdr:spPr>
        <a:xfrm>
          <a:off x="13525500" y="25404535"/>
          <a:ext cx="1360713" cy="870857"/>
        </a:xfrm>
        <a:prstGeom prst="roundRect">
          <a:avLst/>
        </a:prstGeom>
        <a:solidFill>
          <a:srgbClr val="EEA54C"/>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Roboto Light" panose="02000000000000000000" pitchFamily="2" charset="0"/>
              <a:ea typeface="Roboto Light" panose="02000000000000000000" pitchFamily="2" charset="0"/>
            </a:rPr>
            <a:t>Tier</a:t>
          </a:r>
          <a:r>
            <a:rPr lang="en-US" sz="1400" b="1" baseline="0%">
              <a:solidFill>
                <a:sysClr val="windowText" lastClr="000000"/>
              </a:solidFill>
              <a:latin typeface="Roboto Light" panose="02000000000000000000" pitchFamily="2" charset="0"/>
              <a:ea typeface="Roboto Light" panose="02000000000000000000" pitchFamily="2" charset="0"/>
            </a:rPr>
            <a:t> 2 </a:t>
          </a:r>
        </a:p>
        <a:p>
          <a:pPr algn="ctr"/>
          <a:r>
            <a:rPr lang="en-US" sz="1400" b="1" baseline="0%">
              <a:solidFill>
                <a:sysClr val="windowText" lastClr="000000"/>
              </a:solidFill>
              <a:latin typeface="Roboto Light" panose="02000000000000000000" pitchFamily="2" charset="0"/>
              <a:ea typeface="Roboto Light" panose="02000000000000000000" pitchFamily="2" charset="0"/>
            </a:rPr>
            <a:t>Specific GHG </a:t>
          </a:r>
        </a:p>
        <a:p>
          <a:pPr algn="ctr"/>
          <a:r>
            <a:rPr lang="en-US" sz="1400" b="1" baseline="0%">
              <a:solidFill>
                <a:sysClr val="windowText" lastClr="000000"/>
              </a:solidFill>
              <a:latin typeface="Roboto Light" panose="02000000000000000000" pitchFamily="2" charset="0"/>
              <a:ea typeface="Roboto Light" panose="02000000000000000000" pitchFamily="2" charset="0"/>
            </a:rPr>
            <a:t>fluxes</a:t>
          </a:r>
          <a:endParaRPr lang="en-US" sz="1400" b="1">
            <a:solidFill>
              <a:sysClr val="windowText" lastClr="000000"/>
            </a:solidFill>
            <a:latin typeface="Roboto Light" panose="02000000000000000000" pitchFamily="2" charset="0"/>
            <a:ea typeface="Roboto Light" panose="02000000000000000000" pitchFamily="2" charset="0"/>
          </a:endParaRPr>
        </a:p>
      </xdr:txBody>
    </xdr:sp>
    <xdr:clientData/>
  </xdr:twoCellAnchor>
</xdr:wsDr>
</file>

<file path=xl/drawings/drawing24.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37</xdr:col>
          <xdr:colOff>0</xdr:colOff>
          <xdr:row>60</xdr:row>
          <xdr:rowOff>0</xdr:rowOff>
        </xdr:from>
        <xdr:to>
          <xdr:col>37</xdr:col>
          <xdr:colOff>0</xdr:colOff>
          <xdr:row>63</xdr:row>
          <xdr:rowOff>101600</xdr:rowOff>
        </xdr:to>
        <xdr:sp macro="" textlink="">
          <xdr:nvSpPr>
            <xdr:cNvPr id="63503" name="Comment 15" hidden="1">
              <a:extLst>
                <a:ext uri="{FF2B5EF4-FFF2-40B4-BE49-F238E27FC236}">
                  <a16:creationId xmlns:a16="http://schemas.microsoft.com/office/drawing/2014/main" id="{F7864139-1DB4-26F3-63A2-142DC787CA26}"/>
                </a:ext>
              </a:extLst>
            </xdr:cNvPr>
            <xdr:cNvSpPr txBox="1">
              <a:spLocks noChangeArrowheads="1"/>
            </xdr:cNvSpPr>
          </xdr:nvSpPr>
          <xdr:spPr bwMode="auto">
            <a:xfrm>
              <a:off x="42468800" y="12814300"/>
              <a:ext cx="0" cy="7493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xdr:wsDr>
</file>

<file path=xl/drawings/drawing25.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1574800</xdr:colOff>
          <xdr:row>57</xdr:row>
          <xdr:rowOff>50800</xdr:rowOff>
        </xdr:from>
        <xdr:to>
          <xdr:col>10</xdr:col>
          <xdr:colOff>812800</xdr:colOff>
          <xdr:row>67</xdr:row>
          <xdr:rowOff>0</xdr:rowOff>
        </xdr:to>
        <xdr:sp macro="" textlink="">
          <xdr:nvSpPr>
            <xdr:cNvPr id="20484" name="Comment 4" hidden="1">
              <a:extLst>
                <a:ext uri="{FF2B5EF4-FFF2-40B4-BE49-F238E27FC236}">
                  <a16:creationId xmlns:a16="http://schemas.microsoft.com/office/drawing/2014/main" id="{2DFEFE97-13E7-C762-004D-57DB8EF05095}"/>
                </a:ext>
              </a:extLst>
            </xdr:cNvPr>
            <xdr:cNvSpPr txBox="1">
              <a:spLocks noChangeArrowheads="1"/>
            </xdr:cNvSpPr>
          </xdr:nvSpPr>
          <xdr:spPr bwMode="auto">
            <a:xfrm>
              <a:off x="15875000" y="10947400"/>
              <a:ext cx="7543800" cy="2209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Table 8.7 https://www.ipcc.ch/site/assets/uploads/2018/02/WG1AR5_Chapter08_FINAL.pdf</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These values inlcude climate–carbon feedbacks (cc fb) in response to emissions of the indicated non-CO2 gases (climate-carbon feedbacks in response to the reference gas CO2 are always included).</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1574800</xdr:colOff>
          <xdr:row>35</xdr:row>
          <xdr:rowOff>0</xdr:rowOff>
        </xdr:from>
        <xdr:to>
          <xdr:col>5</xdr:col>
          <xdr:colOff>1473200</xdr:colOff>
          <xdr:row>39</xdr:row>
          <xdr:rowOff>0</xdr:rowOff>
        </xdr:to>
        <xdr:sp macro="" textlink="">
          <xdr:nvSpPr>
            <xdr:cNvPr id="20485" name="Comment 5" hidden="1">
              <a:extLst>
                <a:ext uri="{FF2B5EF4-FFF2-40B4-BE49-F238E27FC236}">
                  <a16:creationId xmlns:a16="http://schemas.microsoft.com/office/drawing/2014/main" id="{43037683-0AA3-6481-9A12-34B0FB8FBF33}"/>
                </a:ext>
              </a:extLst>
            </xdr:cNvPr>
            <xdr:cNvSpPr txBox="1">
              <a:spLocks noChangeArrowheads="1"/>
            </xdr:cNvSpPr>
          </xdr:nvSpPr>
          <xdr:spPr bwMode="auto">
            <a:xfrm>
              <a:off x="9779000" y="6705600"/>
              <a:ext cx="15367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609600</xdr:colOff>
          <xdr:row>136</xdr:row>
          <xdr:rowOff>0</xdr:rowOff>
        </xdr:from>
        <xdr:to>
          <xdr:col>5</xdr:col>
          <xdr:colOff>2489200</xdr:colOff>
          <xdr:row>140</xdr:row>
          <xdr:rowOff>0</xdr:rowOff>
        </xdr:to>
        <xdr:sp macro="" textlink="">
          <xdr:nvSpPr>
            <xdr:cNvPr id="20489" name="Comment 9" hidden="1">
              <a:extLst>
                <a:ext uri="{FF2B5EF4-FFF2-40B4-BE49-F238E27FC236}">
                  <a16:creationId xmlns:a16="http://schemas.microsoft.com/office/drawing/2014/main" id="{6C41C8BE-0536-73D6-D8CF-5074312492AE}"/>
                </a:ext>
              </a:extLst>
            </xdr:cNvPr>
            <xdr:cNvSpPr txBox="1">
              <a:spLocks noChangeArrowheads="1"/>
            </xdr:cNvSpPr>
          </xdr:nvSpPr>
          <xdr:spPr bwMode="auto">
            <a:xfrm>
              <a:off x="10452100" y="26301700"/>
              <a:ext cx="17907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1016000</xdr:colOff>
          <xdr:row>136</xdr:row>
          <xdr:rowOff>0</xdr:rowOff>
        </xdr:from>
        <xdr:to>
          <xdr:col>7</xdr:col>
          <xdr:colOff>609600</xdr:colOff>
          <xdr:row>140</xdr:row>
          <xdr:rowOff>0</xdr:rowOff>
        </xdr:to>
        <xdr:sp macro="" textlink="">
          <xdr:nvSpPr>
            <xdr:cNvPr id="20491" name="Comment 11" hidden="1">
              <a:extLst>
                <a:ext uri="{FF2B5EF4-FFF2-40B4-BE49-F238E27FC236}">
                  <a16:creationId xmlns:a16="http://schemas.microsoft.com/office/drawing/2014/main" id="{FEEB17A6-4AEB-98E8-68C5-662CD24B89B3}"/>
                </a:ext>
              </a:extLst>
            </xdr:cNvPr>
            <xdr:cNvSpPr txBox="1">
              <a:spLocks noChangeArrowheads="1"/>
            </xdr:cNvSpPr>
          </xdr:nvSpPr>
          <xdr:spPr bwMode="auto">
            <a:xfrm>
              <a:off x="13258800" y="26301700"/>
              <a:ext cx="16510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355600</xdr:colOff>
          <xdr:row>136</xdr:row>
          <xdr:rowOff>0</xdr:rowOff>
        </xdr:from>
        <xdr:to>
          <xdr:col>7</xdr:col>
          <xdr:colOff>2184400</xdr:colOff>
          <xdr:row>140</xdr:row>
          <xdr:rowOff>0</xdr:rowOff>
        </xdr:to>
        <xdr:sp macro="" textlink="">
          <xdr:nvSpPr>
            <xdr:cNvPr id="20492" name="Comment 12" hidden="1">
              <a:extLst>
                <a:ext uri="{FF2B5EF4-FFF2-40B4-BE49-F238E27FC236}">
                  <a16:creationId xmlns:a16="http://schemas.microsoft.com/office/drawing/2014/main" id="{35A7C2E1-EA99-DC58-9290-7EFC374E1514}"/>
                </a:ext>
              </a:extLst>
            </xdr:cNvPr>
            <xdr:cNvSpPr txBox="1">
              <a:spLocks noChangeArrowheads="1"/>
            </xdr:cNvSpPr>
          </xdr:nvSpPr>
          <xdr:spPr bwMode="auto">
            <a:xfrm>
              <a:off x="14655800" y="26301700"/>
              <a:ext cx="1828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304800</xdr:colOff>
          <xdr:row>136</xdr:row>
          <xdr:rowOff>0</xdr:rowOff>
        </xdr:from>
        <xdr:to>
          <xdr:col>10</xdr:col>
          <xdr:colOff>2184400</xdr:colOff>
          <xdr:row>140</xdr:row>
          <xdr:rowOff>0</xdr:rowOff>
        </xdr:to>
        <xdr:sp macro="" textlink="">
          <xdr:nvSpPr>
            <xdr:cNvPr id="20494" name="Comment 14" hidden="1">
              <a:extLst>
                <a:ext uri="{FF2B5EF4-FFF2-40B4-BE49-F238E27FC236}">
                  <a16:creationId xmlns:a16="http://schemas.microsoft.com/office/drawing/2014/main" id="{55062B1C-D1C9-FF58-3274-4F02E68BACB4}"/>
                </a:ext>
              </a:extLst>
            </xdr:cNvPr>
            <xdr:cNvSpPr txBox="1">
              <a:spLocks noChangeArrowheads="1"/>
            </xdr:cNvSpPr>
          </xdr:nvSpPr>
          <xdr:spPr bwMode="auto">
            <a:xfrm>
              <a:off x="22910800" y="26301700"/>
              <a:ext cx="1879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3048000</xdr:colOff>
          <xdr:row>136</xdr:row>
          <xdr:rowOff>0</xdr:rowOff>
        </xdr:from>
        <xdr:to>
          <xdr:col>11</xdr:col>
          <xdr:colOff>1625600</xdr:colOff>
          <xdr:row>140</xdr:row>
          <xdr:rowOff>0</xdr:rowOff>
        </xdr:to>
        <xdr:sp macro="" textlink="">
          <xdr:nvSpPr>
            <xdr:cNvPr id="20496" name="Comment 16" hidden="1">
              <a:extLst>
                <a:ext uri="{FF2B5EF4-FFF2-40B4-BE49-F238E27FC236}">
                  <a16:creationId xmlns:a16="http://schemas.microsoft.com/office/drawing/2014/main" id="{028DD019-A04E-7ACE-3D43-F2F24DECEBAA}"/>
                </a:ext>
              </a:extLst>
            </xdr:cNvPr>
            <xdr:cNvSpPr txBox="1">
              <a:spLocks noChangeArrowheads="1"/>
            </xdr:cNvSpPr>
          </xdr:nvSpPr>
          <xdr:spPr bwMode="auto">
            <a:xfrm>
              <a:off x="25298400" y="26301700"/>
              <a:ext cx="1625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355600</xdr:colOff>
          <xdr:row>136</xdr:row>
          <xdr:rowOff>0</xdr:rowOff>
        </xdr:from>
        <xdr:to>
          <xdr:col>12</xdr:col>
          <xdr:colOff>2184400</xdr:colOff>
          <xdr:row>140</xdr:row>
          <xdr:rowOff>0</xdr:rowOff>
        </xdr:to>
        <xdr:sp macro="" textlink="">
          <xdr:nvSpPr>
            <xdr:cNvPr id="20498" name="Comment 18" hidden="1">
              <a:extLst>
                <a:ext uri="{FF2B5EF4-FFF2-40B4-BE49-F238E27FC236}">
                  <a16:creationId xmlns:a16="http://schemas.microsoft.com/office/drawing/2014/main" id="{A26291CD-F0B7-A26A-B592-C032083FD6BE}"/>
                </a:ext>
              </a:extLst>
            </xdr:cNvPr>
            <xdr:cNvSpPr txBox="1">
              <a:spLocks noChangeArrowheads="1"/>
            </xdr:cNvSpPr>
          </xdr:nvSpPr>
          <xdr:spPr bwMode="auto">
            <a:xfrm>
              <a:off x="27635200" y="26301700"/>
              <a:ext cx="18288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609600</xdr:colOff>
          <xdr:row>136</xdr:row>
          <xdr:rowOff>0</xdr:rowOff>
        </xdr:from>
        <xdr:to>
          <xdr:col>14</xdr:col>
          <xdr:colOff>152400</xdr:colOff>
          <xdr:row>140</xdr:row>
          <xdr:rowOff>0</xdr:rowOff>
        </xdr:to>
        <xdr:sp macro="" textlink="">
          <xdr:nvSpPr>
            <xdr:cNvPr id="20500" name="Comment 20" hidden="1">
              <a:extLst>
                <a:ext uri="{FF2B5EF4-FFF2-40B4-BE49-F238E27FC236}">
                  <a16:creationId xmlns:a16="http://schemas.microsoft.com/office/drawing/2014/main" id="{01CC5A19-F8AF-F1B3-781B-FEB0B3324A45}"/>
                </a:ext>
              </a:extLst>
            </xdr:cNvPr>
            <xdr:cNvSpPr txBox="1">
              <a:spLocks noChangeArrowheads="1"/>
            </xdr:cNvSpPr>
          </xdr:nvSpPr>
          <xdr:spPr bwMode="auto">
            <a:xfrm>
              <a:off x="30137100" y="26301700"/>
              <a:ext cx="15240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660400</xdr:colOff>
          <xdr:row>136</xdr:row>
          <xdr:rowOff>0</xdr:rowOff>
        </xdr:from>
        <xdr:to>
          <xdr:col>15</xdr:col>
          <xdr:colOff>711200</xdr:colOff>
          <xdr:row>140</xdr:row>
          <xdr:rowOff>0</xdr:rowOff>
        </xdr:to>
        <xdr:sp macro="" textlink="">
          <xdr:nvSpPr>
            <xdr:cNvPr id="20502" name="Comment 22" hidden="1">
              <a:extLst>
                <a:ext uri="{FF2B5EF4-FFF2-40B4-BE49-F238E27FC236}">
                  <a16:creationId xmlns:a16="http://schemas.microsoft.com/office/drawing/2014/main" id="{694C844F-2D77-1D23-8853-53449DFA4DBB}"/>
                </a:ext>
              </a:extLst>
            </xdr:cNvPr>
            <xdr:cNvSpPr txBox="1">
              <a:spLocks noChangeArrowheads="1"/>
            </xdr:cNvSpPr>
          </xdr:nvSpPr>
          <xdr:spPr bwMode="auto">
            <a:xfrm>
              <a:off x="32169100" y="26301700"/>
              <a:ext cx="16002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1828800</xdr:colOff>
          <xdr:row>136</xdr:row>
          <xdr:rowOff>0</xdr:rowOff>
        </xdr:from>
        <xdr:to>
          <xdr:col>18</xdr:col>
          <xdr:colOff>0</xdr:colOff>
          <xdr:row>140</xdr:row>
          <xdr:rowOff>0</xdr:rowOff>
        </xdr:to>
        <xdr:sp macro="" textlink="">
          <xdr:nvSpPr>
            <xdr:cNvPr id="20504" name="Comment 24" hidden="1">
              <a:extLst>
                <a:ext uri="{FF2B5EF4-FFF2-40B4-BE49-F238E27FC236}">
                  <a16:creationId xmlns:a16="http://schemas.microsoft.com/office/drawing/2014/main" id="{A82C4C19-FF59-BEC5-4856-8A9032CE5100}"/>
                </a:ext>
              </a:extLst>
            </xdr:cNvPr>
            <xdr:cNvSpPr txBox="1">
              <a:spLocks noChangeArrowheads="1"/>
            </xdr:cNvSpPr>
          </xdr:nvSpPr>
          <xdr:spPr bwMode="auto">
            <a:xfrm>
              <a:off x="34785300" y="26301700"/>
              <a:ext cx="14224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101600</xdr:colOff>
          <xdr:row>136</xdr:row>
          <xdr:rowOff>0</xdr:rowOff>
        </xdr:from>
        <xdr:to>
          <xdr:col>20</xdr:col>
          <xdr:colOff>304800</xdr:colOff>
          <xdr:row>140</xdr:row>
          <xdr:rowOff>0</xdr:rowOff>
        </xdr:to>
        <xdr:sp macro="" textlink="">
          <xdr:nvSpPr>
            <xdr:cNvPr id="20506" name="Comment 26" hidden="1">
              <a:extLst>
                <a:ext uri="{FF2B5EF4-FFF2-40B4-BE49-F238E27FC236}">
                  <a16:creationId xmlns:a16="http://schemas.microsoft.com/office/drawing/2014/main" id="{2C08E0FD-B55F-5084-C000-3819BAA05A7C}"/>
                </a:ext>
              </a:extLst>
            </xdr:cNvPr>
            <xdr:cNvSpPr txBox="1">
              <a:spLocks noChangeArrowheads="1"/>
            </xdr:cNvSpPr>
          </xdr:nvSpPr>
          <xdr:spPr bwMode="auto">
            <a:xfrm>
              <a:off x="36309300" y="26301700"/>
              <a:ext cx="1625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2438400</xdr:colOff>
          <xdr:row>137</xdr:row>
          <xdr:rowOff>0</xdr:rowOff>
        </xdr:from>
        <xdr:to>
          <xdr:col>13</xdr:col>
          <xdr:colOff>1422400</xdr:colOff>
          <xdr:row>143</xdr:row>
          <xdr:rowOff>50800</xdr:rowOff>
        </xdr:to>
        <xdr:sp macro="" textlink="">
          <xdr:nvSpPr>
            <xdr:cNvPr id="20507" name="Comment 27" hidden="1">
              <a:extLst>
                <a:ext uri="{FF2B5EF4-FFF2-40B4-BE49-F238E27FC236}">
                  <a16:creationId xmlns:a16="http://schemas.microsoft.com/office/drawing/2014/main" id="{0B640391-1D33-C0D5-2A45-F36B5DB6897F}"/>
                </a:ext>
              </a:extLst>
            </xdr:cNvPr>
            <xdr:cNvSpPr txBox="1">
              <a:spLocks noChangeArrowheads="1"/>
            </xdr:cNvSpPr>
          </xdr:nvSpPr>
          <xdr:spPr bwMode="auto">
            <a:xfrm>
              <a:off x="29527500" y="26492200"/>
              <a:ext cx="1422400" cy="1193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Tropical montane has the agroforestry types for Tropical - ALL regions</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203200</xdr:colOff>
          <xdr:row>137</xdr:row>
          <xdr:rowOff>0</xdr:rowOff>
        </xdr:from>
        <xdr:to>
          <xdr:col>15</xdr:col>
          <xdr:colOff>152400</xdr:colOff>
          <xdr:row>141</xdr:row>
          <xdr:rowOff>0</xdr:rowOff>
        </xdr:to>
        <xdr:sp macro="" textlink="">
          <xdr:nvSpPr>
            <xdr:cNvPr id="20508" name="Comment 28" hidden="1">
              <a:extLst>
                <a:ext uri="{FF2B5EF4-FFF2-40B4-BE49-F238E27FC236}">
                  <a16:creationId xmlns:a16="http://schemas.microsoft.com/office/drawing/2014/main" id="{90D3480D-2712-F8AA-8289-B4556FF612F1}"/>
                </a:ext>
              </a:extLst>
            </xdr:cNvPr>
            <xdr:cNvSpPr txBox="1">
              <a:spLocks noChangeArrowheads="1"/>
            </xdr:cNvSpPr>
          </xdr:nvSpPr>
          <xdr:spPr bwMode="auto">
            <a:xfrm>
              <a:off x="31711900" y="26492200"/>
              <a:ext cx="1498600" cy="762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Same agroforestry types as Temperate</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1422400</xdr:colOff>
          <xdr:row>215</xdr:row>
          <xdr:rowOff>0</xdr:rowOff>
        </xdr:from>
        <xdr:to>
          <xdr:col>3</xdr:col>
          <xdr:colOff>1219200</xdr:colOff>
          <xdr:row>218</xdr:row>
          <xdr:rowOff>0</xdr:rowOff>
        </xdr:to>
        <xdr:sp macro="" textlink="">
          <xdr:nvSpPr>
            <xdr:cNvPr id="20509" name="Comment 29" hidden="1">
              <a:extLst>
                <a:ext uri="{FF2B5EF4-FFF2-40B4-BE49-F238E27FC236}">
                  <a16:creationId xmlns:a16="http://schemas.microsoft.com/office/drawing/2014/main" id="{180E3913-E307-7EA4-8C52-B51D98F80CA0}"/>
                </a:ext>
              </a:extLst>
            </xdr:cNvPr>
            <xdr:cNvSpPr txBox="1">
              <a:spLocks noChangeArrowheads="1"/>
            </xdr:cNvSpPr>
          </xdr:nvSpPr>
          <xdr:spPr bwMode="auto">
            <a:xfrm>
              <a:off x="5448300" y="41808400"/>
              <a:ext cx="1739900" cy="6223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onstructions, roads, parking lots or any kind of land use where no vegetation will be present</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0</xdr:colOff>
          <xdr:row>64</xdr:row>
          <xdr:rowOff>0</xdr:rowOff>
        </xdr:from>
        <xdr:to>
          <xdr:col>8</xdr:col>
          <xdr:colOff>3251200</xdr:colOff>
          <xdr:row>75</xdr:row>
          <xdr:rowOff>0</xdr:rowOff>
        </xdr:to>
        <xdr:sp macro="" textlink="">
          <xdr:nvSpPr>
            <xdr:cNvPr id="20510" name="Comment 30" hidden="1">
              <a:extLst>
                <a:ext uri="{FF2B5EF4-FFF2-40B4-BE49-F238E27FC236}">
                  <a16:creationId xmlns:a16="http://schemas.microsoft.com/office/drawing/2014/main" id="{D20F417A-2672-1701-6A2B-AA291928C118}"/>
                </a:ext>
              </a:extLst>
            </xdr:cNvPr>
            <xdr:cNvSpPr txBox="1">
              <a:spLocks noChangeArrowheads="1"/>
            </xdr:cNvSpPr>
          </xdr:nvSpPr>
          <xdr:spPr bwMode="auto">
            <a:xfrm>
              <a:off x="12242800" y="12585700"/>
              <a:ext cx="7962900" cy="20955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Table 8.7 https://www.ipcc.ch/site/assets/uploads/2018/02/WG1AR5_Chapter08_FINAL.pdf</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These values inlcude climate–carbon feedbacks (cc fb) in response to emissions of the indicated non-CO2 gases (climate-carbon feedbacks in response to the reference gas CO2 are always included).</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0</xdr:colOff>
          <xdr:row>61</xdr:row>
          <xdr:rowOff>0</xdr:rowOff>
        </xdr:from>
        <xdr:to>
          <xdr:col>8</xdr:col>
          <xdr:colOff>3251200</xdr:colOff>
          <xdr:row>73</xdr:row>
          <xdr:rowOff>0</xdr:rowOff>
        </xdr:to>
        <xdr:sp macro="" textlink="">
          <xdr:nvSpPr>
            <xdr:cNvPr id="20511" name="Comment 31" hidden="1">
              <a:extLst>
                <a:ext uri="{FF2B5EF4-FFF2-40B4-BE49-F238E27FC236}">
                  <a16:creationId xmlns:a16="http://schemas.microsoft.com/office/drawing/2014/main" id="{793BB121-8A94-A5EB-0831-E32C9E0C28C7}"/>
                </a:ext>
              </a:extLst>
            </xdr:cNvPr>
            <xdr:cNvSpPr txBox="1">
              <a:spLocks noChangeArrowheads="1"/>
            </xdr:cNvSpPr>
          </xdr:nvSpPr>
          <xdr:spPr bwMode="auto">
            <a:xfrm>
              <a:off x="12242800" y="12014200"/>
              <a:ext cx="7962900" cy="22860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Table 8.7 https://www.ipcc.ch/site/assets/uploads/2018/02/WG1AR5_Chapter08_FINAL.pdf</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a:t>
              </a:r>
            </a:p>
            <a:p>
              <a:pPr algn="l" rtl="0">
                <a:defRPr sz="1000"/>
              </a:pP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1" i="0" u="none" strike="noStrike" baseline="0%">
                  <a:solidFill>
                    <a:srgbClr val="000000"/>
                  </a:solidFill>
                  <a:latin typeface="Tahoma" pitchFamily="2" charset="0"/>
                  <a:ea typeface="Tahoma" pitchFamily="2" charset="0"/>
                  <a:cs typeface="Tahoma" pitchFamily="2" charset="0"/>
                </a:rPr>
                <a:t>These values inlcude climate–carbon feedbacks (cc fb) in response to emissions of the indicated non-CO2 gases (climate-carbon feedbacks in response to the reference gas CO2 are always included).</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101600</xdr:colOff>
          <xdr:row>47</xdr:row>
          <xdr:rowOff>152400</xdr:rowOff>
        </xdr:from>
        <xdr:to>
          <xdr:col>7</xdr:col>
          <xdr:colOff>1879600</xdr:colOff>
          <xdr:row>51</xdr:row>
          <xdr:rowOff>203200</xdr:rowOff>
        </xdr:to>
        <xdr:sp macro="" textlink="">
          <xdr:nvSpPr>
            <xdr:cNvPr id="20512" name="Comment 32" hidden="1">
              <a:extLst>
                <a:ext uri="{FF2B5EF4-FFF2-40B4-BE49-F238E27FC236}">
                  <a16:creationId xmlns:a16="http://schemas.microsoft.com/office/drawing/2014/main" id="{F435FE52-4CD3-8E65-69A4-528F4CCA62C2}"/>
                </a:ext>
              </a:extLst>
            </xdr:cNvPr>
            <xdr:cNvSpPr txBox="1">
              <a:spLocks noChangeArrowheads="1"/>
            </xdr:cNvSpPr>
          </xdr:nvSpPr>
          <xdr:spPr bwMode="auto">
            <a:xfrm>
              <a:off x="14401800" y="9144000"/>
              <a:ext cx="1778000" cy="8001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Berling, Laure (ESA): Not IPCC crop, added on 04/2022 from FAOSTAT</a:t>
              </a:r>
            </a:p>
          </xdr:txBody>
        </xdr:sp>
        <xdr:clientData/>
      </xdr:twoCellAnchor>
    </mc:Fallback>
  </mc:AlternateContent>
</xdr:wsDr>
</file>

<file path=xl/drawings/drawing26.xml><?xml version="1.0" encoding="utf-8"?>
<xdr:wsDr xmlns:xdr="http://purl.oclc.org/ooxml/drawingml/spreadsheetDrawing" xmlns:a="http://purl.oclc.org/ooxml/drawingml/main">
  <xdr:twoCellAnchor>
    <xdr:from>
      <xdr:col>2</xdr:col>
      <xdr:colOff>6877050</xdr:colOff>
      <xdr:row>2</xdr:row>
      <xdr:rowOff>47625</xdr:rowOff>
    </xdr:from>
    <xdr:to>
      <xdr:col>2</xdr:col>
      <xdr:colOff>7791450</xdr:colOff>
      <xdr:row>2</xdr:row>
      <xdr:rowOff>504825</xdr:rowOff>
    </xdr:to>
    <xdr:sp macro="" textlink="">
      <xdr:nvSpPr>
        <xdr:cNvPr id="2" name="Pentagone 29">
          <a:hlinkClick xmlns:r="http://purl.oclc.org/ooxml/officeDocument/relationships" r:id="rId1"/>
          <a:extLst>
            <a:ext uri="{FF2B5EF4-FFF2-40B4-BE49-F238E27FC236}">
              <a16:creationId xmlns:a16="http://schemas.microsoft.com/office/drawing/2014/main" id="{00000000-0008-0000-2900-000002000000}"/>
            </a:ext>
          </a:extLst>
        </xdr:cNvPr>
        <xdr:cNvSpPr>
          <a:spLocks/>
        </xdr:cNvSpPr>
      </xdr:nvSpPr>
      <xdr:spPr>
        <a:xfrm flipH="1">
          <a:off x="10020300" y="466725"/>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6877050</xdr:colOff>
      <xdr:row>43</xdr:row>
      <xdr:rowOff>47625</xdr:rowOff>
    </xdr:from>
    <xdr:to>
      <xdr:col>2</xdr:col>
      <xdr:colOff>7791450</xdr:colOff>
      <xdr:row>43</xdr:row>
      <xdr:rowOff>504825</xdr:rowOff>
    </xdr:to>
    <xdr:sp macro="" textlink="">
      <xdr:nvSpPr>
        <xdr:cNvPr id="3" name="Pentagone 29">
          <a:hlinkClick xmlns:r="http://purl.oclc.org/ooxml/officeDocument/relationships" r:id="rId2"/>
          <a:extLst>
            <a:ext uri="{FF2B5EF4-FFF2-40B4-BE49-F238E27FC236}">
              <a16:creationId xmlns:a16="http://schemas.microsoft.com/office/drawing/2014/main" id="{00000000-0008-0000-2900-000003000000}"/>
            </a:ext>
          </a:extLst>
        </xdr:cNvPr>
        <xdr:cNvSpPr>
          <a:spLocks/>
        </xdr:cNvSpPr>
      </xdr:nvSpPr>
      <xdr:spPr>
        <a:xfrm flipH="1">
          <a:off x="10020300" y="466725"/>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6835140</xdr:colOff>
      <xdr:row>69</xdr:row>
      <xdr:rowOff>53340</xdr:rowOff>
    </xdr:from>
    <xdr:to>
      <xdr:col>2</xdr:col>
      <xdr:colOff>7749540</xdr:colOff>
      <xdr:row>69</xdr:row>
      <xdr:rowOff>510540</xdr:rowOff>
    </xdr:to>
    <xdr:sp macro="" textlink="">
      <xdr:nvSpPr>
        <xdr:cNvPr id="4" name="Pentagone 29">
          <a:hlinkClick xmlns:r="http://purl.oclc.org/ooxml/officeDocument/relationships" r:id="rId3"/>
          <a:extLst>
            <a:ext uri="{FF2B5EF4-FFF2-40B4-BE49-F238E27FC236}">
              <a16:creationId xmlns:a16="http://schemas.microsoft.com/office/drawing/2014/main" id="{00000000-0008-0000-2900-000004000000}"/>
            </a:ext>
          </a:extLst>
        </xdr:cNvPr>
        <xdr:cNvSpPr>
          <a:spLocks/>
        </xdr:cNvSpPr>
      </xdr:nvSpPr>
      <xdr:spPr>
        <a:xfrm flipH="1">
          <a:off x="10066020" y="35257740"/>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6995160</xdr:colOff>
      <xdr:row>27</xdr:row>
      <xdr:rowOff>53340</xdr:rowOff>
    </xdr:from>
    <xdr:to>
      <xdr:col>2</xdr:col>
      <xdr:colOff>7909560</xdr:colOff>
      <xdr:row>27</xdr:row>
      <xdr:rowOff>510540</xdr:rowOff>
    </xdr:to>
    <xdr:sp macro="" textlink="">
      <xdr:nvSpPr>
        <xdr:cNvPr id="5" name="Pentagone 29">
          <a:hlinkClick xmlns:r="http://purl.oclc.org/ooxml/officeDocument/relationships" r:id="rId4"/>
          <a:extLst>
            <a:ext uri="{FF2B5EF4-FFF2-40B4-BE49-F238E27FC236}">
              <a16:creationId xmlns:a16="http://schemas.microsoft.com/office/drawing/2014/main" id="{00000000-0008-0000-2900-000005000000}"/>
            </a:ext>
          </a:extLst>
        </xdr:cNvPr>
        <xdr:cNvSpPr>
          <a:spLocks/>
        </xdr:cNvSpPr>
      </xdr:nvSpPr>
      <xdr:spPr>
        <a:xfrm flipH="1">
          <a:off x="10226040" y="11704320"/>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6949440</xdr:colOff>
      <xdr:row>17</xdr:row>
      <xdr:rowOff>152400</xdr:rowOff>
    </xdr:from>
    <xdr:to>
      <xdr:col>2</xdr:col>
      <xdr:colOff>7863840</xdr:colOff>
      <xdr:row>17</xdr:row>
      <xdr:rowOff>609600</xdr:rowOff>
    </xdr:to>
    <xdr:sp macro="" textlink="">
      <xdr:nvSpPr>
        <xdr:cNvPr id="6" name="Pentagone 29">
          <a:hlinkClick xmlns:r="http://purl.oclc.org/ooxml/officeDocument/relationships" r:id="rId5"/>
          <a:extLst>
            <a:ext uri="{FF2B5EF4-FFF2-40B4-BE49-F238E27FC236}">
              <a16:creationId xmlns:a16="http://schemas.microsoft.com/office/drawing/2014/main" id="{00000000-0008-0000-2900-000006000000}"/>
            </a:ext>
          </a:extLst>
        </xdr:cNvPr>
        <xdr:cNvSpPr>
          <a:spLocks/>
        </xdr:cNvSpPr>
      </xdr:nvSpPr>
      <xdr:spPr>
        <a:xfrm flipH="1">
          <a:off x="10180320" y="8100060"/>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6776720</xdr:colOff>
      <xdr:row>86</xdr:row>
      <xdr:rowOff>81280</xdr:rowOff>
    </xdr:from>
    <xdr:to>
      <xdr:col>2</xdr:col>
      <xdr:colOff>7691120</xdr:colOff>
      <xdr:row>86</xdr:row>
      <xdr:rowOff>538480</xdr:rowOff>
    </xdr:to>
    <xdr:sp macro="" textlink="">
      <xdr:nvSpPr>
        <xdr:cNvPr id="7" name="Pentagone 29">
          <a:hlinkClick xmlns:r="http://purl.oclc.org/ooxml/officeDocument/relationships" r:id="rId3"/>
          <a:extLst>
            <a:ext uri="{FF2B5EF4-FFF2-40B4-BE49-F238E27FC236}">
              <a16:creationId xmlns:a16="http://schemas.microsoft.com/office/drawing/2014/main" id="{00000000-0008-0000-2900-000007000000}"/>
            </a:ext>
          </a:extLst>
        </xdr:cNvPr>
        <xdr:cNvSpPr>
          <a:spLocks/>
        </xdr:cNvSpPr>
      </xdr:nvSpPr>
      <xdr:spPr>
        <a:xfrm flipH="1">
          <a:off x="10002520" y="42473880"/>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6845300</xdr:colOff>
      <xdr:row>95</xdr:row>
      <xdr:rowOff>66040</xdr:rowOff>
    </xdr:from>
    <xdr:to>
      <xdr:col>2</xdr:col>
      <xdr:colOff>7759700</xdr:colOff>
      <xdr:row>95</xdr:row>
      <xdr:rowOff>523240</xdr:rowOff>
    </xdr:to>
    <xdr:sp macro="" textlink="">
      <xdr:nvSpPr>
        <xdr:cNvPr id="8" name="Pentagone 29">
          <a:hlinkClick xmlns:r="http://purl.oclc.org/ooxml/officeDocument/relationships" r:id="rId6"/>
          <a:extLst>
            <a:ext uri="{FF2B5EF4-FFF2-40B4-BE49-F238E27FC236}">
              <a16:creationId xmlns:a16="http://schemas.microsoft.com/office/drawing/2014/main" id="{00000000-0008-0000-2900-000008000000}"/>
            </a:ext>
          </a:extLst>
        </xdr:cNvPr>
        <xdr:cNvSpPr>
          <a:spLocks/>
        </xdr:cNvSpPr>
      </xdr:nvSpPr>
      <xdr:spPr>
        <a:xfrm flipH="1">
          <a:off x="10071100" y="45341540"/>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6845300</xdr:colOff>
      <xdr:row>102</xdr:row>
      <xdr:rowOff>38100</xdr:rowOff>
    </xdr:from>
    <xdr:to>
      <xdr:col>2</xdr:col>
      <xdr:colOff>7759700</xdr:colOff>
      <xdr:row>102</xdr:row>
      <xdr:rowOff>495300</xdr:rowOff>
    </xdr:to>
    <xdr:sp macro="" textlink="">
      <xdr:nvSpPr>
        <xdr:cNvPr id="11" name="Pentagone 29">
          <a:hlinkClick xmlns:r="http://purl.oclc.org/ooxml/officeDocument/relationships" r:id="rId7"/>
          <a:extLst>
            <a:ext uri="{FF2B5EF4-FFF2-40B4-BE49-F238E27FC236}">
              <a16:creationId xmlns:a16="http://schemas.microsoft.com/office/drawing/2014/main" id="{00000000-0008-0000-2900-00000B000000}"/>
            </a:ext>
          </a:extLst>
        </xdr:cNvPr>
        <xdr:cNvSpPr>
          <a:spLocks/>
        </xdr:cNvSpPr>
      </xdr:nvSpPr>
      <xdr:spPr>
        <a:xfrm flipH="1">
          <a:off x="10071100" y="47663100"/>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twoCellAnchor>
    <xdr:from>
      <xdr:col>2</xdr:col>
      <xdr:colOff>6845300</xdr:colOff>
      <xdr:row>125</xdr:row>
      <xdr:rowOff>38100</xdr:rowOff>
    </xdr:from>
    <xdr:to>
      <xdr:col>2</xdr:col>
      <xdr:colOff>7759700</xdr:colOff>
      <xdr:row>125</xdr:row>
      <xdr:rowOff>495300</xdr:rowOff>
    </xdr:to>
    <xdr:sp macro="" textlink="">
      <xdr:nvSpPr>
        <xdr:cNvPr id="10" name="Pentagone 29">
          <a:hlinkClick xmlns:r="http://purl.oclc.org/ooxml/officeDocument/relationships" r:id="rId8"/>
          <a:extLst>
            <a:ext uri="{FF2B5EF4-FFF2-40B4-BE49-F238E27FC236}">
              <a16:creationId xmlns:a16="http://schemas.microsoft.com/office/drawing/2014/main" id="{00000000-0008-0000-2900-00000A000000}"/>
            </a:ext>
          </a:extLst>
        </xdr:cNvPr>
        <xdr:cNvSpPr>
          <a:spLocks/>
        </xdr:cNvSpPr>
      </xdr:nvSpPr>
      <xdr:spPr>
        <a:xfrm flipH="1">
          <a:off x="10089243" y="47967900"/>
          <a:ext cx="914400" cy="457200"/>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Century Gothic" panose="020B0502020202020204" pitchFamily="34" charset="0"/>
              <a:cs typeface="Helvetica" panose="020B0604020202020204" pitchFamily="34" charset="0"/>
            </a:rPr>
            <a:t>Back</a:t>
          </a:r>
        </a:p>
      </xdr:txBody>
    </xdr:sp>
    <xdr:clientData/>
  </xdr:twoCellAnchor>
</xdr:wsDr>
</file>

<file path=xl/drawings/drawing27.xml><?xml version="1.0" encoding="utf-8"?>
<xdr:wsDr xmlns:xdr="http://purl.oclc.org/ooxml/drawingml/spreadsheetDrawing" xmlns:a="http://purl.oclc.org/ooxml/drawingml/main">
  <xdr:twoCellAnchor editAs="absolute">
    <xdr:from>
      <xdr:col>0</xdr:col>
      <xdr:colOff>490818</xdr:colOff>
      <xdr:row>66</xdr:row>
      <xdr:rowOff>81804</xdr:rowOff>
    </xdr:from>
    <xdr:to>
      <xdr:col>16</xdr:col>
      <xdr:colOff>328851</xdr:colOff>
      <xdr:row>97</xdr:row>
      <xdr:rowOff>108138</xdr:rowOff>
    </xdr:to>
    <xdr:pic>
      <xdr:nvPicPr>
        <xdr:cNvPr id="4" name="Picture 3">
          <a:extLst>
            <a:ext uri="{FF2B5EF4-FFF2-40B4-BE49-F238E27FC236}">
              <a16:creationId xmlns:a16="http://schemas.microsoft.com/office/drawing/2014/main" id="{00000000-0008-0000-2A00-000004000000}"/>
            </a:ext>
          </a:extLst>
        </xdr:cNvPr>
        <xdr:cNvPicPr>
          <a:picLocks noChangeAspect="1"/>
        </xdr:cNvPicPr>
      </xdr:nvPicPr>
      <xdr:blipFill>
        <a:blip xmlns:r="http://purl.oclc.org/ooxml/officeDocument/relationships" r:embed="rId1"/>
        <a:stretch>
          <a:fillRect/>
        </a:stretch>
      </xdr:blipFill>
      <xdr:spPr>
        <a:xfrm>
          <a:off x="490818" y="13241992"/>
          <a:ext cx="9878504" cy="5584452"/>
        </a:xfrm>
        <a:prstGeom prst="rect">
          <a:avLst/>
        </a:prstGeom>
      </xdr:spPr>
    </xdr:pic>
    <xdr:clientData/>
  </xdr:twoCellAnchor>
  <xdr:twoCellAnchor editAs="absolute">
    <xdr:from>
      <xdr:col>1</xdr:col>
      <xdr:colOff>38100</xdr:colOff>
      <xdr:row>30</xdr:row>
      <xdr:rowOff>123265</xdr:rowOff>
    </xdr:from>
    <xdr:to>
      <xdr:col>18</xdr:col>
      <xdr:colOff>614209</xdr:colOff>
      <xdr:row>56</xdr:row>
      <xdr:rowOff>169769</xdr:rowOff>
    </xdr:to>
    <xdr:pic>
      <xdr:nvPicPr>
        <xdr:cNvPr id="5" name="Picture 48">
          <a:extLst>
            <a:ext uri="{FF2B5EF4-FFF2-40B4-BE49-F238E27FC236}">
              <a16:creationId xmlns:a16="http://schemas.microsoft.com/office/drawing/2014/main" id="{00000000-0008-0000-2A00-000005000000}"/>
            </a:ext>
          </a:extLst>
        </xdr:cNvPr>
        <xdr:cNvPicPr>
          <a:picLocks noChangeAspect="1" noChangeArrowheads="1"/>
        </xdr:cNvPicPr>
      </xdr:nvPicPr>
      <xdr:blipFill>
        <a:blip xmlns:r="http://purl.oclc.org/ooxml/officeDocument/relationships" r:embed="rId2" cstate="print">
          <a:extLst>
            <a:ext uri="{28A0092B-C50C-407E-A947-70E740481C1C}">
              <a14:useLocalDpi xmlns:a14="http://schemas.microsoft.com/office/drawing/2010/main" val="0"/>
            </a:ext>
          </a:extLst>
        </a:blip>
        <a:srcRect/>
        <a:stretch>
          <a:fillRect/>
        </a:stretch>
      </xdr:blipFill>
      <xdr:spPr bwMode="auto">
        <a:xfrm>
          <a:off x="647700" y="7267015"/>
          <a:ext cx="10939309" cy="5494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editAs="absolute">
    <xdr:from>
      <xdr:col>9</xdr:col>
      <xdr:colOff>249891</xdr:colOff>
      <xdr:row>65</xdr:row>
      <xdr:rowOff>63314</xdr:rowOff>
    </xdr:from>
    <xdr:to>
      <xdr:col>11</xdr:col>
      <xdr:colOff>230841</xdr:colOff>
      <xdr:row>65</xdr:row>
      <xdr:rowOff>486896</xdr:rowOff>
    </xdr:to>
    <xdr:sp macro="" textlink="">
      <xdr:nvSpPr>
        <xdr:cNvPr id="6" name="Pentagone 16">
          <a:hlinkClick xmlns:r="http://purl.oclc.org/ooxml/officeDocument/relationships" r:id="rId3"/>
          <a:extLst>
            <a:ext uri="{FF2B5EF4-FFF2-40B4-BE49-F238E27FC236}">
              <a16:creationId xmlns:a16="http://schemas.microsoft.com/office/drawing/2014/main" id="{00000000-0008-0000-2A00-000006000000}"/>
            </a:ext>
          </a:extLst>
        </xdr:cNvPr>
        <xdr:cNvSpPr/>
      </xdr:nvSpPr>
      <xdr:spPr>
        <a:xfrm>
          <a:off x="5897656" y="12649761"/>
          <a:ext cx="1236009" cy="423582"/>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Back LUC</a:t>
          </a:r>
        </a:p>
      </xdr:txBody>
    </xdr:sp>
    <xdr:clientData/>
  </xdr:twoCellAnchor>
  <xdr:twoCellAnchor editAs="absolute">
    <xdr:from>
      <xdr:col>9</xdr:col>
      <xdr:colOff>35858</xdr:colOff>
      <xdr:row>102</xdr:row>
      <xdr:rowOff>89647</xdr:rowOff>
    </xdr:from>
    <xdr:to>
      <xdr:col>11</xdr:col>
      <xdr:colOff>331693</xdr:colOff>
      <xdr:row>102</xdr:row>
      <xdr:rowOff>513229</xdr:rowOff>
    </xdr:to>
    <xdr:sp macro="" textlink="">
      <xdr:nvSpPr>
        <xdr:cNvPr id="8" name="Pentagone 16">
          <a:hlinkClick xmlns:r="http://purl.oclc.org/ooxml/officeDocument/relationships" r:id="rId4"/>
          <a:extLst>
            <a:ext uri="{FF2B5EF4-FFF2-40B4-BE49-F238E27FC236}">
              <a16:creationId xmlns:a16="http://schemas.microsoft.com/office/drawing/2014/main" id="{00000000-0008-0000-2A00-000008000000}"/>
            </a:ext>
          </a:extLst>
        </xdr:cNvPr>
        <xdr:cNvSpPr/>
      </xdr:nvSpPr>
      <xdr:spPr>
        <a:xfrm>
          <a:off x="5683623" y="19704423"/>
          <a:ext cx="1550894" cy="423582"/>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Back Inputs</a:t>
          </a:r>
        </a:p>
      </xdr:txBody>
    </xdr:sp>
    <xdr:clientData/>
  </xdr:twoCellAnchor>
  <xdr:twoCellAnchor editAs="absolute">
    <xdr:from>
      <xdr:col>0</xdr:col>
      <xdr:colOff>385482</xdr:colOff>
      <xdr:row>104</xdr:row>
      <xdr:rowOff>35858</xdr:rowOff>
    </xdr:from>
    <xdr:to>
      <xdr:col>16</xdr:col>
      <xdr:colOff>440249</xdr:colOff>
      <xdr:row>125</xdr:row>
      <xdr:rowOff>156396</xdr:rowOff>
    </xdr:to>
    <xdr:pic>
      <xdr:nvPicPr>
        <xdr:cNvPr id="9" name="Picture 8">
          <a:extLst>
            <a:ext uri="{FF2B5EF4-FFF2-40B4-BE49-F238E27FC236}">
              <a16:creationId xmlns:a16="http://schemas.microsoft.com/office/drawing/2014/main" id="{00000000-0008-0000-2A00-000009000000}"/>
            </a:ext>
          </a:extLst>
        </xdr:cNvPr>
        <xdr:cNvPicPr>
          <a:picLocks noChangeAspect="1"/>
        </xdr:cNvPicPr>
      </xdr:nvPicPr>
      <xdr:blipFill>
        <a:blip xmlns:r="http://purl.oclc.org/ooxml/officeDocument/relationships" r:embed="rId5"/>
        <a:stretch>
          <a:fillRect/>
        </a:stretch>
      </xdr:blipFill>
      <xdr:spPr>
        <a:xfrm>
          <a:off x="385482" y="20403670"/>
          <a:ext cx="10095238" cy="3885714"/>
        </a:xfrm>
        <a:prstGeom prst="rect">
          <a:avLst/>
        </a:prstGeom>
      </xdr:spPr>
    </xdr:pic>
    <xdr:clientData/>
  </xdr:twoCellAnchor>
  <xdr:twoCellAnchor editAs="absolute">
    <xdr:from>
      <xdr:col>0</xdr:col>
      <xdr:colOff>579344</xdr:colOff>
      <xdr:row>2</xdr:row>
      <xdr:rowOff>148498</xdr:rowOff>
    </xdr:from>
    <xdr:to>
      <xdr:col>14</xdr:col>
      <xdr:colOff>381830</xdr:colOff>
      <xdr:row>26</xdr:row>
      <xdr:rowOff>173286</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purl.oclc.org/ooxml/officeDocument/relationships" r:embed="rId6"/>
        <a:stretch>
          <a:fillRect/>
        </a:stretch>
      </xdr:blipFill>
      <xdr:spPr>
        <a:xfrm>
          <a:off x="579344" y="929548"/>
          <a:ext cx="8336886" cy="5217818"/>
        </a:xfrm>
        <a:prstGeom prst="rect">
          <a:avLst/>
        </a:prstGeom>
      </xdr:spPr>
    </xdr:pic>
    <xdr:clientData/>
  </xdr:twoCellAnchor>
  <xdr:twoCellAnchor editAs="absolute">
    <xdr:from>
      <xdr:col>18</xdr:col>
      <xdr:colOff>188259</xdr:colOff>
      <xdr:row>132</xdr:row>
      <xdr:rowOff>80682</xdr:rowOff>
    </xdr:from>
    <xdr:to>
      <xdr:col>20</xdr:col>
      <xdr:colOff>385482</xdr:colOff>
      <xdr:row>132</xdr:row>
      <xdr:rowOff>504264</xdr:rowOff>
    </xdr:to>
    <xdr:sp macro="" textlink="">
      <xdr:nvSpPr>
        <xdr:cNvPr id="10" name="Pentagone 16">
          <a:hlinkClick xmlns:r="http://purl.oclc.org/ooxml/officeDocument/relationships" r:id="rId4"/>
          <a:extLst>
            <a:ext uri="{FF2B5EF4-FFF2-40B4-BE49-F238E27FC236}">
              <a16:creationId xmlns:a16="http://schemas.microsoft.com/office/drawing/2014/main" id="{00000000-0008-0000-2A00-00000A000000}"/>
            </a:ext>
          </a:extLst>
        </xdr:cNvPr>
        <xdr:cNvSpPr/>
      </xdr:nvSpPr>
      <xdr:spPr>
        <a:xfrm>
          <a:off x="11645153" y="25468729"/>
          <a:ext cx="1568823" cy="423582"/>
        </a:xfrm>
        <a:prstGeom prst="roundRect">
          <a:avLst/>
        </a:prstGeom>
        <a:solidFill>
          <a:sysClr val="window" lastClr="FFFFFF"/>
        </a:solidFill>
        <a:ln>
          <a:noFill/>
        </a:ln>
      </xdr:spPr>
      <xdr:style>
        <a:lnRef idx="2">
          <a:schemeClr val="accent2">
            <a:shade val="50%"/>
          </a:schemeClr>
        </a:lnRef>
        <a:fillRef idx="1">
          <a:schemeClr val="accent2"/>
        </a:fillRef>
        <a:effectRef idx="0">
          <a:schemeClr val="accent2"/>
        </a:effectRef>
        <a:fontRef idx="minor">
          <a:schemeClr val="lt1"/>
        </a:fontRef>
      </xdr:style>
      <xdr:txBody>
        <a:bodyPr vertOverflow="clip" horzOverflow="clip" rtlCol="0" anchor="ctr" anchorCtr="1"/>
        <a:lstStyle/>
        <a:p>
          <a:pPr algn="l"/>
          <a:r>
            <a:rPr lang="fr-FR" sz="1600" b="0">
              <a:solidFill>
                <a:sysClr val="windowText" lastClr="000000"/>
              </a:solidFill>
              <a:latin typeface="Roboto light"/>
              <a:cs typeface="Helvetica" panose="020B0604020202020204" pitchFamily="34" charset="0"/>
            </a:rPr>
            <a:t>Back Inputs</a:t>
          </a:r>
        </a:p>
      </xdr:txBody>
    </xdr:sp>
    <xdr:clientData/>
  </xdr:twoCellAnchor>
</xdr:wsDr>
</file>

<file path=xl/drawings/drawing28.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6</xdr:col>
          <xdr:colOff>152400</xdr:colOff>
          <xdr:row>0</xdr:row>
          <xdr:rowOff>0</xdr:rowOff>
        </xdr:from>
        <xdr:to>
          <xdr:col>8</xdr:col>
          <xdr:colOff>254000</xdr:colOff>
          <xdr:row>4</xdr:row>
          <xdr:rowOff>101600</xdr:rowOff>
        </xdr:to>
        <xdr:sp macro="" textlink="">
          <xdr:nvSpPr>
            <xdr:cNvPr id="167938" name="Comment 2" hidden="1">
              <a:extLst>
                <a:ext uri="{FF2B5EF4-FFF2-40B4-BE49-F238E27FC236}">
                  <a16:creationId xmlns:a16="http://schemas.microsoft.com/office/drawing/2014/main" id="{F7956489-5836-E532-2548-5DB113D7193D}"/>
                </a:ext>
              </a:extLst>
            </xdr:cNvPr>
            <xdr:cNvSpPr txBox="1">
              <a:spLocks noChangeArrowheads="1"/>
            </xdr:cNvSpPr>
          </xdr:nvSpPr>
          <xdr:spPr bwMode="auto">
            <a:xfrm>
              <a:off x="14998700" y="0"/>
              <a:ext cx="1473200" cy="8636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Berling, Laure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Yields from FAOSTAT expressed in hectogrammes/hectare</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101600</xdr:colOff>
          <xdr:row>0</xdr:row>
          <xdr:rowOff>0</xdr:rowOff>
        </xdr:from>
        <xdr:to>
          <xdr:col>14</xdr:col>
          <xdr:colOff>152400</xdr:colOff>
          <xdr:row>4</xdr:row>
          <xdr:rowOff>50800</xdr:rowOff>
        </xdr:to>
        <xdr:sp macro="" textlink="">
          <xdr:nvSpPr>
            <xdr:cNvPr id="167939" name="Comment 3" hidden="1">
              <a:extLst>
                <a:ext uri="{FF2B5EF4-FFF2-40B4-BE49-F238E27FC236}">
                  <a16:creationId xmlns:a16="http://schemas.microsoft.com/office/drawing/2014/main" id="{5F1243B3-A52A-D942-51B2-8903781C8E6B}"/>
                </a:ext>
              </a:extLst>
            </xdr:cNvPr>
            <xdr:cNvSpPr txBox="1">
              <a:spLocks noChangeArrowheads="1"/>
            </xdr:cNvSpPr>
          </xdr:nvSpPr>
          <xdr:spPr bwMode="auto">
            <a:xfrm>
              <a:off x="19088100" y="0"/>
              <a:ext cx="1447800" cy="8128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Berling, Laure (ESA):</a:t>
              </a:r>
              <a:r>
                <a:rPr lang="en-GB" sz="900" b="0" i="0" u="none" strike="noStrike" baseline="0%">
                  <a:solidFill>
                    <a:srgbClr val="000000"/>
                  </a:solidFill>
                  <a:latin typeface="Tahoma" pitchFamily="2" charset="0"/>
                  <a:ea typeface="Tahoma" pitchFamily="2" charset="0"/>
                  <a:cs typeface="Tahoma" pitchFamily="2" charset="0"/>
                </a:rPr>
                <a:t>Yields converted into tonnes</a:t>
              </a:r>
            </a:p>
          </xdr:txBody>
        </xdr:sp>
        <xdr:clientData/>
      </xdr:twoCellAnchor>
    </mc:Fallback>
  </mc:AlternateContent>
</xdr:wsDr>
</file>

<file path=xl/drawings/drawing29.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xdr:col>
          <xdr:colOff>0</xdr:colOff>
          <xdr:row>13</xdr:row>
          <xdr:rowOff>0</xdr:rowOff>
        </xdr:from>
        <xdr:to>
          <xdr:col>3</xdr:col>
          <xdr:colOff>1828800</xdr:colOff>
          <xdr:row>16</xdr:row>
          <xdr:rowOff>0</xdr:rowOff>
        </xdr:to>
        <xdr:sp macro="" textlink="">
          <xdr:nvSpPr>
            <xdr:cNvPr id="30721" name="Comment 1" hidden="1">
              <a:extLst>
                <a:ext uri="{FF2B5EF4-FFF2-40B4-BE49-F238E27FC236}">
                  <a16:creationId xmlns:a16="http://schemas.microsoft.com/office/drawing/2014/main" id="{E066AEF9-DEB8-5816-66D0-9B260E98E4ED}"/>
                </a:ext>
              </a:extLst>
            </xdr:cNvPr>
            <xdr:cNvSpPr txBox="1">
              <a:spLocks noChangeArrowheads="1"/>
            </xdr:cNvSpPr>
          </xdr:nvSpPr>
          <xdr:spPr bwMode="auto">
            <a:xfrm>
              <a:off x="4521200" y="5016500"/>
              <a:ext cx="1828800" cy="9144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Generic value for crops not indicated belowc</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0</xdr:colOff>
          <xdr:row>12</xdr:row>
          <xdr:rowOff>152400</xdr:rowOff>
        </xdr:from>
        <xdr:to>
          <xdr:col>3</xdr:col>
          <xdr:colOff>2641600</xdr:colOff>
          <xdr:row>16</xdr:row>
          <xdr:rowOff>101600</xdr:rowOff>
        </xdr:to>
        <xdr:sp macro="" textlink="">
          <xdr:nvSpPr>
            <xdr:cNvPr id="30722" name="Comment 2" hidden="1">
              <a:extLst>
                <a:ext uri="{FF2B5EF4-FFF2-40B4-BE49-F238E27FC236}">
                  <a16:creationId xmlns:a16="http://schemas.microsoft.com/office/drawing/2014/main" id="{EEC2F168-5827-9B26-21F4-1A6BCC6017DF}"/>
                </a:ext>
              </a:extLst>
            </xdr:cNvPr>
            <xdr:cNvSpPr txBox="1">
              <a:spLocks noChangeArrowheads="1"/>
            </xdr:cNvSpPr>
          </xdr:nvSpPr>
          <xdr:spPr bwMode="auto">
            <a:xfrm>
              <a:off x="4521200" y="4800600"/>
              <a:ext cx="2641600" cy="12319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GB" sz="900" b="1" i="0" u="none" strike="noStrike" baseline="0%">
                  <a:solidFill>
                    <a:srgbClr val="000000"/>
                  </a:solidFill>
                  <a:latin typeface="Tahoma" pitchFamily="2" charset="0"/>
                  <a:ea typeface="Tahoma" pitchFamily="2" charset="0"/>
                  <a:cs typeface="Tahoma" pitchFamily="2" charset="0"/>
                </a:rPr>
                <a:t>Anatoli Poultouchidou (ESA):</a:t>
              </a:r>
              <a:endParaRPr lang="en-GB" sz="900" b="0" i="0" u="none" strike="noStrike" baseline="0%">
                <a:solidFill>
                  <a:srgbClr val="000000"/>
                </a:solidFill>
                <a:latin typeface="Tahoma" pitchFamily="2" charset="0"/>
                <a:ea typeface="Tahoma" pitchFamily="2" charset="0"/>
                <a:cs typeface="Tahoma" pitchFamily="2" charset="0"/>
              </a:endParaRPr>
            </a:p>
            <a:p>
              <a:pPr algn="l" rtl="0">
                <a:defRPr sz="1000"/>
              </a:pPr>
              <a:r>
                <a:rPr lang="en-GB" sz="900" b="0" i="0" u="none" strike="noStrike" baseline="0%">
                  <a:solidFill>
                    <a:srgbClr val="000000"/>
                  </a:solidFill>
                  <a:latin typeface="Tahoma" pitchFamily="2" charset="0"/>
                  <a:ea typeface="Tahoma" pitchFamily="2" charset="0"/>
                  <a:cs typeface="Tahoma" pitchFamily="2" charset="0"/>
                </a:rPr>
                <a:t>TABLE 11.1A, page 11.15</a:t>
              </a:r>
            </a:p>
            <a:p>
              <a:pPr algn="l" rtl="0">
                <a:defRPr sz="1000"/>
              </a:pPr>
              <a:r>
                <a:rPr lang="en-GB" sz="900" b="0" i="0" u="none" strike="noStrike" baseline="0%">
                  <a:solidFill>
                    <a:srgbClr val="000000"/>
                  </a:solidFill>
                  <a:latin typeface="Tahoma" pitchFamily="2" charset="0"/>
                  <a:ea typeface="Tahoma" pitchFamily="2" charset="0"/>
                  <a:cs typeface="Tahoma" pitchFamily="2" charset="0"/>
                </a:rPr>
                <a:t>TABLE 11.2, page 11.18</a:t>
              </a:r>
            </a:p>
          </xdr:txBody>
        </xdr:sp>
        <xdr:clientData/>
      </xdr:twoCellAnchor>
    </mc:Fallback>
  </mc:AlternateContent>
</xdr:wsDr>
</file>

<file path=xl/externalLinks/_rels/externalLink1.xml.rels><?xml version="1.0" encoding="UTF-8" standalone="yes"?>
<Relationships xmlns="http://schemas.openxmlformats.org/package/2006/relationships"><Relationship Id="rId1" Type="http://purl.oclc.org/ooxml/officeDocument/relationships/externalLinkPath" Target="/5846BAA7/ex-act_18022020.xlsx" TargetMode="External"/></Relationships>
</file>

<file path=xl/externalLinks/_rels/externalLink2.xml.rels><?xml version="1.0" encoding="UTF-8" standalone="yes"?>
<Relationships xmlns="http://schemas.openxmlformats.org/package/2006/relationships"><Relationship Id="rId1" Type="http://purl.oclc.org/ooxml/officeDocument/relationships/externalLinkPath" Target="https://unfao-my.sharepoint.com/personal/laure_berling_fao_org/Documents/Documenti/(2)EX-ACT_V9.3_21.04_TESTYIELDS_Veg.xlsb"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list"/>
      <sheetName val="Crop H2O"/>
    </sheetNames>
    <sheetDataSet>
      <sheetData sheetId="0" refreshError="1"/>
      <sheetData sheetId="1" refreshError="1"/>
    </sheetDataSet>
  </externalBook>
</externalLink>
</file>

<file path=xl/externalLinks/externalLink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0.Start"/>
      <sheetName val="1.Description"/>
      <sheetName val="2.LUC"/>
      <sheetName val="defo"/>
      <sheetName val="affo"/>
      <sheetName val="luc"/>
      <sheetName val="3.Cropland"/>
      <sheetName val="crop H2O"/>
      <sheetName val="annual"/>
      <sheetName val="perennial"/>
      <sheetName val="rice"/>
      <sheetName val="4.Grassland"/>
      <sheetName val="grass"/>
      <sheetName val="Livestock"/>
      <sheetName val="5.Management"/>
      <sheetName val="degradation"/>
      <sheetName val="6.Inland wetlands"/>
      <sheetName val="Inl. wetlands"/>
      <sheetName val="Sheet1"/>
      <sheetName val="list"/>
      <sheetName val="IPCC"/>
      <sheetName val="7.Coastal wetlands"/>
      <sheetName val="Coastal"/>
      <sheetName val="Fish and aqua"/>
      <sheetName val="8. Fisheries and aquaculture"/>
      <sheetName val="Database fish"/>
      <sheetName val="Atwood"/>
      <sheetName val="List countries GLEAM"/>
      <sheetName val="9.Inputs"/>
      <sheetName val="Inputs"/>
      <sheetName val="Energy DB"/>
      <sheetName val="BALANCE"/>
      <sheetName val="Gross results"/>
      <sheetName val="Graph"/>
      <sheetName val="10.Results"/>
      <sheetName val="Elec"/>
      <sheetName val="Matrix"/>
      <sheetName val="YEARLY"/>
      <sheetName val="Calculations"/>
      <sheetName val="Earth Map"/>
      <sheetName val="Definitions"/>
      <sheetName val="HELP"/>
      <sheetName val="Languages"/>
      <sheetName val="Stats_yield_ton_per_ha"/>
      <sheetName val="list_region_cou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3">
          <cell r="B3" t="str">
            <v>Region (FAOSTAT)</v>
          </cell>
          <cell r="C3" t="str">
            <v>FAOSTAT (Total)</v>
          </cell>
          <cell r="D3" t="str">
            <v xml:space="preserve">EX-ACT region </v>
          </cell>
        </row>
        <row r="4">
          <cell r="B4" t="str">
            <v>?</v>
          </cell>
          <cell r="C4" t="str">
            <v>?</v>
          </cell>
          <cell r="D4" t="str">
            <v>Please select</v>
          </cell>
        </row>
        <row r="5">
          <cell r="B5" t="str">
            <v>Eastern Africa</v>
          </cell>
          <cell r="C5" t="str">
            <v>Eastern Africa + (Total)</v>
          </cell>
          <cell r="D5" t="str">
            <v>Eastern Africa</v>
          </cell>
        </row>
        <row r="6">
          <cell r="B6" t="str">
            <v>Central Africa</v>
          </cell>
          <cell r="C6" t="str">
            <v>Central Africa + (Total)</v>
          </cell>
          <cell r="D6" t="str">
            <v>Central Africa</v>
          </cell>
        </row>
        <row r="7">
          <cell r="B7" t="str">
            <v>Northern Africa</v>
          </cell>
          <cell r="C7" t="str">
            <v>Northern Africa + (Total)</v>
          </cell>
          <cell r="D7" t="str">
            <v>Northern Africa</v>
          </cell>
        </row>
        <row r="8">
          <cell r="B8" t="str">
            <v>Southern Africa</v>
          </cell>
          <cell r="C8" t="str">
            <v>Southern Africa + (Total)</v>
          </cell>
          <cell r="D8" t="str">
            <v>Southern Africa</v>
          </cell>
        </row>
        <row r="9">
          <cell r="B9" t="str">
            <v>Western Africa</v>
          </cell>
          <cell r="C9" t="str">
            <v>Western Africa + (Total)</v>
          </cell>
          <cell r="D9" t="str">
            <v>Western Africa</v>
          </cell>
        </row>
        <row r="10">
          <cell r="B10" t="str">
            <v>Central Asia</v>
          </cell>
          <cell r="C10" t="str">
            <v>Central Asia + (Total)</v>
          </cell>
          <cell r="D10" t="str">
            <v>Central Asia</v>
          </cell>
        </row>
        <row r="11">
          <cell r="B11" t="str">
            <v>Eastern Asia</v>
          </cell>
          <cell r="C11" t="str">
            <v>Eastern Asia + (Total)</v>
          </cell>
          <cell r="D11" t="str">
            <v>Eastern Asia</v>
          </cell>
        </row>
        <row r="12">
          <cell r="B12" t="str">
            <v>South-eastern Asia</v>
          </cell>
          <cell r="C12" t="str">
            <v>South-eastern Asia + (Total)</v>
          </cell>
          <cell r="D12" t="str">
            <v>South-eastern Asia</v>
          </cell>
        </row>
        <row r="13">
          <cell r="B13" t="str">
            <v>Southern Asia</v>
          </cell>
          <cell r="C13" t="str">
            <v>Southern Asia + (Total)</v>
          </cell>
          <cell r="D13" t="str">
            <v>Southern Asia</v>
          </cell>
        </row>
        <row r="14">
          <cell r="B14" t="str">
            <v>Western Asia</v>
          </cell>
          <cell r="C14" t="str">
            <v>Western Asia + (Total)</v>
          </cell>
          <cell r="D14" t="str">
            <v>Western Asia</v>
          </cell>
        </row>
        <row r="15">
          <cell r="B15" t="str">
            <v>Europe</v>
          </cell>
          <cell r="C15" t="str">
            <v>Europe + (Total)</v>
          </cell>
          <cell r="D15" t="str">
            <v>Europe</v>
          </cell>
        </row>
        <row r="16">
          <cell r="B16" t="str">
            <v>Oceania</v>
          </cell>
          <cell r="C16" t="str">
            <v>Oceania + (Total)</v>
          </cell>
          <cell r="D16" t="str">
            <v>Oceania</v>
          </cell>
        </row>
        <row r="17">
          <cell r="B17" t="str">
            <v>Northern America</v>
          </cell>
          <cell r="C17" t="str">
            <v>North America + (Total)</v>
          </cell>
          <cell r="D17" t="str">
            <v>North America</v>
          </cell>
        </row>
        <row r="18">
          <cell r="B18" t="str">
            <v>South America</v>
          </cell>
          <cell r="C18" t="str">
            <v>South America + (Total)</v>
          </cell>
          <cell r="D18" t="str">
            <v>South America</v>
          </cell>
        </row>
        <row r="19">
          <cell r="B19" t="str">
            <v>Central America</v>
          </cell>
          <cell r="C19" t="str">
            <v>Central America + (Total)</v>
          </cell>
          <cell r="D19" t="str">
            <v>Central America</v>
          </cell>
        </row>
        <row r="20">
          <cell r="B20" t="str">
            <v>Caribbean</v>
          </cell>
          <cell r="C20" t="str">
            <v>Caribbean + (Total)</v>
          </cell>
          <cell r="D20" t="str">
            <v>Caribbean</v>
          </cell>
        </row>
      </sheetData>
    </sheetDataSet>
  </externalBook>
</externalLink>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7" xr:uid="{00000000-000C-0000-FFFF-FFFF05000000}" name="CH4_Ent_HP" displayName="CH4_Ent_HP" ref="A2266:R2277" totalsRowShown="0" headerRowDxfId="1416" dataDxfId="1414" headerRowBorderDxfId="1415" tableBorderDxfId="1413">
  <autoFilter ref="A2266:R2277" xr:uid="{00000000-0009-0000-0100-000007000000}"/>
  <tableColumns count="18">
    <tableColumn id="1" xr3:uid="{00000000-0010-0000-0500-000001000000}" name="Please select" dataDxfId="1412" dataCellStyle="Normal 2 2"/>
    <tableColumn id="2" xr3:uid="{00000000-0010-0000-0500-000002000000}" name="Dairy Cattle" dataDxfId="1411"/>
    <tableColumn id="3" xr3:uid="{00000000-0010-0000-0500-000003000000}" name="Other Cattle" dataDxfId="1410"/>
    <tableColumn id="4" xr3:uid="{00000000-0010-0000-0500-000004000000}" name="Dairy Buffalo" dataDxfId="1409"/>
    <tableColumn id="16" xr3:uid="{00000000-0010-0000-0500-000010000000}" name="Other Buffalo" dataDxfId="1408"/>
    <tableColumn id="5" xr3:uid="{00000000-0010-0000-0500-000005000000}" name="Dairy Sheep" dataDxfId="1407"/>
    <tableColumn id="6" xr3:uid="{00000000-0010-0000-0500-000006000000}" name="Other Sheep" dataDxfId="1406"/>
    <tableColumn id="7" xr3:uid="{00000000-0010-0000-0500-000007000000}" name="Growing Swine" dataDxfId="1405"/>
    <tableColumn id="8" xr3:uid="{00000000-0010-0000-0500-000008000000}" name="Breeding Swine" dataDxfId="1404"/>
    <tableColumn id="9" xr3:uid="{00000000-0010-0000-0500-000009000000}" name="Goats" dataDxfId="1403"/>
    <tableColumn id="10" xr3:uid="{00000000-0010-0000-0500-00000A000000}" name="Horses" dataDxfId="1402"/>
    <tableColumn id="11" xr3:uid="{00000000-0010-0000-0500-00000B000000}" name="Camels" dataDxfId="1401"/>
    <tableColumn id="12" xr3:uid="{00000000-0010-0000-0500-00000C000000}" name="Mules and Asses" dataDxfId="1400"/>
    <tableColumn id="13" xr3:uid="{00000000-0010-0000-0500-00000D000000}" name="Deer" dataDxfId="1399"/>
    <tableColumn id="14" xr3:uid="{00000000-0010-0000-0500-00000E000000}" name="Ostrich" dataDxfId="1398"/>
    <tableColumn id="18" xr3:uid="{00000000-0010-0000-0500-000012000000}" name="Chicken layer" dataDxfId="1397"/>
    <tableColumn id="15" xr3:uid="{00000000-0010-0000-0500-00000F000000}" name="Chicken broiler" dataDxfId="1396"/>
    <tableColumn id="17" xr3:uid="{00000000-0010-0000-0500-000011000000}" name="Llamas and Alpacas" dataDxfId="1395"/>
  </tableColumns>
  <tableStyleInfo name="TableStyleLight1"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8" xr:uid="{00000000-000C-0000-FFFF-FFFF06000000}" name="CH4_Ent_LP" displayName="CH4_Ent_LP" ref="A2283:R2294" totalsRowShown="0" headerRowDxfId="1394" dataDxfId="1392" headerRowBorderDxfId="1393" tableBorderDxfId="1391">
  <autoFilter ref="A2283:R2294" xr:uid="{00000000-0009-0000-0100-000008000000}"/>
  <tableColumns count="18">
    <tableColumn id="1" xr3:uid="{00000000-0010-0000-0600-000001000000}" name="IPCC Region" dataDxfId="1390" dataCellStyle="Normal 2 2"/>
    <tableColumn id="2" xr3:uid="{00000000-0010-0000-0600-000002000000}" name="Dairy Cattle" dataDxfId="1389"/>
    <tableColumn id="3" xr3:uid="{00000000-0010-0000-0600-000003000000}" name="Other Cattle" dataDxfId="1388"/>
    <tableColumn id="4" xr3:uid="{00000000-0010-0000-0600-000004000000}" name="Dairy Buffalo" dataDxfId="1387"/>
    <tableColumn id="16" xr3:uid="{00000000-0010-0000-0600-000010000000}" name="Other Buffalo" dataDxfId="1386"/>
    <tableColumn id="5" xr3:uid="{00000000-0010-0000-0600-000005000000}" name="Dairy Sheep" dataDxfId="1385"/>
    <tableColumn id="6" xr3:uid="{00000000-0010-0000-0600-000006000000}" name="Other sheep" dataDxfId="1384"/>
    <tableColumn id="7" xr3:uid="{00000000-0010-0000-0600-000007000000}" name="Growing Swine" dataDxfId="1383"/>
    <tableColumn id="8" xr3:uid="{00000000-0010-0000-0600-000008000000}" name="Breeding Swine" dataDxfId="1382"/>
    <tableColumn id="9" xr3:uid="{00000000-0010-0000-0600-000009000000}" name="Goats" dataDxfId="1381"/>
    <tableColumn id="10" xr3:uid="{00000000-0010-0000-0600-00000A000000}" name="Horses" dataDxfId="1380"/>
    <tableColumn id="11" xr3:uid="{00000000-0010-0000-0600-00000B000000}" name="Camels" dataDxfId="1379"/>
    <tableColumn id="12" xr3:uid="{00000000-0010-0000-0600-00000C000000}" name="Mules and Asses" dataDxfId="1378"/>
    <tableColumn id="13" xr3:uid="{00000000-0010-0000-0600-00000D000000}" name="Deer" dataDxfId="1377"/>
    <tableColumn id="14" xr3:uid="{00000000-0010-0000-0600-00000E000000}" name="Ostrich" dataDxfId="1376"/>
    <tableColumn id="18" xr3:uid="{00000000-0010-0000-0600-000012000000}" name="Chicken layer" dataDxfId="1375"/>
    <tableColumn id="15" xr3:uid="{00000000-0010-0000-0600-00000F000000}" name="Chicken broiler" dataDxfId="1374"/>
    <tableColumn id="17" xr3:uid="{00000000-0010-0000-0600-000011000000}" name="Llamas and Alpacas" dataDxfId="1373"/>
  </tableColumns>
  <tableStyleInfo name="TableStyleLight1"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9" xr:uid="{00000000-000C-0000-FFFF-FFFF07000000}" name="CH4_Ent_Default" displayName="CH4_Ent_Default" ref="A2300:S2311" totalsRowShown="0" headerRowDxfId="1372" dataDxfId="1370" headerRowBorderDxfId="1371" tableBorderDxfId="1369">
  <autoFilter ref="A2300:S2311" xr:uid="{00000000-0009-0000-0100-000009000000}"/>
  <tableColumns count="19">
    <tableColumn id="1" xr3:uid="{00000000-0010-0000-0700-000001000000}" name="IPCC Region" dataDxfId="1368" dataCellStyle="Normal 2 2"/>
    <tableColumn id="2" xr3:uid="{00000000-0010-0000-0700-000002000000}" name="Dairy Cattle" dataDxfId="1367"/>
    <tableColumn id="3" xr3:uid="{00000000-0010-0000-0700-000003000000}" name="Other Cattle" dataDxfId="1366"/>
    <tableColumn id="4" xr3:uid="{00000000-0010-0000-0700-000004000000}" name="Dairy Buffalo" dataDxfId="1365"/>
    <tableColumn id="16" xr3:uid="{00000000-0010-0000-0700-000010000000}" name="Other Buffalo" dataDxfId="1364"/>
    <tableColumn id="5" xr3:uid="{00000000-0010-0000-0700-000005000000}" name="Dairy Sheep" dataDxfId="1363"/>
    <tableColumn id="6" xr3:uid="{00000000-0010-0000-0700-000006000000}" name="Other sheep" dataDxfId="1362"/>
    <tableColumn id="7" xr3:uid="{00000000-0010-0000-0700-000007000000}" name="Growing Swine" dataDxfId="1361"/>
    <tableColumn id="8" xr3:uid="{00000000-0010-0000-0700-000008000000}" name="Breeding Swine" dataDxfId="1360"/>
    <tableColumn id="9" xr3:uid="{00000000-0010-0000-0700-000009000000}" name="Goats" dataDxfId="1359"/>
    <tableColumn id="10" xr3:uid="{00000000-0010-0000-0700-00000A000000}" name="Horses" dataDxfId="1358"/>
    <tableColumn id="11" xr3:uid="{00000000-0010-0000-0700-00000B000000}" name="Camels" dataDxfId="1357"/>
    <tableColumn id="12" xr3:uid="{00000000-0010-0000-0700-00000C000000}" name="Mules and Asses" dataDxfId="1356"/>
    <tableColumn id="13" xr3:uid="{00000000-0010-0000-0700-00000D000000}" name="Deer" dataDxfId="1355"/>
    <tableColumn id="14" xr3:uid="{00000000-0010-0000-0700-00000E000000}" name="Ostrich" dataDxfId="1354"/>
    <tableColumn id="15" xr3:uid="{00000000-0010-0000-0700-00000F000000}" name="Chicken layer" dataDxfId="1353"/>
    <tableColumn id="17" xr3:uid="{00000000-0010-0000-0700-000011000000}" name="Chicken broiler" dataDxfId="1352"/>
    <tableColumn id="18" xr3:uid="{00000000-0010-0000-0700-000012000000}" name="Llamas and Alpacas" dataDxfId="1351"/>
    <tableColumn id="19" xr3:uid="{00000000-0010-0000-0700-000013000000}" name="Other (Please specify in Tier 2)" dataDxfId="1350"/>
  </tableColumns>
  <tableStyleInfo name="TableStyleLight1"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0" xr:uid="{00000000-000C-0000-FFFF-FFFF08000000}" name="TAM_Default" displayName="TAM_Default" ref="A2351:R2362" totalsRowShown="0" headerRowDxfId="1349" dataDxfId="1347" headerRowBorderDxfId="1348" tableBorderDxfId="1346">
  <autoFilter ref="A2351:R2362" xr:uid="{00000000-0009-0000-0100-00000A000000}"/>
  <tableColumns count="18">
    <tableColumn id="1" xr3:uid="{00000000-0010-0000-0800-000001000000}" name="Please select" dataDxfId="1345" dataCellStyle="Normal 2 2"/>
    <tableColumn id="2" xr3:uid="{00000000-0010-0000-0800-000002000000}" name="Dairy Cattle" dataDxfId="1344"/>
    <tableColumn id="3" xr3:uid="{00000000-0010-0000-0800-000003000000}" name="Other Cattle" dataDxfId="1343"/>
    <tableColumn id="4" xr3:uid="{00000000-0010-0000-0800-000004000000}" name="Dairy Buffalo" dataDxfId="1342"/>
    <tableColumn id="5" xr3:uid="{00000000-0010-0000-0800-000005000000}" name="Other Buffalo" dataDxfId="1341"/>
    <tableColumn id="6" xr3:uid="{00000000-0010-0000-0800-000006000000}" name="Dairy Sheep" dataDxfId="1340"/>
    <tableColumn id="7" xr3:uid="{00000000-0010-0000-0800-000007000000}" name="Other sheep" dataDxfId="1339"/>
    <tableColumn id="8" xr3:uid="{00000000-0010-0000-0800-000008000000}" name="Growing Swine" dataDxfId="1338"/>
    <tableColumn id="9" xr3:uid="{00000000-0010-0000-0800-000009000000}" name="Breeding Swine" dataDxfId="1337"/>
    <tableColumn id="10" xr3:uid="{00000000-0010-0000-0800-00000A000000}" name="Goats" dataDxfId="1336"/>
    <tableColumn id="11" xr3:uid="{00000000-0010-0000-0800-00000B000000}" name="Horses" dataDxfId="1335"/>
    <tableColumn id="12" xr3:uid="{00000000-0010-0000-0800-00000C000000}" name="Camels" dataDxfId="1334"/>
    <tableColumn id="13" xr3:uid="{00000000-0010-0000-0800-00000D000000}" name="Mules and Asses" dataDxfId="1333"/>
    <tableColumn id="14" xr3:uid="{00000000-0010-0000-0800-00000E000000}" name="Deer" dataDxfId="1332"/>
    <tableColumn id="15" xr3:uid="{00000000-0010-0000-0800-00000F000000}" name="Ostrich" dataDxfId="1331"/>
    <tableColumn id="18" xr3:uid="{00000000-0010-0000-0800-000012000000}" name="Chicken layer" dataDxfId="1330"/>
    <tableColumn id="16" xr3:uid="{00000000-0010-0000-0800-000010000000}" name="Chicken broiler" dataDxfId="1329"/>
    <tableColumn id="17" xr3:uid="{00000000-0010-0000-0800-000011000000}" name="Llamas and Alpacas" dataDxfId="1328"/>
  </tableColumns>
  <tableStyleInfo name="TableStyleLight1" showFirstColumn="0" showLastColumn="0"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1" xr:uid="{00000000-000C-0000-FFFF-FFFF09000000}" name="TAM_LP" displayName="TAM_LP" ref="A2334:S2345" totalsRowShown="0" headerRowDxfId="1327" dataDxfId="1325" headerRowBorderDxfId="1326" tableBorderDxfId="1324">
  <autoFilter ref="A2334:S2345" xr:uid="{00000000-0009-0000-0100-00000B000000}"/>
  <tableColumns count="19">
    <tableColumn id="1" xr3:uid="{00000000-0010-0000-0900-000001000000}" name="Please select" dataDxfId="1323" dataCellStyle="Normal 2 2"/>
    <tableColumn id="2" xr3:uid="{00000000-0010-0000-0900-000002000000}" name="Dairy Cattle" dataDxfId="1322"/>
    <tableColumn id="3" xr3:uid="{00000000-0010-0000-0900-000003000000}" name="Other Cattle" dataDxfId="1321"/>
    <tableColumn id="4" xr3:uid="{00000000-0010-0000-0900-000004000000}" name="Dairy Buffalo" dataDxfId="1320"/>
    <tableColumn id="5" xr3:uid="{00000000-0010-0000-0900-000005000000}" name="Other Buffalo" dataDxfId="1319"/>
    <tableColumn id="6" xr3:uid="{00000000-0010-0000-0900-000006000000}" name="Dairy Sheep" dataDxfId="1318"/>
    <tableColumn id="7" xr3:uid="{00000000-0010-0000-0900-000007000000}" name="Other sheep" dataDxfId="1317"/>
    <tableColumn id="8" xr3:uid="{00000000-0010-0000-0900-000008000000}" name="Growing Swine" dataDxfId="1316"/>
    <tableColumn id="9" xr3:uid="{00000000-0010-0000-0900-000009000000}" name="Breeding Swine" dataDxfId="1315"/>
    <tableColumn id="10" xr3:uid="{00000000-0010-0000-0900-00000A000000}" name="Goats" dataDxfId="1314"/>
    <tableColumn id="11" xr3:uid="{00000000-0010-0000-0900-00000B000000}" name="Horses" dataDxfId="1313"/>
    <tableColumn id="12" xr3:uid="{00000000-0010-0000-0900-00000C000000}" name="Camels" dataDxfId="1312"/>
    <tableColumn id="13" xr3:uid="{00000000-0010-0000-0900-00000D000000}" name="Mules and Asses" dataDxfId="1311"/>
    <tableColumn id="14" xr3:uid="{00000000-0010-0000-0900-00000E000000}" name="Deer" dataDxfId="1310"/>
    <tableColumn id="15" xr3:uid="{00000000-0010-0000-0900-00000F000000}" name="Ostrich" dataDxfId="1309"/>
    <tableColumn id="16" xr3:uid="{00000000-0010-0000-0900-000010000000}" name="Chicken layer" dataDxfId="1308"/>
    <tableColumn id="17" xr3:uid="{00000000-0010-0000-0900-000011000000}" name="Chicken broiler" dataDxfId="1307"/>
    <tableColumn id="18" xr3:uid="{00000000-0010-0000-0900-000012000000}" name="Llamas and Alpacas" dataDxfId="1306"/>
    <tableColumn id="19" xr3:uid="{00000000-0010-0000-0900-000013000000}" name="Other (Please specify in Tier 2)" dataDxfId="1305"/>
  </tableColumns>
  <tableStyleInfo name="TableStyleLight1" showFirstColumn="0" showLastColumn="0"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2" xr:uid="{00000000-000C-0000-FFFF-FFFF0A000000}" name="TAM_HP" displayName="TAM_HP" ref="A2317:R2328" totalsRowShown="0" headerRowDxfId="1304" dataDxfId="1302" headerRowBorderDxfId="1303" tableBorderDxfId="1301">
  <autoFilter ref="A2317:R2328" xr:uid="{00000000-0009-0000-0100-00000C000000}"/>
  <tableColumns count="18">
    <tableColumn id="1" xr3:uid="{00000000-0010-0000-0A00-000001000000}" name="Please select" dataDxfId="1300" dataCellStyle="Normal 2 2"/>
    <tableColumn id="2" xr3:uid="{00000000-0010-0000-0A00-000002000000}" name="Dairy Cattle" dataDxfId="1299"/>
    <tableColumn id="3" xr3:uid="{00000000-0010-0000-0A00-000003000000}" name="Other Cattle" dataDxfId="1298"/>
    <tableColumn id="4" xr3:uid="{00000000-0010-0000-0A00-000004000000}" name="Dairy Buffalo" dataDxfId="1297"/>
    <tableColumn id="5" xr3:uid="{00000000-0010-0000-0A00-000005000000}" name="Other Buffalo" dataDxfId="1296"/>
    <tableColumn id="6" xr3:uid="{00000000-0010-0000-0A00-000006000000}" name="Dairy Sheep" dataDxfId="1295"/>
    <tableColumn id="7" xr3:uid="{00000000-0010-0000-0A00-000007000000}" name="Other sheep" dataDxfId="1294"/>
    <tableColumn id="8" xr3:uid="{00000000-0010-0000-0A00-000008000000}" name="Growing Swine" dataDxfId="1293"/>
    <tableColumn id="9" xr3:uid="{00000000-0010-0000-0A00-000009000000}" name="Breeding Swine" dataDxfId="1292"/>
    <tableColumn id="10" xr3:uid="{00000000-0010-0000-0A00-00000A000000}" name="Goats" dataDxfId="1291"/>
    <tableColumn id="11" xr3:uid="{00000000-0010-0000-0A00-00000B000000}" name="Horses" dataDxfId="1290"/>
    <tableColumn id="12" xr3:uid="{00000000-0010-0000-0A00-00000C000000}" name="Camels" dataDxfId="1289"/>
    <tableColumn id="13" xr3:uid="{00000000-0010-0000-0A00-00000D000000}" name="Mules and Asses" dataDxfId="1288"/>
    <tableColumn id="14" xr3:uid="{00000000-0010-0000-0A00-00000E000000}" name="Deer" dataDxfId="1287"/>
    <tableColumn id="15" xr3:uid="{00000000-0010-0000-0A00-00000F000000}" name="Ostrich" dataDxfId="1286"/>
    <tableColumn id="18" xr3:uid="{00000000-0010-0000-0A00-000012000000}" name="Chicken layer" dataDxfId="1285"/>
    <tableColumn id="16" xr3:uid="{00000000-0010-0000-0A00-000010000000}" name="Chicken broiler" dataDxfId="1284"/>
    <tableColumn id="17" xr3:uid="{00000000-0010-0000-0A00-000011000000}" name="Llamas and Alpacas" dataDxfId="1283"/>
  </tableColumns>
  <tableStyleInfo name="TableStyleLight1" showFirstColumn="0" showLastColumn="0" showRowStripes="1" showColumnStripes="0"/>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5" xr:uid="{00000000-000C-0000-FFFF-FFFF0B000000}" name="VS_rate_Default" displayName="VS_rate_Default" ref="A2368:R2379" totalsRowShown="0" headerRowDxfId="1282" dataDxfId="1281" tableBorderDxfId="1280">
  <autoFilter ref="A2368:R2379" xr:uid="{00000000-0009-0000-0100-00000F000000}"/>
  <tableColumns count="18">
    <tableColumn id="1" xr3:uid="{00000000-0010-0000-0B00-000001000000}" name="Please select" dataDxfId="1279" dataCellStyle="Normal 2 2"/>
    <tableColumn id="2" xr3:uid="{00000000-0010-0000-0B00-000002000000}" name="Dairy Cattle" dataDxfId="1278"/>
    <tableColumn id="3" xr3:uid="{00000000-0010-0000-0B00-000003000000}" name="Other Cattle" dataDxfId="1277"/>
    <tableColumn id="4" xr3:uid="{00000000-0010-0000-0B00-000004000000}" name="Dairy Buffalo" dataDxfId="1276"/>
    <tableColumn id="5" xr3:uid="{00000000-0010-0000-0B00-000005000000}" name="Other Buffalo" dataDxfId="1275"/>
    <tableColumn id="6" xr3:uid="{00000000-0010-0000-0B00-000006000000}" name="Dairy Sheep" dataDxfId="1274"/>
    <tableColumn id="7" xr3:uid="{00000000-0010-0000-0B00-000007000000}" name="Other sheep" dataDxfId="1273"/>
    <tableColumn id="8" xr3:uid="{00000000-0010-0000-0B00-000008000000}" name="Growing Swine" dataDxfId="1272"/>
    <tableColumn id="9" xr3:uid="{00000000-0010-0000-0B00-000009000000}" name="Breeding Swine" dataDxfId="1271"/>
    <tableColumn id="10" xr3:uid="{00000000-0010-0000-0B00-00000A000000}" name="Goats" dataDxfId="1270"/>
    <tableColumn id="11" xr3:uid="{00000000-0010-0000-0B00-00000B000000}" name="Horses" dataDxfId="1269"/>
    <tableColumn id="12" xr3:uid="{00000000-0010-0000-0B00-00000C000000}" name="Camels" dataDxfId="1268"/>
    <tableColumn id="13" xr3:uid="{00000000-0010-0000-0B00-00000D000000}" name="Mules and Asses" dataDxfId="1267"/>
    <tableColumn id="14" xr3:uid="{00000000-0010-0000-0B00-00000E000000}" name="Deer" dataDxfId="1266"/>
    <tableColumn id="15" xr3:uid="{00000000-0010-0000-0B00-00000F000000}" name="Ostrich" dataDxfId="1265"/>
    <tableColumn id="18" xr3:uid="{00000000-0010-0000-0B00-000012000000}" name="Chicken layer" dataDxfId="1264"/>
    <tableColumn id="16" xr3:uid="{00000000-0010-0000-0B00-000010000000}" name="Chicken broiler" dataDxfId="1263"/>
    <tableColumn id="17" xr3:uid="{00000000-0010-0000-0B00-000011000000}" name="Llamas and Alpacas" dataDxfId="1262"/>
  </tableColumns>
  <tableStyleInfo name="TableStyleLight1" showFirstColumn="0" showLastColumn="0" showRowStripes="1" showColumnStripes="0"/>
</table>
</file>

<file path=xl/tables/table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6" xr:uid="{00000000-000C-0000-FFFF-FFFF0C000000}" name="VS_rate_HP" displayName="VS_rate_HP" ref="A2385:R2396" totalsRowShown="0" headerRowDxfId="1261" dataDxfId="1260" tableBorderDxfId="1259">
  <autoFilter ref="A2385:R2396" xr:uid="{00000000-0009-0000-0100-000010000000}"/>
  <tableColumns count="18">
    <tableColumn id="1" xr3:uid="{00000000-0010-0000-0C00-000001000000}" name="Please select" dataDxfId="1258" dataCellStyle="Normal 2 2"/>
    <tableColumn id="2" xr3:uid="{00000000-0010-0000-0C00-000002000000}" name="Dairy Cattle" dataDxfId="1257"/>
    <tableColumn id="3" xr3:uid="{00000000-0010-0000-0C00-000003000000}" name="Other Cattle" dataDxfId="1256"/>
    <tableColumn id="4" xr3:uid="{00000000-0010-0000-0C00-000004000000}" name="Dairy Buffalo" dataDxfId="1255"/>
    <tableColumn id="5" xr3:uid="{00000000-0010-0000-0C00-000005000000}" name="Other Buffalo" dataDxfId="1254"/>
    <tableColumn id="6" xr3:uid="{00000000-0010-0000-0C00-000006000000}" name="Dairy Sheep" dataDxfId="1253"/>
    <tableColumn id="7" xr3:uid="{00000000-0010-0000-0C00-000007000000}" name="Other sheep" dataDxfId="1252"/>
    <tableColumn id="8" xr3:uid="{00000000-0010-0000-0C00-000008000000}" name="Growing Swine" dataDxfId="1251"/>
    <tableColumn id="9" xr3:uid="{00000000-0010-0000-0C00-000009000000}" name="Breeding Swine" dataDxfId="1250"/>
    <tableColumn id="10" xr3:uid="{00000000-0010-0000-0C00-00000A000000}" name="Goats" dataDxfId="1249"/>
    <tableColumn id="11" xr3:uid="{00000000-0010-0000-0C00-00000B000000}" name="Horses" dataDxfId="1248"/>
    <tableColumn id="12" xr3:uid="{00000000-0010-0000-0C00-00000C000000}" name="Camels" dataDxfId="1247"/>
    <tableColumn id="13" xr3:uid="{00000000-0010-0000-0C00-00000D000000}" name="Mules and Asses" dataDxfId="1246"/>
    <tableColumn id="14" xr3:uid="{00000000-0010-0000-0C00-00000E000000}" name="Deer" dataDxfId="1245"/>
    <tableColumn id="15" xr3:uid="{00000000-0010-0000-0C00-00000F000000}" name="Ostrich" dataDxfId="1244"/>
    <tableColumn id="16" xr3:uid="{00000000-0010-0000-0C00-000010000000}" name="Chicken layer" dataDxfId="1243"/>
    <tableColumn id="17" xr3:uid="{00000000-0010-0000-0C00-000011000000}" name="Chicken broiler" dataDxfId="1242"/>
    <tableColumn id="18" xr3:uid="{00000000-0010-0000-0C00-000012000000}" name="Llamas and Alpacas" dataDxfId="1241"/>
  </tableColumns>
  <tableStyleInfo name="TableStyleLight1" showFirstColumn="0" showLastColumn="0" showRowStripes="1" showColumnStripes="0"/>
</table>
</file>

<file path=xl/tables/table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7" xr:uid="{00000000-000C-0000-FFFF-FFFF0D000000}" name="VS_rate_LP" displayName="VS_rate_LP" ref="A2402:R2413" totalsRowShown="0" headerRowDxfId="1240" dataDxfId="1239" tableBorderDxfId="1238">
  <autoFilter ref="A2402:R2413" xr:uid="{00000000-0009-0000-0100-000011000000}"/>
  <tableColumns count="18">
    <tableColumn id="1" xr3:uid="{00000000-0010-0000-0D00-000001000000}" name="Please select" dataDxfId="1237" dataCellStyle="Normal 2 2"/>
    <tableColumn id="2" xr3:uid="{00000000-0010-0000-0D00-000002000000}" name="Dairy Cattle" dataDxfId="1236"/>
    <tableColumn id="3" xr3:uid="{00000000-0010-0000-0D00-000003000000}" name="Other Cattle" dataDxfId="1235"/>
    <tableColumn id="4" xr3:uid="{00000000-0010-0000-0D00-000004000000}" name="Dairy Buffalo" dataDxfId="1234"/>
    <tableColumn id="5" xr3:uid="{00000000-0010-0000-0D00-000005000000}" name="Other Buffalo" dataDxfId="1233"/>
    <tableColumn id="6" xr3:uid="{00000000-0010-0000-0D00-000006000000}" name="Dairy Sheep" dataDxfId="1232"/>
    <tableColumn id="7" xr3:uid="{00000000-0010-0000-0D00-000007000000}" name="Other sheep" dataDxfId="1231"/>
    <tableColumn id="8" xr3:uid="{00000000-0010-0000-0D00-000008000000}" name="Growing Swine" dataDxfId="1230"/>
    <tableColumn id="9" xr3:uid="{00000000-0010-0000-0D00-000009000000}" name="Breeding Swine" dataDxfId="1229"/>
    <tableColumn id="10" xr3:uid="{00000000-0010-0000-0D00-00000A000000}" name="Goats" dataDxfId="1228"/>
    <tableColumn id="11" xr3:uid="{00000000-0010-0000-0D00-00000B000000}" name="Horses" dataDxfId="1227"/>
    <tableColumn id="12" xr3:uid="{00000000-0010-0000-0D00-00000C000000}" name="Camels" dataDxfId="1226"/>
    <tableColumn id="13" xr3:uid="{00000000-0010-0000-0D00-00000D000000}" name="Mules and Asses" dataDxfId="1225"/>
    <tableColumn id="14" xr3:uid="{00000000-0010-0000-0D00-00000E000000}" name="Deer" dataDxfId="1224"/>
    <tableColumn id="15" xr3:uid="{00000000-0010-0000-0D00-00000F000000}" name="Ostrich" dataDxfId="1223"/>
    <tableColumn id="16" xr3:uid="{00000000-0010-0000-0D00-000010000000}" name="Chicken layer" dataDxfId="1222"/>
    <tableColumn id="17" xr3:uid="{00000000-0010-0000-0D00-000011000000}" name="Chicken broiler" dataDxfId="1221"/>
    <tableColumn id="18" xr3:uid="{00000000-0010-0000-0D00-000012000000}" name="Llamas and Alpacas" dataDxfId="1220"/>
  </tableColumns>
  <tableStyleInfo name="TableStyleLight1" showFirstColumn="0" showLastColumn="0" showRowStripes="1" showColumnStripes="0"/>
</table>
</file>

<file path=xl/tables/table1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0" xr:uid="{00000000-000C-0000-FFFF-FFFF0E000000}" name="AWMS_Other_Cattle" displayName="AWMS_Other_Cattle" ref="A2436:O2447" totalsRowShown="0" headerRowDxfId="1219" dataDxfId="1218" tableBorderDxfId="1217">
  <autoFilter ref="A2436:O2447" xr:uid="{00000000-0009-0000-0100-000014000000}"/>
  <tableColumns count="15">
    <tableColumn id="1" xr3:uid="{00000000-0010-0000-0E00-000001000000}" name="Please select" dataDxfId="1216" dataCellStyle="Normal 2 2"/>
    <tableColumn id="2" xr3:uid="{00000000-0010-0000-0E00-000002000000}" name="Lagoon" dataDxfId="1215"/>
    <tableColumn id="3" xr3:uid="{00000000-0010-0000-0E00-000003000000}" name="Liquid/slurry" dataDxfId="1214"/>
    <tableColumn id="4" xr3:uid="{00000000-0010-0000-0E00-000004000000}" name="Solid storage" dataDxfId="1213"/>
    <tableColumn id="5" xr3:uid="{00000000-0010-0000-0E00-000005000000}" name="Dry lot" dataDxfId="1212"/>
    <tableColumn id="6" xr3:uid="{00000000-0010-0000-0E00-000006000000}" name="Pasture/Range/Paddock" dataDxfId="1211"/>
    <tableColumn id="7" xr3:uid="{00000000-0010-0000-0E00-000007000000}" name="Daily spread" dataDxfId="1210"/>
    <tableColumn id="8" xr3:uid="{00000000-0010-0000-0E00-000008000000}" name="Digester" dataDxfId="1209"/>
    <tableColumn id="9" xr3:uid="{00000000-0010-0000-0E00-000009000000}" name="Burned for fuel" dataDxfId="1208"/>
    <tableColumn id="10" xr3:uid="{00000000-0010-0000-0E00-00000A000000}" name="Pit&lt;1Month" dataDxfId="1207"/>
    <tableColumn id="11" xr3:uid="{00000000-0010-0000-0E00-00000B000000}" name="Pit&gt;1 month" dataDxfId="1206"/>
    <tableColumn id="12" xr3:uid="{00000000-0010-0000-0E00-00000C000000}" name="Poultry manure" dataDxfId="1205"/>
    <tableColumn id="13" xr3:uid="{00000000-0010-0000-0E00-00000D000000}" name="Deep bedding" dataDxfId="1204"/>
    <tableColumn id="14" xr3:uid="{00000000-0010-0000-0E00-00000E000000}" name="Composting" dataDxfId="1203"/>
    <tableColumn id="15" xr3:uid="{00000000-0010-0000-0E00-00000F000000}" name="Aerobic treatment" dataDxfId="1202"/>
  </tableColumns>
  <tableStyleInfo name="TableStyleLight1" showFirstColumn="0" showLastColumn="0" showRowStripes="1" showColumnStripes="0"/>
</table>
</file>

<file path=xl/tables/table1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1" xr:uid="{00000000-000C-0000-FFFF-FFFF0F000000}" name="AWMS_Dairy_Buffalo" displayName="AWMS_Dairy_Buffalo" ref="A2453:O2464" totalsRowShown="0" headerRowDxfId="1201" dataDxfId="1200" tableBorderDxfId="1199">
  <autoFilter ref="A2453:O2464" xr:uid="{00000000-0009-0000-0100-000015000000}"/>
  <tableColumns count="15">
    <tableColumn id="1" xr3:uid="{00000000-0010-0000-0F00-000001000000}" name="Please select" dataDxfId="1198" dataCellStyle="Normal 2 2"/>
    <tableColumn id="2" xr3:uid="{00000000-0010-0000-0F00-000002000000}" name="Lagoon" dataDxfId="1197"/>
    <tableColumn id="3" xr3:uid="{00000000-0010-0000-0F00-000003000000}" name="Liquid/slurry" dataDxfId="1196"/>
    <tableColumn id="4" xr3:uid="{00000000-0010-0000-0F00-000004000000}" name="Solid storage" dataDxfId="1195"/>
    <tableColumn id="5" xr3:uid="{00000000-0010-0000-0F00-000005000000}" name="Dry lot" dataDxfId="1194"/>
    <tableColumn id="6" xr3:uid="{00000000-0010-0000-0F00-000006000000}" name="Pasture/Range/Paddock" dataDxfId="1193"/>
    <tableColumn id="7" xr3:uid="{00000000-0010-0000-0F00-000007000000}" name="Daily spread" dataDxfId="1192"/>
    <tableColumn id="8" xr3:uid="{00000000-0010-0000-0F00-000008000000}" name="Digester" dataDxfId="1191"/>
    <tableColumn id="9" xr3:uid="{00000000-0010-0000-0F00-000009000000}" name="Burned for fuel" dataDxfId="1190"/>
    <tableColumn id="10" xr3:uid="{00000000-0010-0000-0F00-00000A000000}" name="Pit&lt;1Month" dataDxfId="1189"/>
    <tableColumn id="11" xr3:uid="{00000000-0010-0000-0F00-00000B000000}" name="Pit&gt;1 month" dataDxfId="1188"/>
    <tableColumn id="12" xr3:uid="{00000000-0010-0000-0F00-00000C000000}" name="Poultry manure" dataDxfId="1187"/>
    <tableColumn id="13" xr3:uid="{00000000-0010-0000-0F00-00000D000000}" name="Deep bedding" dataDxfId="1186"/>
    <tableColumn id="14" xr3:uid="{00000000-0010-0000-0F00-00000E000000}" name="Composting" dataDxfId="1185"/>
    <tableColumn id="15" xr3:uid="{00000000-0010-0000-0F00-00000F000000}" name="Aerobic treatment" dataDxfId="1184"/>
  </tableColumns>
  <tableStyleInfo name="TableStyleLight1" showFirstColumn="0" showLastColumn="0" showRowStripes="1" showColumnStripes="0"/>
</table>
</file>

<file path=xl/tables/table1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2" xr:uid="{00000000-000C-0000-FFFF-FFFF10000000}" name="AWMS_Other_Buffalo" displayName="AWMS_Other_Buffalo" ref="A2470:O2481" totalsRowShown="0" headerRowDxfId="1183" dataDxfId="1182" tableBorderDxfId="1181">
  <autoFilter ref="A2470:O2481" xr:uid="{00000000-0009-0000-0100-000016000000}"/>
  <tableColumns count="15">
    <tableColumn id="1" xr3:uid="{00000000-0010-0000-1000-000001000000}" name="Please select" dataDxfId="1180" dataCellStyle="Normal 2 2"/>
    <tableColumn id="2" xr3:uid="{00000000-0010-0000-1000-000002000000}" name="Lagoon" dataDxfId="1179"/>
    <tableColumn id="3" xr3:uid="{00000000-0010-0000-1000-000003000000}" name="Liquid/slurry" dataDxfId="1178"/>
    <tableColumn id="4" xr3:uid="{00000000-0010-0000-1000-000004000000}" name="Solid storage" dataDxfId="1177"/>
    <tableColumn id="5" xr3:uid="{00000000-0010-0000-1000-000005000000}" name="Dry lot" dataDxfId="1176"/>
    <tableColumn id="6" xr3:uid="{00000000-0010-0000-1000-000006000000}" name="Pasture/Range/Paddock" dataDxfId="1175"/>
    <tableColumn id="7" xr3:uid="{00000000-0010-0000-1000-000007000000}" name="Daily spread" dataDxfId="1174"/>
    <tableColumn id="8" xr3:uid="{00000000-0010-0000-1000-000008000000}" name="Digester" dataDxfId="1173"/>
    <tableColumn id="9" xr3:uid="{00000000-0010-0000-1000-000009000000}" name="Burned for fuel" dataDxfId="1172"/>
    <tableColumn id="10" xr3:uid="{00000000-0010-0000-1000-00000A000000}" name="Pit&lt;1Month" dataDxfId="1171"/>
    <tableColumn id="11" xr3:uid="{00000000-0010-0000-1000-00000B000000}" name="Pit&gt;1 month" dataDxfId="1170"/>
    <tableColumn id="12" xr3:uid="{00000000-0010-0000-1000-00000C000000}" name="Poultry manure" dataDxfId="1169"/>
    <tableColumn id="13" xr3:uid="{00000000-0010-0000-1000-00000D000000}" name="Deep bedding" dataDxfId="1168"/>
    <tableColumn id="14" xr3:uid="{00000000-0010-0000-1000-00000E000000}" name="Composting" dataDxfId="1167"/>
    <tableColumn id="15" xr3:uid="{00000000-0010-0000-1000-00000F000000}" name="Aerobic treatment" dataDxfId="1166"/>
  </tableColumns>
  <tableStyleInfo name="TableStyleLight1" showFirstColumn="0" showLastColumn="0" showRowStripes="1" showColumnStripes="0"/>
</table>
</file>

<file path=xl/tables/table1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3" xr:uid="{00000000-000C-0000-FFFF-FFFF11000000}" name="AMWS_Breeding_Swine_HP" displayName="AMWS_Breeding_Swine_HP" ref="A2487:O2498" totalsRowShown="0" headerRowDxfId="1165" dataDxfId="1164" tableBorderDxfId="1163">
  <autoFilter ref="A2487:O2498" xr:uid="{00000000-0009-0000-0100-000017000000}"/>
  <tableColumns count="15">
    <tableColumn id="1" xr3:uid="{00000000-0010-0000-1100-000001000000}" name="Please select" dataDxfId="1162" dataCellStyle="Normal 2 2"/>
    <tableColumn id="2" xr3:uid="{00000000-0010-0000-1100-000002000000}" name="Lagoon" dataDxfId="1161"/>
    <tableColumn id="3" xr3:uid="{00000000-0010-0000-1100-000003000000}" name="Liquid/slurry" dataDxfId="1160"/>
    <tableColumn id="4" xr3:uid="{00000000-0010-0000-1100-000004000000}" name="Solid storage" dataDxfId="1159"/>
    <tableColumn id="5" xr3:uid="{00000000-0010-0000-1100-000005000000}" name="Dry lot" dataDxfId="1158"/>
    <tableColumn id="6" xr3:uid="{00000000-0010-0000-1100-000006000000}" name="Pasture/Range/Paddock" dataDxfId="1157"/>
    <tableColumn id="7" xr3:uid="{00000000-0010-0000-1100-000007000000}" name="Daily spread" dataDxfId="1156"/>
    <tableColumn id="8" xr3:uid="{00000000-0010-0000-1100-000008000000}" name="Digester" dataDxfId="1155"/>
    <tableColumn id="9" xr3:uid="{00000000-0010-0000-1100-000009000000}" name="Burned for fuel" dataDxfId="1154"/>
    <tableColumn id="10" xr3:uid="{00000000-0010-0000-1100-00000A000000}" name="Pit&lt;1Month" dataDxfId="1153"/>
    <tableColumn id="11" xr3:uid="{00000000-0010-0000-1100-00000B000000}" name="Pit&gt;1 month" dataDxfId="1152"/>
    <tableColumn id="12" xr3:uid="{00000000-0010-0000-1100-00000C000000}" name="Poultry manure" dataDxfId="1151"/>
    <tableColumn id="13" xr3:uid="{00000000-0010-0000-1100-00000D000000}" name="Deep bedding" dataDxfId="1150"/>
    <tableColumn id="14" xr3:uid="{00000000-0010-0000-1100-00000E000000}" name="Composting" dataDxfId="1149"/>
    <tableColumn id="15" xr3:uid="{00000000-0010-0000-1100-00000F000000}" name="Aerobic treatment" dataDxfId="1148"/>
  </tableColumns>
  <tableStyleInfo name="TableStyleLight1" showFirstColumn="0" showLastColumn="0" showRowStripes="1" showColumnStripes="0"/>
</table>
</file>

<file path=xl/tables/table1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4" xr:uid="{00000000-000C-0000-FFFF-FFFF12000000}" name="AWMS_Breeding_Swine_LP" displayName="AWMS_Breeding_Swine_LP" ref="A2504:O2516" totalsRowShown="0" headerRowDxfId="1147" dataDxfId="1146" tableBorderDxfId="1145">
  <autoFilter ref="A2504:O2516" xr:uid="{00000000-0009-0000-0100-000018000000}"/>
  <tableColumns count="15">
    <tableColumn id="1" xr3:uid="{00000000-0010-0000-1200-000001000000}" name="Please select" dataDxfId="1144" dataCellStyle="Normal 2 2"/>
    <tableColumn id="2" xr3:uid="{00000000-0010-0000-1200-000002000000}" name="Lagoon" dataDxfId="1143"/>
    <tableColumn id="3" xr3:uid="{00000000-0010-0000-1200-000003000000}" name="Liquid/slurry" dataDxfId="1142"/>
    <tableColumn id="4" xr3:uid="{00000000-0010-0000-1200-000004000000}" name="Solid storage" dataDxfId="1141"/>
    <tableColumn id="5" xr3:uid="{00000000-0010-0000-1200-000005000000}" name="Dry lot" dataDxfId="1140"/>
    <tableColumn id="6" xr3:uid="{00000000-0010-0000-1200-000006000000}" name="Pasture/Range/Paddock" dataDxfId="1139"/>
    <tableColumn id="7" xr3:uid="{00000000-0010-0000-1200-000007000000}" name="Daily spread" dataDxfId="1138"/>
    <tableColumn id="8" xr3:uid="{00000000-0010-0000-1200-000008000000}" name="Digester" dataDxfId="1137"/>
    <tableColumn id="9" xr3:uid="{00000000-0010-0000-1200-000009000000}" name="Burned for fuel" dataDxfId="1136"/>
    <tableColumn id="10" xr3:uid="{00000000-0010-0000-1200-00000A000000}" name="Pit&lt;1Month" dataDxfId="1135"/>
    <tableColumn id="11" xr3:uid="{00000000-0010-0000-1200-00000B000000}" name="Pit&gt;1 month" dataDxfId="1134"/>
    <tableColumn id="12" xr3:uid="{00000000-0010-0000-1200-00000C000000}" name="Poultry manure" dataDxfId="1133"/>
    <tableColumn id="13" xr3:uid="{00000000-0010-0000-1200-00000D000000}" name="Deep bedding" dataDxfId="1132"/>
    <tableColumn id="14" xr3:uid="{00000000-0010-0000-1200-00000E000000}" name="Composting" dataDxfId="1131"/>
    <tableColumn id="15" xr3:uid="{00000000-0010-0000-1200-00000F000000}" name="Aerobic treatment" dataDxfId="1130"/>
  </tableColumns>
  <tableStyleInfo name="TableStyleLight1" showFirstColumn="0" showLastColumn="0" showRowStripes="1" showColumnStripes="0"/>
</table>
</file>

<file path=xl/tables/table1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5" xr:uid="{00000000-000C-0000-FFFF-FFFF13000000}" name="AWMS_Other_Sheep" displayName="AWMS_Other_Sheep" ref="A2555:O2566" totalsRowShown="0" headerRowDxfId="1129" dataDxfId="1128" tableBorderDxfId="1127">
  <autoFilter ref="A2555:O2566" xr:uid="{00000000-0009-0000-0100-000019000000}"/>
  <tableColumns count="15">
    <tableColumn id="1" xr3:uid="{00000000-0010-0000-1300-000001000000}" name="Please select" dataDxfId="1126" dataCellStyle="Normal 2 2"/>
    <tableColumn id="2" xr3:uid="{00000000-0010-0000-1300-000002000000}" name="Lagoon" dataDxfId="1125"/>
    <tableColumn id="3" xr3:uid="{00000000-0010-0000-1300-000003000000}" name="Liquid/slurry" dataDxfId="1124"/>
    <tableColumn id="4" xr3:uid="{00000000-0010-0000-1300-000004000000}" name="Solid storage" dataDxfId="1123"/>
    <tableColumn id="5" xr3:uid="{00000000-0010-0000-1300-000005000000}" name="Dry lot" dataDxfId="1122"/>
    <tableColumn id="6" xr3:uid="{00000000-0010-0000-1300-000006000000}" name="Pasture/Range/Paddock" dataDxfId="1121"/>
    <tableColumn id="7" xr3:uid="{00000000-0010-0000-1300-000007000000}" name="Daily spread" dataDxfId="1120"/>
    <tableColumn id="8" xr3:uid="{00000000-0010-0000-1300-000008000000}" name="Digester" dataDxfId="1119"/>
    <tableColumn id="9" xr3:uid="{00000000-0010-0000-1300-000009000000}" name="Burned for fuel" dataDxfId="1118"/>
    <tableColumn id="10" xr3:uid="{00000000-0010-0000-1300-00000A000000}" name="Pit&lt;1Month" dataDxfId="1117"/>
    <tableColumn id="11" xr3:uid="{00000000-0010-0000-1300-00000B000000}" name="Pit&gt;1 month" dataDxfId="1116"/>
    <tableColumn id="12" xr3:uid="{00000000-0010-0000-1300-00000C000000}" name="Poultry manure" dataDxfId="1115"/>
    <tableColumn id="13" xr3:uid="{00000000-0010-0000-1300-00000D000000}" name="Deep bedding" dataDxfId="1114"/>
    <tableColumn id="14" xr3:uid="{00000000-0010-0000-1300-00000E000000}" name="Composting" dataDxfId="1113"/>
    <tableColumn id="15" xr3:uid="{00000000-0010-0000-1300-00000F000000}" name="Aerobic treatment" dataDxfId="1112"/>
  </tableColumns>
  <tableStyleInfo name="TableStyleLight1" showFirstColumn="0" showLastColumn="0" showRowStripes="1" showColumnStripes="0"/>
</table>
</file>

<file path=xl/tables/table1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6" xr:uid="{00000000-000C-0000-FFFF-FFFF14000000}" name="AWMS_Sheep_dairy" displayName="AWMS_Sheep_dairy" ref="A2572:O2583" totalsRowShown="0" headerRowDxfId="1111" tableBorderDxfId="1110">
  <autoFilter ref="A2572:O2583" xr:uid="{00000000-0009-0000-0100-00001A000000}"/>
  <tableColumns count="15">
    <tableColumn id="1" xr3:uid="{00000000-0010-0000-1400-000001000000}" name="Please select" dataDxfId="1109" dataCellStyle="Normal 2 2"/>
    <tableColumn id="2" xr3:uid="{00000000-0010-0000-1400-000002000000}" name="Lagoon" dataDxfId="1108"/>
    <tableColumn id="3" xr3:uid="{00000000-0010-0000-1400-000003000000}" name="Liquid/slurry" dataDxfId="1107"/>
    <tableColumn id="4" xr3:uid="{00000000-0010-0000-1400-000004000000}" name="Solid storage" dataDxfId="1106"/>
    <tableColumn id="5" xr3:uid="{00000000-0010-0000-1400-000005000000}" name="Dry lot" dataDxfId="1105"/>
    <tableColumn id="6" xr3:uid="{00000000-0010-0000-1400-000006000000}" name="Pasture/Range/Paddock" dataDxfId="1104"/>
    <tableColumn id="7" xr3:uid="{00000000-0010-0000-1400-000007000000}" name="Daily spread" dataDxfId="1103"/>
    <tableColumn id="8" xr3:uid="{00000000-0010-0000-1400-000008000000}" name="Digester" dataDxfId="1102"/>
    <tableColumn id="9" xr3:uid="{00000000-0010-0000-1400-000009000000}" name="Burned for fuel" dataDxfId="1101"/>
    <tableColumn id="10" xr3:uid="{00000000-0010-0000-1400-00000A000000}" name="Pit&lt;1Month" dataDxfId="1100"/>
    <tableColumn id="11" xr3:uid="{00000000-0010-0000-1400-00000B000000}" name="Pit&gt;1 month" dataDxfId="1099"/>
    <tableColumn id="12" xr3:uid="{00000000-0010-0000-1400-00000C000000}" name="Poultry manure" dataDxfId="1098"/>
    <tableColumn id="13" xr3:uid="{00000000-0010-0000-1400-00000D000000}" name="Deep bedding" dataDxfId="1097"/>
    <tableColumn id="14" xr3:uid="{00000000-0010-0000-1400-00000E000000}" name="Composting" dataDxfId="1096"/>
    <tableColumn id="15" xr3:uid="{00000000-0010-0000-1400-00000F000000}" name="Aerobic treatment" dataDxfId="1095"/>
  </tableColumns>
  <tableStyleInfo name="TableStyleLight1" showFirstColumn="0" showLastColumn="0" showRowStripes="1" showColumnStripes="0"/>
</table>
</file>

<file path=xl/tables/table1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7" xr:uid="{00000000-000C-0000-FFFF-FFFF15000000}" name="AWMS_Goat" displayName="AWMS_Goat" ref="A2589:O2600" totalsRowShown="0" headerRowDxfId="1094" tableBorderDxfId="1093">
  <autoFilter ref="A2589:O2600" xr:uid="{00000000-0009-0000-0100-00001B000000}"/>
  <tableColumns count="15">
    <tableColumn id="1" xr3:uid="{00000000-0010-0000-1500-000001000000}" name="Please select" dataDxfId="1092" dataCellStyle="Normal 2 2"/>
    <tableColumn id="2" xr3:uid="{00000000-0010-0000-1500-000002000000}" name="Lagoon" dataDxfId="1091"/>
    <tableColumn id="3" xr3:uid="{00000000-0010-0000-1500-000003000000}" name="Liquid/slurry" dataDxfId="1090"/>
    <tableColumn id="4" xr3:uid="{00000000-0010-0000-1500-000004000000}" name="Solid storage" dataDxfId="1089"/>
    <tableColumn id="5" xr3:uid="{00000000-0010-0000-1500-000005000000}" name="Dry lot" dataDxfId="1088"/>
    <tableColumn id="6" xr3:uid="{00000000-0010-0000-1500-000006000000}" name="Pasture/Range/Paddock" dataDxfId="1087"/>
    <tableColumn id="7" xr3:uid="{00000000-0010-0000-1500-000007000000}" name="Daily spread" dataDxfId="1086"/>
    <tableColumn id="8" xr3:uid="{00000000-0010-0000-1500-000008000000}" name="Digester" dataDxfId="1085"/>
    <tableColumn id="9" xr3:uid="{00000000-0010-0000-1500-000009000000}" name="Burned for fuel" dataDxfId="1084"/>
    <tableColumn id="10" xr3:uid="{00000000-0010-0000-1500-00000A000000}" name="Pit&lt;1Month" dataDxfId="1083"/>
    <tableColumn id="11" xr3:uid="{00000000-0010-0000-1500-00000B000000}" name="Pit&gt;1 month" dataDxfId="1082"/>
    <tableColumn id="12" xr3:uid="{00000000-0010-0000-1500-00000C000000}" name="Poultry manure" dataDxfId="1081"/>
    <tableColumn id="13" xr3:uid="{00000000-0010-0000-1500-00000D000000}" name="Deep bedding" dataDxfId="1080"/>
    <tableColumn id="14" xr3:uid="{00000000-0010-0000-1500-00000E000000}" name="Composting" dataDxfId="1079"/>
    <tableColumn id="15" xr3:uid="{00000000-0010-0000-1500-00000F000000}" name="Aerobic treatment" dataDxfId="1078"/>
  </tableColumns>
  <tableStyleInfo name="TableStyleLight1" showFirstColumn="0" showLastColumn="0" showRowStripes="1" showColumnStripes="0"/>
</table>
</file>

<file path=xl/tables/table1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8" xr:uid="{00000000-000C-0000-FFFF-FFFF16000000}" name="AWMS_Chicken_Layer_Default" displayName="AWMS_Chicken_Layer_Default" ref="A2606:O2617" totalsRowShown="0" headerRowDxfId="1077" tableBorderDxfId="1076">
  <autoFilter ref="A2606:O2617" xr:uid="{00000000-0009-0000-0100-00001C000000}"/>
  <tableColumns count="15">
    <tableColumn id="1" xr3:uid="{00000000-0010-0000-1600-000001000000}" name="Please select" dataDxfId="1075" dataCellStyle="Normal 2 2"/>
    <tableColumn id="2" xr3:uid="{00000000-0010-0000-1600-000002000000}" name="Lagoon" dataDxfId="1074"/>
    <tableColumn id="3" xr3:uid="{00000000-0010-0000-1600-000003000000}" name="Liquid/slurry" dataDxfId="1073"/>
    <tableColumn id="4" xr3:uid="{00000000-0010-0000-1600-000004000000}" name="Solid storage" dataDxfId="1072"/>
    <tableColumn id="5" xr3:uid="{00000000-0010-0000-1600-000005000000}" name="Dry lot" dataDxfId="1071"/>
    <tableColumn id="6" xr3:uid="{00000000-0010-0000-1600-000006000000}" name="Pasture/Range/Paddock" dataDxfId="1070"/>
    <tableColumn id="7" xr3:uid="{00000000-0010-0000-1600-000007000000}" name="Daily spread" dataDxfId="1069"/>
    <tableColumn id="8" xr3:uid="{00000000-0010-0000-1600-000008000000}" name="Digester" dataDxfId="1068"/>
    <tableColumn id="9" xr3:uid="{00000000-0010-0000-1600-000009000000}" name="Burned for fuel" dataDxfId="1067"/>
    <tableColumn id="10" xr3:uid="{00000000-0010-0000-1600-00000A000000}" name="Pit&lt;1Month" dataDxfId="1066"/>
    <tableColumn id="11" xr3:uid="{00000000-0010-0000-1600-00000B000000}" name="Pit&gt;1 month" dataDxfId="1065"/>
    <tableColumn id="12" xr3:uid="{00000000-0010-0000-1600-00000C000000}" name="Poultry manure" dataDxfId="1064"/>
    <tableColumn id="13" xr3:uid="{00000000-0010-0000-1600-00000D000000}" name="Deep bedding" dataDxfId="1063"/>
    <tableColumn id="14" xr3:uid="{00000000-0010-0000-1600-00000E000000}" name="Composting" dataDxfId="1062"/>
    <tableColumn id="15" xr3:uid="{00000000-0010-0000-1600-00000F000000}" name="Aerobic treatment" dataDxfId="1061"/>
  </tableColumns>
  <tableStyleInfo name="TableStyleLight1" showFirstColumn="0" showLastColumn="0" showRowStripes="1" showColumnStripes="0"/>
</table>
</file>

<file path=xl/tables/table1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9" xr:uid="{00000000-000C-0000-FFFF-FFFF17000000}" name="AMWS_Chicken_broiler_LP" displayName="AMWS_Chicken_broiler_LP" ref="A2640:O2651" totalsRowShown="0" headerRowDxfId="1060" tableBorderDxfId="1059">
  <autoFilter ref="A2640:O2651" xr:uid="{00000000-0009-0000-0100-00001D000000}"/>
  <tableColumns count="15">
    <tableColumn id="1" xr3:uid="{00000000-0010-0000-1700-000001000000}" name="Please select" dataDxfId="1058" dataCellStyle="Normal 2 2"/>
    <tableColumn id="2" xr3:uid="{00000000-0010-0000-1700-000002000000}" name="Lagoon" dataDxfId="1057"/>
    <tableColumn id="3" xr3:uid="{00000000-0010-0000-1700-000003000000}" name="Liquid/slurry" dataDxfId="1056"/>
    <tableColumn id="4" xr3:uid="{00000000-0010-0000-1700-000004000000}" name="Solid storage" dataDxfId="1055"/>
    <tableColumn id="5" xr3:uid="{00000000-0010-0000-1700-000005000000}" name="Dry lot" dataDxfId="1054"/>
    <tableColumn id="6" xr3:uid="{00000000-0010-0000-1700-000006000000}" name="Pasture/Range/Paddock" dataDxfId="1053"/>
    <tableColumn id="7" xr3:uid="{00000000-0010-0000-1700-000007000000}" name="Daily spread" dataDxfId="1052"/>
    <tableColumn id="8" xr3:uid="{00000000-0010-0000-1700-000008000000}" name="Digester" dataDxfId="1051"/>
    <tableColumn id="9" xr3:uid="{00000000-0010-0000-1700-000009000000}" name="Burned for fuel" dataDxfId="1050"/>
    <tableColumn id="10" xr3:uid="{00000000-0010-0000-1700-00000A000000}" name="Pit&lt;1Month" dataDxfId="1049"/>
    <tableColumn id="11" xr3:uid="{00000000-0010-0000-1700-00000B000000}" name="Pit&gt;1 month" dataDxfId="1048"/>
    <tableColumn id="12" xr3:uid="{00000000-0010-0000-1700-00000C000000}" name="Poultry manure" dataDxfId="1047"/>
    <tableColumn id="13" xr3:uid="{00000000-0010-0000-1700-00000D000000}" name="Deep bedding" dataDxfId="1046"/>
    <tableColumn id="14" xr3:uid="{00000000-0010-0000-1700-00000E000000}" name="Composting" dataDxfId="1045"/>
    <tableColumn id="15" xr3:uid="{00000000-0010-0000-1700-00000F000000}" name="Aerobic treatment" dataDxfId="1044"/>
  </tableColumns>
  <tableStyleInfo name="TableStyleLight1" showFirstColumn="0" showLastColumn="0" showRowStripes="1" showColumnStripes="0"/>
</table>
</file>

<file path=xl/tables/table2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0" xr:uid="{00000000-000C-0000-FFFF-FFFF18000000}" name="AWMS_Chicken_broiler_HP" displayName="AWMS_Chicken_broiler_HP" ref="A2623:O2634" totalsRowShown="0" headerRowDxfId="1043" tableBorderDxfId="1042">
  <autoFilter ref="A2623:O2634" xr:uid="{00000000-0009-0000-0100-00001E000000}"/>
  <tableColumns count="15">
    <tableColumn id="1" xr3:uid="{00000000-0010-0000-1800-000001000000}" name="Please select" dataDxfId="1041" dataCellStyle="Normal 2 2"/>
    <tableColumn id="2" xr3:uid="{00000000-0010-0000-1800-000002000000}" name="Lagoon" dataDxfId="1040"/>
    <tableColumn id="3" xr3:uid="{00000000-0010-0000-1800-000003000000}" name="Liquid/slurry" dataDxfId="1039"/>
    <tableColumn id="4" xr3:uid="{00000000-0010-0000-1800-000004000000}" name="Solid storage" dataDxfId="1038"/>
    <tableColumn id="5" xr3:uid="{00000000-0010-0000-1800-000005000000}" name="Dry lot" dataDxfId="1037"/>
    <tableColumn id="6" xr3:uid="{00000000-0010-0000-1800-000006000000}" name="Pasture/Range/Paddock" dataDxfId="1036"/>
    <tableColumn id="7" xr3:uid="{00000000-0010-0000-1800-000007000000}" name="Daily spread" dataDxfId="1035"/>
    <tableColumn id="8" xr3:uid="{00000000-0010-0000-1800-000008000000}" name="Digester" dataDxfId="1034"/>
    <tableColumn id="9" xr3:uid="{00000000-0010-0000-1800-000009000000}" name="Burned for fuel" dataDxfId="1033"/>
    <tableColumn id="10" xr3:uid="{00000000-0010-0000-1800-00000A000000}" name="Pit&lt;1Month" dataDxfId="1032"/>
    <tableColumn id="11" xr3:uid="{00000000-0010-0000-1800-00000B000000}" name="Pit&gt;1 month" dataDxfId="1031"/>
    <tableColumn id="12" xr3:uid="{00000000-0010-0000-1800-00000C000000}" name="Poultry manure" dataDxfId="1030"/>
    <tableColumn id="13" xr3:uid="{00000000-0010-0000-1800-00000D000000}" name="Deep bedding" dataDxfId="1029"/>
    <tableColumn id="14" xr3:uid="{00000000-0010-0000-1800-00000E000000}" name="Composting" dataDxfId="1028"/>
    <tableColumn id="15" xr3:uid="{00000000-0010-0000-1800-00000F000000}" name="Aerobic treatment" dataDxfId="1027"/>
  </tableColumns>
  <tableStyleInfo name="TableStyleLight1" showFirstColumn="0" showLastColumn="0" showRowStripes="1" showColumnStripes="0"/>
</table>
</file>

<file path=xl/tables/table2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1" xr:uid="{00000000-000C-0000-FFFF-FFFF19000000}" name="AWMS_Other_Grazing" displayName="AWMS_Other_Grazing" ref="A2657:O2668" totalsRowShown="0" headerRowDxfId="1026" tableBorderDxfId="1025">
  <autoFilter ref="A2657:O2668" xr:uid="{00000000-0009-0000-0100-00001F000000}"/>
  <tableColumns count="15">
    <tableColumn id="1" xr3:uid="{00000000-0010-0000-1900-000001000000}" name="Please select" dataDxfId="1024" dataCellStyle="Normal 2 2"/>
    <tableColumn id="2" xr3:uid="{00000000-0010-0000-1900-000002000000}" name="Lagoon" dataDxfId="1023"/>
    <tableColumn id="3" xr3:uid="{00000000-0010-0000-1900-000003000000}" name="Liquid/slurry" dataDxfId="1022"/>
    <tableColumn id="4" xr3:uid="{00000000-0010-0000-1900-000004000000}" name="Solid storage" dataDxfId="1021"/>
    <tableColumn id="5" xr3:uid="{00000000-0010-0000-1900-000005000000}" name="Dry lot" dataDxfId="1020"/>
    <tableColumn id="6" xr3:uid="{00000000-0010-0000-1900-000006000000}" name="Pasture/Range/Paddock" dataDxfId="1019"/>
    <tableColumn id="7" xr3:uid="{00000000-0010-0000-1900-000007000000}" name="Daily spread" dataDxfId="1018"/>
    <tableColumn id="8" xr3:uid="{00000000-0010-0000-1900-000008000000}" name="Digester" dataDxfId="1017"/>
    <tableColumn id="9" xr3:uid="{00000000-0010-0000-1900-000009000000}" name="Burned for fuel" dataDxfId="1016"/>
    <tableColumn id="10" xr3:uid="{00000000-0010-0000-1900-00000A000000}" name="Pit&lt;1Month" dataDxfId="1015"/>
    <tableColumn id="11" xr3:uid="{00000000-0010-0000-1900-00000B000000}" name="Pit&gt;1 month" dataDxfId="1014"/>
    <tableColumn id="12" xr3:uid="{00000000-0010-0000-1900-00000C000000}" name="Poultry manure" dataDxfId="1013"/>
    <tableColumn id="13" xr3:uid="{00000000-0010-0000-1900-00000D000000}" name="Deep bedding" dataDxfId="1012"/>
    <tableColumn id="14" xr3:uid="{00000000-0010-0000-1900-00000E000000}" name="Composting" dataDxfId="1011"/>
    <tableColumn id="15" xr3:uid="{00000000-0010-0000-1900-00000F000000}" name="Aerobic treatment" dataDxfId="1010"/>
  </tableColumns>
  <tableStyleInfo name="TableStyleLight1" showFirstColumn="0" showLastColumn="0" showRowStripes="1" showColumnStripes="0"/>
</table>
</file>

<file path=xl/tables/table2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2" xr:uid="{00000000-000C-0000-FFFF-FFFF1A000000}" name="AWMS_Ostrich" displayName="AWMS_Ostrich" ref="A2674:O2685" totalsRowShown="0" headerRowDxfId="1009" tableBorderDxfId="1008">
  <autoFilter ref="A2674:O2685" xr:uid="{00000000-0009-0000-0100-000020000000}"/>
  <tableColumns count="15">
    <tableColumn id="1" xr3:uid="{00000000-0010-0000-1A00-000001000000}" name="Please select" dataDxfId="1007" dataCellStyle="Normal 2 2"/>
    <tableColumn id="2" xr3:uid="{00000000-0010-0000-1A00-000002000000}" name="Lagoon" dataDxfId="1006"/>
    <tableColumn id="3" xr3:uid="{00000000-0010-0000-1A00-000003000000}" name="Liquid/slurry" dataDxfId="1005"/>
    <tableColumn id="4" xr3:uid="{00000000-0010-0000-1A00-000004000000}" name="Solid storage" dataDxfId="1004"/>
    <tableColumn id="5" xr3:uid="{00000000-0010-0000-1A00-000005000000}" name="Dry lot" dataDxfId="1003"/>
    <tableColumn id="6" xr3:uid="{00000000-0010-0000-1A00-000006000000}" name="Pasture/Range/Paddock" dataDxfId="1002"/>
    <tableColumn id="7" xr3:uid="{00000000-0010-0000-1A00-000007000000}" name="Daily spread" dataDxfId="1001"/>
    <tableColumn id="8" xr3:uid="{00000000-0010-0000-1A00-000008000000}" name="Digester" dataDxfId="1000"/>
    <tableColumn id="9" xr3:uid="{00000000-0010-0000-1A00-000009000000}" name="Burned for fuel" dataDxfId="999"/>
    <tableColumn id="10" xr3:uid="{00000000-0010-0000-1A00-00000A000000}" name="Pit&lt;1Month" dataDxfId="998"/>
    <tableColumn id="11" xr3:uid="{00000000-0010-0000-1A00-00000B000000}" name="Pit&gt;1 month" dataDxfId="997"/>
    <tableColumn id="12" xr3:uid="{00000000-0010-0000-1A00-00000C000000}" name="Poultry manure" dataDxfId="996"/>
    <tableColumn id="13" xr3:uid="{00000000-0010-0000-1A00-00000D000000}" name="Deep bedding" dataDxfId="995"/>
    <tableColumn id="14" xr3:uid="{00000000-0010-0000-1A00-00000E000000}" name="Composting" dataDxfId="994"/>
    <tableColumn id="15" xr3:uid="{00000000-0010-0000-1A00-00000F000000}" name="Aerobic treatment" dataDxfId="993"/>
  </tableColumns>
  <tableStyleInfo name="TableStyleLight1" showFirstColumn="0" showLastColumn="0" showRowStripes="1" showColumnStripes="0"/>
</table>
</file>

<file path=xl/tables/table2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4" xr:uid="{00000000-000C-0000-FFFF-FFFF1B000000}" name="AMWS_Growing_Swine_HP" displayName="AMWS_Growing_Swine_HP" ref="A2521:M2532" totalsRowShown="0" headerRowDxfId="992" dataDxfId="991" tableBorderDxfId="990">
  <autoFilter ref="A2521:M2532" xr:uid="{00000000-0009-0000-0100-00000E000000}"/>
  <tableColumns count="13">
    <tableColumn id="1" xr3:uid="{00000000-0010-0000-1B00-000001000000}" name="Please select" dataDxfId="989" dataCellStyle="Normal 2 2"/>
    <tableColumn id="2" xr3:uid="{00000000-0010-0000-1B00-000002000000}" name="Lagoon" dataDxfId="988"/>
    <tableColumn id="3" xr3:uid="{00000000-0010-0000-1B00-000003000000}" name="Liquid/slurry" dataDxfId="987"/>
    <tableColumn id="4" xr3:uid="{00000000-0010-0000-1B00-000004000000}" name="Solid storage" dataDxfId="986"/>
    <tableColumn id="5" xr3:uid="{00000000-0010-0000-1B00-000005000000}" name="Dry lot" dataDxfId="985"/>
    <tableColumn id="6" xr3:uid="{00000000-0010-0000-1B00-000006000000}" name="Pasture/Range/Paddock" dataDxfId="984"/>
    <tableColumn id="7" xr3:uid="{00000000-0010-0000-1B00-000007000000}" name="Daily spread" dataDxfId="983"/>
    <tableColumn id="8" xr3:uid="{00000000-0010-0000-1B00-000008000000}" name="Digester" dataDxfId="982"/>
    <tableColumn id="9" xr3:uid="{00000000-0010-0000-1B00-000009000000}" name="Burned for fuel" dataDxfId="981"/>
    <tableColumn id="10" xr3:uid="{00000000-0010-0000-1B00-00000A000000}" name="Pit&lt;1Month" dataDxfId="980"/>
    <tableColumn id="11" xr3:uid="{00000000-0010-0000-1B00-00000B000000}" name="Pit&gt;1 month" dataDxfId="979"/>
    <tableColumn id="12" xr3:uid="{00000000-0010-0000-1B00-00000C000000}" name="Poultry manure" dataDxfId="978"/>
    <tableColumn id="13" xr3:uid="{00000000-0010-0000-1B00-00000D000000}" name="Deep bedding" dataDxfId="977"/>
  </tableColumns>
  <tableStyleInfo name="TableStyleLight1" showFirstColumn="0" showLastColumn="0" showRowStripes="1" showColumnStripes="0"/>
</table>
</file>

<file path=xl/tables/table2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8" xr:uid="{00000000-000C-0000-FFFF-FFFF1C000000}" name="AWMS_Growing_Swine_LP" displayName="AWMS_Growing_Swine_LP" ref="A2538:O2549" totalsRowShown="0" headerRowDxfId="976" dataDxfId="975" tableBorderDxfId="974">
  <autoFilter ref="A2538:O2549" xr:uid="{00000000-0009-0000-0100-000012000000}"/>
  <tableColumns count="15">
    <tableColumn id="1" xr3:uid="{00000000-0010-0000-1C00-000001000000}" name="Please select" dataDxfId="973" dataCellStyle="Normal 2 2"/>
    <tableColumn id="2" xr3:uid="{00000000-0010-0000-1C00-000002000000}" name="Lagoon" dataDxfId="972"/>
    <tableColumn id="3" xr3:uid="{00000000-0010-0000-1C00-000003000000}" name="Liquid/slurry" dataDxfId="971"/>
    <tableColumn id="4" xr3:uid="{00000000-0010-0000-1C00-000004000000}" name="Solid storage" dataDxfId="970"/>
    <tableColumn id="5" xr3:uid="{00000000-0010-0000-1C00-000005000000}" name="Dry lot" dataDxfId="969"/>
    <tableColumn id="6" xr3:uid="{00000000-0010-0000-1C00-000006000000}" name="Pasture/Range/Paddock" dataDxfId="968"/>
    <tableColumn id="7" xr3:uid="{00000000-0010-0000-1C00-000007000000}" name="Daily spread" dataDxfId="967"/>
    <tableColumn id="8" xr3:uid="{00000000-0010-0000-1C00-000008000000}" name="Digester" dataDxfId="966"/>
    <tableColumn id="9" xr3:uid="{00000000-0010-0000-1C00-000009000000}" name="Burned for fuel" dataDxfId="965"/>
    <tableColumn id="10" xr3:uid="{00000000-0010-0000-1C00-00000A000000}" name="Pit&lt;1Month" dataDxfId="964"/>
    <tableColumn id="11" xr3:uid="{00000000-0010-0000-1C00-00000B000000}" name="Pit&gt;1 month" dataDxfId="963"/>
    <tableColumn id="12" xr3:uid="{00000000-0010-0000-1C00-00000C000000}" name="Poultry manure" dataDxfId="962"/>
    <tableColumn id="13" xr3:uid="{00000000-0010-0000-1C00-00000D000000}" name="Deep bedding" dataDxfId="961"/>
    <tableColumn id="14" xr3:uid="{00000000-0010-0000-1C00-00000E000000}" name="Composting" dataDxfId="960"/>
    <tableColumn id="15" xr3:uid="{00000000-0010-0000-1C00-00000F000000}" name="Aerobic treatment" dataDxfId="959"/>
  </tableColumns>
  <tableStyleInfo name="TableStyleLight1" showFirstColumn="0" showLastColumn="0" showRowStripes="1" showColumnStripes="0"/>
</table>
</file>

<file path=xl/tables/table2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3" xr:uid="{00000000-000C-0000-FFFF-FFFF1D000000}" name="CH4_man_Dairy_Cattle_HP" displayName="CH4_man_Dairy_Cattle_HP" ref="A2708:O2719" totalsRowShown="0" headerRowDxfId="958" dataDxfId="957" tableBorderDxfId="956">
  <autoFilter ref="A2708:O2719" xr:uid="{00000000-0009-0000-0100-000021000000}"/>
  <tableColumns count="15">
    <tableColumn id="1" xr3:uid="{00000000-0010-0000-1D00-000001000000}" name="Please select" dataDxfId="955" dataCellStyle="Normal 2 2"/>
    <tableColumn id="2" xr3:uid="{00000000-0010-0000-1D00-000002000000}" name="Lagoon" dataDxfId="954"/>
    <tableColumn id="3" xr3:uid="{00000000-0010-0000-1D00-000003000000}" name="Liquid/slurry" dataDxfId="953"/>
    <tableColumn id="4" xr3:uid="{00000000-0010-0000-1D00-000004000000}" name="Solid storage" dataDxfId="952"/>
    <tableColumn id="5" xr3:uid="{00000000-0010-0000-1D00-000005000000}" name="Dry lot" dataDxfId="951"/>
    <tableColumn id="6" xr3:uid="{00000000-0010-0000-1D00-000006000000}" name="Pasture/Range/Paddock" dataDxfId="950"/>
    <tableColumn id="7" xr3:uid="{00000000-0010-0000-1D00-000007000000}" name="Daily spread" dataDxfId="949"/>
    <tableColumn id="8" xr3:uid="{00000000-0010-0000-1D00-000008000000}" name="Digester" dataDxfId="948"/>
    <tableColumn id="9" xr3:uid="{00000000-0010-0000-1D00-000009000000}" name="Burned for fuel" dataDxfId="947"/>
    <tableColumn id="10" xr3:uid="{00000000-0010-0000-1D00-00000A000000}" name="Pit&lt;1Month" dataDxfId="946"/>
    <tableColumn id="11" xr3:uid="{00000000-0010-0000-1D00-00000B000000}" name="Pit&gt;1 month" dataDxfId="945"/>
    <tableColumn id="12" xr3:uid="{00000000-0010-0000-1D00-00000C000000}" name="Poultry manure" dataDxfId="944"/>
    <tableColumn id="13" xr3:uid="{00000000-0010-0000-1D00-00000D000000}" name="Deep bedding" dataDxfId="943"/>
    <tableColumn id="14" xr3:uid="{00000000-0010-0000-1D00-00000E000000}" name="Composting" dataDxfId="942"/>
    <tableColumn id="15" xr3:uid="{00000000-0010-0000-1D00-00000F000000}" name="Aerobic treatment" dataDxfId="941"/>
  </tableColumns>
  <tableStyleInfo name="TableStyleLight1" showFirstColumn="0" showLastColumn="0" showRowStripes="1" showColumnStripes="0"/>
</table>
</file>

<file path=xl/tables/table2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4" xr:uid="{00000000-000C-0000-FFFF-FFFF1E000000}" name="CH4_man_Dairy_Cattle_LP" displayName="CH4_man_Dairy_Cattle_LP" ref="A2725:O2736" totalsRowShown="0" headerRowDxfId="940" dataDxfId="939" tableBorderDxfId="938">
  <autoFilter ref="A2725:O2736" xr:uid="{00000000-0009-0000-0100-000022000000}"/>
  <tableColumns count="15">
    <tableColumn id="1" xr3:uid="{00000000-0010-0000-1E00-000001000000}" name="Please select" dataDxfId="937" dataCellStyle="Normal 2 2"/>
    <tableColumn id="2" xr3:uid="{00000000-0010-0000-1E00-000002000000}" name="Lagoon" dataDxfId="936"/>
    <tableColumn id="3" xr3:uid="{00000000-0010-0000-1E00-000003000000}" name="Liquid/slurry" dataDxfId="935"/>
    <tableColumn id="4" xr3:uid="{00000000-0010-0000-1E00-000004000000}" name="Solid storage" dataDxfId="934"/>
    <tableColumn id="5" xr3:uid="{00000000-0010-0000-1E00-000005000000}" name="Dry lot" dataDxfId="933"/>
    <tableColumn id="6" xr3:uid="{00000000-0010-0000-1E00-000006000000}" name="Pasture/Range/Paddock" dataDxfId="932"/>
    <tableColumn id="7" xr3:uid="{00000000-0010-0000-1E00-000007000000}" name="Daily spread" dataDxfId="931"/>
    <tableColumn id="8" xr3:uid="{00000000-0010-0000-1E00-000008000000}" name="Digester" dataDxfId="930"/>
    <tableColumn id="9" xr3:uid="{00000000-0010-0000-1E00-000009000000}" name="Burned for fuel" dataDxfId="929"/>
    <tableColumn id="10" xr3:uid="{00000000-0010-0000-1E00-00000A000000}" name="Pit&lt;1Month" dataDxfId="928"/>
    <tableColumn id="11" xr3:uid="{00000000-0010-0000-1E00-00000B000000}" name="Pit&gt;1 month" dataDxfId="927"/>
    <tableColumn id="12" xr3:uid="{00000000-0010-0000-1E00-00000C000000}" name="Poultry manure" dataDxfId="926"/>
    <tableColumn id="13" xr3:uid="{00000000-0010-0000-1E00-00000D000000}" name="Deep bedding" dataDxfId="925"/>
    <tableColumn id="14" xr3:uid="{00000000-0010-0000-1E00-00000E000000}" name="Composting" dataDxfId="924"/>
    <tableColumn id="15" xr3:uid="{00000000-0010-0000-1E00-00000F000000}" name="Aerobic treatment" dataDxfId="923"/>
  </tableColumns>
  <tableStyleInfo name="TableStyleLight1" showFirstColumn="0" showLastColumn="0" showRowStripes="1" showColumnStripes="0"/>
</table>
</file>

<file path=xl/tables/table2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5" xr:uid="{00000000-000C-0000-FFFF-FFFF1F000000}" name="CH4_man_Other_Cattle_HP" displayName="CH4_man_Other_Cattle_HP" ref="A2742:O2753" totalsRowShown="0" headerRowDxfId="922" dataDxfId="921" tableBorderDxfId="920">
  <autoFilter ref="A2742:O2753" xr:uid="{00000000-0009-0000-0100-000023000000}"/>
  <tableColumns count="15">
    <tableColumn id="1" xr3:uid="{00000000-0010-0000-1F00-000001000000}" name="Please select" dataDxfId="919" dataCellStyle="Normal 2 2"/>
    <tableColumn id="2" xr3:uid="{00000000-0010-0000-1F00-000002000000}" name="Lagoon" dataDxfId="918"/>
    <tableColumn id="3" xr3:uid="{00000000-0010-0000-1F00-000003000000}" name="Liquid/slurry" dataDxfId="917"/>
    <tableColumn id="4" xr3:uid="{00000000-0010-0000-1F00-000004000000}" name="Solid storage" dataDxfId="916"/>
    <tableColumn id="5" xr3:uid="{00000000-0010-0000-1F00-000005000000}" name="Dry lot" dataDxfId="915"/>
    <tableColumn id="6" xr3:uid="{00000000-0010-0000-1F00-000006000000}" name="Pasture/Range/Paddock" dataDxfId="914"/>
    <tableColumn id="7" xr3:uid="{00000000-0010-0000-1F00-000007000000}" name="Daily spread" dataDxfId="913"/>
    <tableColumn id="8" xr3:uid="{00000000-0010-0000-1F00-000008000000}" name="Digester" dataDxfId="912"/>
    <tableColumn id="9" xr3:uid="{00000000-0010-0000-1F00-000009000000}" name="Burned for fuel" dataDxfId="911"/>
    <tableColumn id="10" xr3:uid="{00000000-0010-0000-1F00-00000A000000}" name="Pit&lt;1Month" dataDxfId="910"/>
    <tableColumn id="11" xr3:uid="{00000000-0010-0000-1F00-00000B000000}" name="Pit&gt;1 month" dataDxfId="909"/>
    <tableColumn id="12" xr3:uid="{00000000-0010-0000-1F00-00000C000000}" name="Poultry manure" dataDxfId="908"/>
    <tableColumn id="13" xr3:uid="{00000000-0010-0000-1F00-00000D000000}" name="Deep bedding" dataDxfId="907"/>
    <tableColumn id="14" xr3:uid="{00000000-0010-0000-1F00-00000E000000}" name="Composting" dataDxfId="906"/>
    <tableColumn id="15" xr3:uid="{00000000-0010-0000-1F00-00000F000000}" name="Aerobic treatment" dataDxfId="905"/>
  </tableColumns>
  <tableStyleInfo name="TableStyleLight1" showFirstColumn="0" showLastColumn="0" showRowStripes="1" showColumnStripes="0"/>
</table>
</file>

<file path=xl/tables/table2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6" xr:uid="{00000000-000C-0000-FFFF-FFFF20000000}" name="CH4_man_Other_Cattle_LP" displayName="CH4_man_Other_Cattle_LP" ref="A2759:O2770" totalsRowShown="0" headerRowDxfId="904" dataDxfId="903" tableBorderDxfId="902">
  <autoFilter ref="A2759:O2770" xr:uid="{00000000-0009-0000-0100-000024000000}"/>
  <tableColumns count="15">
    <tableColumn id="1" xr3:uid="{00000000-0010-0000-2000-000001000000}" name="Please select" dataDxfId="901" dataCellStyle="Normal 2 2"/>
    <tableColumn id="2" xr3:uid="{00000000-0010-0000-2000-000002000000}" name="Lagoon" dataDxfId="900"/>
    <tableColumn id="3" xr3:uid="{00000000-0010-0000-2000-000003000000}" name="Liquid/slurry" dataDxfId="899"/>
    <tableColumn id="4" xr3:uid="{00000000-0010-0000-2000-000004000000}" name="Solid storage" dataDxfId="898"/>
    <tableColumn id="5" xr3:uid="{00000000-0010-0000-2000-000005000000}" name="Dry lot" dataDxfId="897"/>
    <tableColumn id="6" xr3:uid="{00000000-0010-0000-2000-000006000000}" name="Pasture/Range/Paddock" dataDxfId="896"/>
    <tableColumn id="7" xr3:uid="{00000000-0010-0000-2000-000007000000}" name="Daily spread" dataDxfId="895"/>
    <tableColumn id="8" xr3:uid="{00000000-0010-0000-2000-000008000000}" name="Digester" dataDxfId="894"/>
    <tableColumn id="9" xr3:uid="{00000000-0010-0000-2000-000009000000}" name="Burned for fuel" dataDxfId="893"/>
    <tableColumn id="10" xr3:uid="{00000000-0010-0000-2000-00000A000000}" name="Pit&lt;1Month" dataDxfId="892"/>
    <tableColumn id="11" xr3:uid="{00000000-0010-0000-2000-00000B000000}" name="Pit&gt;1 month" dataDxfId="891"/>
    <tableColumn id="12" xr3:uid="{00000000-0010-0000-2000-00000C000000}" name="Poultry manure" dataDxfId="890"/>
    <tableColumn id="13" xr3:uid="{00000000-0010-0000-2000-00000D000000}" name="Deep bedding" dataDxfId="889"/>
    <tableColumn id="14" xr3:uid="{00000000-0010-0000-2000-00000E000000}" name="Composting" dataDxfId="888"/>
    <tableColumn id="15" xr3:uid="{00000000-0010-0000-2000-00000F000000}" name="Aerobic treatment" dataDxfId="887"/>
  </tableColumns>
  <tableStyleInfo name="TableStyleLight1" showFirstColumn="0" showLastColumn="0" showRowStripes="1" showColumnStripes="0"/>
</table>
</file>

<file path=xl/tables/table2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2" xr:uid="{00000000-000C-0000-FFFF-FFFF21000000}" name="CH4_man_Swine_HP" displayName="CH4_man_Swine_HP" ref="A2776:O2787" totalsRowShown="0" headerRowDxfId="886" dataDxfId="885" tableBorderDxfId="884">
  <autoFilter ref="A2776:O2787" xr:uid="{00000000-0009-0000-0100-00002A000000}"/>
  <tableColumns count="15">
    <tableColumn id="1" xr3:uid="{00000000-0010-0000-2100-000001000000}" name="Please select" dataDxfId="883" dataCellStyle="Normal 2 2"/>
    <tableColumn id="2" xr3:uid="{00000000-0010-0000-2100-000002000000}" name="Lagoon" dataDxfId="882"/>
    <tableColumn id="3" xr3:uid="{00000000-0010-0000-2100-000003000000}" name="Liquid/slurry" dataDxfId="881"/>
    <tableColumn id="4" xr3:uid="{00000000-0010-0000-2100-000004000000}" name="Solid storage" dataDxfId="880"/>
    <tableColumn id="5" xr3:uid="{00000000-0010-0000-2100-000005000000}" name="Dry lot" dataDxfId="879"/>
    <tableColumn id="6" xr3:uid="{00000000-0010-0000-2100-000006000000}" name="Pasture/Range/Paddock" dataDxfId="878"/>
    <tableColumn id="7" xr3:uid="{00000000-0010-0000-2100-000007000000}" name="Daily spread" dataDxfId="877"/>
    <tableColumn id="8" xr3:uid="{00000000-0010-0000-2100-000008000000}" name="Digester" dataDxfId="876"/>
    <tableColumn id="9" xr3:uid="{00000000-0010-0000-2100-000009000000}" name="Burned for fuel" dataDxfId="875"/>
    <tableColumn id="10" xr3:uid="{00000000-0010-0000-2100-00000A000000}" name="Pit&lt;1Month" dataDxfId="874"/>
    <tableColumn id="11" xr3:uid="{00000000-0010-0000-2100-00000B000000}" name="Pit&gt;1 month" dataDxfId="873"/>
    <tableColumn id="12" xr3:uid="{00000000-0010-0000-2100-00000C000000}" name="Poultry manure" dataDxfId="872"/>
    <tableColumn id="13" xr3:uid="{00000000-0010-0000-2100-00000D000000}" name="Deep bedding" dataDxfId="871"/>
    <tableColumn id="14" xr3:uid="{00000000-0010-0000-2100-00000E000000}" name="Composting" dataDxfId="870"/>
    <tableColumn id="15" xr3:uid="{00000000-0010-0000-2100-00000F000000}" name="Aerobic treatment" dataDxfId="869"/>
  </tableColumns>
  <tableStyleInfo name="TableStyleLight1" showFirstColumn="0" showLastColumn="0" showRowStripes="1" showColumnStripes="0"/>
</table>
</file>

<file path=xl/tables/table3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3" xr:uid="{00000000-000C-0000-FFFF-FFFF22000000}" name="CH4_man_Swine_LP" displayName="CH4_man_Swine_LP" ref="A2793:O2804" totalsRowShown="0" headerRowDxfId="868" dataDxfId="867" tableBorderDxfId="866">
  <autoFilter ref="A2793:O2804" xr:uid="{00000000-0009-0000-0100-00002B000000}"/>
  <tableColumns count="15">
    <tableColumn id="1" xr3:uid="{00000000-0010-0000-2200-000001000000}" name="Please select" dataDxfId="865" dataCellStyle="Normal 2 2"/>
    <tableColumn id="2" xr3:uid="{00000000-0010-0000-2200-000002000000}" name="Lagoon" dataDxfId="864"/>
    <tableColumn id="3" xr3:uid="{00000000-0010-0000-2200-000003000000}" name="Liquid/slurry" dataDxfId="863"/>
    <tableColumn id="4" xr3:uid="{00000000-0010-0000-2200-000004000000}" name="Solid storage" dataDxfId="862"/>
    <tableColumn id="5" xr3:uid="{00000000-0010-0000-2200-000005000000}" name="Dry lot" dataDxfId="861"/>
    <tableColumn id="6" xr3:uid="{00000000-0010-0000-2200-000006000000}" name="Pasture/Range/Paddock" dataDxfId="860"/>
    <tableColumn id="7" xr3:uid="{00000000-0010-0000-2200-000007000000}" name="Daily spread" dataDxfId="859"/>
    <tableColumn id="8" xr3:uid="{00000000-0010-0000-2200-000008000000}" name="Digester" dataDxfId="858"/>
    <tableColumn id="9" xr3:uid="{00000000-0010-0000-2200-000009000000}" name="Burned for fuel" dataDxfId="857"/>
    <tableColumn id="10" xr3:uid="{00000000-0010-0000-2200-00000A000000}" name="Pit&lt;1Month" dataDxfId="856"/>
    <tableColumn id="11" xr3:uid="{00000000-0010-0000-2200-00000B000000}" name="Pit&gt;1 month" dataDxfId="855"/>
    <tableColumn id="12" xr3:uid="{00000000-0010-0000-2200-00000C000000}" name="Poultry manure" dataDxfId="854"/>
    <tableColumn id="13" xr3:uid="{00000000-0010-0000-2200-00000D000000}" name="Deep bedding" dataDxfId="853"/>
    <tableColumn id="14" xr3:uid="{00000000-0010-0000-2200-00000E000000}" name="Composting" dataDxfId="852"/>
    <tableColumn id="15" xr3:uid="{00000000-0010-0000-2200-00000F000000}" name="Aerobic treatment" dataDxfId="851"/>
  </tableColumns>
  <tableStyleInfo name="TableStyleLight1" showFirstColumn="0" showLastColumn="0" showRowStripes="1" showColumnStripes="0"/>
</table>
</file>

<file path=xl/tables/table3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4" xr:uid="{00000000-000C-0000-FFFF-FFFF23000000}" name="CH4_man_Poultry_HP" displayName="CH4_man_Poultry_HP" ref="A2810:O2821" totalsRowShown="0" headerRowDxfId="850" dataDxfId="849" tableBorderDxfId="848">
  <autoFilter ref="A2810:O2821" xr:uid="{00000000-0009-0000-0100-00002C000000}"/>
  <tableColumns count="15">
    <tableColumn id="1" xr3:uid="{00000000-0010-0000-2300-000001000000}" name="Please select" dataDxfId="847" dataCellStyle="Normal 2 2"/>
    <tableColumn id="2" xr3:uid="{00000000-0010-0000-2300-000002000000}" name="Lagoon" dataDxfId="846"/>
    <tableColumn id="3" xr3:uid="{00000000-0010-0000-2300-000003000000}" name="Liquid/slurry" dataDxfId="845"/>
    <tableColumn id="4" xr3:uid="{00000000-0010-0000-2300-000004000000}" name="Solid storage" dataDxfId="844"/>
    <tableColumn id="5" xr3:uid="{00000000-0010-0000-2300-000005000000}" name="Dry lot" dataDxfId="843"/>
    <tableColumn id="6" xr3:uid="{00000000-0010-0000-2300-000006000000}" name="Pasture/Range/Paddock" dataDxfId="842"/>
    <tableColumn id="7" xr3:uid="{00000000-0010-0000-2300-000007000000}" name="Daily spread" dataDxfId="841"/>
    <tableColumn id="8" xr3:uid="{00000000-0010-0000-2300-000008000000}" name="Digester" dataDxfId="840"/>
    <tableColumn id="9" xr3:uid="{00000000-0010-0000-2300-000009000000}" name="Burned for fuel" dataDxfId="839"/>
    <tableColumn id="10" xr3:uid="{00000000-0010-0000-2300-00000A000000}" name="Pit&lt;1Month" dataDxfId="838"/>
    <tableColumn id="11" xr3:uid="{00000000-0010-0000-2300-00000B000000}" name="Pit&gt;1 month" dataDxfId="837"/>
    <tableColumn id="12" xr3:uid="{00000000-0010-0000-2300-00000C000000}" name="Poultry manure" dataDxfId="836"/>
    <tableColumn id="13" xr3:uid="{00000000-0010-0000-2300-00000D000000}" name="Deep bedding" dataDxfId="835"/>
    <tableColumn id="14" xr3:uid="{00000000-0010-0000-2300-00000E000000}" name="Composting" dataDxfId="834"/>
    <tableColumn id="15" xr3:uid="{00000000-0010-0000-2300-00000F000000}" name="Aerobic treatment" dataDxfId="833"/>
  </tableColumns>
  <tableStyleInfo name="TableStyleLight1" showFirstColumn="0" showLastColumn="0" showRowStripes="1" showColumnStripes="0"/>
</table>
</file>

<file path=xl/tables/table3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5" xr:uid="{00000000-000C-0000-FFFF-FFFF24000000}" name="CH4_man_Poultry_LP" displayName="CH4_man_Poultry_LP" ref="A2827:O2838" totalsRowShown="0" headerRowDxfId="832" dataDxfId="831" tableBorderDxfId="830">
  <autoFilter ref="A2827:O2838" xr:uid="{00000000-0009-0000-0100-00002D000000}"/>
  <tableColumns count="15">
    <tableColumn id="1" xr3:uid="{00000000-0010-0000-2400-000001000000}" name="Please select" dataDxfId="829" dataCellStyle="Normal 2 2"/>
    <tableColumn id="2" xr3:uid="{00000000-0010-0000-2400-000002000000}" name="Lagoon" dataDxfId="828"/>
    <tableColumn id="3" xr3:uid="{00000000-0010-0000-2400-000003000000}" name="Liquid/slurry" dataDxfId="827"/>
    <tableColumn id="4" xr3:uid="{00000000-0010-0000-2400-000004000000}" name="Solid storage" dataDxfId="826"/>
    <tableColumn id="5" xr3:uid="{00000000-0010-0000-2400-000005000000}" name="Dry lot" dataDxfId="825"/>
    <tableColumn id="6" xr3:uid="{00000000-0010-0000-2400-000006000000}" name="Pasture/Range/Paddock" dataDxfId="824"/>
    <tableColumn id="7" xr3:uid="{00000000-0010-0000-2400-000007000000}" name="Daily spread" dataDxfId="823"/>
    <tableColumn id="8" xr3:uid="{00000000-0010-0000-2400-000008000000}" name="Digester" dataDxfId="822"/>
    <tableColumn id="9" xr3:uid="{00000000-0010-0000-2400-000009000000}" name="Burned for fuel" dataDxfId="821"/>
    <tableColumn id="10" xr3:uid="{00000000-0010-0000-2400-00000A000000}" name="Pit&lt;1Month" dataDxfId="820"/>
    <tableColumn id="11" xr3:uid="{00000000-0010-0000-2400-00000B000000}" name="Pit&gt;1 month" dataDxfId="819"/>
    <tableColumn id="12" xr3:uid="{00000000-0010-0000-2400-00000C000000}" name="Poultry manure" dataDxfId="818"/>
    <tableColumn id="13" xr3:uid="{00000000-0010-0000-2400-00000D000000}" name="Deep bedding" dataDxfId="817"/>
    <tableColumn id="14" xr3:uid="{00000000-0010-0000-2400-00000E000000}" name="Composting" dataDxfId="816"/>
    <tableColumn id="15" xr3:uid="{00000000-0010-0000-2400-00000F000000}" name="Aerobic treatment" dataDxfId="815"/>
  </tableColumns>
  <tableStyleInfo name="TableStyleLight1" showFirstColumn="0" showLastColumn="0" showRowStripes="1" showColumnStripes="0"/>
</table>
</file>

<file path=xl/tables/table3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6" xr:uid="{00000000-000C-0000-FFFF-FFFF25000000}" name="CH4_man_Sheep_HP" displayName="CH4_man_Sheep_HP" ref="A2844:O2855" totalsRowShown="0" headerRowDxfId="814" dataDxfId="813" tableBorderDxfId="812">
  <autoFilter ref="A2844:O2855" xr:uid="{00000000-0009-0000-0100-00002E000000}"/>
  <tableColumns count="15">
    <tableColumn id="1" xr3:uid="{00000000-0010-0000-2500-000001000000}" name="Please select" dataDxfId="811" dataCellStyle="Normal 2 2"/>
    <tableColumn id="2" xr3:uid="{00000000-0010-0000-2500-000002000000}" name="Lagoon" dataDxfId="810"/>
    <tableColumn id="3" xr3:uid="{00000000-0010-0000-2500-000003000000}" name="Liquid/slurry" dataDxfId="809"/>
    <tableColumn id="4" xr3:uid="{00000000-0010-0000-2500-000004000000}" name="Solid storage" dataDxfId="808"/>
    <tableColumn id="5" xr3:uid="{00000000-0010-0000-2500-000005000000}" name="Dry lot" dataDxfId="807"/>
    <tableColumn id="6" xr3:uid="{00000000-0010-0000-2500-000006000000}" name="Pasture/Range/Paddock" dataDxfId="806"/>
    <tableColumn id="7" xr3:uid="{00000000-0010-0000-2500-000007000000}" name="Daily spread" dataDxfId="805"/>
    <tableColumn id="8" xr3:uid="{00000000-0010-0000-2500-000008000000}" name="Digester" dataDxfId="804"/>
    <tableColumn id="9" xr3:uid="{00000000-0010-0000-2500-000009000000}" name="Burned for fuel" dataDxfId="803"/>
    <tableColumn id="10" xr3:uid="{00000000-0010-0000-2500-00000A000000}" name="Pit&lt;1Month" dataDxfId="802"/>
    <tableColumn id="11" xr3:uid="{00000000-0010-0000-2500-00000B000000}" name="Pit&gt;1 month" dataDxfId="801"/>
    <tableColumn id="12" xr3:uid="{00000000-0010-0000-2500-00000C000000}" name="Poultry manure" dataDxfId="800"/>
    <tableColumn id="13" xr3:uid="{00000000-0010-0000-2500-00000D000000}" name="Deep bedding" dataDxfId="799"/>
    <tableColumn id="14" xr3:uid="{00000000-0010-0000-2500-00000E000000}" name="Composting" dataDxfId="798"/>
    <tableColumn id="15" xr3:uid="{00000000-0010-0000-2500-00000F000000}" name="Aerobic treatment" dataDxfId="797"/>
  </tableColumns>
  <tableStyleInfo name="TableStyleLight1" showFirstColumn="0" showLastColumn="0" showRowStripes="1" showColumnStripes="0"/>
</table>
</file>

<file path=xl/tables/table3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7" xr:uid="{00000000-000C-0000-FFFF-FFFF26000000}" name="CH4_man_Sheep_LP" displayName="CH4_man_Sheep_LP" ref="A2861:O2872" totalsRowShown="0" headerRowDxfId="796" dataDxfId="795" tableBorderDxfId="794">
  <autoFilter ref="A2861:O2872" xr:uid="{00000000-0009-0000-0100-00002F000000}"/>
  <tableColumns count="15">
    <tableColumn id="1" xr3:uid="{00000000-0010-0000-2600-000001000000}" name="Please select" dataDxfId="793" dataCellStyle="Normal 2 2"/>
    <tableColumn id="2" xr3:uid="{00000000-0010-0000-2600-000002000000}" name="Lagoon" dataDxfId="792"/>
    <tableColumn id="3" xr3:uid="{00000000-0010-0000-2600-000003000000}" name="Liquid/slurry" dataDxfId="791"/>
    <tableColumn id="4" xr3:uid="{00000000-0010-0000-2600-000004000000}" name="Solid storage" dataDxfId="790"/>
    <tableColumn id="5" xr3:uid="{00000000-0010-0000-2600-000005000000}" name="Dry lot" dataDxfId="789"/>
    <tableColumn id="6" xr3:uid="{00000000-0010-0000-2600-000006000000}" name="Pasture/Range/Paddock" dataDxfId="788"/>
    <tableColumn id="7" xr3:uid="{00000000-0010-0000-2600-000007000000}" name="Daily spread" dataDxfId="787"/>
    <tableColumn id="8" xr3:uid="{00000000-0010-0000-2600-000008000000}" name="Digester" dataDxfId="786"/>
    <tableColumn id="9" xr3:uid="{00000000-0010-0000-2600-000009000000}" name="Burned for fuel" dataDxfId="785"/>
    <tableColumn id="10" xr3:uid="{00000000-0010-0000-2600-00000A000000}" name="Pit&lt;1Month" dataDxfId="784"/>
    <tableColumn id="11" xr3:uid="{00000000-0010-0000-2600-00000B000000}" name="Pit&gt;1 month" dataDxfId="783"/>
    <tableColumn id="12" xr3:uid="{00000000-0010-0000-2600-00000C000000}" name="Poultry manure" dataDxfId="782"/>
    <tableColumn id="13" xr3:uid="{00000000-0010-0000-2600-00000D000000}" name="Deep bedding" dataDxfId="781"/>
    <tableColumn id="14" xr3:uid="{00000000-0010-0000-2600-00000E000000}" name="Composting" dataDxfId="780"/>
    <tableColumn id="15" xr3:uid="{00000000-0010-0000-2600-00000F000000}" name="Aerobic treatment" dataDxfId="779"/>
  </tableColumns>
  <tableStyleInfo name="TableStyleLight1" showFirstColumn="0" showLastColumn="0" showRowStripes="1" showColumnStripes="0"/>
</table>
</file>

<file path=xl/tables/table3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8" xr:uid="{00000000-000C-0000-FFFF-FFFF27000000}" name="CH4_man_Goat_HP" displayName="CH4_man_Goat_HP" ref="A2878:O2889" totalsRowShown="0" headerRowDxfId="778" dataDxfId="777" tableBorderDxfId="776">
  <autoFilter ref="A2878:O2889" xr:uid="{00000000-0009-0000-0100-000030000000}"/>
  <tableColumns count="15">
    <tableColumn id="1" xr3:uid="{00000000-0010-0000-2700-000001000000}" name="Please select" dataDxfId="775" dataCellStyle="Normal 2 2"/>
    <tableColumn id="2" xr3:uid="{00000000-0010-0000-2700-000002000000}" name="Lagoon" dataDxfId="774"/>
    <tableColumn id="3" xr3:uid="{00000000-0010-0000-2700-000003000000}" name="Liquid/slurry" dataDxfId="773"/>
    <tableColumn id="4" xr3:uid="{00000000-0010-0000-2700-000004000000}" name="Solid storage" dataDxfId="772"/>
    <tableColumn id="5" xr3:uid="{00000000-0010-0000-2700-000005000000}" name="Dry lot" dataDxfId="771"/>
    <tableColumn id="6" xr3:uid="{00000000-0010-0000-2700-000006000000}" name="Pasture/Range/Paddock" dataDxfId="770"/>
    <tableColumn id="7" xr3:uid="{00000000-0010-0000-2700-000007000000}" name="Daily spread" dataDxfId="769"/>
    <tableColumn id="8" xr3:uid="{00000000-0010-0000-2700-000008000000}" name="Digester" dataDxfId="768"/>
    <tableColumn id="9" xr3:uid="{00000000-0010-0000-2700-000009000000}" name="Burned for fuel" dataDxfId="767"/>
    <tableColumn id="10" xr3:uid="{00000000-0010-0000-2700-00000A000000}" name="Pit&lt;1Month" dataDxfId="766"/>
    <tableColumn id="11" xr3:uid="{00000000-0010-0000-2700-00000B000000}" name="Pit&gt;1 month" dataDxfId="765"/>
    <tableColumn id="12" xr3:uid="{00000000-0010-0000-2700-00000C000000}" name="Poultry manure" dataDxfId="764"/>
    <tableColumn id="13" xr3:uid="{00000000-0010-0000-2700-00000D000000}" name="Deep bedding" dataDxfId="763"/>
    <tableColumn id="14" xr3:uid="{00000000-0010-0000-2700-00000E000000}" name="Composting" dataDxfId="762"/>
    <tableColumn id="15" xr3:uid="{00000000-0010-0000-2700-00000F000000}" name="Aerobic treatment" dataDxfId="761"/>
  </tableColumns>
  <tableStyleInfo name="TableStyleLight1" showFirstColumn="0" showLastColumn="0" showRowStripes="1" showColumnStripes="0"/>
</table>
</file>

<file path=xl/tables/table3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9" xr:uid="{00000000-000C-0000-FFFF-FFFF28000000}" name="CH4_man_Goat_LP" displayName="CH4_man_Goat_LP" ref="A2895:O2906" totalsRowShown="0" headerRowDxfId="760" dataDxfId="759" tableBorderDxfId="758">
  <autoFilter ref="A2895:O2906" xr:uid="{00000000-0009-0000-0100-000031000000}"/>
  <tableColumns count="15">
    <tableColumn id="1" xr3:uid="{00000000-0010-0000-2800-000001000000}" name="Please select" dataDxfId="757" dataCellStyle="Normal 2 2"/>
    <tableColumn id="2" xr3:uid="{00000000-0010-0000-2800-000002000000}" name="Lagoon" dataDxfId="756"/>
    <tableColumn id="3" xr3:uid="{00000000-0010-0000-2800-000003000000}" name="Liquid/slurry" dataDxfId="755"/>
    <tableColumn id="4" xr3:uid="{00000000-0010-0000-2800-000004000000}" name="Solid storage" dataDxfId="754"/>
    <tableColumn id="5" xr3:uid="{00000000-0010-0000-2800-000005000000}" name="Dry lot" dataDxfId="753"/>
    <tableColumn id="6" xr3:uid="{00000000-0010-0000-2800-000006000000}" name="Pasture/Range/Paddock" dataDxfId="752"/>
    <tableColumn id="7" xr3:uid="{00000000-0010-0000-2800-000007000000}" name="Daily spread" dataDxfId="751"/>
    <tableColumn id="8" xr3:uid="{00000000-0010-0000-2800-000008000000}" name="Digester" dataDxfId="750"/>
    <tableColumn id="9" xr3:uid="{00000000-0010-0000-2800-000009000000}" name="Burned for fuel" dataDxfId="749"/>
    <tableColumn id="10" xr3:uid="{00000000-0010-0000-2800-00000A000000}" name="Pit&lt;1Month" dataDxfId="748"/>
    <tableColumn id="11" xr3:uid="{00000000-0010-0000-2800-00000B000000}" name="Pit&gt;1 month" dataDxfId="747"/>
    <tableColumn id="12" xr3:uid="{00000000-0010-0000-2800-00000C000000}" name="Poultry manure" dataDxfId="746"/>
    <tableColumn id="13" xr3:uid="{00000000-0010-0000-2800-00000D000000}" name="Deep bedding" dataDxfId="745"/>
    <tableColumn id="14" xr3:uid="{00000000-0010-0000-2800-00000E000000}" name="Composting" dataDxfId="744"/>
    <tableColumn id="15" xr3:uid="{00000000-0010-0000-2800-00000F000000}" name="Aerobic treatment" dataDxfId="743"/>
  </tableColumns>
  <tableStyleInfo name="TableStyleLight1" showFirstColumn="0" showLastColumn="0" showRowStripes="1" showColumnStripes="0"/>
</table>
</file>

<file path=xl/tables/table3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0" xr:uid="{00000000-000C-0000-FFFF-FFFF29000000}" name="CH4_man_Camel_HP" displayName="CH4_man_Camel_HP" ref="A2912:O2923" totalsRowShown="0" headerRowDxfId="742" dataDxfId="741" tableBorderDxfId="740">
  <autoFilter ref="A2912:O2923" xr:uid="{00000000-0009-0000-0100-000032000000}"/>
  <tableColumns count="15">
    <tableColumn id="1" xr3:uid="{00000000-0010-0000-2900-000001000000}" name="Please select" dataDxfId="739" dataCellStyle="Normal 2 2"/>
    <tableColumn id="2" xr3:uid="{00000000-0010-0000-2900-000002000000}" name="Lagoon" dataDxfId="738"/>
    <tableColumn id="3" xr3:uid="{00000000-0010-0000-2900-000003000000}" name="Liquid/slurry" dataDxfId="737"/>
    <tableColumn id="4" xr3:uid="{00000000-0010-0000-2900-000004000000}" name="Solid storage" dataDxfId="736"/>
    <tableColumn id="5" xr3:uid="{00000000-0010-0000-2900-000005000000}" name="Dry lot" dataDxfId="735"/>
    <tableColumn id="6" xr3:uid="{00000000-0010-0000-2900-000006000000}" name="Pasture/Range/Paddock" dataDxfId="734"/>
    <tableColumn id="7" xr3:uid="{00000000-0010-0000-2900-000007000000}" name="Daily spread" dataDxfId="733"/>
    <tableColumn id="8" xr3:uid="{00000000-0010-0000-2900-000008000000}" name="Digester" dataDxfId="732"/>
    <tableColumn id="9" xr3:uid="{00000000-0010-0000-2900-000009000000}" name="Burned for fuel" dataDxfId="731"/>
    <tableColumn id="10" xr3:uid="{00000000-0010-0000-2900-00000A000000}" name="Pit&lt;1Month" dataDxfId="730"/>
    <tableColumn id="11" xr3:uid="{00000000-0010-0000-2900-00000B000000}" name="Pit&gt;1 month" dataDxfId="729"/>
    <tableColumn id="12" xr3:uid="{00000000-0010-0000-2900-00000C000000}" name="Poultry manure" dataDxfId="728"/>
    <tableColumn id="13" xr3:uid="{00000000-0010-0000-2900-00000D000000}" name="Deep bedding" dataDxfId="727"/>
    <tableColumn id="14" xr3:uid="{00000000-0010-0000-2900-00000E000000}" name="Composting" dataDxfId="726"/>
    <tableColumn id="15" xr3:uid="{00000000-0010-0000-2900-00000F000000}" name="Aerobic treatment" dataDxfId="725"/>
  </tableColumns>
  <tableStyleInfo name="TableStyleLight1" showFirstColumn="0" showLastColumn="0" showRowStripes="1" showColumnStripes="0"/>
</table>
</file>

<file path=xl/tables/table3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1" xr:uid="{00000000-000C-0000-FFFF-FFFF2A000000}" name="CH4_man_Camel_LP" displayName="CH4_man_Camel_LP" ref="A2929:O2940" totalsRowShown="0" headerRowDxfId="724" dataDxfId="723" tableBorderDxfId="722">
  <autoFilter ref="A2929:O2940" xr:uid="{00000000-0009-0000-0100-000033000000}"/>
  <tableColumns count="15">
    <tableColumn id="1" xr3:uid="{00000000-0010-0000-2A00-000001000000}" name="Please select" dataDxfId="721" dataCellStyle="Normal 2 2"/>
    <tableColumn id="2" xr3:uid="{00000000-0010-0000-2A00-000002000000}" name="Lagoon" dataDxfId="720"/>
    <tableColumn id="3" xr3:uid="{00000000-0010-0000-2A00-000003000000}" name="Liquid/slurry" dataDxfId="719"/>
    <tableColumn id="4" xr3:uid="{00000000-0010-0000-2A00-000004000000}" name="Solid storage" dataDxfId="718"/>
    <tableColumn id="5" xr3:uid="{00000000-0010-0000-2A00-000005000000}" name="Dry lot" dataDxfId="717"/>
    <tableColumn id="6" xr3:uid="{00000000-0010-0000-2A00-000006000000}" name="Pasture/Range/Paddock" dataDxfId="716"/>
    <tableColumn id="7" xr3:uid="{00000000-0010-0000-2A00-000007000000}" name="Daily spread" dataDxfId="715"/>
    <tableColumn id="8" xr3:uid="{00000000-0010-0000-2A00-000008000000}" name="Digester" dataDxfId="714"/>
    <tableColumn id="9" xr3:uid="{00000000-0010-0000-2A00-000009000000}" name="Burned for fuel" dataDxfId="713"/>
    <tableColumn id="10" xr3:uid="{00000000-0010-0000-2A00-00000A000000}" name="Pit&lt;1Month" dataDxfId="712"/>
    <tableColumn id="11" xr3:uid="{00000000-0010-0000-2A00-00000B000000}" name="Pit&gt;1 month" dataDxfId="711"/>
    <tableColumn id="12" xr3:uid="{00000000-0010-0000-2A00-00000C000000}" name="Poultry manure" dataDxfId="710"/>
    <tableColumn id="13" xr3:uid="{00000000-0010-0000-2A00-00000D000000}" name="Deep bedding" dataDxfId="709"/>
    <tableColumn id="14" xr3:uid="{00000000-0010-0000-2A00-00000E000000}" name="Composting" dataDxfId="708"/>
    <tableColumn id="15" xr3:uid="{00000000-0010-0000-2A00-00000F000000}" name="Aerobic treatment" dataDxfId="707"/>
  </tableColumns>
  <tableStyleInfo name="TableStyleLight1" showFirstColumn="0" showLastColumn="0" showRowStripes="1" showColumnStripes="0"/>
</table>
</file>

<file path=xl/tables/table3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2" xr:uid="{00000000-000C-0000-FFFF-FFFF2B000000}" name="CH4_man_Horse_HP" displayName="CH4_man_Horse_HP" ref="A2946:O2957" totalsRowShown="0" headerRowDxfId="706" dataDxfId="705" tableBorderDxfId="704">
  <autoFilter ref="A2946:O2957" xr:uid="{00000000-0009-0000-0100-000034000000}"/>
  <tableColumns count="15">
    <tableColumn id="1" xr3:uid="{00000000-0010-0000-2B00-000001000000}" name="Please select" dataDxfId="703" dataCellStyle="Normal 2 2"/>
    <tableColumn id="2" xr3:uid="{00000000-0010-0000-2B00-000002000000}" name="Lagoon" dataDxfId="702"/>
    <tableColumn id="3" xr3:uid="{00000000-0010-0000-2B00-000003000000}" name="Liquid/slurry" dataDxfId="701"/>
    <tableColumn id="4" xr3:uid="{00000000-0010-0000-2B00-000004000000}" name="Solid storage" dataDxfId="700"/>
    <tableColumn id="5" xr3:uid="{00000000-0010-0000-2B00-000005000000}" name="Dry lot" dataDxfId="699"/>
    <tableColumn id="6" xr3:uid="{00000000-0010-0000-2B00-000006000000}" name="Pasture/Range/Paddock" dataDxfId="698"/>
    <tableColumn id="7" xr3:uid="{00000000-0010-0000-2B00-000007000000}" name="Daily spread" dataDxfId="697"/>
    <tableColumn id="8" xr3:uid="{00000000-0010-0000-2B00-000008000000}" name="Digester" dataDxfId="696"/>
    <tableColumn id="9" xr3:uid="{00000000-0010-0000-2B00-000009000000}" name="Burned for fuel" dataDxfId="695"/>
    <tableColumn id="10" xr3:uid="{00000000-0010-0000-2B00-00000A000000}" name="Pit&lt;1Month" dataDxfId="694"/>
    <tableColumn id="11" xr3:uid="{00000000-0010-0000-2B00-00000B000000}" name="Pit&gt;1 month" dataDxfId="693"/>
    <tableColumn id="12" xr3:uid="{00000000-0010-0000-2B00-00000C000000}" name="Poultry manure" dataDxfId="692"/>
    <tableColumn id="13" xr3:uid="{00000000-0010-0000-2B00-00000D000000}" name="Deep bedding" dataDxfId="691"/>
    <tableColumn id="14" xr3:uid="{00000000-0010-0000-2B00-00000E000000}" name="Composting" dataDxfId="690"/>
    <tableColumn id="15" xr3:uid="{00000000-0010-0000-2B00-00000F000000}" name="Aerobic treatment" dataDxfId="689"/>
  </tableColumns>
  <tableStyleInfo name="TableStyleLight1" showFirstColumn="0" showLastColumn="0" showRowStripes="1" showColumnStripes="0"/>
</table>
</file>

<file path=xl/tables/table4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3" xr:uid="{00000000-000C-0000-FFFF-FFFF2C000000}" name="CH4_man_Horse_LP" displayName="CH4_man_Horse_LP" ref="A2963:O2974" totalsRowShown="0" headerRowDxfId="688" dataDxfId="687" tableBorderDxfId="686">
  <autoFilter ref="A2963:O2974" xr:uid="{00000000-0009-0000-0100-000035000000}"/>
  <tableColumns count="15">
    <tableColumn id="1" xr3:uid="{00000000-0010-0000-2C00-000001000000}" name="Please select" dataDxfId="685" dataCellStyle="Normal 2 2"/>
    <tableColumn id="2" xr3:uid="{00000000-0010-0000-2C00-000002000000}" name="Lagoon" dataDxfId="684"/>
    <tableColumn id="3" xr3:uid="{00000000-0010-0000-2C00-000003000000}" name="Liquid/slurry" dataDxfId="683"/>
    <tableColumn id="4" xr3:uid="{00000000-0010-0000-2C00-000004000000}" name="Solid storage" dataDxfId="682"/>
    <tableColumn id="5" xr3:uid="{00000000-0010-0000-2C00-000005000000}" name="Dry lot" dataDxfId="681"/>
    <tableColumn id="6" xr3:uid="{00000000-0010-0000-2C00-000006000000}" name="Pasture/Range/Paddock" dataDxfId="680"/>
    <tableColumn id="7" xr3:uid="{00000000-0010-0000-2C00-000007000000}" name="Daily spread" dataDxfId="679"/>
    <tableColumn id="8" xr3:uid="{00000000-0010-0000-2C00-000008000000}" name="Digester" dataDxfId="678"/>
    <tableColumn id="9" xr3:uid="{00000000-0010-0000-2C00-000009000000}" name="Burned for fuel" dataDxfId="677"/>
    <tableColumn id="10" xr3:uid="{00000000-0010-0000-2C00-00000A000000}" name="Pit&lt;1Month" dataDxfId="676"/>
    <tableColumn id="11" xr3:uid="{00000000-0010-0000-2C00-00000B000000}" name="Pit&gt;1 month" dataDxfId="675"/>
    <tableColumn id="12" xr3:uid="{00000000-0010-0000-2C00-00000C000000}" name="Poultry manure" dataDxfId="674"/>
    <tableColumn id="13" xr3:uid="{00000000-0010-0000-2C00-00000D000000}" name="Deep bedding" dataDxfId="673"/>
    <tableColumn id="14" xr3:uid="{00000000-0010-0000-2C00-00000E000000}" name="Composting" dataDxfId="672"/>
    <tableColumn id="15" xr3:uid="{00000000-0010-0000-2C00-00000F000000}" name="Aerobic treatment" dataDxfId="671"/>
  </tableColumns>
  <tableStyleInfo name="TableStyleLight1" showFirstColumn="0" showLastColumn="0" showRowStripes="1" showColumnStripes="0"/>
</table>
</file>

<file path=xl/tables/table4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4" xr:uid="{00000000-000C-0000-FFFF-FFFF2D000000}" name="CH4_man_Mule_HP" displayName="CH4_man_Mule_HP" ref="A2980:O2991" totalsRowShown="0" headerRowDxfId="670" dataDxfId="669" tableBorderDxfId="668">
  <autoFilter ref="A2980:O2991" xr:uid="{00000000-0009-0000-0100-000036000000}"/>
  <tableColumns count="15">
    <tableColumn id="1" xr3:uid="{00000000-0010-0000-2D00-000001000000}" name="Please select" dataDxfId="667" dataCellStyle="Normal 2 2"/>
    <tableColumn id="2" xr3:uid="{00000000-0010-0000-2D00-000002000000}" name="Lagoon" dataDxfId="666"/>
    <tableColumn id="3" xr3:uid="{00000000-0010-0000-2D00-000003000000}" name="Liquid/slurry" dataDxfId="665"/>
    <tableColumn id="4" xr3:uid="{00000000-0010-0000-2D00-000004000000}" name="Solid storage" dataDxfId="664"/>
    <tableColumn id="5" xr3:uid="{00000000-0010-0000-2D00-000005000000}" name="Dry lot" dataDxfId="663"/>
    <tableColumn id="6" xr3:uid="{00000000-0010-0000-2D00-000006000000}" name="Pasture/Range/Paddock" dataDxfId="662"/>
    <tableColumn id="7" xr3:uid="{00000000-0010-0000-2D00-000007000000}" name="Daily spread" dataDxfId="661"/>
    <tableColumn id="8" xr3:uid="{00000000-0010-0000-2D00-000008000000}" name="Digester" dataDxfId="660"/>
    <tableColumn id="9" xr3:uid="{00000000-0010-0000-2D00-000009000000}" name="Burned for fuel" dataDxfId="659"/>
    <tableColumn id="10" xr3:uid="{00000000-0010-0000-2D00-00000A000000}" name="Pit&lt;1Month" dataDxfId="658"/>
    <tableColumn id="11" xr3:uid="{00000000-0010-0000-2D00-00000B000000}" name="Pit&gt;1 month" dataDxfId="657"/>
    <tableColumn id="12" xr3:uid="{00000000-0010-0000-2D00-00000C000000}" name="Poultry manure" dataDxfId="656"/>
    <tableColumn id="13" xr3:uid="{00000000-0010-0000-2D00-00000D000000}" name="Deep bedding" dataDxfId="655"/>
    <tableColumn id="14" xr3:uid="{00000000-0010-0000-2D00-00000E000000}" name="Composting" dataDxfId="654"/>
    <tableColumn id="15" xr3:uid="{00000000-0010-0000-2D00-00000F000000}" name="Aerobic treatment" dataDxfId="653"/>
  </tableColumns>
  <tableStyleInfo name="TableStyleLight1" showFirstColumn="0" showLastColumn="0" showRowStripes="1" showColumnStripes="0"/>
</table>
</file>

<file path=xl/tables/table4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5" xr:uid="{00000000-000C-0000-FFFF-FFFF2E000000}" name="CH4_man_Mule_LP" displayName="CH4_man_Mule_LP" ref="A2997:O3008" totalsRowShown="0" headerRowDxfId="652" dataDxfId="651" tableBorderDxfId="650">
  <autoFilter ref="A2997:O3008" xr:uid="{00000000-0009-0000-0100-000037000000}"/>
  <tableColumns count="15">
    <tableColumn id="1" xr3:uid="{00000000-0010-0000-2E00-000001000000}" name="Please select" dataDxfId="649" dataCellStyle="Normal 2 2"/>
    <tableColumn id="2" xr3:uid="{00000000-0010-0000-2E00-000002000000}" name="Lagoon" dataDxfId="648"/>
    <tableColumn id="3" xr3:uid="{00000000-0010-0000-2E00-000003000000}" name="Liquid/slurry" dataDxfId="647"/>
    <tableColumn id="4" xr3:uid="{00000000-0010-0000-2E00-000004000000}" name="Solid storage" dataDxfId="646"/>
    <tableColumn id="5" xr3:uid="{00000000-0010-0000-2E00-000005000000}" name="Dry lot" dataDxfId="645"/>
    <tableColumn id="6" xr3:uid="{00000000-0010-0000-2E00-000006000000}" name="Pasture/Range/Paddock" dataDxfId="644"/>
    <tableColumn id="7" xr3:uid="{00000000-0010-0000-2E00-000007000000}" name="Daily spread" dataDxfId="643"/>
    <tableColumn id="8" xr3:uid="{00000000-0010-0000-2E00-000008000000}" name="Digester" dataDxfId="642"/>
    <tableColumn id="9" xr3:uid="{00000000-0010-0000-2E00-000009000000}" name="Burned for fuel" dataDxfId="641"/>
    <tableColumn id="10" xr3:uid="{00000000-0010-0000-2E00-00000A000000}" name="Pit&lt;1Month" dataDxfId="640"/>
    <tableColumn id="11" xr3:uid="{00000000-0010-0000-2E00-00000B000000}" name="Pit&gt;1 month" dataDxfId="639"/>
    <tableColumn id="12" xr3:uid="{00000000-0010-0000-2E00-00000C000000}" name="Poultry manure" dataDxfId="638"/>
    <tableColumn id="13" xr3:uid="{00000000-0010-0000-2E00-00000D000000}" name="Deep bedding" dataDxfId="637"/>
    <tableColumn id="14" xr3:uid="{00000000-0010-0000-2E00-00000E000000}" name="Composting" dataDxfId="636"/>
    <tableColumn id="15" xr3:uid="{00000000-0010-0000-2E00-00000F000000}" name="Aerobic treatment" dataDxfId="635"/>
  </tableColumns>
  <tableStyleInfo name="TableStyleLight1" showFirstColumn="0" showLastColumn="0" showRowStripes="1" showColumnStripes="0"/>
</table>
</file>

<file path=xl/tables/table4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1" xr:uid="{00000000-000C-0000-FFFF-FFFF2F000000}" name="AWMS_Deer" displayName="AWMS_Deer" ref="A2691:O2702" totalsRowShown="0" headerRowDxfId="634" tableBorderDxfId="633">
  <autoFilter ref="A2691:O2702" xr:uid="{00000000-0009-0000-0100-00003D000000}"/>
  <tableColumns count="15">
    <tableColumn id="1" xr3:uid="{00000000-0010-0000-2F00-000001000000}" name="Please select" dataDxfId="632" dataCellStyle="Normal 2 2"/>
    <tableColumn id="2" xr3:uid="{00000000-0010-0000-2F00-000002000000}" name="Lagoon" dataDxfId="631"/>
    <tableColumn id="3" xr3:uid="{00000000-0010-0000-2F00-000003000000}" name="Liquid/slurry" dataDxfId="630"/>
    <tableColumn id="4" xr3:uid="{00000000-0010-0000-2F00-000004000000}" name="Solid storage" dataDxfId="629"/>
    <tableColumn id="5" xr3:uid="{00000000-0010-0000-2F00-000005000000}" name="Dry lot" dataDxfId="628"/>
    <tableColumn id="6" xr3:uid="{00000000-0010-0000-2F00-000006000000}" name="Pasture/Range/Paddock" dataDxfId="627"/>
    <tableColumn id="7" xr3:uid="{00000000-0010-0000-2F00-000007000000}" name="Daily spread" dataDxfId="626"/>
    <tableColumn id="8" xr3:uid="{00000000-0010-0000-2F00-000008000000}" name="Digester" dataDxfId="625"/>
    <tableColumn id="9" xr3:uid="{00000000-0010-0000-2F00-000009000000}" name="Burned for fuel" dataDxfId="624"/>
    <tableColumn id="10" xr3:uid="{00000000-0010-0000-2F00-00000A000000}" name="Pit&lt;1Month" dataDxfId="623"/>
    <tableColumn id="11" xr3:uid="{00000000-0010-0000-2F00-00000B000000}" name="Pit&gt;1 month" dataDxfId="622"/>
    <tableColumn id="12" xr3:uid="{00000000-0010-0000-2F00-00000C000000}" name="Poultry manure" dataDxfId="621"/>
    <tableColumn id="13" xr3:uid="{00000000-0010-0000-2F00-00000D000000}" name="Deep bedding" dataDxfId="620"/>
    <tableColumn id="14" xr3:uid="{00000000-0010-0000-2F00-00000E000000}" name="Composting" dataDxfId="619"/>
    <tableColumn id="15" xr3:uid="{00000000-0010-0000-2F00-00000F000000}" name="Aerobic treatment" dataDxfId="618"/>
  </tableColumns>
  <tableStyleInfo name="TableStyleLight1" showFirstColumn="0" showLastColumn="0" showRowStripes="1" showColumnStripes="0"/>
</table>
</file>

<file path=xl/tables/table4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7" xr:uid="{00000000-000C-0000-FFFF-FFFF30000000}" name="N_excretion_rate_Default" displayName="N_excretion_rate_Default" ref="A3014:R3025" totalsRowShown="0" headerRowDxfId="617" dataDxfId="615" headerRowBorderDxfId="616" tableBorderDxfId="614">
  <autoFilter ref="A3014:R3025" xr:uid="{00000000-0009-0000-0100-000025000000}"/>
  <tableColumns count="18">
    <tableColumn id="1" xr3:uid="{00000000-0010-0000-3000-000001000000}" name="Please select" dataDxfId="613" dataCellStyle="Normal 2 2"/>
    <tableColumn id="2" xr3:uid="{00000000-0010-0000-3000-000002000000}" name="Dairy Cattle" dataDxfId="612"/>
    <tableColumn id="3" xr3:uid="{00000000-0010-0000-3000-000003000000}" name="Other Cattle" dataDxfId="611"/>
    <tableColumn id="4" xr3:uid="{00000000-0010-0000-3000-000004000000}" name="Dairy Buffalo" dataDxfId="610"/>
    <tableColumn id="5" xr3:uid="{00000000-0010-0000-3000-000005000000}" name="Other Buffalo" dataDxfId="609"/>
    <tableColumn id="6" xr3:uid="{00000000-0010-0000-3000-000006000000}" name="Dairy Sheep" dataDxfId="608"/>
    <tableColumn id="7" xr3:uid="{00000000-0010-0000-3000-000007000000}" name="Other sheep" dataDxfId="607"/>
    <tableColumn id="8" xr3:uid="{00000000-0010-0000-3000-000008000000}" name="Growing Swine" dataDxfId="606"/>
    <tableColumn id="9" xr3:uid="{00000000-0010-0000-3000-000009000000}" name="Breeding Swine" dataDxfId="605"/>
    <tableColumn id="10" xr3:uid="{00000000-0010-0000-3000-00000A000000}" name="Goats" dataDxfId="604"/>
    <tableColumn id="11" xr3:uid="{00000000-0010-0000-3000-00000B000000}" name="Horses" dataDxfId="603"/>
    <tableColumn id="12" xr3:uid="{00000000-0010-0000-3000-00000C000000}" name="Camels" dataDxfId="602"/>
    <tableColumn id="13" xr3:uid="{00000000-0010-0000-3000-00000D000000}" name="Mules and Asses" dataDxfId="601"/>
    <tableColumn id="14" xr3:uid="{00000000-0010-0000-3000-00000E000000}" name="Deer" dataDxfId="600"/>
    <tableColumn id="15" xr3:uid="{00000000-0010-0000-3000-00000F000000}" name="Ostrich" dataDxfId="599"/>
    <tableColumn id="16" xr3:uid="{00000000-0010-0000-3000-000010000000}" name="Chicken layer" dataDxfId="598"/>
    <tableColumn id="17" xr3:uid="{00000000-0010-0000-3000-000011000000}" name="Chicken broiler" dataDxfId="597"/>
    <tableColumn id="18" xr3:uid="{00000000-0010-0000-3000-000012000000}" name="Llamas and Alpacas" dataDxfId="596"/>
  </tableColumns>
  <tableStyleInfo name="TableStyleLight1" showFirstColumn="0" showLastColumn="0" showRowStripes="1" showColumnStripes="0"/>
</table>
</file>

<file path=xl/tables/table4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8" xr:uid="{00000000-000C-0000-FFFF-FFFF31000000}" name="N_excretion_rate_LP" displayName="N_excretion_rate_LP" ref="A3031:R3042" totalsRowShown="0" headerRowDxfId="595" dataDxfId="593" headerRowBorderDxfId="594" tableBorderDxfId="592">
  <autoFilter ref="A3031:R3042" xr:uid="{00000000-0009-0000-0100-000026000000}"/>
  <tableColumns count="18">
    <tableColumn id="1" xr3:uid="{00000000-0010-0000-3100-000001000000}" name="Please select" dataDxfId="591" dataCellStyle="Normal 2 2"/>
    <tableColumn id="2" xr3:uid="{00000000-0010-0000-3100-000002000000}" name="Dairy Cattle" dataDxfId="590"/>
    <tableColumn id="3" xr3:uid="{00000000-0010-0000-3100-000003000000}" name="Other Cattle" dataDxfId="589"/>
    <tableColumn id="4" xr3:uid="{00000000-0010-0000-3100-000004000000}" name="Dairy Buffalo" dataDxfId="588"/>
    <tableColumn id="5" xr3:uid="{00000000-0010-0000-3100-000005000000}" name="Other Buffalo" dataDxfId="587"/>
    <tableColumn id="6" xr3:uid="{00000000-0010-0000-3100-000006000000}" name="Dairy Sheep" dataDxfId="586"/>
    <tableColumn id="7" xr3:uid="{00000000-0010-0000-3100-000007000000}" name="Other sheep" dataDxfId="585"/>
    <tableColumn id="8" xr3:uid="{00000000-0010-0000-3100-000008000000}" name="Growing Swine" dataDxfId="584"/>
    <tableColumn id="9" xr3:uid="{00000000-0010-0000-3100-000009000000}" name="Breeding Swine" dataDxfId="583"/>
    <tableColumn id="10" xr3:uid="{00000000-0010-0000-3100-00000A000000}" name="Goats" dataDxfId="582"/>
    <tableColumn id="11" xr3:uid="{00000000-0010-0000-3100-00000B000000}" name="Horses" dataDxfId="581"/>
    <tableColumn id="12" xr3:uid="{00000000-0010-0000-3100-00000C000000}" name="Camels" dataDxfId="580"/>
    <tableColumn id="13" xr3:uid="{00000000-0010-0000-3100-00000D000000}" name="Mules and Asses" dataDxfId="579"/>
    <tableColumn id="14" xr3:uid="{00000000-0010-0000-3100-00000E000000}" name="Deer" dataDxfId="578"/>
    <tableColumn id="15" xr3:uid="{00000000-0010-0000-3100-00000F000000}" name="Ostrich" dataDxfId="577"/>
    <tableColumn id="16" xr3:uid="{00000000-0010-0000-3100-000010000000}" name="Chicken layer" dataDxfId="576"/>
    <tableColumn id="17" xr3:uid="{00000000-0010-0000-3100-000011000000}" name="Chicken broiler" dataDxfId="575"/>
    <tableColumn id="18" xr3:uid="{00000000-0010-0000-3100-000012000000}" name="Llamas and Alpacas" dataDxfId="574"/>
  </tableColumns>
  <tableStyleInfo name="TableStyleLight1" showFirstColumn="0" showLastColumn="0" showRowStripes="1" showColumnStripes="0"/>
</table>
</file>

<file path=xl/tables/table4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9" xr:uid="{00000000-000C-0000-FFFF-FFFF32000000}" name="N_excretion_rate_HP" displayName="N_excretion_rate_HP" ref="A3048:R3059" totalsRowShown="0" headerRowDxfId="573" dataDxfId="571" headerRowBorderDxfId="572" tableBorderDxfId="570">
  <autoFilter ref="A3048:R3059" xr:uid="{00000000-0009-0000-0100-000027000000}"/>
  <tableColumns count="18">
    <tableColumn id="1" xr3:uid="{00000000-0010-0000-3200-000001000000}" name="Please select" dataDxfId="569" dataCellStyle="Normal 2 2"/>
    <tableColumn id="2" xr3:uid="{00000000-0010-0000-3200-000002000000}" name="Dairy Cattle" dataDxfId="568"/>
    <tableColumn id="3" xr3:uid="{00000000-0010-0000-3200-000003000000}" name="Other Cattle" dataDxfId="567"/>
    <tableColumn id="4" xr3:uid="{00000000-0010-0000-3200-000004000000}" name="Dairy Buffalo" dataDxfId="566"/>
    <tableColumn id="5" xr3:uid="{00000000-0010-0000-3200-000005000000}" name="Other Buffalo" dataDxfId="565"/>
    <tableColumn id="6" xr3:uid="{00000000-0010-0000-3200-000006000000}" name="Dairy Sheep" dataDxfId="564"/>
    <tableColumn id="7" xr3:uid="{00000000-0010-0000-3200-000007000000}" name="Other sheep" dataDxfId="563"/>
    <tableColumn id="8" xr3:uid="{00000000-0010-0000-3200-000008000000}" name="Growing Swine" dataDxfId="562"/>
    <tableColumn id="9" xr3:uid="{00000000-0010-0000-3200-000009000000}" name="Breeding Swine" dataDxfId="561"/>
    <tableColumn id="10" xr3:uid="{00000000-0010-0000-3200-00000A000000}" name="Goats" dataDxfId="560"/>
    <tableColumn id="11" xr3:uid="{00000000-0010-0000-3200-00000B000000}" name="Horses" dataDxfId="559"/>
    <tableColumn id="12" xr3:uid="{00000000-0010-0000-3200-00000C000000}" name="Camels" dataDxfId="558"/>
    <tableColumn id="13" xr3:uid="{00000000-0010-0000-3200-00000D000000}" name="Mules and Asses" dataDxfId="557"/>
    <tableColumn id="14" xr3:uid="{00000000-0010-0000-3200-00000E000000}" name="Deer" dataDxfId="556"/>
    <tableColumn id="15" xr3:uid="{00000000-0010-0000-3200-00000F000000}" name="Ostrich" dataDxfId="555"/>
    <tableColumn id="16" xr3:uid="{00000000-0010-0000-3200-000010000000}" name="Chicken layer" dataDxfId="554"/>
    <tableColumn id="17" xr3:uid="{00000000-0010-0000-3200-000011000000}" name="Chicken broiler" dataDxfId="553"/>
    <tableColumn id="18" xr3:uid="{00000000-0010-0000-3200-000012000000}" name="Llamas and Alpacas" dataDxfId="552"/>
  </tableColumns>
  <tableStyleInfo name="TableStyleLight1" showFirstColumn="0" showLastColumn="0" showRowStripes="1" showColumnStripes="0"/>
</table>
</file>

<file path=xl/tables/table4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0" xr:uid="{00000000-000C-0000-FFFF-FFFF33000000}" name="EF_DIRECT_N2O_manure_mngt_cattle_poultry_pigs" displayName="EF_DIRECT_N2O_manure_mngt_cattle_poultry_pigs" ref="A3065:O3076" totalsRowShown="0" headerRowDxfId="551" dataDxfId="550" tableBorderDxfId="549">
  <autoFilter ref="A3065:O3076" xr:uid="{00000000-0009-0000-0100-000028000000}"/>
  <tableColumns count="15">
    <tableColumn id="1" xr3:uid="{00000000-0010-0000-3300-000001000000}" name="Please select" dataDxfId="548" dataCellStyle="Normal 2 2"/>
    <tableColumn id="2" xr3:uid="{00000000-0010-0000-3300-000002000000}" name="Lagoon" dataDxfId="547"/>
    <tableColumn id="3" xr3:uid="{00000000-0010-0000-3300-000003000000}" name="Liquid/slurry" dataDxfId="546"/>
    <tableColumn id="4" xr3:uid="{00000000-0010-0000-3300-000004000000}" name="Solid storage" dataDxfId="545"/>
    <tableColumn id="5" xr3:uid="{00000000-0010-0000-3300-000005000000}" name="Dry lot" dataDxfId="544"/>
    <tableColumn id="6" xr3:uid="{00000000-0010-0000-3300-000006000000}" name="Pasture/Range/Paddock" dataDxfId="543"/>
    <tableColumn id="7" xr3:uid="{00000000-0010-0000-3300-000007000000}" name="Daily spread" dataDxfId="542"/>
    <tableColumn id="8" xr3:uid="{00000000-0010-0000-3300-000008000000}" name="Digester" dataDxfId="541"/>
    <tableColumn id="9" xr3:uid="{00000000-0010-0000-3300-000009000000}" name="Burned for fuel" dataDxfId="540"/>
    <tableColumn id="10" xr3:uid="{00000000-0010-0000-3300-00000A000000}" name="Pit&lt;1Month" dataDxfId="539"/>
    <tableColumn id="11" xr3:uid="{00000000-0010-0000-3300-00000B000000}" name="Pit&gt;1 month" dataDxfId="538"/>
    <tableColumn id="12" xr3:uid="{00000000-0010-0000-3300-00000C000000}" name="Poultry manure" dataDxfId="537"/>
    <tableColumn id="13" xr3:uid="{00000000-0010-0000-3300-00000D000000}" name="Deep bedding" dataDxfId="536"/>
    <tableColumn id="14" xr3:uid="{00000000-0010-0000-3300-00000E000000}" name="Composting" dataDxfId="535"/>
    <tableColumn id="15" xr3:uid="{00000000-0010-0000-3300-00000F000000}" name="Aerobic treatment" dataDxfId="534"/>
  </tableColumns>
  <tableStyleInfo name="TableStyleLight1" showFirstColumn="0" showLastColumn="0" showRowStripes="1" showColumnStripes="0"/>
</table>
</file>

<file path=xl/tables/table4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7" xr:uid="{00000000-000C-0000-FFFF-FFFF34000000}" name="Frac_vol_swine" displayName="Frac_vol_swine" ref="A3099:O3110" totalsRowShown="0" headerRowDxfId="533" dataDxfId="532" tableBorderDxfId="531">
  <autoFilter ref="A3099:O3110" xr:uid="{00000000-0009-0000-0100-000039000000}"/>
  <tableColumns count="15">
    <tableColumn id="1" xr3:uid="{00000000-0010-0000-3400-000001000000}" name="Please select" dataDxfId="530" dataCellStyle="Normal 2 2"/>
    <tableColumn id="2" xr3:uid="{00000000-0010-0000-3400-000002000000}" name="Lagoon" dataDxfId="529"/>
    <tableColumn id="3" xr3:uid="{00000000-0010-0000-3400-000003000000}" name="Liquid/slurry" dataDxfId="528"/>
    <tableColumn id="4" xr3:uid="{00000000-0010-0000-3400-000004000000}" name="Solid storage" dataDxfId="527"/>
    <tableColumn id="5" xr3:uid="{00000000-0010-0000-3400-000005000000}" name="Dry lot" dataDxfId="526"/>
    <tableColumn id="6" xr3:uid="{00000000-0010-0000-3400-000006000000}" name="Pasture/Range/Paddock" dataDxfId="525"/>
    <tableColumn id="7" xr3:uid="{00000000-0010-0000-3400-000007000000}" name="Daily spread" dataDxfId="524"/>
    <tableColumn id="8" xr3:uid="{00000000-0010-0000-3400-000008000000}" name="Digester" dataDxfId="523"/>
    <tableColumn id="9" xr3:uid="{00000000-0010-0000-3400-000009000000}" name="Burned for fuel" dataDxfId="522"/>
    <tableColumn id="10" xr3:uid="{00000000-0010-0000-3400-00000A000000}" name="Pit&lt;1Month" dataDxfId="521"/>
    <tableColumn id="11" xr3:uid="{00000000-0010-0000-3400-00000B000000}" name="Pit&gt;1 month" dataDxfId="520"/>
    <tableColumn id="12" xr3:uid="{00000000-0010-0000-3400-00000C000000}" name="Poultry manure" dataDxfId="519"/>
    <tableColumn id="13" xr3:uid="{00000000-0010-0000-3400-00000D000000}" name="Deep bedding" dataDxfId="518"/>
    <tableColumn id="14" xr3:uid="{00000000-0010-0000-3400-00000E000000}" name="Composting" dataDxfId="517">
      <calculatedColumnFormula>AVERAGE(0.006,0.01,0.005,0.005)</calculatedColumnFormula>
    </tableColumn>
    <tableColumn id="15" xr3:uid="{00000000-0010-0000-3400-00000F000000}" name="Aerobic treatment" dataDxfId="516"/>
  </tableColumns>
  <tableStyleInfo name="TableStyleLight1" showFirstColumn="0" showLastColumn="0" showRowStripes="1" showColumnStripes="0"/>
</table>
</file>

<file path=xl/tables/table4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8" xr:uid="{00000000-000C-0000-FFFF-FFFF35000000}" name="Frac_vol_dairy_cow" displayName="Frac_vol_dairy_cow" ref="A3116:O3127" totalsRowShown="0" headerRowDxfId="515" dataDxfId="514" tableBorderDxfId="513">
  <autoFilter ref="A3116:O3127" xr:uid="{00000000-0009-0000-0100-00003A000000}"/>
  <tableColumns count="15">
    <tableColumn id="1" xr3:uid="{00000000-0010-0000-3500-000001000000}" name="Please select" dataDxfId="512" dataCellStyle="Normal 2 2"/>
    <tableColumn id="2" xr3:uid="{00000000-0010-0000-3500-000002000000}" name="Lagoon" dataDxfId="511"/>
    <tableColumn id="3" xr3:uid="{00000000-0010-0000-3500-000003000000}" name="Liquid/slurry" dataDxfId="510"/>
    <tableColumn id="4" xr3:uid="{00000000-0010-0000-3500-000004000000}" name="Solid storage" dataDxfId="509"/>
    <tableColumn id="5" xr3:uid="{00000000-0010-0000-3500-000005000000}" name="Dry lot" dataDxfId="508"/>
    <tableColumn id="6" xr3:uid="{00000000-0010-0000-3500-000006000000}" name="Pasture/Range/Paddock" dataDxfId="507"/>
    <tableColumn id="7" xr3:uid="{00000000-0010-0000-3500-000007000000}" name="Daily spread" dataDxfId="506"/>
    <tableColumn id="8" xr3:uid="{00000000-0010-0000-3500-000008000000}" name="Digester" dataDxfId="505"/>
    <tableColumn id="9" xr3:uid="{00000000-0010-0000-3500-000009000000}" name="Burned for fuel" dataDxfId="504"/>
    <tableColumn id="10" xr3:uid="{00000000-0010-0000-3500-00000A000000}" name="Pit&lt;1Month" dataDxfId="503"/>
    <tableColumn id="11" xr3:uid="{00000000-0010-0000-3500-00000B000000}" name="Pit&gt;1 month" dataDxfId="502"/>
    <tableColumn id="12" xr3:uid="{00000000-0010-0000-3500-00000C000000}" name="Poultry manure" dataDxfId="501"/>
    <tableColumn id="13" xr3:uid="{00000000-0010-0000-3500-00000D000000}" name="Deep bedding" dataDxfId="500"/>
    <tableColumn id="14" xr3:uid="{00000000-0010-0000-3500-00000E000000}" name="Composting" dataDxfId="499">
      <calculatedColumnFormula>AVERAGE(0.6,0.65,0.65,0.6)</calculatedColumnFormula>
    </tableColumn>
    <tableColumn id="15" xr3:uid="{00000000-0010-0000-3500-00000F000000}" name="Aerobic treatment" dataDxfId="498"/>
  </tableColumns>
  <tableStyleInfo name="TableStyleLight1" showFirstColumn="0" showLastColumn="0" showRowStripes="1" showColumnStripes="0"/>
</table>
</file>

<file path=xl/tables/table5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9" xr:uid="{00000000-000C-0000-FFFF-FFFF36000000}" name="Frac_vol_Poultry" displayName="Frac_vol_Poultry" ref="A3133:O3144" totalsRowShown="0" headerRowDxfId="497" dataDxfId="496" tableBorderDxfId="495">
  <autoFilter ref="A3133:O3144" xr:uid="{00000000-0009-0000-0100-00003B000000}"/>
  <tableColumns count="15">
    <tableColumn id="1" xr3:uid="{00000000-0010-0000-3600-000001000000}" name="Please select" dataDxfId="494" dataCellStyle="Normal 2 2"/>
    <tableColumn id="2" xr3:uid="{00000000-0010-0000-3600-000002000000}" name="Lagoon" dataDxfId="493"/>
    <tableColumn id="3" xr3:uid="{00000000-0010-0000-3600-000003000000}" name="Liquid/slurry" dataDxfId="492"/>
    <tableColumn id="4" xr3:uid="{00000000-0010-0000-3600-000004000000}" name="Solid storage" dataDxfId="491"/>
    <tableColumn id="5" xr3:uid="{00000000-0010-0000-3600-000005000000}" name="Dry lot" dataDxfId="490"/>
    <tableColumn id="6" xr3:uid="{00000000-0010-0000-3600-000006000000}" name="Pasture/Range/Paddock" dataDxfId="489"/>
    <tableColumn id="7" xr3:uid="{00000000-0010-0000-3600-000007000000}" name="Daily spread" dataDxfId="488"/>
    <tableColumn id="8" xr3:uid="{00000000-0010-0000-3600-000008000000}" name="Digester" dataDxfId="487"/>
    <tableColumn id="9" xr3:uid="{00000000-0010-0000-3600-000009000000}" name="Burned for fuel" dataDxfId="486"/>
    <tableColumn id="10" xr3:uid="{00000000-0010-0000-3600-00000A000000}" name="Pit&lt;1Month" dataDxfId="485"/>
    <tableColumn id="11" xr3:uid="{00000000-0010-0000-3600-00000B000000}" name="Pit&gt;1 month" dataDxfId="484"/>
    <tableColumn id="12" xr3:uid="{00000000-0010-0000-3600-00000C000000}" name="Poultry manure" dataDxfId="483"/>
    <tableColumn id="13" xr3:uid="{00000000-0010-0000-3600-00000D000000}" name="Deep bedding" dataDxfId="482"/>
    <tableColumn id="14" xr3:uid="{00000000-0010-0000-3600-00000E000000}" name="Composting" dataDxfId="481">
      <calculatedColumnFormula>AVERAGE(0.45,0.5,0.5,0.45)</calculatedColumnFormula>
    </tableColumn>
    <tableColumn id="15" xr3:uid="{00000000-0010-0000-3600-00000F000000}" name="Aerobic treatment" dataDxfId="480"/>
  </tableColumns>
  <tableStyleInfo name="TableStyleLight1" showFirstColumn="0" showLastColumn="0" showRowStripes="1" showColumnStripes="0"/>
</table>
</file>

<file path=xl/tables/table5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0" xr:uid="{00000000-000C-0000-FFFF-FFFF37000000}" name="Frac_vol_Other_Cattle" displayName="Frac_vol_Other_Cattle" ref="A3150:O3161" totalsRowShown="0" headerRowDxfId="479" dataDxfId="478" tableBorderDxfId="477">
  <autoFilter ref="A3150:O3161" xr:uid="{00000000-0009-0000-0100-00003C000000}"/>
  <tableColumns count="15">
    <tableColumn id="1" xr3:uid="{00000000-0010-0000-3700-000001000000}" name="Please select" dataDxfId="476" dataCellStyle="Normal 2 2"/>
    <tableColumn id="2" xr3:uid="{00000000-0010-0000-3700-000002000000}" name="Lagoon" dataDxfId="475"/>
    <tableColumn id="3" xr3:uid="{00000000-0010-0000-3700-000003000000}" name="Liquid/slurry" dataDxfId="474"/>
    <tableColumn id="4" xr3:uid="{00000000-0010-0000-3700-000004000000}" name="Solid storage" dataDxfId="473"/>
    <tableColumn id="5" xr3:uid="{00000000-0010-0000-3700-000005000000}" name="Dry lot" dataDxfId="472"/>
    <tableColumn id="6" xr3:uid="{00000000-0010-0000-3700-000006000000}" name="Pasture/Range/Paddock" dataDxfId="471"/>
    <tableColumn id="7" xr3:uid="{00000000-0010-0000-3700-000007000000}" name="Daily spread" dataDxfId="470"/>
    <tableColumn id="8" xr3:uid="{00000000-0010-0000-3700-000008000000}" name="Digester" dataDxfId="469"/>
    <tableColumn id="9" xr3:uid="{00000000-0010-0000-3700-000009000000}" name="Burned for fuel" dataDxfId="468"/>
    <tableColumn id="10" xr3:uid="{00000000-0010-0000-3700-00000A000000}" name="Pit&lt;1Month" dataDxfId="467"/>
    <tableColumn id="11" xr3:uid="{00000000-0010-0000-3700-00000B000000}" name="Pit&gt;1 month" dataDxfId="466"/>
    <tableColumn id="12" xr3:uid="{00000000-0010-0000-3700-00000C000000}" name="Poultry manure" dataDxfId="465"/>
    <tableColumn id="13" xr3:uid="{00000000-0010-0000-3700-00000D000000}" name="Deep bedding" dataDxfId="464"/>
    <tableColumn id="14" xr3:uid="{00000000-0010-0000-3700-00000E000000}" name="Composting" dataDxfId="463"/>
    <tableColumn id="15" xr3:uid="{00000000-0010-0000-3700-00000F000000}" name="Aerobic treatment" dataDxfId="462"/>
  </tableColumns>
  <tableStyleInfo name="TableStyleLight1" showFirstColumn="0" showLastColumn="0" showRowStripes="1" showColumnStripes="0"/>
</table>
</file>

<file path=xl/tables/table5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2" xr:uid="{00000000-000C-0000-FFFF-FFFF38000000}" name="Frac_vol_Other_Animal" displayName="Frac_vol_Other_Animal" ref="A3167:O3178" totalsRowShown="0" headerRowDxfId="461" dataDxfId="460" tableBorderDxfId="459">
  <autoFilter ref="A3167:O3178" xr:uid="{00000000-0009-0000-0100-00003E000000}"/>
  <tableColumns count="15">
    <tableColumn id="1" xr3:uid="{00000000-0010-0000-3800-000001000000}" name="Please select" dataDxfId="458" dataCellStyle="Normal 2 2"/>
    <tableColumn id="2" xr3:uid="{00000000-0010-0000-3800-000002000000}" name="Lagoon" dataDxfId="457"/>
    <tableColumn id="3" xr3:uid="{00000000-0010-0000-3800-000003000000}" name="Liquid/slurry" dataDxfId="456"/>
    <tableColumn id="4" xr3:uid="{00000000-0010-0000-3800-000004000000}" name="Solid storage" dataDxfId="455"/>
    <tableColumn id="5" xr3:uid="{00000000-0010-0000-3800-000005000000}" name="Dry lot" dataDxfId="454"/>
    <tableColumn id="6" xr3:uid="{00000000-0010-0000-3800-000006000000}" name="Pasture/Range/Paddock" dataDxfId="453"/>
    <tableColumn id="7" xr3:uid="{00000000-0010-0000-3800-000007000000}" name="Daily spread" dataDxfId="452"/>
    <tableColumn id="8" xr3:uid="{00000000-0010-0000-3800-000008000000}" name="Digester" dataDxfId="451"/>
    <tableColumn id="9" xr3:uid="{00000000-0010-0000-3800-000009000000}" name="Burned for fuel" dataDxfId="450"/>
    <tableColumn id="10" xr3:uid="{00000000-0010-0000-3800-00000A000000}" name="Pit&lt;1Month" dataDxfId="449"/>
    <tableColumn id="11" xr3:uid="{00000000-0010-0000-3800-00000B000000}" name="Pit&gt;1 month" dataDxfId="448"/>
    <tableColumn id="12" xr3:uid="{00000000-0010-0000-3800-00000C000000}" name="Poultry manure" dataDxfId="447"/>
    <tableColumn id="13" xr3:uid="{00000000-0010-0000-3800-00000D000000}" name="Deep bedding" dataDxfId="446"/>
    <tableColumn id="14" xr3:uid="{00000000-0010-0000-3800-00000E000000}" name="Composting" dataDxfId="445">
      <calculatedColumnFormula>AVERAGE(0.6,0.65,0.65,0.6)</calculatedColumnFormula>
    </tableColumn>
    <tableColumn id="15" xr3:uid="{00000000-0010-0000-3800-00000F000000}" name="Aerobic treatment" dataDxfId="444"/>
  </tableColumns>
  <tableStyleInfo name="TableStyleLight1" showFirstColumn="0" showLastColumn="0" showRowStripes="1" showColumnStripes="0"/>
</table>
</file>

<file path=xl/tables/table5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6" xr:uid="{00000000-000C-0000-FFFF-FFFF39000000}" name="EF_DIRECT_N2O_manure_mngt_Sheeps_others" displayName="EF_DIRECT_N2O_manure_mngt_Sheeps_others" ref="A3082:O3093" totalsRowShown="0" headerRowDxfId="443" dataDxfId="442" tableBorderDxfId="441">
  <autoFilter ref="A3082:O3093" xr:uid="{00000000-0009-0000-0100-000038000000}"/>
  <tableColumns count="15">
    <tableColumn id="1" xr3:uid="{00000000-0010-0000-3900-000001000000}" name="Please select" dataDxfId="440" dataCellStyle="Normal 2 2"/>
    <tableColumn id="2" xr3:uid="{00000000-0010-0000-3900-000002000000}" name="Lagoon" dataDxfId="439"/>
    <tableColumn id="3" xr3:uid="{00000000-0010-0000-3900-000003000000}" name="Liquid/slurry" dataDxfId="438"/>
    <tableColumn id="4" xr3:uid="{00000000-0010-0000-3900-000004000000}" name="Solid storage" dataDxfId="437"/>
    <tableColumn id="5" xr3:uid="{00000000-0010-0000-3900-000005000000}" name="Dry lot" dataDxfId="436"/>
    <tableColumn id="6" xr3:uid="{00000000-0010-0000-3900-000006000000}" name="Pasture/Range/Paddock" dataDxfId="435"/>
    <tableColumn id="7" xr3:uid="{00000000-0010-0000-3900-000007000000}" name="Daily spread" dataDxfId="434"/>
    <tableColumn id="8" xr3:uid="{00000000-0010-0000-3900-000008000000}" name="Digester" dataDxfId="433"/>
    <tableColumn id="9" xr3:uid="{00000000-0010-0000-3900-000009000000}" name="Burned for fuel" dataDxfId="432"/>
    <tableColumn id="10" xr3:uid="{00000000-0010-0000-3900-00000A000000}" name="Pit&lt;1Month" dataDxfId="431"/>
    <tableColumn id="11" xr3:uid="{00000000-0010-0000-3900-00000B000000}" name="Pit&gt;1 month" dataDxfId="430"/>
    <tableColumn id="12" xr3:uid="{00000000-0010-0000-3900-00000C000000}" name="Poultry manure" dataDxfId="429"/>
    <tableColumn id="13" xr3:uid="{00000000-0010-0000-3900-00000D000000}" name="Deep bedding" dataDxfId="428"/>
    <tableColumn id="14" xr3:uid="{00000000-0010-0000-3900-00000E000000}" name="Composting" dataDxfId="427">
      <calculatedColumnFormula>AVERAGE(0.006,0.01,0.005,0.005)</calculatedColumnFormula>
    </tableColumn>
    <tableColumn id="15" xr3:uid="{00000000-0010-0000-3900-00000F000000}" name="Aerobic treatment" dataDxfId="426"/>
  </tableColumns>
  <tableStyleInfo name="TableStyleLight1" showFirstColumn="0" showLastColumn="0" showRowStripes="1" showColumnStripes="0"/>
</table>
</file>

<file path=xl/tables/table5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9" xr:uid="{00000000-000C-0000-FFFF-FFFF3A000000}" name="AWMS_Dairy_Cattle" displayName="AWMS_Dairy_Cattle" ref="A2419:O2430" totalsRowShown="0" headerRowDxfId="425" dataDxfId="424" tableBorderDxfId="423">
  <autoFilter ref="A2419:O2430" xr:uid="{00000000-0009-0000-0100-000013000000}"/>
  <tableColumns count="15">
    <tableColumn id="1" xr3:uid="{00000000-0010-0000-3A00-000001000000}" name="Please select" dataDxfId="422" dataCellStyle="Normal 2 2"/>
    <tableColumn id="2" xr3:uid="{00000000-0010-0000-3A00-000002000000}" name="Lagoon" dataDxfId="421"/>
    <tableColumn id="3" xr3:uid="{00000000-0010-0000-3A00-000003000000}" name="Liquid/slurry" dataDxfId="420"/>
    <tableColumn id="4" xr3:uid="{00000000-0010-0000-3A00-000004000000}" name="Solid storage" dataDxfId="419"/>
    <tableColumn id="5" xr3:uid="{00000000-0010-0000-3A00-000005000000}" name="Dry lot" dataDxfId="418"/>
    <tableColumn id="6" xr3:uid="{00000000-0010-0000-3A00-000006000000}" name="Pasture/Range/Paddock" dataDxfId="417"/>
    <tableColumn id="7" xr3:uid="{00000000-0010-0000-3A00-000007000000}" name="Daily spread" dataDxfId="416"/>
    <tableColumn id="8" xr3:uid="{00000000-0010-0000-3A00-000008000000}" name="Digester" dataDxfId="415"/>
    <tableColumn id="9" xr3:uid="{00000000-0010-0000-3A00-000009000000}" name="Burned for fuel" dataDxfId="414"/>
    <tableColumn id="10" xr3:uid="{00000000-0010-0000-3A00-00000A000000}" name="Pit&lt;1Month" dataDxfId="413"/>
    <tableColumn id="11" xr3:uid="{00000000-0010-0000-3A00-00000B000000}" name="Pit&gt;1 month" dataDxfId="412"/>
    <tableColumn id="12" xr3:uid="{00000000-0010-0000-3A00-00000C000000}" name="Poultry manure" dataDxfId="411"/>
    <tableColumn id="13" xr3:uid="{00000000-0010-0000-3A00-00000D000000}" name="Deep bedding" dataDxfId="410"/>
    <tableColumn id="14" xr3:uid="{00000000-0010-0000-3A00-00000E000000}" name="Composting" dataDxfId="409"/>
    <tableColumn id="15" xr3:uid="{00000000-0010-0000-3A00-00000F000000}" name="Aerobic treatment" dataDxfId="408"/>
  </tableColumns>
  <tableStyleInfo name="TableStyleLight1" showFirstColumn="0" showLastColumn="0" showRowStripes="1" showColumnStripes="0"/>
</table>
</file>

<file path=xl/tables/table5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3" xr:uid="{00000000-000C-0000-FFFF-FFFF3B000000}" name="Frac_leach_all_categories" displayName="Frac_leach_all_categories" ref="A3184:O3195" totalsRowShown="0" headerRowDxfId="407" dataDxfId="406" tableBorderDxfId="405">
  <autoFilter ref="A3184:O3195" xr:uid="{00000000-0009-0000-0100-00000D000000}"/>
  <tableColumns count="15">
    <tableColumn id="1" xr3:uid="{00000000-0010-0000-3B00-000001000000}" name="Please select" dataDxfId="404" dataCellStyle="Normal 2 2"/>
    <tableColumn id="2" xr3:uid="{00000000-0010-0000-3B00-000002000000}" name="Lagoon" dataDxfId="403"/>
    <tableColumn id="3" xr3:uid="{00000000-0010-0000-3B00-000003000000}" name="Liquid/slurry" dataDxfId="402"/>
    <tableColumn id="4" xr3:uid="{00000000-0010-0000-3B00-000004000000}" name="Solid storage" dataDxfId="401"/>
    <tableColumn id="5" xr3:uid="{00000000-0010-0000-3B00-000005000000}" name="Dry lot" dataDxfId="400"/>
    <tableColumn id="6" xr3:uid="{00000000-0010-0000-3B00-000006000000}" name="Pasture/Range/Paddock" dataDxfId="399"/>
    <tableColumn id="7" xr3:uid="{00000000-0010-0000-3B00-000007000000}" name="Daily spread" dataDxfId="398"/>
    <tableColumn id="8" xr3:uid="{00000000-0010-0000-3B00-000008000000}" name="Digester" dataDxfId="397"/>
    <tableColumn id="9" xr3:uid="{00000000-0010-0000-3B00-000009000000}" name="Burned for fuel" dataDxfId="396"/>
    <tableColumn id="10" xr3:uid="{00000000-0010-0000-3B00-00000A000000}" name="Pit&lt;1Month" dataDxfId="395"/>
    <tableColumn id="11" xr3:uid="{00000000-0010-0000-3B00-00000B000000}" name="Pit&gt;1 month" dataDxfId="394"/>
    <tableColumn id="12" xr3:uid="{00000000-0010-0000-3B00-00000C000000}" name="Poultry manure" dataDxfId="393"/>
    <tableColumn id="13" xr3:uid="{00000000-0010-0000-3B00-00000D000000}" name="Deep bedding" dataDxfId="392"/>
    <tableColumn id="14" xr3:uid="{00000000-0010-0000-3B00-00000E000000}" name="Composting" dataDxfId="391">
      <calculatedColumnFormula>AVERAGE(0.006,0.01,0.005,0.005)</calculatedColumnFormula>
    </tableColumn>
    <tableColumn id="15" xr3:uid="{00000000-0010-0000-3B00-00000F000000}" name="Aerobic treatment" dataDxfId="390"/>
  </tableColumns>
  <tableStyleInfo name="TableStyleLight1" showFirstColumn="0" showLastColumn="0" showRowStripes="1" showColumnStripes="0"/>
</table>
</file>

<file path=xl/tables/table5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00000000-000C-0000-FFFF-FFFF3C000000}" name="Regional_eq_livestock" displayName="Regional_eq_livestock" ref="A1:D249" totalsRowShown="0" headerRowDxfId="389" dataDxfId="388">
  <autoFilter ref="A1:D249" xr:uid="{00000000-0009-0000-0100-000003000000}"/>
  <sortState xmlns:xlrd2="http://schemas.microsoft.com/office/spreadsheetml/2017/richdata2" ref="A2:D249">
    <sortCondition ref="D1:D249"/>
  </sortState>
  <tableColumns count="4">
    <tableColumn id="1" xr3:uid="{00000000-0010-0000-3C00-000001000000}" name="Countries" dataDxfId="387"/>
    <tableColumn id="2" xr3:uid="{00000000-0010-0000-3C00-000002000000}" name="GLEAM" dataDxfId="386"/>
    <tableColumn id="3" xr3:uid="{00000000-0010-0000-3C00-000003000000}" name="EX-ACT" dataDxfId="385"/>
    <tableColumn id="4" xr3:uid="{00000000-0010-0000-3C00-000004000000}" name="IPCC" dataDxfId="384">
      <calculatedColumnFormula>IF(Regional_eq_livestock[[#This Row],[GLEAM]]="NENA",CONCATENATE("NENA","/Middle East"),Regional_eq_livestock[[#This Row],[GLEAM]])</calculatedColumnFormula>
    </tableColumn>
  </tableColumns>
  <tableStyleInfo name="TableStyleLight1" showFirstColumn="0" showLastColumn="0" showRowStripes="1" showColumnStripes="0"/>
</table>
</file>

<file path=xl/tables/table5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0000000-000C-0000-FFFF-FFFF00000000}" name="TabBoreal" displayName="TabBoreal" ref="F21:F24" totalsRowShown="0" headerRowDxfId="383" headerRowBorderDxfId="382" tableBorderDxfId="381" totalsRowBorderDxfId="380">
  <autoFilter ref="F21:F24" xr:uid="{00000000-0009-0000-0100-000001000000}"/>
  <tableColumns count="1">
    <tableColumn id="1" xr3:uid="{00000000-0010-0000-0000-000001000000}" name="Boreal"/>
  </tableColumns>
  <tableStyleInfo name="TableStyleMedium2" showFirstColumn="0" showLastColumn="0" showRowStripes="1" showColumnStripes="0"/>
</table>
</file>

<file path=xl/tables/table5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00000000-000C-0000-FFFF-FFFF01000000}" name="Tabcooltemp" displayName="Tabcooltemp" ref="G21:G24" totalsRowShown="0" headerRowDxfId="379" headerRowBorderDxfId="378" tableBorderDxfId="377" totalsRowBorderDxfId="376">
  <autoFilter ref="G21:G24" xr:uid="{00000000-0009-0000-0100-000002000000}"/>
  <tableColumns count="1">
    <tableColumn id="1" xr3:uid="{00000000-0010-0000-0100-000001000000}" name="Cool Temperate"/>
  </tableColumns>
  <tableStyleInfo name="TableStyleMedium2" showFirstColumn="0" showLastColumn="0" showRowStripes="1" showColumnStripes="0"/>
</table>
</file>

<file path=xl/tables/table5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00000000-000C-0000-FFFF-FFFF02000000}" name="TabTrop" displayName="TabTrop" ref="H21:H25" totalsRowShown="0" headerRowDxfId="375" dataDxfId="373" headerRowBorderDxfId="374" tableBorderDxfId="372" totalsRowBorderDxfId="371">
  <autoFilter ref="H21:H25" xr:uid="{00000000-0009-0000-0100-000004000000}"/>
  <tableColumns count="1">
    <tableColumn id="1" xr3:uid="{00000000-0010-0000-0200-000001000000}" name="Tropical" dataDxfId="370"/>
  </tableColumns>
  <tableStyleInfo name="TableStyleMedium2" showFirstColumn="0" showLastColumn="0" showRowStripes="1" showColumnStripes="0"/>
</table>
</file>

<file path=xl/tables/table6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00000000-000C-0000-FFFF-FFFF03000000}" name="TabTrMon" displayName="TabTrMon" ref="I21:I23" totalsRowShown="0" headerRowDxfId="369" dataDxfId="367" headerRowBorderDxfId="368" tableBorderDxfId="366" totalsRowBorderDxfId="365">
  <autoFilter ref="I21:I23" xr:uid="{00000000-0009-0000-0100-000005000000}"/>
  <tableColumns count="1">
    <tableColumn id="1" xr3:uid="{00000000-0010-0000-0300-000001000000}" name="Tropical Montane" dataDxfId="364"/>
  </tableColumns>
  <tableStyleInfo name="TableStyleMedium2" showFirstColumn="0" showLastColumn="0" showRowStripes="1" showColumnStripes="0"/>
</table>
</file>

<file path=xl/tables/table6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00000000-000C-0000-FFFF-FFFF04000000}" name="TabWarm" displayName="TabWarm" ref="J21:J24" totalsRowShown="0" headerRowDxfId="363" headerRowBorderDxfId="362" tableBorderDxfId="361" totalsRowBorderDxfId="360">
  <autoFilter ref="J21:J24" xr:uid="{00000000-0009-0000-0100-000006000000}"/>
  <tableColumns count="1">
    <tableColumn id="1" xr3:uid="{00000000-0010-0000-0400-000001000000}" name="Warm Temperate"/>
  </tableColumns>
  <tableStyleInfo name="TableStyleMedium2" showFirstColumn="0" showLastColumn="0" showRowStripes="1" showColumnStripes="0"/>
</table>
</file>

<file path=xl/theme/theme1.xml><?xml version="1.0" encoding="utf-8"?>
<a:theme xmlns:a="http://purl.oclc.org/ooxml/drawingml/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purl.oclc.org/ooxml/officeDocument/relationships/drawing" Target="../drawings/drawing1.xml"/><Relationship Id="rId3" Type="http://purl.oclc.org/ooxml/officeDocument/relationships/hyperlink" Target="http://www.fao.org/in-action/epic/ex-act-tool/suite-of-tools/registration/en/" TargetMode="External"/><Relationship Id="rId7" Type="http://purl.oclc.org/ooxml/officeDocument/relationships/printerSettings" Target="../printerSettings/printerSettings1.bin"/><Relationship Id="rId2" Type="http://purl.oclc.org/ooxml/officeDocument/relationships/hyperlink" Target="mailto:EX-ACT@fao.org" TargetMode="External"/><Relationship Id="rId1" Type="http://purl.oclc.org/ooxml/officeDocument/relationships/hyperlink" Target="http://www.fao.org/tc/exact/ex-act-home/en/" TargetMode="External"/><Relationship Id="rId6" Type="http://purl.oclc.org/ooxml/officeDocument/relationships/hyperlink" Target="mailto:exact@fao.org" TargetMode="External"/><Relationship Id="rId5" Type="http://purl.oclc.org/ooxml/officeDocument/relationships/hyperlink" Target="mailto:exact@fao.org" TargetMode="External"/><Relationship Id="rId4" Type="http://purl.oclc.org/ooxml/officeDocument/relationships/hyperlink" Target="http://www.fao.org/in-action/epic/ex-act-tool/suite-of-tools/registration/en/" TargetMode="External"/></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3.xml"/><Relationship Id="rId1" Type="http://purl.oclc.org/ooxml/officeDocument/relationships/printerSettings" Target="../printerSettings/printerSettings3.bin"/><Relationship Id="rId4" Type="http://purl.oclc.org/ooxml/officeDocument/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purl.oclc.org/ooxml/officeDocument/relationships/drawing" Target="../drawings/drawing4.xml"/><Relationship Id="rId1" Type="http://purl.oclc.org/ooxml/officeDocument/relationships/printerSettings" Target="../printerSettings/printerSettings4.bin"/><Relationship Id="rId4" Type="http://purl.oclc.org/ooxml/officeDocument/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purl.oclc.org/ooxml/officeDocument/relationships/drawing" Target="../drawings/drawing5.xml"/><Relationship Id="rId1" Type="http://purl.oclc.org/ooxml/officeDocument/relationships/printerSettings" Target="../printerSettings/printerSettings5.bin"/><Relationship Id="rId4" Type="http://purl.oclc.org/ooxml/officeDocument/relationships/comments" Target="../comments3.xml"/></Relationships>
</file>

<file path=xl/worksheets/_rels/sheet6.xml.rels><?xml version="1.0" encoding="UTF-8" standalone="yes"?>
<Relationships xmlns="http://schemas.openxmlformats.org/package/2006/relationships"><Relationship Id="rId13" Type="http://purl.oclc.org/ooxml/officeDocument/relationships/table" Target="../tables/table10.xml"/><Relationship Id="rId18" Type="http://purl.oclc.org/ooxml/officeDocument/relationships/table" Target="../tables/table15.xml"/><Relationship Id="rId26" Type="http://purl.oclc.org/ooxml/officeDocument/relationships/table" Target="../tables/table23.xml"/><Relationship Id="rId39" Type="http://purl.oclc.org/ooxml/officeDocument/relationships/table" Target="../tables/table36.xml"/><Relationship Id="rId21" Type="http://purl.oclc.org/ooxml/officeDocument/relationships/table" Target="../tables/table18.xml"/><Relationship Id="rId34" Type="http://purl.oclc.org/ooxml/officeDocument/relationships/table" Target="../tables/table31.xml"/><Relationship Id="rId42" Type="http://purl.oclc.org/ooxml/officeDocument/relationships/table" Target="../tables/table39.xml"/><Relationship Id="rId47" Type="http://purl.oclc.org/ooxml/officeDocument/relationships/table" Target="../tables/table44.xml"/><Relationship Id="rId50" Type="http://purl.oclc.org/ooxml/officeDocument/relationships/table" Target="../tables/table47.xml"/><Relationship Id="rId55" Type="http://purl.oclc.org/ooxml/officeDocument/relationships/table" Target="../tables/table52.xml"/><Relationship Id="rId7" Type="http://purl.oclc.org/ooxml/officeDocument/relationships/table" Target="../tables/table4.xml"/><Relationship Id="rId2" Type="http://purl.oclc.org/ooxml/officeDocument/relationships/drawing" Target="../drawings/drawing6.xml"/><Relationship Id="rId16" Type="http://purl.oclc.org/ooxml/officeDocument/relationships/table" Target="../tables/table13.xml"/><Relationship Id="rId29" Type="http://purl.oclc.org/ooxml/officeDocument/relationships/table" Target="../tables/table26.xml"/><Relationship Id="rId11" Type="http://purl.oclc.org/ooxml/officeDocument/relationships/table" Target="../tables/table8.xml"/><Relationship Id="rId24" Type="http://purl.oclc.org/ooxml/officeDocument/relationships/table" Target="../tables/table21.xml"/><Relationship Id="rId32" Type="http://purl.oclc.org/ooxml/officeDocument/relationships/table" Target="../tables/table29.xml"/><Relationship Id="rId37" Type="http://purl.oclc.org/ooxml/officeDocument/relationships/table" Target="../tables/table34.xml"/><Relationship Id="rId40" Type="http://purl.oclc.org/ooxml/officeDocument/relationships/table" Target="../tables/table37.xml"/><Relationship Id="rId45" Type="http://purl.oclc.org/ooxml/officeDocument/relationships/table" Target="../tables/table42.xml"/><Relationship Id="rId53" Type="http://purl.oclc.org/ooxml/officeDocument/relationships/table" Target="../tables/table50.xml"/><Relationship Id="rId58" Type="http://purl.oclc.org/ooxml/officeDocument/relationships/table" Target="../tables/table55.xml"/><Relationship Id="rId5" Type="http://purl.oclc.org/ooxml/officeDocument/relationships/table" Target="../tables/table2.xml"/><Relationship Id="rId19" Type="http://purl.oclc.org/ooxml/officeDocument/relationships/table" Target="../tables/table16.xml"/><Relationship Id="rId4" Type="http://purl.oclc.org/ooxml/officeDocument/relationships/table" Target="../tables/table1.xml"/><Relationship Id="rId9" Type="http://purl.oclc.org/ooxml/officeDocument/relationships/table" Target="../tables/table6.xml"/><Relationship Id="rId14" Type="http://purl.oclc.org/ooxml/officeDocument/relationships/table" Target="../tables/table11.xml"/><Relationship Id="rId22" Type="http://purl.oclc.org/ooxml/officeDocument/relationships/table" Target="../tables/table19.xml"/><Relationship Id="rId27" Type="http://purl.oclc.org/ooxml/officeDocument/relationships/table" Target="../tables/table24.xml"/><Relationship Id="rId30" Type="http://purl.oclc.org/ooxml/officeDocument/relationships/table" Target="../tables/table27.xml"/><Relationship Id="rId35" Type="http://purl.oclc.org/ooxml/officeDocument/relationships/table" Target="../tables/table32.xml"/><Relationship Id="rId43" Type="http://purl.oclc.org/ooxml/officeDocument/relationships/table" Target="../tables/table40.xml"/><Relationship Id="rId48" Type="http://purl.oclc.org/ooxml/officeDocument/relationships/table" Target="../tables/table45.xml"/><Relationship Id="rId56" Type="http://purl.oclc.org/ooxml/officeDocument/relationships/table" Target="../tables/table53.xml"/><Relationship Id="rId8" Type="http://purl.oclc.org/ooxml/officeDocument/relationships/table" Target="../tables/table5.xml"/><Relationship Id="rId51" Type="http://purl.oclc.org/ooxml/officeDocument/relationships/table" Target="../tables/table48.xml"/><Relationship Id="rId3" Type="http://schemas.openxmlformats.org/officeDocument/2006/relationships/vmlDrawing" Target="../drawings/vmlDrawing4.vml"/><Relationship Id="rId12" Type="http://purl.oclc.org/ooxml/officeDocument/relationships/table" Target="../tables/table9.xml"/><Relationship Id="rId17" Type="http://purl.oclc.org/ooxml/officeDocument/relationships/table" Target="../tables/table14.xml"/><Relationship Id="rId25" Type="http://purl.oclc.org/ooxml/officeDocument/relationships/table" Target="../tables/table22.xml"/><Relationship Id="rId33" Type="http://purl.oclc.org/ooxml/officeDocument/relationships/table" Target="../tables/table30.xml"/><Relationship Id="rId38" Type="http://purl.oclc.org/ooxml/officeDocument/relationships/table" Target="../tables/table35.xml"/><Relationship Id="rId46" Type="http://purl.oclc.org/ooxml/officeDocument/relationships/table" Target="../tables/table43.xml"/><Relationship Id="rId59" Type="http://purl.oclc.org/ooxml/officeDocument/relationships/comments" Target="../comments4.xml"/><Relationship Id="rId20" Type="http://purl.oclc.org/ooxml/officeDocument/relationships/table" Target="../tables/table17.xml"/><Relationship Id="rId41" Type="http://purl.oclc.org/ooxml/officeDocument/relationships/table" Target="../tables/table38.xml"/><Relationship Id="rId54" Type="http://purl.oclc.org/ooxml/officeDocument/relationships/table" Target="../tables/table51.xml"/><Relationship Id="rId1" Type="http://purl.oclc.org/ooxml/officeDocument/relationships/printerSettings" Target="../printerSettings/printerSettings6.bin"/><Relationship Id="rId6" Type="http://purl.oclc.org/ooxml/officeDocument/relationships/table" Target="../tables/table3.xml"/><Relationship Id="rId15" Type="http://purl.oclc.org/ooxml/officeDocument/relationships/table" Target="../tables/table12.xml"/><Relationship Id="rId23" Type="http://purl.oclc.org/ooxml/officeDocument/relationships/table" Target="../tables/table20.xml"/><Relationship Id="rId28" Type="http://purl.oclc.org/ooxml/officeDocument/relationships/table" Target="../tables/table25.xml"/><Relationship Id="rId36" Type="http://purl.oclc.org/ooxml/officeDocument/relationships/table" Target="../tables/table33.xml"/><Relationship Id="rId49" Type="http://purl.oclc.org/ooxml/officeDocument/relationships/table" Target="../tables/table46.xml"/><Relationship Id="rId57" Type="http://purl.oclc.org/ooxml/officeDocument/relationships/table" Target="../tables/table54.xml"/><Relationship Id="rId10" Type="http://purl.oclc.org/ooxml/officeDocument/relationships/table" Target="../tables/table7.xml"/><Relationship Id="rId31" Type="http://purl.oclc.org/ooxml/officeDocument/relationships/table" Target="../tables/table28.xml"/><Relationship Id="rId44" Type="http://purl.oclc.org/ooxml/officeDocument/relationships/table" Target="../tables/table41.xml"/><Relationship Id="rId52" Type="http://purl.oclc.org/ooxml/officeDocument/relationships/table" Target="../tables/table49.xml"/></Relationships>
</file>

<file path=xl/worksheets/_rels/sheet7.xml.rels><?xml version="1.0" encoding="UTF-8" standalone="yes"?>
<Relationships xmlns="http://schemas.openxmlformats.org/package/2006/relationships"><Relationship Id="rId2" Type="http://purl.oclc.org/ooxml/officeDocument/relationships/drawing" Target="../drawings/drawing7.xml"/><Relationship Id="rId1" Type="http://purl.oclc.org/ooxml/officeDocument/relationships/printerSettings" Target="../printerSettings/printerSettings7.bin"/></Relationships>
</file>

<file path=xl/worksheets/_rels/sheet8.xml.rels><?xml version="1.0" encoding="UTF-8" standalone="yes"?>
<Relationships xmlns="http://schemas.openxmlformats.org/package/2006/relationships"><Relationship Id="rId2" Type="http://purl.oclc.org/ooxml/officeDocument/relationships/drawing" Target="../drawings/drawing8.xml"/><Relationship Id="rId1" Type="http://purl.oclc.org/ooxml/officeDocument/relationships/printerSettings" Target="../printerSettings/printerSettings8.bin"/></Relationships>
</file>

<file path=xl/worksheets/_rels/sheet9.xml.rels><?xml version="1.0" encoding="UTF-8" standalone="yes"?>
<Relationships xmlns="http://schemas.openxmlformats.org/package/2006/relationships"><Relationship Id="rId1" Type="http://purl.oclc.org/ooxml/officeDocument/relationships/printerSettings" Target="../printerSettings/printerSettings9.bin"/></Relationships>
</file>

<file path=xl/worksheets/_rels/sheet10.xml.rels><?xml version="1.0" encoding="UTF-8" standalone="yes"?>
<Relationships xmlns="http://schemas.openxmlformats.org/package/2006/relationships"><Relationship Id="rId1" Type="http://purl.oclc.org/ooxml/officeDocument/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purl.oclc.org/ooxml/officeDocument/relationships/drawing" Target="../drawings/drawing9.xml"/><Relationship Id="rId1" Type="http://purl.oclc.org/ooxml/officeDocument/relationships/printerSettings" Target="../printerSettings/printerSettings11.bin"/><Relationship Id="rId4" Type="http://purl.oclc.org/ooxml/officeDocument/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purl.oclc.org/ooxml/officeDocument/relationships/drawing" Target="../drawings/drawing10.xml"/><Relationship Id="rId1" Type="http://purl.oclc.org/ooxml/officeDocument/relationships/printerSettings" Target="../printerSettings/printerSettings12.bin"/><Relationship Id="rId4" Type="http://purl.oclc.org/ooxml/officeDocument/relationships/comments" Target="../comments6.xml"/></Relationships>
</file>

<file path=xl/worksheets/_rels/sheet13.xml.rels><?xml version="1.0" encoding="UTF-8" standalone="yes"?>
<Relationships xmlns="http://schemas.openxmlformats.org/package/2006/relationships"><Relationship Id="rId2" Type="http://purl.oclc.org/ooxml/officeDocument/relationships/drawing" Target="../drawings/drawing11.xml"/><Relationship Id="rId1" Type="http://purl.oclc.org/ooxml/officeDocument/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purl.oclc.org/ooxml/officeDocument/relationships/drawing" Target="../drawings/drawing12.xml"/><Relationship Id="rId1" Type="http://purl.oclc.org/ooxml/officeDocument/relationships/printerSettings" Target="../printerSettings/printerSettings14.bin"/><Relationship Id="rId4" Type="http://purl.oclc.org/ooxml/officeDocument/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purl.oclc.org/ooxml/officeDocument/relationships/drawing" Target="../drawings/drawing13.xml"/><Relationship Id="rId1" Type="http://purl.oclc.org/ooxml/officeDocument/relationships/printerSettings" Target="../printerSettings/printerSettings15.bin"/><Relationship Id="rId4" Type="http://purl.oclc.org/ooxml/officeDocument/relationships/comments" Target="../comments8.xml"/></Relationships>
</file>

<file path=xl/worksheets/_rels/sheet16.xml.rels><?xml version="1.0" encoding="UTF-8" standalone="yes"?>
<Relationships xmlns="http://schemas.openxmlformats.org/package/2006/relationships"><Relationship Id="rId2" Type="http://purl.oclc.org/ooxml/officeDocument/relationships/drawing" Target="../drawings/drawing14.xml"/><Relationship Id="rId1" Type="http://purl.oclc.org/ooxml/officeDocument/relationships/printerSettings" Target="../printerSettings/printerSettings16.bin"/></Relationships>
</file>

<file path=xl/worksheets/_rels/sheet17.xml.rels><?xml version="1.0" encoding="UTF-8" standalone="yes"?>
<Relationships xmlns="http://schemas.openxmlformats.org/package/2006/relationships"><Relationship Id="rId2" Type="http://purl.oclc.org/ooxml/officeDocument/relationships/drawing" Target="../drawings/drawing15.xml"/><Relationship Id="rId1" Type="http://purl.oclc.org/ooxml/officeDocument/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9.vml"/><Relationship Id="rId2" Type="http://purl.oclc.org/ooxml/officeDocument/relationships/drawing" Target="../drawings/drawing16.xml"/><Relationship Id="rId1" Type="http://purl.oclc.org/ooxml/officeDocument/relationships/printerSettings" Target="../printerSettings/printerSettings18.bin"/><Relationship Id="rId4" Type="http://purl.oclc.org/ooxml/officeDocument/relationships/comments" Target="../comments9.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0.vml"/><Relationship Id="rId2" Type="http://purl.oclc.org/ooxml/officeDocument/relationships/drawing" Target="../drawings/drawing17.xml"/><Relationship Id="rId1" Type="http://purl.oclc.org/ooxml/officeDocument/relationships/printerSettings" Target="../printerSettings/printerSettings19.bin"/><Relationship Id="rId4" Type="http://purl.oclc.org/ooxml/officeDocument/relationships/comments" Target="../comments10.xml"/></Relationships>
</file>

<file path=xl/worksheets/_rels/sheet21.xml.rels><?xml version="1.0" encoding="UTF-8" standalone="yes"?>
<Relationships xmlns="http://schemas.openxmlformats.org/package/2006/relationships"><Relationship Id="rId2" Type="http://purl.oclc.org/ooxml/officeDocument/relationships/drawing" Target="../drawings/drawing18.xml"/><Relationship Id="rId1" Type="http://purl.oclc.org/ooxml/officeDocument/relationships/printerSettings" Target="../printerSettings/printerSettings20.bin"/></Relationships>
</file>

<file path=xl/worksheets/_rels/sheet22.xml.rels><?xml version="1.0" encoding="UTF-8" standalone="yes"?>
<Relationships xmlns="http://schemas.openxmlformats.org/package/2006/relationships"><Relationship Id="rId1" Type="http://purl.oclc.org/ooxml/officeDocument/relationships/printerSettings" Target="../printerSettings/printerSettings21.bin"/></Relationships>
</file>

<file path=xl/worksheets/_rels/sheet23.xml.rels><?xml version="1.0" encoding="UTF-8" standalone="yes"?>
<Relationships xmlns="http://schemas.openxmlformats.org/package/2006/relationships"><Relationship Id="rId2" Type="http://purl.oclc.org/ooxml/officeDocument/relationships/drawing" Target="../drawings/drawing19.xml"/><Relationship Id="rId1" Type="http://purl.oclc.org/ooxml/officeDocument/relationships/printerSettings" Target="../printerSettings/printerSettings22.bin"/></Relationships>
</file>

<file path=xl/worksheets/_rels/sheet25.xml.rels><?xml version="1.0" encoding="UTF-8" standalone="yes"?>
<Relationships xmlns="http://schemas.openxmlformats.org/package/2006/relationships"><Relationship Id="rId1" Type="http://purl.oclc.org/ooxml/officeDocument/relationships/printerSettings" Target="../printerSettings/printerSettings23.bin"/></Relationships>
</file>

<file path=xl/worksheets/_rels/sheet27.xml.rels><?xml version="1.0" encoding="UTF-8" standalone="yes"?>
<Relationships xmlns="http://schemas.openxmlformats.org/package/2006/relationships"><Relationship Id="rId2" Type="http://purl.oclc.org/ooxml/officeDocument/relationships/table" Target="../tables/table56.xml"/><Relationship Id="rId1" Type="http://purl.oclc.org/ooxml/officeDocument/relationships/printerSettings" Target="../printerSettings/printerSettings24.bin"/></Relationships>
</file>

<file path=xl/worksheets/_rels/sheet28.xml.rels><?xml version="1.0" encoding="UTF-8" standalone="yes"?>
<Relationships xmlns="http://schemas.openxmlformats.org/package/2006/relationships"><Relationship Id="rId2" Type="http://purl.oclc.org/ooxml/officeDocument/relationships/drawing" Target="../drawings/drawing20.xml"/><Relationship Id="rId1" Type="http://purl.oclc.org/ooxml/officeDocument/relationships/printerSettings" Target="../printerSettings/printerSettings25.bin"/></Relationships>
</file>

<file path=xl/worksheets/_rels/sheet29.xml.rels><?xml version="1.0" encoding="UTF-8" standalone="yes"?>
<Relationships xmlns="http://schemas.openxmlformats.org/package/2006/relationships"><Relationship Id="rId1" Type="http://purl.oclc.org/ooxml/officeDocument/relationships/printerSettings" Target="../printerSettings/printerSettings26.bin"/></Relationships>
</file>

<file path=xl/worksheets/_rels/sheet30.xml.rels><?xml version="1.0" encoding="UTF-8" standalone="yes"?>
<Relationships xmlns="http://schemas.openxmlformats.org/package/2006/relationships"><Relationship Id="rId3" Type="http://purl.oclc.org/ooxml/officeDocument/relationships/drawing" Target="../drawings/drawing21.xml"/><Relationship Id="rId2" Type="http://purl.oclc.org/ooxml/officeDocument/relationships/printerSettings" Target="../printerSettings/printerSettings27.bin"/><Relationship Id="rId1" Type="http://purl.oclc.org/ooxml/officeDocument/relationships/hyperlink" Target="https://energypedia.info/wiki/Toolbox_on_SPIS" TargetMode="Externa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1.vml"/><Relationship Id="rId2" Type="http://purl.oclc.org/ooxml/officeDocument/relationships/drawing" Target="../drawings/drawing22.xml"/><Relationship Id="rId1" Type="http://purl.oclc.org/ooxml/officeDocument/relationships/printerSettings" Target="../printerSettings/printerSettings28.bin"/><Relationship Id="rId4" Type="http://purl.oclc.org/ooxml/officeDocument/relationships/comments" Target="../comments11.xml"/></Relationships>
</file>

<file path=xl/worksheets/_rels/sheet32.xml.rels><?xml version="1.0" encoding="UTF-8" standalone="yes"?>
<Relationships xmlns="http://schemas.openxmlformats.org/package/2006/relationships"><Relationship Id="rId2" Type="http://purl.oclc.org/ooxml/officeDocument/relationships/drawing" Target="../drawings/drawing23.xml"/><Relationship Id="rId1" Type="http://purl.oclc.org/ooxml/officeDocument/relationships/printerSettings" Target="../printerSettings/printerSettings29.bin"/></Relationships>
</file>

<file path=xl/worksheets/_rels/sheet33.xml.rels><?xml version="1.0" encoding="UTF-8" standalone="yes"?>
<Relationships xmlns="http://schemas.openxmlformats.org/package/2006/relationships"><Relationship Id="rId1" Type="http://purl.oclc.org/ooxml/officeDocument/relationships/printerSettings" Target="../printerSettings/printerSettings30.bin"/></Relationships>
</file>

<file path=xl/worksheets/_rels/sheet35.xml.rels><?xml version="1.0" encoding="UTF-8" standalone="yes"?>
<Relationships xmlns="http://schemas.openxmlformats.org/package/2006/relationships"><Relationship Id="rId2" Type="http://purl.oclc.org/ooxml/officeDocument/relationships/printerSettings" Target="../printerSettings/printerSettings31.bin"/><Relationship Id="rId1" Type="http://purl.oclc.org/ooxml/officeDocument/relationships/hyperlink" Target="mailto:CO@%20biomass" TargetMode="External"/></Relationships>
</file>

<file path=xl/worksheets/_rels/sheet36.xml.rels><?xml version="1.0" encoding="UTF-8" standalone="yes"?>
<Relationships xmlns="http://schemas.openxmlformats.org/package/2006/relationships"><Relationship Id="rId1" Type="http://purl.oclc.org/ooxml/officeDocument/relationships/printerSettings" Target="../printerSettings/printerSettings32.bin"/></Relationships>
</file>

<file path=xl/worksheets/_rels/sheet37.xml.rels><?xml version="1.0" encoding="UTF-8" standalone="yes"?>
<Relationships xmlns="http://schemas.openxmlformats.org/package/2006/relationships"><Relationship Id="rId1" Type="http://purl.oclc.org/ooxml/officeDocument/relationships/printerSettings" Target="../printerSettings/printerSettings33.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2.vml"/><Relationship Id="rId2" Type="http://purl.oclc.org/ooxml/officeDocument/relationships/drawing" Target="../drawings/drawing24.xml"/><Relationship Id="rId1" Type="http://purl.oclc.org/ooxml/officeDocument/relationships/printerSettings" Target="../printerSettings/printerSettings34.bin"/><Relationship Id="rId4" Type="http://purl.oclc.org/ooxml/officeDocument/relationships/comments" Target="../comments12.xml"/></Relationships>
</file>

<file path=xl/worksheets/_rels/sheet39.xml.rels><?xml version="1.0" encoding="UTF-8" standalone="yes"?>
<Relationships xmlns="http://schemas.openxmlformats.org/package/2006/relationships"><Relationship Id="rId8" Type="http://purl.oclc.org/ooxml/officeDocument/relationships/table" Target="../tables/table61.xml"/><Relationship Id="rId3" Type="http://schemas.openxmlformats.org/officeDocument/2006/relationships/vmlDrawing" Target="../drawings/vmlDrawing13.vml"/><Relationship Id="rId7" Type="http://purl.oclc.org/ooxml/officeDocument/relationships/table" Target="../tables/table60.xml"/><Relationship Id="rId2" Type="http://purl.oclc.org/ooxml/officeDocument/relationships/drawing" Target="../drawings/drawing25.xml"/><Relationship Id="rId1" Type="http://purl.oclc.org/ooxml/officeDocument/relationships/printerSettings" Target="../printerSettings/printerSettings35.bin"/><Relationship Id="rId6" Type="http://purl.oclc.org/ooxml/officeDocument/relationships/table" Target="../tables/table59.xml"/><Relationship Id="rId5" Type="http://purl.oclc.org/ooxml/officeDocument/relationships/table" Target="../tables/table58.xml"/><Relationship Id="rId4" Type="http://purl.oclc.org/ooxml/officeDocument/relationships/table" Target="../tables/table57.xml"/><Relationship Id="rId9" Type="http://purl.oclc.org/ooxml/officeDocument/relationships/comments" Target="../comments13.xml"/></Relationships>
</file>

<file path=xl/worksheets/_rels/sheet41.xml.rels><?xml version="1.0" encoding="UTF-8" standalone="yes"?>
<Relationships xmlns="http://schemas.openxmlformats.org/package/2006/relationships"><Relationship Id="rId1" Type="http://purl.oclc.org/ooxml/officeDocument/relationships/hyperlink" Target="http://www.earthmap.org/" TargetMode="External"/></Relationships>
</file>

<file path=xl/worksheets/_rels/sheet42.xml.rels><?xml version="1.0" encoding="UTF-8" standalone="yes"?>
<Relationships xmlns="http://schemas.openxmlformats.org/package/2006/relationships"><Relationship Id="rId3" Type="http://purl.oclc.org/ooxml/officeDocument/relationships/hyperlink" Target="https://www.ipcc.ch/site/assets/uploads/2019/12/19R_V0_02_Glossary.pdf" TargetMode="External"/><Relationship Id="rId2" Type="http://purl.oclc.org/ooxml/officeDocument/relationships/hyperlink" Target="https://www.ipcc-nggip.iges.or.jp/public/2006gl/pdf/0_Overview/V0_2_Glossary.pdf" TargetMode="External"/><Relationship Id="rId1" Type="http://purl.oclc.org/ooxml/officeDocument/relationships/hyperlink" Target="https://www.ipcc-nggip.iges.or.jp/public/gpglulucf/gpglulucf_files/Glossary_Acronyms_BasicInfo/Glossary.pdf" TargetMode="External"/><Relationship Id="rId5" Type="http://purl.oclc.org/ooxml/officeDocument/relationships/drawing" Target="../drawings/drawing26.xml"/><Relationship Id="rId4" Type="http://purl.oclc.org/ooxml/officeDocument/relationships/printerSettings" Target="../printerSettings/printerSettings36.bin"/></Relationships>
</file>

<file path=xl/worksheets/_rels/sheet43.xml.rels><?xml version="1.0" encoding="UTF-8" standalone="yes"?>
<Relationships xmlns="http://schemas.openxmlformats.org/package/2006/relationships"><Relationship Id="rId8" Type="http://purl.oclc.org/ooxml/officeDocument/relationships/drawing" Target="../drawings/drawing27.xml"/><Relationship Id="rId3" Type="http://purl.oclc.org/ooxml/officeDocument/relationships/hyperlink" Target="https://aquastat.fao.org/climate-information-tool/" TargetMode="External"/><Relationship Id="rId7" Type="http://purl.oclc.org/ooxml/officeDocument/relationships/printerSettings" Target="../printerSettings/printerSettings37.bin"/><Relationship Id="rId2" Type="http://purl.oclc.org/ooxml/officeDocument/relationships/hyperlink" Target="https://beta.earthmap.org/" TargetMode="External"/><Relationship Id="rId1" Type="http://purl.oclc.org/ooxml/officeDocument/relationships/hyperlink" Target="http://www.fao.org/soils-portal/soil-survey/soil-maps-and-databases/harmonized-world-soil-database-v12/en/" TargetMode="External"/><Relationship Id="rId6" Type="http://purl.oclc.org/ooxml/officeDocument/relationships/hyperlink" Target="https://www.fao.org/soils-portal/data-hub/soil-maps-and-databases/harmonized-world-soil-database-v12/en/" TargetMode="External"/><Relationship Id="rId5" Type="http://purl.oclc.org/ooxml/officeDocument/relationships/hyperlink" Target="https://tool.geofootprint.com/map/en/" TargetMode="External"/><Relationship Id="rId4" Type="http://purl.oclc.org/ooxml/officeDocument/relationships/hyperlink" Target="https://cropcalendar.apps.fao.org/" TargetMode="Externa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4.vml"/><Relationship Id="rId2" Type="http://purl.oclc.org/ooxml/officeDocument/relationships/drawing" Target="../drawings/drawing28.xml"/><Relationship Id="rId1" Type="http://purl.oclc.org/ooxml/officeDocument/relationships/printerSettings" Target="../printerSettings/printerSettings38.bin"/><Relationship Id="rId4" Type="http://purl.oclc.org/ooxml/officeDocument/relationships/comments" Target="../comments14.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5.vml"/><Relationship Id="rId2" Type="http://purl.oclc.org/ooxml/officeDocument/relationships/drawing" Target="../drawings/drawing29.xml"/><Relationship Id="rId1" Type="http://purl.oclc.org/ooxml/officeDocument/relationships/printerSettings" Target="../printerSettings/printerSettings39.bin"/><Relationship Id="rId4" Type="http://purl.oclc.org/ooxml/officeDocument/relationships/comments" Target="../comments15.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172735"/>
  </sheetPr>
  <dimension ref="B1:AD105"/>
  <sheetViews>
    <sheetView topLeftCell="A16" zoomScale="70" zoomScaleNormal="70" workbookViewId="0"/>
  </sheetViews>
  <sheetFormatPr baseColWidth="10" defaultColWidth="9.33203125" defaultRowHeight="14" x14ac:dyDescent="0.15"/>
  <cols>
    <col min="1" max="1" width="2.5" style="973" customWidth="1"/>
    <col min="2" max="2" width="9.5" style="973" customWidth="1"/>
    <col min="3" max="3" width="7" style="973" customWidth="1"/>
    <col min="4" max="4" width="6.5" style="973" customWidth="1"/>
    <col min="5" max="5" width="4.5" style="973" customWidth="1"/>
    <col min="6" max="6" width="8.33203125" style="973" customWidth="1"/>
    <col min="7" max="7" width="4.5" style="973" customWidth="1"/>
    <col min="8" max="8" width="6.5" style="973" customWidth="1"/>
    <col min="9" max="9" width="5.5" style="973" customWidth="1"/>
    <col min="10" max="10" width="8.5" style="973" customWidth="1"/>
    <col min="11" max="22" width="9.33203125" style="973"/>
    <col min="23" max="23" width="11.5" style="973" customWidth="1"/>
    <col min="24" max="24" width="9.33203125" style="973" customWidth="1"/>
    <col min="25" max="25" width="12.5" style="973" customWidth="1"/>
    <col min="26" max="27" width="9.33203125" style="973"/>
    <col min="28" max="28" width="9.33203125" style="973" customWidth="1"/>
    <col min="29" max="29" width="9.33203125" style="973"/>
    <col min="30" max="30" width="28.5" style="973" customWidth="1"/>
    <col min="31" max="16384" width="9.33203125" style="973"/>
  </cols>
  <sheetData>
    <row r="1" spans="2:30" s="1224" customFormat="1" ht="100.5" customHeight="1" x14ac:dyDescent="0.15">
      <c r="B1" s="1445" t="s">
        <v>0</v>
      </c>
    </row>
    <row r="4" spans="2:30" ht="29.25" customHeight="1" x14ac:dyDescent="0.15">
      <c r="AD4" s="4303" t="s">
        <v>5274</v>
      </c>
    </row>
    <row r="15" spans="2:30" x14ac:dyDescent="0.15">
      <c r="F15" s="1058"/>
      <c r="G15" s="1058"/>
      <c r="H15" s="1058"/>
      <c r="I15" s="1058"/>
      <c r="J15" s="1058"/>
      <c r="K15" s="1058"/>
      <c r="L15" s="1058"/>
      <c r="M15" s="1058"/>
      <c r="N15" s="1058"/>
    </row>
    <row r="16" spans="2:30" x14ac:dyDescent="0.15">
      <c r="F16" s="1058"/>
      <c r="G16" s="1058"/>
      <c r="H16" s="1058"/>
      <c r="I16" s="1058"/>
      <c r="J16" s="1058"/>
      <c r="K16" s="1058"/>
      <c r="L16" s="1058"/>
      <c r="M16" s="1058"/>
      <c r="N16" s="1058"/>
    </row>
    <row r="17" spans="6:14" x14ac:dyDescent="0.15">
      <c r="F17" s="1058"/>
      <c r="G17" s="1058"/>
      <c r="H17" s="1058"/>
      <c r="I17" s="1058"/>
      <c r="J17" s="1058"/>
      <c r="K17" s="1058"/>
      <c r="L17" s="1058"/>
      <c r="M17" s="1058"/>
      <c r="N17" s="1058"/>
    </row>
    <row r="18" spans="6:14" x14ac:dyDescent="0.15">
      <c r="F18" s="1058"/>
      <c r="G18" s="1058"/>
      <c r="H18" s="1058"/>
      <c r="I18" s="1058"/>
      <c r="J18" s="1058"/>
      <c r="K18" s="1058"/>
      <c r="L18" s="1058"/>
      <c r="M18" s="1058"/>
      <c r="N18" s="1058"/>
    </row>
    <row r="19" spans="6:14" x14ac:dyDescent="0.15">
      <c r="F19" s="1058"/>
      <c r="G19" s="1058"/>
      <c r="H19" s="1058"/>
      <c r="I19" s="1058"/>
      <c r="J19" s="1058"/>
      <c r="K19" s="1058"/>
      <c r="L19" s="1058"/>
      <c r="M19" s="1058"/>
      <c r="N19" s="1058"/>
    </row>
    <row r="20" spans="6:14" x14ac:dyDescent="0.15">
      <c r="F20" s="1058"/>
      <c r="G20" s="1058"/>
      <c r="H20" s="1058"/>
      <c r="I20" s="1058"/>
      <c r="J20" s="1058"/>
      <c r="K20" s="1058"/>
      <c r="L20" s="1058"/>
      <c r="M20" s="1058"/>
      <c r="N20" s="1058"/>
    </row>
    <row r="21" spans="6:14" x14ac:dyDescent="0.15">
      <c r="F21" s="1058"/>
      <c r="G21" s="1058"/>
      <c r="H21" s="1058"/>
      <c r="I21" s="1058"/>
      <c r="J21" s="1058"/>
      <c r="K21" s="1058"/>
      <c r="L21" s="1058"/>
      <c r="M21" s="1058"/>
      <c r="N21" s="1058"/>
    </row>
    <row r="22" spans="6:14" x14ac:dyDescent="0.15">
      <c r="F22" s="1058"/>
      <c r="G22" s="1058"/>
      <c r="H22" s="1058"/>
      <c r="I22" s="1058"/>
      <c r="J22" s="1058"/>
      <c r="K22" s="1058"/>
      <c r="L22" s="1058"/>
      <c r="M22" s="1058"/>
      <c r="N22" s="1058"/>
    </row>
    <row r="23" spans="6:14" x14ac:dyDescent="0.15">
      <c r="F23" s="1058"/>
      <c r="G23" s="1058"/>
      <c r="H23" s="1058"/>
      <c r="I23" s="1058"/>
      <c r="J23" s="1058"/>
      <c r="K23" s="1058"/>
      <c r="L23" s="1058"/>
      <c r="M23" s="1058"/>
      <c r="N23" s="1058"/>
    </row>
    <row r="24" spans="6:14" x14ac:dyDescent="0.15">
      <c r="F24" s="1058"/>
      <c r="G24" s="1058"/>
      <c r="H24" s="1058"/>
      <c r="I24" s="1058"/>
      <c r="J24" s="1058"/>
      <c r="K24" s="1058"/>
      <c r="L24" s="1058"/>
      <c r="M24" s="1058"/>
      <c r="N24" s="1058"/>
    </row>
    <row r="25" spans="6:14" x14ac:dyDescent="0.15">
      <c r="F25" s="1058"/>
      <c r="G25" s="1058"/>
      <c r="H25" s="1058"/>
      <c r="I25" s="1058"/>
      <c r="J25" s="1058"/>
      <c r="K25" s="1058"/>
    </row>
    <row r="26" spans="6:14" ht="16.5" customHeight="1" x14ac:dyDescent="0.15">
      <c r="F26" s="1058"/>
      <c r="G26" s="1058"/>
      <c r="H26" s="1058"/>
      <c r="I26" s="1058"/>
      <c r="J26" s="1058"/>
      <c r="K26" s="1058"/>
    </row>
    <row r="27" spans="6:14" x14ac:dyDescent="0.15">
      <c r="F27" s="1058"/>
      <c r="G27" s="1058"/>
      <c r="H27" s="1058"/>
      <c r="I27" s="1058"/>
      <c r="J27" s="1058"/>
      <c r="K27" s="1058"/>
    </row>
    <row r="28" spans="6:14" x14ac:dyDescent="0.15">
      <c r="F28" s="1058"/>
      <c r="G28" s="1058"/>
      <c r="H28" s="1058"/>
      <c r="I28" s="1058"/>
      <c r="J28" s="1058"/>
      <c r="K28" s="1058"/>
    </row>
    <row r="29" spans="6:14" x14ac:dyDescent="0.15">
      <c r="F29" s="1058"/>
      <c r="G29" s="1058"/>
      <c r="H29" s="1058"/>
      <c r="I29" s="1058"/>
      <c r="J29" s="1058"/>
      <c r="K29" s="1058"/>
    </row>
    <row r="30" spans="6:14" x14ac:dyDescent="0.15">
      <c r="F30" s="1058"/>
      <c r="G30" s="1058"/>
      <c r="H30" s="1058"/>
      <c r="I30" s="1058"/>
      <c r="J30" s="1058"/>
      <c r="K30" s="1058"/>
    </row>
    <row r="31" spans="6:14" x14ac:dyDescent="0.15">
      <c r="F31" s="1058"/>
      <c r="G31" s="1058"/>
      <c r="H31" s="1058"/>
      <c r="I31" s="1058"/>
      <c r="J31" s="1058"/>
      <c r="K31" s="1058"/>
    </row>
    <row r="32" spans="6:14" x14ac:dyDescent="0.15">
      <c r="F32" s="1058"/>
      <c r="G32" s="1058"/>
      <c r="H32" s="1058"/>
      <c r="I32" s="1058"/>
      <c r="J32" s="1058"/>
      <c r="K32" s="1058"/>
    </row>
    <row r="33" spans="2:29" x14ac:dyDescent="0.15">
      <c r="F33" s="1058"/>
      <c r="G33" s="1058"/>
      <c r="H33" s="1058"/>
      <c r="I33" s="1058"/>
      <c r="J33" s="1058"/>
      <c r="K33" s="1058"/>
    </row>
    <row r="34" spans="2:29" x14ac:dyDescent="0.15">
      <c r="F34" s="1058"/>
      <c r="G34" s="1058"/>
      <c r="H34" s="1058"/>
      <c r="I34" s="1058"/>
      <c r="J34" s="1058"/>
      <c r="K34" s="1058"/>
    </row>
    <row r="35" spans="2:29" x14ac:dyDescent="0.15">
      <c r="F35" s="1058"/>
      <c r="G35" s="1058"/>
      <c r="H35" s="1058"/>
      <c r="I35" s="1058"/>
      <c r="J35" s="1058"/>
      <c r="K35" s="1058"/>
    </row>
    <row r="37" spans="2:29" ht="15" customHeight="1" x14ac:dyDescent="0.15"/>
    <row r="38" spans="2:29" ht="15" customHeight="1" x14ac:dyDescent="0.15"/>
    <row r="43" spans="2:29" ht="39.5" customHeight="1" x14ac:dyDescent="0.15"/>
    <row r="44" spans="2:29" x14ac:dyDescent="0.15">
      <c r="F44" s="1118"/>
      <c r="G44" s="1118"/>
      <c r="H44" s="1117"/>
      <c r="I44" s="1117"/>
      <c r="J44" s="1117"/>
      <c r="K44" s="1117"/>
      <c r="L44" s="1117"/>
      <c r="M44" s="1117"/>
      <c r="N44" s="1117"/>
      <c r="O44" s="1119"/>
      <c r="P44" s="1119"/>
      <c r="Q44" s="1119"/>
      <c r="R44" s="1119"/>
    </row>
    <row r="45" spans="2:29" ht="33" customHeight="1" x14ac:dyDescent="0.2">
      <c r="B45" s="4521" t="s">
        <v>1</v>
      </c>
      <c r="C45" s="4521"/>
      <c r="D45" s="4521"/>
      <c r="E45" s="4521"/>
      <c r="F45" s="4521"/>
      <c r="G45" s="4521"/>
      <c r="H45" s="4521"/>
      <c r="I45" s="4521"/>
      <c r="J45" s="4521"/>
      <c r="K45" s="4521"/>
      <c r="L45" s="4521"/>
      <c r="M45" s="4521"/>
      <c r="N45" s="4521"/>
      <c r="O45" s="4521"/>
      <c r="P45" s="4521"/>
      <c r="Q45" s="4521"/>
      <c r="R45" s="4521"/>
      <c r="S45" s="4521"/>
      <c r="T45" s="4521"/>
      <c r="U45" s="4521"/>
      <c r="V45" s="4521"/>
      <c r="W45" s="4521"/>
      <c r="X45" s="4521"/>
      <c r="Y45" s="4521"/>
      <c r="Z45" s="4521"/>
      <c r="AA45" s="4521"/>
      <c r="AB45" s="4521"/>
      <c r="AC45" s="4521"/>
    </row>
    <row r="46" spans="2:29" ht="15" x14ac:dyDescent="0.2">
      <c r="B46" s="4522" t="s">
        <v>2</v>
      </c>
      <c r="C46" s="4522"/>
      <c r="D46" s="4522"/>
      <c r="E46" s="4522"/>
      <c r="F46" s="4522"/>
      <c r="G46" s="4522"/>
      <c r="H46" s="4522"/>
      <c r="I46" s="4522"/>
      <c r="J46" s="4522"/>
      <c r="K46" s="4522"/>
      <c r="L46" s="4522"/>
      <c r="M46" s="4522"/>
      <c r="N46" s="4522"/>
      <c r="O46" s="4522"/>
      <c r="P46" s="4522"/>
      <c r="Q46" s="4522"/>
      <c r="R46" s="4522"/>
      <c r="S46" s="4522"/>
      <c r="T46" s="4522"/>
      <c r="U46" s="4522"/>
      <c r="V46" s="4522"/>
      <c r="W46" s="4522"/>
      <c r="X46" s="4522"/>
      <c r="Y46" s="4522"/>
      <c r="Z46" s="4522"/>
      <c r="AA46" s="4522"/>
      <c r="AB46" s="4522"/>
      <c r="AC46" s="4522"/>
    </row>
    <row r="47" spans="2:29" ht="15" x14ac:dyDescent="0.2">
      <c r="B47" s="1914" t="s">
        <v>3</v>
      </c>
      <c r="C47" s="4242" t="s">
        <v>4</v>
      </c>
      <c r="D47" s="1914"/>
      <c r="E47" s="1914"/>
      <c r="F47" s="1914"/>
      <c r="G47" s="1914"/>
      <c r="H47" s="1914"/>
      <c r="I47" s="1914"/>
      <c r="J47" s="1914"/>
      <c r="K47" s="1914"/>
      <c r="L47" s="1914"/>
      <c r="M47" s="1914"/>
      <c r="N47" s="1914"/>
      <c r="O47" s="1914"/>
      <c r="P47" s="1914"/>
      <c r="Q47" s="1914"/>
      <c r="R47" s="1914"/>
      <c r="S47" s="1914"/>
      <c r="T47" s="1914"/>
      <c r="U47" s="1914"/>
      <c r="V47" s="1914"/>
      <c r="W47" s="1914"/>
      <c r="X47" s="1914"/>
      <c r="Y47" s="1914"/>
      <c r="Z47" s="1914"/>
      <c r="AA47" s="1914"/>
      <c r="AB47" s="1914"/>
      <c r="AC47" s="1914"/>
    </row>
    <row r="48" spans="2:29" ht="15" x14ac:dyDescent="0.2">
      <c r="B48" s="1914" t="s">
        <v>5</v>
      </c>
      <c r="C48" s="145" t="s">
        <v>6</v>
      </c>
      <c r="D48" s="1914"/>
      <c r="E48" s="1914"/>
      <c r="F48" s="1914"/>
      <c r="G48" s="1914"/>
      <c r="H48" s="1914"/>
      <c r="I48" s="1914"/>
      <c r="J48" s="1914"/>
      <c r="K48" s="1914"/>
      <c r="L48" s="1914"/>
      <c r="M48" s="1914"/>
      <c r="N48" s="1914"/>
      <c r="O48" s="1914"/>
      <c r="P48" s="1914"/>
      <c r="Q48" s="1914"/>
      <c r="R48" s="1914"/>
      <c r="S48" s="1914"/>
      <c r="T48" s="1914"/>
      <c r="U48" s="1914"/>
      <c r="V48" s="1914"/>
      <c r="W48" s="1914"/>
      <c r="X48" s="1914"/>
      <c r="Y48" s="1914"/>
      <c r="Z48" s="1914"/>
      <c r="AA48" s="1914"/>
      <c r="AB48" s="1914"/>
      <c r="AC48" s="1914"/>
    </row>
    <row r="49" spans="2:29" ht="15" x14ac:dyDescent="0.2">
      <c r="B49" s="1914"/>
      <c r="C49" s="1914"/>
      <c r="D49" s="1914"/>
      <c r="E49" s="1914"/>
      <c r="F49" s="1914"/>
      <c r="G49" s="1914"/>
      <c r="H49" s="1914"/>
      <c r="I49" s="1914"/>
      <c r="J49" s="1914"/>
      <c r="K49" s="1914"/>
      <c r="L49" s="1914"/>
      <c r="M49" s="1914"/>
      <c r="N49" s="1914"/>
      <c r="O49" s="1914"/>
      <c r="P49" s="1914"/>
      <c r="Q49" s="1914"/>
      <c r="R49" s="1914"/>
      <c r="S49" s="1914"/>
      <c r="T49" s="1914"/>
      <c r="U49" s="1914"/>
      <c r="V49" s="1914"/>
      <c r="W49" s="1914"/>
      <c r="X49" s="1914"/>
      <c r="Y49" s="1914"/>
      <c r="Z49" s="1914"/>
      <c r="AA49" s="1914"/>
      <c r="AB49" s="1914"/>
      <c r="AC49" s="1914"/>
    </row>
    <row r="50" spans="2:29" ht="15" x14ac:dyDescent="0.2">
      <c r="B50" s="1771"/>
      <c r="C50" s="1771"/>
      <c r="D50" s="1771"/>
      <c r="E50" s="1771"/>
      <c r="F50" s="1771"/>
      <c r="G50" s="2954"/>
      <c r="H50" s="2954"/>
      <c r="I50" s="2954"/>
      <c r="J50" s="2954"/>
      <c r="K50" s="2954"/>
      <c r="L50" s="2954"/>
      <c r="M50" s="2954"/>
      <c r="N50" s="2954"/>
      <c r="O50" s="1771"/>
      <c r="P50" s="1771"/>
      <c r="Q50" s="1771"/>
      <c r="R50" s="1771"/>
      <c r="S50" s="1771"/>
      <c r="T50" s="1771"/>
      <c r="U50" s="1771"/>
      <c r="V50" s="1771"/>
      <c r="W50" s="1771"/>
      <c r="X50" s="1771"/>
      <c r="Y50" s="1771"/>
      <c r="Z50" s="1771"/>
      <c r="AA50" s="1771"/>
      <c r="AB50" s="1771"/>
      <c r="AC50" s="1771"/>
    </row>
    <row r="51" spans="2:29" ht="34.5" customHeight="1" x14ac:dyDescent="0.15">
      <c r="B51" s="4523" t="s">
        <v>7</v>
      </c>
      <c r="C51" s="4523"/>
      <c r="D51" s="4523"/>
      <c r="E51" s="4523"/>
      <c r="F51" s="4523"/>
      <c r="G51" s="4523"/>
      <c r="H51" s="4523"/>
      <c r="I51" s="4523"/>
      <c r="J51" s="4523"/>
      <c r="K51" s="4523"/>
      <c r="L51" s="4523"/>
      <c r="M51" s="4523"/>
      <c r="N51" s="4523"/>
      <c r="O51" s="4523"/>
      <c r="P51" s="4523"/>
      <c r="Q51" s="4523"/>
      <c r="R51" s="4523"/>
      <c r="S51" s="4523"/>
      <c r="T51" s="4523"/>
      <c r="U51" s="4523"/>
      <c r="V51" s="4523"/>
      <c r="W51" s="4523"/>
      <c r="X51" s="4523"/>
      <c r="Y51" s="4523"/>
      <c r="Z51" s="4523"/>
      <c r="AA51" s="4523"/>
      <c r="AB51" s="4523"/>
      <c r="AC51" s="4523"/>
    </row>
    <row r="52" spans="2:29" x14ac:dyDescent="0.15">
      <c r="B52" s="4524" t="s">
        <v>8</v>
      </c>
      <c r="C52" s="4524"/>
      <c r="D52" s="4524"/>
      <c r="E52" s="4524"/>
      <c r="F52" s="4524"/>
      <c r="G52" s="4524"/>
      <c r="H52" s="4524"/>
      <c r="I52" s="4524"/>
      <c r="J52" s="4524"/>
      <c r="K52" s="4524"/>
      <c r="L52" s="4524"/>
      <c r="M52" s="4524"/>
      <c r="N52" s="4524"/>
      <c r="O52" s="4524"/>
      <c r="P52" s="4524"/>
      <c r="Q52" s="4524"/>
      <c r="R52" s="4524"/>
      <c r="S52" s="4524"/>
      <c r="T52" s="4524"/>
      <c r="U52" s="4524"/>
      <c r="V52" s="4524"/>
      <c r="W52" s="4524"/>
      <c r="X52" s="4524"/>
      <c r="Y52" s="4524"/>
      <c r="Z52" s="4524"/>
      <c r="AA52" s="4524"/>
      <c r="AB52" s="4524"/>
      <c r="AC52" s="4524"/>
    </row>
    <row r="53" spans="2:29" x14ac:dyDescent="0.15">
      <c r="B53" s="3954"/>
      <c r="C53" s="3954"/>
      <c r="D53" s="3954"/>
      <c r="E53" s="3954"/>
      <c r="F53" s="3954"/>
      <c r="G53" s="3954"/>
      <c r="H53" s="3954"/>
      <c r="I53" s="3954"/>
      <c r="J53" s="3954"/>
      <c r="K53" s="3537"/>
      <c r="L53" s="3537"/>
      <c r="M53" s="3537"/>
      <c r="N53" s="3537"/>
      <c r="O53" s="3537"/>
      <c r="P53" s="3537"/>
      <c r="Q53" s="3537"/>
      <c r="R53" s="3537"/>
      <c r="S53" s="3537"/>
      <c r="T53" s="3537"/>
      <c r="U53" s="3537"/>
      <c r="V53" s="3537"/>
      <c r="W53" s="3537"/>
      <c r="X53" s="3537"/>
      <c r="Y53" s="3537"/>
      <c r="Z53" s="3537"/>
      <c r="AA53" s="3537"/>
      <c r="AB53" s="3537"/>
      <c r="AC53" s="3537"/>
    </row>
    <row r="54" spans="2:29" ht="50" customHeight="1" x14ac:dyDescent="0.15">
      <c r="B54" s="4523" t="s">
        <v>9</v>
      </c>
      <c r="C54" s="4523"/>
      <c r="D54" s="4523"/>
      <c r="E54" s="4523"/>
      <c r="F54" s="4523"/>
      <c r="G54" s="4523"/>
      <c r="H54" s="4523"/>
      <c r="I54" s="4523"/>
      <c r="J54" s="4523"/>
      <c r="K54" s="4523"/>
      <c r="L54" s="4523"/>
      <c r="M54" s="4523"/>
      <c r="N54" s="4523"/>
      <c r="O54" s="4523"/>
      <c r="P54" s="4523"/>
      <c r="Q54" s="4523"/>
      <c r="R54" s="4523"/>
      <c r="S54" s="4523"/>
      <c r="T54" s="4523"/>
      <c r="U54" s="4523"/>
      <c r="V54" s="4523"/>
      <c r="W54" s="4523"/>
      <c r="X54" s="4523"/>
      <c r="Y54" s="4523"/>
      <c r="Z54" s="4523"/>
      <c r="AA54" s="4523"/>
      <c r="AB54" s="4523"/>
      <c r="AC54" s="4523"/>
    </row>
    <row r="55" spans="2:29" x14ac:dyDescent="0.15">
      <c r="B55" s="1097"/>
      <c r="C55" s="1097"/>
      <c r="D55" s="1097"/>
      <c r="E55" s="1097"/>
      <c r="F55" s="1097"/>
      <c r="G55" s="1097"/>
      <c r="H55" s="1097"/>
      <c r="I55" s="1097"/>
      <c r="J55" s="1097"/>
    </row>
    <row r="59" spans="2:29" s="1771" customFormat="1" ht="17" x14ac:dyDescent="0.2">
      <c r="B59" s="2343" t="s">
        <v>10</v>
      </c>
    </row>
    <row r="60" spans="2:29" s="1771" customFormat="1" x14ac:dyDescent="0.2">
      <c r="B60" s="1971" t="s">
        <v>11</v>
      </c>
    </row>
    <row r="61" spans="2:29" s="1771" customFormat="1" x14ac:dyDescent="0.2">
      <c r="B61" s="1969" t="s">
        <v>12</v>
      </c>
    </row>
    <row r="62" spans="2:29" s="1771" customFormat="1" x14ac:dyDescent="0.2">
      <c r="B62" s="1969" t="s">
        <v>13</v>
      </c>
    </row>
    <row r="63" spans="2:29" s="1771" customFormat="1" x14ac:dyDescent="0.2">
      <c r="B63" s="1969" t="s">
        <v>14</v>
      </c>
    </row>
    <row r="64" spans="2:29" s="1771" customFormat="1" x14ac:dyDescent="0.2">
      <c r="B64" s="1969" t="s">
        <v>15</v>
      </c>
    </row>
    <row r="65" spans="2:2" s="1771" customFormat="1" x14ac:dyDescent="0.2">
      <c r="B65" s="1969" t="s">
        <v>16</v>
      </c>
    </row>
    <row r="66" spans="2:2" s="1771" customFormat="1" x14ac:dyDescent="0.2">
      <c r="B66" s="1969" t="s">
        <v>17</v>
      </c>
    </row>
    <row r="67" spans="2:2" s="1771" customFormat="1" x14ac:dyDescent="0.2">
      <c r="B67" s="4379" t="s">
        <v>18</v>
      </c>
    </row>
    <row r="68" spans="2:2" s="1771" customFormat="1" x14ac:dyDescent="0.2">
      <c r="B68" s="4379" t="s">
        <v>19</v>
      </c>
    </row>
    <row r="69" spans="2:2" s="1771" customFormat="1" x14ac:dyDescent="0.2">
      <c r="B69" s="1971" t="s">
        <v>20</v>
      </c>
    </row>
    <row r="70" spans="2:2" s="1771" customFormat="1" x14ac:dyDescent="0.2">
      <c r="B70" s="4379" t="s">
        <v>21</v>
      </c>
    </row>
    <row r="71" spans="2:2" s="1771" customFormat="1" x14ac:dyDescent="0.2">
      <c r="B71" s="4380" t="s">
        <v>22</v>
      </c>
    </row>
    <row r="72" spans="2:2" s="1771" customFormat="1" x14ac:dyDescent="0.2">
      <c r="B72" s="4381" t="s">
        <v>23</v>
      </c>
    </row>
    <row r="73" spans="2:2" s="1771" customFormat="1" x14ac:dyDescent="0.2">
      <c r="B73" s="4381" t="s">
        <v>24</v>
      </c>
    </row>
    <row r="74" spans="2:2" s="1771" customFormat="1" x14ac:dyDescent="0.2">
      <c r="B74" s="4381" t="s">
        <v>25</v>
      </c>
    </row>
    <row r="75" spans="2:2" s="1771" customFormat="1" x14ac:dyDescent="0.2">
      <c r="B75" s="4381" t="s">
        <v>26</v>
      </c>
    </row>
    <row r="76" spans="2:2" s="1771" customFormat="1" x14ac:dyDescent="0.2">
      <c r="B76" s="1971" t="s">
        <v>27</v>
      </c>
    </row>
    <row r="77" spans="2:2" s="1771" customFormat="1" x14ac:dyDescent="0.2">
      <c r="B77" s="4382" t="s">
        <v>28</v>
      </c>
    </row>
    <row r="78" spans="2:2" s="1771" customFormat="1" x14ac:dyDescent="0.2">
      <c r="B78" s="4382" t="s">
        <v>29</v>
      </c>
    </row>
    <row r="79" spans="2:2" s="1771" customFormat="1" x14ac:dyDescent="0.2">
      <c r="B79" s="4379" t="s">
        <v>30</v>
      </c>
    </row>
    <row r="80" spans="2:2" s="1771" customFormat="1" x14ac:dyDescent="0.2">
      <c r="B80" s="4379" t="s">
        <v>31</v>
      </c>
    </row>
    <row r="81" spans="2:2" s="1771" customFormat="1" x14ac:dyDescent="0.2">
      <c r="B81" s="4379" t="s">
        <v>32</v>
      </c>
    </row>
    <row r="82" spans="2:2" s="1771" customFormat="1" x14ac:dyDescent="0.2">
      <c r="B82" s="1971" t="s">
        <v>33</v>
      </c>
    </row>
    <row r="83" spans="2:2" s="1771" customFormat="1" x14ac:dyDescent="0.2">
      <c r="B83" s="4379" t="s">
        <v>34</v>
      </c>
    </row>
    <row r="84" spans="2:2" s="1771" customFormat="1" x14ac:dyDescent="0.2">
      <c r="B84" s="4383" t="s">
        <v>35</v>
      </c>
    </row>
    <row r="85" spans="2:2" s="1771" customFormat="1" x14ac:dyDescent="0.2">
      <c r="B85" s="4383" t="s">
        <v>36</v>
      </c>
    </row>
    <row r="86" spans="2:2" s="1771" customFormat="1" x14ac:dyDescent="0.2">
      <c r="B86" s="4383" t="s">
        <v>37</v>
      </c>
    </row>
    <row r="87" spans="2:2" s="1771" customFormat="1" x14ac:dyDescent="0.2">
      <c r="B87" s="4383" t="s">
        <v>38</v>
      </c>
    </row>
    <row r="88" spans="2:2" s="1771" customFormat="1" x14ac:dyDescent="0.2">
      <c r="B88" s="4383" t="s">
        <v>39</v>
      </c>
    </row>
    <row r="89" spans="2:2" s="1771" customFormat="1" x14ac:dyDescent="0.2">
      <c r="B89" s="4379" t="s">
        <v>40</v>
      </c>
    </row>
    <row r="90" spans="2:2" s="1771" customFormat="1" x14ac:dyDescent="0.2">
      <c r="B90" s="4384" t="s">
        <v>41</v>
      </c>
    </row>
    <row r="91" spans="2:2" s="1771" customFormat="1" x14ac:dyDescent="0.2">
      <c r="B91" s="4384" t="s">
        <v>42</v>
      </c>
    </row>
    <row r="92" spans="2:2" s="1771" customFormat="1" x14ac:dyDescent="0.2">
      <c r="B92" s="4384" t="s">
        <v>43</v>
      </c>
    </row>
    <row r="93" spans="2:2" s="1771" customFormat="1" x14ac:dyDescent="0.2">
      <c r="B93" s="4384" t="s">
        <v>44</v>
      </c>
    </row>
    <row r="94" spans="2:2" s="1771" customFormat="1" x14ac:dyDescent="0.2">
      <c r="B94" s="1971" t="s">
        <v>45</v>
      </c>
    </row>
    <row r="95" spans="2:2" s="1771" customFormat="1" x14ac:dyDescent="0.2">
      <c r="B95" s="4382" t="s">
        <v>46</v>
      </c>
    </row>
    <row r="96" spans="2:2" s="1771" customFormat="1" x14ac:dyDescent="0.2">
      <c r="B96" s="4379" t="s">
        <v>47</v>
      </c>
    </row>
    <row r="97" spans="2:2" s="1771" customFormat="1" x14ac:dyDescent="0.2">
      <c r="B97" s="4379" t="s">
        <v>48</v>
      </c>
    </row>
    <row r="98" spans="2:2" s="1771" customFormat="1" x14ac:dyDescent="0.2">
      <c r="B98" s="4379" t="s">
        <v>49</v>
      </c>
    </row>
    <row r="99" spans="2:2" s="1771" customFormat="1" x14ac:dyDescent="0.2">
      <c r="B99" s="4379" t="s">
        <v>50</v>
      </c>
    </row>
    <row r="100" spans="2:2" s="1771" customFormat="1" x14ac:dyDescent="0.2">
      <c r="B100" s="4379" t="s">
        <v>51</v>
      </c>
    </row>
    <row r="101" spans="2:2" s="1771" customFormat="1" x14ac:dyDescent="0.2">
      <c r="B101" s="1971" t="s">
        <v>52</v>
      </c>
    </row>
    <row r="102" spans="2:2" s="1771" customFormat="1" x14ac:dyDescent="0.2">
      <c r="B102" s="4379" t="s">
        <v>53</v>
      </c>
    </row>
    <row r="103" spans="2:2" s="1771" customFormat="1" x14ac:dyDescent="0.2">
      <c r="B103" s="4379" t="s">
        <v>54</v>
      </c>
    </row>
    <row r="104" spans="2:2" s="1771" customFormat="1" x14ac:dyDescent="0.2">
      <c r="B104" s="1971" t="s">
        <v>55</v>
      </c>
    </row>
    <row r="105" spans="2:2" s="1771" customFormat="1" x14ac:dyDescent="0.2">
      <c r="B105" s="4379" t="s">
        <v>56</v>
      </c>
    </row>
  </sheetData>
  <sheetProtection algorithmName="SHA-512" hashValue="AIzrP0+tGWK+F3cg9OKX/RDSrWN+xPWjfhSSs4LQnPjv+bQrUNdusIcIc3KTQxepCr4vIUujz7RJ34hwdMWM4g==" saltValue="DztNGZik1HRAn/0bdjWX8w==" spinCount="100000" sheet="1"/>
  <mergeCells count="5">
    <mergeCell ref="B45:AC45"/>
    <mergeCell ref="B46:AC46"/>
    <mergeCell ref="B54:AC54"/>
    <mergeCell ref="B51:AC51"/>
    <mergeCell ref="B52:AC52"/>
  </mergeCells>
  <hyperlinks>
    <hyperlink ref="C47" r:id="rId1" xr:uid="{00000000-0004-0000-0000-000000000000}"/>
    <hyperlink ref="C48" r:id="rId2" display="mailto:EX-ACT@fao.org" xr:uid="{00000000-0004-0000-0000-000001000000}"/>
    <hyperlink ref="B71" r:id="rId3" display="http://www.fao.org/in-action/epic/ex-act-tool/suite-of-tools/registration/en/" xr:uid="{00000000-0004-0000-0000-000002000000}"/>
    <hyperlink ref="B77" r:id="rId4" display="http://www.fao.org/in-action/epic/ex-act-tool/suite-of-tools/registration/en/" xr:uid="{00000000-0004-0000-0000-000003000000}"/>
    <hyperlink ref="B78" r:id="rId5" display="mailto:exact@fao.org" xr:uid="{00000000-0004-0000-0000-000004000000}"/>
    <hyperlink ref="B95" r:id="rId6" display="mailto:exact@fao.org" xr:uid="{00000000-0004-0000-0000-000005000000}"/>
  </hyperlinks>
  <pageMargins left="0.7" right="0.7" top="0.75" bottom="0.75" header="0.3" footer="0.3"/>
  <pageSetup paperSize="9" orientation="portrait" r:id="rId7"/>
  <drawing r:id="rId8"/>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172735"/>
  </sheetPr>
  <dimension ref="C1:AF30"/>
  <sheetViews>
    <sheetView showGridLines="0" zoomScale="80" zoomScaleNormal="80" zoomScaleSheetLayoutView="90" workbookViewId="0">
      <selection activeCell="W22" sqref="W22"/>
    </sheetView>
  </sheetViews>
  <sheetFormatPr baseColWidth="10" defaultColWidth="9.33203125" defaultRowHeight="14" x14ac:dyDescent="0.2"/>
  <cols>
    <col min="1" max="1" width="9" style="1771" customWidth="1"/>
    <col min="2" max="2" width="6.5" style="1771" customWidth="1"/>
    <col min="3" max="3" width="4.5" style="1771" customWidth="1"/>
    <col min="4" max="4" width="10.6640625" style="1771" customWidth="1"/>
    <col min="5" max="5" width="13" style="1771" customWidth="1"/>
    <col min="6" max="6" width="9.33203125" style="1771" customWidth="1"/>
    <col min="7" max="7" width="11.5" style="1771" customWidth="1"/>
    <col min="8" max="8" width="9.33203125" style="1771"/>
    <col min="9" max="10" width="9.33203125" style="1771" customWidth="1"/>
    <col min="11" max="11" width="6.5" style="1771" customWidth="1"/>
    <col min="12" max="12" width="6.6640625" style="1771" customWidth="1"/>
    <col min="13" max="13" width="5.6640625" style="1771" customWidth="1"/>
    <col min="14" max="14" width="9.33203125" style="1771" customWidth="1"/>
    <col min="15" max="16" width="9.33203125" style="1771"/>
    <col min="17" max="17" width="9.33203125" style="1771" customWidth="1"/>
    <col min="18" max="26" width="9.33203125" style="1771"/>
    <col min="27" max="27" width="14.6640625" style="1771" customWidth="1"/>
    <col min="28" max="28" width="1.5" style="1771" customWidth="1"/>
    <col min="29" max="16384" width="9.33203125" style="1771"/>
  </cols>
  <sheetData>
    <row r="1" spans="3:32" s="1767" customFormat="1" ht="100.5" customHeight="1" x14ac:dyDescent="0.2"/>
    <row r="4" spans="3:32" ht="45" customHeight="1" x14ac:dyDescent="0.2">
      <c r="C4" s="1767"/>
      <c r="D4" s="2038" t="str">
        <f>Languages!B31</f>
        <v>1. DESCRIPTION</v>
      </c>
      <c r="E4" s="1767"/>
      <c r="F4" s="1767"/>
      <c r="G4" s="1767"/>
      <c r="H4" s="1767"/>
      <c r="I4" s="1767"/>
      <c r="J4" s="1767"/>
      <c r="K4" s="1767"/>
      <c r="L4" s="1767"/>
      <c r="M4" s="1767"/>
      <c r="N4" s="1767"/>
      <c r="O4" s="1767"/>
      <c r="P4" s="1767"/>
      <c r="Q4" s="1767"/>
      <c r="R4" s="1767"/>
      <c r="S4" s="1767"/>
      <c r="T4" s="1767"/>
      <c r="U4" s="1767"/>
      <c r="V4" s="1767"/>
      <c r="W4" s="1767"/>
      <c r="X4" s="1767"/>
    </row>
    <row r="5" spans="3:32" ht="5.25" customHeight="1" x14ac:dyDescent="0.2"/>
    <row r="6" spans="3:32" ht="15.75" customHeight="1" x14ac:dyDescent="0.2">
      <c r="C6" s="1781"/>
      <c r="D6" s="1781"/>
      <c r="E6" s="1781"/>
      <c r="F6" s="1781"/>
      <c r="G6" s="1781"/>
      <c r="H6" s="1781"/>
      <c r="I6" s="1781"/>
      <c r="J6" s="1781"/>
      <c r="K6" s="1781"/>
      <c r="L6" s="1781"/>
      <c r="M6" s="1781"/>
      <c r="N6" s="1781"/>
      <c r="O6" s="1781"/>
      <c r="P6" s="1781"/>
      <c r="Q6" s="1781"/>
      <c r="R6" s="1781"/>
      <c r="S6" s="1781"/>
      <c r="T6" s="1781"/>
      <c r="U6" s="1781"/>
      <c r="V6" s="1781"/>
      <c r="W6" s="1781"/>
      <c r="X6" s="1781"/>
    </row>
    <row r="7" spans="3:32" s="1969" customFormat="1" ht="25.25" customHeight="1" x14ac:dyDescent="0.2">
      <c r="C7" s="1960"/>
      <c r="D7" s="1769" t="str">
        <f>Languages!B32</f>
        <v>1.1 Project description</v>
      </c>
      <c r="E7" s="1977"/>
      <c r="F7" s="1769"/>
      <c r="G7" s="1769"/>
      <c r="H7" s="1769"/>
      <c r="I7" s="1769"/>
      <c r="J7" s="1769"/>
      <c r="K7" s="1960"/>
      <c r="L7" s="1960"/>
      <c r="M7" s="1960"/>
      <c r="N7" s="1769" t="str">
        <f>Languages!B42</f>
        <v>1.2 Project site and duration</v>
      </c>
      <c r="O7" s="1977"/>
      <c r="P7" s="1769"/>
      <c r="Q7" s="1769"/>
      <c r="R7" s="1769"/>
      <c r="S7" s="1769"/>
      <c r="T7" s="1769"/>
      <c r="U7" s="1960"/>
      <c r="V7" s="1960"/>
      <c r="W7" s="1960"/>
      <c r="X7" s="1960"/>
      <c r="Z7" s="1769" t="str">
        <f>Languages!B56</f>
        <v>Choose a language</v>
      </c>
      <c r="AA7" s="1769"/>
      <c r="AB7" s="1769"/>
      <c r="AC7" s="1769"/>
      <c r="AD7" s="1771"/>
      <c r="AE7" s="1771"/>
      <c r="AF7" s="1771"/>
    </row>
    <row r="8" spans="3:32" ht="20.25" customHeight="1" x14ac:dyDescent="0.2">
      <c r="C8" s="1781"/>
      <c r="D8" s="4281" t="str">
        <f>Languages!B34</f>
        <v>User Name</v>
      </c>
      <c r="E8" s="4281"/>
      <c r="F8" s="2006"/>
      <c r="G8" s="4526"/>
      <c r="H8" s="4526"/>
      <c r="I8" s="4526"/>
      <c r="J8" s="4526"/>
      <c r="K8" s="1781"/>
      <c r="L8" s="1781"/>
      <c r="M8" s="1781"/>
      <c r="N8" s="4525" t="str">
        <f>Languages!B43</f>
        <v xml:space="preserve">Continent </v>
      </c>
      <c r="O8" s="4525"/>
      <c r="P8" s="4525"/>
      <c r="Q8" s="4528" t="s">
        <v>1555</v>
      </c>
      <c r="R8" s="4528"/>
      <c r="S8" s="4528"/>
      <c r="T8" s="4528"/>
      <c r="U8" s="1781"/>
      <c r="V8" s="1781"/>
      <c r="W8" s="1781"/>
      <c r="X8" s="1781"/>
      <c r="Z8" s="1781"/>
      <c r="AA8" s="1781"/>
      <c r="AB8" s="1781"/>
      <c r="AC8" s="1806"/>
    </row>
    <row r="9" spans="3:32" ht="20" customHeight="1" x14ac:dyDescent="0.2">
      <c r="C9" s="1781"/>
      <c r="D9" s="4281" t="str">
        <f>Languages!B35</f>
        <v>Date</v>
      </c>
      <c r="E9" s="4281"/>
      <c r="F9" s="2039"/>
      <c r="G9" s="4527"/>
      <c r="H9" s="4527"/>
      <c r="I9" s="4527"/>
      <c r="J9" s="4527"/>
      <c r="K9" s="1781"/>
      <c r="L9" s="1781"/>
      <c r="M9" s="1781"/>
      <c r="N9" s="4525" t="str">
        <f>Languages!B44</f>
        <v>Country</v>
      </c>
      <c r="O9" s="4525"/>
      <c r="P9" s="4525"/>
      <c r="Q9" s="4529" t="s">
        <v>2775</v>
      </c>
      <c r="R9" s="4529"/>
      <c r="S9" s="4529"/>
      <c r="T9" s="4529"/>
      <c r="U9" s="1781"/>
      <c r="V9" s="1781"/>
      <c r="W9" s="1781"/>
      <c r="X9" s="1781"/>
      <c r="Z9" s="1781"/>
      <c r="AA9" s="4444" t="s">
        <v>3434</v>
      </c>
      <c r="AB9" s="1781"/>
      <c r="AC9" s="1781"/>
    </row>
    <row r="10" spans="3:32" ht="20" customHeight="1" x14ac:dyDescent="0.2">
      <c r="C10" s="1781"/>
      <c r="D10" s="4281" t="str">
        <f>Languages!B36</f>
        <v xml:space="preserve">Project name </v>
      </c>
      <c r="E10" s="4282"/>
      <c r="F10" s="2039"/>
      <c r="G10" s="4526"/>
      <c r="H10" s="4526"/>
      <c r="I10" s="4526"/>
      <c r="J10" s="4526"/>
      <c r="K10" s="1781"/>
      <c r="L10" s="1781"/>
      <c r="M10" s="1781"/>
      <c r="N10" s="4525" t="str">
        <f>Languages!B45</f>
        <v xml:space="preserve">Climate </v>
      </c>
      <c r="O10" s="4525"/>
      <c r="P10" s="4525"/>
      <c r="Q10" s="4530" t="s">
        <v>1360</v>
      </c>
      <c r="R10" s="4530"/>
      <c r="S10" s="4530"/>
      <c r="T10" s="4530"/>
      <c r="U10" s="1781"/>
      <c r="V10" s="1781"/>
      <c r="W10" s="1781"/>
      <c r="X10" s="1781"/>
      <c r="Z10" s="1781"/>
      <c r="AA10" s="1838"/>
      <c r="AB10" s="1838"/>
      <c r="AC10" s="1838"/>
    </row>
    <row r="11" spans="3:32" ht="20" customHeight="1" x14ac:dyDescent="0.2">
      <c r="C11" s="1781"/>
      <c r="D11" s="4281" t="str">
        <f>Languages!B37</f>
        <v>Project code</v>
      </c>
      <c r="E11" s="4281"/>
      <c r="F11" s="2039"/>
      <c r="G11" s="4535"/>
      <c r="H11" s="4535"/>
      <c r="I11" s="4535"/>
      <c r="J11" s="4535"/>
      <c r="K11" s="1781"/>
      <c r="L11" s="1781"/>
      <c r="M11" s="1781"/>
      <c r="N11" s="4525" t="str">
        <f>Languages!B46</f>
        <v xml:space="preserve">Moisture </v>
      </c>
      <c r="O11" s="4525"/>
      <c r="P11" s="4525"/>
      <c r="Q11" s="4530" t="s">
        <v>1364</v>
      </c>
      <c r="R11" s="4530"/>
      <c r="S11" s="4530"/>
      <c r="T11" s="4530"/>
      <c r="U11" s="1781"/>
      <c r="V11" s="1781"/>
      <c r="W11" s="1781"/>
      <c r="X11" s="1781"/>
    </row>
    <row r="12" spans="3:32" ht="20" customHeight="1" x14ac:dyDescent="0.2">
      <c r="C12" s="1781"/>
      <c r="D12" s="4281" t="str">
        <f>Languages!B38</f>
        <v>Project cost (in USD)</v>
      </c>
      <c r="E12" s="4282"/>
      <c r="F12" s="2039"/>
      <c r="G12" s="4537"/>
      <c r="H12" s="4537"/>
      <c r="I12" s="4537"/>
      <c r="J12" s="4537"/>
      <c r="K12" s="1781"/>
      <c r="L12" s="1781"/>
      <c r="M12" s="1781"/>
      <c r="N12" s="4525" t="str">
        <f>Languages!B47</f>
        <v xml:space="preserve">Soil Type </v>
      </c>
      <c r="O12" s="4525"/>
      <c r="P12" s="4525"/>
      <c r="Q12" s="4531" t="s">
        <v>1314</v>
      </c>
      <c r="R12" s="4531"/>
      <c r="S12" s="4531"/>
      <c r="T12" s="4531"/>
      <c r="U12" s="1781"/>
      <c r="V12" s="1781"/>
      <c r="W12" s="1781"/>
      <c r="X12" s="1781"/>
    </row>
    <row r="13" spans="3:32" ht="20" customHeight="1" x14ac:dyDescent="0.2">
      <c r="C13" s="1781"/>
      <c r="D13" s="4281" t="str">
        <f>Languages!B39</f>
        <v xml:space="preserve">Funding agency </v>
      </c>
      <c r="E13" s="4281"/>
      <c r="F13" s="2039"/>
      <c r="G13" s="4535"/>
      <c r="H13" s="4535"/>
      <c r="I13" s="4535"/>
      <c r="J13" s="4535"/>
      <c r="K13" s="1781"/>
      <c r="L13" s="1781"/>
      <c r="M13" s="1781"/>
      <c r="N13" s="4525" t="str">
        <f>Languages!B48</f>
        <v>Project duration (in years)</v>
      </c>
      <c r="O13" s="4525"/>
      <c r="P13" s="4525"/>
      <c r="Q13" s="1781"/>
      <c r="R13" s="2798"/>
      <c r="S13" s="2798" t="str">
        <f>Languages!B49</f>
        <v xml:space="preserve">Implementation Phase </v>
      </c>
      <c r="T13" s="4230">
        <v>5</v>
      </c>
      <c r="U13" s="1781"/>
      <c r="V13" s="1781"/>
      <c r="W13" s="1781"/>
      <c r="X13" s="1781"/>
    </row>
    <row r="14" spans="3:32" ht="20" customHeight="1" x14ac:dyDescent="0.2">
      <c r="C14" s="1781"/>
      <c r="D14" s="4281" t="str">
        <f>Languages!B40</f>
        <v>Executing agency</v>
      </c>
      <c r="E14" s="4281"/>
      <c r="F14" s="2039"/>
      <c r="G14" s="4535"/>
      <c r="H14" s="4535"/>
      <c r="I14" s="4535"/>
      <c r="J14" s="4535"/>
      <c r="K14" s="1781"/>
      <c r="L14" s="1781"/>
      <c r="M14" s="1781"/>
      <c r="N14" s="4536"/>
      <c r="O14" s="4536"/>
      <c r="P14" s="4536"/>
      <c r="Q14" s="1781"/>
      <c r="R14" s="2799"/>
      <c r="S14" s="2798" t="str">
        <f>Languages!B50</f>
        <v xml:space="preserve">Capitalization Phase </v>
      </c>
      <c r="T14" s="4230">
        <v>10</v>
      </c>
      <c r="U14" s="1781"/>
      <c r="V14" s="1781"/>
      <c r="W14" s="1781"/>
      <c r="X14" s="1781"/>
    </row>
    <row r="15" spans="3:32" ht="20" customHeight="1" x14ac:dyDescent="0.2">
      <c r="C15" s="1781"/>
      <c r="D15" s="4281" t="str">
        <f>Languages!B41</f>
        <v>Project status</v>
      </c>
      <c r="E15" s="4281"/>
      <c r="F15" s="2039"/>
      <c r="G15" s="4534" t="s">
        <v>57</v>
      </c>
      <c r="H15" s="4534"/>
      <c r="I15" s="4534"/>
      <c r="J15" s="4534"/>
      <c r="K15" s="1781"/>
      <c r="L15" s="1781"/>
      <c r="M15" s="1781"/>
      <c r="N15" s="4538"/>
      <c r="O15" s="4538"/>
      <c r="P15" s="2040"/>
      <c r="Q15" s="1781"/>
      <c r="R15" s="2799"/>
      <c r="S15" s="2797" t="str">
        <f>Languages!B51</f>
        <v>Total Duration of Accounting</v>
      </c>
      <c r="T15" s="2039">
        <f>time+time_cap</f>
        <v>15</v>
      </c>
      <c r="U15" s="1781"/>
      <c r="V15" s="1781"/>
      <c r="W15" s="1781"/>
      <c r="X15" s="1781"/>
    </row>
    <row r="16" spans="3:32" ht="20" customHeight="1" x14ac:dyDescent="0.2">
      <c r="C16" s="1781"/>
      <c r="D16" s="2041" t="s">
        <v>58</v>
      </c>
      <c r="E16" s="2042"/>
      <c r="F16" s="2042"/>
      <c r="G16" s="4533"/>
      <c r="H16" s="4533"/>
      <c r="I16" s="4533"/>
      <c r="J16" s="4533"/>
      <c r="K16" s="1781"/>
      <c r="L16" s="1781"/>
      <c r="M16" s="1781"/>
      <c r="N16" s="2043" t="s">
        <v>59</v>
      </c>
      <c r="O16" s="1781"/>
      <c r="P16" s="1781"/>
      <c r="Q16" s="1781"/>
      <c r="R16" s="1781"/>
      <c r="S16" s="1781"/>
      <c r="T16" s="1781"/>
      <c r="U16" s="1781"/>
      <c r="V16" s="1781"/>
      <c r="W16" s="1781"/>
      <c r="X16" s="1781"/>
    </row>
    <row r="17" spans="3:25" ht="20" customHeight="1" x14ac:dyDescent="0.2">
      <c r="C17" s="1781"/>
      <c r="D17" s="2044"/>
      <c r="E17" s="1781"/>
      <c r="F17" s="1781"/>
      <c r="G17" s="1781"/>
      <c r="H17" s="1781"/>
      <c r="I17" s="1781"/>
      <c r="J17" s="1781"/>
      <c r="K17" s="1781"/>
      <c r="L17" s="4058" t="s">
        <v>3722</v>
      </c>
      <c r="M17" s="1781"/>
      <c r="N17" s="1781"/>
      <c r="O17" s="1781"/>
      <c r="P17" s="1781"/>
      <c r="Q17" s="1781"/>
      <c r="R17" s="1781"/>
      <c r="S17" s="1781"/>
      <c r="T17" s="1781"/>
      <c r="U17" s="1781"/>
      <c r="V17" s="1781"/>
      <c r="W17" s="1781"/>
      <c r="X17" s="1781"/>
    </row>
    <row r="18" spans="3:25" ht="20" customHeight="1" x14ac:dyDescent="0.2">
      <c r="D18" s="2045"/>
    </row>
    <row r="19" spans="3:25" ht="17" x14ac:dyDescent="0.2">
      <c r="D19" s="2046"/>
      <c r="E19" s="2046"/>
      <c r="F19" s="2046"/>
      <c r="I19" s="2047"/>
      <c r="J19" s="2046"/>
    </row>
    <row r="20" spans="3:25" x14ac:dyDescent="0.2">
      <c r="D20" s="1772"/>
      <c r="E20" s="1772"/>
      <c r="F20" s="1772"/>
      <c r="J20" s="1772"/>
    </row>
    <row r="21" spans="3:25" x14ac:dyDescent="0.2">
      <c r="D21" s="1772"/>
      <c r="E21" s="1772"/>
      <c r="F21" s="1772"/>
      <c r="J21" s="1772"/>
      <c r="K21" s="1772"/>
      <c r="L21" s="1772"/>
      <c r="M21" s="1772"/>
      <c r="N21" s="1772"/>
      <c r="O21" s="1772"/>
      <c r="P21" s="1772"/>
      <c r="Q21" s="1772"/>
      <c r="R21" s="1772"/>
      <c r="S21" s="1772"/>
      <c r="T21" s="1772"/>
      <c r="U21" s="1772"/>
      <c r="V21" s="1772"/>
      <c r="W21" s="1772"/>
      <c r="X21" s="1772"/>
      <c r="Y21" s="1772"/>
    </row>
    <row r="22" spans="3:25" ht="24.5" customHeight="1" x14ac:dyDescent="0.2">
      <c r="C22" s="1769" t="str">
        <f>Languages!B53</f>
        <v>1.3 Global warming potential</v>
      </c>
      <c r="D22" s="1769"/>
      <c r="E22" s="1769"/>
      <c r="F22" s="1769"/>
      <c r="G22" s="1769"/>
      <c r="H22" s="1769"/>
      <c r="I22" s="1769"/>
      <c r="J22" s="1769"/>
      <c r="O22" s="1769" t="str">
        <f>Languages!B52</f>
        <v>1.4 Reference soil organic carbon stock</v>
      </c>
      <c r="P22" s="1769"/>
      <c r="Q22" s="1769"/>
      <c r="R22" s="1769"/>
      <c r="S22" s="1769"/>
      <c r="T22" s="1769"/>
      <c r="U22" s="1769"/>
      <c r="V22" s="1772"/>
      <c r="W22" s="1772"/>
      <c r="X22" s="1772"/>
    </row>
    <row r="23" spans="3:25" ht="24.5" customHeight="1" x14ac:dyDescent="0.2">
      <c r="C23" s="1781"/>
      <c r="D23" s="1781"/>
      <c r="E23" s="1781"/>
      <c r="F23" s="1781"/>
      <c r="G23" s="1781"/>
      <c r="H23" s="1781"/>
      <c r="I23" s="1781"/>
      <c r="J23" s="1781"/>
      <c r="O23" s="1781"/>
      <c r="P23" s="1781"/>
      <c r="Q23" s="1781"/>
      <c r="R23" s="1806" t="s">
        <v>62</v>
      </c>
      <c r="S23" s="1806"/>
      <c r="T23" s="1781"/>
      <c r="U23" s="1781"/>
      <c r="V23" s="1772"/>
      <c r="W23" s="1772"/>
      <c r="X23" s="1772"/>
    </row>
    <row r="24" spans="3:25" ht="16" x14ac:dyDescent="0.2">
      <c r="C24" s="1781"/>
      <c r="D24" s="4436" t="str">
        <f>Languages!B54</f>
        <v>Source:</v>
      </c>
      <c r="E24" s="4532" t="s">
        <v>1468</v>
      </c>
      <c r="F24" s="4532"/>
      <c r="G24" s="4532"/>
      <c r="H24" s="1781"/>
      <c r="I24" s="1806" t="s">
        <v>66</v>
      </c>
      <c r="J24" s="1781"/>
      <c r="O24" s="1781"/>
      <c r="P24" s="1781"/>
      <c r="Q24" s="1781"/>
      <c r="R24" s="1850" t="str">
        <f>Languages!B55</f>
        <v>Default</v>
      </c>
      <c r="S24" s="1806" t="s">
        <v>66</v>
      </c>
      <c r="T24" s="1781"/>
      <c r="U24" s="1781"/>
      <c r="V24" s="1772"/>
      <c r="W24" s="1772"/>
      <c r="X24" s="1772"/>
    </row>
    <row r="25" spans="3:25" ht="29" customHeight="1" x14ac:dyDescent="0.2">
      <c r="C25" s="1781"/>
      <c r="D25" s="1826" t="s">
        <v>67</v>
      </c>
      <c r="E25" s="1781"/>
      <c r="F25" s="1781"/>
      <c r="G25" s="1781">
        <f>IF($E$24="please select","",1)</f>
        <v>1</v>
      </c>
      <c r="H25" s="1781"/>
      <c r="I25" s="1781"/>
      <c r="J25" s="1781"/>
      <c r="O25" s="1781"/>
      <c r="P25" s="1960" t="s">
        <v>68</v>
      </c>
      <c r="Q25" s="1960"/>
      <c r="R25" s="1838">
        <f>IFERROR(INDEX(IPCC!$B$39:$I$49,MATCH(clim_moist,IPCC!$A$39:$A$49,0),MATCH(soil,IPCC!$B$38:$I$38,0)),"")</f>
        <v>24</v>
      </c>
      <c r="S25" s="2128"/>
      <c r="T25" s="1781"/>
      <c r="U25" s="1781"/>
      <c r="V25" s="1772"/>
      <c r="W25" s="1772"/>
      <c r="X25" s="1772"/>
    </row>
    <row r="26" spans="3:25" ht="18.75" customHeight="1" x14ac:dyDescent="0.2">
      <c r="C26" s="1781"/>
      <c r="D26" s="1826" t="s">
        <v>69</v>
      </c>
      <c r="E26" s="1781"/>
      <c r="F26" s="1781"/>
      <c r="G26" s="1781">
        <f>IF($E$24="please select","",IF($E$24="100 yr SAR", 21, IF($E$24="100 yr AR4", 25, IF($E$24="100 yr AR5 with CC feedback", 34, IF($E$24="100 yr AR5 w/out CC feedback", 28, IF($E$24="100 yr AR6", 27.2, IF($E$24="OTHER (TIER 2)", I26,"")))))))</f>
        <v>28</v>
      </c>
      <c r="H26" s="1781"/>
      <c r="I26" s="4391"/>
      <c r="J26" s="1781"/>
      <c r="O26" s="1781"/>
      <c r="P26" s="1781"/>
      <c r="Q26" s="1781"/>
      <c r="R26" s="1781"/>
      <c r="S26" s="1781"/>
      <c r="T26" s="1781"/>
      <c r="U26" s="1781"/>
      <c r="V26" s="1772"/>
      <c r="W26" s="1772"/>
      <c r="X26" s="1772"/>
    </row>
    <row r="27" spans="3:25" ht="18.75" customHeight="1" x14ac:dyDescent="0.2">
      <c r="C27" s="1781"/>
      <c r="D27" s="1826" t="s">
        <v>70</v>
      </c>
      <c r="E27" s="1781"/>
      <c r="F27" s="1781"/>
      <c r="G27" s="1781">
        <f>IF($E$24="please select","",IF($E$24="100 yr SAR", 310, IF($E$24="100 yr AR4", 298, IF($E$24="100 yr AR5 with CC feedback", 298, IF($E$24="100 yr AR5 w/out CC feedback", 265, IF($E$24="100 yr AR6", 273, IF($E$24="OTHER (TIER 2)", I27,"")))))))</f>
        <v>265</v>
      </c>
      <c r="H27" s="1781"/>
      <c r="I27" s="4391"/>
      <c r="J27" s="1781"/>
      <c r="L27" s="1772"/>
      <c r="M27" s="1772"/>
      <c r="N27" s="4318" t="str">
        <f>IF(R25="NO", "ERROR: default value does not exist for selected combination of climate, moisture and soil type", "")</f>
        <v/>
      </c>
      <c r="O27" s="1772"/>
      <c r="P27" s="1772"/>
      <c r="Q27" s="1772"/>
      <c r="R27" s="1772"/>
      <c r="S27" s="1772"/>
      <c r="T27" s="1772"/>
      <c r="U27" s="1772"/>
      <c r="V27" s="1772"/>
      <c r="W27" s="1772"/>
      <c r="X27" s="1772"/>
    </row>
    <row r="28" spans="3:25" ht="19.25" customHeight="1" x14ac:dyDescent="0.2">
      <c r="C28" s="1781"/>
      <c r="D28" s="1826" t="s">
        <v>3726</v>
      </c>
      <c r="E28" s="1781" t="s">
        <v>3712</v>
      </c>
      <c r="F28" s="1781"/>
      <c r="G28" s="4417">
        <f>IF($E$24="please select","",IF($E$24="100 yr SAR", 21, IF($E$24="100 yr AR4", 25, IF($E$24="100 yr AR5 with CC feedback", 34, IF($E$24="100 yr AR5 w/out CC feedback", 28, IF($E$24="100 yr AR6", 29.8, IF($E$24="OTHER (TIER 2)", I26,"")))))))</f>
        <v>28</v>
      </c>
      <c r="H28" s="1781"/>
      <c r="I28" s="1781"/>
      <c r="J28" s="1781"/>
      <c r="L28" s="1772"/>
      <c r="M28" s="1772"/>
      <c r="N28" s="1772"/>
      <c r="O28" s="1772"/>
      <c r="P28" s="1772"/>
      <c r="Q28" s="1772"/>
      <c r="R28" s="1772"/>
      <c r="S28" s="1772"/>
      <c r="T28" s="1772"/>
      <c r="U28" s="1772"/>
      <c r="V28" s="1772"/>
      <c r="W28" s="1772"/>
      <c r="X28" s="1772"/>
    </row>
    <row r="29" spans="3:25" x14ac:dyDescent="0.2">
      <c r="D29" s="4392" t="str">
        <f>IF(OR(methane=0,Nitrous=0), "Please fill the GWP for methane and nitroux oxyde before proceeding","")</f>
        <v/>
      </c>
      <c r="E29" s="1772"/>
      <c r="F29" s="1772"/>
      <c r="J29" s="1772"/>
      <c r="K29" s="1772"/>
      <c r="L29" s="1772"/>
      <c r="M29" s="1772"/>
      <c r="N29" s="1772"/>
      <c r="O29" s="1772"/>
      <c r="P29" s="1772"/>
      <c r="Q29" s="1772"/>
      <c r="R29" s="1772"/>
      <c r="S29" s="1772"/>
      <c r="T29" s="1772"/>
      <c r="U29" s="1772"/>
      <c r="V29" s="1772"/>
      <c r="W29" s="1772"/>
      <c r="X29" s="1772"/>
    </row>
    <row r="30" spans="3:25" x14ac:dyDescent="0.2">
      <c r="D30" s="1772"/>
      <c r="E30" s="1772"/>
      <c r="F30" s="1772"/>
      <c r="I30" s="1772"/>
      <c r="J30" s="1772"/>
      <c r="K30" s="1772"/>
      <c r="L30" s="1772"/>
      <c r="M30" s="1772"/>
      <c r="N30" s="1772"/>
      <c r="O30" s="1772"/>
      <c r="P30" s="1772"/>
      <c r="Q30" s="1772"/>
      <c r="R30" s="1772"/>
      <c r="S30" s="1772"/>
      <c r="T30" s="1772"/>
      <c r="U30" s="1772"/>
      <c r="V30" s="1772"/>
      <c r="W30" s="1772"/>
      <c r="X30" s="1772"/>
    </row>
  </sheetData>
  <sheetProtection algorithmName="SHA-512" hashValue="Ng2g+TX8TZF7mS/cmn1zta5t7T2xdyKErYOPI9FJGB/Mh9dc1Bh/n/+7Ld6U7NnuffwfJWZaBNA1J1iHOqzaFw==" saltValue="FBF3mWYnFlhBaD9qOpMg3A==" spinCount="100000" sheet="1" formatColumns="0"/>
  <mergeCells count="23">
    <mergeCell ref="E24:G24"/>
    <mergeCell ref="G16:J16"/>
    <mergeCell ref="G15:J15"/>
    <mergeCell ref="G11:J11"/>
    <mergeCell ref="N12:P12"/>
    <mergeCell ref="N13:P13"/>
    <mergeCell ref="N14:P14"/>
    <mergeCell ref="G14:J14"/>
    <mergeCell ref="G12:J12"/>
    <mergeCell ref="G13:J13"/>
    <mergeCell ref="N15:O15"/>
    <mergeCell ref="N11:P11"/>
    <mergeCell ref="Q8:T8"/>
    <mergeCell ref="Q9:T9"/>
    <mergeCell ref="Q10:T10"/>
    <mergeCell ref="Q11:T11"/>
    <mergeCell ref="Q12:T12"/>
    <mergeCell ref="N10:P10"/>
    <mergeCell ref="N9:P9"/>
    <mergeCell ref="N8:P8"/>
    <mergeCell ref="G8:J8"/>
    <mergeCell ref="G10:J10"/>
    <mergeCell ref="G9:J9"/>
  </mergeCells>
  <conditionalFormatting sqref="D16:F16">
    <cfRule type="expression" dxfId="359" priority="8">
      <formula>$G$15="Other"</formula>
    </cfRule>
  </conditionalFormatting>
  <conditionalFormatting sqref="D28:G28">
    <cfRule type="expression" dxfId="358" priority="1">
      <formula>$E$24&lt;&gt;"100 yr AR6"</formula>
    </cfRule>
  </conditionalFormatting>
  <conditionalFormatting sqref="D16:J16">
    <cfRule type="expression" dxfId="357" priority="9">
      <formula>IF(OR(G15 = "Design", "Implementation", "Completed"), "", "if other, please specify")</formula>
    </cfRule>
  </conditionalFormatting>
  <conditionalFormatting sqref="G16:J16">
    <cfRule type="expression" dxfId="356" priority="7">
      <formula>$G$15="Other"</formula>
    </cfRule>
  </conditionalFormatting>
  <conditionalFormatting sqref="I24">
    <cfRule type="expression" dxfId="355" priority="3">
      <formula>$E$24&lt;&gt;"Other (tier 2)"</formula>
    </cfRule>
  </conditionalFormatting>
  <conditionalFormatting sqref="I26:I27">
    <cfRule type="expression" dxfId="354" priority="2">
      <formula>$E$24&lt;&gt;"Other (tier 2)"</formula>
    </cfRule>
  </conditionalFormatting>
  <conditionalFormatting sqref="L17">
    <cfRule type="expression" dxfId="353" priority="6">
      <formula>$Q$12="Organic soils"</formula>
    </cfRule>
  </conditionalFormatting>
  <conditionalFormatting sqref="N16">
    <cfRule type="expression" dxfId="352" priority="5">
      <formula>$Q$10="Tropical Montane"</formula>
    </cfRule>
  </conditionalFormatting>
  <dataValidations count="1">
    <dataValidation type="list" allowBlank="1" showInputMessage="1" showErrorMessage="1" sqref="Q11" xr:uid="{00000000-0002-0000-0100-000000000000}">
      <formula1>equation</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1000000}">
          <x14:formula1>
            <xm:f>OFFSET(list_region_country!$G$3,1,MATCH(continent_selected, list_region_country!$G$3:$V$3,0)-1,COUNTA(OFFSET(list_region_country!$G$3,1,MATCH(continent_selected, list_region_country!$G$3:$V$3,0)-1,60,1)),1)</xm:f>
          </x14:formula1>
          <xm:sqref>Q9:T9</xm:sqref>
        </x14:dataValidation>
        <x14:dataValidation type="list" allowBlank="1" showInputMessage="1" showErrorMessage="1" xr:uid="{00000000-0002-0000-0100-000002000000}">
          <x14:formula1>
            <xm:f>list_region_country!$D$4:$D$20</xm:f>
          </x14:formula1>
          <xm:sqref>Q8</xm:sqref>
        </x14:dataValidation>
        <x14:dataValidation type="list" allowBlank="1" showInputMessage="1" showErrorMessage="1" xr:uid="{00000000-0002-0000-0100-000003000000}">
          <x14:formula1>
            <xm:f>list!$L$6:$L$13</xm:f>
          </x14:formula1>
          <xm:sqref>Q12</xm:sqref>
        </x14:dataValidation>
        <x14:dataValidation type="list" allowBlank="1" showInputMessage="1" showErrorMessage="1" xr:uid="{00000000-0002-0000-0100-000004000000}">
          <x14:formula1>
            <xm:f>list!$C$18:$C$22</xm:f>
          </x14:formula1>
          <xm:sqref>G15:J15</xm:sqref>
        </x14:dataValidation>
        <x14:dataValidation type="list" allowBlank="1" showInputMessage="1" showErrorMessage="1" xr:uid="{00000000-0002-0000-0100-000005000000}">
          <x14:formula1>
            <xm:f>list!$G$7:$G$12</xm:f>
          </x14:formula1>
          <xm:sqref>Q10</xm:sqref>
        </x14:dataValidation>
        <x14:dataValidation type="list" allowBlank="1" showInputMessage="1" showErrorMessage="1" xr:uid="{00000000-0002-0000-0100-000006000000}">
          <x14:formula1>
            <xm:f>list!$F$60:$F$65</xm:f>
          </x14:formula1>
          <xm:sqref>E24:G24</xm:sqref>
        </x14:dataValidation>
        <x14:dataValidation type="list" allowBlank="1" showInputMessage="1" showErrorMessage="1" xr:uid="{00000000-0002-0000-0100-000007000000}">
          <x14:formula1>
            <xm:f>Languages!$B$2:$B$4</xm:f>
          </x14:formula1>
          <xm:sqref>AA9</xm:sqref>
        </x14:dataValidation>
      </x14:dataValidations>
    </ext>
  </extLst>
</worksheet>
</file>

<file path=xl/worksheets/sheet3.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T48"/>
  <sheetViews>
    <sheetView showGridLines="0" topLeftCell="H1" zoomScale="70" zoomScaleNormal="70" workbookViewId="0">
      <selection activeCell="Q26" sqref="Q26"/>
    </sheetView>
  </sheetViews>
  <sheetFormatPr baseColWidth="10" defaultColWidth="8.6640625" defaultRowHeight="14" x14ac:dyDescent="0.15"/>
  <cols>
    <col min="1" max="1" width="21.6640625" style="1324" customWidth="1"/>
    <col min="2" max="2" width="24.6640625" style="1324" customWidth="1"/>
    <col min="3" max="3" width="28.33203125" style="1324" customWidth="1"/>
    <col min="4" max="5" width="34.5" style="1324" customWidth="1"/>
    <col min="6" max="6" width="29.5" style="1324" customWidth="1"/>
    <col min="7" max="7" width="19.33203125" style="1324" customWidth="1"/>
    <col min="8" max="8" width="28.6640625" style="1324" customWidth="1"/>
    <col min="9" max="9" width="27.5" style="1324" customWidth="1"/>
    <col min="10" max="10" width="39.5" style="1324" customWidth="1"/>
    <col min="11" max="11" width="26.6640625" style="1324" bestFit="1" customWidth="1"/>
    <col min="12" max="12" width="18" style="1324" customWidth="1"/>
    <col min="13" max="13" width="10.5" style="1324" bestFit="1" customWidth="1"/>
    <col min="14" max="14" width="13.5" style="1324" bestFit="1" customWidth="1"/>
    <col min="15" max="15" width="15.33203125" style="1324" customWidth="1"/>
    <col min="16" max="16" width="13.5" style="1324" customWidth="1"/>
    <col min="17" max="17" width="14.6640625" style="1324" customWidth="1"/>
    <col min="18" max="18" width="18.5" style="1324" bestFit="1" customWidth="1"/>
    <col min="19" max="19" width="12.5" style="1324" customWidth="1"/>
    <col min="20" max="20" width="15.5" style="1324" customWidth="1"/>
    <col min="21" max="21" width="32.5" style="1324" bestFit="1" customWidth="1"/>
    <col min="22" max="22" width="44.5" style="1324" customWidth="1"/>
    <col min="23" max="24" width="15.5" style="1324" customWidth="1"/>
    <col min="25" max="26" width="8.6640625" style="1324"/>
    <col min="27" max="27" width="14.33203125" style="1324" customWidth="1"/>
    <col min="28" max="28" width="12.5" style="1324" customWidth="1"/>
    <col min="29" max="30" width="12.33203125" style="1324" customWidth="1"/>
    <col min="31" max="32" width="12.5" style="1324" customWidth="1"/>
    <col min="33" max="45" width="8.6640625" style="1324"/>
    <col min="46" max="46" width="12.5" style="1324" bestFit="1" customWidth="1"/>
    <col min="47" max="47" width="13.33203125" style="1324" customWidth="1"/>
    <col min="48" max="48" width="15" style="1324" bestFit="1" customWidth="1"/>
    <col min="49" max="49" width="13.33203125" style="1324" bestFit="1" customWidth="1"/>
    <col min="50" max="54" width="8.6640625" style="1324"/>
    <col min="55" max="55" width="13.6640625" style="1324" customWidth="1"/>
    <col min="56" max="56" width="16.5" style="1324" customWidth="1"/>
    <col min="57" max="16384" width="8.6640625" style="1324"/>
  </cols>
  <sheetData>
    <row r="1" spans="1:46" s="973" customFormat="1" x14ac:dyDescent="0.15">
      <c r="A1" s="1609"/>
    </row>
    <row r="2" spans="1:46" s="973" customFormat="1" x14ac:dyDescent="0.15"/>
    <row r="3" spans="1:46" s="973" customFormat="1" ht="45.75" customHeight="1" x14ac:dyDescent="0.3">
      <c r="A3" s="2634" t="s">
        <v>97</v>
      </c>
      <c r="B3" s="1680"/>
      <c r="C3" s="1681"/>
      <c r="D3" s="1681"/>
      <c r="E3" s="1681"/>
      <c r="F3" s="1681"/>
      <c r="G3" s="1681"/>
      <c r="H3" s="1681"/>
      <c r="I3" s="1681"/>
      <c r="J3" s="1681"/>
      <c r="K3" s="1681"/>
      <c r="L3" s="1681"/>
      <c r="M3" s="1681"/>
      <c r="N3" s="1681"/>
      <c r="O3" s="1681"/>
      <c r="P3" s="1681"/>
      <c r="Q3" s="1681"/>
      <c r="R3" s="1681"/>
      <c r="S3" s="1681"/>
      <c r="T3" s="1681"/>
      <c r="U3" s="1681"/>
      <c r="V3" s="1681"/>
      <c r="W3" s="1681"/>
      <c r="X3" s="1681"/>
      <c r="Y3" s="1681"/>
      <c r="Z3" s="1681"/>
    </row>
    <row r="4" spans="1:46" s="973" customFormat="1" x14ac:dyDescent="0.15"/>
    <row r="5" spans="1:46" s="973" customFormat="1" ht="5.25" customHeight="1" x14ac:dyDescent="0.15"/>
    <row r="6" spans="1:46" s="973" customFormat="1" x14ac:dyDescent="0.15"/>
    <row r="7" spans="1:46" ht="21" x14ac:dyDescent="0.25">
      <c r="A7" s="2636" t="s">
        <v>98</v>
      </c>
      <c r="B7" s="2636"/>
      <c r="C7" s="2636"/>
      <c r="D7" s="2636"/>
      <c r="E7" s="2636"/>
      <c r="G7" s="1427" t="s">
        <v>99</v>
      </c>
      <c r="H7" s="1124" t="s">
        <v>100</v>
      </c>
      <c r="I7" s="2415" t="s">
        <v>101</v>
      </c>
      <c r="J7" s="1682" t="s">
        <v>101</v>
      </c>
      <c r="K7" s="1682" t="s">
        <v>102</v>
      </c>
      <c r="L7" s="1433" t="s">
        <v>103</v>
      </c>
      <c r="M7" s="1682" t="s">
        <v>104</v>
      </c>
      <c r="N7" s="1682" t="s">
        <v>105</v>
      </c>
      <c r="O7" s="1683" t="s">
        <v>79</v>
      </c>
      <c r="P7" s="1683" t="s">
        <v>106</v>
      </c>
      <c r="Q7" s="1683" t="s">
        <v>107</v>
      </c>
      <c r="R7" s="1683" t="s">
        <v>108</v>
      </c>
      <c r="S7" s="1683" t="s">
        <v>109</v>
      </c>
      <c r="T7" s="1683" t="s">
        <v>110</v>
      </c>
      <c r="U7" s="1683" t="s">
        <v>5214</v>
      </c>
      <c r="V7" s="1683" t="s">
        <v>5215</v>
      </c>
      <c r="AT7" s="1684"/>
    </row>
    <row r="8" spans="1:46" ht="15" thickBot="1" x14ac:dyDescent="0.2">
      <c r="A8" s="2648" t="s">
        <v>111</v>
      </c>
      <c r="B8" s="2648" t="s">
        <v>112</v>
      </c>
      <c r="C8" s="2648" t="s">
        <v>113</v>
      </c>
      <c r="D8" s="2648" t="s">
        <v>114</v>
      </c>
      <c r="E8" s="2648" t="s">
        <v>115</v>
      </c>
      <c r="F8" s="2635"/>
      <c r="G8" s="1685"/>
      <c r="H8" s="1125" t="str">
        <f>climate2</f>
        <v>WarmTemperate</v>
      </c>
      <c r="I8" s="1686" t="s">
        <v>116</v>
      </c>
      <c r="J8" s="1686" t="s">
        <v>117</v>
      </c>
      <c r="K8" s="2416" t="s">
        <v>62</v>
      </c>
      <c r="L8" s="1686" t="s">
        <v>116</v>
      </c>
      <c r="M8" s="1686" t="s">
        <v>117</v>
      </c>
      <c r="N8" s="1686" t="s">
        <v>62</v>
      </c>
      <c r="O8" s="1687" t="s">
        <v>117</v>
      </c>
      <c r="P8" s="2418" t="s">
        <v>62</v>
      </c>
      <c r="Q8" s="1687" t="s">
        <v>117</v>
      </c>
      <c r="R8" s="1687" t="s">
        <v>62</v>
      </c>
      <c r="S8" s="1687" t="s">
        <v>62</v>
      </c>
      <c r="T8" s="1687" t="s">
        <v>62</v>
      </c>
      <c r="U8" s="1687"/>
      <c r="V8" s="1687"/>
    </row>
    <row r="9" spans="1:46" ht="16" thickBot="1" x14ac:dyDescent="0.25">
      <c r="A9" s="2638" t="s">
        <v>118</v>
      </c>
      <c r="B9" s="2639" t="s">
        <v>119</v>
      </c>
      <c r="C9" s="2639" t="s">
        <v>120</v>
      </c>
      <c r="D9" s="2639" t="s">
        <v>121</v>
      </c>
      <c r="E9" s="2640" t="s">
        <v>122</v>
      </c>
      <c r="F9" s="2637"/>
      <c r="G9" s="1690">
        <v>1</v>
      </c>
      <c r="H9" s="1126" t="str">
        <f>B23</f>
        <v>Please select</v>
      </c>
      <c r="I9" s="1689">
        <f>IF(H9="Please select",0,IF(H9="Mangrove Forest",VLOOKUP(clim_moist,IPCC!$A$1502:$G$1510,2,FALSE),INDEX(IPCC!$B$590:$AK$606,MATCH(continent_selected,IPCC!$A$590:$A$606,0),MATCH(H9,IPCC!$B$590:$AK$590,0))))</f>
        <v>0</v>
      </c>
      <c r="J9" s="1744">
        <f>IF(H9="Please select",0,IF(H9="Mangrove Forest",$I9*0.451,$I9*0.47))</f>
        <v>0</v>
      </c>
      <c r="K9" s="1280">
        <f>IF('2.LUC'!$AT11="",'2.LUC'!$AS11,'2.LUC'!$AT11)</f>
        <v>0</v>
      </c>
      <c r="L9" s="1689">
        <f>IF(H9 = "Please select",0, IF(H9="Mangrove Forest",VLOOKUP(clim_moist,IPCC!$A$1502:$G$1511,6,FALSE),IF(OR(I9&lt;=125,I9&lt;=75),INDEX(IPCC!$B$618:$AI$633,MATCH(continent_selected,IPCC!$A$618:$A$633,0),MATCH(H9,IPCC!$B$616:$AI$616,0)),(IF(OR(I9&gt;125,I9&gt;75),INDEX(IPCC!$AJ$616:$BS$633,MATCH(continent_selected,IPCC!$A$616:$A$633,0),MATCH(H9,IPCC!$AJ$616:$BS$616,0)),""))))*I9)</f>
        <v>0</v>
      </c>
      <c r="M9" s="1744">
        <f>IF(H9="Please select",0,IF(H9="Mangrove Forest",L9*0.451,L9*0.47))</f>
        <v>0</v>
      </c>
      <c r="N9" s="1280">
        <f>IF('2.LUC'!AW11="",'2.LUC'!AV11,'2.LUC'!AW11)</f>
        <v>0</v>
      </c>
      <c r="O9" s="1745">
        <f>IF(H9 = "Please select", 0, IF(H9 = "Mangrove Forest", VLOOKUP(clim_moist, IPCC!$A$1502:$J$1511, 8, FALSE),VLOOKUP(H9, IPCC!$A$643:$B$677, 2, FALSE)))</f>
        <v>0</v>
      </c>
      <c r="P9" s="2419">
        <f>IF('2.LUC'!$AZ11="",'2.LUC'!$AY11,'2.LUC'!$AZ11)</f>
        <v>0</v>
      </c>
      <c r="Q9" s="1746">
        <f>IF(H9 = "Please select", 0, IF(H9= "Mangrove Forest", VLOOKUP(clim_moist, IPCC!$A$1502:$J$1511, 9, FALSE),  VLOOKUP(H9, IPCC!$A$643:$C$677, 3, FALSE)))</f>
        <v>0</v>
      </c>
      <c r="R9" s="2419">
        <f>IF('2.LUC'!$BC11="",'2.LUC'!$BB11,'2.LUC'!$BC11)</f>
        <v>0</v>
      </c>
      <c r="S9" s="1745">
        <f>'2.LUC'!BE11</f>
        <v>0</v>
      </c>
      <c r="T9" s="2419">
        <f>IF('2.LUC'!$BF11="",S9,'2.LUC'!$BF11)</f>
        <v>0</v>
      </c>
      <c r="U9" s="1745">
        <f>IF(J9= "Please select", 0, INDEX(IPCC!$B$852:$X$863,MATCH(clim_moist,IPCC!$A$852:$A$863,0),MATCH("Forest land",IPCC!$B$852:$X$852,0)))</f>
        <v>1</v>
      </c>
      <c r="V9" s="1356">
        <f>IF('2.LUC'!$BI11="",'2.LUC'!$BH11,'2.LUC'!$BI11)</f>
        <v>1</v>
      </c>
    </row>
    <row r="10" spans="1:46" ht="16" thickBot="1" x14ac:dyDescent="0.25">
      <c r="A10" s="2641" t="s">
        <v>123</v>
      </c>
      <c r="B10" s="2642" t="s">
        <v>124</v>
      </c>
      <c r="C10" s="2642" t="s">
        <v>125</v>
      </c>
      <c r="D10" s="2642" t="s">
        <v>126</v>
      </c>
      <c r="E10" s="2643" t="s">
        <v>127</v>
      </c>
      <c r="F10" s="2637"/>
      <c r="G10" s="1690">
        <v>2</v>
      </c>
      <c r="H10" s="1126" t="str">
        <f t="shared" ref="H10:H16" si="0">B24</f>
        <v>Please select</v>
      </c>
      <c r="I10" s="1691">
        <f>IF(H10="Please select",0,IF(H10="Mangrove Forest",VLOOKUP(clim_moist,IPCC!$A$1502:$G$1510,2,FALSE),INDEX(IPCC!$B$590:$AK$606,MATCH(continent_selected,IPCC!$A$590:$A$606,0),MATCH(H10,IPCC!$B$590:$AK$590,0))))</f>
        <v>0</v>
      </c>
      <c r="J10" s="1744">
        <f t="shared" ref="J10:J16" si="1">IF(H10="Please select",0,IF(H10="Mangrove Forest",$I10*0.451,$I10*0.47))</f>
        <v>0</v>
      </c>
      <c r="K10" s="1280">
        <f>IF('2.LUC'!$AT12="",'2.LUC'!$AS12,'2.LUC'!$AT12)</f>
        <v>0</v>
      </c>
      <c r="L10" s="1691">
        <f>IF(H10 = "Please select",0, IF(H10="Mangrove Forest",VLOOKUP(clim_moist,IPCC!$A$1502:$G$1511,6,FALSE),IF(OR(I10&lt;=125,I10&lt;=75),INDEX(IPCC!$B$618:$AI$633,MATCH(continent_selected,IPCC!$A$618:$A$633,0),MATCH(H10,IPCC!$B$616:$AI$616,0)),(IF(OR(I10&gt;125,I10&gt;75),INDEX(IPCC!$AJ$616:$BS$633,MATCH(continent_selected,IPCC!$A$616:$A$633,0),MATCH(H10,IPCC!$AJ$616:$BS$616,0)),""))))*I10)</f>
        <v>0</v>
      </c>
      <c r="M10" s="1744">
        <f t="shared" ref="M10:M16" si="2">IF(H10="Please select",0,IF(H10="Mangrove Forest",L10*0.451,L10*0.47))</f>
        <v>0</v>
      </c>
      <c r="N10" s="1280">
        <f>IF('2.LUC'!AW12="",'2.LUC'!AV12,'2.LUC'!AW12)</f>
        <v>0</v>
      </c>
      <c r="O10" s="1745">
        <f>IF(H10 = "Please select", 0, IF(H10 = "Mangrove Forest", VLOOKUP(clim_moist, IPCC!$A$1502:$J$1511, 8, FALSE),VLOOKUP(H10, IPCC!$A$643:$B$677, 2, FALSE)))</f>
        <v>0</v>
      </c>
      <c r="P10" s="2420">
        <f>IF('2.LUC'!$AZ12="",'2.LUC'!$AY12,'2.LUC'!$AZ12)</f>
        <v>0</v>
      </c>
      <c r="Q10" s="1746">
        <f>IF(H10 = "Please select", 0, IF(H10= "Mangrove Forest", VLOOKUP(clim_moist, IPCC!$A$1502:$J$1511, 9, FALSE),  VLOOKUP(H10, IPCC!$A$643:$C$677, 3, FALSE)))</f>
        <v>0</v>
      </c>
      <c r="R10" s="2420">
        <f>IF('2.LUC'!$BC12="",'2.LUC'!$BB12,'2.LUC'!$BC12)</f>
        <v>0</v>
      </c>
      <c r="S10" s="1745">
        <f>'2.LUC'!BE12</f>
        <v>0</v>
      </c>
      <c r="T10" s="2419">
        <f>IF('2.LUC'!$BF12="",S10,'2.LUC'!$BF12)</f>
        <v>0</v>
      </c>
      <c r="U10" s="1745">
        <f>IF(J10= "Please select", 0, INDEX(IPCC!$B$852:$X$863,MATCH(clim_moist,IPCC!$A$852:$A$863,0),MATCH("Forest land",IPCC!$B$852:$X$852,0)))</f>
        <v>1</v>
      </c>
      <c r="V10" s="1354">
        <f>IF('2.LUC'!$BI12="",'2.LUC'!$BH12,'2.LUC'!$BI12)</f>
        <v>1</v>
      </c>
    </row>
    <row r="11" spans="1:46" ht="16" thickBot="1" x14ac:dyDescent="0.25">
      <c r="A11" s="2641" t="s">
        <v>128</v>
      </c>
      <c r="B11" s="2642" t="s">
        <v>129</v>
      </c>
      <c r="C11" s="2642" t="s">
        <v>130</v>
      </c>
      <c r="D11" s="2642" t="s">
        <v>131</v>
      </c>
      <c r="E11" s="2643"/>
      <c r="F11" s="2637"/>
      <c r="G11" s="1690">
        <v>3</v>
      </c>
      <c r="H11" s="1126" t="str">
        <f t="shared" si="0"/>
        <v>Please select</v>
      </c>
      <c r="I11" s="1691">
        <f>IF(H11="Please select",0,IF(H11="Mangrove Forest",VLOOKUP(clim_moist,IPCC!$A$1502:$G$1510,2,FALSE),INDEX(IPCC!$B$590:$AK$606,MATCH(continent_selected,IPCC!$A$590:$A$606,0),MATCH(H11,IPCC!$B$590:$AK$590,0))))</f>
        <v>0</v>
      </c>
      <c r="J11" s="1744">
        <f t="shared" si="1"/>
        <v>0</v>
      </c>
      <c r="K11" s="1280">
        <f>IF('2.LUC'!$AT13="",'2.LUC'!$AS13,'2.LUC'!$AT13)</f>
        <v>0</v>
      </c>
      <c r="L11" s="1691">
        <f>IF(H11 = "Please select",0, IF(H11="Mangrove Forest",VLOOKUP(clim_moist,IPCC!$A$1502:$G$1511,6,FALSE),IF(OR(I11&lt;=125,I11&lt;=75),INDEX(IPCC!$B$618:$AI$633,MATCH(continent_selected,IPCC!$A$618:$A$633,0),MATCH(H11,IPCC!$B$616:$AI$616,0)),(IF(OR(I11&gt;125,I11&gt;75),INDEX(IPCC!$AJ$616:$BS$633,MATCH(continent_selected,IPCC!$A$616:$A$633,0),MATCH(H11,IPCC!$AJ$616:$BS$616,0)),""))))*I11)</f>
        <v>0</v>
      </c>
      <c r="M11" s="1744">
        <f t="shared" si="2"/>
        <v>0</v>
      </c>
      <c r="N11" s="1280">
        <f>IF('2.LUC'!AW13="",'2.LUC'!AV13,'2.LUC'!AW13)</f>
        <v>0</v>
      </c>
      <c r="O11" s="1745">
        <f>IF(H11 = "Please select", 0, IF(H11 = "Mangrove Forest", VLOOKUP(clim_moist, IPCC!$A$1502:$J$1511, 8, FALSE),VLOOKUP(H11, IPCC!$A$643:$B$677, 2, FALSE)))</f>
        <v>0</v>
      </c>
      <c r="P11" s="2420">
        <f>IF('2.LUC'!$AZ13="",'2.LUC'!$AY13,'2.LUC'!$AZ13)</f>
        <v>0</v>
      </c>
      <c r="Q11" s="1746">
        <f>IF(H11 = "Please select", 0, IF(H11= "Mangrove Forest", VLOOKUP(clim_moist, IPCC!$A$1502:$J$1511, 9, FALSE),  VLOOKUP(H11, IPCC!$A$643:$C$677, 3, FALSE)))</f>
        <v>0</v>
      </c>
      <c r="R11" s="2420">
        <f>IF('2.LUC'!$BC13="",'2.LUC'!$BB13,'2.LUC'!$BC13)</f>
        <v>0</v>
      </c>
      <c r="S11" s="1745">
        <f>'2.LUC'!BE13</f>
        <v>0</v>
      </c>
      <c r="T11" s="2419">
        <f>IF('2.LUC'!$BF13="",S11,'2.LUC'!$BF13)</f>
        <v>0</v>
      </c>
      <c r="U11" s="1745">
        <f>IF(J11= "Please select", 0, INDEX(IPCC!$B$852:$X$863,MATCH(clim_moist,IPCC!$A$852:$A$863,0),MATCH("Forest land",IPCC!$B$852:$X$852,0)))</f>
        <v>1</v>
      </c>
      <c r="V11" s="1354">
        <f>IF('2.LUC'!$BI13="",'2.LUC'!$BH13,'2.LUC'!$BI13)</f>
        <v>1</v>
      </c>
    </row>
    <row r="12" spans="1:46" ht="16" thickBot="1" x14ac:dyDescent="0.25">
      <c r="A12" s="2641" t="s">
        <v>132</v>
      </c>
      <c r="B12" s="2642" t="s">
        <v>133</v>
      </c>
      <c r="C12" s="2644" t="s">
        <v>134</v>
      </c>
      <c r="D12" s="2642" t="s">
        <v>135</v>
      </c>
      <c r="E12" s="2643"/>
      <c r="F12" s="2637"/>
      <c r="G12" s="1690">
        <v>4</v>
      </c>
      <c r="H12" s="1126" t="str">
        <f t="shared" si="0"/>
        <v>Please select</v>
      </c>
      <c r="I12" s="1691">
        <f>IF(H12="Please select",0,IF(H12="Mangrove Forest",VLOOKUP(clim_moist,IPCC!$A$1502:$G$1510,2,FALSE),INDEX(IPCC!$B$590:$AK$606,MATCH(continent_selected,IPCC!$A$590:$A$606,0),MATCH(H12,IPCC!$B$590:$AK$590,0))))</f>
        <v>0</v>
      </c>
      <c r="J12" s="1744">
        <f t="shared" si="1"/>
        <v>0</v>
      </c>
      <c r="K12" s="1280">
        <f>IF('2.LUC'!$AT14="",'2.LUC'!$AS14,'2.LUC'!$AT14)</f>
        <v>0</v>
      </c>
      <c r="L12" s="1691">
        <f>IF(H12 = "Please select",0, IF(H12="Mangrove Forest",VLOOKUP(clim_moist,IPCC!$A$1502:$G$1511,6,FALSE),IF(OR(I12&lt;=125,I12&lt;=75),INDEX(IPCC!$B$618:$AI$633,MATCH(continent_selected,IPCC!$A$618:$A$633,0),MATCH(H12,IPCC!$B$616:$AI$616,0)),(IF(OR(I12&gt;125,I12&gt;75),INDEX(IPCC!$AJ$616:$BS$633,MATCH(continent_selected,IPCC!$A$616:$A$633,0),MATCH(H12,IPCC!$AJ$616:$BS$616,0)),""))))*I12)</f>
        <v>0</v>
      </c>
      <c r="M12" s="1744">
        <f t="shared" si="2"/>
        <v>0</v>
      </c>
      <c r="N12" s="1280">
        <f>IF('2.LUC'!AW14="",'2.LUC'!AV14,'2.LUC'!AW14)</f>
        <v>0</v>
      </c>
      <c r="O12" s="1745">
        <f>IF(H12 = "Please select", 0, IF(H12 = "Mangrove Forest", VLOOKUP(clim_moist, IPCC!$A$1502:$J$1511, 8, FALSE),VLOOKUP(H12, IPCC!$A$643:$B$677, 2, FALSE)))</f>
        <v>0</v>
      </c>
      <c r="P12" s="2420">
        <f>IF('2.LUC'!$AZ14="",'2.LUC'!$AY14,'2.LUC'!$AZ14)</f>
        <v>0</v>
      </c>
      <c r="Q12" s="1746">
        <f>IF(H12 = "Please select", 0, IF(H12= "Mangrove Forest", VLOOKUP(clim_moist, IPCC!$A$1502:$J$1511, 9, FALSE),  VLOOKUP(H12, IPCC!$A$643:$C$677, 3, FALSE)))</f>
        <v>0</v>
      </c>
      <c r="R12" s="2420">
        <f>IF('2.LUC'!$BC14="",'2.LUC'!$BB14,'2.LUC'!$BC14)</f>
        <v>0</v>
      </c>
      <c r="S12" s="1745">
        <f>'2.LUC'!BE14</f>
        <v>0</v>
      </c>
      <c r="T12" s="2419">
        <f>IF('2.LUC'!$BF14="",S12,'2.LUC'!$BF14)</f>
        <v>0</v>
      </c>
      <c r="U12" s="1745">
        <f>IF(J12= "Please select", 0, INDEX(IPCC!$B$852:$X$863,MATCH(clim_moist,IPCC!$A$852:$A$863,0),MATCH("Forest land",IPCC!$B$852:$X$852,0)))</f>
        <v>1</v>
      </c>
      <c r="V12" s="1354">
        <f>IF('2.LUC'!$BI14="",'2.LUC'!$BH14,'2.LUC'!$BI14)</f>
        <v>1</v>
      </c>
    </row>
    <row r="13" spans="1:46" ht="16" thickBot="1" x14ac:dyDescent="0.25">
      <c r="A13" s="2641" t="s">
        <v>136</v>
      </c>
      <c r="B13" s="2642" t="s">
        <v>137</v>
      </c>
      <c r="C13" s="2644" t="s">
        <v>138</v>
      </c>
      <c r="D13" s="2642" t="s">
        <v>139</v>
      </c>
      <c r="E13" s="2643"/>
      <c r="F13" s="2637"/>
      <c r="G13" s="1690">
        <v>5</v>
      </c>
      <c r="H13" s="1126" t="str">
        <f t="shared" si="0"/>
        <v>Please select</v>
      </c>
      <c r="I13" s="1691">
        <f>IF(H13="Please select",0,IF(H13="Mangrove Forest",VLOOKUP(clim_moist,IPCC!$A$1502:$G$1510,2,FALSE),INDEX(IPCC!$B$590:$AK$606,MATCH(continent_selected,IPCC!$A$590:$A$606,0),MATCH(H13,IPCC!$B$590:$AK$590,0))))</f>
        <v>0</v>
      </c>
      <c r="J13" s="1744">
        <f t="shared" si="1"/>
        <v>0</v>
      </c>
      <c r="K13" s="1280">
        <f>IF('2.LUC'!$AT15="",'2.LUC'!$AS15,'2.LUC'!$AT15)</f>
        <v>0</v>
      </c>
      <c r="L13" s="1691">
        <f>IF(H13 = "Please select",0, IF(H13="Mangrove Forest",VLOOKUP(clim_moist,IPCC!$A$1502:$G$1511,6,FALSE),IF(OR(I13&lt;=125,I13&lt;=75),INDEX(IPCC!$B$618:$AI$633,MATCH(continent_selected,IPCC!$A$618:$A$633,0),MATCH(H13,IPCC!$B$616:$AI$616,0)),(IF(OR(I13&gt;125,I13&gt;75),INDEX(IPCC!$AJ$616:$BS$633,MATCH(continent_selected,IPCC!$A$616:$A$633,0),MATCH(H13,IPCC!$AJ$616:$BS$616,0)),""))))*I13)</f>
        <v>0</v>
      </c>
      <c r="M13" s="1744">
        <f t="shared" si="2"/>
        <v>0</v>
      </c>
      <c r="N13" s="1280">
        <f>IF('2.LUC'!AW15="",'2.LUC'!AV15,'2.LUC'!AW15)</f>
        <v>0</v>
      </c>
      <c r="O13" s="1745">
        <f>IF(H13 = "Please select", 0, IF(H13 = "Mangrove Forest", VLOOKUP(clim_moist, IPCC!$A$1502:$J$1511, 8, FALSE),VLOOKUP(H13, IPCC!$A$643:$B$677, 2, FALSE)))</f>
        <v>0</v>
      </c>
      <c r="P13" s="2420">
        <f>IF('2.LUC'!$AZ15="",'2.LUC'!$AY15,'2.LUC'!$AZ15)</f>
        <v>0</v>
      </c>
      <c r="Q13" s="1746">
        <f>IF(H13 = "Please select", 0, IF(H13= "Mangrove Forest", VLOOKUP(clim_moist, IPCC!$A$1502:$J$1511, 9, FALSE),  VLOOKUP(H13, IPCC!$A$643:$C$677, 3, FALSE)))</f>
        <v>0</v>
      </c>
      <c r="R13" s="2420">
        <f>IF('2.LUC'!$BC15="",'2.LUC'!$BB15,'2.LUC'!$BC15)</f>
        <v>0</v>
      </c>
      <c r="S13" s="1745">
        <f>'2.LUC'!BE15</f>
        <v>0</v>
      </c>
      <c r="T13" s="2419">
        <f>IF('2.LUC'!$BF15="",S13,'2.LUC'!$BF15)</f>
        <v>0</v>
      </c>
      <c r="U13" s="1745">
        <f>IF(J13= "Please select", 0, INDEX(IPCC!$B$852:$X$863,MATCH(clim_moist,IPCC!$A$852:$A$863,0),MATCH("Forest land",IPCC!$B$852:$X$852,0)))</f>
        <v>1</v>
      </c>
      <c r="V13" s="1354">
        <f>IF('2.LUC'!$BI15="",'2.LUC'!$BH15,'2.LUC'!$BI15)</f>
        <v>1</v>
      </c>
    </row>
    <row r="14" spans="1:46" ht="16" thickBot="1" x14ac:dyDescent="0.25">
      <c r="A14" s="2641" t="s">
        <v>140</v>
      </c>
      <c r="B14" s="2642" t="s">
        <v>141</v>
      </c>
      <c r="C14" s="2642" t="s">
        <v>142</v>
      </c>
      <c r="D14" s="2642" t="s">
        <v>143</v>
      </c>
      <c r="E14" s="2643"/>
      <c r="F14" s="2637"/>
      <c r="G14" s="1690">
        <v>6</v>
      </c>
      <c r="H14" s="1126" t="str">
        <f t="shared" si="0"/>
        <v>Please select</v>
      </c>
      <c r="I14" s="1691">
        <f>IF(H14="Please select",0,IF(H14="Mangrove Forest",VLOOKUP(clim_moist,IPCC!$A$1502:$G$1510,2,FALSE),INDEX(IPCC!$B$590:$AK$606,MATCH(continent_selected,IPCC!$A$590:$A$606,0),MATCH(H14,IPCC!$B$590:$AK$590,0))))</f>
        <v>0</v>
      </c>
      <c r="J14" s="1744">
        <f t="shared" si="1"/>
        <v>0</v>
      </c>
      <c r="K14" s="1280">
        <f>IF('2.LUC'!$AT16="",'2.LUC'!$AS16,'2.LUC'!$AT16)</f>
        <v>0</v>
      </c>
      <c r="L14" s="1691">
        <f>IF(H14 = "Please select",0, IF(H14="Mangrove Forest",VLOOKUP(clim_moist,IPCC!$A$1502:$G$1511,6,FALSE),IF(OR(I14&lt;=125,I14&lt;=75),INDEX(IPCC!$B$618:$AI$633,MATCH(continent_selected,IPCC!$A$618:$A$633,0),MATCH(H14,IPCC!$B$616:$AI$616,0)),(IF(OR(I14&gt;125,I14&gt;75),INDEX(IPCC!$AJ$616:$BS$633,MATCH(continent_selected,IPCC!$A$616:$A$633,0),MATCH(H14,IPCC!$AJ$616:$BS$616,0)),""))))*I14)</f>
        <v>0</v>
      </c>
      <c r="M14" s="1744">
        <f t="shared" si="2"/>
        <v>0</v>
      </c>
      <c r="N14" s="1280">
        <f>IF('2.LUC'!AW16="",'2.LUC'!AV16,'2.LUC'!AW16)</f>
        <v>0</v>
      </c>
      <c r="O14" s="1745">
        <f>IF(H14 = "Please select", 0, IF(H14 = "Mangrove Forest", VLOOKUP(clim_moist, IPCC!$A$1502:$J$1511, 8, FALSE),VLOOKUP(H14, IPCC!$A$643:$B$677, 2, FALSE)))</f>
        <v>0</v>
      </c>
      <c r="P14" s="2420">
        <f>IF('2.LUC'!$AZ16="",'2.LUC'!$AY16,'2.LUC'!$AZ16)</f>
        <v>0</v>
      </c>
      <c r="Q14" s="1746">
        <f>IF(H14 = "Please select", 0, IF(H14= "Mangrove Forest", VLOOKUP(clim_moist, IPCC!$A$1502:$J$1511, 9, FALSE),  VLOOKUP(H14, IPCC!$A$643:$C$677, 3, FALSE)))</f>
        <v>0</v>
      </c>
      <c r="R14" s="2420">
        <f>IF('2.LUC'!$BC16="",'2.LUC'!$BB16,'2.LUC'!$BC16)</f>
        <v>0</v>
      </c>
      <c r="S14" s="1745">
        <f>'2.LUC'!BE16</f>
        <v>0</v>
      </c>
      <c r="T14" s="2419">
        <f>IF('2.LUC'!$BF16="",S14,'2.LUC'!$BF16)</f>
        <v>0</v>
      </c>
      <c r="U14" s="1745">
        <f>IF(J14= "Please select", 0, INDEX(IPCC!$B$852:$X$863,MATCH(clim_moist,IPCC!$A$852:$A$863,0),MATCH("Forest land",IPCC!$B$852:$X$852,0)))</f>
        <v>1</v>
      </c>
      <c r="V14" s="1354">
        <f>IF('2.LUC'!$BI16="",'2.LUC'!$BH16,'2.LUC'!$BI16)</f>
        <v>1</v>
      </c>
    </row>
    <row r="15" spans="1:46" ht="15" customHeight="1" thickBot="1" x14ac:dyDescent="0.25">
      <c r="A15" s="2641" t="s">
        <v>144</v>
      </c>
      <c r="B15" s="2642" t="s">
        <v>145</v>
      </c>
      <c r="C15" s="2642" t="s">
        <v>146</v>
      </c>
      <c r="D15" s="2642"/>
      <c r="E15" s="2643"/>
      <c r="F15" s="2637"/>
      <c r="G15" s="1690">
        <v>7</v>
      </c>
      <c r="H15" s="1126" t="str">
        <f t="shared" si="0"/>
        <v>Please select</v>
      </c>
      <c r="I15" s="1691">
        <f>IF(H15="Please select",0,IF(H15="Mangrove Forest",VLOOKUP(clim_moist,IPCC!$A$1502:$G$1510,2,FALSE),INDEX(IPCC!$B$590:$AK$606,MATCH(continent_selected,IPCC!$A$590:$A$606,0),MATCH(H15,IPCC!$B$590:$AK$590,0))))</f>
        <v>0</v>
      </c>
      <c r="J15" s="1744">
        <f t="shared" si="1"/>
        <v>0</v>
      </c>
      <c r="K15" s="1280">
        <f>IF('2.LUC'!$AT17="",'2.LUC'!$AS17,'2.LUC'!$AT17)</f>
        <v>0</v>
      </c>
      <c r="L15" s="1691">
        <f>IF(H15 = "Please select",0, IF(H15="Mangrove Forest",VLOOKUP(clim_moist,IPCC!$A$1502:$G$1511,6,FALSE),IF(OR(I15&lt;=125,I15&lt;=75),INDEX(IPCC!$B$618:$AI$633,MATCH(continent_selected,IPCC!$A$618:$A$633,0),MATCH(H15,IPCC!$B$616:$AI$616,0)),(IF(OR(I15&gt;125,I15&gt;75),INDEX(IPCC!$AJ$616:$BS$633,MATCH(continent_selected,IPCC!$A$616:$A$633,0),MATCH(H15,IPCC!$AJ$616:$BS$616,0)),""))))*I15)</f>
        <v>0</v>
      </c>
      <c r="M15" s="1744">
        <f t="shared" si="2"/>
        <v>0</v>
      </c>
      <c r="N15" s="1280">
        <f>IF('2.LUC'!AW17="",'2.LUC'!AV17,'2.LUC'!AW17)</f>
        <v>0</v>
      </c>
      <c r="O15" s="1745">
        <f>IF(H15 = "Please select", 0, IF(H15 = "Mangrove Forest", VLOOKUP(clim_moist, IPCC!$A$1502:$J$1511, 8, FALSE),VLOOKUP(H15, IPCC!$A$643:$B$677, 2, FALSE)))</f>
        <v>0</v>
      </c>
      <c r="P15" s="2420">
        <f>IF('2.LUC'!$AZ17="",'2.LUC'!$AY17,'2.LUC'!$AZ17)</f>
        <v>0</v>
      </c>
      <c r="Q15" s="1746">
        <f>IF(H15 = "Please select", 0, IF(H15= "Mangrove Forest", VLOOKUP(clim_moist, IPCC!$A$1502:$J$1511, 9, FALSE),  VLOOKUP(H15, IPCC!$A$643:$C$677, 3, FALSE)))</f>
        <v>0</v>
      </c>
      <c r="R15" s="2420">
        <f>IF('2.LUC'!$BC17="",'2.LUC'!$BB17,'2.LUC'!$BC17)</f>
        <v>0</v>
      </c>
      <c r="S15" s="1745">
        <f>'2.LUC'!BE17</f>
        <v>0</v>
      </c>
      <c r="T15" s="2419">
        <f>IF('2.LUC'!$BF17="",S15,'2.LUC'!$BF17)</f>
        <v>0</v>
      </c>
      <c r="U15" s="1745">
        <f>IF(J15= "Please select", 0, INDEX(IPCC!$B$852:$X$863,MATCH(clim_moist,IPCC!$A$852:$A$863,0),MATCH("Forest land",IPCC!$B$852:$X$852,0)))</f>
        <v>1</v>
      </c>
      <c r="V15" s="1354">
        <f>IF('2.LUC'!$BI17="",'2.LUC'!$BH17,'2.LUC'!$BI17)</f>
        <v>1</v>
      </c>
    </row>
    <row r="16" spans="1:46" ht="15" x14ac:dyDescent="0.2">
      <c r="A16" s="2641" t="s">
        <v>147</v>
      </c>
      <c r="B16" s="2642" t="s">
        <v>148</v>
      </c>
      <c r="C16" s="2642" t="s">
        <v>149</v>
      </c>
      <c r="D16" s="2642"/>
      <c r="E16" s="2643"/>
      <c r="F16" s="2637"/>
      <c r="G16" s="1690">
        <v>8</v>
      </c>
      <c r="H16" s="1126" t="str">
        <f t="shared" si="0"/>
        <v>Please select</v>
      </c>
      <c r="I16" s="1692">
        <f>IF(H16="Please select",0,IF(H16="Mangrove Forest",VLOOKUP(clim_moist,IPCC!$A$1502:$G$1510,2,FALSE),INDEX(IPCC!$B$590:$AK$606,MATCH(continent_selected,IPCC!$A$590:$A$606,0),MATCH(H16,IPCC!$B$590:$AK$590,0))))</f>
        <v>0</v>
      </c>
      <c r="J16" s="2421">
        <f t="shared" si="1"/>
        <v>0</v>
      </c>
      <c r="K16" s="2422">
        <f>IF('2.LUC'!$AT18="",'2.LUC'!$AS18,'2.LUC'!$AT18)</f>
        <v>0</v>
      </c>
      <c r="L16" s="1692">
        <f>IF(H16 = "Please select",0, IF(H16="Mangrove Forest",VLOOKUP(clim_moist,IPCC!$A$1502:$G$1511,6,FALSE),IF(OR(I16&lt;=125,I16&lt;=75),INDEX(IPCC!$B$618:$AI$633,MATCH(continent_selected,IPCC!$A$618:$A$633,0),MATCH(H16,IPCC!$B$616:$AI$616,0)),(IF(OR(I16&gt;125,I16&gt;75),INDEX(IPCC!$AJ$616:$BS$633,MATCH(continent_selected,IPCC!$A$616:$A$633,0),MATCH(H16,IPCC!$AJ$616:$BS$616,0)),""))))*I16)</f>
        <v>0</v>
      </c>
      <c r="M16" s="2421">
        <f t="shared" si="2"/>
        <v>0</v>
      </c>
      <c r="N16" s="2422">
        <f>IF('2.LUC'!AW18="",'2.LUC'!AV18,'2.LUC'!AW18)</f>
        <v>0</v>
      </c>
      <c r="O16" s="2423">
        <f>IF(H16 = "Please select", 0, IF(H16 = "Mangrove Forest", VLOOKUP(clim_moist, IPCC!$A$1502:$J$1511, 8, FALSE),VLOOKUP(H16, IPCC!$A$643:$B$677, 2, FALSE)))</f>
        <v>0</v>
      </c>
      <c r="P16" s="2417">
        <f>IF('2.LUC'!$AZ18="",'2.LUC'!$AY18,'2.LUC'!$AZ18)</f>
        <v>0</v>
      </c>
      <c r="Q16" s="2424">
        <f>IF(H16 = "Please select", 0, IF(H16= "Mangrove Forest", VLOOKUP(clim_moist, IPCC!$A$1502:$J$1511, 9, FALSE),  VLOOKUP(H16, IPCC!$A$643:$C$677, 3, FALSE)))</f>
        <v>0</v>
      </c>
      <c r="R16" s="2417">
        <f>IF('2.LUC'!$BC18="",'2.LUC'!$BB18,'2.LUC'!$BC18)</f>
        <v>0</v>
      </c>
      <c r="S16" s="1745">
        <f>'2.LUC'!BE18</f>
        <v>0</v>
      </c>
      <c r="T16" s="2419">
        <f>IF('2.LUC'!$BF18="",S16,'2.LUC'!$BF18)</f>
        <v>0</v>
      </c>
      <c r="U16" s="1745">
        <f>IF(J16= "Please select", 0, INDEX(IPCC!$B$852:$X$863,MATCH(clim_moist,IPCC!$A$852:$A$863,0),MATCH("Forest land",IPCC!$B$852:$X$852,0)))</f>
        <v>1</v>
      </c>
      <c r="V16" s="1376">
        <f>IF('2.LUC'!$BI18="",'2.LUC'!$BH18,'2.LUC'!$BI18)</f>
        <v>1</v>
      </c>
    </row>
    <row r="17" spans="1:35" ht="15" x14ac:dyDescent="0.2">
      <c r="A17" s="2641" t="s">
        <v>150</v>
      </c>
      <c r="B17" s="2642" t="s">
        <v>136</v>
      </c>
      <c r="C17" s="2642" t="s">
        <v>151</v>
      </c>
      <c r="D17" s="2642"/>
      <c r="E17" s="2643"/>
      <c r="F17" s="1200"/>
      <c r="G17" s="1300"/>
      <c r="H17" s="3466"/>
      <c r="I17" s="1200"/>
      <c r="J17" s="1201"/>
      <c r="K17" s="1200"/>
      <c r="L17" s="1201"/>
      <c r="M17" s="1041"/>
      <c r="N17" s="2414"/>
      <c r="O17" s="1041"/>
      <c r="P17" s="973"/>
      <c r="Q17" s="1688"/>
      <c r="R17" s="1688"/>
      <c r="S17" s="1688"/>
    </row>
    <row r="18" spans="1:35" ht="15" x14ac:dyDescent="0.2">
      <c r="A18" s="2645"/>
      <c r="B18" s="2646"/>
      <c r="C18" s="2646" t="s">
        <v>152</v>
      </c>
      <c r="D18" s="2646"/>
      <c r="E18" s="2647"/>
      <c r="G18" s="1688"/>
      <c r="H18" s="973"/>
      <c r="I18" s="1200"/>
      <c r="J18" s="1201"/>
      <c r="K18" s="1200"/>
      <c r="L18" s="1201"/>
      <c r="M18" s="1041"/>
      <c r="N18" s="2414"/>
      <c r="O18" s="1041"/>
      <c r="P18" s="973"/>
      <c r="Q18" s="1688"/>
      <c r="R18" s="1688"/>
      <c r="S18" s="1688"/>
    </row>
    <row r="19" spans="1:35" x14ac:dyDescent="0.15">
      <c r="I19" s="2633"/>
    </row>
    <row r="20" spans="1:35" ht="28.5" customHeight="1" x14ac:dyDescent="0.15">
      <c r="A20" s="1693"/>
      <c r="B20" s="2649"/>
      <c r="C20" s="1694"/>
      <c r="D20" s="1695"/>
      <c r="E20" s="1693"/>
      <c r="F20" s="1696" t="s">
        <v>153</v>
      </c>
      <c r="G20" s="2660" t="s">
        <v>154</v>
      </c>
      <c r="H20" s="2661"/>
      <c r="I20" s="2654"/>
      <c r="J20" s="2700" t="s">
        <v>155</v>
      </c>
      <c r="K20" s="2702" t="s">
        <v>156</v>
      </c>
      <c r="L20" s="2703"/>
      <c r="M20" s="2675"/>
      <c r="N20" s="2676"/>
      <c r="O20" s="2674" t="s">
        <v>157</v>
      </c>
      <c r="P20" s="2674"/>
      <c r="Q20" s="2675"/>
      <c r="R20" s="2676"/>
      <c r="S20" s="2677" t="s">
        <v>158</v>
      </c>
      <c r="T20" s="2678" t="s">
        <v>158</v>
      </c>
      <c r="U20" s="2679" t="s">
        <v>158</v>
      </c>
      <c r="V20" s="2680" t="s">
        <v>159</v>
      </c>
      <c r="W20" s="2681" t="s">
        <v>160</v>
      </c>
      <c r="X20" s="2682" t="s">
        <v>5213</v>
      </c>
      <c r="Z20" s="2880" t="s">
        <v>161</v>
      </c>
      <c r="AA20" s="2881"/>
      <c r="AB20" s="2882" t="s">
        <v>162</v>
      </c>
      <c r="AC20" s="2881"/>
      <c r="AD20" s="2882" t="s">
        <v>163</v>
      </c>
      <c r="AE20" s="2881"/>
    </row>
    <row r="21" spans="1:35" ht="15.75" customHeight="1" x14ac:dyDescent="0.2">
      <c r="A21" s="1697" t="s">
        <v>164</v>
      </c>
      <c r="B21" s="2650" t="s">
        <v>165</v>
      </c>
      <c r="C21" s="1232" t="s">
        <v>166</v>
      </c>
      <c r="D21" s="1232"/>
      <c r="E21" s="1698" t="s">
        <v>167</v>
      </c>
      <c r="F21" s="1759" t="s">
        <v>168</v>
      </c>
      <c r="G21" s="2662" t="s">
        <v>94</v>
      </c>
      <c r="H21" s="2663" t="s">
        <v>169</v>
      </c>
      <c r="I21" s="2655" t="s">
        <v>170</v>
      </c>
      <c r="J21" s="2701" t="s">
        <v>171</v>
      </c>
      <c r="K21" s="2683" t="s">
        <v>90</v>
      </c>
      <c r="L21" s="2684"/>
      <c r="M21" s="2704" t="s">
        <v>172</v>
      </c>
      <c r="N21" s="2685"/>
      <c r="O21" s="2686" t="s">
        <v>173</v>
      </c>
      <c r="P21" s="2686" t="s">
        <v>5263</v>
      </c>
      <c r="Q21" s="2687" t="s">
        <v>174</v>
      </c>
      <c r="R21" s="2687" t="s">
        <v>174</v>
      </c>
      <c r="S21" s="2677" t="s">
        <v>175</v>
      </c>
      <c r="T21" s="2678" t="s">
        <v>176</v>
      </c>
      <c r="U21" s="2679" t="s">
        <v>177</v>
      </c>
      <c r="V21" s="2688" t="s">
        <v>178</v>
      </c>
      <c r="W21" s="2689"/>
      <c r="X21" s="2690"/>
      <c r="Z21" s="2878" t="s">
        <v>179</v>
      </c>
      <c r="AA21" s="2878" t="s">
        <v>180</v>
      </c>
      <c r="AB21" s="2878" t="s">
        <v>179</v>
      </c>
      <c r="AC21" s="2878" t="s">
        <v>180</v>
      </c>
      <c r="AD21" s="2878" t="s">
        <v>179</v>
      </c>
      <c r="AE21" s="2878" t="s">
        <v>180</v>
      </c>
      <c r="AG21" s="2895" t="s">
        <v>181</v>
      </c>
      <c r="AH21" s="2896"/>
      <c r="AI21" s="2896"/>
    </row>
    <row r="22" spans="1:35" x14ac:dyDescent="0.15">
      <c r="A22" s="1699"/>
      <c r="B22" s="2651" t="s">
        <v>182</v>
      </c>
      <c r="C22" s="1700" t="s">
        <v>183</v>
      </c>
      <c r="D22" s="1701" t="s">
        <v>184</v>
      </c>
      <c r="E22" s="1702" t="s">
        <v>185</v>
      </c>
      <c r="F22" s="1759" t="s">
        <v>186</v>
      </c>
      <c r="G22" s="2664" t="s">
        <v>187</v>
      </c>
      <c r="H22" s="2665" t="s">
        <v>188</v>
      </c>
      <c r="I22" s="2656"/>
      <c r="J22" s="2691" t="s">
        <v>62</v>
      </c>
      <c r="K22" s="2692" t="s">
        <v>117</v>
      </c>
      <c r="L22" s="2693" t="s">
        <v>189</v>
      </c>
      <c r="M22" s="2694" t="s">
        <v>117</v>
      </c>
      <c r="N22" s="2695" t="s">
        <v>189</v>
      </c>
      <c r="O22" s="2696" t="s">
        <v>190</v>
      </c>
      <c r="P22" s="2696" t="s">
        <v>190</v>
      </c>
      <c r="Q22" s="2697" t="s">
        <v>62</v>
      </c>
      <c r="R22" s="2697" t="s">
        <v>191</v>
      </c>
      <c r="S22" s="2677" t="s">
        <v>192</v>
      </c>
      <c r="T22" s="2689" t="s">
        <v>193</v>
      </c>
      <c r="U22" s="2689" t="s">
        <v>194</v>
      </c>
      <c r="V22" s="2691" t="s">
        <v>195</v>
      </c>
      <c r="W22" s="2698" t="s">
        <v>196</v>
      </c>
      <c r="X22" s="2699" t="s">
        <v>197</v>
      </c>
      <c r="Z22" s="2879" t="s">
        <v>198</v>
      </c>
      <c r="AA22" s="2879" t="s">
        <v>198</v>
      </c>
      <c r="AB22" s="2879" t="s">
        <v>198</v>
      </c>
      <c r="AC22" s="2879" t="s">
        <v>198</v>
      </c>
      <c r="AD22" s="2879" t="s">
        <v>198</v>
      </c>
      <c r="AE22" s="2879" t="s">
        <v>198</v>
      </c>
      <c r="AG22" s="2879" t="s">
        <v>199</v>
      </c>
      <c r="AH22" s="2879" t="s">
        <v>200</v>
      </c>
      <c r="AI22" s="2879" t="s">
        <v>201</v>
      </c>
    </row>
    <row r="23" spans="1:35" x14ac:dyDescent="0.15">
      <c r="A23" s="1703" t="s">
        <v>202</v>
      </c>
      <c r="B23" s="2652" t="str">
        <f>'2.LUC'!$C11</f>
        <v>Please select</v>
      </c>
      <c r="C23" s="1704">
        <f>'2.LUC'!$E11</f>
        <v>0</v>
      </c>
      <c r="D23" s="1705">
        <f>IF('2.LUC'!$C11="Please select",0,IF(C23&gt;VLOOKUP($B23,defo!$H$9:$K$16,2,FALSE),VLOOKUP($B23,defo!$H$9:$K$16,2,FALSE),'2.LUC'!$E11))*IF(B23="Mangrove Forest",0.451, 0.47)</f>
        <v>0</v>
      </c>
      <c r="E23" s="1688" t="str">
        <f>'2.LUC'!$G11</f>
        <v>NO</v>
      </c>
      <c r="F23" s="1423">
        <f>IF($B23&lt;&gt; "Please select", IF($E23="YES", VLOOKUP($B23, IPCC!$A$871:$B$906, 2, FALSE),0), 0)</f>
        <v>0</v>
      </c>
      <c r="G23" s="2516" t="str">
        <f>'2.LUC'!$I11</f>
        <v>Please select</v>
      </c>
      <c r="H23" s="3143" t="str">
        <f>'2.LUC'!$K11</f>
        <v>Please select</v>
      </c>
      <c r="I23" s="2657" t="str">
        <f>IF('2.LUC'!$K11 &lt;&gt; "Please select",  '2.LUC'!$K11, IF('2.LUC'!$I11&lt;&gt;"Agroforestry", '2.LUC'!$I11, "Agroforestry - default"))</f>
        <v>Please select</v>
      </c>
      <c r="J23" s="2667">
        <f>IF('2.LUC'!$I11 &lt;&gt; "Please select", IF('2.LUC'!BP11=0, INDEX(IPCC!$D$686:$Y$845,MATCH(clim_moist_cont,IPCC!$C$686:$C$845,0),MATCH($I23,IPCC!$D$682:$Y$682,0)), '2.LUC'!BP11), 0)</f>
        <v>0</v>
      </c>
      <c r="K23" s="2667">
        <f>IF('2.LUC'!$C11&lt;&gt;"Please select",$K9-$D23+$N9,0)</f>
        <v>0</v>
      </c>
      <c r="L23" s="2667">
        <f>K23*44/12</f>
        <v>0</v>
      </c>
      <c r="M23" s="2667">
        <f>IF('2.LUC'!$C11&lt;&gt;"Please select",P9+R9,0)</f>
        <v>0</v>
      </c>
      <c r="N23" s="2667">
        <f>M23*44/12</f>
        <v>0</v>
      </c>
      <c r="O23" s="2668">
        <f>IF($I23&lt;&gt; "Please select", INDEX(IPCC!$B$852:$W$863,MATCH(clim_moist,IPCC!$A$852:$A$863,0),MATCH($I23,IPCC!$B$852:$W$852,0)),0)</f>
        <v>0</v>
      </c>
      <c r="P23" s="2669">
        <f>'2.LUC'!BV11</f>
        <v>0</v>
      </c>
      <c r="Q23" s="2669">
        <f>IF($I23&lt;&gt;"Please select",IF('2.LUC'!BS11=0, '2.LUC'!BR11*IF(OR(P23=0, P23=""),$O23, P23)-$T9*V9, '2.LUC'!BS11*IF(OR(P23=0, P23=""),$O23, P23)-$T9*V9),0)</f>
        <v>0</v>
      </c>
      <c r="R23" s="2669">
        <f>Q23*(-44/12)/20</f>
        <v>0</v>
      </c>
      <c r="S23" s="2667">
        <f>IF($E23="NO",0,(VLOOKUP($B23,$H$9:$I$16,2,FALSE)-$C23))</f>
        <v>0</v>
      </c>
      <c r="T23" s="2667">
        <f>IF($E23="YES", ($S23*VLOOKUP($B23, IPCC!$A$871:$E$906,2, FALSE)*VLOOKUP($B23, IPCC!$A$871:$E$906, 4, FALSE)), 0)</f>
        <v>0</v>
      </c>
      <c r="U23" s="2667">
        <f>IF($E23="YES", ($S23*VLOOKUP($B23, IPCC!$A$871:$E$906,2, FALSE)*VLOOKUP($B23, IPCC!$A$871:$E$906, 5, FALSE)), 0)</f>
        <v>0</v>
      </c>
      <c r="V23" s="2667">
        <f xml:space="preserve"> IF($Q23&gt;=0, 0, ((-1)*(($Q23/20*1/IPCC!$B$913)*1000)))</f>
        <v>0</v>
      </c>
      <c r="W23" s="2667">
        <f>IF(country_selected="Please select",0,V23*VLOOKUP(moist_type, IPCC!$B$99:$C$101, 2, FALSE)*N2O_N_conversion)</f>
        <v>0</v>
      </c>
      <c r="X23" s="2673">
        <f t="shared" ref="X23:X30" si="3">($T23*methane+($U23+W23)*Nitrous)/1000</f>
        <v>0</v>
      </c>
      <c r="Z23" s="2883">
        <f t="shared" ref="Z23:Z30" si="4">IF($E23= "YES", $G35*$T23*methane/1000,0)</f>
        <v>0</v>
      </c>
      <c r="AA23" s="2884">
        <f t="shared" ref="AA23:AA30" si="5">IF($E23= "YES", $H35*$T23*methane/1000,0)</f>
        <v>0</v>
      </c>
      <c r="AB23" s="2884">
        <f t="shared" ref="AB23:AB30" si="6">$G35*$U23*Nitrous/1000</f>
        <v>0</v>
      </c>
      <c r="AC23" s="2884">
        <f t="shared" ref="AC23:AC30" si="7">$H35*$U23*Nitrous/1000</f>
        <v>0</v>
      </c>
      <c r="AD23" s="2884">
        <f t="shared" ref="AD23:AD30" si="8">$G35*$W23*Nitrous/1000</f>
        <v>0</v>
      </c>
      <c r="AE23" s="2885">
        <f t="shared" ref="AE23:AE30" si="9">$H35*$W23*Nitrous/1000</f>
        <v>0</v>
      </c>
      <c r="AG23" s="2884">
        <v>0</v>
      </c>
      <c r="AH23" s="2885">
        <f t="shared" ref="AH23:AH30" si="10">IF($F23&gt;0, $G35, 0)</f>
        <v>0</v>
      </c>
      <c r="AI23" s="2884">
        <f t="shared" ref="AI23:AI30" si="11">IF($F23&gt;0, $H35, 0)</f>
        <v>0</v>
      </c>
    </row>
    <row r="24" spans="1:35" x14ac:dyDescent="0.15">
      <c r="A24" s="1707" t="s">
        <v>203</v>
      </c>
      <c r="B24" s="2652" t="str">
        <f>'2.LUC'!$C12</f>
        <v>Please select</v>
      </c>
      <c r="C24" s="1414">
        <f>'2.LUC'!$E12</f>
        <v>0</v>
      </c>
      <c r="D24" s="1708">
        <f>IF('2.LUC'!$C12="Please select",0,IF(C24&gt;VLOOKUP($B24,defo!$H$9:$K$16,2,FALSE),VLOOKUP($B24,defo!$H$9:$K$16,2,FALSE),'2.LUC'!$E12))*IF(B24="Mangrove Forest",0.451, 0.47)</f>
        <v>0</v>
      </c>
      <c r="E24" s="1688" t="str">
        <f>'2.LUC'!$G12</f>
        <v>NO</v>
      </c>
      <c r="F24" s="1423">
        <f>IF($B24&lt;&gt; "Please select", IF($E24="YES", VLOOKUP($B24, IPCC!$A$871:$B$906, 2, FALSE),0), 0)</f>
        <v>0</v>
      </c>
      <c r="G24" s="2516" t="str">
        <f>'2.LUC'!$I12</f>
        <v>Please select</v>
      </c>
      <c r="H24" s="3143" t="str">
        <f>'2.LUC'!$K12</f>
        <v>Please select</v>
      </c>
      <c r="I24" s="2658" t="str">
        <f>IF('2.LUC'!$K12 &lt;&gt; "Please select",  '2.LUC'!$K12, IF('2.LUC'!$I12&lt;&gt;"Agroforestry", '2.LUC'!$I12, "Agroforestry - default"))</f>
        <v>Please select</v>
      </c>
      <c r="J24" s="1147">
        <f>IF('2.LUC'!$I12 &lt;&gt; "Please select", IF('2.LUC'!BP12=0, INDEX(IPCC!$D$686:$Y$845,MATCH(clim_moist_cont,IPCC!$C$686:$C$845,0),MATCH($I24,IPCC!$D$682:$Y$682,0)), '2.LUC'!BP12), 0)</f>
        <v>0</v>
      </c>
      <c r="K24" s="1147">
        <f>IF('2.LUC'!$C12&lt;&gt;"Please select",$K10-$D24+$N10,0)</f>
        <v>0</v>
      </c>
      <c r="L24" s="1147">
        <f t="shared" ref="L24:L30" si="12">K24*44/12</f>
        <v>0</v>
      </c>
      <c r="M24" s="1147">
        <f>IF('2.LUC'!$C12&lt;&gt;"Please select",P10+R10,0)</f>
        <v>0</v>
      </c>
      <c r="N24" s="1147">
        <f t="shared" ref="N24:N30" si="13">M24*44/12</f>
        <v>0</v>
      </c>
      <c r="O24" s="2519">
        <f>IF($I24&lt;&gt; "Please select", INDEX(IPCC!$B$852:$W$863,MATCH(clim_moist,IPCC!$A$852:$A$863,0),MATCH($I24,IPCC!$B$852:$W$852,0)),0)</f>
        <v>0</v>
      </c>
      <c r="P24" s="1148">
        <f>'2.LUC'!BV12</f>
        <v>0</v>
      </c>
      <c r="Q24" s="1148">
        <f>IF($I24&lt;&gt;"Please select",IF('2.LUC'!BS12=0, $T10*IF(OR(P24=0, P24=""),$O24, P24)-$T10, '2.LUC'!BS12*IF(OR(P24=0, P24=""),$O24, P24)-$T10),0)</f>
        <v>0</v>
      </c>
      <c r="R24" s="1148">
        <f t="shared" ref="R24:R30" si="14">Q24*(-44/12)/20</f>
        <v>0</v>
      </c>
      <c r="S24" s="1147">
        <f t="shared" ref="S24:S30" si="15">IF($E24="NO",0,(VLOOKUP($B24,$H$9:$I$16,2,FALSE)-$C24))</f>
        <v>0</v>
      </c>
      <c r="T24" s="1147">
        <f>IF($E24="YES", ($S24*VLOOKUP($B24, IPCC!$A$871:$E$906,2, FALSE)*VLOOKUP($B24, IPCC!$A$871:$E$906, 4, FALSE)), 0)</f>
        <v>0</v>
      </c>
      <c r="U24" s="1147">
        <f>IF($E24="YES", ($S24*VLOOKUP($B24, IPCC!$A$871:$E$906,2, FALSE)*VLOOKUP($B24, IPCC!$A$871:$E$906, 5, FALSE)), 0)</f>
        <v>0</v>
      </c>
      <c r="V24" s="1147">
        <f xml:space="preserve"> IF($Q24&gt;=0, 0, ((-1)*(($Q24/20*1/IPCC!$B$913)*1000)))</f>
        <v>0</v>
      </c>
      <c r="W24" s="1147">
        <f>IF(country_selected="Please select",0,V24*VLOOKUP(moist_type, IPCC!$B$99:$C$101, 2, FALSE)*N2O_N_conversion)</f>
        <v>0</v>
      </c>
      <c r="X24" s="2673">
        <f t="shared" si="3"/>
        <v>0</v>
      </c>
      <c r="Z24" s="2886">
        <f t="shared" si="4"/>
        <v>0</v>
      </c>
      <c r="AA24" s="2887">
        <f t="shared" si="5"/>
        <v>0</v>
      </c>
      <c r="AB24" s="2887">
        <f t="shared" si="6"/>
        <v>0</v>
      </c>
      <c r="AC24" s="2887">
        <f t="shared" si="7"/>
        <v>0</v>
      </c>
      <c r="AD24" s="2887">
        <f t="shared" si="8"/>
        <v>0</v>
      </c>
      <c r="AE24" s="2888">
        <f t="shared" si="9"/>
        <v>0</v>
      </c>
      <c r="AG24" s="2887">
        <v>0</v>
      </c>
      <c r="AH24" s="2888">
        <f t="shared" si="10"/>
        <v>0</v>
      </c>
      <c r="AI24" s="2887">
        <f t="shared" si="11"/>
        <v>0</v>
      </c>
    </row>
    <row r="25" spans="1:35" x14ac:dyDescent="0.15">
      <c r="A25" s="1707" t="s">
        <v>204</v>
      </c>
      <c r="B25" s="2652" t="str">
        <f>'2.LUC'!$C13</f>
        <v>Please select</v>
      </c>
      <c r="C25" s="1414">
        <f>'2.LUC'!$E13</f>
        <v>0</v>
      </c>
      <c r="D25" s="1708">
        <f>IF('2.LUC'!$C13="Please select",0,IF(C25&gt;VLOOKUP($B25,defo!$H$9:$K$16,2,FALSE),VLOOKUP($B25,defo!$H$9:$K$16,2,FALSE),'2.LUC'!$E13))*IF(B25="Mangrove Forest",0.451, 0.47)</f>
        <v>0</v>
      </c>
      <c r="E25" s="1688" t="str">
        <f>'2.LUC'!$G13</f>
        <v>NO</v>
      </c>
      <c r="F25" s="1423">
        <f>IF($B25&lt;&gt; "Please select", IF($E25="YES", VLOOKUP($B25, IPCC!$A$871:$B$906, 2, FALSE),0), 0)</f>
        <v>0</v>
      </c>
      <c r="G25" s="2516" t="str">
        <f>'2.LUC'!$I13</f>
        <v>Please select</v>
      </c>
      <c r="H25" s="3143" t="str">
        <f>'2.LUC'!$K13</f>
        <v>Please select</v>
      </c>
      <c r="I25" s="2658" t="str">
        <f>IF('2.LUC'!$K13 &lt;&gt; "Please select",  '2.LUC'!$K13, IF('2.LUC'!$I13&lt;&gt;"Agroforestry", '2.LUC'!$I13, "Agroforestry - default"))</f>
        <v>Please select</v>
      </c>
      <c r="J25" s="1147">
        <f>IF('2.LUC'!$I13 &lt;&gt; "Please select", IF('2.LUC'!BP13=0, INDEX(IPCC!$D$686:$Y$845,MATCH(clim_moist_cont,IPCC!$C$686:$C$845,0),MATCH($I25,IPCC!$D$682:$Y$682,0)), '2.LUC'!BP13), 0)</f>
        <v>0</v>
      </c>
      <c r="K25" s="1147">
        <f>IF('2.LUC'!$C13&lt;&gt;"Please select",$K11-$D25+$N11,0)</f>
        <v>0</v>
      </c>
      <c r="L25" s="1147">
        <f t="shared" si="12"/>
        <v>0</v>
      </c>
      <c r="M25" s="1147">
        <f>IF('2.LUC'!$C13&lt;&gt;"Please select",P11+R11,0)</f>
        <v>0</v>
      </c>
      <c r="N25" s="1147">
        <f t="shared" si="13"/>
        <v>0</v>
      </c>
      <c r="O25" s="2519">
        <f>IF($I25&lt;&gt; "Please select", INDEX(IPCC!$B$852:$W$863,MATCH(clim_moist,IPCC!$A$852:$A$863,0),MATCH($I25,IPCC!$B$852:$W$852,0)),0)</f>
        <v>0</v>
      </c>
      <c r="P25" s="1148">
        <f>'2.LUC'!BV13</f>
        <v>0</v>
      </c>
      <c r="Q25" s="1148">
        <f>IF($I25&lt;&gt;"Please select",IF('2.LUC'!BS13=0, $T11*IF(OR(P25=0, P25=""),$O25, P25)-$T11, '2.LUC'!BS13*IF(OR(P25=0, P25=""),$O25, P25)-$T11),0)</f>
        <v>0</v>
      </c>
      <c r="R25" s="1148">
        <f t="shared" si="14"/>
        <v>0</v>
      </c>
      <c r="S25" s="1147">
        <f t="shared" si="15"/>
        <v>0</v>
      </c>
      <c r="T25" s="1147">
        <f>IF($E25="YES", ($S25*VLOOKUP($B25, IPCC!$A$871:$E$906,2, FALSE)*VLOOKUP($B25, IPCC!$A$871:$E$906, 4, FALSE)), 0)</f>
        <v>0</v>
      </c>
      <c r="U25" s="1147">
        <f>IF($E25="YES", ($S25*VLOOKUP($B25, IPCC!$A$871:$E$906,2, FALSE)*VLOOKUP($B25, IPCC!$A$871:$E$906, 5, FALSE)), 0)</f>
        <v>0</v>
      </c>
      <c r="V25" s="1147">
        <f xml:space="preserve"> IF($Q25&gt;=0, 0, ((-1)*(($Q25/20*1/IPCC!$B$913)*1000)))</f>
        <v>0</v>
      </c>
      <c r="W25" s="1147">
        <f>IF(country_selected="Please select",0,V25*VLOOKUP(moist_type, IPCC!$B$99:$C$101, 2, FALSE)*N2O_N_conversion)</f>
        <v>0</v>
      </c>
      <c r="X25" s="2673">
        <f t="shared" si="3"/>
        <v>0</v>
      </c>
      <c r="Z25" s="2886">
        <f t="shared" si="4"/>
        <v>0</v>
      </c>
      <c r="AA25" s="2887">
        <f t="shared" si="5"/>
        <v>0</v>
      </c>
      <c r="AB25" s="2887">
        <f t="shared" si="6"/>
        <v>0</v>
      </c>
      <c r="AC25" s="2887">
        <f t="shared" si="7"/>
        <v>0</v>
      </c>
      <c r="AD25" s="2887">
        <f t="shared" si="8"/>
        <v>0</v>
      </c>
      <c r="AE25" s="2888">
        <f t="shared" si="9"/>
        <v>0</v>
      </c>
      <c r="AG25" s="2887">
        <v>0</v>
      </c>
      <c r="AH25" s="2888">
        <f t="shared" si="10"/>
        <v>0</v>
      </c>
      <c r="AI25" s="2887">
        <f t="shared" si="11"/>
        <v>0</v>
      </c>
    </row>
    <row r="26" spans="1:35" x14ac:dyDescent="0.15">
      <c r="A26" s="1707" t="s">
        <v>205</v>
      </c>
      <c r="B26" s="2652" t="str">
        <f>'2.LUC'!$C14</f>
        <v>Please select</v>
      </c>
      <c r="C26" s="1414">
        <f>'2.LUC'!$E14</f>
        <v>0</v>
      </c>
      <c r="D26" s="1708">
        <f>IF('2.LUC'!$C14="Please select",0,IF(C26&gt;VLOOKUP($B26,defo!$H$9:$K$16,2,FALSE),VLOOKUP($B26,defo!$H$9:$K$16,2,FALSE),'2.LUC'!$E14))*IF(B26="Mangrove Forest",0.451, 0.47)</f>
        <v>0</v>
      </c>
      <c r="E26" s="1688" t="str">
        <f>'2.LUC'!$G14</f>
        <v>NO</v>
      </c>
      <c r="F26" s="1423">
        <f>IF($B26&lt;&gt; "Please select", IF($E26="YES", VLOOKUP($B26, IPCC!$A$871:$B$906, 2, FALSE),0), 0)</f>
        <v>0</v>
      </c>
      <c r="G26" s="2516" t="str">
        <f>'2.LUC'!$I14</f>
        <v>Please select</v>
      </c>
      <c r="H26" s="3143" t="str">
        <f>'2.LUC'!$K14</f>
        <v>Please select</v>
      </c>
      <c r="I26" s="2658" t="str">
        <f>IF('2.LUC'!$K14 &lt;&gt; "Please select",  '2.LUC'!$K14, IF('2.LUC'!$I14&lt;&gt;"Agroforestry", '2.LUC'!$I14, "Agroforestry - default"))</f>
        <v>Please select</v>
      </c>
      <c r="J26" s="1147">
        <f>IF('2.LUC'!$I14 &lt;&gt; "Please select", IF('2.LUC'!BP14=0, INDEX(IPCC!$D$686:$Y$845,MATCH(clim_moist_cont,IPCC!$C$686:$C$845,0),MATCH($I26,IPCC!$D$682:$Y$682,0)), '2.LUC'!BP14), 0)</f>
        <v>0</v>
      </c>
      <c r="K26" s="1147">
        <f>IF('2.LUC'!$C14&lt;&gt;"Please select",$K12-$D26+$N12,0)</f>
        <v>0</v>
      </c>
      <c r="L26" s="1147">
        <f t="shared" si="12"/>
        <v>0</v>
      </c>
      <c r="M26" s="1147">
        <f>IF('2.LUC'!$C14&lt;&gt;"Please select",P12+R12,0)</f>
        <v>0</v>
      </c>
      <c r="N26" s="1147">
        <f t="shared" si="13"/>
        <v>0</v>
      </c>
      <c r="O26" s="2519">
        <f>IF($I26&lt;&gt; "Please select", INDEX(IPCC!$B$852:$W$863,MATCH(clim_moist,IPCC!$A$852:$A$863,0),MATCH($I26,IPCC!$B$852:$W$852,0)),0)</f>
        <v>0</v>
      </c>
      <c r="P26" s="1148">
        <f>'2.LUC'!BV14</f>
        <v>0</v>
      </c>
      <c r="Q26" s="1148">
        <f>IF($I26&lt;&gt;"Please select",IF('2.LUC'!BS14=0, $T12*IF(OR(P26=0, P26=""),$O26, P26)-$T12, '2.LUC'!BS14*IF(OR(P26=0, P26=""),$O26, P26)-$T12),0)</f>
        <v>0</v>
      </c>
      <c r="R26" s="1148">
        <f t="shared" si="14"/>
        <v>0</v>
      </c>
      <c r="S26" s="1147">
        <f t="shared" si="15"/>
        <v>0</v>
      </c>
      <c r="T26" s="1147">
        <f>IF($E26="YES", ($S26*VLOOKUP($B26, IPCC!$A$871:$E$906,2, FALSE)*VLOOKUP($B26, IPCC!$A$871:$E$906, 4, FALSE)), 0)</f>
        <v>0</v>
      </c>
      <c r="U26" s="1147">
        <f>IF($E26="YES", ($S26*VLOOKUP($B26, IPCC!$A$871:$E$906,2, FALSE)*VLOOKUP($B26, IPCC!$A$871:$E$906, 5, FALSE)), 0)</f>
        <v>0</v>
      </c>
      <c r="V26" s="1147">
        <f xml:space="preserve"> IF($Q26&gt;=0, 0, ((-1)*(($Q26/20*1/IPCC!$B$913)*1000)))</f>
        <v>0</v>
      </c>
      <c r="W26" s="1147">
        <f>IF(country_selected="Please select",0,V26*VLOOKUP(moist_type, IPCC!$B$99:$C$101, 2, FALSE)*N2O_N_conversion)</f>
        <v>0</v>
      </c>
      <c r="X26" s="2673">
        <f t="shared" si="3"/>
        <v>0</v>
      </c>
      <c r="Z26" s="2886">
        <f t="shared" si="4"/>
        <v>0</v>
      </c>
      <c r="AA26" s="2887">
        <f t="shared" si="5"/>
        <v>0</v>
      </c>
      <c r="AB26" s="2887">
        <f t="shared" si="6"/>
        <v>0</v>
      </c>
      <c r="AC26" s="2887">
        <f t="shared" si="7"/>
        <v>0</v>
      </c>
      <c r="AD26" s="2887">
        <f t="shared" si="8"/>
        <v>0</v>
      </c>
      <c r="AE26" s="2888">
        <f t="shared" si="9"/>
        <v>0</v>
      </c>
      <c r="AG26" s="2887">
        <v>0</v>
      </c>
      <c r="AH26" s="2888">
        <f t="shared" si="10"/>
        <v>0</v>
      </c>
      <c r="AI26" s="2887">
        <f t="shared" si="11"/>
        <v>0</v>
      </c>
    </row>
    <row r="27" spans="1:35" x14ac:dyDescent="0.15">
      <c r="A27" s="1707" t="s">
        <v>206</v>
      </c>
      <c r="B27" s="2652" t="str">
        <f>'2.LUC'!$C15</f>
        <v>Please select</v>
      </c>
      <c r="C27" s="1414">
        <f>'2.LUC'!$E15</f>
        <v>0</v>
      </c>
      <c r="D27" s="1708">
        <f>IF('2.LUC'!$C15="Please select",0,IF(C27&gt;VLOOKUP($B27,defo!$H$9:$K$16,2,FALSE),VLOOKUP($B27,defo!$H$9:$K$16,2,FALSE),'2.LUC'!$E15))*IF(B27="Mangrove Forest",0.451, 0.47)</f>
        <v>0</v>
      </c>
      <c r="E27" s="1688" t="str">
        <f>'2.LUC'!$G15</f>
        <v>NO</v>
      </c>
      <c r="F27" s="1423">
        <f>IF($B27&lt;&gt; "Please select", IF($E27="YES", VLOOKUP($B27, IPCC!$A$871:$B$906, 2, FALSE),0), 0)</f>
        <v>0</v>
      </c>
      <c r="G27" s="2516" t="str">
        <f>'2.LUC'!$I15</f>
        <v>Please select</v>
      </c>
      <c r="H27" s="3143" t="str">
        <f>'2.LUC'!$K15</f>
        <v>Please select</v>
      </c>
      <c r="I27" s="2658" t="str">
        <f>IF('2.LUC'!$K15 &lt;&gt; "Please select",  '2.LUC'!$K15, IF('2.LUC'!$I15&lt;&gt;"Agroforestry", '2.LUC'!$I15, "Agroforestry - default"))</f>
        <v>Please select</v>
      </c>
      <c r="J27" s="1147">
        <f>IF('2.LUC'!$I15 &lt;&gt; "Please select", IF('2.LUC'!BP15=0, INDEX(IPCC!$D$686:$Y$845,MATCH(clim_moist_cont,IPCC!$C$686:$C$845,0),MATCH($I27,IPCC!$D$682:$Y$682,0)), '2.LUC'!BP15), 0)</f>
        <v>0</v>
      </c>
      <c r="K27" s="1147">
        <f>IF('2.LUC'!$C15&lt;&gt;"Please select",$K13-$D27+$N13,0)</f>
        <v>0</v>
      </c>
      <c r="L27" s="1147">
        <f t="shared" si="12"/>
        <v>0</v>
      </c>
      <c r="M27" s="1147">
        <f>IF('2.LUC'!$C15&lt;&gt;"Please select",P13+R13,0)</f>
        <v>0</v>
      </c>
      <c r="N27" s="1147">
        <f t="shared" si="13"/>
        <v>0</v>
      </c>
      <c r="O27" s="2519">
        <f>IF($I27&lt;&gt; "Please select", INDEX(IPCC!$B$852:$W$863,MATCH(clim_moist,IPCC!$A$852:$A$863,0),MATCH($I27,IPCC!$B$852:$W$852,0)),0)</f>
        <v>0</v>
      </c>
      <c r="P27" s="1148">
        <f>'2.LUC'!BV15</f>
        <v>0</v>
      </c>
      <c r="Q27" s="1148">
        <f>IF($I27&lt;&gt;"Please select",IF('2.LUC'!BS15=0, $T13*IF(OR(P27=0, P27=""),$O27, P27)-$T13, '2.LUC'!BS15*IF(OR(P27=0, P27=""),$O27, P27)-$T13),0)</f>
        <v>0</v>
      </c>
      <c r="R27" s="1148">
        <f t="shared" si="14"/>
        <v>0</v>
      </c>
      <c r="S27" s="1147">
        <f t="shared" si="15"/>
        <v>0</v>
      </c>
      <c r="T27" s="1147">
        <f>IF($E27="YES", ($S27*VLOOKUP($B27, IPCC!$A$871:$E$906,2, FALSE)*VLOOKUP($B27, IPCC!$A$871:$E$906, 4, FALSE)), 0)</f>
        <v>0</v>
      </c>
      <c r="U27" s="1147">
        <f>IF($E27="YES", ($S27*VLOOKUP($B27, IPCC!$A$871:$E$906,2, FALSE)*VLOOKUP($B27, IPCC!$A$871:$E$906, 5, FALSE)), 0)</f>
        <v>0</v>
      </c>
      <c r="V27" s="1147">
        <f xml:space="preserve"> IF($Q27&gt;=0, 0, ((-1)*(($Q27/20*1/IPCC!$B$913)*1000)))</f>
        <v>0</v>
      </c>
      <c r="W27" s="1147">
        <f>IF(country_selected="Please select",0,V27*VLOOKUP(moist_type, IPCC!$B$99:$C$101, 2, FALSE)*N2O_N_conversion)</f>
        <v>0</v>
      </c>
      <c r="X27" s="2673">
        <f t="shared" si="3"/>
        <v>0</v>
      </c>
      <c r="Z27" s="2886">
        <f t="shared" si="4"/>
        <v>0</v>
      </c>
      <c r="AA27" s="2887">
        <f t="shared" si="5"/>
        <v>0</v>
      </c>
      <c r="AB27" s="2887">
        <f t="shared" si="6"/>
        <v>0</v>
      </c>
      <c r="AC27" s="2887">
        <f t="shared" si="7"/>
        <v>0</v>
      </c>
      <c r="AD27" s="2887">
        <f t="shared" si="8"/>
        <v>0</v>
      </c>
      <c r="AE27" s="2888">
        <f t="shared" si="9"/>
        <v>0</v>
      </c>
      <c r="AG27" s="2887">
        <v>0</v>
      </c>
      <c r="AH27" s="2888">
        <f t="shared" si="10"/>
        <v>0</v>
      </c>
      <c r="AI27" s="2887">
        <f t="shared" si="11"/>
        <v>0</v>
      </c>
    </row>
    <row r="28" spans="1:35" x14ac:dyDescent="0.15">
      <c r="A28" s="1707" t="s">
        <v>207</v>
      </c>
      <c r="B28" s="2652" t="str">
        <f>'2.LUC'!$C16</f>
        <v>Please select</v>
      </c>
      <c r="C28" s="1414">
        <f>'2.LUC'!$E16</f>
        <v>0</v>
      </c>
      <c r="D28" s="1708">
        <f>IF('2.LUC'!$C16="Please select",0,IF(C28&gt;VLOOKUP($B28,defo!$H$9:$K$16,2,FALSE),VLOOKUP($B28,defo!$H$9:$K$16,2,FALSE),'2.LUC'!$E16))*IF(B28="Mangrove Forest",0.451, 0.47)</f>
        <v>0</v>
      </c>
      <c r="E28" s="1688" t="str">
        <f>'2.LUC'!$G16</f>
        <v>NO</v>
      </c>
      <c r="F28" s="1423">
        <f>IF($B28&lt;&gt; "Please select", IF($E28="YES", VLOOKUP($B28, IPCC!$A$871:$B$906, 2, FALSE),0), 0)</f>
        <v>0</v>
      </c>
      <c r="G28" s="2516" t="str">
        <f>'2.LUC'!$I16</f>
        <v>Please select</v>
      </c>
      <c r="H28" s="3143" t="str">
        <f>'2.LUC'!$K16</f>
        <v>Please select</v>
      </c>
      <c r="I28" s="2658" t="str">
        <f>IF('2.LUC'!$K16 &lt;&gt; "Please select",  '2.LUC'!$K16, IF('2.LUC'!$I16&lt;&gt;"Agroforestry", '2.LUC'!$I16, "Agroforestry - default"))</f>
        <v>Please select</v>
      </c>
      <c r="J28" s="1147">
        <f>IF('2.LUC'!$I16 &lt;&gt; "Please select", IF('2.LUC'!BP16=0, INDEX(IPCC!$D$686:$Y$845,MATCH(clim_moist_cont,IPCC!$C$686:$C$845,0),MATCH($I28,IPCC!$D$682:$Y$682,0)), '2.LUC'!BP16), 0)</f>
        <v>0</v>
      </c>
      <c r="K28" s="1147">
        <f>IF('2.LUC'!$C16&lt;&gt;"Please select",$K14-$D28+$N14,0)</f>
        <v>0</v>
      </c>
      <c r="L28" s="1147">
        <f t="shared" si="12"/>
        <v>0</v>
      </c>
      <c r="M28" s="1147">
        <f>IF('2.LUC'!$C16&lt;&gt;"Please select",P14+R14,0)</f>
        <v>0</v>
      </c>
      <c r="N28" s="1147">
        <f t="shared" si="13"/>
        <v>0</v>
      </c>
      <c r="O28" s="2519">
        <f>IF($I28&lt;&gt; "Please select", INDEX(IPCC!$B$852:$W$863,MATCH(clim_moist,IPCC!$A$852:$A$863,0),MATCH($I28,IPCC!$B$852:$W$852,0)),0)</f>
        <v>0</v>
      </c>
      <c r="P28" s="1148">
        <f>'2.LUC'!BV16</f>
        <v>0</v>
      </c>
      <c r="Q28" s="1148">
        <f>IF($I28&lt;&gt;"Please select",IF('2.LUC'!BS16=0, $T14*IF(OR(P28=0, P28=""),$O28, P28)-$T14, '2.LUC'!BS16*IF(OR(P28=0, P28=""),$O28, P28)-$T14),0)</f>
        <v>0</v>
      </c>
      <c r="R28" s="1148">
        <f t="shared" si="14"/>
        <v>0</v>
      </c>
      <c r="S28" s="1147">
        <f t="shared" si="15"/>
        <v>0</v>
      </c>
      <c r="T28" s="1147">
        <f>IF($E28="YES", ($S28*VLOOKUP($B28, IPCC!$A$871:$E$906,2, FALSE)*VLOOKUP($B28, IPCC!$A$871:$E$906, 4, FALSE)), 0)</f>
        <v>0</v>
      </c>
      <c r="U28" s="1147">
        <f>IF($E28="YES", ($S28*VLOOKUP($B28, IPCC!$A$871:$E$906,2, FALSE)*VLOOKUP($B28, IPCC!$A$871:$E$906, 5, FALSE)), 0)</f>
        <v>0</v>
      </c>
      <c r="V28" s="1147">
        <f xml:space="preserve"> IF($Q28&gt;=0, 0, ((-1)*(($Q28/20*1/IPCC!$B$913)*1000)))</f>
        <v>0</v>
      </c>
      <c r="W28" s="1147">
        <f>IF(country_selected="Please select",0,V28*VLOOKUP(moist_type, IPCC!$B$99:$C$101, 2, FALSE)*N2O_N_conversion)</f>
        <v>0</v>
      </c>
      <c r="X28" s="2673">
        <f t="shared" si="3"/>
        <v>0</v>
      </c>
      <c r="Z28" s="2886">
        <f t="shared" si="4"/>
        <v>0</v>
      </c>
      <c r="AA28" s="2887">
        <f t="shared" si="5"/>
        <v>0</v>
      </c>
      <c r="AB28" s="2887">
        <f t="shared" si="6"/>
        <v>0</v>
      </c>
      <c r="AC28" s="2887">
        <f t="shared" si="7"/>
        <v>0</v>
      </c>
      <c r="AD28" s="2887">
        <f t="shared" si="8"/>
        <v>0</v>
      </c>
      <c r="AE28" s="2888">
        <f t="shared" si="9"/>
        <v>0</v>
      </c>
      <c r="AG28" s="2887">
        <v>0</v>
      </c>
      <c r="AH28" s="2888">
        <f t="shared" si="10"/>
        <v>0</v>
      </c>
      <c r="AI28" s="2887">
        <f t="shared" si="11"/>
        <v>0</v>
      </c>
    </row>
    <row r="29" spans="1:35" x14ac:dyDescent="0.15">
      <c r="A29" s="1707" t="s">
        <v>208</v>
      </c>
      <c r="B29" s="2652" t="str">
        <f>'2.LUC'!$C17</f>
        <v>Please select</v>
      </c>
      <c r="C29" s="1414">
        <f>'2.LUC'!$E17</f>
        <v>0</v>
      </c>
      <c r="D29" s="1708">
        <f>IF('2.LUC'!$C17="Please select",0,IF(C29&gt;VLOOKUP($B29,defo!$H$9:$K$16,2,FALSE),VLOOKUP($B29,defo!$H$9:$K$16,2,FALSE),'2.LUC'!$E17))*IF(B29="Mangrove Forest",0.451, 0.47)</f>
        <v>0</v>
      </c>
      <c r="E29" s="1688" t="str">
        <f>'2.LUC'!$G17</f>
        <v>NO</v>
      </c>
      <c r="F29" s="1423">
        <f>IF($B29&lt;&gt; "Please select", IF($E29="YES", VLOOKUP($B29, IPCC!$A$871:$B$906, 2, FALSE),0), 0)</f>
        <v>0</v>
      </c>
      <c r="G29" s="2516" t="str">
        <f>'2.LUC'!$I17</f>
        <v>Please select</v>
      </c>
      <c r="H29" s="3143" t="str">
        <f>'2.LUC'!$K17</f>
        <v>Please select</v>
      </c>
      <c r="I29" s="2658" t="str">
        <f>IF('2.LUC'!$K17 &lt;&gt; "Please select",  '2.LUC'!$K17, IF('2.LUC'!$I17&lt;&gt;"Agroforestry", '2.LUC'!$I17, "Agroforestry - default"))</f>
        <v>Please select</v>
      </c>
      <c r="J29" s="1147">
        <f>IF('2.LUC'!$I17 &lt;&gt; "Please select", IF('2.LUC'!BP17=0, INDEX(IPCC!$D$686:$Y$845,MATCH(clim_moist_cont,IPCC!$C$686:$C$845,0),MATCH($I29,IPCC!$D$682:$Y$682,0)), '2.LUC'!BP17), 0)</f>
        <v>0</v>
      </c>
      <c r="K29" s="1147">
        <f>IF('2.LUC'!$C17&lt;&gt;"Please select",$K15-$D29+$N15,0)</f>
        <v>0</v>
      </c>
      <c r="L29" s="1147">
        <f t="shared" si="12"/>
        <v>0</v>
      </c>
      <c r="M29" s="1147">
        <f>IF('2.LUC'!$C17&lt;&gt;"Please select",P15+R15,0)</f>
        <v>0</v>
      </c>
      <c r="N29" s="1147">
        <f t="shared" si="13"/>
        <v>0</v>
      </c>
      <c r="O29" s="2519">
        <f>IF($I29&lt;&gt; "Please select", INDEX(IPCC!$B$852:$W$863,MATCH(clim_moist,IPCC!$A$852:$A$863,0),MATCH($I29,IPCC!$B$852:$W$852,0)),0)</f>
        <v>0</v>
      </c>
      <c r="P29" s="1148">
        <f>'2.LUC'!BV17</f>
        <v>0</v>
      </c>
      <c r="Q29" s="1148">
        <f>IF($I29&lt;&gt;"Please select",IF('2.LUC'!BS17=0, $T15*IF(OR(P29=0, P29=""),$O29, P29)-$T15, '2.LUC'!BS17*IF(OR(P29=0, P29=""),$O29, P29)-$T15),0)</f>
        <v>0</v>
      </c>
      <c r="R29" s="1148">
        <f t="shared" si="14"/>
        <v>0</v>
      </c>
      <c r="S29" s="1147">
        <f t="shared" si="15"/>
        <v>0</v>
      </c>
      <c r="T29" s="1147">
        <f>IF($E29="YES", ($S29*VLOOKUP($B29, IPCC!$A$871:$E$906,2, FALSE)*VLOOKUP($B29, IPCC!$A$871:$E$906, 4, FALSE)), 0)</f>
        <v>0</v>
      </c>
      <c r="U29" s="1147">
        <f>IF($E29="YES", ($S29*VLOOKUP($B29, IPCC!$A$871:$E$906,2, FALSE)*VLOOKUP($B29, IPCC!$A$871:$E$906, 5, FALSE)), 0)</f>
        <v>0</v>
      </c>
      <c r="V29" s="1147">
        <f xml:space="preserve"> IF($Q29&gt;=0, 0, ((-1)*(($Q29/20*1/IPCC!$B$913)*1000)))</f>
        <v>0</v>
      </c>
      <c r="W29" s="1147">
        <f>IF(country_selected="Please select",0,V29*VLOOKUP(moist_type, IPCC!$B$99:$C$101, 2, FALSE)*N2O_N_conversion)</f>
        <v>0</v>
      </c>
      <c r="X29" s="2673">
        <f t="shared" si="3"/>
        <v>0</v>
      </c>
      <c r="Z29" s="2886">
        <f t="shared" si="4"/>
        <v>0</v>
      </c>
      <c r="AA29" s="2887">
        <f t="shared" si="5"/>
        <v>0</v>
      </c>
      <c r="AB29" s="2887">
        <f t="shared" si="6"/>
        <v>0</v>
      </c>
      <c r="AC29" s="2887">
        <f t="shared" si="7"/>
        <v>0</v>
      </c>
      <c r="AD29" s="2887">
        <f t="shared" si="8"/>
        <v>0</v>
      </c>
      <c r="AE29" s="2888">
        <f t="shared" si="9"/>
        <v>0</v>
      </c>
      <c r="AG29" s="2887">
        <v>0</v>
      </c>
      <c r="AH29" s="2888">
        <f t="shared" si="10"/>
        <v>0</v>
      </c>
      <c r="AI29" s="2887">
        <f t="shared" si="11"/>
        <v>0</v>
      </c>
    </row>
    <row r="30" spans="1:35" x14ac:dyDescent="0.15">
      <c r="A30" s="1747" t="s">
        <v>209</v>
      </c>
      <c r="B30" s="2653" t="str">
        <f>'2.LUC'!$C18</f>
        <v>Please select</v>
      </c>
      <c r="C30" s="1710">
        <f>'2.LUC'!$E18</f>
        <v>0</v>
      </c>
      <c r="D30" s="1748">
        <f>IF('2.LUC'!$C18="Please select",0,IF(C30&gt;VLOOKUP($B30,defo!$H$9:$K$16,2,FALSE),VLOOKUP($B30,defo!$H$9:$K$16,2,FALSE),'2.LUC'!$E18))*IF(B30="Mangrove Forest",0.451, 0.47)</f>
        <v>0</v>
      </c>
      <c r="E30" s="3477" t="str">
        <f>'2.LUC'!$G18</f>
        <v>NO</v>
      </c>
      <c r="F30" s="1709">
        <f>IF($B30&lt;&gt; "Please select", IF($E30="YES", VLOOKUP($B30, IPCC!$A$871:$B$906, 2, FALSE),0), 0)</f>
        <v>0</v>
      </c>
      <c r="G30" s="2666" t="str">
        <f>'2.LUC'!$I18</f>
        <v>Please select</v>
      </c>
      <c r="H30" s="3144" t="str">
        <f>'2.LUC'!$K18</f>
        <v>Please select</v>
      </c>
      <c r="I30" s="2659" t="str">
        <f>IF('2.LUC'!$K18 &lt;&gt; "Please select",  '2.LUC'!$K18, IF('2.LUC'!$I18&lt;&gt;"Agroforestry", '2.LUC'!$I18, "Agroforestry - default"))</f>
        <v>Please select</v>
      </c>
      <c r="J30" s="2670">
        <f>IF('2.LUC'!$I18 &lt;&gt; "Please select", IF('2.LUC'!BP18=0, INDEX(IPCC!$D$686:$Y$845,MATCH(clim_moist_cont,IPCC!$C$686:$C$845,0),MATCH($I30,IPCC!$D$682:$Y$682,0)), '2.LUC'!BP18), 0)</f>
        <v>0</v>
      </c>
      <c r="K30" s="2670">
        <f>IF('2.LUC'!$C18&lt;&gt;"Please select",$K16-$D30+$N16,0)</f>
        <v>0</v>
      </c>
      <c r="L30" s="2670">
        <f t="shared" si="12"/>
        <v>0</v>
      </c>
      <c r="M30" s="2670">
        <f>IF('2.LUC'!$C18&lt;&gt;"Please select",P16+R16,0)</f>
        <v>0</v>
      </c>
      <c r="N30" s="2670">
        <f t="shared" si="13"/>
        <v>0</v>
      </c>
      <c r="O30" s="2671">
        <f>IF($I30&lt;&gt; "Please select", INDEX(IPCC!$B$852:$W$863,MATCH(clim_moist,IPCC!$A$852:$A$863,0),MATCH($I30,IPCC!$B$852:$W$852,0)),0)</f>
        <v>0</v>
      </c>
      <c r="P30" s="2672">
        <f>'2.LUC'!BV18</f>
        <v>0</v>
      </c>
      <c r="Q30" s="2672">
        <f>IF($I30&lt;&gt;"Please select",IF('2.LUC'!BS18=0, $T16*IF(OR(P30=0, P30=""),$O30, P30)-$T16, '2.LUC'!BS18*IF(OR(P30=0, P30=""),$O30, P30)-$T16),0)</f>
        <v>0</v>
      </c>
      <c r="R30" s="2672">
        <f t="shared" si="14"/>
        <v>0</v>
      </c>
      <c r="S30" s="2670">
        <f t="shared" si="15"/>
        <v>0</v>
      </c>
      <c r="T30" s="2670">
        <f>IF($E30="YES", ($S30*VLOOKUP($B30, IPCC!$A$871:$E$906,2, FALSE)*VLOOKUP($B30, IPCC!$A$871:$E$906, 4, FALSE)), 0)</f>
        <v>0</v>
      </c>
      <c r="U30" s="2670">
        <f>IF($E30="YES", ($S30*VLOOKUP($B30, IPCC!$A$871:$E$906,2, FALSE)*VLOOKUP($B30, IPCC!$A$871:$E$906, 5, FALSE)), 0)</f>
        <v>0</v>
      </c>
      <c r="V30" s="2670">
        <f xml:space="preserve"> IF($Q30&gt;=0, 0, ((-1)*(($Q30/20*1/IPCC!$B$913)*1000)))</f>
        <v>0</v>
      </c>
      <c r="W30" s="2670">
        <f>IF(country_selected="Please select",0,V30*VLOOKUP(moist_type, IPCC!$B$99:$C$101, 2, FALSE)*N2O_N_conversion)</f>
        <v>0</v>
      </c>
      <c r="X30" s="2673">
        <f t="shared" si="3"/>
        <v>0</v>
      </c>
      <c r="Z30" s="2889">
        <f t="shared" si="4"/>
        <v>0</v>
      </c>
      <c r="AA30" s="2890">
        <f t="shared" si="5"/>
        <v>0</v>
      </c>
      <c r="AB30" s="2890">
        <f t="shared" si="6"/>
        <v>0</v>
      </c>
      <c r="AC30" s="2890">
        <f t="shared" si="7"/>
        <v>0</v>
      </c>
      <c r="AD30" s="2890">
        <f t="shared" si="8"/>
        <v>0</v>
      </c>
      <c r="AE30" s="2891">
        <f t="shared" si="9"/>
        <v>0</v>
      </c>
      <c r="AG30" s="2890">
        <v>0</v>
      </c>
      <c r="AH30" s="2891">
        <f t="shared" si="10"/>
        <v>0</v>
      </c>
      <c r="AI30" s="2890">
        <f t="shared" si="11"/>
        <v>0</v>
      </c>
    </row>
    <row r="31" spans="1:35" x14ac:dyDescent="0.15">
      <c r="AG31" s="2892">
        <f>SUM(AG23:AG30)</f>
        <v>0</v>
      </c>
      <c r="AH31" s="2893">
        <f>SUM(AH23:AH30)</f>
        <v>0</v>
      </c>
      <c r="AI31" s="2894">
        <f>SUM(AI23:AI30)</f>
        <v>0</v>
      </c>
    </row>
    <row r="32" spans="1:35" x14ac:dyDescent="0.15">
      <c r="A32" s="1537" t="s">
        <v>210</v>
      </c>
      <c r="B32" s="1711" t="s">
        <v>211</v>
      </c>
      <c r="C32" s="1712"/>
      <c r="D32" s="1712"/>
      <c r="E32" s="1712"/>
      <c r="F32" s="1712"/>
      <c r="G32" s="1713" t="s">
        <v>212</v>
      </c>
      <c r="H32" s="1714"/>
      <c r="I32" s="4539" t="s">
        <v>213</v>
      </c>
      <c r="J32" s="4540"/>
      <c r="K32" s="1715" t="s">
        <v>214</v>
      </c>
      <c r="L32" s="1715"/>
      <c r="M32" s="1716" t="s">
        <v>215</v>
      </c>
      <c r="N32" s="1717"/>
      <c r="O32" s="1718" t="s">
        <v>216</v>
      </c>
      <c r="P32" s="1717"/>
      <c r="Q32" s="1719" t="s">
        <v>5212</v>
      </c>
      <c r="R32" s="1717"/>
      <c r="S32" s="1720" t="s">
        <v>217</v>
      </c>
      <c r="T32" s="1721"/>
      <c r="U32" s="1721" t="s">
        <v>218</v>
      </c>
    </row>
    <row r="33" spans="1:27" x14ac:dyDescent="0.15">
      <c r="A33" s="1722" t="s">
        <v>164</v>
      </c>
      <c r="B33" s="1723" t="s">
        <v>219</v>
      </c>
      <c r="C33" s="1724" t="s">
        <v>220</v>
      </c>
      <c r="D33" s="1725"/>
      <c r="E33" s="1726" t="s">
        <v>221</v>
      </c>
      <c r="F33" s="1727"/>
      <c r="G33" s="1728" t="s">
        <v>179</v>
      </c>
      <c r="H33" s="1729" t="s">
        <v>180</v>
      </c>
      <c r="I33" s="1728" t="s">
        <v>179</v>
      </c>
      <c r="J33" s="1730" t="s">
        <v>180</v>
      </c>
      <c r="K33" s="1728" t="s">
        <v>179</v>
      </c>
      <c r="L33" s="1731" t="s">
        <v>180</v>
      </c>
      <c r="M33" s="1728" t="s">
        <v>179</v>
      </c>
      <c r="N33" s="1731" t="s">
        <v>180</v>
      </c>
      <c r="O33" s="1728" t="s">
        <v>179</v>
      </c>
      <c r="P33" s="1731" t="s">
        <v>180</v>
      </c>
      <c r="Q33" s="1728" t="s">
        <v>179</v>
      </c>
      <c r="R33" s="1731" t="s">
        <v>180</v>
      </c>
      <c r="S33" s="1728" t="s">
        <v>179</v>
      </c>
      <c r="T33" s="1731" t="s">
        <v>180</v>
      </c>
      <c r="U33" s="1721" t="s">
        <v>222</v>
      </c>
    </row>
    <row r="34" spans="1:27" ht="15" x14ac:dyDescent="0.15">
      <c r="A34" s="1732"/>
      <c r="B34" s="1733" t="s">
        <v>223</v>
      </c>
      <c r="C34" s="1734" t="s">
        <v>224</v>
      </c>
      <c r="D34" s="1735" t="s">
        <v>225</v>
      </c>
      <c r="E34" s="1736" t="s">
        <v>224</v>
      </c>
      <c r="F34" s="1737" t="s">
        <v>225</v>
      </c>
      <c r="G34" s="1738" t="s">
        <v>226</v>
      </c>
      <c r="H34" s="1739" t="s">
        <v>226</v>
      </c>
      <c r="I34" s="1738" t="s">
        <v>198</v>
      </c>
      <c r="J34" s="1740" t="s">
        <v>198</v>
      </c>
      <c r="K34" s="1738" t="s">
        <v>198</v>
      </c>
      <c r="L34" s="1741" t="s">
        <v>198</v>
      </c>
      <c r="M34" s="1738" t="s">
        <v>198</v>
      </c>
      <c r="N34" s="1741" t="s">
        <v>198</v>
      </c>
      <c r="O34" s="1738" t="s">
        <v>227</v>
      </c>
      <c r="P34" s="1741" t="s">
        <v>227</v>
      </c>
      <c r="Q34" s="1738" t="s">
        <v>227</v>
      </c>
      <c r="R34" s="1741" t="s">
        <v>227</v>
      </c>
      <c r="S34" s="1738" t="s">
        <v>227</v>
      </c>
      <c r="T34" s="1741" t="s">
        <v>227</v>
      </c>
      <c r="U34" s="1742" t="s">
        <v>227</v>
      </c>
      <c r="X34" s="2517" t="s">
        <v>228</v>
      </c>
      <c r="Y34" s="2518" t="s">
        <v>218</v>
      </c>
      <c r="Z34" s="2518" t="s">
        <v>229</v>
      </c>
      <c r="AA34" s="2518" t="s">
        <v>230</v>
      </c>
    </row>
    <row r="35" spans="1:27" ht="17" x14ac:dyDescent="0.25">
      <c r="A35" s="1166" t="s">
        <v>202</v>
      </c>
      <c r="B35" s="1423">
        <f>'2.LUC'!$M11</f>
        <v>0</v>
      </c>
      <c r="C35" s="1423">
        <f>'2.LUC'!$N11</f>
        <v>0</v>
      </c>
      <c r="D35" s="1184" t="str">
        <f>VLOOKUP('2.LUC'!$O11, list!$I$48:$J$50,2,FALSE )</f>
        <v>Linear</v>
      </c>
      <c r="E35" s="1423">
        <f>'2.LUC'!$P11</f>
        <v>0</v>
      </c>
      <c r="F35" s="1423" t="str">
        <f>VLOOKUP('2.LUC'!$Q11, list!$I$48:$J$50,2,FALSE )</f>
        <v>Linear</v>
      </c>
      <c r="G35" s="1423">
        <f>IF($C35&gt;$B35,0, $B35-$C35)</f>
        <v>0</v>
      </c>
      <c r="H35" s="1414">
        <f t="shared" ref="H35:H42" si="16">IF($E35&gt;$B35,0, $B35-$E35)</f>
        <v>0</v>
      </c>
      <c r="I35" s="2705">
        <f t="shared" ref="I35:I42" si="17">$L23*($G35)</f>
        <v>0</v>
      </c>
      <c r="J35" s="2706">
        <f t="shared" ref="J35:J42" si="18">$H35*($L23)</f>
        <v>0</v>
      </c>
      <c r="K35" s="2706">
        <f>IF($I35=0,0,IF('2.LUC'!$C11="Please select",0,-($G35*$J23*44/12)))</f>
        <v>0</v>
      </c>
      <c r="L35" s="2706">
        <f>IF($J35=0,0,IF('2.LUC'!$C11="Please select",0,-($H35*$J23*44/12)))</f>
        <v>0</v>
      </c>
      <c r="M35" s="2706">
        <f t="shared" ref="M35:M42" si="19">$N23*($G35)</f>
        <v>0</v>
      </c>
      <c r="N35" s="2706">
        <f t="shared" ref="N35:N42" si="20">$N23*$H35</f>
        <v>0</v>
      </c>
      <c r="O35" s="1152">
        <f>IF(ABS($R23*(IF($D35="Immediate",IF($G35&gt;0, $G35*MIN(20,time_tot),0), $G35*IF(time_tot&gt;time+20, 20, IF(time_tot&lt;20,(time*VLOOKUP($D35, list!$J$48:$K$50,2,))+(time_tot-time),((MIN(20,time)*VLOOKUP($D35, list!$J$48:$K$50,2,)) + (time_tot-MIN(20,time))-IF($D35="Exponential",time_tot-20+0.217*time*(EXP(4.606*(20-time_tot)/time)-1),((time_tot-20)^2)*(0.5/time))))))))&gt;=ABS(G35*Q23*-44/12), G35*Q23*-44/12, $R23*(IF($D35="Immediate",IF($G35&gt;0, $G35*MIN(20,time_tot),0), $G35*IF(time_tot&gt;time+20, 20, IF(time_tot&lt;20,(time*VLOOKUP($D35, list!$J$48:$K$50,2,))+(time_tot-time),((MIN(20,time)*VLOOKUP($D35, list!$J$48:$K$50,2,)) + (time_tot-MIN(20,time))-IF($D35="Exponential",time_tot-20+0.217*time*(EXP(4.606*(20-time_tot)/time)-1),((time_tot-20)^2)*(0.5/time))))))))</f>
        <v>0</v>
      </c>
      <c r="P35" s="1152">
        <f>IF(ABS($R23*(IF($F35="Immediate",IF($H35 &gt; 0, $H35*MIN(20,time_tot),0), $H35*IF(time_tot&gt;time+20,20,IF(time_tot&lt;20,(time*VLOOKUP($F35,  list!$J$48:$K$50,2,))+(time_tot-time),((MIN(20,time)*VLOOKUP($F35,list!$J$48:$K$50,2,))+ (time_tot-MIN(20,time))-IF(F35="Exponential",time_tot-20+0.217*time*(EXP(4.606*(20-time_tot)/time)-1),((time_tot-20)^2)*(0.5/time))))))))&gt;=ABS(H35*Q23*-44/12),H35*Q23*-44/12,$R23*(IF($F35="Immediate",IF($H35 &gt; 0, $H35*MIN(20,time_tot),0), $H35*IF(time_tot&gt;time+20,20,IF(time_tot&lt;20,(time*VLOOKUP($F35,  list!$J$48:$K$50,2,))+(time_tot-time),((MIN(20,time)*VLOOKUP($F35,list!$J$48:$K$50,2,))+ (time_tot-MIN(20,time))-IF(F35="Exponential",time_tot-20+0.217*time*(EXP(4.606*(20-time_tot)/time)-1),((time_tot-20)^2)*(0.5/time))))))))</f>
        <v>0</v>
      </c>
      <c r="Q35" s="2706">
        <f t="shared" ref="Q35:Q42" si="21">$G35*$X23</f>
        <v>0</v>
      </c>
      <c r="R35" s="2706">
        <f t="shared" ref="R35:R42" si="22">$H35*$X23</f>
        <v>0</v>
      </c>
      <c r="S35" s="2706">
        <f t="shared" ref="S35:T42" si="23">I35+K35+M35+O35+Q35</f>
        <v>0</v>
      </c>
      <c r="T35" s="2707">
        <f t="shared" si="23"/>
        <v>0</v>
      </c>
      <c r="U35" s="2713">
        <f t="shared" ref="U35:U42" si="24">$T35-$S35</f>
        <v>0</v>
      </c>
      <c r="X35" s="3499" t="s">
        <v>231</v>
      </c>
      <c r="Y35" s="2868">
        <f>SUM(J35:J42)+ SUM(L35:L42)-SUM(I35:I42)-SUM(K35:K42)</f>
        <v>0</v>
      </c>
      <c r="Z35" s="2869">
        <f>IF(time=0,0,Y35)</f>
        <v>0</v>
      </c>
      <c r="AA35" s="2870">
        <f t="shared" ref="AA35:AA40" si="25">Y35-Z35</f>
        <v>0</v>
      </c>
    </row>
    <row r="36" spans="1:27" ht="17" x14ac:dyDescent="0.25">
      <c r="A36" s="1167" t="s">
        <v>203</v>
      </c>
      <c r="B36" s="1423">
        <f>'2.LUC'!$M12</f>
        <v>0</v>
      </c>
      <c r="C36" s="1423">
        <f>'2.LUC'!$N12</f>
        <v>0</v>
      </c>
      <c r="D36" s="1184" t="str">
        <f>VLOOKUP('2.LUC'!$O12, list!$I$48:$J$50,2,FALSE )</f>
        <v>Linear</v>
      </c>
      <c r="E36" s="1423">
        <f>'2.LUC'!$P12</f>
        <v>0</v>
      </c>
      <c r="F36" s="1423" t="str">
        <f>VLOOKUP('2.LUC'!$Q12, list!$I$48:$J$50,2,FALSE )</f>
        <v>Linear</v>
      </c>
      <c r="G36" s="1423">
        <f t="shared" ref="G36:G42" si="26">IF($C36&gt;$B36,0, $B36-$C36)</f>
        <v>0</v>
      </c>
      <c r="H36" s="1414">
        <f t="shared" si="16"/>
        <v>0</v>
      </c>
      <c r="I36" s="2708">
        <f t="shared" si="17"/>
        <v>0</v>
      </c>
      <c r="J36" s="1152">
        <f t="shared" si="18"/>
        <v>0</v>
      </c>
      <c r="K36" s="1152">
        <f>IF($I36=0,0,IF('2.LUC'!$C12="Please select",0,-($G36*$J24*44/12)))</f>
        <v>0</v>
      </c>
      <c r="L36" s="1152">
        <f>IF($J36=0,0,IF('2.LUC'!$C12="Please select",0,-($H36*$J24*44/12)))</f>
        <v>0</v>
      </c>
      <c r="M36" s="1152">
        <f t="shared" si="19"/>
        <v>0</v>
      </c>
      <c r="N36" s="1152">
        <f t="shared" si="20"/>
        <v>0</v>
      </c>
      <c r="O36" s="1152">
        <f>IF(ABS($R24*(IF($D36="Immediate",IF($G36&gt;0, $G36*MIN(20,time_tot),0), $G36*IF(time_tot&gt;time+20, 20, IF(time_tot&lt;20,(time*VLOOKUP($D36, list!$J$48:$K$50,2,))+(time_tot-time),((MIN(20,time)*VLOOKUP($D36, list!$J$48:$K$50,2,)) + (time_tot-MIN(20,time))-IF($D36="Exponential",time_tot-20+0.217*time*(EXP(4.606*(20-time_tot)/time)-1),((time_tot-20)^2)*(0.5/time))))))))&gt;=ABS(G36*Q24*-44/12), G36*Q24*-44/12, $R24*(IF($D36="Immediate",IF($G36&gt;0, $G36*MIN(20,time_tot),0), $G36*IF(time_tot&gt;time+20, 20, IF(time_tot&lt;20,(time*VLOOKUP($D36, list!$J$48:$K$50,2,))+(time_tot-time),((MIN(20,time)*VLOOKUP($D36, list!$J$48:$K$50,2,)) + (time_tot-MIN(20,time))-IF($D36="Exponential",time_tot-20+0.217*time*(EXP(4.606*(20-time_tot)/time)-1),((time_tot-20)^2)*(0.5/time))))))))</f>
        <v>0</v>
      </c>
      <c r="P36" s="1152">
        <f>IF(ABS($R24*(IF($F36="Immediate",IF($H36 &gt; 0, $H36*MIN(20,time_tot),0), $H36*IF(time_tot&gt;time+20,20,IF(time_tot&lt;20,(time*VLOOKUP($F36,  list!$J$48:$K$50,2,))+(time_tot-time),((MIN(20,time)*VLOOKUP($F36,list!$J$48:$K$50,2,))+ (time_tot-MIN(20,time))-IF(F36="Exponential",time_tot-20+0.217*time*(EXP(4.606*(20-time_tot)/time)-1),((time_tot-20)^2)*(0.5/time))))))))&gt;=ABS(H36*Q24*-44/12),H36*Q24*-44/12,$R24*(IF($F36="Immediate",IF($H36 &gt; 0, $H36*MIN(20,time_tot),0), $H36*IF(time_tot&gt;time+20,20,IF(time_tot&lt;20,(time*VLOOKUP($F36,  list!$J$48:$K$50,2,))+(time_tot-time),((MIN(20,time)*VLOOKUP($F36,list!$J$48:$K$50,2,))+ (time_tot-MIN(20,time))-IF(F36="Exponential",time_tot-20+0.217*time*(EXP(4.606*(20-time_tot)/time)-1),((time_tot-20)^2)*(0.5/time))))))))</f>
        <v>0</v>
      </c>
      <c r="Q36" s="1152">
        <f t="shared" si="21"/>
        <v>0</v>
      </c>
      <c r="R36" s="1152">
        <f t="shared" si="22"/>
        <v>0</v>
      </c>
      <c r="S36" s="1152">
        <f t="shared" si="23"/>
        <v>0</v>
      </c>
      <c r="T36" s="2709">
        <f t="shared" si="23"/>
        <v>0</v>
      </c>
      <c r="U36" s="2714">
        <f t="shared" si="24"/>
        <v>0</v>
      </c>
      <c r="X36" s="3499" t="s">
        <v>232</v>
      </c>
      <c r="Y36" s="2871">
        <f>SUM(N35:N42)-SUM(M35:M42)</f>
        <v>0</v>
      </c>
      <c r="Z36" s="2872">
        <f>IF(time=0,0,Y36)</f>
        <v>0</v>
      </c>
      <c r="AA36" s="2873">
        <f t="shared" si="25"/>
        <v>0</v>
      </c>
    </row>
    <row r="37" spans="1:27" ht="17" x14ac:dyDescent="0.25">
      <c r="A37" s="1167" t="s">
        <v>204</v>
      </c>
      <c r="B37" s="1423">
        <f>'2.LUC'!$M13</f>
        <v>0</v>
      </c>
      <c r="C37" s="1423">
        <f>'2.LUC'!$N13</f>
        <v>0</v>
      </c>
      <c r="D37" s="1184" t="str">
        <f>VLOOKUP('2.LUC'!$O13, list!$I$48:$J$50,2,FALSE )</f>
        <v>Linear</v>
      </c>
      <c r="E37" s="1423">
        <f>'2.LUC'!$P13</f>
        <v>0</v>
      </c>
      <c r="F37" s="1423" t="str">
        <f>VLOOKUP('2.LUC'!$Q13, list!$I$48:$J$50,2,FALSE )</f>
        <v>Linear</v>
      </c>
      <c r="G37" s="1423">
        <f t="shared" si="26"/>
        <v>0</v>
      </c>
      <c r="H37" s="1414">
        <f t="shared" si="16"/>
        <v>0</v>
      </c>
      <c r="I37" s="2708">
        <f t="shared" si="17"/>
        <v>0</v>
      </c>
      <c r="J37" s="1152">
        <f t="shared" si="18"/>
        <v>0</v>
      </c>
      <c r="K37" s="1152">
        <f>IF($I37=0,0,IF('2.LUC'!$C13="Please select",0,-($G37*$J25*44/12)))</f>
        <v>0</v>
      </c>
      <c r="L37" s="1152">
        <f>IF($J37=0,0,IF('2.LUC'!$C13="Please select",0,-($H37*$J25*44/12)))</f>
        <v>0</v>
      </c>
      <c r="M37" s="1152">
        <f t="shared" si="19"/>
        <v>0</v>
      </c>
      <c r="N37" s="1152">
        <f t="shared" si="20"/>
        <v>0</v>
      </c>
      <c r="O37" s="1152">
        <f>IF(ABS($R25*(IF($D37="Immediate",IF($G37&gt;0, $G37*MIN(20,time_tot),0), $G37*IF(time_tot&gt;time+20, 20, IF(time_tot&lt;20,(time*VLOOKUP($D37, list!$J$48:$K$50,2,))+(time_tot-time),((MIN(20,time)*VLOOKUP($D37, list!$J$48:$K$50,2,)) + (time_tot-MIN(20,time))-IF($D37="Exponential",time_tot-20+0.217*time*(EXP(4.606*(20-time_tot)/time)-1),((time_tot-20)^2)*(0.5/time))))))))&gt;=ABS(G37*Q25*-44/12), G37*Q25*-44/12, $R25*(IF($D37="Immediate",IF($G37&gt;0, $G37*MIN(20,time_tot),0), $G37*IF(time_tot&gt;time+20, 20, IF(time_tot&lt;20,(time*VLOOKUP($D37, list!$J$48:$K$50,2,))+(time_tot-time),((MIN(20,time)*VLOOKUP($D37, list!$J$48:$K$50,2,)) + (time_tot-MIN(20,time))-IF($D37="Exponential",time_tot-20+0.217*time*(EXP(4.606*(20-time_tot)/time)-1),((time_tot-20)^2)*(0.5/time))))))))</f>
        <v>0</v>
      </c>
      <c r="P37" s="1152">
        <f>IF(ABS($R25*(IF($F37="Immediate",IF($H37 &gt; 0, $H37*MIN(20,time_tot),0), $H37*IF(time_tot&gt;time+20,20,IF(time_tot&lt;20,(time*VLOOKUP($F37,  list!$J$48:$K$50,2,))+(time_tot-time),((MIN(20,time)*VLOOKUP($F37,list!$J$48:$K$50,2,))+ (time_tot-MIN(20,time))-IF(F37="Exponential",time_tot-20+0.217*time*(EXP(4.606*(20-time_tot)/time)-1),((time_tot-20)^2)*(0.5/time))))))))&gt;=ABS(H37*Q25*-44/12),H37*Q25*-44/12,$R25*(IF($F37="Immediate",IF($H37 &gt; 0, $H37*MIN(20,time_tot),0), $H37*IF(time_tot&gt;time+20,20,IF(time_tot&lt;20,(time*VLOOKUP($F37,  list!$J$48:$K$50,2,))+(time_tot-time),((MIN(20,time)*VLOOKUP($F37,list!$J$48:$K$50,2,))+ (time_tot-MIN(20,time))-IF(F37="Exponential",time_tot-20+0.217*time*(EXP(4.606*(20-time_tot)/time)-1),((time_tot-20)^2)*(0.5/time))))))))</f>
        <v>0</v>
      </c>
      <c r="Q37" s="1152">
        <f t="shared" si="21"/>
        <v>0</v>
      </c>
      <c r="R37" s="1152">
        <f t="shared" si="22"/>
        <v>0</v>
      </c>
      <c r="S37" s="1152">
        <f t="shared" si="23"/>
        <v>0</v>
      </c>
      <c r="T37" s="2709">
        <f t="shared" si="23"/>
        <v>0</v>
      </c>
      <c r="U37" s="2714">
        <f t="shared" si="24"/>
        <v>0</v>
      </c>
      <c r="X37" s="3499" t="s">
        <v>233</v>
      </c>
      <c r="Y37" s="2874">
        <f>SUM(P35:P42)-SUM(O35:O42)</f>
        <v>0</v>
      </c>
      <c r="Z37" s="2875">
        <f>IF(time=0,0,SUM(P35:P42)-SUM(O35:O42))</f>
        <v>0</v>
      </c>
      <c r="AA37" s="2876">
        <f t="shared" si="25"/>
        <v>0</v>
      </c>
    </row>
    <row r="38" spans="1:27" x14ac:dyDescent="0.15">
      <c r="A38" s="1167" t="s">
        <v>205</v>
      </c>
      <c r="B38" s="1423">
        <f>'2.LUC'!$M14</f>
        <v>0</v>
      </c>
      <c r="C38" s="1423">
        <f>'2.LUC'!$N14</f>
        <v>0</v>
      </c>
      <c r="D38" s="1184" t="str">
        <f>VLOOKUP('2.LUC'!$O14, list!$I$48:$J$50,2,FALSE )</f>
        <v>Linear</v>
      </c>
      <c r="E38" s="1423">
        <f>'2.LUC'!$P14</f>
        <v>0</v>
      </c>
      <c r="F38" s="1423" t="str">
        <f>VLOOKUP('2.LUC'!$Q14, list!$I$48:$J$50,2,FALSE )</f>
        <v>Linear</v>
      </c>
      <c r="G38" s="1423">
        <f t="shared" si="26"/>
        <v>0</v>
      </c>
      <c r="H38" s="1414">
        <f t="shared" si="16"/>
        <v>0</v>
      </c>
      <c r="I38" s="2708">
        <f t="shared" si="17"/>
        <v>0</v>
      </c>
      <c r="J38" s="1152">
        <f t="shared" si="18"/>
        <v>0</v>
      </c>
      <c r="K38" s="1152">
        <f>IF($I38=0,0,IF('2.LUC'!$C14="Please select",0,-($G38*$J26*44/12)))</f>
        <v>0</v>
      </c>
      <c r="L38" s="1152">
        <f>IF($J38=0,0,IF('2.LUC'!$C14="Please select",0,-($H38*$J26*44/12)))</f>
        <v>0</v>
      </c>
      <c r="M38" s="1152">
        <f t="shared" si="19"/>
        <v>0</v>
      </c>
      <c r="N38" s="1152">
        <f t="shared" si="20"/>
        <v>0</v>
      </c>
      <c r="O38" s="1152">
        <f>IF(ABS($R26*(IF($D38="Immediate",IF($G38&gt;0, $G38*MIN(20,time_tot),0), $G38*IF(time_tot&gt;time+20, 20, IF(time_tot&lt;20,(time*VLOOKUP($D38, list!$J$48:$K$50,2,))+(time_tot-time),((MIN(20,time)*VLOOKUP($D38, list!$J$48:$K$50,2,)) + (time_tot-MIN(20,time))-IF($D38="Exponential",time_tot-20+0.217*time*(EXP(4.606*(20-time_tot)/time)-1),((time_tot-20)^2)*(0.5/time))))))))&gt;=ABS(G38*Q26*-44/12), G38*Q26*-44/12, $R26*(IF($D38="Immediate",IF($G38&gt;0, $G38*MIN(20,time_tot),0), $G38*IF(time_tot&gt;time+20, 20, IF(time_tot&lt;20,(time*VLOOKUP($D38, list!$J$48:$K$50,2,))+(time_tot-time),((MIN(20,time)*VLOOKUP($D38, list!$J$48:$K$50,2,)) + (time_tot-MIN(20,time))-IF($D38="Exponential",time_tot-20+0.217*time*(EXP(4.606*(20-time_tot)/time)-1),((time_tot-20)^2)*(0.5/time))))))))</f>
        <v>0</v>
      </c>
      <c r="P38" s="1152">
        <f>IF(ABS($R26*(IF($F38="Immediate",IF($H38 &gt; 0, $H38*MIN(20,time_tot),0), $H38*IF(time_tot&gt;time+20,20,IF(time_tot&lt;20,(time*VLOOKUP($F38,  list!$J$48:$K$50,2,))+(time_tot-time),((MIN(20,time)*VLOOKUP($F38,list!$J$48:$K$50,2,))+ (time_tot-MIN(20,time))-IF(F38="Exponential",time_tot-20+0.217*time*(EXP(4.606*(20-time_tot)/time)-1),((time_tot-20)^2)*(0.5/time))))))))&gt;=ABS(H38*Q26*-44/12),H38*Q26*-44/12,$R26*(IF($F38="Immediate",IF($H38 &gt; 0, $H38*MIN(20,time_tot),0), $H38*IF(time_tot&gt;time+20,20,IF(time_tot&lt;20,(time*VLOOKUP($F38,  list!$J$48:$K$50,2,))+(time_tot-time),((MIN(20,time)*VLOOKUP($F38,list!$J$48:$K$50,2,))+ (time_tot-MIN(20,time))-IF(F38="Exponential",time_tot-20+0.217*time*(EXP(4.606*(20-time_tot)/time)-1),((time_tot-20)^2)*(0.5/time))))))))</f>
        <v>0</v>
      </c>
      <c r="Q38" s="1152">
        <f t="shared" si="21"/>
        <v>0</v>
      </c>
      <c r="R38" s="1152">
        <f t="shared" si="22"/>
        <v>0</v>
      </c>
      <c r="S38" s="1152">
        <f t="shared" si="23"/>
        <v>0</v>
      </c>
      <c r="T38" s="2709">
        <f t="shared" si="23"/>
        <v>0</v>
      </c>
      <c r="U38" s="2714">
        <f t="shared" si="24"/>
        <v>0</v>
      </c>
      <c r="X38" s="3499" t="s">
        <v>161</v>
      </c>
      <c r="Y38" s="2874">
        <f>SUM(AA23:AA30)-SUM(Z23:Z30)</f>
        <v>0</v>
      </c>
      <c r="Z38" s="2875">
        <f>IF(time=0, 0, Y38)</f>
        <v>0</v>
      </c>
      <c r="AA38" s="2876">
        <f t="shared" si="25"/>
        <v>0</v>
      </c>
    </row>
    <row r="39" spans="1:27" ht="17" x14ac:dyDescent="0.25">
      <c r="A39" s="1167" t="s">
        <v>206</v>
      </c>
      <c r="B39" s="1423">
        <f>'2.LUC'!$M15</f>
        <v>0</v>
      </c>
      <c r="C39" s="1423">
        <f>'2.LUC'!$N15</f>
        <v>0</v>
      </c>
      <c r="D39" s="1184" t="str">
        <f>VLOOKUP('2.LUC'!$O15, list!$I$48:$J$50,2,FALSE )</f>
        <v>Linear</v>
      </c>
      <c r="E39" s="1423">
        <f>'2.LUC'!$P15</f>
        <v>0</v>
      </c>
      <c r="F39" s="1423" t="str">
        <f>VLOOKUP('2.LUC'!$Q15, list!$I$48:$J$50,2,FALSE )</f>
        <v>Linear</v>
      </c>
      <c r="G39" s="1423">
        <f t="shared" si="26"/>
        <v>0</v>
      </c>
      <c r="H39" s="1414">
        <f t="shared" si="16"/>
        <v>0</v>
      </c>
      <c r="I39" s="2708">
        <f t="shared" si="17"/>
        <v>0</v>
      </c>
      <c r="J39" s="1152">
        <f t="shared" si="18"/>
        <v>0</v>
      </c>
      <c r="K39" s="1152">
        <f>IF($I39=0,0,IF('2.LUC'!$C15="Please select",0,-($G39*$J27*44/12)))</f>
        <v>0</v>
      </c>
      <c r="L39" s="1152">
        <f>IF($J39=0,0,IF('2.LUC'!$C15="Please select",0,-($H39*$J27*44/12)))</f>
        <v>0</v>
      </c>
      <c r="M39" s="1152">
        <f t="shared" si="19"/>
        <v>0</v>
      </c>
      <c r="N39" s="1152">
        <f t="shared" si="20"/>
        <v>0</v>
      </c>
      <c r="O39" s="1152">
        <f>IF(ABS($R27*(IF($D39="Immediate",IF($G39&gt;0, $G39*MIN(20,time_tot),0), $G39*IF(time_tot&gt;time+20, 20, IF(time_tot&lt;20,(time*VLOOKUP($D39, list!$J$48:$K$50,2,))+(time_tot-time),((MIN(20,time)*VLOOKUP($D39, list!$J$48:$K$50,2,)) + (time_tot-MIN(20,time))-IF($D39="Exponential",time_tot-20+0.217*time*(EXP(4.606*(20-time_tot)/time)-1),((time_tot-20)^2)*(0.5/time))))))))&gt;=ABS(G39*Q27*-44/12), G39*Q27*-44/12, $R27*(IF($D39="Immediate",IF($G39&gt;0, $G39*MIN(20,time_tot),0), $G39*IF(time_tot&gt;time+20, 20, IF(time_tot&lt;20,(time*VLOOKUP($D39, list!$J$48:$K$50,2,))+(time_tot-time),((MIN(20,time)*VLOOKUP($D39, list!$J$48:$K$50,2,)) + (time_tot-MIN(20,time))-IF($D39="Exponential",time_tot-20+0.217*time*(EXP(4.606*(20-time_tot)/time)-1),((time_tot-20)^2)*(0.5/time))))))))</f>
        <v>0</v>
      </c>
      <c r="P39" s="1152">
        <f>IF(ABS($R27*(IF($F39="Immediate",IF($H39 &gt; 0, $H39*MIN(20,time_tot),0), $H39*IF(time_tot&gt;time+20,20,IF(time_tot&lt;20,(time*VLOOKUP($F39,  list!$J$48:$K$50,2,))+(time_tot-time),((MIN(20,time)*VLOOKUP($F39,list!$J$48:$K$50,2,))+ (time_tot-MIN(20,time))-IF(F39="Exponential",time_tot-20+0.217*time*(EXP(4.606*(20-time_tot)/time)-1),((time_tot-20)^2)*(0.5/time))))))))&gt;=ABS(H39*Q27*-44/12),H39*Q27*-44/12,$R27*(IF($F39="Immediate",IF($H39 &gt; 0, $H39*MIN(20,time_tot),0), $H39*IF(time_tot&gt;time+20,20,IF(time_tot&lt;20,(time*VLOOKUP($F39,  list!$J$48:$K$50,2,))+(time_tot-time),((MIN(20,time)*VLOOKUP($F39,list!$J$48:$K$50,2,))+ (time_tot-MIN(20,time))-IF(F39="Exponential",time_tot-20+0.217*time*(EXP(4.606*(20-time_tot)/time)-1),((time_tot-20)^2)*(0.5/time))))))))</f>
        <v>0</v>
      </c>
      <c r="Q39" s="1152">
        <f t="shared" si="21"/>
        <v>0</v>
      </c>
      <c r="R39" s="1152">
        <f t="shared" si="22"/>
        <v>0</v>
      </c>
      <c r="S39" s="1152">
        <f t="shared" si="23"/>
        <v>0</v>
      </c>
      <c r="T39" s="2709">
        <f t="shared" si="23"/>
        <v>0</v>
      </c>
      <c r="U39" s="2714">
        <f t="shared" si="24"/>
        <v>0</v>
      </c>
      <c r="X39" s="3499" t="s">
        <v>234</v>
      </c>
      <c r="Y39" s="2874">
        <f>SUM(AC23:AC30)-SUM(AB23:AB30)</f>
        <v>0</v>
      </c>
      <c r="Z39" s="2875">
        <f>IF(time=0, 0, Y39)</f>
        <v>0</v>
      </c>
      <c r="AA39" s="2876">
        <f t="shared" si="25"/>
        <v>0</v>
      </c>
    </row>
    <row r="40" spans="1:27" x14ac:dyDescent="0.15">
      <c r="A40" s="1167" t="s">
        <v>207</v>
      </c>
      <c r="B40" s="1423">
        <f>'2.LUC'!$M16</f>
        <v>0</v>
      </c>
      <c r="C40" s="1423">
        <f>'2.LUC'!$N16</f>
        <v>0</v>
      </c>
      <c r="D40" s="1184" t="str">
        <f>VLOOKUP('2.LUC'!$O16, list!$I$48:$J$50,2,FALSE )</f>
        <v>Linear</v>
      </c>
      <c r="E40" s="1423">
        <f>'2.LUC'!$P16</f>
        <v>0</v>
      </c>
      <c r="F40" s="1423" t="str">
        <f>VLOOKUP('2.LUC'!$Q16, list!$I$48:$J$50,2,FALSE )</f>
        <v>Linear</v>
      </c>
      <c r="G40" s="1423">
        <f t="shared" si="26"/>
        <v>0</v>
      </c>
      <c r="H40" s="1414">
        <f t="shared" si="16"/>
        <v>0</v>
      </c>
      <c r="I40" s="2708">
        <f t="shared" si="17"/>
        <v>0</v>
      </c>
      <c r="J40" s="1152">
        <f t="shared" si="18"/>
        <v>0</v>
      </c>
      <c r="K40" s="1152">
        <f>IF($I40=0,0,IF('2.LUC'!$C16="Please select",0,-($G40*$J28*44/12)))</f>
        <v>0</v>
      </c>
      <c r="L40" s="1152">
        <f>IF($J40=0,0,IF('2.LUC'!$C16="Please select",0,-($H40*$J28*44/12)))</f>
        <v>0</v>
      </c>
      <c r="M40" s="1152">
        <f t="shared" si="19"/>
        <v>0</v>
      </c>
      <c r="N40" s="1152">
        <f t="shared" si="20"/>
        <v>0</v>
      </c>
      <c r="O40" s="1152">
        <f>IF(ABS($R28*(IF($D40="Immediate",IF($G40&gt;0, $G40*MIN(20,time_tot),0), $G40*IF(time_tot&gt;time+20, 20, IF(time_tot&lt;20,(time*VLOOKUP($D40, list!$J$48:$K$50,2,))+(time_tot-time),((MIN(20,time)*VLOOKUP($D40, list!$J$48:$K$50,2,)) + (time_tot-MIN(20,time))-IF($D40="Exponential",time_tot-20+0.217*time*(EXP(4.606*(20-time_tot)/time)-1),((time_tot-20)^2)*(0.5/time))))))))&gt;=ABS(G40*Q28*-44/12), G40*Q28*-44/12, $R28*(IF($D40="Immediate",IF($G40&gt;0, $G40*MIN(20,time_tot),0), $G40*IF(time_tot&gt;time+20, 20, IF(time_tot&lt;20,(time*VLOOKUP($D40, list!$J$48:$K$50,2,))+(time_tot-time),((MIN(20,time)*VLOOKUP($D40, list!$J$48:$K$50,2,)) + (time_tot-MIN(20,time))-IF($D40="Exponential",time_tot-20+0.217*time*(EXP(4.606*(20-time_tot)/time)-1),((time_tot-20)^2)*(0.5/time))))))))</f>
        <v>0</v>
      </c>
      <c r="P40" s="1152">
        <f>IF(ABS($R28*(IF($F40="Immediate",IF($H40 &gt; 0, $H40*MIN(20,time_tot),0), $H40*IF(time_tot&gt;time+20,20,IF(time_tot&lt;20,(time*VLOOKUP($F40,  list!$J$48:$K$50,2,))+(time_tot-time),((MIN(20,time)*VLOOKUP($F40,list!$J$48:$K$50,2,))+ (time_tot-MIN(20,time))-IF(F40="Exponential",time_tot-20+0.217*time*(EXP(4.606*(20-time_tot)/time)-1),((time_tot-20)^2)*(0.5/time))))))))&gt;=ABS(H40*Q28*-44/12),H40*Q28*-44/12,$R28*(IF($F40="Immediate",IF($H40 &gt; 0, $H40*MIN(20,time_tot),0), $H40*IF(time_tot&gt;time+20,20,IF(time_tot&lt;20,(time*VLOOKUP($F40,  list!$J$48:$K$50,2,))+(time_tot-time),((MIN(20,time)*VLOOKUP($F40,list!$J$48:$K$50,2,))+ (time_tot-MIN(20,time))-IF(F40="Exponential",time_tot-20+0.217*time*(EXP(4.606*(20-time_tot)/time)-1),((time_tot-20)^2)*(0.5/time))))))))</f>
        <v>0</v>
      </c>
      <c r="Q40" s="1152">
        <f t="shared" si="21"/>
        <v>0</v>
      </c>
      <c r="R40" s="1152">
        <f t="shared" si="22"/>
        <v>0</v>
      </c>
      <c r="S40" s="1152">
        <f t="shared" si="23"/>
        <v>0</v>
      </c>
      <c r="T40" s="2709">
        <f t="shared" si="23"/>
        <v>0</v>
      </c>
      <c r="U40" s="2714">
        <f t="shared" si="24"/>
        <v>0</v>
      </c>
      <c r="X40" s="3499" t="s">
        <v>163</v>
      </c>
      <c r="Y40" s="4000">
        <f>SUM(AE23:AE30)-SUM(AD23:AD30)</f>
        <v>0</v>
      </c>
      <c r="Z40" s="4001">
        <f>IF(time=0, 0, Y40)</f>
        <v>0</v>
      </c>
      <c r="AA40" s="4002">
        <f t="shared" si="25"/>
        <v>0</v>
      </c>
    </row>
    <row r="41" spans="1:27" x14ac:dyDescent="0.15">
      <c r="A41" s="1167" t="s">
        <v>208</v>
      </c>
      <c r="B41" s="1423">
        <f>'2.LUC'!$M17</f>
        <v>0</v>
      </c>
      <c r="C41" s="1423">
        <f>'2.LUC'!$N17</f>
        <v>0</v>
      </c>
      <c r="D41" s="1184" t="str">
        <f>VLOOKUP('2.LUC'!$O17, list!$I$48:$J$50,2,FALSE )</f>
        <v>Linear</v>
      </c>
      <c r="E41" s="1423">
        <f>'2.LUC'!$P17</f>
        <v>0</v>
      </c>
      <c r="F41" s="1423" t="str">
        <f>VLOOKUP('2.LUC'!$Q17, list!$I$48:$J$50,2,FALSE )</f>
        <v>Linear</v>
      </c>
      <c r="G41" s="1423">
        <f t="shared" si="26"/>
        <v>0</v>
      </c>
      <c r="H41" s="1414">
        <f t="shared" si="16"/>
        <v>0</v>
      </c>
      <c r="I41" s="2708">
        <f t="shared" si="17"/>
        <v>0</v>
      </c>
      <c r="J41" s="1152">
        <f t="shared" si="18"/>
        <v>0</v>
      </c>
      <c r="K41" s="1152">
        <f>IF($I41=0,0,IF('2.LUC'!$C17="Please select",0,-($G41*$J29*44/12)))</f>
        <v>0</v>
      </c>
      <c r="L41" s="1152">
        <f>IF($J41=0,0,IF('2.LUC'!$C17="Please select",0,-($H41*$J29*44/12)))</f>
        <v>0</v>
      </c>
      <c r="M41" s="1152">
        <f t="shared" si="19"/>
        <v>0</v>
      </c>
      <c r="N41" s="1152">
        <f t="shared" si="20"/>
        <v>0</v>
      </c>
      <c r="O41" s="1152">
        <f>IF(ABS($R29*(IF($D41="Immediate",IF($G41&gt;0, $G41*MIN(20,time_tot),0), $G41*IF(time_tot&gt;time+20, 20, IF(time_tot&lt;20,(time*VLOOKUP($D41, list!$J$48:$K$50,2,))+(time_tot-time),((MIN(20,time)*VLOOKUP($D41, list!$J$48:$K$50,2,)) + (time_tot-MIN(20,time))-IF($D41="Exponential",time_tot-20+0.217*time*(EXP(4.606*(20-time_tot)/time)-1),((time_tot-20)^2)*(0.5/time))))))))&gt;=ABS(G41*Q29*-44/12), G41*Q29*-44/12, $R29*(IF($D41="Immediate",IF($G41&gt;0, $G41*MIN(20,time_tot),0), $G41*IF(time_tot&gt;time+20, 20, IF(time_tot&lt;20,(time*VLOOKUP($D41, list!$J$48:$K$50,2,))+(time_tot-time),((MIN(20,time)*VLOOKUP($D41, list!$J$48:$K$50,2,)) + (time_tot-MIN(20,time))-IF($D41="Exponential",time_tot-20+0.217*time*(EXP(4.606*(20-time_tot)/time)-1),((time_tot-20)^2)*(0.5/time))))))))</f>
        <v>0</v>
      </c>
      <c r="P41" s="1152">
        <f>IF(ABS($R29*(IF($F41="Immediate",IF($H41 &gt; 0, $H41*MIN(20,time_tot),0), $H41*IF(time_tot&gt;time+20,20,IF(time_tot&lt;20,(time*VLOOKUP($F41,  list!$J$48:$K$50,2,))+(time_tot-time),((MIN(20,time)*VLOOKUP($F41,list!$J$48:$K$50,2,))+ (time_tot-MIN(20,time))-IF(F41="Exponential",time_tot-20+0.217*time*(EXP(4.606*(20-time_tot)/time)-1),((time_tot-20)^2)*(0.5/time))))))))&gt;=ABS(H41*Q29*-44/12),H41*Q29*-44/12,$R29*(IF($F41="Immediate",IF($H41 &gt; 0, $H41*MIN(20,time_tot),0), $H41*IF(time_tot&gt;time+20,20,IF(time_tot&lt;20,(time*VLOOKUP($F41,  list!$J$48:$K$50,2,))+(time_tot-time),((MIN(20,time)*VLOOKUP($F41,list!$J$48:$K$50,2,))+ (time_tot-MIN(20,time))-IF(F41="Exponential",time_tot-20+0.217*time*(EXP(4.606*(20-time_tot)/time)-1),((time_tot-20)^2)*(0.5/time))))))))</f>
        <v>0</v>
      </c>
      <c r="Q41" s="1152">
        <f t="shared" si="21"/>
        <v>0</v>
      </c>
      <c r="R41" s="1152">
        <f t="shared" si="22"/>
        <v>0</v>
      </c>
      <c r="S41" s="1152">
        <f t="shared" si="23"/>
        <v>0</v>
      </c>
      <c r="T41" s="2709">
        <f t="shared" si="23"/>
        <v>0</v>
      </c>
      <c r="U41" s="2714">
        <f t="shared" si="24"/>
        <v>0</v>
      </c>
      <c r="X41" s="3538" t="s">
        <v>235</v>
      </c>
      <c r="Y41" s="4003">
        <f>SUM(Y35:Y40)</f>
        <v>0</v>
      </c>
      <c r="Z41" s="4004">
        <f>SUM(Z35:Z40)</f>
        <v>0</v>
      </c>
      <c r="AA41" s="4005">
        <f>SUM(AA35:AA40)</f>
        <v>0</v>
      </c>
    </row>
    <row r="42" spans="1:27" x14ac:dyDescent="0.15">
      <c r="A42" s="1169" t="s">
        <v>209</v>
      </c>
      <c r="B42" s="1709">
        <f>'2.LUC'!$M18</f>
        <v>0</v>
      </c>
      <c r="C42" s="1709">
        <f>'2.LUC'!$N18</f>
        <v>0</v>
      </c>
      <c r="D42" s="1185" t="str">
        <f>VLOOKUP('2.LUC'!$O18, list!$I$48:$J$50,2,FALSE )</f>
        <v>Linear</v>
      </c>
      <c r="E42" s="1709">
        <f>'2.LUC'!$P18</f>
        <v>0</v>
      </c>
      <c r="F42" s="1709" t="str">
        <f>VLOOKUP('2.LUC'!$Q18, list!$I$48:$J$50,2,FALSE )</f>
        <v>Linear</v>
      </c>
      <c r="G42" s="1709">
        <f t="shared" si="26"/>
        <v>0</v>
      </c>
      <c r="H42" s="1710">
        <f t="shared" si="16"/>
        <v>0</v>
      </c>
      <c r="I42" s="2710">
        <f t="shared" si="17"/>
        <v>0</v>
      </c>
      <c r="J42" s="2711">
        <f t="shared" si="18"/>
        <v>0</v>
      </c>
      <c r="K42" s="2711">
        <f>IF($I42=0,0,IF('2.LUC'!$C18="Please select",0,-($G42*$J30*44/12)))</f>
        <v>0</v>
      </c>
      <c r="L42" s="2711">
        <f>IF($J42=0,0,IF('2.LUC'!$C18="Please select",0,-($H42*$J30*44/12)))</f>
        <v>0</v>
      </c>
      <c r="M42" s="2711">
        <f t="shared" si="19"/>
        <v>0</v>
      </c>
      <c r="N42" s="2711">
        <f t="shared" si="20"/>
        <v>0</v>
      </c>
      <c r="O42" s="2711">
        <f>IF(ABS($R30*(IF($D42="Immediate",IF($G42&gt;0, $G42*MIN(20,time_tot),0), $G42*IF(time_tot&gt;time+20, 20, IF(time_tot&lt;20,(time*VLOOKUP($D42, list!$J$48:$K$50,2,))+(time_tot-time),((MIN(20,time)*VLOOKUP($D42, list!$J$48:$K$50,2,)) + (time_tot-MIN(20,time))-IF($D42="Exponential",time_tot-20+0.217*time*(EXP(4.606*(20-time_tot)/time)-1),((time_tot-20)^2)*(0.5/time))))))))&gt;=ABS(G42*Q30*-44/12), G42*Q30*-44/12, $R30*(IF($D42="Immediate",IF($G42&gt;0, $G42*MIN(20,time_tot),0), $G42*IF(time_tot&gt;time+20, 20, IF(time_tot&lt;20,(time*VLOOKUP($D42, list!$J$48:$K$50,2,))+(time_tot-time),((MIN(20,time)*VLOOKUP($D42, list!$J$48:$K$50,2,)) + (time_tot-MIN(20,time))-IF($D42="Exponential",time_tot-20+0.217*time*(EXP(4.606*(20-time_tot)/time)-1),((time_tot-20)^2)*(0.5/time))))))))</f>
        <v>0</v>
      </c>
      <c r="P42" s="2711">
        <f>IF(ABS($R30*(IF($F42="Immediate",IF($H42 &gt; 0, $H42*MIN(20,time_tot),0), $H42*IF(time_tot&gt;time+20,20,IF(time_tot&lt;20,(time*VLOOKUP($F42,  list!$J$48:$K$50,2,))+(time_tot-time),((MIN(20,time)*VLOOKUP($F42,list!$J$48:$K$50,2,))+ (time_tot-MIN(20,time))-IF(F42="Exponential",time_tot-20+0.217*time*(EXP(4.606*(20-time_tot)/time)-1),((time_tot-20)^2)*(0.5/time))))))))&gt;=ABS(H42*Q30*-44/12),H42*Q30*-44/12,$R30*(IF($F42="Immediate",IF($H42 &gt; 0, $H42*MIN(20,time_tot),0), $H42*IF(time_tot&gt;time+20,20,IF(time_tot&lt;20,(time*VLOOKUP($F42,  list!$J$48:$K$50,2,))+(time_tot-time),((MIN(20,time)*VLOOKUP($F42,list!$J$48:$K$50,2,))+ (time_tot-MIN(20,time))-IF(F42="Exponential",time_tot-20+0.217*time*(EXP(4.606*(20-time_tot)/time)-1),((time_tot-20)^2)*(0.5/time))))))))</f>
        <v>0</v>
      </c>
      <c r="Q42" s="2711">
        <f t="shared" si="21"/>
        <v>0</v>
      </c>
      <c r="R42" s="2711">
        <f t="shared" si="22"/>
        <v>0</v>
      </c>
      <c r="S42" s="2711">
        <f t="shared" si="23"/>
        <v>0</v>
      </c>
      <c r="T42" s="2712">
        <f t="shared" si="23"/>
        <v>0</v>
      </c>
      <c r="U42" s="2715">
        <f t="shared" si="24"/>
        <v>0</v>
      </c>
    </row>
    <row r="43" spans="1:27" x14ac:dyDescent="0.15">
      <c r="J43" s="3452">
        <f>J35-I35</f>
        <v>0</v>
      </c>
      <c r="L43" s="3452">
        <f>L35-K35</f>
        <v>0</v>
      </c>
      <c r="N43" s="3452">
        <f>N35-M35</f>
        <v>0</v>
      </c>
      <c r="P43" s="3452">
        <f>P35-O35</f>
        <v>0</v>
      </c>
      <c r="R43" s="3452">
        <f>R35-Q35</f>
        <v>0</v>
      </c>
    </row>
    <row r="44" spans="1:27" x14ac:dyDescent="0.15">
      <c r="M44" s="1743"/>
      <c r="Q44" s="1163"/>
      <c r="R44" s="2557" t="s">
        <v>236</v>
      </c>
      <c r="S44" s="2556">
        <f>SUM(S35:S42)</f>
        <v>0</v>
      </c>
      <c r="T44" s="2556">
        <f>SUM(T35:T42)</f>
        <v>0</v>
      </c>
      <c r="U44" s="2556">
        <f>SUM(U35:U42)</f>
        <v>0</v>
      </c>
    </row>
    <row r="46" spans="1:27" ht="16" x14ac:dyDescent="0.2">
      <c r="S46" s="3149"/>
      <c r="T46" s="3150" t="s">
        <v>237</v>
      </c>
      <c r="U46" s="3151">
        <f>SUM('2.LUC'!AT11:AT18,'2.LUC'!AW11:AW18)</f>
        <v>0</v>
      </c>
    </row>
    <row r="47" spans="1:27" x14ac:dyDescent="0.15">
      <c r="J47" s="3452">
        <f>SUM(J43:R43)</f>
        <v>0</v>
      </c>
    </row>
    <row r="48" spans="1:27" ht="16" x14ac:dyDescent="0.2">
      <c r="S48" s="1536"/>
      <c r="T48" s="3152"/>
      <c r="U48" s="3153"/>
    </row>
  </sheetData>
  <mergeCells count="1">
    <mergeCell ref="I32:J32"/>
  </mergeCells>
  <pageMargins left="0.7" right="0.7" top="0.75" bottom="0.75" header="0.3" footer="0.3"/>
  <pageSetup paperSize="9" orientation="portrait" horizontalDpi="300" verticalDpi="300" r:id="rId1"/>
  <drawing r:id="rId2"/>
  <mc:AlternateContent xmlns:mc="http://schemas.openxmlformats.org/markup-compatibility/2006">
    <mc:Choice Requires="v">
      <legacyDrawing r:id="rId3"/>
    </mc:Choice>
  </mc:AlternateContent>
</worksheet>
</file>

<file path=xl/worksheets/sheet4.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dimension ref="A1:BC51"/>
  <sheetViews>
    <sheetView topLeftCell="C1" zoomScale="60" zoomScaleNormal="60" workbookViewId="0">
      <selection activeCell="L25" sqref="L25"/>
    </sheetView>
  </sheetViews>
  <sheetFormatPr baseColWidth="10" defaultColWidth="9.33203125" defaultRowHeight="14" x14ac:dyDescent="0.15"/>
  <cols>
    <col min="1" max="1" width="24.6640625" style="973" customWidth="1"/>
    <col min="2" max="2" width="43" style="973" bestFit="1" customWidth="1"/>
    <col min="3" max="3" width="51.6640625" style="973" bestFit="1" customWidth="1"/>
    <col min="4" max="4" width="35" style="973" bestFit="1" customWidth="1"/>
    <col min="5" max="5" width="24" style="973" customWidth="1"/>
    <col min="6" max="6" width="17.5" style="973" customWidth="1"/>
    <col min="7" max="7" width="9.6640625" style="973" customWidth="1"/>
    <col min="8" max="8" width="43.33203125" style="973" customWidth="1"/>
    <col min="9" max="9" width="44.5" style="973" customWidth="1"/>
    <col min="10" max="10" width="18.5" style="973" customWidth="1"/>
    <col min="11" max="11" width="12.33203125" style="973" bestFit="1" customWidth="1"/>
    <col min="12" max="12" width="17.5" style="973" customWidth="1"/>
    <col min="13" max="13" width="15.5" style="973" bestFit="1" customWidth="1"/>
    <col min="14" max="14" width="26" style="973" customWidth="1"/>
    <col min="15" max="15" width="18" style="973" customWidth="1"/>
    <col min="16" max="16" width="16.6640625" style="973" bestFit="1" customWidth="1"/>
    <col min="17" max="17" width="19.33203125" style="973" bestFit="1" customWidth="1"/>
    <col min="18" max="18" width="23.5" style="973" customWidth="1"/>
    <col min="19" max="20" width="19.33203125" style="973" bestFit="1" customWidth="1"/>
    <col min="21" max="21" width="17.5" style="973" customWidth="1"/>
    <col min="22" max="22" width="17.6640625" style="973" bestFit="1" customWidth="1"/>
    <col min="23" max="23" width="13.6640625" style="973" customWidth="1"/>
    <col min="24" max="24" width="14" style="973" customWidth="1"/>
    <col min="25" max="25" width="13.5" style="973" customWidth="1"/>
    <col min="26" max="26" width="12.6640625" style="973" customWidth="1"/>
    <col min="27" max="27" width="13.5" style="973" bestFit="1" customWidth="1"/>
    <col min="28" max="28" width="13.5" style="973" customWidth="1"/>
    <col min="29" max="39" width="9.33203125" style="973"/>
    <col min="40" max="40" width="14.5" style="973" customWidth="1"/>
    <col min="41" max="42" width="11.5" style="973" customWidth="1"/>
    <col min="43" max="43" width="13.33203125" style="973" bestFit="1" customWidth="1"/>
    <col min="44" max="44" width="12.5" style="973" customWidth="1"/>
    <col min="45" max="46" width="15.5" style="973" bestFit="1" customWidth="1"/>
    <col min="47" max="47" width="9.33203125" style="973"/>
    <col min="48" max="48" width="8.33203125" style="973" customWidth="1"/>
    <col min="49" max="49" width="13.5" style="973" bestFit="1" customWidth="1"/>
    <col min="50" max="55" width="9.33203125" style="973"/>
    <col min="56" max="56" width="16" style="973" customWidth="1"/>
    <col min="57" max="16384" width="9.33203125" style="973"/>
  </cols>
  <sheetData>
    <row r="1" spans="1:55" s="2428" customFormat="1" ht="28" x14ac:dyDescent="0.3"/>
    <row r="2" spans="1:55" ht="45.75" customHeight="1" x14ac:dyDescent="0.3">
      <c r="A2" s="1680" t="s">
        <v>238</v>
      </c>
      <c r="B2" s="1680"/>
      <c r="C2" s="1681"/>
      <c r="D2" s="1681"/>
      <c r="E2" s="1681"/>
      <c r="F2" s="1681"/>
      <c r="G2" s="1681"/>
      <c r="H2" s="1681"/>
      <c r="I2" s="1681"/>
      <c r="J2" s="1681"/>
      <c r="K2" s="1681"/>
      <c r="L2" s="1681"/>
      <c r="M2" s="1681"/>
      <c r="N2" s="1681"/>
      <c r="O2" s="1681"/>
      <c r="P2" s="1681"/>
      <c r="Q2" s="1681"/>
      <c r="R2" s="1681"/>
      <c r="S2" s="1681"/>
      <c r="T2" s="1681"/>
      <c r="U2" s="1681"/>
      <c r="V2" s="1681"/>
      <c r="W2" s="1681"/>
      <c r="X2" s="1681"/>
      <c r="Y2" s="1681"/>
      <c r="Z2" s="1681"/>
      <c r="AA2" s="2513"/>
      <c r="AB2" s="2513"/>
      <c r="AC2" s="2513"/>
      <c r="AD2" s="2513"/>
      <c r="AE2" s="2513"/>
      <c r="AF2" s="2513"/>
      <c r="AG2" s="2513"/>
      <c r="AH2" s="2513"/>
      <c r="AI2" s="2513"/>
      <c r="AJ2" s="2513"/>
      <c r="AK2" s="2513"/>
      <c r="AL2" s="2513"/>
      <c r="AM2" s="2513"/>
      <c r="AN2" s="2513"/>
      <c r="AO2" s="2513"/>
      <c r="AP2" s="2513"/>
      <c r="AQ2" s="2513"/>
      <c r="AR2" s="2513"/>
      <c r="AS2" s="2513"/>
      <c r="AT2" s="2513"/>
      <c r="AU2" s="2513"/>
      <c r="AV2" s="2513"/>
      <c r="AW2" s="2513"/>
      <c r="AX2" s="2513"/>
      <c r="AY2" s="2513"/>
      <c r="AZ2" s="2513"/>
      <c r="BA2" s="2513"/>
      <c r="BB2" s="2513"/>
      <c r="BC2" s="2513"/>
    </row>
    <row r="3" spans="1:55" s="2428" customFormat="1" ht="29" thickBot="1" x14ac:dyDescent="0.35"/>
    <row r="4" spans="1:55" ht="16.5" customHeight="1" x14ac:dyDescent="0.15">
      <c r="J4" s="2429" t="s">
        <v>239</v>
      </c>
      <c r="K4" s="2430"/>
      <c r="L4" s="2413"/>
      <c r="M4" s="2431"/>
      <c r="N4" s="2431"/>
      <c r="O4" s="2432"/>
      <c r="P4" s="2429" t="s">
        <v>240</v>
      </c>
      <c r="Q4" s="2430"/>
      <c r="R4" s="2413"/>
      <c r="S4" s="2431"/>
      <c r="T4" s="2431"/>
      <c r="U4" s="2432"/>
      <c r="V4" s="2433" t="s">
        <v>79</v>
      </c>
      <c r="W4" s="2432"/>
      <c r="X4" s="2434" t="s">
        <v>80</v>
      </c>
      <c r="Y4" s="2432"/>
      <c r="Z4" s="2433" t="s">
        <v>241</v>
      </c>
      <c r="AA4" s="2432"/>
      <c r="AB4" s="2432" t="s">
        <v>5264</v>
      </c>
      <c r="AC4" s="2432"/>
      <c r="AD4" s="4320" t="s">
        <v>242</v>
      </c>
      <c r="AE4" s="4541" t="s">
        <v>243</v>
      </c>
      <c r="AF4" s="1058"/>
      <c r="AG4" s="1058"/>
      <c r="AH4" s="1058"/>
      <c r="AI4" s="2923" t="s">
        <v>244</v>
      </c>
      <c r="AJ4" s="2924"/>
      <c r="AK4" s="2924"/>
      <c r="AL4" s="2924"/>
      <c r="AM4" s="2925" t="s">
        <v>245</v>
      </c>
      <c r="AN4" s="2926"/>
      <c r="AO4" s="2926"/>
      <c r="AP4" s="2926"/>
      <c r="AQ4" s="2926"/>
      <c r="AR4" s="2926"/>
      <c r="AS4" s="2926"/>
      <c r="AT4" s="2926"/>
    </row>
    <row r="5" spans="1:55" ht="16.5" customHeight="1" x14ac:dyDescent="0.15">
      <c r="J5" s="2435" t="s">
        <v>65</v>
      </c>
      <c r="K5" s="2436"/>
      <c r="L5" s="2437" t="s">
        <v>66</v>
      </c>
      <c r="M5" s="2438" t="s">
        <v>65</v>
      </c>
      <c r="N5" s="2439"/>
      <c r="O5" s="2440" t="s">
        <v>66</v>
      </c>
      <c r="P5" s="2441" t="s">
        <v>65</v>
      </c>
      <c r="Q5" s="2442"/>
      <c r="R5" s="2443" t="s">
        <v>66</v>
      </c>
      <c r="S5" s="2444" t="s">
        <v>65</v>
      </c>
      <c r="T5" s="2445"/>
      <c r="U5" s="2446" t="s">
        <v>66</v>
      </c>
      <c r="V5" s="2447" t="s">
        <v>65</v>
      </c>
      <c r="W5" s="2448" t="s">
        <v>66</v>
      </c>
      <c r="X5" s="2447" t="s">
        <v>65</v>
      </c>
      <c r="Y5" s="2448" t="s">
        <v>66</v>
      </c>
      <c r="Z5" s="2447" t="s">
        <v>65</v>
      </c>
      <c r="AA5" s="2448" t="s">
        <v>66</v>
      </c>
      <c r="AB5" s="2448" t="s">
        <v>65</v>
      </c>
      <c r="AC5" s="2448" t="s">
        <v>66</v>
      </c>
      <c r="AD5" s="2448"/>
      <c r="AE5" s="4542"/>
      <c r="AF5" s="1058"/>
      <c r="AG5" s="1058"/>
      <c r="AH5" s="1058"/>
      <c r="AI5" s="2915"/>
      <c r="AJ5" s="2915"/>
      <c r="AK5" s="2915"/>
      <c r="AL5" s="2915"/>
      <c r="AM5" s="2917" t="s">
        <v>246</v>
      </c>
      <c r="AN5" s="2916"/>
      <c r="AO5" s="2916"/>
      <c r="AP5" s="2916"/>
      <c r="AQ5" s="2916"/>
      <c r="AR5" s="2916"/>
      <c r="AS5" s="2916"/>
      <c r="AT5" s="2916"/>
      <c r="AV5" s="3497" t="s">
        <v>247</v>
      </c>
      <c r="AW5" s="3498"/>
    </row>
    <row r="6" spans="1:55" ht="21" x14ac:dyDescent="0.25">
      <c r="A6" s="2449" t="s">
        <v>248</v>
      </c>
      <c r="B6" s="2450"/>
      <c r="C6" s="2450"/>
      <c r="D6" s="2450"/>
      <c r="E6" s="2451"/>
      <c r="G6" s="2452" t="s">
        <v>249</v>
      </c>
      <c r="H6" s="2453" t="s">
        <v>100</v>
      </c>
      <c r="I6" s="2454" t="s">
        <v>250</v>
      </c>
      <c r="J6" s="2447" t="s">
        <v>251</v>
      </c>
      <c r="K6" s="2455" t="s">
        <v>252</v>
      </c>
      <c r="L6" s="2455" t="s">
        <v>252</v>
      </c>
      <c r="M6" s="2455" t="s">
        <v>251</v>
      </c>
      <c r="N6" s="2455" t="s">
        <v>92</v>
      </c>
      <c r="O6" s="2440" t="s">
        <v>252</v>
      </c>
      <c r="P6" s="2447" t="s">
        <v>251</v>
      </c>
      <c r="Q6" s="2455" t="s">
        <v>252</v>
      </c>
      <c r="R6" s="2455" t="s">
        <v>252</v>
      </c>
      <c r="S6" s="2455" t="s">
        <v>251</v>
      </c>
      <c r="T6" s="2455" t="s">
        <v>92</v>
      </c>
      <c r="U6" s="2440" t="s">
        <v>92</v>
      </c>
      <c r="V6" s="2447" t="s">
        <v>62</v>
      </c>
      <c r="W6" s="2456" t="s">
        <v>62</v>
      </c>
      <c r="X6" s="2447" t="s">
        <v>62</v>
      </c>
      <c r="Y6" s="2447" t="s">
        <v>62</v>
      </c>
      <c r="Z6" s="2447" t="s">
        <v>62</v>
      </c>
      <c r="AA6" s="2447" t="s">
        <v>62</v>
      </c>
      <c r="AB6" s="2447" t="s">
        <v>62</v>
      </c>
      <c r="AC6" s="2447" t="s">
        <v>62</v>
      </c>
      <c r="AD6" s="2447" t="s">
        <v>253</v>
      </c>
      <c r="AE6" s="4542"/>
      <c r="AF6" s="1058"/>
      <c r="AG6" s="1058"/>
      <c r="AH6" s="1058"/>
      <c r="AI6" s="2918" t="s">
        <v>254</v>
      </c>
      <c r="AJ6" s="2919"/>
      <c r="AK6" s="2918" t="s">
        <v>255</v>
      </c>
      <c r="AL6" s="2920"/>
      <c r="AM6" s="2921" t="s">
        <v>256</v>
      </c>
      <c r="AN6" s="2919"/>
      <c r="AO6" s="2922" t="s">
        <v>257</v>
      </c>
      <c r="AP6" s="2877"/>
      <c r="AQ6" s="2922" t="s">
        <v>258</v>
      </c>
      <c r="AR6" s="2877"/>
      <c r="AS6" s="2922" t="s">
        <v>259</v>
      </c>
      <c r="AT6" s="2877"/>
      <c r="AV6" s="3498" t="s">
        <v>226</v>
      </c>
      <c r="AW6" s="3498"/>
    </row>
    <row r="7" spans="1:55" x14ac:dyDescent="0.15">
      <c r="A7" s="2457" t="s">
        <v>260</v>
      </c>
      <c r="B7" s="2458" t="s">
        <v>261</v>
      </c>
      <c r="C7" s="2458" t="s">
        <v>262</v>
      </c>
      <c r="D7" s="2459" t="s">
        <v>263</v>
      </c>
      <c r="E7" s="2459" t="s">
        <v>264</v>
      </c>
      <c r="G7" s="2425"/>
      <c r="H7" s="1714" t="str">
        <f>clim3</f>
        <v>WarmTemperate2</v>
      </c>
      <c r="I7" s="2460" t="str">
        <f>continent_selected</f>
        <v>Europe</v>
      </c>
      <c r="J7" s="2461" t="s">
        <v>88</v>
      </c>
      <c r="K7" s="2462" t="s">
        <v>88</v>
      </c>
      <c r="L7" s="2462" t="s">
        <v>88</v>
      </c>
      <c r="M7" s="2462" t="s">
        <v>89</v>
      </c>
      <c r="N7" s="2462" t="s">
        <v>89</v>
      </c>
      <c r="O7" s="2462" t="s">
        <v>89</v>
      </c>
      <c r="P7" s="2461" t="s">
        <v>88</v>
      </c>
      <c r="Q7" s="2462" t="s">
        <v>88</v>
      </c>
      <c r="R7" s="2462" t="s">
        <v>88</v>
      </c>
      <c r="S7" s="2462" t="s">
        <v>89</v>
      </c>
      <c r="T7" s="2462" t="s">
        <v>89</v>
      </c>
      <c r="U7" s="2463" t="s">
        <v>89</v>
      </c>
      <c r="V7" s="2464"/>
      <c r="W7" s="2465"/>
      <c r="X7" s="2464"/>
      <c r="Y7" s="2465"/>
      <c r="Z7" s="2464"/>
      <c r="AA7" s="2465"/>
      <c r="AB7" s="2465"/>
      <c r="AC7" s="2465"/>
      <c r="AD7" s="2465"/>
      <c r="AE7" s="4543"/>
      <c r="AF7" s="1058"/>
      <c r="AG7" s="1058"/>
      <c r="AH7" s="1058"/>
      <c r="AI7" s="2897" t="s">
        <v>265</v>
      </c>
      <c r="AJ7" s="2898" t="s">
        <v>266</v>
      </c>
      <c r="AK7" s="2897" t="s">
        <v>265</v>
      </c>
      <c r="AL7" s="2898" t="s">
        <v>266</v>
      </c>
      <c r="AM7" s="2897" t="s">
        <v>265</v>
      </c>
      <c r="AN7" s="2898" t="s">
        <v>266</v>
      </c>
      <c r="AO7" s="2897" t="s">
        <v>265</v>
      </c>
      <c r="AP7" s="2898" t="s">
        <v>266</v>
      </c>
      <c r="AQ7" s="2897" t="s">
        <v>265</v>
      </c>
      <c r="AR7" s="2898" t="s">
        <v>266</v>
      </c>
      <c r="AS7" s="2897" t="s">
        <v>265</v>
      </c>
      <c r="AT7" s="2898" t="s">
        <v>266</v>
      </c>
      <c r="AV7" s="3863" t="s">
        <v>267</v>
      </c>
      <c r="AW7" s="3863" t="s">
        <v>180</v>
      </c>
    </row>
    <row r="8" spans="1:55" x14ac:dyDescent="0.15">
      <c r="A8" s="1703" t="s">
        <v>118</v>
      </c>
      <c r="B8" s="2466" t="s">
        <v>119</v>
      </c>
      <c r="C8" s="1703" t="s">
        <v>120</v>
      </c>
      <c r="D8" s="1703" t="s">
        <v>121</v>
      </c>
      <c r="E8" s="1703" t="s">
        <v>122</v>
      </c>
      <c r="G8" s="2467">
        <v>1</v>
      </c>
      <c r="H8" s="2468" t="str">
        <f>C24</f>
        <v>Please select</v>
      </c>
      <c r="I8" s="2469" t="str">
        <f>IF( $H8 &lt;&gt; "Please select", CONCATENATE(H8,continent_selected), "")</f>
        <v/>
      </c>
      <c r="J8" s="2470">
        <f>IF($I8&lt;&gt;"",VLOOKUP(affo!$I8, IPCC!$C$924:$E$1467, 3, FALSE),0)</f>
        <v>0</v>
      </c>
      <c r="K8" s="2471">
        <f>$J8*0.47</f>
        <v>0</v>
      </c>
      <c r="L8" s="2472">
        <f>IF('2.LUC'!$BF36="",'2.LUC'!$BE36,'2.LUC'!$BF36)</f>
        <v>0</v>
      </c>
      <c r="M8" s="2473">
        <f>IF(I8&lt;&gt;"",VLOOKUP(affo!$I8, IPCC!$C$924:$E$1467, 2, FALSE),0)</f>
        <v>0</v>
      </c>
      <c r="N8" s="2471">
        <f>M8*0.47</f>
        <v>0</v>
      </c>
      <c r="O8" s="2472">
        <f>IF('2.LUC'!$BI36="",'2.LUC'!$BH36,'2.LUC'!$BI36)</f>
        <v>0</v>
      </c>
      <c r="P8" s="2473">
        <f>IF($H8&lt;&gt;"Please select", IF(OR($J8&lt;=125, $J8&lt;= 75),INDEX(IPCC!$B$618:$AI$633,MATCH(continent_selected,IPCC!$A$618:$A$633,0),MATCH($H8,IPCC!$B$616:$AI$616,0)),(IF(OR($J8&gt;125, $J8&gt;75),INDEX(IPCC!$AJ$618:$BS$633,MATCH(continent_selected,IPCC!$A$618:$A$633,0),MATCH($H8,IPCC!$AJ$616:$BS$616,0)),"")))*$J8,0)</f>
        <v>0</v>
      </c>
      <c r="Q8" s="2471">
        <f>P8*0.47</f>
        <v>0</v>
      </c>
      <c r="R8" s="2474">
        <f>IF('2.LUC'!$BL36="",'2.LUC'!$BK36,'2.LUC'!$BL36)</f>
        <v>0</v>
      </c>
      <c r="S8" s="2475">
        <f>IF($H8 &lt;&gt;"Please select", IF(OR($M8 &lt;=125, $M8 &lt;= 75),INDEX(IPCC!$B$618:$AI$633,MATCH(continent_selected,IPCC!$A$618:$A$633,0),MATCH($H8,IPCC!$B$616:$AI$616,0)),(IF(OR($M8&gt;125, $M8&gt;75),INDEX(IPCC!$AJ$618:$BS$633,MATCH(continent_selected,IPCC!$A$618:$A$633,0),MATCH($H8,IPCC!$AJ$616:$BS$616,0)),"")))*$M8,0)</f>
        <v>0</v>
      </c>
      <c r="T8" s="2471">
        <f>S8*0.47</f>
        <v>0</v>
      </c>
      <c r="U8" s="2474">
        <f>IF('2.LUC'!$BN36="",'2.LUC'!$BM36,'2.LUC'!$BN36)</f>
        <v>0</v>
      </c>
      <c r="V8" s="2476">
        <f>IF($H8&lt;&gt;"Please select", VLOOKUP($H8, IPCC!$A$643:$B$677, 2, FALSE), 0)</f>
        <v>0</v>
      </c>
      <c r="W8" s="2477">
        <f>IF('2.LUC'!$BT36="",'2.LUC'!$BS36,'2.LUC'!$BT36)</f>
        <v>0</v>
      </c>
      <c r="X8" s="2476">
        <f>IF($H8&lt;&gt;"Please select",VLOOKUP($H8,IPCC!$A$643:$C$677,3,FALSE),0)</f>
        <v>0</v>
      </c>
      <c r="Y8" s="2477">
        <f>IF('2.LUC'!$BW36="",'2.LUC'!$BV36,'2.LUC'!$BW36)</f>
        <v>0</v>
      </c>
      <c r="Z8" s="2477">
        <f>'2.LUC'!BY36</f>
        <v>0</v>
      </c>
      <c r="AA8" s="2477">
        <f>IF('2.LUC'!$BZ36="",Z8,'2.LUC'!$BZ36)</f>
        <v>0</v>
      </c>
      <c r="AB8" s="2477">
        <f>IF(H8= "Please select", 0, INDEX(IPCC!$B$852:$X$863,MATCH(clim_moist,IPCC!$A$852:$A$863,0),MATCH("Forest land",IPCC!$B$852:$X$852,0)))</f>
        <v>0</v>
      </c>
      <c r="AC8" s="2477">
        <f>IF(OR('2.LUC'!CC36="", '2.LUC'!CC36=0), AB8, '2.LUC'!CC36)</f>
        <v>0</v>
      </c>
      <c r="AD8" s="2478">
        <f>IF('2.LUC'!BQ36&lt;&gt; "", '2.LUC'!BQ36*44/12, IF(H8="Please select",0,IF(INDEX(IPCC!$A$590:$AK$606,MATCH($I$7,IPCC!$A$590:$A$606,0),MATCH(H8,IPCC!$A$590:$AK$590,0))&lt;= 125, INDEX(IPCC!$A$590:$AK$606,MATCH($I$7,IPCC!$A$590:$A$606,0),MATCH(H8,IPCC!$A$590:$AK$590,0))+(INDEX(IPCC!$A$590:$AK$606,MATCH($I$7,IPCC!$A$590:$A$606,0),MATCH(H8,IPCC!$A$590:$AK$590,0))*INDEX(IPCC!$A$617:$BS$633,MATCH($I$7,IPCC!$A$617:$A$633,0),MATCH(H8,IPCC!$A$616:$BS$616,0))),INDEX(IPCC!$A$590:$AK$606,MATCH($I$7,IPCC!$A$590:$A$606,0), MATCH(H8,IPCC!$A$590:$AK$590,0))+(INDEX(IPCC!$A$590:$AK$606,MATCH($I$7,IPCC!$A$590:$A$606,0),MATCH(H8,IPCC!$A$590:$AK$590,0))*INDEX(IPCC!$AJ$616:$BS$633,MATCH(continent_selected,IPCC!$A$616:$A$633,0),MATCH(H8,IPCC!$AJ$616:$BS$616,0)))))*0.47*44/12)</f>
        <v>0</v>
      </c>
      <c r="AE8" s="2478" t="str">
        <f t="shared" ref="AE8:AE15" si="0">IF(AD8&gt;H37, "yes", "no")</f>
        <v>no</v>
      </c>
      <c r="AF8" s="2899"/>
      <c r="AG8" s="2899"/>
      <c r="AH8" s="2899" t="s">
        <v>268</v>
      </c>
      <c r="AI8" s="2900">
        <f t="shared" ref="AI8:AI15" si="1">IF($F24="YES", $D37*$Q24*methane/1000,0)</f>
        <v>0</v>
      </c>
      <c r="AJ8" s="2901">
        <f t="shared" ref="AJ8:AJ15" si="2">IF($F24="YES", $F37*$Q24*methane/1000,0)</f>
        <v>0</v>
      </c>
      <c r="AK8" s="2901">
        <f t="shared" ref="AK8:AK15" si="3">IF($F24="YES", $D37*$R24*Nitrous/1000,0)</f>
        <v>0</v>
      </c>
      <c r="AL8" s="2901">
        <f t="shared" ref="AL8:AL15" si="4">IF($F24="YES", $F37*$R24*Nitrous/1000,0)</f>
        <v>0</v>
      </c>
      <c r="AM8" s="2902">
        <f>-(44/12)*($T24*(IF(E37="Immediate",D37*MIN(20,time),D37*IF(time&gt;time+20,20,IF(time&lt;20,(time*VLOOKUP(E37, list!$J$48:$K$50, 2,))+(time-time),((MIN(20,time)*VLOOKUP(affo!E37, list!$J$48:$K$50, 2,)) + (time-MIN(20,time))-IF(affo!E37="Exponential",time-20+0.217*time*(EXP(4.606*(20-time)/time)-1),((time-20)^2)*(0.5/time)))))))+($U24*(IF(affo!E37="Immediate", affo!D37*(time-MIN(20,time)), affo!D37*IF(time&gt;time+20,(time*VLOOKUP(affo!E37, list!$J$48:$K$50,2,))+(time-time-20),IF(time&lt;20,0,IF(affo!E37="Exponential",time-20+0.217*time*(EXP(4.606*(20-time)/time)-1),((time-20)^2)*(0.5/time))))))))</f>
        <v>0</v>
      </c>
      <c r="AN8" s="2902">
        <f>-(44/12)*($T24*(IF(G37="Immediate", F37*MIN(20,time), F37*IF(time&gt;time+20,20,IF(time&lt;20,(time*VLOOKUP(G37, list!$J$48:$K$50, 2,))+(time-time),((MIN(20,time)*VLOOKUP(affo!G37, list!$J$48:$K$50, 2,))+ (time-MIN(20,time))-IF(affo!G37="Exponential",time-20+0.217*time*(EXP(4.606*(20-time)/time)-1),((time-20)^2)*(0.5/time)))))))+($U24*(IF(affo!G37="Immediate", affo!F37*(time-MIN(20,time)), affo!F37*IF(time&gt;time+20,(time*VLOOKUP(affo!G37, list!$J$48:$K$50,2,))+(time-time-20),IF(time&lt;20,0,IF(affo!G37="Exponential",time-20+0.217*time*(EXP(4.606*(20-time)/time)-1),((time-20)^2)*(0.5/time))))))))</f>
        <v>0</v>
      </c>
      <c r="AO8" s="2902">
        <f t="shared" ref="AO8:AO15" si="5">IF(time=0,0,$L37)</f>
        <v>0</v>
      </c>
      <c r="AP8" s="2902">
        <f t="shared" ref="AP8:AP15" si="6">IF(time=0,0, $M37)</f>
        <v>0</v>
      </c>
      <c r="AQ8" s="2903">
        <f t="shared" ref="AQ8:AQ15" si="7">IF(time=0,0,$J37)</f>
        <v>0</v>
      </c>
      <c r="AR8" s="2902">
        <f t="shared" ref="AR8:AR15" si="8">IF(time=0,0,$K37)</f>
        <v>0</v>
      </c>
      <c r="AS8" s="2902">
        <f>$N24*(IF(E37="Immediate", D37*MIN(20,time), D37*IF(time&gt;=time+20,20,IF(time&lt;=20,(time*VLOOKUP(E37, list!$J$48:$K$50, 2,))+(time-time),((MIN(20,time)*VLOOKUP(affo!E37,  list!$J$48:$K$50,2,))+(time-MIN(20,time))-IF(affo!E37="Exponential",time-20+0.217*time*(EXP(4.606*(20-time)/time)-1),((time-20)^2)*(0.5/time)))))))</f>
        <v>0</v>
      </c>
      <c r="AT8" s="2904">
        <f>$N24*(IF(G37="Immediate", F37*MIN(20,time), F37*IF(time&gt;time+20,20,IF(time&lt;20,(time*VLOOKUP( G37,  list!$J$48:$K$50, 2,))+(time-time),((MIN(20,time)*VLOOKUP(affo!G37,  list!$J$48:$K$50,2,))+(time-MIN(20,time))-IF(affo!G37="Exponential",time-20+0.217*time*(EXP(4.606*(20-time)/time)-1),((time-20)^2)*(0.5/time)))))))</f>
        <v>0</v>
      </c>
      <c r="AV8" s="1454">
        <f t="shared" ref="AV8:AV15" si="9">IF($Q24&gt;0, $D37, 0)</f>
        <v>0</v>
      </c>
      <c r="AW8" s="1454">
        <f t="shared" ref="AW8:AW15" si="10">IF($Q24&gt;0, $F37, 0)</f>
        <v>0</v>
      </c>
    </row>
    <row r="9" spans="1:55" ht="15" customHeight="1" x14ac:dyDescent="0.15">
      <c r="A9" s="1707" t="s">
        <v>123</v>
      </c>
      <c r="B9" s="1168" t="s">
        <v>124</v>
      </c>
      <c r="C9" s="1707" t="s">
        <v>125</v>
      </c>
      <c r="D9" s="1707" t="s">
        <v>126</v>
      </c>
      <c r="E9" s="1707" t="s">
        <v>127</v>
      </c>
      <c r="G9" s="2467">
        <v>2</v>
      </c>
      <c r="H9" s="2468" t="str">
        <f t="shared" ref="H9:H15" si="11">C25</f>
        <v>Please select</v>
      </c>
      <c r="I9" s="2469" t="str">
        <f t="shared" ref="I9:I15" si="12">IF( $H9 &lt;&gt; "Please select", CONCATENATE(H9,continent_selected), "")</f>
        <v/>
      </c>
      <c r="J9" s="2479">
        <f>IF($I9&lt;&gt;"",VLOOKUP(affo!$I9, IPCC!$C$924:$E$1467, 3, FALSE),0)</f>
        <v>0</v>
      </c>
      <c r="K9" s="1706">
        <f t="shared" ref="K9:K15" si="13">$J9*0.47</f>
        <v>0</v>
      </c>
      <c r="L9" s="2480">
        <f>IF('2.LUC'!$BF37="",'2.LUC'!$BE37,'2.LUC'!$BF37)</f>
        <v>0</v>
      </c>
      <c r="M9" s="2481">
        <f>IF(I9&lt;&gt;"",VLOOKUP(affo!$I9, IPCC!$C$924:$E$1467, 2, FALSE),0)</f>
        <v>0</v>
      </c>
      <c r="N9" s="1706">
        <f t="shared" ref="N9:N15" si="14">M9*0.47</f>
        <v>0</v>
      </c>
      <c r="O9" s="2480">
        <f>IF('2.LUC'!$BI37="",'2.LUC'!$BH37,'2.LUC'!$BI37)</f>
        <v>0</v>
      </c>
      <c r="P9" s="2481">
        <f>IF($H9&lt;&gt;"Please select", IF(OR($J9&lt;=125, $J9&lt;= 75),INDEX(IPCC!$B$618:$AI$633,MATCH(continent_selected,IPCC!$A$618:$A$633,0),MATCH($H9,IPCC!$B$616:$AI$616,0)),(IF(OR($J9&gt;125, $J9&gt;75),INDEX(IPCC!$AJ$618:$BS$633,MATCH(continent_selected,IPCC!$A$618:$A$633,0),MATCH($H9,IPCC!$AJ$616:$BS$616,0)),"")))*$J9,0)</f>
        <v>0</v>
      </c>
      <c r="Q9" s="1706">
        <f t="shared" ref="Q9:Q15" si="15">P9*0.47</f>
        <v>0</v>
      </c>
      <c r="R9" s="2482">
        <f>IF('2.LUC'!$BL37="",'2.LUC'!$BK37,'2.LUC'!$BL37)</f>
        <v>0</v>
      </c>
      <c r="S9" s="2483">
        <f>IF($H9 &lt;&gt;"Please select", IF(OR($M9 &lt;=125, $M9 &lt;= 75),INDEX(IPCC!$B$618:$AI$633,MATCH(continent_selected,IPCC!$A$618:$A$633,0),MATCH($H9,IPCC!$B$616:$AI$616,0)),(IF(OR($M9&gt;125, $M9&gt;75),INDEX(IPCC!$AJ$618:$BS$633,MATCH(continent_selected,IPCC!$A$618:$A$633,0),MATCH($H9,IPCC!$AJ$616:$BS$616,0)),"")))*$M9,0)</f>
        <v>0</v>
      </c>
      <c r="T9" s="1706">
        <f t="shared" ref="T9:T15" si="16">S9*0.47</f>
        <v>0</v>
      </c>
      <c r="U9" s="2482">
        <f>IF('2.LUC'!$BN37="",'2.LUC'!$BM37,'2.LUC'!$BN37)</f>
        <v>0</v>
      </c>
      <c r="V9" s="2484">
        <f>IF($H9&lt;&gt;"Please select", VLOOKUP($H9, IPCC!$A$643:$B$677, 2, FALSE), 0)</f>
        <v>0</v>
      </c>
      <c r="W9" s="2485">
        <f>IF('2.LUC'!$BT37="",'2.LUC'!$BS37,'2.LUC'!$BT37)</f>
        <v>0</v>
      </c>
      <c r="X9" s="2484">
        <f>IF($H9&lt;&gt;"Please select",VLOOKUP($H9,IPCC!$A$643:$C$677,3,FALSE),0)</f>
        <v>0</v>
      </c>
      <c r="Y9" s="2485">
        <f>IF('2.LUC'!$BW37="",'2.LUC'!$BV37,'2.LUC'!$BW37)</f>
        <v>0</v>
      </c>
      <c r="Z9" s="2485">
        <f>'2.LUC'!BY37</f>
        <v>0</v>
      </c>
      <c r="AA9" s="2485">
        <f>IF('2.LUC'!$BZ37="",Z9,'2.LUC'!$BZ37)</f>
        <v>0</v>
      </c>
      <c r="AB9" s="2485">
        <f>IF(H9= "Please select", 0, INDEX(IPCC!$B$852:$X$863,MATCH(clim_moist,IPCC!$A$852:$A$863,0),MATCH("Forest land",IPCC!$B$852:$X$852,0)))</f>
        <v>0</v>
      </c>
      <c r="AC9" s="2485">
        <f>IF(OR('2.LUC'!CC37="", '2.LUC'!CC37=0), AB9, '2.LUC'!CC37)</f>
        <v>0</v>
      </c>
      <c r="AD9" s="2486">
        <f>IF('2.LUC'!BQ37&lt;&gt; "", '2.LUC'!BQ37*44/12, IF(H9="Please select",0,IF(INDEX(IPCC!$A$590:$AK$606,MATCH($I$7,IPCC!$A$590:$A$606,0),MATCH(H9,IPCC!$A$590:$AK$590,0))&lt;= 125, INDEX(IPCC!$A$590:$AK$606,MATCH($I$7,IPCC!$A$590:$A$606,0),MATCH(H9,IPCC!$A$590:$AK$590,0))+(INDEX(IPCC!$A$590:$AK$606,MATCH($I$7,IPCC!$A$590:$A$606,0),MATCH(H9,IPCC!$A$590:$AK$590,0))*INDEX(IPCC!$A$617:$BS$633,MATCH($I$7,IPCC!$A$617:$A$633,0),MATCH(H9,IPCC!$A$616:$BS$616,0))),INDEX(IPCC!$A$590:$AK$606,MATCH($I$7,IPCC!$A$590:$A$606,0), MATCH(H9,IPCC!$A$590:$AK$590,0))+(INDEX(IPCC!$A$590:$AK$606,MATCH($I$7,IPCC!$A$590:$A$606,0),MATCH(H9,IPCC!$A$590:$AK$590,0))*INDEX(IPCC!$AJ$616:$BS$633,MATCH(continent_selected,IPCC!$A$616:$A$633,0),MATCH(H9,IPCC!$AJ$616:$BS$616,0)))))*0.47*44/12)</f>
        <v>0</v>
      </c>
      <c r="AE9" s="2486" t="str">
        <f t="shared" si="0"/>
        <v>no</v>
      </c>
      <c r="AF9" s="2899"/>
      <c r="AG9" s="2899"/>
      <c r="AH9" s="2899" t="s">
        <v>269</v>
      </c>
      <c r="AI9" s="2905">
        <f t="shared" si="1"/>
        <v>0</v>
      </c>
      <c r="AJ9" s="2906">
        <f t="shared" si="2"/>
        <v>0</v>
      </c>
      <c r="AK9" s="2906">
        <f t="shared" si="3"/>
        <v>0</v>
      </c>
      <c r="AL9" s="2906">
        <f t="shared" si="4"/>
        <v>0</v>
      </c>
      <c r="AM9" s="2907">
        <f>-(44/12)*($T25*(IF(E38="Immediate",D38*MIN(20,time),D38*IF(time&gt;time+20,20,IF(time&lt;20,(time*VLOOKUP(E38, list!$J$48:$K$50, 2,))+(time-time),((MIN(20,time)*VLOOKUP(affo!E38, list!$J$48:$K$50, 2,)) + (time-MIN(20,time))-IF(affo!E38="Exponential",time-20+0.217*time*(EXP(4.606*(20-time)/time)-1),((time-20)^2)*(0.5/time)))))))+($U25*(IF(affo!E38="Immediate", affo!D38*(time-MIN(20,time)), affo!D38*IF(time&gt;time+20,(time*VLOOKUP(affo!E38, list!$J$48:$K$50,2,))+(time-time-20),IF(time&lt;20,0,IF(affo!E38="Exponential",time-20+0.217*time*(EXP(4.606*(20-time)/time)-1),((time-20)^2)*(0.5/time))))))))</f>
        <v>0</v>
      </c>
      <c r="AN9" s="2907">
        <f>-(44/12)*($T25*(IF(G38="Immediate", F38*MIN(20,time), F38*IF(time&gt;time+20,20,IF(time&lt;20,(time*VLOOKUP(G38, list!$J$48:$K$50, 2,))+(time-time),((MIN(20,time)*VLOOKUP(affo!G38, list!$J$48:$K$50, 2,))+ (time-MIN(20,time))-IF(affo!G38="Exponential",time-20+0.217*time*(EXP(4.606*(20-time)/time)-1),((time-20)^2)*(0.5/time)))))))+($U25*(IF(affo!G38="Immediate", affo!F38*(time-MIN(20,time)), affo!F38*IF(time&gt;time+20,(time*VLOOKUP(affo!G38, list!$J$48:$K$50,2,))+(time-time-20),IF(time&lt;20,0,IF(affo!G38="Exponential",time-20+0.217*time*(EXP(4.606*(20-time)/time)-1),((time-20)^2)*(0.5/time))))))))</f>
        <v>0</v>
      </c>
      <c r="AO9" s="2907">
        <f t="shared" si="5"/>
        <v>0</v>
      </c>
      <c r="AP9" s="2907">
        <f t="shared" si="6"/>
        <v>0</v>
      </c>
      <c r="AQ9" s="2908">
        <f t="shared" si="7"/>
        <v>0</v>
      </c>
      <c r="AR9" s="2907">
        <f t="shared" si="8"/>
        <v>0</v>
      </c>
      <c r="AS9" s="2907">
        <f>$N25*(IF(E38="Immediate", D38*MIN(20,time), D38*IF(time&gt;=time+20,20,IF(time&lt;=20,(time*VLOOKUP(E38, list!$J$48:$K$50, 2,))+(time-time),((MIN(20,time)*VLOOKUP(affo!E38,  list!$J$48:$K$50,2,))+(time-MIN(20,time))-IF(affo!E38="Exponential",time-20+0.217*time*(EXP(4.606*(20-time)/time)-1),((time-20)^2)*(0.5/time)))))))</f>
        <v>0</v>
      </c>
      <c r="AT9" s="2909">
        <f>$N25*(IF(G38="Immediate", F38*MIN(20,time), F38*IF(time&gt;time+20,20,IF(time&lt;20,(time*VLOOKUP( G38,  list!$J$48:$K$50, 2,))+(time-time),((MIN(20,time)*VLOOKUP(affo!G38,  list!$J$48:$K$50,2,))+(time-MIN(20,time))-IF(affo!G38="Exponential",time-20+0.217*time*(EXP(4.606*(20-time)/time)-1),((time-20)^2)*(0.5/time)))))))</f>
        <v>0</v>
      </c>
      <c r="AV9" s="1454">
        <f t="shared" si="9"/>
        <v>0</v>
      </c>
      <c r="AW9" s="1454">
        <f t="shared" si="10"/>
        <v>0</v>
      </c>
    </row>
    <row r="10" spans="1:55" ht="15" customHeight="1" x14ac:dyDescent="0.15">
      <c r="A10" s="1707" t="s">
        <v>128</v>
      </c>
      <c r="B10" s="1168" t="s">
        <v>129</v>
      </c>
      <c r="C10" s="1707" t="s">
        <v>130</v>
      </c>
      <c r="D10" s="1707" t="s">
        <v>131</v>
      </c>
      <c r="E10" s="1707"/>
      <c r="G10" s="2467">
        <v>3</v>
      </c>
      <c r="H10" s="2468" t="str">
        <f t="shared" si="11"/>
        <v>Please select</v>
      </c>
      <c r="I10" s="2469" t="str">
        <f t="shared" si="12"/>
        <v/>
      </c>
      <c r="J10" s="2479">
        <f>IF($I10&lt;&gt;"",VLOOKUP(affo!$I10, IPCC!$C$924:$E$1467, 3, FALSE),0)</f>
        <v>0</v>
      </c>
      <c r="K10" s="1706">
        <f t="shared" si="13"/>
        <v>0</v>
      </c>
      <c r="L10" s="2480">
        <f>IF('2.LUC'!$BF38="",'2.LUC'!$BE38,'2.LUC'!$BF38)</f>
        <v>0</v>
      </c>
      <c r="M10" s="2481">
        <f>IF(I10&lt;&gt;"",VLOOKUP(affo!$I10, IPCC!$C$924:$E$1467, 2, FALSE),0)</f>
        <v>0</v>
      </c>
      <c r="N10" s="1706">
        <f t="shared" si="14"/>
        <v>0</v>
      </c>
      <c r="O10" s="2480">
        <f>IF('2.LUC'!$BI38="",'2.LUC'!$BH38,'2.LUC'!$BI38)</f>
        <v>0</v>
      </c>
      <c r="P10" s="2481">
        <f>IF($H10&lt;&gt;"Please select", IF(OR($J10&lt;=125, $J10&lt;= 75),INDEX(IPCC!$B$618:$AI$633,MATCH(continent_selected,IPCC!$A$618:$A$633,0),MATCH($H10,IPCC!$B$616:$AI$616,0)),(IF(OR($J10&gt;125, $J10&gt;75),INDEX(IPCC!$AJ$618:$BS$633,MATCH(continent_selected,IPCC!$A$618:$A$633,0),MATCH($H10,IPCC!$AJ$616:$BS$616,0)),"")))*$J10,0)</f>
        <v>0</v>
      </c>
      <c r="Q10" s="1706">
        <f t="shared" si="15"/>
        <v>0</v>
      </c>
      <c r="R10" s="2482">
        <f>IF('2.LUC'!$BL38="",'2.LUC'!$BK38,'2.LUC'!$BL38)</f>
        <v>0</v>
      </c>
      <c r="S10" s="2483">
        <f>IF($H10 &lt;&gt;"Please select", IF(OR($M10 &lt;=125, $M10 &lt;= 75),INDEX(IPCC!$B$618:$AI$633,MATCH(continent_selected,IPCC!$A$618:$A$633,0),MATCH($H10,IPCC!$B$616:$AI$616,0)),(IF(OR($M10&gt;125, $M10&gt;75),INDEX(IPCC!$AJ$618:$BS$633,MATCH(continent_selected,IPCC!$A$618:$A$633,0),MATCH($H10,IPCC!$AJ$616:$BS$616,0)),"")))*$M10,0)</f>
        <v>0</v>
      </c>
      <c r="T10" s="1706">
        <f t="shared" si="16"/>
        <v>0</v>
      </c>
      <c r="U10" s="2482">
        <f>IF('2.LUC'!$BN38="",'2.LUC'!$BM38,'2.LUC'!$BN38)</f>
        <v>0</v>
      </c>
      <c r="V10" s="2484">
        <f>IF($H10&lt;&gt;"Please select", VLOOKUP($H10, IPCC!$A$643:$B$677, 2, FALSE), 0)</f>
        <v>0</v>
      </c>
      <c r="W10" s="2485">
        <f>IF('2.LUC'!$BT38="",'2.LUC'!$BS38,'2.LUC'!$BT38)</f>
        <v>0</v>
      </c>
      <c r="X10" s="2484">
        <f>IF($H10&lt;&gt;"Please select",VLOOKUP($H10,IPCC!$A$643:$C$677,3,FALSE),0)</f>
        <v>0</v>
      </c>
      <c r="Y10" s="2485">
        <f>IF('2.LUC'!$BW38="",'2.LUC'!$BV38,'2.LUC'!$BW38)</f>
        <v>0</v>
      </c>
      <c r="Z10" s="2485">
        <f>'2.LUC'!BY38</f>
        <v>0</v>
      </c>
      <c r="AA10" s="2485">
        <f>IF('2.LUC'!$BZ38="",Z10,'2.LUC'!$BZ38)</f>
        <v>0</v>
      </c>
      <c r="AB10" s="2485">
        <f>IF(H10= "Please select", 0, INDEX(IPCC!$B$852:$X$863,MATCH(clim_moist,IPCC!$A$852:$A$863,0),MATCH("Forest land",IPCC!$B$852:$X$852,0)))</f>
        <v>0</v>
      </c>
      <c r="AC10" s="2485">
        <f>IF(OR('2.LUC'!CC38="", '2.LUC'!CC38=0), AB10, '2.LUC'!CC38)</f>
        <v>0</v>
      </c>
      <c r="AD10" s="2486">
        <f>IF('2.LUC'!BQ38&lt;&gt; "", '2.LUC'!BQ38*44/12, IF(H10="Please select",0,IF(INDEX(IPCC!$A$590:$AK$606,MATCH($I$7,IPCC!$A$590:$A$606,0),MATCH(H10,IPCC!$A$590:$AK$590,0))&lt;= 125, INDEX(IPCC!$A$590:$AK$606,MATCH($I$7,IPCC!$A$590:$A$606,0),MATCH(H10,IPCC!$A$590:$AK$590,0))+(INDEX(IPCC!$A$590:$AK$606,MATCH($I$7,IPCC!$A$590:$A$606,0),MATCH(H10,IPCC!$A$590:$AK$590,0))*INDEX(IPCC!$A$617:$BS$633,MATCH($I$7,IPCC!$A$617:$A$633,0),MATCH(H10,IPCC!$A$616:$BS$616,0))),INDEX(IPCC!$A$590:$AK$606,MATCH($I$7,IPCC!$A$590:$A$606,0), MATCH(H10,IPCC!$A$590:$AK$590,0))+(INDEX(IPCC!$A$590:$AK$606,MATCH($I$7,IPCC!$A$590:$A$606,0),MATCH(H10,IPCC!$A$590:$AK$590,0))*INDEX(IPCC!$AJ$616:$BS$633,MATCH(continent_selected,IPCC!$A$616:$A$633,0),MATCH(H10,IPCC!$AJ$616:$BS$616,0)))))*0.47*44/12)</f>
        <v>0</v>
      </c>
      <c r="AE10" s="2486" t="str">
        <f t="shared" si="0"/>
        <v>no</v>
      </c>
      <c r="AF10" s="2899"/>
      <c r="AG10" s="2899"/>
      <c r="AH10" s="2899" t="s">
        <v>270</v>
      </c>
      <c r="AI10" s="2905">
        <f t="shared" si="1"/>
        <v>0</v>
      </c>
      <c r="AJ10" s="2906">
        <f t="shared" si="2"/>
        <v>0</v>
      </c>
      <c r="AK10" s="2906">
        <f t="shared" si="3"/>
        <v>0</v>
      </c>
      <c r="AL10" s="2906">
        <f t="shared" si="4"/>
        <v>0</v>
      </c>
      <c r="AM10" s="2907">
        <f>-(44/12)*($T26*(IF(E39="Immediate",D39*MIN(20,time),D39*IF(time&gt;time+20,20,IF(time&lt;20,(time*VLOOKUP(E39, list!$J$48:$K$50, 2,))+(time-time),((MIN(20,time)*VLOOKUP(affo!E39, list!$J$48:$K$50, 2,)) + (time-MIN(20,time))-IF(affo!E39="Exponential",time-20+0.217*time*(EXP(4.606*(20-time)/time)-1),((time-20)^2)*(0.5/time)))))))+($U26*(IF(affo!E39="Immediate", affo!D39*(time-MIN(20,time)), affo!D39*IF(time&gt;time+20,(time*VLOOKUP(affo!E39, list!$J$48:$K$50,2,))+(time-time-20),IF(time&lt;20,0,IF(affo!E39="Exponential",time-20+0.217*time*(EXP(4.606*(20-time)/time)-1),((time-20)^2)*(0.5/time))))))))</f>
        <v>0</v>
      </c>
      <c r="AN10" s="2907">
        <f>-(44/12)*($T26*(IF(G39="Immediate", F39*MIN(20,time), F39*IF(time&gt;time+20,20,IF(time&lt;20,(time*VLOOKUP(G39, list!$J$48:$K$50, 2,))+(time-time),((MIN(20,time)*VLOOKUP(affo!G39, list!$J$48:$K$50, 2,))+ (time-MIN(20,time))-IF(affo!G39="Exponential",time-20+0.217*time*(EXP(4.606*(20-time)/time)-1),((time-20)^2)*(0.5/time)))))))+($U26*(IF(affo!G39="Immediate", affo!F39*(time-MIN(20,time)), affo!F39*IF(time&gt;time+20,(time*VLOOKUP(affo!G39, list!$J$48:$K$50,2,))+(time-time-20),IF(time&lt;20,0,IF(affo!G39="Exponential",time-20+0.217*time*(EXP(4.606*(20-time)/time)-1),((time-20)^2)*(0.5/time))))))))</f>
        <v>0</v>
      </c>
      <c r="AO10" s="2907">
        <f t="shared" si="5"/>
        <v>0</v>
      </c>
      <c r="AP10" s="2907">
        <f t="shared" si="6"/>
        <v>0</v>
      </c>
      <c r="AQ10" s="2908">
        <f t="shared" si="7"/>
        <v>0</v>
      </c>
      <c r="AR10" s="2907">
        <f t="shared" si="8"/>
        <v>0</v>
      </c>
      <c r="AS10" s="2907">
        <f>$N26*(IF(E39="Immediate", D39*MIN(20,time), D39*IF(time&gt;=time+20,20,IF(time&lt;=20,(time*VLOOKUP(E39, list!$J$48:$K$50, 2,))+(time-time),((MIN(20,time)*VLOOKUP(affo!E39,  list!$J$48:$K$50,2,))+(time-MIN(20,time))-IF(affo!E39="Exponential",time-20+0.217*time*(EXP(4.606*(20-time)/time)-1),((time-20)^2)*(0.5/time)))))))</f>
        <v>0</v>
      </c>
      <c r="AT10" s="2909">
        <f>$N26*(IF(G39="Immediate", F39*MIN(20,time), F39*IF(time&gt;time+20,20,IF(time&lt;20,(time*VLOOKUP( G39,  list!$J$48:$K$50, 2,))+(time-time),((MIN(20,time)*VLOOKUP(affo!G39,  list!$J$48:$K$50,2,))+(time-MIN(20,time))-IF(affo!G39="Exponential",time-20+0.217*time*(EXP(4.606*(20-time)/time)-1),((time-20)^2)*(0.5/time)))))))</f>
        <v>0</v>
      </c>
      <c r="AV10" s="1454">
        <f t="shared" si="9"/>
        <v>0</v>
      </c>
      <c r="AW10" s="1454">
        <f t="shared" si="10"/>
        <v>0</v>
      </c>
    </row>
    <row r="11" spans="1:55" ht="15" customHeight="1" x14ac:dyDescent="0.15">
      <c r="A11" s="1707" t="s">
        <v>132</v>
      </c>
      <c r="B11" s="1168" t="s">
        <v>133</v>
      </c>
      <c r="C11" s="1058" t="s">
        <v>134</v>
      </c>
      <c r="D11" s="1707" t="s">
        <v>135</v>
      </c>
      <c r="E11" s="1707"/>
      <c r="G11" s="2467">
        <v>4</v>
      </c>
      <c r="H11" s="2468" t="str">
        <f t="shared" si="11"/>
        <v>Please select</v>
      </c>
      <c r="I11" s="2469" t="str">
        <f t="shared" si="12"/>
        <v/>
      </c>
      <c r="J11" s="2479">
        <f>IF($I11&lt;&gt;"",VLOOKUP(affo!$I11, IPCC!$C$924:$E$1467, 3, FALSE),0)</f>
        <v>0</v>
      </c>
      <c r="K11" s="1706">
        <f t="shared" si="13"/>
        <v>0</v>
      </c>
      <c r="L11" s="2480">
        <f>IF('2.LUC'!$BF39="",'2.LUC'!$BE39,'2.LUC'!$BF39)</f>
        <v>0</v>
      </c>
      <c r="M11" s="2481">
        <f>IF(I11&lt;&gt;"",VLOOKUP(affo!$I11, IPCC!$C$924:$E$1467, 2, FALSE),0)</f>
        <v>0</v>
      </c>
      <c r="N11" s="1706">
        <f t="shared" si="14"/>
        <v>0</v>
      </c>
      <c r="O11" s="2480">
        <f>IF('2.LUC'!$BI39="",'2.LUC'!$BH39,'2.LUC'!$BI39)</f>
        <v>0</v>
      </c>
      <c r="P11" s="2481">
        <f>IF($H11&lt;&gt;"Please select", IF(OR($J11&lt;=125, $J11&lt;= 75),INDEX(IPCC!$B$618:$AI$633,MATCH(continent_selected,IPCC!$A$618:$A$633,0),MATCH($H11,IPCC!$B$616:$AI$616,0)),(IF(OR($J11&gt;125, $J11&gt;75),INDEX(IPCC!$AJ$618:$BS$633,MATCH(continent_selected,IPCC!$A$618:$A$633,0),MATCH($H11,IPCC!$AJ$616:$BS$616,0)),"")))*$J11,0)</f>
        <v>0</v>
      </c>
      <c r="Q11" s="1706">
        <f t="shared" si="15"/>
        <v>0</v>
      </c>
      <c r="R11" s="2482">
        <f>IF('2.LUC'!$BL39="",'2.LUC'!$BK39,'2.LUC'!$BL39)</f>
        <v>0</v>
      </c>
      <c r="S11" s="2483">
        <f>IF($H11 &lt;&gt;"Please select", IF(OR($M11 &lt;=125, $M11 &lt;= 75),INDEX(IPCC!$B$618:$AI$633,MATCH(continent_selected,IPCC!$A$618:$A$633,0),MATCH($H11,IPCC!$B$616:$AI$616,0)),(IF(OR($M11&gt;125, $M11&gt;75),INDEX(IPCC!$AJ$618:$BS$633,MATCH(continent_selected,IPCC!$A$618:$A$633,0),MATCH($H11,IPCC!$AJ$616:$BS$616,0)),"")))*$M11,0)</f>
        <v>0</v>
      </c>
      <c r="T11" s="1706">
        <f t="shared" si="16"/>
        <v>0</v>
      </c>
      <c r="U11" s="2482">
        <f>IF('2.LUC'!$BN39="",'2.LUC'!$BM39,'2.LUC'!$BN39)</f>
        <v>0</v>
      </c>
      <c r="V11" s="2484">
        <f>IF($H11&lt;&gt;"Please select", VLOOKUP($H11, IPCC!$A$643:$B$677, 2, FALSE), 0)</f>
        <v>0</v>
      </c>
      <c r="W11" s="2485">
        <f>IF('2.LUC'!$BT39="",'2.LUC'!$BS39,'2.LUC'!$BT39)</f>
        <v>0</v>
      </c>
      <c r="X11" s="2484">
        <f>IF($H11&lt;&gt;"Please select",VLOOKUP($H11,IPCC!$A$643:$C$677,3,FALSE),0)</f>
        <v>0</v>
      </c>
      <c r="Y11" s="2485">
        <f>IF('2.LUC'!$BW39="",'2.LUC'!$BV39,'2.LUC'!$BW39)</f>
        <v>0</v>
      </c>
      <c r="Z11" s="2485">
        <f>'2.LUC'!BY39</f>
        <v>0</v>
      </c>
      <c r="AA11" s="2485">
        <f>IF('2.LUC'!$BZ39="",Z11,'2.LUC'!$BZ39)</f>
        <v>0</v>
      </c>
      <c r="AB11" s="2485">
        <f>IF(H11= "Please select", 0, INDEX(IPCC!$B$852:$X$863,MATCH(clim_moist,IPCC!$A$852:$A$863,0),MATCH("Forest land",IPCC!$B$852:$X$852,0)))</f>
        <v>0</v>
      </c>
      <c r="AC11" s="2485">
        <f>IF(OR('2.LUC'!CC39="", '2.LUC'!CC39=0), AB11, '2.LUC'!CC39)</f>
        <v>0</v>
      </c>
      <c r="AD11" s="2486">
        <f>IF('2.LUC'!BQ39&lt;&gt; "", '2.LUC'!BQ39*44/12, IF(H11="Please select",0,IF(INDEX(IPCC!$A$590:$AK$606,MATCH($I$7,IPCC!$A$590:$A$606,0),MATCH(H11,IPCC!$A$590:$AK$590,0))&lt;= 125, INDEX(IPCC!$A$590:$AK$606,MATCH($I$7,IPCC!$A$590:$A$606,0),MATCH(H11,IPCC!$A$590:$AK$590,0))+(INDEX(IPCC!$A$590:$AK$606,MATCH($I$7,IPCC!$A$590:$A$606,0),MATCH(H11,IPCC!$A$590:$AK$590,0))*INDEX(IPCC!$A$617:$BS$633,MATCH($I$7,IPCC!$A$617:$A$633,0),MATCH(H11,IPCC!$A$616:$BS$616,0))),INDEX(IPCC!$A$590:$AK$606,MATCH($I$7,IPCC!$A$590:$A$606,0), MATCH(H11,IPCC!$A$590:$AK$590,0))+(INDEX(IPCC!$A$590:$AK$606,MATCH($I$7,IPCC!$A$590:$A$606,0),MATCH(H11,IPCC!$A$590:$AK$590,0))*INDEX(IPCC!$AJ$616:$BS$633,MATCH(continent_selected,IPCC!$A$616:$A$633,0),MATCH(H11,IPCC!$AJ$616:$BS$616,0)))))*0.47*44/12)</f>
        <v>0</v>
      </c>
      <c r="AE11" s="2486" t="str">
        <f t="shared" si="0"/>
        <v>no</v>
      </c>
      <c r="AF11" s="2899"/>
      <c r="AG11" s="2899"/>
      <c r="AH11" s="2899" t="s">
        <v>271</v>
      </c>
      <c r="AI11" s="2905">
        <f t="shared" si="1"/>
        <v>0</v>
      </c>
      <c r="AJ11" s="2906">
        <f t="shared" si="2"/>
        <v>0</v>
      </c>
      <c r="AK11" s="2906">
        <f t="shared" si="3"/>
        <v>0</v>
      </c>
      <c r="AL11" s="2906">
        <f t="shared" si="4"/>
        <v>0</v>
      </c>
      <c r="AM11" s="2907">
        <f>-(44/12)*($T27*(IF(E40="Immediate",D40*MIN(20,time),D40*IF(time&gt;time+20,20,IF(time&lt;20,(time*VLOOKUP(E40, list!$J$48:$K$50, 2,))+(time-time),((MIN(20,time)*VLOOKUP(affo!E40, list!$J$48:$K$50, 2,)) + (time-MIN(20,time))-IF(affo!E40="Exponential",time-20+0.217*time*(EXP(4.606*(20-time)/time)-1),((time-20)^2)*(0.5/time)))))))+($U27*(IF(affo!E40="Immediate", affo!D40*(time-MIN(20,time)), affo!D40*IF(time&gt;time+20,(time*VLOOKUP(affo!E40, list!$J$48:$K$50,2,))+(time-time-20),IF(time&lt;20,0,IF(affo!E40="Exponential",time-20+0.217*time*(EXP(4.606*(20-time)/time)-1),((time-20)^2)*(0.5/time))))))))</f>
        <v>0</v>
      </c>
      <c r="AN11" s="2907">
        <f>-(44/12)*($T27*(IF(G40="Immediate", F40*MIN(20,time), F40*IF(time&gt;time+20,20,IF(time&lt;20,(time*VLOOKUP(G40, list!$J$48:$K$50, 2,))+(time-time),((MIN(20,time)*VLOOKUP(affo!G40, list!$J$48:$K$50, 2,))+ (time-MIN(20,time))-IF(affo!G40="Exponential",time-20+0.217*time*(EXP(4.606*(20-time)/time)-1),((time-20)^2)*(0.5/time)))))))+($U27*(IF(affo!G40="Immediate", affo!F40*(time-MIN(20,time)), affo!F40*IF(time&gt;time+20,(time*VLOOKUP(affo!G40, list!$J$48:$K$50,2,))+(time-time-20),IF(time&lt;20,0,IF(affo!G40="Exponential",time-20+0.217*time*(EXP(4.606*(20-time)/time)-1),((time-20)^2)*(0.5/time))))))))</f>
        <v>0</v>
      </c>
      <c r="AO11" s="2907">
        <f t="shared" si="5"/>
        <v>0</v>
      </c>
      <c r="AP11" s="2907">
        <f t="shared" si="6"/>
        <v>0</v>
      </c>
      <c r="AQ11" s="2908">
        <f t="shared" si="7"/>
        <v>0</v>
      </c>
      <c r="AR11" s="2907">
        <f t="shared" si="8"/>
        <v>0</v>
      </c>
      <c r="AS11" s="2907">
        <f>$N27*(IF(E40="Immediate", D40*MIN(20,time), D40*IF(time&gt;=time+20,20,IF(time&lt;=20,(time*VLOOKUP(E40, list!$J$48:$K$50, 2,))+(time-time),((MIN(20,time)*VLOOKUP(affo!E40,  list!$J$48:$K$50,2,))+(time-MIN(20,time))-IF(affo!E40="Exponential",time-20+0.217*time*(EXP(4.606*(20-time)/time)-1),((time-20)^2)*(0.5/time)))))))</f>
        <v>0</v>
      </c>
      <c r="AT11" s="2909">
        <f>$N27*(IF(G40="Immediate", F40*MIN(20,time), F40*IF(time&gt;time+20,20,IF(time&lt;20,(time*VLOOKUP( G40,  list!$J$48:$K$50, 2,))+(time-time),((MIN(20,time)*VLOOKUP(affo!G40,  list!$J$48:$K$50,2,))+(time-MIN(20,time))-IF(affo!G40="Exponential",time-20+0.217*time*(EXP(4.606*(20-time)/time)-1),((time-20)^2)*(0.5/time)))))))</f>
        <v>0</v>
      </c>
      <c r="AV11" s="1454">
        <f t="shared" si="9"/>
        <v>0</v>
      </c>
      <c r="AW11" s="1454">
        <f t="shared" si="10"/>
        <v>0</v>
      </c>
    </row>
    <row r="12" spans="1:55" ht="15" customHeight="1" x14ac:dyDescent="0.15">
      <c r="A12" s="1707" t="s">
        <v>140</v>
      </c>
      <c r="B12" s="1168" t="s">
        <v>137</v>
      </c>
      <c r="C12" s="1058" t="s">
        <v>138</v>
      </c>
      <c r="D12" s="1707" t="s">
        <v>139</v>
      </c>
      <c r="E12" s="1707"/>
      <c r="G12" s="2467">
        <v>5</v>
      </c>
      <c r="H12" s="2468" t="str">
        <f t="shared" si="11"/>
        <v>Please select</v>
      </c>
      <c r="I12" s="2469" t="str">
        <f t="shared" si="12"/>
        <v/>
      </c>
      <c r="J12" s="2479">
        <f>IF($I12&lt;&gt;"",VLOOKUP(affo!$I12, IPCC!$C$924:$E$1467, 3, FALSE),0)</f>
        <v>0</v>
      </c>
      <c r="K12" s="1706">
        <f t="shared" si="13"/>
        <v>0</v>
      </c>
      <c r="L12" s="2480">
        <f>IF('2.LUC'!$BF40="",'2.LUC'!$BE40,'2.LUC'!$BF40)</f>
        <v>0</v>
      </c>
      <c r="M12" s="2481">
        <f>IF(I12&lt;&gt;"",VLOOKUP(affo!$I12, IPCC!$C$924:$E$1467, 2, FALSE),0)</f>
        <v>0</v>
      </c>
      <c r="N12" s="1706">
        <f t="shared" si="14"/>
        <v>0</v>
      </c>
      <c r="O12" s="2480">
        <f>IF('2.LUC'!$BI40="",'2.LUC'!$BH40,'2.LUC'!$BI40)</f>
        <v>0</v>
      </c>
      <c r="P12" s="2481">
        <f>IF($H12&lt;&gt;"Please select", IF(OR($J12&lt;=125, $J12&lt;= 75),INDEX(IPCC!$B$618:$AI$633,MATCH(continent_selected,IPCC!$A$618:$A$633,0),MATCH($H12,IPCC!$B$616:$AI$616,0)),(IF(OR($J12&gt;125, $J12&gt;75),INDEX(IPCC!$AJ$618:$BS$633,MATCH(continent_selected,IPCC!$A$618:$A$633,0),MATCH($H12,IPCC!$AJ$616:$BS$616,0)),"")))*$J12,0)</f>
        <v>0</v>
      </c>
      <c r="Q12" s="1706">
        <f t="shared" si="15"/>
        <v>0</v>
      </c>
      <c r="R12" s="2482">
        <f>IF('2.LUC'!$BL40="",'2.LUC'!$BK40,'2.LUC'!$BL40)</f>
        <v>0</v>
      </c>
      <c r="S12" s="2483">
        <f>IF($H12 &lt;&gt;"Please select", IF(OR($M12 &lt;=125, $M12 &lt;= 75),INDEX(IPCC!$B$618:$AI$633,MATCH(continent_selected,IPCC!$A$618:$A$633,0),MATCH($H12,IPCC!$B$616:$AI$616,0)),(IF(OR($M12&gt;125, $M12&gt;75),INDEX(IPCC!$AJ$618:$BS$633,MATCH(continent_selected,IPCC!$A$618:$A$633,0),MATCH($H12,IPCC!$AJ$616:$BS$616,0)),"")))*$M12,0)</f>
        <v>0</v>
      </c>
      <c r="T12" s="1706">
        <f t="shared" si="16"/>
        <v>0</v>
      </c>
      <c r="U12" s="2482">
        <f>IF('2.LUC'!$BN40="",'2.LUC'!$BM40,'2.LUC'!$BN40)</f>
        <v>0</v>
      </c>
      <c r="V12" s="2484">
        <f>IF($H12&lt;&gt;"Please select", VLOOKUP($H12, IPCC!$A$643:$B$677, 2, FALSE), 0)</f>
        <v>0</v>
      </c>
      <c r="W12" s="2485">
        <f>IF('2.LUC'!$BT40="",'2.LUC'!$BS40,'2.LUC'!$BT40)</f>
        <v>0</v>
      </c>
      <c r="X12" s="2484">
        <f>IF($H12&lt;&gt;"Please select",VLOOKUP($H12,IPCC!$A$643:$C$677,3,FALSE),0)</f>
        <v>0</v>
      </c>
      <c r="Y12" s="2485">
        <f>IF('2.LUC'!$BW40="",'2.LUC'!$BV40,'2.LUC'!$BW40)</f>
        <v>0</v>
      </c>
      <c r="Z12" s="2485">
        <f>'2.LUC'!BY40</f>
        <v>0</v>
      </c>
      <c r="AA12" s="2485">
        <f>IF('2.LUC'!$BZ40="",Z12,'2.LUC'!$BZ40)</f>
        <v>0</v>
      </c>
      <c r="AB12" s="2485">
        <f>IF(H12= "Please select", 0, INDEX(IPCC!$B$852:$X$863,MATCH(clim_moist,IPCC!$A$852:$A$863,0),MATCH("Forest land",IPCC!$B$852:$X$852,0)))</f>
        <v>0</v>
      </c>
      <c r="AC12" s="2485">
        <f>IF(OR('2.LUC'!CC40="", '2.LUC'!CC40=0), AB12, '2.LUC'!CC40)</f>
        <v>0</v>
      </c>
      <c r="AD12" s="2486">
        <f>IF('2.LUC'!BQ40&lt;&gt; "", '2.LUC'!BQ40*44/12, IF(H12="Please select",0,IF(INDEX(IPCC!$A$590:$AK$606,MATCH($I$7,IPCC!$A$590:$A$606,0),MATCH(H12,IPCC!$A$590:$AK$590,0))&lt;= 125, INDEX(IPCC!$A$590:$AK$606,MATCH($I$7,IPCC!$A$590:$A$606,0),MATCH(H12,IPCC!$A$590:$AK$590,0))+(INDEX(IPCC!$A$590:$AK$606,MATCH($I$7,IPCC!$A$590:$A$606,0),MATCH(H12,IPCC!$A$590:$AK$590,0))*INDEX(IPCC!$A$617:$BS$633,MATCH($I$7,IPCC!$A$617:$A$633,0),MATCH(H12,IPCC!$A$616:$BS$616,0))),INDEX(IPCC!$A$590:$AK$606,MATCH($I$7,IPCC!$A$590:$A$606,0), MATCH(H12,IPCC!$A$590:$AK$590,0))+(INDEX(IPCC!$A$590:$AK$606,MATCH($I$7,IPCC!$A$590:$A$606,0),MATCH(H12,IPCC!$A$590:$AK$590,0))*INDEX(IPCC!$AJ$616:$BS$633,MATCH(continent_selected,IPCC!$A$616:$A$633,0),MATCH(H12,IPCC!$AJ$616:$BS$616,0)))))*0.47*44/12)</f>
        <v>0</v>
      </c>
      <c r="AE12" s="2486" t="str">
        <f t="shared" si="0"/>
        <v>no</v>
      </c>
      <c r="AF12" s="2899"/>
      <c r="AG12" s="2899"/>
      <c r="AH12" s="2899" t="s">
        <v>272</v>
      </c>
      <c r="AI12" s="2905">
        <f t="shared" si="1"/>
        <v>0</v>
      </c>
      <c r="AJ12" s="2906">
        <f t="shared" si="2"/>
        <v>0</v>
      </c>
      <c r="AK12" s="2906">
        <f t="shared" si="3"/>
        <v>0</v>
      </c>
      <c r="AL12" s="2906">
        <f t="shared" si="4"/>
        <v>0</v>
      </c>
      <c r="AM12" s="2907">
        <f>-(44/12)*($T28*(IF(E41="Immediate",D41*MIN(20,time),D41*IF(time&gt;time+20,20,IF(time&lt;20,(time*VLOOKUP(E41, list!$J$48:$K$50, 2,))+(time-time),((MIN(20,time)*VLOOKUP(affo!E41, list!$J$48:$K$50, 2,)) + (time-MIN(20,time))-IF(affo!E41="Exponential",time-20+0.217*time*(EXP(4.606*(20-time)/time)-1),((time-20)^2)*(0.5/time)))))))+($U28*(IF(affo!E41="Immediate", affo!D41*(time-MIN(20,time)), affo!D41*IF(time&gt;time+20,(time*VLOOKUP(affo!E41, list!$J$48:$K$50,2,))+(time-time-20),IF(time&lt;20,0,IF(affo!E41="Exponential",time-20+0.217*time*(EXP(4.606*(20-time)/time)-1),((time-20)^2)*(0.5/time))))))))</f>
        <v>0</v>
      </c>
      <c r="AN12" s="2907">
        <f>-(44/12)*($T28*(IF(G41="Immediate", F41*MIN(20,time), F41*IF(time&gt;time+20,20,IF(time&lt;20,(time*VLOOKUP(G41, list!$J$48:$K$50, 2,))+(time-time),((MIN(20,time)*VLOOKUP(affo!G41, list!$J$48:$K$50, 2,))+ (time-MIN(20,time))-IF(affo!G41="Exponential",time-20+0.217*time*(EXP(4.606*(20-time)/time)-1),((time-20)^2)*(0.5/time)))))))+($U28*(IF(affo!G41="Immediate", affo!F41*(time-MIN(20,time)), affo!F41*IF(time&gt;time+20,(time*VLOOKUP(affo!G41, list!$J$48:$K$50,2,))+(time-time-20),IF(time&lt;20,0,IF(affo!G41="Exponential",time-20+0.217*time*(EXP(4.606*(20-time)/time)-1),((time-20)^2)*(0.5/time))))))))</f>
        <v>0</v>
      </c>
      <c r="AO12" s="2907">
        <f t="shared" si="5"/>
        <v>0</v>
      </c>
      <c r="AP12" s="2907">
        <f t="shared" si="6"/>
        <v>0</v>
      </c>
      <c r="AQ12" s="2908">
        <f t="shared" si="7"/>
        <v>0</v>
      </c>
      <c r="AR12" s="2907">
        <f t="shared" si="8"/>
        <v>0</v>
      </c>
      <c r="AS12" s="2907">
        <f>$N28*(IF(E41="Immediate", D41*MIN(20,time), D41*IF(time&gt;=time+20,20,IF(time&lt;=20,(time*VLOOKUP(E41, list!$J$48:$K$50, 2,))+(time-time),((MIN(20,time)*VLOOKUP(affo!E41,  list!$J$48:$K$50,2,))+(time-MIN(20,time))-IF(affo!E41="Exponential",time-20+0.217*time*(EXP(4.606*(20-time)/time)-1),((time-20)^2)*(0.5/time)))))))</f>
        <v>0</v>
      </c>
      <c r="AT12" s="2909">
        <f>$N28*(IF(G41="Immediate", F41*MIN(20,time), F41*IF(time&gt;time+20,20,IF(time&lt;20,(time*VLOOKUP( G41,  list!$J$48:$K$50, 2,))+(time-time),((MIN(20,time)*VLOOKUP(affo!G41,  list!$J$48:$K$50,2,))+(time-MIN(20,time))-IF(affo!G41="Exponential",time-20+0.217*time*(EXP(4.606*(20-time)/time)-1),((time-20)^2)*(0.5/time)))))))</f>
        <v>0</v>
      </c>
      <c r="AV12" s="1454">
        <f t="shared" si="9"/>
        <v>0</v>
      </c>
      <c r="AW12" s="1454">
        <f t="shared" si="10"/>
        <v>0</v>
      </c>
    </row>
    <row r="13" spans="1:55" ht="15" customHeight="1" x14ac:dyDescent="0.15">
      <c r="A13" s="1707" t="s">
        <v>144</v>
      </c>
      <c r="B13" s="1168" t="s">
        <v>141</v>
      </c>
      <c r="C13" s="1707" t="s">
        <v>142</v>
      </c>
      <c r="D13" s="1707" t="s">
        <v>143</v>
      </c>
      <c r="E13" s="1707"/>
      <c r="G13" s="2467">
        <v>6</v>
      </c>
      <c r="H13" s="2468" t="str">
        <f t="shared" si="11"/>
        <v>Please select</v>
      </c>
      <c r="I13" s="2469" t="str">
        <f t="shared" si="12"/>
        <v/>
      </c>
      <c r="J13" s="2479">
        <f>IF($I13&lt;&gt;"",VLOOKUP(affo!$I13, IPCC!$C$924:$E$1467, 3, FALSE),0)</f>
        <v>0</v>
      </c>
      <c r="K13" s="1706">
        <f t="shared" si="13"/>
        <v>0</v>
      </c>
      <c r="L13" s="2480">
        <f>IF('2.LUC'!$BF41="",'2.LUC'!$BE41,'2.LUC'!$BF41)</f>
        <v>0</v>
      </c>
      <c r="M13" s="2481">
        <f>IF(I13&lt;&gt;"",VLOOKUP(affo!$I13, IPCC!$C$924:$E$1467, 2, FALSE),0)</f>
        <v>0</v>
      </c>
      <c r="N13" s="1706">
        <f t="shared" si="14"/>
        <v>0</v>
      </c>
      <c r="O13" s="2480">
        <f>IF('2.LUC'!$BI41="",'2.LUC'!$BH41,'2.LUC'!$BI41)</f>
        <v>0</v>
      </c>
      <c r="P13" s="2481">
        <f>IF($H13&lt;&gt;"Please select", IF(OR($J13&lt;=125, $J13&lt;= 75),INDEX(IPCC!$B$618:$AI$633,MATCH(continent_selected,IPCC!$A$618:$A$633,0),MATCH($H13,IPCC!$B$616:$AI$616,0)),(IF(OR($J13&gt;125, $J13&gt;75),INDEX(IPCC!$AJ$618:$BS$633,MATCH(continent_selected,IPCC!$A$618:$A$633,0),MATCH($H13,IPCC!$AJ$616:$BS$616,0)),"")))*$J13,0)</f>
        <v>0</v>
      </c>
      <c r="Q13" s="1706">
        <f t="shared" si="15"/>
        <v>0</v>
      </c>
      <c r="R13" s="2482">
        <f>IF('2.LUC'!$BL41="",'2.LUC'!$BK41,'2.LUC'!$BL41)</f>
        <v>0</v>
      </c>
      <c r="S13" s="2483">
        <f>IF($H13 &lt;&gt;"Please select", IF(OR($M13 &lt;=125, $M13 &lt;= 75),INDEX(IPCC!$B$618:$AI$633,MATCH(continent_selected,IPCC!$A$618:$A$633,0),MATCH($H13,IPCC!$B$616:$AI$616,0)),(IF(OR($M13&gt;125, $M13&gt;75),INDEX(IPCC!$AJ$618:$BS$633,MATCH(continent_selected,IPCC!$A$618:$A$633,0),MATCH($H13,IPCC!$AJ$616:$BS$616,0)),"")))*$M13,0)</f>
        <v>0</v>
      </c>
      <c r="T13" s="1706">
        <f t="shared" si="16"/>
        <v>0</v>
      </c>
      <c r="U13" s="2482">
        <f>IF('2.LUC'!$BN41="",'2.LUC'!$BM41,'2.LUC'!$BN41)</f>
        <v>0</v>
      </c>
      <c r="V13" s="2484">
        <f>IF($H13&lt;&gt;"Please select", VLOOKUP($H13, IPCC!$A$643:$B$677, 2, FALSE), 0)</f>
        <v>0</v>
      </c>
      <c r="W13" s="2485">
        <f>IF('2.LUC'!$BT41="",'2.LUC'!$BS41,'2.LUC'!$BT41)</f>
        <v>0</v>
      </c>
      <c r="X13" s="2484">
        <f>IF($H13&lt;&gt;"Please select",VLOOKUP($H13,IPCC!$A$643:$C$677,3,FALSE),0)</f>
        <v>0</v>
      </c>
      <c r="Y13" s="2485">
        <f>IF('2.LUC'!$BW41="",'2.LUC'!$BV41,'2.LUC'!$BW41)</f>
        <v>0</v>
      </c>
      <c r="Z13" s="2485">
        <f>'2.LUC'!BY41</f>
        <v>0</v>
      </c>
      <c r="AA13" s="2485">
        <f>IF('2.LUC'!$BZ41="",Z13,'2.LUC'!$BZ41)</f>
        <v>0</v>
      </c>
      <c r="AB13" s="2485">
        <f>IF(H13= "Please select", 0, INDEX(IPCC!$B$852:$X$863,MATCH(clim_moist,IPCC!$A$852:$A$863,0),MATCH("Forest land",IPCC!$B$852:$X$852,0)))</f>
        <v>0</v>
      </c>
      <c r="AC13" s="2485">
        <f>IF(OR('2.LUC'!CC41="", '2.LUC'!CC41=0), AB13, '2.LUC'!CC41)</f>
        <v>0</v>
      </c>
      <c r="AD13" s="2486">
        <f>IF('2.LUC'!BQ41&lt;&gt; "", '2.LUC'!BQ41*44/12, IF(H13="Please select",0,IF(INDEX(IPCC!$A$590:$AK$606,MATCH($I$7,IPCC!$A$590:$A$606,0),MATCH(H13,IPCC!$A$590:$AK$590,0))&lt;= 125, INDEX(IPCC!$A$590:$AK$606,MATCH($I$7,IPCC!$A$590:$A$606,0),MATCH(H13,IPCC!$A$590:$AK$590,0))+(INDEX(IPCC!$A$590:$AK$606,MATCH($I$7,IPCC!$A$590:$A$606,0),MATCH(H13,IPCC!$A$590:$AK$590,0))*INDEX(IPCC!$A$617:$BS$633,MATCH($I$7,IPCC!$A$617:$A$633,0),MATCH(H13,IPCC!$A$616:$BS$616,0))),INDEX(IPCC!$A$590:$AK$606,MATCH($I$7,IPCC!$A$590:$A$606,0), MATCH(H13,IPCC!$A$590:$AK$590,0))+(INDEX(IPCC!$A$590:$AK$606,MATCH($I$7,IPCC!$A$590:$A$606,0),MATCH(H13,IPCC!$A$590:$AK$590,0))*INDEX(IPCC!$AJ$616:$BS$633,MATCH(continent_selected,IPCC!$A$616:$A$633,0),MATCH(H13,IPCC!$AJ$616:$BS$616,0)))))*0.47*44/12)</f>
        <v>0</v>
      </c>
      <c r="AE13" s="2486" t="str">
        <f t="shared" si="0"/>
        <v>no</v>
      </c>
      <c r="AF13" s="2899"/>
      <c r="AG13" s="2899"/>
      <c r="AH13" s="2899" t="s">
        <v>273</v>
      </c>
      <c r="AI13" s="2905">
        <f t="shared" si="1"/>
        <v>0</v>
      </c>
      <c r="AJ13" s="2906">
        <f t="shared" si="2"/>
        <v>0</v>
      </c>
      <c r="AK13" s="2906">
        <f t="shared" si="3"/>
        <v>0</v>
      </c>
      <c r="AL13" s="2906">
        <f t="shared" si="4"/>
        <v>0</v>
      </c>
      <c r="AM13" s="2907">
        <f>-(44/12)*($T29*(IF(E42="Immediate",D42*MIN(20,time),D42*IF(time&gt;time+20,20,IF(time&lt;20,(time*VLOOKUP(E42, list!$J$48:$K$50, 2,))+(time-time),((MIN(20,time)*VLOOKUP(affo!E42, list!$J$48:$K$50, 2,)) + (time-MIN(20,time))-IF(affo!E42="Exponential",time-20+0.217*time*(EXP(4.606*(20-time)/time)-1),((time-20)^2)*(0.5/time)))))))+($U29*(IF(affo!E42="Immediate", affo!D42*(time-MIN(20,time)), affo!D42*IF(time&gt;time+20,(time*VLOOKUP(affo!E42, list!$J$48:$K$50,2,))+(time-time-20),IF(time&lt;20,0,IF(affo!E42="Exponential",time-20+0.217*time*(EXP(4.606*(20-time)/time)-1),((time-20)^2)*(0.5/time))))))))</f>
        <v>0</v>
      </c>
      <c r="AN13" s="2907">
        <f>-(44/12)*($T29*(IF(G42="Immediate", F42*MIN(20,time), F42*IF(time&gt;time+20,20,IF(time&lt;20,(time*VLOOKUP(G42, list!$J$48:$K$50, 2,))+(time-time),((MIN(20,time)*VLOOKUP(affo!G42, list!$J$48:$K$50, 2,))+ (time-MIN(20,time))-IF(affo!G42="Exponential",time-20+0.217*time*(EXP(4.606*(20-time)/time)-1),((time-20)^2)*(0.5/time)))))))+($U29*(IF(affo!G42="Immediate", affo!F42*(time-MIN(20,time)), affo!F42*IF(time&gt;time+20,(time*VLOOKUP(affo!G42, list!$J$48:$K$50,2,))+(time-time-20),IF(time&lt;20,0,IF(affo!G42="Exponential",time-20+0.217*time*(EXP(4.606*(20-time)/time)-1),((time-20)^2)*(0.5/time))))))))</f>
        <v>0</v>
      </c>
      <c r="AO13" s="2907">
        <f t="shared" si="5"/>
        <v>0</v>
      </c>
      <c r="AP13" s="2907">
        <f t="shared" si="6"/>
        <v>0</v>
      </c>
      <c r="AQ13" s="2908">
        <f t="shared" si="7"/>
        <v>0</v>
      </c>
      <c r="AR13" s="2907">
        <f t="shared" si="8"/>
        <v>0</v>
      </c>
      <c r="AS13" s="2907">
        <f>$N29*(IF(E42="Immediate", D42*MIN(20,time), D42*IF(time&gt;=time+20,20,IF(time&lt;=20,(time*VLOOKUP(E42, list!$J$48:$K$50, 2,))+(time-time),((MIN(20,time)*VLOOKUP(affo!E42,  list!$J$48:$K$50,2,))+(time-MIN(20,time))-IF(affo!E42="Exponential",time-20+0.217*time*(EXP(4.606*(20-time)/time)-1),((time-20)^2)*(0.5/time)))))))</f>
        <v>0</v>
      </c>
      <c r="AT13" s="2909">
        <f>$N29*(IF(G42="Immediate", F42*MIN(20,time), F42*IF(time&gt;time+20,20,IF(time&lt;20,(time*VLOOKUP( G42,  list!$J$48:$K$50, 2,))+(time-time),((MIN(20,time)*VLOOKUP(affo!G42,  list!$J$48:$K$50,2,))+(time-MIN(20,time))-IF(affo!G42="Exponential",time-20+0.217*time*(EXP(4.606*(20-time)/time)-1),((time-20)^2)*(0.5/time)))))))</f>
        <v>0</v>
      </c>
      <c r="AV13" s="1454">
        <f t="shared" si="9"/>
        <v>0</v>
      </c>
      <c r="AW13" s="1454">
        <f t="shared" si="10"/>
        <v>0</v>
      </c>
    </row>
    <row r="14" spans="1:55" ht="15" customHeight="1" x14ac:dyDescent="0.15">
      <c r="A14" s="1707" t="s">
        <v>147</v>
      </c>
      <c r="B14" s="1168" t="s">
        <v>145</v>
      </c>
      <c r="C14" s="1707" t="s">
        <v>146</v>
      </c>
      <c r="D14" s="1707"/>
      <c r="E14" s="1707"/>
      <c r="G14" s="2467">
        <v>7</v>
      </c>
      <c r="H14" s="2468" t="str">
        <f t="shared" si="11"/>
        <v>Please select</v>
      </c>
      <c r="I14" s="2469" t="str">
        <f t="shared" si="12"/>
        <v/>
      </c>
      <c r="J14" s="2479">
        <f>IF($I14&lt;&gt;"",VLOOKUP(affo!$I14, IPCC!$C$924:$E$1467, 3, FALSE),0)</f>
        <v>0</v>
      </c>
      <c r="K14" s="1706">
        <f t="shared" si="13"/>
        <v>0</v>
      </c>
      <c r="L14" s="2480">
        <f>IF('2.LUC'!$BF42="",'2.LUC'!$BE42,'2.LUC'!$BF42)</f>
        <v>0</v>
      </c>
      <c r="M14" s="2481">
        <f>IF(I14&lt;&gt;"",VLOOKUP(affo!$I14, IPCC!$C$924:$E$1467, 2, FALSE),0)</f>
        <v>0</v>
      </c>
      <c r="N14" s="1706">
        <f t="shared" si="14"/>
        <v>0</v>
      </c>
      <c r="O14" s="2480">
        <f>IF('2.LUC'!$BI42="",'2.LUC'!$BH42,'2.LUC'!$BI42)</f>
        <v>0</v>
      </c>
      <c r="P14" s="2481">
        <f>IF($H14&lt;&gt;"Please select", IF(OR($J14&lt;=125, $J14&lt;= 75),INDEX(IPCC!$B$618:$AI$633,MATCH(continent_selected,IPCC!$A$618:$A$633,0),MATCH($H14,IPCC!$B$616:$AI$616,0)),(IF(OR($J14&gt;125, $J14&gt;75),INDEX(IPCC!$AJ$618:$BS$633,MATCH(continent_selected,IPCC!$A$618:$A$633,0),MATCH($H14,IPCC!$AJ$616:$BS$616,0)),"")))*$J14,0)</f>
        <v>0</v>
      </c>
      <c r="Q14" s="1706">
        <f t="shared" si="15"/>
        <v>0</v>
      </c>
      <c r="R14" s="2482">
        <f>IF('2.LUC'!$BL42="",'2.LUC'!$BK42,'2.LUC'!$BL42)</f>
        <v>0</v>
      </c>
      <c r="S14" s="2483">
        <f>IF($H14 &lt;&gt;"Please select", IF(OR($M14 &lt;=125, $M14 &lt;= 75),INDEX(IPCC!$B$618:$AI$633,MATCH(continent_selected,IPCC!$A$618:$A$633,0),MATCH($H14,IPCC!$B$616:$AI$616,0)),(IF(OR($M14&gt;125, $M14&gt;75),INDEX(IPCC!$AJ$618:$BS$633,MATCH(continent_selected,IPCC!$A$618:$A$633,0),MATCH($H14,IPCC!$AJ$616:$BS$616,0)),"")))*$M14,0)</f>
        <v>0</v>
      </c>
      <c r="T14" s="1706">
        <f t="shared" si="16"/>
        <v>0</v>
      </c>
      <c r="U14" s="2482">
        <f>IF('2.LUC'!$BN42="",'2.LUC'!$BM42,'2.LUC'!$BN42)</f>
        <v>0</v>
      </c>
      <c r="V14" s="2484">
        <f>IF($H14&lt;&gt;"Please select", VLOOKUP($H14, IPCC!$A$643:$B$677, 2, FALSE), 0)</f>
        <v>0</v>
      </c>
      <c r="W14" s="2485">
        <f>IF('2.LUC'!$BT42="",'2.LUC'!$BS42,'2.LUC'!$BT42)</f>
        <v>0</v>
      </c>
      <c r="X14" s="2484">
        <f>IF($H14&lt;&gt;"Please select",VLOOKUP($H14,IPCC!$A$643:$C$677,3,FALSE),0)</f>
        <v>0</v>
      </c>
      <c r="Y14" s="2485">
        <f>IF('2.LUC'!$BW42="",'2.LUC'!$BV42,'2.LUC'!$BW42)</f>
        <v>0</v>
      </c>
      <c r="Z14" s="2485">
        <f>'2.LUC'!BY42</f>
        <v>0</v>
      </c>
      <c r="AA14" s="2485">
        <f>IF('2.LUC'!$BZ42="",Z14,'2.LUC'!$BZ42)</f>
        <v>0</v>
      </c>
      <c r="AB14" s="2485">
        <f>IF(H14= "Please select", 0, INDEX(IPCC!$B$852:$X$863,MATCH(clim_moist,IPCC!$A$852:$A$863,0),MATCH("Forest land",IPCC!$B$852:$X$852,0)))</f>
        <v>0</v>
      </c>
      <c r="AC14" s="2485">
        <f>IF(OR('2.LUC'!CC42="", '2.LUC'!CC42=0), AB14, '2.LUC'!CC42)</f>
        <v>0</v>
      </c>
      <c r="AD14" s="2486">
        <f>IF('2.LUC'!BQ42&lt;&gt; "", '2.LUC'!BQ42*44/12, IF(H14="Please select",0,IF(INDEX(IPCC!$A$590:$AK$606,MATCH($I$7,IPCC!$A$590:$A$606,0),MATCH(H14,IPCC!$A$590:$AK$590,0))&lt;= 125, INDEX(IPCC!$A$590:$AK$606,MATCH($I$7,IPCC!$A$590:$A$606,0),MATCH(H14,IPCC!$A$590:$AK$590,0))+(INDEX(IPCC!$A$590:$AK$606,MATCH($I$7,IPCC!$A$590:$A$606,0),MATCH(H14,IPCC!$A$590:$AK$590,0))*INDEX(IPCC!$A$617:$BS$633,MATCH($I$7,IPCC!$A$617:$A$633,0),MATCH(H14,IPCC!$A$616:$BS$616,0))),INDEX(IPCC!$A$590:$AK$606,MATCH($I$7,IPCC!$A$590:$A$606,0), MATCH(H14,IPCC!$A$590:$AK$590,0))+(INDEX(IPCC!$A$590:$AK$606,MATCH($I$7,IPCC!$A$590:$A$606,0),MATCH(H14,IPCC!$A$590:$AK$590,0))*INDEX(IPCC!$AJ$616:$BS$633,MATCH(continent_selected,IPCC!$A$616:$A$633,0),MATCH(H14,IPCC!$AJ$616:$BS$616,0)))))*0.47*44/12)</f>
        <v>0</v>
      </c>
      <c r="AE14" s="2486" t="str">
        <f t="shared" si="0"/>
        <v>no</v>
      </c>
      <c r="AF14" s="2899"/>
      <c r="AG14" s="2899"/>
      <c r="AH14" s="2899" t="s">
        <v>274</v>
      </c>
      <c r="AI14" s="2905">
        <f t="shared" si="1"/>
        <v>0</v>
      </c>
      <c r="AJ14" s="2906">
        <f t="shared" si="2"/>
        <v>0</v>
      </c>
      <c r="AK14" s="2906">
        <f t="shared" si="3"/>
        <v>0</v>
      </c>
      <c r="AL14" s="2906">
        <f t="shared" si="4"/>
        <v>0</v>
      </c>
      <c r="AM14" s="2907">
        <f>-(44/12)*($T30*(IF(E43="Immediate",D43*MIN(20,time),D43*IF(time&gt;time+20,20,IF(time&lt;20,(time*VLOOKUP(E43, list!$J$48:$K$50, 2,))+(time-time),((MIN(20,time)*VLOOKUP(affo!E43, list!$J$48:$K$50, 2,)) + (time-MIN(20,time))-IF(affo!E43="Exponential",time-20+0.217*time*(EXP(4.606*(20-time)/time)-1),((time-20)^2)*(0.5/time)))))))+($U30*(IF(affo!E43="Immediate", affo!D43*(time-MIN(20,time)), affo!D43*IF(time&gt;time+20,(time*VLOOKUP(affo!E43, list!$J$48:$K$50,2,))+(time-time-20),IF(time&lt;20,0,IF(affo!E43="Exponential",time-20+0.217*time*(EXP(4.606*(20-time)/time)-1),((time-20)^2)*(0.5/time))))))))</f>
        <v>0</v>
      </c>
      <c r="AN14" s="2907">
        <f>-(44/12)*($T30*(IF(G43="Immediate", F43*MIN(20,time), F43*IF(time&gt;time+20,20,IF(time&lt;20,(time*VLOOKUP(G43, list!$J$48:$K$50, 2,))+(time-time),((MIN(20,time)*VLOOKUP(affo!G43, list!$J$48:$K$50, 2,))+ (time-MIN(20,time))-IF(affo!G43="Exponential",time-20+0.217*time*(EXP(4.606*(20-time)/time)-1),((time-20)^2)*(0.5/time)))))))+($U30*(IF(affo!G43="Immediate", affo!F43*(time-MIN(20,time)), affo!F43*IF(time&gt;time+20,(time*VLOOKUP(affo!G43, list!$J$48:$K$50,2,))+(time-time-20),IF(time&lt;20,0,IF(affo!G43="Exponential",time-20+0.217*time*(EXP(4.606*(20-time)/time)-1),((time-20)^2)*(0.5/time))))))))</f>
        <v>0</v>
      </c>
      <c r="AO14" s="2907">
        <f t="shared" si="5"/>
        <v>0</v>
      </c>
      <c r="AP14" s="2907">
        <f t="shared" si="6"/>
        <v>0</v>
      </c>
      <c r="AQ14" s="2908">
        <f t="shared" si="7"/>
        <v>0</v>
      </c>
      <c r="AR14" s="2907">
        <f t="shared" si="8"/>
        <v>0</v>
      </c>
      <c r="AS14" s="2907">
        <f>$N30*(IF(E43="Immediate", D43*MIN(20,time), D43*IF(time&gt;=time+20,20,IF(time&lt;=20,(time*VLOOKUP(E43, list!$J$48:$K$50, 2,))+(time-time),((MIN(20,time)*VLOOKUP(affo!E43,  list!$J$48:$K$50,2,))+(time-MIN(20,time))-IF(affo!E43="Exponential",time-20+0.217*time*(EXP(4.606*(20-time)/time)-1),((time-20)^2)*(0.5/time)))))))</f>
        <v>0</v>
      </c>
      <c r="AT14" s="2909">
        <f>$N30*(IF(G43="Immediate", F43*MIN(20,time), F43*IF(time&gt;time+20,20,IF(time&lt;20,(time*VLOOKUP( G43,  list!$J$48:$K$50, 2,))+(time-time),((MIN(20,time)*VLOOKUP(affo!G43,  list!$J$48:$K$50,2,))+(time-MIN(20,time))-IF(affo!G43="Exponential",time-20+0.217*time*(EXP(4.606*(20-time)/time)-1),((time-20)^2)*(0.5/time)))))))</f>
        <v>0</v>
      </c>
      <c r="AV14" s="1454">
        <f t="shared" si="9"/>
        <v>0</v>
      </c>
      <c r="AW14" s="1454">
        <f t="shared" si="10"/>
        <v>0</v>
      </c>
    </row>
    <row r="15" spans="1:55" ht="15" customHeight="1" thickBot="1" x14ac:dyDescent="0.2">
      <c r="A15" s="1707" t="s">
        <v>150</v>
      </c>
      <c r="B15" s="1168" t="s">
        <v>148</v>
      </c>
      <c r="C15" s="1707" t="s">
        <v>149</v>
      </c>
      <c r="D15" s="1707"/>
      <c r="E15" s="1707"/>
      <c r="G15" s="2487">
        <v>8</v>
      </c>
      <c r="H15" s="2488" t="str">
        <f t="shared" si="11"/>
        <v>Please select</v>
      </c>
      <c r="I15" s="2489" t="str">
        <f t="shared" si="12"/>
        <v/>
      </c>
      <c r="J15" s="2490">
        <f>IF($I15&lt;&gt;"",VLOOKUP(affo!$I15, IPCC!$C$924:$E$1467, 3, FALSE),0)</f>
        <v>0</v>
      </c>
      <c r="K15" s="2491">
        <f t="shared" si="13"/>
        <v>0</v>
      </c>
      <c r="L15" s="2492">
        <f>IF('2.LUC'!$BF43="",'2.LUC'!$BE43,'2.LUC'!$BF43)</f>
        <v>0</v>
      </c>
      <c r="M15" s="2493">
        <f>IF(I15&lt;&gt;"",VLOOKUP(affo!$I15, IPCC!$C$924:$E$1467, 2, FALSE),0)</f>
        <v>0</v>
      </c>
      <c r="N15" s="2491">
        <f t="shared" si="14"/>
        <v>0</v>
      </c>
      <c r="O15" s="2492">
        <f>IF('2.LUC'!$BI43="",'2.LUC'!$BH43,'2.LUC'!$BI43)</f>
        <v>0</v>
      </c>
      <c r="P15" s="2493">
        <f>IF($H15&lt;&gt;"Please select", IF(OR($J15&lt;=125, $J15&lt;= 75),INDEX(IPCC!$B$618:$AI$633,MATCH(continent_selected,IPCC!$A$618:$A$633,0),MATCH($H15,IPCC!$B$616:$AI$616,0)),(IF(OR($J15&gt;125, $J15&gt;75),INDEX(IPCC!$AJ$618:$BS$633,MATCH(continent_selected,IPCC!$A$618:$A$633,0),MATCH($H15,IPCC!$AJ$616:$BS$616,0)),"")))*$J15,0)</f>
        <v>0</v>
      </c>
      <c r="Q15" s="2491">
        <f t="shared" si="15"/>
        <v>0</v>
      </c>
      <c r="R15" s="2494">
        <f>IF('2.LUC'!$BL43="",'2.LUC'!$BK43,'2.LUC'!$BL43)</f>
        <v>0</v>
      </c>
      <c r="S15" s="2495">
        <f>IF($H15 &lt;&gt;"Please select", IF(OR($M15 &lt;=125, $M15 &lt;= 75),INDEX(IPCC!$B$618:$AI$633,MATCH(continent_selected,IPCC!$A$618:$A$633,0),MATCH($H15,IPCC!$B$616:$AI$616,0)),(IF(OR($M15&gt;125, $M15&gt;75),INDEX(IPCC!$AJ$618:$BS$633,MATCH(continent_selected,IPCC!$A$618:$A$633,0),MATCH($H15,IPCC!$AJ$616:$BS$616,0)),"")))*$M15,0)</f>
        <v>0</v>
      </c>
      <c r="T15" s="2491">
        <f t="shared" si="16"/>
        <v>0</v>
      </c>
      <c r="U15" s="2494">
        <f>IF('2.LUC'!$BN43="",'2.LUC'!$BM43,'2.LUC'!$BN43)</f>
        <v>0</v>
      </c>
      <c r="V15" s="2496">
        <f>IF($H15&lt;&gt;"Please select", VLOOKUP($H15, IPCC!$A$643:$B$677, 2, FALSE), 0)</f>
        <v>0</v>
      </c>
      <c r="W15" s="2497">
        <f>IF('2.LUC'!$BT43="",'2.LUC'!$BS43,'2.LUC'!$BT43)</f>
        <v>0</v>
      </c>
      <c r="X15" s="2496">
        <f>IF($H15&lt;&gt;"Please select",VLOOKUP($H15,IPCC!$A$643:$C$677,3,FALSE),0)</f>
        <v>0</v>
      </c>
      <c r="Y15" s="2497">
        <f>IF('2.LUC'!$BW43="",'2.LUC'!$BV43,'2.LUC'!$BW43)</f>
        <v>0</v>
      </c>
      <c r="Z15" s="2497">
        <f>'2.LUC'!BY43</f>
        <v>0</v>
      </c>
      <c r="AA15" s="2497">
        <f>IF('2.LUC'!$BZ43="",Z15,'2.LUC'!$BZ43)</f>
        <v>0</v>
      </c>
      <c r="AB15" s="2497">
        <f>IF(H15= "Please select", 0, INDEX(IPCC!$B$852:$X$863,MATCH(clim_moist,IPCC!$A$852:$A$863,0),MATCH("Forest land",IPCC!$B$852:$X$852,0)))</f>
        <v>0</v>
      </c>
      <c r="AC15" s="2497">
        <f>IF(OR('2.LUC'!CC43="", '2.LUC'!CC43=0), AB15, '2.LUC'!CC43)</f>
        <v>0</v>
      </c>
      <c r="AD15" s="2498">
        <f>IF('2.LUC'!BQ43&lt;&gt; "", '2.LUC'!BQ43*44/12, IF(H15="Please select",0,IF(INDEX(IPCC!$A$590:$AK$606,MATCH($I$7,IPCC!$A$590:$A$606,0),MATCH(H15,IPCC!$A$590:$AK$590,0))&lt;= 125, INDEX(IPCC!$A$590:$AK$606,MATCH($I$7,IPCC!$A$590:$A$606,0),MATCH(H15,IPCC!$A$590:$AK$590,0))+(INDEX(IPCC!$A$590:$AK$606,MATCH($I$7,IPCC!$A$590:$A$606,0),MATCH(H15,IPCC!$A$590:$AK$590,0))*INDEX(IPCC!$A$617:$BS$633,MATCH($I$7,IPCC!$A$617:$A$633,0),MATCH(H15,IPCC!$A$616:$BS$616,0))),INDEX(IPCC!$A$590:$AK$606,MATCH($I$7,IPCC!$A$590:$A$606,0), MATCH(H15,IPCC!$A$590:$AK$590,0))+(INDEX(IPCC!$A$590:$AK$606,MATCH($I$7,IPCC!$A$590:$A$606,0),MATCH(H15,IPCC!$A$590:$AK$590,0))*INDEX(IPCC!$AJ$616:$BS$633,MATCH(continent_selected,IPCC!$A$616:$A$633,0),MATCH(H15,IPCC!$AJ$616:$BS$616,0)))))*0.47*44/12)</f>
        <v>0</v>
      </c>
      <c r="AE15" s="2498" t="str">
        <f t="shared" si="0"/>
        <v>no</v>
      </c>
      <c r="AF15" s="2899"/>
      <c r="AG15" s="2899"/>
      <c r="AH15" s="2899" t="s">
        <v>275</v>
      </c>
      <c r="AI15" s="2910">
        <f t="shared" si="1"/>
        <v>0</v>
      </c>
      <c r="AJ15" s="2911">
        <f t="shared" si="2"/>
        <v>0</v>
      </c>
      <c r="AK15" s="2911">
        <f t="shared" si="3"/>
        <v>0</v>
      </c>
      <c r="AL15" s="2911">
        <f t="shared" si="4"/>
        <v>0</v>
      </c>
      <c r="AM15" s="2912">
        <f>-(44/12)*($T31*(IF(E44="Immediate",D44*MIN(20,time),D44*IF(time&gt;time+20,20,IF(time&lt;20,(time*VLOOKUP(E44, list!$J$48:$K$50, 2,))+(time-time),((MIN(20,time)*VLOOKUP(affo!E44, list!$J$48:$K$50, 2,)) + (time-MIN(20,time))-IF(affo!E44="Exponential",time-20+0.217*time*(EXP(4.606*(20-time)/time)-1),((time-20)^2)*(0.5/time)))))))+($U31*(IF(affo!E44="Immediate", affo!D44*(time-MIN(20,time)), affo!D44*IF(time&gt;time+20,(time*VLOOKUP(affo!E44, list!$J$48:$K$50,2,))+(time-time-20),IF(time&lt;20,0,IF(affo!E44="Exponential",time-20+0.217*time*(EXP(4.606*(20-time)/time)-1),((time-20)^2)*(0.5/time))))))))</f>
        <v>0</v>
      </c>
      <c r="AN15" s="2912">
        <f>-(44/12)*($T31*(IF(G44="Immediate", F44*MIN(20,time), F44*IF(time&gt;time+20,20,IF(time&lt;20,(time*VLOOKUP(G44, list!$J$48:$K$50, 2,))+(time-time),((MIN(20,time)*VLOOKUP(affo!G44, list!$J$48:$K$50, 2,))+ (time-MIN(20,time))-IF(affo!G44="Exponential",time-20+0.217*time*(EXP(4.606*(20-time)/time)-1),((time-20)^2)*(0.5/time)))))))+($U31*(IF(affo!G44="Immediate", affo!F44*(time-MIN(20,time)), affo!F44*IF(time&gt;time+20,(time*VLOOKUP(affo!G44, list!$J$48:$K$50,2,))+(time-time-20),IF(time&lt;20,0,IF(affo!G44="Exponential",time-20+0.217*time*(EXP(4.606*(20-time)/time)-1),((time-20)^2)*(0.5/time))))))))</f>
        <v>0</v>
      </c>
      <c r="AO15" s="2912">
        <f t="shared" si="5"/>
        <v>0</v>
      </c>
      <c r="AP15" s="2912">
        <f t="shared" si="6"/>
        <v>0</v>
      </c>
      <c r="AQ15" s="2913">
        <f t="shared" si="7"/>
        <v>0</v>
      </c>
      <c r="AR15" s="2912">
        <f t="shared" si="8"/>
        <v>0</v>
      </c>
      <c r="AS15" s="2912">
        <f>$N31*(IF(E44="Immediate", D44*MIN(20,time), D44*IF(time&gt;=time+20,20,IF(time&lt;=20,(time*VLOOKUP(E44, list!$J$48:$K$50, 2,))+(time-time),((MIN(20,time)*VLOOKUP(affo!E44,  list!$J$48:$K$50,2,))+(time-MIN(20,time))-IF(affo!E44="Exponential",time-20+0.217*time*(EXP(4.606*(20-time)/time)-1),((time-20)^2)*(0.5/time)))))))</f>
        <v>0</v>
      </c>
      <c r="AT15" s="2914">
        <f>$N31*(IF(G44="Immediate", F44*MIN(20,time), F44*IF(time&gt;time+20,20,IF(time&lt;20,(time*VLOOKUP( G44,  list!$J$48:$K$50, 2,))+(time-time),((MIN(20,time)*VLOOKUP(affo!G44,  list!$J$48:$K$50,2,))+(time-MIN(20,time))-IF(affo!G44="Exponential",time-20+0.217*time*(EXP(4.606*(20-time)/time)-1),((time-20)^2)*(0.5/time)))))))</f>
        <v>0</v>
      </c>
      <c r="AV15" s="1454">
        <f t="shared" si="9"/>
        <v>0</v>
      </c>
      <c r="AW15" s="1454">
        <f t="shared" si="10"/>
        <v>0</v>
      </c>
    </row>
    <row r="16" spans="1:55" ht="15" customHeight="1" x14ac:dyDescent="0.15">
      <c r="A16" s="1707"/>
      <c r="B16" s="1168"/>
      <c r="C16" s="973" t="s">
        <v>151</v>
      </c>
      <c r="D16" s="1707"/>
      <c r="E16" s="1707"/>
      <c r="G16" s="2499"/>
      <c r="H16" s="2500"/>
      <c r="J16" s="1663"/>
      <c r="K16" s="1663"/>
      <c r="L16" s="1663"/>
      <c r="M16" s="1663"/>
      <c r="N16" s="1663"/>
      <c r="O16" s="1663"/>
      <c r="P16" s="1663"/>
      <c r="Q16" s="1663"/>
      <c r="R16" s="1663"/>
      <c r="S16" s="1663"/>
      <c r="T16" s="1688"/>
      <c r="U16" s="1662"/>
      <c r="AV16" s="3486">
        <f>SUM(AV8:AV15)</f>
        <v>0</v>
      </c>
      <c r="AW16" s="3486">
        <f>SUM(AW8:AW15)</f>
        <v>0</v>
      </c>
    </row>
    <row r="17" spans="1:43" ht="15" customHeight="1" x14ac:dyDescent="0.15">
      <c r="A17" s="1747"/>
      <c r="B17" s="2501"/>
      <c r="C17" s="1747" t="s">
        <v>152</v>
      </c>
      <c r="D17" s="1747"/>
      <c r="E17" s="1747"/>
      <c r="G17" s="2502"/>
      <c r="H17" s="2500"/>
      <c r="J17" s="1663"/>
      <c r="K17" s="1663"/>
      <c r="L17" s="1663"/>
      <c r="M17" s="1663"/>
      <c r="N17" s="1663"/>
      <c r="O17" s="1663"/>
      <c r="P17" s="1663"/>
      <c r="Q17" s="1663"/>
      <c r="R17" s="1663"/>
      <c r="S17" s="1663"/>
      <c r="T17" s="1688"/>
      <c r="U17" s="1662"/>
    </row>
    <row r="18" spans="1:43" ht="15" customHeight="1" x14ac:dyDescent="0.15"/>
    <row r="20" spans="1:43" ht="21" x14ac:dyDescent="0.25">
      <c r="L20" s="2503" t="s">
        <v>276</v>
      </c>
      <c r="M20" s="2503" t="s">
        <v>277</v>
      </c>
      <c r="N20" s="2503" t="s">
        <v>277</v>
      </c>
      <c r="O20" s="2503" t="s">
        <v>278</v>
      </c>
      <c r="P20" s="2503" t="s">
        <v>279</v>
      </c>
      <c r="Q20" s="1478"/>
      <c r="R20" s="1462"/>
      <c r="S20" s="1462"/>
      <c r="T20" s="1482" t="s">
        <v>280</v>
      </c>
      <c r="U20" s="1482" t="s">
        <v>280</v>
      </c>
      <c r="V20" s="1482" t="s">
        <v>281</v>
      </c>
      <c r="W20" s="1482"/>
      <c r="X20" s="1482" t="s">
        <v>282</v>
      </c>
      <c r="Y20" s="1482" t="s">
        <v>282</v>
      </c>
      <c r="Z20" s="1482" t="s">
        <v>283</v>
      </c>
      <c r="AA20" s="1482"/>
      <c r="AB20" s="1482" t="s">
        <v>258</v>
      </c>
      <c r="AC20" s="1482" t="s">
        <v>258</v>
      </c>
      <c r="AD20" s="1482" t="s">
        <v>5190</v>
      </c>
      <c r="AE20" s="1482"/>
      <c r="AF20" s="1482"/>
      <c r="AG20" s="1482"/>
      <c r="AH20" s="1482"/>
      <c r="AL20" s="973">
        <f>AD8*12/44</f>
        <v>0</v>
      </c>
      <c r="AM20" s="973" t="e">
        <f>AL20/T24</f>
        <v>#DIV/0!</v>
      </c>
    </row>
    <row r="21" spans="1:43" x14ac:dyDescent="0.15">
      <c r="I21" s="1688"/>
      <c r="L21" s="1462"/>
      <c r="M21" s="2504"/>
      <c r="N21" s="2505"/>
      <c r="O21" s="2506" t="s">
        <v>284</v>
      </c>
      <c r="P21" s="1462" t="s">
        <v>285</v>
      </c>
      <c r="Q21" s="2507" t="s">
        <v>286</v>
      </c>
      <c r="R21" s="1462"/>
      <c r="S21" s="1462"/>
      <c r="T21" s="1482" t="s">
        <v>287</v>
      </c>
      <c r="U21" s="1482" t="s">
        <v>287</v>
      </c>
      <c r="V21" s="1482" t="s">
        <v>289</v>
      </c>
      <c r="W21" s="1482" t="s">
        <v>290</v>
      </c>
      <c r="X21" s="1482" t="s">
        <v>289</v>
      </c>
      <c r="Y21" s="1482" t="s">
        <v>290</v>
      </c>
      <c r="Z21" s="1482" t="s">
        <v>289</v>
      </c>
      <c r="AA21" s="1482" t="s">
        <v>290</v>
      </c>
      <c r="AB21" s="1482" t="s">
        <v>288</v>
      </c>
      <c r="AC21" s="1482" t="s">
        <v>288</v>
      </c>
      <c r="AD21" s="1482"/>
      <c r="AE21" s="1482"/>
      <c r="AF21" s="1482"/>
      <c r="AG21" s="1482"/>
      <c r="AH21" s="1482"/>
    </row>
    <row r="22" spans="1:43" ht="18" x14ac:dyDescent="0.2">
      <c r="B22" s="1482"/>
      <c r="C22" s="3497" t="s">
        <v>291</v>
      </c>
      <c r="D22" s="1482" t="s">
        <v>292</v>
      </c>
      <c r="E22" s="2503" t="s">
        <v>293</v>
      </c>
      <c r="F22" s="1482" t="s">
        <v>294</v>
      </c>
      <c r="G22" s="2508"/>
      <c r="H22" s="3498" t="s">
        <v>295</v>
      </c>
      <c r="I22" s="3498" t="s">
        <v>296</v>
      </c>
      <c r="J22" s="2503" t="s">
        <v>297</v>
      </c>
      <c r="K22" s="2503" t="s">
        <v>173</v>
      </c>
      <c r="L22" s="1482"/>
      <c r="M22" s="2509" t="s">
        <v>298</v>
      </c>
      <c r="N22" s="2503" t="s">
        <v>299</v>
      </c>
      <c r="O22" s="2506" t="s">
        <v>300</v>
      </c>
      <c r="P22" s="1462" t="s">
        <v>186</v>
      </c>
      <c r="Q22" s="2510" t="s">
        <v>176</v>
      </c>
      <c r="R22" s="2510" t="s">
        <v>177</v>
      </c>
      <c r="S22" s="2511" t="s">
        <v>301</v>
      </c>
      <c r="T22" s="2503" t="s">
        <v>88</v>
      </c>
      <c r="U22" s="1482" t="s">
        <v>89</v>
      </c>
      <c r="V22" s="1482" t="s">
        <v>90</v>
      </c>
      <c r="W22" s="1482" t="s">
        <v>90</v>
      </c>
      <c r="X22" s="1482" t="s">
        <v>302</v>
      </c>
      <c r="Y22" s="1482" t="s">
        <v>302</v>
      </c>
      <c r="Z22" s="1482" t="s">
        <v>90</v>
      </c>
      <c r="AA22" s="1482" t="s">
        <v>90</v>
      </c>
      <c r="AB22" s="1482"/>
      <c r="AC22" s="1482"/>
      <c r="AD22" s="1482"/>
      <c r="AE22" s="1482"/>
      <c r="AF22" s="1482"/>
      <c r="AG22" s="1482"/>
      <c r="AH22" s="1482"/>
    </row>
    <row r="23" spans="1:43" x14ac:dyDescent="0.15">
      <c r="B23" s="2512" t="s">
        <v>303</v>
      </c>
      <c r="C23" s="3497" t="s">
        <v>304</v>
      </c>
      <c r="D23" s="1482"/>
      <c r="E23" s="2503" t="s">
        <v>305</v>
      </c>
      <c r="F23" s="1482" t="s">
        <v>306</v>
      </c>
      <c r="G23" s="2513"/>
      <c r="H23" s="3497" t="s">
        <v>170</v>
      </c>
      <c r="I23" s="3498" t="s">
        <v>62</v>
      </c>
      <c r="J23" s="1462" t="s">
        <v>307</v>
      </c>
      <c r="K23" s="1462" t="s">
        <v>5189</v>
      </c>
      <c r="L23" s="1478" t="s">
        <v>62</v>
      </c>
      <c r="M23" s="2503" t="s">
        <v>62</v>
      </c>
      <c r="N23" s="3498" t="s">
        <v>191</v>
      </c>
      <c r="O23" s="1478" t="s">
        <v>308</v>
      </c>
      <c r="P23" s="1478" t="s">
        <v>309</v>
      </c>
      <c r="Q23" s="1478" t="s">
        <v>310</v>
      </c>
      <c r="R23" s="1478" t="s">
        <v>311</v>
      </c>
      <c r="S23" s="2514" t="s">
        <v>197</v>
      </c>
      <c r="T23" s="2514" t="s">
        <v>252</v>
      </c>
      <c r="U23" s="2514" t="s">
        <v>252</v>
      </c>
      <c r="V23" s="2515" t="s">
        <v>198</v>
      </c>
      <c r="W23" s="2515" t="s">
        <v>198</v>
      </c>
      <c r="X23" s="2447" t="s">
        <v>253</v>
      </c>
      <c r="Y23" s="2447" t="s">
        <v>253</v>
      </c>
      <c r="Z23" s="2515" t="s">
        <v>253</v>
      </c>
      <c r="AA23" s="2515" t="s">
        <v>253</v>
      </c>
      <c r="AB23" s="2515" t="s">
        <v>62</v>
      </c>
      <c r="AC23" s="2515" t="s">
        <v>253</v>
      </c>
      <c r="AD23" s="2515" t="s">
        <v>62</v>
      </c>
      <c r="AE23" s="2515" t="s">
        <v>253</v>
      </c>
      <c r="AF23" s="2515"/>
      <c r="AG23" s="2515"/>
      <c r="AH23" s="2515"/>
    </row>
    <row r="24" spans="1:43" x14ac:dyDescent="0.15">
      <c r="B24" s="2516" t="s">
        <v>268</v>
      </c>
      <c r="C24" s="1109" t="str">
        <f>'2.LUC'!$C36</f>
        <v>Please select</v>
      </c>
      <c r="D24" s="1109" t="str">
        <f>'2.LUC'!$I36</f>
        <v>Please select</v>
      </c>
      <c r="E24" s="1109" t="str">
        <f>'2.LUC'!$K36</f>
        <v>Please select</v>
      </c>
      <c r="F24" s="1688" t="str">
        <f>'2.LUC'!$G36</f>
        <v>NO</v>
      </c>
      <c r="G24" s="2513"/>
      <c r="H24" s="1109" t="str">
        <f>IF('2.LUC'!$K36 = "Please select", IF('2.LUC'!$I36&lt;&gt;"Agroforestry", '2.LUC'!$I36, "Agroforestry - default"), '2.LUC'!$K36)</f>
        <v>Please select</v>
      </c>
      <c r="I24" s="1144">
        <f>IF( '2.LUC'!$I36 &lt;&gt; "Please select", IF('2.LUC'!AT36=0, INDEX(IPCC!$D$1521:$Y$1680,MATCH(clim_moist_cont,IPCC!$C$1521:$C$1680,0),MATCH($H24,IPCC!$D$1520:$Y$1520,0)), '2.LUC'!AT36), 0)</f>
        <v>0</v>
      </c>
      <c r="J24" s="2155">
        <f>IF( '2.LUC'!$I36 &lt;&gt; "Please select", INDEX(IPCC!$B$1689:$W$1698,MATCH(clim_moist, IPCC!$A$1689:$A$1698,0),MATCH(affo!$H24, IPCC!$B$1687:$W$1687,0)),0)</f>
        <v>0</v>
      </c>
      <c r="K24" s="2155">
        <f>'2.LUC'!BA36</f>
        <v>0</v>
      </c>
      <c r="L24" s="2155">
        <f>IF('2.LUC'!AW36=0, IF(OR(K24=0, K24=""),$J24, K24)*'2.LUC'!AV36,'2.LUC'!AW36*IF(OR(K24=0, K24=""),$J24, K24))</f>
        <v>0</v>
      </c>
      <c r="M24" s="2155">
        <f>IF( '2.LUC'!$C36&lt;&gt; "Please select", AA8*AC8 - $L24, 0)</f>
        <v>0</v>
      </c>
      <c r="N24" s="1145">
        <f t="shared" ref="N24:N31" si="17">$M24*(-44/12)/20</f>
        <v>0</v>
      </c>
      <c r="O24" s="1145">
        <f t="shared" ref="O24:O31" si="18">$I24*(1/0.4)</f>
        <v>0</v>
      </c>
      <c r="P24" s="1154">
        <f>IF($H24 &lt;&gt; "Please select", VLOOKUP(H24, IPCC!$A$1473:$B$1495,2, FALSE), 0)</f>
        <v>0</v>
      </c>
      <c r="Q24" s="2155">
        <f>IF($H24&lt;&gt; "Please select", $O24*$P24*VLOOKUP($H24, IPCC!$A$1473:$E$1496, 4, FALSE), 0)</f>
        <v>0</v>
      </c>
      <c r="R24" s="2155">
        <f>IF($H24&lt;&gt; "Please select", $O24*$P24*VLOOKUP($H24, IPCC!$A$1473:$E$1496, 5, FALSE), 0)</f>
        <v>0</v>
      </c>
      <c r="S24" s="1145">
        <f t="shared" ref="S24:S31" si="19">($Q24*methane + $R24*Nitrous)/1000</f>
        <v>0</v>
      </c>
      <c r="T24" s="1145">
        <f>IF($C24&lt;&gt; "Please select", VLOOKUP($C24, $H$8:$U$15, 5, FALSE) + VLOOKUP($C24, $H$8:$U$15, 11, FALSE), 0)</f>
        <v>0</v>
      </c>
      <c r="U24" s="1145">
        <f>IF($C24&lt;&gt; "Please select", VLOOKUP($C24, $H$8:$U$15, 8, FALSE) + VLOOKUP($C24, $H$8:$U$15, 14, FALSE), 0)</f>
        <v>0</v>
      </c>
      <c r="V24" s="1195">
        <f>-(44/12)*($T24*(IF(E37="Immediate",D37*MIN(20,time_tot),D37*IF(time_tot&gt;time+20,20,IF(time_tot&lt;20,(time*VLOOKUP(E37, list!$J$48:$K$50, 2,))+(time_tot-time),((MIN(20,time)*VLOOKUP(affo!E37, list!$J$48:$K$50, 2,)) + (time_tot-MIN(20,time))-IF(affo!E37="Exponential",time_tot-20+0.217*time*(EXP(4.606*(20-time_tot)/time)-1),((time_tot-20)^2)*(0.5/time)))))))+($U24*(IF(affo!E37="Immediate", affo!D37*(time_tot-MIN(20,time_tot)), affo!D37*IF(time_tot&gt;time+20,(time*VLOOKUP(affo!E37, list!$J$48:$K$50,2,))+(time_tot-time-20),IF(time_tot&lt;20,0,IF(affo!E37="Exponential",time_tot-20+0.217*time*(EXP(4.606*(20-time_tot)/time)-1),((time_tot-20)^2)*(0.5/time))))))))</f>
        <v>0</v>
      </c>
      <c r="W24" s="1195">
        <f>-(44/12)*($T24*(IF(G37="Immediate", F37*MIN(20,time_tot), F37*IF(time_tot&gt;time+20,20,IF(time_tot&lt;20,(time*VLOOKUP(G37, list!$J$48:$K$50, 2,))+(time_tot-time),((MIN(20,time)*VLOOKUP(affo!G37, list!$J$48:$K$50, 2,))+ (time_tot-MIN(20,time))-IF(affo!G37="Exponential",time_tot-20+0.217*time*(EXP(4.606*(20-time_tot)/time)-1),((time_tot-20)^2)*(0.5/time)))))))+($U24*(IF(affo!G37="Immediate", affo!F37*(time_tot-MIN(20,time_tot)), affo!F37*IF(time_tot&gt;time+20,(time*VLOOKUP(affo!G37, list!$J$48:$K$50,2,))+(time_tot-time-20),IF(time_tot&lt;20,0,IF(affo!G37="Exponential",time_tot-20+0.217*time*(EXP(4.606*(20-time_tot)/time)-1),((time_tot-20)^2)*(0.5/time))))))))</f>
        <v>0</v>
      </c>
      <c r="X24" s="1195">
        <f>-(44/12)*(IF($C24&lt;&gt; "Please select", VLOOKUP($C24, $H$8:$U$15, 11, FALSE), 0)*(IF(E37="Immediate",D37*MIN(20,time_tot),D37*IF(time_tot&gt;time+20,20,IF(time_tot&lt;20,(time*VLOOKUP(E37, list!$J$48:$K$50, 2,))+(time_tot-time),((MIN(20,time)*VLOOKUP(affo!E37, list!$J$48:$K$50, 2,)) + (time_tot-MIN(20,time))-IF(affo!E37="Exponential",time_tot-20+0.217*time*(EXP(4.606*(20-time_tot)/time)-1),((time_tot-20)^2)*(0.5/time)))))))+(IF($C24&lt;&gt; "Please select", VLOOKUP($C24, $H$8:$U$15, 14, FALSE), 0)*(IF(affo!E37="Immediate", affo!D37*(time_tot-MIN(20,time_tot)), affo!D37*IF(time_tot&gt;time+20,(time*VLOOKUP(affo!E37, list!$J$48:$K$50,2,))+(time_tot-time-20),IF(time_tot&lt;20,0,IF(affo!E37="Exponential",time_tot-20+0.217*time*(EXP(4.606*(20-time_tot)/time)-1),((time_tot-20)^2)*(0.5/time))))))))</f>
        <v>0</v>
      </c>
      <c r="Y24" s="1195">
        <f>-(44/12)*(IF($C24&lt;&gt; "Please select", VLOOKUP($C24, $H$8:$U$15, 11, FALSE), 0)*(IF(G37="Immediate", F37*MIN(20,time_tot), F37*IF(time_tot&gt;time+20,20,IF(time_tot&lt;20,(time*VLOOKUP(G37, list!$J$48:$K$50, 2,))+(time_tot-time),((MIN(20,time)*VLOOKUP(affo!G37, list!$J$48:$K$50, 2,))+ (time_tot-MIN(20,time))-IF(affo!G37="Exponential",time_tot-20+0.217*time*(EXP(4.606*(20-time_tot)/time)-1),((time_tot-20)^2)*(0.5/time)))))))+(IF($C24&lt;&gt; "Please select", VLOOKUP($C24, $H$8:$U$15, 14, FALSE), 0)*(IF(affo!G37="Immediate", affo!F37*(time_tot-MIN(20,time_tot)), affo!F37*IF(time_tot&gt;time+20,(time*VLOOKUP(affo!G37, list!$J$48:$K$50,2,))+(time_tot-time-20),IF(time_tot&lt;20,0,IF(affo!G37="Exponential",time_tot-20+0.217*time*(EXP(4.606*(20-time_tot)/time)-1),((time_tot-20)^2)*(0.5/time))))))))</f>
        <v>0</v>
      </c>
      <c r="Z24" s="1195">
        <f>IF(V24&lt;-AD8*D37,(-V24-AD8*D37)-(-X24-((INDEX(IPCC!$A$590:$AK$606,MATCH($I$7,IPCC!$A$590:$A$606,0),MATCH(H8,IPCC!$A$590:$AK$590,0))*INDEX(IPCC!$A$617:$BS$633,MATCH($I$7,IPCC!$A$617:$A$633,0),MATCH(H8,IPCC!$A$616:$BS$616,0))))*0.47*44/12*D37),0)</f>
        <v>0</v>
      </c>
      <c r="AA24" s="1195">
        <f>IF(W24&lt;-AD8*F37,(-W24-AD8*F37)-(-Y24-((INDEX(IPCC!$A$590:$AK$606,MATCH($I$7,IPCC!$A$590:$A$606,0),MATCH(H8,IPCC!$A$590:$AK$590,0))*INDEX(IPCC!$A$617:$BS$633,MATCH($I$7,IPCC!$A$617:$A$633,0),MATCH(H8,IPCC!$A$616:$BS$616,0))))*0.47*44/12*F37),0)</f>
        <v>0</v>
      </c>
      <c r="AB24" s="2155">
        <f>IF($C24&lt;&gt; "Please select", VLOOKUP($C24, $H$8:$Y$15, 16, FALSE) + VLOOKUP($C24, $H$8:$Y$15, 18, FALSE),0)</f>
        <v>0</v>
      </c>
      <c r="AC24" s="1195">
        <f t="shared" ref="AC24:AC31" si="20">$AB24*(44/12)</f>
        <v>0</v>
      </c>
      <c r="AD24" s="1195">
        <f>AB24/20</f>
        <v>0</v>
      </c>
      <c r="AE24" s="1195">
        <f>AD24*44/12</f>
        <v>0</v>
      </c>
      <c r="AF24" s="1162"/>
      <c r="AG24" s="1162"/>
      <c r="AH24" s="1162"/>
      <c r="AN24" s="2541" t="s">
        <v>312</v>
      </c>
      <c r="AO24" s="2541"/>
      <c r="AP24" s="2541"/>
    </row>
    <row r="25" spans="1:43" x14ac:dyDescent="0.15">
      <c r="B25" s="2516" t="s">
        <v>269</v>
      </c>
      <c r="C25" s="1109" t="str">
        <f>'2.LUC'!$C37</f>
        <v>Please select</v>
      </c>
      <c r="D25" s="1109" t="str">
        <f>'2.LUC'!$I37</f>
        <v>Please select</v>
      </c>
      <c r="E25" s="1109" t="str">
        <f>'2.LUC'!$K37</f>
        <v>Please select</v>
      </c>
      <c r="F25" s="1688" t="str">
        <f>'2.LUC'!$G37</f>
        <v>NO</v>
      </c>
      <c r="G25" s="2513"/>
      <c r="H25" s="1109" t="str">
        <f>IF('2.LUC'!$K37 = "Please select", IF('2.LUC'!$I37&lt;&gt;"Agroforestry", '2.LUC'!$I37, "Agroforestry - default"), '2.LUC'!$K37)</f>
        <v>Please select</v>
      </c>
      <c r="I25" s="1144">
        <f>IF( '2.LUC'!$I37 &lt;&gt; "Please select", IF('2.LUC'!AT37=0, INDEX(IPCC!$D$1521:$Y$1680,MATCH(clim_moist_cont,IPCC!$C$1521:$C$1680,0),MATCH($H25,IPCC!$D$1520:$Y$1520,0)), '2.LUC'!AT37), 0)</f>
        <v>0</v>
      </c>
      <c r="J25" s="2519">
        <f>IF( '2.LUC'!$I37 &lt;&gt; "Please select", INDEX(IPCC!$B$1689:$W$1698,MATCH(clim_moist, IPCC!$A$1689:$A$1698,0),MATCH(affo!$H25, IPCC!$B$1687:$W$1687,0)),0)</f>
        <v>0</v>
      </c>
      <c r="K25" s="2155">
        <f>IF(OR('2.LUC'!BA37="", '2.LUC'!BA37=0),J25, '2.LUC'!BA37)</f>
        <v>0</v>
      </c>
      <c r="L25" s="2155">
        <f>IF('2.LUC'!AW37=0, IF(OR(K25=0, K25=""),$J25, K25)*'2.LUC'!AV37,'2.LUC'!AW37*IF(OR(K25=0, K25=""),$J25, K25))</f>
        <v>0</v>
      </c>
      <c r="M25" s="2155">
        <f>IF( '2.LUC'!$C37&lt;&gt; "Please select", AA9*AC9 - $L25, 0)</f>
        <v>0</v>
      </c>
      <c r="N25" s="1147">
        <f t="shared" si="17"/>
        <v>0</v>
      </c>
      <c r="O25" s="1147">
        <f t="shared" si="18"/>
        <v>0</v>
      </c>
      <c r="P25" s="1157">
        <f>IF($H25 &lt;&gt; "Please select", VLOOKUP(H25, IPCC!$A$1473:$B$1495,2, FALSE), 0)</f>
        <v>0</v>
      </c>
      <c r="Q25" s="2519">
        <f>IF($H25&lt;&gt; "Please select", $O25*$P25*VLOOKUP($H25, IPCC!$A$1473:$E$1496, 4, FALSE), 0)</f>
        <v>0</v>
      </c>
      <c r="R25" s="2519">
        <f>IF($H25&lt;&gt; "Please select", $O25*$P25*VLOOKUP($H25, IPCC!$A$1473:$E$1496, 5, FALSE), 0)</f>
        <v>0</v>
      </c>
      <c r="S25" s="1147">
        <f t="shared" si="19"/>
        <v>0</v>
      </c>
      <c r="T25" s="1145">
        <f>IF($C25&lt;&gt; "Please select", VLOOKUP($C25, $H$9:$U$15, 5, FALSE) + VLOOKUP($C25, $H$9:$U$15, 11, FALSE), 0)</f>
        <v>0</v>
      </c>
      <c r="U25" s="1145">
        <f>IF($C25&lt;&gt; "Please select", VLOOKUP($C25, $H$9:$U$15, 8, FALSE) + VLOOKUP($C25, $H$9:$U$15, 14, FALSE), 0)</f>
        <v>0</v>
      </c>
      <c r="V25" s="1195">
        <f>-(44/12)*($T25*(IF(E38="Immediate",D38*MIN(20,time_tot),D38*IF(time_tot&gt;time+20,20,IF(time_tot&lt;20,(time*VLOOKUP(E38, list!$J$48:$K$50, 2,))+(time_tot-time),((MIN(20,time)*VLOOKUP(affo!E38, list!$J$48:$K$50, 2,)) + (time_tot-MIN(20,time))-IF(affo!E38="Exponential",time_tot-20+0.217*time*(EXP(4.606*(20-time_tot)/time)-1),((time_tot-20)^2)*(0.5/time)))))))+($U25*(IF(affo!E38="Immediate", affo!D38*(time_tot-MIN(20,time_tot)), affo!D38*IF(time_tot&gt;time+20,(time*VLOOKUP(affo!E38, list!$J$48:$K$50,2,))+(time_tot-time-20),IF(time_tot&lt;20,0,IF(affo!E38="Exponential",time_tot-20+0.217*time*(EXP(4.606*(20-time_tot)/time)-1),((time_tot-20)^2)*(0.5/time))))))))</f>
        <v>0</v>
      </c>
      <c r="W25" s="1195">
        <f>-(44/12)*($T25*(IF(G38="Immediate", F38*MIN(20,time_tot), F38*IF(time_tot&gt;time+20,20,IF(time_tot&lt;20,(time*VLOOKUP(G38, list!$J$48:$K$50, 2,))+(time_tot-time),((MIN(20,time)*VLOOKUP(affo!G38, list!$J$48:$K$50, 2,))+ (time_tot-MIN(20,time))-IF(affo!G38="Exponential",time_tot-20+0.217*time*(EXP(4.606*(20-time_tot)/time)-1),((time_tot-20)^2)*(0.5/time)))))))+($U25*(IF(affo!G38="Immediate", affo!F38*(time_tot-MIN(20,time_tot)), affo!F38*IF(time_tot&gt;time+20,(time*VLOOKUP(affo!G38, list!$J$48:$K$50,2,))+(time_tot-time-20),IF(time_tot&lt;20,0,IF(affo!G38="Exponential",time_tot-20+0.217*time*(EXP(4.606*(20-time_tot)/time)-1),((time_tot-20)^2)*(0.5/time))))))))</f>
        <v>0</v>
      </c>
      <c r="X25" s="1195">
        <f>-(44/12)*(IF($C25&lt;&gt; "Please select", VLOOKUP($C25, $H$8:$U$15, 11, FALSE), 0)*(IF(E38="Immediate",D38*MIN(20,time_tot),D38*IF(time_tot&gt;time+20,20,IF(time_tot&lt;20,(time*VLOOKUP(E38, list!$J$48:$K$50, 2,))+(time_tot-time),((MIN(20,time)*VLOOKUP(affo!E38, list!$J$48:$K$50, 2,)) + (time_tot-MIN(20,time))-IF(affo!E38="Exponential",time_tot-20+0.217*time*(EXP(4.606*(20-time_tot)/time)-1),((time_tot-20)^2)*(0.5/time)))))))+(IF($C25&lt;&gt; "Please select", VLOOKUP($C25, $H$8:$U$15, 14, FALSE), 0)*(IF(affo!E38="Immediate", affo!D38*(time_tot-MIN(20,time_tot)), affo!D38*IF(time_tot&gt;time+20,(time*VLOOKUP(affo!E38, list!$J$48:$K$50,2,))+(time_tot-time-20),IF(time_tot&lt;20,0,IF(affo!E38="Exponential",time_tot-20+0.217*time*(EXP(4.606*(20-time_tot)/time)-1),((time_tot-20)^2)*(0.5/time))))))))</f>
        <v>0</v>
      </c>
      <c r="Y25" s="1195">
        <f>-(44/12)*(IF($C25&lt;&gt; "Please select", VLOOKUP($C25, $H$8:$U$15, 11, FALSE), 0)*(IF(G38="Immediate", F38*MIN(20,time_tot), F38*IF(time_tot&gt;time+20,20,IF(time_tot&lt;20,(time*VLOOKUP(G38, list!$J$48:$K$50, 2,))+(time_tot-time),((MIN(20,time)*VLOOKUP(affo!G38, list!$J$48:$K$50, 2,))+ (time_tot-MIN(20,time))-IF(affo!G38="Exponential",time_tot-20+0.217*time*(EXP(4.606*(20-time_tot)/time)-1),((time_tot-20)^2)*(0.5/time)))))))+(IF($C25&lt;&gt; "Please select", VLOOKUP($C25, $H$8:$U$15, 14, FALSE), 0)*(IF(affo!G38="Immediate", affo!F38*(time_tot-MIN(20,time_tot)), affo!F38*IF(time_tot&gt;time+20,(time*VLOOKUP(affo!G38, list!$J$48:$K$50,2,))+(time_tot-time-20),IF(time_tot&lt;20,0,IF(affo!G38="Exponential",time_tot-20+0.217*time*(EXP(4.606*(20-time_tot)/time)-1),((time_tot-20)^2)*(0.5/time))))))))</f>
        <v>0</v>
      </c>
      <c r="Z25" s="1195">
        <f>IF(V25&lt;-AD9*D38,(-V25-AD9*D38)-(-X25-((INDEX(IPCC!$A$590:$AK$606,MATCH($I$7,IPCC!$A$590:$A$606,0),MATCH(H9,IPCC!$A$590:$AK$590,0))*INDEX(IPCC!$A$617:$BS$633,MATCH($I$7,IPCC!$A$617:$A$633,0),MATCH(H9,IPCC!$A$616:$BS$616,0))))*0.47*44/12*D38),0)</f>
        <v>0</v>
      </c>
      <c r="AA25" s="1195">
        <f>IF(W25&lt;-AD9*F38,(-W25-AD9*F38)-(-Y25-((INDEX(IPCC!$A$590:$AK$606,MATCH($I$7,IPCC!$A$590:$A$606,0),MATCH(H9,IPCC!$A$590:$AK$590,0))*INDEX(IPCC!$A$617:$BS$633,MATCH($I$7,IPCC!$A$617:$A$633,0),MATCH(H9,IPCC!$A$616:$BS$616,0))))*0.47*44/12*F38),0)</f>
        <v>0</v>
      </c>
      <c r="AB25" s="2155">
        <f>IF($C25&lt;&gt; "Please select", VLOOKUP($C25, $H$9:$Y$15, 16, FALSE) + VLOOKUP($C25, $H$9:$Y$15, 18, FALSE),0)</f>
        <v>0</v>
      </c>
      <c r="AC25" s="1195">
        <f t="shared" si="20"/>
        <v>0</v>
      </c>
      <c r="AD25" s="1195">
        <f t="shared" ref="AD25:AD31" si="21">AB25/20</f>
        <v>0</v>
      </c>
      <c r="AE25" s="1195">
        <f t="shared" ref="AE25:AE31" si="22">AD25*44/12</f>
        <v>0</v>
      </c>
      <c r="AF25" s="1162"/>
      <c r="AG25" s="1162"/>
      <c r="AH25" s="1162"/>
      <c r="AN25" s="2517" t="s">
        <v>228</v>
      </c>
      <c r="AO25" s="2518" t="s">
        <v>179</v>
      </c>
      <c r="AP25" s="2518" t="s">
        <v>180</v>
      </c>
    </row>
    <row r="26" spans="1:43" x14ac:dyDescent="0.15">
      <c r="B26" s="2516" t="s">
        <v>270</v>
      </c>
      <c r="C26" s="1109" t="str">
        <f>'2.LUC'!$C38</f>
        <v>Please select</v>
      </c>
      <c r="D26" s="1109" t="str">
        <f>'2.LUC'!$I38</f>
        <v>Please select</v>
      </c>
      <c r="E26" s="1109" t="str">
        <f>'2.LUC'!$K38</f>
        <v>Please select</v>
      </c>
      <c r="F26" s="1688" t="str">
        <f>'2.LUC'!$G38</f>
        <v>NO</v>
      </c>
      <c r="G26" s="2513"/>
      <c r="H26" s="1109" t="str">
        <f>IF('2.LUC'!$K38 = "Please select", IF('2.LUC'!$I38&lt;&gt;"Agroforestry", '2.LUC'!$I38, "Agroforestry - default"), '2.LUC'!$K38)</f>
        <v>Please select</v>
      </c>
      <c r="I26" s="1144">
        <f>IF( '2.LUC'!$I38 &lt;&gt; "Please select", IF('2.LUC'!AT38=0, INDEX(IPCC!$D$1521:$Y$1680,MATCH(clim_moist_cont,IPCC!$C$1521:$C$1680,0),MATCH($H26,IPCC!$D$1520:$Y$1520,0)), '2.LUC'!AT38), 0)</f>
        <v>0</v>
      </c>
      <c r="J26" s="2519">
        <f>IF( '2.LUC'!$I38 &lt;&gt; "Please select", INDEX(IPCC!$B$1689:$W$1698,MATCH(clim_moist, IPCC!$A$1689:$A$1698,0),MATCH(affo!$H26, IPCC!$B$1687:$W$1687,0)),0)</f>
        <v>0</v>
      </c>
      <c r="K26" s="2155">
        <f>IF(OR('2.LUC'!BA38="", '2.LUC'!BA38=0),J26, '2.LUC'!BA38)</f>
        <v>0</v>
      </c>
      <c r="L26" s="2155">
        <f>IF('2.LUC'!AW38=0, IF(OR(K26=0, K26=""),$J26, K26)*'2.LUC'!AV38,'2.LUC'!AW38*IF(OR(K26=0, K26=""),$J26, K26))</f>
        <v>0</v>
      </c>
      <c r="M26" s="2155">
        <f>IF( '2.LUC'!$C38&lt;&gt; "Please select", AA10*AC10 - $L26, 0)</f>
        <v>0</v>
      </c>
      <c r="N26" s="1147">
        <f t="shared" si="17"/>
        <v>0</v>
      </c>
      <c r="O26" s="1147">
        <f t="shared" si="18"/>
        <v>0</v>
      </c>
      <c r="P26" s="1157">
        <f>IF($H26 &lt;&gt; "Please select", VLOOKUP(H26, IPCC!$A$1473:$B$1495,2, FALSE), 0)</f>
        <v>0</v>
      </c>
      <c r="Q26" s="2519">
        <f>IF($H26&lt;&gt; "Please select", $O26*$P26*VLOOKUP($H26, IPCC!$A$1473:$E$1496, 4, FALSE), 0)</f>
        <v>0</v>
      </c>
      <c r="R26" s="2519">
        <f>IF($H26&lt;&gt; "Please select", $O26*$P26*VLOOKUP($H26, IPCC!$A$1473:$E$1496, 5, FALSE), 0)</f>
        <v>0</v>
      </c>
      <c r="S26" s="1147">
        <f t="shared" si="19"/>
        <v>0</v>
      </c>
      <c r="T26" s="1145">
        <f>IF($C26&lt;&gt; "Please select", VLOOKUP($C26, $H$10:$U$15, 5, FALSE) + VLOOKUP($C26, $H$10:$U$15, 11, FALSE), 0)</f>
        <v>0</v>
      </c>
      <c r="U26" s="1145">
        <f>IF($C26&lt;&gt; "Please select", VLOOKUP($C26, $H$10:$U$15, 8, FALSE) + VLOOKUP($C26, $H$10:$U$15, 14, FALSE), 0)</f>
        <v>0</v>
      </c>
      <c r="V26" s="1195">
        <f>-(44/12)*($T26*(IF(E39="Immediate",D39*MIN(20,time_tot),D39*IF(time_tot&gt;time+20,20,IF(time_tot&lt;20,(time*VLOOKUP(E39, list!$J$48:$K$50, 2,))+(time_tot-time),((MIN(20,time)*VLOOKUP(affo!E39, list!$J$48:$K$50, 2,)) + (time_tot-MIN(20,time))-IF(affo!E39="Exponential",time_tot-20+0.217*time*(EXP(4.606*(20-time_tot)/time)-1),((time_tot-20)^2)*(0.5/time)))))))+($U26*(IF(affo!E39="Immediate", affo!D39*(time_tot-MIN(20,time_tot)), affo!D39*IF(time_tot&gt;time+20,(time*VLOOKUP(affo!E39, list!$J$48:$K$50,2,))+(time_tot-time-20),IF(time_tot&lt;20,0,IF(affo!E39="Exponential",time_tot-20+0.217*time*(EXP(4.606*(20-time_tot)/time)-1),((time_tot-20)^2)*(0.5/time))))))))</f>
        <v>0</v>
      </c>
      <c r="W26" s="1195">
        <f>-(44/12)*($T26*(IF(G39="Immediate", F39*MIN(20,time_tot), F39*IF(time_tot&gt;time+20,20,IF(time_tot&lt;20,(time*VLOOKUP(G39, list!$J$48:$K$50, 2,))+(time_tot-time),((MIN(20,time)*VLOOKUP(affo!G39, list!$J$48:$K$50, 2,))+ (time_tot-MIN(20,time))-IF(affo!G39="Exponential",time_tot-20+0.217*time*(EXP(4.606*(20-time_tot)/time)-1),((time_tot-20)^2)*(0.5/time)))))))+($U26*(IF(affo!G39="Immediate", affo!F39*(time_tot-MIN(20,time_tot)), affo!F39*IF(time_tot&gt;time+20,(time*VLOOKUP(affo!G39, list!$J$48:$K$50,2,))+(time_tot-time-20),IF(time_tot&lt;20,0,IF(affo!G39="Exponential",time_tot-20+0.217*time*(EXP(4.606*(20-time_tot)/time)-1),((time_tot-20)^2)*(0.5/time))))))))</f>
        <v>0</v>
      </c>
      <c r="X26" s="1195">
        <f>-(44/12)*(IF($C26&lt;&gt; "Please select", VLOOKUP($C26, $H$8:$U$15, 11, FALSE), 0)*(IF(E39="Immediate",D39*MIN(20,time_tot),D39*IF(time_tot&gt;time+20,20,IF(time_tot&lt;20,(time*VLOOKUP(E39, list!$J$48:$K$50, 2,))+(time_tot-time),((MIN(20,time)*VLOOKUP(affo!E39, list!$J$48:$K$50, 2,)) + (time_tot-MIN(20,time))-IF(affo!E39="Exponential",time_tot-20+0.217*time*(EXP(4.606*(20-time_tot)/time)-1),((time_tot-20)^2)*(0.5/time)))))))+(IF($C26&lt;&gt; "Please select", VLOOKUP($C26, $H$8:$U$15, 14, FALSE), 0)*(IF(affo!E39="Immediate", affo!D39*(time_tot-MIN(20,time_tot)), affo!D39*IF(time_tot&gt;time+20,(time*VLOOKUP(affo!E39, list!$J$48:$K$50,2,))+(time_tot-time-20),IF(time_tot&lt;20,0,IF(affo!E39="Exponential",time_tot-20+0.217*time*(EXP(4.606*(20-time_tot)/time)-1),((time_tot-20)^2)*(0.5/time))))))))</f>
        <v>0</v>
      </c>
      <c r="Y26" s="1195">
        <f>-(44/12)*(IF($C26&lt;&gt; "Please select", VLOOKUP($C26, $H$8:$U$15, 11, FALSE), 0)*(IF(G39="Immediate", F39*MIN(20,time_tot), F39*IF(time_tot&gt;time+20,20,IF(time_tot&lt;20,(time*VLOOKUP(G39, list!$J$48:$K$50, 2,))+(time_tot-time),((MIN(20,time)*VLOOKUP(affo!G39, list!$J$48:$K$50, 2,))+ (time_tot-MIN(20,time))-IF(affo!G39="Exponential",time_tot-20+0.217*time*(EXP(4.606*(20-time_tot)/time)-1),((time_tot-20)^2)*(0.5/time)))))))+(IF($C26&lt;&gt; "Please select", VLOOKUP($C26, $H$8:$U$15, 14, FALSE), 0)*(IF(affo!G39="Immediate", affo!F39*(time_tot-MIN(20,time_tot)), affo!F39*IF(time_tot&gt;time+20,(time*VLOOKUP(affo!G39, list!$J$48:$K$50,2,))+(time_tot-time-20),IF(time_tot&lt;20,0,IF(affo!G39="Exponential",time_tot-20+0.217*time*(EXP(4.606*(20-time_tot)/time)-1),((time_tot-20)^2)*(0.5/time))))))))</f>
        <v>0</v>
      </c>
      <c r="Z26" s="1195">
        <f>IF(V26&lt;-AD10*D39,(-V26-AD10*D39)-(-X26-((INDEX(IPCC!$A$590:$AK$606,MATCH($I$7,IPCC!$A$590:$A$606,0),MATCH(H10,IPCC!$A$590:$AK$590,0))*INDEX(IPCC!$A$617:$BS$633,MATCH($I$7,IPCC!$A$617:$A$633,0),MATCH(H10,IPCC!$A$616:$BS$616,0))))*0.47*44/12*D39),0)</f>
        <v>0</v>
      </c>
      <c r="AA26" s="1195">
        <f>IF(W26&lt;-AD10*F39,(-W26-AD10*F39)-(-Y26-((INDEX(IPCC!$A$590:$AK$606,MATCH($I$7,IPCC!$A$590:$A$606,0),MATCH(H10,IPCC!$A$590:$AK$590,0))*INDEX(IPCC!$A$617:$BS$633,MATCH($I$7,IPCC!$A$617:$A$633,0),MATCH(H10,IPCC!$A$616:$BS$616,0))))*0.47*44/12*F39),0)</f>
        <v>0</v>
      </c>
      <c r="AB26" s="2155">
        <f>IF($C26&lt;&gt; "Please select", VLOOKUP($C26, $H$10:$Y$15, 16, FALSE) + VLOOKUP($C26, $H$10:$Y$15, 18, FALSE),0)</f>
        <v>0</v>
      </c>
      <c r="AC26" s="1195">
        <f t="shared" si="20"/>
        <v>0</v>
      </c>
      <c r="AD26" s="1195">
        <f t="shared" si="21"/>
        <v>0</v>
      </c>
      <c r="AE26" s="1195">
        <f t="shared" si="22"/>
        <v>0</v>
      </c>
      <c r="AF26" s="1162"/>
      <c r="AG26" s="1162"/>
      <c r="AH26" s="1162"/>
      <c r="AN26" s="3499" t="s">
        <v>313</v>
      </c>
      <c r="AO26" s="2520">
        <f>SUM(L37:L44)+SUM(H37:H44)</f>
        <v>0</v>
      </c>
      <c r="AP26" s="2521">
        <f>SUM(I37:I44)+SUM(M37:M44)</f>
        <v>0</v>
      </c>
    </row>
    <row r="27" spans="1:43" x14ac:dyDescent="0.15">
      <c r="B27" s="2516" t="s">
        <v>271</v>
      </c>
      <c r="C27" s="1109" t="str">
        <f>'2.LUC'!$C39</f>
        <v>Please select</v>
      </c>
      <c r="D27" s="1109" t="str">
        <f>'2.LUC'!$I39</f>
        <v>Please select</v>
      </c>
      <c r="E27" s="1109" t="str">
        <f>'2.LUC'!$K39</f>
        <v>Please select</v>
      </c>
      <c r="F27" s="1688" t="str">
        <f>'2.LUC'!$G39</f>
        <v>NO</v>
      </c>
      <c r="G27" s="2513"/>
      <c r="H27" s="1109" t="str">
        <f>IF('2.LUC'!$K39 = "Please select", IF('2.LUC'!$I39&lt;&gt;"Agroforestry", '2.LUC'!$I39, "Agroforestry - default"), '2.LUC'!$K39)</f>
        <v>Please select</v>
      </c>
      <c r="I27" s="1144">
        <f>IF( '2.LUC'!$I39 &lt;&gt; "Please select", IF('2.LUC'!AT39=0, INDEX(IPCC!$D$1521:$Y$1680,MATCH(clim_moist_cont,IPCC!$C$1521:$C$1680,0),MATCH($H27,IPCC!$D$1520:$Y$1520,0)), '2.LUC'!AT39), 0)</f>
        <v>0</v>
      </c>
      <c r="J27" s="2519">
        <f>IF( '2.LUC'!$I39 &lt;&gt; "Please select", INDEX(IPCC!$B$1689:$W$1698,MATCH(clim_moist, IPCC!$A$1689:$A$1698,0),MATCH(affo!$H27, IPCC!$B$1687:$W$1687,0)),0)</f>
        <v>0</v>
      </c>
      <c r="K27" s="2155">
        <f>IF(OR('2.LUC'!BA39="", '2.LUC'!BA39=0),J27, '2.LUC'!BA39)</f>
        <v>0</v>
      </c>
      <c r="L27" s="2155">
        <f>IF('2.LUC'!AW39=0, IF(OR(K27=0, K27=""),$J27, K27)*'2.LUC'!AV39,'2.LUC'!AW39*IF(OR(K27=0, K27=""),$J27, K27))</f>
        <v>0</v>
      </c>
      <c r="M27" s="2155">
        <f>IF( '2.LUC'!$C39&lt;&gt; "Please select", AA11*AC11 - $L27, 0)</f>
        <v>0</v>
      </c>
      <c r="N27" s="1147">
        <f t="shared" si="17"/>
        <v>0</v>
      </c>
      <c r="O27" s="1147">
        <f t="shared" si="18"/>
        <v>0</v>
      </c>
      <c r="P27" s="1157">
        <f>IF($H27 &lt;&gt; "Please select", VLOOKUP(H27, IPCC!$A$1473:$B$1495,2, FALSE), 0)</f>
        <v>0</v>
      </c>
      <c r="Q27" s="2519">
        <f>IF($H27&lt;&gt; "Please select", $O27*$P27*VLOOKUP($H27, IPCC!$A$1473:$E$1496, 4, FALSE), 0)</f>
        <v>0</v>
      </c>
      <c r="R27" s="2519">
        <f>IF($H27&lt;&gt; "Please select", $O27*$P27*VLOOKUP($H27, IPCC!$A$1473:$E$1496, 5, FALSE), 0)</f>
        <v>0</v>
      </c>
      <c r="S27" s="1147">
        <f t="shared" si="19"/>
        <v>0</v>
      </c>
      <c r="T27" s="1145">
        <f>IF($C27&lt;&gt; "Please select", VLOOKUP($C27, $H$11:$U$15, 5, FALSE) + VLOOKUP($C27, $H$11:$U$15, 11, FALSE), 0)</f>
        <v>0</v>
      </c>
      <c r="U27" s="1145">
        <f>IF($C27&lt;&gt; "Please select", VLOOKUP($C27, $H$11:$U$15, 8, FALSE) + VLOOKUP($C27, $H$11:$U$15, 14, FALSE), 0)</f>
        <v>0</v>
      </c>
      <c r="V27" s="1195">
        <f>-(44/12)*($T27*(IF(E40="Immediate",D40*MIN(20,time_tot),D40*IF(time_tot&gt;time+20,20,IF(time_tot&lt;20,(time*VLOOKUP(E40, list!$J$48:$K$50, 2,))+(time_tot-time),((MIN(20,time)*VLOOKUP(affo!E40, list!$J$48:$K$50, 2,)) + (time_tot-MIN(20,time))-IF(affo!E40="Exponential",time_tot-20+0.217*time*(EXP(4.606*(20-time_tot)/time)-1),((time_tot-20)^2)*(0.5/time)))))))+($U27*(IF(affo!E40="Immediate", affo!D40*(time_tot-MIN(20,time_tot)), affo!D40*IF(time_tot&gt;time+20,(time*VLOOKUP(affo!E40, list!$J$48:$K$50,2,))+(time_tot-time-20),IF(time_tot&lt;20,0,IF(affo!E40="Exponential",time_tot-20+0.217*time*(EXP(4.606*(20-time_tot)/time)-1),((time_tot-20)^2)*(0.5/time))))))))</f>
        <v>0</v>
      </c>
      <c r="W27" s="1195">
        <f>-(44/12)*($T27*(IF(G40="Immediate", F40*MIN(20,time_tot), F40*IF(time_tot&gt;time+20,20,IF(time_tot&lt;20,(time*VLOOKUP(G40, list!$J$48:$K$50, 2,))+(time_tot-time),((MIN(20,time)*VLOOKUP(affo!G40, list!$J$48:$K$50, 2,))+ (time_tot-MIN(20,time))-IF(affo!G40="Exponential",time_tot-20+0.217*time*(EXP(4.606*(20-time_tot)/time)-1),((time_tot-20)^2)*(0.5/time)))))))+($U27*(IF(affo!G40="Immediate", affo!F40*(time_tot-MIN(20,time_tot)), affo!F40*IF(time_tot&gt;time+20,(time*VLOOKUP(affo!G40, list!$J$48:$K$50,2,))+(time_tot-time-20),IF(time_tot&lt;20,0,IF(affo!G40="Exponential",time_tot-20+0.217*time*(EXP(4.606*(20-time_tot)/time)-1),((time_tot-20)^2)*(0.5/time))))))))</f>
        <v>0</v>
      </c>
      <c r="X27" s="1195">
        <f>-(44/12)*(IF($C27&lt;&gt; "Please select", VLOOKUP($C27, $H$8:$U$15, 11, FALSE), 0)*(IF(E40="Immediate",D40*MIN(20,time_tot),D40*IF(time_tot&gt;time+20,20,IF(time_tot&lt;20,(time*VLOOKUP(E40, list!$J$48:$K$50, 2,))+(time_tot-time),((MIN(20,time)*VLOOKUP(affo!E40, list!$J$48:$K$50, 2,)) + (time_tot-MIN(20,time))-IF(affo!E40="Exponential",time_tot-20+0.217*time*(EXP(4.606*(20-time_tot)/time)-1),((time_tot-20)^2)*(0.5/time)))))))+(IF($C27&lt;&gt; "Please select", VLOOKUP($C27, $H$8:$U$15, 14, FALSE), 0)*(IF(affo!E40="Immediate", affo!D40*(time_tot-MIN(20,time_tot)), affo!D40*IF(time_tot&gt;time+20,(time*VLOOKUP(affo!E40, list!$J$48:$K$50,2,))+(time_tot-time-20),IF(time_tot&lt;20,0,IF(affo!E40="Exponential",time_tot-20+0.217*time*(EXP(4.606*(20-time_tot)/time)-1),((time_tot-20)^2)*(0.5/time))))))))</f>
        <v>0</v>
      </c>
      <c r="Y27" s="1195">
        <f>-(44/12)*(IF($C27&lt;&gt; "Please select", VLOOKUP($C27, $H$8:$U$15, 11, FALSE), 0)*(IF(G40="Immediate", F40*MIN(20,time_tot), F40*IF(time_tot&gt;time+20,20,IF(time_tot&lt;20,(time*VLOOKUP(G40, list!$J$48:$K$50, 2,))+(time_tot-time),((MIN(20,time)*VLOOKUP(affo!G40, list!$J$48:$K$50, 2,))+ (time_tot-MIN(20,time))-IF(affo!G40="Exponential",time_tot-20+0.217*time*(EXP(4.606*(20-time_tot)/time)-1),((time_tot-20)^2)*(0.5/time)))))))+(IF($C27&lt;&gt; "Please select", VLOOKUP($C27, $H$8:$U$15, 14, FALSE), 0)*(IF(affo!G40="Immediate", affo!F40*(time_tot-MIN(20,time_tot)), affo!F40*IF(time_tot&gt;time+20,(time*VLOOKUP(affo!G40, list!$J$48:$K$50,2,))+(time_tot-time-20),IF(time_tot&lt;20,0,IF(affo!G40="Exponential",time_tot-20+0.217*time*(EXP(4.606*(20-time_tot)/time)-1),((time_tot-20)^2)*(0.5/time))))))))</f>
        <v>0</v>
      </c>
      <c r="Z27" s="1195">
        <f>IF(V27&lt;-AD11*D40,(-V27-AD11*D40)-(-X27-((INDEX(IPCC!$A$590:$AK$606,MATCH($I$7,IPCC!$A$590:$A$606,0),MATCH(H11,IPCC!$A$590:$AK$590,0))*INDEX(IPCC!$A$617:$BS$633,MATCH($I$7,IPCC!$A$617:$A$633,0),MATCH(H11,IPCC!$A$616:$BS$616,0))))*0.47*44/12*D40),0)</f>
        <v>0</v>
      </c>
      <c r="AA27" s="1195">
        <f>IF(W27&lt;-AD11*F40,(-W27-AD11*F40)-(-Y27-((INDEX(IPCC!$A$590:$AK$606,MATCH($I$7,IPCC!$A$590:$A$606,0),MATCH(H11,IPCC!$A$590:$AK$590,0))*INDEX(IPCC!$A$617:$BS$633,MATCH($I$7,IPCC!$A$617:$A$633,0),MATCH(H11,IPCC!$A$616:$BS$616,0))))*0.47*44/12*F40),0)</f>
        <v>0</v>
      </c>
      <c r="AB27" s="2155">
        <f>IF($C27&lt;&gt; "Please select", VLOOKUP($C27, $H$11:$Y$15, 16, FALSE) + VLOOKUP($C27, $H$11:$Y$15, 18, FALSE),0)</f>
        <v>0</v>
      </c>
      <c r="AC27" s="1195">
        <f t="shared" si="20"/>
        <v>0</v>
      </c>
      <c r="AD27" s="1195">
        <f t="shared" si="21"/>
        <v>0</v>
      </c>
      <c r="AE27" s="1195">
        <f t="shared" si="22"/>
        <v>0</v>
      </c>
      <c r="AF27" s="1162"/>
      <c r="AG27" s="1162"/>
      <c r="AH27" s="1162"/>
      <c r="AN27" s="3499" t="s">
        <v>314</v>
      </c>
      <c r="AO27" s="1314">
        <f>SUM(J37:J44)</f>
        <v>0</v>
      </c>
      <c r="AP27" s="2523">
        <f>SUM(K37:K44)</f>
        <v>0</v>
      </c>
    </row>
    <row r="28" spans="1:43" x14ac:dyDescent="0.15">
      <c r="B28" s="2516" t="s">
        <v>272</v>
      </c>
      <c r="C28" s="1109" t="str">
        <f>'2.LUC'!$C40</f>
        <v>Please select</v>
      </c>
      <c r="D28" s="1109" t="str">
        <f>'2.LUC'!$I40</f>
        <v>Please select</v>
      </c>
      <c r="E28" s="1109" t="str">
        <f>'2.LUC'!$K40</f>
        <v>Please select</v>
      </c>
      <c r="F28" s="1688" t="str">
        <f>'2.LUC'!$G40</f>
        <v>NO</v>
      </c>
      <c r="G28" s="2513"/>
      <c r="H28" s="1109" t="str">
        <f>IF('2.LUC'!$K40 = "Please select", IF('2.LUC'!$I40&lt;&gt;"Agroforestry", '2.LUC'!$I40, "Agroforestry - default"), '2.LUC'!$K40)</f>
        <v>Please select</v>
      </c>
      <c r="I28" s="1144">
        <f>IF( '2.LUC'!$I40 &lt;&gt; "Please select", IF('2.LUC'!AT40=0, INDEX(IPCC!$D$1521:$Y$1680,MATCH(clim_moist_cont,IPCC!$C$1521:$C$1680,0),MATCH($H28,IPCC!$D$1520:$Y$1520,0)), '2.LUC'!AT40), 0)</f>
        <v>0</v>
      </c>
      <c r="J28" s="2519">
        <f>IF( '2.LUC'!$I40 &lt;&gt; "Please select", INDEX(IPCC!$B$1689:$W$1698,MATCH(clim_moist, IPCC!$A$1689:$A$1698,0),MATCH(affo!$H28, IPCC!$B$1687:$W$1687,0)),0)</f>
        <v>0</v>
      </c>
      <c r="K28" s="2155">
        <f>IF(OR('2.LUC'!BA40="", '2.LUC'!BA40=0),J28, '2.LUC'!BA40)</f>
        <v>0</v>
      </c>
      <c r="L28" s="2155">
        <f>IF('2.LUC'!AW40=0, IF(OR(K28=0, K28=""),$J28, K28)*'2.LUC'!AV40,'2.LUC'!AW40*IF(OR(K28=0, K28=""),$J28, K28))</f>
        <v>0</v>
      </c>
      <c r="M28" s="2155">
        <f>IF( '2.LUC'!$C40&lt;&gt; "Please select", AA12*AC12 - $L28, 0)</f>
        <v>0</v>
      </c>
      <c r="N28" s="1147">
        <f t="shared" si="17"/>
        <v>0</v>
      </c>
      <c r="O28" s="1147">
        <f t="shared" si="18"/>
        <v>0</v>
      </c>
      <c r="P28" s="1157">
        <f>IF($H28 &lt;&gt; "Please select", VLOOKUP(H28, IPCC!$A$1473:$B$1495,2, FALSE), 0)</f>
        <v>0</v>
      </c>
      <c r="Q28" s="2519">
        <f>IF($H28&lt;&gt; "Please select", $O28*$P28*VLOOKUP($H28, IPCC!$A$1473:$E$1496, 4, FALSE), 0)</f>
        <v>0</v>
      </c>
      <c r="R28" s="2519">
        <f>IF($H28&lt;&gt; "Please select", $O28*$P28*VLOOKUP($H28, IPCC!$A$1473:$E$1496, 5, FALSE), 0)</f>
        <v>0</v>
      </c>
      <c r="S28" s="1147">
        <f t="shared" si="19"/>
        <v>0</v>
      </c>
      <c r="T28" s="1145">
        <f>IF($C28&lt;&gt; "Please select", VLOOKUP($C28, $H$12:$U$15, 5, FALSE) + VLOOKUP($C28, $H$12:$U$15, 11, FALSE), 0)</f>
        <v>0</v>
      </c>
      <c r="U28" s="1145">
        <f>IF($C28&lt;&gt; "Please select", VLOOKUP($C28, $H$12:$U$15, 8, FALSE) + VLOOKUP($C28, $H$12:$U$15, 14, FALSE), 0)</f>
        <v>0</v>
      </c>
      <c r="V28" s="1195">
        <f>-(44/12)*($T28*(IF(E41="Immediate",D41*MIN(20,time_tot),D41*IF(time_tot&gt;time+20,20,IF(time_tot&lt;20,(time*VLOOKUP(E41, list!$J$48:$K$50, 2,))+(time_tot-time),((MIN(20,time)*VLOOKUP(affo!E41, list!$J$48:$K$50, 2,)) + (time_tot-MIN(20,time))-IF(affo!E41="Exponential",time_tot-20+0.217*time*(EXP(4.606*(20-time_tot)/time)-1),((time_tot-20)^2)*(0.5/time)))))))+($U28*(IF(affo!E41="Immediate", affo!D41*(time_tot-MIN(20,time_tot)), affo!D41*IF(time_tot&gt;time+20,(time*VLOOKUP(affo!E41, list!$J$48:$K$50,2,))+(time_tot-time-20),IF(time_tot&lt;20,0,IF(affo!E41="Exponential",time_tot-20+0.217*time*(EXP(4.606*(20-time_tot)/time)-1),((time_tot-20)^2)*(0.5/time))))))))</f>
        <v>0</v>
      </c>
      <c r="W28" s="1195">
        <f>-(44/12)*($T28*(IF(G41="Immediate", F41*MIN(20,time_tot), F41*IF(time_tot&gt;time+20,20,IF(time_tot&lt;20,(time*VLOOKUP(G41, list!$J$48:$K$50, 2,))+(time_tot-time),((MIN(20,time)*VLOOKUP(affo!G41, list!$J$48:$K$50, 2,))+ (time_tot-MIN(20,time))-IF(affo!G41="Exponential",time_tot-20+0.217*time*(EXP(4.606*(20-time_tot)/time)-1),((time_tot-20)^2)*(0.5/time)))))))+($U28*(IF(affo!G41="Immediate", affo!F41*(time_tot-MIN(20,time_tot)), affo!F41*IF(time_tot&gt;time+20,(time*VLOOKUP(affo!G41, list!$J$48:$K$50,2,))+(time_tot-time-20),IF(time_tot&lt;20,0,IF(affo!G41="Exponential",time_tot-20+0.217*time*(EXP(4.606*(20-time_tot)/time)-1),((time_tot-20)^2)*(0.5/time))))))))</f>
        <v>0</v>
      </c>
      <c r="X28" s="1195">
        <f>-(44/12)*(IF($C28&lt;&gt; "Please select", VLOOKUP($C28, $H$8:$U$15, 11, FALSE), 0)*(IF(E41="Immediate",D41*MIN(20,time_tot),D41*IF(time_tot&gt;time+20,20,IF(time_tot&lt;20,(time*VLOOKUP(E41, list!$J$48:$K$50, 2,))+(time_tot-time),((MIN(20,time)*VLOOKUP(affo!E41, list!$J$48:$K$50, 2,)) + (time_tot-MIN(20,time))-IF(affo!E41="Exponential",time_tot-20+0.217*time*(EXP(4.606*(20-time_tot)/time)-1),((time_tot-20)^2)*(0.5/time)))))))+(IF($C28&lt;&gt; "Please select", VLOOKUP($C28, $H$8:$U$15, 14, FALSE), 0)*(IF(affo!E41="Immediate", affo!D41*(time_tot-MIN(20,time_tot)), affo!D41*IF(time_tot&gt;time+20,(time*VLOOKUP(affo!E41, list!$J$48:$K$50,2,))+(time_tot-time-20),IF(time_tot&lt;20,0,IF(affo!E41="Exponential",time_tot-20+0.217*time*(EXP(4.606*(20-time_tot)/time)-1),((time_tot-20)^2)*(0.5/time))))))))</f>
        <v>0</v>
      </c>
      <c r="Y28" s="1195">
        <f>-(44/12)*(IF($C28&lt;&gt; "Please select", VLOOKUP($C28, $H$8:$U$15, 11, FALSE), 0)*(IF(G41="Immediate", F41*MIN(20,time_tot), F41*IF(time_tot&gt;time+20,20,IF(time_tot&lt;20,(time*VLOOKUP(G41, list!$J$48:$K$50, 2,))+(time_tot-time),((MIN(20,time)*VLOOKUP(affo!G41, list!$J$48:$K$50, 2,))+ (time_tot-MIN(20,time))-IF(affo!G41="Exponential",time_tot-20+0.217*time*(EXP(4.606*(20-time_tot)/time)-1),((time_tot-20)^2)*(0.5/time)))))))+(IF($C28&lt;&gt; "Please select", VLOOKUP($C28, $H$8:$U$15, 14, FALSE), 0)*(IF(affo!G41="Immediate", affo!F41*(time_tot-MIN(20,time_tot)), affo!F41*IF(time_tot&gt;time+20,(time*VLOOKUP(affo!G41, list!$J$48:$K$50,2,))+(time_tot-time-20),IF(time_tot&lt;20,0,IF(affo!G41="Exponential",time_tot-20+0.217*time*(EXP(4.606*(20-time_tot)/time)-1),((time_tot-20)^2)*(0.5/time))))))))</f>
        <v>0</v>
      </c>
      <c r="Z28" s="1195">
        <f>IF(V28&lt;-AD12*D41,(-V28-AD12*D41)-(-X28-((INDEX(IPCC!$A$590:$AK$606,MATCH($I$7,IPCC!$A$590:$A$606,0),MATCH(H12,IPCC!$A$590:$AK$590,0))*INDEX(IPCC!$A$617:$BS$633,MATCH($I$7,IPCC!$A$617:$A$633,0),MATCH(H12,IPCC!$A$616:$BS$616,0))))*0.47*44/12*D41),0)</f>
        <v>0</v>
      </c>
      <c r="AA28" s="1195">
        <f>IF(W28&lt;-AD12*F41,(-W28-AD12*F41)-(-Y28-((INDEX(IPCC!$A$590:$AK$606,MATCH($I$7,IPCC!$A$590:$A$606,0),MATCH(H12,IPCC!$A$590:$AK$590,0))*INDEX(IPCC!$A$617:$BS$633,MATCH($I$7,IPCC!$A$617:$A$633,0),MATCH(H12,IPCC!$A$616:$BS$616,0))))*0.47*44/12*F41),0)</f>
        <v>0</v>
      </c>
      <c r="AB28" s="2155">
        <f>IF($C28&lt;&gt; "Please select", VLOOKUP($C28, $H$12:$Y$15, 16, FALSE) + VLOOKUP($C28, $H$12:$Y$15, 18, FALSE),0)</f>
        <v>0</v>
      </c>
      <c r="AC28" s="1195">
        <f t="shared" si="20"/>
        <v>0</v>
      </c>
      <c r="AD28" s="1195">
        <f t="shared" si="21"/>
        <v>0</v>
      </c>
      <c r="AE28" s="1195">
        <f t="shared" si="22"/>
        <v>0</v>
      </c>
      <c r="AF28" s="1162"/>
      <c r="AG28" s="1162"/>
      <c r="AH28" s="1162"/>
      <c r="AN28" s="3499" t="s">
        <v>315</v>
      </c>
      <c r="AO28" s="3500">
        <f>SUM(N37:N44)</f>
        <v>0</v>
      </c>
      <c r="AP28" s="3501">
        <f>SUM(O37:O44)</f>
        <v>0</v>
      </c>
    </row>
    <row r="29" spans="1:43" x14ac:dyDescent="0.15">
      <c r="B29" s="2516" t="s">
        <v>273</v>
      </c>
      <c r="C29" s="1109" t="str">
        <f>'2.LUC'!$C41</f>
        <v>Please select</v>
      </c>
      <c r="D29" s="1109" t="str">
        <f>'2.LUC'!$I41</f>
        <v>Please select</v>
      </c>
      <c r="E29" s="1109" t="str">
        <f>'2.LUC'!$K41</f>
        <v>Please select</v>
      </c>
      <c r="F29" s="1688" t="str">
        <f>'2.LUC'!$G41</f>
        <v>NO</v>
      </c>
      <c r="G29" s="2513"/>
      <c r="H29" s="1109" t="str">
        <f>IF('2.LUC'!$K41 = "Please select", IF('2.LUC'!$I41&lt;&gt;"Agroforestry", '2.LUC'!$I41, "Agroforestry - default"), '2.LUC'!$K41)</f>
        <v>Please select</v>
      </c>
      <c r="I29" s="1144">
        <f>IF( '2.LUC'!$I41 &lt;&gt; "Please select", IF('2.LUC'!AT41=0, INDEX(IPCC!$D$1521:$Y$1680,MATCH(clim_moist_cont,IPCC!$C$1521:$C$1680,0),MATCH($H29,IPCC!$D$1520:$Y$1520,0)), '2.LUC'!AT41), 0)</f>
        <v>0</v>
      </c>
      <c r="J29" s="2519">
        <f>IF( '2.LUC'!$I41 &lt;&gt; "Please select", INDEX(IPCC!$B$1689:$W$1698,MATCH(clim_moist, IPCC!$A$1689:$A$1698,0),MATCH(affo!$H29, IPCC!$B$1687:$W$1687,0)),0)</f>
        <v>0</v>
      </c>
      <c r="K29" s="2155">
        <f>IF(OR('2.LUC'!BA41="", '2.LUC'!BA41=0),J29, '2.LUC'!BA41)</f>
        <v>0</v>
      </c>
      <c r="L29" s="2155">
        <f>IF('2.LUC'!AW41=0, IF(OR(K29=0, K29=""),$J29, K29)*'2.LUC'!AV41,'2.LUC'!AW41*IF(OR(K29=0, K29=""),$J29, K29))</f>
        <v>0</v>
      </c>
      <c r="M29" s="2155">
        <f>IF( '2.LUC'!$C41&lt;&gt; "Please select", AA13*AC13 - $L29, 0)</f>
        <v>0</v>
      </c>
      <c r="N29" s="1147">
        <f t="shared" si="17"/>
        <v>0</v>
      </c>
      <c r="O29" s="1147">
        <f t="shared" si="18"/>
        <v>0</v>
      </c>
      <c r="P29" s="1157">
        <f>IF($H29 &lt;&gt; "Please select", VLOOKUP(H29, IPCC!$A$1473:$B$1495,2, FALSE), 0)</f>
        <v>0</v>
      </c>
      <c r="Q29" s="2519">
        <f>IF($H29&lt;&gt; "Please select", $O29*$P29*VLOOKUP($H29, IPCC!$A$1473:$E$1496, 4, FALSE), 0)</f>
        <v>0</v>
      </c>
      <c r="R29" s="2519">
        <f>IF($H29&lt;&gt; "Please select", $O29*$P29*VLOOKUP($H29, IPCC!$A$1473:$E$1496, 5, FALSE), 0)</f>
        <v>0</v>
      </c>
      <c r="S29" s="1147">
        <f t="shared" si="19"/>
        <v>0</v>
      </c>
      <c r="T29" s="1145">
        <f>IF($C29&lt;&gt; "Please select", VLOOKUP($C29, $H$13:$U$15, 5, FALSE) + VLOOKUP($C29, $H$13:$U$15, 11, FALSE), 0)</f>
        <v>0</v>
      </c>
      <c r="U29" s="1145">
        <f>IF($C29&lt;&gt; "Please select", VLOOKUP($C29, $H$13:$U$15, 8, FALSE) + VLOOKUP($C29, $H$13:$U$15, 14, FALSE), 0)</f>
        <v>0</v>
      </c>
      <c r="V29" s="1195">
        <f>-(44/12)*($T29*(IF(E42="Immediate",D42*MIN(20,time_tot),D42*IF(time_tot&gt;time+20,20,IF(time_tot&lt;20,(time*VLOOKUP(E42, list!$J$48:$K$50, 2,))+(time_tot-time),((MIN(20,time)*VLOOKUP(affo!E42, list!$J$48:$K$50, 2,)) + (time_tot-MIN(20,time))-IF(affo!E42="Exponential",time_tot-20+0.217*time*(EXP(4.606*(20-time_tot)/time)-1),((time_tot-20)^2)*(0.5/time)))))))+($U29*(IF(affo!E42="Immediate", affo!D42*(time_tot-MIN(20,time_tot)), affo!D42*IF(time_tot&gt;time+20,(time*VLOOKUP(affo!E42, list!$J$48:$K$50,2,))+(time_tot-time-20),IF(time_tot&lt;20,0,IF(affo!E42="Exponential",time_tot-20+0.217*time*(EXP(4.606*(20-time_tot)/time)-1),((time_tot-20)^2)*(0.5/time))))))))</f>
        <v>0</v>
      </c>
      <c r="W29" s="1195">
        <f>-(44/12)*($T29*(IF(G42="Immediate", F42*MIN(20,time_tot), F42*IF(time_tot&gt;time+20,20,IF(time_tot&lt;20,(time*VLOOKUP(G42, list!$J$48:$K$50, 2,))+(time_tot-time),((MIN(20,time)*VLOOKUP(affo!G42, list!$J$48:$K$50, 2,))+ (time_tot-MIN(20,time))-IF(affo!G42="Exponential",time_tot-20+0.217*time*(EXP(4.606*(20-time_tot)/time)-1),((time_tot-20)^2)*(0.5/time)))))))+($U29*(IF(affo!G42="Immediate", affo!F42*(time_tot-MIN(20,time_tot)), affo!F42*IF(time_tot&gt;time+20,(time*VLOOKUP(affo!G42, list!$J$48:$K$50,2,))+(time_tot-time-20),IF(time_tot&lt;20,0,IF(affo!G42="Exponential",time_tot-20+0.217*time*(EXP(4.606*(20-time_tot)/time)-1),((time_tot-20)^2)*(0.5/time))))))))</f>
        <v>0</v>
      </c>
      <c r="X29" s="1195">
        <f>-(44/12)*(IF($C29&lt;&gt; "Please select", VLOOKUP($C29, $H$8:$U$15, 11, FALSE), 0)*(IF(E42="Immediate",D42*MIN(20,time_tot),D42*IF(time_tot&gt;time+20,20,IF(time_tot&lt;20,(time*VLOOKUP(E42, list!$J$48:$K$50, 2,))+(time_tot-time),((MIN(20,time)*VLOOKUP(affo!E42, list!$J$48:$K$50, 2,)) + (time_tot-MIN(20,time))-IF(affo!E42="Exponential",time_tot-20+0.217*time*(EXP(4.606*(20-time_tot)/time)-1),((time_tot-20)^2)*(0.5/time)))))))+(IF($C29&lt;&gt; "Please select", VLOOKUP($C29, $H$8:$U$15, 14, FALSE), 0)*(IF(affo!E42="Immediate", affo!D42*(time_tot-MIN(20,time_tot)), affo!D42*IF(time_tot&gt;time+20,(time*VLOOKUP(affo!E42, list!$J$48:$K$50,2,))+(time_tot-time-20),IF(time_tot&lt;20,0,IF(affo!E42="Exponential",time_tot-20+0.217*time*(EXP(4.606*(20-time_tot)/time)-1),((time_tot-20)^2)*(0.5/time))))))))</f>
        <v>0</v>
      </c>
      <c r="Y29" s="1195">
        <f>-(44/12)*(IF($C29&lt;&gt; "Please select", VLOOKUP($C29, $H$8:$U$15, 11, FALSE), 0)*(IF(G42="Immediate", F42*MIN(20,time_tot), F42*IF(time_tot&gt;time+20,20,IF(time_tot&lt;20,(time*VLOOKUP(G42, list!$J$48:$K$50, 2,))+(time_tot-time),((MIN(20,time)*VLOOKUP(affo!G42, list!$J$48:$K$50, 2,))+ (time_tot-MIN(20,time))-IF(affo!G42="Exponential",time_tot-20+0.217*time*(EXP(4.606*(20-time_tot)/time)-1),((time_tot-20)^2)*(0.5/time)))))))+(IF($C29&lt;&gt; "Please select", VLOOKUP($C29, $H$8:$U$15, 14, FALSE), 0)*(IF(affo!G42="Immediate", affo!F42*(time_tot-MIN(20,time_tot)), affo!F42*IF(time_tot&gt;time+20,(time*VLOOKUP(affo!G42, list!$J$48:$K$50,2,))+(time_tot-time-20),IF(time_tot&lt;20,0,IF(affo!G42="Exponential",time_tot-20+0.217*time*(EXP(4.606*(20-time_tot)/time)-1),((time_tot-20)^2)*(0.5/time))))))))</f>
        <v>0</v>
      </c>
      <c r="Z29" s="1195">
        <f>IF(V29&lt;-AD13*D42,(-V29-AD13*D42)-(-X29-((INDEX(IPCC!$A$590:$AK$606,MATCH($I$7,IPCC!$A$590:$A$606,0),MATCH(H13,IPCC!$A$590:$AK$590,0))*INDEX(IPCC!$A$617:$BS$633,MATCH($I$7,IPCC!$A$617:$A$633,0),MATCH(H13,IPCC!$A$616:$BS$616,0))))*0.47*44/12*D42),0)</f>
        <v>0</v>
      </c>
      <c r="AA29" s="1195">
        <f>IF(W29&lt;-AD13*F42,(-W29-AD13*F42)-(-Y29-((INDEX(IPCC!$A$590:$AK$606,MATCH($I$7,IPCC!$A$590:$A$606,0),MATCH(H13,IPCC!$A$590:$AK$590,0))*INDEX(IPCC!$A$617:$BS$633,MATCH($I$7,IPCC!$A$617:$A$633,0),MATCH(H13,IPCC!$A$616:$BS$616,0))))*0.47*44/12*F42),0)</f>
        <v>0</v>
      </c>
      <c r="AB29" s="2155">
        <f>IF($C29&lt;&gt; "Please select", VLOOKUP($C29, $H$13:$Y$15, 16, FALSE) + VLOOKUP($C29, $H$13:$Y$15, 18, FALSE),0)</f>
        <v>0</v>
      </c>
      <c r="AC29" s="1195">
        <f t="shared" si="20"/>
        <v>0</v>
      </c>
      <c r="AD29" s="1195">
        <f t="shared" si="21"/>
        <v>0</v>
      </c>
      <c r="AE29" s="1195">
        <f t="shared" si="22"/>
        <v>0</v>
      </c>
      <c r="AF29" s="1162"/>
      <c r="AG29" s="1162"/>
      <c r="AH29" s="1162"/>
      <c r="AN29" s="3499" t="s">
        <v>161</v>
      </c>
      <c r="AO29" s="3500">
        <f>SUM(AI8:AI15)</f>
        <v>0</v>
      </c>
      <c r="AP29" s="3501">
        <f>SUM(AJ8:AJ15)</f>
        <v>0</v>
      </c>
    </row>
    <row r="30" spans="1:43" x14ac:dyDescent="0.15">
      <c r="B30" s="2516" t="s">
        <v>274</v>
      </c>
      <c r="C30" s="1109" t="str">
        <f>'2.LUC'!$C42</f>
        <v>Please select</v>
      </c>
      <c r="D30" s="1109" t="str">
        <f>'2.LUC'!$I42</f>
        <v>Please select</v>
      </c>
      <c r="E30" s="1109" t="str">
        <f>'2.LUC'!$K42</f>
        <v>Please select</v>
      </c>
      <c r="F30" s="1688" t="str">
        <f>'2.LUC'!$G42</f>
        <v>NO</v>
      </c>
      <c r="G30" s="2513"/>
      <c r="H30" s="1109" t="str">
        <f>IF('2.LUC'!$K42 = "Please select", IF('2.LUC'!$I42&lt;&gt;"Agroforestry", '2.LUC'!$I42, "Agroforestry - default"), '2.LUC'!$K42)</f>
        <v>Please select</v>
      </c>
      <c r="I30" s="1144">
        <f>IF( '2.LUC'!$I42 &lt;&gt; "Please select", IF('2.LUC'!AT42=0, INDEX(IPCC!$D$1521:$Y$1680,MATCH(clim_moist_cont,IPCC!$C$1521:$C$1680,0),MATCH($H30,IPCC!$D$1520:$Y$1520,0)), '2.LUC'!AT42), 0)</f>
        <v>0</v>
      </c>
      <c r="J30" s="2519">
        <f>IF( '2.LUC'!$I42 &lt;&gt; "Please select", INDEX(IPCC!$B$1689:$W$1698,MATCH(clim_moist, IPCC!$A$1689:$A$1698,0),MATCH(affo!$H30, IPCC!$B$1687:$W$1687,0)),0)</f>
        <v>0</v>
      </c>
      <c r="K30" s="2155">
        <f>IF(OR('2.LUC'!BA42="", '2.LUC'!BA42=0),J30, '2.LUC'!BA42)</f>
        <v>0</v>
      </c>
      <c r="L30" s="2155">
        <f>IF('2.LUC'!AW42=0, IF(OR(K30=0, K30=""),$J30, K30)*'2.LUC'!AV42,'2.LUC'!AW42*IF(OR(K30=0, K30=""),$J30, K30))</f>
        <v>0</v>
      </c>
      <c r="M30" s="2155">
        <f>IF( '2.LUC'!$C42&lt;&gt; "Please select", AA14*AC14 - $L30, 0)</f>
        <v>0</v>
      </c>
      <c r="N30" s="1147">
        <f t="shared" si="17"/>
        <v>0</v>
      </c>
      <c r="O30" s="1147">
        <f t="shared" si="18"/>
        <v>0</v>
      </c>
      <c r="P30" s="1157">
        <f>IF($H30 &lt;&gt; "Please select", VLOOKUP(H30, IPCC!$A$1473:$B$1495,2, FALSE), 0)</f>
        <v>0</v>
      </c>
      <c r="Q30" s="2519">
        <f>IF($H30&lt;&gt; "Please select", $O30*$P30*VLOOKUP($H30, IPCC!$A$1473:$E$1496, 4, FALSE), 0)</f>
        <v>0</v>
      </c>
      <c r="R30" s="2519">
        <f>IF($H30&lt;&gt; "Please select", $O30*$P30*VLOOKUP($H30, IPCC!$A$1473:$E$1496, 5, FALSE), 0)</f>
        <v>0</v>
      </c>
      <c r="S30" s="1147">
        <f t="shared" si="19"/>
        <v>0</v>
      </c>
      <c r="T30" s="1145">
        <f>IF($C30&lt;&gt; "Please select", VLOOKUP($C30, $H$14:$U$15, 5, FALSE) + VLOOKUP($C30, $H$14:$U$15, 11, FALSE), 0)</f>
        <v>0</v>
      </c>
      <c r="U30" s="1145">
        <f>IF($C30&lt;&gt; "Please select", VLOOKUP($C30, $H$14:$U$15, 8, FALSE) + VLOOKUP($C30, $H$14:$U$15, 14, FALSE), 0)</f>
        <v>0</v>
      </c>
      <c r="V30" s="1195">
        <f>-(44/12)*($T30*(IF(E43="Immediate",D43*MIN(20,time_tot),D43*IF(time_tot&gt;time+20,20,IF(time_tot&lt;20,(time*VLOOKUP(E43, list!$J$48:$K$50, 2,))+(time_tot-time),((MIN(20,time)*VLOOKUP(affo!E43, list!$J$48:$K$50, 2,)) + (time_tot-MIN(20,time))-IF(affo!E43="Exponential",time_tot-20+0.217*time*(EXP(4.606*(20-time_tot)/time)-1),((time_tot-20)^2)*(0.5/time)))))))+($U30*(IF(affo!E43="Immediate", affo!D43*(time_tot-MIN(20,time_tot)), affo!D43*IF(time_tot&gt;time+20,(time*VLOOKUP(affo!E43, list!$J$48:$K$50,2,))+(time_tot-time-20),IF(time_tot&lt;20,0,IF(affo!E43="Exponential",time_tot-20+0.217*time*(EXP(4.606*(20-time_tot)/time)-1),((time_tot-20)^2)*(0.5/time))))))))</f>
        <v>0</v>
      </c>
      <c r="W30" s="1195">
        <f>-(44/12)*($T30*(IF(G43="Immediate", F43*MIN(20,time_tot), F43*IF(time_tot&gt;time+20,20,IF(time_tot&lt;20,(time*VLOOKUP(G43, list!$J$48:$K$50, 2,))+(time_tot-time),((MIN(20,time)*VLOOKUP(affo!G43, list!$J$48:$K$50, 2,))+ (time_tot-MIN(20,time))-IF(affo!G43="Exponential",time_tot-20+0.217*time*(EXP(4.606*(20-time_tot)/time)-1),((time_tot-20)^2)*(0.5/time)))))))+($U30*(IF(affo!G43="Immediate", affo!F43*(time_tot-MIN(20,time_tot)), affo!F43*IF(time_tot&gt;time+20,(time*VLOOKUP(affo!G43, list!$J$48:$K$50,2,))+(time_tot-time-20),IF(time_tot&lt;20,0,IF(affo!G43="Exponential",time_tot-20+0.217*time*(EXP(4.606*(20-time_tot)/time)-1),((time_tot-20)^2)*(0.5/time))))))))</f>
        <v>0</v>
      </c>
      <c r="X30" s="1195">
        <f>-(44/12)*(IF($C30&lt;&gt; "Please select", VLOOKUP($C30, $H$8:$U$15, 11, FALSE), 0)*(IF(E43="Immediate",D43*MIN(20,time_tot),D43*IF(time_tot&gt;time+20,20,IF(time_tot&lt;20,(time*VLOOKUP(E43, list!$J$48:$K$50, 2,))+(time_tot-time),((MIN(20,time)*VLOOKUP(affo!E43, list!$J$48:$K$50, 2,)) + (time_tot-MIN(20,time))-IF(affo!E43="Exponential",time_tot-20+0.217*time*(EXP(4.606*(20-time_tot)/time)-1),((time_tot-20)^2)*(0.5/time)))))))+(IF($C30&lt;&gt; "Please select", VLOOKUP($C30, $H$8:$U$15, 14, FALSE), 0)*(IF(affo!E43="Immediate", affo!D43*(time_tot-MIN(20,time_tot)), affo!D43*IF(time_tot&gt;time+20,(time*VLOOKUP(affo!E43, list!$J$48:$K$50,2,))+(time_tot-time-20),IF(time_tot&lt;20,0,IF(affo!E43="Exponential",time_tot-20+0.217*time*(EXP(4.606*(20-time_tot)/time)-1),((time_tot-20)^2)*(0.5/time))))))))</f>
        <v>0</v>
      </c>
      <c r="Y30" s="1195">
        <f>-(44/12)*(IF($C30&lt;&gt; "Please select", VLOOKUP($C30, $H$8:$U$15, 11, FALSE), 0)*(IF(G43="Immediate", F43*MIN(20,time_tot), F43*IF(time_tot&gt;time+20,20,IF(time_tot&lt;20,(time*VLOOKUP(G43, list!$J$48:$K$50, 2,))+(time_tot-time),((MIN(20,time)*VLOOKUP(affo!G43, list!$J$48:$K$50, 2,))+ (time_tot-MIN(20,time))-IF(affo!G43="Exponential",time_tot-20+0.217*time*(EXP(4.606*(20-time_tot)/time)-1),((time_tot-20)^2)*(0.5/time)))))))+(IF($C30&lt;&gt; "Please select", VLOOKUP($C30, $H$8:$U$15, 14, FALSE), 0)*(IF(affo!G43="Immediate", affo!F43*(time_tot-MIN(20,time_tot)), affo!F43*IF(time_tot&gt;time+20,(time*VLOOKUP(affo!G43, list!$J$48:$K$50,2,))+(time_tot-time-20),IF(time_tot&lt;20,0,IF(affo!G43="Exponential",time_tot-20+0.217*time*(EXP(4.606*(20-time_tot)/time)-1),((time_tot-20)^2)*(0.5/time))))))))</f>
        <v>0</v>
      </c>
      <c r="Z30" s="1195">
        <f>IF(V30&lt;-AD14*D43,(-V30-AD14*D43)-(-X30-((INDEX(IPCC!$A$590:$AK$606,MATCH($I$7,IPCC!$A$590:$A$606,0),MATCH(H14,IPCC!$A$590:$AK$590,0))*INDEX(IPCC!$A$617:$BS$633,MATCH($I$7,IPCC!$A$617:$A$633,0),MATCH(H14,IPCC!$A$616:$BS$616,0))))*0.47*44/12*D43),0)</f>
        <v>0</v>
      </c>
      <c r="AA30" s="1195">
        <f>IF(W30&lt;-AD14*F43,(-W30-AD14*F43)-(-Y30-((INDEX(IPCC!$A$590:$AK$606,MATCH($I$7,IPCC!$A$590:$A$606,0),MATCH(H14,IPCC!$A$590:$AK$590,0))*INDEX(IPCC!$A$617:$BS$633,MATCH($I$7,IPCC!$A$617:$A$633,0),MATCH(H14,IPCC!$A$616:$BS$616,0))))*0.47*44/12*F43),0)</f>
        <v>0</v>
      </c>
      <c r="AB30" s="2155">
        <f>IF($C30&lt;&gt; "Please select", VLOOKUP($C30, $H$14:$Y$15, 16, FALSE) + VLOOKUP($C30, $H$14:$Y$15, 18, FALSE),0)</f>
        <v>0</v>
      </c>
      <c r="AC30" s="1195">
        <f t="shared" si="20"/>
        <v>0</v>
      </c>
      <c r="AD30" s="1195">
        <f t="shared" si="21"/>
        <v>0</v>
      </c>
      <c r="AE30" s="1195">
        <f t="shared" si="22"/>
        <v>0</v>
      </c>
      <c r="AF30" s="1162"/>
      <c r="AG30" s="1162"/>
      <c r="AH30" s="1162"/>
      <c r="AN30" s="3499" t="s">
        <v>162</v>
      </c>
      <c r="AO30" s="3547">
        <f>SUM(AK8:AK15)</f>
        <v>0</v>
      </c>
      <c r="AP30" s="3548">
        <f>SUM(AL8:AL15)</f>
        <v>0</v>
      </c>
    </row>
    <row r="31" spans="1:43" x14ac:dyDescent="0.15">
      <c r="B31" s="2516" t="s">
        <v>275</v>
      </c>
      <c r="C31" s="1109" t="str">
        <f>'2.LUC'!$C43</f>
        <v>Please select</v>
      </c>
      <c r="D31" s="1109" t="str">
        <f>'2.LUC'!$I43</f>
        <v>Please select</v>
      </c>
      <c r="E31" s="1109" t="str">
        <f>'2.LUC'!$K43</f>
        <v>Please select</v>
      </c>
      <c r="F31" s="1688" t="str">
        <f>'2.LUC'!$G43</f>
        <v>NO</v>
      </c>
      <c r="G31" s="2513"/>
      <c r="H31" s="1109" t="str">
        <f>IF('2.LUC'!$K43 = "Please select", IF('2.LUC'!$I43&lt;&gt;"Agroforestry", '2.LUC'!$I43, "Agroforestry - default"), '2.LUC'!$K43)</f>
        <v>Please select</v>
      </c>
      <c r="I31" s="1144">
        <f>IF( '2.LUC'!$I43 &lt;&gt; "Please select", IF('2.LUC'!AT43=0, INDEX(IPCC!$D$1521:$Y$1680,MATCH(clim_moist_cont,IPCC!$C$1521:$C$1680,0),MATCH($H31,IPCC!$D$1520:$Y$1520,0)), '2.LUC'!AT43), 0)</f>
        <v>0</v>
      </c>
      <c r="J31" s="2524">
        <f>IF( '2.LUC'!$I43 &lt;&gt; "Please select", INDEX(IPCC!$B$1689:$W$1698,MATCH(clim_moist, IPCC!$A$1689:$A$1698,0),MATCH(affo!$H31, IPCC!$B$1687:$W$1687,0)),0)</f>
        <v>0</v>
      </c>
      <c r="K31" s="2155">
        <f>IF(OR('2.LUC'!BA43="", '2.LUC'!BA43=0),J31, '2.LUC'!BA43)</f>
        <v>0</v>
      </c>
      <c r="L31" s="2155">
        <f>IF('2.LUC'!AW43=0, IF(OR(K31=0, K31=""),$J31, K31)*'2.LUC'!AV43,'2.LUC'!AW43*IF(OR(K31=0, K31=""),$J31, K31))</f>
        <v>0</v>
      </c>
      <c r="M31" s="2155">
        <f>IF( '2.LUC'!$C43&lt;&gt; "Please select", AA15*AC15 - $L31, 0)</f>
        <v>0</v>
      </c>
      <c r="N31" s="1149">
        <f t="shared" si="17"/>
        <v>0</v>
      </c>
      <c r="O31" s="1149">
        <f t="shared" si="18"/>
        <v>0</v>
      </c>
      <c r="P31" s="1158">
        <f>IF($H31 &lt;&gt; "Please select", VLOOKUP(H31, IPCC!$A$1473:$B$1495,2, FALSE), 0)</f>
        <v>0</v>
      </c>
      <c r="Q31" s="2524">
        <f>IF($H31&lt;&gt; "Please select", $O31*$P31*VLOOKUP($H31, IPCC!$A$1473:$E$1496, 4, FALSE), 0)</f>
        <v>0</v>
      </c>
      <c r="R31" s="2524">
        <f>IF($H31&lt;&gt; "Please select", $O31*$P31*VLOOKUP($H31, IPCC!$A$1473:$E$1496, 5, FALSE), 0)</f>
        <v>0</v>
      </c>
      <c r="S31" s="1149">
        <f t="shared" si="19"/>
        <v>0</v>
      </c>
      <c r="T31" s="1145">
        <f>IF($C31&lt;&gt; "Please select", VLOOKUP($C31, $H$15:$U$15, 5, FALSE) + VLOOKUP($C31, $H$15:$U$15, 11, FALSE), 0)</f>
        <v>0</v>
      </c>
      <c r="U31" s="1145">
        <f>IF($C31&lt;&gt; "Please select", VLOOKUP($C31, $H$15:$U$15, 8, FALSE) + VLOOKUP($C31, $H$15:$U$15, 14, FALSE), 0)</f>
        <v>0</v>
      </c>
      <c r="V31" s="1195">
        <f>-(44/12)*($T31*(IF(E44="Immediate",D44*MIN(20,time_tot),D44*IF(time_tot&gt;time+20,20,IF(time_tot&lt;20,(time*VLOOKUP(E44, list!$J$48:$K$50, 2,))+(time_tot-time),((MIN(20,time)*VLOOKUP(affo!E44, list!$J$48:$K$50, 2,)) + (time_tot-MIN(20,time))-IF(affo!E44="Exponential",time_tot-20+0.217*time*(EXP(4.606*(20-time_tot)/time)-1),((time_tot-20)^2)*(0.5/time)))))))+($U31*(IF(affo!E44="Immediate", affo!D44*(time_tot-MIN(20,time_tot)), affo!D44*IF(time_tot&gt;time+20,(time*VLOOKUP(affo!E44, list!$J$48:$K$50,2,))+(time_tot-time-20),IF(time_tot&lt;20,0,IF(affo!E44="Exponential",time_tot-20+0.217*time*(EXP(4.606*(20-time_tot)/time)-1),((time_tot-20)^2)*(0.5/time))))))))</f>
        <v>0</v>
      </c>
      <c r="W31" s="1195">
        <f>-(44/12)*($T31*(IF(G44="Immediate", F44*MIN(20,time_tot), F44*IF(time_tot&gt;time+20,20,IF(time_tot&lt;20,(time*VLOOKUP(G44, list!$J$48:$K$50, 2,))+(time_tot-time),((MIN(20,time)*VLOOKUP(affo!G44, list!$J$48:$K$50, 2,))+ (time_tot-MIN(20,time))-IF(affo!G44="Exponential",time_tot-20+0.217*time*(EXP(4.606*(20-time_tot)/time)-1),((time_tot-20)^2)*(0.5/time)))))))+($U31*(IF(affo!G44="Immediate", affo!F44*(time_tot-MIN(20,time_tot)), affo!F44*IF(time_tot&gt;time+20,(time*VLOOKUP(affo!G44, list!$J$48:$K$50,2,))+(time_tot-time-20),IF(time_tot&lt;20,0,IF(affo!G44="Exponential",time_tot-20+0.217*time*(EXP(4.606*(20-time_tot)/time)-1),((time_tot-20)^2)*(0.5/time))))))))</f>
        <v>0</v>
      </c>
      <c r="X31" s="1195">
        <f>-(44/12)*(IF($C31&lt;&gt; "Please select", VLOOKUP($C31, $H$8:$U$15, 11, FALSE), 0)*(IF(E44="Immediate",D44*MIN(20,time_tot),D44*IF(time_tot&gt;time+20,20,IF(time_tot&lt;20,(time*VLOOKUP(E44, list!$J$48:$K$50, 2,))+(time_tot-time),((MIN(20,time)*VLOOKUP(affo!E44, list!$J$48:$K$50, 2,)) + (time_tot-MIN(20,time))-IF(affo!E44="Exponential",time_tot-20+0.217*time*(EXP(4.606*(20-time_tot)/time)-1),((time_tot-20)^2)*(0.5/time)))))))+(IF($C31&lt;&gt; "Please select", VLOOKUP($C31, $H$8:$U$15, 14, FALSE), 0)*(IF(affo!E44="Immediate", affo!D44*(time_tot-MIN(20,time_tot)), affo!D44*IF(time_tot&gt;time+20,(time*VLOOKUP(affo!E44, list!$J$48:$K$50,2,))+(time_tot-time-20),IF(time_tot&lt;20,0,IF(affo!E44="Exponential",time_tot-20+0.217*time*(EXP(4.606*(20-time_tot)/time)-1),((time_tot-20)^2)*(0.5/time))))))))</f>
        <v>0</v>
      </c>
      <c r="Y31" s="1195">
        <f>-(44/12)*(IF($C31&lt;&gt; "Please select", VLOOKUP($C31, $H$8:$U$15, 11, FALSE), 0)*(IF(G44="Immediate", F44*MIN(20,time_tot), F44*IF(time_tot&gt;time+20,20,IF(time_tot&lt;20,(time*VLOOKUP(G44, list!$J$48:$K$50, 2,))+(time_tot-time),((MIN(20,time)*VLOOKUP(affo!G44, list!$J$48:$K$50, 2,))+ (time_tot-MIN(20,time))-IF(affo!G44="Exponential",time_tot-20+0.217*time*(EXP(4.606*(20-time_tot)/time)-1),((time_tot-20)^2)*(0.5/time)))))))+(IF($C31&lt;&gt; "Please select", VLOOKUP($C31, $H$8:$U$15, 14, FALSE), 0)*(IF(affo!G44="Immediate", affo!F44*(time_tot-MIN(20,time_tot)), affo!F44*IF(time_tot&gt;time+20,(time*VLOOKUP(affo!G44, list!$J$48:$K$50,2,))+(time_tot-time-20),IF(time_tot&lt;20,0,IF(affo!G44="Exponential",time_tot-20+0.217*time*(EXP(4.606*(20-time_tot)/time)-1),((time_tot-20)^2)*(0.5/time))))))))</f>
        <v>0</v>
      </c>
      <c r="Z31" s="1195">
        <f>IF(V31&lt;-AD15*D44,(-V31-AD15*D44)-(-X31-((INDEX(IPCC!$A$590:$AK$606,MATCH($I$7,IPCC!$A$590:$A$606,0),MATCH(H15,IPCC!$A$590:$AK$590,0))*INDEX(IPCC!$A$617:$BS$633,MATCH($I$7,IPCC!$A$617:$A$633,0),MATCH(H15,IPCC!$A$616:$BS$616,0))))*0.47*44/12*D44),0)</f>
        <v>0</v>
      </c>
      <c r="AA31" s="1195">
        <f>IF(W31&lt;-AD15*F44,(-W31-AD15*F44)-(-Y31-((INDEX(IPCC!$A$590:$AK$606,MATCH($I$7,IPCC!$A$590:$A$606,0),MATCH(H15,IPCC!$A$590:$AK$590,0))*INDEX(IPCC!$A$617:$BS$633,MATCH($I$7,IPCC!$A$617:$A$633,0),MATCH(H15,IPCC!$A$616:$BS$616,0))))*0.47*44/12*F44),0)</f>
        <v>0</v>
      </c>
      <c r="AB31" s="2155">
        <f>IF($C31&lt;&gt; "Please select", VLOOKUP($C31, $H$15:$Y$15, 16, FALSE) + VLOOKUP($C31, $H$15:$Y$15, 18, FALSE),0)</f>
        <v>0</v>
      </c>
      <c r="AC31" s="1195">
        <f t="shared" si="20"/>
        <v>0</v>
      </c>
      <c r="AD31" s="1195">
        <f t="shared" si="21"/>
        <v>0</v>
      </c>
      <c r="AE31" s="1195">
        <f t="shared" si="22"/>
        <v>0</v>
      </c>
      <c r="AF31" s="1162"/>
      <c r="AG31" s="1162"/>
      <c r="AH31" s="1162"/>
      <c r="AN31" s="3466" t="s">
        <v>218</v>
      </c>
      <c r="AO31" s="3862">
        <f>SUM(AO26:AO30)</f>
        <v>0</v>
      </c>
      <c r="AP31" s="3862">
        <f>SUM(AP26:AP30)</f>
        <v>0</v>
      </c>
      <c r="AQ31" s="1246">
        <f>AP31-AO31</f>
        <v>0</v>
      </c>
    </row>
    <row r="32" spans="1:43" x14ac:dyDescent="0.15">
      <c r="B32" s="1057"/>
      <c r="I32" s="2525"/>
      <c r="J32" s="2525"/>
      <c r="L32" s="1662"/>
      <c r="M32" s="1662"/>
      <c r="N32" s="1662"/>
      <c r="O32" s="1663"/>
      <c r="P32" s="1663"/>
      <c r="Q32" s="1663"/>
      <c r="R32" s="1662"/>
      <c r="S32" s="1662"/>
      <c r="T32" s="1662"/>
    </row>
    <row r="33" spans="2:47" x14ac:dyDescent="0.15">
      <c r="B33" s="1057"/>
      <c r="I33" s="2525"/>
      <c r="J33" s="2525"/>
      <c r="K33" s="2525"/>
      <c r="L33" s="1662"/>
      <c r="M33" s="1662"/>
      <c r="N33" s="1663"/>
      <c r="O33" s="1663"/>
      <c r="P33" s="1663"/>
      <c r="Q33" s="1662"/>
      <c r="R33" s="1662"/>
      <c r="AN33" s="973" t="s">
        <v>316</v>
      </c>
    </row>
    <row r="34" spans="2:47" x14ac:dyDescent="0.15">
      <c r="C34" s="2526" t="s">
        <v>317</v>
      </c>
      <c r="D34" s="3503"/>
      <c r="E34" s="3503"/>
      <c r="F34" s="3503"/>
      <c r="G34" s="3503"/>
      <c r="H34" s="2527" t="s">
        <v>318</v>
      </c>
      <c r="I34" s="2528"/>
      <c r="J34" s="2529" t="s">
        <v>319</v>
      </c>
      <c r="K34" s="2530"/>
      <c r="L34" s="2527" t="s">
        <v>320</v>
      </c>
      <c r="M34" s="2528"/>
      <c r="N34" s="2528" t="s">
        <v>259</v>
      </c>
      <c r="O34" s="2528"/>
      <c r="P34" s="2528" t="s">
        <v>321</v>
      </c>
      <c r="Q34" s="2528"/>
      <c r="AN34" s="2517" t="s">
        <v>228</v>
      </c>
      <c r="AO34" s="2518" t="s">
        <v>218</v>
      </c>
      <c r="AP34" s="2518" t="s">
        <v>229</v>
      </c>
      <c r="AQ34" s="2518" t="s">
        <v>230</v>
      </c>
      <c r="AT34" s="1058"/>
      <c r="AU34" s="1577"/>
    </row>
    <row r="35" spans="2:47" ht="17" x14ac:dyDescent="0.25">
      <c r="B35" s="1573" t="s">
        <v>210</v>
      </c>
      <c r="C35" s="2531" t="s">
        <v>219</v>
      </c>
      <c r="D35" s="2532" t="s">
        <v>220</v>
      </c>
      <c r="E35" s="2533"/>
      <c r="F35" s="2534" t="s">
        <v>221</v>
      </c>
      <c r="G35" s="2535"/>
      <c r="H35" s="2532" t="s">
        <v>220</v>
      </c>
      <c r="I35" s="2535" t="s">
        <v>221</v>
      </c>
      <c r="J35" s="2536" t="s">
        <v>220</v>
      </c>
      <c r="K35" s="2537" t="s">
        <v>221</v>
      </c>
      <c r="L35" s="2532" t="s">
        <v>220</v>
      </c>
      <c r="M35" s="2535" t="s">
        <v>221</v>
      </c>
      <c r="N35" s="2532" t="s">
        <v>220</v>
      </c>
      <c r="O35" s="2535" t="s">
        <v>221</v>
      </c>
      <c r="P35" s="2532" t="s">
        <v>220</v>
      </c>
      <c r="Q35" s="2535" t="s">
        <v>221</v>
      </c>
      <c r="S35" s="2540" t="s">
        <v>322</v>
      </c>
      <c r="T35" s="2528"/>
      <c r="U35" s="2528"/>
      <c r="W35" s="2188"/>
      <c r="X35" s="2188"/>
      <c r="AN35" s="3499" t="s">
        <v>231</v>
      </c>
      <c r="AO35" s="2520">
        <f>SUM(I37:I44)+SUM(M37:M44)-SUM(H37:H44)-SUM(L37:L44)</f>
        <v>0</v>
      </c>
      <c r="AP35" s="2521">
        <f>IF(time=0, 0, SUM(AN8:AN15)-SUM(AM8:AM15)+SUM(AP8:AP15)-SUM(AO8:AO15))</f>
        <v>0</v>
      </c>
      <c r="AQ35" s="2522">
        <f>AO35-AP35</f>
        <v>0</v>
      </c>
    </row>
    <row r="36" spans="2:47" ht="17" x14ac:dyDescent="0.25">
      <c r="B36" s="2538" t="s">
        <v>164</v>
      </c>
      <c r="C36" s="2531" t="s">
        <v>223</v>
      </c>
      <c r="D36" s="2533" t="s">
        <v>323</v>
      </c>
      <c r="E36" s="2533" t="s">
        <v>225</v>
      </c>
      <c r="F36" s="2535" t="s">
        <v>323</v>
      </c>
      <c r="G36" s="2535" t="s">
        <v>225</v>
      </c>
      <c r="H36" s="2532" t="s">
        <v>198</v>
      </c>
      <c r="I36" s="2535" t="s">
        <v>198</v>
      </c>
      <c r="J36" s="2536" t="s">
        <v>198</v>
      </c>
      <c r="K36" s="2537" t="s">
        <v>198</v>
      </c>
      <c r="L36" s="2532" t="s">
        <v>198</v>
      </c>
      <c r="M36" s="2535" t="s">
        <v>198</v>
      </c>
      <c r="N36" s="2532" t="s">
        <v>198</v>
      </c>
      <c r="O36" s="2535" t="s">
        <v>198</v>
      </c>
      <c r="P36" s="2532" t="s">
        <v>198</v>
      </c>
      <c r="Q36" s="2535" t="s">
        <v>198</v>
      </c>
      <c r="S36" s="1102" t="s">
        <v>200</v>
      </c>
      <c r="T36" s="1103" t="s">
        <v>201</v>
      </c>
      <c r="U36" s="1182" t="s">
        <v>324</v>
      </c>
      <c r="W36" s="1661"/>
      <c r="X36" s="1661"/>
      <c r="AN36" s="3499" t="s">
        <v>232</v>
      </c>
      <c r="AO36" s="1314">
        <f>SUM(K37:K44)-SUM(J37:J44)</f>
        <v>0</v>
      </c>
      <c r="AP36" s="2523">
        <f>SUM(AR8:AR15)-SUM(AQ8:AQ15)</f>
        <v>0</v>
      </c>
      <c r="AQ36" s="1315">
        <f>AO36-AP36</f>
        <v>0</v>
      </c>
    </row>
    <row r="37" spans="2:47" ht="17" x14ac:dyDescent="0.25">
      <c r="B37" s="1057" t="s">
        <v>268</v>
      </c>
      <c r="C37" s="1688">
        <v>0</v>
      </c>
      <c r="D37" s="1688">
        <f>'2.LUC'!$N36</f>
        <v>0</v>
      </c>
      <c r="E37" s="1688" t="str">
        <f>VLOOKUP('2.LUC'!$O36, list!$I$48:$J$50,2,FALSE )</f>
        <v>Linear</v>
      </c>
      <c r="F37" s="1688">
        <f>'2.LUC'!$P36</f>
        <v>0</v>
      </c>
      <c r="G37" s="1688" t="str">
        <f>VLOOKUP('2.LUC'!$Q36, list!$I$48:$J$50,2,FALSE )</f>
        <v>Linear</v>
      </c>
      <c r="H37" s="3468">
        <f t="shared" ref="H37:H44" si="23">IF(V24&lt;-AD8*D37,-AD8*D37,V24)</f>
        <v>0</v>
      </c>
      <c r="I37" s="1151">
        <f t="shared" ref="I37:I44" si="24">IF(W24&lt;-AD8*F37,-AD8*F37,W24)</f>
        <v>0</v>
      </c>
      <c r="J37" s="2539">
        <f>-1*MIN(($AE24*(time*(VLOOKUP(E37,list!$J$48:$K$50,2,))+time_cap)*D37), AC24*D37)</f>
        <v>0</v>
      </c>
      <c r="K37" s="1313">
        <f>-1*MIN(($AE24*(time*(VLOOKUP(G37,list!$J$48:$K$50,2,))+time_cap)*F37), AC24*F37)</f>
        <v>0</v>
      </c>
      <c r="L37" s="3468">
        <f>IF('2.LUC'!$C36&lt;&gt; "Please select", ((affo!$D37*affo!I24)*44/12), 0)</f>
        <v>0</v>
      </c>
      <c r="M37" s="1151">
        <f>IF('2.LUC'!$C36&lt;&gt; "Please select", ((affo!$F37*affo!I24)*44/12), 0)</f>
        <v>0</v>
      </c>
      <c r="N37" s="1151">
        <f>IF(ABS($N24*(IF(E37="Immediate", D37*MIN(20,time_tot), D37*IF(time_tot&gt;time+20,20,IF(time_tot&lt;20,(time*VLOOKUP(E37, list!$J$48:$K$50, 2,))+(time_tot-time),((MIN(20,time)*VLOOKUP(affo!E37,  list!$J$48:$K$50,2,))+(time_tot-MIN(20,time))-IF(affo!E37="Exponential",time_tot-20+0.217*time*(EXP(4.606*(20-time_tot)/time)-1),((time_tot-20)^2)*(0.5/time))))))))&gt;=ABS(M24*-44/12*D37),M24*-44/12*D37,$N24*(IF(E37="Immediate", D37*MIN(20,time_tot), D37*IF(time_tot&gt;time+20,20,IF(time_tot&lt;20,(time*VLOOKUP(E37, list!$J$48:$K$50, 2,))+(time_tot-time),((MIN(20,time)*VLOOKUP(affo!E37,  list!$J$48:$K$50,2,))+(time_tot-MIN(20,time))-IF(affo!E37="Exponential",time_tot-20+0.217*time*(EXP(4.606*(20-time_tot)/time)-1),((time_tot-20)^2)*(0.5/time))))))))</f>
        <v>0</v>
      </c>
      <c r="O37" s="1151">
        <f>IF(ABS($N24*(IF(G37="Immediate", F37*MIN(20,time_tot), F37*IF(time_tot&gt;time+20,20,IF(time_tot&lt;20,(time*VLOOKUP( G37,  list!$J$48:$K$50, 2,))+(time_tot-time),((MIN(20,time)*VLOOKUP(affo!G37,  list!$J$48:$K$50,2,))+(time_tot-MIN(20,time))-IF(affo!G37="Exponential",time_tot-20+0.217*time*(EXP(4.606*(20-time_tot)/time)-1),((time_tot-20)^2)*(0.5/time))))))))&gt;=ABS(M24*-44/12*F37),M24*-44/12*F37,$N24*(IF(G37="Immediate", F37*MIN(20,time_tot), F37*IF(time_tot&gt;time+20,20,IF(time_tot&lt;20,(time*VLOOKUP( G37,  list!$J$48:$K$50, 2,))+(time_tot-time),((MIN(20,time)*VLOOKUP(affo!G37,  list!$J$48:$K$50,2,))+(time_tot-MIN(20,time))-IF(affo!G37="Exponential",time_tot-20+0.217*time*(EXP(4.606*(20-time_tot)/time)-1),((time_tot-20)^2)*(0.5/time))))))))</f>
        <v>0</v>
      </c>
      <c r="P37" s="1151">
        <f t="shared" ref="P37:P44" si="25">IF(F24="YES", $D37*$S24, 0)</f>
        <v>0</v>
      </c>
      <c r="Q37" s="1151">
        <f t="shared" ref="Q37:Q44" si="26">IF(F24="YES", $F37*$S24, 0)</f>
        <v>0</v>
      </c>
      <c r="S37" s="1151">
        <f>H37+J37+L37+N37+P37</f>
        <v>0</v>
      </c>
      <c r="T37" s="1151">
        <f>I37+K37+M37+O37+Q37</f>
        <v>0</v>
      </c>
      <c r="U37" s="3473">
        <f>T37-S37</f>
        <v>0</v>
      </c>
      <c r="W37" s="2221"/>
      <c r="X37" s="2221"/>
      <c r="AN37" s="3499" t="s">
        <v>233</v>
      </c>
      <c r="AO37" s="3500">
        <f>SUM(O37:O44)-SUM(N37:N44)</f>
        <v>0</v>
      </c>
      <c r="AP37" s="3501">
        <f>SUM(AT8:AT15)-SUM(AS8:AS15)</f>
        <v>0</v>
      </c>
      <c r="AQ37" s="3502">
        <f>AO37-AP37</f>
        <v>0</v>
      </c>
    </row>
    <row r="38" spans="2:47" x14ac:dyDescent="0.15">
      <c r="B38" s="1057" t="s">
        <v>269</v>
      </c>
      <c r="C38" s="1688">
        <v>0</v>
      </c>
      <c r="D38" s="1688">
        <f>'2.LUC'!$N37</f>
        <v>0</v>
      </c>
      <c r="E38" s="1688" t="str">
        <f>VLOOKUP('2.LUC'!$O37, list!$I$48:$J$50,2,FALSE )</f>
        <v>Linear</v>
      </c>
      <c r="F38" s="1688">
        <f>'2.LUC'!$P37</f>
        <v>0</v>
      </c>
      <c r="G38" s="1688" t="str">
        <f>VLOOKUP('2.LUC'!$Q37, list!$I$48:$J$50,2,FALSE )</f>
        <v>Linear</v>
      </c>
      <c r="H38" s="3468">
        <f t="shared" si="23"/>
        <v>0</v>
      </c>
      <c r="I38" s="1151">
        <f t="shared" si="24"/>
        <v>0</v>
      </c>
      <c r="J38" s="2539">
        <f>-1*MIN(($AE25*(time*(VLOOKUP(E38,list!$J$48:$K$50,2,))+time_cap)*D38), AC25*D38)</f>
        <v>0</v>
      </c>
      <c r="K38" s="1313">
        <f>-1*MIN(($AE25*(time*(VLOOKUP(G38,list!$J$48:$K$50,2,))+time_cap)*F38), AC25*F38)</f>
        <v>0</v>
      </c>
      <c r="L38" s="3470">
        <f>IF('2.LUC'!$C37&lt;&gt; "Please select", ((affo!$D38*affo!I25)*44/12), 0)</f>
        <v>0</v>
      </c>
      <c r="M38" s="1152">
        <f>IF('2.LUC'!$C37&lt;&gt; "Please select", ((affo!$F38*affo!I25)*44/12), 0)</f>
        <v>0</v>
      </c>
      <c r="N38" s="1151">
        <f>IF(ABS($N25*(IF(E38="Immediate", D38*MIN(20,time_tot), D38*IF(time_tot&gt;time+20,20,IF(time_tot&lt;20,(time*VLOOKUP(E38, list!$J$48:$K$50, 2,))+(time_tot-time),((MIN(20,time)*VLOOKUP(affo!E38,  list!$J$48:$K$50,2,))+(time_tot-MIN(20,time))-IF(affo!E38="Exponential",time_tot-20+0.217*time*(EXP(4.606*(20-time_tot)/time)-1),((time_tot-20)^2)*(0.5/time))))))))&gt;=ABS(M25*-44/12*D38),M25*-44/12*D38,$N25*(IF(E38="Immediate", D38*MIN(20,time_tot), D38*IF(time_tot&gt;time+20,20,IF(time_tot&lt;20,(time*VLOOKUP(E38, list!$J$48:$K$50, 2,))+(time_tot-time),((MIN(20,time)*VLOOKUP(affo!E38,  list!$J$48:$K$50,2,))+(time_tot-MIN(20,time))-IF(affo!E38="Exponential",time_tot-20+0.217*time*(EXP(4.606*(20-time_tot)/time)-1),((time_tot-20)^2)*(0.5/time))))))))</f>
        <v>0</v>
      </c>
      <c r="O38" s="1151">
        <f>IF(ABS($N25*(IF(G38="Immediate", F38*MIN(20,time_tot), F38*IF(time_tot&gt;time+20,20,IF(time_tot&lt;20,(time*VLOOKUP( G38,  list!$J$48:$K$50, 2,))+(time_tot-time),((MIN(20,time)*VLOOKUP(affo!G38,  list!$J$48:$K$50,2,))+(time_tot-MIN(20,time))-IF(affo!G38="Exponential",time_tot-20+0.217*time*(EXP(4.606*(20-time_tot)/time)-1),((time_tot-20)^2)*(0.5/time))))))))&gt;=ABS(M25*-44/12*F38),M25*-44/12*F38,$N25*(IF(G38="Immediate", F38*MIN(20,time_tot), F38*IF(time_tot&gt;time+20,20,IF(time_tot&lt;20,(time*VLOOKUP( G38,  list!$J$48:$K$50, 2,))+(time_tot-time),((MIN(20,time)*VLOOKUP(affo!G38,  list!$J$48:$K$50,2,))+(time_tot-MIN(20,time))-IF(affo!G38="Exponential",time_tot-20+0.217*time*(EXP(4.606*(20-time_tot)/time)-1),((time_tot-20)^2)*(0.5/time))))))))</f>
        <v>0</v>
      </c>
      <c r="P38" s="1152">
        <f t="shared" si="25"/>
        <v>0</v>
      </c>
      <c r="Q38" s="1152">
        <f t="shared" si="26"/>
        <v>0</v>
      </c>
      <c r="S38" s="1152">
        <f t="shared" ref="S38:T44" si="27">H38+J38+L38+N38+P38</f>
        <v>0</v>
      </c>
      <c r="T38" s="1152">
        <f t="shared" si="27"/>
        <v>0</v>
      </c>
      <c r="U38" s="1159">
        <f>T38-S38</f>
        <v>0</v>
      </c>
      <c r="W38" s="2221"/>
      <c r="X38" s="2221"/>
      <c r="AN38" s="3499" t="s">
        <v>161</v>
      </c>
      <c r="AO38" s="3500">
        <f>SUM(AJ8:AJ15)-SUM(AI8:AI15)</f>
        <v>0</v>
      </c>
      <c r="AP38" s="3501">
        <f>IF(time=0,0, AO38)</f>
        <v>0</v>
      </c>
      <c r="AQ38" s="3502">
        <f>AO38-AP38</f>
        <v>0</v>
      </c>
    </row>
    <row r="39" spans="2:47" x14ac:dyDescent="0.15">
      <c r="B39" s="1057" t="s">
        <v>270</v>
      </c>
      <c r="C39" s="1688">
        <v>0</v>
      </c>
      <c r="D39" s="1688">
        <f>'2.LUC'!$N38</f>
        <v>0</v>
      </c>
      <c r="E39" s="1688" t="str">
        <f>VLOOKUP('2.LUC'!$O38, list!$I$48:$J$50,2,FALSE )</f>
        <v>Linear</v>
      </c>
      <c r="F39" s="1688">
        <f>'2.LUC'!$P38</f>
        <v>0</v>
      </c>
      <c r="G39" s="1688" t="str">
        <f>VLOOKUP('2.LUC'!$Q38, list!$I$48:$J$50,2,FALSE )</f>
        <v>Linear</v>
      </c>
      <c r="H39" s="3468">
        <f t="shared" si="23"/>
        <v>0</v>
      </c>
      <c r="I39" s="1151">
        <f t="shared" si="24"/>
        <v>0</v>
      </c>
      <c r="J39" s="2539">
        <f>-1*MIN(($AE26*(time*(VLOOKUP(E39,list!$J$48:$K$50,2,))+time_cap)*D39), AC26*D39)</f>
        <v>0</v>
      </c>
      <c r="K39" s="1313">
        <f>-1*MIN(($AE26*(time*(VLOOKUP(G39,list!$J$48:$K$50,2,))+time_cap)*F39), AC26*F39)</f>
        <v>0</v>
      </c>
      <c r="L39" s="3470">
        <f>IF('2.LUC'!$C38&lt;&gt; "Please select", ((affo!$D39*affo!I26)*44/12), 0)</f>
        <v>0</v>
      </c>
      <c r="M39" s="1152">
        <f>IF('2.LUC'!$C38&lt;&gt; "Please select", ((affo!$F39*affo!I26)*44/12), 0)</f>
        <v>0</v>
      </c>
      <c r="N39" s="1151">
        <f>IF(ABS($N26*(IF(E39="Immediate", D39*MIN(20,time_tot), D39*IF(time_tot&gt;time+20,20,IF(time_tot&lt;20,(time*VLOOKUP(E39, list!$J$48:$K$50, 2,))+(time_tot-time),((MIN(20,time)*VLOOKUP(affo!E39,  list!$J$48:$K$50,2,))+(time_tot-MIN(20,time))-IF(affo!E39="Exponential",time_tot-20+0.217*time*(EXP(4.606*(20-time_tot)/time)-1),((time_tot-20)^2)*(0.5/time))))))))&gt;=ABS(M26*-44/12*D39),M26*-44/12*D39,$N26*(IF(E39="Immediate", D39*MIN(20,time_tot), D39*IF(time_tot&gt;time+20,20,IF(time_tot&lt;20,(time*VLOOKUP(E39, list!$J$48:$K$50, 2,))+(time_tot-time),((MIN(20,time)*VLOOKUP(affo!E39,  list!$J$48:$K$50,2,))+(time_tot-MIN(20,time))-IF(affo!E39="Exponential",time_tot-20+0.217*time*(EXP(4.606*(20-time_tot)/time)-1),((time_tot-20)^2)*(0.5/time))))))))</f>
        <v>0</v>
      </c>
      <c r="O39" s="1151">
        <f>IF(ABS($N26*(IF(G39="Immediate", F39*MIN(20,time_tot), F39*IF(time_tot&gt;time+20,20,IF(time_tot&lt;20,(time*VLOOKUP( G39,  list!$J$48:$K$50, 2,))+(time_tot-time),((MIN(20,time)*VLOOKUP(affo!G39,  list!$J$48:$K$50,2,))+(time_tot-MIN(20,time))-IF(affo!G39="Exponential",time_tot-20+0.217*time*(EXP(4.606*(20-time_tot)/time)-1),((time_tot-20)^2)*(0.5/time))))))))&gt;=ABS(M26*-44/12*F39),M26*-44/12*F39,$N26*(IF(G39="Immediate", F39*MIN(20,time_tot), F39*IF(time_tot&gt;time+20,20,IF(time_tot&lt;20,(time*VLOOKUP( G39,  list!$J$48:$K$50, 2,))+(time_tot-time),((MIN(20,time)*VLOOKUP(affo!G39,  list!$J$48:$K$50,2,))+(time_tot-MIN(20,time))-IF(affo!G39="Exponential",time_tot-20+0.217*time*(EXP(4.606*(20-time_tot)/time)-1),((time_tot-20)^2)*(0.5/time))))))))</f>
        <v>0</v>
      </c>
      <c r="P39" s="1152">
        <f t="shared" si="25"/>
        <v>0</v>
      </c>
      <c r="Q39" s="1152">
        <f t="shared" si="26"/>
        <v>0</v>
      </c>
      <c r="S39" s="1152">
        <f t="shared" si="27"/>
        <v>0</v>
      </c>
      <c r="T39" s="1152">
        <f t="shared" si="27"/>
        <v>0</v>
      </c>
      <c r="U39" s="1159">
        <f t="shared" ref="U39:U44" si="28">T39-S39</f>
        <v>0</v>
      </c>
      <c r="W39" s="2221"/>
      <c r="X39" s="2221"/>
      <c r="AN39" s="3499" t="s">
        <v>162</v>
      </c>
      <c r="AO39" s="3500">
        <f>SUM(AL8:AL15)-SUM(AK8:AK15)</f>
        <v>0</v>
      </c>
      <c r="AP39" s="3501">
        <f>IF(time=0, 0, AO39)</f>
        <v>0</v>
      </c>
      <c r="AQ39" s="1315">
        <f>AO39-AP39</f>
        <v>0</v>
      </c>
    </row>
    <row r="40" spans="2:47" x14ac:dyDescent="0.15">
      <c r="B40" s="1057" t="s">
        <v>271</v>
      </c>
      <c r="C40" s="1688">
        <v>0</v>
      </c>
      <c r="D40" s="1688">
        <f>'2.LUC'!$N39</f>
        <v>0</v>
      </c>
      <c r="E40" s="1688" t="str">
        <f>VLOOKUP('2.LUC'!$O39, list!$I$48:$J$50,2,FALSE )</f>
        <v>Linear</v>
      </c>
      <c r="F40" s="1688">
        <f>'2.LUC'!$P39</f>
        <v>0</v>
      </c>
      <c r="G40" s="1688" t="str">
        <f>VLOOKUP('2.LUC'!$Q39, list!$I$48:$J$50,2,FALSE )</f>
        <v>Linear</v>
      </c>
      <c r="H40" s="3468">
        <f t="shared" si="23"/>
        <v>0</v>
      </c>
      <c r="I40" s="1151">
        <f t="shared" si="24"/>
        <v>0</v>
      </c>
      <c r="J40" s="2539">
        <f>-1*MIN(($AE27*(time*(VLOOKUP(E40,list!$J$48:$K$50,2,))+time_cap)*D40), AC27*D40)</f>
        <v>0</v>
      </c>
      <c r="K40" s="1313">
        <f>-1*MIN(($AE27*(time*(VLOOKUP(G40,list!$J$48:$K$50,2,))+time_cap)*F40), AC27*F40)</f>
        <v>0</v>
      </c>
      <c r="L40" s="3470">
        <f>IF('2.LUC'!$C39&lt;&gt; "Please select", ((affo!$D40*affo!I27)*44/12), 0)</f>
        <v>0</v>
      </c>
      <c r="M40" s="1152">
        <f>IF('2.LUC'!$C39&lt;&gt; "Please select", ((affo!$F40*affo!I27)*44/12), 0)</f>
        <v>0</v>
      </c>
      <c r="N40" s="1151">
        <f>IF(ABS($N27*(IF(E40="Immediate", D40*MIN(20,time_tot), D40*IF(time_tot&gt;time+20,20,IF(time_tot&lt;20,(time*VLOOKUP(E40, list!$J$48:$K$50, 2,))+(time_tot-time),((MIN(20,time)*VLOOKUP(affo!E40,  list!$J$48:$K$50,2,))+(time_tot-MIN(20,time))-IF(affo!E40="Exponential",time_tot-20+0.217*time*(EXP(4.606*(20-time_tot)/time)-1),((time_tot-20)^2)*(0.5/time))))))))&gt;=ABS(M27*-44/12*D40),M27*-44/12*D40,$N27*(IF(E40="Immediate", D40*MIN(20,time_tot), D40*IF(time_tot&gt;time+20,20,IF(time_tot&lt;20,(time*VLOOKUP(E40, list!$J$48:$K$50, 2,))+(time_tot-time),((MIN(20,time)*VLOOKUP(affo!E40,  list!$J$48:$K$50,2,))+(time_tot-MIN(20,time))-IF(affo!E40="Exponential",time_tot-20+0.217*time*(EXP(4.606*(20-time_tot)/time)-1),((time_tot-20)^2)*(0.5/time))))))))</f>
        <v>0</v>
      </c>
      <c r="O40" s="1151">
        <f>IF(ABS($N27*(IF(G40="Immediate", F40*MIN(20,time_tot), F40*IF(time_tot&gt;time+20,20,IF(time_tot&lt;20,(time*VLOOKUP( G40,  list!$J$48:$K$50, 2,))+(time_tot-time),((MIN(20,time)*VLOOKUP(affo!G40,  list!$J$48:$K$50,2,))+(time_tot-MIN(20,time))-IF(affo!G40="Exponential",time_tot-20+0.217*time*(EXP(4.606*(20-time_tot)/time)-1),((time_tot-20)^2)*(0.5/time))))))))&gt;=ABS(M27*-44/12*F40),M27*-44/12*F40,$N27*(IF(G40="Immediate", F40*MIN(20,time_tot), F40*IF(time_tot&gt;time+20,20,IF(time_tot&lt;20,(time*VLOOKUP( G40,  list!$J$48:$K$50, 2,))+(time_tot-time),((MIN(20,time)*VLOOKUP(affo!G40,  list!$J$48:$K$50,2,))+(time_tot-MIN(20,time))-IF(affo!G40="Exponential",time_tot-20+0.217*time*(EXP(4.606*(20-time_tot)/time)-1),((time_tot-20)^2)*(0.5/time))))))))</f>
        <v>0</v>
      </c>
      <c r="P40" s="1152">
        <f t="shared" si="25"/>
        <v>0</v>
      </c>
      <c r="Q40" s="1152">
        <f t="shared" si="26"/>
        <v>0</v>
      </c>
      <c r="S40" s="1152">
        <f t="shared" si="27"/>
        <v>0</v>
      </c>
      <c r="T40" s="1152">
        <f t="shared" si="27"/>
        <v>0</v>
      </c>
      <c r="U40" s="1159">
        <f t="shared" si="28"/>
        <v>0</v>
      </c>
      <c r="W40" s="2221"/>
      <c r="X40" s="2221"/>
      <c r="AN40" s="3466" t="s">
        <v>235</v>
      </c>
      <c r="AO40" s="3862">
        <f>SUM(AO35:AO39)</f>
        <v>0</v>
      </c>
      <c r="AP40" s="3862">
        <f>SUM(AP35:AP39)</f>
        <v>0</v>
      </c>
      <c r="AQ40" s="3862">
        <f>SUM(AQ35:AQ39)</f>
        <v>0</v>
      </c>
    </row>
    <row r="41" spans="2:47" x14ac:dyDescent="0.15">
      <c r="B41" s="1057" t="s">
        <v>272</v>
      </c>
      <c r="C41" s="1688">
        <v>0</v>
      </c>
      <c r="D41" s="1688">
        <f>'2.LUC'!$N40</f>
        <v>0</v>
      </c>
      <c r="E41" s="1688" t="str">
        <f>VLOOKUP('2.LUC'!$O40, list!$I$48:$J$50,2,FALSE )</f>
        <v>Linear</v>
      </c>
      <c r="F41" s="1688">
        <f>'2.LUC'!$P40</f>
        <v>0</v>
      </c>
      <c r="G41" s="1688" t="str">
        <f>VLOOKUP('2.LUC'!$Q40, list!$I$48:$J$50,2,FALSE )</f>
        <v>Linear</v>
      </c>
      <c r="H41" s="3468">
        <f t="shared" si="23"/>
        <v>0</v>
      </c>
      <c r="I41" s="1151">
        <f t="shared" si="24"/>
        <v>0</v>
      </c>
      <c r="J41" s="2539">
        <f>-1*MIN(($AE28*(time*(VLOOKUP(E41,list!$J$48:$K$50,2,))+time_cap)*D41), AC28*D41)</f>
        <v>0</v>
      </c>
      <c r="K41" s="1313">
        <f>-1*MIN(($AE28*(time*(VLOOKUP(G41,list!$J$48:$K$50,2,))+time_cap)*F41), AC28*F41)</f>
        <v>0</v>
      </c>
      <c r="L41" s="3470">
        <f>IF('2.LUC'!$C40&lt;&gt; "Please select", ((affo!$D41*affo!I28)*44/12), 0)</f>
        <v>0</v>
      </c>
      <c r="M41" s="1152">
        <f>IF('2.LUC'!$C40&lt;&gt; "Please select", ((affo!$F41*affo!I28)*44/12), 0)</f>
        <v>0</v>
      </c>
      <c r="N41" s="1151">
        <f>IF(ABS($N28*(IF(E41="Immediate", D41*MIN(20,time_tot), D41*IF(time_tot&gt;time+20,20,IF(time_tot&lt;20,(time*VLOOKUP(E41, list!$J$48:$K$50, 2,))+(time_tot-time),((MIN(20,time)*VLOOKUP(affo!E41,  list!$J$48:$K$50,2,))+(time_tot-MIN(20,time))-IF(affo!E41="Exponential",time_tot-20+0.217*time*(EXP(4.606*(20-time_tot)/time)-1),((time_tot-20)^2)*(0.5/time))))))))&gt;=ABS(M28*-44/12*D41),M28*-44/12*D41,$N28*(IF(E41="Immediate", D41*MIN(20,time_tot), D41*IF(time_tot&gt;time+20,20,IF(time_tot&lt;20,(time*VLOOKUP(E41, list!$J$48:$K$50, 2,))+(time_tot-time),((MIN(20,time)*VLOOKUP(affo!E41,  list!$J$48:$K$50,2,))+(time_tot-MIN(20,time))-IF(affo!E41="Exponential",time_tot-20+0.217*time*(EXP(4.606*(20-time_tot)/time)-1),((time_tot-20)^2)*(0.5/time))))))))</f>
        <v>0</v>
      </c>
      <c r="O41" s="1151">
        <f>IF(ABS($N28*(IF(G41="Immediate", F41*MIN(20,time_tot), F41*IF(time_tot&gt;time+20,20,IF(time_tot&lt;20,(time*VLOOKUP( G41,  list!$J$48:$K$50, 2,))+(time_tot-time),((MIN(20,time)*VLOOKUP(affo!G41,  list!$J$48:$K$50,2,))+(time_tot-MIN(20,time))-IF(affo!G41="Exponential",time_tot-20+0.217*time*(EXP(4.606*(20-time_tot)/time)-1),((time_tot-20)^2)*(0.5/time))))))))&gt;=ABS(M28*-44/12*F41),M28*-44/12*F41,$N28*(IF(G41="Immediate", F41*MIN(20,time_tot), F41*IF(time_tot&gt;time+20,20,IF(time_tot&lt;20,(time*VLOOKUP( G41,  list!$J$48:$K$50, 2,))+(time_tot-time),((MIN(20,time)*VLOOKUP(affo!G41,  list!$J$48:$K$50,2,))+(time_tot-MIN(20,time))-IF(affo!G41="Exponential",time_tot-20+0.217*time*(EXP(4.606*(20-time_tot)/time)-1),((time_tot-20)^2)*(0.5/time))))))))</f>
        <v>0</v>
      </c>
      <c r="P41" s="1152">
        <f t="shared" si="25"/>
        <v>0</v>
      </c>
      <c r="Q41" s="1152">
        <f t="shared" si="26"/>
        <v>0</v>
      </c>
      <c r="S41" s="1152">
        <f t="shared" si="27"/>
        <v>0</v>
      </c>
      <c r="T41" s="1152">
        <f t="shared" si="27"/>
        <v>0</v>
      </c>
      <c r="U41" s="1159">
        <f t="shared" si="28"/>
        <v>0</v>
      </c>
      <c r="W41" s="2221"/>
      <c r="X41" s="2221"/>
    </row>
    <row r="42" spans="2:47" x14ac:dyDescent="0.15">
      <c r="B42" s="1057" t="s">
        <v>273</v>
      </c>
      <c r="C42" s="1688">
        <v>0</v>
      </c>
      <c r="D42" s="1688">
        <f>'2.LUC'!$N41</f>
        <v>0</v>
      </c>
      <c r="E42" s="1688" t="str">
        <f>VLOOKUP('2.LUC'!$O41, list!$I$48:$J$50,2,FALSE )</f>
        <v>Linear</v>
      </c>
      <c r="F42" s="1688">
        <f>'2.LUC'!$P41</f>
        <v>0</v>
      </c>
      <c r="G42" s="1688" t="str">
        <f>VLOOKUP('2.LUC'!$Q41, list!$I$48:$J$50,2,FALSE )</f>
        <v>Linear</v>
      </c>
      <c r="H42" s="3468">
        <f t="shared" si="23"/>
        <v>0</v>
      </c>
      <c r="I42" s="1151">
        <f t="shared" si="24"/>
        <v>0</v>
      </c>
      <c r="J42" s="2539">
        <f>-1*MIN(($AE29*(time*(VLOOKUP(E42,list!$J$48:$K$50,2,))+time_cap)*D42), AC29*D42)</f>
        <v>0</v>
      </c>
      <c r="K42" s="1313">
        <f>-1*MIN(($AE29*(time*(VLOOKUP(G42,list!$J$48:$K$50,2,))+time_cap)*F42), AC29*F42)</f>
        <v>0</v>
      </c>
      <c r="L42" s="3470">
        <f>IF('2.LUC'!$C41&lt;&gt; "Please select", ((affo!$D42*affo!I29)*44/12), 0)</f>
        <v>0</v>
      </c>
      <c r="M42" s="1152">
        <f>IF('2.LUC'!$C41&lt;&gt; "Please select", ((affo!$F42*affo!I29)*44/12), 0)</f>
        <v>0</v>
      </c>
      <c r="N42" s="1151">
        <f>IF(ABS($N29*(IF(E42="Immediate", D42*MIN(20,time_tot), D42*IF(time_tot&gt;time+20,20,IF(time_tot&lt;20,(time*VLOOKUP(E42, list!$J$48:$K$50, 2,))+(time_tot-time),((MIN(20,time)*VLOOKUP(affo!E42,  list!$J$48:$K$50,2,))+(time_tot-MIN(20,time))-IF(affo!E42="Exponential",time_tot-20+0.217*time*(EXP(4.606*(20-time_tot)/time)-1),((time_tot-20)^2)*(0.5/time))))))))&gt;=ABS(M29*-44/12*D42),M29*-44/12*D42,$N29*(IF(E42="Immediate", D42*MIN(20,time_tot), D42*IF(time_tot&gt;time+20,20,IF(time_tot&lt;20,(time*VLOOKUP(E42, list!$J$48:$K$50, 2,))+(time_tot-time),((MIN(20,time)*VLOOKUP(affo!E42,  list!$J$48:$K$50,2,))+(time_tot-MIN(20,time))-IF(affo!E42="Exponential",time_tot-20+0.217*time*(EXP(4.606*(20-time_tot)/time)-1),((time_tot-20)^2)*(0.5/time))))))))</f>
        <v>0</v>
      </c>
      <c r="O42" s="1151">
        <f>IF(ABS($N29*(IF(G42="Immediate", F42*MIN(20,time_tot), F42*IF(time_tot&gt;time+20,20,IF(time_tot&lt;20,(time*VLOOKUP( G42,  list!$J$48:$K$50, 2,))+(time_tot-time),((MIN(20,time)*VLOOKUP(affo!G42,  list!$J$48:$K$50,2,))+(time_tot-MIN(20,time))-IF(affo!G42="Exponential",time_tot-20+0.217*time*(EXP(4.606*(20-time_tot)/time)-1),((time_tot-20)^2)*(0.5/time))))))))&gt;=ABS(M29*-44/12*F42),M29*-44/12*F42,$N29*(IF(G42="Immediate", F42*MIN(20,time_tot), F42*IF(time_tot&gt;time+20,20,IF(time_tot&lt;20,(time*VLOOKUP( G42,  list!$J$48:$K$50, 2,))+(time_tot-time),((MIN(20,time)*VLOOKUP(affo!G42,  list!$J$48:$K$50,2,))+(time_tot-MIN(20,time))-IF(affo!G42="Exponential",time_tot-20+0.217*time*(EXP(4.606*(20-time_tot)/time)-1),((time_tot-20)^2)*(0.5/time))))))))</f>
        <v>0</v>
      </c>
      <c r="P42" s="1152">
        <f t="shared" si="25"/>
        <v>0</v>
      </c>
      <c r="Q42" s="1152">
        <f t="shared" si="26"/>
        <v>0</v>
      </c>
      <c r="S42" s="1152">
        <f t="shared" si="27"/>
        <v>0</v>
      </c>
      <c r="T42" s="1152">
        <f t="shared" si="27"/>
        <v>0</v>
      </c>
      <c r="U42" s="1159">
        <f t="shared" si="28"/>
        <v>0</v>
      </c>
      <c r="W42" s="2221"/>
      <c r="X42" s="2221"/>
    </row>
    <row r="43" spans="2:47" x14ac:dyDescent="0.15">
      <c r="B43" s="1057" t="s">
        <v>274</v>
      </c>
      <c r="C43" s="1688">
        <v>0</v>
      </c>
      <c r="D43" s="1688">
        <f>'2.LUC'!$N42</f>
        <v>0</v>
      </c>
      <c r="E43" s="1688" t="str">
        <f>VLOOKUP('2.LUC'!$O42, list!$I$48:$J$50,2,FALSE )</f>
        <v>Linear</v>
      </c>
      <c r="F43" s="1688">
        <f>'2.LUC'!$P42</f>
        <v>0</v>
      </c>
      <c r="G43" s="1688" t="str">
        <f>VLOOKUP('2.LUC'!$Q42, list!$I$48:$J$50,2,FALSE )</f>
        <v>Linear</v>
      </c>
      <c r="H43" s="3468">
        <f t="shared" si="23"/>
        <v>0</v>
      </c>
      <c r="I43" s="1151">
        <f t="shared" si="24"/>
        <v>0</v>
      </c>
      <c r="J43" s="2539">
        <f>-1*MIN(($AE30*(time*(VLOOKUP(E43,list!$J$48:$K$50,2,))+time_cap)*D43), AC30*D43)</f>
        <v>0</v>
      </c>
      <c r="K43" s="1313">
        <f>-1*MIN(($AE30*(time*(VLOOKUP(G43,list!$J$48:$K$50,2,))+time_cap)*F43), AC30*F43)</f>
        <v>0</v>
      </c>
      <c r="L43" s="3470">
        <f>IF('2.LUC'!$C42&lt;&gt; "Please select", ((affo!$D43*affo!I30)*44/12), 0)</f>
        <v>0</v>
      </c>
      <c r="M43" s="1152">
        <f>IF('2.LUC'!$C42&lt;&gt; "Please select", ((affo!$F43*affo!I30)*44/12), 0)</f>
        <v>0</v>
      </c>
      <c r="N43" s="1151">
        <f>IF(ABS($N30*(IF(E43="Immediate", D43*MIN(20,time_tot), D43*IF(time_tot&gt;time+20,20,IF(time_tot&lt;20,(time*VLOOKUP(E43, list!$J$48:$K$50, 2,))+(time_tot-time),((MIN(20,time)*VLOOKUP(affo!E43,  list!$J$48:$K$50,2,))+(time_tot-MIN(20,time))-IF(affo!E43="Exponential",time_tot-20+0.217*time*(EXP(4.606*(20-time_tot)/time)-1),((time_tot-20)^2)*(0.5/time))))))))&gt;=ABS(M30*-44/12*D43),M30*-44/12*D43,$N30*(IF(E43="Immediate", D43*MIN(20,time_tot), D43*IF(time_tot&gt;time+20,20,IF(time_tot&lt;20,(time*VLOOKUP(E43, list!$J$48:$K$50, 2,))+(time_tot-time),((MIN(20,time)*VLOOKUP(affo!E43,  list!$J$48:$K$50,2,))+(time_tot-MIN(20,time))-IF(affo!E43="Exponential",time_tot-20+0.217*time*(EXP(4.606*(20-time_tot)/time)-1),((time_tot-20)^2)*(0.5/time))))))))</f>
        <v>0</v>
      </c>
      <c r="O43" s="1151">
        <f>IF(ABS($N30*(IF(G43="Immediate", F43*MIN(20,time_tot), F43*IF(time_tot&gt;time+20,20,IF(time_tot&lt;20,(time*VLOOKUP( G43,  list!$J$48:$K$50, 2,))+(time_tot-time),((MIN(20,time)*VLOOKUP(affo!G43,  list!$J$48:$K$50,2,))+(time_tot-MIN(20,time))-IF(affo!G43="Exponential",time_tot-20+0.217*time*(EXP(4.606*(20-time_tot)/time)-1),((time_tot-20)^2)*(0.5/time))))))))&gt;=ABS(M30*-44/12*F43),M30*-44/12*F43,$N30*(IF(G43="Immediate", F43*MIN(20,time_tot), F43*IF(time_tot&gt;time+20,20,IF(time_tot&lt;20,(time*VLOOKUP( G43,  list!$J$48:$K$50, 2,))+(time_tot-time),((MIN(20,time)*VLOOKUP(affo!G43,  list!$J$48:$K$50,2,))+(time_tot-MIN(20,time))-IF(affo!G43="Exponential",time_tot-20+0.217*time*(EXP(4.606*(20-time_tot)/time)-1),((time_tot-20)^2)*(0.5/time))))))))</f>
        <v>0</v>
      </c>
      <c r="P43" s="1152">
        <f t="shared" si="25"/>
        <v>0</v>
      </c>
      <c r="Q43" s="1152">
        <f t="shared" si="26"/>
        <v>0</v>
      </c>
      <c r="S43" s="1152">
        <f t="shared" si="27"/>
        <v>0</v>
      </c>
      <c r="T43" s="1152">
        <f t="shared" si="27"/>
        <v>0</v>
      </c>
      <c r="U43" s="1159">
        <f t="shared" si="28"/>
        <v>0</v>
      </c>
    </row>
    <row r="44" spans="2:47" x14ac:dyDescent="0.15">
      <c r="B44" s="1057" t="s">
        <v>275</v>
      </c>
      <c r="C44" s="1688">
        <v>0</v>
      </c>
      <c r="D44" s="1688">
        <f>'2.LUC'!$N43</f>
        <v>0</v>
      </c>
      <c r="E44" s="1688" t="str">
        <f>VLOOKUP('2.LUC'!$O43, list!$I$48:$J$50,2,FALSE )</f>
        <v>Linear</v>
      </c>
      <c r="F44" s="1688">
        <f>'2.LUC'!$P43</f>
        <v>0</v>
      </c>
      <c r="G44" s="1688" t="str">
        <f>VLOOKUP('2.LUC'!$Q43, list!$I$48:$J$50,2,FALSE )</f>
        <v>Linear</v>
      </c>
      <c r="H44" s="3468">
        <f t="shared" si="23"/>
        <v>0</v>
      </c>
      <c r="I44" s="1151">
        <f t="shared" si="24"/>
        <v>0</v>
      </c>
      <c r="J44" s="2539">
        <f>-1*MIN(($AE31*(time*(VLOOKUP(E44,list!$J$48:$K$50,2,))+time_cap)*D44), AC31*D44)</f>
        <v>0</v>
      </c>
      <c r="K44" s="1313">
        <f>-1*MIN(($AE31*(time*(VLOOKUP(G44,list!$J$48:$K$50,2,))+time_cap)*F44), AC31*F44)</f>
        <v>0</v>
      </c>
      <c r="L44" s="3471">
        <f>IF('2.LUC'!$C43&lt;&gt; "Please select", ((affo!$D44*affo!I31)*44/12), 0)</f>
        <v>0</v>
      </c>
      <c r="M44" s="1153">
        <f>IF('2.LUC'!$C43&lt;&gt; "Please select", ((affo!$F44*affo!I31)*44/12), 0)</f>
        <v>0</v>
      </c>
      <c r="N44" s="1151">
        <f>IF(ABS($N31*(IF(E44="Immediate", D44*MIN(20,time_tot), D44*IF(time_tot&gt;time+20,20,IF(time_tot&lt;20,(time*VLOOKUP(E44, list!$J$48:$K$50, 2,))+(time_tot-time),((MIN(20,time)*VLOOKUP(affo!E44,  list!$J$48:$K$50,2,))+(time_tot-MIN(20,time))-IF(affo!E44="Exponential",time_tot-20+0.217*time*(EXP(4.606*(20-time_tot)/time)-1),((time_tot-20)^2)*(0.5/time))))))))&gt;=ABS(M31*-44/12*D44),M31*-44/12*D44,$N31*(IF(E44="Immediate", D44*MIN(20,time_tot), D44*IF(time_tot&gt;time+20,20,IF(time_tot&lt;20,(time*VLOOKUP(E44, list!$J$48:$K$50, 2,))+(time_tot-time),((MIN(20,time)*VLOOKUP(affo!E44,  list!$J$48:$K$50,2,))+(time_tot-MIN(20,time))-IF(affo!E44="Exponential",time_tot-20+0.217*time*(EXP(4.606*(20-time_tot)/time)-1),((time_tot-20)^2)*(0.5/time))))))))</f>
        <v>0</v>
      </c>
      <c r="O44" s="1151">
        <f>IF(ABS($N31*(IF(G44="Immediate", F44*MIN(20,time_tot), F44*IF(time_tot&gt;time+20,20,IF(time_tot&lt;20,(time*VLOOKUP( G44,  list!$J$48:$K$50, 2,))+(time_tot-time),((MIN(20,time)*VLOOKUP(affo!G44,  list!$J$48:$K$50,2,))+(time_tot-MIN(20,time))-IF(affo!G44="Exponential",time_tot-20+0.217*time*(EXP(4.606*(20-time_tot)/time)-1),((time_tot-20)^2)*(0.5/time))))))))&gt;=ABS(M31*-44/12*F44),M31*-44/12*F44,$N31*(IF(G44="Immediate", F44*MIN(20,time_tot), F44*IF(time_tot&gt;time+20,20,IF(time_tot&lt;20,(time*VLOOKUP( G44,  list!$J$48:$K$50, 2,))+(time_tot-time),((MIN(20,time)*VLOOKUP(affo!G44,  list!$J$48:$K$50,2,))+(time_tot-MIN(20,time))-IF(affo!G44="Exponential",time_tot-20+0.217*time*(EXP(4.606*(20-time_tot)/time)-1),((time_tot-20)^2)*(0.5/time))))))))</f>
        <v>0</v>
      </c>
      <c r="P44" s="1153">
        <f t="shared" si="25"/>
        <v>0</v>
      </c>
      <c r="Q44" s="1153">
        <f t="shared" si="26"/>
        <v>0</v>
      </c>
      <c r="S44" s="1153">
        <f t="shared" si="27"/>
        <v>0</v>
      </c>
      <c r="T44" s="1153">
        <f t="shared" si="27"/>
        <v>0</v>
      </c>
      <c r="U44" s="3474">
        <f t="shared" si="28"/>
        <v>0</v>
      </c>
    </row>
    <row r="46" spans="2:47" x14ac:dyDescent="0.15">
      <c r="J46" s="1246"/>
      <c r="R46" s="1653" t="s">
        <v>325</v>
      </c>
      <c r="S46" s="2272">
        <f>SUM(S37:S44)</f>
        <v>0</v>
      </c>
      <c r="T46" s="2272">
        <f>SUM(T37:T44)</f>
        <v>0</v>
      </c>
      <c r="U46" s="2272">
        <f>T46-S46</f>
        <v>0</v>
      </c>
    </row>
    <row r="49" spans="9:21" ht="16" x14ac:dyDescent="0.15">
      <c r="I49" s="1662"/>
      <c r="S49" s="3148"/>
      <c r="T49" s="3147" t="s">
        <v>237</v>
      </c>
      <c r="U49" s="3147">
        <f>SUM('2.LUC'!BF36:BF43,'2.LUC'!BL36:BL43)</f>
        <v>0</v>
      </c>
    </row>
    <row r="51" spans="9:21" ht="16" x14ac:dyDescent="0.15">
      <c r="S51" s="1469"/>
      <c r="T51" s="3154"/>
      <c r="U51" s="3154"/>
    </row>
  </sheetData>
  <mergeCells count="1">
    <mergeCell ref="AE4:AE7"/>
  </mergeCells>
  <pageMargins left="0.7" right="0.7" top="0.75" bottom="0.75" header="0.3" footer="0.3"/>
  <pageSetup paperSize="9" orientation="portrait" horizontalDpi="300" verticalDpi="300" r:id="rId1"/>
  <drawing r:id="rId2"/>
  <mc:AlternateContent xmlns:mc="http://schemas.openxmlformats.org/markup-compatibility/2006">
    <mc:Choice Requires="v">
      <legacyDrawing r:id="rId3"/>
    </mc:Choice>
  </mc:AlternateContent>
</worksheet>
</file>

<file path=xl/worksheets/sheet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theme="9" tint="0.79998168889431442"/>
  </sheetPr>
  <dimension ref="A1:AF56"/>
  <sheetViews>
    <sheetView zoomScale="85" zoomScaleNormal="85" workbookViewId="0">
      <selection activeCell="G24" sqref="G24"/>
    </sheetView>
  </sheetViews>
  <sheetFormatPr baseColWidth="10" defaultColWidth="8.6640625" defaultRowHeight="15" x14ac:dyDescent="0.2"/>
  <cols>
    <col min="1" max="1" width="8.6640625" style="284"/>
    <col min="2" max="2" width="3.5" style="284" customWidth="1"/>
    <col min="3" max="3" width="16.5" style="284" customWidth="1"/>
    <col min="4" max="4" width="12.5" style="284" bestFit="1" customWidth="1"/>
    <col min="5" max="5" width="25.5" style="284" customWidth="1"/>
    <col min="6" max="6" width="15.33203125" style="284" customWidth="1"/>
    <col min="7" max="7" width="15.5" style="284" bestFit="1" customWidth="1"/>
    <col min="8" max="8" width="17.6640625" style="284" bestFit="1" customWidth="1"/>
    <col min="9" max="9" width="15.5" style="284" bestFit="1" customWidth="1"/>
    <col min="10" max="10" width="16.6640625" style="284" bestFit="1" customWidth="1"/>
    <col min="11" max="11" width="15.5" style="284" bestFit="1" customWidth="1"/>
    <col min="12" max="12" width="17.5" style="284" customWidth="1"/>
    <col min="13" max="13" width="16.5" style="284" customWidth="1"/>
    <col min="14" max="14" width="16.6640625" style="284" customWidth="1"/>
    <col min="15" max="15" width="17.5" style="284" customWidth="1"/>
    <col min="16" max="16" width="11.5" style="284" customWidth="1"/>
    <col min="17" max="17" width="10.5" style="284" customWidth="1"/>
    <col min="18" max="18" width="8.6640625" style="284"/>
    <col min="19" max="19" width="15.6640625" style="284" customWidth="1"/>
    <col min="20" max="20" width="16.5" style="284" bestFit="1" customWidth="1"/>
    <col min="21" max="21" width="16.5" style="284" customWidth="1"/>
    <col min="22" max="22" width="15.33203125" style="284" bestFit="1" customWidth="1"/>
    <col min="23" max="24" width="8.6640625" style="284"/>
    <col min="25" max="25" width="11.5" style="284" customWidth="1"/>
    <col min="26" max="28" width="8.6640625" style="284"/>
    <col min="29" max="29" width="12.5" style="284" customWidth="1"/>
    <col min="30" max="30" width="19.6640625" style="284" customWidth="1"/>
    <col min="31" max="31" width="14.33203125" style="284" customWidth="1"/>
    <col min="32" max="32" width="16.5" style="284" customWidth="1"/>
    <col min="33" max="34" width="8.6640625" style="284"/>
    <col min="35" max="35" width="12.5" style="284" bestFit="1" customWidth="1"/>
    <col min="36" max="36" width="8.6640625" style="284"/>
    <col min="37" max="37" width="15.5" style="284" bestFit="1" customWidth="1"/>
    <col min="38" max="38" width="13.5" style="284" bestFit="1" customWidth="1"/>
    <col min="39" max="39" width="12.5" style="284" bestFit="1" customWidth="1"/>
    <col min="40" max="40" width="8.6640625" style="284"/>
    <col min="41" max="41" width="15.5" style="284" bestFit="1" customWidth="1"/>
    <col min="42" max="42" width="13.5" style="284" bestFit="1" customWidth="1"/>
    <col min="43" max="16384" width="8.6640625" style="284"/>
  </cols>
  <sheetData>
    <row r="1" spans="1:32" s="2804" customFormat="1" ht="29.25" customHeight="1" x14ac:dyDescent="0.2"/>
    <row r="2" spans="1:32" s="2805" customFormat="1" ht="59" customHeight="1" x14ac:dyDescent="0.2">
      <c r="A2" s="872"/>
      <c r="B2" s="3514"/>
      <c r="C2" s="1086" t="s">
        <v>326</v>
      </c>
      <c r="D2" s="3514"/>
      <c r="E2" s="3514"/>
      <c r="F2" s="3514"/>
      <c r="G2" s="3514"/>
      <c r="H2" s="872"/>
      <c r="I2" s="872"/>
      <c r="J2" s="872"/>
      <c r="K2" s="872"/>
      <c r="L2" s="872"/>
      <c r="M2" s="872"/>
      <c r="N2" s="872"/>
      <c r="O2" s="872"/>
      <c r="P2" s="872"/>
      <c r="Q2" s="872"/>
      <c r="R2" s="872"/>
      <c r="S2" s="872"/>
      <c r="T2" s="872"/>
      <c r="U2" s="872"/>
      <c r="V2" s="872"/>
      <c r="W2" s="872"/>
      <c r="X2" s="872"/>
      <c r="Y2" s="872"/>
      <c r="Z2" s="872"/>
      <c r="AA2" s="872"/>
      <c r="AB2" s="2804"/>
      <c r="AC2" s="2804"/>
      <c r="AD2" s="2804"/>
      <c r="AE2" s="2804"/>
      <c r="AF2" s="2804"/>
    </row>
    <row r="3" spans="1:32" s="2805" customFormat="1" ht="24" x14ac:dyDescent="0.3">
      <c r="A3" s="2806"/>
      <c r="C3" s="2805" t="s">
        <v>327</v>
      </c>
    </row>
    <row r="4" spans="1:32" s="2805" customFormat="1" ht="15" customHeight="1" x14ac:dyDescent="0.2">
      <c r="V4" s="2846" t="s">
        <v>228</v>
      </c>
      <c r="W4" s="2847" t="s">
        <v>218</v>
      </c>
      <c r="X4" s="2847" t="s">
        <v>229</v>
      </c>
      <c r="Y4" s="2847" t="s">
        <v>230</v>
      </c>
      <c r="AB4" s="284"/>
    </row>
    <row r="5" spans="1:32" s="2805" customFormat="1" ht="15" customHeight="1" x14ac:dyDescent="0.2">
      <c r="V5" s="2844" t="s">
        <v>328</v>
      </c>
      <c r="W5" s="2859">
        <f>SUM(H41:H50)-SUM(G41:G50)</f>
        <v>0</v>
      </c>
      <c r="X5" s="2860">
        <f>IF(time=0,0,W5)</f>
        <v>0</v>
      </c>
      <c r="Y5" s="2861">
        <f>W5-X5</f>
        <v>0</v>
      </c>
      <c r="AB5" s="284"/>
    </row>
    <row r="6" spans="1:32" x14ac:dyDescent="0.2">
      <c r="B6" s="2810"/>
      <c r="C6" s="2810"/>
      <c r="D6" s="2810"/>
      <c r="E6" s="2810"/>
      <c r="F6" s="2810"/>
      <c r="G6" s="2810"/>
      <c r="H6" s="2811" t="s">
        <v>329</v>
      </c>
      <c r="I6" s="921"/>
      <c r="J6" s="2810"/>
      <c r="K6" s="921"/>
      <c r="L6" s="2811" t="s">
        <v>330</v>
      </c>
      <c r="M6" s="921"/>
      <c r="N6" s="2810"/>
      <c r="O6" s="921"/>
      <c r="P6" s="2811" t="s">
        <v>173</v>
      </c>
      <c r="Q6" s="921"/>
      <c r="R6" s="2810"/>
      <c r="S6" s="921"/>
      <c r="V6" s="2844" t="s">
        <v>331</v>
      </c>
      <c r="W6" s="2862">
        <f>SUM(J41:J50)-SUM(I41:I50)</f>
        <v>0</v>
      </c>
      <c r="X6" s="2863">
        <f>SUM(X24:X33)-SUM(W24:W33)</f>
        <v>0</v>
      </c>
      <c r="Y6" s="2864">
        <f>W6-X6</f>
        <v>0</v>
      </c>
    </row>
    <row r="7" spans="1:32" x14ac:dyDescent="0.2">
      <c r="B7" s="2812"/>
      <c r="C7" s="2810" t="s">
        <v>332</v>
      </c>
      <c r="D7" s="2812" t="s">
        <v>333</v>
      </c>
      <c r="E7" s="2810" t="s">
        <v>334</v>
      </c>
      <c r="F7" s="2810" t="s">
        <v>335</v>
      </c>
      <c r="G7" s="2813" t="s">
        <v>336</v>
      </c>
      <c r="H7" s="2814" t="s">
        <v>337</v>
      </c>
      <c r="I7" s="921"/>
      <c r="J7" s="2810"/>
      <c r="K7" s="921"/>
      <c r="L7" s="2814" t="s">
        <v>337</v>
      </c>
      <c r="M7" s="921"/>
      <c r="N7" s="2810"/>
      <c r="O7" s="921"/>
      <c r="P7" s="2814" t="s">
        <v>337</v>
      </c>
      <c r="Q7" s="921"/>
      <c r="R7" s="2810"/>
      <c r="S7" s="921"/>
      <c r="V7" s="461" t="s">
        <v>338</v>
      </c>
      <c r="W7" s="3231">
        <f>SUM(V24:V33)-SUM(U24:U33)</f>
        <v>0</v>
      </c>
      <c r="X7" s="2863">
        <f>IF(time=0,0,W7)</f>
        <v>0</v>
      </c>
      <c r="Y7" s="2856">
        <f>W7-X7</f>
        <v>0</v>
      </c>
    </row>
    <row r="8" spans="1:32" x14ac:dyDescent="0.2">
      <c r="B8" s="2812" t="s">
        <v>339</v>
      </c>
      <c r="C8" s="2810" t="s">
        <v>340</v>
      </c>
      <c r="D8" s="2810" t="s">
        <v>341</v>
      </c>
      <c r="E8" s="2810" t="s">
        <v>342</v>
      </c>
      <c r="F8" s="2810" t="s">
        <v>342</v>
      </c>
      <c r="G8" s="2813" t="s">
        <v>343</v>
      </c>
      <c r="H8" s="2810" t="s">
        <v>344</v>
      </c>
      <c r="I8" s="921" t="s">
        <v>345</v>
      </c>
      <c r="J8" s="2810" t="s">
        <v>346</v>
      </c>
      <c r="K8" s="921" t="s">
        <v>347</v>
      </c>
      <c r="L8" s="2810" t="s">
        <v>344</v>
      </c>
      <c r="M8" s="921" t="s">
        <v>345</v>
      </c>
      <c r="N8" s="2810" t="s">
        <v>346</v>
      </c>
      <c r="O8" s="921" t="s">
        <v>347</v>
      </c>
      <c r="P8" s="2810" t="s">
        <v>344</v>
      </c>
      <c r="Q8" s="921" t="s">
        <v>345</v>
      </c>
      <c r="R8" s="2810" t="s">
        <v>346</v>
      </c>
      <c r="S8" s="921" t="s">
        <v>347</v>
      </c>
      <c r="V8" s="2844" t="s">
        <v>348</v>
      </c>
      <c r="W8" s="2855">
        <f>SUM(R24:R33)-SUM(Q24:Q33)</f>
        <v>0</v>
      </c>
      <c r="X8" s="2863">
        <f>IF(time=0,0,W8)</f>
        <v>0</v>
      </c>
      <c r="Y8" s="2856">
        <f>W8-X8</f>
        <v>0</v>
      </c>
    </row>
    <row r="9" spans="1:32" x14ac:dyDescent="0.2">
      <c r="B9" s="674">
        <v>1</v>
      </c>
      <c r="C9" s="674" t="str">
        <f>IF('2.LUC'!$C61 = "", "", '2.LUC'!$C61)</f>
        <v/>
      </c>
      <c r="D9" s="284" t="str">
        <f>'2.LUC'!$G61</f>
        <v>NO</v>
      </c>
      <c r="E9" s="284" t="str">
        <f>'2.LUC'!$I61</f>
        <v>Grassland</v>
      </c>
      <c r="F9" s="284" t="str">
        <f>'2.LUC'!$K61</f>
        <v>Annual cropland</v>
      </c>
      <c r="G9" s="2805"/>
      <c r="H9" s="2552">
        <f>IF($E9 &lt;&gt; "Please select",INDEX(IPCC!$D$1520:$Y$1680,MATCH(clim_moist_cont,IPCC!$C$1520:$C$1680,0),MATCH($E9,IPCC!$D$1520:$Y$1520,0)),0)</f>
        <v>2.8669999999999995</v>
      </c>
      <c r="I9" s="2553">
        <f>IF('2.LUC'!AW61="",'2.LUC'!AV61,'2.LUC'!AW61)</f>
        <v>2.8669999999999995</v>
      </c>
      <c r="J9" s="2552">
        <f xml:space="preserve"> IF($F9 &lt;&gt; "Please select", INDEX(IPCC!$D$682:$Y$845,MATCH(clim_moist_cont,IPCC!$C$682:$C$845,0),MATCH($F9,IPCC!$D$682:$Y$682,0)),0)</f>
        <v>4.7</v>
      </c>
      <c r="K9" s="2553">
        <f>IF('2.LUC'!BI61="",'2.LUC'!BH61,'2.LUC'!BI61)</f>
        <v>4.7</v>
      </c>
      <c r="L9" s="2552">
        <f>'2.LUC'!AY61</f>
        <v>24</v>
      </c>
      <c r="M9" s="2553">
        <f>IF('2.LUC'!AZ61="",'2.LUC'!AY61,'2.LUC'!AZ61)</f>
        <v>24</v>
      </c>
      <c r="N9" s="2552">
        <f>'2.LUC'!BK61</f>
        <v>24</v>
      </c>
      <c r="O9" s="2553">
        <f>IF('2.LUC'!BL61="",'2.LUC'!BK61,'2.LUC'!BL61)</f>
        <v>24</v>
      </c>
      <c r="P9" s="2552">
        <f>IF($E9&lt;&gt; "Please select", INDEX(IPCC!$B$1687:$W$1698,MATCH(clim_moist, IPCC!$A$1687:$A$1698,0),MATCH($E9, IPCC!$B$1687:$W$1687,0)),0)</f>
        <v>1</v>
      </c>
      <c r="Q9" s="2553">
        <f>IF(OR('2.LUC'!BC61="",'2.LUC'!BC61=0),'2.LUC'!BB61,'2.LUC'!BC61)</f>
        <v>1</v>
      </c>
      <c r="R9" s="2552">
        <f>IF($F9&lt;&gt; "Please select",INDEX(IPCC!$B$852:$W$863,MATCH(clim_moist,  IPCC!$A$852:$A$863,0),MATCH($F9,  IPCC!$B$852:$W$852,0)),0)</f>
        <v>0.76</v>
      </c>
      <c r="S9" s="2553">
        <f>IF(OR('2.LUC'!BO61="",'2.LUC'!BO61=0),'2.LUC'!BN61,'2.LUC'!BO61)</f>
        <v>0.76</v>
      </c>
      <c r="V9" s="2844" t="s">
        <v>162</v>
      </c>
      <c r="W9" s="2855">
        <f>SUM(T24:T33)-SUM(S24:S33)</f>
        <v>0</v>
      </c>
      <c r="X9" s="2863">
        <f>IF(time=0,0,W9)</f>
        <v>0</v>
      </c>
      <c r="Y9" s="3529">
        <f>W9-X9</f>
        <v>0</v>
      </c>
    </row>
    <row r="10" spans="1:32" x14ac:dyDescent="0.2">
      <c r="B10" s="674">
        <v>2</v>
      </c>
      <c r="C10" s="674" t="str">
        <f>IF('2.LUC'!$C62 = "", "", '2.LUC'!$C62)</f>
        <v/>
      </c>
      <c r="D10" s="284" t="str">
        <f>'2.LUC'!$G62</f>
        <v>NO</v>
      </c>
      <c r="E10" s="284" t="str">
        <f>'2.LUC'!$I62</f>
        <v>Please select</v>
      </c>
      <c r="F10" s="284" t="str">
        <f>'2.LUC'!$K62</f>
        <v>Please select</v>
      </c>
      <c r="G10" s="2805"/>
      <c r="H10" s="2552">
        <f>IF($E10 &lt;&gt; "Please select",INDEX(IPCC!$D$1520:$Y$1680,MATCH(clim_moist_cont,IPCC!$C$1520:$C$1680,0),MATCH($E10,IPCC!$D$1520:$Y$1520,0)),0)</f>
        <v>0</v>
      </c>
      <c r="I10" s="2553">
        <f>IF('2.LUC'!AW62="",'2.LUC'!AV62,'2.LUC'!AW62)</f>
        <v>0</v>
      </c>
      <c r="J10" s="2552">
        <f xml:space="preserve"> IF($F10 &lt;&gt; "Please select", INDEX(IPCC!$D$682:$Y$845,MATCH(clim_moist_cont,IPCC!$C$682:$C$845,0),MATCH($F10,IPCC!$D$682:$Y$682,0)),0)</f>
        <v>0</v>
      </c>
      <c r="K10" s="2553">
        <f>IF('2.LUC'!BI62="",'2.LUC'!BH62,'2.LUC'!BI62)</f>
        <v>0</v>
      </c>
      <c r="L10" s="2552">
        <f>'2.LUC'!AY62</f>
        <v>0</v>
      </c>
      <c r="M10" s="2553">
        <f>IF('2.LUC'!AZ62="",'2.LUC'!AY62,'2.LUC'!AZ62)</f>
        <v>0</v>
      </c>
      <c r="N10" s="2552">
        <f>'2.LUC'!BK62</f>
        <v>0</v>
      </c>
      <c r="O10" s="2553">
        <f>IF('2.LUC'!BL62="",'2.LUC'!BK62,'2.LUC'!BL62)</f>
        <v>0</v>
      </c>
      <c r="P10" s="2552">
        <f>IF($E10&lt;&gt; "Please select", INDEX(IPCC!$B$1687:$W$1698,MATCH(clim_moist, IPCC!$A$1687:$A$1698,0),MATCH($E10, IPCC!$B$1687:$W$1687,0)),0)</f>
        <v>0</v>
      </c>
      <c r="Q10" s="2553">
        <f>IF(OR('2.LUC'!BC62="",'2.LUC'!BC62=0),'2.LUC'!BB62,'2.LUC'!BC62)</f>
        <v>0</v>
      </c>
      <c r="R10" s="2552">
        <f>IF($F10&lt;&gt; "Please select",INDEX(IPCC!$B$852:$W$863,MATCH(clim_moist,  IPCC!$A$852:$A$863,0),MATCH($F10,  IPCC!$B$852:$W$852,0)),0)</f>
        <v>0</v>
      </c>
      <c r="S10" s="2553">
        <f>IF(OR('2.LUC'!BO62="",'2.LUC'!BO62=0),'2.LUC'!BN62,'2.LUC'!BO62)</f>
        <v>0</v>
      </c>
      <c r="V10" s="2849" t="s">
        <v>235</v>
      </c>
      <c r="W10" s="2865">
        <f>SUM(W5:W9)</f>
        <v>0</v>
      </c>
      <c r="X10" s="2866">
        <f>SUM(X5:X9)</f>
        <v>0</v>
      </c>
      <c r="Y10" s="2867">
        <f>SUM(Y5:Y9)</f>
        <v>0</v>
      </c>
    </row>
    <row r="11" spans="1:32" x14ac:dyDescent="0.2">
      <c r="B11" s="674">
        <v>3</v>
      </c>
      <c r="C11" s="674" t="str">
        <f>IF('2.LUC'!$C63 = "", "", '2.LUC'!$C63)</f>
        <v/>
      </c>
      <c r="D11" s="284" t="str">
        <f>'2.LUC'!$G63</f>
        <v>NO</v>
      </c>
      <c r="E11" s="284" t="str">
        <f>'2.LUC'!$I63</f>
        <v>Please select</v>
      </c>
      <c r="F11" s="284" t="str">
        <f>'2.LUC'!$K63</f>
        <v>Please select</v>
      </c>
      <c r="G11" s="2805"/>
      <c r="H11" s="2552">
        <f>IF($E11 &lt;&gt; "Please select",INDEX(IPCC!$D$1520:$Y$1680,MATCH(clim_moist_cont,IPCC!$C$1520:$C$1680,0),MATCH($E11,IPCC!$D$1520:$Y$1520,0)),0)</f>
        <v>0</v>
      </c>
      <c r="I11" s="2553">
        <f>IF('2.LUC'!AW63="",'2.LUC'!AV63,'2.LUC'!AW63)</f>
        <v>0</v>
      </c>
      <c r="J11" s="2552">
        <f xml:space="preserve"> IF($F11 &lt;&gt; "Please select", INDEX(IPCC!$D$682:$Y$845,MATCH(clim_moist_cont,IPCC!$C$682:$C$845,0),MATCH($F11,IPCC!$D$682:$Y$682,0)),0)</f>
        <v>0</v>
      </c>
      <c r="K11" s="2553">
        <f>IF('2.LUC'!BI63="",'2.LUC'!BH63,'2.LUC'!BI63)</f>
        <v>0</v>
      </c>
      <c r="L11" s="2552">
        <f>'2.LUC'!AY63</f>
        <v>0</v>
      </c>
      <c r="M11" s="2553">
        <f>IF('2.LUC'!AZ63="",'2.LUC'!AY63,'2.LUC'!AZ63)</f>
        <v>0</v>
      </c>
      <c r="N11" s="2552">
        <f>'2.LUC'!BK63</f>
        <v>0</v>
      </c>
      <c r="O11" s="2553">
        <f>IF('2.LUC'!BL63="",'2.LUC'!BK63,'2.LUC'!BL63)</f>
        <v>0</v>
      </c>
      <c r="P11" s="2552">
        <f>IF($E11&lt;&gt; "Please select", INDEX(IPCC!$B$1687:$W$1698,MATCH(clim_moist, IPCC!$A$1687:$A$1698,0),MATCH($E11, IPCC!$B$1687:$W$1687,0)),0)</f>
        <v>0</v>
      </c>
      <c r="Q11" s="2553">
        <f>IF(OR('2.LUC'!BC63="",'2.LUC'!BC63=0),'2.LUC'!BB63,'2.LUC'!BC63)</f>
        <v>0</v>
      </c>
      <c r="R11" s="2552">
        <f>IF($F11&lt;&gt; "Please select",INDEX(IPCC!$B$852:$W$863,MATCH(clim_moist,  IPCC!$A$852:$A$863,0),MATCH($F11,  IPCC!$B$852:$W$852,0)),0)</f>
        <v>0</v>
      </c>
      <c r="S11" s="2553">
        <f>IF(OR('2.LUC'!BO63="",'2.LUC'!BO63=0),'2.LUC'!BN63,'2.LUC'!BO63)</f>
        <v>0</v>
      </c>
      <c r="AA11" s="2850"/>
    </row>
    <row r="12" spans="1:32" x14ac:dyDescent="0.2">
      <c r="B12" s="674">
        <v>4</v>
      </c>
      <c r="C12" s="674" t="str">
        <f>IF('2.LUC'!$C64 = "", "", '2.LUC'!$C64)</f>
        <v/>
      </c>
      <c r="D12" s="284" t="str">
        <f>'2.LUC'!$G64</f>
        <v>NO</v>
      </c>
      <c r="E12" s="284" t="str">
        <f>'2.LUC'!$I64</f>
        <v>Please select</v>
      </c>
      <c r="F12" s="284" t="str">
        <f>'2.LUC'!$K64</f>
        <v>Please select</v>
      </c>
      <c r="G12" s="2805"/>
      <c r="H12" s="2552">
        <f>IF($E12 &lt;&gt; "Please select",INDEX(IPCC!$D$1520:$Y$1680,MATCH(clim_moist_cont,IPCC!$C$1520:$C$1680,0),MATCH($E12,IPCC!$D$1520:$Y$1520,0)),0)</f>
        <v>0</v>
      </c>
      <c r="I12" s="2553">
        <f>IF('2.LUC'!AW64="",'2.LUC'!AV64,'2.LUC'!AW64)</f>
        <v>0</v>
      </c>
      <c r="J12" s="2552">
        <f xml:space="preserve"> IF($F12 &lt;&gt; "Please select", INDEX(IPCC!$D$682:$Y$845,MATCH(clim_moist_cont,IPCC!$C$682:$C$845,0),MATCH($F12,IPCC!$D$682:$Y$682,0)),0)</f>
        <v>0</v>
      </c>
      <c r="K12" s="2553">
        <f>IF('2.LUC'!BI64="",'2.LUC'!BH64,'2.LUC'!BI64)</f>
        <v>0</v>
      </c>
      <c r="L12" s="2552">
        <f>'2.LUC'!AY64</f>
        <v>0</v>
      </c>
      <c r="M12" s="2553">
        <f>IF('2.LUC'!AZ64="",'2.LUC'!AY64,'2.LUC'!AZ64)</f>
        <v>0</v>
      </c>
      <c r="N12" s="2552">
        <f>'2.LUC'!BK64</f>
        <v>0</v>
      </c>
      <c r="O12" s="2553">
        <f>IF('2.LUC'!BL64="",'2.LUC'!BK64,'2.LUC'!BL64)</f>
        <v>0</v>
      </c>
      <c r="P12" s="2552">
        <f>IF($E12&lt;&gt; "Please select", INDEX(IPCC!$B$1687:$W$1698,MATCH(clim_moist, IPCC!$A$1687:$A$1698,0),MATCH($E12, IPCC!$B$1687:$W$1687,0)),0)</f>
        <v>0</v>
      </c>
      <c r="Q12" s="2553">
        <f>IF(OR('2.LUC'!BC64="",'2.LUC'!BC64=0),'2.LUC'!BB64,'2.LUC'!BC64)</f>
        <v>0</v>
      </c>
      <c r="R12" s="2552">
        <f>IF($F12&lt;&gt; "Please select",INDEX(IPCC!$B$852:$W$863,MATCH(clim_moist,  IPCC!$A$852:$A$863,0),MATCH($F12,  IPCC!$B$852:$W$852,0)),0)</f>
        <v>0</v>
      </c>
      <c r="S12" s="2553">
        <f>IF(OR('2.LUC'!BO64="",'2.LUC'!BO64=0),'2.LUC'!BN64,'2.LUC'!BO64)</f>
        <v>0</v>
      </c>
      <c r="V12" s="2845" t="s">
        <v>349</v>
      </c>
      <c r="W12" s="2845"/>
      <c r="X12" s="2845"/>
    </row>
    <row r="13" spans="1:32" x14ac:dyDescent="0.2">
      <c r="B13" s="674">
        <v>5</v>
      </c>
      <c r="C13" s="674" t="str">
        <f>IF('2.LUC'!$C65 = "", "", '2.LUC'!$C65)</f>
        <v/>
      </c>
      <c r="D13" s="284" t="str">
        <f>'2.LUC'!$G65</f>
        <v>NO</v>
      </c>
      <c r="E13" s="284" t="str">
        <f>'2.LUC'!$I65</f>
        <v>Please select</v>
      </c>
      <c r="F13" s="284" t="str">
        <f>'2.LUC'!$K65</f>
        <v>Please select</v>
      </c>
      <c r="G13" s="2805"/>
      <c r="H13" s="2552">
        <f>IF($E13 &lt;&gt; "Please select",INDEX(IPCC!$D$1520:$Y$1680,MATCH(clim_moist_cont,IPCC!$C$1520:$C$1680,0),MATCH($E13,IPCC!$D$1520:$Y$1520,0)),0)</f>
        <v>0</v>
      </c>
      <c r="I13" s="2553">
        <f>IF('2.LUC'!AW65="",'2.LUC'!AV65,'2.LUC'!AW65)</f>
        <v>0</v>
      </c>
      <c r="J13" s="2552">
        <f xml:space="preserve"> IF($F13 &lt;&gt; "Please select", INDEX(IPCC!$D$682:$Y$845,MATCH(clim_moist_cont,IPCC!$C$682:$C$845,0),MATCH($F13,IPCC!$D$682:$Y$682,0)),0)</f>
        <v>0</v>
      </c>
      <c r="K13" s="2553">
        <f>IF('2.LUC'!BI65="",'2.LUC'!BH65,'2.LUC'!BI65)</f>
        <v>0</v>
      </c>
      <c r="L13" s="2552">
        <f>'2.LUC'!AY65</f>
        <v>0</v>
      </c>
      <c r="M13" s="2553">
        <f>IF('2.LUC'!AZ65="",'2.LUC'!AY65,'2.LUC'!AZ65)</f>
        <v>0</v>
      </c>
      <c r="N13" s="2552">
        <f>'2.LUC'!BK65</f>
        <v>0</v>
      </c>
      <c r="O13" s="2553">
        <f>IF('2.LUC'!BL65="",'2.LUC'!BK65,'2.LUC'!BL65)</f>
        <v>0</v>
      </c>
      <c r="P13" s="2552">
        <f>IF($E13&lt;&gt; "Please select", INDEX(IPCC!$B$1687:$W$1698,MATCH(clim_moist, IPCC!$A$1687:$A$1698,0),MATCH($E13, IPCC!$B$1687:$W$1687,0)),0)</f>
        <v>0</v>
      </c>
      <c r="Q13" s="2553">
        <f>IF(OR('2.LUC'!BC65="",'2.LUC'!BC65=0),'2.LUC'!BB65,'2.LUC'!BC65)</f>
        <v>0</v>
      </c>
      <c r="R13" s="2552">
        <f>IF($F13&lt;&gt; "Please select",INDEX(IPCC!$B$852:$W$863,MATCH(clim_moist,  IPCC!$A$852:$A$863,0),MATCH($F13,  IPCC!$B$852:$W$852,0)),0)</f>
        <v>0</v>
      </c>
      <c r="S13" s="2553">
        <f>IF(OR('2.LUC'!BO65="",'2.LUC'!BO65=0),'2.LUC'!BN65,'2.LUC'!BO65)</f>
        <v>0</v>
      </c>
      <c r="V13" s="2847" t="s">
        <v>228</v>
      </c>
      <c r="W13" s="2851" t="s">
        <v>179</v>
      </c>
      <c r="X13" s="2852" t="s">
        <v>180</v>
      </c>
    </row>
    <row r="14" spans="1:32" x14ac:dyDescent="0.2">
      <c r="B14" s="674">
        <v>6</v>
      </c>
      <c r="C14" s="674" t="str">
        <f>IF('2.LUC'!$C66 = "", "", '2.LUC'!$C66)</f>
        <v/>
      </c>
      <c r="D14" s="284" t="str">
        <f>'2.LUC'!$G66</f>
        <v>NO</v>
      </c>
      <c r="E14" s="284" t="str">
        <f>'2.LUC'!$I66</f>
        <v>Please select</v>
      </c>
      <c r="F14" s="284" t="str">
        <f>'2.LUC'!$K66</f>
        <v>Please select</v>
      </c>
      <c r="G14" s="2805"/>
      <c r="H14" s="2552">
        <f>IF($E14 &lt;&gt; "Please select",INDEX(IPCC!$D$1520:$Y$1680,MATCH(clim_moist_cont,IPCC!$C$1520:$C$1680,0),MATCH($E14,IPCC!$D$1520:$Y$1520,0)),0)</f>
        <v>0</v>
      </c>
      <c r="I14" s="2553">
        <f>IF('2.LUC'!AW66="",'2.LUC'!AV66,'2.LUC'!AW66)</f>
        <v>0</v>
      </c>
      <c r="J14" s="2552">
        <f xml:space="preserve"> IF($F14 &lt;&gt; "Please select", INDEX(IPCC!$D$682:$Y$845,MATCH(clim_moist_cont,IPCC!$C$682:$C$845,0),MATCH($F14,IPCC!$D$682:$Y$682,0)),0)</f>
        <v>0</v>
      </c>
      <c r="K14" s="2553">
        <f>IF('2.LUC'!BI66="",'2.LUC'!BH66,'2.LUC'!BI66)</f>
        <v>0</v>
      </c>
      <c r="L14" s="2552">
        <f>'2.LUC'!AY66</f>
        <v>0</v>
      </c>
      <c r="M14" s="2553">
        <f>IF('2.LUC'!AZ66="",'2.LUC'!AY66,'2.LUC'!AZ66)</f>
        <v>0</v>
      </c>
      <c r="N14" s="2552">
        <f>'2.LUC'!BK66</f>
        <v>0</v>
      </c>
      <c r="O14" s="2553">
        <f>IF('2.LUC'!BL66="",'2.LUC'!BK66,'2.LUC'!BL66)</f>
        <v>0</v>
      </c>
      <c r="P14" s="2552">
        <f>IF($E14&lt;&gt; "Please select", INDEX(IPCC!$B$1687:$W$1698,MATCH(clim_moist, IPCC!$A$1687:$A$1698,0),MATCH($E14, IPCC!$B$1687:$W$1687,0)),0)</f>
        <v>0</v>
      </c>
      <c r="Q14" s="2553">
        <f>IF(OR('2.LUC'!BC66="",'2.LUC'!BC66=0),'2.LUC'!BB66,'2.LUC'!BC66)</f>
        <v>0</v>
      </c>
      <c r="R14" s="2552">
        <f>IF($F14&lt;&gt; "Please select",INDEX(IPCC!$B$852:$W$863,MATCH(clim_moist,  IPCC!$A$852:$A$863,0),MATCH($F14,  IPCC!$B$852:$W$852,0)),0)</f>
        <v>0</v>
      </c>
      <c r="S14" s="2553">
        <f>IF(OR('2.LUC'!BO66="",'2.LUC'!BO66=0),'2.LUC'!BN66,'2.LUC'!BO66)</f>
        <v>0</v>
      </c>
      <c r="V14" s="2843" t="s">
        <v>313</v>
      </c>
      <c r="W14" s="2853">
        <f>SUM(G41:G50)</f>
        <v>-1008.1500000000003</v>
      </c>
      <c r="X14" s="2854">
        <f>SUM(H41:H50)</f>
        <v>-1008.1500000000003</v>
      </c>
    </row>
    <row r="15" spans="1:32" x14ac:dyDescent="0.2">
      <c r="B15" s="674">
        <v>7</v>
      </c>
      <c r="C15" s="674" t="str">
        <f>IF('2.LUC'!$C67 = "", "", '2.LUC'!$C67)</f>
        <v/>
      </c>
      <c r="D15" s="284" t="str">
        <f>'2.LUC'!$G67</f>
        <v>NO</v>
      </c>
      <c r="E15" s="284" t="str">
        <f>'2.LUC'!$I67</f>
        <v>Please select</v>
      </c>
      <c r="F15" s="284" t="str">
        <f>'2.LUC'!$K67</f>
        <v>Please select</v>
      </c>
      <c r="G15" s="2805"/>
      <c r="H15" s="2552">
        <f>IF($E15 &lt;&gt; "Please select",INDEX(IPCC!$D$1520:$Y$1680,MATCH(clim_moist_cont,IPCC!$C$1520:$C$1680,0),MATCH($E15,IPCC!$D$1520:$Y$1520,0)),0)</f>
        <v>0</v>
      </c>
      <c r="I15" s="2553">
        <f>IF('2.LUC'!AW67="",'2.LUC'!AV67,'2.LUC'!AW67)</f>
        <v>0</v>
      </c>
      <c r="J15" s="2552">
        <f xml:space="preserve"> IF($F15 &lt;&gt; "Please select", INDEX(IPCC!$D$682:$Y$845,MATCH(clim_moist_cont,IPCC!$C$682:$C$845,0),MATCH($F15,IPCC!$D$682:$Y$682,0)),0)</f>
        <v>0</v>
      </c>
      <c r="K15" s="2553">
        <f>IF('2.LUC'!BI67="",'2.LUC'!BH67,'2.LUC'!BI67)</f>
        <v>0</v>
      </c>
      <c r="L15" s="2552">
        <f>'2.LUC'!AY67</f>
        <v>0</v>
      </c>
      <c r="M15" s="2553">
        <f>IF('2.LUC'!AZ67="",'2.LUC'!AY67,'2.LUC'!AZ67)</f>
        <v>0</v>
      </c>
      <c r="N15" s="2552">
        <f>'2.LUC'!BK67</f>
        <v>0</v>
      </c>
      <c r="O15" s="2553">
        <f>IF('2.LUC'!BL67="",'2.LUC'!BK67,'2.LUC'!BL67)</f>
        <v>0</v>
      </c>
      <c r="P15" s="2552">
        <f>IF($E15&lt;&gt; "Please select", INDEX(IPCC!$B$1687:$W$1698,MATCH(clim_moist, IPCC!$A$1687:$A$1698,0),MATCH($E15, IPCC!$B$1687:$W$1687,0)),0)</f>
        <v>0</v>
      </c>
      <c r="Q15" s="2553">
        <f>IF(OR('2.LUC'!BC67="",'2.LUC'!BC67=0),'2.LUC'!BB67,'2.LUC'!BC67)</f>
        <v>0</v>
      </c>
      <c r="R15" s="2552">
        <f>IF($F15&lt;&gt; "Please select",INDEX(IPCC!$B$852:$W$863,MATCH(clim_moist,  IPCC!$A$852:$A$863,0),MATCH($F15,  IPCC!$B$852:$W$852,0)),0)</f>
        <v>0</v>
      </c>
      <c r="S15" s="2553">
        <f>IF(OR('2.LUC'!BO67="",'2.LUC'!BO67=0),'2.LUC'!BN67,'2.LUC'!BO67)</f>
        <v>0</v>
      </c>
      <c r="V15" s="2843" t="s">
        <v>315</v>
      </c>
      <c r="W15" s="3530">
        <f>SUM(I41:I50)</f>
        <v>1979.9999999999993</v>
      </c>
      <c r="X15" s="3529">
        <f>SUM(J41:J50)</f>
        <v>1979.9999999999993</v>
      </c>
    </row>
    <row r="16" spans="1:32" x14ac:dyDescent="0.2">
      <c r="B16" s="674">
        <v>8</v>
      </c>
      <c r="C16" s="674" t="str">
        <f>IF('2.LUC'!$C68 = "", "", '2.LUC'!$C68)</f>
        <v/>
      </c>
      <c r="D16" s="284" t="str">
        <f>'2.LUC'!$G68</f>
        <v>NO</v>
      </c>
      <c r="E16" s="284" t="str">
        <f>'2.LUC'!$I68</f>
        <v>Please select</v>
      </c>
      <c r="F16" s="284" t="str">
        <f>'2.LUC'!$K68</f>
        <v>Please select</v>
      </c>
      <c r="G16" s="2805"/>
      <c r="H16" s="2552">
        <f>IF($E16 &lt;&gt; "Please select",INDEX(IPCC!$D$1520:$Y$1680,MATCH(clim_moist_cont,IPCC!$C$1520:$C$1680,0),MATCH($E16,IPCC!$D$1520:$Y$1520,0)),0)</f>
        <v>0</v>
      </c>
      <c r="I16" s="2553">
        <f>IF('2.LUC'!AW68="",'2.LUC'!AV68,'2.LUC'!AW68)</f>
        <v>0</v>
      </c>
      <c r="J16" s="2552">
        <f xml:space="preserve"> IF($F16 &lt;&gt; "Please select", INDEX(IPCC!$D$682:$Y$845,MATCH(clim_moist_cont,IPCC!$C$682:$C$845,0),MATCH($F16,IPCC!$D$682:$Y$682,0)),0)</f>
        <v>0</v>
      </c>
      <c r="K16" s="2553">
        <f>IF('2.LUC'!BI68="",'2.LUC'!BH68,'2.LUC'!BI68)</f>
        <v>0</v>
      </c>
      <c r="L16" s="2552">
        <f>'2.LUC'!AY68</f>
        <v>0</v>
      </c>
      <c r="M16" s="2553">
        <f>IF('2.LUC'!AZ68="",'2.LUC'!AY68,'2.LUC'!AZ68)</f>
        <v>0</v>
      </c>
      <c r="N16" s="2552">
        <f>'2.LUC'!BK68</f>
        <v>0</v>
      </c>
      <c r="O16" s="2553">
        <f>IF('2.LUC'!BL68="",'2.LUC'!BK68,'2.LUC'!BL68)</f>
        <v>0</v>
      </c>
      <c r="P16" s="2552">
        <f>IF($E16&lt;&gt; "Please select", INDEX(IPCC!$B$1687:$W$1698,MATCH(clim_moist, IPCC!$A$1687:$A$1698,0),MATCH($E16, IPCC!$B$1687:$W$1687,0)),0)</f>
        <v>0</v>
      </c>
      <c r="Q16" s="2553">
        <f>IF(OR('2.LUC'!BC68="",'2.LUC'!BC68=0),'2.LUC'!BB68,'2.LUC'!BC68)</f>
        <v>0</v>
      </c>
      <c r="R16" s="2552">
        <f>IF($F16&lt;&gt; "Please select",INDEX(IPCC!$B$852:$W$863,MATCH(clim_moist,  IPCC!$A$852:$A$863,0),MATCH($F16,  IPCC!$B$852:$W$852,0)),0)</f>
        <v>0</v>
      </c>
      <c r="S16" s="2553">
        <f>IF(OR('2.LUC'!BO68="",'2.LUC'!BO68=0),'2.LUC'!BN68,'2.LUC'!BO68)</f>
        <v>0</v>
      </c>
      <c r="V16" s="461" t="s">
        <v>338</v>
      </c>
      <c r="W16" s="3231">
        <f>SUM(U24:U33)</f>
        <v>0</v>
      </c>
      <c r="X16" s="3231">
        <f>SUM(V24:V33)</f>
        <v>0</v>
      </c>
    </row>
    <row r="17" spans="2:26" x14ac:dyDescent="0.2">
      <c r="B17" s="674">
        <v>9</v>
      </c>
      <c r="C17" s="674" t="str">
        <f>IF('2.LUC'!$C69 = "", "", '2.LUC'!$C69)</f>
        <v/>
      </c>
      <c r="D17" s="284" t="str">
        <f>'2.LUC'!$G69</f>
        <v>NO</v>
      </c>
      <c r="E17" s="284" t="str">
        <f>'2.LUC'!$I69</f>
        <v>Please select</v>
      </c>
      <c r="F17" s="284" t="str">
        <f>'2.LUC'!$K69</f>
        <v>Please select</v>
      </c>
      <c r="G17" s="2805"/>
      <c r="H17" s="2552">
        <f>IF($E17 &lt;&gt; "Please select",INDEX(IPCC!$D$1520:$Y$1680,MATCH(clim_moist_cont,IPCC!$C$1520:$C$1680,0),MATCH($E17,IPCC!$D$1520:$Y$1520,0)),0)</f>
        <v>0</v>
      </c>
      <c r="I17" s="2553">
        <f>IF('2.LUC'!AW69="",'2.LUC'!AV69,'2.LUC'!AW69)</f>
        <v>0</v>
      </c>
      <c r="J17" s="2552">
        <f xml:space="preserve"> IF($F17 &lt;&gt; "Please select", INDEX(IPCC!$D$682:$Y$845,MATCH(clim_moist_cont,IPCC!$C$682:$C$845,0),MATCH($F17,IPCC!$D$682:$Y$682,0)),0)</f>
        <v>0</v>
      </c>
      <c r="K17" s="2553">
        <f>IF('2.LUC'!BI69="",'2.LUC'!BH69,'2.LUC'!BI69)</f>
        <v>0</v>
      </c>
      <c r="L17" s="2552">
        <f>'2.LUC'!AY69</f>
        <v>0</v>
      </c>
      <c r="M17" s="2553">
        <f>IF('2.LUC'!AZ69="",'2.LUC'!AY69,'2.LUC'!AZ69)</f>
        <v>0</v>
      </c>
      <c r="N17" s="2552">
        <f>'2.LUC'!BK69</f>
        <v>0</v>
      </c>
      <c r="O17" s="2553">
        <f>IF('2.LUC'!BL69="",'2.LUC'!BK69,'2.LUC'!BL69)</f>
        <v>0</v>
      </c>
      <c r="P17" s="2552">
        <f>IF($E17&lt;&gt; "Please select", INDEX(IPCC!$B$1687:$W$1698,MATCH(clim_moist, IPCC!$A$1687:$A$1698,0),MATCH($E17, IPCC!$B$1687:$W$1687,0)),0)</f>
        <v>0</v>
      </c>
      <c r="Q17" s="2553">
        <f>IF(OR('2.LUC'!BC69="",'2.LUC'!BC69=0),'2.LUC'!BB69,'2.LUC'!BC69)</f>
        <v>0</v>
      </c>
      <c r="R17" s="2552">
        <f>IF($F17&lt;&gt; "Please select",INDEX(IPCC!$B$852:$W$863,MATCH(clim_moist,  IPCC!$A$852:$A$863,0),MATCH($F17,  IPCC!$B$852:$W$852,0)),0)</f>
        <v>0</v>
      </c>
      <c r="S17" s="2553">
        <f>IF(OR('2.LUC'!BO69="",'2.LUC'!BO69=0),'2.LUC'!BN69,'2.LUC'!BO69)</f>
        <v>0</v>
      </c>
      <c r="V17" s="2843" t="s">
        <v>176</v>
      </c>
      <c r="W17" s="2855">
        <f>SUM(Q24:Q33)</f>
        <v>0</v>
      </c>
      <c r="X17" s="2856">
        <f>SUM(R24:R33)</f>
        <v>0</v>
      </c>
    </row>
    <row r="18" spans="2:26" x14ac:dyDescent="0.2">
      <c r="B18" s="674">
        <v>10</v>
      </c>
      <c r="C18" s="674" t="str">
        <f>IF('2.LUC'!$C70 = "", "", '2.LUC'!$C70)</f>
        <v/>
      </c>
      <c r="D18" s="284" t="str">
        <f>'2.LUC'!$G70</f>
        <v>NO</v>
      </c>
      <c r="E18" s="284" t="str">
        <f>'2.LUC'!$I70</f>
        <v>Please select</v>
      </c>
      <c r="F18" s="284" t="str">
        <f>'2.LUC'!$K70</f>
        <v>Please select</v>
      </c>
      <c r="G18" s="2805"/>
      <c r="H18" s="2552">
        <f>IF($E18 &lt;&gt; "Please select",INDEX(IPCC!$D$1520:$Y$1680,MATCH(clim_moist_cont,IPCC!$C$1520:$C$1680,0),MATCH($E18,IPCC!$D$1520:$Y$1520,0)),0)</f>
        <v>0</v>
      </c>
      <c r="I18" s="2553">
        <f>IF('2.LUC'!AW70="",'2.LUC'!AV70,'2.LUC'!AW70)</f>
        <v>0</v>
      </c>
      <c r="J18" s="2552">
        <f xml:space="preserve"> IF($F18 &lt;&gt; "Please select", INDEX(IPCC!$D$682:$Y$845,MATCH(clim_moist_cont,IPCC!$C$682:$C$845,0),MATCH($F18,IPCC!$D$682:$Y$682,0)),0)</f>
        <v>0</v>
      </c>
      <c r="K18" s="2553">
        <f>IF('2.LUC'!BI70="",'2.LUC'!BH70,'2.LUC'!BI70)</f>
        <v>0</v>
      </c>
      <c r="L18" s="2552">
        <f>'2.LUC'!AY70</f>
        <v>0</v>
      </c>
      <c r="M18" s="2553">
        <f>IF('2.LUC'!AZ70="",'2.LUC'!AY70,'2.LUC'!AZ70)</f>
        <v>0</v>
      </c>
      <c r="N18" s="2552">
        <f>'2.LUC'!BK70</f>
        <v>0</v>
      </c>
      <c r="O18" s="2553">
        <f>IF('2.LUC'!BL70="",'2.LUC'!BK70,'2.LUC'!BL70)</f>
        <v>0</v>
      </c>
      <c r="P18" s="2552">
        <f>IF($E18&lt;&gt; "Please select", INDEX(IPCC!$B$1687:$W$1698,MATCH(clim_moist, IPCC!$A$1687:$A$1698,0),MATCH($E18, IPCC!$B$1687:$W$1687,0)),0)</f>
        <v>0</v>
      </c>
      <c r="Q18" s="2553">
        <f>IF(OR('2.LUC'!BC70="",'2.LUC'!BC70=0),'2.LUC'!BB70,'2.LUC'!BC70)</f>
        <v>0</v>
      </c>
      <c r="R18" s="2552">
        <f>IF($F18&lt;&gt; "Please select",INDEX(IPCC!$B$852:$W$863,MATCH(clim_moist,  IPCC!$A$852:$A$863,0),MATCH($F18,  IPCC!$B$852:$W$852,0)),0)</f>
        <v>0</v>
      </c>
      <c r="S18" s="2553">
        <f>IF(OR('2.LUC'!BO70="",'2.LUC'!BO70=0),'2.LUC'!BN70,'2.LUC'!BO70)</f>
        <v>0</v>
      </c>
      <c r="V18" s="2848" t="s">
        <v>162</v>
      </c>
      <c r="W18" s="2857">
        <f>SUM(S24:S33)</f>
        <v>0</v>
      </c>
      <c r="X18" s="2858">
        <f>SUM(T24:T33)</f>
        <v>0</v>
      </c>
    </row>
    <row r="19" spans="2:26" x14ac:dyDescent="0.2">
      <c r="B19" s="674"/>
      <c r="C19" s="674"/>
      <c r="H19" s="683"/>
      <c r="I19" s="683"/>
      <c r="J19" s="683"/>
      <c r="K19" s="683"/>
      <c r="L19" s="683"/>
      <c r="M19" s="778"/>
    </row>
    <row r="20" spans="2:26" x14ac:dyDescent="0.2">
      <c r="B20" s="674"/>
      <c r="C20" s="921"/>
      <c r="D20" s="921"/>
      <c r="E20" s="2815"/>
      <c r="F20" s="2813" t="s">
        <v>350</v>
      </c>
      <c r="G20" s="2813" t="s">
        <v>350</v>
      </c>
      <c r="H20" s="2818" t="s">
        <v>159</v>
      </c>
      <c r="I20" s="2818"/>
      <c r="J20" s="2821" t="s">
        <v>158</v>
      </c>
      <c r="K20" s="2821" t="s">
        <v>351</v>
      </c>
      <c r="L20" s="2821"/>
      <c r="M20" s="2822"/>
      <c r="N20" s="2822"/>
      <c r="O20" s="2816"/>
      <c r="Q20" s="2929" t="s">
        <v>349</v>
      </c>
      <c r="R20" s="2930"/>
      <c r="S20" s="2930"/>
      <c r="T20" s="2930"/>
      <c r="U20" s="2930"/>
      <c r="V20" s="2930"/>
      <c r="W20" s="2931" t="s">
        <v>352</v>
      </c>
      <c r="X20" s="2928"/>
      <c r="Y20" s="2932" t="s">
        <v>353</v>
      </c>
      <c r="Z20" s="2928"/>
    </row>
    <row r="21" spans="2:26" ht="17" x14ac:dyDescent="0.25">
      <c r="C21" s="921"/>
      <c r="D21" s="921"/>
      <c r="E21" s="2810" t="s">
        <v>354</v>
      </c>
      <c r="F21" s="2810" t="s">
        <v>354</v>
      </c>
      <c r="G21" s="2810" t="s">
        <v>354</v>
      </c>
      <c r="H21" s="2819" t="s">
        <v>355</v>
      </c>
      <c r="I21" s="2820" t="s">
        <v>356</v>
      </c>
      <c r="J21" s="2821" t="s">
        <v>357</v>
      </c>
      <c r="K21" s="2821" t="s">
        <v>358</v>
      </c>
      <c r="L21" s="2821" t="s">
        <v>359</v>
      </c>
      <c r="M21" s="2821" t="s">
        <v>358</v>
      </c>
      <c r="N21" s="2821" t="s">
        <v>359</v>
      </c>
      <c r="O21" s="2810" t="s">
        <v>360</v>
      </c>
      <c r="Q21" s="2933" t="s">
        <v>176</v>
      </c>
      <c r="R21" s="2930"/>
      <c r="S21" s="2934" t="s">
        <v>162</v>
      </c>
      <c r="T21" s="2930"/>
      <c r="U21" s="2934" t="s">
        <v>338</v>
      </c>
      <c r="V21" s="2930"/>
      <c r="W21" s="2935" t="s">
        <v>246</v>
      </c>
      <c r="X21" s="2928"/>
      <c r="Y21" s="2928"/>
      <c r="Z21" s="2928"/>
    </row>
    <row r="22" spans="2:26" x14ac:dyDescent="0.2">
      <c r="C22" s="2810" t="s">
        <v>334</v>
      </c>
      <c r="D22" s="2810" t="s">
        <v>335</v>
      </c>
      <c r="E22" s="2810" t="s">
        <v>96</v>
      </c>
      <c r="F22" s="2810" t="s">
        <v>361</v>
      </c>
      <c r="G22" s="2810" t="s">
        <v>361</v>
      </c>
      <c r="H22" s="2819" t="s">
        <v>362</v>
      </c>
      <c r="I22" s="2818"/>
      <c r="J22" s="2821" t="s">
        <v>363</v>
      </c>
      <c r="K22" s="2821"/>
      <c r="L22" s="2821"/>
      <c r="M22" s="2824"/>
      <c r="N22" s="2824"/>
      <c r="O22" s="2817" t="s">
        <v>364</v>
      </c>
      <c r="Q22" s="2839" t="s">
        <v>265</v>
      </c>
      <c r="R22" s="391" t="s">
        <v>266</v>
      </c>
      <c r="S22" s="2839" t="s">
        <v>265</v>
      </c>
      <c r="T22" s="391" t="s">
        <v>266</v>
      </c>
      <c r="U22" s="2839" t="s">
        <v>265</v>
      </c>
      <c r="V22" s="391" t="s">
        <v>266</v>
      </c>
      <c r="W22" s="2839" t="s">
        <v>265</v>
      </c>
      <c r="X22" s="391" t="s">
        <v>266</v>
      </c>
      <c r="Y22" s="2839" t="s">
        <v>265</v>
      </c>
      <c r="Z22" s="391" t="s">
        <v>266</v>
      </c>
    </row>
    <row r="23" spans="2:26" ht="17" x14ac:dyDescent="0.25">
      <c r="C23" s="2810" t="s">
        <v>342</v>
      </c>
      <c r="D23" s="2810" t="s">
        <v>342</v>
      </c>
      <c r="E23" s="2810" t="s">
        <v>365</v>
      </c>
      <c r="F23" s="2810" t="s">
        <v>366</v>
      </c>
      <c r="G23" s="2810" t="s">
        <v>367</v>
      </c>
      <c r="H23" s="2819" t="s">
        <v>368</v>
      </c>
      <c r="I23" s="2819" t="s">
        <v>311</v>
      </c>
      <c r="J23" s="2821" t="s">
        <v>192</v>
      </c>
      <c r="K23" s="2821" t="s">
        <v>310</v>
      </c>
      <c r="L23" s="2821" t="s">
        <v>311</v>
      </c>
      <c r="M23" s="2821" t="s">
        <v>369</v>
      </c>
      <c r="N23" s="2823" t="s">
        <v>370</v>
      </c>
      <c r="O23" s="2810" t="s">
        <v>227</v>
      </c>
      <c r="Q23" s="2936" t="s">
        <v>227</v>
      </c>
      <c r="R23" s="2936" t="s">
        <v>227</v>
      </c>
      <c r="S23" s="2936" t="s">
        <v>227</v>
      </c>
      <c r="T23" s="2936" t="s">
        <v>227</v>
      </c>
      <c r="U23" s="2936" t="s">
        <v>227</v>
      </c>
      <c r="V23" s="2936" t="s">
        <v>227</v>
      </c>
      <c r="W23" s="2936" t="s">
        <v>227</v>
      </c>
      <c r="X23" s="2936" t="s">
        <v>227</v>
      </c>
      <c r="Y23" s="2937" t="s">
        <v>371</v>
      </c>
      <c r="Z23" s="2938" t="s">
        <v>371</v>
      </c>
    </row>
    <row r="24" spans="2:26" x14ac:dyDescent="0.2">
      <c r="C24" s="284" t="str">
        <f t="shared" ref="C24:C33" si="0">E9</f>
        <v>Grassland</v>
      </c>
      <c r="D24" s="284" t="str">
        <f t="shared" ref="D24:D33" si="1">F9</f>
        <v>Annual cropland</v>
      </c>
      <c r="E24" s="3517">
        <f>($K9-$I9)*(-44/12)</f>
        <v>-6.7210000000000019</v>
      </c>
      <c r="F24" s="3518">
        <f>(($O9*S9-$M9*Q9)/20)*(-44/12)</f>
        <v>1.0559999999999996</v>
      </c>
      <c r="G24" s="4520">
        <f>($O9-$M9)/20</f>
        <v>0</v>
      </c>
      <c r="H24" s="3518">
        <f>IF($G24&gt;=0,0,IF($C24="Grassland",((-1)*(($G24*1/IPCC!$B$913)*1000)),((-1)*(($G24*1/IPCC!$B$914)*1000))))</f>
        <v>0</v>
      </c>
      <c r="I24" s="2825">
        <f>IF($E9="Please select", 0, $H24*VLOOKUP(moist_type, IPCC!$B$99:$C$101, 2, FALSE)*N2O_N_conversion)</f>
        <v>0</v>
      </c>
      <c r="J24" s="3519">
        <f>IF($D9="YES", $I9*(1/0.4), 0)</f>
        <v>0</v>
      </c>
      <c r="K24" s="3520">
        <f>IF('2.LUC'!$G61 = "YES", J24 *VLOOKUP('2.LUC'!$I61,  IPCC!$A$1473:$E$1496, 2, FALSE) * VLOOKUP('2.LUC'!$I61,  IPCC!$A$1473:$E$1496, 4, FALSE), 0)</f>
        <v>0</v>
      </c>
      <c r="L24" s="3520">
        <f>IF('2.LUC'!$G61 = "YES", luc!$I9 * 2.5 *VLOOKUP('2.LUC'!$I61,  IPCC!$A$1473:$E$1496, 2, FALSE) * VLOOKUP('2.LUC'!$I61,  IPCC!$A$1473:$E$1496, 5, FALSE), 0)</f>
        <v>0</v>
      </c>
      <c r="M24" s="2826">
        <f>K24*methane</f>
        <v>0</v>
      </c>
      <c r="N24" s="2826">
        <f t="shared" ref="N24:N33" si="2">($I24+$L24)*Nitrous</f>
        <v>0</v>
      </c>
      <c r="O24" s="2827">
        <f t="shared" ref="O24:O33" si="3">($N24+$M24)/1000</f>
        <v>0</v>
      </c>
      <c r="Q24" s="2940">
        <f t="shared" ref="Q24:Q33" si="4">IF($D9="YES", $C41*$K24*methane/1000,0)</f>
        <v>0</v>
      </c>
      <c r="R24" s="2941">
        <f t="shared" ref="R24:R33" si="5">IF($D9="YES", $E41*$K24*methane/1000,0)</f>
        <v>0</v>
      </c>
      <c r="S24" s="2941">
        <f t="shared" ref="S24:S33" si="6">IF($D9="YES", $C41*$L24*Nitrous/1000,0)</f>
        <v>0</v>
      </c>
      <c r="T24" s="2941">
        <f t="shared" ref="T24:T33" si="7">IF($D9="YES", $E41*$L24*Nitrous/1000,0)</f>
        <v>0</v>
      </c>
      <c r="U24" s="2941">
        <f t="shared" ref="U24:U33" si="8">$C41*$I24*Nitrous/1000</f>
        <v>0</v>
      </c>
      <c r="V24" s="2941">
        <f t="shared" ref="V24:V33" si="9">$E41*$I24*Nitrous/1000</f>
        <v>0</v>
      </c>
      <c r="W24" s="2941">
        <f>$F24*(IF(D41="Immediate",IF(C41&gt;0,C41*MIN(20,time),0),C41*IF(time&gt;time+20,20,IF(time&lt;20,(time*VLOOKUP(D41, list!$J$48:$K$50,2,))+(time-time),((MIN(20,time)*VLOOKUP(D41, list!$J$48:$K$50,2,))+(time-MIN(20,time))-IF(D41="Exponential",time-20+0.217*time*(EXP(4.606*(20-time)/time)-1),((time-20)^2)*(0.5/time)))))))</f>
        <v>395.99999999999983</v>
      </c>
      <c r="X24" s="2941">
        <f>$F24*(IF(F41="Immediate",IF(E41&gt;0,E41*MIN(20,time),0),E41*IF(time&gt;time+20,20,IF(time&lt;20,(time*VLOOKUP(F41, list!$J$48:$K$50,2,))+(time-time),((MIN(20,time)*VLOOKUP(F41, list!$J$48:$K$50,2,))+(time-MIN(20,time))-IF(F41="Exponential",time-20+0.217*time*(EXP(4.606*(20-time)/time)-1),((time-20)^2)*(0.5/time)))))))</f>
        <v>395.99999999999983</v>
      </c>
      <c r="Y24" s="2941">
        <f t="shared" ref="Y24:Y33" si="10">IF($K24&gt;0, $C41, 0)</f>
        <v>0</v>
      </c>
      <c r="Z24" s="2942">
        <f t="shared" ref="Z24:Z33" si="11">IF($K24&gt;0, $E41, 0)</f>
        <v>0</v>
      </c>
    </row>
    <row r="25" spans="2:26" x14ac:dyDescent="0.2">
      <c r="C25" s="284" t="str">
        <f t="shared" si="0"/>
        <v>Please select</v>
      </c>
      <c r="D25" s="284" t="str">
        <f t="shared" si="1"/>
        <v>Please select</v>
      </c>
      <c r="E25" s="3517">
        <f t="shared" ref="E25:E33" si="12">($K10-$I10)*(-44/12)</f>
        <v>0</v>
      </c>
      <c r="F25" s="3518">
        <f t="shared" ref="F25:F33" si="13">(($O10*S10-$M10*Q10)/20)*(-44/12)</f>
        <v>0</v>
      </c>
      <c r="G25" s="3518">
        <f t="shared" ref="G25:G33" si="14">($O10-$M10)/20</f>
        <v>0</v>
      </c>
      <c r="H25" s="3518">
        <f>IF($G25&gt;=0,0,IF($C25="Grassland",((-1)*(($G25*1/IPCC!$B$913)*1000)),((-1)*(($G25*1/IPCC!$B$914)*1000))))</f>
        <v>0</v>
      </c>
      <c r="I25" s="2807">
        <f>IF($E10="Please select", 0, $H25*VLOOKUP(moist_type, IPCC!$B$99:$C$101, 2, FALSE)*N2O_N_conversion)</f>
        <v>0</v>
      </c>
      <c r="J25" s="3519">
        <f>IF($D10="YES", $I10*(1/0.4), 0)</f>
        <v>0</v>
      </c>
      <c r="K25" s="3515">
        <f>IF('2.LUC'!$G62 = "YES", J25 *VLOOKUP('2.LUC'!$I62,  IPCC!$A$1473:$E$1496, 2, FALSE) * VLOOKUP('2.LUC'!$I62,  IPCC!$A$1473:$E$1496, 4, FALSE), 0)</f>
        <v>0</v>
      </c>
      <c r="L25" s="3520">
        <f>IF('2.LUC'!$G62 = "YES", luc!$I10 * 2.5 *VLOOKUP('2.LUC'!$I62,  IPCC!$A$1473:$E$1496, 2, FALSE) * VLOOKUP('2.LUC'!$I62,  IPCC!$A$1473:$E$1496, 5, FALSE), 0)</f>
        <v>0</v>
      </c>
      <c r="M25" s="2808">
        <f>K25*methane</f>
        <v>0</v>
      </c>
      <c r="N25" s="2808">
        <f t="shared" si="2"/>
        <v>0</v>
      </c>
      <c r="O25" s="2828">
        <f>($N25+$M25)/1000</f>
        <v>0</v>
      </c>
      <c r="Q25" s="2943">
        <f t="shared" si="4"/>
        <v>0</v>
      </c>
      <c r="R25" s="2944">
        <f t="shared" si="5"/>
        <v>0</v>
      </c>
      <c r="S25" s="2944">
        <f t="shared" si="6"/>
        <v>0</v>
      </c>
      <c r="T25" s="2944">
        <f t="shared" si="7"/>
        <v>0</v>
      </c>
      <c r="U25" s="2944">
        <f t="shared" si="8"/>
        <v>0</v>
      </c>
      <c r="V25" s="2944">
        <f t="shared" si="9"/>
        <v>0</v>
      </c>
      <c r="W25" s="2944">
        <f>$F25*(IF(D42="Immediate",IF(C42&gt;0,C42*MIN(20,time),0),C42*IF(time&gt;time+20,20,IF(time&lt;20,(time*VLOOKUP(D42, list!$J$48:$K$50,2,))+(time-time),((MIN(20,time)*VLOOKUP(D42, list!$J$48:$K$50,2,))+(time-MIN(20,time))-IF(D42="Exponential",time-20+0.217*time*(EXP(4.606*(20-time)/time)-1),((time-20)^2)*(0.5/time)))))))</f>
        <v>0</v>
      </c>
      <c r="X25" s="2944">
        <f>$F25*(IF(F42="Immediate",IF(E42&gt;0,E42*MIN(20,time),0),E42*IF(time&gt;time+20,20,IF(time&lt;20,(time*VLOOKUP(F42, list!$J$48:$K$50,2,))+(time-time),((MIN(20,time)*VLOOKUP(F42, list!$J$48:$K$50,2,))+(time-MIN(20,time))-IF(F42="Exponential",time-20+0.217*time*(EXP(4.606*(20-time)/time)-1),((time-20)^2)*(0.5/time)))))))</f>
        <v>0</v>
      </c>
      <c r="Y25" s="2944">
        <f t="shared" si="10"/>
        <v>0</v>
      </c>
      <c r="Z25" s="2945">
        <f t="shared" si="11"/>
        <v>0</v>
      </c>
    </row>
    <row r="26" spans="2:26" x14ac:dyDescent="0.2">
      <c r="C26" s="284" t="str">
        <f t="shared" si="0"/>
        <v>Please select</v>
      </c>
      <c r="D26" s="284" t="str">
        <f t="shared" si="1"/>
        <v>Please select</v>
      </c>
      <c r="E26" s="3517">
        <f t="shared" si="12"/>
        <v>0</v>
      </c>
      <c r="F26" s="3518">
        <f t="shared" si="13"/>
        <v>0</v>
      </c>
      <c r="G26" s="3518">
        <f t="shared" si="14"/>
        <v>0</v>
      </c>
      <c r="H26" s="3518">
        <f>IF($G26&gt;=0,0,IF($C26="Grassland",((-1)*(($G26*1/IPCC!$B$913)*1000)),((-1)*(($G26*1/IPCC!$B$914)*1000))))</f>
        <v>0</v>
      </c>
      <c r="I26" s="2807">
        <f>IF($E11="Please select", 0, $H26*VLOOKUP(moist_type, IPCC!$B$99:$C$101, 2, FALSE)*N2O_N_conversion)</f>
        <v>0</v>
      </c>
      <c r="J26" s="3519">
        <f t="shared" ref="J26:J33" si="15">IF($D11="YES", $I11*(1/0.4), 0)</f>
        <v>0</v>
      </c>
      <c r="K26" s="3515">
        <f>IF('2.LUC'!$G63 = "YES", J26 *VLOOKUP('2.LUC'!$I63,  IPCC!$A$1473:$E$1496, 2, FALSE) * VLOOKUP('2.LUC'!$I63,  IPCC!$A$1473:$E$1496, 4, FALSE), 0)</f>
        <v>0</v>
      </c>
      <c r="L26" s="3520">
        <f>IF('2.LUC'!$G63 = "YES", luc!$I11 * 2.5 *VLOOKUP('2.LUC'!$I63,  IPCC!$A$1473:$E$1496, 2, FALSE) * VLOOKUP('2.LUC'!$I63,  IPCC!$A$1473:$E$1496, 5, FALSE), 0)</f>
        <v>0</v>
      </c>
      <c r="M26" s="2808">
        <f t="shared" ref="M26:M33" si="16">K26*methane</f>
        <v>0</v>
      </c>
      <c r="N26" s="2808">
        <f t="shared" si="2"/>
        <v>0</v>
      </c>
      <c r="O26" s="2828">
        <f t="shared" si="3"/>
        <v>0</v>
      </c>
      <c r="Q26" s="2943">
        <f t="shared" si="4"/>
        <v>0</v>
      </c>
      <c r="R26" s="2944">
        <f t="shared" si="5"/>
        <v>0</v>
      </c>
      <c r="S26" s="2944">
        <f t="shared" si="6"/>
        <v>0</v>
      </c>
      <c r="T26" s="2944">
        <f t="shared" si="7"/>
        <v>0</v>
      </c>
      <c r="U26" s="2944">
        <f t="shared" si="8"/>
        <v>0</v>
      </c>
      <c r="V26" s="2944">
        <f t="shared" si="9"/>
        <v>0</v>
      </c>
      <c r="W26" s="2944">
        <f>$F26*(IF(D43="Immediate",IF(C43&gt;0,C43*MIN(20,time),0),C43*IF(time&gt;time+20,20,IF(time&lt;20,(time*VLOOKUP(D43, list!$J$48:$K$50,2,))+(time-time),((MIN(20,time)*VLOOKUP(D43, list!$J$48:$K$50,2,))+(time-MIN(20,time))-IF(D43="Exponential",time-20+0.217*time*(EXP(4.606*(20-time)/time)-1),((time-20)^2)*(0.5/time)))))))</f>
        <v>0</v>
      </c>
      <c r="X26" s="2944">
        <f>$F26*(IF(F43="Immediate",IF(E43&gt;0,E43*MIN(20,time),0),E43*IF(time&gt;time+20,20,IF(time&lt;20,(time*VLOOKUP(F43, list!$J$48:$K$50,2,))+(time-time),((MIN(20,time)*VLOOKUP(F43, list!$J$48:$K$50,2,))+(time-MIN(20,time))-IF(F43="Exponential",time-20+0.217*time*(EXP(4.606*(20-time)/time)-1),((time-20)^2)*(0.5/time)))))))</f>
        <v>0</v>
      </c>
      <c r="Y26" s="2944">
        <f t="shared" si="10"/>
        <v>0</v>
      </c>
      <c r="Z26" s="2945">
        <f t="shared" si="11"/>
        <v>0</v>
      </c>
    </row>
    <row r="27" spans="2:26" x14ac:dyDescent="0.2">
      <c r="C27" s="284" t="str">
        <f t="shared" si="0"/>
        <v>Please select</v>
      </c>
      <c r="D27" s="284" t="str">
        <f t="shared" si="1"/>
        <v>Please select</v>
      </c>
      <c r="E27" s="3517">
        <f t="shared" si="12"/>
        <v>0</v>
      </c>
      <c r="F27" s="3518">
        <f t="shared" si="13"/>
        <v>0</v>
      </c>
      <c r="G27" s="3518">
        <f t="shared" si="14"/>
        <v>0</v>
      </c>
      <c r="H27" s="3518">
        <f>IF($G27&gt;=0,0,IF($C27="Grassland",((-1)*(($G27*1/IPCC!$B$913)*1000)),((-1)*(($G27*1/IPCC!$B$914)*1000))))</f>
        <v>0</v>
      </c>
      <c r="I27" s="2807">
        <f>IF($E12="Please select", 0, $H27*VLOOKUP(moist_type, IPCC!$B$99:$C$101, 2, FALSE)*N2O_N_conversion)</f>
        <v>0</v>
      </c>
      <c r="J27" s="3519">
        <f t="shared" si="15"/>
        <v>0</v>
      </c>
      <c r="K27" s="3515">
        <f>IF('2.LUC'!$G64 = "YES", J27 *VLOOKUP('2.LUC'!$I64,  IPCC!$A$1473:$E$1496, 2, FALSE) * VLOOKUP('2.LUC'!$I64,  IPCC!$A$1473:$E$1496, 4, FALSE), 0)</f>
        <v>0</v>
      </c>
      <c r="L27" s="3520">
        <f>IF('2.LUC'!$G64 = "YES", luc!$I12 * 2.5 *VLOOKUP('2.LUC'!$I64,  IPCC!$A$1473:$E$1496, 2, FALSE) * VLOOKUP('2.LUC'!$I64,  IPCC!$A$1473:$E$1496, 5, FALSE), 0)</f>
        <v>0</v>
      </c>
      <c r="M27" s="2808">
        <f t="shared" si="16"/>
        <v>0</v>
      </c>
      <c r="N27" s="2808">
        <f t="shared" si="2"/>
        <v>0</v>
      </c>
      <c r="O27" s="2828">
        <f t="shared" si="3"/>
        <v>0</v>
      </c>
      <c r="Q27" s="2943">
        <f t="shared" si="4"/>
        <v>0</v>
      </c>
      <c r="R27" s="2944">
        <f t="shared" si="5"/>
        <v>0</v>
      </c>
      <c r="S27" s="2944">
        <f t="shared" si="6"/>
        <v>0</v>
      </c>
      <c r="T27" s="2944">
        <f t="shared" si="7"/>
        <v>0</v>
      </c>
      <c r="U27" s="2944">
        <f t="shared" si="8"/>
        <v>0</v>
      </c>
      <c r="V27" s="2944">
        <f t="shared" si="9"/>
        <v>0</v>
      </c>
      <c r="W27" s="2944">
        <f>$F27*(IF(D44="Immediate",IF(C44&gt;0,C44*MIN(20,time),0),C44*IF(time&gt;time+20,20,IF(time&lt;20,(time*VLOOKUP(D44, list!$J$48:$K$50,2,))+(time-time),((MIN(20,time)*VLOOKUP(D44, list!$J$48:$K$50,2,))+(time-MIN(20,time))-IF(D44="Exponential",time-20+0.217*time*(EXP(4.606*(20-time)/time)-1),((time-20)^2)*(0.5/time)))))))</f>
        <v>0</v>
      </c>
      <c r="X27" s="2944">
        <f>$F27*(IF(F44="Immediate",IF(E44&gt;0,E44*MIN(20,time),0),E44*IF(time&gt;time+20,20,IF(time&lt;20,(time*VLOOKUP(F44, list!$J$48:$K$50,2,))+(time-time),((MIN(20,time)*VLOOKUP(F44, list!$J$48:$K$50,2,))+(time-MIN(20,time))-IF(F44="Exponential",time-20+0.217*time*(EXP(4.606*(20-time)/time)-1),((time-20)^2)*(0.5/time)))))))</f>
        <v>0</v>
      </c>
      <c r="Y27" s="2944">
        <f t="shared" si="10"/>
        <v>0</v>
      </c>
      <c r="Z27" s="2945">
        <f t="shared" si="11"/>
        <v>0</v>
      </c>
    </row>
    <row r="28" spans="2:26" x14ac:dyDescent="0.2">
      <c r="C28" s="284" t="str">
        <f t="shared" si="0"/>
        <v>Please select</v>
      </c>
      <c r="D28" s="284" t="str">
        <f t="shared" si="1"/>
        <v>Please select</v>
      </c>
      <c r="E28" s="3517">
        <f t="shared" si="12"/>
        <v>0</v>
      </c>
      <c r="F28" s="3518">
        <f t="shared" si="13"/>
        <v>0</v>
      </c>
      <c r="G28" s="3518">
        <f t="shared" si="14"/>
        <v>0</v>
      </c>
      <c r="H28" s="3518">
        <f>IF($G28&gt;=0,0,IF($C28="Grassland",((-1)*(($G28*1/IPCC!$B$913)*1000)),((-1)*(($G28*1/IPCC!$B$914)*1000))))</f>
        <v>0</v>
      </c>
      <c r="I28" s="2807">
        <f>IF($E13="Please select", 0, $H28*VLOOKUP(moist_type, IPCC!$B$99:$C$101, 2, FALSE)*N2O_N_conversion)</f>
        <v>0</v>
      </c>
      <c r="J28" s="3519">
        <f t="shared" si="15"/>
        <v>0</v>
      </c>
      <c r="K28" s="3515">
        <f>IF('2.LUC'!$G65 = "YES", J28 *VLOOKUP('2.LUC'!$I65,  IPCC!$A$1473:$E$1496, 2, FALSE) * VLOOKUP('2.LUC'!$I65,  IPCC!$A$1473:$E$1496, 4, FALSE), 0)</f>
        <v>0</v>
      </c>
      <c r="L28" s="3520">
        <f>IF('2.LUC'!$G65 = "YES", luc!$I13 * 2.5 *VLOOKUP('2.LUC'!$I65,  IPCC!$A$1473:$E$1496, 2, FALSE) * VLOOKUP('2.LUC'!$I65,  IPCC!$A$1473:$E$1496, 5, FALSE), 0)</f>
        <v>0</v>
      </c>
      <c r="M28" s="2808">
        <f t="shared" si="16"/>
        <v>0</v>
      </c>
      <c r="N28" s="2808">
        <f t="shared" si="2"/>
        <v>0</v>
      </c>
      <c r="O28" s="2828">
        <f t="shared" si="3"/>
        <v>0</v>
      </c>
      <c r="Q28" s="2943">
        <f t="shared" si="4"/>
        <v>0</v>
      </c>
      <c r="R28" s="2944">
        <f t="shared" si="5"/>
        <v>0</v>
      </c>
      <c r="S28" s="2944">
        <f t="shared" si="6"/>
        <v>0</v>
      </c>
      <c r="T28" s="2944">
        <f t="shared" si="7"/>
        <v>0</v>
      </c>
      <c r="U28" s="2944">
        <f t="shared" si="8"/>
        <v>0</v>
      </c>
      <c r="V28" s="2944">
        <f t="shared" si="9"/>
        <v>0</v>
      </c>
      <c r="W28" s="2944">
        <f>$F28*(IF(D45="Immediate",IF(C45&gt;0,C45*MIN(20,time),0),C45*IF(time&gt;time+20,20,IF(time&lt;20,(time*VLOOKUP(D45, list!$J$48:$K$50,2,))+(time-time),((MIN(20,time)*VLOOKUP(D45, list!$J$48:$K$50,2,))+(time-MIN(20,time))-IF(D45="Exponential",time-20+0.217*time*(EXP(4.606*(20-time)/time)-1),((time-20)^2)*(0.5/time)))))))</f>
        <v>0</v>
      </c>
      <c r="X28" s="2944">
        <f>$F28*(IF(F45="Immediate",IF(E45&gt;0,E45*MIN(20,time),0),E45*IF(time&gt;time+20,20,IF(time&lt;20,(time*VLOOKUP(F45, list!$J$48:$K$50,2,))+(time-time),((MIN(20,time)*VLOOKUP(F45, list!$J$48:$K$50,2,))+(time-MIN(20,time))-IF(F45="Exponential",time-20+0.217*time*(EXP(4.606*(20-time)/time)-1),((time-20)^2)*(0.5/time)))))))</f>
        <v>0</v>
      </c>
      <c r="Y28" s="2944">
        <f t="shared" si="10"/>
        <v>0</v>
      </c>
      <c r="Z28" s="2945">
        <f t="shared" si="11"/>
        <v>0</v>
      </c>
    </row>
    <row r="29" spans="2:26" x14ac:dyDescent="0.2">
      <c r="C29" s="284" t="str">
        <f t="shared" si="0"/>
        <v>Please select</v>
      </c>
      <c r="D29" s="284" t="str">
        <f t="shared" si="1"/>
        <v>Please select</v>
      </c>
      <c r="E29" s="3517">
        <f t="shared" si="12"/>
        <v>0</v>
      </c>
      <c r="F29" s="3518">
        <f t="shared" si="13"/>
        <v>0</v>
      </c>
      <c r="G29" s="3518">
        <f t="shared" si="14"/>
        <v>0</v>
      </c>
      <c r="H29" s="3518">
        <f>IF($G29&gt;=0,0,IF($C29="Grassland",((-1)*(($G29*1/IPCC!$B$913)*1000)),((-1)*(($G29*1/IPCC!$B$914)*1000))))</f>
        <v>0</v>
      </c>
      <c r="I29" s="2807">
        <f>IF($E14="Please select", 0, $H29*VLOOKUP(moist_type, IPCC!$B$99:$C$101, 2, FALSE)*N2O_N_conversion)</f>
        <v>0</v>
      </c>
      <c r="J29" s="3519">
        <f t="shared" si="15"/>
        <v>0</v>
      </c>
      <c r="K29" s="3515">
        <f>IF('2.LUC'!$G66 = "YES", J29 *VLOOKUP('2.LUC'!$I66,  IPCC!$A$1473:$E$1496, 2, FALSE) * VLOOKUP('2.LUC'!$I66,  IPCC!$A$1473:$E$1496, 4, FALSE), 0)</f>
        <v>0</v>
      </c>
      <c r="L29" s="3520">
        <f>IF('2.LUC'!$G66 = "YES", luc!$I14 * 2.5 *VLOOKUP('2.LUC'!$I66,  IPCC!$A$1473:$E$1496, 2, FALSE) * VLOOKUP('2.LUC'!$I66,  IPCC!$A$1473:$E$1496, 5, FALSE), 0)</f>
        <v>0</v>
      </c>
      <c r="M29" s="2808">
        <f t="shared" si="16"/>
        <v>0</v>
      </c>
      <c r="N29" s="2808">
        <f t="shared" si="2"/>
        <v>0</v>
      </c>
      <c r="O29" s="2828">
        <f t="shared" si="3"/>
        <v>0</v>
      </c>
      <c r="Q29" s="2943">
        <f t="shared" si="4"/>
        <v>0</v>
      </c>
      <c r="R29" s="2944">
        <f t="shared" si="5"/>
        <v>0</v>
      </c>
      <c r="S29" s="2944">
        <f t="shared" si="6"/>
        <v>0</v>
      </c>
      <c r="T29" s="2944">
        <f t="shared" si="7"/>
        <v>0</v>
      </c>
      <c r="U29" s="2944">
        <f t="shared" si="8"/>
        <v>0</v>
      </c>
      <c r="V29" s="2944">
        <f t="shared" si="9"/>
        <v>0</v>
      </c>
      <c r="W29" s="2944">
        <f>$F29*(IF(D46="Immediate",IF(C46&gt;0,C46*MIN(20,time),0),C46*IF(time&gt;time+20,20,IF(time&lt;20,(time*VLOOKUP(D46, list!$J$48:$K$50,2,))+(time-time),((MIN(20,time)*VLOOKUP(D46, list!$J$48:$K$50,2,))+(time-MIN(20,time))-IF(D46="Exponential",time-20+0.217*time*(EXP(4.606*(20-time)/time)-1),((time-20)^2)*(0.5/time)))))))</f>
        <v>0</v>
      </c>
      <c r="X29" s="2944">
        <f>$F29*(IF(F46="Immediate",IF(E46&gt;0,E46*MIN(20,time),0),E46*IF(time&gt;time+20,20,IF(time&lt;20,(time*VLOOKUP(F46, list!$J$48:$K$50,2,))+(time-time),((MIN(20,time)*VLOOKUP(F46, list!$J$48:$K$50,2,))+(time-MIN(20,time))-IF(F46="Exponential",time-20+0.217*time*(EXP(4.606*(20-time)/time)-1),((time-20)^2)*(0.5/time)))))))</f>
        <v>0</v>
      </c>
      <c r="Y29" s="2944">
        <f t="shared" si="10"/>
        <v>0</v>
      </c>
      <c r="Z29" s="2945">
        <f t="shared" si="11"/>
        <v>0</v>
      </c>
    </row>
    <row r="30" spans="2:26" x14ac:dyDescent="0.2">
      <c r="C30" s="284" t="str">
        <f t="shared" si="0"/>
        <v>Please select</v>
      </c>
      <c r="D30" s="284" t="str">
        <f t="shared" si="1"/>
        <v>Please select</v>
      </c>
      <c r="E30" s="3517">
        <f t="shared" si="12"/>
        <v>0</v>
      </c>
      <c r="F30" s="3518">
        <f t="shared" si="13"/>
        <v>0</v>
      </c>
      <c r="G30" s="3518">
        <f t="shared" si="14"/>
        <v>0</v>
      </c>
      <c r="H30" s="3518">
        <f>IF($G30&gt;=0,0,IF($C30="Grassland",((-1)*(($G30*1/IPCC!$B$913)*1000)),((-1)*(($G30*1/IPCC!$B$914)*1000))))</f>
        <v>0</v>
      </c>
      <c r="I30" s="2807">
        <f>IF($E15="Please select", 0, $H30*VLOOKUP(moist_type, IPCC!$B$99:$C$101, 2, FALSE)*N2O_N_conversion)</f>
        <v>0</v>
      </c>
      <c r="J30" s="3519">
        <f t="shared" si="15"/>
        <v>0</v>
      </c>
      <c r="K30" s="3515">
        <f>IF('2.LUC'!$G67 = "YES", J30 *VLOOKUP('2.LUC'!$I67,  IPCC!$A$1473:$E$1496, 2, FALSE) * VLOOKUP('2.LUC'!$I67,  IPCC!$A$1473:$E$1496, 4, FALSE), 0)</f>
        <v>0</v>
      </c>
      <c r="L30" s="3520">
        <f>IF('2.LUC'!$G67 = "YES", luc!$I15 * 2.5 *VLOOKUP('2.LUC'!$I67,  IPCC!$A$1473:$E$1496, 2, FALSE) * VLOOKUP('2.LUC'!$I67,  IPCC!$A$1473:$E$1496, 5, FALSE), 0)</f>
        <v>0</v>
      </c>
      <c r="M30" s="2808">
        <f t="shared" si="16"/>
        <v>0</v>
      </c>
      <c r="N30" s="2808">
        <f t="shared" si="2"/>
        <v>0</v>
      </c>
      <c r="O30" s="2828">
        <f t="shared" si="3"/>
        <v>0</v>
      </c>
      <c r="Q30" s="2943">
        <f t="shared" si="4"/>
        <v>0</v>
      </c>
      <c r="R30" s="2944">
        <f t="shared" si="5"/>
        <v>0</v>
      </c>
      <c r="S30" s="2944">
        <f t="shared" si="6"/>
        <v>0</v>
      </c>
      <c r="T30" s="2944">
        <f t="shared" si="7"/>
        <v>0</v>
      </c>
      <c r="U30" s="2944">
        <f t="shared" si="8"/>
        <v>0</v>
      </c>
      <c r="V30" s="2944">
        <f t="shared" si="9"/>
        <v>0</v>
      </c>
      <c r="W30" s="2944">
        <f>$F30*(IF(D47="Immediate",IF(C47&gt;0,C47*MIN(20,time),0),C47*IF(time&gt;time+20,20,IF(time&lt;20,(time*VLOOKUP(D47, list!$J$48:$K$50,2,))+(time-time),((MIN(20,time)*VLOOKUP(D47, list!$J$48:$K$50,2,))+(time-MIN(20,time))-IF(D47="Exponential",time-20+0.217*time*(EXP(4.606*(20-time)/time)-1),((time-20)^2)*(0.5/time)))))))</f>
        <v>0</v>
      </c>
      <c r="X30" s="2944">
        <f>$F30*(IF(F47="Immediate",IF(E47&gt;0,E47*MIN(20,time),0),E47*IF(time&gt;time+20,20,IF(time&lt;20,(time*VLOOKUP(F47, list!$J$48:$K$50,2,))+(time-time),((MIN(20,time)*VLOOKUP(F47, list!$J$48:$K$50,2,))+(time-MIN(20,time))-IF(F47="Exponential",time-20+0.217*time*(EXP(4.606*(20-time)/time)-1),((time-20)^2)*(0.5/time)))))))</f>
        <v>0</v>
      </c>
      <c r="Y30" s="2944">
        <f t="shared" si="10"/>
        <v>0</v>
      </c>
      <c r="Z30" s="2945">
        <f t="shared" si="11"/>
        <v>0</v>
      </c>
    </row>
    <row r="31" spans="2:26" x14ac:dyDescent="0.2">
      <c r="C31" s="284" t="str">
        <f t="shared" si="0"/>
        <v>Please select</v>
      </c>
      <c r="D31" s="284" t="str">
        <f t="shared" si="1"/>
        <v>Please select</v>
      </c>
      <c r="E31" s="3517">
        <f t="shared" si="12"/>
        <v>0</v>
      </c>
      <c r="F31" s="3518">
        <f t="shared" si="13"/>
        <v>0</v>
      </c>
      <c r="G31" s="3518">
        <f t="shared" si="14"/>
        <v>0</v>
      </c>
      <c r="H31" s="3518">
        <f>IF($G31&gt;=0,0,IF($C31="Grassland",((-1)*(($G31*1/IPCC!$B$913)*1000)),((-1)*(($G31*1/IPCC!$B$914)*1000))))</f>
        <v>0</v>
      </c>
      <c r="I31" s="2807">
        <f>IF($E16="Please select", 0, $H31*VLOOKUP(moist_type, IPCC!$B$99:$C$101, 2, FALSE)*N2O_N_conversion)</f>
        <v>0</v>
      </c>
      <c r="J31" s="3519">
        <f t="shared" si="15"/>
        <v>0</v>
      </c>
      <c r="K31" s="3515">
        <f>IF('2.LUC'!$G68 = "YES", J31 *VLOOKUP('2.LUC'!$I68,  IPCC!$A$1473:$E$1496, 2, FALSE) * VLOOKUP('2.LUC'!$I68,  IPCC!$A$1473:$E$1496, 4, FALSE), 0)</f>
        <v>0</v>
      </c>
      <c r="L31" s="3520">
        <f>IF('2.LUC'!$G68 = "YES", luc!$I16 * 2.5 *VLOOKUP('2.LUC'!$I68,  IPCC!$A$1473:$E$1496, 2, FALSE) * VLOOKUP('2.LUC'!$I68,  IPCC!$A$1473:$E$1496, 5, FALSE), 0)</f>
        <v>0</v>
      </c>
      <c r="M31" s="2808">
        <f t="shared" si="16"/>
        <v>0</v>
      </c>
      <c r="N31" s="2808">
        <f t="shared" si="2"/>
        <v>0</v>
      </c>
      <c r="O31" s="2828">
        <f t="shared" si="3"/>
        <v>0</v>
      </c>
      <c r="Q31" s="2943">
        <f t="shared" si="4"/>
        <v>0</v>
      </c>
      <c r="R31" s="2944">
        <f t="shared" si="5"/>
        <v>0</v>
      </c>
      <c r="S31" s="2944">
        <f t="shared" si="6"/>
        <v>0</v>
      </c>
      <c r="T31" s="2944">
        <f t="shared" si="7"/>
        <v>0</v>
      </c>
      <c r="U31" s="2944">
        <f t="shared" si="8"/>
        <v>0</v>
      </c>
      <c r="V31" s="2944">
        <f t="shared" si="9"/>
        <v>0</v>
      </c>
      <c r="W31" s="2944">
        <f>$F31*(IF(D48="Immediate",IF(C48&gt;0,C48*MIN(20,time),0),C48*IF(time&gt;time+20,20,IF(time&lt;20,(time*VLOOKUP(D48, list!$J$48:$K$50,2,))+(time-time),((MIN(20,time)*VLOOKUP(D48, list!$J$48:$K$50,2,))+(time-MIN(20,time))-IF(D48="Exponential",time-20+0.217*time*(EXP(4.606*(20-time)/time)-1),((time-20)^2)*(0.5/time)))))))</f>
        <v>0</v>
      </c>
      <c r="X31" s="2944">
        <f>$F31*(IF(F48="Immediate",IF(E48&gt;0,E48*MIN(20,time),0),E48*IF(time&gt;time+20,20,IF(time&lt;20,(time*VLOOKUP(F48, list!$J$48:$K$50,2,))+(time-time),((MIN(20,time)*VLOOKUP(F48, list!$J$48:$K$50,2,))+(time-MIN(20,time))-IF(F48="Exponential",time-20+0.217*time*(EXP(4.606*(20-time)/time)-1),((time-20)^2)*(0.5/time)))))))</f>
        <v>0</v>
      </c>
      <c r="Y31" s="2944">
        <f t="shared" si="10"/>
        <v>0</v>
      </c>
      <c r="Z31" s="2945">
        <f t="shared" si="11"/>
        <v>0</v>
      </c>
    </row>
    <row r="32" spans="2:26" x14ac:dyDescent="0.2">
      <c r="C32" s="284" t="str">
        <f t="shared" si="0"/>
        <v>Please select</v>
      </c>
      <c r="D32" s="284" t="str">
        <f t="shared" si="1"/>
        <v>Please select</v>
      </c>
      <c r="E32" s="3517">
        <f t="shared" si="12"/>
        <v>0</v>
      </c>
      <c r="F32" s="3518">
        <f t="shared" si="13"/>
        <v>0</v>
      </c>
      <c r="G32" s="3518">
        <f t="shared" si="14"/>
        <v>0</v>
      </c>
      <c r="H32" s="3518">
        <f>IF($G32&gt;=0,0,IF($C32="Grassland",((-1)*(($G32*1/IPCC!$B$913)*1000)),((-1)*(($G32*1/IPCC!$B$914)*1000))))</f>
        <v>0</v>
      </c>
      <c r="I32" s="2807">
        <f>IF($E17="Please select", 0, $H32*VLOOKUP(moist_type, IPCC!$B$99:$C$101, 2, FALSE)*N2O_N_conversion)</f>
        <v>0</v>
      </c>
      <c r="J32" s="3519">
        <f t="shared" si="15"/>
        <v>0</v>
      </c>
      <c r="K32" s="3515">
        <f>IF('2.LUC'!$G69 = "YES", J32 *VLOOKUP('2.LUC'!$I69,  IPCC!$A$1473:$E$1496, 2, FALSE) * VLOOKUP('2.LUC'!$I69,  IPCC!$A$1473:$E$1496, 4, FALSE), 0)</f>
        <v>0</v>
      </c>
      <c r="L32" s="3520">
        <f>IF('2.LUC'!$G69 = "YES", luc!$I17 * 2.5 *VLOOKUP('2.LUC'!$I69,  IPCC!$A$1473:$E$1496, 2, FALSE) * VLOOKUP('2.LUC'!$I69,  IPCC!$A$1473:$E$1496, 5, FALSE), 0)</f>
        <v>0</v>
      </c>
      <c r="M32" s="2808">
        <f t="shared" si="16"/>
        <v>0</v>
      </c>
      <c r="N32" s="2808">
        <f t="shared" si="2"/>
        <v>0</v>
      </c>
      <c r="O32" s="2828">
        <f t="shared" si="3"/>
        <v>0</v>
      </c>
      <c r="Q32" s="2943">
        <f t="shared" si="4"/>
        <v>0</v>
      </c>
      <c r="R32" s="2944">
        <f t="shared" si="5"/>
        <v>0</v>
      </c>
      <c r="S32" s="2944">
        <f t="shared" si="6"/>
        <v>0</v>
      </c>
      <c r="T32" s="2944">
        <f t="shared" si="7"/>
        <v>0</v>
      </c>
      <c r="U32" s="2944">
        <f t="shared" si="8"/>
        <v>0</v>
      </c>
      <c r="V32" s="2944">
        <f t="shared" si="9"/>
        <v>0</v>
      </c>
      <c r="W32" s="2944">
        <f>$F32*(IF(D49="Immediate",IF(C49&gt;0,C49*MIN(20,time),0),C49*IF(time&gt;time+20,20,IF(time&lt;20,(time*VLOOKUP(D49, list!$J$48:$K$50,2,))+(time-time),((MIN(20,time)*VLOOKUP(D49, list!$J$48:$K$50,2,))+(time-MIN(20,time))-IF(D49="Exponential",time-20+0.217*time*(EXP(4.606*(20-time)/time)-1),((time-20)^2)*(0.5/time)))))))</f>
        <v>0</v>
      </c>
      <c r="X32" s="2944">
        <f>$F32*(IF(F49="Immediate",IF(E49&gt;0,E49*MIN(20,time),0),E49*IF(time&gt;time+20,20,IF(time&lt;20,(time*VLOOKUP(F49, list!$J$48:$K$50,2,))+(time-time),((MIN(20,time)*VLOOKUP(F49, list!$J$48:$K$50,2,))+(time-MIN(20,time))-IF(F49="Exponential",time-20+0.217*time*(EXP(4.606*(20-time)/time)-1),((time-20)^2)*(0.5/time)))))))</f>
        <v>0</v>
      </c>
      <c r="Y32" s="2944">
        <f t="shared" si="10"/>
        <v>0</v>
      </c>
      <c r="Z32" s="2945">
        <f t="shared" si="11"/>
        <v>0</v>
      </c>
    </row>
    <row r="33" spans="2:26" x14ac:dyDescent="0.2">
      <c r="C33" s="284" t="str">
        <f t="shared" si="0"/>
        <v>Please select</v>
      </c>
      <c r="D33" s="284" t="str">
        <f t="shared" si="1"/>
        <v>Please select</v>
      </c>
      <c r="E33" s="3517">
        <f t="shared" si="12"/>
        <v>0</v>
      </c>
      <c r="F33" s="3518">
        <f t="shared" si="13"/>
        <v>0</v>
      </c>
      <c r="G33" s="3518">
        <f t="shared" si="14"/>
        <v>0</v>
      </c>
      <c r="H33" s="3518">
        <f>IF($G33&gt;=0,0,IF($C33="Grassland",((-1)*(($G33*1/IPCC!$B$913)*1000)),((-1)*(($G33*1/IPCC!$B$914)*1000))))</f>
        <v>0</v>
      </c>
      <c r="I33" s="2829">
        <f>IF($E18="Please select", 0, $H33*VLOOKUP(moist_type, IPCC!$B$99:$C$101, 2, FALSE)*N2O_N_conversion)</f>
        <v>0</v>
      </c>
      <c r="J33" s="3519">
        <f t="shared" si="15"/>
        <v>0</v>
      </c>
      <c r="K33" s="3521">
        <f>IF('2.LUC'!$G70 = "YES", J33 *VLOOKUP('2.LUC'!$I70,  IPCC!$A$1473:$E$1496, 2, FALSE) * VLOOKUP('2.LUC'!$I70,  IPCC!$A$1473:$E$1496, 4, FALSE), 0)</f>
        <v>0</v>
      </c>
      <c r="L33" s="3520">
        <f>IF('2.LUC'!$G70 = "YES", luc!$I18 * 2.5 *VLOOKUP('2.LUC'!$I70,  IPCC!$A$1473:$E$1496, 2, FALSE) * VLOOKUP('2.LUC'!$I70,  IPCC!$A$1473:$E$1496, 5, FALSE), 0)</f>
        <v>0</v>
      </c>
      <c r="M33" s="2830">
        <f t="shared" si="16"/>
        <v>0</v>
      </c>
      <c r="N33" s="2830">
        <f t="shared" si="2"/>
        <v>0</v>
      </c>
      <c r="O33" s="2831">
        <f t="shared" si="3"/>
        <v>0</v>
      </c>
      <c r="Q33" s="2946">
        <f t="shared" si="4"/>
        <v>0</v>
      </c>
      <c r="R33" s="2947">
        <f t="shared" si="5"/>
        <v>0</v>
      </c>
      <c r="S33" s="2947">
        <f t="shared" si="6"/>
        <v>0</v>
      </c>
      <c r="T33" s="2947">
        <f t="shared" si="7"/>
        <v>0</v>
      </c>
      <c r="U33" s="2947">
        <f t="shared" si="8"/>
        <v>0</v>
      </c>
      <c r="V33" s="2947">
        <f t="shared" si="9"/>
        <v>0</v>
      </c>
      <c r="W33" s="2947">
        <f>$F33*(IF(D50="Immediate",IF(C50&gt;0,C50*MIN(20,time),0),C50*IF(time&gt;time+20,20,IF(time&lt;20,(time*VLOOKUP(D50, list!$J$48:$K$50,2,))+(time-time),((MIN(20,time)*VLOOKUP(D50, list!$J$48:$K$50,2,))+(time-MIN(20,time))-IF(D50="Exponential",time-20+0.217*time*(EXP(4.606*(20-time)/time)-1),((time-20)^2)*(0.5/time)))))))</f>
        <v>0</v>
      </c>
      <c r="X33" s="2947">
        <f>$F33*(IF(F50="Immediate",IF(E50&gt;0,E50*MIN(20,time),0),E50*IF(time&gt;time+20,20,IF(time&lt;20,(time*VLOOKUP(F50, list!$J$48:$K$50,2,))+(time-time),((MIN(20,time)*VLOOKUP(F50, list!$J$48:$K$50,2,))+(time-MIN(20,time))-IF(F50="Exponential",time-20+0.217*time*(EXP(4.606*(20-time)/time)-1),((time-20)^2)*(0.5/time)))))))</f>
        <v>0</v>
      </c>
      <c r="Y33" s="2947">
        <f t="shared" si="10"/>
        <v>0</v>
      </c>
      <c r="Z33" s="2948">
        <f t="shared" si="11"/>
        <v>0</v>
      </c>
    </row>
    <row r="34" spans="2:26" x14ac:dyDescent="0.2">
      <c r="Y34" s="2939">
        <f>SUM(Y24:Y33)</f>
        <v>0</v>
      </c>
      <c r="Z34" s="2939">
        <f>SUM(Z24:Z33)</f>
        <v>0</v>
      </c>
    </row>
    <row r="37" spans="2:26" x14ac:dyDescent="0.2">
      <c r="B37" s="2832" t="s">
        <v>210</v>
      </c>
      <c r="C37" s="2832"/>
      <c r="D37" s="383"/>
      <c r="E37" s="383"/>
      <c r="F37" s="383"/>
      <c r="G37" s="383"/>
      <c r="H37" s="383"/>
      <c r="I37" s="383"/>
      <c r="J37" s="383"/>
      <c r="K37" s="383"/>
      <c r="L37" s="383"/>
      <c r="M37" s="383"/>
      <c r="N37" s="383"/>
      <c r="O37" s="383"/>
    </row>
    <row r="38" spans="2:26" x14ac:dyDescent="0.2">
      <c r="B38" s="3460"/>
      <c r="C38" s="2833" t="s">
        <v>372</v>
      </c>
      <c r="D38" s="2834"/>
      <c r="E38" s="2834"/>
      <c r="F38" s="2834"/>
      <c r="G38" s="2835" t="s">
        <v>373</v>
      </c>
      <c r="H38" s="480"/>
      <c r="I38" s="3522" t="s">
        <v>374</v>
      </c>
      <c r="J38" s="480"/>
      <c r="K38" s="2833" t="s">
        <v>375</v>
      </c>
      <c r="L38" s="480"/>
      <c r="M38" s="2834" t="s">
        <v>217</v>
      </c>
      <c r="N38" s="2834"/>
      <c r="O38" s="3524" t="s">
        <v>376</v>
      </c>
    </row>
    <row r="39" spans="2:26" x14ac:dyDescent="0.2">
      <c r="B39" s="3460"/>
      <c r="C39" s="2836" t="s">
        <v>220</v>
      </c>
      <c r="D39" s="2836"/>
      <c r="E39" s="2837" t="s">
        <v>221</v>
      </c>
      <c r="F39" s="2838"/>
      <c r="G39" s="3233" t="s">
        <v>220</v>
      </c>
      <c r="H39" s="3523" t="s">
        <v>221</v>
      </c>
      <c r="I39" s="3233" t="s">
        <v>220</v>
      </c>
      <c r="J39" s="3523" t="s">
        <v>221</v>
      </c>
      <c r="K39" s="3233" t="s">
        <v>220</v>
      </c>
      <c r="L39" s="3523" t="s">
        <v>221</v>
      </c>
      <c r="M39" s="3233" t="s">
        <v>220</v>
      </c>
      <c r="N39" s="3523" t="s">
        <v>221</v>
      </c>
      <c r="O39" s="480"/>
    </row>
    <row r="40" spans="2:26" x14ac:dyDescent="0.2">
      <c r="B40" s="3460" t="s">
        <v>339</v>
      </c>
      <c r="C40" s="2839" t="s">
        <v>323</v>
      </c>
      <c r="D40" s="2839" t="s">
        <v>225</v>
      </c>
      <c r="E40" s="2838" t="s">
        <v>323</v>
      </c>
      <c r="F40" s="2838" t="s">
        <v>225</v>
      </c>
      <c r="G40" s="3233" t="s">
        <v>198</v>
      </c>
      <c r="H40" s="3523" t="s">
        <v>198</v>
      </c>
      <c r="I40" s="3233" t="s">
        <v>198</v>
      </c>
      <c r="J40" s="3523" t="s">
        <v>198</v>
      </c>
      <c r="K40" s="3233" t="s">
        <v>198</v>
      </c>
      <c r="L40" s="3523" t="s">
        <v>198</v>
      </c>
      <c r="M40" s="3233" t="s">
        <v>198</v>
      </c>
      <c r="N40" s="3523" t="s">
        <v>198</v>
      </c>
      <c r="O40" s="3524" t="s">
        <v>198</v>
      </c>
    </row>
    <row r="41" spans="2:26" x14ac:dyDescent="0.2">
      <c r="B41" s="674">
        <v>1</v>
      </c>
      <c r="C41" s="682">
        <f>'2.LUC'!$N61</f>
        <v>150</v>
      </c>
      <c r="D41" s="682" t="str">
        <f>VLOOKUP('2.LUC'!$O61, list!$I$48:$J$50,2,FALSE )</f>
        <v>Linear</v>
      </c>
      <c r="E41" s="682">
        <f>'2.LUC'!$P61</f>
        <v>150</v>
      </c>
      <c r="F41" s="682" t="str">
        <f>VLOOKUP('2.LUC'!$Q61, list!$I$48:$J$50,2,FALSE )</f>
        <v>Linear</v>
      </c>
      <c r="G41" s="3525">
        <f t="shared" ref="G41:G50" si="17">$C41*$E24</f>
        <v>-1008.1500000000003</v>
      </c>
      <c r="H41" s="3519">
        <f>$E41*$E24</f>
        <v>-1008.1500000000003</v>
      </c>
      <c r="I41" s="3519">
        <f>IF(ABS($F24*(IF(D41="Immediate",IF(C41&gt;0,C41*MIN(20,time_tot),0),C41*IF(time_tot&gt;time+20,20,IF(time_tot&lt;20,(time*VLOOKUP(D41, list!$J$48:$K$50,2,))+(time_tot-time),((MIN(20,time)*VLOOKUP(D41, list!$J$48:$K$50,2,))+(time_tot-MIN(20,time))-IF(D41="Exponential",time_tot-20+0.217*time*(EXP(4.606*(20-time_tot)/time)-1),((time_tot-20)^2)*(0.5/time))))))))&gt;=ABS(F24*C41*20),F24*C41*20,$F24*(IF(D41="Immediate",IF(C41&gt;0,C41*MIN(20,time_tot),0),C41*IF(time_tot&gt;time+20,20,IF(time_tot&lt;20,(time*VLOOKUP(D41, list!$J$48:$K$50,2,))+(time_tot-time),((MIN(20,time)*VLOOKUP(D41, list!$J$48:$K$50,2,))+(time_tot-MIN(20,time))-IF(D41="Exponential",time_tot-20+0.217*time*(EXP(4.606*(20-time_tot)/time)-1),((time_tot-20)^2)*(0.5/time))))))))</f>
        <v>1979.9999999999993</v>
      </c>
      <c r="J41" s="3519">
        <f>IF(ABS($F24*(IF(F41="Immediate",IF(E41&gt;0,E41*MIN(20,time_tot),0),E41*IF(time_tot&gt;time+20,20,IF(time_tot&lt;20,(time*VLOOKUP(F41, list!$J$48:$K$50,2,))+(time_tot-time),((MIN(20,time)*VLOOKUP(F41, list!$J$48:$K$50,2,))+(time_tot-MIN(20,time))-IF(F41="Exponential",time_tot-20+0.217*time*(EXP(4.606*(20-time_tot)/time)-1),((time_tot-20)^2)*(0.5/time))))))))&gt;=ABS(F24*E41*20),F24*E41*20,$F24*(IF(F41="Immediate",IF(E41&gt;0,E41*MIN(20,time_tot),0),E41*IF(time_tot&gt;time+20,20,IF(time_tot&lt;20,(time*VLOOKUP(F41, list!$J$48:$K$50,2,))+(time_tot-time),((MIN(20,time)*VLOOKUP(F41, list!$J$48:$K$50,2,))+(time_tot-MIN(20,time))-IF(F41="Exponential",time_tot-20+0.217*time*(EXP(4.606*(20-time_tot)/time)-1),((time_tot-20)^2)*(0.5/time))))))))</f>
        <v>1979.9999999999993</v>
      </c>
      <c r="K41" s="3519">
        <f t="shared" ref="K41:K50" si="18">$C41*$O24</f>
        <v>0</v>
      </c>
      <c r="L41" s="3519">
        <f t="shared" ref="L41:L50" si="19">$E41*$O24</f>
        <v>0</v>
      </c>
      <c r="M41" s="3519">
        <f t="shared" ref="M41:M50" si="20">$G41+$I41+$K41</f>
        <v>971.849999999999</v>
      </c>
      <c r="N41" s="3519">
        <f t="shared" ref="N41:N50" si="21">H41+J41+L41</f>
        <v>971.849999999999</v>
      </c>
      <c r="O41" s="3526">
        <f t="shared" ref="O41:O50" si="22">$N41-$M41</f>
        <v>0</v>
      </c>
    </row>
    <row r="42" spans="2:26" x14ac:dyDescent="0.2">
      <c r="B42" s="674">
        <v>2</v>
      </c>
      <c r="C42" s="682">
        <f>'2.LUC'!$N62</f>
        <v>0</v>
      </c>
      <c r="D42" s="682" t="str">
        <f>VLOOKUP('2.LUC'!$O62, list!$I$48:$J$50,2,FALSE )</f>
        <v>Linear</v>
      </c>
      <c r="E42" s="682">
        <f>'2.LUC'!$P62</f>
        <v>0</v>
      </c>
      <c r="F42" s="682" t="str">
        <f>VLOOKUP('2.LUC'!$Q62, list!$I$48:$J$50,2,FALSE )</f>
        <v>Linear</v>
      </c>
      <c r="G42" s="3231">
        <f t="shared" si="17"/>
        <v>0</v>
      </c>
      <c r="H42" s="3232">
        <f t="shared" ref="H42:H50" si="23">$E42*$E25</f>
        <v>0</v>
      </c>
      <c r="I42" s="3519">
        <f>IF(ABS($F25*(IF(D42="Immediate",IF(C42&gt;0,C42*MIN(20,time_tot),0),C42*IF(time_tot&gt;time+20,20,IF(time_tot&lt;20,(time*VLOOKUP(D42, list!$J$48:$K$50,2,))+(time_tot-time),((MIN(20,time)*VLOOKUP(D42, list!$J$48:$K$50,2,))+(time_tot-MIN(20,time))-IF(D42="Exponential",time_tot-20+0.217*time*(EXP(4.606*(20-time_tot)/time)-1),((time_tot-20)^2)*(0.5/time))))))))&gt;=ABS(F25*C42*20),F25*C42*20,$F25*(IF(D42="Immediate",IF(C42&gt;0,C42*MIN(20,time_tot),0),C42*IF(time_tot&gt;time+20,20,IF(time_tot&lt;20,(time*VLOOKUP(D42, list!$J$48:$K$50,2,))+(time_tot-time),((MIN(20,time)*VLOOKUP(D42, list!$J$48:$K$50,2,))+(time_tot-MIN(20,time))-IF(D42="Exponential",time_tot-20+0.217*time*(EXP(4.606*(20-time_tot)/time)-1),((time_tot-20)^2)*(0.5/time))))))))</f>
        <v>0</v>
      </c>
      <c r="J42" s="3519">
        <f>IF(ABS($F25*(IF(F42="Immediate",IF(E42&gt;0,E42*MIN(20,time_tot),0),E42*IF(time_tot&gt;time+20,20,IF(time_tot&lt;20,(time*VLOOKUP(F42, list!$J$48:$K$50,2,))+(time_tot-time),((MIN(20,time)*VLOOKUP(F42, list!$J$48:$K$50,2,))+(time_tot-MIN(20,time))-IF(F42="Exponential",time_tot-20+0.217*time*(EXP(4.606*(20-time_tot)/time)-1),((time_tot-20)^2)*(0.5/time))))))))&gt;=ABS(F25*E42*20),F25*E42*20,$F25*(IF(F42="Immediate",IF(E42&gt;0,E42*MIN(20,time_tot),0),E42*IF(time_tot&gt;time+20,20,IF(time_tot&lt;20,(time*VLOOKUP(F42, list!$J$48:$K$50,2,))+(time_tot-time),((MIN(20,time)*VLOOKUP(F42, list!$J$48:$K$50,2,))+(time_tot-MIN(20,time))-IF(F42="Exponential",time_tot-20+0.217*time*(EXP(4.606*(20-time_tot)/time)-1),((time_tot-20)^2)*(0.5/time))))))))</f>
        <v>0</v>
      </c>
      <c r="K42" s="3232">
        <f t="shared" si="18"/>
        <v>0</v>
      </c>
      <c r="L42" s="3232">
        <f t="shared" si="19"/>
        <v>0</v>
      </c>
      <c r="M42" s="3232">
        <f t="shared" si="20"/>
        <v>0</v>
      </c>
      <c r="N42" s="3232">
        <f t="shared" si="21"/>
        <v>0</v>
      </c>
      <c r="O42" s="3527">
        <f t="shared" si="22"/>
        <v>0</v>
      </c>
    </row>
    <row r="43" spans="2:26" x14ac:dyDescent="0.2">
      <c r="B43" s="674">
        <v>3</v>
      </c>
      <c r="C43" s="682">
        <f>'2.LUC'!$N63</f>
        <v>0</v>
      </c>
      <c r="D43" s="682" t="str">
        <f>VLOOKUP('2.LUC'!$O63, list!$I$48:$J$50,2,FALSE )</f>
        <v>Linear</v>
      </c>
      <c r="E43" s="682">
        <f>'2.LUC'!$P63</f>
        <v>0</v>
      </c>
      <c r="F43" s="682" t="str">
        <f>VLOOKUP('2.LUC'!$Q63, list!$I$48:$J$50,2,FALSE )</f>
        <v>Linear</v>
      </c>
      <c r="G43" s="3231">
        <f t="shared" si="17"/>
        <v>0</v>
      </c>
      <c r="H43" s="3232">
        <f t="shared" si="23"/>
        <v>0</v>
      </c>
      <c r="I43" s="3519">
        <f>IF(ABS($F26*(IF(D43="Immediate",IF(C43&gt;0,C43*MIN(20,time_tot),0),C43*IF(time_tot&gt;time+20,20,IF(time_tot&lt;20,(time*VLOOKUP(D43, list!$J$48:$K$50,2,))+(time_tot-time),((MIN(20,time)*VLOOKUP(D43, list!$J$48:$K$50,2,))+(time_tot-MIN(20,time))-IF(D43="Exponential",time_tot-20+0.217*time*(EXP(4.606*(20-time_tot)/time)-1),((time_tot-20)^2)*(0.5/time))))))))&gt;=ABS(F26*C43*20),F26*C43*20,$F26*(IF(D43="Immediate",IF(C43&gt;0,C43*MIN(20,time_tot),0),C43*IF(time_tot&gt;time+20,20,IF(time_tot&lt;20,(time*VLOOKUP(D43, list!$J$48:$K$50,2,))+(time_tot-time),((MIN(20,time)*VLOOKUP(D43, list!$J$48:$K$50,2,))+(time_tot-MIN(20,time))-IF(D43="Exponential",time_tot-20+0.217*time*(EXP(4.606*(20-time_tot)/time)-1),((time_tot-20)^2)*(0.5/time))))))))</f>
        <v>0</v>
      </c>
      <c r="J43" s="3519">
        <f>IF(ABS($F26*(IF(F43="Immediate",IF(E43&gt;0,E43*MIN(20,time_tot),0),E43*IF(time_tot&gt;time+20,20,IF(time_tot&lt;20,(time*VLOOKUP(F43, list!$J$48:$K$50,2,))+(time_tot-time),((MIN(20,time)*VLOOKUP(F43, list!$J$48:$K$50,2,))+(time_tot-MIN(20,time))-IF(F43="Exponential",time_tot-20+0.217*time*(EXP(4.606*(20-time_tot)/time)-1),((time_tot-20)^2)*(0.5/time))))))))&gt;=ABS(F26*E43*20),F26*E43*20,$F26*(IF(F43="Immediate",IF(E43&gt;0,E43*MIN(20,time_tot),0),E43*IF(time_tot&gt;time+20,20,IF(time_tot&lt;20,(time*VLOOKUP(F43, list!$J$48:$K$50,2,))+(time_tot-time),((MIN(20,time)*VLOOKUP(F43, list!$J$48:$K$50,2,))+(time_tot-MIN(20,time))-IF(F43="Exponential",time_tot-20+0.217*time*(EXP(4.606*(20-time_tot)/time)-1),((time_tot-20)^2)*(0.5/time))))))))</f>
        <v>0</v>
      </c>
      <c r="K43" s="3232">
        <f t="shared" si="18"/>
        <v>0</v>
      </c>
      <c r="L43" s="3232">
        <f t="shared" si="19"/>
        <v>0</v>
      </c>
      <c r="M43" s="3232">
        <f t="shared" si="20"/>
        <v>0</v>
      </c>
      <c r="N43" s="3232">
        <f t="shared" si="21"/>
        <v>0</v>
      </c>
      <c r="O43" s="3527">
        <f t="shared" si="22"/>
        <v>0</v>
      </c>
    </row>
    <row r="44" spans="2:26" x14ac:dyDescent="0.2">
      <c r="B44" s="674">
        <v>4</v>
      </c>
      <c r="C44" s="682">
        <f>'2.LUC'!$N64</f>
        <v>0</v>
      </c>
      <c r="D44" s="682" t="str">
        <f>VLOOKUP('2.LUC'!$O64, list!$I$48:$J$50,2,FALSE )</f>
        <v>Linear</v>
      </c>
      <c r="E44" s="682">
        <f>'2.LUC'!$P64</f>
        <v>0</v>
      </c>
      <c r="F44" s="682" t="str">
        <f>VLOOKUP('2.LUC'!$Q64, list!$I$48:$J$50,2,FALSE )</f>
        <v>Linear</v>
      </c>
      <c r="G44" s="3231">
        <f t="shared" si="17"/>
        <v>0</v>
      </c>
      <c r="H44" s="3232">
        <f t="shared" si="23"/>
        <v>0</v>
      </c>
      <c r="I44" s="3519">
        <f>IF(ABS($F27*(IF(D44="Immediate",IF(C44&gt;0,C44*MIN(20,time_tot),0),C44*IF(time_tot&gt;time+20,20,IF(time_tot&lt;20,(time*VLOOKUP(D44, list!$J$48:$K$50,2,))+(time_tot-time),((MIN(20,time)*VLOOKUP(D44, list!$J$48:$K$50,2,))+(time_tot-MIN(20,time))-IF(D44="Exponential",time_tot-20+0.217*time*(EXP(4.606*(20-time_tot)/time)-1),((time_tot-20)^2)*(0.5/time))))))))&gt;=ABS(F27*C44*20),F27*C44*20,$F27*(IF(D44="Immediate",IF(C44&gt;0,C44*MIN(20,time_tot),0),C44*IF(time_tot&gt;time+20,20,IF(time_tot&lt;20,(time*VLOOKUP(D44, list!$J$48:$K$50,2,))+(time_tot-time),((MIN(20,time)*VLOOKUP(D44, list!$J$48:$K$50,2,))+(time_tot-MIN(20,time))-IF(D44="Exponential",time_tot-20+0.217*time*(EXP(4.606*(20-time_tot)/time)-1),((time_tot-20)^2)*(0.5/time))))))))</f>
        <v>0</v>
      </c>
      <c r="J44" s="3519">
        <f>IF(ABS($F27*(IF(F44="Immediate",IF(E44&gt;0,E44*MIN(20,time_tot),0),E44*IF(time_tot&gt;time+20,20,IF(time_tot&lt;20,(time*VLOOKUP(F44, list!$J$48:$K$50,2,))+(time_tot-time),((MIN(20,time)*VLOOKUP(F44, list!$J$48:$K$50,2,))+(time_tot-MIN(20,time))-IF(F44="Exponential",time_tot-20+0.217*time*(EXP(4.606*(20-time_tot)/time)-1),((time_tot-20)^2)*(0.5/time))))))))&gt;=ABS(F27*E44*20),F27*E44*20,$F27*(IF(F44="Immediate",IF(E44&gt;0,E44*MIN(20,time_tot),0),E44*IF(time_tot&gt;time+20,20,IF(time_tot&lt;20,(time*VLOOKUP(F44, list!$J$48:$K$50,2,))+(time_tot-time),((MIN(20,time)*VLOOKUP(F44, list!$J$48:$K$50,2,))+(time_tot-MIN(20,time))-IF(F44="Exponential",time_tot-20+0.217*time*(EXP(4.606*(20-time_tot)/time)-1),((time_tot-20)^2)*(0.5/time))))))))</f>
        <v>0</v>
      </c>
      <c r="K44" s="3232">
        <f t="shared" si="18"/>
        <v>0</v>
      </c>
      <c r="L44" s="3232">
        <f t="shared" si="19"/>
        <v>0</v>
      </c>
      <c r="M44" s="3232">
        <f t="shared" si="20"/>
        <v>0</v>
      </c>
      <c r="N44" s="3232">
        <f t="shared" si="21"/>
        <v>0</v>
      </c>
      <c r="O44" s="3527">
        <f t="shared" si="22"/>
        <v>0</v>
      </c>
    </row>
    <row r="45" spans="2:26" x14ac:dyDescent="0.2">
      <c r="B45" s="674">
        <v>5</v>
      </c>
      <c r="C45" s="682">
        <f>'2.LUC'!$N65</f>
        <v>0</v>
      </c>
      <c r="D45" s="682" t="str">
        <f>VLOOKUP('2.LUC'!$O65, list!$I$48:$J$50,2,FALSE )</f>
        <v>Linear</v>
      </c>
      <c r="E45" s="682">
        <f>'2.LUC'!$P65</f>
        <v>0</v>
      </c>
      <c r="F45" s="682" t="str">
        <f>VLOOKUP('2.LUC'!$Q65, list!$I$48:$J$50,2,FALSE )</f>
        <v>Linear</v>
      </c>
      <c r="G45" s="3231">
        <f t="shared" si="17"/>
        <v>0</v>
      </c>
      <c r="H45" s="3232">
        <f t="shared" si="23"/>
        <v>0</v>
      </c>
      <c r="I45" s="3519">
        <f>IF(ABS($F28*(IF(D45="Immediate",IF(C45&gt;0,C45*MIN(20,time_tot),0),C45*IF(time_tot&gt;time+20,20,IF(time_tot&lt;20,(time*VLOOKUP(D45, list!$J$48:$K$50,2,))+(time_tot-time),((MIN(20,time)*VLOOKUP(D45, list!$J$48:$K$50,2,))+(time_tot-MIN(20,time))-IF(D45="Exponential",time_tot-20+0.217*time*(EXP(4.606*(20-time_tot)/time)-1),((time_tot-20)^2)*(0.5/time))))))))&gt;=ABS(F28*C45*20),F28*C45*20,$F28*(IF(D45="Immediate",IF(C45&gt;0,C45*MIN(20,time_tot),0),C45*IF(time_tot&gt;time+20,20,IF(time_tot&lt;20,(time*VLOOKUP(D45, list!$J$48:$K$50,2,))+(time_tot-time),((MIN(20,time)*VLOOKUP(D45, list!$J$48:$K$50,2,))+(time_tot-MIN(20,time))-IF(D45="Exponential",time_tot-20+0.217*time*(EXP(4.606*(20-time_tot)/time)-1),((time_tot-20)^2)*(0.5/time))))))))</f>
        <v>0</v>
      </c>
      <c r="J45" s="3519">
        <f>IF(ABS($F28*(IF(F45="Immediate",IF(E45&gt;0,E45*MIN(20,time_tot),0),E45*IF(time_tot&gt;time+20,20,IF(time_tot&lt;20,(time*VLOOKUP(F45, list!$J$48:$K$50,2,))+(time_tot-time),((MIN(20,time)*VLOOKUP(F45, list!$J$48:$K$50,2,))+(time_tot-MIN(20,time))-IF(F45="Exponential",time_tot-20+0.217*time*(EXP(4.606*(20-time_tot)/time)-1),((time_tot-20)^2)*(0.5/time))))))))&gt;=ABS(F28*E45*20),F28*E45*20,$F28*(IF(F45="Immediate",IF(E45&gt;0,E45*MIN(20,time_tot),0),E45*IF(time_tot&gt;time+20,20,IF(time_tot&lt;20,(time*VLOOKUP(F45, list!$J$48:$K$50,2,))+(time_tot-time),((MIN(20,time)*VLOOKUP(F45, list!$J$48:$K$50,2,))+(time_tot-MIN(20,time))-IF(F45="Exponential",time_tot-20+0.217*time*(EXP(4.606*(20-time_tot)/time)-1),((time_tot-20)^2)*(0.5/time))))))))</f>
        <v>0</v>
      </c>
      <c r="K45" s="3232">
        <f t="shared" si="18"/>
        <v>0</v>
      </c>
      <c r="L45" s="3232">
        <f t="shared" si="19"/>
        <v>0</v>
      </c>
      <c r="M45" s="3232">
        <f t="shared" si="20"/>
        <v>0</v>
      </c>
      <c r="N45" s="3232">
        <f t="shared" si="21"/>
        <v>0</v>
      </c>
      <c r="O45" s="3527">
        <f t="shared" si="22"/>
        <v>0</v>
      </c>
    </row>
    <row r="46" spans="2:26" x14ac:dyDescent="0.2">
      <c r="B46" s="674">
        <v>6</v>
      </c>
      <c r="C46" s="682">
        <f>'2.LUC'!$N66</f>
        <v>0</v>
      </c>
      <c r="D46" s="682" t="str">
        <f>VLOOKUP('2.LUC'!$O66, list!$I$48:$J$50,2,FALSE )</f>
        <v>Linear</v>
      </c>
      <c r="E46" s="682">
        <f>'2.LUC'!$P66</f>
        <v>0</v>
      </c>
      <c r="F46" s="682" t="str">
        <f>VLOOKUP('2.LUC'!$Q66, list!$I$48:$J$50,2,FALSE )</f>
        <v>Linear</v>
      </c>
      <c r="G46" s="3231">
        <f t="shared" si="17"/>
        <v>0</v>
      </c>
      <c r="H46" s="3232">
        <f t="shared" si="23"/>
        <v>0</v>
      </c>
      <c r="I46" s="3519">
        <f>IF(ABS($F29*(IF(D46="Immediate",IF(C46&gt;0,C46*MIN(20,time_tot),0),C46*IF(time_tot&gt;time+20,20,IF(time_tot&lt;20,(time*VLOOKUP(D46, list!$J$48:$K$50,2,))+(time_tot-time),((MIN(20,time)*VLOOKUP(D46, list!$J$48:$K$50,2,))+(time_tot-MIN(20,time))-IF(D46="Exponential",time_tot-20+0.217*time*(EXP(4.606*(20-time_tot)/time)-1),((time_tot-20)^2)*(0.5/time))))))))&gt;=ABS(F29*C46*20),F29*C46*20,$F29*(IF(D46="Immediate",IF(C46&gt;0,C46*MIN(20,time_tot),0),C46*IF(time_tot&gt;time+20,20,IF(time_tot&lt;20,(time*VLOOKUP(D46, list!$J$48:$K$50,2,))+(time_tot-time),((MIN(20,time)*VLOOKUP(D46, list!$J$48:$K$50,2,))+(time_tot-MIN(20,time))-IF(D46="Exponential",time_tot-20+0.217*time*(EXP(4.606*(20-time_tot)/time)-1),((time_tot-20)^2)*(0.5/time))))))))</f>
        <v>0</v>
      </c>
      <c r="J46" s="3519">
        <f>IF(ABS($F29*(IF(F46="Immediate",IF(E46&gt;0,E46*MIN(20,time_tot),0),E46*IF(time_tot&gt;time+20,20,IF(time_tot&lt;20,(time*VLOOKUP(F46, list!$J$48:$K$50,2,))+(time_tot-time),((MIN(20,time)*VLOOKUP(F46, list!$J$48:$K$50,2,))+(time_tot-MIN(20,time))-IF(F46="Exponential",time_tot-20+0.217*time*(EXP(4.606*(20-time_tot)/time)-1),((time_tot-20)^2)*(0.5/time))))))))&gt;=ABS(F29*E46*20),F29*E46*20,$F29*(IF(F46="Immediate",IF(E46&gt;0,E46*MIN(20,time_tot),0),E46*IF(time_tot&gt;time+20,20,IF(time_tot&lt;20,(time*VLOOKUP(F46, list!$J$48:$K$50,2,))+(time_tot-time),((MIN(20,time)*VLOOKUP(F46, list!$J$48:$K$50,2,))+(time_tot-MIN(20,time))-IF(F46="Exponential",time_tot-20+0.217*time*(EXP(4.606*(20-time_tot)/time)-1),((time_tot-20)^2)*(0.5/time))))))))</f>
        <v>0</v>
      </c>
      <c r="K46" s="3232">
        <f t="shared" si="18"/>
        <v>0</v>
      </c>
      <c r="L46" s="3232">
        <f t="shared" si="19"/>
        <v>0</v>
      </c>
      <c r="M46" s="3232">
        <f t="shared" si="20"/>
        <v>0</v>
      </c>
      <c r="N46" s="3232">
        <f t="shared" si="21"/>
        <v>0</v>
      </c>
      <c r="O46" s="3527">
        <f t="shared" si="22"/>
        <v>0</v>
      </c>
    </row>
    <row r="47" spans="2:26" x14ac:dyDescent="0.2">
      <c r="B47" s="674">
        <v>7</v>
      </c>
      <c r="C47" s="682">
        <f>'2.LUC'!$N67</f>
        <v>0</v>
      </c>
      <c r="D47" s="682" t="str">
        <f>VLOOKUP('2.LUC'!$O67, list!$I$48:$J$50,2,FALSE )</f>
        <v>Linear</v>
      </c>
      <c r="E47" s="682">
        <f>'2.LUC'!$P67</f>
        <v>0</v>
      </c>
      <c r="F47" s="682" t="str">
        <f>VLOOKUP('2.LUC'!$Q67, list!$I$48:$J$50,2,FALSE )</f>
        <v>Linear</v>
      </c>
      <c r="G47" s="3231">
        <f t="shared" si="17"/>
        <v>0</v>
      </c>
      <c r="H47" s="3232">
        <f t="shared" si="23"/>
        <v>0</v>
      </c>
      <c r="I47" s="3519">
        <f>IF(ABS($F30*(IF(D47="Immediate",IF(C47&gt;0,C47*MIN(20,time_tot),0),C47*IF(time_tot&gt;time+20,20,IF(time_tot&lt;20,(time*VLOOKUP(D47, list!$J$48:$K$50,2,))+(time_tot-time),((MIN(20,time)*VLOOKUP(D47, list!$J$48:$K$50,2,))+(time_tot-MIN(20,time))-IF(D47="Exponential",time_tot-20+0.217*time*(EXP(4.606*(20-time_tot)/time)-1),((time_tot-20)^2)*(0.5/time))))))))&gt;=ABS(F30*C47*20),F30*C47*20,$F30*(IF(D47="Immediate",IF(C47&gt;0,C47*MIN(20,time_tot),0),C47*IF(time_tot&gt;time+20,20,IF(time_tot&lt;20,(time*VLOOKUP(D47, list!$J$48:$K$50,2,))+(time_tot-time),((MIN(20,time)*VLOOKUP(D47, list!$J$48:$K$50,2,))+(time_tot-MIN(20,time))-IF(D47="Exponential",time_tot-20+0.217*time*(EXP(4.606*(20-time_tot)/time)-1),((time_tot-20)^2)*(0.5/time))))))))</f>
        <v>0</v>
      </c>
      <c r="J47" s="3519">
        <f>IF(ABS($F30*(IF(F47="Immediate",IF(E47&gt;0,E47*MIN(20,time_tot),0),E47*IF(time_tot&gt;time+20,20,IF(time_tot&lt;20,(time*VLOOKUP(F47, list!$J$48:$K$50,2,))+(time_tot-time),((MIN(20,time)*VLOOKUP(F47, list!$J$48:$K$50,2,))+(time_tot-MIN(20,time))-IF(F47="Exponential",time_tot-20+0.217*time*(EXP(4.606*(20-time_tot)/time)-1),((time_tot-20)^2)*(0.5/time))))))))&gt;=ABS(F30*E47*20),F30*E47*20,$F30*(IF(F47="Immediate",IF(E47&gt;0,E47*MIN(20,time_tot),0),E47*IF(time_tot&gt;time+20,20,IF(time_tot&lt;20,(time*VLOOKUP(F47, list!$J$48:$K$50,2,))+(time_tot-time),((MIN(20,time)*VLOOKUP(F47, list!$J$48:$K$50,2,))+(time_tot-MIN(20,time))-IF(F47="Exponential",time_tot-20+0.217*time*(EXP(4.606*(20-time_tot)/time)-1),((time_tot-20)^2)*(0.5/time))))))))</f>
        <v>0</v>
      </c>
      <c r="K47" s="3232">
        <f t="shared" si="18"/>
        <v>0</v>
      </c>
      <c r="L47" s="3232">
        <f t="shared" si="19"/>
        <v>0</v>
      </c>
      <c r="M47" s="3232">
        <f t="shared" si="20"/>
        <v>0</v>
      </c>
      <c r="N47" s="3232">
        <f t="shared" si="21"/>
        <v>0</v>
      </c>
      <c r="O47" s="3527">
        <f t="shared" si="22"/>
        <v>0</v>
      </c>
    </row>
    <row r="48" spans="2:26" x14ac:dyDescent="0.2">
      <c r="B48" s="674">
        <v>8</v>
      </c>
      <c r="C48" s="682">
        <f>'2.LUC'!$N68</f>
        <v>0</v>
      </c>
      <c r="D48" s="682" t="str">
        <f>VLOOKUP('2.LUC'!$O68, list!$I$48:$J$50,2,FALSE )</f>
        <v>Linear</v>
      </c>
      <c r="E48" s="682">
        <f>'2.LUC'!$P68</f>
        <v>0</v>
      </c>
      <c r="F48" s="682" t="str">
        <f>VLOOKUP('2.LUC'!$Q68, list!$I$48:$J$50,2,FALSE )</f>
        <v>Linear</v>
      </c>
      <c r="G48" s="3231">
        <f t="shared" si="17"/>
        <v>0</v>
      </c>
      <c r="H48" s="3232">
        <f t="shared" si="23"/>
        <v>0</v>
      </c>
      <c r="I48" s="3519">
        <f>IF(ABS($F31*(IF(D48="Immediate",IF(C48&gt;0,C48*MIN(20,time_tot),0),C48*IF(time_tot&gt;time+20,20,IF(time_tot&lt;20,(time*VLOOKUP(D48, list!$J$48:$K$50,2,))+(time_tot-time),((MIN(20,time)*VLOOKUP(D48, list!$J$48:$K$50,2,))+(time_tot-MIN(20,time))-IF(D48="Exponential",time_tot-20+0.217*time*(EXP(4.606*(20-time_tot)/time)-1),((time_tot-20)^2)*(0.5/time))))))))&gt;=ABS(F31*C48*20),F31*C48*20,$F31*(IF(D48="Immediate",IF(C48&gt;0,C48*MIN(20,time_tot),0),C48*IF(time_tot&gt;time+20,20,IF(time_tot&lt;20,(time*VLOOKUP(D48, list!$J$48:$K$50,2,))+(time_tot-time),((MIN(20,time)*VLOOKUP(D48, list!$J$48:$K$50,2,))+(time_tot-MIN(20,time))-IF(D48="Exponential",time_tot-20+0.217*time*(EXP(4.606*(20-time_tot)/time)-1),((time_tot-20)^2)*(0.5/time))))))))</f>
        <v>0</v>
      </c>
      <c r="J48" s="3519">
        <f>IF(ABS($F31*(IF(F48="Immediate",IF(E48&gt;0,E48*MIN(20,time_tot),0),E48*IF(time_tot&gt;time+20,20,IF(time_tot&lt;20,(time*VLOOKUP(F48, list!$J$48:$K$50,2,))+(time_tot-time),((MIN(20,time)*VLOOKUP(F48, list!$J$48:$K$50,2,))+(time_tot-MIN(20,time))-IF(F48="Exponential",time_tot-20+0.217*time*(EXP(4.606*(20-time_tot)/time)-1),((time_tot-20)^2)*(0.5/time))))))))&gt;=ABS(F31*E48*20),F31*E48*20,$F31*(IF(F48="Immediate",IF(E48&gt;0,E48*MIN(20,time_tot),0),E48*IF(time_tot&gt;time+20,20,IF(time_tot&lt;20,(time*VLOOKUP(F48, list!$J$48:$K$50,2,))+(time_tot-time),((MIN(20,time)*VLOOKUP(F48, list!$J$48:$K$50,2,))+(time_tot-MIN(20,time))-IF(F48="Exponential",time_tot-20+0.217*time*(EXP(4.606*(20-time_tot)/time)-1),((time_tot-20)^2)*(0.5/time))))))))</f>
        <v>0</v>
      </c>
      <c r="K48" s="3232">
        <f t="shared" si="18"/>
        <v>0</v>
      </c>
      <c r="L48" s="3232">
        <f t="shared" si="19"/>
        <v>0</v>
      </c>
      <c r="M48" s="3232">
        <f t="shared" si="20"/>
        <v>0</v>
      </c>
      <c r="N48" s="3232">
        <f t="shared" si="21"/>
        <v>0</v>
      </c>
      <c r="O48" s="3527">
        <f t="shared" si="22"/>
        <v>0</v>
      </c>
    </row>
    <row r="49" spans="2:15" x14ac:dyDescent="0.2">
      <c r="B49" s="674">
        <v>9</v>
      </c>
      <c r="C49" s="682">
        <f>'2.LUC'!$N69</f>
        <v>0</v>
      </c>
      <c r="D49" s="682" t="str">
        <f>VLOOKUP('2.LUC'!$O69, list!$I$48:$J$50,2,FALSE )</f>
        <v>Linear</v>
      </c>
      <c r="E49" s="682">
        <f>'2.LUC'!$P69</f>
        <v>0</v>
      </c>
      <c r="F49" s="682" t="str">
        <f>VLOOKUP('2.LUC'!$Q69, list!$I$48:$J$50,2,FALSE )</f>
        <v>Linear</v>
      </c>
      <c r="G49" s="3231">
        <f t="shared" si="17"/>
        <v>0</v>
      </c>
      <c r="H49" s="3232">
        <f t="shared" si="23"/>
        <v>0</v>
      </c>
      <c r="I49" s="3519">
        <f>IF(ABS($F32*(IF(D49="Immediate",IF(C49&gt;0,C49*MIN(20,time_tot),0),C49*IF(time_tot&gt;time+20,20,IF(time_tot&lt;20,(time*VLOOKUP(D49, list!$J$48:$K$50,2,))+(time_tot-time),((MIN(20,time)*VLOOKUP(D49, list!$J$48:$K$50,2,))+(time_tot-MIN(20,time))-IF(D49="Exponential",time_tot-20+0.217*time*(EXP(4.606*(20-time_tot)/time)-1),((time_tot-20)^2)*(0.5/time))))))))&gt;=ABS(F32*C49*20),F32*C49*20,$F32*(IF(D49="Immediate",IF(C49&gt;0,C49*MIN(20,time_tot),0),C49*IF(time_tot&gt;time+20,20,IF(time_tot&lt;20,(time*VLOOKUP(D49, list!$J$48:$K$50,2,))+(time_tot-time),((MIN(20,time)*VLOOKUP(D49, list!$J$48:$K$50,2,))+(time_tot-MIN(20,time))-IF(D49="Exponential",time_tot-20+0.217*time*(EXP(4.606*(20-time_tot)/time)-1),((time_tot-20)^2)*(0.5/time))))))))</f>
        <v>0</v>
      </c>
      <c r="J49" s="3519">
        <f>IF(ABS($F32*(IF(F49="Immediate",IF(E49&gt;0,E49*MIN(20,time_tot),0),E49*IF(time_tot&gt;time+20,20,IF(time_tot&lt;20,(time*VLOOKUP(F49, list!$J$48:$K$50,2,))+(time_tot-time),((MIN(20,time)*VLOOKUP(F49, list!$J$48:$K$50,2,))+(time_tot-MIN(20,time))-IF(F49="Exponential",time_tot-20+0.217*time*(EXP(4.606*(20-time_tot)/time)-1),((time_tot-20)^2)*(0.5/time))))))))&gt;=ABS(F32*E49*20),F32*E49*20,$F32*(IF(F49="Immediate",IF(E49&gt;0,E49*MIN(20,time_tot),0),E49*IF(time_tot&gt;time+20,20,IF(time_tot&lt;20,(time*VLOOKUP(F49, list!$J$48:$K$50,2,))+(time_tot-time),((MIN(20,time)*VLOOKUP(F49, list!$J$48:$K$50,2,))+(time_tot-MIN(20,time))-IF(F49="Exponential",time_tot-20+0.217*time*(EXP(4.606*(20-time_tot)/time)-1),((time_tot-20)^2)*(0.5/time))))))))</f>
        <v>0</v>
      </c>
      <c r="K49" s="3232">
        <f t="shared" si="18"/>
        <v>0</v>
      </c>
      <c r="L49" s="3232">
        <f t="shared" si="19"/>
        <v>0</v>
      </c>
      <c r="M49" s="3232">
        <f t="shared" si="20"/>
        <v>0</v>
      </c>
      <c r="N49" s="3232">
        <f t="shared" si="21"/>
        <v>0</v>
      </c>
      <c r="O49" s="3527">
        <f t="shared" si="22"/>
        <v>0</v>
      </c>
    </row>
    <row r="50" spans="2:15" x14ac:dyDescent="0.2">
      <c r="B50" s="674">
        <v>10</v>
      </c>
      <c r="C50" s="682">
        <f>'2.LUC'!$N70</f>
        <v>0</v>
      </c>
      <c r="D50" s="682" t="str">
        <f>VLOOKUP('2.LUC'!$O70, list!$I$48:$J$50,2,FALSE )</f>
        <v>Linear</v>
      </c>
      <c r="E50" s="682">
        <f>'2.LUC'!$P70</f>
        <v>0</v>
      </c>
      <c r="F50" s="682" t="str">
        <f>VLOOKUP('2.LUC'!$Q70, list!$I$48:$J$50,2,FALSE )</f>
        <v>Linear</v>
      </c>
      <c r="G50" s="2840">
        <f t="shared" si="17"/>
        <v>0</v>
      </c>
      <c r="H50" s="3309">
        <f t="shared" si="23"/>
        <v>0</v>
      </c>
      <c r="I50" s="3519">
        <f>IF(ABS($F33*(IF(D50="Immediate",IF(C50&gt;0,C50*MIN(20,time_tot),0),C50*IF(time_tot&gt;time+20,20,IF(time_tot&lt;20,(time*VLOOKUP(D50, list!$J$48:$K$50,2,))+(time_tot-time),((MIN(20,time)*VLOOKUP(D50, list!$J$48:$K$50,2,))+(time_tot-MIN(20,time))-IF(D50="Exponential",time_tot-20+0.217*time*(EXP(4.606*(20-time_tot)/time)-1),((time_tot-20)^2)*(0.5/time))))))))&gt;=ABS(F33*C50*20),F33*C50*20,$F33*(IF(D50="Immediate",IF(C50&gt;0,C50*MIN(20,time_tot),0),C50*IF(time_tot&gt;time+20,20,IF(time_tot&lt;20,(time*VLOOKUP(D50, list!$J$48:$K$50,2,))+(time_tot-time),((MIN(20,time)*VLOOKUP(D50, list!$J$48:$K$50,2,))+(time_tot-MIN(20,time))-IF(D50="Exponential",time_tot-20+0.217*time*(EXP(4.606*(20-time_tot)/time)-1),((time_tot-20)^2)*(0.5/time))))))))</f>
        <v>0</v>
      </c>
      <c r="J50" s="3519">
        <f>IF(ABS($F33*(IF(F50="Immediate",IF(E50&gt;0,E50*MIN(20,time_tot),0),E50*IF(time_tot&gt;time+20,20,IF(time_tot&lt;20,(time*VLOOKUP(F50, list!$J$48:$K$50,2,))+(time_tot-time),((MIN(20,time)*VLOOKUP(F50, list!$J$48:$K$50,2,))+(time_tot-MIN(20,time))-IF(F50="Exponential",time_tot-20+0.217*time*(EXP(4.606*(20-time_tot)/time)-1),((time_tot-20)^2)*(0.5/time))))))))&gt;=ABS(F33*E50*20),F33*E50*20,$F33*(IF(F50="Immediate",IF(E50&gt;0,E50*MIN(20,time_tot),0),E50*IF(time_tot&gt;time+20,20,IF(time_tot&lt;20,(time*VLOOKUP(F50, list!$J$48:$K$50,2,))+(time_tot-time),((MIN(20,time)*VLOOKUP(F50, list!$J$48:$K$50,2,))+(time_tot-MIN(20,time))-IF(F50="Exponential",time_tot-20+0.217*time*(EXP(4.606*(20-time_tot)/time)-1),((time_tot-20)^2)*(0.5/time))))))))</f>
        <v>0</v>
      </c>
      <c r="K50" s="3309">
        <f t="shared" si="18"/>
        <v>0</v>
      </c>
      <c r="L50" s="3309">
        <f t="shared" si="19"/>
        <v>0</v>
      </c>
      <c r="M50" s="3309">
        <f t="shared" si="20"/>
        <v>0</v>
      </c>
      <c r="N50" s="3309">
        <f t="shared" si="21"/>
        <v>0</v>
      </c>
      <c r="O50" s="2841">
        <f t="shared" si="22"/>
        <v>0</v>
      </c>
    </row>
    <row r="52" spans="2:15" x14ac:dyDescent="0.2">
      <c r="L52" s="2809" t="s">
        <v>377</v>
      </c>
      <c r="M52" s="3516">
        <f>SUM(M41:M50)</f>
        <v>971.849999999999</v>
      </c>
      <c r="N52" s="3516">
        <f>SUM(N41:N50)</f>
        <v>971.849999999999</v>
      </c>
      <c r="O52" s="3516">
        <f>SUM(O41:O50)</f>
        <v>0</v>
      </c>
    </row>
    <row r="54" spans="2:15" x14ac:dyDescent="0.2">
      <c r="M54" s="1077"/>
      <c r="N54" s="3146" t="s">
        <v>237</v>
      </c>
      <c r="O54" s="1079">
        <f>SUM('2.LUC'!AW61:AW70,'2.LUC'!BI61:BI70)</f>
        <v>0</v>
      </c>
    </row>
    <row r="56" spans="2:15" x14ac:dyDescent="0.2">
      <c r="N56" s="3155"/>
      <c r="O56" s="2804"/>
    </row>
  </sheetData>
  <pageMargins left="0.7" right="0.7" top="0.75" bottom="0.75" header="0.3" footer="0.3"/>
  <pageSetup orientation="portrait" r:id="rId1"/>
  <drawing r:id="rId2"/>
  <mc:AlternateContent xmlns:mc="http://schemas.openxmlformats.org/markup-compatibility/2006">
    <mc:Choice Requires="v">
      <legacyDrawing r:id="rId3"/>
    </mc:Choice>
  </mc:AlternateContent>
</worksheet>
</file>

<file path=xl/worksheets/sheet6.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tabColor rgb="FFFF0000"/>
  </sheetPr>
  <dimension ref="A1:BS3243"/>
  <sheetViews>
    <sheetView topLeftCell="A2265" zoomScale="87" zoomScaleNormal="85" workbookViewId="0">
      <pane xSplit="1" topLeftCell="B1" activePane="topRight" state="frozen"/>
      <selection activeCell="C136" sqref="C136"/>
      <selection pane="topRight" activeCell="A2265" sqref="A2265"/>
    </sheetView>
  </sheetViews>
  <sheetFormatPr baseColWidth="10" defaultColWidth="8.6640625" defaultRowHeight="15" x14ac:dyDescent="0.2"/>
  <cols>
    <col min="1" max="1" width="69.5" customWidth="1"/>
    <col min="2" max="2" width="22.33203125" customWidth="1"/>
    <col min="3" max="3" width="31.5" customWidth="1"/>
    <col min="4" max="4" width="19.5" customWidth="1"/>
    <col min="5" max="5" width="21.5" customWidth="1"/>
    <col min="6" max="6" width="24.33203125" customWidth="1"/>
    <col min="7" max="7" width="19.6640625" customWidth="1"/>
    <col min="8" max="8" width="27.5" customWidth="1"/>
    <col min="9" max="9" width="26.5" customWidth="1"/>
    <col min="10" max="10" width="24.33203125" customWidth="1"/>
    <col min="11" max="11" width="23.6640625" customWidth="1"/>
    <col min="12" max="12" width="25.33203125" customWidth="1"/>
    <col min="13" max="13" width="28.5" customWidth="1"/>
    <col min="14" max="15" width="31.5" customWidth="1"/>
    <col min="16" max="16" width="29.6640625" customWidth="1"/>
    <col min="17" max="17" width="26.33203125" customWidth="1"/>
    <col min="18" max="19" width="27.5" customWidth="1"/>
    <col min="20" max="20" width="28.5" customWidth="1"/>
    <col min="21" max="21" width="27.5" customWidth="1"/>
    <col min="22" max="22" width="28.5" customWidth="1"/>
    <col min="23" max="23" width="32.5" customWidth="1"/>
    <col min="24" max="24" width="35.5" bestFit="1" customWidth="1"/>
    <col min="25" max="25" width="25.5" customWidth="1"/>
    <col min="26" max="26" width="39.33203125" bestFit="1" customWidth="1"/>
    <col min="27" max="27" width="40.33203125" bestFit="1" customWidth="1"/>
    <col min="28" max="28" width="34.5" bestFit="1" customWidth="1"/>
    <col min="29" max="30" width="31.5" bestFit="1" customWidth="1"/>
    <col min="31" max="32" width="28.5" bestFit="1" customWidth="1"/>
    <col min="33" max="33" width="28" customWidth="1"/>
    <col min="34" max="34" width="40.5" bestFit="1" customWidth="1"/>
    <col min="35" max="35" width="37.33203125" bestFit="1" customWidth="1"/>
    <col min="36" max="36" width="28.6640625" bestFit="1" customWidth="1"/>
    <col min="37" max="37" width="37.33203125" bestFit="1" customWidth="1"/>
    <col min="38" max="38" width="30.6640625" bestFit="1" customWidth="1"/>
    <col min="39" max="39" width="31.6640625" customWidth="1"/>
    <col min="40" max="41" width="32.33203125" bestFit="1" customWidth="1"/>
    <col min="42" max="43" width="19.5" bestFit="1" customWidth="1"/>
    <col min="44" max="45" width="20" bestFit="1" customWidth="1"/>
    <col min="46" max="46" width="35.5" bestFit="1" customWidth="1"/>
    <col min="47" max="47" width="41.5" customWidth="1"/>
    <col min="48" max="48" width="39.33203125" bestFit="1" customWidth="1"/>
    <col min="49" max="51" width="40.33203125" bestFit="1" customWidth="1"/>
    <col min="52" max="53" width="27.6640625" bestFit="1" customWidth="1"/>
    <col min="54" max="55" width="28.33203125" bestFit="1" customWidth="1"/>
    <col min="56" max="56" width="25.6640625" bestFit="1" customWidth="1"/>
    <col min="57" max="57" width="25.33203125" bestFit="1" customWidth="1"/>
    <col min="58" max="58" width="27.33203125" bestFit="1" customWidth="1"/>
    <col min="59" max="59" width="34.33203125" bestFit="1" customWidth="1"/>
    <col min="60" max="60" width="33.5" bestFit="1" customWidth="1"/>
    <col min="61" max="61" width="27.33203125" bestFit="1" customWidth="1"/>
    <col min="62" max="62" width="34.33203125" bestFit="1" customWidth="1"/>
    <col min="63" max="64" width="33.5" bestFit="1" customWidth="1"/>
    <col min="65" max="66" width="35.5" bestFit="1" customWidth="1"/>
    <col min="67" max="68" width="28.6640625" bestFit="1" customWidth="1"/>
    <col min="69" max="71" width="37.33203125" bestFit="1" customWidth="1"/>
  </cols>
  <sheetData>
    <row r="1" spans="1:7" s="4036" customFormat="1" ht="47" x14ac:dyDescent="0.55000000000000004">
      <c r="B1" s="4038"/>
      <c r="C1" s="4038"/>
      <c r="D1" s="4038"/>
      <c r="G1" s="4038"/>
    </row>
    <row r="2" spans="1:7" s="4033" customFormat="1" ht="59" customHeight="1" x14ac:dyDescent="0.55000000000000004">
      <c r="A2" s="4035" t="s">
        <v>1800</v>
      </c>
      <c r="B2" s="4034"/>
      <c r="C2" s="4034"/>
      <c r="D2" s="4034"/>
      <c r="G2" s="4034"/>
    </row>
    <row r="3" spans="1:7" s="4033" customFormat="1" ht="18.75" hidden="1" customHeight="1" x14ac:dyDescent="0.55000000000000004">
      <c r="B3" s="4034"/>
      <c r="C3" s="4034"/>
      <c r="D3" s="4034"/>
      <c r="G3" s="4034"/>
    </row>
    <row r="4" spans="1:7" s="4033" customFormat="1" ht="14" hidden="1" customHeight="1" x14ac:dyDescent="0.55000000000000004">
      <c r="A4" s="4035" t="s">
        <v>282</v>
      </c>
      <c r="B4" s="4034"/>
      <c r="C4" s="4034"/>
      <c r="D4" s="4034"/>
      <c r="G4" s="4034"/>
    </row>
    <row r="5" spans="1:7" s="4036" customFormat="1" ht="59" customHeight="1" thickBot="1" x14ac:dyDescent="0.6">
      <c r="B5" s="4037"/>
      <c r="C5" s="4037"/>
      <c r="D5" s="4038"/>
      <c r="G5" s="4038"/>
    </row>
    <row r="6" spans="1:7" s="12" customFormat="1" x14ac:dyDescent="0.2">
      <c r="A6" s="49" t="s">
        <v>1801</v>
      </c>
      <c r="B6" s="10"/>
      <c r="C6" s="10"/>
      <c r="D6" s="10"/>
      <c r="E6" s="11"/>
      <c r="F6" s="11"/>
      <c r="G6" s="10"/>
    </row>
    <row r="7" spans="1:7" s="14" customFormat="1" ht="16" thickBot="1" x14ac:dyDescent="0.25">
      <c r="A7" s="50" t="s">
        <v>1802</v>
      </c>
      <c r="B7" s="15"/>
      <c r="C7" s="15"/>
      <c r="D7" s="15"/>
      <c r="E7" s="18"/>
      <c r="F7" s="18"/>
      <c r="G7" s="13"/>
    </row>
    <row r="8" spans="1:7" s="21" customFormat="1" ht="17.75" customHeight="1" x14ac:dyDescent="0.25">
      <c r="A8" s="32" t="s">
        <v>1803</v>
      </c>
      <c r="B8" s="24" t="s">
        <v>1804</v>
      </c>
      <c r="C8" s="25" t="s">
        <v>1805</v>
      </c>
      <c r="D8" s="28" t="s">
        <v>1806</v>
      </c>
      <c r="E8" s="30" t="s">
        <v>1807</v>
      </c>
      <c r="F8" s="31" t="s">
        <v>1808</v>
      </c>
      <c r="G8" s="22"/>
    </row>
    <row r="9" spans="1:7" s="21" customFormat="1" ht="17.75" customHeight="1" x14ac:dyDescent="0.2">
      <c r="A9" s="33"/>
      <c r="B9" s="26" t="s">
        <v>1809</v>
      </c>
      <c r="C9" s="27"/>
      <c r="D9" s="29" t="s">
        <v>1810</v>
      </c>
      <c r="E9" s="29" t="s">
        <v>1810</v>
      </c>
      <c r="F9" s="29" t="s">
        <v>1810</v>
      </c>
      <c r="G9" s="22"/>
    </row>
    <row r="10" spans="1:7" s="21" customFormat="1" ht="17.75" customHeight="1" x14ac:dyDescent="0.2">
      <c r="A10" s="34" t="s">
        <v>1811</v>
      </c>
      <c r="B10" s="38" t="s">
        <v>1812</v>
      </c>
      <c r="C10" s="38" t="s">
        <v>1812</v>
      </c>
      <c r="D10" s="44">
        <v>8.0000000000000002E-3</v>
      </c>
      <c r="E10" s="45">
        <v>0.22</v>
      </c>
      <c r="F10" s="167">
        <v>8.9999999999999993E-3</v>
      </c>
      <c r="G10" s="22"/>
    </row>
    <row r="11" spans="1:7" s="21" customFormat="1" ht="15" customHeight="1" x14ac:dyDescent="0.2">
      <c r="A11" s="35" t="s">
        <v>675</v>
      </c>
      <c r="B11" s="39">
        <v>1.0900000000000001</v>
      </c>
      <c r="C11" s="43">
        <v>0.88</v>
      </c>
      <c r="D11" s="19">
        <v>6.0000000000000001E-3</v>
      </c>
      <c r="E11" s="46">
        <v>0.22</v>
      </c>
      <c r="F11" s="168">
        <v>8.9999999999999993E-3</v>
      </c>
      <c r="G11" s="22"/>
    </row>
    <row r="12" spans="1:7" s="21" customFormat="1" ht="15" customHeight="1" x14ac:dyDescent="0.2">
      <c r="A12" s="35" t="s">
        <v>1392</v>
      </c>
      <c r="B12" s="39">
        <v>1.1299999999999999</v>
      </c>
      <c r="C12" s="40">
        <v>0.85</v>
      </c>
      <c r="D12" s="41">
        <v>8.0000000000000002E-3</v>
      </c>
      <c r="E12" s="46">
        <v>0.19</v>
      </c>
      <c r="F12" s="168">
        <v>8.0000000000000002E-3</v>
      </c>
      <c r="G12" s="22"/>
    </row>
    <row r="13" spans="1:7" s="21" customFormat="1" ht="15" customHeight="1" x14ac:dyDescent="0.2">
      <c r="A13" s="35" t="s">
        <v>1397</v>
      </c>
      <c r="B13" s="40">
        <v>0.1</v>
      </c>
      <c r="C13" s="40">
        <v>1.06</v>
      </c>
      <c r="D13" s="41">
        <v>1.9E-2</v>
      </c>
      <c r="E13" s="47">
        <v>0.2</v>
      </c>
      <c r="F13" s="169">
        <v>1.4E-2</v>
      </c>
      <c r="G13" s="23"/>
    </row>
    <row r="14" spans="1:7" s="21" customFormat="1" ht="15" customHeight="1" x14ac:dyDescent="0.2">
      <c r="A14" s="165" t="s">
        <v>1434</v>
      </c>
      <c r="B14" s="40">
        <v>1.07</v>
      </c>
      <c r="C14" s="40">
        <v>1.54</v>
      </c>
      <c r="D14" s="163">
        <v>1.9E-2</v>
      </c>
      <c r="E14" s="164">
        <v>0.2</v>
      </c>
      <c r="F14" s="170">
        <v>1.4E-2</v>
      </c>
      <c r="G14" s="23"/>
    </row>
    <row r="15" spans="1:7" s="21" customFormat="1" ht="15" customHeight="1" x14ac:dyDescent="0.2">
      <c r="A15" s="35" t="s">
        <v>1813</v>
      </c>
      <c r="B15" s="40">
        <v>0.3</v>
      </c>
      <c r="C15" s="40">
        <v>0</v>
      </c>
      <c r="D15" s="41">
        <v>2.7E-2</v>
      </c>
      <c r="E15" s="47">
        <v>0.4</v>
      </c>
      <c r="F15" s="169">
        <v>2.1999999999999999E-2</v>
      </c>
      <c r="G15" s="23"/>
    </row>
    <row r="16" spans="1:7" s="21" customFormat="1" ht="15" customHeight="1" x14ac:dyDescent="0.2">
      <c r="A16" s="35" t="s">
        <v>1814</v>
      </c>
      <c r="B16" s="40">
        <v>0.3</v>
      </c>
      <c r="C16" s="40">
        <v>0</v>
      </c>
      <c r="D16" s="41">
        <v>1.4999999999999999E-2</v>
      </c>
      <c r="E16" s="47">
        <v>0.54</v>
      </c>
      <c r="F16" s="169">
        <v>1.2E-2</v>
      </c>
      <c r="G16" s="23"/>
    </row>
    <row r="17" spans="1:7" s="21" customFormat="1" ht="15" customHeight="1" x14ac:dyDescent="0.2">
      <c r="A17" s="35" t="s">
        <v>491</v>
      </c>
      <c r="B17" s="40">
        <v>1.03</v>
      </c>
      <c r="C17" s="40">
        <v>0.61</v>
      </c>
      <c r="D17" s="41">
        <v>6.0000000000000001E-3</v>
      </c>
      <c r="E17" s="47">
        <v>0.22</v>
      </c>
      <c r="F17" s="169">
        <v>7.0000000000000001E-3</v>
      </c>
      <c r="G17" s="23"/>
    </row>
    <row r="18" spans="1:7" s="21" customFormat="1" ht="15" customHeight="1" x14ac:dyDescent="0.2">
      <c r="A18" s="35" t="s">
        <v>1418</v>
      </c>
      <c r="B18" s="40">
        <v>1.51</v>
      </c>
      <c r="C18" s="40">
        <v>0.52</v>
      </c>
      <c r="D18" s="163">
        <v>6.0000000000000001E-3</v>
      </c>
      <c r="E18" s="164">
        <v>0.24</v>
      </c>
      <c r="F18" s="170">
        <v>8.9999999999999993E-3</v>
      </c>
      <c r="G18" s="23"/>
    </row>
    <row r="19" spans="1:7" s="21" customFormat="1" ht="15" customHeight="1" x14ac:dyDescent="0.2">
      <c r="A19" s="35" t="s">
        <v>1815</v>
      </c>
      <c r="B19" s="40">
        <v>1.61</v>
      </c>
      <c r="C19" s="40">
        <v>0.4</v>
      </c>
      <c r="D19" s="41">
        <v>6.0000000000000001E-3</v>
      </c>
      <c r="E19" s="47">
        <v>0.23</v>
      </c>
      <c r="F19" s="169">
        <v>8.9999999999999993E-3</v>
      </c>
      <c r="G19" s="23"/>
    </row>
    <row r="20" spans="1:7" s="21" customFormat="1" ht="15" customHeight="1" x14ac:dyDescent="0.2">
      <c r="A20" s="35" t="s">
        <v>1816</v>
      </c>
      <c r="B20" s="40">
        <v>1.29</v>
      </c>
      <c r="C20" s="40">
        <v>0.75</v>
      </c>
      <c r="D20" s="41">
        <v>6.0000000000000001E-3</v>
      </c>
      <c r="E20" s="47">
        <v>0.28000000000000003</v>
      </c>
      <c r="F20" s="169">
        <v>8.9999999999999993E-3</v>
      </c>
      <c r="G20" s="23"/>
    </row>
    <row r="21" spans="1:7" s="21" customFormat="1" ht="15" customHeight="1" x14ac:dyDescent="0.2">
      <c r="A21" s="35" t="s">
        <v>546</v>
      </c>
      <c r="B21" s="40">
        <v>0.95</v>
      </c>
      <c r="C21" s="40">
        <v>2.46</v>
      </c>
      <c r="D21" s="41">
        <v>7.0000000000000001E-3</v>
      </c>
      <c r="E21" s="47">
        <v>0.16</v>
      </c>
      <c r="F21" s="173">
        <f>F11</f>
        <v>8.9999999999999993E-3</v>
      </c>
      <c r="G21" s="23"/>
    </row>
    <row r="22" spans="1:7" s="21" customFormat="1" ht="15" customHeight="1" x14ac:dyDescent="0.2">
      <c r="A22" s="35" t="s">
        <v>1347</v>
      </c>
      <c r="B22" s="40">
        <v>0.98</v>
      </c>
      <c r="C22" s="40">
        <v>0.59</v>
      </c>
      <c r="D22" s="41">
        <v>7.0000000000000001E-3</v>
      </c>
      <c r="E22" s="47">
        <v>0.22</v>
      </c>
      <c r="F22" s="169">
        <v>1.4E-2</v>
      </c>
      <c r="G22" s="23"/>
    </row>
    <row r="23" spans="1:7" s="21" customFormat="1" ht="15" customHeight="1" x14ac:dyDescent="0.2">
      <c r="A23" s="35" t="s">
        <v>1408</v>
      </c>
      <c r="B23" s="40">
        <v>0.91</v>
      </c>
      <c r="C23" s="40">
        <v>0.89</v>
      </c>
      <c r="D23" s="41">
        <v>7.0000000000000001E-3</v>
      </c>
      <c r="E23" s="47">
        <v>0.25</v>
      </c>
      <c r="F23" s="169">
        <v>8.0000000000000002E-3</v>
      </c>
      <c r="G23" s="23"/>
    </row>
    <row r="24" spans="1:7" s="21" customFormat="1" ht="15" customHeight="1" x14ac:dyDescent="0.2">
      <c r="A24" s="35" t="s">
        <v>530</v>
      </c>
      <c r="B24" s="40">
        <v>1.43</v>
      </c>
      <c r="C24" s="40">
        <v>0.14000000000000001</v>
      </c>
      <c r="D24" s="41">
        <v>7.0000000000000001E-3</v>
      </c>
      <c r="E24" s="162">
        <v>0.22</v>
      </c>
      <c r="F24" s="173">
        <f>F11</f>
        <v>8.9999999999999993E-3</v>
      </c>
      <c r="G24" s="23"/>
    </row>
    <row r="25" spans="1:7" s="21" customFormat="1" ht="15" customHeight="1" x14ac:dyDescent="0.2">
      <c r="A25" s="36" t="s">
        <v>548</v>
      </c>
      <c r="B25" s="40">
        <v>0.88</v>
      </c>
      <c r="C25" s="40">
        <v>1.33</v>
      </c>
      <c r="D25" s="41">
        <v>7.0000000000000001E-3</v>
      </c>
      <c r="E25" s="162">
        <v>0.22</v>
      </c>
      <c r="F25" s="169">
        <v>6.0000000000000001E-3</v>
      </c>
      <c r="G25" s="23"/>
    </row>
    <row r="26" spans="1:7" s="21" customFormat="1" ht="15" customHeight="1" x14ac:dyDescent="0.2">
      <c r="A26" s="36" t="s">
        <v>1428</v>
      </c>
      <c r="B26" s="40">
        <v>1.0900000000000001</v>
      </c>
      <c r="C26" s="40">
        <v>0.88</v>
      </c>
      <c r="D26" s="41">
        <v>5.0000000000000001E-3</v>
      </c>
      <c r="E26" s="162">
        <v>0.22</v>
      </c>
      <c r="F26" s="169">
        <v>1.0999999999999999E-2</v>
      </c>
      <c r="G26" s="23"/>
    </row>
    <row r="27" spans="1:7" s="21" customFormat="1" ht="15" customHeight="1" x14ac:dyDescent="0.2">
      <c r="A27" s="35" t="s">
        <v>1414</v>
      </c>
      <c r="B27" s="40">
        <v>0.93</v>
      </c>
      <c r="C27" s="40">
        <v>1.35</v>
      </c>
      <c r="D27" s="41">
        <v>8.0000000000000002E-3</v>
      </c>
      <c r="E27" s="47">
        <v>0.19</v>
      </c>
      <c r="F27" s="169">
        <v>8.0000000000000002E-3</v>
      </c>
      <c r="G27" s="23"/>
    </row>
    <row r="28" spans="1:7" s="21" customFormat="1" ht="15" customHeight="1" x14ac:dyDescent="0.2">
      <c r="A28" s="35" t="s">
        <v>1431</v>
      </c>
      <c r="B28" s="40">
        <v>0.36</v>
      </c>
      <c r="C28" s="40">
        <v>0.68</v>
      </c>
      <c r="D28" s="163">
        <v>0.01</v>
      </c>
      <c r="E28" s="172">
        <v>0.22</v>
      </c>
      <c r="F28" s="166">
        <v>0.01</v>
      </c>
      <c r="G28" s="23"/>
    </row>
    <row r="29" spans="1:7" s="21" customFormat="1" ht="15" customHeight="1" x14ac:dyDescent="0.2">
      <c r="A29" s="35" t="s">
        <v>1410</v>
      </c>
      <c r="B29" s="40">
        <v>0.1</v>
      </c>
      <c r="C29" s="40">
        <v>1.06</v>
      </c>
      <c r="D29" s="41">
        <v>1.9E-2</v>
      </c>
      <c r="E29" s="47">
        <v>0.2</v>
      </c>
      <c r="F29" s="169">
        <v>1.4E-2</v>
      </c>
      <c r="G29" s="23"/>
    </row>
    <row r="30" spans="1:7" s="21" customFormat="1" ht="15" customHeight="1" x14ac:dyDescent="0.2">
      <c r="A30" s="35" t="s">
        <v>1430</v>
      </c>
      <c r="B30" s="40">
        <v>1.07</v>
      </c>
      <c r="C30" s="40">
        <v>1.54</v>
      </c>
      <c r="D30" s="41">
        <v>1.6E-2</v>
      </c>
      <c r="E30" s="162">
        <v>0.22</v>
      </c>
      <c r="F30" s="173">
        <v>8.9999999999999993E-3</v>
      </c>
      <c r="G30" s="23"/>
    </row>
    <row r="31" spans="1:7" s="21" customFormat="1" x14ac:dyDescent="0.2">
      <c r="A31" s="20" t="s">
        <v>459</v>
      </c>
      <c r="B31" s="41">
        <v>0.28999999999999998</v>
      </c>
      <c r="C31" s="41">
        <v>0</v>
      </c>
      <c r="D31" s="41">
        <v>2.7E-2</v>
      </c>
      <c r="E31" s="47">
        <v>0.4</v>
      </c>
      <c r="F31" s="169">
        <v>1.9E-2</v>
      </c>
      <c r="G31" s="23"/>
    </row>
    <row r="32" spans="1:7" s="21" customFormat="1" x14ac:dyDescent="0.2">
      <c r="A32" s="20" t="s">
        <v>1817</v>
      </c>
      <c r="B32" s="41">
        <v>0.18</v>
      </c>
      <c r="C32" s="41">
        <v>0</v>
      </c>
      <c r="D32" s="41">
        <v>1.4999999999999999E-2</v>
      </c>
      <c r="E32" s="47">
        <v>0.54</v>
      </c>
      <c r="F32" s="169">
        <v>1.2E-2</v>
      </c>
      <c r="G32" s="23"/>
    </row>
    <row r="33" spans="1:12" s="21" customFormat="1" x14ac:dyDescent="0.2">
      <c r="A33" s="20" t="s">
        <v>1818</v>
      </c>
      <c r="B33" s="41">
        <v>0.3</v>
      </c>
      <c r="C33" s="41">
        <v>0</v>
      </c>
      <c r="D33" s="41">
        <v>1.4999999999999999E-2</v>
      </c>
      <c r="E33" s="47">
        <v>0.8</v>
      </c>
      <c r="F33" s="169">
        <v>1.2E-2</v>
      </c>
      <c r="G33" s="23"/>
    </row>
    <row r="34" spans="1:12" s="21" customFormat="1" x14ac:dyDescent="0.2">
      <c r="A34" s="37" t="s">
        <v>1819</v>
      </c>
      <c r="B34" s="42">
        <v>0.3</v>
      </c>
      <c r="C34" s="42">
        <v>0</v>
      </c>
      <c r="D34" s="42">
        <v>2.5000000000000001E-2</v>
      </c>
      <c r="E34" s="48">
        <v>0.8</v>
      </c>
      <c r="F34" s="171">
        <v>1.6E-2</v>
      </c>
      <c r="G34" s="23"/>
    </row>
    <row r="36" spans="1:12" s="362" customFormat="1" ht="18" x14ac:dyDescent="0.25">
      <c r="A36" s="327" t="s">
        <v>1820</v>
      </c>
      <c r="B36" s="328"/>
      <c r="C36" s="328"/>
      <c r="D36" s="328"/>
      <c r="E36" s="329"/>
      <c r="F36" s="329"/>
      <c r="G36" s="329"/>
      <c r="H36" s="329"/>
      <c r="I36" s="330"/>
      <c r="J36" s="331"/>
      <c r="K36" s="331"/>
      <c r="L36" s="329"/>
    </row>
    <row r="37" spans="1:12" s="341" customFormat="1" x14ac:dyDescent="0.2">
      <c r="A37" s="333" t="s">
        <v>1821</v>
      </c>
      <c r="B37" s="106"/>
      <c r="C37" s="106"/>
      <c r="D37" s="106"/>
      <c r="E37" s="106"/>
      <c r="F37" s="106"/>
      <c r="G37" s="106"/>
      <c r="H37" s="106"/>
      <c r="I37" s="334"/>
      <c r="J37" s="106"/>
      <c r="K37" s="106"/>
      <c r="L37" s="106"/>
    </row>
    <row r="38" spans="1:12" x14ac:dyDescent="0.2">
      <c r="A38" s="374" t="s">
        <v>1822</v>
      </c>
      <c r="B38" s="322" t="str">
        <f>list!L6</f>
        <v>Please select</v>
      </c>
      <c r="C38" s="322" t="str">
        <f>list!M7</f>
        <v>HAC</v>
      </c>
      <c r="D38" s="322" t="str">
        <f>list!M8</f>
        <v>LAC</v>
      </c>
      <c r="E38" s="322" t="str">
        <f>list!M9</f>
        <v>SAN</v>
      </c>
      <c r="F38" s="322" t="str">
        <f>list!M10</f>
        <v>POD</v>
      </c>
      <c r="G38" s="322" t="str">
        <f>list!M11</f>
        <v>VOL</v>
      </c>
      <c r="H38" s="322" t="s">
        <v>1823</v>
      </c>
      <c r="I38" s="322" t="s">
        <v>1339</v>
      </c>
      <c r="J38" s="18"/>
      <c r="K38" s="18"/>
      <c r="L38" s="18"/>
    </row>
    <row r="39" spans="1:12" x14ac:dyDescent="0.2">
      <c r="A39" s="515" t="s">
        <v>57</v>
      </c>
      <c r="B39" s="55"/>
      <c r="C39" s="163">
        <v>0</v>
      </c>
      <c r="D39" s="163">
        <v>0</v>
      </c>
      <c r="E39" s="163">
        <v>0</v>
      </c>
      <c r="F39" s="163">
        <v>0</v>
      </c>
      <c r="G39" s="163">
        <v>0</v>
      </c>
      <c r="H39" s="163">
        <v>0</v>
      </c>
      <c r="I39" s="501"/>
      <c r="J39" s="21"/>
      <c r="K39" s="21"/>
      <c r="L39" s="21"/>
    </row>
    <row r="40" spans="1:12" s="21" customFormat="1" x14ac:dyDescent="0.2">
      <c r="A40" s="263" t="s">
        <v>1491</v>
      </c>
      <c r="B40" s="56"/>
      <c r="C40" s="41">
        <v>63</v>
      </c>
      <c r="D40" s="163" t="s">
        <v>1824</v>
      </c>
      <c r="E40" s="41">
        <v>10</v>
      </c>
      <c r="F40" s="41">
        <v>117</v>
      </c>
      <c r="G40" s="41">
        <v>20</v>
      </c>
      <c r="H40" s="41">
        <v>116</v>
      </c>
      <c r="I40" s="501"/>
    </row>
    <row r="41" spans="1:12" s="21" customFormat="1" x14ac:dyDescent="0.2">
      <c r="A41" s="265" t="s">
        <v>1490</v>
      </c>
      <c r="B41" s="56"/>
      <c r="C41" s="41">
        <v>63</v>
      </c>
      <c r="D41" s="163" t="s">
        <v>1824</v>
      </c>
      <c r="E41" s="41">
        <v>10</v>
      </c>
      <c r="F41" s="41">
        <v>117</v>
      </c>
      <c r="G41" s="41">
        <v>20</v>
      </c>
      <c r="H41" s="41">
        <v>116</v>
      </c>
      <c r="I41" s="501"/>
    </row>
    <row r="42" spans="1:12" s="21" customFormat="1" x14ac:dyDescent="0.2">
      <c r="A42" s="263" t="s">
        <v>1825</v>
      </c>
      <c r="B42" s="56"/>
      <c r="C42" s="41">
        <v>43</v>
      </c>
      <c r="D42" s="41">
        <v>33</v>
      </c>
      <c r="E42" s="41">
        <v>13</v>
      </c>
      <c r="F42" s="163" t="s">
        <v>85</v>
      </c>
      <c r="G42" s="41">
        <v>20</v>
      </c>
      <c r="H42" s="41">
        <v>87</v>
      </c>
      <c r="I42" s="501"/>
    </row>
    <row r="43" spans="1:12" s="21" customFormat="1" x14ac:dyDescent="0.2">
      <c r="A43" s="265" t="s">
        <v>1826</v>
      </c>
      <c r="B43" s="56"/>
      <c r="C43" s="41">
        <v>81</v>
      </c>
      <c r="D43" s="41">
        <v>76</v>
      </c>
      <c r="E43" s="41">
        <v>51</v>
      </c>
      <c r="F43" s="41">
        <v>128</v>
      </c>
      <c r="G43" s="41">
        <v>136</v>
      </c>
      <c r="H43" s="41">
        <v>128</v>
      </c>
      <c r="I43" s="501"/>
    </row>
    <row r="44" spans="1:12" s="21" customFormat="1" x14ac:dyDescent="0.2">
      <c r="A44" s="263" t="s">
        <v>1827</v>
      </c>
      <c r="B44" s="56"/>
      <c r="C44" s="41">
        <v>24</v>
      </c>
      <c r="D44" s="41">
        <v>19</v>
      </c>
      <c r="E44" s="41">
        <v>10</v>
      </c>
      <c r="F44" s="163" t="s">
        <v>85</v>
      </c>
      <c r="G44" s="41">
        <v>84</v>
      </c>
      <c r="H44" s="41">
        <v>74</v>
      </c>
      <c r="I44" s="501"/>
    </row>
    <row r="45" spans="1:12" s="21" customFormat="1" x14ac:dyDescent="0.2">
      <c r="A45" s="265" t="s">
        <v>1828</v>
      </c>
      <c r="B45" s="56"/>
      <c r="C45" s="41">
        <v>64</v>
      </c>
      <c r="D45" s="41">
        <v>55</v>
      </c>
      <c r="E45" s="41">
        <v>36</v>
      </c>
      <c r="F45" s="41">
        <v>143</v>
      </c>
      <c r="G45" s="41">
        <v>138</v>
      </c>
      <c r="H45" s="41">
        <v>135</v>
      </c>
      <c r="I45" s="501"/>
    </row>
    <row r="46" spans="1:12" s="21" customFormat="1" x14ac:dyDescent="0.2">
      <c r="A46" s="263" t="s">
        <v>1487</v>
      </c>
      <c r="B46" s="56"/>
      <c r="C46" s="41">
        <v>21</v>
      </c>
      <c r="D46" s="41">
        <v>19</v>
      </c>
      <c r="E46" s="41">
        <v>9</v>
      </c>
      <c r="F46" s="163" t="s">
        <v>85</v>
      </c>
      <c r="G46" s="41">
        <v>50</v>
      </c>
      <c r="H46" s="41">
        <v>22</v>
      </c>
      <c r="I46" s="501"/>
    </row>
    <row r="47" spans="1:12" s="21" customFormat="1" x14ac:dyDescent="0.2">
      <c r="A47" s="264" t="s">
        <v>1488</v>
      </c>
      <c r="B47" s="56"/>
      <c r="C47" s="41">
        <v>40</v>
      </c>
      <c r="D47" s="41">
        <v>38</v>
      </c>
      <c r="E47" s="41">
        <v>27</v>
      </c>
      <c r="F47" s="163" t="s">
        <v>85</v>
      </c>
      <c r="G47" s="41">
        <v>70</v>
      </c>
      <c r="H47" s="41">
        <v>68</v>
      </c>
      <c r="I47" s="501"/>
    </row>
    <row r="48" spans="1:12" s="21" customFormat="1" x14ac:dyDescent="0.2">
      <c r="A48" s="265" t="s">
        <v>1489</v>
      </c>
      <c r="B48" s="56"/>
      <c r="C48" s="41">
        <v>60</v>
      </c>
      <c r="D48" s="41">
        <v>52</v>
      </c>
      <c r="E48" s="41">
        <v>46</v>
      </c>
      <c r="F48" s="163" t="s">
        <v>85</v>
      </c>
      <c r="G48" s="41">
        <v>77</v>
      </c>
      <c r="H48" s="41">
        <v>49</v>
      </c>
      <c r="I48" s="501"/>
    </row>
    <row r="49" spans="1:13" s="292" customFormat="1" x14ac:dyDescent="0.2">
      <c r="A49" s="516" t="s">
        <v>1359</v>
      </c>
      <c r="B49" s="57"/>
      <c r="C49" s="42">
        <v>51</v>
      </c>
      <c r="D49" s="42">
        <v>44</v>
      </c>
      <c r="E49" s="42">
        <v>52</v>
      </c>
      <c r="F49" s="466" t="s">
        <v>85</v>
      </c>
      <c r="G49" s="42">
        <v>96</v>
      </c>
      <c r="H49" s="42">
        <v>82</v>
      </c>
      <c r="I49" s="502"/>
    </row>
    <row r="50" spans="1:13" s="21" customFormat="1" x14ac:dyDescent="0.2">
      <c r="A50" s="279" t="s">
        <v>1829</v>
      </c>
      <c r="B50" s="282"/>
    </row>
    <row r="51" spans="1:13" s="21" customFormat="1" x14ac:dyDescent="0.2">
      <c r="A51" s="279" t="s">
        <v>1830</v>
      </c>
      <c r="B51" s="282"/>
    </row>
    <row r="52" spans="1:13" s="21" customFormat="1" x14ac:dyDescent="0.2">
      <c r="A52" s="279"/>
      <c r="B52" s="282"/>
    </row>
    <row r="53" spans="1:13" s="21" customFormat="1" ht="16" thickBot="1" x14ac:dyDescent="0.25">
      <c r="A53" s="52"/>
      <c r="B53" s="53"/>
      <c r="C53" s="53"/>
      <c r="D53" s="53"/>
      <c r="E53" s="53"/>
      <c r="F53" s="53"/>
      <c r="G53" s="53"/>
      <c r="H53" s="53"/>
      <c r="I53" s="53"/>
      <c r="J53" s="53"/>
      <c r="K53" s="53"/>
      <c r="L53" s="53"/>
    </row>
    <row r="55" spans="1:13" x14ac:dyDescent="0.2">
      <c r="A55" s="327" t="s">
        <v>1831</v>
      </c>
      <c r="B55" s="328"/>
      <c r="C55" s="328"/>
      <c r="D55" s="328"/>
      <c r="E55" s="329"/>
      <c r="F55" s="329"/>
      <c r="G55" s="329"/>
      <c r="H55" s="329"/>
      <c r="I55" s="330"/>
      <c r="J55" s="331"/>
      <c r="K55" s="331"/>
      <c r="L55" s="329"/>
      <c r="M55" s="332"/>
    </row>
    <row r="56" spans="1:13" x14ac:dyDescent="0.2">
      <c r="A56" s="333" t="s">
        <v>1832</v>
      </c>
      <c r="B56" s="106"/>
      <c r="C56" s="106"/>
      <c r="D56" s="106"/>
      <c r="E56" s="106"/>
      <c r="F56" s="106"/>
      <c r="G56" s="106"/>
      <c r="H56" s="106"/>
      <c r="I56" s="334"/>
      <c r="J56" s="106"/>
      <c r="K56" s="106"/>
      <c r="L56" s="106"/>
      <c r="M56" s="335"/>
    </row>
    <row r="57" spans="1:13" x14ac:dyDescent="0.2">
      <c r="A57" s="321" t="s">
        <v>1822</v>
      </c>
      <c r="B57" s="322" t="s">
        <v>1833</v>
      </c>
      <c r="C57" s="323" t="s">
        <v>1833</v>
      </c>
      <c r="D57" s="324" t="s">
        <v>1833</v>
      </c>
      <c r="E57" s="325" t="s">
        <v>1833</v>
      </c>
      <c r="F57" s="322" t="s">
        <v>1834</v>
      </c>
      <c r="G57" s="322" t="s">
        <v>1834</v>
      </c>
      <c r="H57" s="322" t="s">
        <v>1834</v>
      </c>
      <c r="I57" s="322" t="s">
        <v>1835</v>
      </c>
      <c r="J57" s="322" t="s">
        <v>1835</v>
      </c>
      <c r="K57" s="322" t="s">
        <v>1835</v>
      </c>
      <c r="L57" s="326" t="s">
        <v>1835</v>
      </c>
    </row>
    <row r="58" spans="1:13" ht="15" customHeight="1" x14ac:dyDescent="0.2">
      <c r="A58" s="133" t="s">
        <v>57</v>
      </c>
      <c r="B58" s="59" t="s">
        <v>1385</v>
      </c>
      <c r="C58" s="314" t="s">
        <v>1836</v>
      </c>
      <c r="D58" s="316" t="s">
        <v>1837</v>
      </c>
      <c r="E58" s="315" t="s">
        <v>1838</v>
      </c>
      <c r="F58" s="62" t="s">
        <v>1387</v>
      </c>
      <c r="G58" s="62" t="s">
        <v>1393</v>
      </c>
      <c r="H58" s="62" t="s">
        <v>1398</v>
      </c>
      <c r="I58" s="54" t="s">
        <v>1388</v>
      </c>
      <c r="J58" s="54" t="s">
        <v>1394</v>
      </c>
      <c r="K58" s="65" t="s">
        <v>1399</v>
      </c>
      <c r="L58" s="338" t="s">
        <v>1402</v>
      </c>
    </row>
    <row r="59" spans="1:13" s="21" customFormat="1" x14ac:dyDescent="0.2">
      <c r="A59" s="63" t="s">
        <v>1491</v>
      </c>
      <c r="B59" s="517">
        <v>0.7</v>
      </c>
      <c r="C59" s="44">
        <v>1.35</v>
      </c>
      <c r="D59" s="44">
        <v>0.72</v>
      </c>
      <c r="E59" s="44">
        <v>0.82</v>
      </c>
      <c r="F59" s="496">
        <v>1</v>
      </c>
      <c r="G59" s="44">
        <v>1.04</v>
      </c>
      <c r="H59" s="517">
        <v>1.0900000000000001</v>
      </c>
      <c r="I59" s="419">
        <v>0.92</v>
      </c>
      <c r="J59" s="517">
        <v>1</v>
      </c>
      <c r="K59" s="457">
        <v>1.1100000000000001</v>
      </c>
      <c r="L59" s="44">
        <v>1.44</v>
      </c>
    </row>
    <row r="60" spans="1:13" s="21" customFormat="1" x14ac:dyDescent="0.2">
      <c r="A60" s="20" t="s">
        <v>1490</v>
      </c>
      <c r="B60" s="41">
        <v>0.77</v>
      </c>
      <c r="C60" s="41">
        <v>1.35</v>
      </c>
      <c r="D60" s="41">
        <v>0.72</v>
      </c>
      <c r="E60" s="41">
        <v>0.93</v>
      </c>
      <c r="F60" s="493">
        <v>1</v>
      </c>
      <c r="G60" s="41">
        <v>0.98</v>
      </c>
      <c r="H60" s="47">
        <v>1.03</v>
      </c>
      <c r="I60" s="453">
        <v>0.95</v>
      </c>
      <c r="J60" s="47">
        <v>1</v>
      </c>
      <c r="K60" s="169">
        <v>1.04</v>
      </c>
      <c r="L60" s="41">
        <v>1.37</v>
      </c>
    </row>
    <row r="61" spans="1:13" s="21" customFormat="1" x14ac:dyDescent="0.2">
      <c r="A61" s="20" t="s">
        <v>1839</v>
      </c>
      <c r="B61" s="41">
        <v>0.77</v>
      </c>
      <c r="C61" s="41">
        <v>1.35</v>
      </c>
      <c r="D61" s="41">
        <v>0.72</v>
      </c>
      <c r="E61" s="41">
        <v>0.93</v>
      </c>
      <c r="F61" s="493">
        <v>1</v>
      </c>
      <c r="G61" s="41">
        <v>0.98</v>
      </c>
      <c r="H61" s="47">
        <v>1.03</v>
      </c>
      <c r="I61" s="453">
        <v>0.95</v>
      </c>
      <c r="J61" s="47">
        <v>1</v>
      </c>
      <c r="K61" s="169">
        <v>1.04</v>
      </c>
      <c r="L61" s="41">
        <v>1.37</v>
      </c>
    </row>
    <row r="62" spans="1:13" s="21" customFormat="1" x14ac:dyDescent="0.2">
      <c r="A62" s="20" t="s">
        <v>1840</v>
      </c>
      <c r="B62" s="47">
        <v>0.7</v>
      </c>
      <c r="C62" s="41">
        <v>1.35</v>
      </c>
      <c r="D62" s="41">
        <v>0.72</v>
      </c>
      <c r="E62" s="41">
        <v>0.82</v>
      </c>
      <c r="F62" s="493">
        <v>1</v>
      </c>
      <c r="G62" s="41">
        <v>1.04</v>
      </c>
      <c r="H62" s="47">
        <v>1.0900000000000001</v>
      </c>
      <c r="I62" s="453">
        <v>0.92</v>
      </c>
      <c r="J62" s="47">
        <v>1</v>
      </c>
      <c r="K62" s="169">
        <v>1.1100000000000001</v>
      </c>
      <c r="L62" s="41">
        <v>1.44</v>
      </c>
    </row>
    <row r="63" spans="1:13" s="21" customFormat="1" x14ac:dyDescent="0.2">
      <c r="A63" s="20" t="s">
        <v>1841</v>
      </c>
      <c r="B63" s="41">
        <v>0.76</v>
      </c>
      <c r="C63" s="41">
        <v>1.35</v>
      </c>
      <c r="D63" s="41">
        <v>0.72</v>
      </c>
      <c r="E63" s="41">
        <v>0.93</v>
      </c>
      <c r="F63" s="493">
        <v>1</v>
      </c>
      <c r="G63" s="41">
        <v>0.99</v>
      </c>
      <c r="H63" s="47">
        <v>1.04</v>
      </c>
      <c r="I63" s="453">
        <v>0.95</v>
      </c>
      <c r="J63" s="47">
        <v>1</v>
      </c>
      <c r="K63" s="169">
        <v>1.04</v>
      </c>
      <c r="L63" s="41">
        <v>1.37</v>
      </c>
    </row>
    <row r="64" spans="1:13" s="21" customFormat="1" x14ac:dyDescent="0.2">
      <c r="A64" s="20" t="s">
        <v>1842</v>
      </c>
      <c r="B64" s="41">
        <v>0.69</v>
      </c>
      <c r="C64" s="41">
        <v>1.35</v>
      </c>
      <c r="D64" s="41">
        <v>0.72</v>
      </c>
      <c r="E64" s="41">
        <v>0.82</v>
      </c>
      <c r="F64" s="493">
        <v>1</v>
      </c>
      <c r="G64" s="41">
        <v>1.05</v>
      </c>
      <c r="H64" s="47">
        <v>1.1000000000000001</v>
      </c>
      <c r="I64" s="453">
        <v>0.92</v>
      </c>
      <c r="J64" s="47">
        <v>1</v>
      </c>
      <c r="K64" s="169">
        <v>1.1100000000000001</v>
      </c>
      <c r="L64" s="41">
        <v>1.44</v>
      </c>
    </row>
    <row r="65" spans="1:12" s="21" customFormat="1" x14ac:dyDescent="0.2">
      <c r="A65" s="20" t="s">
        <v>1843</v>
      </c>
      <c r="B65" s="41">
        <v>0.92</v>
      </c>
      <c r="C65" s="41">
        <v>1.35</v>
      </c>
      <c r="D65" s="41">
        <v>1.01</v>
      </c>
      <c r="E65" s="41">
        <v>0.93</v>
      </c>
      <c r="F65" s="493">
        <v>1</v>
      </c>
      <c r="G65" s="41">
        <v>0.99</v>
      </c>
      <c r="H65" s="47">
        <v>1.04</v>
      </c>
      <c r="I65" s="453">
        <v>0.95</v>
      </c>
      <c r="J65" s="47">
        <v>1</v>
      </c>
      <c r="K65" s="169">
        <v>1.04</v>
      </c>
      <c r="L65" s="41">
        <v>1.37</v>
      </c>
    </row>
    <row r="66" spans="1:12" s="21" customFormat="1" x14ac:dyDescent="0.2">
      <c r="A66" s="20" t="s">
        <v>1844</v>
      </c>
      <c r="B66" s="41">
        <v>0.83</v>
      </c>
      <c r="C66" s="41">
        <v>1.35</v>
      </c>
      <c r="D66" s="41">
        <v>1.01</v>
      </c>
      <c r="E66" s="41">
        <v>0.82</v>
      </c>
      <c r="F66" s="493">
        <v>1</v>
      </c>
      <c r="G66" s="467">
        <v>1.04</v>
      </c>
      <c r="H66" s="493">
        <v>1.1000000000000001</v>
      </c>
      <c r="I66" s="453">
        <v>0.92</v>
      </c>
      <c r="J66" s="47">
        <v>1</v>
      </c>
      <c r="K66" s="169">
        <v>1.1100000000000001</v>
      </c>
      <c r="L66" s="41">
        <v>1.44</v>
      </c>
    </row>
    <row r="67" spans="1:12" s="21" customFormat="1" x14ac:dyDescent="0.2">
      <c r="A67" s="20" t="s">
        <v>1845</v>
      </c>
      <c r="B67" s="41">
        <v>0.83</v>
      </c>
      <c r="C67" s="41">
        <v>1.35</v>
      </c>
      <c r="D67" s="41">
        <v>1.01</v>
      </c>
      <c r="E67" s="41">
        <v>0.82</v>
      </c>
      <c r="F67" s="493">
        <v>1</v>
      </c>
      <c r="G67" s="467">
        <v>1.04</v>
      </c>
      <c r="H67" s="493">
        <v>1.1000000000000001</v>
      </c>
      <c r="I67" s="453">
        <v>0.92</v>
      </c>
      <c r="J67" s="47">
        <v>1</v>
      </c>
      <c r="K67" s="169">
        <v>1.1100000000000001</v>
      </c>
      <c r="L67" s="41">
        <v>1.44</v>
      </c>
    </row>
    <row r="68" spans="1:12" s="21" customFormat="1" x14ac:dyDescent="0.2">
      <c r="A68" s="20" t="s">
        <v>1359</v>
      </c>
      <c r="B68" s="163">
        <v>0.64</v>
      </c>
      <c r="C68" s="41">
        <v>1.35</v>
      </c>
      <c r="D68" s="164">
        <v>1</v>
      </c>
      <c r="E68" s="41">
        <v>0.88</v>
      </c>
      <c r="F68" s="493">
        <v>1</v>
      </c>
      <c r="G68" s="164">
        <v>1.0900000000000001</v>
      </c>
      <c r="H68" s="164">
        <v>1.1599999999999999</v>
      </c>
      <c r="I68" s="453">
        <v>0.94</v>
      </c>
      <c r="J68" s="47">
        <v>1</v>
      </c>
      <c r="K68" s="169">
        <v>1.08</v>
      </c>
      <c r="L68" s="41">
        <v>1.41</v>
      </c>
    </row>
    <row r="69" spans="1:12" s="520" customFormat="1" x14ac:dyDescent="0.2">
      <c r="A69" s="518" t="s">
        <v>1846</v>
      </c>
      <c r="B69" s="519"/>
      <c r="D69" s="521"/>
      <c r="F69" s="521"/>
      <c r="G69" s="521"/>
      <c r="H69" s="521"/>
      <c r="J69" s="521"/>
    </row>
    <row r="70" spans="1:12" s="21" customFormat="1" x14ac:dyDescent="0.2"/>
    <row r="71" spans="1:12" ht="16" thickBot="1" x14ac:dyDescent="0.25">
      <c r="B71" s="336"/>
      <c r="D71" s="58"/>
      <c r="F71" s="58"/>
      <c r="G71" s="58"/>
      <c r="H71" s="58"/>
      <c r="J71" s="58"/>
    </row>
    <row r="72" spans="1:12" s="18" customFormat="1" ht="19" x14ac:dyDescent="0.25">
      <c r="A72" s="102" t="s">
        <v>1847</v>
      </c>
      <c r="B72" s="12"/>
      <c r="C72" s="12"/>
      <c r="D72" s="12"/>
      <c r="E72" s="12"/>
      <c r="F72" s="103"/>
    </row>
    <row r="73" spans="1:12" s="18" customFormat="1" x14ac:dyDescent="0.2">
      <c r="A73" s="104" t="s">
        <v>1848</v>
      </c>
      <c r="F73" s="124"/>
    </row>
    <row r="74" spans="1:12" s="18" customFormat="1" ht="17" x14ac:dyDescent="0.25">
      <c r="A74" s="397" t="s">
        <v>1849</v>
      </c>
      <c r="B74" s="62" t="s">
        <v>1850</v>
      </c>
      <c r="C74" s="62" t="s">
        <v>1038</v>
      </c>
      <c r="D74" s="62" t="s">
        <v>176</v>
      </c>
      <c r="E74" s="62" t="s">
        <v>1851</v>
      </c>
      <c r="F74" s="62" t="s">
        <v>1852</v>
      </c>
    </row>
    <row r="75" spans="1:12" s="21" customFormat="1" x14ac:dyDescent="0.2">
      <c r="A75" s="134" t="s">
        <v>1853</v>
      </c>
      <c r="B75" s="663">
        <v>1613</v>
      </c>
      <c r="C75" s="663">
        <v>65</v>
      </c>
      <c r="D75" s="422">
        <v>2.2999999999999998</v>
      </c>
      <c r="E75" s="246">
        <v>0.21</v>
      </c>
      <c r="F75" s="664">
        <v>3.9</v>
      </c>
    </row>
    <row r="76" spans="1:12" s="21" customFormat="1" x14ac:dyDescent="0.2">
      <c r="A76" s="135" t="s">
        <v>1854</v>
      </c>
      <c r="B76" s="663">
        <v>1515</v>
      </c>
      <c r="C76" s="663">
        <v>92</v>
      </c>
      <c r="D76" s="422">
        <v>2.7</v>
      </c>
      <c r="E76" s="423">
        <v>7.0000000000000007E-2</v>
      </c>
      <c r="F76" s="664">
        <v>2.5</v>
      </c>
    </row>
    <row r="77" spans="1:12" s="21" customFormat="1" x14ac:dyDescent="0.2">
      <c r="A77" s="543" t="s">
        <v>1855</v>
      </c>
      <c r="B77" s="665">
        <v>1580</v>
      </c>
      <c r="C77" s="663">
        <v>104</v>
      </c>
      <c r="D77" s="666">
        <v>6.8</v>
      </c>
      <c r="E77" s="667">
        <v>0.2</v>
      </c>
      <c r="F77" s="664">
        <v>1.6</v>
      </c>
    </row>
    <row r="78" spans="1:12" s="21" customFormat="1" x14ac:dyDescent="0.2">
      <c r="A78" s="135" t="s">
        <v>1856</v>
      </c>
      <c r="B78" s="663">
        <v>1569</v>
      </c>
      <c r="C78" s="663">
        <v>107</v>
      </c>
      <c r="D78" s="422">
        <v>4.7</v>
      </c>
      <c r="E78" s="423">
        <v>0.26</v>
      </c>
      <c r="F78" s="664">
        <v>3</v>
      </c>
    </row>
    <row r="79" spans="1:12" s="21" customFormat="1" ht="16" thickBot="1" x14ac:dyDescent="0.25">
      <c r="A79" s="136" t="s">
        <v>1857</v>
      </c>
      <c r="B79" s="668">
        <v>1550</v>
      </c>
      <c r="C79" s="668">
        <v>78</v>
      </c>
      <c r="D79" s="424">
        <v>6.1</v>
      </c>
      <c r="E79" s="425">
        <v>0.06</v>
      </c>
      <c r="F79" s="669">
        <v>1.1000000000000001</v>
      </c>
    </row>
    <row r="80" spans="1:12" ht="16" thickBot="1" x14ac:dyDescent="0.25"/>
    <row r="81" spans="1:7" s="18" customFormat="1" ht="12.5" customHeight="1" x14ac:dyDescent="0.2">
      <c r="A81" s="102" t="s">
        <v>1858</v>
      </c>
      <c r="B81" s="12"/>
      <c r="C81" s="12"/>
      <c r="D81" s="12"/>
      <c r="E81" s="103"/>
    </row>
    <row r="82" spans="1:7" s="18" customFormat="1" ht="12.5" customHeight="1" x14ac:dyDescent="0.2">
      <c r="A82" s="105" t="s">
        <v>1859</v>
      </c>
      <c r="B82" s="106"/>
      <c r="C82" s="106"/>
      <c r="D82" s="106"/>
      <c r="E82" s="107"/>
    </row>
    <row r="83" spans="1:7" s="18" customFormat="1" ht="17" x14ac:dyDescent="0.25">
      <c r="A83" s="108" t="s">
        <v>1860</v>
      </c>
      <c r="B83" s="62" t="s">
        <v>1861</v>
      </c>
      <c r="C83" s="125"/>
      <c r="D83" s="125"/>
      <c r="E83" s="126"/>
    </row>
    <row r="84" spans="1:7" s="21" customFormat="1" x14ac:dyDescent="0.2">
      <c r="A84" s="127" t="s">
        <v>1862</v>
      </c>
      <c r="B84" s="44" t="s">
        <v>600</v>
      </c>
      <c r="E84" s="128"/>
    </row>
    <row r="85" spans="1:7" s="21" customFormat="1" x14ac:dyDescent="0.2">
      <c r="A85" s="431" t="s">
        <v>1418</v>
      </c>
      <c r="B85" s="242">
        <v>0.9</v>
      </c>
      <c r="E85" s="128"/>
    </row>
    <row r="86" spans="1:7" s="21" customFormat="1" x14ac:dyDescent="0.2">
      <c r="A86" s="431" t="s">
        <v>491</v>
      </c>
      <c r="B86" s="242">
        <v>0.8</v>
      </c>
      <c r="E86" s="128"/>
    </row>
    <row r="87" spans="1:7" s="21" customFormat="1" x14ac:dyDescent="0.2">
      <c r="A87" s="127" t="s">
        <v>546</v>
      </c>
      <c r="B87" s="61">
        <v>0.8</v>
      </c>
      <c r="E87" s="128"/>
    </row>
    <row r="88" spans="1:7" s="21" customFormat="1" x14ac:dyDescent="0.2">
      <c r="A88" s="127" t="s">
        <v>528</v>
      </c>
      <c r="B88" s="61">
        <v>0.8</v>
      </c>
      <c r="E88" s="128"/>
    </row>
    <row r="89" spans="1:7" s="21" customFormat="1" ht="16" thickBot="1" x14ac:dyDescent="0.25">
      <c r="A89" s="432" t="s">
        <v>1362</v>
      </c>
      <c r="B89" s="243">
        <v>0.85</v>
      </c>
      <c r="C89" s="130"/>
      <c r="D89" s="130"/>
      <c r="E89" s="131"/>
    </row>
    <row r="90" spans="1:7" ht="16" thickBot="1" x14ac:dyDescent="0.25"/>
    <row r="91" spans="1:7" s="18" customFormat="1" ht="17" x14ac:dyDescent="0.25">
      <c r="A91" s="102" t="s">
        <v>1863</v>
      </c>
      <c r="B91" s="12"/>
      <c r="C91" s="12"/>
      <c r="D91" s="12"/>
      <c r="E91" s="12"/>
      <c r="F91" s="12"/>
      <c r="G91" s="103"/>
    </row>
    <row r="92" spans="1:7" s="18" customFormat="1" x14ac:dyDescent="0.2">
      <c r="A92" s="104" t="s">
        <v>1864</v>
      </c>
      <c r="G92" s="124"/>
    </row>
    <row r="93" spans="1:7" s="18" customFormat="1" x14ac:dyDescent="0.2">
      <c r="A93" s="104" t="s">
        <v>1865</v>
      </c>
      <c r="G93" s="124"/>
    </row>
    <row r="94" spans="1:7" s="18" customFormat="1" x14ac:dyDescent="0.2">
      <c r="A94" s="108"/>
      <c r="B94" s="54" t="s">
        <v>1866</v>
      </c>
      <c r="C94" s="54" t="s">
        <v>1867</v>
      </c>
      <c r="D94" s="125"/>
      <c r="E94" s="125"/>
      <c r="F94" s="125"/>
      <c r="G94" s="126"/>
    </row>
    <row r="95" spans="1:7" s="18" customFormat="1" ht="16" x14ac:dyDescent="0.2">
      <c r="A95" s="108"/>
      <c r="B95" s="54" t="s">
        <v>1868</v>
      </c>
      <c r="C95" s="54" t="s">
        <v>1869</v>
      </c>
      <c r="D95" s="125"/>
      <c r="E95" s="125"/>
      <c r="F95" s="125"/>
      <c r="G95" s="126"/>
    </row>
    <row r="96" spans="1:7" s="21" customFormat="1" x14ac:dyDescent="0.2">
      <c r="A96" s="137" t="s">
        <v>65</v>
      </c>
      <c r="B96" s="63"/>
      <c r="C96" s="132">
        <v>0.01</v>
      </c>
      <c r="G96" s="128"/>
    </row>
    <row r="97" spans="1:20" s="21" customFormat="1" x14ac:dyDescent="0.2">
      <c r="A97" s="127" t="s">
        <v>1870</v>
      </c>
      <c r="B97" s="20" t="s">
        <v>1368</v>
      </c>
      <c r="C97" s="56">
        <v>1.6E-2</v>
      </c>
      <c r="G97" s="128"/>
    </row>
    <row r="98" spans="1:20" s="21" customFormat="1" ht="16" thickBot="1" x14ac:dyDescent="0.25">
      <c r="A98" s="127" t="s">
        <v>1871</v>
      </c>
      <c r="B98" s="20" t="s">
        <v>1366</v>
      </c>
      <c r="C98" s="4275">
        <v>1.0500000000000001E-2</v>
      </c>
      <c r="G98" s="128"/>
    </row>
    <row r="99" spans="1:20" s="21" customFormat="1" ht="16" thickBot="1" x14ac:dyDescent="0.25">
      <c r="A99" s="127" t="s">
        <v>1872</v>
      </c>
      <c r="B99" s="550" t="s">
        <v>1368</v>
      </c>
      <c r="C99" s="551">
        <v>6.0000000000000001E-3</v>
      </c>
      <c r="G99" s="128"/>
    </row>
    <row r="100" spans="1:20" s="21" customFormat="1" ht="16" thickBot="1" x14ac:dyDescent="0.25">
      <c r="A100" s="127" t="s">
        <v>1873</v>
      </c>
      <c r="B100" s="550" t="s">
        <v>1366</v>
      </c>
      <c r="C100" s="4277">
        <v>5.4999999999999997E-3</v>
      </c>
      <c r="G100" s="128"/>
    </row>
    <row r="101" spans="1:20" s="21" customFormat="1" ht="16" thickBot="1" x14ac:dyDescent="0.25">
      <c r="A101" s="129" t="s">
        <v>1874</v>
      </c>
      <c r="B101" s="473" t="s">
        <v>1364</v>
      </c>
      <c r="C101" s="549">
        <v>5.0000000000000001E-3</v>
      </c>
      <c r="D101" s="130"/>
      <c r="E101" s="130"/>
      <c r="F101" s="130"/>
      <c r="G101" s="131"/>
    </row>
    <row r="102" spans="1:20" ht="16" thickBot="1" x14ac:dyDescent="0.25">
      <c r="A102" s="4276" t="s">
        <v>1875</v>
      </c>
    </row>
    <row r="103" spans="1:20" ht="17" x14ac:dyDescent="0.2">
      <c r="A103" s="102" t="s">
        <v>1876</v>
      </c>
      <c r="B103" s="51"/>
      <c r="C103" s="51"/>
      <c r="D103" s="51"/>
      <c r="E103" s="51"/>
      <c r="F103" s="51"/>
      <c r="G103" s="51"/>
      <c r="H103" s="240"/>
      <c r="I103" s="240"/>
      <c r="J103" s="240"/>
      <c r="K103" s="240"/>
      <c r="L103" s="240"/>
      <c r="M103" s="239"/>
      <c r="N103" s="239"/>
      <c r="O103" s="239"/>
      <c r="P103" s="239"/>
      <c r="Q103" s="239"/>
      <c r="R103" s="239"/>
      <c r="S103" s="239"/>
      <c r="T103" s="239"/>
    </row>
    <row r="104" spans="1:20" x14ac:dyDescent="0.2">
      <c r="A104" s="104" t="s">
        <v>1877</v>
      </c>
      <c r="B104" s="278"/>
      <c r="C104" s="278"/>
      <c r="D104" s="278"/>
      <c r="E104" s="278"/>
      <c r="F104" s="562" t="s">
        <v>1878</v>
      </c>
      <c r="G104" s="562" t="s">
        <v>1878</v>
      </c>
      <c r="H104" s="562" t="s">
        <v>1878</v>
      </c>
      <c r="I104" s="562" t="s">
        <v>1878</v>
      </c>
      <c r="J104" s="562" t="s">
        <v>1878</v>
      </c>
      <c r="K104" s="562" t="s">
        <v>1878</v>
      </c>
      <c r="L104" s="562" t="s">
        <v>1878</v>
      </c>
      <c r="M104" s="562" t="s">
        <v>1878</v>
      </c>
      <c r="N104" s="562" t="s">
        <v>1879</v>
      </c>
      <c r="O104" s="562" t="s">
        <v>1879</v>
      </c>
      <c r="P104" s="562" t="s">
        <v>1879</v>
      </c>
      <c r="Q104" s="562" t="s">
        <v>1879</v>
      </c>
      <c r="R104" s="562" t="s">
        <v>1879</v>
      </c>
      <c r="S104" s="562" t="s">
        <v>1879</v>
      </c>
      <c r="T104" s="562" t="s">
        <v>1879</v>
      </c>
    </row>
    <row r="105" spans="1:20" x14ac:dyDescent="0.2">
      <c r="A105" s="293" t="s">
        <v>1822</v>
      </c>
      <c r="B105" s="293" t="s">
        <v>1310</v>
      </c>
      <c r="C105" s="293" t="s">
        <v>1880</v>
      </c>
      <c r="D105" s="294" t="s">
        <v>57</v>
      </c>
      <c r="E105" s="294" t="s">
        <v>1494</v>
      </c>
      <c r="F105" s="294" t="s">
        <v>1352</v>
      </c>
      <c r="G105" s="294" t="s">
        <v>1505</v>
      </c>
      <c r="H105" s="294" t="s">
        <v>1407</v>
      </c>
      <c r="I105" s="294" t="s">
        <v>1413</v>
      </c>
      <c r="J105" s="294" t="s">
        <v>1417</v>
      </c>
      <c r="K105" s="294" t="s">
        <v>1421</v>
      </c>
      <c r="L105" s="294" t="s">
        <v>1424</v>
      </c>
      <c r="M105" s="294" t="s">
        <v>1427</v>
      </c>
      <c r="N105" s="294" t="s">
        <v>1497</v>
      </c>
      <c r="O105" s="294" t="s">
        <v>1499</v>
      </c>
      <c r="P105" s="294" t="s">
        <v>1510</v>
      </c>
      <c r="Q105" s="294" t="s">
        <v>1501</v>
      </c>
      <c r="R105" s="294" t="s">
        <v>1502</v>
      </c>
      <c r="S105" s="294" t="s">
        <v>1508</v>
      </c>
      <c r="T105" s="294" t="s">
        <v>1507</v>
      </c>
    </row>
    <row r="106" spans="1:20" x14ac:dyDescent="0.2">
      <c r="A106" s="255" t="s">
        <v>57</v>
      </c>
      <c r="B106" s="255" t="s">
        <v>57</v>
      </c>
      <c r="C106" s="255" t="s">
        <v>1881</v>
      </c>
      <c r="D106" s="65" t="s">
        <v>1881</v>
      </c>
      <c r="E106" s="65" t="s">
        <v>1881</v>
      </c>
      <c r="F106" s="65" t="s">
        <v>92</v>
      </c>
      <c r="G106" s="65" t="s">
        <v>92</v>
      </c>
      <c r="H106" s="65" t="s">
        <v>92</v>
      </c>
      <c r="I106" s="65" t="s">
        <v>92</v>
      </c>
      <c r="J106" s="65" t="s">
        <v>92</v>
      </c>
      <c r="K106" s="65" t="s">
        <v>92</v>
      </c>
      <c r="L106" s="65" t="s">
        <v>92</v>
      </c>
      <c r="M106" s="65" t="s">
        <v>92</v>
      </c>
      <c r="N106" s="59" t="s">
        <v>92</v>
      </c>
      <c r="O106" s="59" t="s">
        <v>92</v>
      </c>
      <c r="P106" s="59" t="s">
        <v>92</v>
      </c>
      <c r="Q106" s="59" t="s">
        <v>92</v>
      </c>
      <c r="R106" s="65" t="s">
        <v>92</v>
      </c>
      <c r="S106" s="65" t="s">
        <v>92</v>
      </c>
      <c r="T106" s="65" t="s">
        <v>92</v>
      </c>
    </row>
    <row r="107" spans="1:20" x14ac:dyDescent="0.2">
      <c r="A107" s="63" t="s">
        <v>1483</v>
      </c>
      <c r="B107" s="401" t="s">
        <v>1552</v>
      </c>
      <c r="C107" s="63" t="str">
        <f>CONCATENATE(A107,B107)</f>
        <v>Cool Temperate DryEastern Africa</v>
      </c>
      <c r="D107" s="61"/>
      <c r="E107" s="256">
        <f t="shared" ref="E107:E112" si="0">AVERAGE(F107:M107)</f>
        <v>1.2666666666666668</v>
      </c>
      <c r="F107" s="563"/>
      <c r="G107" s="564"/>
      <c r="H107" s="565">
        <v>0.87</v>
      </c>
      <c r="I107" s="564"/>
      <c r="J107" s="564"/>
      <c r="K107" s="564"/>
      <c r="L107" s="565">
        <v>1.1200000000000001</v>
      </c>
      <c r="M107" s="566">
        <v>1.81</v>
      </c>
      <c r="N107" s="567">
        <v>0.46</v>
      </c>
      <c r="O107" s="568">
        <v>0.43</v>
      </c>
      <c r="P107" s="569">
        <v>0.28000000000000003</v>
      </c>
      <c r="Q107" s="567">
        <v>3.2</v>
      </c>
      <c r="R107" s="570"/>
      <c r="S107" s="567"/>
      <c r="T107" s="567">
        <v>0.7</v>
      </c>
    </row>
    <row r="108" spans="1:20" x14ac:dyDescent="0.2">
      <c r="A108" s="20" t="s">
        <v>1483</v>
      </c>
      <c r="B108" s="401" t="s">
        <v>1557</v>
      </c>
      <c r="C108" s="20" t="str">
        <f t="shared" ref="C108:C186" si="1">CONCATENATE(A108,B108)</f>
        <v>Cool Temperate DryCentral Africa</v>
      </c>
      <c r="D108" s="245"/>
      <c r="E108" s="257">
        <f t="shared" si="0"/>
        <v>1.2666666666666668</v>
      </c>
      <c r="F108" s="563"/>
      <c r="G108" s="564"/>
      <c r="H108" s="565">
        <v>0.87</v>
      </c>
      <c r="I108" s="564"/>
      <c r="J108" s="564"/>
      <c r="K108" s="564"/>
      <c r="L108" s="565">
        <v>1.1200000000000001</v>
      </c>
      <c r="M108" s="566">
        <v>1.81</v>
      </c>
      <c r="N108" s="55">
        <v>0.46</v>
      </c>
      <c r="O108" s="571">
        <v>0.43</v>
      </c>
      <c r="P108" s="572">
        <v>0.28000000000000003</v>
      </c>
      <c r="Q108" s="55">
        <v>3.2</v>
      </c>
      <c r="R108" s="573"/>
      <c r="S108" s="55"/>
      <c r="T108" s="55">
        <v>0.7</v>
      </c>
    </row>
    <row r="109" spans="1:20" x14ac:dyDescent="0.2">
      <c r="A109" s="20" t="s">
        <v>1483</v>
      </c>
      <c r="B109" s="401" t="s">
        <v>1559</v>
      </c>
      <c r="C109" s="20" t="str">
        <f t="shared" si="1"/>
        <v>Cool Temperate DryNorthern Africa</v>
      </c>
      <c r="D109" s="61"/>
      <c r="E109" s="257">
        <f t="shared" si="0"/>
        <v>1.2666666666666668</v>
      </c>
      <c r="F109" s="563"/>
      <c r="G109" s="564"/>
      <c r="H109" s="565">
        <v>0.87</v>
      </c>
      <c r="I109" s="564"/>
      <c r="J109" s="564"/>
      <c r="K109" s="564"/>
      <c r="L109" s="565">
        <v>1.1200000000000001</v>
      </c>
      <c r="M109" s="566">
        <v>1.81</v>
      </c>
      <c r="N109" s="55">
        <v>0.46</v>
      </c>
      <c r="O109" s="571">
        <v>0.43</v>
      </c>
      <c r="P109" s="572">
        <v>0.28000000000000003</v>
      </c>
      <c r="Q109" s="55">
        <v>3.2</v>
      </c>
      <c r="R109" s="573"/>
      <c r="S109" s="55"/>
      <c r="T109" s="55">
        <v>0.7</v>
      </c>
    </row>
    <row r="110" spans="1:20" x14ac:dyDescent="0.2">
      <c r="A110" s="20" t="s">
        <v>1483</v>
      </c>
      <c r="B110" s="401" t="s">
        <v>1565</v>
      </c>
      <c r="C110" s="20" t="str">
        <f t="shared" si="1"/>
        <v>Cool Temperate DrySouthern Africa</v>
      </c>
      <c r="D110" s="61"/>
      <c r="E110" s="257">
        <f t="shared" si="0"/>
        <v>1.2666666666666668</v>
      </c>
      <c r="F110" s="563"/>
      <c r="G110" s="564"/>
      <c r="H110" s="565">
        <v>0.87</v>
      </c>
      <c r="I110" s="564"/>
      <c r="J110" s="564"/>
      <c r="K110" s="564"/>
      <c r="L110" s="565">
        <v>1.1200000000000001</v>
      </c>
      <c r="M110" s="566">
        <v>1.81</v>
      </c>
      <c r="N110" s="55">
        <v>0.46</v>
      </c>
      <c r="O110" s="571">
        <v>0.43</v>
      </c>
      <c r="P110" s="572">
        <v>0.28000000000000003</v>
      </c>
      <c r="Q110" s="55">
        <v>3.2</v>
      </c>
      <c r="R110" s="573"/>
      <c r="S110" s="55"/>
      <c r="T110" s="55">
        <v>0.7</v>
      </c>
    </row>
    <row r="111" spans="1:20" x14ac:dyDescent="0.2">
      <c r="A111" s="20" t="s">
        <v>1483</v>
      </c>
      <c r="B111" s="401" t="s">
        <v>1569</v>
      </c>
      <c r="C111" s="20" t="str">
        <f t="shared" si="1"/>
        <v>Cool Temperate DryWestern Africa</v>
      </c>
      <c r="D111" s="61"/>
      <c r="E111" s="257">
        <f t="shared" si="0"/>
        <v>1.2666666666666668</v>
      </c>
      <c r="F111" s="563"/>
      <c r="G111" s="564"/>
      <c r="H111" s="565">
        <v>0.87</v>
      </c>
      <c r="I111" s="564"/>
      <c r="J111" s="564"/>
      <c r="K111" s="564"/>
      <c r="L111" s="565">
        <v>1.1200000000000001</v>
      </c>
      <c r="M111" s="566">
        <v>1.81</v>
      </c>
      <c r="N111" s="55">
        <v>0.46</v>
      </c>
      <c r="O111" s="571">
        <v>0.43</v>
      </c>
      <c r="P111" s="572">
        <v>0.28000000000000003</v>
      </c>
      <c r="Q111" s="55">
        <v>3.2</v>
      </c>
      <c r="R111" s="573"/>
      <c r="S111" s="55"/>
      <c r="T111" s="55">
        <v>0.7</v>
      </c>
    </row>
    <row r="112" spans="1:20" x14ac:dyDescent="0.2">
      <c r="A112" s="20" t="s">
        <v>1483</v>
      </c>
      <c r="B112" s="401" t="s">
        <v>1550</v>
      </c>
      <c r="C112" s="20" t="str">
        <f t="shared" si="1"/>
        <v>Cool Temperate DryCentral Asia</v>
      </c>
      <c r="D112" s="61"/>
      <c r="E112" s="257">
        <f t="shared" si="0"/>
        <v>1.8833333333333335</v>
      </c>
      <c r="F112" s="563"/>
      <c r="G112" s="564"/>
      <c r="H112" s="565">
        <v>0.87</v>
      </c>
      <c r="I112" s="564"/>
      <c r="J112" s="564"/>
      <c r="K112" s="564"/>
      <c r="L112" s="564">
        <v>2.97</v>
      </c>
      <c r="M112" s="566">
        <v>1.81</v>
      </c>
      <c r="N112" s="55">
        <v>0.46</v>
      </c>
      <c r="O112" s="571">
        <v>0.43</v>
      </c>
      <c r="P112" s="572">
        <v>0.28000000000000003</v>
      </c>
      <c r="Q112" s="55">
        <v>3.2</v>
      </c>
      <c r="R112" s="573"/>
      <c r="S112" s="55"/>
      <c r="T112" s="55">
        <v>0.7</v>
      </c>
    </row>
    <row r="113" spans="1:20" x14ac:dyDescent="0.2">
      <c r="A113" s="20" t="s">
        <v>1483</v>
      </c>
      <c r="B113" s="401" t="s">
        <v>1554</v>
      </c>
      <c r="C113" s="20" t="str">
        <f t="shared" si="1"/>
        <v>Cool Temperate DryEastern Asia</v>
      </c>
      <c r="D113" s="61"/>
      <c r="E113" s="257">
        <f t="shared" ref="E113:E122" si="2">AVERAGE(F113:M113)</f>
        <v>1.8833333333333335</v>
      </c>
      <c r="F113" s="563"/>
      <c r="G113" s="564"/>
      <c r="H113" s="565">
        <v>0.87</v>
      </c>
      <c r="I113" s="564"/>
      <c r="J113" s="564"/>
      <c r="K113" s="564"/>
      <c r="L113" s="564">
        <v>2.97</v>
      </c>
      <c r="M113" s="566">
        <v>1.81</v>
      </c>
      <c r="N113" s="55">
        <v>0.46</v>
      </c>
      <c r="O113" s="571">
        <v>0.43</v>
      </c>
      <c r="P113" s="572">
        <v>0.28000000000000003</v>
      </c>
      <c r="Q113" s="55">
        <v>3.2</v>
      </c>
      <c r="R113" s="573"/>
      <c r="S113" s="55"/>
      <c r="T113" s="55">
        <v>0.7</v>
      </c>
    </row>
    <row r="114" spans="1:20" x14ac:dyDescent="0.2">
      <c r="A114" s="20" t="s">
        <v>1483</v>
      </c>
      <c r="B114" s="401" t="s">
        <v>1563</v>
      </c>
      <c r="C114" s="20" t="str">
        <f t="shared" si="1"/>
        <v>Cool Temperate DrySouth-eastern Asia</v>
      </c>
      <c r="D114" s="61"/>
      <c r="E114" s="257">
        <f>AVERAGE(F114:M114)</f>
        <v>1.8833333333333335</v>
      </c>
      <c r="F114" s="563"/>
      <c r="G114" s="564"/>
      <c r="H114" s="565">
        <v>0.87</v>
      </c>
      <c r="I114" s="564"/>
      <c r="J114" s="564"/>
      <c r="K114" s="564"/>
      <c r="L114" s="564">
        <v>2.97</v>
      </c>
      <c r="M114" s="566">
        <v>1.81</v>
      </c>
      <c r="N114" s="55">
        <v>0.46</v>
      </c>
      <c r="O114" s="571">
        <v>0.43</v>
      </c>
      <c r="P114" s="572">
        <v>0.28000000000000003</v>
      </c>
      <c r="Q114" s="55">
        <v>3.2</v>
      </c>
      <c r="R114" s="573"/>
      <c r="S114" s="55"/>
      <c r="T114" s="55">
        <v>0.7</v>
      </c>
    </row>
    <row r="115" spans="1:20" x14ac:dyDescent="0.2">
      <c r="A115" s="20" t="s">
        <v>1483</v>
      </c>
      <c r="B115" s="401" t="s">
        <v>1567</v>
      </c>
      <c r="C115" s="20" t="str">
        <f t="shared" si="1"/>
        <v>Cool Temperate DrySouthern Asia</v>
      </c>
      <c r="D115" s="61"/>
      <c r="E115" s="257">
        <f t="shared" si="2"/>
        <v>1.8833333333333335</v>
      </c>
      <c r="F115" s="563"/>
      <c r="G115" s="564"/>
      <c r="H115" s="565">
        <v>0.87</v>
      </c>
      <c r="I115" s="564"/>
      <c r="J115" s="564"/>
      <c r="K115" s="564"/>
      <c r="L115" s="564">
        <v>2.97</v>
      </c>
      <c r="M115" s="566">
        <v>1.81</v>
      </c>
      <c r="N115" s="55">
        <v>0.46</v>
      </c>
      <c r="O115" s="571">
        <v>0.43</v>
      </c>
      <c r="P115" s="572">
        <v>0.28000000000000003</v>
      </c>
      <c r="Q115" s="55">
        <v>3.2</v>
      </c>
      <c r="R115" s="573"/>
      <c r="S115" s="55"/>
      <c r="T115" s="55">
        <v>0.7</v>
      </c>
    </row>
    <row r="116" spans="1:20" x14ac:dyDescent="0.2">
      <c r="A116" s="20" t="s">
        <v>1483</v>
      </c>
      <c r="B116" s="401" t="s">
        <v>1571</v>
      </c>
      <c r="C116" s="20" t="str">
        <f t="shared" si="1"/>
        <v>Cool Temperate DryWestern Asia</v>
      </c>
      <c r="D116" s="61"/>
      <c r="E116" s="257">
        <f>AVERAGE(F116:M116)</f>
        <v>1.8833333333333335</v>
      </c>
      <c r="F116" s="563"/>
      <c r="G116" s="564"/>
      <c r="H116" s="565">
        <v>0.87</v>
      </c>
      <c r="I116" s="564"/>
      <c r="J116" s="564"/>
      <c r="K116" s="564"/>
      <c r="L116" s="564">
        <v>2.97</v>
      </c>
      <c r="M116" s="566">
        <v>1.81</v>
      </c>
      <c r="N116" s="55">
        <v>0.46</v>
      </c>
      <c r="O116" s="571">
        <v>0.43</v>
      </c>
      <c r="P116" s="572">
        <v>0.28000000000000003</v>
      </c>
      <c r="Q116" s="55">
        <v>3.2</v>
      </c>
      <c r="R116" s="573"/>
      <c r="S116" s="55"/>
      <c r="T116" s="55">
        <v>0.7</v>
      </c>
    </row>
    <row r="117" spans="1:20" x14ac:dyDescent="0.2">
      <c r="A117" s="20" t="s">
        <v>1483</v>
      </c>
      <c r="B117" s="401" t="s">
        <v>1555</v>
      </c>
      <c r="C117" s="20" t="str">
        <f t="shared" si="1"/>
        <v>Cool Temperate DryEurope</v>
      </c>
      <c r="D117" s="61"/>
      <c r="E117" s="257">
        <f>AVERAGE(F117:M117)</f>
        <v>1.3866666666666667</v>
      </c>
      <c r="F117" s="563"/>
      <c r="G117" s="564"/>
      <c r="H117" s="565">
        <v>0.87</v>
      </c>
      <c r="I117" s="564"/>
      <c r="J117" s="564"/>
      <c r="K117" s="564"/>
      <c r="L117" s="565">
        <v>1.1200000000000001</v>
      </c>
      <c r="M117" s="574">
        <v>2.17</v>
      </c>
      <c r="N117" s="55">
        <v>0.46</v>
      </c>
      <c r="O117" s="571">
        <v>0.43</v>
      </c>
      <c r="P117" s="572">
        <v>0.28000000000000003</v>
      </c>
      <c r="Q117" s="55">
        <v>3.2</v>
      </c>
      <c r="R117" s="573"/>
      <c r="S117" s="55"/>
      <c r="T117" s="55">
        <v>0.7</v>
      </c>
    </row>
    <row r="118" spans="1:20" x14ac:dyDescent="0.2">
      <c r="A118" s="20" t="s">
        <v>1483</v>
      </c>
      <c r="B118" s="401" t="s">
        <v>1346</v>
      </c>
      <c r="C118" s="20" t="str">
        <f t="shared" si="1"/>
        <v>Cool Temperate DryOceania</v>
      </c>
      <c r="D118" s="61"/>
      <c r="E118" s="257">
        <f>AVERAGE(F118:M118)</f>
        <v>1.2666666666666668</v>
      </c>
      <c r="F118" s="563"/>
      <c r="G118" s="564"/>
      <c r="H118" s="565">
        <v>0.87</v>
      </c>
      <c r="I118" s="564"/>
      <c r="J118" s="564"/>
      <c r="K118" s="564"/>
      <c r="L118" s="565">
        <v>1.1200000000000001</v>
      </c>
      <c r="M118" s="566">
        <v>1.81</v>
      </c>
      <c r="N118" s="55">
        <v>0.46</v>
      </c>
      <c r="O118" s="571">
        <v>0.43</v>
      </c>
      <c r="P118" s="572">
        <v>0.28000000000000003</v>
      </c>
      <c r="Q118" s="55">
        <v>3.2</v>
      </c>
      <c r="R118" s="573"/>
      <c r="S118" s="55"/>
      <c r="T118" s="55">
        <v>0.7</v>
      </c>
    </row>
    <row r="119" spans="1:20" x14ac:dyDescent="0.2">
      <c r="A119" s="20" t="s">
        <v>1483</v>
      </c>
      <c r="B119" s="401" t="s">
        <v>1343</v>
      </c>
      <c r="C119" s="20" t="str">
        <f t="shared" si="1"/>
        <v>Cool Temperate DryNorth America</v>
      </c>
      <c r="D119" s="61"/>
      <c r="E119" s="257">
        <f>AVERAGE(F119:M119)</f>
        <v>0.80999999999999994</v>
      </c>
      <c r="F119" s="563"/>
      <c r="G119" s="564"/>
      <c r="H119" s="575">
        <v>0.87</v>
      </c>
      <c r="I119" s="564"/>
      <c r="J119" s="564"/>
      <c r="K119" s="564"/>
      <c r="L119" s="564">
        <v>0.59</v>
      </c>
      <c r="M119" s="574">
        <v>0.97</v>
      </c>
      <c r="N119" s="55">
        <v>0.46</v>
      </c>
      <c r="O119" s="571">
        <v>0.43</v>
      </c>
      <c r="P119" s="572">
        <v>0.28000000000000003</v>
      </c>
      <c r="Q119" s="55">
        <v>3.2</v>
      </c>
      <c r="R119" s="573"/>
      <c r="S119" s="55"/>
      <c r="T119" s="55">
        <v>0.7</v>
      </c>
    </row>
    <row r="120" spans="1:20" x14ac:dyDescent="0.2">
      <c r="A120" s="20" t="s">
        <v>1483</v>
      </c>
      <c r="B120" s="401" t="s">
        <v>1349</v>
      </c>
      <c r="C120" s="20" t="str">
        <f t="shared" si="1"/>
        <v>Cool Temperate DrySouth America</v>
      </c>
      <c r="D120" s="61"/>
      <c r="E120" s="257">
        <f t="shared" si="2"/>
        <v>1.0566666666666666</v>
      </c>
      <c r="F120" s="563"/>
      <c r="G120" s="564"/>
      <c r="H120" s="565">
        <v>0.87</v>
      </c>
      <c r="I120" s="564"/>
      <c r="J120" s="564"/>
      <c r="K120" s="564"/>
      <c r="L120" s="565">
        <v>1.1200000000000001</v>
      </c>
      <c r="M120" s="574">
        <v>1.18</v>
      </c>
      <c r="N120" s="55">
        <v>0.46</v>
      </c>
      <c r="O120" s="571">
        <v>0.43</v>
      </c>
      <c r="P120" s="572">
        <v>0.28000000000000003</v>
      </c>
      <c r="Q120" s="55">
        <v>3.2</v>
      </c>
      <c r="R120" s="573"/>
      <c r="S120" s="55"/>
      <c r="T120" s="55">
        <v>0.7</v>
      </c>
    </row>
    <row r="121" spans="1:20" x14ac:dyDescent="0.2">
      <c r="A121" s="20" t="s">
        <v>1483</v>
      </c>
      <c r="B121" s="401" t="s">
        <v>1333</v>
      </c>
      <c r="C121" s="20" t="str">
        <f t="shared" si="1"/>
        <v>Cool Temperate DryCentral America</v>
      </c>
      <c r="D121" s="61"/>
      <c r="E121" s="257">
        <f t="shared" si="2"/>
        <v>1.0566666666666666</v>
      </c>
      <c r="F121" s="563"/>
      <c r="G121" s="564"/>
      <c r="H121" s="565">
        <v>0.87</v>
      </c>
      <c r="I121" s="564"/>
      <c r="J121" s="564"/>
      <c r="K121" s="564"/>
      <c r="L121" s="565">
        <v>1.1200000000000001</v>
      </c>
      <c r="M121" s="574">
        <v>1.18</v>
      </c>
      <c r="N121" s="55">
        <v>0.46</v>
      </c>
      <c r="O121" s="571">
        <v>0.43</v>
      </c>
      <c r="P121" s="572">
        <v>0.28000000000000003</v>
      </c>
      <c r="Q121" s="55">
        <v>3.2</v>
      </c>
      <c r="R121" s="573"/>
      <c r="S121" s="55"/>
      <c r="T121" s="55">
        <v>0.7</v>
      </c>
    </row>
    <row r="122" spans="1:20" x14ac:dyDescent="0.2">
      <c r="A122" s="37" t="s">
        <v>1483</v>
      </c>
      <c r="B122" s="402" t="s">
        <v>1547</v>
      </c>
      <c r="C122" s="20" t="str">
        <f t="shared" si="1"/>
        <v>Cool Temperate DryCaribbean</v>
      </c>
      <c r="D122" s="60"/>
      <c r="E122" s="258">
        <f t="shared" si="2"/>
        <v>1.0566666666666666</v>
      </c>
      <c r="F122" s="576"/>
      <c r="G122" s="577"/>
      <c r="H122" s="565">
        <v>0.87</v>
      </c>
      <c r="I122" s="577"/>
      <c r="J122" s="577"/>
      <c r="K122" s="577"/>
      <c r="L122" s="578">
        <v>1.1200000000000001</v>
      </c>
      <c r="M122" s="574">
        <v>1.18</v>
      </c>
      <c r="N122" s="579">
        <v>0.46</v>
      </c>
      <c r="O122" s="580">
        <v>0.43</v>
      </c>
      <c r="P122" s="420">
        <v>0.28000000000000003</v>
      </c>
      <c r="Q122" s="579">
        <v>3.2</v>
      </c>
      <c r="R122" s="581"/>
      <c r="S122" s="579"/>
      <c r="T122" s="55">
        <v>0.7</v>
      </c>
    </row>
    <row r="123" spans="1:20" x14ac:dyDescent="0.2">
      <c r="A123" s="20" t="s">
        <v>1484</v>
      </c>
      <c r="B123" s="403" t="s">
        <v>1552</v>
      </c>
      <c r="C123" s="63" t="str">
        <f>CONCATENATE(A123,B123)</f>
        <v>Cool Temperate MoistEastern Africa</v>
      </c>
      <c r="D123" s="61"/>
      <c r="E123" s="256">
        <f t="shared" ref="E123:E128" si="3">AVERAGE(F123:M123)</f>
        <v>1.2666666666666668</v>
      </c>
      <c r="F123" s="563"/>
      <c r="G123" s="564"/>
      <c r="H123" s="582">
        <v>0.87</v>
      </c>
      <c r="I123" s="564"/>
      <c r="J123" s="564"/>
      <c r="K123" s="564"/>
      <c r="L123" s="565">
        <v>1.1200000000000001</v>
      </c>
      <c r="M123" s="582">
        <v>1.81</v>
      </c>
      <c r="N123" s="567">
        <v>0.46</v>
      </c>
      <c r="O123" s="568">
        <v>0.43</v>
      </c>
      <c r="P123" s="569">
        <v>0.28000000000000003</v>
      </c>
      <c r="Q123" s="567">
        <v>3.2</v>
      </c>
      <c r="R123" s="570"/>
      <c r="S123" s="567"/>
      <c r="T123" s="567">
        <v>0.7</v>
      </c>
    </row>
    <row r="124" spans="1:20" x14ac:dyDescent="0.2">
      <c r="A124" s="20" t="s">
        <v>1484</v>
      </c>
      <c r="B124" s="403" t="s">
        <v>1557</v>
      </c>
      <c r="C124" s="20" t="str">
        <f t="shared" si="1"/>
        <v>Cool Temperate MoistCentral Africa</v>
      </c>
      <c r="D124" s="245"/>
      <c r="E124" s="257">
        <f t="shared" si="3"/>
        <v>1.2666666666666668</v>
      </c>
      <c r="F124" s="563"/>
      <c r="G124" s="564"/>
      <c r="H124" s="565">
        <v>0.87</v>
      </c>
      <c r="I124" s="564"/>
      <c r="J124" s="564"/>
      <c r="K124" s="564"/>
      <c r="L124" s="565">
        <v>1.1200000000000001</v>
      </c>
      <c r="M124" s="565">
        <v>1.81</v>
      </c>
      <c r="N124" s="55">
        <v>0.46</v>
      </c>
      <c r="O124" s="571">
        <v>0.43</v>
      </c>
      <c r="P124" s="572">
        <v>0.28000000000000003</v>
      </c>
      <c r="Q124" s="55">
        <v>3.2</v>
      </c>
      <c r="R124" s="573"/>
      <c r="S124" s="55"/>
      <c r="T124" s="55">
        <v>0.7</v>
      </c>
    </row>
    <row r="125" spans="1:20" x14ac:dyDescent="0.2">
      <c r="A125" s="20" t="s">
        <v>1484</v>
      </c>
      <c r="B125" s="403" t="s">
        <v>1559</v>
      </c>
      <c r="C125" s="20" t="str">
        <f t="shared" si="1"/>
        <v>Cool Temperate MoistNorthern Africa</v>
      </c>
      <c r="D125" s="61"/>
      <c r="E125" s="257">
        <f t="shared" si="3"/>
        <v>1.2666666666666668</v>
      </c>
      <c r="F125" s="563"/>
      <c r="G125" s="564"/>
      <c r="H125" s="565">
        <v>0.87</v>
      </c>
      <c r="I125" s="564"/>
      <c r="J125" s="564"/>
      <c r="K125" s="564"/>
      <c r="L125" s="565">
        <v>1.1200000000000001</v>
      </c>
      <c r="M125" s="565">
        <v>1.81</v>
      </c>
      <c r="N125" s="55">
        <v>0.46</v>
      </c>
      <c r="O125" s="571">
        <v>0.43</v>
      </c>
      <c r="P125" s="572">
        <v>0.28000000000000003</v>
      </c>
      <c r="Q125" s="55">
        <v>3.2</v>
      </c>
      <c r="R125" s="573"/>
      <c r="S125" s="55"/>
      <c r="T125" s="55">
        <v>0.7</v>
      </c>
    </row>
    <row r="126" spans="1:20" x14ac:dyDescent="0.2">
      <c r="A126" s="20" t="s">
        <v>1484</v>
      </c>
      <c r="B126" s="403" t="s">
        <v>1565</v>
      </c>
      <c r="C126" s="20" t="str">
        <f t="shared" si="1"/>
        <v>Cool Temperate MoistSouthern Africa</v>
      </c>
      <c r="D126" s="61"/>
      <c r="E126" s="257">
        <f t="shared" si="3"/>
        <v>1.2666666666666668</v>
      </c>
      <c r="F126" s="563"/>
      <c r="G126" s="564"/>
      <c r="H126" s="565">
        <v>0.87</v>
      </c>
      <c r="I126" s="564"/>
      <c r="J126" s="564"/>
      <c r="K126" s="564"/>
      <c r="L126" s="565">
        <v>1.1200000000000001</v>
      </c>
      <c r="M126" s="565">
        <v>1.81</v>
      </c>
      <c r="N126" s="55">
        <v>0.46</v>
      </c>
      <c r="O126" s="571">
        <v>0.43</v>
      </c>
      <c r="P126" s="572">
        <v>0.28000000000000003</v>
      </c>
      <c r="Q126" s="55">
        <v>3.2</v>
      </c>
      <c r="R126" s="573"/>
      <c r="S126" s="55"/>
      <c r="T126" s="55">
        <v>0.7</v>
      </c>
    </row>
    <row r="127" spans="1:20" x14ac:dyDescent="0.2">
      <c r="A127" s="20" t="s">
        <v>1484</v>
      </c>
      <c r="B127" s="403" t="s">
        <v>1569</v>
      </c>
      <c r="C127" s="20" t="str">
        <f t="shared" si="1"/>
        <v>Cool Temperate MoistWestern Africa</v>
      </c>
      <c r="D127" s="61"/>
      <c r="E127" s="257">
        <f t="shared" si="3"/>
        <v>1.2666666666666668</v>
      </c>
      <c r="F127" s="563"/>
      <c r="G127" s="564"/>
      <c r="H127" s="565">
        <v>0.87</v>
      </c>
      <c r="I127" s="564"/>
      <c r="J127" s="564"/>
      <c r="K127" s="564"/>
      <c r="L127" s="565">
        <v>1.1200000000000001</v>
      </c>
      <c r="M127" s="565">
        <v>1.81</v>
      </c>
      <c r="N127" s="55">
        <v>0.46</v>
      </c>
      <c r="O127" s="571">
        <v>0.43</v>
      </c>
      <c r="P127" s="572">
        <v>0.28000000000000003</v>
      </c>
      <c r="Q127" s="55">
        <v>3.2</v>
      </c>
      <c r="R127" s="573"/>
      <c r="S127" s="55"/>
      <c r="T127" s="55">
        <v>0.7</v>
      </c>
    </row>
    <row r="128" spans="1:20" x14ac:dyDescent="0.2">
      <c r="A128" s="20" t="s">
        <v>1484</v>
      </c>
      <c r="B128" s="403" t="s">
        <v>1550</v>
      </c>
      <c r="C128" s="20" t="str">
        <f t="shared" si="1"/>
        <v>Cool Temperate MoistCentral Asia</v>
      </c>
      <c r="D128" s="61"/>
      <c r="E128" s="257">
        <f t="shared" si="3"/>
        <v>1.8833333333333335</v>
      </c>
      <c r="F128" s="563"/>
      <c r="G128" s="564"/>
      <c r="H128" s="565">
        <v>0.87</v>
      </c>
      <c r="I128" s="564"/>
      <c r="J128" s="564"/>
      <c r="K128" s="564"/>
      <c r="L128" s="564">
        <v>2.97</v>
      </c>
      <c r="M128" s="565">
        <v>1.81</v>
      </c>
      <c r="N128" s="55">
        <v>0.46</v>
      </c>
      <c r="O128" s="571">
        <v>0.43</v>
      </c>
      <c r="P128" s="572">
        <v>0.28000000000000003</v>
      </c>
      <c r="Q128" s="55">
        <v>3.2</v>
      </c>
      <c r="R128" s="573"/>
      <c r="S128" s="55"/>
      <c r="T128" s="55">
        <v>0.7</v>
      </c>
    </row>
    <row r="129" spans="1:20" x14ac:dyDescent="0.2">
      <c r="A129" s="20" t="s">
        <v>1484</v>
      </c>
      <c r="B129" s="403" t="s">
        <v>1554</v>
      </c>
      <c r="C129" s="20" t="str">
        <f t="shared" si="1"/>
        <v>Cool Temperate MoistEastern Asia</v>
      </c>
      <c r="D129" s="61"/>
      <c r="E129" s="257">
        <f t="shared" ref="E129:E138" si="4">AVERAGE(F129:M129)</f>
        <v>1.8833333333333335</v>
      </c>
      <c r="F129" s="563"/>
      <c r="G129" s="564"/>
      <c r="H129" s="565">
        <v>0.87</v>
      </c>
      <c r="I129" s="564"/>
      <c r="J129" s="564"/>
      <c r="K129" s="564"/>
      <c r="L129" s="564">
        <v>2.97</v>
      </c>
      <c r="M129" s="565">
        <v>1.81</v>
      </c>
      <c r="N129" s="55">
        <v>0.46</v>
      </c>
      <c r="O129" s="571">
        <v>0.43</v>
      </c>
      <c r="P129" s="572">
        <v>0.28000000000000003</v>
      </c>
      <c r="Q129" s="55">
        <v>3.2</v>
      </c>
      <c r="R129" s="573"/>
      <c r="S129" s="55"/>
      <c r="T129" s="55">
        <v>0.7</v>
      </c>
    </row>
    <row r="130" spans="1:20" x14ac:dyDescent="0.2">
      <c r="A130" s="20" t="s">
        <v>1484</v>
      </c>
      <c r="B130" s="403" t="s">
        <v>1563</v>
      </c>
      <c r="C130" s="20" t="str">
        <f t="shared" si="1"/>
        <v>Cool Temperate MoistSouth-eastern Asia</v>
      </c>
      <c r="D130" s="61"/>
      <c r="E130" s="257">
        <f t="shared" si="4"/>
        <v>1.8833333333333335</v>
      </c>
      <c r="F130" s="563"/>
      <c r="G130" s="564"/>
      <c r="H130" s="565">
        <v>0.87</v>
      </c>
      <c r="I130" s="564"/>
      <c r="J130" s="564"/>
      <c r="K130" s="564"/>
      <c r="L130" s="564">
        <v>2.97</v>
      </c>
      <c r="M130" s="565">
        <v>1.81</v>
      </c>
      <c r="N130" s="55">
        <v>0.46</v>
      </c>
      <c r="O130" s="571">
        <v>0.43</v>
      </c>
      <c r="P130" s="572">
        <v>0.28000000000000003</v>
      </c>
      <c r="Q130" s="55">
        <v>3.2</v>
      </c>
      <c r="R130" s="573"/>
      <c r="S130" s="55"/>
      <c r="T130" s="55">
        <v>0.7</v>
      </c>
    </row>
    <row r="131" spans="1:20" x14ac:dyDescent="0.2">
      <c r="A131" s="20" t="s">
        <v>1484</v>
      </c>
      <c r="B131" s="403" t="s">
        <v>1567</v>
      </c>
      <c r="C131" s="20" t="str">
        <f t="shared" si="1"/>
        <v>Cool Temperate MoistSouthern Asia</v>
      </c>
      <c r="D131" s="61"/>
      <c r="E131" s="257">
        <f t="shared" si="4"/>
        <v>1.8833333333333335</v>
      </c>
      <c r="F131" s="563"/>
      <c r="G131" s="564"/>
      <c r="H131" s="565">
        <v>0.87</v>
      </c>
      <c r="I131" s="564"/>
      <c r="J131" s="564"/>
      <c r="K131" s="564"/>
      <c r="L131" s="564">
        <v>2.97</v>
      </c>
      <c r="M131" s="565">
        <v>1.81</v>
      </c>
      <c r="N131" s="55">
        <v>0.46</v>
      </c>
      <c r="O131" s="571">
        <v>0.43</v>
      </c>
      <c r="P131" s="572">
        <v>0.28000000000000003</v>
      </c>
      <c r="Q131" s="55">
        <v>3.2</v>
      </c>
      <c r="R131" s="573"/>
      <c r="S131" s="55"/>
      <c r="T131" s="55">
        <v>0.7</v>
      </c>
    </row>
    <row r="132" spans="1:20" x14ac:dyDescent="0.2">
      <c r="A132" s="20" t="s">
        <v>1484</v>
      </c>
      <c r="B132" s="403" t="s">
        <v>1571</v>
      </c>
      <c r="C132" s="20" t="str">
        <f t="shared" si="1"/>
        <v>Cool Temperate MoistWestern Asia</v>
      </c>
      <c r="D132" s="61"/>
      <c r="E132" s="257">
        <f t="shared" si="4"/>
        <v>1.8833333333333335</v>
      </c>
      <c r="F132" s="563"/>
      <c r="G132" s="564"/>
      <c r="H132" s="565">
        <v>0.87</v>
      </c>
      <c r="I132" s="564"/>
      <c r="J132" s="564"/>
      <c r="K132" s="564"/>
      <c r="L132" s="564">
        <v>2.97</v>
      </c>
      <c r="M132" s="565">
        <v>1.81</v>
      </c>
      <c r="N132" s="55">
        <v>0.46</v>
      </c>
      <c r="O132" s="571">
        <v>0.43</v>
      </c>
      <c r="P132" s="572">
        <v>0.28000000000000003</v>
      </c>
      <c r="Q132" s="55">
        <v>3.2</v>
      </c>
      <c r="R132" s="573"/>
      <c r="S132" s="55"/>
      <c r="T132" s="55">
        <v>0.7</v>
      </c>
    </row>
    <row r="133" spans="1:20" x14ac:dyDescent="0.2">
      <c r="A133" s="20" t="s">
        <v>1484</v>
      </c>
      <c r="B133" s="403" t="s">
        <v>1555</v>
      </c>
      <c r="C133" s="20" t="str">
        <f t="shared" si="1"/>
        <v>Cool Temperate MoistEurope</v>
      </c>
      <c r="D133" s="61"/>
      <c r="E133" s="257">
        <f t="shared" si="4"/>
        <v>1.3866666666666667</v>
      </c>
      <c r="F133" s="563"/>
      <c r="G133" s="564"/>
      <c r="H133" s="565">
        <v>0.87</v>
      </c>
      <c r="I133" s="564"/>
      <c r="J133" s="564"/>
      <c r="K133" s="564"/>
      <c r="L133" s="565">
        <v>1.1200000000000001</v>
      </c>
      <c r="M133" s="564">
        <v>2.17</v>
      </c>
      <c r="N133" s="55">
        <v>0.46</v>
      </c>
      <c r="O133" s="571">
        <v>0.43</v>
      </c>
      <c r="P133" s="572">
        <v>0.28000000000000003</v>
      </c>
      <c r="Q133" s="55">
        <v>3.2</v>
      </c>
      <c r="R133" s="573"/>
      <c r="S133" s="55"/>
      <c r="T133" s="55">
        <v>0.7</v>
      </c>
    </row>
    <row r="134" spans="1:20" x14ac:dyDescent="0.2">
      <c r="A134" s="20" t="s">
        <v>1484</v>
      </c>
      <c r="B134" s="403" t="s">
        <v>1346</v>
      </c>
      <c r="C134" s="20" t="str">
        <f t="shared" si="1"/>
        <v>Cool Temperate MoistOceania</v>
      </c>
      <c r="D134" s="61"/>
      <c r="E134" s="257">
        <f t="shared" si="4"/>
        <v>1.2666666666666668</v>
      </c>
      <c r="F134" s="563"/>
      <c r="G134" s="564"/>
      <c r="H134" s="565">
        <v>0.87</v>
      </c>
      <c r="I134" s="564"/>
      <c r="J134" s="564"/>
      <c r="K134" s="564"/>
      <c r="L134" s="565">
        <v>1.1200000000000001</v>
      </c>
      <c r="M134" s="565">
        <v>1.81</v>
      </c>
      <c r="N134" s="55">
        <v>0.46</v>
      </c>
      <c r="O134" s="571">
        <v>0.43</v>
      </c>
      <c r="P134" s="572">
        <v>0.28000000000000003</v>
      </c>
      <c r="Q134" s="55">
        <v>3.2</v>
      </c>
      <c r="R134" s="573"/>
      <c r="S134" s="55"/>
      <c r="T134" s="55">
        <v>0.7</v>
      </c>
    </row>
    <row r="135" spans="1:20" x14ac:dyDescent="0.2">
      <c r="A135" s="20" t="s">
        <v>1484</v>
      </c>
      <c r="B135" s="403" t="s">
        <v>1343</v>
      </c>
      <c r="C135" s="20" t="str">
        <f t="shared" si="1"/>
        <v>Cool Temperate MoistNorth America</v>
      </c>
      <c r="D135" s="61"/>
      <c r="E135" s="257">
        <f t="shared" si="4"/>
        <v>0.80999999999999994</v>
      </c>
      <c r="F135" s="563"/>
      <c r="G135" s="564"/>
      <c r="H135" s="575">
        <v>0.87</v>
      </c>
      <c r="I135" s="564"/>
      <c r="J135" s="564"/>
      <c r="K135" s="564"/>
      <c r="L135" s="564">
        <v>0.59</v>
      </c>
      <c r="M135" s="564">
        <v>0.97</v>
      </c>
      <c r="N135" s="55">
        <v>0.46</v>
      </c>
      <c r="O135" s="571">
        <v>0.43</v>
      </c>
      <c r="P135" s="572">
        <v>0.28000000000000003</v>
      </c>
      <c r="Q135" s="55">
        <v>3.2</v>
      </c>
      <c r="R135" s="573"/>
      <c r="S135" s="55"/>
      <c r="T135" s="55">
        <v>0.7</v>
      </c>
    </row>
    <row r="136" spans="1:20" x14ac:dyDescent="0.2">
      <c r="A136" s="20" t="s">
        <v>1484</v>
      </c>
      <c r="B136" s="403" t="s">
        <v>1349</v>
      </c>
      <c r="C136" s="20" t="str">
        <f t="shared" si="1"/>
        <v>Cool Temperate MoistSouth America</v>
      </c>
      <c r="D136" s="61"/>
      <c r="E136" s="257">
        <f t="shared" si="4"/>
        <v>1.0566666666666666</v>
      </c>
      <c r="F136" s="563"/>
      <c r="G136" s="564"/>
      <c r="H136" s="565">
        <v>0.87</v>
      </c>
      <c r="I136" s="564"/>
      <c r="J136" s="564"/>
      <c r="K136" s="564"/>
      <c r="L136" s="565">
        <v>1.1200000000000001</v>
      </c>
      <c r="M136" s="564">
        <v>1.18</v>
      </c>
      <c r="N136" s="55">
        <v>0.46</v>
      </c>
      <c r="O136" s="571">
        <v>0.43</v>
      </c>
      <c r="P136" s="572">
        <v>0.28000000000000003</v>
      </c>
      <c r="Q136" s="55">
        <v>3.2</v>
      </c>
      <c r="R136" s="573"/>
      <c r="S136" s="55"/>
      <c r="T136" s="55">
        <v>0.7</v>
      </c>
    </row>
    <row r="137" spans="1:20" x14ac:dyDescent="0.2">
      <c r="A137" s="20" t="s">
        <v>1484</v>
      </c>
      <c r="B137" s="403" t="s">
        <v>1333</v>
      </c>
      <c r="C137" s="20" t="str">
        <f t="shared" si="1"/>
        <v>Cool Temperate MoistCentral America</v>
      </c>
      <c r="D137" s="61"/>
      <c r="E137" s="257">
        <f t="shared" si="4"/>
        <v>1.0566666666666666</v>
      </c>
      <c r="F137" s="563"/>
      <c r="G137" s="564"/>
      <c r="H137" s="565">
        <v>0.87</v>
      </c>
      <c r="I137" s="564"/>
      <c r="J137" s="564"/>
      <c r="K137" s="564"/>
      <c r="L137" s="565">
        <v>1.1200000000000001</v>
      </c>
      <c r="M137" s="564">
        <v>1.18</v>
      </c>
      <c r="N137" s="55">
        <v>0.46</v>
      </c>
      <c r="O137" s="571">
        <v>0.43</v>
      </c>
      <c r="P137" s="572">
        <v>0.28000000000000003</v>
      </c>
      <c r="Q137" s="55">
        <v>3.2</v>
      </c>
      <c r="R137" s="573"/>
      <c r="S137" s="55"/>
      <c r="T137" s="55">
        <v>0.7</v>
      </c>
    </row>
    <row r="138" spans="1:20" x14ac:dyDescent="0.2">
      <c r="A138" s="20" t="s">
        <v>1484</v>
      </c>
      <c r="B138" s="404" t="s">
        <v>1547</v>
      </c>
      <c r="C138" s="37" t="str">
        <f t="shared" si="1"/>
        <v>Cool Temperate MoistCaribbean</v>
      </c>
      <c r="D138" s="60"/>
      <c r="E138" s="258">
        <f t="shared" si="4"/>
        <v>1.0566666666666666</v>
      </c>
      <c r="F138" s="576"/>
      <c r="G138" s="577"/>
      <c r="H138" s="578">
        <v>0.87</v>
      </c>
      <c r="I138" s="577"/>
      <c r="J138" s="577"/>
      <c r="K138" s="577"/>
      <c r="L138" s="578">
        <v>1.1200000000000001</v>
      </c>
      <c r="M138" s="564">
        <v>1.18</v>
      </c>
      <c r="N138" s="579">
        <v>0.46</v>
      </c>
      <c r="O138" s="580">
        <v>0.43</v>
      </c>
      <c r="P138" s="420">
        <v>0.28000000000000003</v>
      </c>
      <c r="Q138" s="579">
        <v>3.2</v>
      </c>
      <c r="R138" s="581"/>
      <c r="S138" s="579"/>
      <c r="T138" s="55">
        <v>0.7</v>
      </c>
    </row>
    <row r="139" spans="1:20" x14ac:dyDescent="0.2">
      <c r="A139" s="63" t="s">
        <v>1485</v>
      </c>
      <c r="B139" s="405" t="s">
        <v>1552</v>
      </c>
      <c r="C139" s="20" t="str">
        <f t="shared" si="1"/>
        <v>Warm Temperate DryEastern Africa</v>
      </c>
      <c r="D139" s="61"/>
      <c r="E139" s="257">
        <f>AVERAGE(F139:M139)</f>
        <v>1.37</v>
      </c>
      <c r="F139" s="583"/>
      <c r="G139" s="584"/>
      <c r="H139" s="582">
        <v>0.87</v>
      </c>
      <c r="I139" s="585"/>
      <c r="J139" s="583"/>
      <c r="K139" s="583"/>
      <c r="L139" s="566">
        <v>0.91</v>
      </c>
      <c r="M139" s="582">
        <v>2.33</v>
      </c>
      <c r="N139" s="567">
        <v>0.46</v>
      </c>
      <c r="O139" s="568">
        <v>0.43</v>
      </c>
      <c r="P139" s="569">
        <v>0.28000000000000003</v>
      </c>
      <c r="Q139" s="567">
        <v>3.2</v>
      </c>
      <c r="R139" s="570"/>
      <c r="S139" s="567"/>
      <c r="T139" s="567">
        <v>0.7</v>
      </c>
    </row>
    <row r="140" spans="1:20" x14ac:dyDescent="0.2">
      <c r="A140" s="20" t="s">
        <v>1485</v>
      </c>
      <c r="B140" s="405" t="s">
        <v>1557</v>
      </c>
      <c r="C140" s="20" t="str">
        <f t="shared" si="1"/>
        <v>Warm Temperate DryCentral Africa</v>
      </c>
      <c r="D140" s="61"/>
      <c r="E140" s="257">
        <f>AVERAGE(F140:M140)</f>
        <v>1.37</v>
      </c>
      <c r="F140" s="564"/>
      <c r="G140" s="574"/>
      <c r="H140" s="565">
        <v>0.87</v>
      </c>
      <c r="I140" s="563"/>
      <c r="J140" s="564"/>
      <c r="K140" s="564"/>
      <c r="L140" s="566">
        <v>0.91</v>
      </c>
      <c r="M140" s="565">
        <v>2.33</v>
      </c>
      <c r="N140" s="55">
        <v>0.46</v>
      </c>
      <c r="O140" s="571">
        <v>0.43</v>
      </c>
      <c r="P140" s="572">
        <v>0.28000000000000003</v>
      </c>
      <c r="Q140" s="55">
        <v>3.2</v>
      </c>
      <c r="R140" s="573"/>
      <c r="S140" s="55"/>
      <c r="T140" s="55">
        <v>0.7</v>
      </c>
    </row>
    <row r="141" spans="1:20" x14ac:dyDescent="0.2">
      <c r="A141" s="20" t="s">
        <v>1485</v>
      </c>
      <c r="B141" s="405" t="s">
        <v>1559</v>
      </c>
      <c r="C141" s="20" t="str">
        <f t="shared" si="1"/>
        <v>Warm Temperate DryNorthern Africa</v>
      </c>
      <c r="D141" s="61"/>
      <c r="E141" s="257">
        <f>AVERAGE(F141:M141)</f>
        <v>1.37</v>
      </c>
      <c r="F141" s="564"/>
      <c r="G141" s="574"/>
      <c r="H141" s="565">
        <v>0.87</v>
      </c>
      <c r="I141" s="563"/>
      <c r="J141" s="564"/>
      <c r="K141" s="564"/>
      <c r="L141" s="566">
        <v>0.91</v>
      </c>
      <c r="M141" s="565">
        <v>2.33</v>
      </c>
      <c r="N141" s="55">
        <v>0.46</v>
      </c>
      <c r="O141" s="571">
        <v>0.43</v>
      </c>
      <c r="P141" s="572">
        <v>0.28000000000000003</v>
      </c>
      <c r="Q141" s="55">
        <v>3.2</v>
      </c>
      <c r="R141" s="573"/>
      <c r="S141" s="55"/>
      <c r="T141" s="55">
        <v>0.7</v>
      </c>
    </row>
    <row r="142" spans="1:20" x14ac:dyDescent="0.2">
      <c r="A142" s="20" t="s">
        <v>1485</v>
      </c>
      <c r="B142" s="405" t="s">
        <v>1565</v>
      </c>
      <c r="C142" s="20" t="str">
        <f t="shared" si="1"/>
        <v>Warm Temperate DrySouthern Africa</v>
      </c>
      <c r="D142" s="61"/>
      <c r="E142" s="257">
        <f t="shared" ref="E142:E148" si="5">AVERAGE(F142:M142)</f>
        <v>1.37</v>
      </c>
      <c r="F142" s="564"/>
      <c r="G142" s="574"/>
      <c r="H142" s="565">
        <v>0.87</v>
      </c>
      <c r="I142" s="563"/>
      <c r="J142" s="564"/>
      <c r="K142" s="564"/>
      <c r="L142" s="566">
        <v>0.91</v>
      </c>
      <c r="M142" s="565">
        <v>2.33</v>
      </c>
      <c r="N142" s="55">
        <v>0.46</v>
      </c>
      <c r="O142" s="571">
        <v>0.43</v>
      </c>
      <c r="P142" s="572">
        <v>0.28000000000000003</v>
      </c>
      <c r="Q142" s="55">
        <v>3.2</v>
      </c>
      <c r="R142" s="573"/>
      <c r="S142" s="55"/>
      <c r="T142" s="55">
        <v>0.7</v>
      </c>
    </row>
    <row r="143" spans="1:20" x14ac:dyDescent="0.2">
      <c r="A143" s="20" t="s">
        <v>1485</v>
      </c>
      <c r="B143" s="405" t="s">
        <v>1569</v>
      </c>
      <c r="C143" s="20" t="str">
        <f t="shared" si="1"/>
        <v>Warm Temperate DryWestern Africa</v>
      </c>
      <c r="D143" s="61"/>
      <c r="E143" s="257">
        <f t="shared" si="5"/>
        <v>1.37</v>
      </c>
      <c r="F143" s="564"/>
      <c r="G143" s="574"/>
      <c r="H143" s="565">
        <v>0.87</v>
      </c>
      <c r="I143" s="563"/>
      <c r="J143" s="564"/>
      <c r="K143" s="564"/>
      <c r="L143" s="566">
        <v>0.91</v>
      </c>
      <c r="M143" s="565">
        <v>2.33</v>
      </c>
      <c r="N143" s="55">
        <v>0.46</v>
      </c>
      <c r="O143" s="571">
        <v>0.43</v>
      </c>
      <c r="P143" s="572">
        <v>0.28000000000000003</v>
      </c>
      <c r="Q143" s="55">
        <v>3.2</v>
      </c>
      <c r="R143" s="573"/>
      <c r="S143" s="55"/>
      <c r="T143" s="55">
        <v>0.7</v>
      </c>
    </row>
    <row r="144" spans="1:20" x14ac:dyDescent="0.2">
      <c r="A144" s="20" t="s">
        <v>1485</v>
      </c>
      <c r="B144" s="405" t="s">
        <v>1550</v>
      </c>
      <c r="C144" s="20" t="str">
        <f t="shared" si="1"/>
        <v>Warm Temperate DryCentral Asia</v>
      </c>
      <c r="D144" s="61"/>
      <c r="E144" s="257">
        <f t="shared" si="5"/>
        <v>1.37</v>
      </c>
      <c r="F144" s="564"/>
      <c r="G144" s="574"/>
      <c r="H144" s="565">
        <v>0.87</v>
      </c>
      <c r="I144" s="563"/>
      <c r="J144" s="564"/>
      <c r="K144" s="564"/>
      <c r="L144" s="566">
        <v>0.91</v>
      </c>
      <c r="M144" s="565">
        <v>2.33</v>
      </c>
      <c r="N144" s="55">
        <v>0.46</v>
      </c>
      <c r="O144" s="571">
        <v>0.43</v>
      </c>
      <c r="P144" s="572">
        <v>0.28000000000000003</v>
      </c>
      <c r="Q144" s="55">
        <v>3.2</v>
      </c>
      <c r="R144" s="573"/>
      <c r="S144" s="55"/>
      <c r="T144" s="55">
        <v>0.7</v>
      </c>
    </row>
    <row r="145" spans="1:20" x14ac:dyDescent="0.2">
      <c r="A145" s="20" t="s">
        <v>1485</v>
      </c>
      <c r="B145" s="405" t="s">
        <v>1554</v>
      </c>
      <c r="C145" s="20" t="str">
        <f t="shared" si="1"/>
        <v>Warm Temperate DryEastern Asia</v>
      </c>
      <c r="D145" s="61"/>
      <c r="E145" s="257">
        <f t="shared" si="5"/>
        <v>1.37</v>
      </c>
      <c r="F145" s="564"/>
      <c r="G145" s="574"/>
      <c r="H145" s="565">
        <v>0.87</v>
      </c>
      <c r="I145" s="563"/>
      <c r="J145" s="564"/>
      <c r="K145" s="564"/>
      <c r="L145" s="566">
        <v>0.91</v>
      </c>
      <c r="M145" s="565">
        <v>2.33</v>
      </c>
      <c r="N145" s="55">
        <v>0.46</v>
      </c>
      <c r="O145" s="571">
        <v>0.43</v>
      </c>
      <c r="P145" s="572">
        <v>0.28000000000000003</v>
      </c>
      <c r="Q145" s="55">
        <v>3.2</v>
      </c>
      <c r="R145" s="573"/>
      <c r="S145" s="55"/>
      <c r="T145" s="55">
        <v>0.7</v>
      </c>
    </row>
    <row r="146" spans="1:20" x14ac:dyDescent="0.2">
      <c r="A146" s="20" t="s">
        <v>1485</v>
      </c>
      <c r="B146" s="405" t="s">
        <v>1563</v>
      </c>
      <c r="C146" s="20" t="str">
        <f t="shared" si="1"/>
        <v>Warm Temperate DrySouth-eastern Asia</v>
      </c>
      <c r="D146" s="61"/>
      <c r="E146" s="257">
        <f t="shared" si="5"/>
        <v>1.37</v>
      </c>
      <c r="F146" s="564"/>
      <c r="G146" s="574"/>
      <c r="H146" s="565">
        <v>0.87</v>
      </c>
      <c r="I146" s="563"/>
      <c r="J146" s="564"/>
      <c r="K146" s="564"/>
      <c r="L146" s="566">
        <v>0.91</v>
      </c>
      <c r="M146" s="565">
        <v>2.33</v>
      </c>
      <c r="N146" s="55">
        <v>0.46</v>
      </c>
      <c r="O146" s="571">
        <v>0.43</v>
      </c>
      <c r="P146" s="572">
        <v>0.28000000000000003</v>
      </c>
      <c r="Q146" s="55">
        <v>3.2</v>
      </c>
      <c r="R146" s="573"/>
      <c r="S146" s="55"/>
      <c r="T146" s="55">
        <v>0.7</v>
      </c>
    </row>
    <row r="147" spans="1:20" x14ac:dyDescent="0.2">
      <c r="A147" s="20" t="s">
        <v>1485</v>
      </c>
      <c r="B147" s="405" t="s">
        <v>1567</v>
      </c>
      <c r="C147" s="20" t="str">
        <f t="shared" si="1"/>
        <v>Warm Temperate DrySouthern Asia</v>
      </c>
      <c r="D147" s="61"/>
      <c r="E147" s="257">
        <f t="shared" si="5"/>
        <v>1.37</v>
      </c>
      <c r="F147" s="564"/>
      <c r="G147" s="574"/>
      <c r="H147" s="565">
        <v>0.87</v>
      </c>
      <c r="I147" s="563"/>
      <c r="J147" s="564"/>
      <c r="K147" s="564"/>
      <c r="L147" s="566">
        <v>0.91</v>
      </c>
      <c r="M147" s="565">
        <v>2.33</v>
      </c>
      <c r="N147" s="55">
        <v>0.46</v>
      </c>
      <c r="O147" s="571">
        <v>0.43</v>
      </c>
      <c r="P147" s="572">
        <v>0.28000000000000003</v>
      </c>
      <c r="Q147" s="55">
        <v>3.2</v>
      </c>
      <c r="R147" s="573"/>
      <c r="S147" s="55"/>
      <c r="T147" s="55">
        <v>0.7</v>
      </c>
    </row>
    <row r="148" spans="1:20" x14ac:dyDescent="0.2">
      <c r="A148" s="20" t="s">
        <v>1485</v>
      </c>
      <c r="B148" s="405" t="s">
        <v>1571</v>
      </c>
      <c r="C148" s="20" t="str">
        <f t="shared" si="1"/>
        <v>Warm Temperate DryWestern Asia</v>
      </c>
      <c r="D148" s="61"/>
      <c r="E148" s="257">
        <f t="shared" si="5"/>
        <v>1.37</v>
      </c>
      <c r="F148" s="564"/>
      <c r="G148" s="574"/>
      <c r="H148" s="565">
        <v>0.87</v>
      </c>
      <c r="I148" s="563"/>
      <c r="J148" s="564"/>
      <c r="K148" s="564"/>
      <c r="L148" s="566">
        <v>0.91</v>
      </c>
      <c r="M148" s="565">
        <v>2.33</v>
      </c>
      <c r="N148" s="55">
        <v>0.46</v>
      </c>
      <c r="O148" s="571">
        <v>0.43</v>
      </c>
      <c r="P148" s="572">
        <v>0.28000000000000003</v>
      </c>
      <c r="Q148" s="55">
        <v>3.2</v>
      </c>
      <c r="R148" s="573"/>
      <c r="S148" s="55"/>
      <c r="T148" s="55">
        <v>0.7</v>
      </c>
    </row>
    <row r="149" spans="1:20" x14ac:dyDescent="0.2">
      <c r="A149" s="20" t="s">
        <v>1485</v>
      </c>
      <c r="B149" s="405" t="s">
        <v>1555</v>
      </c>
      <c r="C149" s="20" t="str">
        <f t="shared" si="1"/>
        <v>Warm Temperate DryEurope</v>
      </c>
      <c r="D149" s="61"/>
      <c r="E149" s="257">
        <f t="shared" ref="E149:E157" si="6">AVERAGE(F149:M149)</f>
        <v>1.5</v>
      </c>
      <c r="F149" s="564"/>
      <c r="G149" s="574"/>
      <c r="H149" s="565">
        <v>0.87</v>
      </c>
      <c r="I149" s="563"/>
      <c r="J149" s="564"/>
      <c r="K149" s="564"/>
      <c r="L149" s="574">
        <v>0.52</v>
      </c>
      <c r="M149" s="564">
        <v>3.11</v>
      </c>
      <c r="N149" s="55">
        <v>0.46</v>
      </c>
      <c r="O149" s="571">
        <v>0.43</v>
      </c>
      <c r="P149" s="572">
        <v>0.28000000000000003</v>
      </c>
      <c r="Q149" s="55">
        <v>3.2</v>
      </c>
      <c r="R149" s="573"/>
      <c r="S149" s="55"/>
      <c r="T149" s="55">
        <v>0.7</v>
      </c>
    </row>
    <row r="150" spans="1:20" x14ac:dyDescent="0.2">
      <c r="A150" s="20" t="s">
        <v>1485</v>
      </c>
      <c r="B150" s="405" t="s">
        <v>1346</v>
      </c>
      <c r="C150" s="20" t="str">
        <f t="shared" si="1"/>
        <v>Warm Temperate DryOceania</v>
      </c>
      <c r="D150" s="61"/>
      <c r="E150" s="257">
        <f t="shared" si="6"/>
        <v>1.37</v>
      </c>
      <c r="F150" s="564"/>
      <c r="G150" s="574"/>
      <c r="H150" s="565">
        <v>0.87</v>
      </c>
      <c r="I150" s="563"/>
      <c r="J150" s="564"/>
      <c r="K150" s="564"/>
      <c r="L150" s="566">
        <v>0.91</v>
      </c>
      <c r="M150" s="565">
        <v>2.33</v>
      </c>
      <c r="N150" s="55">
        <v>0.46</v>
      </c>
      <c r="O150" s="571">
        <v>0.43</v>
      </c>
      <c r="P150" s="572">
        <v>0.28000000000000003</v>
      </c>
      <c r="Q150" s="55">
        <v>3.2</v>
      </c>
      <c r="R150" s="573"/>
      <c r="S150" s="55"/>
      <c r="T150" s="55">
        <v>0.7</v>
      </c>
    </row>
    <row r="151" spans="1:20" x14ac:dyDescent="0.2">
      <c r="A151" s="20" t="s">
        <v>1485</v>
      </c>
      <c r="B151" s="405" t="s">
        <v>1343</v>
      </c>
      <c r="C151" s="20" t="str">
        <f t="shared" si="1"/>
        <v>Warm Temperate DryNorth America</v>
      </c>
      <c r="D151" s="61"/>
      <c r="E151" s="257">
        <f t="shared" si="6"/>
        <v>1.37</v>
      </c>
      <c r="F151" s="564"/>
      <c r="G151" s="574"/>
      <c r="H151" s="565">
        <v>0.87</v>
      </c>
      <c r="I151" s="563"/>
      <c r="J151" s="564"/>
      <c r="K151" s="564"/>
      <c r="L151" s="566">
        <v>0.91</v>
      </c>
      <c r="M151" s="565">
        <v>2.33</v>
      </c>
      <c r="N151" s="55">
        <v>0.46</v>
      </c>
      <c r="O151" s="571">
        <v>0.43</v>
      </c>
      <c r="P151" s="572">
        <v>0.28000000000000003</v>
      </c>
      <c r="Q151" s="55">
        <v>3.2</v>
      </c>
      <c r="R151" s="573"/>
      <c r="S151" s="55"/>
      <c r="T151" s="55">
        <v>0.7</v>
      </c>
    </row>
    <row r="152" spans="1:20" x14ac:dyDescent="0.2">
      <c r="A152" s="20" t="s">
        <v>1485</v>
      </c>
      <c r="B152" s="405" t="s">
        <v>1349</v>
      </c>
      <c r="C152" s="20" t="str">
        <f t="shared" si="1"/>
        <v>Warm Temperate DrySouth America</v>
      </c>
      <c r="D152" s="61"/>
      <c r="E152" s="257">
        <f t="shared" si="6"/>
        <v>1.37</v>
      </c>
      <c r="F152" s="564"/>
      <c r="G152" s="574"/>
      <c r="H152" s="565">
        <v>0.87</v>
      </c>
      <c r="I152" s="563"/>
      <c r="J152" s="564"/>
      <c r="K152" s="564"/>
      <c r="L152" s="566">
        <v>0.91</v>
      </c>
      <c r="M152" s="565">
        <v>2.33</v>
      </c>
      <c r="N152" s="55">
        <v>0.46</v>
      </c>
      <c r="O152" s="571">
        <v>0.43</v>
      </c>
      <c r="P152" s="572">
        <v>0.28000000000000003</v>
      </c>
      <c r="Q152" s="55">
        <v>3.2</v>
      </c>
      <c r="R152" s="573"/>
      <c r="S152" s="55"/>
      <c r="T152" s="55">
        <v>0.7</v>
      </c>
    </row>
    <row r="153" spans="1:20" x14ac:dyDescent="0.2">
      <c r="A153" s="20" t="s">
        <v>1485</v>
      </c>
      <c r="B153" s="405" t="s">
        <v>1333</v>
      </c>
      <c r="C153" s="20" t="str">
        <f t="shared" si="1"/>
        <v>Warm Temperate DryCentral America</v>
      </c>
      <c r="D153" s="61"/>
      <c r="E153" s="257">
        <f t="shared" si="6"/>
        <v>1.37</v>
      </c>
      <c r="F153" s="564"/>
      <c r="G153" s="574"/>
      <c r="H153" s="565">
        <v>0.87</v>
      </c>
      <c r="I153" s="563"/>
      <c r="J153" s="564"/>
      <c r="K153" s="564"/>
      <c r="L153" s="566">
        <v>0.91</v>
      </c>
      <c r="M153" s="565">
        <v>2.33</v>
      </c>
      <c r="N153" s="55">
        <v>0.46</v>
      </c>
      <c r="O153" s="571">
        <v>0.43</v>
      </c>
      <c r="P153" s="572">
        <v>0.28000000000000003</v>
      </c>
      <c r="Q153" s="55">
        <v>3.2</v>
      </c>
      <c r="R153" s="573"/>
      <c r="S153" s="55"/>
      <c r="T153" s="55">
        <v>0.7</v>
      </c>
    </row>
    <row r="154" spans="1:20" x14ac:dyDescent="0.2">
      <c r="A154" s="20" t="s">
        <v>1485</v>
      </c>
      <c r="B154" s="406" t="s">
        <v>1547</v>
      </c>
      <c r="C154" s="20" t="str">
        <f t="shared" si="1"/>
        <v>Warm Temperate DryCaribbean</v>
      </c>
      <c r="D154" s="60"/>
      <c r="E154" s="257">
        <f t="shared" si="6"/>
        <v>1.37</v>
      </c>
      <c r="F154" s="564"/>
      <c r="G154" s="574"/>
      <c r="H154" s="578">
        <v>0.87</v>
      </c>
      <c r="I154" s="563"/>
      <c r="J154" s="564"/>
      <c r="K154" s="564"/>
      <c r="L154" s="566">
        <v>0.91</v>
      </c>
      <c r="M154" s="578">
        <v>2.33</v>
      </c>
      <c r="N154" s="579">
        <v>0.46</v>
      </c>
      <c r="O154" s="580">
        <v>0.43</v>
      </c>
      <c r="P154" s="420">
        <v>0.28000000000000003</v>
      </c>
      <c r="Q154" s="579">
        <v>3.2</v>
      </c>
      <c r="R154" s="581"/>
      <c r="S154" s="579"/>
      <c r="T154" s="55">
        <v>0.7</v>
      </c>
    </row>
    <row r="155" spans="1:20" x14ac:dyDescent="0.2">
      <c r="A155" s="63" t="s">
        <v>1486</v>
      </c>
      <c r="B155" s="405" t="s">
        <v>1552</v>
      </c>
      <c r="C155" s="63" t="str">
        <f>CONCATENATE(A155,B155)</f>
        <v>Warm Temperate MoistEastern Africa</v>
      </c>
      <c r="D155" s="61"/>
      <c r="E155" s="256">
        <f t="shared" si="6"/>
        <v>1.37</v>
      </c>
      <c r="F155" s="583"/>
      <c r="G155" s="584"/>
      <c r="H155" s="582">
        <v>0.87</v>
      </c>
      <c r="I155" s="585"/>
      <c r="J155" s="583"/>
      <c r="K155" s="583"/>
      <c r="L155" s="582">
        <v>0.91</v>
      </c>
      <c r="M155" s="582">
        <v>2.33</v>
      </c>
      <c r="N155" s="567">
        <v>0.46</v>
      </c>
      <c r="O155" s="568">
        <v>0.43</v>
      </c>
      <c r="P155" s="569">
        <v>0.28000000000000003</v>
      </c>
      <c r="Q155" s="567">
        <v>3.2</v>
      </c>
      <c r="R155" s="570"/>
      <c r="S155" s="567"/>
      <c r="T155" s="567">
        <v>0.7</v>
      </c>
    </row>
    <row r="156" spans="1:20" x14ac:dyDescent="0.2">
      <c r="A156" s="20" t="s">
        <v>1486</v>
      </c>
      <c r="B156" s="405" t="s">
        <v>1557</v>
      </c>
      <c r="C156" s="20" t="str">
        <f t="shared" si="1"/>
        <v>Warm Temperate MoistCentral Africa</v>
      </c>
      <c r="D156" s="61"/>
      <c r="E156" s="257">
        <f t="shared" si="6"/>
        <v>1.37</v>
      </c>
      <c r="F156" s="564"/>
      <c r="G156" s="574"/>
      <c r="H156" s="565">
        <v>0.87</v>
      </c>
      <c r="I156" s="563"/>
      <c r="J156" s="564"/>
      <c r="K156" s="564"/>
      <c r="L156" s="565">
        <v>0.91</v>
      </c>
      <c r="M156" s="565">
        <v>2.33</v>
      </c>
      <c r="N156" s="55">
        <v>0.46</v>
      </c>
      <c r="O156" s="571">
        <v>0.43</v>
      </c>
      <c r="P156" s="572">
        <v>0.28000000000000003</v>
      </c>
      <c r="Q156" s="55">
        <v>3.2</v>
      </c>
      <c r="R156" s="573"/>
      <c r="S156" s="55"/>
      <c r="T156" s="55">
        <v>0.7</v>
      </c>
    </row>
    <row r="157" spans="1:20" x14ac:dyDescent="0.2">
      <c r="A157" s="20" t="s">
        <v>1486</v>
      </c>
      <c r="B157" s="405" t="s">
        <v>1559</v>
      </c>
      <c r="C157" s="20" t="str">
        <f t="shared" si="1"/>
        <v>Warm Temperate MoistNorthern Africa</v>
      </c>
      <c r="D157" s="61"/>
      <c r="E157" s="257">
        <f t="shared" si="6"/>
        <v>1.37</v>
      </c>
      <c r="F157" s="564"/>
      <c r="G157" s="574"/>
      <c r="H157" s="565">
        <v>0.87</v>
      </c>
      <c r="I157" s="563"/>
      <c r="J157" s="564"/>
      <c r="K157" s="564"/>
      <c r="L157" s="565">
        <v>0.91</v>
      </c>
      <c r="M157" s="565">
        <v>2.33</v>
      </c>
      <c r="N157" s="55">
        <v>0.46</v>
      </c>
      <c r="O157" s="571">
        <v>0.43</v>
      </c>
      <c r="P157" s="572">
        <v>0.28000000000000003</v>
      </c>
      <c r="Q157" s="55">
        <v>3.2</v>
      </c>
      <c r="R157" s="573"/>
      <c r="S157" s="55"/>
      <c r="T157" s="55">
        <v>0.7</v>
      </c>
    </row>
    <row r="158" spans="1:20" x14ac:dyDescent="0.2">
      <c r="A158" s="20" t="s">
        <v>1486</v>
      </c>
      <c r="B158" s="405" t="s">
        <v>1565</v>
      </c>
      <c r="C158" s="20" t="str">
        <f t="shared" si="1"/>
        <v>Warm Temperate MoistSouthern Africa</v>
      </c>
      <c r="D158" s="61"/>
      <c r="E158" s="257">
        <f t="shared" ref="E158:E164" si="7">AVERAGE(F158:M158)</f>
        <v>1.37</v>
      </c>
      <c r="F158" s="564"/>
      <c r="G158" s="574"/>
      <c r="H158" s="565">
        <v>0.87</v>
      </c>
      <c r="I158" s="563"/>
      <c r="J158" s="564"/>
      <c r="K158" s="564"/>
      <c r="L158" s="565">
        <v>0.91</v>
      </c>
      <c r="M158" s="565">
        <v>2.33</v>
      </c>
      <c r="N158" s="55">
        <v>0.46</v>
      </c>
      <c r="O158" s="571">
        <v>0.43</v>
      </c>
      <c r="P158" s="572">
        <v>0.28000000000000003</v>
      </c>
      <c r="Q158" s="55">
        <v>3.2</v>
      </c>
      <c r="R158" s="573"/>
      <c r="S158" s="55"/>
      <c r="T158" s="55">
        <v>0.7</v>
      </c>
    </row>
    <row r="159" spans="1:20" x14ac:dyDescent="0.2">
      <c r="A159" s="20" t="s">
        <v>1486</v>
      </c>
      <c r="B159" s="405" t="s">
        <v>1569</v>
      </c>
      <c r="C159" s="20" t="str">
        <f t="shared" si="1"/>
        <v>Warm Temperate MoistWestern Africa</v>
      </c>
      <c r="D159" s="61"/>
      <c r="E159" s="257">
        <f t="shared" si="7"/>
        <v>1.37</v>
      </c>
      <c r="F159" s="564"/>
      <c r="G159" s="574"/>
      <c r="H159" s="565">
        <v>0.87</v>
      </c>
      <c r="I159" s="563"/>
      <c r="J159" s="564"/>
      <c r="K159" s="564"/>
      <c r="L159" s="565">
        <v>0.91</v>
      </c>
      <c r="M159" s="565">
        <v>2.33</v>
      </c>
      <c r="N159" s="55">
        <v>0.46</v>
      </c>
      <c r="O159" s="571">
        <v>0.43</v>
      </c>
      <c r="P159" s="572">
        <v>0.28000000000000003</v>
      </c>
      <c r="Q159" s="55">
        <v>3.2</v>
      </c>
      <c r="R159" s="573"/>
      <c r="S159" s="55"/>
      <c r="T159" s="55">
        <v>0.7</v>
      </c>
    </row>
    <row r="160" spans="1:20" x14ac:dyDescent="0.2">
      <c r="A160" s="20" t="s">
        <v>1486</v>
      </c>
      <c r="B160" s="405" t="s">
        <v>1550</v>
      </c>
      <c r="C160" s="20" t="str">
        <f t="shared" si="1"/>
        <v>Warm Temperate MoistCentral Asia</v>
      </c>
      <c r="D160" s="61"/>
      <c r="E160" s="257">
        <f t="shared" si="7"/>
        <v>1.37</v>
      </c>
      <c r="F160" s="564"/>
      <c r="G160" s="574"/>
      <c r="H160" s="565">
        <v>0.87</v>
      </c>
      <c r="I160" s="563"/>
      <c r="J160" s="564"/>
      <c r="K160" s="564"/>
      <c r="L160" s="565">
        <v>0.91</v>
      </c>
      <c r="M160" s="565">
        <v>2.33</v>
      </c>
      <c r="N160" s="55">
        <v>0.46</v>
      </c>
      <c r="O160" s="571">
        <v>0.43</v>
      </c>
      <c r="P160" s="572">
        <v>0.28000000000000003</v>
      </c>
      <c r="Q160" s="55">
        <v>3.2</v>
      </c>
      <c r="R160" s="573"/>
      <c r="S160" s="55"/>
      <c r="T160" s="55">
        <v>0.7</v>
      </c>
    </row>
    <row r="161" spans="1:20" x14ac:dyDescent="0.2">
      <c r="A161" s="20" t="s">
        <v>1486</v>
      </c>
      <c r="B161" s="405" t="s">
        <v>1554</v>
      </c>
      <c r="C161" s="20" t="str">
        <f t="shared" si="1"/>
        <v>Warm Temperate MoistEastern Asia</v>
      </c>
      <c r="D161" s="61"/>
      <c r="E161" s="257">
        <f t="shared" si="7"/>
        <v>1.37</v>
      </c>
      <c r="F161" s="564"/>
      <c r="G161" s="574"/>
      <c r="H161" s="565">
        <v>0.87</v>
      </c>
      <c r="I161" s="563"/>
      <c r="J161" s="564"/>
      <c r="K161" s="564"/>
      <c r="L161" s="565">
        <v>0.91</v>
      </c>
      <c r="M161" s="565">
        <v>2.33</v>
      </c>
      <c r="N161" s="55">
        <v>0.46</v>
      </c>
      <c r="O161" s="571">
        <v>0.43</v>
      </c>
      <c r="P161" s="572">
        <v>0.28000000000000003</v>
      </c>
      <c r="Q161" s="55">
        <v>3.2</v>
      </c>
      <c r="R161" s="573"/>
      <c r="S161" s="55"/>
      <c r="T161" s="55">
        <v>0.7</v>
      </c>
    </row>
    <row r="162" spans="1:20" x14ac:dyDescent="0.2">
      <c r="A162" s="20" t="s">
        <v>1486</v>
      </c>
      <c r="B162" s="405" t="s">
        <v>1563</v>
      </c>
      <c r="C162" s="20" t="str">
        <f t="shared" si="1"/>
        <v>Warm Temperate MoistSouth-eastern Asia</v>
      </c>
      <c r="D162" s="61"/>
      <c r="E162" s="257">
        <f t="shared" si="7"/>
        <v>1.37</v>
      </c>
      <c r="F162" s="564"/>
      <c r="G162" s="574"/>
      <c r="H162" s="565">
        <v>0.87</v>
      </c>
      <c r="I162" s="563"/>
      <c r="J162" s="564"/>
      <c r="K162" s="564"/>
      <c r="L162" s="565">
        <v>0.91</v>
      </c>
      <c r="M162" s="565">
        <v>2.33</v>
      </c>
      <c r="N162" s="55">
        <v>0.46</v>
      </c>
      <c r="O162" s="571">
        <v>0.43</v>
      </c>
      <c r="P162" s="572">
        <v>0.28000000000000003</v>
      </c>
      <c r="Q162" s="55">
        <v>3.2</v>
      </c>
      <c r="R162" s="573"/>
      <c r="S162" s="55"/>
      <c r="T162" s="55">
        <v>0.7</v>
      </c>
    </row>
    <row r="163" spans="1:20" x14ac:dyDescent="0.2">
      <c r="A163" s="20" t="s">
        <v>1486</v>
      </c>
      <c r="B163" s="405" t="s">
        <v>1567</v>
      </c>
      <c r="C163" s="20" t="str">
        <f t="shared" si="1"/>
        <v>Warm Temperate MoistSouthern Asia</v>
      </c>
      <c r="D163" s="61"/>
      <c r="E163" s="257">
        <f t="shared" si="7"/>
        <v>1.37</v>
      </c>
      <c r="F163" s="564"/>
      <c r="G163" s="574"/>
      <c r="H163" s="565">
        <v>0.87</v>
      </c>
      <c r="I163" s="563"/>
      <c r="J163" s="564"/>
      <c r="K163" s="564"/>
      <c r="L163" s="565">
        <v>0.91</v>
      </c>
      <c r="M163" s="565">
        <v>2.33</v>
      </c>
      <c r="N163" s="55">
        <v>0.46</v>
      </c>
      <c r="O163" s="571">
        <v>0.43</v>
      </c>
      <c r="P163" s="572">
        <v>0.28000000000000003</v>
      </c>
      <c r="Q163" s="55">
        <v>3.2</v>
      </c>
      <c r="R163" s="573"/>
      <c r="S163" s="55"/>
      <c r="T163" s="55">
        <v>0.7</v>
      </c>
    </row>
    <row r="164" spans="1:20" x14ac:dyDescent="0.2">
      <c r="A164" s="20" t="s">
        <v>1486</v>
      </c>
      <c r="B164" s="405" t="s">
        <v>1571</v>
      </c>
      <c r="C164" s="20" t="str">
        <f t="shared" si="1"/>
        <v>Warm Temperate MoistWestern Asia</v>
      </c>
      <c r="D164" s="61"/>
      <c r="E164" s="257">
        <f t="shared" si="7"/>
        <v>1.37</v>
      </c>
      <c r="F164" s="564"/>
      <c r="G164" s="574"/>
      <c r="H164" s="565">
        <v>0.87</v>
      </c>
      <c r="I164" s="563"/>
      <c r="J164" s="564"/>
      <c r="K164" s="564"/>
      <c r="L164" s="565">
        <v>0.91</v>
      </c>
      <c r="M164" s="565">
        <v>2.33</v>
      </c>
      <c r="N164" s="55">
        <v>0.46</v>
      </c>
      <c r="O164" s="571">
        <v>0.43</v>
      </c>
      <c r="P164" s="572">
        <v>0.28000000000000003</v>
      </c>
      <c r="Q164" s="55">
        <v>3.2</v>
      </c>
      <c r="R164" s="573"/>
      <c r="S164" s="55"/>
      <c r="T164" s="55">
        <v>0.7</v>
      </c>
    </row>
    <row r="165" spans="1:20" x14ac:dyDescent="0.2">
      <c r="A165" s="20" t="s">
        <v>1486</v>
      </c>
      <c r="B165" s="405" t="s">
        <v>1555</v>
      </c>
      <c r="C165" s="20" t="str">
        <f t="shared" si="1"/>
        <v>Warm Temperate MoistEurope</v>
      </c>
      <c r="D165" s="61"/>
      <c r="E165" s="257">
        <f t="shared" ref="E165:E176" si="8">AVERAGE(F165:M165)</f>
        <v>1.5</v>
      </c>
      <c r="F165" s="564"/>
      <c r="G165" s="574"/>
      <c r="H165" s="565">
        <v>0.87</v>
      </c>
      <c r="I165" s="563"/>
      <c r="J165" s="564"/>
      <c r="K165" s="564"/>
      <c r="L165" s="564">
        <v>0.52</v>
      </c>
      <c r="M165" s="564">
        <v>3.11</v>
      </c>
      <c r="N165" s="55">
        <v>0.46</v>
      </c>
      <c r="O165" s="571">
        <v>0.43</v>
      </c>
      <c r="P165" s="572">
        <v>0.28000000000000003</v>
      </c>
      <c r="Q165" s="55">
        <v>3.2</v>
      </c>
      <c r="R165" s="573"/>
      <c r="S165" s="55"/>
      <c r="T165" s="55">
        <v>0.7</v>
      </c>
    </row>
    <row r="166" spans="1:20" x14ac:dyDescent="0.2">
      <c r="A166" s="20" t="s">
        <v>1486</v>
      </c>
      <c r="B166" s="405" t="s">
        <v>1346</v>
      </c>
      <c r="C166" s="20" t="str">
        <f t="shared" si="1"/>
        <v>Warm Temperate MoistOceania</v>
      </c>
      <c r="D166" s="61"/>
      <c r="E166" s="257">
        <f t="shared" si="8"/>
        <v>1.37</v>
      </c>
      <c r="F166" s="564"/>
      <c r="G166" s="574"/>
      <c r="H166" s="565">
        <v>0.87</v>
      </c>
      <c r="I166" s="563"/>
      <c r="J166" s="564"/>
      <c r="K166" s="564"/>
      <c r="L166" s="565">
        <v>0.91</v>
      </c>
      <c r="M166" s="565">
        <v>2.33</v>
      </c>
      <c r="N166" s="55">
        <v>0.46</v>
      </c>
      <c r="O166" s="571">
        <v>0.43</v>
      </c>
      <c r="P166" s="572">
        <v>0.28000000000000003</v>
      </c>
      <c r="Q166" s="55">
        <v>3.2</v>
      </c>
      <c r="R166" s="573"/>
      <c r="S166" s="55"/>
      <c r="T166" s="55">
        <v>0.7</v>
      </c>
    </row>
    <row r="167" spans="1:20" x14ac:dyDescent="0.2">
      <c r="A167" s="20" t="s">
        <v>1486</v>
      </c>
      <c r="B167" s="405" t="s">
        <v>1343</v>
      </c>
      <c r="C167" s="20" t="str">
        <f t="shared" si="1"/>
        <v>Warm Temperate MoistNorth America</v>
      </c>
      <c r="D167" s="61"/>
      <c r="E167" s="257">
        <f t="shared" si="8"/>
        <v>1.37</v>
      </c>
      <c r="F167" s="564"/>
      <c r="G167" s="574"/>
      <c r="H167" s="565">
        <v>0.87</v>
      </c>
      <c r="I167" s="563"/>
      <c r="J167" s="564"/>
      <c r="K167" s="564"/>
      <c r="L167" s="565">
        <v>0.91</v>
      </c>
      <c r="M167" s="565">
        <v>2.33</v>
      </c>
      <c r="N167" s="55">
        <v>0.46</v>
      </c>
      <c r="O167" s="571">
        <v>0.43</v>
      </c>
      <c r="P167" s="572">
        <v>0.28000000000000003</v>
      </c>
      <c r="Q167" s="55">
        <v>3.2</v>
      </c>
      <c r="R167" s="573"/>
      <c r="S167" s="55"/>
      <c r="T167" s="55">
        <v>0.7</v>
      </c>
    </row>
    <row r="168" spans="1:20" x14ac:dyDescent="0.2">
      <c r="A168" s="20" t="s">
        <v>1486</v>
      </c>
      <c r="B168" s="405" t="s">
        <v>1349</v>
      </c>
      <c r="C168" s="20" t="str">
        <f t="shared" si="1"/>
        <v>Warm Temperate MoistSouth America</v>
      </c>
      <c r="D168" s="61"/>
      <c r="E168" s="257">
        <f t="shared" si="8"/>
        <v>1.37</v>
      </c>
      <c r="F168" s="564"/>
      <c r="G168" s="574"/>
      <c r="H168" s="565">
        <v>0.87</v>
      </c>
      <c r="I168" s="563"/>
      <c r="J168" s="564"/>
      <c r="K168" s="564"/>
      <c r="L168" s="565">
        <v>0.91</v>
      </c>
      <c r="M168" s="565">
        <v>2.33</v>
      </c>
      <c r="N168" s="55">
        <v>0.46</v>
      </c>
      <c r="O168" s="571">
        <v>0.43</v>
      </c>
      <c r="P168" s="572">
        <v>0.28000000000000003</v>
      </c>
      <c r="Q168" s="55">
        <v>3.2</v>
      </c>
      <c r="R168" s="573"/>
      <c r="S168" s="55"/>
      <c r="T168" s="55">
        <v>0.7</v>
      </c>
    </row>
    <row r="169" spans="1:20" x14ac:dyDescent="0.2">
      <c r="A169" s="20" t="s">
        <v>1486</v>
      </c>
      <c r="B169" s="405" t="s">
        <v>1333</v>
      </c>
      <c r="C169" s="20" t="str">
        <f t="shared" si="1"/>
        <v>Warm Temperate MoistCentral America</v>
      </c>
      <c r="D169" s="61"/>
      <c r="E169" s="257">
        <f t="shared" si="8"/>
        <v>1.37</v>
      </c>
      <c r="F169" s="564"/>
      <c r="G169" s="574"/>
      <c r="H169" s="565">
        <v>0.87</v>
      </c>
      <c r="I169" s="563"/>
      <c r="J169" s="564"/>
      <c r="K169" s="564"/>
      <c r="L169" s="565">
        <v>0.91</v>
      </c>
      <c r="M169" s="565">
        <v>2.33</v>
      </c>
      <c r="N169" s="55">
        <v>0.46</v>
      </c>
      <c r="O169" s="571">
        <v>0.43</v>
      </c>
      <c r="P169" s="572">
        <v>0.28000000000000003</v>
      </c>
      <c r="Q169" s="55">
        <v>3.2</v>
      </c>
      <c r="R169" s="573"/>
      <c r="S169" s="55"/>
      <c r="T169" s="55">
        <v>0.7</v>
      </c>
    </row>
    <row r="170" spans="1:20" x14ac:dyDescent="0.2">
      <c r="A170" s="37" t="s">
        <v>1486</v>
      </c>
      <c r="B170" s="406" t="s">
        <v>1547</v>
      </c>
      <c r="C170" s="37" t="str">
        <f t="shared" si="1"/>
        <v>Warm Temperate MoistCaribbean</v>
      </c>
      <c r="D170" s="60"/>
      <c r="E170" s="258">
        <f t="shared" si="8"/>
        <v>1.37</v>
      </c>
      <c r="F170" s="564"/>
      <c r="G170" s="574"/>
      <c r="H170" s="578">
        <v>0.87</v>
      </c>
      <c r="I170" s="563"/>
      <c r="J170" s="564"/>
      <c r="K170" s="564"/>
      <c r="L170" s="578">
        <v>0.91</v>
      </c>
      <c r="M170" s="578">
        <v>2.33</v>
      </c>
      <c r="N170" s="579">
        <v>0.46</v>
      </c>
      <c r="O170" s="580">
        <v>0.43</v>
      </c>
      <c r="P170" s="420">
        <v>0.28000000000000003</v>
      </c>
      <c r="Q170" s="579">
        <v>3.2</v>
      </c>
      <c r="R170" s="581"/>
      <c r="S170" s="579"/>
      <c r="T170" s="55">
        <v>0.7</v>
      </c>
    </row>
    <row r="171" spans="1:20" x14ac:dyDescent="0.2">
      <c r="A171" s="63" t="s">
        <v>1487</v>
      </c>
      <c r="B171" s="403" t="s">
        <v>1552</v>
      </c>
      <c r="C171" s="63" t="str">
        <f t="shared" si="1"/>
        <v>Tropical DryEastern Africa</v>
      </c>
      <c r="D171" s="253"/>
      <c r="E171" s="256">
        <f t="shared" si="8"/>
        <v>2.7375000000000003</v>
      </c>
      <c r="F171" s="585">
        <v>1.88</v>
      </c>
      <c r="G171" s="583">
        <v>5.61</v>
      </c>
      <c r="H171" s="564">
        <v>0.48</v>
      </c>
      <c r="I171" s="583">
        <v>1.63</v>
      </c>
      <c r="J171" s="584">
        <v>0.59</v>
      </c>
      <c r="K171" s="582">
        <v>2.4</v>
      </c>
      <c r="L171" s="586">
        <v>6.24</v>
      </c>
      <c r="M171" s="565">
        <v>3.07</v>
      </c>
      <c r="N171" s="567"/>
      <c r="O171" s="567"/>
      <c r="P171" s="567"/>
      <c r="Q171" s="567"/>
      <c r="R171" s="567">
        <v>2.4</v>
      </c>
      <c r="S171" s="567">
        <v>3</v>
      </c>
      <c r="T171" s="567">
        <v>0.7</v>
      </c>
    </row>
    <row r="172" spans="1:20" x14ac:dyDescent="0.2">
      <c r="A172" s="20" t="s">
        <v>1487</v>
      </c>
      <c r="B172" s="403" t="s">
        <v>1557</v>
      </c>
      <c r="C172" s="20" t="str">
        <f t="shared" si="1"/>
        <v>Tropical DryCentral Africa</v>
      </c>
      <c r="D172" s="249"/>
      <c r="E172" s="257">
        <f t="shared" si="8"/>
        <v>2.7375000000000003</v>
      </c>
      <c r="F172" s="563">
        <v>1.88</v>
      </c>
      <c r="G172" s="564">
        <v>5.61</v>
      </c>
      <c r="H172" s="564">
        <v>0.48</v>
      </c>
      <c r="I172" s="564">
        <v>1.63</v>
      </c>
      <c r="J172" s="574">
        <v>0.59</v>
      </c>
      <c r="K172" s="565">
        <v>2.4</v>
      </c>
      <c r="L172" s="587">
        <v>6.24</v>
      </c>
      <c r="M172" s="565">
        <v>3.07</v>
      </c>
      <c r="N172" s="55"/>
      <c r="O172" s="55"/>
      <c r="P172" s="55"/>
      <c r="Q172" s="55"/>
      <c r="R172" s="55">
        <v>2.4</v>
      </c>
      <c r="S172" s="55">
        <v>3</v>
      </c>
      <c r="T172" s="55">
        <v>0.7</v>
      </c>
    </row>
    <row r="173" spans="1:20" x14ac:dyDescent="0.2">
      <c r="A173" s="20" t="s">
        <v>1487</v>
      </c>
      <c r="B173" s="403" t="s">
        <v>1559</v>
      </c>
      <c r="C173" s="20" t="str">
        <f t="shared" si="1"/>
        <v>Tropical DryNorthern Africa</v>
      </c>
      <c r="D173" s="249"/>
      <c r="E173" s="257">
        <f t="shared" si="8"/>
        <v>2.7375000000000003</v>
      </c>
      <c r="F173" s="563">
        <v>1.88</v>
      </c>
      <c r="G173" s="564">
        <v>5.61</v>
      </c>
      <c r="H173" s="564">
        <v>0.48</v>
      </c>
      <c r="I173" s="564">
        <v>1.63</v>
      </c>
      <c r="J173" s="574">
        <v>0.59</v>
      </c>
      <c r="K173" s="565">
        <v>2.4</v>
      </c>
      <c r="L173" s="587">
        <v>6.24</v>
      </c>
      <c r="M173" s="565">
        <v>3.07</v>
      </c>
      <c r="N173" s="55"/>
      <c r="O173" s="55"/>
      <c r="P173" s="55"/>
      <c r="Q173" s="55"/>
      <c r="R173" s="55">
        <v>2.4</v>
      </c>
      <c r="S173" s="55">
        <v>3</v>
      </c>
      <c r="T173" s="55">
        <v>0.7</v>
      </c>
    </row>
    <row r="174" spans="1:20" x14ac:dyDescent="0.2">
      <c r="A174" s="20" t="s">
        <v>1487</v>
      </c>
      <c r="B174" s="403" t="s">
        <v>1565</v>
      </c>
      <c r="C174" s="20" t="str">
        <f t="shared" si="1"/>
        <v>Tropical DrySouthern Africa</v>
      </c>
      <c r="D174" s="249"/>
      <c r="E174" s="257">
        <f t="shared" si="8"/>
        <v>2.7375000000000003</v>
      </c>
      <c r="F174" s="563">
        <v>1.88</v>
      </c>
      <c r="G174" s="564">
        <v>5.61</v>
      </c>
      <c r="H174" s="564">
        <v>0.48</v>
      </c>
      <c r="I174" s="564">
        <v>1.63</v>
      </c>
      <c r="J174" s="574">
        <v>0.59</v>
      </c>
      <c r="K174" s="565">
        <v>2.4</v>
      </c>
      <c r="L174" s="587">
        <v>6.24</v>
      </c>
      <c r="M174" s="565">
        <v>3.07</v>
      </c>
      <c r="N174" s="55"/>
      <c r="O174" s="55"/>
      <c r="P174" s="55"/>
      <c r="Q174" s="55"/>
      <c r="R174" s="55">
        <v>2.4</v>
      </c>
      <c r="S174" s="55">
        <v>3</v>
      </c>
      <c r="T174" s="55">
        <v>0.7</v>
      </c>
    </row>
    <row r="175" spans="1:20" x14ac:dyDescent="0.2">
      <c r="A175" s="20" t="s">
        <v>1487</v>
      </c>
      <c r="B175" s="403" t="s">
        <v>1569</v>
      </c>
      <c r="C175" s="20" t="str">
        <f t="shared" si="1"/>
        <v>Tropical DryWestern Africa</v>
      </c>
      <c r="D175" s="249"/>
      <c r="E175" s="257">
        <f t="shared" si="8"/>
        <v>2.7375000000000003</v>
      </c>
      <c r="F175" s="563">
        <v>1.88</v>
      </c>
      <c r="G175" s="564">
        <v>5.61</v>
      </c>
      <c r="H175" s="564">
        <v>0.48</v>
      </c>
      <c r="I175" s="564">
        <v>1.63</v>
      </c>
      <c r="J175" s="574">
        <v>0.59</v>
      </c>
      <c r="K175" s="565">
        <v>2.4</v>
      </c>
      <c r="L175" s="587">
        <v>6.24</v>
      </c>
      <c r="M175" s="565">
        <v>3.07</v>
      </c>
      <c r="N175" s="55"/>
      <c r="O175" s="55"/>
      <c r="P175" s="55"/>
      <c r="Q175" s="55"/>
      <c r="R175" s="55">
        <v>2.4</v>
      </c>
      <c r="S175" s="55">
        <v>3</v>
      </c>
      <c r="T175" s="55">
        <v>0.7</v>
      </c>
    </row>
    <row r="176" spans="1:20" x14ac:dyDescent="0.2">
      <c r="A176" s="20" t="s">
        <v>1487</v>
      </c>
      <c r="B176" s="403" t="s">
        <v>1550</v>
      </c>
      <c r="C176" s="20" t="str">
        <f t="shared" si="1"/>
        <v>Tropical DryCentral Asia</v>
      </c>
      <c r="D176" s="249"/>
      <c r="E176" s="257">
        <f t="shared" si="8"/>
        <v>2.8512500000000003</v>
      </c>
      <c r="F176" s="563">
        <v>2.79</v>
      </c>
      <c r="G176" s="564">
        <v>5.61</v>
      </c>
      <c r="H176" s="565">
        <v>0.48</v>
      </c>
      <c r="I176" s="565">
        <v>1.63</v>
      </c>
      <c r="J176" s="566">
        <v>0.59</v>
      </c>
      <c r="K176" s="565">
        <v>2.4</v>
      </c>
      <c r="L176" s="588">
        <v>6.24</v>
      </c>
      <c r="M176" s="564">
        <v>3.07</v>
      </c>
      <c r="N176" s="55"/>
      <c r="O176" s="55"/>
      <c r="P176" s="55"/>
      <c r="Q176" s="55"/>
      <c r="R176" s="55">
        <v>2.4</v>
      </c>
      <c r="S176" s="55">
        <v>3</v>
      </c>
      <c r="T176" s="55">
        <v>0.7</v>
      </c>
    </row>
    <row r="177" spans="1:20" x14ac:dyDescent="0.2">
      <c r="A177" s="20" t="s">
        <v>1487</v>
      </c>
      <c r="B177" s="403" t="s">
        <v>1554</v>
      </c>
      <c r="C177" s="20" t="str">
        <f t="shared" si="1"/>
        <v>Tropical DryEastern Asia</v>
      </c>
      <c r="D177" s="249"/>
      <c r="E177" s="257">
        <f t="shared" ref="E177:E186" si="9">AVERAGE(F177:M177)</f>
        <v>2.8512500000000003</v>
      </c>
      <c r="F177" s="563">
        <v>2.79</v>
      </c>
      <c r="G177" s="564">
        <v>5.61</v>
      </c>
      <c r="H177" s="565">
        <v>0.48</v>
      </c>
      <c r="I177" s="565">
        <v>1.63</v>
      </c>
      <c r="J177" s="566">
        <v>0.59</v>
      </c>
      <c r="K177" s="565">
        <v>2.4</v>
      </c>
      <c r="L177" s="588">
        <v>6.24</v>
      </c>
      <c r="M177" s="564">
        <v>3.07</v>
      </c>
      <c r="N177" s="55"/>
      <c r="O177" s="55"/>
      <c r="P177" s="55"/>
      <c r="Q177" s="55"/>
      <c r="R177" s="55">
        <v>2.4</v>
      </c>
      <c r="S177" s="55">
        <v>3</v>
      </c>
      <c r="T177" s="55">
        <v>0.7</v>
      </c>
    </row>
    <row r="178" spans="1:20" x14ac:dyDescent="0.2">
      <c r="A178" s="20" t="s">
        <v>1487</v>
      </c>
      <c r="B178" s="403" t="s">
        <v>1563</v>
      </c>
      <c r="C178" s="20" t="str">
        <f t="shared" si="1"/>
        <v>Tropical DrySouth-eastern Asia</v>
      </c>
      <c r="D178" s="249"/>
      <c r="E178" s="257">
        <f t="shared" si="9"/>
        <v>2.8512500000000003</v>
      </c>
      <c r="F178" s="563">
        <v>2.79</v>
      </c>
      <c r="G178" s="564">
        <v>5.61</v>
      </c>
      <c r="H178" s="565">
        <v>0.48</v>
      </c>
      <c r="I178" s="565">
        <v>1.63</v>
      </c>
      <c r="J178" s="566">
        <v>0.59</v>
      </c>
      <c r="K178" s="565">
        <v>2.4</v>
      </c>
      <c r="L178" s="588">
        <v>6.24</v>
      </c>
      <c r="M178" s="564">
        <v>3.07</v>
      </c>
      <c r="N178" s="55"/>
      <c r="O178" s="55"/>
      <c r="P178" s="55"/>
      <c r="Q178" s="55"/>
      <c r="R178" s="55">
        <v>2.4</v>
      </c>
      <c r="S178" s="55">
        <v>3</v>
      </c>
      <c r="T178" s="55">
        <f>IFERROR(INDEX(IPCC!A19451955,MATCH(clim_moist,IPCC!$A$2000:$A$2011,0),MATCH($C137,IPCC!$A$2000:$J$2000,0)),0)</f>
        <v>0</v>
      </c>
    </row>
    <row r="179" spans="1:20" x14ac:dyDescent="0.2">
      <c r="A179" s="20" t="s">
        <v>1487</v>
      </c>
      <c r="B179" s="403" t="s">
        <v>1567</v>
      </c>
      <c r="C179" s="20" t="str">
        <f t="shared" si="1"/>
        <v>Tropical DrySouthern Asia</v>
      </c>
      <c r="D179" s="249"/>
      <c r="E179" s="257">
        <f t="shared" si="9"/>
        <v>2.8512500000000003</v>
      </c>
      <c r="F179" s="563">
        <v>2.79</v>
      </c>
      <c r="G179" s="564">
        <v>5.61</v>
      </c>
      <c r="H179" s="565">
        <v>0.48</v>
      </c>
      <c r="I179" s="565">
        <v>1.63</v>
      </c>
      <c r="J179" s="566">
        <v>0.59</v>
      </c>
      <c r="K179" s="565">
        <v>2.4</v>
      </c>
      <c r="L179" s="588">
        <v>6.24</v>
      </c>
      <c r="M179" s="564">
        <v>3.07</v>
      </c>
      <c r="N179" s="55"/>
      <c r="O179" s="55"/>
      <c r="P179" s="55"/>
      <c r="Q179" s="55"/>
      <c r="R179" s="55">
        <v>2.4</v>
      </c>
      <c r="S179" s="55">
        <v>3</v>
      </c>
      <c r="T179" s="55">
        <v>0.7</v>
      </c>
    </row>
    <row r="180" spans="1:20" x14ac:dyDescent="0.2">
      <c r="A180" s="20" t="s">
        <v>1487</v>
      </c>
      <c r="B180" s="403" t="s">
        <v>1571</v>
      </c>
      <c r="C180" s="20" t="str">
        <f t="shared" si="1"/>
        <v>Tropical DryWestern Asia</v>
      </c>
      <c r="D180" s="249"/>
      <c r="E180" s="257">
        <f t="shared" si="9"/>
        <v>2.8512500000000003</v>
      </c>
      <c r="F180" s="563">
        <v>2.79</v>
      </c>
      <c r="G180" s="564">
        <v>5.61</v>
      </c>
      <c r="H180" s="565">
        <v>0.48</v>
      </c>
      <c r="I180" s="565">
        <v>1.63</v>
      </c>
      <c r="J180" s="566">
        <v>0.59</v>
      </c>
      <c r="K180" s="565">
        <v>2.4</v>
      </c>
      <c r="L180" s="588">
        <v>6.24</v>
      </c>
      <c r="M180" s="564">
        <v>3.07</v>
      </c>
      <c r="N180" s="55"/>
      <c r="O180" s="55"/>
      <c r="P180" s="55"/>
      <c r="Q180" s="55"/>
      <c r="R180" s="55">
        <v>2.4</v>
      </c>
      <c r="S180" s="55">
        <v>3</v>
      </c>
      <c r="T180" s="55">
        <v>0.7</v>
      </c>
    </row>
    <row r="181" spans="1:20" x14ac:dyDescent="0.2">
      <c r="A181" s="20" t="s">
        <v>1487</v>
      </c>
      <c r="B181" s="403" t="s">
        <v>1555</v>
      </c>
      <c r="C181" s="20" t="str">
        <f t="shared" si="1"/>
        <v>Tropical DryEurope</v>
      </c>
      <c r="D181" s="249"/>
      <c r="E181" s="257">
        <f t="shared" si="9"/>
        <v>2.7862500000000003</v>
      </c>
      <c r="F181" s="589">
        <v>2.27</v>
      </c>
      <c r="G181" s="565">
        <v>5.61</v>
      </c>
      <c r="H181" s="565">
        <v>0.48</v>
      </c>
      <c r="I181" s="565">
        <v>1.63</v>
      </c>
      <c r="J181" s="566">
        <v>0.59</v>
      </c>
      <c r="K181" s="565">
        <v>2.4</v>
      </c>
      <c r="L181" s="587">
        <v>6.24</v>
      </c>
      <c r="M181" s="565">
        <v>3.07</v>
      </c>
      <c r="N181" s="55"/>
      <c r="O181" s="55"/>
      <c r="P181" s="55"/>
      <c r="Q181" s="55"/>
      <c r="R181" s="55">
        <v>2.4</v>
      </c>
      <c r="S181" s="55">
        <v>3</v>
      </c>
      <c r="T181" s="55">
        <v>0.7</v>
      </c>
    </row>
    <row r="182" spans="1:20" x14ac:dyDescent="0.2">
      <c r="A182" s="20" t="s">
        <v>1487</v>
      </c>
      <c r="B182" s="403" t="s">
        <v>1346</v>
      </c>
      <c r="C182" s="20" t="str">
        <f t="shared" si="1"/>
        <v>Tropical DryOceania</v>
      </c>
      <c r="D182" s="249"/>
      <c r="E182" s="257">
        <f t="shared" si="9"/>
        <v>2.7862500000000003</v>
      </c>
      <c r="F182" s="589">
        <v>2.27</v>
      </c>
      <c r="G182" s="565">
        <v>5.61</v>
      </c>
      <c r="H182" s="565">
        <v>0.48</v>
      </c>
      <c r="I182" s="565">
        <v>1.63</v>
      </c>
      <c r="J182" s="566">
        <v>0.59</v>
      </c>
      <c r="K182" s="565">
        <v>2.4</v>
      </c>
      <c r="L182" s="587">
        <v>6.24</v>
      </c>
      <c r="M182" s="565">
        <v>3.07</v>
      </c>
      <c r="N182" s="55"/>
      <c r="O182" s="55"/>
      <c r="P182" s="55"/>
      <c r="Q182" s="55"/>
      <c r="R182" s="55">
        <v>2.4</v>
      </c>
      <c r="S182" s="55">
        <v>3</v>
      </c>
      <c r="T182" s="55">
        <v>0.7</v>
      </c>
    </row>
    <row r="183" spans="1:20" x14ac:dyDescent="0.2">
      <c r="A183" s="20" t="s">
        <v>1487</v>
      </c>
      <c r="B183" s="403" t="s">
        <v>1343</v>
      </c>
      <c r="C183" s="20" t="str">
        <f t="shared" si="1"/>
        <v>Tropical DryNorth America</v>
      </c>
      <c r="D183" s="249"/>
      <c r="E183" s="257">
        <f t="shared" si="9"/>
        <v>2.7862500000000003</v>
      </c>
      <c r="F183" s="589">
        <v>2.27</v>
      </c>
      <c r="G183" s="565">
        <v>5.61</v>
      </c>
      <c r="H183" s="565">
        <v>0.48</v>
      </c>
      <c r="I183" s="565">
        <v>1.63</v>
      </c>
      <c r="J183" s="566">
        <v>0.59</v>
      </c>
      <c r="K183" s="565">
        <v>2.4</v>
      </c>
      <c r="L183" s="587">
        <v>6.24</v>
      </c>
      <c r="M183" s="565">
        <v>3.07</v>
      </c>
      <c r="N183" s="55"/>
      <c r="O183" s="55"/>
      <c r="P183" s="55"/>
      <c r="Q183" s="55"/>
      <c r="R183" s="55">
        <v>2.4</v>
      </c>
      <c r="S183" s="55">
        <v>3</v>
      </c>
      <c r="T183" s="55">
        <v>0.7</v>
      </c>
    </row>
    <row r="184" spans="1:20" x14ac:dyDescent="0.2">
      <c r="A184" s="20" t="s">
        <v>1487</v>
      </c>
      <c r="B184" s="403" t="s">
        <v>1349</v>
      </c>
      <c r="C184" s="20" t="str">
        <f t="shared" si="1"/>
        <v>Tropical DrySouth America</v>
      </c>
      <c r="D184" s="249"/>
      <c r="E184" s="257">
        <f t="shared" si="9"/>
        <v>2.7862500000000003</v>
      </c>
      <c r="F184" s="589">
        <v>2.27</v>
      </c>
      <c r="G184" s="565">
        <v>5.61</v>
      </c>
      <c r="H184" s="565">
        <v>0.48</v>
      </c>
      <c r="I184" s="565">
        <v>1.63</v>
      </c>
      <c r="J184" s="566">
        <v>0.59</v>
      </c>
      <c r="K184" s="565">
        <v>2.4</v>
      </c>
      <c r="L184" s="587">
        <v>6.24</v>
      </c>
      <c r="M184" s="565">
        <v>3.07</v>
      </c>
      <c r="N184" s="55"/>
      <c r="O184" s="55"/>
      <c r="P184" s="55"/>
      <c r="Q184" s="55"/>
      <c r="R184" s="55">
        <v>2.4</v>
      </c>
      <c r="S184" s="55">
        <v>3</v>
      </c>
      <c r="T184" s="55">
        <v>0.7</v>
      </c>
    </row>
    <row r="185" spans="1:20" x14ac:dyDescent="0.2">
      <c r="A185" s="20" t="s">
        <v>1487</v>
      </c>
      <c r="B185" s="403" t="s">
        <v>1333</v>
      </c>
      <c r="C185" s="20" t="str">
        <f t="shared" si="1"/>
        <v>Tropical DryCentral America</v>
      </c>
      <c r="D185" s="249"/>
      <c r="E185" s="257">
        <f t="shared" si="9"/>
        <v>2.7862500000000003</v>
      </c>
      <c r="F185" s="589">
        <v>2.27</v>
      </c>
      <c r="G185" s="565">
        <v>5.61</v>
      </c>
      <c r="H185" s="565">
        <v>0.48</v>
      </c>
      <c r="I185" s="565">
        <v>1.63</v>
      </c>
      <c r="J185" s="566">
        <v>0.59</v>
      </c>
      <c r="K185" s="565">
        <v>2.4</v>
      </c>
      <c r="L185" s="587">
        <v>6.24</v>
      </c>
      <c r="M185" s="565">
        <v>3.07</v>
      </c>
      <c r="N185" s="55"/>
      <c r="O185" s="55"/>
      <c r="P185" s="55"/>
      <c r="Q185" s="55"/>
      <c r="R185" s="55">
        <v>2.4</v>
      </c>
      <c r="S185" s="55">
        <v>3</v>
      </c>
      <c r="T185" s="55">
        <v>0.7</v>
      </c>
    </row>
    <row r="186" spans="1:20" x14ac:dyDescent="0.2">
      <c r="A186" s="37" t="s">
        <v>1487</v>
      </c>
      <c r="B186" s="404" t="s">
        <v>1547</v>
      </c>
      <c r="C186" s="37" t="str">
        <f t="shared" si="1"/>
        <v>Tropical DryCaribbean</v>
      </c>
      <c r="D186" s="252"/>
      <c r="E186" s="257">
        <f t="shared" si="9"/>
        <v>2.7862500000000003</v>
      </c>
      <c r="F186" s="589">
        <v>2.27</v>
      </c>
      <c r="G186" s="565">
        <v>5.61</v>
      </c>
      <c r="H186" s="565">
        <v>0.48</v>
      </c>
      <c r="I186" s="565">
        <v>1.63</v>
      </c>
      <c r="J186" s="566">
        <v>0.59</v>
      </c>
      <c r="K186" s="578">
        <v>2.4</v>
      </c>
      <c r="L186" s="587">
        <v>6.24</v>
      </c>
      <c r="M186" s="565">
        <v>3.07</v>
      </c>
      <c r="N186" s="579"/>
      <c r="O186" s="579"/>
      <c r="P186" s="579"/>
      <c r="Q186" s="579"/>
      <c r="R186" s="55">
        <v>2.4</v>
      </c>
      <c r="S186" s="55">
        <v>3</v>
      </c>
      <c r="T186" s="55">
        <v>0.7</v>
      </c>
    </row>
    <row r="187" spans="1:20" x14ac:dyDescent="0.2">
      <c r="A187" s="63" t="s">
        <v>1488</v>
      </c>
      <c r="B187" s="403" t="s">
        <v>1552</v>
      </c>
      <c r="C187" s="63" t="str">
        <f>CONCATENATE(A187,B187)</f>
        <v>Tropical MoistEastern Africa</v>
      </c>
      <c r="D187" s="248"/>
      <c r="E187" s="256">
        <f>AVERAGE(F187:M187)</f>
        <v>2.73875</v>
      </c>
      <c r="F187" s="584">
        <v>2.75</v>
      </c>
      <c r="G187" s="590">
        <v>5.3</v>
      </c>
      <c r="H187" s="582">
        <v>0.47</v>
      </c>
      <c r="I187" s="591">
        <v>2.98</v>
      </c>
      <c r="J187" s="582">
        <v>0.59</v>
      </c>
      <c r="K187" s="591">
        <v>1.82</v>
      </c>
      <c r="L187" s="584">
        <v>5.09</v>
      </c>
      <c r="M187" s="582">
        <v>2.91</v>
      </c>
      <c r="N187" s="567"/>
      <c r="O187" s="567"/>
      <c r="P187" s="567"/>
      <c r="Q187" s="567"/>
      <c r="R187" s="567">
        <v>2.4</v>
      </c>
      <c r="S187" s="567">
        <v>3</v>
      </c>
      <c r="T187" s="567">
        <v>0.7</v>
      </c>
    </row>
    <row r="188" spans="1:20" x14ac:dyDescent="0.2">
      <c r="A188" s="20" t="s">
        <v>1488</v>
      </c>
      <c r="B188" s="403" t="s">
        <v>1557</v>
      </c>
      <c r="C188" s="20" t="str">
        <f t="shared" ref="C188:C268" si="10">CONCATENATE(A188,B188)</f>
        <v>Tropical MoistCentral Africa</v>
      </c>
      <c r="D188" s="249"/>
      <c r="E188" s="257">
        <f>AVERAGE(F188:M188)</f>
        <v>2.73875</v>
      </c>
      <c r="F188" s="574">
        <v>2.75</v>
      </c>
      <c r="G188" s="566">
        <v>5.3</v>
      </c>
      <c r="H188" s="565">
        <v>0.47</v>
      </c>
      <c r="I188" s="588">
        <v>2.98</v>
      </c>
      <c r="J188" s="565">
        <v>0.59</v>
      </c>
      <c r="K188" s="588">
        <v>1.82</v>
      </c>
      <c r="L188" s="574">
        <v>5.09</v>
      </c>
      <c r="M188" s="565">
        <v>2.91</v>
      </c>
      <c r="N188" s="55"/>
      <c r="O188" s="55"/>
      <c r="P188" s="55"/>
      <c r="Q188" s="55"/>
      <c r="R188" s="55">
        <v>2.4</v>
      </c>
      <c r="S188" s="55">
        <v>3</v>
      </c>
      <c r="T188" s="55">
        <v>0.7</v>
      </c>
    </row>
    <row r="189" spans="1:20" x14ac:dyDescent="0.2">
      <c r="A189" s="20" t="s">
        <v>1488</v>
      </c>
      <c r="B189" s="403" t="s">
        <v>1559</v>
      </c>
      <c r="C189" s="20" t="str">
        <f t="shared" si="10"/>
        <v>Tropical MoistNorthern Africa</v>
      </c>
      <c r="D189" s="249"/>
      <c r="E189" s="257">
        <f t="shared" ref="E189:E202" si="11">AVERAGE(F189:M189)</f>
        <v>2.73875</v>
      </c>
      <c r="F189" s="574">
        <v>2.75</v>
      </c>
      <c r="G189" s="566">
        <v>5.3</v>
      </c>
      <c r="H189" s="565">
        <v>0.47</v>
      </c>
      <c r="I189" s="588">
        <v>2.98</v>
      </c>
      <c r="J189" s="565">
        <v>0.59</v>
      </c>
      <c r="K189" s="588">
        <v>1.82</v>
      </c>
      <c r="L189" s="574">
        <v>5.09</v>
      </c>
      <c r="M189" s="565">
        <v>2.91</v>
      </c>
      <c r="N189" s="55"/>
      <c r="O189" s="55"/>
      <c r="P189" s="55"/>
      <c r="Q189" s="55"/>
      <c r="R189" s="55">
        <v>2.4</v>
      </c>
      <c r="S189" s="55">
        <v>3</v>
      </c>
      <c r="T189" s="55">
        <v>0.7</v>
      </c>
    </row>
    <row r="190" spans="1:20" x14ac:dyDescent="0.2">
      <c r="A190" s="20" t="s">
        <v>1488</v>
      </c>
      <c r="B190" s="403" t="s">
        <v>1565</v>
      </c>
      <c r="C190" s="20" t="str">
        <f t="shared" si="10"/>
        <v>Tropical MoistSouthern Africa</v>
      </c>
      <c r="D190" s="249"/>
      <c r="E190" s="257">
        <f t="shared" si="11"/>
        <v>2.73875</v>
      </c>
      <c r="F190" s="574">
        <v>2.75</v>
      </c>
      <c r="G190" s="566">
        <v>5.3</v>
      </c>
      <c r="H190" s="565">
        <v>0.47</v>
      </c>
      <c r="I190" s="588">
        <v>2.98</v>
      </c>
      <c r="J190" s="565">
        <v>0.59</v>
      </c>
      <c r="K190" s="588">
        <v>1.82</v>
      </c>
      <c r="L190" s="574">
        <v>5.09</v>
      </c>
      <c r="M190" s="565">
        <v>2.91</v>
      </c>
      <c r="N190" s="55"/>
      <c r="O190" s="55"/>
      <c r="P190" s="55"/>
      <c r="Q190" s="55"/>
      <c r="R190" s="55">
        <v>2.4</v>
      </c>
      <c r="S190" s="55">
        <v>3</v>
      </c>
      <c r="T190" s="55">
        <v>0.7</v>
      </c>
    </row>
    <row r="191" spans="1:20" x14ac:dyDescent="0.2">
      <c r="A191" s="20" t="s">
        <v>1488</v>
      </c>
      <c r="B191" s="403" t="s">
        <v>1569</v>
      </c>
      <c r="C191" s="20" t="str">
        <f t="shared" si="10"/>
        <v>Tropical MoistWestern Africa</v>
      </c>
      <c r="D191" s="249"/>
      <c r="E191" s="257">
        <f t="shared" si="11"/>
        <v>2.73875</v>
      </c>
      <c r="F191" s="574">
        <v>2.75</v>
      </c>
      <c r="G191" s="566">
        <v>5.3</v>
      </c>
      <c r="H191" s="565">
        <v>0.47</v>
      </c>
      <c r="I191" s="588">
        <v>2.98</v>
      </c>
      <c r="J191" s="565">
        <v>0.59</v>
      </c>
      <c r="K191" s="588">
        <v>1.82</v>
      </c>
      <c r="L191" s="574">
        <v>5.09</v>
      </c>
      <c r="M191" s="565">
        <v>2.91</v>
      </c>
      <c r="N191" s="55"/>
      <c r="O191" s="55"/>
      <c r="P191" s="55"/>
      <c r="Q191" s="55"/>
      <c r="R191" s="55">
        <v>2.4</v>
      </c>
      <c r="S191" s="55">
        <v>3</v>
      </c>
      <c r="T191" s="55">
        <v>0.7</v>
      </c>
    </row>
    <row r="192" spans="1:20" x14ac:dyDescent="0.2">
      <c r="A192" s="20" t="s">
        <v>1488</v>
      </c>
      <c r="B192" s="403" t="s">
        <v>1550</v>
      </c>
      <c r="C192" s="20" t="str">
        <f t="shared" si="10"/>
        <v>Tropical MoistCentral Asia</v>
      </c>
      <c r="D192" s="249"/>
      <c r="E192" s="257">
        <f t="shared" si="11"/>
        <v>2.3075000000000001</v>
      </c>
      <c r="F192" s="566">
        <v>2.59</v>
      </c>
      <c r="G192" s="574">
        <v>5.3</v>
      </c>
      <c r="H192" s="565">
        <v>0.47</v>
      </c>
      <c r="I192" s="588">
        <v>3.03</v>
      </c>
      <c r="J192" s="565">
        <v>0.59</v>
      </c>
      <c r="K192" s="588">
        <v>2.0699999999999998</v>
      </c>
      <c r="L192" s="574">
        <v>1.5</v>
      </c>
      <c r="M192" s="565">
        <v>2.91</v>
      </c>
      <c r="N192" s="55"/>
      <c r="O192" s="55"/>
      <c r="P192" s="55"/>
      <c r="Q192" s="55"/>
      <c r="R192" s="55">
        <v>2.4</v>
      </c>
      <c r="S192" s="55">
        <v>3</v>
      </c>
      <c r="T192" s="55">
        <v>0.7</v>
      </c>
    </row>
    <row r="193" spans="1:20" x14ac:dyDescent="0.2">
      <c r="A193" s="20" t="s">
        <v>1488</v>
      </c>
      <c r="B193" s="403" t="s">
        <v>1554</v>
      </c>
      <c r="C193" s="20" t="str">
        <f t="shared" si="10"/>
        <v>Tropical MoistEastern Asia</v>
      </c>
      <c r="D193" s="249"/>
      <c r="E193" s="257">
        <f t="shared" si="11"/>
        <v>2.3075000000000001</v>
      </c>
      <c r="F193" s="566">
        <v>2.59</v>
      </c>
      <c r="G193" s="574">
        <v>5.3</v>
      </c>
      <c r="H193" s="565">
        <v>0.47</v>
      </c>
      <c r="I193" s="588">
        <v>3.03</v>
      </c>
      <c r="J193" s="565">
        <v>0.59</v>
      </c>
      <c r="K193" s="588">
        <v>2.0699999999999998</v>
      </c>
      <c r="L193" s="574">
        <v>1.5</v>
      </c>
      <c r="M193" s="565">
        <v>2.91</v>
      </c>
      <c r="N193" s="55"/>
      <c r="O193" s="55"/>
      <c r="P193" s="55"/>
      <c r="Q193" s="55"/>
      <c r="R193" s="55">
        <v>2.4</v>
      </c>
      <c r="S193" s="55">
        <v>3</v>
      </c>
      <c r="T193" s="55">
        <v>0.7</v>
      </c>
    </row>
    <row r="194" spans="1:20" x14ac:dyDescent="0.2">
      <c r="A194" s="20" t="s">
        <v>1488</v>
      </c>
      <c r="B194" s="403" t="s">
        <v>1563</v>
      </c>
      <c r="C194" s="20" t="str">
        <f t="shared" si="10"/>
        <v>Tropical MoistSouth-eastern Asia</v>
      </c>
      <c r="D194" s="249"/>
      <c r="E194" s="257">
        <f t="shared" si="11"/>
        <v>2.3075000000000001</v>
      </c>
      <c r="F194" s="566">
        <v>2.59</v>
      </c>
      <c r="G194" s="574">
        <v>5.3</v>
      </c>
      <c r="H194" s="565">
        <v>0.47</v>
      </c>
      <c r="I194" s="588">
        <v>3.03</v>
      </c>
      <c r="J194" s="565">
        <v>0.59</v>
      </c>
      <c r="K194" s="588">
        <v>2.0699999999999998</v>
      </c>
      <c r="L194" s="574">
        <v>1.5</v>
      </c>
      <c r="M194" s="565">
        <v>2.91</v>
      </c>
      <c r="N194" s="55"/>
      <c r="O194" s="55"/>
      <c r="P194" s="55"/>
      <c r="Q194" s="55"/>
      <c r="R194" s="55">
        <v>2.4</v>
      </c>
      <c r="S194" s="55">
        <v>3</v>
      </c>
      <c r="T194" s="55">
        <v>0.7</v>
      </c>
    </row>
    <row r="195" spans="1:20" x14ac:dyDescent="0.2">
      <c r="A195" s="20" t="s">
        <v>1488</v>
      </c>
      <c r="B195" s="403" t="s">
        <v>1567</v>
      </c>
      <c r="C195" s="20" t="str">
        <f t="shared" si="10"/>
        <v>Tropical MoistSouthern Asia</v>
      </c>
      <c r="D195" s="249"/>
      <c r="E195" s="257">
        <f t="shared" si="11"/>
        <v>2.3075000000000001</v>
      </c>
      <c r="F195" s="566">
        <v>2.59</v>
      </c>
      <c r="G195" s="574">
        <v>5.3</v>
      </c>
      <c r="H195" s="565">
        <v>0.47</v>
      </c>
      <c r="I195" s="588">
        <v>3.03</v>
      </c>
      <c r="J195" s="565">
        <v>0.59</v>
      </c>
      <c r="K195" s="588">
        <v>2.0699999999999998</v>
      </c>
      <c r="L195" s="574">
        <v>1.5</v>
      </c>
      <c r="M195" s="565">
        <v>2.91</v>
      </c>
      <c r="N195" s="55"/>
      <c r="O195" s="55"/>
      <c r="P195" s="55"/>
      <c r="Q195" s="55"/>
      <c r="R195" s="55">
        <v>2.4</v>
      </c>
      <c r="S195" s="55">
        <v>3</v>
      </c>
      <c r="T195" s="55">
        <v>0.7</v>
      </c>
    </row>
    <row r="196" spans="1:20" x14ac:dyDescent="0.2">
      <c r="A196" s="20" t="s">
        <v>1488</v>
      </c>
      <c r="B196" s="403" t="s">
        <v>1571</v>
      </c>
      <c r="C196" s="20" t="str">
        <f t="shared" si="10"/>
        <v>Tropical MoistWestern Asia</v>
      </c>
      <c r="D196" s="249"/>
      <c r="E196" s="257">
        <f t="shared" si="11"/>
        <v>2.3075000000000001</v>
      </c>
      <c r="F196" s="566">
        <v>2.59</v>
      </c>
      <c r="G196" s="574">
        <v>5.3</v>
      </c>
      <c r="H196" s="565">
        <v>0.47</v>
      </c>
      <c r="I196" s="588">
        <v>3.03</v>
      </c>
      <c r="J196" s="565">
        <v>0.59</v>
      </c>
      <c r="K196" s="588">
        <v>2.0699999999999998</v>
      </c>
      <c r="L196" s="574">
        <v>1.5</v>
      </c>
      <c r="M196" s="565">
        <v>2.91</v>
      </c>
      <c r="N196" s="55"/>
      <c r="O196" s="55"/>
      <c r="P196" s="55"/>
      <c r="Q196" s="55"/>
      <c r="R196" s="55">
        <v>2.4</v>
      </c>
      <c r="S196" s="55">
        <v>3</v>
      </c>
      <c r="T196" s="55">
        <v>0.7</v>
      </c>
    </row>
    <row r="197" spans="1:20" x14ac:dyDescent="0.2">
      <c r="A197" s="20" t="s">
        <v>1488</v>
      </c>
      <c r="B197" s="403" t="s">
        <v>1555</v>
      </c>
      <c r="C197" s="20" t="str">
        <f t="shared" si="10"/>
        <v>Tropical MoistEurope</v>
      </c>
      <c r="D197" s="249"/>
      <c r="E197" s="257">
        <f t="shared" si="11"/>
        <v>2.4924999999999997</v>
      </c>
      <c r="F197" s="566">
        <v>2.59</v>
      </c>
      <c r="G197" s="566">
        <v>5.3</v>
      </c>
      <c r="H197" s="565">
        <v>0.47</v>
      </c>
      <c r="I197" s="587">
        <v>3.02</v>
      </c>
      <c r="J197" s="565">
        <v>0.59</v>
      </c>
      <c r="K197" s="587">
        <v>2.4300000000000002</v>
      </c>
      <c r="L197" s="566">
        <v>2.63</v>
      </c>
      <c r="M197" s="565">
        <v>2.91</v>
      </c>
      <c r="N197" s="55"/>
      <c r="O197" s="55"/>
      <c r="P197" s="55"/>
      <c r="Q197" s="55"/>
      <c r="R197" s="55">
        <v>2.4</v>
      </c>
      <c r="S197" s="55">
        <v>3</v>
      </c>
      <c r="T197" s="55">
        <v>0.7</v>
      </c>
    </row>
    <row r="198" spans="1:20" x14ac:dyDescent="0.2">
      <c r="A198" s="20" t="s">
        <v>1488</v>
      </c>
      <c r="B198" s="403" t="s">
        <v>1346</v>
      </c>
      <c r="C198" s="20" t="str">
        <f t="shared" si="10"/>
        <v>Tropical MoistOceania</v>
      </c>
      <c r="D198" s="249"/>
      <c r="E198" s="257">
        <f t="shared" si="11"/>
        <v>2.4924999999999997</v>
      </c>
      <c r="F198" s="566">
        <v>2.59</v>
      </c>
      <c r="G198" s="566">
        <v>5.3</v>
      </c>
      <c r="H198" s="565">
        <v>0.47</v>
      </c>
      <c r="I198" s="587">
        <v>3.02</v>
      </c>
      <c r="J198" s="565">
        <v>0.59</v>
      </c>
      <c r="K198" s="587">
        <v>2.4300000000000002</v>
      </c>
      <c r="L198" s="566">
        <v>2.63</v>
      </c>
      <c r="M198" s="565">
        <v>2.91</v>
      </c>
      <c r="N198" s="55"/>
      <c r="O198" s="55"/>
      <c r="P198" s="55"/>
      <c r="Q198" s="55"/>
      <c r="R198" s="55">
        <v>2.4</v>
      </c>
      <c r="S198" s="55">
        <v>3</v>
      </c>
      <c r="T198" s="55">
        <v>0.7</v>
      </c>
    </row>
    <row r="199" spans="1:20" x14ac:dyDescent="0.2">
      <c r="A199" s="20" t="s">
        <v>1488</v>
      </c>
      <c r="B199" s="403" t="s">
        <v>1343</v>
      </c>
      <c r="C199" s="20" t="str">
        <f t="shared" si="10"/>
        <v>Tropical MoistNorth America</v>
      </c>
      <c r="D199" s="249"/>
      <c r="E199" s="257">
        <f t="shared" si="11"/>
        <v>2.4924999999999997</v>
      </c>
      <c r="F199" s="566">
        <v>2.59</v>
      </c>
      <c r="G199" s="566">
        <v>5.3</v>
      </c>
      <c r="H199" s="565">
        <v>0.47</v>
      </c>
      <c r="I199" s="587">
        <v>3.02</v>
      </c>
      <c r="J199" s="565">
        <v>0.59</v>
      </c>
      <c r="K199" s="587">
        <v>2.4300000000000002</v>
      </c>
      <c r="L199" s="566">
        <v>2.63</v>
      </c>
      <c r="M199" s="565">
        <v>2.91</v>
      </c>
      <c r="N199" s="55"/>
      <c r="O199" s="55"/>
      <c r="P199" s="55"/>
      <c r="Q199" s="55"/>
      <c r="R199" s="55">
        <v>2.4</v>
      </c>
      <c r="S199" s="55">
        <v>3</v>
      </c>
      <c r="T199" s="55">
        <v>0.7</v>
      </c>
    </row>
    <row r="200" spans="1:20" x14ac:dyDescent="0.2">
      <c r="A200" s="20" t="s">
        <v>1488</v>
      </c>
      <c r="B200" s="403" t="s">
        <v>1349</v>
      </c>
      <c r="C200" s="20" t="str">
        <f t="shared" si="10"/>
        <v>Tropical MoistSouth America</v>
      </c>
      <c r="D200" s="249"/>
      <c r="E200" s="257">
        <f t="shared" si="11"/>
        <v>2.57125</v>
      </c>
      <c r="F200" s="566">
        <v>2.59</v>
      </c>
      <c r="G200" s="566">
        <v>5.3</v>
      </c>
      <c r="H200" s="565">
        <v>0.47</v>
      </c>
      <c r="I200" s="587">
        <v>3.02</v>
      </c>
      <c r="J200" s="565">
        <v>0.59</v>
      </c>
      <c r="K200" s="588">
        <v>3.06</v>
      </c>
      <c r="L200" s="566">
        <v>2.63</v>
      </c>
      <c r="M200" s="565">
        <v>2.91</v>
      </c>
      <c r="N200" s="55"/>
      <c r="O200" s="55"/>
      <c r="P200" s="55"/>
      <c r="Q200" s="55"/>
      <c r="R200" s="55">
        <v>2.4</v>
      </c>
      <c r="S200" s="55">
        <v>3</v>
      </c>
      <c r="T200" s="55">
        <v>0.7</v>
      </c>
    </row>
    <row r="201" spans="1:20" x14ac:dyDescent="0.2">
      <c r="A201" s="20" t="s">
        <v>1488</v>
      </c>
      <c r="B201" s="403" t="s">
        <v>1333</v>
      </c>
      <c r="C201" s="20" t="str">
        <f t="shared" si="10"/>
        <v>Tropical MoistCentral America</v>
      </c>
      <c r="D201" s="249"/>
      <c r="E201" s="257">
        <f t="shared" si="11"/>
        <v>2.4537499999999999</v>
      </c>
      <c r="F201" s="574">
        <v>2.2799999999999998</v>
      </c>
      <c r="G201" s="566">
        <v>5.3</v>
      </c>
      <c r="H201" s="565">
        <v>0.47</v>
      </c>
      <c r="I201" s="587">
        <v>3.02</v>
      </c>
      <c r="J201" s="565">
        <v>0.59</v>
      </c>
      <c r="K201" s="587">
        <v>2.4300000000000002</v>
      </c>
      <c r="L201" s="566">
        <v>2.63</v>
      </c>
      <c r="M201" s="565">
        <v>2.91</v>
      </c>
      <c r="N201" s="55"/>
      <c r="O201" s="55"/>
      <c r="P201" s="55"/>
      <c r="Q201" s="55"/>
      <c r="R201" s="55">
        <v>2.4</v>
      </c>
      <c r="S201" s="55">
        <v>3</v>
      </c>
      <c r="T201" s="55">
        <v>0.7</v>
      </c>
    </row>
    <row r="202" spans="1:20" x14ac:dyDescent="0.2">
      <c r="A202" s="20" t="s">
        <v>1488</v>
      </c>
      <c r="B202" s="404" t="s">
        <v>1547</v>
      </c>
      <c r="C202" s="20" t="str">
        <f t="shared" si="10"/>
        <v>Tropical MoistCaribbean</v>
      </c>
      <c r="D202" s="252"/>
      <c r="E202" s="257">
        <f t="shared" si="11"/>
        <v>2.4924999999999997</v>
      </c>
      <c r="F202" s="566">
        <v>2.59</v>
      </c>
      <c r="G202" s="592">
        <v>5.3</v>
      </c>
      <c r="H202" s="578">
        <v>0.47</v>
      </c>
      <c r="I202" s="593">
        <v>3.02</v>
      </c>
      <c r="J202" s="578">
        <v>0.59</v>
      </c>
      <c r="K202" s="587">
        <v>2.4300000000000002</v>
      </c>
      <c r="L202" s="592">
        <v>2.63</v>
      </c>
      <c r="M202" s="578">
        <v>2.91</v>
      </c>
      <c r="N202" s="579"/>
      <c r="O202" s="579"/>
      <c r="P202" s="579"/>
      <c r="Q202" s="579"/>
      <c r="R202" s="55">
        <v>2.4</v>
      </c>
      <c r="S202" s="55">
        <v>3</v>
      </c>
      <c r="T202" s="55">
        <v>0.7</v>
      </c>
    </row>
    <row r="203" spans="1:20" x14ac:dyDescent="0.2">
      <c r="A203" s="63" t="str">
        <f>list!$G$11</f>
        <v>Tropical Montane</v>
      </c>
      <c r="B203" s="407" t="s">
        <v>1552</v>
      </c>
      <c r="C203" s="63" t="str">
        <f>CONCATENATE(A203,B203)</f>
        <v>Tropical MontaneEastern Africa</v>
      </c>
      <c r="D203" s="248"/>
      <c r="E203" s="256">
        <f>AVERAGE(F203:M203)</f>
        <v>2.16</v>
      </c>
      <c r="F203" s="594">
        <f>AVERAGE(F267,F283)</f>
        <v>2.37</v>
      </c>
      <c r="G203" s="591">
        <v>3.12</v>
      </c>
      <c r="H203" s="595">
        <f t="shared" ref="H203:M203" si="12">AVERAGE(H267,H283)</f>
        <v>0.66999999999999993</v>
      </c>
      <c r="I203" s="596">
        <f t="shared" si="12"/>
        <v>3.25</v>
      </c>
      <c r="J203" s="594">
        <f t="shared" si="12"/>
        <v>0.59</v>
      </c>
      <c r="K203" s="597">
        <f t="shared" si="12"/>
        <v>2.4</v>
      </c>
      <c r="L203" s="598">
        <f t="shared" si="12"/>
        <v>2.2599999999999998</v>
      </c>
      <c r="M203" s="599">
        <f t="shared" si="12"/>
        <v>2.62</v>
      </c>
      <c r="N203" s="567"/>
      <c r="O203" s="567"/>
      <c r="P203" s="567"/>
      <c r="Q203" s="567"/>
      <c r="R203" s="567">
        <v>2.4</v>
      </c>
      <c r="S203" s="567">
        <v>3</v>
      </c>
      <c r="T203" s="567">
        <v>0.7</v>
      </c>
    </row>
    <row r="204" spans="1:20" x14ac:dyDescent="0.2">
      <c r="A204" s="20" t="str">
        <f>list!$G$11</f>
        <v>Tropical Montane</v>
      </c>
      <c r="B204" s="405" t="s">
        <v>1557</v>
      </c>
      <c r="C204" s="20" t="str">
        <f t="shared" si="10"/>
        <v>Tropical MontaneCentral Africa</v>
      </c>
      <c r="D204" s="249"/>
      <c r="E204" s="257">
        <f>AVERAGE(F204:M204)</f>
        <v>2.16</v>
      </c>
      <c r="F204" s="600">
        <f t="shared" ref="F204:F218" si="13">AVERAGE(F268,F284)</f>
        <v>2.37</v>
      </c>
      <c r="G204" s="588">
        <v>3.12</v>
      </c>
      <c r="H204" s="601">
        <f t="shared" ref="H204:I218" si="14">AVERAGE(H268,H284)</f>
        <v>0.66999999999999993</v>
      </c>
      <c r="I204" s="602">
        <f t="shared" si="14"/>
        <v>3.25</v>
      </c>
      <c r="J204" s="600">
        <f t="shared" ref="J204:J218" si="15">AVERAGE(J268,J284)</f>
        <v>0.59</v>
      </c>
      <c r="K204" s="603">
        <f t="shared" ref="K204:K218" si="16">AVERAGE(K268,K284)</f>
        <v>2.4</v>
      </c>
      <c r="L204" s="604">
        <f t="shared" ref="L204:M218" si="17">AVERAGE(L268,L284)</f>
        <v>2.2599999999999998</v>
      </c>
      <c r="M204" s="605">
        <f t="shared" si="17"/>
        <v>2.62</v>
      </c>
      <c r="N204" s="55"/>
      <c r="O204" s="55"/>
      <c r="P204" s="55"/>
      <c r="Q204" s="55"/>
      <c r="R204" s="55">
        <v>2.4</v>
      </c>
      <c r="S204" s="55">
        <v>3</v>
      </c>
      <c r="T204" s="55">
        <v>0.7</v>
      </c>
    </row>
    <row r="205" spans="1:20" x14ac:dyDescent="0.2">
      <c r="A205" s="20" t="str">
        <f>list!$G$11</f>
        <v>Tropical Montane</v>
      </c>
      <c r="B205" s="405" t="s">
        <v>1559</v>
      </c>
      <c r="C205" s="20" t="str">
        <f t="shared" si="10"/>
        <v>Tropical MontaneNorthern Africa</v>
      </c>
      <c r="D205" s="249"/>
      <c r="E205" s="257">
        <f>AVERAGE(F205:M205)</f>
        <v>2.16</v>
      </c>
      <c r="F205" s="600">
        <f t="shared" si="13"/>
        <v>2.37</v>
      </c>
      <c r="G205" s="588">
        <v>3.12</v>
      </c>
      <c r="H205" s="601">
        <f t="shared" si="14"/>
        <v>0.66999999999999993</v>
      </c>
      <c r="I205" s="602">
        <f t="shared" si="14"/>
        <v>3.25</v>
      </c>
      <c r="J205" s="600">
        <f t="shared" si="15"/>
        <v>0.59</v>
      </c>
      <c r="K205" s="603">
        <f t="shared" si="16"/>
        <v>2.4</v>
      </c>
      <c r="L205" s="604">
        <f t="shared" si="17"/>
        <v>2.2599999999999998</v>
      </c>
      <c r="M205" s="605">
        <f t="shared" si="17"/>
        <v>2.62</v>
      </c>
      <c r="N205" s="55"/>
      <c r="O205" s="55"/>
      <c r="P205" s="55"/>
      <c r="Q205" s="55"/>
      <c r="R205" s="55">
        <v>2.4</v>
      </c>
      <c r="S205" s="55">
        <v>3</v>
      </c>
      <c r="T205" s="55">
        <v>0.7</v>
      </c>
    </row>
    <row r="206" spans="1:20" x14ac:dyDescent="0.2">
      <c r="A206" s="20" t="str">
        <f>list!$G$11</f>
        <v>Tropical Montane</v>
      </c>
      <c r="B206" s="405" t="s">
        <v>1565</v>
      </c>
      <c r="C206" s="20" t="str">
        <f t="shared" si="10"/>
        <v>Tropical MontaneSouthern Africa</v>
      </c>
      <c r="D206" s="249"/>
      <c r="E206" s="257">
        <f t="shared" ref="E206:E218" si="18">AVERAGE(F206:M206)</f>
        <v>2.16</v>
      </c>
      <c r="F206" s="600">
        <f t="shared" si="13"/>
        <v>2.37</v>
      </c>
      <c r="G206" s="588">
        <v>3.12</v>
      </c>
      <c r="H206" s="601">
        <f t="shared" si="14"/>
        <v>0.66999999999999993</v>
      </c>
      <c r="I206" s="602">
        <f t="shared" si="14"/>
        <v>3.25</v>
      </c>
      <c r="J206" s="600">
        <f t="shared" si="15"/>
        <v>0.59</v>
      </c>
      <c r="K206" s="603">
        <f t="shared" si="16"/>
        <v>2.4</v>
      </c>
      <c r="L206" s="604">
        <f t="shared" si="17"/>
        <v>2.2599999999999998</v>
      </c>
      <c r="M206" s="605">
        <f t="shared" si="17"/>
        <v>2.62</v>
      </c>
      <c r="N206" s="55"/>
      <c r="O206" s="55"/>
      <c r="P206" s="55"/>
      <c r="Q206" s="55"/>
      <c r="R206" s="55">
        <v>2.4</v>
      </c>
      <c r="S206" s="55">
        <v>3</v>
      </c>
      <c r="T206" s="55">
        <v>0.7</v>
      </c>
    </row>
    <row r="207" spans="1:20" x14ac:dyDescent="0.2">
      <c r="A207" s="20" t="str">
        <f>list!$G$11</f>
        <v>Tropical Montane</v>
      </c>
      <c r="B207" s="405" t="s">
        <v>1569</v>
      </c>
      <c r="C207" s="20" t="str">
        <f t="shared" si="10"/>
        <v>Tropical MontaneWestern Africa</v>
      </c>
      <c r="D207" s="249"/>
      <c r="E207" s="257">
        <f>AVERAGE(F207:M207)</f>
        <v>2.16</v>
      </c>
      <c r="F207" s="600">
        <f t="shared" si="13"/>
        <v>2.37</v>
      </c>
      <c r="G207" s="588">
        <v>3.12</v>
      </c>
      <c r="H207" s="601">
        <f t="shared" si="14"/>
        <v>0.66999999999999993</v>
      </c>
      <c r="I207" s="602">
        <f t="shared" si="14"/>
        <v>3.25</v>
      </c>
      <c r="J207" s="600">
        <f t="shared" si="15"/>
        <v>0.59</v>
      </c>
      <c r="K207" s="603">
        <f t="shared" si="16"/>
        <v>2.4</v>
      </c>
      <c r="L207" s="604">
        <f t="shared" si="17"/>
        <v>2.2599999999999998</v>
      </c>
      <c r="M207" s="605">
        <f t="shared" si="17"/>
        <v>2.62</v>
      </c>
      <c r="N207" s="55"/>
      <c r="O207" s="55"/>
      <c r="P207" s="55"/>
      <c r="Q207" s="55"/>
      <c r="R207" s="55">
        <v>2.4</v>
      </c>
      <c r="S207" s="55">
        <v>3</v>
      </c>
      <c r="T207" s="55">
        <v>0.7</v>
      </c>
    </row>
    <row r="208" spans="1:20" x14ac:dyDescent="0.2">
      <c r="A208" s="20" t="str">
        <f>list!$G$11</f>
        <v>Tropical Montane</v>
      </c>
      <c r="B208" s="405" t="s">
        <v>1550</v>
      </c>
      <c r="C208" s="20" t="str">
        <f t="shared" si="10"/>
        <v>Tropical MontaneCentral Asia</v>
      </c>
      <c r="D208" s="249"/>
      <c r="E208" s="257">
        <f t="shared" si="18"/>
        <v>2.3225000000000002</v>
      </c>
      <c r="F208" s="600">
        <f>AVERAGE(F272,F288)</f>
        <v>2.37</v>
      </c>
      <c r="G208" s="604">
        <f>AVERAGE(G272,G288)</f>
        <v>4.42</v>
      </c>
      <c r="H208" s="601">
        <f t="shared" si="14"/>
        <v>0.66999999999999993</v>
      </c>
      <c r="I208" s="602">
        <f t="shared" si="14"/>
        <v>3.25</v>
      </c>
      <c r="J208" s="600">
        <f t="shared" si="15"/>
        <v>0.59</v>
      </c>
      <c r="K208" s="603">
        <f t="shared" si="16"/>
        <v>2.4</v>
      </c>
      <c r="L208" s="604">
        <f t="shared" si="17"/>
        <v>2.2599999999999998</v>
      </c>
      <c r="M208" s="605">
        <f t="shared" si="17"/>
        <v>2.62</v>
      </c>
      <c r="N208" s="55"/>
      <c r="O208" s="55"/>
      <c r="P208" s="55"/>
      <c r="Q208" s="55"/>
      <c r="R208" s="55">
        <v>2.4</v>
      </c>
      <c r="S208" s="55">
        <v>3</v>
      </c>
      <c r="T208" s="55">
        <v>0.7</v>
      </c>
    </row>
    <row r="209" spans="1:20" x14ac:dyDescent="0.2">
      <c r="A209" s="20" t="str">
        <f>list!$G$11</f>
        <v>Tropical Montane</v>
      </c>
      <c r="B209" s="405" t="s">
        <v>1554</v>
      </c>
      <c r="C209" s="20" t="str">
        <f t="shared" si="10"/>
        <v>Tropical MontaneEastern Asia</v>
      </c>
      <c r="D209" s="249"/>
      <c r="E209" s="257">
        <f t="shared" si="18"/>
        <v>2.3225000000000002</v>
      </c>
      <c r="F209" s="600">
        <f t="shared" si="13"/>
        <v>2.37</v>
      </c>
      <c r="G209" s="604">
        <f t="shared" ref="G209:G218" si="19">AVERAGE(G273,G289)</f>
        <v>4.42</v>
      </c>
      <c r="H209" s="601">
        <f t="shared" si="14"/>
        <v>0.66999999999999993</v>
      </c>
      <c r="I209" s="602">
        <f t="shared" si="14"/>
        <v>3.25</v>
      </c>
      <c r="J209" s="600">
        <f t="shared" si="15"/>
        <v>0.59</v>
      </c>
      <c r="K209" s="603">
        <f t="shared" si="16"/>
        <v>2.4</v>
      </c>
      <c r="L209" s="604">
        <f t="shared" si="17"/>
        <v>2.2599999999999998</v>
      </c>
      <c r="M209" s="605">
        <f t="shared" si="17"/>
        <v>2.62</v>
      </c>
      <c r="N209" s="55"/>
      <c r="O209" s="55"/>
      <c r="P209" s="55"/>
      <c r="Q209" s="55"/>
      <c r="R209" s="55">
        <v>2.4</v>
      </c>
      <c r="S209" s="55">
        <v>3</v>
      </c>
      <c r="T209" s="55">
        <v>0.7</v>
      </c>
    </row>
    <row r="210" spans="1:20" x14ac:dyDescent="0.2">
      <c r="A210" s="20" t="str">
        <f>list!$G$11</f>
        <v>Tropical Montane</v>
      </c>
      <c r="B210" s="405" t="s">
        <v>1563</v>
      </c>
      <c r="C210" s="20" t="str">
        <f t="shared" si="10"/>
        <v>Tropical MontaneSouth-eastern Asia</v>
      </c>
      <c r="D210" s="249"/>
      <c r="E210" s="257">
        <f t="shared" si="18"/>
        <v>2.3225000000000002</v>
      </c>
      <c r="F210" s="600">
        <f t="shared" si="13"/>
        <v>2.37</v>
      </c>
      <c r="G210" s="604">
        <f t="shared" si="19"/>
        <v>4.42</v>
      </c>
      <c r="H210" s="601">
        <f t="shared" si="14"/>
        <v>0.66999999999999993</v>
      </c>
      <c r="I210" s="602">
        <f t="shared" si="14"/>
        <v>3.25</v>
      </c>
      <c r="J210" s="600">
        <f t="shared" si="15"/>
        <v>0.59</v>
      </c>
      <c r="K210" s="603">
        <f t="shared" si="16"/>
        <v>2.4</v>
      </c>
      <c r="L210" s="604">
        <f t="shared" si="17"/>
        <v>2.2599999999999998</v>
      </c>
      <c r="M210" s="605">
        <f t="shared" si="17"/>
        <v>2.62</v>
      </c>
      <c r="N210" s="55"/>
      <c r="O210" s="55"/>
      <c r="P210" s="55"/>
      <c r="Q210" s="55"/>
      <c r="R210" s="55">
        <v>2.4</v>
      </c>
      <c r="S210" s="55">
        <v>3</v>
      </c>
      <c r="T210" s="55">
        <v>0.7</v>
      </c>
    </row>
    <row r="211" spans="1:20" x14ac:dyDescent="0.2">
      <c r="A211" s="20" t="str">
        <f>list!$G$11</f>
        <v>Tropical Montane</v>
      </c>
      <c r="B211" s="405" t="s">
        <v>1567</v>
      </c>
      <c r="C211" s="20" t="str">
        <f t="shared" si="10"/>
        <v>Tropical MontaneSouthern Asia</v>
      </c>
      <c r="D211" s="249"/>
      <c r="E211" s="257">
        <f t="shared" si="18"/>
        <v>2.3225000000000002</v>
      </c>
      <c r="F211" s="600">
        <f t="shared" si="13"/>
        <v>2.37</v>
      </c>
      <c r="G211" s="604">
        <f t="shared" si="19"/>
        <v>4.42</v>
      </c>
      <c r="H211" s="601">
        <f t="shared" si="14"/>
        <v>0.66999999999999993</v>
      </c>
      <c r="I211" s="602">
        <f t="shared" si="14"/>
        <v>3.25</v>
      </c>
      <c r="J211" s="600">
        <f t="shared" si="15"/>
        <v>0.59</v>
      </c>
      <c r="K211" s="603">
        <f t="shared" si="16"/>
        <v>2.4</v>
      </c>
      <c r="L211" s="604">
        <f t="shared" si="17"/>
        <v>2.2599999999999998</v>
      </c>
      <c r="M211" s="605">
        <f t="shared" si="17"/>
        <v>2.62</v>
      </c>
      <c r="N211" s="55"/>
      <c r="O211" s="55"/>
      <c r="P211" s="55"/>
      <c r="Q211" s="55"/>
      <c r="R211" s="55">
        <v>2.4</v>
      </c>
      <c r="S211" s="55">
        <v>3</v>
      </c>
      <c r="T211" s="55">
        <v>0.7</v>
      </c>
    </row>
    <row r="212" spans="1:20" x14ac:dyDescent="0.2">
      <c r="A212" s="20" t="str">
        <f>list!$G$11</f>
        <v>Tropical Montane</v>
      </c>
      <c r="B212" s="405" t="s">
        <v>1571</v>
      </c>
      <c r="C212" s="20" t="str">
        <f t="shared" si="10"/>
        <v>Tropical MontaneWestern Asia</v>
      </c>
      <c r="D212" s="249"/>
      <c r="E212" s="257">
        <f t="shared" si="18"/>
        <v>2.3225000000000002</v>
      </c>
      <c r="F212" s="600">
        <f t="shared" si="13"/>
        <v>2.37</v>
      </c>
      <c r="G212" s="604">
        <f t="shared" si="19"/>
        <v>4.42</v>
      </c>
      <c r="H212" s="601">
        <f t="shared" si="14"/>
        <v>0.66999999999999993</v>
      </c>
      <c r="I212" s="602">
        <f t="shared" si="14"/>
        <v>3.25</v>
      </c>
      <c r="J212" s="600">
        <f t="shared" si="15"/>
        <v>0.59</v>
      </c>
      <c r="K212" s="603">
        <f t="shared" si="16"/>
        <v>2.4</v>
      </c>
      <c r="L212" s="604">
        <f t="shared" si="17"/>
        <v>2.2599999999999998</v>
      </c>
      <c r="M212" s="605">
        <f t="shared" si="17"/>
        <v>2.62</v>
      </c>
      <c r="N212" s="55"/>
      <c r="O212" s="55"/>
      <c r="P212" s="55"/>
      <c r="Q212" s="55"/>
      <c r="R212" s="55">
        <v>2.4</v>
      </c>
      <c r="S212" s="55">
        <v>3</v>
      </c>
      <c r="T212" s="55">
        <v>0.7</v>
      </c>
    </row>
    <row r="213" spans="1:20" x14ac:dyDescent="0.2">
      <c r="A213" s="20" t="str">
        <f>list!$G$11</f>
        <v>Tropical Montane</v>
      </c>
      <c r="B213" s="405" t="s">
        <v>1555</v>
      </c>
      <c r="C213" s="20" t="str">
        <f t="shared" si="10"/>
        <v>Tropical MontaneEurope</v>
      </c>
      <c r="D213" s="249"/>
      <c r="E213" s="257">
        <f t="shared" si="18"/>
        <v>2.3225000000000002</v>
      </c>
      <c r="F213" s="600">
        <f t="shared" si="13"/>
        <v>2.37</v>
      </c>
      <c r="G213" s="604">
        <f t="shared" si="19"/>
        <v>4.42</v>
      </c>
      <c r="H213" s="601">
        <f t="shared" si="14"/>
        <v>0.66999999999999993</v>
      </c>
      <c r="I213" s="602">
        <f t="shared" si="14"/>
        <v>3.25</v>
      </c>
      <c r="J213" s="600">
        <f t="shared" si="15"/>
        <v>0.59</v>
      </c>
      <c r="K213" s="603">
        <f t="shared" si="16"/>
        <v>2.4</v>
      </c>
      <c r="L213" s="604">
        <f t="shared" si="17"/>
        <v>2.2599999999999998</v>
      </c>
      <c r="M213" s="605">
        <f t="shared" si="17"/>
        <v>2.62</v>
      </c>
      <c r="N213" s="55"/>
      <c r="O213" s="55"/>
      <c r="P213" s="55"/>
      <c r="Q213" s="55"/>
      <c r="R213" s="55">
        <v>2.4</v>
      </c>
      <c r="S213" s="55">
        <v>3</v>
      </c>
      <c r="T213" s="55">
        <v>0.7</v>
      </c>
    </row>
    <row r="214" spans="1:20" x14ac:dyDescent="0.2">
      <c r="A214" s="20" t="str">
        <f>list!$G$11</f>
        <v>Tropical Montane</v>
      </c>
      <c r="B214" s="405" t="s">
        <v>1346</v>
      </c>
      <c r="C214" s="20" t="str">
        <f t="shared" si="10"/>
        <v>Tropical MontaneOceania</v>
      </c>
      <c r="D214" s="249"/>
      <c r="E214" s="257">
        <f t="shared" si="18"/>
        <v>2.3225000000000002</v>
      </c>
      <c r="F214" s="600">
        <f t="shared" si="13"/>
        <v>2.37</v>
      </c>
      <c r="G214" s="604">
        <f t="shared" si="19"/>
        <v>4.42</v>
      </c>
      <c r="H214" s="601">
        <f t="shared" si="14"/>
        <v>0.66999999999999993</v>
      </c>
      <c r="I214" s="602">
        <f t="shared" si="14"/>
        <v>3.25</v>
      </c>
      <c r="J214" s="600">
        <f t="shared" si="15"/>
        <v>0.59</v>
      </c>
      <c r="K214" s="603">
        <f t="shared" si="16"/>
        <v>2.4</v>
      </c>
      <c r="L214" s="604">
        <f t="shared" si="17"/>
        <v>2.2599999999999998</v>
      </c>
      <c r="M214" s="605">
        <f t="shared" si="17"/>
        <v>2.62</v>
      </c>
      <c r="N214" s="55"/>
      <c r="O214" s="55"/>
      <c r="P214" s="55"/>
      <c r="Q214" s="55"/>
      <c r="R214" s="55">
        <v>2.4</v>
      </c>
      <c r="S214" s="55">
        <v>3</v>
      </c>
      <c r="T214" s="55">
        <v>0.7</v>
      </c>
    </row>
    <row r="215" spans="1:20" x14ac:dyDescent="0.2">
      <c r="A215" s="20" t="str">
        <f>list!$G$11</f>
        <v>Tropical Montane</v>
      </c>
      <c r="B215" s="405" t="s">
        <v>1343</v>
      </c>
      <c r="C215" s="20" t="str">
        <f t="shared" si="10"/>
        <v>Tropical MontaneNorth America</v>
      </c>
      <c r="D215" s="249"/>
      <c r="E215" s="257">
        <f t="shared" si="18"/>
        <v>2.3225000000000002</v>
      </c>
      <c r="F215" s="600">
        <f t="shared" si="13"/>
        <v>2.37</v>
      </c>
      <c r="G215" s="604">
        <f t="shared" si="19"/>
        <v>4.42</v>
      </c>
      <c r="H215" s="601">
        <f t="shared" si="14"/>
        <v>0.66999999999999993</v>
      </c>
      <c r="I215" s="602">
        <f t="shared" si="14"/>
        <v>3.25</v>
      </c>
      <c r="J215" s="600">
        <f t="shared" si="15"/>
        <v>0.59</v>
      </c>
      <c r="K215" s="603">
        <f t="shared" si="16"/>
        <v>2.4</v>
      </c>
      <c r="L215" s="604">
        <f t="shared" si="17"/>
        <v>2.2599999999999998</v>
      </c>
      <c r="M215" s="605">
        <f t="shared" si="17"/>
        <v>2.62</v>
      </c>
      <c r="N215" s="55"/>
      <c r="O215" s="55"/>
      <c r="P215" s="55"/>
      <c r="Q215" s="55"/>
      <c r="R215" s="55">
        <v>2.4</v>
      </c>
      <c r="S215" s="55">
        <v>3</v>
      </c>
      <c r="T215" s="55">
        <v>0.7</v>
      </c>
    </row>
    <row r="216" spans="1:20" x14ac:dyDescent="0.2">
      <c r="A216" s="20" t="str">
        <f>list!$G$11</f>
        <v>Tropical Montane</v>
      </c>
      <c r="B216" s="405" t="s">
        <v>1349</v>
      </c>
      <c r="C216" s="20" t="str">
        <f t="shared" si="10"/>
        <v>Tropical MontaneSouth America</v>
      </c>
      <c r="D216" s="249"/>
      <c r="E216" s="257">
        <f t="shared" si="18"/>
        <v>2.3225000000000002</v>
      </c>
      <c r="F216" s="600">
        <f t="shared" si="13"/>
        <v>2.37</v>
      </c>
      <c r="G216" s="604">
        <f t="shared" si="19"/>
        <v>4.42</v>
      </c>
      <c r="H216" s="601">
        <f t="shared" si="14"/>
        <v>0.66999999999999993</v>
      </c>
      <c r="I216" s="602">
        <f t="shared" si="14"/>
        <v>3.25</v>
      </c>
      <c r="J216" s="600">
        <f t="shared" si="15"/>
        <v>0.59</v>
      </c>
      <c r="K216" s="603">
        <f t="shared" si="16"/>
        <v>2.4</v>
      </c>
      <c r="L216" s="604">
        <f t="shared" si="17"/>
        <v>2.2599999999999998</v>
      </c>
      <c r="M216" s="605">
        <f t="shared" si="17"/>
        <v>2.62</v>
      </c>
      <c r="N216" s="55"/>
      <c r="O216" s="55"/>
      <c r="P216" s="55"/>
      <c r="Q216" s="55"/>
      <c r="R216" s="55">
        <v>2.4</v>
      </c>
      <c r="S216" s="55">
        <v>3</v>
      </c>
      <c r="T216" s="55">
        <v>0.7</v>
      </c>
    </row>
    <row r="217" spans="1:20" x14ac:dyDescent="0.2">
      <c r="A217" s="20" t="str">
        <f>list!$G$11</f>
        <v>Tropical Montane</v>
      </c>
      <c r="B217" s="405" t="s">
        <v>1333</v>
      </c>
      <c r="C217" s="20" t="str">
        <f t="shared" si="10"/>
        <v>Tropical MontaneCentral America</v>
      </c>
      <c r="D217" s="249"/>
      <c r="E217" s="257">
        <f t="shared" si="18"/>
        <v>2.3225000000000002</v>
      </c>
      <c r="F217" s="600">
        <f t="shared" si="13"/>
        <v>2.37</v>
      </c>
      <c r="G217" s="604">
        <f t="shared" si="19"/>
        <v>4.42</v>
      </c>
      <c r="H217" s="601">
        <f t="shared" si="14"/>
        <v>0.66999999999999993</v>
      </c>
      <c r="I217" s="602">
        <f t="shared" si="14"/>
        <v>3.25</v>
      </c>
      <c r="J217" s="600">
        <f t="shared" si="15"/>
        <v>0.59</v>
      </c>
      <c r="K217" s="603">
        <f t="shared" si="16"/>
        <v>2.4</v>
      </c>
      <c r="L217" s="604">
        <f t="shared" si="17"/>
        <v>2.2599999999999998</v>
      </c>
      <c r="M217" s="605">
        <f t="shared" si="17"/>
        <v>2.62</v>
      </c>
      <c r="N217" s="55"/>
      <c r="O217" s="55"/>
      <c r="P217" s="55"/>
      <c r="Q217" s="55"/>
      <c r="R217" s="55">
        <v>2.4</v>
      </c>
      <c r="S217" s="55">
        <v>3</v>
      </c>
      <c r="T217" s="55">
        <v>0.7</v>
      </c>
    </row>
    <row r="218" spans="1:20" x14ac:dyDescent="0.2">
      <c r="A218" s="37" t="str">
        <f>list!$G$11</f>
        <v>Tropical Montane</v>
      </c>
      <c r="B218" s="406" t="s">
        <v>1547</v>
      </c>
      <c r="C218" s="20" t="str">
        <f t="shared" si="10"/>
        <v>Tropical MontaneCaribbean</v>
      </c>
      <c r="D218" s="252"/>
      <c r="E218" s="258">
        <f t="shared" si="18"/>
        <v>2.3225000000000002</v>
      </c>
      <c r="F218" s="606">
        <f t="shared" si="13"/>
        <v>2.37</v>
      </c>
      <c r="G218" s="604">
        <f t="shared" si="19"/>
        <v>4.42</v>
      </c>
      <c r="H218" s="607">
        <f t="shared" si="14"/>
        <v>0.66999999999999993</v>
      </c>
      <c r="I218" s="608">
        <f t="shared" si="14"/>
        <v>3.25</v>
      </c>
      <c r="J218" s="606">
        <f t="shared" si="15"/>
        <v>0.59</v>
      </c>
      <c r="K218" s="609">
        <f t="shared" si="16"/>
        <v>2.4</v>
      </c>
      <c r="L218" s="610">
        <f t="shared" si="17"/>
        <v>2.2599999999999998</v>
      </c>
      <c r="M218" s="611">
        <f t="shared" si="17"/>
        <v>2.62</v>
      </c>
      <c r="N218" s="579"/>
      <c r="O218" s="579"/>
      <c r="P218" s="579"/>
      <c r="Q218" s="579"/>
      <c r="R218" s="55">
        <v>2.4</v>
      </c>
      <c r="S218" s="55">
        <v>3</v>
      </c>
      <c r="T218" s="55">
        <v>0.7</v>
      </c>
    </row>
    <row r="219" spans="1:20" x14ac:dyDescent="0.2">
      <c r="A219" s="20" t="s">
        <v>1489</v>
      </c>
      <c r="B219" s="408" t="s">
        <v>1552</v>
      </c>
      <c r="C219" s="63" t="str">
        <f t="shared" si="10"/>
        <v>Tropical WetEastern Africa</v>
      </c>
      <c r="D219" s="248"/>
      <c r="E219" s="256">
        <f>AVERAGE(F219:M219)</f>
        <v>2.3537499999999998</v>
      </c>
      <c r="F219" s="582">
        <v>1.88</v>
      </c>
      <c r="G219" s="583">
        <v>6.21</v>
      </c>
      <c r="H219" s="590">
        <v>0.43</v>
      </c>
      <c r="I219" s="583">
        <v>2.89</v>
      </c>
      <c r="J219" s="582">
        <v>0.59</v>
      </c>
      <c r="K219" s="583">
        <v>3.16</v>
      </c>
      <c r="L219" s="582">
        <v>3.61</v>
      </c>
      <c r="M219" s="612">
        <v>0.06</v>
      </c>
      <c r="N219" s="567"/>
      <c r="O219" s="567"/>
      <c r="P219" s="567"/>
      <c r="Q219" s="567"/>
      <c r="R219" s="567">
        <v>2.4</v>
      </c>
      <c r="S219" s="567">
        <v>3</v>
      </c>
      <c r="T219" s="567">
        <v>0.7</v>
      </c>
    </row>
    <row r="220" spans="1:20" x14ac:dyDescent="0.2">
      <c r="A220" s="20" t="s">
        <v>1489</v>
      </c>
      <c r="B220" s="401" t="s">
        <v>1557</v>
      </c>
      <c r="C220" s="20" t="str">
        <f t="shared" si="10"/>
        <v>Tropical WetCentral Africa</v>
      </c>
      <c r="D220" s="249"/>
      <c r="E220" s="257">
        <f>AVERAGE(F220:M220)</f>
        <v>2.3537499999999998</v>
      </c>
      <c r="F220" s="565">
        <v>1.88</v>
      </c>
      <c r="G220" s="564">
        <v>6.21</v>
      </c>
      <c r="H220" s="566">
        <v>0.43</v>
      </c>
      <c r="I220" s="564">
        <v>2.89</v>
      </c>
      <c r="J220" s="565">
        <v>0.59</v>
      </c>
      <c r="K220" s="564">
        <v>3.16</v>
      </c>
      <c r="L220" s="565">
        <v>3.61</v>
      </c>
      <c r="M220" s="589">
        <v>0.06</v>
      </c>
      <c r="N220" s="55"/>
      <c r="O220" s="55"/>
      <c r="P220" s="55"/>
      <c r="Q220" s="55"/>
      <c r="R220" s="55">
        <v>2.4</v>
      </c>
      <c r="S220" s="55">
        <v>3</v>
      </c>
      <c r="T220" s="55">
        <v>0.7</v>
      </c>
    </row>
    <row r="221" spans="1:20" x14ac:dyDescent="0.2">
      <c r="A221" s="20" t="s">
        <v>1489</v>
      </c>
      <c r="B221" s="401" t="s">
        <v>1559</v>
      </c>
      <c r="C221" s="20" t="str">
        <f t="shared" si="10"/>
        <v>Tropical WetNorthern Africa</v>
      </c>
      <c r="D221" s="249"/>
      <c r="E221" s="257">
        <f>AVERAGE(F221:M221)</f>
        <v>2.3537499999999998</v>
      </c>
      <c r="F221" s="565">
        <v>1.88</v>
      </c>
      <c r="G221" s="564">
        <v>6.21</v>
      </c>
      <c r="H221" s="566">
        <v>0.43</v>
      </c>
      <c r="I221" s="564">
        <v>2.89</v>
      </c>
      <c r="J221" s="565">
        <v>0.59</v>
      </c>
      <c r="K221" s="564">
        <v>3.16</v>
      </c>
      <c r="L221" s="565">
        <v>3.61</v>
      </c>
      <c r="M221" s="589">
        <v>0.06</v>
      </c>
      <c r="N221" s="55"/>
      <c r="O221" s="55"/>
      <c r="P221" s="55"/>
      <c r="Q221" s="55"/>
      <c r="R221" s="55">
        <v>2.4</v>
      </c>
      <c r="S221" s="55">
        <v>3</v>
      </c>
      <c r="T221" s="55">
        <v>0.7</v>
      </c>
    </row>
    <row r="222" spans="1:20" x14ac:dyDescent="0.2">
      <c r="A222" s="20" t="s">
        <v>1489</v>
      </c>
      <c r="B222" s="401" t="s">
        <v>1565</v>
      </c>
      <c r="C222" s="20" t="str">
        <f t="shared" si="10"/>
        <v>Tropical WetSouthern Africa</v>
      </c>
      <c r="D222" s="249"/>
      <c r="E222" s="257">
        <f>AVERAGE(F222:M222)</f>
        <v>2.3537499999999998</v>
      </c>
      <c r="F222" s="565">
        <v>1.88</v>
      </c>
      <c r="G222" s="564">
        <v>6.21</v>
      </c>
      <c r="H222" s="566">
        <v>0.43</v>
      </c>
      <c r="I222" s="564">
        <v>2.89</v>
      </c>
      <c r="J222" s="565">
        <v>0.59</v>
      </c>
      <c r="K222" s="564">
        <v>3.16</v>
      </c>
      <c r="L222" s="565">
        <v>3.61</v>
      </c>
      <c r="M222" s="589">
        <v>0.06</v>
      </c>
      <c r="N222" s="55"/>
      <c r="O222" s="55"/>
      <c r="P222" s="55"/>
      <c r="Q222" s="55"/>
      <c r="R222" s="55">
        <v>2.4</v>
      </c>
      <c r="S222" s="55">
        <v>3</v>
      </c>
      <c r="T222" s="55">
        <v>0.7</v>
      </c>
    </row>
    <row r="223" spans="1:20" x14ac:dyDescent="0.2">
      <c r="A223" s="20" t="s">
        <v>1489</v>
      </c>
      <c r="B223" s="401" t="s">
        <v>1569</v>
      </c>
      <c r="C223" s="20" t="str">
        <f t="shared" si="10"/>
        <v>Tropical WetWestern Africa</v>
      </c>
      <c r="D223" s="249"/>
      <c r="E223" s="257">
        <f>AVERAGE(F223:M223)</f>
        <v>2.3537499999999998</v>
      </c>
      <c r="F223" s="565">
        <v>1.88</v>
      </c>
      <c r="G223" s="564">
        <v>6.21</v>
      </c>
      <c r="H223" s="566">
        <v>0.43</v>
      </c>
      <c r="I223" s="564">
        <v>2.89</v>
      </c>
      <c r="J223" s="565">
        <v>0.59</v>
      </c>
      <c r="K223" s="564">
        <v>3.16</v>
      </c>
      <c r="L223" s="565">
        <v>3.61</v>
      </c>
      <c r="M223" s="589">
        <v>0.06</v>
      </c>
      <c r="N223" s="55"/>
      <c r="O223" s="55"/>
      <c r="P223" s="55"/>
      <c r="Q223" s="55"/>
      <c r="R223" s="55">
        <v>2.4</v>
      </c>
      <c r="S223" s="55">
        <v>3</v>
      </c>
      <c r="T223" s="55">
        <v>0.7</v>
      </c>
    </row>
    <row r="224" spans="1:20" x14ac:dyDescent="0.2">
      <c r="A224" s="20" t="s">
        <v>1489</v>
      </c>
      <c r="B224" s="401" t="s">
        <v>1550</v>
      </c>
      <c r="C224" s="20" t="str">
        <f t="shared" si="10"/>
        <v>Tropical WetCentral Asia</v>
      </c>
      <c r="D224" s="249"/>
      <c r="E224" s="257">
        <f t="shared" ref="E224:E233" si="20">AVERAGE(F224:M224)</f>
        <v>1.8987499999999999</v>
      </c>
      <c r="F224" s="565">
        <v>1.88</v>
      </c>
      <c r="G224" s="564">
        <v>2</v>
      </c>
      <c r="H224" s="566">
        <v>0.43</v>
      </c>
      <c r="I224" s="564">
        <v>4.83</v>
      </c>
      <c r="J224" s="565">
        <v>0.59</v>
      </c>
      <c r="K224" s="564">
        <v>1.79</v>
      </c>
      <c r="L224" s="565">
        <v>3.61</v>
      </c>
      <c r="M224" s="563">
        <v>0.06</v>
      </c>
      <c r="N224" s="55"/>
      <c r="O224" s="55"/>
      <c r="P224" s="55"/>
      <c r="Q224" s="55"/>
      <c r="R224" s="55">
        <v>2.4</v>
      </c>
      <c r="S224" s="55">
        <v>3</v>
      </c>
      <c r="T224" s="55">
        <v>0.7</v>
      </c>
    </row>
    <row r="225" spans="1:20" x14ac:dyDescent="0.2">
      <c r="A225" s="20" t="s">
        <v>1489</v>
      </c>
      <c r="B225" s="401" t="s">
        <v>1554</v>
      </c>
      <c r="C225" s="20" t="str">
        <f t="shared" si="10"/>
        <v>Tropical WetEastern Asia</v>
      </c>
      <c r="D225" s="249"/>
      <c r="E225" s="257">
        <f>AVERAGE(F225:M225)</f>
        <v>1.8987499999999999</v>
      </c>
      <c r="F225" s="565">
        <v>1.88</v>
      </c>
      <c r="G225" s="564">
        <v>2</v>
      </c>
      <c r="H225" s="566">
        <v>0.43</v>
      </c>
      <c r="I225" s="564">
        <v>4.83</v>
      </c>
      <c r="J225" s="565">
        <v>0.59</v>
      </c>
      <c r="K225" s="564">
        <v>1.79</v>
      </c>
      <c r="L225" s="565">
        <v>3.61</v>
      </c>
      <c r="M225" s="563">
        <v>0.06</v>
      </c>
      <c r="N225" s="55"/>
      <c r="O225" s="55"/>
      <c r="P225" s="55"/>
      <c r="Q225" s="55"/>
      <c r="R225" s="55">
        <v>2.4</v>
      </c>
      <c r="S225" s="55">
        <v>3</v>
      </c>
      <c r="T225" s="55">
        <v>0.7</v>
      </c>
    </row>
    <row r="226" spans="1:20" x14ac:dyDescent="0.2">
      <c r="A226" s="20" t="s">
        <v>1489</v>
      </c>
      <c r="B226" s="401" t="s">
        <v>1563</v>
      </c>
      <c r="C226" s="20" t="str">
        <f t="shared" si="10"/>
        <v>Tropical WetSouth-eastern Asia</v>
      </c>
      <c r="D226" s="249"/>
      <c r="E226" s="257">
        <f>AVERAGE(F226:M226)</f>
        <v>1.8987499999999999</v>
      </c>
      <c r="F226" s="565">
        <v>1.88</v>
      </c>
      <c r="G226" s="564">
        <v>2</v>
      </c>
      <c r="H226" s="566">
        <v>0.43</v>
      </c>
      <c r="I226" s="564">
        <v>4.83</v>
      </c>
      <c r="J226" s="565">
        <v>0.59</v>
      </c>
      <c r="K226" s="564">
        <v>1.79</v>
      </c>
      <c r="L226" s="565">
        <v>3.61</v>
      </c>
      <c r="M226" s="563">
        <v>0.06</v>
      </c>
      <c r="N226" s="55"/>
      <c r="O226" s="55"/>
      <c r="P226" s="55"/>
      <c r="Q226" s="55"/>
      <c r="R226" s="55">
        <v>2.4</v>
      </c>
      <c r="S226" s="55">
        <v>3</v>
      </c>
      <c r="T226" s="55">
        <v>0.7</v>
      </c>
    </row>
    <row r="227" spans="1:20" x14ac:dyDescent="0.2">
      <c r="A227" s="20" t="s">
        <v>1489</v>
      </c>
      <c r="B227" s="401" t="s">
        <v>1567</v>
      </c>
      <c r="C227" s="20" t="str">
        <f t="shared" si="10"/>
        <v>Tropical WetSouthern Asia</v>
      </c>
      <c r="D227" s="249"/>
      <c r="E227" s="257">
        <f>AVERAGE(F227:M227)</f>
        <v>1.8987499999999999</v>
      </c>
      <c r="F227" s="565">
        <v>1.88</v>
      </c>
      <c r="G227" s="564">
        <v>2</v>
      </c>
      <c r="H227" s="566">
        <v>0.43</v>
      </c>
      <c r="I227" s="564">
        <v>4.83</v>
      </c>
      <c r="J227" s="565">
        <v>0.59</v>
      </c>
      <c r="K227" s="564">
        <v>1.79</v>
      </c>
      <c r="L227" s="565">
        <v>3.61</v>
      </c>
      <c r="M227" s="563">
        <v>0.06</v>
      </c>
      <c r="N227" s="55"/>
      <c r="O227" s="55"/>
      <c r="P227" s="55"/>
      <c r="Q227" s="55"/>
      <c r="R227" s="55">
        <v>2.4</v>
      </c>
      <c r="S227" s="55">
        <v>3</v>
      </c>
      <c r="T227" s="55">
        <v>0.7</v>
      </c>
    </row>
    <row r="228" spans="1:20" x14ac:dyDescent="0.2">
      <c r="A228" s="20" t="s">
        <v>1489</v>
      </c>
      <c r="B228" s="401" t="s">
        <v>1571</v>
      </c>
      <c r="C228" s="20" t="str">
        <f t="shared" si="10"/>
        <v>Tropical WetWestern Asia</v>
      </c>
      <c r="D228" s="249"/>
      <c r="E228" s="257">
        <f>AVERAGE(F228:M228)</f>
        <v>1.8987499999999999</v>
      </c>
      <c r="F228" s="565">
        <v>1.88</v>
      </c>
      <c r="G228" s="564">
        <v>2</v>
      </c>
      <c r="H228" s="566">
        <v>0.43</v>
      </c>
      <c r="I228" s="564">
        <v>4.83</v>
      </c>
      <c r="J228" s="565">
        <v>0.59</v>
      </c>
      <c r="K228" s="564">
        <v>1.79</v>
      </c>
      <c r="L228" s="565">
        <v>3.61</v>
      </c>
      <c r="M228" s="563">
        <v>0.06</v>
      </c>
      <c r="N228" s="55"/>
      <c r="O228" s="55"/>
      <c r="P228" s="55"/>
      <c r="Q228" s="55"/>
      <c r="R228" s="55">
        <v>2.4</v>
      </c>
      <c r="S228" s="55">
        <v>3</v>
      </c>
      <c r="T228" s="55">
        <v>0.7</v>
      </c>
    </row>
    <row r="229" spans="1:20" x14ac:dyDescent="0.2">
      <c r="A229" s="20" t="s">
        <v>1489</v>
      </c>
      <c r="B229" s="401" t="s">
        <v>1555</v>
      </c>
      <c r="C229" s="20" t="str">
        <f t="shared" si="10"/>
        <v>Tropical WetEurope</v>
      </c>
      <c r="D229" s="249"/>
      <c r="E229" s="257">
        <f t="shared" si="20"/>
        <v>2.0962499999999995</v>
      </c>
      <c r="F229" s="565">
        <v>1.88</v>
      </c>
      <c r="G229" s="565">
        <v>4.59</v>
      </c>
      <c r="H229" s="566">
        <v>0.43</v>
      </c>
      <c r="I229" s="565">
        <v>3.25</v>
      </c>
      <c r="J229" s="565">
        <v>0.59</v>
      </c>
      <c r="K229" s="565">
        <v>2.36</v>
      </c>
      <c r="L229" s="565">
        <v>3.61</v>
      </c>
      <c r="M229" s="589">
        <v>0.06</v>
      </c>
      <c r="N229" s="55"/>
      <c r="O229" s="55"/>
      <c r="P229" s="55"/>
      <c r="Q229" s="55"/>
      <c r="R229" s="55">
        <v>2.4</v>
      </c>
      <c r="S229" s="55">
        <v>3</v>
      </c>
      <c r="T229" s="55">
        <v>0.7</v>
      </c>
    </row>
    <row r="230" spans="1:20" x14ac:dyDescent="0.2">
      <c r="A230" s="20" t="s">
        <v>1489</v>
      </c>
      <c r="B230" s="401" t="s">
        <v>1346</v>
      </c>
      <c r="C230" s="20" t="str">
        <f t="shared" si="10"/>
        <v>Tropical WetOceania</v>
      </c>
      <c r="D230" s="249"/>
      <c r="E230" s="257">
        <f t="shared" si="20"/>
        <v>2.0962499999999995</v>
      </c>
      <c r="F230" s="565">
        <v>1.88</v>
      </c>
      <c r="G230" s="565">
        <v>4.59</v>
      </c>
      <c r="H230" s="566">
        <v>0.43</v>
      </c>
      <c r="I230" s="565">
        <v>3.25</v>
      </c>
      <c r="J230" s="565">
        <v>0.59</v>
      </c>
      <c r="K230" s="565">
        <v>2.36</v>
      </c>
      <c r="L230" s="565">
        <v>3.61</v>
      </c>
      <c r="M230" s="589">
        <v>0.06</v>
      </c>
      <c r="N230" s="55"/>
      <c r="O230" s="55"/>
      <c r="P230" s="55"/>
      <c r="Q230" s="55"/>
      <c r="R230" s="55">
        <v>2.4</v>
      </c>
      <c r="S230" s="55">
        <v>3</v>
      </c>
      <c r="T230" s="55">
        <v>0.7</v>
      </c>
    </row>
    <row r="231" spans="1:20" x14ac:dyDescent="0.2">
      <c r="A231" s="20" t="s">
        <v>1489</v>
      </c>
      <c r="B231" s="401" t="s">
        <v>1343</v>
      </c>
      <c r="C231" s="20" t="str">
        <f t="shared" si="10"/>
        <v>Tropical WetNorth America</v>
      </c>
      <c r="D231" s="249"/>
      <c r="E231" s="257">
        <f t="shared" si="20"/>
        <v>2.0962499999999995</v>
      </c>
      <c r="F231" s="565">
        <v>1.88</v>
      </c>
      <c r="G231" s="565">
        <v>4.59</v>
      </c>
      <c r="H231" s="566">
        <v>0.43</v>
      </c>
      <c r="I231" s="565">
        <v>3.25</v>
      </c>
      <c r="J231" s="565">
        <v>0.59</v>
      </c>
      <c r="K231" s="565">
        <v>2.36</v>
      </c>
      <c r="L231" s="565">
        <v>3.61</v>
      </c>
      <c r="M231" s="589">
        <v>0.06</v>
      </c>
      <c r="N231" s="55"/>
      <c r="O231" s="55"/>
      <c r="P231" s="55"/>
      <c r="Q231" s="55"/>
      <c r="R231" s="55">
        <v>2.4</v>
      </c>
      <c r="S231" s="55">
        <v>3</v>
      </c>
      <c r="T231" s="55">
        <v>0.7</v>
      </c>
    </row>
    <row r="232" spans="1:20" x14ac:dyDescent="0.2">
      <c r="A232" s="20" t="s">
        <v>1489</v>
      </c>
      <c r="B232" s="401" t="s">
        <v>1349</v>
      </c>
      <c r="C232" s="20" t="str">
        <f t="shared" si="10"/>
        <v>Tropical WetSouth America</v>
      </c>
      <c r="D232" s="249"/>
      <c r="E232" s="257">
        <f t="shared" si="20"/>
        <v>2.1112499999999996</v>
      </c>
      <c r="F232" s="565">
        <v>1.88</v>
      </c>
      <c r="G232" s="564">
        <v>4.76</v>
      </c>
      <c r="H232" s="566">
        <v>0.43</v>
      </c>
      <c r="I232" s="564">
        <v>2.6</v>
      </c>
      <c r="J232" s="565">
        <v>0.59</v>
      </c>
      <c r="K232" s="564">
        <v>2.96</v>
      </c>
      <c r="L232" s="565">
        <v>3.61</v>
      </c>
      <c r="M232" s="589">
        <v>0.06</v>
      </c>
      <c r="N232" s="55"/>
      <c r="O232" s="55"/>
      <c r="P232" s="55"/>
      <c r="Q232" s="55"/>
      <c r="R232" s="55">
        <v>2.4</v>
      </c>
      <c r="S232" s="55">
        <v>3</v>
      </c>
      <c r="T232" s="55">
        <v>0.7</v>
      </c>
    </row>
    <row r="233" spans="1:20" x14ac:dyDescent="0.2">
      <c r="A233" s="20" t="s">
        <v>1489</v>
      </c>
      <c r="B233" s="401" t="s">
        <v>1333</v>
      </c>
      <c r="C233" s="20" t="str">
        <f t="shared" si="10"/>
        <v>Tropical WetCentral America</v>
      </c>
      <c r="D233" s="249"/>
      <c r="E233" s="257">
        <f t="shared" si="20"/>
        <v>2.0862499999999997</v>
      </c>
      <c r="F233" s="564">
        <v>1.88</v>
      </c>
      <c r="G233" s="564">
        <v>4.59</v>
      </c>
      <c r="H233" s="574">
        <v>0.43</v>
      </c>
      <c r="I233" s="564">
        <v>3.25</v>
      </c>
      <c r="J233" s="565">
        <v>0.59</v>
      </c>
      <c r="K233" s="564">
        <v>2.2799999999999998</v>
      </c>
      <c r="L233" s="565">
        <v>3.61</v>
      </c>
      <c r="M233" s="589">
        <v>0.06</v>
      </c>
      <c r="N233" s="55"/>
      <c r="O233" s="55"/>
      <c r="P233" s="55"/>
      <c r="Q233" s="55"/>
      <c r="R233" s="55">
        <v>2.4</v>
      </c>
      <c r="S233" s="55">
        <v>3</v>
      </c>
      <c r="T233" s="55">
        <v>0.7</v>
      </c>
    </row>
    <row r="234" spans="1:20" x14ac:dyDescent="0.2">
      <c r="A234" s="20" t="s">
        <v>1489</v>
      </c>
      <c r="B234" s="409" t="s">
        <v>1547</v>
      </c>
      <c r="C234" s="20" t="str">
        <f t="shared" si="10"/>
        <v>Tropical WetCaribbean</v>
      </c>
      <c r="D234" s="252"/>
      <c r="E234" s="258">
        <f>AVERAGE(F234:M234)</f>
        <v>2.0962499999999995</v>
      </c>
      <c r="F234" s="578">
        <v>1.88</v>
      </c>
      <c r="G234" s="564">
        <v>4.59</v>
      </c>
      <c r="H234" s="592">
        <v>0.43</v>
      </c>
      <c r="I234" s="578">
        <v>3.25</v>
      </c>
      <c r="J234" s="578">
        <v>0.59</v>
      </c>
      <c r="K234" s="578">
        <v>2.36</v>
      </c>
      <c r="L234" s="578">
        <v>3.61</v>
      </c>
      <c r="M234" s="613">
        <v>0.06</v>
      </c>
      <c r="N234" s="579"/>
      <c r="O234" s="579"/>
      <c r="P234" s="579"/>
      <c r="Q234" s="579"/>
      <c r="R234" s="55">
        <v>2.4</v>
      </c>
      <c r="S234" s="55">
        <v>3</v>
      </c>
      <c r="T234" s="55">
        <v>0.7</v>
      </c>
    </row>
    <row r="235" spans="1:20" x14ac:dyDescent="0.2">
      <c r="A235" s="63" t="s">
        <v>1490</v>
      </c>
      <c r="B235" s="410" t="s">
        <v>1552</v>
      </c>
      <c r="C235" s="63" t="str">
        <f t="shared" si="10"/>
        <v>Boreal DryEastern Africa</v>
      </c>
      <c r="D235" s="109"/>
      <c r="E235" s="257">
        <f>AVERAGE(F235:M235)</f>
        <v>1.37</v>
      </c>
      <c r="F235" s="583"/>
      <c r="G235" s="584"/>
      <c r="H235" s="582">
        <v>0.87</v>
      </c>
      <c r="I235" s="585"/>
      <c r="J235" s="583"/>
      <c r="K235" s="584"/>
      <c r="L235" s="614">
        <v>0.91</v>
      </c>
      <c r="M235" s="614">
        <v>2.33</v>
      </c>
      <c r="N235" s="567">
        <v>0.46</v>
      </c>
      <c r="O235" s="568">
        <v>0.43</v>
      </c>
      <c r="P235" s="569">
        <v>0.28000000000000003</v>
      </c>
      <c r="Q235" s="567">
        <v>3.2</v>
      </c>
      <c r="R235" s="570"/>
      <c r="S235" s="567"/>
      <c r="T235" s="567">
        <v>0.7</v>
      </c>
    </row>
    <row r="236" spans="1:20" x14ac:dyDescent="0.2">
      <c r="A236" s="20" t="s">
        <v>1490</v>
      </c>
      <c r="B236" s="411" t="s">
        <v>1557</v>
      </c>
      <c r="C236" s="20" t="str">
        <f t="shared" si="10"/>
        <v>Boreal DryCentral Africa</v>
      </c>
      <c r="D236" s="61"/>
      <c r="E236" s="257">
        <f t="shared" ref="E236:E250" si="21">AVERAGE(F236:M236)</f>
        <v>1.37</v>
      </c>
      <c r="F236" s="564"/>
      <c r="G236" s="574"/>
      <c r="H236" s="565">
        <v>0.87</v>
      </c>
      <c r="I236" s="563"/>
      <c r="J236" s="564"/>
      <c r="K236" s="574"/>
      <c r="L236" s="615">
        <v>0.91</v>
      </c>
      <c r="M236" s="615">
        <v>2.33</v>
      </c>
      <c r="N236" s="55">
        <v>0.46</v>
      </c>
      <c r="O236" s="571">
        <v>0.43</v>
      </c>
      <c r="P236" s="572">
        <v>0.28000000000000003</v>
      </c>
      <c r="Q236" s="55">
        <v>3.2</v>
      </c>
      <c r="R236" s="573"/>
      <c r="S236" s="55"/>
      <c r="T236" s="55">
        <v>0.7</v>
      </c>
    </row>
    <row r="237" spans="1:20" x14ac:dyDescent="0.2">
      <c r="A237" s="20" t="s">
        <v>1490</v>
      </c>
      <c r="B237" s="411" t="s">
        <v>1559</v>
      </c>
      <c r="C237" s="20" t="str">
        <f t="shared" si="10"/>
        <v>Boreal DryNorthern Africa</v>
      </c>
      <c r="D237" s="61"/>
      <c r="E237" s="257">
        <f t="shared" si="21"/>
        <v>1.37</v>
      </c>
      <c r="F237" s="564"/>
      <c r="G237" s="574"/>
      <c r="H237" s="565">
        <v>0.87</v>
      </c>
      <c r="I237" s="563"/>
      <c r="J237" s="564"/>
      <c r="K237" s="574"/>
      <c r="L237" s="615">
        <v>0.91</v>
      </c>
      <c r="M237" s="615">
        <v>2.33</v>
      </c>
      <c r="N237" s="55">
        <v>0.46</v>
      </c>
      <c r="O237" s="571">
        <v>0.43</v>
      </c>
      <c r="P237" s="572">
        <v>0.28000000000000003</v>
      </c>
      <c r="Q237" s="55">
        <v>3.2</v>
      </c>
      <c r="R237" s="573"/>
      <c r="S237" s="55"/>
      <c r="T237" s="55">
        <v>0.7</v>
      </c>
    </row>
    <row r="238" spans="1:20" x14ac:dyDescent="0.2">
      <c r="A238" s="20" t="s">
        <v>1490</v>
      </c>
      <c r="B238" s="411" t="s">
        <v>1565</v>
      </c>
      <c r="C238" s="20" t="str">
        <f t="shared" si="10"/>
        <v>Boreal DrySouthern Africa</v>
      </c>
      <c r="D238" s="61"/>
      <c r="E238" s="257">
        <f t="shared" si="21"/>
        <v>1.37</v>
      </c>
      <c r="F238" s="564"/>
      <c r="G238" s="574"/>
      <c r="H238" s="565">
        <v>0.87</v>
      </c>
      <c r="I238" s="563"/>
      <c r="J238" s="564"/>
      <c r="K238" s="574"/>
      <c r="L238" s="615">
        <v>0.91</v>
      </c>
      <c r="M238" s="615">
        <v>2.33</v>
      </c>
      <c r="N238" s="55">
        <v>0.46</v>
      </c>
      <c r="O238" s="571">
        <v>0.43</v>
      </c>
      <c r="P238" s="572">
        <v>0.28000000000000003</v>
      </c>
      <c r="Q238" s="55">
        <v>3.2</v>
      </c>
      <c r="R238" s="573"/>
      <c r="S238" s="55"/>
      <c r="T238" s="55">
        <v>0.7</v>
      </c>
    </row>
    <row r="239" spans="1:20" x14ac:dyDescent="0.2">
      <c r="A239" s="20" t="s">
        <v>1490</v>
      </c>
      <c r="B239" s="411" t="s">
        <v>1569</v>
      </c>
      <c r="C239" s="20" t="str">
        <f t="shared" si="10"/>
        <v>Boreal DryWestern Africa</v>
      </c>
      <c r="D239" s="61"/>
      <c r="E239" s="257">
        <f t="shared" si="21"/>
        <v>1.37</v>
      </c>
      <c r="F239" s="564"/>
      <c r="G239" s="574"/>
      <c r="H239" s="565">
        <v>0.87</v>
      </c>
      <c r="I239" s="563"/>
      <c r="J239" s="564"/>
      <c r="K239" s="574"/>
      <c r="L239" s="615">
        <v>0.91</v>
      </c>
      <c r="M239" s="615">
        <v>2.33</v>
      </c>
      <c r="N239" s="55">
        <v>0.46</v>
      </c>
      <c r="O239" s="571">
        <v>0.43</v>
      </c>
      <c r="P239" s="572">
        <v>0.28000000000000003</v>
      </c>
      <c r="Q239" s="55">
        <v>3.2</v>
      </c>
      <c r="R239" s="573"/>
      <c r="S239" s="55"/>
      <c r="T239" s="55">
        <v>0.7</v>
      </c>
    </row>
    <row r="240" spans="1:20" x14ac:dyDescent="0.2">
      <c r="A240" s="20" t="s">
        <v>1490</v>
      </c>
      <c r="B240" s="411" t="s">
        <v>1550</v>
      </c>
      <c r="C240" s="20" t="str">
        <f t="shared" si="10"/>
        <v>Boreal DryCentral Asia</v>
      </c>
      <c r="D240" s="61"/>
      <c r="E240" s="257">
        <f t="shared" si="21"/>
        <v>1.37</v>
      </c>
      <c r="F240" s="564"/>
      <c r="G240" s="574"/>
      <c r="H240" s="565">
        <v>0.87</v>
      </c>
      <c r="I240" s="563"/>
      <c r="J240" s="564"/>
      <c r="K240" s="574"/>
      <c r="L240" s="615">
        <v>0.91</v>
      </c>
      <c r="M240" s="615">
        <v>2.33</v>
      </c>
      <c r="N240" s="55">
        <v>0.46</v>
      </c>
      <c r="O240" s="571">
        <v>0.43</v>
      </c>
      <c r="P240" s="572">
        <v>0.28000000000000003</v>
      </c>
      <c r="Q240" s="55">
        <v>3.2</v>
      </c>
      <c r="R240" s="573"/>
      <c r="S240" s="55"/>
      <c r="T240" s="55">
        <v>0.7</v>
      </c>
    </row>
    <row r="241" spans="1:20" x14ac:dyDescent="0.2">
      <c r="A241" s="20" t="s">
        <v>1490</v>
      </c>
      <c r="B241" s="411" t="s">
        <v>1554</v>
      </c>
      <c r="C241" s="20" t="str">
        <f t="shared" si="10"/>
        <v>Boreal DryEastern Asia</v>
      </c>
      <c r="D241" s="61"/>
      <c r="E241" s="257">
        <f t="shared" si="21"/>
        <v>1.37</v>
      </c>
      <c r="F241" s="564"/>
      <c r="G241" s="574"/>
      <c r="H241" s="565">
        <v>0.87</v>
      </c>
      <c r="I241" s="563"/>
      <c r="J241" s="564"/>
      <c r="K241" s="574"/>
      <c r="L241" s="615">
        <v>0.91</v>
      </c>
      <c r="M241" s="615">
        <v>2.33</v>
      </c>
      <c r="N241" s="55">
        <v>0.46</v>
      </c>
      <c r="O241" s="571">
        <v>0.43</v>
      </c>
      <c r="P241" s="572">
        <v>0.28000000000000003</v>
      </c>
      <c r="Q241" s="55">
        <v>3.2</v>
      </c>
      <c r="R241" s="573"/>
      <c r="S241" s="55"/>
      <c r="T241" s="55">
        <v>0.7</v>
      </c>
    </row>
    <row r="242" spans="1:20" x14ac:dyDescent="0.2">
      <c r="A242" s="20" t="s">
        <v>1490</v>
      </c>
      <c r="B242" s="411" t="s">
        <v>1563</v>
      </c>
      <c r="C242" s="20" t="str">
        <f t="shared" si="10"/>
        <v>Boreal DrySouth-eastern Asia</v>
      </c>
      <c r="D242" s="61"/>
      <c r="E242" s="257">
        <f t="shared" si="21"/>
        <v>1.37</v>
      </c>
      <c r="F242" s="564"/>
      <c r="G242" s="574"/>
      <c r="H242" s="565">
        <v>0.87</v>
      </c>
      <c r="I242" s="563"/>
      <c r="J242" s="564"/>
      <c r="K242" s="574"/>
      <c r="L242" s="615">
        <v>0.91</v>
      </c>
      <c r="M242" s="615">
        <v>2.33</v>
      </c>
      <c r="N242" s="55">
        <v>0.46</v>
      </c>
      <c r="O242" s="571">
        <v>0.43</v>
      </c>
      <c r="P242" s="572">
        <v>0.28000000000000003</v>
      </c>
      <c r="Q242" s="55">
        <v>3.2</v>
      </c>
      <c r="R242" s="573"/>
      <c r="S242" s="55"/>
      <c r="T242" s="55">
        <v>0.7</v>
      </c>
    </row>
    <row r="243" spans="1:20" x14ac:dyDescent="0.2">
      <c r="A243" s="20" t="s">
        <v>1490</v>
      </c>
      <c r="B243" s="411" t="s">
        <v>1567</v>
      </c>
      <c r="C243" s="20" t="str">
        <f t="shared" si="10"/>
        <v>Boreal DrySouthern Asia</v>
      </c>
      <c r="D243" s="61"/>
      <c r="E243" s="257">
        <f t="shared" si="21"/>
        <v>1.37</v>
      </c>
      <c r="F243" s="564"/>
      <c r="G243" s="574"/>
      <c r="H243" s="565">
        <v>0.87</v>
      </c>
      <c r="I243" s="563"/>
      <c r="J243" s="564"/>
      <c r="K243" s="574"/>
      <c r="L243" s="615">
        <v>0.91</v>
      </c>
      <c r="M243" s="615">
        <v>2.33</v>
      </c>
      <c r="N243" s="55">
        <v>0.46</v>
      </c>
      <c r="O243" s="571">
        <v>0.43</v>
      </c>
      <c r="P243" s="572">
        <v>0.28000000000000003</v>
      </c>
      <c r="Q243" s="55">
        <v>3.2</v>
      </c>
      <c r="R243" s="573"/>
      <c r="S243" s="55"/>
      <c r="T243" s="55">
        <v>0.7</v>
      </c>
    </row>
    <row r="244" spans="1:20" x14ac:dyDescent="0.2">
      <c r="A244" s="20" t="s">
        <v>1490</v>
      </c>
      <c r="B244" s="411" t="s">
        <v>1571</v>
      </c>
      <c r="C244" s="20" t="str">
        <f t="shared" si="10"/>
        <v>Boreal DryWestern Asia</v>
      </c>
      <c r="D244" s="61"/>
      <c r="E244" s="257">
        <f>AVERAGE(F244:M244)</f>
        <v>1.37</v>
      </c>
      <c r="F244" s="564"/>
      <c r="G244" s="574"/>
      <c r="H244" s="565">
        <v>0.87</v>
      </c>
      <c r="I244" s="563"/>
      <c r="J244" s="564"/>
      <c r="K244" s="574"/>
      <c r="L244" s="615">
        <v>0.91</v>
      </c>
      <c r="M244" s="615">
        <v>2.33</v>
      </c>
      <c r="N244" s="55">
        <v>0.46</v>
      </c>
      <c r="O244" s="571">
        <v>0.43</v>
      </c>
      <c r="P244" s="572">
        <v>0.28000000000000003</v>
      </c>
      <c r="Q244" s="55">
        <v>3.2</v>
      </c>
      <c r="R244" s="573"/>
      <c r="S244" s="55"/>
      <c r="T244" s="55">
        <v>0.7</v>
      </c>
    </row>
    <row r="245" spans="1:20" x14ac:dyDescent="0.2">
      <c r="A245" s="20" t="s">
        <v>1490</v>
      </c>
      <c r="B245" s="411" t="s">
        <v>1555</v>
      </c>
      <c r="C245" s="20" t="str">
        <f t="shared" si="10"/>
        <v>Boreal DryEurope</v>
      </c>
      <c r="D245" s="61"/>
      <c r="E245" s="257">
        <f t="shared" si="21"/>
        <v>1.37</v>
      </c>
      <c r="F245" s="564"/>
      <c r="G245" s="574"/>
      <c r="H245" s="565">
        <v>0.87</v>
      </c>
      <c r="I245" s="563"/>
      <c r="J245" s="564"/>
      <c r="K245" s="574"/>
      <c r="L245" s="615">
        <v>0.91</v>
      </c>
      <c r="M245" s="615">
        <v>2.33</v>
      </c>
      <c r="N245" s="55">
        <v>0.46</v>
      </c>
      <c r="O245" s="571">
        <v>0.43</v>
      </c>
      <c r="P245" s="572">
        <v>0.28000000000000003</v>
      </c>
      <c r="Q245" s="55">
        <v>3.2</v>
      </c>
      <c r="R245" s="573"/>
      <c r="S245" s="55"/>
      <c r="T245" s="55">
        <v>0.7</v>
      </c>
    </row>
    <row r="246" spans="1:20" x14ac:dyDescent="0.2">
      <c r="A246" s="20" t="s">
        <v>1490</v>
      </c>
      <c r="B246" s="411" t="s">
        <v>1346</v>
      </c>
      <c r="C246" s="20" t="str">
        <f t="shared" si="10"/>
        <v>Boreal DryOceania</v>
      </c>
      <c r="D246" s="61"/>
      <c r="E246" s="257">
        <f t="shared" si="21"/>
        <v>1.37</v>
      </c>
      <c r="F246" s="564"/>
      <c r="G246" s="574"/>
      <c r="H246" s="565">
        <v>0.87</v>
      </c>
      <c r="I246" s="563"/>
      <c r="J246" s="564"/>
      <c r="K246" s="574"/>
      <c r="L246" s="615">
        <v>0.91</v>
      </c>
      <c r="M246" s="615">
        <v>2.33</v>
      </c>
      <c r="N246" s="55">
        <v>0.46</v>
      </c>
      <c r="O246" s="571">
        <v>0.43</v>
      </c>
      <c r="P246" s="572">
        <v>0.28000000000000003</v>
      </c>
      <c r="Q246" s="55">
        <v>3.2</v>
      </c>
      <c r="R246" s="573"/>
      <c r="S246" s="55"/>
      <c r="T246" s="55">
        <v>0.7</v>
      </c>
    </row>
    <row r="247" spans="1:20" x14ac:dyDescent="0.2">
      <c r="A247" s="20" t="s">
        <v>1490</v>
      </c>
      <c r="B247" s="411" t="s">
        <v>1343</v>
      </c>
      <c r="C247" s="20" t="str">
        <f t="shared" si="10"/>
        <v>Boreal DryNorth America</v>
      </c>
      <c r="D247" s="61"/>
      <c r="E247" s="257">
        <f t="shared" si="21"/>
        <v>1.37</v>
      </c>
      <c r="F247" s="564"/>
      <c r="G247" s="574"/>
      <c r="H247" s="565">
        <v>0.87</v>
      </c>
      <c r="I247" s="563"/>
      <c r="J247" s="564"/>
      <c r="K247" s="574"/>
      <c r="L247" s="615">
        <v>0.91</v>
      </c>
      <c r="M247" s="615">
        <v>2.33</v>
      </c>
      <c r="N247" s="55">
        <v>0.46</v>
      </c>
      <c r="O247" s="571">
        <v>0.43</v>
      </c>
      <c r="P247" s="572">
        <v>0.28000000000000003</v>
      </c>
      <c r="Q247" s="55">
        <v>3.2</v>
      </c>
      <c r="R247" s="573"/>
      <c r="S247" s="55"/>
      <c r="T247" s="55">
        <v>0.7</v>
      </c>
    </row>
    <row r="248" spans="1:20" x14ac:dyDescent="0.2">
      <c r="A248" s="20" t="s">
        <v>1490</v>
      </c>
      <c r="B248" s="411" t="s">
        <v>1349</v>
      </c>
      <c r="C248" s="20" t="str">
        <f t="shared" si="10"/>
        <v>Boreal DrySouth America</v>
      </c>
      <c r="D248" s="61"/>
      <c r="E248" s="257">
        <f t="shared" si="21"/>
        <v>1.37</v>
      </c>
      <c r="F248" s="564"/>
      <c r="G248" s="574"/>
      <c r="H248" s="565">
        <v>0.87</v>
      </c>
      <c r="I248" s="563"/>
      <c r="J248" s="564"/>
      <c r="K248" s="574"/>
      <c r="L248" s="615">
        <v>0.91</v>
      </c>
      <c r="M248" s="615">
        <v>2.33</v>
      </c>
      <c r="N248" s="55">
        <v>0.46</v>
      </c>
      <c r="O248" s="571">
        <v>0.43</v>
      </c>
      <c r="P248" s="572">
        <v>0.28000000000000003</v>
      </c>
      <c r="Q248" s="55">
        <v>3.2</v>
      </c>
      <c r="R248" s="573"/>
      <c r="S248" s="55"/>
      <c r="T248" s="55">
        <v>0.7</v>
      </c>
    </row>
    <row r="249" spans="1:20" x14ac:dyDescent="0.2">
      <c r="A249" s="20" t="s">
        <v>1490</v>
      </c>
      <c r="B249" s="411" t="s">
        <v>1333</v>
      </c>
      <c r="C249" s="20" t="str">
        <f t="shared" si="10"/>
        <v>Boreal DryCentral America</v>
      </c>
      <c r="D249" s="61"/>
      <c r="E249" s="257">
        <f t="shared" si="21"/>
        <v>1.37</v>
      </c>
      <c r="F249" s="564"/>
      <c r="G249" s="574"/>
      <c r="H249" s="565">
        <v>0.87</v>
      </c>
      <c r="I249" s="563"/>
      <c r="J249" s="564"/>
      <c r="K249" s="574"/>
      <c r="L249" s="615">
        <v>0.91</v>
      </c>
      <c r="M249" s="615">
        <v>2.33</v>
      </c>
      <c r="N249" s="55">
        <v>0.46</v>
      </c>
      <c r="O249" s="571">
        <v>0.43</v>
      </c>
      <c r="P249" s="572">
        <v>0.28000000000000003</v>
      </c>
      <c r="Q249" s="55">
        <v>3.2</v>
      </c>
      <c r="R249" s="573"/>
      <c r="S249" s="55"/>
      <c r="T249" s="55">
        <v>0.7</v>
      </c>
    </row>
    <row r="250" spans="1:20" x14ac:dyDescent="0.2">
      <c r="A250" s="37" t="s">
        <v>1490</v>
      </c>
      <c r="B250" s="412" t="s">
        <v>1547</v>
      </c>
      <c r="C250" s="37" t="str">
        <f t="shared" si="10"/>
        <v>Boreal DryCaribbean</v>
      </c>
      <c r="D250" s="60"/>
      <c r="E250" s="257">
        <f t="shared" si="21"/>
        <v>1.37</v>
      </c>
      <c r="F250" s="577"/>
      <c r="G250" s="616"/>
      <c r="H250" s="565">
        <v>0.87</v>
      </c>
      <c r="I250" s="576"/>
      <c r="J250" s="577"/>
      <c r="K250" s="616"/>
      <c r="L250" s="617">
        <v>0.91</v>
      </c>
      <c r="M250" s="617">
        <v>2.33</v>
      </c>
      <c r="N250" s="579">
        <v>0.46</v>
      </c>
      <c r="O250" s="580">
        <v>0.43</v>
      </c>
      <c r="P250" s="420">
        <v>0.28000000000000003</v>
      </c>
      <c r="Q250" s="579">
        <v>3.2</v>
      </c>
      <c r="R250" s="581"/>
      <c r="S250" s="579"/>
      <c r="T250" s="55">
        <v>0.7</v>
      </c>
    </row>
    <row r="251" spans="1:20" x14ac:dyDescent="0.2">
      <c r="A251" s="20" t="s">
        <v>1491</v>
      </c>
      <c r="B251" s="410" t="s">
        <v>1552</v>
      </c>
      <c r="C251" s="20" t="str">
        <f t="shared" si="10"/>
        <v>Boreal MoistEastern Africa</v>
      </c>
      <c r="D251" s="249"/>
      <c r="E251" s="256">
        <f>AVERAGE(F251:M251)</f>
        <v>1.37</v>
      </c>
      <c r="F251" s="563"/>
      <c r="G251" s="574"/>
      <c r="H251" s="582">
        <v>0.87</v>
      </c>
      <c r="I251" s="563"/>
      <c r="J251" s="564"/>
      <c r="K251" s="574"/>
      <c r="L251" s="614">
        <v>0.91</v>
      </c>
      <c r="M251" s="614">
        <v>2.33</v>
      </c>
      <c r="N251" s="567">
        <v>0.46</v>
      </c>
      <c r="O251" s="568">
        <v>0.43</v>
      </c>
      <c r="P251" s="569">
        <v>0.28000000000000003</v>
      </c>
      <c r="Q251" s="567">
        <v>3.2</v>
      </c>
      <c r="R251" s="570"/>
      <c r="S251" s="567"/>
      <c r="T251" s="567">
        <v>0.7</v>
      </c>
    </row>
    <row r="252" spans="1:20" x14ac:dyDescent="0.2">
      <c r="A252" s="20" t="s">
        <v>1491</v>
      </c>
      <c r="B252" s="411" t="s">
        <v>1557</v>
      </c>
      <c r="C252" s="20" t="str">
        <f t="shared" si="10"/>
        <v>Boreal MoistCentral Africa</v>
      </c>
      <c r="D252" s="249"/>
      <c r="E252" s="257">
        <f t="shared" ref="E252:E266" si="22">AVERAGE(F252:M252)</f>
        <v>1.37</v>
      </c>
      <c r="F252" s="563"/>
      <c r="G252" s="574"/>
      <c r="H252" s="565">
        <v>0.87</v>
      </c>
      <c r="I252" s="563"/>
      <c r="J252" s="564"/>
      <c r="K252" s="574"/>
      <c r="L252" s="615">
        <v>0.91</v>
      </c>
      <c r="M252" s="615">
        <v>2.33</v>
      </c>
      <c r="N252" s="55">
        <v>0.46</v>
      </c>
      <c r="O252" s="571">
        <v>0.43</v>
      </c>
      <c r="P252" s="572">
        <v>0.28000000000000003</v>
      </c>
      <c r="Q252" s="55">
        <v>3.2</v>
      </c>
      <c r="R252" s="573"/>
      <c r="S252" s="55"/>
      <c r="T252" s="55">
        <v>0.7</v>
      </c>
    </row>
    <row r="253" spans="1:20" x14ac:dyDescent="0.2">
      <c r="A253" s="20" t="s">
        <v>1491</v>
      </c>
      <c r="B253" s="411" t="s">
        <v>1559</v>
      </c>
      <c r="C253" s="20" t="str">
        <f t="shared" si="10"/>
        <v>Boreal MoistNorthern Africa</v>
      </c>
      <c r="D253" s="249"/>
      <c r="E253" s="257">
        <f t="shared" si="22"/>
        <v>1.37</v>
      </c>
      <c r="F253" s="563"/>
      <c r="G253" s="574"/>
      <c r="H253" s="565">
        <v>0.87</v>
      </c>
      <c r="I253" s="563"/>
      <c r="J253" s="564"/>
      <c r="K253" s="574"/>
      <c r="L253" s="615">
        <v>0.91</v>
      </c>
      <c r="M253" s="615">
        <v>2.33</v>
      </c>
      <c r="N253" s="55">
        <v>0.46</v>
      </c>
      <c r="O253" s="571">
        <v>0.43</v>
      </c>
      <c r="P253" s="572">
        <v>0.28000000000000003</v>
      </c>
      <c r="Q253" s="55">
        <v>3.2</v>
      </c>
      <c r="R253" s="573"/>
      <c r="S253" s="55"/>
      <c r="T253" s="55">
        <v>0.7</v>
      </c>
    </row>
    <row r="254" spans="1:20" x14ac:dyDescent="0.2">
      <c r="A254" s="20" t="s">
        <v>1491</v>
      </c>
      <c r="B254" s="411" t="s">
        <v>1565</v>
      </c>
      <c r="C254" s="20" t="str">
        <f t="shared" si="10"/>
        <v>Boreal MoistSouthern Africa</v>
      </c>
      <c r="D254" s="249"/>
      <c r="E254" s="257">
        <f t="shared" si="22"/>
        <v>1.37</v>
      </c>
      <c r="F254" s="563"/>
      <c r="G254" s="574"/>
      <c r="H254" s="565">
        <v>0.87</v>
      </c>
      <c r="I254" s="563"/>
      <c r="J254" s="564"/>
      <c r="K254" s="574"/>
      <c r="L254" s="615">
        <v>0.91</v>
      </c>
      <c r="M254" s="615">
        <v>2.33</v>
      </c>
      <c r="N254" s="55">
        <v>0.46</v>
      </c>
      <c r="O254" s="571">
        <v>0.43</v>
      </c>
      <c r="P254" s="572">
        <v>0.28000000000000003</v>
      </c>
      <c r="Q254" s="55">
        <v>3.2</v>
      </c>
      <c r="R254" s="573"/>
      <c r="S254" s="55"/>
      <c r="T254" s="55">
        <v>0.7</v>
      </c>
    </row>
    <row r="255" spans="1:20" x14ac:dyDescent="0.2">
      <c r="A255" s="20" t="s">
        <v>1491</v>
      </c>
      <c r="B255" s="411" t="s">
        <v>1569</v>
      </c>
      <c r="C255" s="20" t="str">
        <f t="shared" si="10"/>
        <v>Boreal MoistWestern Africa</v>
      </c>
      <c r="D255" s="249"/>
      <c r="E255" s="257">
        <f t="shared" si="22"/>
        <v>1.37</v>
      </c>
      <c r="F255" s="563"/>
      <c r="G255" s="574"/>
      <c r="H255" s="565">
        <v>0.87</v>
      </c>
      <c r="I255" s="563"/>
      <c r="J255" s="564"/>
      <c r="K255" s="574"/>
      <c r="L255" s="615">
        <v>0.91</v>
      </c>
      <c r="M255" s="615">
        <v>2.33</v>
      </c>
      <c r="N255" s="55">
        <v>0.46</v>
      </c>
      <c r="O255" s="571">
        <v>0.43</v>
      </c>
      <c r="P255" s="572">
        <v>0.28000000000000003</v>
      </c>
      <c r="Q255" s="55">
        <v>3.2</v>
      </c>
      <c r="R255" s="573"/>
      <c r="S255" s="55"/>
      <c r="T255" s="55">
        <v>0.7</v>
      </c>
    </row>
    <row r="256" spans="1:20" x14ac:dyDescent="0.2">
      <c r="A256" s="20" t="s">
        <v>1491</v>
      </c>
      <c r="B256" s="411" t="s">
        <v>1550</v>
      </c>
      <c r="C256" s="20" t="str">
        <f t="shared" si="10"/>
        <v>Boreal MoistCentral Asia</v>
      </c>
      <c r="D256" s="249"/>
      <c r="E256" s="257">
        <f>AVERAGE(F256:M256)</f>
        <v>1.37</v>
      </c>
      <c r="F256" s="563"/>
      <c r="G256" s="574"/>
      <c r="H256" s="565">
        <v>0.87</v>
      </c>
      <c r="I256" s="563"/>
      <c r="J256" s="564"/>
      <c r="K256" s="574"/>
      <c r="L256" s="615">
        <v>0.91</v>
      </c>
      <c r="M256" s="615">
        <v>2.33</v>
      </c>
      <c r="N256" s="55">
        <v>0.46</v>
      </c>
      <c r="O256" s="571">
        <v>0.43</v>
      </c>
      <c r="P256" s="572">
        <v>0.28000000000000003</v>
      </c>
      <c r="Q256" s="55">
        <v>3.2</v>
      </c>
      <c r="R256" s="573"/>
      <c r="S256" s="55"/>
      <c r="T256" s="55">
        <v>0.7</v>
      </c>
    </row>
    <row r="257" spans="1:20" x14ac:dyDescent="0.2">
      <c r="A257" s="20" t="s">
        <v>1491</v>
      </c>
      <c r="B257" s="411" t="s">
        <v>1554</v>
      </c>
      <c r="C257" s="20" t="str">
        <f t="shared" si="10"/>
        <v>Boreal MoistEastern Asia</v>
      </c>
      <c r="D257" s="249"/>
      <c r="E257" s="257">
        <f t="shared" si="22"/>
        <v>1.37</v>
      </c>
      <c r="F257" s="563"/>
      <c r="G257" s="574"/>
      <c r="H257" s="565">
        <v>0.87</v>
      </c>
      <c r="I257" s="563"/>
      <c r="J257" s="564"/>
      <c r="K257" s="574"/>
      <c r="L257" s="615">
        <v>0.91</v>
      </c>
      <c r="M257" s="615">
        <v>2.33</v>
      </c>
      <c r="N257" s="55">
        <v>0.46</v>
      </c>
      <c r="O257" s="571">
        <v>0.43</v>
      </c>
      <c r="P257" s="572">
        <v>0.28000000000000003</v>
      </c>
      <c r="Q257" s="55">
        <v>3.2</v>
      </c>
      <c r="R257" s="573"/>
      <c r="S257" s="55"/>
      <c r="T257" s="55">
        <v>0.7</v>
      </c>
    </row>
    <row r="258" spans="1:20" x14ac:dyDescent="0.2">
      <c r="A258" s="20" t="s">
        <v>1491</v>
      </c>
      <c r="B258" s="411" t="s">
        <v>1563</v>
      </c>
      <c r="C258" s="20" t="str">
        <f t="shared" si="10"/>
        <v>Boreal MoistSouth-eastern Asia</v>
      </c>
      <c r="D258" s="249"/>
      <c r="E258" s="257">
        <f t="shared" si="22"/>
        <v>1.37</v>
      </c>
      <c r="F258" s="563"/>
      <c r="G258" s="574"/>
      <c r="H258" s="565">
        <v>0.87</v>
      </c>
      <c r="I258" s="563"/>
      <c r="J258" s="564"/>
      <c r="K258" s="574"/>
      <c r="L258" s="615">
        <v>0.91</v>
      </c>
      <c r="M258" s="615">
        <v>2.33</v>
      </c>
      <c r="N258" s="55">
        <v>0.46</v>
      </c>
      <c r="O258" s="571">
        <v>0.43</v>
      </c>
      <c r="P258" s="572">
        <v>0.28000000000000003</v>
      </c>
      <c r="Q258" s="55">
        <v>3.2</v>
      </c>
      <c r="R258" s="573"/>
      <c r="S258" s="55"/>
      <c r="T258" s="55">
        <v>0.7</v>
      </c>
    </row>
    <row r="259" spans="1:20" x14ac:dyDescent="0.2">
      <c r="A259" s="20" t="s">
        <v>1491</v>
      </c>
      <c r="B259" s="411" t="s">
        <v>1567</v>
      </c>
      <c r="C259" s="20" t="str">
        <f t="shared" si="10"/>
        <v>Boreal MoistSouthern Asia</v>
      </c>
      <c r="D259" s="249"/>
      <c r="E259" s="257">
        <f t="shared" si="22"/>
        <v>1.37</v>
      </c>
      <c r="F259" s="563"/>
      <c r="G259" s="574"/>
      <c r="H259" s="565">
        <v>0.87</v>
      </c>
      <c r="I259" s="563"/>
      <c r="J259" s="564"/>
      <c r="K259" s="574"/>
      <c r="L259" s="615">
        <v>0.91</v>
      </c>
      <c r="M259" s="615">
        <v>2.33</v>
      </c>
      <c r="N259" s="55">
        <v>0.46</v>
      </c>
      <c r="O259" s="571">
        <v>0.43</v>
      </c>
      <c r="P259" s="572">
        <v>0.28000000000000003</v>
      </c>
      <c r="Q259" s="55">
        <v>3.2</v>
      </c>
      <c r="R259" s="573"/>
      <c r="S259" s="55"/>
      <c r="T259" s="55">
        <v>0.7</v>
      </c>
    </row>
    <row r="260" spans="1:20" x14ac:dyDescent="0.2">
      <c r="A260" s="20" t="s">
        <v>1491</v>
      </c>
      <c r="B260" s="411" t="s">
        <v>1571</v>
      </c>
      <c r="C260" s="20" t="str">
        <f t="shared" si="10"/>
        <v>Boreal MoistWestern Asia</v>
      </c>
      <c r="D260" s="249"/>
      <c r="E260" s="257">
        <f t="shared" si="22"/>
        <v>1.37</v>
      </c>
      <c r="F260" s="563"/>
      <c r="G260" s="574"/>
      <c r="H260" s="565">
        <v>0.87</v>
      </c>
      <c r="I260" s="563"/>
      <c r="J260" s="564"/>
      <c r="K260" s="574"/>
      <c r="L260" s="615">
        <v>0.91</v>
      </c>
      <c r="M260" s="615">
        <v>2.33</v>
      </c>
      <c r="N260" s="55">
        <v>0.46</v>
      </c>
      <c r="O260" s="571">
        <v>0.43</v>
      </c>
      <c r="P260" s="572">
        <v>0.28000000000000003</v>
      </c>
      <c r="Q260" s="55">
        <v>3.2</v>
      </c>
      <c r="R260" s="573"/>
      <c r="S260" s="55"/>
      <c r="T260" s="55">
        <v>0.7</v>
      </c>
    </row>
    <row r="261" spans="1:20" x14ac:dyDescent="0.2">
      <c r="A261" s="20" t="s">
        <v>1491</v>
      </c>
      <c r="B261" s="411" t="s">
        <v>1555</v>
      </c>
      <c r="C261" s="20" t="str">
        <f t="shared" si="10"/>
        <v>Boreal MoistEurope</v>
      </c>
      <c r="D261" s="249"/>
      <c r="E261" s="257">
        <f t="shared" si="22"/>
        <v>1.37</v>
      </c>
      <c r="F261" s="563"/>
      <c r="G261" s="574"/>
      <c r="H261" s="565">
        <v>0.87</v>
      </c>
      <c r="I261" s="563"/>
      <c r="J261" s="564"/>
      <c r="K261" s="574"/>
      <c r="L261" s="615">
        <v>0.91</v>
      </c>
      <c r="M261" s="615">
        <v>2.33</v>
      </c>
      <c r="N261" s="55">
        <v>0.46</v>
      </c>
      <c r="O261" s="571">
        <v>0.43</v>
      </c>
      <c r="P261" s="572">
        <v>0.28000000000000003</v>
      </c>
      <c r="Q261" s="55">
        <v>3.2</v>
      </c>
      <c r="R261" s="573"/>
      <c r="S261" s="55"/>
      <c r="T261" s="55">
        <v>0.7</v>
      </c>
    </row>
    <row r="262" spans="1:20" x14ac:dyDescent="0.2">
      <c r="A262" s="20" t="s">
        <v>1491</v>
      </c>
      <c r="B262" s="411" t="s">
        <v>1346</v>
      </c>
      <c r="C262" s="20" t="str">
        <f t="shared" si="10"/>
        <v>Boreal MoistOceania</v>
      </c>
      <c r="D262" s="249"/>
      <c r="E262" s="257">
        <f t="shared" si="22"/>
        <v>1.37</v>
      </c>
      <c r="F262" s="563"/>
      <c r="G262" s="574"/>
      <c r="H262" s="565">
        <v>0.87</v>
      </c>
      <c r="I262" s="563"/>
      <c r="J262" s="564"/>
      <c r="K262" s="574"/>
      <c r="L262" s="615">
        <v>0.91</v>
      </c>
      <c r="M262" s="615">
        <v>2.33</v>
      </c>
      <c r="N262" s="55">
        <v>0.46</v>
      </c>
      <c r="O262" s="571">
        <v>0.43</v>
      </c>
      <c r="P262" s="572">
        <v>0.28000000000000003</v>
      </c>
      <c r="Q262" s="55">
        <v>3.2</v>
      </c>
      <c r="R262" s="573"/>
      <c r="S262" s="55"/>
      <c r="T262" s="55">
        <v>0.7</v>
      </c>
    </row>
    <row r="263" spans="1:20" x14ac:dyDescent="0.2">
      <c r="A263" s="20" t="s">
        <v>1491</v>
      </c>
      <c r="B263" s="411" t="s">
        <v>1343</v>
      </c>
      <c r="C263" s="20" t="str">
        <f t="shared" si="10"/>
        <v>Boreal MoistNorth America</v>
      </c>
      <c r="D263" s="249"/>
      <c r="E263" s="257">
        <f t="shared" si="22"/>
        <v>1.37</v>
      </c>
      <c r="F263" s="563"/>
      <c r="G263" s="574"/>
      <c r="H263" s="565">
        <v>0.87</v>
      </c>
      <c r="I263" s="563"/>
      <c r="J263" s="564"/>
      <c r="K263" s="574"/>
      <c r="L263" s="615">
        <v>0.91</v>
      </c>
      <c r="M263" s="615">
        <v>2.33</v>
      </c>
      <c r="N263" s="55">
        <v>0.46</v>
      </c>
      <c r="O263" s="571">
        <v>0.43</v>
      </c>
      <c r="P263" s="572">
        <v>0.28000000000000003</v>
      </c>
      <c r="Q263" s="55">
        <v>3.2</v>
      </c>
      <c r="R263" s="573"/>
      <c r="S263" s="55"/>
      <c r="T263" s="55">
        <v>0.7</v>
      </c>
    </row>
    <row r="264" spans="1:20" x14ac:dyDescent="0.2">
      <c r="A264" s="20" t="s">
        <v>1491</v>
      </c>
      <c r="B264" s="411" t="s">
        <v>1349</v>
      </c>
      <c r="C264" s="20" t="str">
        <f t="shared" si="10"/>
        <v>Boreal MoistSouth America</v>
      </c>
      <c r="D264" s="249"/>
      <c r="E264" s="257">
        <f t="shared" si="22"/>
        <v>1.37</v>
      </c>
      <c r="F264" s="563"/>
      <c r="G264" s="574"/>
      <c r="H264" s="565">
        <v>0.87</v>
      </c>
      <c r="I264" s="563"/>
      <c r="J264" s="564"/>
      <c r="K264" s="574"/>
      <c r="L264" s="615">
        <v>0.91</v>
      </c>
      <c r="M264" s="615">
        <v>2.33</v>
      </c>
      <c r="N264" s="55">
        <v>0.46</v>
      </c>
      <c r="O264" s="571">
        <v>0.43</v>
      </c>
      <c r="P264" s="572">
        <v>0.28000000000000003</v>
      </c>
      <c r="Q264" s="55">
        <v>3.2</v>
      </c>
      <c r="R264" s="573"/>
      <c r="S264" s="55"/>
      <c r="T264" s="55">
        <v>0.7</v>
      </c>
    </row>
    <row r="265" spans="1:20" x14ac:dyDescent="0.2">
      <c r="A265" s="20" t="s">
        <v>1491</v>
      </c>
      <c r="B265" s="411" t="s">
        <v>1333</v>
      </c>
      <c r="C265" s="20" t="str">
        <f t="shared" si="10"/>
        <v>Boreal MoistCentral America</v>
      </c>
      <c r="D265" s="249"/>
      <c r="E265" s="257">
        <f t="shared" si="22"/>
        <v>1.37</v>
      </c>
      <c r="F265" s="563"/>
      <c r="G265" s="574"/>
      <c r="H265" s="565">
        <v>0.87</v>
      </c>
      <c r="I265" s="563"/>
      <c r="J265" s="564"/>
      <c r="K265" s="574"/>
      <c r="L265" s="615">
        <v>0.91</v>
      </c>
      <c r="M265" s="615">
        <v>2.33</v>
      </c>
      <c r="N265" s="55">
        <v>0.46</v>
      </c>
      <c r="O265" s="571">
        <v>0.43</v>
      </c>
      <c r="P265" s="572">
        <v>0.28000000000000003</v>
      </c>
      <c r="Q265" s="55">
        <v>3.2</v>
      </c>
      <c r="R265" s="573"/>
      <c r="S265" s="55"/>
      <c r="T265" s="55">
        <v>0.7</v>
      </c>
    </row>
    <row r="266" spans="1:20" x14ac:dyDescent="0.2">
      <c r="A266" s="20" t="s">
        <v>1491</v>
      </c>
      <c r="B266" s="412" t="s">
        <v>1547</v>
      </c>
      <c r="C266" s="20" t="str">
        <f t="shared" si="10"/>
        <v>Boreal MoistCaribbean</v>
      </c>
      <c r="D266" s="249"/>
      <c r="E266" s="258">
        <f t="shared" si="22"/>
        <v>1.37</v>
      </c>
      <c r="F266" s="563"/>
      <c r="G266" s="574"/>
      <c r="H266" s="578">
        <v>0.87</v>
      </c>
      <c r="I266" s="563"/>
      <c r="J266" s="564"/>
      <c r="K266" s="574"/>
      <c r="L266" s="617">
        <v>0.91</v>
      </c>
      <c r="M266" s="617">
        <v>2.33</v>
      </c>
      <c r="N266" s="579">
        <v>0.46</v>
      </c>
      <c r="O266" s="580">
        <v>0.43</v>
      </c>
      <c r="P266" s="420">
        <v>0.28000000000000003</v>
      </c>
      <c r="Q266" s="579">
        <v>3.2</v>
      </c>
      <c r="R266" s="581"/>
      <c r="S266" s="579"/>
      <c r="T266" s="55">
        <v>0.7</v>
      </c>
    </row>
    <row r="267" spans="1:20" x14ac:dyDescent="0.2">
      <c r="A267" s="63" t="s">
        <v>1882</v>
      </c>
      <c r="B267" s="408" t="s">
        <v>1552</v>
      </c>
      <c r="C267" s="63" t="str">
        <f t="shared" si="10"/>
        <v>TemperateEastern Africa</v>
      </c>
      <c r="D267" s="263"/>
      <c r="E267" s="261">
        <f>AVERAGE(F267:M267)</f>
        <v>1.37</v>
      </c>
      <c r="F267" s="570"/>
      <c r="G267" s="569"/>
      <c r="H267" s="615">
        <v>0.87</v>
      </c>
      <c r="I267" s="570"/>
      <c r="J267" s="567"/>
      <c r="K267" s="569"/>
      <c r="L267" s="614">
        <v>0.91</v>
      </c>
      <c r="M267" s="614">
        <v>2.33</v>
      </c>
      <c r="N267" s="567">
        <v>0.46</v>
      </c>
      <c r="O267" s="568">
        <v>0.43</v>
      </c>
      <c r="P267" s="569">
        <v>0.28000000000000003</v>
      </c>
      <c r="Q267" s="567">
        <v>3.2</v>
      </c>
      <c r="R267" s="570"/>
      <c r="S267" s="567"/>
      <c r="T267" s="567">
        <v>0.7</v>
      </c>
    </row>
    <row r="268" spans="1:20" x14ac:dyDescent="0.2">
      <c r="A268" s="20" t="s">
        <v>1882</v>
      </c>
      <c r="B268" s="401" t="s">
        <v>1557</v>
      </c>
      <c r="C268" s="20" t="str">
        <f t="shared" si="10"/>
        <v>TemperateCentral Africa</v>
      </c>
      <c r="D268" s="264"/>
      <c r="E268" s="261">
        <f t="shared" ref="E268:E282" si="23">AVERAGE(F268:M268)</f>
        <v>1.37</v>
      </c>
      <c r="F268" s="573"/>
      <c r="G268" s="572"/>
      <c r="H268" s="615">
        <v>0.87</v>
      </c>
      <c r="I268" s="573"/>
      <c r="J268" s="55"/>
      <c r="K268" s="572"/>
      <c r="L268" s="615">
        <v>0.91</v>
      </c>
      <c r="M268" s="615">
        <v>2.33</v>
      </c>
      <c r="N268" s="55">
        <v>0.46</v>
      </c>
      <c r="O268" s="571">
        <v>0.43</v>
      </c>
      <c r="P268" s="572">
        <v>0.28000000000000003</v>
      </c>
      <c r="Q268" s="55">
        <v>3.2</v>
      </c>
      <c r="R268" s="573"/>
      <c r="S268" s="55"/>
      <c r="T268" s="55">
        <v>0.7</v>
      </c>
    </row>
    <row r="269" spans="1:20" x14ac:dyDescent="0.2">
      <c r="A269" s="20" t="s">
        <v>1882</v>
      </c>
      <c r="B269" s="401" t="s">
        <v>1559</v>
      </c>
      <c r="C269" s="20" t="str">
        <f t="shared" ref="C269:C298" si="24">CONCATENATE(A269,B269)</f>
        <v>TemperateNorthern Africa</v>
      </c>
      <c r="D269" s="264"/>
      <c r="E269" s="261">
        <f t="shared" si="23"/>
        <v>1.37</v>
      </c>
      <c r="F269" s="573"/>
      <c r="G269" s="572"/>
      <c r="H269" s="615">
        <v>0.87</v>
      </c>
      <c r="I269" s="573"/>
      <c r="J269" s="55"/>
      <c r="K269" s="572"/>
      <c r="L269" s="615">
        <v>0.91</v>
      </c>
      <c r="M269" s="615">
        <v>2.33</v>
      </c>
      <c r="N269" s="55">
        <v>0.46</v>
      </c>
      <c r="O269" s="571">
        <v>0.43</v>
      </c>
      <c r="P269" s="572">
        <v>0.28000000000000003</v>
      </c>
      <c r="Q269" s="55">
        <v>3.2</v>
      </c>
      <c r="R269" s="573"/>
      <c r="S269" s="55"/>
      <c r="T269" s="55">
        <v>0.7</v>
      </c>
    </row>
    <row r="270" spans="1:20" x14ac:dyDescent="0.2">
      <c r="A270" s="20" t="s">
        <v>1882</v>
      </c>
      <c r="B270" s="401" t="s">
        <v>1565</v>
      </c>
      <c r="C270" s="20" t="str">
        <f t="shared" si="24"/>
        <v>TemperateSouthern Africa</v>
      </c>
      <c r="D270" s="264"/>
      <c r="E270" s="261">
        <f t="shared" si="23"/>
        <v>1.37</v>
      </c>
      <c r="F270" s="573"/>
      <c r="G270" s="572"/>
      <c r="H270" s="615">
        <v>0.87</v>
      </c>
      <c r="I270" s="573"/>
      <c r="J270" s="55"/>
      <c r="K270" s="572"/>
      <c r="L270" s="615">
        <v>0.91</v>
      </c>
      <c r="M270" s="615">
        <v>2.33</v>
      </c>
      <c r="N270" s="55">
        <v>0.46</v>
      </c>
      <c r="O270" s="571">
        <v>0.43</v>
      </c>
      <c r="P270" s="572">
        <v>0.28000000000000003</v>
      </c>
      <c r="Q270" s="55">
        <v>3.2</v>
      </c>
      <c r="R270" s="573"/>
      <c r="S270" s="55"/>
      <c r="T270" s="55">
        <v>0.7</v>
      </c>
    </row>
    <row r="271" spans="1:20" x14ac:dyDescent="0.2">
      <c r="A271" s="20" t="s">
        <v>1882</v>
      </c>
      <c r="B271" s="401" t="s">
        <v>1569</v>
      </c>
      <c r="C271" s="20" t="str">
        <f t="shared" si="24"/>
        <v>TemperateWestern Africa</v>
      </c>
      <c r="D271" s="264"/>
      <c r="E271" s="261">
        <f>AVERAGE(F271:M271)</f>
        <v>1.37</v>
      </c>
      <c r="F271" s="573"/>
      <c r="G271" s="572"/>
      <c r="H271" s="615">
        <v>0.87</v>
      </c>
      <c r="I271" s="573"/>
      <c r="J271" s="55"/>
      <c r="K271" s="572"/>
      <c r="L271" s="615">
        <v>0.91</v>
      </c>
      <c r="M271" s="615">
        <v>2.33</v>
      </c>
      <c r="N271" s="55">
        <v>0.46</v>
      </c>
      <c r="O271" s="571">
        <v>0.43</v>
      </c>
      <c r="P271" s="572">
        <v>0.28000000000000003</v>
      </c>
      <c r="Q271" s="55">
        <v>3.2</v>
      </c>
      <c r="R271" s="573"/>
      <c r="S271" s="55"/>
      <c r="T271" s="55">
        <v>0.7</v>
      </c>
    </row>
    <row r="272" spans="1:20" x14ac:dyDescent="0.2">
      <c r="A272" s="20" t="s">
        <v>1882</v>
      </c>
      <c r="B272" s="401" t="s">
        <v>1550</v>
      </c>
      <c r="C272" s="20" t="str">
        <f t="shared" si="24"/>
        <v>TemperateCentral Asia</v>
      </c>
      <c r="D272" s="264"/>
      <c r="E272" s="261">
        <f>AVERAGE(F272:M272)</f>
        <v>1.37</v>
      </c>
      <c r="F272" s="573"/>
      <c r="G272" s="572"/>
      <c r="H272" s="615">
        <v>0.87</v>
      </c>
      <c r="I272" s="573"/>
      <c r="J272" s="55"/>
      <c r="K272" s="572"/>
      <c r="L272" s="615">
        <v>0.91</v>
      </c>
      <c r="M272" s="615">
        <v>2.33</v>
      </c>
      <c r="N272" s="55">
        <v>0.46</v>
      </c>
      <c r="O272" s="571">
        <v>0.43</v>
      </c>
      <c r="P272" s="572">
        <v>0.28000000000000003</v>
      </c>
      <c r="Q272" s="55">
        <v>3.2</v>
      </c>
      <c r="R272" s="573"/>
      <c r="S272" s="55"/>
      <c r="T272" s="55">
        <v>0.7</v>
      </c>
    </row>
    <row r="273" spans="1:20" x14ac:dyDescent="0.2">
      <c r="A273" s="20" t="s">
        <v>1882</v>
      </c>
      <c r="B273" s="401" t="s">
        <v>1554</v>
      </c>
      <c r="C273" s="20" t="str">
        <f t="shared" si="24"/>
        <v>TemperateEastern Asia</v>
      </c>
      <c r="D273" s="264"/>
      <c r="E273" s="261">
        <f t="shared" si="23"/>
        <v>1.37</v>
      </c>
      <c r="F273" s="573"/>
      <c r="G273" s="572"/>
      <c r="H273" s="615">
        <v>0.87</v>
      </c>
      <c r="I273" s="573"/>
      <c r="J273" s="55"/>
      <c r="K273" s="572"/>
      <c r="L273" s="615">
        <v>0.91</v>
      </c>
      <c r="M273" s="615">
        <v>2.33</v>
      </c>
      <c r="N273" s="55">
        <v>0.46</v>
      </c>
      <c r="O273" s="571">
        <v>0.43</v>
      </c>
      <c r="P273" s="572">
        <v>0.28000000000000003</v>
      </c>
      <c r="Q273" s="55">
        <v>3.2</v>
      </c>
      <c r="R273" s="573"/>
      <c r="S273" s="55"/>
      <c r="T273" s="55">
        <v>0.7</v>
      </c>
    </row>
    <row r="274" spans="1:20" x14ac:dyDescent="0.2">
      <c r="A274" s="20" t="s">
        <v>1882</v>
      </c>
      <c r="B274" s="401" t="s">
        <v>1563</v>
      </c>
      <c r="C274" s="20" t="str">
        <f t="shared" si="24"/>
        <v>TemperateSouth-eastern Asia</v>
      </c>
      <c r="D274" s="264"/>
      <c r="E274" s="261">
        <f>AVERAGE(F274:M274)</f>
        <v>1.37</v>
      </c>
      <c r="F274" s="573"/>
      <c r="G274" s="572"/>
      <c r="H274" s="615">
        <v>0.87</v>
      </c>
      <c r="I274" s="573"/>
      <c r="J274" s="55"/>
      <c r="K274" s="572"/>
      <c r="L274" s="615">
        <v>0.91</v>
      </c>
      <c r="M274" s="615">
        <v>2.33</v>
      </c>
      <c r="N274" s="55">
        <v>0.46</v>
      </c>
      <c r="O274" s="571">
        <v>0.43</v>
      </c>
      <c r="P274" s="572">
        <v>0.28000000000000003</v>
      </c>
      <c r="Q274" s="55">
        <v>3.2</v>
      </c>
      <c r="R274" s="573"/>
      <c r="S274" s="55"/>
      <c r="T274" s="55">
        <v>0.7</v>
      </c>
    </row>
    <row r="275" spans="1:20" x14ac:dyDescent="0.2">
      <c r="A275" s="20" t="s">
        <v>1882</v>
      </c>
      <c r="B275" s="401" t="s">
        <v>1567</v>
      </c>
      <c r="C275" s="20" t="str">
        <f t="shared" si="24"/>
        <v>TemperateSouthern Asia</v>
      </c>
      <c r="D275" s="264"/>
      <c r="E275" s="261">
        <f t="shared" si="23"/>
        <v>1.37</v>
      </c>
      <c r="F275" s="573"/>
      <c r="G275" s="572"/>
      <c r="H275" s="615">
        <v>0.87</v>
      </c>
      <c r="I275" s="573"/>
      <c r="J275" s="55"/>
      <c r="K275" s="572"/>
      <c r="L275" s="615">
        <v>0.91</v>
      </c>
      <c r="M275" s="615">
        <v>2.33</v>
      </c>
      <c r="N275" s="55">
        <v>0.46</v>
      </c>
      <c r="O275" s="571">
        <v>0.43</v>
      </c>
      <c r="P275" s="572">
        <v>0.28000000000000003</v>
      </c>
      <c r="Q275" s="55">
        <v>3.2</v>
      </c>
      <c r="R275" s="573"/>
      <c r="S275" s="55"/>
      <c r="T275" s="55">
        <v>0.7</v>
      </c>
    </row>
    <row r="276" spans="1:20" x14ac:dyDescent="0.2">
      <c r="A276" s="20" t="s">
        <v>1882</v>
      </c>
      <c r="B276" s="401" t="s">
        <v>1571</v>
      </c>
      <c r="C276" s="20" t="str">
        <f t="shared" si="24"/>
        <v>TemperateWestern Asia</v>
      </c>
      <c r="D276" s="264"/>
      <c r="E276" s="261">
        <f t="shared" si="23"/>
        <v>1.37</v>
      </c>
      <c r="F276" s="573"/>
      <c r="G276" s="572"/>
      <c r="H276" s="615">
        <v>0.87</v>
      </c>
      <c r="I276" s="573"/>
      <c r="J276" s="55"/>
      <c r="K276" s="572"/>
      <c r="L276" s="615">
        <v>0.91</v>
      </c>
      <c r="M276" s="615">
        <v>2.33</v>
      </c>
      <c r="N276" s="55">
        <v>0.46</v>
      </c>
      <c r="O276" s="571">
        <v>0.43</v>
      </c>
      <c r="P276" s="572">
        <v>0.28000000000000003</v>
      </c>
      <c r="Q276" s="55">
        <v>3.2</v>
      </c>
      <c r="R276" s="573"/>
      <c r="S276" s="55"/>
      <c r="T276" s="55">
        <v>0.7</v>
      </c>
    </row>
    <row r="277" spans="1:20" x14ac:dyDescent="0.2">
      <c r="A277" s="20" t="s">
        <v>1882</v>
      </c>
      <c r="B277" s="401" t="s">
        <v>1555</v>
      </c>
      <c r="C277" s="20" t="str">
        <f t="shared" si="24"/>
        <v>TemperateEurope</v>
      </c>
      <c r="D277" s="264"/>
      <c r="E277" s="261">
        <f t="shared" si="23"/>
        <v>1.37</v>
      </c>
      <c r="F277" s="573"/>
      <c r="G277" s="572"/>
      <c r="H277" s="615">
        <v>0.87</v>
      </c>
      <c r="I277" s="573"/>
      <c r="J277" s="55"/>
      <c r="K277" s="572"/>
      <c r="L277" s="615">
        <v>0.91</v>
      </c>
      <c r="M277" s="615">
        <v>2.33</v>
      </c>
      <c r="N277" s="55">
        <v>0.46</v>
      </c>
      <c r="O277" s="571">
        <v>0.43</v>
      </c>
      <c r="P277" s="572">
        <v>0.28000000000000003</v>
      </c>
      <c r="Q277" s="55">
        <v>3.2</v>
      </c>
      <c r="R277" s="573"/>
      <c r="S277" s="55"/>
      <c r="T277" s="55">
        <v>0.7</v>
      </c>
    </row>
    <row r="278" spans="1:20" x14ac:dyDescent="0.2">
      <c r="A278" s="20" t="s">
        <v>1882</v>
      </c>
      <c r="B278" s="401" t="s">
        <v>1346</v>
      </c>
      <c r="C278" s="20" t="str">
        <f t="shared" si="24"/>
        <v>TemperateOceania</v>
      </c>
      <c r="D278" s="264"/>
      <c r="E278" s="261">
        <f t="shared" si="23"/>
        <v>1.37</v>
      </c>
      <c r="F278" s="573"/>
      <c r="G278" s="572"/>
      <c r="H278" s="615">
        <v>0.87</v>
      </c>
      <c r="I278" s="573"/>
      <c r="J278" s="55"/>
      <c r="K278" s="572"/>
      <c r="L278" s="615">
        <v>0.91</v>
      </c>
      <c r="M278" s="615">
        <v>2.33</v>
      </c>
      <c r="N278" s="55">
        <v>0.46</v>
      </c>
      <c r="O278" s="571">
        <v>0.43</v>
      </c>
      <c r="P278" s="572">
        <v>0.28000000000000003</v>
      </c>
      <c r="Q278" s="55">
        <v>3.2</v>
      </c>
      <c r="R278" s="573"/>
      <c r="S278" s="55"/>
      <c r="T278" s="55">
        <v>0.7</v>
      </c>
    </row>
    <row r="279" spans="1:20" x14ac:dyDescent="0.2">
      <c r="A279" s="20" t="s">
        <v>1882</v>
      </c>
      <c r="B279" s="401" t="s">
        <v>1343</v>
      </c>
      <c r="C279" s="20" t="str">
        <f t="shared" si="24"/>
        <v>TemperateNorth America</v>
      </c>
      <c r="D279" s="264"/>
      <c r="E279" s="261">
        <f>AVERAGE(F279:M279)</f>
        <v>1.37</v>
      </c>
      <c r="F279" s="573"/>
      <c r="G279" s="572"/>
      <c r="H279" s="615">
        <v>0.87</v>
      </c>
      <c r="I279" s="573"/>
      <c r="J279" s="55"/>
      <c r="K279" s="572"/>
      <c r="L279" s="615">
        <v>0.91</v>
      </c>
      <c r="M279" s="615">
        <v>2.33</v>
      </c>
      <c r="N279" s="55">
        <v>0.46</v>
      </c>
      <c r="O279" s="571">
        <v>0.43</v>
      </c>
      <c r="P279" s="572">
        <v>0.28000000000000003</v>
      </c>
      <c r="Q279" s="55">
        <v>3.2</v>
      </c>
      <c r="R279" s="573"/>
      <c r="S279" s="55"/>
      <c r="T279" s="55">
        <v>0.7</v>
      </c>
    </row>
    <row r="280" spans="1:20" x14ac:dyDescent="0.2">
      <c r="A280" s="20" t="s">
        <v>1882</v>
      </c>
      <c r="B280" s="401" t="s">
        <v>1349</v>
      </c>
      <c r="C280" s="20" t="str">
        <f t="shared" si="24"/>
        <v>TemperateSouth America</v>
      </c>
      <c r="D280" s="264"/>
      <c r="E280" s="261">
        <f t="shared" si="23"/>
        <v>1.37</v>
      </c>
      <c r="F280" s="573"/>
      <c r="G280" s="572"/>
      <c r="H280" s="615">
        <v>0.87</v>
      </c>
      <c r="I280" s="573"/>
      <c r="J280" s="55"/>
      <c r="K280" s="572"/>
      <c r="L280" s="615">
        <v>0.91</v>
      </c>
      <c r="M280" s="615">
        <v>2.33</v>
      </c>
      <c r="N280" s="55">
        <v>0.46</v>
      </c>
      <c r="O280" s="571">
        <v>0.43</v>
      </c>
      <c r="P280" s="572">
        <v>0.28000000000000003</v>
      </c>
      <c r="Q280" s="55">
        <v>3.2</v>
      </c>
      <c r="R280" s="573"/>
      <c r="S280" s="55"/>
      <c r="T280" s="55">
        <v>0.7</v>
      </c>
    </row>
    <row r="281" spans="1:20" x14ac:dyDescent="0.2">
      <c r="A281" s="20" t="s">
        <v>1882</v>
      </c>
      <c r="B281" s="401" t="s">
        <v>1333</v>
      </c>
      <c r="C281" s="20" t="str">
        <f t="shared" si="24"/>
        <v>TemperateCentral America</v>
      </c>
      <c r="D281" s="264"/>
      <c r="E281" s="261">
        <f t="shared" si="23"/>
        <v>1.37</v>
      </c>
      <c r="F281" s="573"/>
      <c r="G281" s="572"/>
      <c r="H281" s="615">
        <v>0.87</v>
      </c>
      <c r="I281" s="573"/>
      <c r="J281" s="55"/>
      <c r="K281" s="572"/>
      <c r="L281" s="615">
        <v>0.91</v>
      </c>
      <c r="M281" s="615">
        <v>2.33</v>
      </c>
      <c r="N281" s="55">
        <v>0.46</v>
      </c>
      <c r="O281" s="571">
        <v>0.43</v>
      </c>
      <c r="P281" s="572">
        <v>0.28000000000000003</v>
      </c>
      <c r="Q281" s="55">
        <v>3.2</v>
      </c>
      <c r="R281" s="573"/>
      <c r="S281" s="55"/>
      <c r="T281" s="55">
        <v>0.7</v>
      </c>
    </row>
    <row r="282" spans="1:20" x14ac:dyDescent="0.2">
      <c r="A282" s="37" t="s">
        <v>1882</v>
      </c>
      <c r="B282" s="402" t="s">
        <v>1547</v>
      </c>
      <c r="C282" s="20" t="str">
        <f t="shared" si="24"/>
        <v>TemperateCaribbean</v>
      </c>
      <c r="D282" s="265"/>
      <c r="E282" s="262">
        <f t="shared" si="23"/>
        <v>1.37</v>
      </c>
      <c r="F282" s="573"/>
      <c r="G282" s="572"/>
      <c r="H282" s="615">
        <v>0.87</v>
      </c>
      <c r="I282" s="573"/>
      <c r="J282" s="55"/>
      <c r="K282" s="572"/>
      <c r="L282" s="617">
        <v>0.91</v>
      </c>
      <c r="M282" s="617">
        <v>2.33</v>
      </c>
      <c r="N282" s="579">
        <v>0.46</v>
      </c>
      <c r="O282" s="580">
        <v>0.43</v>
      </c>
      <c r="P282" s="420">
        <v>0.28000000000000003</v>
      </c>
      <c r="Q282" s="579">
        <v>3.2</v>
      </c>
      <c r="R282" s="581"/>
      <c r="S282" s="579"/>
      <c r="T282" s="55">
        <v>0.7</v>
      </c>
    </row>
    <row r="283" spans="1:20" x14ac:dyDescent="0.2">
      <c r="A283" s="63" t="s">
        <v>111</v>
      </c>
      <c r="B283" s="413" t="s">
        <v>1552</v>
      </c>
      <c r="C283" s="63" t="str">
        <f t="shared" si="24"/>
        <v>TropicalEastern Africa</v>
      </c>
      <c r="D283" s="263"/>
      <c r="E283" s="256">
        <f>AVERAGE(F283:M283)</f>
        <v>2.5024999999999999</v>
      </c>
      <c r="F283" s="618">
        <v>2.37</v>
      </c>
      <c r="G283" s="614">
        <v>4.42</v>
      </c>
      <c r="H283" s="614">
        <v>0.47</v>
      </c>
      <c r="I283" s="614">
        <v>3.25</v>
      </c>
      <c r="J283" s="614">
        <v>0.59</v>
      </c>
      <c r="K283" s="590">
        <v>2.4</v>
      </c>
      <c r="L283" s="614">
        <v>3.61</v>
      </c>
      <c r="M283" s="614">
        <v>2.91</v>
      </c>
      <c r="N283" s="567"/>
      <c r="O283" s="567"/>
      <c r="P283" s="567"/>
      <c r="Q283" s="567"/>
      <c r="R283" s="567">
        <v>2.4</v>
      </c>
      <c r="S283" s="567">
        <v>3</v>
      </c>
      <c r="T283" s="567">
        <v>0.7</v>
      </c>
    </row>
    <row r="284" spans="1:20" x14ac:dyDescent="0.2">
      <c r="A284" s="20" t="s">
        <v>111</v>
      </c>
      <c r="B284" s="403" t="s">
        <v>1557</v>
      </c>
      <c r="C284" s="20" t="str">
        <f t="shared" si="24"/>
        <v>TropicalCentral Africa</v>
      </c>
      <c r="D284" s="264"/>
      <c r="E284" s="257">
        <f>AVERAGE(F284:M284)</f>
        <v>2.5024999999999999</v>
      </c>
      <c r="F284" s="619">
        <v>2.37</v>
      </c>
      <c r="G284" s="615">
        <v>4.42</v>
      </c>
      <c r="H284" s="615">
        <v>0.47</v>
      </c>
      <c r="I284" s="615">
        <v>3.25</v>
      </c>
      <c r="J284" s="615">
        <v>0.59</v>
      </c>
      <c r="K284" s="566">
        <v>2.4</v>
      </c>
      <c r="L284" s="615">
        <v>3.61</v>
      </c>
      <c r="M284" s="615">
        <v>2.91</v>
      </c>
      <c r="N284" s="55"/>
      <c r="O284" s="55"/>
      <c r="P284" s="55"/>
      <c r="Q284" s="55"/>
      <c r="R284" s="55">
        <v>2.4</v>
      </c>
      <c r="S284" s="55">
        <v>3</v>
      </c>
      <c r="T284" s="55">
        <v>0.7</v>
      </c>
    </row>
    <row r="285" spans="1:20" x14ac:dyDescent="0.2">
      <c r="A285" s="20" t="s">
        <v>111</v>
      </c>
      <c r="B285" s="403" t="s">
        <v>1559</v>
      </c>
      <c r="C285" s="20" t="str">
        <f t="shared" si="24"/>
        <v>TropicalNorthern Africa</v>
      </c>
      <c r="D285" s="264"/>
      <c r="E285" s="257">
        <f>AVERAGE(F285:M285)</f>
        <v>2.5024999999999999</v>
      </c>
      <c r="F285" s="619">
        <v>2.37</v>
      </c>
      <c r="G285" s="615">
        <v>4.42</v>
      </c>
      <c r="H285" s="615">
        <v>0.47</v>
      </c>
      <c r="I285" s="615">
        <v>3.25</v>
      </c>
      <c r="J285" s="615">
        <v>0.59</v>
      </c>
      <c r="K285" s="566">
        <v>2.4</v>
      </c>
      <c r="L285" s="615">
        <v>3.61</v>
      </c>
      <c r="M285" s="615">
        <v>2.91</v>
      </c>
      <c r="N285" s="55"/>
      <c r="O285" s="55"/>
      <c r="P285" s="55"/>
      <c r="Q285" s="55"/>
      <c r="R285" s="55">
        <v>2.4</v>
      </c>
      <c r="S285" s="55">
        <v>3</v>
      </c>
      <c r="T285" s="55">
        <v>0.7</v>
      </c>
    </row>
    <row r="286" spans="1:20" x14ac:dyDescent="0.2">
      <c r="A286" s="20" t="s">
        <v>111</v>
      </c>
      <c r="B286" s="403" t="s">
        <v>1565</v>
      </c>
      <c r="C286" s="20" t="str">
        <f t="shared" si="24"/>
        <v>TropicalSouthern Africa</v>
      </c>
      <c r="D286" s="264"/>
      <c r="E286" s="257">
        <f t="shared" ref="E286:E298" si="25">AVERAGE(F286:M286)</f>
        <v>2.5024999999999999</v>
      </c>
      <c r="F286" s="619">
        <v>2.37</v>
      </c>
      <c r="G286" s="615">
        <v>4.42</v>
      </c>
      <c r="H286" s="615">
        <v>0.47</v>
      </c>
      <c r="I286" s="615">
        <v>3.25</v>
      </c>
      <c r="J286" s="615">
        <v>0.59</v>
      </c>
      <c r="K286" s="566">
        <v>2.4</v>
      </c>
      <c r="L286" s="615">
        <v>3.61</v>
      </c>
      <c r="M286" s="615">
        <v>2.91</v>
      </c>
      <c r="N286" s="55"/>
      <c r="O286" s="55"/>
      <c r="P286" s="55"/>
      <c r="Q286" s="55"/>
      <c r="R286" s="55">
        <v>2.4</v>
      </c>
      <c r="S286" s="55">
        <v>3</v>
      </c>
      <c r="T286" s="55">
        <v>0.7</v>
      </c>
    </row>
    <row r="287" spans="1:20" x14ac:dyDescent="0.2">
      <c r="A287" s="20" t="s">
        <v>111</v>
      </c>
      <c r="B287" s="403" t="s">
        <v>1569</v>
      </c>
      <c r="C287" s="20" t="str">
        <f t="shared" si="24"/>
        <v>TropicalWestern Africa</v>
      </c>
      <c r="D287" s="264"/>
      <c r="E287" s="257">
        <f>AVERAGE(F287:M287)</f>
        <v>2.5024999999999999</v>
      </c>
      <c r="F287" s="619">
        <v>2.37</v>
      </c>
      <c r="G287" s="615">
        <v>4.42</v>
      </c>
      <c r="H287" s="615">
        <v>0.47</v>
      </c>
      <c r="I287" s="615">
        <v>3.25</v>
      </c>
      <c r="J287" s="615">
        <v>0.59</v>
      </c>
      <c r="K287" s="566">
        <v>2.4</v>
      </c>
      <c r="L287" s="615">
        <v>3.61</v>
      </c>
      <c r="M287" s="615">
        <v>2.91</v>
      </c>
      <c r="N287" s="55"/>
      <c r="O287" s="55"/>
      <c r="P287" s="55"/>
      <c r="Q287" s="55"/>
      <c r="R287" s="55">
        <v>2.4</v>
      </c>
      <c r="S287" s="55">
        <v>3</v>
      </c>
      <c r="T287" s="55">
        <v>0.7</v>
      </c>
    </row>
    <row r="288" spans="1:20" x14ac:dyDescent="0.2">
      <c r="A288" s="20" t="s">
        <v>111</v>
      </c>
      <c r="B288" s="403" t="s">
        <v>1550</v>
      </c>
      <c r="C288" s="20" t="str">
        <f t="shared" si="24"/>
        <v>TropicalCentral Asia</v>
      </c>
      <c r="D288" s="264"/>
      <c r="E288" s="257">
        <f t="shared" si="25"/>
        <v>2.5024999999999999</v>
      </c>
      <c r="F288" s="619">
        <v>2.37</v>
      </c>
      <c r="G288" s="615">
        <v>4.42</v>
      </c>
      <c r="H288" s="615">
        <v>0.47</v>
      </c>
      <c r="I288" s="615">
        <v>3.25</v>
      </c>
      <c r="J288" s="615">
        <v>0.59</v>
      </c>
      <c r="K288" s="566">
        <v>2.4</v>
      </c>
      <c r="L288" s="615">
        <v>3.61</v>
      </c>
      <c r="M288" s="615">
        <v>2.91</v>
      </c>
      <c r="N288" s="55"/>
      <c r="O288" s="55"/>
      <c r="P288" s="55"/>
      <c r="Q288" s="55"/>
      <c r="R288" s="55">
        <v>2.4</v>
      </c>
      <c r="S288" s="55">
        <v>3</v>
      </c>
      <c r="T288" s="55">
        <v>0.7</v>
      </c>
    </row>
    <row r="289" spans="1:20" x14ac:dyDescent="0.2">
      <c r="A289" s="20" t="s">
        <v>111</v>
      </c>
      <c r="B289" s="403" t="s">
        <v>1554</v>
      </c>
      <c r="C289" s="20" t="str">
        <f t="shared" si="24"/>
        <v>TropicalEastern Asia</v>
      </c>
      <c r="D289" s="264"/>
      <c r="E289" s="257">
        <f>AVERAGE(F289:M289)</f>
        <v>2.5024999999999999</v>
      </c>
      <c r="F289" s="619">
        <v>2.37</v>
      </c>
      <c r="G289" s="615">
        <v>4.42</v>
      </c>
      <c r="H289" s="615">
        <v>0.47</v>
      </c>
      <c r="I289" s="615">
        <v>3.25</v>
      </c>
      <c r="J289" s="615">
        <v>0.59</v>
      </c>
      <c r="K289" s="566">
        <v>2.4</v>
      </c>
      <c r="L289" s="615">
        <v>3.61</v>
      </c>
      <c r="M289" s="615">
        <v>2.91</v>
      </c>
      <c r="N289" s="55"/>
      <c r="O289" s="55"/>
      <c r="P289" s="55"/>
      <c r="Q289" s="55"/>
      <c r="R289" s="55">
        <v>2.4</v>
      </c>
      <c r="S289" s="55">
        <v>3</v>
      </c>
      <c r="T289" s="55">
        <v>0.7</v>
      </c>
    </row>
    <row r="290" spans="1:20" x14ac:dyDescent="0.2">
      <c r="A290" s="20" t="s">
        <v>111</v>
      </c>
      <c r="B290" s="403" t="s">
        <v>1563</v>
      </c>
      <c r="C290" s="20" t="str">
        <f t="shared" si="24"/>
        <v>TropicalSouth-eastern Asia</v>
      </c>
      <c r="D290" s="264"/>
      <c r="E290" s="257">
        <f>AVERAGE(F290:M290)</f>
        <v>2.5024999999999999</v>
      </c>
      <c r="F290" s="619">
        <v>2.37</v>
      </c>
      <c r="G290" s="615">
        <v>4.42</v>
      </c>
      <c r="H290" s="615">
        <v>0.47</v>
      </c>
      <c r="I290" s="615">
        <v>3.25</v>
      </c>
      <c r="J290" s="615">
        <v>0.59</v>
      </c>
      <c r="K290" s="566">
        <v>2.4</v>
      </c>
      <c r="L290" s="615">
        <v>3.61</v>
      </c>
      <c r="M290" s="615">
        <v>2.91</v>
      </c>
      <c r="N290" s="55"/>
      <c r="O290" s="55"/>
      <c r="P290" s="55"/>
      <c r="Q290" s="55"/>
      <c r="R290" s="55">
        <v>2.4</v>
      </c>
      <c r="S290" s="55">
        <v>3</v>
      </c>
      <c r="T290" s="55">
        <v>0.7</v>
      </c>
    </row>
    <row r="291" spans="1:20" x14ac:dyDescent="0.2">
      <c r="A291" s="20" t="s">
        <v>111</v>
      </c>
      <c r="B291" s="403" t="s">
        <v>1567</v>
      </c>
      <c r="C291" s="20" t="str">
        <f t="shared" si="24"/>
        <v>TropicalSouthern Asia</v>
      </c>
      <c r="D291" s="264"/>
      <c r="E291" s="257">
        <f>AVERAGE(F291:M291)</f>
        <v>2.5024999999999999</v>
      </c>
      <c r="F291" s="619">
        <v>2.37</v>
      </c>
      <c r="G291" s="615">
        <v>4.42</v>
      </c>
      <c r="H291" s="615">
        <v>0.47</v>
      </c>
      <c r="I291" s="615">
        <v>3.25</v>
      </c>
      <c r="J291" s="615">
        <v>0.59</v>
      </c>
      <c r="K291" s="566">
        <v>2.4</v>
      </c>
      <c r="L291" s="615">
        <v>3.61</v>
      </c>
      <c r="M291" s="615">
        <v>2.91</v>
      </c>
      <c r="N291" s="55"/>
      <c r="O291" s="55"/>
      <c r="P291" s="55"/>
      <c r="Q291" s="55"/>
      <c r="R291" s="55">
        <v>2.4</v>
      </c>
      <c r="S291" s="55">
        <v>3</v>
      </c>
      <c r="T291" s="55">
        <v>0.7</v>
      </c>
    </row>
    <row r="292" spans="1:20" x14ac:dyDescent="0.2">
      <c r="A292" s="20" t="s">
        <v>111</v>
      </c>
      <c r="B292" s="403" t="s">
        <v>1571</v>
      </c>
      <c r="C292" s="20" t="str">
        <f t="shared" si="24"/>
        <v>TropicalWestern Asia</v>
      </c>
      <c r="D292" s="264"/>
      <c r="E292" s="257">
        <f t="shared" si="25"/>
        <v>2.5024999999999999</v>
      </c>
      <c r="F292" s="619">
        <v>2.37</v>
      </c>
      <c r="G292" s="615">
        <v>4.42</v>
      </c>
      <c r="H292" s="615">
        <v>0.47</v>
      </c>
      <c r="I292" s="615">
        <v>3.25</v>
      </c>
      <c r="J292" s="615">
        <v>0.59</v>
      </c>
      <c r="K292" s="566">
        <v>2.4</v>
      </c>
      <c r="L292" s="615">
        <v>3.61</v>
      </c>
      <c r="M292" s="615">
        <v>2.91</v>
      </c>
      <c r="N292" s="55"/>
      <c r="O292" s="55"/>
      <c r="P292" s="55"/>
      <c r="Q292" s="55"/>
      <c r="R292" s="55">
        <v>2.4</v>
      </c>
      <c r="S292" s="55">
        <v>3</v>
      </c>
      <c r="T292" s="55">
        <v>0.7</v>
      </c>
    </row>
    <row r="293" spans="1:20" x14ac:dyDescent="0.2">
      <c r="A293" s="20" t="s">
        <v>111</v>
      </c>
      <c r="B293" s="403" t="s">
        <v>1555</v>
      </c>
      <c r="C293" s="20" t="str">
        <f t="shared" si="24"/>
        <v>TropicalEurope</v>
      </c>
      <c r="D293" s="264"/>
      <c r="E293" s="257">
        <f t="shared" si="25"/>
        <v>2.5024999999999999</v>
      </c>
      <c r="F293" s="619">
        <v>2.37</v>
      </c>
      <c r="G293" s="615">
        <v>4.42</v>
      </c>
      <c r="H293" s="615">
        <v>0.47</v>
      </c>
      <c r="I293" s="615">
        <v>3.25</v>
      </c>
      <c r="J293" s="615">
        <v>0.59</v>
      </c>
      <c r="K293" s="566">
        <v>2.4</v>
      </c>
      <c r="L293" s="615">
        <v>3.61</v>
      </c>
      <c r="M293" s="615">
        <v>2.91</v>
      </c>
      <c r="N293" s="55"/>
      <c r="O293" s="55"/>
      <c r="P293" s="55"/>
      <c r="Q293" s="55"/>
      <c r="R293" s="55">
        <v>2.4</v>
      </c>
      <c r="S293" s="55">
        <v>3</v>
      </c>
      <c r="T293" s="55">
        <v>0.7</v>
      </c>
    </row>
    <row r="294" spans="1:20" x14ac:dyDescent="0.2">
      <c r="A294" s="20" t="s">
        <v>111</v>
      </c>
      <c r="B294" s="403" t="s">
        <v>1346</v>
      </c>
      <c r="C294" s="20" t="str">
        <f t="shared" si="24"/>
        <v>TropicalOceania</v>
      </c>
      <c r="D294" s="264"/>
      <c r="E294" s="257">
        <f t="shared" si="25"/>
        <v>2.5024999999999999</v>
      </c>
      <c r="F294" s="619">
        <v>2.37</v>
      </c>
      <c r="G294" s="615">
        <v>4.42</v>
      </c>
      <c r="H294" s="615">
        <v>0.47</v>
      </c>
      <c r="I294" s="615">
        <v>3.25</v>
      </c>
      <c r="J294" s="615">
        <v>0.59</v>
      </c>
      <c r="K294" s="566">
        <v>2.4</v>
      </c>
      <c r="L294" s="615">
        <v>3.61</v>
      </c>
      <c r="M294" s="615">
        <v>2.91</v>
      </c>
      <c r="N294" s="55"/>
      <c r="O294" s="55"/>
      <c r="P294" s="55"/>
      <c r="Q294" s="55"/>
      <c r="R294" s="55">
        <v>2.4</v>
      </c>
      <c r="S294" s="55">
        <v>3</v>
      </c>
      <c r="T294" s="55">
        <v>0.7</v>
      </c>
    </row>
    <row r="295" spans="1:20" x14ac:dyDescent="0.2">
      <c r="A295" s="20" t="s">
        <v>111</v>
      </c>
      <c r="B295" s="403" t="s">
        <v>1343</v>
      </c>
      <c r="C295" s="20" t="str">
        <f t="shared" si="24"/>
        <v>TropicalNorth America</v>
      </c>
      <c r="D295" s="264"/>
      <c r="E295" s="257">
        <f t="shared" si="25"/>
        <v>2.5024999999999999</v>
      </c>
      <c r="F295" s="619">
        <v>2.37</v>
      </c>
      <c r="G295" s="615">
        <v>4.42</v>
      </c>
      <c r="H295" s="615">
        <v>0.47</v>
      </c>
      <c r="I295" s="615">
        <v>3.25</v>
      </c>
      <c r="J295" s="615">
        <v>0.59</v>
      </c>
      <c r="K295" s="566">
        <v>2.4</v>
      </c>
      <c r="L295" s="615">
        <v>3.61</v>
      </c>
      <c r="M295" s="615">
        <v>2.91</v>
      </c>
      <c r="N295" s="55"/>
      <c r="O295" s="55"/>
      <c r="P295" s="55"/>
      <c r="Q295" s="55"/>
      <c r="R295" s="55">
        <v>2.4</v>
      </c>
      <c r="S295" s="55">
        <v>3</v>
      </c>
      <c r="T295" s="55">
        <v>0.7</v>
      </c>
    </row>
    <row r="296" spans="1:20" x14ac:dyDescent="0.2">
      <c r="A296" s="20" t="s">
        <v>111</v>
      </c>
      <c r="B296" s="403" t="s">
        <v>1349</v>
      </c>
      <c r="C296" s="20" t="str">
        <f t="shared" si="24"/>
        <v>TropicalSouth America</v>
      </c>
      <c r="D296" s="264"/>
      <c r="E296" s="257">
        <f t="shared" si="25"/>
        <v>2.5024999999999999</v>
      </c>
      <c r="F296" s="619">
        <v>2.37</v>
      </c>
      <c r="G296" s="615">
        <v>4.42</v>
      </c>
      <c r="H296" s="615">
        <v>0.47</v>
      </c>
      <c r="I296" s="615">
        <v>3.25</v>
      </c>
      <c r="J296" s="615">
        <v>0.59</v>
      </c>
      <c r="K296" s="566">
        <v>2.4</v>
      </c>
      <c r="L296" s="615">
        <v>3.61</v>
      </c>
      <c r="M296" s="615">
        <v>2.91</v>
      </c>
      <c r="N296" s="55"/>
      <c r="O296" s="55"/>
      <c r="P296" s="55"/>
      <c r="Q296" s="55"/>
      <c r="R296" s="55">
        <v>2.4</v>
      </c>
      <c r="S296" s="55">
        <v>3</v>
      </c>
      <c r="T296" s="55">
        <v>0.7</v>
      </c>
    </row>
    <row r="297" spans="1:20" x14ac:dyDescent="0.2">
      <c r="A297" s="20" t="s">
        <v>111</v>
      </c>
      <c r="B297" s="403" t="s">
        <v>1333</v>
      </c>
      <c r="C297" s="20" t="str">
        <f t="shared" si="24"/>
        <v>TropicalCentral America</v>
      </c>
      <c r="D297" s="264"/>
      <c r="E297" s="257">
        <f t="shared" si="25"/>
        <v>2.5024999999999999</v>
      </c>
      <c r="F297" s="619">
        <v>2.37</v>
      </c>
      <c r="G297" s="615">
        <v>4.42</v>
      </c>
      <c r="H297" s="615">
        <v>0.47</v>
      </c>
      <c r="I297" s="615">
        <v>3.25</v>
      </c>
      <c r="J297" s="615">
        <v>0.59</v>
      </c>
      <c r="K297" s="566">
        <v>2.4</v>
      </c>
      <c r="L297" s="615">
        <v>3.61</v>
      </c>
      <c r="M297" s="615">
        <v>2.91</v>
      </c>
      <c r="N297" s="55"/>
      <c r="O297" s="55"/>
      <c r="P297" s="55"/>
      <c r="Q297" s="55"/>
      <c r="R297" s="55">
        <v>2.4</v>
      </c>
      <c r="S297" s="55">
        <v>3</v>
      </c>
      <c r="T297" s="55">
        <v>0.7</v>
      </c>
    </row>
    <row r="298" spans="1:20" x14ac:dyDescent="0.2">
      <c r="A298" s="20" t="s">
        <v>111</v>
      </c>
      <c r="B298" s="414" t="s">
        <v>1547</v>
      </c>
      <c r="C298" s="20" t="str">
        <f t="shared" si="24"/>
        <v>TropicalCaribbean</v>
      </c>
      <c r="D298" s="265"/>
      <c r="E298" s="258">
        <f t="shared" si="25"/>
        <v>2.5024999999999999</v>
      </c>
      <c r="F298" s="620">
        <v>2.37</v>
      </c>
      <c r="G298" s="617">
        <v>4.42</v>
      </c>
      <c r="H298" s="617">
        <v>0.47</v>
      </c>
      <c r="I298" s="617">
        <v>3.25</v>
      </c>
      <c r="J298" s="617">
        <v>0.59</v>
      </c>
      <c r="K298" s="592">
        <v>2.4</v>
      </c>
      <c r="L298" s="617">
        <v>3.61</v>
      </c>
      <c r="M298" s="617">
        <v>2.91</v>
      </c>
      <c r="N298" s="579"/>
      <c r="O298" s="579"/>
      <c r="P298" s="579"/>
      <c r="Q298" s="579"/>
      <c r="R298" s="55">
        <v>2.4</v>
      </c>
      <c r="S298" s="55">
        <v>3</v>
      </c>
      <c r="T298" s="55">
        <v>0.7</v>
      </c>
    </row>
    <row r="299" spans="1:20" x14ac:dyDescent="0.2">
      <c r="A299" s="268" t="s">
        <v>1883</v>
      </c>
      <c r="B299" s="291"/>
      <c r="C299" s="291"/>
      <c r="D299" s="291"/>
      <c r="E299" s="291"/>
      <c r="F299" s="291"/>
      <c r="G299" s="291"/>
      <c r="H299" s="291"/>
      <c r="I299" s="291"/>
      <c r="J299" s="291"/>
      <c r="K299" s="291"/>
      <c r="L299" s="291"/>
      <c r="M299" s="266"/>
      <c r="N299" s="63"/>
      <c r="O299" s="63"/>
      <c r="P299" s="63"/>
      <c r="Q299" s="63"/>
      <c r="R299" s="63"/>
      <c r="S299" s="63"/>
      <c r="T299" s="63"/>
    </row>
    <row r="300" spans="1:20" x14ac:dyDescent="0.2">
      <c r="A300" s="271" t="s">
        <v>1884</v>
      </c>
      <c r="B300" s="21"/>
      <c r="C300" s="21"/>
      <c r="D300" s="21"/>
      <c r="E300" s="21"/>
      <c r="F300" s="21"/>
      <c r="G300" s="21"/>
      <c r="H300" s="21"/>
      <c r="I300" s="21"/>
      <c r="J300" s="21"/>
      <c r="K300" s="21"/>
      <c r="L300" s="21"/>
      <c r="M300" s="269"/>
      <c r="N300" s="20"/>
      <c r="O300" s="20"/>
      <c r="P300" s="20"/>
      <c r="Q300" s="20"/>
      <c r="R300" s="20"/>
      <c r="S300" s="20"/>
      <c r="T300" s="20"/>
    </row>
    <row r="301" spans="1:20" x14ac:dyDescent="0.2">
      <c r="A301" s="271" t="s">
        <v>1885</v>
      </c>
      <c r="B301" s="21"/>
      <c r="C301" s="21"/>
      <c r="D301" s="21"/>
      <c r="E301" s="21"/>
      <c r="F301" s="21"/>
      <c r="G301" s="21"/>
      <c r="H301" s="21"/>
      <c r="I301" s="21"/>
      <c r="J301" s="21"/>
      <c r="K301" s="21"/>
      <c r="L301" s="21"/>
      <c r="M301" s="269"/>
      <c r="N301" s="20"/>
      <c r="O301" s="20"/>
      <c r="P301" s="20"/>
      <c r="Q301" s="20"/>
      <c r="R301" s="20"/>
      <c r="S301" s="20"/>
      <c r="T301" s="20"/>
    </row>
    <row r="302" spans="1:20" x14ac:dyDescent="0.2">
      <c r="A302" s="271" t="s">
        <v>1886</v>
      </c>
      <c r="B302" s="21"/>
      <c r="C302" s="21"/>
      <c r="D302" s="21"/>
      <c r="E302" s="21"/>
      <c r="F302" s="21"/>
      <c r="G302" s="21"/>
      <c r="H302" s="21"/>
      <c r="I302" s="21"/>
      <c r="J302" s="21"/>
      <c r="K302" s="21"/>
      <c r="L302" s="21"/>
      <c r="M302" s="269"/>
      <c r="N302" s="20"/>
      <c r="O302" s="20"/>
      <c r="P302" s="20"/>
      <c r="Q302" s="20"/>
      <c r="R302" s="20"/>
      <c r="S302" s="20"/>
      <c r="T302" s="20"/>
    </row>
    <row r="303" spans="1:20" x14ac:dyDescent="0.2">
      <c r="A303" s="274" t="s">
        <v>1887</v>
      </c>
      <c r="B303" s="292"/>
      <c r="C303" s="292"/>
      <c r="D303" s="292"/>
      <c r="E303" s="292"/>
      <c r="F303" s="292"/>
      <c r="G303" s="292"/>
      <c r="H303" s="292"/>
      <c r="I303" s="292"/>
      <c r="J303" s="292"/>
      <c r="K303" s="292"/>
      <c r="L303" s="292"/>
      <c r="M303" s="272"/>
      <c r="N303" s="37"/>
      <c r="O303" s="37"/>
      <c r="P303" s="37"/>
      <c r="Q303" s="37"/>
      <c r="R303" s="37"/>
      <c r="S303" s="37"/>
      <c r="T303" s="37"/>
    </row>
    <row r="305" spans="1:21" ht="16" thickBot="1" x14ac:dyDescent="0.25"/>
    <row r="306" spans="1:21" ht="18" customHeight="1" x14ac:dyDescent="0.2">
      <c r="A306" s="102" t="s">
        <v>1888</v>
      </c>
      <c r="B306" s="51"/>
      <c r="C306" s="51"/>
      <c r="D306" s="51"/>
      <c r="E306" s="51"/>
      <c r="F306" s="51"/>
      <c r="G306" s="240"/>
      <c r="H306" s="240"/>
      <c r="I306" s="240"/>
      <c r="J306" s="240"/>
      <c r="K306" s="240"/>
      <c r="L306" s="240"/>
      <c r="M306" s="239"/>
    </row>
    <row r="307" spans="1:21" x14ac:dyDescent="0.2">
      <c r="A307" s="104" t="s">
        <v>1877</v>
      </c>
      <c r="B307" s="278"/>
      <c r="C307" s="278"/>
      <c r="D307" s="278"/>
      <c r="E307" s="278"/>
      <c r="F307" s="562" t="s">
        <v>1878</v>
      </c>
      <c r="G307" s="562" t="s">
        <v>1878</v>
      </c>
      <c r="H307" s="562" t="s">
        <v>1878</v>
      </c>
      <c r="I307" s="562" t="s">
        <v>1878</v>
      </c>
      <c r="J307" s="562" t="s">
        <v>1878</v>
      </c>
      <c r="K307" s="562" t="s">
        <v>1878</v>
      </c>
      <c r="L307" s="562" t="s">
        <v>1878</v>
      </c>
      <c r="M307" s="562" t="s">
        <v>1878</v>
      </c>
      <c r="N307" s="562" t="s">
        <v>1879</v>
      </c>
      <c r="O307" s="562" t="s">
        <v>1879</v>
      </c>
      <c r="P307" s="562" t="s">
        <v>1879</v>
      </c>
      <c r="Q307" s="562" t="s">
        <v>1879</v>
      </c>
      <c r="R307" s="562" t="s">
        <v>1879</v>
      </c>
      <c r="S307" s="562" t="s">
        <v>1879</v>
      </c>
      <c r="T307" s="562" t="s">
        <v>1879</v>
      </c>
    </row>
    <row r="308" spans="1:21" x14ac:dyDescent="0.2">
      <c r="A308" s="293" t="s">
        <v>1822</v>
      </c>
      <c r="B308" s="293" t="s">
        <v>1310</v>
      </c>
      <c r="C308" s="293" t="s">
        <v>1880</v>
      </c>
      <c r="D308" s="294" t="s">
        <v>57</v>
      </c>
      <c r="E308" s="294" t="s">
        <v>1494</v>
      </c>
      <c r="F308" s="294" t="s">
        <v>1352</v>
      </c>
      <c r="G308" s="294" t="s">
        <v>1505</v>
      </c>
      <c r="H308" s="294" t="s">
        <v>1407</v>
      </c>
      <c r="I308" s="294" t="s">
        <v>1413</v>
      </c>
      <c r="J308" s="294" t="s">
        <v>1417</v>
      </c>
      <c r="K308" s="294" t="s">
        <v>1421</v>
      </c>
      <c r="L308" s="294" t="s">
        <v>1424</v>
      </c>
      <c r="M308" s="294" t="s">
        <v>1427</v>
      </c>
      <c r="N308" s="294" t="s">
        <v>1497</v>
      </c>
      <c r="O308" s="294" t="s">
        <v>1499</v>
      </c>
      <c r="P308" s="294" t="s">
        <v>1510</v>
      </c>
      <c r="Q308" s="294" t="s">
        <v>1501</v>
      </c>
      <c r="R308" s="294" t="s">
        <v>1502</v>
      </c>
      <c r="S308" s="294" t="s">
        <v>1508</v>
      </c>
      <c r="T308" s="294" t="s">
        <v>1507</v>
      </c>
    </row>
    <row r="309" spans="1:21" x14ac:dyDescent="0.2">
      <c r="A309" s="296" t="s">
        <v>57</v>
      </c>
      <c r="B309" s="255" t="s">
        <v>57</v>
      </c>
      <c r="C309" s="255" t="s">
        <v>1881</v>
      </c>
      <c r="D309" s="65" t="s">
        <v>1881</v>
      </c>
      <c r="E309" s="59" t="s">
        <v>1881</v>
      </c>
      <c r="F309" s="59" t="s">
        <v>92</v>
      </c>
      <c r="G309" s="59" t="s">
        <v>92</v>
      </c>
      <c r="H309" s="59" t="s">
        <v>92</v>
      </c>
      <c r="I309" s="59" t="s">
        <v>92</v>
      </c>
      <c r="J309" s="59" t="s">
        <v>92</v>
      </c>
      <c r="K309" s="59" t="s">
        <v>92</v>
      </c>
      <c r="L309" s="59" t="s">
        <v>92</v>
      </c>
      <c r="M309" s="59" t="s">
        <v>92</v>
      </c>
      <c r="N309" s="65" t="s">
        <v>92</v>
      </c>
      <c r="O309" s="65" t="s">
        <v>92</v>
      </c>
      <c r="P309" s="65" t="s">
        <v>92</v>
      </c>
      <c r="Q309" s="65" t="s">
        <v>92</v>
      </c>
      <c r="R309" s="65" t="s">
        <v>92</v>
      </c>
      <c r="S309" s="65" t="s">
        <v>92</v>
      </c>
      <c r="T309" s="65" t="s">
        <v>92</v>
      </c>
      <c r="U309" s="58"/>
    </row>
    <row r="310" spans="1:21" x14ac:dyDescent="0.2">
      <c r="A310" s="63" t="s">
        <v>1483</v>
      </c>
      <c r="B310" s="462" t="s">
        <v>1552</v>
      </c>
      <c r="C310" s="63" t="str">
        <f>CONCATENATE(A310,B310)</f>
        <v>Cool Temperate DryEastern Africa</v>
      </c>
      <c r="D310" s="254"/>
      <c r="E310" s="256">
        <f>AVERAGE(F310:M310)</f>
        <v>0.33</v>
      </c>
      <c r="F310" s="259"/>
      <c r="G310" s="248"/>
      <c r="H310" s="241">
        <v>0.23</v>
      </c>
      <c r="I310" s="259"/>
      <c r="J310" s="248"/>
      <c r="K310" s="248"/>
      <c r="L310" s="253">
        <v>0.28000000000000003</v>
      </c>
      <c r="M310" s="241">
        <v>0.48</v>
      </c>
      <c r="N310" s="63">
        <v>0</v>
      </c>
      <c r="O310" s="63">
        <v>0</v>
      </c>
      <c r="P310" s="63">
        <v>0</v>
      </c>
      <c r="Q310" s="63">
        <v>0</v>
      </c>
      <c r="R310" s="63">
        <v>0</v>
      </c>
      <c r="S310" s="63">
        <v>0</v>
      </c>
      <c r="T310" s="63">
        <v>0</v>
      </c>
    </row>
    <row r="311" spans="1:21" x14ac:dyDescent="0.2">
      <c r="A311" s="20" t="s">
        <v>1483</v>
      </c>
      <c r="B311" s="462" t="s">
        <v>1557</v>
      </c>
      <c r="C311" s="20" t="str">
        <f t="shared" ref="C311:C406" si="26">CONCATENATE(A311,B311)</f>
        <v>Cool Temperate DryCentral Africa</v>
      </c>
      <c r="D311" s="309"/>
      <c r="E311" s="257">
        <f t="shared" ref="E311:E316" si="27">AVERAGE(F311:M311)</f>
        <v>0.33</v>
      </c>
      <c r="F311" s="244"/>
      <c r="G311" s="249"/>
      <c r="H311" s="242">
        <v>0.23</v>
      </c>
      <c r="I311" s="244"/>
      <c r="J311" s="249"/>
      <c r="K311" s="249"/>
      <c r="L311" s="250">
        <v>0.28000000000000003</v>
      </c>
      <c r="M311" s="242">
        <v>0.48</v>
      </c>
      <c r="N311" s="20">
        <v>0</v>
      </c>
      <c r="O311" s="20">
        <v>0</v>
      </c>
      <c r="P311" s="20">
        <v>0</v>
      </c>
      <c r="Q311" s="20">
        <v>0</v>
      </c>
      <c r="R311" s="20">
        <v>0</v>
      </c>
      <c r="S311" s="20">
        <v>0</v>
      </c>
      <c r="T311" s="20">
        <v>0</v>
      </c>
    </row>
    <row r="312" spans="1:21" x14ac:dyDescent="0.2">
      <c r="A312" s="20" t="s">
        <v>1483</v>
      </c>
      <c r="B312" s="462" t="s">
        <v>1559</v>
      </c>
      <c r="C312" s="20" t="str">
        <f t="shared" si="26"/>
        <v>Cool Temperate DryNorthern Africa</v>
      </c>
      <c r="D312" s="251"/>
      <c r="E312" s="257">
        <f t="shared" si="27"/>
        <v>0.33</v>
      </c>
      <c r="F312" s="244"/>
      <c r="G312" s="249"/>
      <c r="H312" s="242">
        <v>0.23</v>
      </c>
      <c r="I312" s="244"/>
      <c r="J312" s="249"/>
      <c r="K312" s="249"/>
      <c r="L312" s="250">
        <v>0.28000000000000003</v>
      </c>
      <c r="M312" s="242">
        <v>0.48</v>
      </c>
      <c r="N312" s="20">
        <v>0</v>
      </c>
      <c r="O312" s="20">
        <v>0</v>
      </c>
      <c r="P312" s="20">
        <v>0</v>
      </c>
      <c r="Q312" s="20">
        <v>0</v>
      </c>
      <c r="R312" s="20">
        <v>0</v>
      </c>
      <c r="S312" s="20">
        <v>0</v>
      </c>
      <c r="T312" s="20">
        <v>0</v>
      </c>
    </row>
    <row r="313" spans="1:21" x14ac:dyDescent="0.2">
      <c r="A313" s="20" t="s">
        <v>1483</v>
      </c>
      <c r="B313" s="462" t="s">
        <v>1565</v>
      </c>
      <c r="C313" s="20" t="str">
        <f t="shared" si="26"/>
        <v>Cool Temperate DrySouthern Africa</v>
      </c>
      <c r="D313" s="251"/>
      <c r="E313" s="257">
        <f t="shared" si="27"/>
        <v>0.33</v>
      </c>
      <c r="F313" s="244"/>
      <c r="G313" s="249"/>
      <c r="H313" s="242">
        <v>0.23</v>
      </c>
      <c r="I313" s="244"/>
      <c r="J313" s="249"/>
      <c r="K313" s="249"/>
      <c r="L313" s="250">
        <v>0.28000000000000003</v>
      </c>
      <c r="M313" s="242">
        <v>0.48</v>
      </c>
      <c r="N313" s="20">
        <v>0</v>
      </c>
      <c r="O313" s="20">
        <v>0</v>
      </c>
      <c r="P313" s="20">
        <v>0</v>
      </c>
      <c r="Q313" s="20">
        <v>0</v>
      </c>
      <c r="R313" s="20">
        <v>0</v>
      </c>
      <c r="S313" s="20">
        <v>0</v>
      </c>
      <c r="T313" s="20">
        <v>0</v>
      </c>
    </row>
    <row r="314" spans="1:21" x14ac:dyDescent="0.2">
      <c r="A314" s="20" t="s">
        <v>1483</v>
      </c>
      <c r="B314" s="462" t="s">
        <v>1569</v>
      </c>
      <c r="C314" s="20" t="str">
        <f t="shared" si="26"/>
        <v>Cool Temperate DryWestern Africa</v>
      </c>
      <c r="D314" s="251"/>
      <c r="E314" s="257">
        <f t="shared" si="27"/>
        <v>0.33</v>
      </c>
      <c r="F314" s="244"/>
      <c r="G314" s="249"/>
      <c r="H314" s="242">
        <v>0.23</v>
      </c>
      <c r="I314" s="244"/>
      <c r="J314" s="249"/>
      <c r="K314" s="249"/>
      <c r="L314" s="250">
        <v>0.28000000000000003</v>
      </c>
      <c r="M314" s="242">
        <v>0.48</v>
      </c>
      <c r="N314" s="20">
        <v>0</v>
      </c>
      <c r="O314" s="20">
        <v>0</v>
      </c>
      <c r="P314" s="20">
        <v>0</v>
      </c>
      <c r="Q314" s="20">
        <v>0</v>
      </c>
      <c r="R314" s="20">
        <v>0</v>
      </c>
      <c r="S314" s="20">
        <v>0</v>
      </c>
      <c r="T314" s="20">
        <v>0</v>
      </c>
    </row>
    <row r="315" spans="1:21" x14ac:dyDescent="0.2">
      <c r="A315" s="20" t="s">
        <v>1483</v>
      </c>
      <c r="B315" s="462" t="s">
        <v>1550</v>
      </c>
      <c r="C315" s="20" t="str">
        <f t="shared" si="26"/>
        <v>Cool Temperate DryCentral Asia</v>
      </c>
      <c r="D315" s="251"/>
      <c r="E315" s="257">
        <f t="shared" si="27"/>
        <v>0.49333333333333335</v>
      </c>
      <c r="F315" s="244"/>
      <c r="G315" s="249"/>
      <c r="H315" s="242">
        <v>0.23</v>
      </c>
      <c r="I315" s="244"/>
      <c r="J315" s="249"/>
      <c r="K315" s="249"/>
      <c r="L315" s="249">
        <v>0.77</v>
      </c>
      <c r="M315" s="242">
        <v>0.48</v>
      </c>
      <c r="N315" s="20">
        <v>0</v>
      </c>
      <c r="O315" s="20">
        <v>0</v>
      </c>
      <c r="P315" s="20">
        <v>0</v>
      </c>
      <c r="Q315" s="20">
        <v>0</v>
      </c>
      <c r="R315" s="20">
        <v>0</v>
      </c>
      <c r="S315" s="20">
        <v>0</v>
      </c>
      <c r="T315" s="20">
        <v>0</v>
      </c>
    </row>
    <row r="316" spans="1:21" x14ac:dyDescent="0.2">
      <c r="A316" s="20" t="s">
        <v>1483</v>
      </c>
      <c r="B316" s="462" t="s">
        <v>1554</v>
      </c>
      <c r="C316" s="20" t="str">
        <f t="shared" si="26"/>
        <v>Cool Temperate DryEastern Asia</v>
      </c>
      <c r="D316" s="251"/>
      <c r="E316" s="257">
        <f t="shared" si="27"/>
        <v>0.49333333333333335</v>
      </c>
      <c r="F316" s="244"/>
      <c r="G316" s="249"/>
      <c r="H316" s="242">
        <v>0.23</v>
      </c>
      <c r="I316" s="244"/>
      <c r="J316" s="249"/>
      <c r="K316" s="249"/>
      <c r="L316" s="249">
        <v>0.77</v>
      </c>
      <c r="M316" s="242">
        <v>0.48</v>
      </c>
      <c r="N316" s="20">
        <v>0</v>
      </c>
      <c r="O316" s="20">
        <v>0</v>
      </c>
      <c r="P316" s="20">
        <v>0</v>
      </c>
      <c r="Q316" s="20">
        <v>0</v>
      </c>
      <c r="R316" s="20">
        <v>0</v>
      </c>
      <c r="S316" s="20">
        <v>0</v>
      </c>
      <c r="T316" s="20">
        <v>0</v>
      </c>
    </row>
    <row r="317" spans="1:21" x14ac:dyDescent="0.2">
      <c r="A317" s="20" t="s">
        <v>1483</v>
      </c>
      <c r="B317" s="462" t="s">
        <v>1563</v>
      </c>
      <c r="C317" s="20" t="str">
        <f t="shared" si="26"/>
        <v>Cool Temperate DrySouth-eastern Asia</v>
      </c>
      <c r="D317" s="251"/>
      <c r="E317" s="257">
        <f t="shared" ref="E317:E325" si="28">AVERAGE(F317:M317)</f>
        <v>0.49333333333333335</v>
      </c>
      <c r="F317" s="244"/>
      <c r="G317" s="249"/>
      <c r="H317" s="242">
        <v>0.23</v>
      </c>
      <c r="I317" s="244"/>
      <c r="J317" s="249"/>
      <c r="K317" s="249"/>
      <c r="L317" s="249">
        <v>0.77</v>
      </c>
      <c r="M317" s="242">
        <v>0.48</v>
      </c>
      <c r="N317" s="20">
        <v>0</v>
      </c>
      <c r="O317" s="20">
        <v>0</v>
      </c>
      <c r="P317" s="20">
        <v>0</v>
      </c>
      <c r="Q317" s="20">
        <v>0</v>
      </c>
      <c r="R317" s="20">
        <v>0</v>
      </c>
      <c r="S317" s="20">
        <v>0</v>
      </c>
      <c r="T317" s="20">
        <v>0</v>
      </c>
    </row>
    <row r="318" spans="1:21" x14ac:dyDescent="0.2">
      <c r="A318" s="20" t="s">
        <v>1483</v>
      </c>
      <c r="B318" s="462" t="s">
        <v>1567</v>
      </c>
      <c r="C318" s="20" t="str">
        <f t="shared" si="26"/>
        <v>Cool Temperate DrySouthern Asia</v>
      </c>
      <c r="D318" s="251"/>
      <c r="E318" s="257">
        <f t="shared" si="28"/>
        <v>0.49333333333333335</v>
      </c>
      <c r="F318" s="244"/>
      <c r="G318" s="249"/>
      <c r="H318" s="242">
        <v>0.23</v>
      </c>
      <c r="I318" s="244"/>
      <c r="J318" s="249"/>
      <c r="K318" s="249"/>
      <c r="L318" s="249">
        <v>0.77</v>
      </c>
      <c r="M318" s="242">
        <v>0.48</v>
      </c>
      <c r="N318" s="20">
        <v>0</v>
      </c>
      <c r="O318" s="20">
        <v>0</v>
      </c>
      <c r="P318" s="20">
        <v>0</v>
      </c>
      <c r="Q318" s="20">
        <v>0</v>
      </c>
      <c r="R318" s="20">
        <v>0</v>
      </c>
      <c r="S318" s="20">
        <v>0</v>
      </c>
      <c r="T318" s="20">
        <v>0</v>
      </c>
    </row>
    <row r="319" spans="1:21" x14ac:dyDescent="0.2">
      <c r="A319" s="20" t="s">
        <v>1483</v>
      </c>
      <c r="B319" s="462" t="s">
        <v>1571</v>
      </c>
      <c r="C319" s="20" t="str">
        <f t="shared" si="26"/>
        <v>Cool Temperate DryWestern Asia</v>
      </c>
      <c r="D319" s="251"/>
      <c r="E319" s="257">
        <f t="shared" si="28"/>
        <v>0.49333333333333335</v>
      </c>
      <c r="F319" s="244"/>
      <c r="G319" s="249"/>
      <c r="H319" s="242">
        <v>0.23</v>
      </c>
      <c r="I319" s="244"/>
      <c r="J319" s="249"/>
      <c r="K319" s="249"/>
      <c r="L319" s="249">
        <v>0.77</v>
      </c>
      <c r="M319" s="242">
        <v>0.48</v>
      </c>
      <c r="N319" s="20">
        <v>0</v>
      </c>
      <c r="O319" s="20">
        <v>0</v>
      </c>
      <c r="P319" s="20">
        <v>0</v>
      </c>
      <c r="Q319" s="20">
        <v>0</v>
      </c>
      <c r="R319" s="20">
        <v>0</v>
      </c>
      <c r="S319" s="20">
        <v>0</v>
      </c>
      <c r="T319" s="20">
        <v>0</v>
      </c>
    </row>
    <row r="320" spans="1:21" x14ac:dyDescent="0.2">
      <c r="A320" s="20" t="s">
        <v>1483</v>
      </c>
      <c r="B320" s="462" t="s">
        <v>1555</v>
      </c>
      <c r="C320" s="20" t="str">
        <f t="shared" si="26"/>
        <v>Cool Temperate DryEurope</v>
      </c>
      <c r="D320" s="251"/>
      <c r="E320" s="257">
        <f t="shared" si="28"/>
        <v>0.35666666666666669</v>
      </c>
      <c r="F320" s="244"/>
      <c r="G320" s="249"/>
      <c r="H320" s="242">
        <v>0.23</v>
      </c>
      <c r="I320" s="244"/>
      <c r="J320" s="249"/>
      <c r="K320" s="249"/>
      <c r="L320" s="250">
        <v>0.28000000000000003</v>
      </c>
      <c r="M320" s="61">
        <v>0.56000000000000005</v>
      </c>
      <c r="N320" s="20">
        <v>0</v>
      </c>
      <c r="O320" s="20">
        <v>0</v>
      </c>
      <c r="P320" s="20">
        <v>0</v>
      </c>
      <c r="Q320" s="20">
        <v>0</v>
      </c>
      <c r="R320" s="20">
        <v>0</v>
      </c>
      <c r="S320" s="20">
        <v>0</v>
      </c>
      <c r="T320" s="20">
        <v>0</v>
      </c>
    </row>
    <row r="321" spans="1:20" x14ac:dyDescent="0.2">
      <c r="A321" s="20" t="s">
        <v>1483</v>
      </c>
      <c r="B321" s="462" t="s">
        <v>1346</v>
      </c>
      <c r="C321" s="20" t="str">
        <f t="shared" si="26"/>
        <v>Cool Temperate DryOceania</v>
      </c>
      <c r="D321" s="251"/>
      <c r="E321" s="257">
        <f t="shared" si="28"/>
        <v>0.33</v>
      </c>
      <c r="F321" s="244"/>
      <c r="G321" s="249"/>
      <c r="H321" s="242">
        <v>0.23</v>
      </c>
      <c r="I321" s="244"/>
      <c r="J321" s="249"/>
      <c r="K321" s="249"/>
      <c r="L321" s="250">
        <v>0.28000000000000003</v>
      </c>
      <c r="M321" s="242">
        <v>0.48</v>
      </c>
      <c r="N321" s="20">
        <v>0</v>
      </c>
      <c r="O321" s="20">
        <v>0</v>
      </c>
      <c r="P321" s="20">
        <v>0</v>
      </c>
      <c r="Q321" s="20">
        <v>0</v>
      </c>
      <c r="R321" s="20">
        <v>0</v>
      </c>
      <c r="S321" s="20">
        <v>0</v>
      </c>
      <c r="T321" s="20">
        <v>0</v>
      </c>
    </row>
    <row r="322" spans="1:20" x14ac:dyDescent="0.2">
      <c r="A322" s="20" t="s">
        <v>1483</v>
      </c>
      <c r="B322" s="462" t="s">
        <v>1343</v>
      </c>
      <c r="C322" s="20" t="str">
        <f t="shared" si="26"/>
        <v>Cool Temperate DryNorth America</v>
      </c>
      <c r="D322" s="251"/>
      <c r="E322" s="257">
        <f t="shared" si="28"/>
        <v>0.16</v>
      </c>
      <c r="F322" s="244"/>
      <c r="G322" s="249"/>
      <c r="H322" s="246">
        <v>0.23</v>
      </c>
      <c r="I322" s="244"/>
      <c r="J322" s="249"/>
      <c r="K322" s="249"/>
      <c r="L322" s="249">
        <v>0.14000000000000001</v>
      </c>
      <c r="M322" s="61">
        <v>0.11</v>
      </c>
      <c r="N322" s="20">
        <v>0</v>
      </c>
      <c r="O322" s="20">
        <v>0</v>
      </c>
      <c r="P322" s="20">
        <v>0</v>
      </c>
      <c r="Q322" s="20">
        <v>0</v>
      </c>
      <c r="R322" s="20">
        <v>0</v>
      </c>
      <c r="S322" s="20">
        <v>0</v>
      </c>
      <c r="T322" s="20">
        <v>0</v>
      </c>
    </row>
    <row r="323" spans="1:20" x14ac:dyDescent="0.2">
      <c r="A323" s="20" t="s">
        <v>1483</v>
      </c>
      <c r="B323" s="462" t="s">
        <v>1349</v>
      </c>
      <c r="C323" s="20" t="str">
        <f t="shared" si="26"/>
        <v>Cool Temperate DrySouth America</v>
      </c>
      <c r="D323" s="251"/>
      <c r="E323" s="257">
        <f t="shared" si="28"/>
        <v>0.34333333333333332</v>
      </c>
      <c r="F323" s="244"/>
      <c r="G323" s="249"/>
      <c r="H323" s="242">
        <v>0.23</v>
      </c>
      <c r="I323" s="244"/>
      <c r="J323" s="249"/>
      <c r="K323" s="249"/>
      <c r="L323" s="250">
        <v>0.28000000000000003</v>
      </c>
      <c r="M323" s="61">
        <v>0.52</v>
      </c>
      <c r="N323" s="20">
        <v>0</v>
      </c>
      <c r="O323" s="20">
        <v>0</v>
      </c>
      <c r="P323" s="20">
        <v>0</v>
      </c>
      <c r="Q323" s="20">
        <v>0</v>
      </c>
      <c r="R323" s="20">
        <v>0</v>
      </c>
      <c r="S323" s="20">
        <v>0</v>
      </c>
      <c r="T323" s="20">
        <v>0</v>
      </c>
    </row>
    <row r="324" spans="1:20" x14ac:dyDescent="0.2">
      <c r="A324" s="20" t="s">
        <v>1483</v>
      </c>
      <c r="B324" s="462" t="s">
        <v>1333</v>
      </c>
      <c r="C324" s="20" t="str">
        <f t="shared" si="26"/>
        <v>Cool Temperate DryCentral America</v>
      </c>
      <c r="D324" s="251"/>
      <c r="E324" s="257">
        <f t="shared" si="28"/>
        <v>0.34333333333333332</v>
      </c>
      <c r="F324" s="244"/>
      <c r="G324" s="249"/>
      <c r="H324" s="242">
        <v>0.23</v>
      </c>
      <c r="I324" s="244"/>
      <c r="J324" s="249"/>
      <c r="K324" s="249"/>
      <c r="L324" s="250">
        <v>0.28000000000000003</v>
      </c>
      <c r="M324" s="61">
        <v>0.52</v>
      </c>
      <c r="N324" s="20">
        <v>0</v>
      </c>
      <c r="O324" s="20">
        <v>0</v>
      </c>
      <c r="P324" s="20">
        <v>0</v>
      </c>
      <c r="Q324" s="20">
        <v>0</v>
      </c>
      <c r="R324" s="20">
        <v>0</v>
      </c>
      <c r="S324" s="20">
        <v>0</v>
      </c>
      <c r="T324" s="20">
        <v>0</v>
      </c>
    </row>
    <row r="325" spans="1:20" x14ac:dyDescent="0.2">
      <c r="A325" s="20" t="s">
        <v>1483</v>
      </c>
      <c r="B325" s="463" t="s">
        <v>1547</v>
      </c>
      <c r="C325" s="20" t="str">
        <f t="shared" si="26"/>
        <v>Cool Temperate DryCaribbean</v>
      </c>
      <c r="D325" s="298"/>
      <c r="E325" s="258">
        <f t="shared" si="28"/>
        <v>0.34333333333333332</v>
      </c>
      <c r="F325" s="247"/>
      <c r="G325" s="252"/>
      <c r="H325" s="243">
        <v>0.23</v>
      </c>
      <c r="I325" s="247"/>
      <c r="J325" s="252"/>
      <c r="K325" s="252"/>
      <c r="L325" s="300">
        <v>0.28000000000000003</v>
      </c>
      <c r="M325" s="61">
        <v>0.52</v>
      </c>
      <c r="N325" s="37">
        <v>0</v>
      </c>
      <c r="O325" s="37">
        <v>0</v>
      </c>
      <c r="P325" s="37">
        <v>0</v>
      </c>
      <c r="Q325" s="37">
        <v>0</v>
      </c>
      <c r="R325" s="37">
        <v>0</v>
      </c>
      <c r="S325" s="37">
        <v>0</v>
      </c>
      <c r="T325" s="37">
        <v>0</v>
      </c>
    </row>
    <row r="326" spans="1:20" x14ac:dyDescent="0.2">
      <c r="A326" s="63" t="str">
        <f>list!$G$73</f>
        <v>Cool Temperate Moist</v>
      </c>
      <c r="B326" s="408" t="s">
        <v>1552</v>
      </c>
      <c r="C326" s="63" t="str">
        <f t="shared" si="26"/>
        <v>Cool Temperate MoistEastern Africa</v>
      </c>
      <c r="D326" s="254"/>
      <c r="E326" s="256">
        <f>AVERAGE(F326:M326)</f>
        <v>0.33</v>
      </c>
      <c r="F326" s="259"/>
      <c r="G326" s="248"/>
      <c r="H326" s="241">
        <v>0.23</v>
      </c>
      <c r="I326" s="259"/>
      <c r="J326" s="248"/>
      <c r="K326" s="248"/>
      <c r="L326" s="253">
        <v>0.28000000000000003</v>
      </c>
      <c r="M326" s="241">
        <v>0.48</v>
      </c>
      <c r="N326" s="63">
        <v>0</v>
      </c>
      <c r="O326" s="63">
        <v>0</v>
      </c>
      <c r="P326" s="63">
        <v>0</v>
      </c>
      <c r="Q326" s="63">
        <v>0</v>
      </c>
      <c r="R326" s="63">
        <v>0</v>
      </c>
      <c r="S326" s="63">
        <v>0</v>
      </c>
      <c r="T326" s="63">
        <v>0</v>
      </c>
    </row>
    <row r="327" spans="1:20" x14ac:dyDescent="0.2">
      <c r="A327" s="20" t="str">
        <f>list!$G$73</f>
        <v>Cool Temperate Moist</v>
      </c>
      <c r="B327" s="401" t="s">
        <v>1557</v>
      </c>
      <c r="C327" s="20" t="str">
        <f t="shared" si="26"/>
        <v>Cool Temperate MoistCentral Africa</v>
      </c>
      <c r="D327" s="309"/>
      <c r="E327" s="257">
        <f t="shared" ref="E327:E341" si="29">AVERAGE(F327:M327)</f>
        <v>0.33</v>
      </c>
      <c r="F327" s="244"/>
      <c r="G327" s="249"/>
      <c r="H327" s="242">
        <v>0.23</v>
      </c>
      <c r="I327" s="244"/>
      <c r="J327" s="249"/>
      <c r="K327" s="249"/>
      <c r="L327" s="250">
        <v>0.28000000000000003</v>
      </c>
      <c r="M327" s="242">
        <v>0.48</v>
      </c>
      <c r="N327" s="20">
        <v>0</v>
      </c>
      <c r="O327" s="20">
        <v>0</v>
      </c>
      <c r="P327" s="20">
        <v>0</v>
      </c>
      <c r="Q327" s="20">
        <v>0</v>
      </c>
      <c r="R327" s="20">
        <v>0</v>
      </c>
      <c r="S327" s="20">
        <v>0</v>
      </c>
      <c r="T327" s="20">
        <v>0</v>
      </c>
    </row>
    <row r="328" spans="1:20" x14ac:dyDescent="0.2">
      <c r="A328" s="20" t="str">
        <f>list!$G$73</f>
        <v>Cool Temperate Moist</v>
      </c>
      <c r="B328" s="401" t="s">
        <v>1559</v>
      </c>
      <c r="C328" s="20" t="str">
        <f t="shared" si="26"/>
        <v>Cool Temperate MoistNorthern Africa</v>
      </c>
      <c r="D328" s="251"/>
      <c r="E328" s="257">
        <f t="shared" si="29"/>
        <v>0.33</v>
      </c>
      <c r="F328" s="244"/>
      <c r="G328" s="249"/>
      <c r="H328" s="242">
        <v>0.23</v>
      </c>
      <c r="I328" s="244"/>
      <c r="J328" s="249"/>
      <c r="K328" s="249"/>
      <c r="L328" s="250">
        <v>0.28000000000000003</v>
      </c>
      <c r="M328" s="242">
        <v>0.48</v>
      </c>
      <c r="N328" s="20">
        <v>0</v>
      </c>
      <c r="O328" s="20">
        <v>0</v>
      </c>
      <c r="P328" s="20">
        <v>0</v>
      </c>
      <c r="Q328" s="20">
        <v>0</v>
      </c>
      <c r="R328" s="20">
        <v>0</v>
      </c>
      <c r="S328" s="20">
        <v>0</v>
      </c>
      <c r="T328" s="20">
        <v>0</v>
      </c>
    </row>
    <row r="329" spans="1:20" x14ac:dyDescent="0.2">
      <c r="A329" s="20" t="str">
        <f>list!$G$73</f>
        <v>Cool Temperate Moist</v>
      </c>
      <c r="B329" s="401" t="s">
        <v>1565</v>
      </c>
      <c r="C329" s="20" t="str">
        <f t="shared" si="26"/>
        <v>Cool Temperate MoistSouthern Africa</v>
      </c>
      <c r="D329" s="251"/>
      <c r="E329" s="257">
        <f t="shared" si="29"/>
        <v>0.33</v>
      </c>
      <c r="F329" s="244"/>
      <c r="G329" s="249"/>
      <c r="H329" s="242">
        <v>0.23</v>
      </c>
      <c r="I329" s="244"/>
      <c r="J329" s="249"/>
      <c r="K329" s="249"/>
      <c r="L329" s="250">
        <v>0.28000000000000003</v>
      </c>
      <c r="M329" s="242">
        <v>0.48</v>
      </c>
      <c r="N329" s="20">
        <v>0</v>
      </c>
      <c r="O329" s="20">
        <v>0</v>
      </c>
      <c r="P329" s="20">
        <v>0</v>
      </c>
      <c r="Q329" s="20">
        <v>0</v>
      </c>
      <c r="R329" s="20">
        <v>0</v>
      </c>
      <c r="S329" s="20">
        <v>0</v>
      </c>
      <c r="T329" s="20">
        <v>0</v>
      </c>
    </row>
    <row r="330" spans="1:20" x14ac:dyDescent="0.2">
      <c r="A330" s="20" t="str">
        <f>list!$G$73</f>
        <v>Cool Temperate Moist</v>
      </c>
      <c r="B330" s="401" t="s">
        <v>1569</v>
      </c>
      <c r="C330" s="20" t="str">
        <f t="shared" si="26"/>
        <v>Cool Temperate MoistWestern Africa</v>
      </c>
      <c r="D330" s="251"/>
      <c r="E330" s="257">
        <f t="shared" si="29"/>
        <v>0.33</v>
      </c>
      <c r="F330" s="244"/>
      <c r="G330" s="249"/>
      <c r="H330" s="242">
        <v>0.23</v>
      </c>
      <c r="I330" s="244"/>
      <c r="J330" s="249"/>
      <c r="K330" s="249"/>
      <c r="L330" s="250">
        <v>0.28000000000000003</v>
      </c>
      <c r="M330" s="242">
        <v>0.48</v>
      </c>
      <c r="N330" s="20">
        <v>0</v>
      </c>
      <c r="O330" s="20">
        <v>0</v>
      </c>
      <c r="P330" s="20">
        <v>0</v>
      </c>
      <c r="Q330" s="20">
        <v>0</v>
      </c>
      <c r="R330" s="20">
        <v>0</v>
      </c>
      <c r="S330" s="20">
        <v>0</v>
      </c>
      <c r="T330" s="20">
        <v>0</v>
      </c>
    </row>
    <row r="331" spans="1:20" x14ac:dyDescent="0.2">
      <c r="A331" s="20" t="str">
        <f>list!$G$73</f>
        <v>Cool Temperate Moist</v>
      </c>
      <c r="B331" s="401" t="s">
        <v>1550</v>
      </c>
      <c r="C331" s="20" t="str">
        <f t="shared" si="26"/>
        <v>Cool Temperate MoistCentral Asia</v>
      </c>
      <c r="D331" s="251"/>
      <c r="E331" s="257">
        <f t="shared" si="29"/>
        <v>0.49333333333333335</v>
      </c>
      <c r="F331" s="244"/>
      <c r="G331" s="249"/>
      <c r="H331" s="242">
        <v>0.23</v>
      </c>
      <c r="I331" s="244"/>
      <c r="J331" s="249"/>
      <c r="K331" s="249"/>
      <c r="L331" s="249">
        <v>0.77</v>
      </c>
      <c r="M331" s="242">
        <v>0.48</v>
      </c>
      <c r="N331" s="20">
        <v>0</v>
      </c>
      <c r="O331" s="20">
        <v>0</v>
      </c>
      <c r="P331" s="20">
        <v>0</v>
      </c>
      <c r="Q331" s="20">
        <v>0</v>
      </c>
      <c r="R331" s="20">
        <v>0</v>
      </c>
      <c r="S331" s="20">
        <v>0</v>
      </c>
      <c r="T331" s="20">
        <v>0</v>
      </c>
    </row>
    <row r="332" spans="1:20" x14ac:dyDescent="0.2">
      <c r="A332" s="20" t="str">
        <f>list!$G$73</f>
        <v>Cool Temperate Moist</v>
      </c>
      <c r="B332" s="401" t="s">
        <v>1554</v>
      </c>
      <c r="C332" s="20" t="str">
        <f t="shared" si="26"/>
        <v>Cool Temperate MoistEastern Asia</v>
      </c>
      <c r="D332" s="251"/>
      <c r="E332" s="257">
        <f t="shared" si="29"/>
        <v>0.49333333333333335</v>
      </c>
      <c r="F332" s="244"/>
      <c r="G332" s="249"/>
      <c r="H332" s="242">
        <v>0.23</v>
      </c>
      <c r="I332" s="244"/>
      <c r="J332" s="249"/>
      <c r="K332" s="249"/>
      <c r="L332" s="249">
        <v>0.77</v>
      </c>
      <c r="M332" s="242">
        <v>0.48</v>
      </c>
      <c r="N332" s="20">
        <v>0</v>
      </c>
      <c r="O332" s="20">
        <v>0</v>
      </c>
      <c r="P332" s="20">
        <v>0</v>
      </c>
      <c r="Q332" s="20">
        <v>0</v>
      </c>
      <c r="R332" s="20">
        <v>0</v>
      </c>
      <c r="S332" s="20">
        <v>0</v>
      </c>
      <c r="T332" s="20">
        <v>0</v>
      </c>
    </row>
    <row r="333" spans="1:20" x14ac:dyDescent="0.2">
      <c r="A333" s="20" t="str">
        <f>list!$G$73</f>
        <v>Cool Temperate Moist</v>
      </c>
      <c r="B333" s="401" t="s">
        <v>1563</v>
      </c>
      <c r="C333" s="20" t="str">
        <f t="shared" si="26"/>
        <v>Cool Temperate MoistSouth-eastern Asia</v>
      </c>
      <c r="D333" s="251"/>
      <c r="E333" s="257">
        <f t="shared" si="29"/>
        <v>0.49333333333333335</v>
      </c>
      <c r="F333" s="244"/>
      <c r="G333" s="249"/>
      <c r="H333" s="242">
        <v>0.23</v>
      </c>
      <c r="I333" s="244"/>
      <c r="J333" s="249"/>
      <c r="K333" s="249"/>
      <c r="L333" s="249">
        <v>0.77</v>
      </c>
      <c r="M333" s="242">
        <v>0.48</v>
      </c>
      <c r="N333" s="20">
        <v>0</v>
      </c>
      <c r="O333" s="20">
        <v>0</v>
      </c>
      <c r="P333" s="20">
        <v>0</v>
      </c>
      <c r="Q333" s="20">
        <v>0</v>
      </c>
      <c r="R333" s="20">
        <v>0</v>
      </c>
      <c r="S333" s="20">
        <v>0</v>
      </c>
      <c r="T333" s="20">
        <v>0</v>
      </c>
    </row>
    <row r="334" spans="1:20" x14ac:dyDescent="0.2">
      <c r="A334" s="20" t="str">
        <f>list!$G$73</f>
        <v>Cool Temperate Moist</v>
      </c>
      <c r="B334" s="401" t="s">
        <v>1567</v>
      </c>
      <c r="C334" s="20" t="str">
        <f t="shared" si="26"/>
        <v>Cool Temperate MoistSouthern Asia</v>
      </c>
      <c r="D334" s="251"/>
      <c r="E334" s="257">
        <f t="shared" si="29"/>
        <v>0.49333333333333335</v>
      </c>
      <c r="F334" s="244"/>
      <c r="G334" s="249"/>
      <c r="H334" s="242">
        <v>0.23</v>
      </c>
      <c r="I334" s="244"/>
      <c r="J334" s="249"/>
      <c r="K334" s="249"/>
      <c r="L334" s="249">
        <v>0.77</v>
      </c>
      <c r="M334" s="242">
        <v>0.48</v>
      </c>
      <c r="N334" s="20">
        <v>0</v>
      </c>
      <c r="O334" s="20">
        <v>0</v>
      </c>
      <c r="P334" s="20">
        <v>0</v>
      </c>
      <c r="Q334" s="20">
        <v>0</v>
      </c>
      <c r="R334" s="20">
        <v>0</v>
      </c>
      <c r="S334" s="20">
        <v>0</v>
      </c>
      <c r="T334" s="20">
        <v>0</v>
      </c>
    </row>
    <row r="335" spans="1:20" x14ac:dyDescent="0.2">
      <c r="A335" s="20" t="str">
        <f>list!$G$73</f>
        <v>Cool Temperate Moist</v>
      </c>
      <c r="B335" s="401" t="s">
        <v>1571</v>
      </c>
      <c r="C335" s="20" t="str">
        <f t="shared" si="26"/>
        <v>Cool Temperate MoistWestern Asia</v>
      </c>
      <c r="D335" s="251"/>
      <c r="E335" s="257">
        <f t="shared" si="29"/>
        <v>0.49333333333333335</v>
      </c>
      <c r="F335" s="244"/>
      <c r="G335" s="249"/>
      <c r="H335" s="242">
        <v>0.23</v>
      </c>
      <c r="I335" s="244"/>
      <c r="J335" s="249"/>
      <c r="K335" s="249"/>
      <c r="L335" s="249">
        <v>0.77</v>
      </c>
      <c r="M335" s="242">
        <v>0.48</v>
      </c>
      <c r="N335" s="20">
        <v>0</v>
      </c>
      <c r="O335" s="20">
        <v>0</v>
      </c>
      <c r="P335" s="20">
        <v>0</v>
      </c>
      <c r="Q335" s="20">
        <v>0</v>
      </c>
      <c r="R335" s="20">
        <v>0</v>
      </c>
      <c r="S335" s="20">
        <v>0</v>
      </c>
      <c r="T335" s="20">
        <v>0</v>
      </c>
    </row>
    <row r="336" spans="1:20" x14ac:dyDescent="0.2">
      <c r="A336" s="20" t="str">
        <f>list!$G$73</f>
        <v>Cool Temperate Moist</v>
      </c>
      <c r="B336" s="401" t="s">
        <v>1555</v>
      </c>
      <c r="C336" s="20" t="str">
        <f t="shared" si="26"/>
        <v>Cool Temperate MoistEurope</v>
      </c>
      <c r="D336" s="251"/>
      <c r="E336" s="257">
        <f t="shared" si="29"/>
        <v>0.35666666666666669</v>
      </c>
      <c r="F336" s="244"/>
      <c r="G336" s="249"/>
      <c r="H336" s="242">
        <v>0.23</v>
      </c>
      <c r="I336" s="244"/>
      <c r="J336" s="249"/>
      <c r="K336" s="249"/>
      <c r="L336" s="250">
        <v>0.28000000000000003</v>
      </c>
      <c r="M336" s="61">
        <v>0.56000000000000005</v>
      </c>
      <c r="N336" s="20">
        <v>0</v>
      </c>
      <c r="O336" s="20">
        <v>0</v>
      </c>
      <c r="P336" s="20">
        <v>0</v>
      </c>
      <c r="Q336" s="20">
        <v>0</v>
      </c>
      <c r="R336" s="20">
        <v>0</v>
      </c>
      <c r="S336" s="20">
        <v>0</v>
      </c>
      <c r="T336" s="20">
        <v>0</v>
      </c>
    </row>
    <row r="337" spans="1:20" x14ac:dyDescent="0.2">
      <c r="A337" s="20" t="str">
        <f>list!$G$73</f>
        <v>Cool Temperate Moist</v>
      </c>
      <c r="B337" s="401" t="s">
        <v>1346</v>
      </c>
      <c r="C337" s="20" t="str">
        <f t="shared" si="26"/>
        <v>Cool Temperate MoistOceania</v>
      </c>
      <c r="D337" s="251"/>
      <c r="E337" s="257">
        <f t="shared" si="29"/>
        <v>0.33</v>
      </c>
      <c r="F337" s="244"/>
      <c r="G337" s="249"/>
      <c r="H337" s="242">
        <v>0.23</v>
      </c>
      <c r="I337" s="244"/>
      <c r="J337" s="249"/>
      <c r="K337" s="249"/>
      <c r="L337" s="250">
        <v>0.28000000000000003</v>
      </c>
      <c r="M337" s="242">
        <v>0.48</v>
      </c>
      <c r="N337" s="20">
        <v>0</v>
      </c>
      <c r="O337" s="20">
        <v>0</v>
      </c>
      <c r="P337" s="20">
        <v>0</v>
      </c>
      <c r="Q337" s="20">
        <v>0</v>
      </c>
      <c r="R337" s="20">
        <v>0</v>
      </c>
      <c r="S337" s="20">
        <v>0</v>
      </c>
      <c r="T337" s="20">
        <v>0</v>
      </c>
    </row>
    <row r="338" spans="1:20" x14ac:dyDescent="0.2">
      <c r="A338" s="20" t="str">
        <f>list!$G$73</f>
        <v>Cool Temperate Moist</v>
      </c>
      <c r="B338" s="401" t="s">
        <v>1343</v>
      </c>
      <c r="C338" s="20" t="str">
        <f t="shared" si="26"/>
        <v>Cool Temperate MoistNorth America</v>
      </c>
      <c r="D338" s="251"/>
      <c r="E338" s="257">
        <f t="shared" si="29"/>
        <v>0.16</v>
      </c>
      <c r="F338" s="244"/>
      <c r="G338" s="249"/>
      <c r="H338" s="246">
        <v>0.23</v>
      </c>
      <c r="I338" s="244"/>
      <c r="J338" s="249"/>
      <c r="K338" s="249"/>
      <c r="L338" s="249">
        <v>0.14000000000000001</v>
      </c>
      <c r="M338" s="61">
        <v>0.11</v>
      </c>
      <c r="N338" s="20">
        <v>0</v>
      </c>
      <c r="O338" s="20">
        <v>0</v>
      </c>
      <c r="P338" s="20">
        <v>0</v>
      </c>
      <c r="Q338" s="20">
        <v>0</v>
      </c>
      <c r="R338" s="20">
        <v>0</v>
      </c>
      <c r="S338" s="20">
        <v>0</v>
      </c>
      <c r="T338" s="20">
        <v>0</v>
      </c>
    </row>
    <row r="339" spans="1:20" x14ac:dyDescent="0.2">
      <c r="A339" s="20" t="str">
        <f>list!$G$73</f>
        <v>Cool Temperate Moist</v>
      </c>
      <c r="B339" s="401" t="s">
        <v>1349</v>
      </c>
      <c r="C339" s="20" t="str">
        <f t="shared" si="26"/>
        <v>Cool Temperate MoistSouth America</v>
      </c>
      <c r="D339" s="251"/>
      <c r="E339" s="257">
        <f t="shared" si="29"/>
        <v>0.34333333333333332</v>
      </c>
      <c r="F339" s="244"/>
      <c r="G339" s="249"/>
      <c r="H339" s="242">
        <v>0.23</v>
      </c>
      <c r="I339" s="244"/>
      <c r="J339" s="249"/>
      <c r="K339" s="249"/>
      <c r="L339" s="250">
        <v>0.28000000000000003</v>
      </c>
      <c r="M339" s="61">
        <v>0.52</v>
      </c>
      <c r="N339" s="20">
        <v>0</v>
      </c>
      <c r="O339" s="20">
        <v>0</v>
      </c>
      <c r="P339" s="20">
        <v>0</v>
      </c>
      <c r="Q339" s="20">
        <v>0</v>
      </c>
      <c r="R339" s="20">
        <v>0</v>
      </c>
      <c r="S339" s="20">
        <v>0</v>
      </c>
      <c r="T339" s="20">
        <v>0</v>
      </c>
    </row>
    <row r="340" spans="1:20" x14ac:dyDescent="0.2">
      <c r="A340" s="20" t="str">
        <f>list!$G$73</f>
        <v>Cool Temperate Moist</v>
      </c>
      <c r="B340" s="401" t="s">
        <v>1333</v>
      </c>
      <c r="C340" s="20" t="str">
        <f t="shared" si="26"/>
        <v>Cool Temperate MoistCentral America</v>
      </c>
      <c r="D340" s="251"/>
      <c r="E340" s="257">
        <f t="shared" si="29"/>
        <v>0.34333333333333332</v>
      </c>
      <c r="F340" s="244"/>
      <c r="G340" s="249"/>
      <c r="H340" s="242">
        <v>0.23</v>
      </c>
      <c r="I340" s="244"/>
      <c r="J340" s="249"/>
      <c r="K340" s="249"/>
      <c r="L340" s="250">
        <v>0.28000000000000003</v>
      </c>
      <c r="M340" s="61">
        <v>0.52</v>
      </c>
      <c r="N340" s="20">
        <v>0</v>
      </c>
      <c r="O340" s="20">
        <v>0</v>
      </c>
      <c r="P340" s="20">
        <v>0</v>
      </c>
      <c r="Q340" s="20">
        <v>0</v>
      </c>
      <c r="R340" s="20">
        <v>0</v>
      </c>
      <c r="S340" s="20">
        <v>0</v>
      </c>
      <c r="T340" s="20">
        <v>0</v>
      </c>
    </row>
    <row r="341" spans="1:20" x14ac:dyDescent="0.2">
      <c r="A341" s="37" t="str">
        <f>list!$G$73</f>
        <v>Cool Temperate Moist</v>
      </c>
      <c r="B341" s="402" t="s">
        <v>1547</v>
      </c>
      <c r="C341" s="37" t="str">
        <f t="shared" si="26"/>
        <v>Cool Temperate MoistCaribbean</v>
      </c>
      <c r="D341" s="298"/>
      <c r="E341" s="258">
        <f t="shared" si="29"/>
        <v>0.34333333333333332</v>
      </c>
      <c r="F341" s="247"/>
      <c r="G341" s="252"/>
      <c r="H341" s="243">
        <v>0.23</v>
      </c>
      <c r="I341" s="247"/>
      <c r="J341" s="252"/>
      <c r="K341" s="252"/>
      <c r="L341" s="300">
        <v>0.28000000000000003</v>
      </c>
      <c r="M341" s="61">
        <v>0.52</v>
      </c>
      <c r="N341" s="37">
        <v>0</v>
      </c>
      <c r="O341" s="37">
        <v>0</v>
      </c>
      <c r="P341" s="37">
        <v>0</v>
      </c>
      <c r="Q341" s="37">
        <v>0</v>
      </c>
      <c r="R341" s="37">
        <v>0</v>
      </c>
      <c r="S341" s="37">
        <v>0</v>
      </c>
      <c r="T341" s="37">
        <v>0</v>
      </c>
    </row>
    <row r="342" spans="1:20" x14ac:dyDescent="0.2">
      <c r="A342" s="20" t="s">
        <v>1485</v>
      </c>
      <c r="B342" s="403" t="s">
        <v>1552</v>
      </c>
      <c r="C342" s="20" t="str">
        <f t="shared" si="26"/>
        <v>Warm Temperate DryEastern Africa</v>
      </c>
      <c r="D342" s="244"/>
      <c r="E342" s="257">
        <f>AVERAGE(F342:M342)</f>
        <v>0.38666666666666666</v>
      </c>
      <c r="F342" s="63"/>
      <c r="G342" s="63"/>
      <c r="H342" s="267">
        <v>0.23</v>
      </c>
      <c r="I342" s="63"/>
      <c r="J342" s="63"/>
      <c r="K342" s="263"/>
      <c r="L342" s="268">
        <v>0.23</v>
      </c>
      <c r="M342" s="241">
        <v>0.7</v>
      </c>
      <c r="N342" s="63">
        <v>0</v>
      </c>
      <c r="O342" s="63">
        <v>0</v>
      </c>
      <c r="P342" s="63">
        <v>0</v>
      </c>
      <c r="Q342" s="63">
        <v>0</v>
      </c>
      <c r="R342" s="63">
        <v>0</v>
      </c>
      <c r="S342" s="63">
        <v>0</v>
      </c>
      <c r="T342" s="63">
        <v>0</v>
      </c>
    </row>
    <row r="343" spans="1:20" x14ac:dyDescent="0.2">
      <c r="A343" s="20" t="s">
        <v>1485</v>
      </c>
      <c r="B343" s="403" t="s">
        <v>1557</v>
      </c>
      <c r="C343" s="20" t="str">
        <f t="shared" si="26"/>
        <v>Warm Temperate DryCentral Africa</v>
      </c>
      <c r="D343" s="297"/>
      <c r="E343" s="257">
        <f t="shared" ref="E343:E357" si="30">AVERAGE(F343:M343)</f>
        <v>0.38666666666666666</v>
      </c>
      <c r="F343" s="20"/>
      <c r="G343" s="20"/>
      <c r="H343" s="270">
        <v>0.23</v>
      </c>
      <c r="I343" s="20"/>
      <c r="J343" s="20"/>
      <c r="K343" s="264"/>
      <c r="L343" s="271">
        <v>0.23</v>
      </c>
      <c r="M343" s="242">
        <v>0.7</v>
      </c>
      <c r="N343" s="20">
        <v>0</v>
      </c>
      <c r="O343" s="20">
        <v>0</v>
      </c>
      <c r="P343" s="20">
        <v>0</v>
      </c>
      <c r="Q343" s="20">
        <v>0</v>
      </c>
      <c r="R343" s="20">
        <v>0</v>
      </c>
      <c r="S343" s="20">
        <v>0</v>
      </c>
      <c r="T343" s="20">
        <v>0</v>
      </c>
    </row>
    <row r="344" spans="1:20" x14ac:dyDescent="0.2">
      <c r="A344" s="20" t="s">
        <v>1485</v>
      </c>
      <c r="B344" s="403" t="s">
        <v>1559</v>
      </c>
      <c r="C344" s="20" t="str">
        <f t="shared" si="26"/>
        <v>Warm Temperate DryNorthern Africa</v>
      </c>
      <c r="D344" s="244"/>
      <c r="E344" s="257">
        <f t="shared" si="30"/>
        <v>0.38666666666666666</v>
      </c>
      <c r="F344" s="20"/>
      <c r="G344" s="20"/>
      <c r="H344" s="270">
        <v>0.23</v>
      </c>
      <c r="I344" s="20"/>
      <c r="J344" s="20"/>
      <c r="K344" s="264"/>
      <c r="L344" s="271">
        <v>0.23</v>
      </c>
      <c r="M344" s="242">
        <v>0.7</v>
      </c>
      <c r="N344" s="20">
        <v>0</v>
      </c>
      <c r="O344" s="20">
        <v>0</v>
      </c>
      <c r="P344" s="20">
        <v>0</v>
      </c>
      <c r="Q344" s="20">
        <v>0</v>
      </c>
      <c r="R344" s="20">
        <v>0</v>
      </c>
      <c r="S344" s="20">
        <v>0</v>
      </c>
      <c r="T344" s="20">
        <v>0</v>
      </c>
    </row>
    <row r="345" spans="1:20" x14ac:dyDescent="0.2">
      <c r="A345" s="20" t="s">
        <v>1485</v>
      </c>
      <c r="B345" s="403" t="s">
        <v>1565</v>
      </c>
      <c r="C345" s="20" t="str">
        <f t="shared" si="26"/>
        <v>Warm Temperate DrySouthern Africa</v>
      </c>
      <c r="D345" s="244"/>
      <c r="E345" s="257">
        <f t="shared" si="30"/>
        <v>0.38666666666666666</v>
      </c>
      <c r="F345" s="20"/>
      <c r="G345" s="20"/>
      <c r="H345" s="270">
        <v>0.23</v>
      </c>
      <c r="I345" s="20"/>
      <c r="J345" s="20"/>
      <c r="K345" s="264"/>
      <c r="L345" s="271">
        <v>0.23</v>
      </c>
      <c r="M345" s="242">
        <v>0.7</v>
      </c>
      <c r="N345" s="20">
        <v>0</v>
      </c>
      <c r="O345" s="20">
        <v>0</v>
      </c>
      <c r="P345" s="20">
        <v>0</v>
      </c>
      <c r="Q345" s="20">
        <v>0</v>
      </c>
      <c r="R345" s="20">
        <v>0</v>
      </c>
      <c r="S345" s="20">
        <v>0</v>
      </c>
      <c r="T345" s="20">
        <v>0</v>
      </c>
    </row>
    <row r="346" spans="1:20" x14ac:dyDescent="0.2">
      <c r="A346" s="20" t="s">
        <v>1485</v>
      </c>
      <c r="B346" s="403" t="s">
        <v>1569</v>
      </c>
      <c r="C346" s="20" t="str">
        <f t="shared" si="26"/>
        <v>Warm Temperate DryWestern Africa</v>
      </c>
      <c r="D346" s="244"/>
      <c r="E346" s="257">
        <f t="shared" si="30"/>
        <v>0.38666666666666666</v>
      </c>
      <c r="F346" s="20"/>
      <c r="G346" s="20"/>
      <c r="H346" s="270">
        <v>0.23</v>
      </c>
      <c r="I346" s="20"/>
      <c r="J346" s="20"/>
      <c r="K346" s="264"/>
      <c r="L346" s="271">
        <v>0.23</v>
      </c>
      <c r="M346" s="242">
        <v>0.7</v>
      </c>
      <c r="N346" s="20">
        <v>0</v>
      </c>
      <c r="O346" s="20">
        <v>0</v>
      </c>
      <c r="P346" s="20">
        <v>0</v>
      </c>
      <c r="Q346" s="20">
        <v>0</v>
      </c>
      <c r="R346" s="20">
        <v>0</v>
      </c>
      <c r="S346" s="20">
        <v>0</v>
      </c>
      <c r="T346" s="20">
        <v>0</v>
      </c>
    </row>
    <row r="347" spans="1:20" x14ac:dyDescent="0.2">
      <c r="A347" s="20" t="s">
        <v>1485</v>
      </c>
      <c r="B347" s="403" t="s">
        <v>1550</v>
      </c>
      <c r="C347" s="20" t="str">
        <f t="shared" si="26"/>
        <v>Warm Temperate DryCentral Asia</v>
      </c>
      <c r="D347" s="244"/>
      <c r="E347" s="257">
        <f t="shared" si="30"/>
        <v>0.38666666666666666</v>
      </c>
      <c r="F347" s="20"/>
      <c r="G347" s="20"/>
      <c r="H347" s="270">
        <v>0.23</v>
      </c>
      <c r="I347" s="20"/>
      <c r="J347" s="20"/>
      <c r="K347" s="264"/>
      <c r="L347" s="271">
        <v>0.23</v>
      </c>
      <c r="M347" s="242">
        <v>0.7</v>
      </c>
      <c r="N347" s="20">
        <v>0</v>
      </c>
      <c r="O347" s="20">
        <v>0</v>
      </c>
      <c r="P347" s="20">
        <v>0</v>
      </c>
      <c r="Q347" s="20">
        <v>0</v>
      </c>
      <c r="R347" s="20">
        <v>0</v>
      </c>
      <c r="S347" s="20">
        <v>0</v>
      </c>
      <c r="T347" s="20">
        <v>0</v>
      </c>
    </row>
    <row r="348" spans="1:20" x14ac:dyDescent="0.2">
      <c r="A348" s="20" t="s">
        <v>1485</v>
      </c>
      <c r="B348" s="403" t="s">
        <v>1554</v>
      </c>
      <c r="C348" s="20" t="str">
        <f t="shared" si="26"/>
        <v>Warm Temperate DryEastern Asia</v>
      </c>
      <c r="D348" s="244"/>
      <c r="E348" s="257">
        <f t="shared" si="30"/>
        <v>0.38666666666666666</v>
      </c>
      <c r="F348" s="20"/>
      <c r="G348" s="20"/>
      <c r="H348" s="270">
        <v>0.23</v>
      </c>
      <c r="I348" s="20"/>
      <c r="J348" s="20"/>
      <c r="K348" s="264"/>
      <c r="L348" s="271">
        <v>0.23</v>
      </c>
      <c r="M348" s="242">
        <v>0.7</v>
      </c>
      <c r="N348" s="20">
        <v>0</v>
      </c>
      <c r="O348" s="20">
        <v>0</v>
      </c>
      <c r="P348" s="20">
        <v>0</v>
      </c>
      <c r="Q348" s="20">
        <v>0</v>
      </c>
      <c r="R348" s="20">
        <v>0</v>
      </c>
      <c r="S348" s="20">
        <v>0</v>
      </c>
      <c r="T348" s="20">
        <v>0</v>
      </c>
    </row>
    <row r="349" spans="1:20" x14ac:dyDescent="0.2">
      <c r="A349" s="20" t="s">
        <v>1485</v>
      </c>
      <c r="B349" s="403" t="s">
        <v>1563</v>
      </c>
      <c r="C349" s="20" t="str">
        <f t="shared" si="26"/>
        <v>Warm Temperate DrySouth-eastern Asia</v>
      </c>
      <c r="D349" s="244"/>
      <c r="E349" s="257">
        <f t="shared" si="30"/>
        <v>0.38666666666666666</v>
      </c>
      <c r="F349" s="20"/>
      <c r="G349" s="20"/>
      <c r="H349" s="270">
        <v>0.23</v>
      </c>
      <c r="I349" s="20"/>
      <c r="J349" s="20"/>
      <c r="K349" s="264"/>
      <c r="L349" s="271">
        <v>0.23</v>
      </c>
      <c r="M349" s="242">
        <v>0.7</v>
      </c>
      <c r="N349" s="20">
        <v>0</v>
      </c>
      <c r="O349" s="20">
        <v>0</v>
      </c>
      <c r="P349" s="20">
        <v>0</v>
      </c>
      <c r="Q349" s="20">
        <v>0</v>
      </c>
      <c r="R349" s="20">
        <v>0</v>
      </c>
      <c r="S349" s="20">
        <v>0</v>
      </c>
      <c r="T349" s="20">
        <v>0</v>
      </c>
    </row>
    <row r="350" spans="1:20" x14ac:dyDescent="0.2">
      <c r="A350" s="20" t="s">
        <v>1485</v>
      </c>
      <c r="B350" s="403" t="s">
        <v>1567</v>
      </c>
      <c r="C350" s="20" t="str">
        <f t="shared" si="26"/>
        <v>Warm Temperate DrySouthern Asia</v>
      </c>
      <c r="D350" s="244"/>
      <c r="E350" s="257">
        <f t="shared" si="30"/>
        <v>0.38666666666666666</v>
      </c>
      <c r="F350" s="20"/>
      <c r="G350" s="20"/>
      <c r="H350" s="270">
        <v>0.23</v>
      </c>
      <c r="I350" s="20"/>
      <c r="J350" s="20"/>
      <c r="K350" s="264"/>
      <c r="L350" s="271">
        <v>0.23</v>
      </c>
      <c r="M350" s="242">
        <v>0.7</v>
      </c>
      <c r="N350" s="20">
        <v>0</v>
      </c>
      <c r="O350" s="20">
        <v>0</v>
      </c>
      <c r="P350" s="20">
        <v>0</v>
      </c>
      <c r="Q350" s="20">
        <v>0</v>
      </c>
      <c r="R350" s="20">
        <v>0</v>
      </c>
      <c r="S350" s="20">
        <v>0</v>
      </c>
      <c r="T350" s="20">
        <v>0</v>
      </c>
    </row>
    <row r="351" spans="1:20" x14ac:dyDescent="0.2">
      <c r="A351" s="20" t="s">
        <v>1485</v>
      </c>
      <c r="B351" s="403" t="s">
        <v>1571</v>
      </c>
      <c r="C351" s="20" t="str">
        <f t="shared" si="26"/>
        <v>Warm Temperate DryWestern Asia</v>
      </c>
      <c r="D351" s="244"/>
      <c r="E351" s="257">
        <f t="shared" si="30"/>
        <v>0.38666666666666666</v>
      </c>
      <c r="F351" s="20"/>
      <c r="G351" s="20"/>
      <c r="H351" s="270">
        <v>0.23</v>
      </c>
      <c r="I351" s="20"/>
      <c r="J351" s="20"/>
      <c r="K351" s="264"/>
      <c r="L351" s="271">
        <v>0.23</v>
      </c>
      <c r="M351" s="242">
        <v>0.7</v>
      </c>
      <c r="N351" s="20">
        <v>0</v>
      </c>
      <c r="O351" s="20">
        <v>0</v>
      </c>
      <c r="P351" s="20">
        <v>0</v>
      </c>
      <c r="Q351" s="20">
        <v>0</v>
      </c>
      <c r="R351" s="20">
        <v>0</v>
      </c>
      <c r="S351" s="20">
        <v>0</v>
      </c>
      <c r="T351" s="20">
        <v>0</v>
      </c>
    </row>
    <row r="352" spans="1:20" x14ac:dyDescent="0.2">
      <c r="A352" s="20" t="s">
        <v>1485</v>
      </c>
      <c r="B352" s="403" t="s">
        <v>1555</v>
      </c>
      <c r="C352" s="20" t="str">
        <f t="shared" si="26"/>
        <v>Warm Temperate DryEurope</v>
      </c>
      <c r="D352" s="244"/>
      <c r="E352" s="257">
        <f t="shared" si="30"/>
        <v>0.46666666666666662</v>
      </c>
      <c r="F352" s="20"/>
      <c r="G352" s="20"/>
      <c r="H352" s="270">
        <v>0.23</v>
      </c>
      <c r="I352" s="20"/>
      <c r="J352" s="20"/>
      <c r="K352" s="264"/>
      <c r="L352" s="264">
        <v>0.14000000000000001</v>
      </c>
      <c r="M352" s="20">
        <v>1.03</v>
      </c>
      <c r="N352" s="20">
        <v>0</v>
      </c>
      <c r="O352" s="20">
        <v>0</v>
      </c>
      <c r="P352" s="20">
        <v>0</v>
      </c>
      <c r="Q352" s="20">
        <v>0</v>
      </c>
      <c r="R352" s="20">
        <v>0</v>
      </c>
      <c r="S352" s="20">
        <v>0</v>
      </c>
      <c r="T352" s="20">
        <v>0</v>
      </c>
    </row>
    <row r="353" spans="1:20" x14ac:dyDescent="0.2">
      <c r="A353" s="20" t="s">
        <v>1485</v>
      </c>
      <c r="B353" s="403" t="s">
        <v>1346</v>
      </c>
      <c r="C353" s="20" t="str">
        <f t="shared" si="26"/>
        <v>Warm Temperate DryOceania</v>
      </c>
      <c r="D353" s="244"/>
      <c r="E353" s="257">
        <f t="shared" si="30"/>
        <v>0.38666666666666666</v>
      </c>
      <c r="F353" s="20"/>
      <c r="G353" s="20"/>
      <c r="H353" s="270">
        <v>0.23</v>
      </c>
      <c r="I353" s="20"/>
      <c r="J353" s="20"/>
      <c r="K353" s="264"/>
      <c r="L353" s="271">
        <v>0.23</v>
      </c>
      <c r="M353" s="242">
        <v>0.7</v>
      </c>
      <c r="N353" s="20">
        <v>0</v>
      </c>
      <c r="O353" s="20">
        <v>0</v>
      </c>
      <c r="P353" s="20">
        <v>0</v>
      </c>
      <c r="Q353" s="20">
        <v>0</v>
      </c>
      <c r="R353" s="20">
        <v>0</v>
      </c>
      <c r="S353" s="20">
        <v>0</v>
      </c>
      <c r="T353" s="20">
        <v>0</v>
      </c>
    </row>
    <row r="354" spans="1:20" x14ac:dyDescent="0.2">
      <c r="A354" s="20" t="s">
        <v>1485</v>
      </c>
      <c r="B354" s="403" t="s">
        <v>1343</v>
      </c>
      <c r="C354" s="20" t="str">
        <f t="shared" si="26"/>
        <v>Warm Temperate DryNorth America</v>
      </c>
      <c r="D354" s="244"/>
      <c r="E354" s="257">
        <f t="shared" si="30"/>
        <v>0.38666666666666666</v>
      </c>
      <c r="F354" s="20"/>
      <c r="G354" s="20"/>
      <c r="H354" s="270">
        <v>0.23</v>
      </c>
      <c r="I354" s="20"/>
      <c r="J354" s="20"/>
      <c r="K354" s="264"/>
      <c r="L354" s="271">
        <v>0.23</v>
      </c>
      <c r="M354" s="242">
        <v>0.7</v>
      </c>
      <c r="N354" s="20">
        <v>0</v>
      </c>
      <c r="O354" s="20">
        <v>0</v>
      </c>
      <c r="P354" s="20">
        <v>0</v>
      </c>
      <c r="Q354" s="20">
        <v>0</v>
      </c>
      <c r="R354" s="20">
        <v>0</v>
      </c>
      <c r="S354" s="20">
        <v>0</v>
      </c>
      <c r="T354" s="20">
        <v>0</v>
      </c>
    </row>
    <row r="355" spans="1:20" x14ac:dyDescent="0.2">
      <c r="A355" s="20" t="s">
        <v>1485</v>
      </c>
      <c r="B355" s="403" t="s">
        <v>1349</v>
      </c>
      <c r="C355" s="20" t="str">
        <f t="shared" si="26"/>
        <v>Warm Temperate DrySouth America</v>
      </c>
      <c r="D355" s="244"/>
      <c r="E355" s="257">
        <f t="shared" si="30"/>
        <v>0.38666666666666666</v>
      </c>
      <c r="F355" s="20"/>
      <c r="G355" s="20"/>
      <c r="H355" s="270">
        <v>0.23</v>
      </c>
      <c r="I355" s="20"/>
      <c r="J355" s="20"/>
      <c r="K355" s="264"/>
      <c r="L355" s="271">
        <v>0.23</v>
      </c>
      <c r="M355" s="242">
        <v>0.7</v>
      </c>
      <c r="N355" s="20">
        <v>0</v>
      </c>
      <c r="O355" s="20">
        <v>0</v>
      </c>
      <c r="P355" s="20">
        <v>0</v>
      </c>
      <c r="Q355" s="20">
        <v>0</v>
      </c>
      <c r="R355" s="20">
        <v>0</v>
      </c>
      <c r="S355" s="20">
        <v>0</v>
      </c>
      <c r="T355" s="20">
        <v>0</v>
      </c>
    </row>
    <row r="356" spans="1:20" x14ac:dyDescent="0.2">
      <c r="A356" s="20" t="s">
        <v>1485</v>
      </c>
      <c r="B356" s="403" t="s">
        <v>1333</v>
      </c>
      <c r="C356" s="20" t="str">
        <f t="shared" si="26"/>
        <v>Warm Temperate DryCentral America</v>
      </c>
      <c r="D356" s="244"/>
      <c r="E356" s="257">
        <f t="shared" si="30"/>
        <v>0.38666666666666666</v>
      </c>
      <c r="F356" s="20"/>
      <c r="G356" s="20"/>
      <c r="H356" s="270">
        <v>0.23</v>
      </c>
      <c r="I356" s="20"/>
      <c r="J356" s="20"/>
      <c r="K356" s="264"/>
      <c r="L356" s="271">
        <v>0.23</v>
      </c>
      <c r="M356" s="242">
        <v>0.7</v>
      </c>
      <c r="N356" s="20">
        <v>0</v>
      </c>
      <c r="O356" s="20">
        <v>0</v>
      </c>
      <c r="P356" s="20">
        <v>0</v>
      </c>
      <c r="Q356" s="20">
        <v>0</v>
      </c>
      <c r="R356" s="20">
        <v>0</v>
      </c>
      <c r="S356" s="20">
        <v>0</v>
      </c>
      <c r="T356" s="20">
        <v>0</v>
      </c>
    </row>
    <row r="357" spans="1:20" x14ac:dyDescent="0.2">
      <c r="A357" s="20" t="s">
        <v>1485</v>
      </c>
      <c r="B357" s="404" t="s">
        <v>1547</v>
      </c>
      <c r="C357" s="20" t="str">
        <f t="shared" si="26"/>
        <v>Warm Temperate DryCaribbean</v>
      </c>
      <c r="D357" s="247"/>
      <c r="E357" s="257">
        <f t="shared" si="30"/>
        <v>0.38666666666666666</v>
      </c>
      <c r="F357" s="37"/>
      <c r="G357" s="37"/>
      <c r="H357" s="270">
        <v>0.23</v>
      </c>
      <c r="I357" s="37"/>
      <c r="J357" s="37"/>
      <c r="K357" s="265"/>
      <c r="L357" s="274">
        <v>0.23</v>
      </c>
      <c r="M357" s="243">
        <v>0.7</v>
      </c>
      <c r="N357" s="37">
        <v>0</v>
      </c>
      <c r="O357" s="37">
        <v>0</v>
      </c>
      <c r="P357" s="37">
        <v>0</v>
      </c>
      <c r="Q357" s="37">
        <v>0</v>
      </c>
      <c r="R357" s="37">
        <v>0</v>
      </c>
      <c r="S357" s="37">
        <v>0</v>
      </c>
      <c r="T357" s="37">
        <v>0</v>
      </c>
    </row>
    <row r="358" spans="1:20" x14ac:dyDescent="0.2">
      <c r="A358" s="63" t="s">
        <v>1486</v>
      </c>
      <c r="B358" s="403" t="s">
        <v>1552</v>
      </c>
      <c r="C358" s="63" t="str">
        <f t="shared" si="26"/>
        <v>Warm Temperate MoistEastern Africa</v>
      </c>
      <c r="D358" s="244"/>
      <c r="E358" s="257">
        <f>AVERAGE(F358:M358)</f>
        <v>0.38666666666666666</v>
      </c>
      <c r="F358" s="63"/>
      <c r="G358" s="63"/>
      <c r="H358" s="267">
        <v>0.23</v>
      </c>
      <c r="I358" s="63"/>
      <c r="J358" s="63"/>
      <c r="K358" s="263"/>
      <c r="L358" s="268">
        <v>0.23</v>
      </c>
      <c r="M358" s="241">
        <v>0.7</v>
      </c>
      <c r="N358" s="63">
        <v>0</v>
      </c>
      <c r="O358" s="63">
        <v>0</v>
      </c>
      <c r="P358" s="63">
        <v>0</v>
      </c>
      <c r="Q358" s="63">
        <v>0</v>
      </c>
      <c r="R358" s="63">
        <v>0</v>
      </c>
      <c r="S358" s="63">
        <v>0</v>
      </c>
      <c r="T358" s="63">
        <v>0</v>
      </c>
    </row>
    <row r="359" spans="1:20" x14ac:dyDescent="0.2">
      <c r="A359" s="20" t="s">
        <v>1486</v>
      </c>
      <c r="B359" s="403" t="s">
        <v>1557</v>
      </c>
      <c r="C359" s="20" t="str">
        <f t="shared" si="26"/>
        <v>Warm Temperate MoistCentral Africa</v>
      </c>
      <c r="D359" s="297"/>
      <c r="E359" s="257">
        <f t="shared" ref="E359:E373" si="31">AVERAGE(F359:M359)</f>
        <v>0.38666666666666666</v>
      </c>
      <c r="F359" s="20"/>
      <c r="G359" s="20"/>
      <c r="H359" s="270">
        <v>0.23</v>
      </c>
      <c r="I359" s="20"/>
      <c r="J359" s="20"/>
      <c r="K359" s="264"/>
      <c r="L359" s="271">
        <v>0.23</v>
      </c>
      <c r="M359" s="242">
        <v>0.7</v>
      </c>
      <c r="N359" s="20">
        <v>0</v>
      </c>
      <c r="O359" s="20">
        <v>0</v>
      </c>
      <c r="P359" s="20">
        <v>0</v>
      </c>
      <c r="Q359" s="20">
        <v>0</v>
      </c>
      <c r="R359" s="20">
        <v>0</v>
      </c>
      <c r="S359" s="20">
        <v>0</v>
      </c>
      <c r="T359" s="20">
        <v>0</v>
      </c>
    </row>
    <row r="360" spans="1:20" x14ac:dyDescent="0.2">
      <c r="A360" s="20" t="s">
        <v>1486</v>
      </c>
      <c r="B360" s="403" t="s">
        <v>1559</v>
      </c>
      <c r="C360" s="20" t="str">
        <f t="shared" si="26"/>
        <v>Warm Temperate MoistNorthern Africa</v>
      </c>
      <c r="D360" s="244"/>
      <c r="E360" s="257">
        <f t="shared" si="31"/>
        <v>0.38666666666666666</v>
      </c>
      <c r="F360" s="20"/>
      <c r="G360" s="20"/>
      <c r="H360" s="270">
        <v>0.23</v>
      </c>
      <c r="I360" s="20"/>
      <c r="J360" s="20"/>
      <c r="K360" s="264"/>
      <c r="L360" s="271">
        <v>0.23</v>
      </c>
      <c r="M360" s="242">
        <v>0.7</v>
      </c>
      <c r="N360" s="20">
        <v>0</v>
      </c>
      <c r="O360" s="20">
        <v>0</v>
      </c>
      <c r="P360" s="20">
        <v>0</v>
      </c>
      <c r="Q360" s="20">
        <v>0</v>
      </c>
      <c r="R360" s="20">
        <v>0</v>
      </c>
      <c r="S360" s="20">
        <v>0</v>
      </c>
      <c r="T360" s="20">
        <v>0</v>
      </c>
    </row>
    <row r="361" spans="1:20" x14ac:dyDescent="0.2">
      <c r="A361" s="20" t="s">
        <v>1486</v>
      </c>
      <c r="B361" s="403" t="s">
        <v>1565</v>
      </c>
      <c r="C361" s="20" t="str">
        <f t="shared" si="26"/>
        <v>Warm Temperate MoistSouthern Africa</v>
      </c>
      <c r="D361" s="244"/>
      <c r="E361" s="257">
        <f t="shared" si="31"/>
        <v>0.38666666666666666</v>
      </c>
      <c r="F361" s="20"/>
      <c r="G361" s="20"/>
      <c r="H361" s="270">
        <v>0.23</v>
      </c>
      <c r="I361" s="20"/>
      <c r="J361" s="20"/>
      <c r="K361" s="264"/>
      <c r="L361" s="271">
        <v>0.23</v>
      </c>
      <c r="M361" s="242">
        <v>0.7</v>
      </c>
      <c r="N361" s="20">
        <v>0</v>
      </c>
      <c r="O361" s="20">
        <v>0</v>
      </c>
      <c r="P361" s="20">
        <v>0</v>
      </c>
      <c r="Q361" s="20">
        <v>0</v>
      </c>
      <c r="R361" s="20">
        <v>0</v>
      </c>
      <c r="S361" s="20">
        <v>0</v>
      </c>
      <c r="T361" s="20">
        <v>0</v>
      </c>
    </row>
    <row r="362" spans="1:20" x14ac:dyDescent="0.2">
      <c r="A362" s="20" t="s">
        <v>1486</v>
      </c>
      <c r="B362" s="403" t="s">
        <v>1569</v>
      </c>
      <c r="C362" s="20" t="str">
        <f t="shared" si="26"/>
        <v>Warm Temperate MoistWestern Africa</v>
      </c>
      <c r="D362" s="244"/>
      <c r="E362" s="257">
        <f t="shared" si="31"/>
        <v>0.38666666666666666</v>
      </c>
      <c r="F362" s="20"/>
      <c r="G362" s="20"/>
      <c r="H362" s="270">
        <v>0.23</v>
      </c>
      <c r="I362" s="20"/>
      <c r="J362" s="20"/>
      <c r="K362" s="264"/>
      <c r="L362" s="271">
        <v>0.23</v>
      </c>
      <c r="M362" s="242">
        <v>0.7</v>
      </c>
      <c r="N362" s="20">
        <v>0</v>
      </c>
      <c r="O362" s="20">
        <v>0</v>
      </c>
      <c r="P362" s="20">
        <v>0</v>
      </c>
      <c r="Q362" s="20">
        <v>0</v>
      </c>
      <c r="R362" s="20">
        <v>0</v>
      </c>
      <c r="S362" s="20">
        <v>0</v>
      </c>
      <c r="T362" s="20">
        <v>0</v>
      </c>
    </row>
    <row r="363" spans="1:20" x14ac:dyDescent="0.2">
      <c r="A363" s="20" t="s">
        <v>1486</v>
      </c>
      <c r="B363" s="403" t="s">
        <v>1550</v>
      </c>
      <c r="C363" s="20" t="str">
        <f t="shared" si="26"/>
        <v>Warm Temperate MoistCentral Asia</v>
      </c>
      <c r="D363" s="244"/>
      <c r="E363" s="257">
        <f t="shared" si="31"/>
        <v>0.38666666666666666</v>
      </c>
      <c r="F363" s="20"/>
      <c r="G363" s="20"/>
      <c r="H363" s="270">
        <v>0.23</v>
      </c>
      <c r="I363" s="20"/>
      <c r="J363" s="20"/>
      <c r="K363" s="264"/>
      <c r="L363" s="271">
        <v>0.23</v>
      </c>
      <c r="M363" s="242">
        <v>0.7</v>
      </c>
      <c r="N363" s="20">
        <v>0</v>
      </c>
      <c r="O363" s="20">
        <v>0</v>
      </c>
      <c r="P363" s="20">
        <v>0</v>
      </c>
      <c r="Q363" s="20">
        <v>0</v>
      </c>
      <c r="R363" s="20">
        <v>0</v>
      </c>
      <c r="S363" s="20">
        <v>0</v>
      </c>
      <c r="T363" s="20">
        <v>0</v>
      </c>
    </row>
    <row r="364" spans="1:20" x14ac:dyDescent="0.2">
      <c r="A364" s="20" t="s">
        <v>1486</v>
      </c>
      <c r="B364" s="403" t="s">
        <v>1554</v>
      </c>
      <c r="C364" s="20" t="str">
        <f t="shared" si="26"/>
        <v>Warm Temperate MoistEastern Asia</v>
      </c>
      <c r="D364" s="244"/>
      <c r="E364" s="257">
        <f t="shared" si="31"/>
        <v>0.38666666666666666</v>
      </c>
      <c r="F364" s="20"/>
      <c r="G364" s="20"/>
      <c r="H364" s="270">
        <v>0.23</v>
      </c>
      <c r="I364" s="20"/>
      <c r="J364" s="20"/>
      <c r="K364" s="264"/>
      <c r="L364" s="271">
        <v>0.23</v>
      </c>
      <c r="M364" s="242">
        <v>0.7</v>
      </c>
      <c r="N364" s="20">
        <v>0</v>
      </c>
      <c r="O364" s="20">
        <v>0</v>
      </c>
      <c r="P364" s="20">
        <v>0</v>
      </c>
      <c r="Q364" s="20">
        <v>0</v>
      </c>
      <c r="R364" s="20">
        <v>0</v>
      </c>
      <c r="S364" s="20">
        <v>0</v>
      </c>
      <c r="T364" s="20">
        <v>0</v>
      </c>
    </row>
    <row r="365" spans="1:20" x14ac:dyDescent="0.2">
      <c r="A365" s="20" t="s">
        <v>1486</v>
      </c>
      <c r="B365" s="403" t="s">
        <v>1563</v>
      </c>
      <c r="C365" s="20" t="str">
        <f t="shared" si="26"/>
        <v>Warm Temperate MoistSouth-eastern Asia</v>
      </c>
      <c r="D365" s="244"/>
      <c r="E365" s="257">
        <f t="shared" si="31"/>
        <v>0.38666666666666666</v>
      </c>
      <c r="F365" s="20"/>
      <c r="G365" s="20"/>
      <c r="H365" s="270">
        <v>0.23</v>
      </c>
      <c r="I365" s="20"/>
      <c r="J365" s="20"/>
      <c r="K365" s="264"/>
      <c r="L365" s="271">
        <v>0.23</v>
      </c>
      <c r="M365" s="242">
        <v>0.7</v>
      </c>
      <c r="N365" s="20">
        <v>0</v>
      </c>
      <c r="O365" s="20">
        <v>0</v>
      </c>
      <c r="P365" s="20">
        <v>0</v>
      </c>
      <c r="Q365" s="20">
        <v>0</v>
      </c>
      <c r="R365" s="20">
        <v>0</v>
      </c>
      <c r="S365" s="20">
        <v>0</v>
      </c>
      <c r="T365" s="20">
        <v>0</v>
      </c>
    </row>
    <row r="366" spans="1:20" x14ac:dyDescent="0.2">
      <c r="A366" s="20" t="s">
        <v>1486</v>
      </c>
      <c r="B366" s="403" t="s">
        <v>1567</v>
      </c>
      <c r="C366" s="20" t="str">
        <f t="shared" si="26"/>
        <v>Warm Temperate MoistSouthern Asia</v>
      </c>
      <c r="D366" s="244"/>
      <c r="E366" s="257">
        <f t="shared" si="31"/>
        <v>0.38666666666666666</v>
      </c>
      <c r="F366" s="20"/>
      <c r="G366" s="20"/>
      <c r="H366" s="270">
        <v>0.23</v>
      </c>
      <c r="I366" s="20"/>
      <c r="J366" s="20"/>
      <c r="K366" s="264"/>
      <c r="L366" s="271">
        <v>0.23</v>
      </c>
      <c r="M366" s="242">
        <v>0.7</v>
      </c>
      <c r="N366" s="20">
        <v>0</v>
      </c>
      <c r="O366" s="20">
        <v>0</v>
      </c>
      <c r="P366" s="20">
        <v>0</v>
      </c>
      <c r="Q366" s="20">
        <v>0</v>
      </c>
      <c r="R366" s="20">
        <v>0</v>
      </c>
      <c r="S366" s="20">
        <v>0</v>
      </c>
      <c r="T366" s="20">
        <v>0</v>
      </c>
    </row>
    <row r="367" spans="1:20" x14ac:dyDescent="0.2">
      <c r="A367" s="20" t="s">
        <v>1486</v>
      </c>
      <c r="B367" s="403" t="s">
        <v>1571</v>
      </c>
      <c r="C367" s="20" t="str">
        <f t="shared" si="26"/>
        <v>Warm Temperate MoistWestern Asia</v>
      </c>
      <c r="D367" s="244"/>
      <c r="E367" s="257">
        <f t="shared" si="31"/>
        <v>0.38666666666666666</v>
      </c>
      <c r="F367" s="20"/>
      <c r="G367" s="20"/>
      <c r="H367" s="270">
        <v>0.23</v>
      </c>
      <c r="I367" s="20"/>
      <c r="J367" s="20"/>
      <c r="K367" s="264"/>
      <c r="L367" s="271">
        <v>0.23</v>
      </c>
      <c r="M367" s="242">
        <v>0.7</v>
      </c>
      <c r="N367" s="20">
        <v>0</v>
      </c>
      <c r="O367" s="20">
        <v>0</v>
      </c>
      <c r="P367" s="20">
        <v>0</v>
      </c>
      <c r="Q367" s="20">
        <v>0</v>
      </c>
      <c r="R367" s="20">
        <v>0</v>
      </c>
      <c r="S367" s="20">
        <v>0</v>
      </c>
      <c r="T367" s="20">
        <v>0</v>
      </c>
    </row>
    <row r="368" spans="1:20" x14ac:dyDescent="0.2">
      <c r="A368" s="20" t="s">
        <v>1486</v>
      </c>
      <c r="B368" s="403" t="s">
        <v>1555</v>
      </c>
      <c r="C368" s="20" t="str">
        <f t="shared" si="26"/>
        <v>Warm Temperate MoistEurope</v>
      </c>
      <c r="D368" s="244"/>
      <c r="E368" s="257">
        <f t="shared" si="31"/>
        <v>0.46666666666666662</v>
      </c>
      <c r="F368" s="20"/>
      <c r="G368" s="20"/>
      <c r="H368" s="270">
        <v>0.23</v>
      </c>
      <c r="I368" s="20"/>
      <c r="J368" s="20"/>
      <c r="K368" s="264"/>
      <c r="L368" s="264">
        <v>0.14000000000000001</v>
      </c>
      <c r="M368" s="20">
        <v>1.03</v>
      </c>
      <c r="N368" s="20">
        <v>0</v>
      </c>
      <c r="O368" s="20">
        <v>0</v>
      </c>
      <c r="P368" s="20">
        <v>0</v>
      </c>
      <c r="Q368" s="20">
        <v>0</v>
      </c>
      <c r="R368" s="20">
        <v>0</v>
      </c>
      <c r="S368" s="20">
        <v>0</v>
      </c>
      <c r="T368" s="20">
        <v>0</v>
      </c>
    </row>
    <row r="369" spans="1:20" x14ac:dyDescent="0.2">
      <c r="A369" s="20" t="s">
        <v>1486</v>
      </c>
      <c r="B369" s="403" t="s">
        <v>1346</v>
      </c>
      <c r="C369" s="20" t="str">
        <f t="shared" si="26"/>
        <v>Warm Temperate MoistOceania</v>
      </c>
      <c r="D369" s="244"/>
      <c r="E369" s="257">
        <f t="shared" si="31"/>
        <v>0.38666666666666666</v>
      </c>
      <c r="F369" s="20"/>
      <c r="G369" s="20"/>
      <c r="H369" s="270">
        <v>0.23</v>
      </c>
      <c r="I369" s="20"/>
      <c r="J369" s="20"/>
      <c r="K369" s="264"/>
      <c r="L369" s="271">
        <v>0.23</v>
      </c>
      <c r="M369" s="242">
        <v>0.7</v>
      </c>
      <c r="N369" s="20">
        <v>0</v>
      </c>
      <c r="O369" s="20">
        <v>0</v>
      </c>
      <c r="P369" s="20">
        <v>0</v>
      </c>
      <c r="Q369" s="20">
        <v>0</v>
      </c>
      <c r="R369" s="20">
        <v>0</v>
      </c>
      <c r="S369" s="20">
        <v>0</v>
      </c>
      <c r="T369" s="20">
        <v>0</v>
      </c>
    </row>
    <row r="370" spans="1:20" x14ac:dyDescent="0.2">
      <c r="A370" s="20" t="s">
        <v>1486</v>
      </c>
      <c r="B370" s="403" t="s">
        <v>1343</v>
      </c>
      <c r="C370" s="20" t="str">
        <f t="shared" si="26"/>
        <v>Warm Temperate MoistNorth America</v>
      </c>
      <c r="D370" s="244"/>
      <c r="E370" s="257">
        <f t="shared" si="31"/>
        <v>0.38666666666666666</v>
      </c>
      <c r="F370" s="20"/>
      <c r="G370" s="20"/>
      <c r="H370" s="270">
        <v>0.23</v>
      </c>
      <c r="I370" s="20"/>
      <c r="J370" s="20"/>
      <c r="K370" s="264"/>
      <c r="L370" s="271">
        <v>0.23</v>
      </c>
      <c r="M370" s="242">
        <v>0.7</v>
      </c>
      <c r="N370" s="20">
        <v>0</v>
      </c>
      <c r="O370" s="20">
        <v>0</v>
      </c>
      <c r="P370" s="20">
        <v>0</v>
      </c>
      <c r="Q370" s="20">
        <v>0</v>
      </c>
      <c r="R370" s="20">
        <v>0</v>
      </c>
      <c r="S370" s="20">
        <v>0</v>
      </c>
      <c r="T370" s="20">
        <v>0</v>
      </c>
    </row>
    <row r="371" spans="1:20" x14ac:dyDescent="0.2">
      <c r="A371" s="20" t="s">
        <v>1486</v>
      </c>
      <c r="B371" s="403" t="s">
        <v>1349</v>
      </c>
      <c r="C371" s="20" t="str">
        <f t="shared" si="26"/>
        <v>Warm Temperate MoistSouth America</v>
      </c>
      <c r="D371" s="244"/>
      <c r="E371" s="257">
        <f t="shared" si="31"/>
        <v>0.38666666666666666</v>
      </c>
      <c r="F371" s="20"/>
      <c r="G371" s="20"/>
      <c r="H371" s="270">
        <v>0.23</v>
      </c>
      <c r="I371" s="20"/>
      <c r="J371" s="20"/>
      <c r="K371" s="264"/>
      <c r="L371" s="271">
        <v>0.23</v>
      </c>
      <c r="M371" s="242">
        <v>0.7</v>
      </c>
      <c r="N371" s="20">
        <v>0</v>
      </c>
      <c r="O371" s="20">
        <v>0</v>
      </c>
      <c r="P371" s="20">
        <v>0</v>
      </c>
      <c r="Q371" s="20">
        <v>0</v>
      </c>
      <c r="R371" s="20">
        <v>0</v>
      </c>
      <c r="S371" s="20">
        <v>0</v>
      </c>
      <c r="T371" s="20">
        <v>0</v>
      </c>
    </row>
    <row r="372" spans="1:20" x14ac:dyDescent="0.2">
      <c r="A372" s="20" t="s">
        <v>1486</v>
      </c>
      <c r="B372" s="403" t="s">
        <v>1333</v>
      </c>
      <c r="C372" s="20" t="str">
        <f t="shared" si="26"/>
        <v>Warm Temperate MoistCentral America</v>
      </c>
      <c r="D372" s="244"/>
      <c r="E372" s="257">
        <f t="shared" si="31"/>
        <v>0.38666666666666666</v>
      </c>
      <c r="F372" s="20"/>
      <c r="G372" s="20"/>
      <c r="H372" s="270">
        <v>0.23</v>
      </c>
      <c r="I372" s="20"/>
      <c r="J372" s="20"/>
      <c r="K372" s="264"/>
      <c r="L372" s="271">
        <v>0.23</v>
      </c>
      <c r="M372" s="242">
        <v>0.7</v>
      </c>
      <c r="N372" s="20">
        <v>0</v>
      </c>
      <c r="O372" s="20">
        <v>0</v>
      </c>
      <c r="P372" s="20">
        <v>0</v>
      </c>
      <c r="Q372" s="20">
        <v>0</v>
      </c>
      <c r="R372" s="20">
        <v>0</v>
      </c>
      <c r="S372" s="20">
        <v>0</v>
      </c>
      <c r="T372" s="20">
        <v>0</v>
      </c>
    </row>
    <row r="373" spans="1:20" x14ac:dyDescent="0.2">
      <c r="A373" s="37" t="s">
        <v>1486</v>
      </c>
      <c r="B373" s="404" t="s">
        <v>1547</v>
      </c>
      <c r="C373" s="37" t="str">
        <f t="shared" si="26"/>
        <v>Warm Temperate MoistCaribbean</v>
      </c>
      <c r="D373" s="247"/>
      <c r="E373" s="257">
        <f t="shared" si="31"/>
        <v>0.38666666666666666</v>
      </c>
      <c r="F373" s="37"/>
      <c r="G373" s="37"/>
      <c r="H373" s="270">
        <v>0.23</v>
      </c>
      <c r="I373" s="37"/>
      <c r="J373" s="37"/>
      <c r="K373" s="265"/>
      <c r="L373" s="274">
        <v>0.23</v>
      </c>
      <c r="M373" s="243">
        <v>0.7</v>
      </c>
      <c r="N373" s="37">
        <v>0</v>
      </c>
      <c r="O373" s="37">
        <v>0</v>
      </c>
      <c r="P373" s="37">
        <v>0</v>
      </c>
      <c r="Q373" s="37">
        <v>0</v>
      </c>
      <c r="R373" s="37">
        <v>0</v>
      </c>
      <c r="S373" s="37">
        <v>0</v>
      </c>
      <c r="T373" s="37">
        <v>0</v>
      </c>
    </row>
    <row r="374" spans="1:20" x14ac:dyDescent="0.2">
      <c r="A374" s="63" t="s">
        <v>1882</v>
      </c>
      <c r="B374" s="413" t="s">
        <v>1552</v>
      </c>
      <c r="C374" s="63" t="str">
        <f t="shared" si="26"/>
        <v>TemperateEastern Africa</v>
      </c>
      <c r="D374" s="248"/>
      <c r="E374" s="256">
        <f>AVERAGE(F374:M374)</f>
        <v>0.38666666666666666</v>
      </c>
      <c r="F374" s="266"/>
      <c r="G374" s="263"/>
      <c r="H374" s="267">
        <v>0.23</v>
      </c>
      <c r="I374" s="275"/>
      <c r="J374" s="267"/>
      <c r="K374" s="268"/>
      <c r="L374" s="268">
        <v>0.23</v>
      </c>
      <c r="M374" s="241">
        <v>0.7</v>
      </c>
      <c r="N374" s="63">
        <v>0</v>
      </c>
      <c r="O374" s="63">
        <v>0</v>
      </c>
      <c r="P374" s="63">
        <v>0</v>
      </c>
      <c r="Q374" s="63">
        <v>0</v>
      </c>
      <c r="R374" s="63">
        <v>0</v>
      </c>
      <c r="S374" s="63">
        <v>0</v>
      </c>
      <c r="T374" s="63">
        <v>0</v>
      </c>
    </row>
    <row r="375" spans="1:20" x14ac:dyDescent="0.2">
      <c r="A375" s="20" t="s">
        <v>1882</v>
      </c>
      <c r="B375" s="403" t="s">
        <v>1557</v>
      </c>
      <c r="C375" s="20" t="str">
        <f t="shared" si="26"/>
        <v>TemperateCentral Africa</v>
      </c>
      <c r="D375" s="310"/>
      <c r="E375" s="257">
        <f t="shared" ref="E375:E389" si="32">AVERAGE(F375:M375)</f>
        <v>0.38666666666666666</v>
      </c>
      <c r="F375" s="269"/>
      <c r="G375" s="264"/>
      <c r="H375" s="270">
        <v>0.23</v>
      </c>
      <c r="I375" s="276"/>
      <c r="J375" s="270"/>
      <c r="K375" s="271"/>
      <c r="L375" s="271">
        <v>0.23</v>
      </c>
      <c r="M375" s="242">
        <v>0.7</v>
      </c>
      <c r="N375" s="20">
        <v>0</v>
      </c>
      <c r="O375" s="20">
        <v>0</v>
      </c>
      <c r="P375" s="20">
        <v>0</v>
      </c>
      <c r="Q375" s="20">
        <v>0</v>
      </c>
      <c r="R375" s="20">
        <v>0</v>
      </c>
      <c r="S375" s="20">
        <v>0</v>
      </c>
      <c r="T375" s="20">
        <v>0</v>
      </c>
    </row>
    <row r="376" spans="1:20" x14ac:dyDescent="0.2">
      <c r="A376" s="20" t="s">
        <v>1882</v>
      </c>
      <c r="B376" s="403" t="s">
        <v>1559</v>
      </c>
      <c r="C376" s="20" t="str">
        <f t="shared" si="26"/>
        <v>TemperateNorthern Africa</v>
      </c>
      <c r="D376" s="249"/>
      <c r="E376" s="257">
        <f t="shared" si="32"/>
        <v>0.38666666666666666</v>
      </c>
      <c r="F376" s="269"/>
      <c r="G376" s="264"/>
      <c r="H376" s="270">
        <v>0.23</v>
      </c>
      <c r="I376" s="276"/>
      <c r="J376" s="270"/>
      <c r="K376" s="271"/>
      <c r="L376" s="271">
        <v>0.23</v>
      </c>
      <c r="M376" s="242">
        <v>0.7</v>
      </c>
      <c r="N376" s="20">
        <v>0</v>
      </c>
      <c r="O376" s="20">
        <v>0</v>
      </c>
      <c r="P376" s="20">
        <v>0</v>
      </c>
      <c r="Q376" s="20">
        <v>0</v>
      </c>
      <c r="R376" s="20">
        <v>0</v>
      </c>
      <c r="S376" s="20">
        <v>0</v>
      </c>
      <c r="T376" s="20">
        <v>0</v>
      </c>
    </row>
    <row r="377" spans="1:20" x14ac:dyDescent="0.2">
      <c r="A377" s="20" t="s">
        <v>1882</v>
      </c>
      <c r="B377" s="403" t="s">
        <v>1565</v>
      </c>
      <c r="C377" s="20" t="str">
        <f t="shared" si="26"/>
        <v>TemperateSouthern Africa</v>
      </c>
      <c r="D377" s="249"/>
      <c r="E377" s="257">
        <f t="shared" si="32"/>
        <v>0.38666666666666666</v>
      </c>
      <c r="F377" s="269"/>
      <c r="G377" s="264"/>
      <c r="H377" s="270">
        <v>0.23</v>
      </c>
      <c r="I377" s="276"/>
      <c r="J377" s="270"/>
      <c r="K377" s="271"/>
      <c r="L377" s="271">
        <v>0.23</v>
      </c>
      <c r="M377" s="242">
        <v>0.7</v>
      </c>
      <c r="N377" s="20">
        <v>0</v>
      </c>
      <c r="O377" s="20">
        <v>0</v>
      </c>
      <c r="P377" s="20">
        <v>0</v>
      </c>
      <c r="Q377" s="20">
        <v>0</v>
      </c>
      <c r="R377" s="20">
        <v>0</v>
      </c>
      <c r="S377" s="20">
        <v>0</v>
      </c>
      <c r="T377" s="20">
        <v>0</v>
      </c>
    </row>
    <row r="378" spans="1:20" x14ac:dyDescent="0.2">
      <c r="A378" s="20" t="s">
        <v>1882</v>
      </c>
      <c r="B378" s="403" t="s">
        <v>1569</v>
      </c>
      <c r="C378" s="20" t="str">
        <f t="shared" si="26"/>
        <v>TemperateWestern Africa</v>
      </c>
      <c r="D378" s="249"/>
      <c r="E378" s="257">
        <f t="shared" si="32"/>
        <v>0.38666666666666666</v>
      </c>
      <c r="F378" s="269"/>
      <c r="G378" s="264"/>
      <c r="H378" s="270">
        <v>0.23</v>
      </c>
      <c r="I378" s="276"/>
      <c r="J378" s="270"/>
      <c r="K378" s="271"/>
      <c r="L378" s="271">
        <v>0.23</v>
      </c>
      <c r="M378" s="242">
        <v>0.7</v>
      </c>
      <c r="N378" s="20">
        <v>0</v>
      </c>
      <c r="O378" s="20">
        <v>0</v>
      </c>
      <c r="P378" s="20">
        <v>0</v>
      </c>
      <c r="Q378" s="20">
        <v>0</v>
      </c>
      <c r="R378" s="20">
        <v>0</v>
      </c>
      <c r="S378" s="20">
        <v>0</v>
      </c>
      <c r="T378" s="20">
        <v>0</v>
      </c>
    </row>
    <row r="379" spans="1:20" x14ac:dyDescent="0.2">
      <c r="A379" s="20" t="s">
        <v>1882</v>
      </c>
      <c r="B379" s="403" t="s">
        <v>1550</v>
      </c>
      <c r="C379" s="20" t="str">
        <f t="shared" si="26"/>
        <v>TemperateCentral Asia</v>
      </c>
      <c r="D379" s="249"/>
      <c r="E379" s="257">
        <f t="shared" si="32"/>
        <v>0.38666666666666666</v>
      </c>
      <c r="F379" s="269"/>
      <c r="G379" s="264"/>
      <c r="H379" s="270">
        <v>0.23</v>
      </c>
      <c r="I379" s="276"/>
      <c r="J379" s="270"/>
      <c r="K379" s="271"/>
      <c r="L379" s="271">
        <v>0.23</v>
      </c>
      <c r="M379" s="242">
        <v>0.7</v>
      </c>
      <c r="N379" s="20">
        <v>0</v>
      </c>
      <c r="O379" s="20">
        <v>0</v>
      </c>
      <c r="P379" s="20">
        <v>0</v>
      </c>
      <c r="Q379" s="20">
        <v>0</v>
      </c>
      <c r="R379" s="20">
        <v>0</v>
      </c>
      <c r="S379" s="20">
        <v>0</v>
      </c>
      <c r="T379" s="20">
        <v>0</v>
      </c>
    </row>
    <row r="380" spans="1:20" x14ac:dyDescent="0.2">
      <c r="A380" s="20" t="s">
        <v>1882</v>
      </c>
      <c r="B380" s="403" t="s">
        <v>1554</v>
      </c>
      <c r="C380" s="20" t="str">
        <f t="shared" si="26"/>
        <v>TemperateEastern Asia</v>
      </c>
      <c r="D380" s="249"/>
      <c r="E380" s="257">
        <f t="shared" si="32"/>
        <v>0.38666666666666666</v>
      </c>
      <c r="F380" s="269"/>
      <c r="G380" s="264"/>
      <c r="H380" s="270">
        <v>0.23</v>
      </c>
      <c r="I380" s="276"/>
      <c r="J380" s="270"/>
      <c r="K380" s="271"/>
      <c r="L380" s="271">
        <v>0.23</v>
      </c>
      <c r="M380" s="242">
        <v>0.7</v>
      </c>
      <c r="N380" s="20">
        <v>0</v>
      </c>
      <c r="O380" s="20">
        <v>0</v>
      </c>
      <c r="P380" s="20">
        <v>0</v>
      </c>
      <c r="Q380" s="20">
        <v>0</v>
      </c>
      <c r="R380" s="20">
        <v>0</v>
      </c>
      <c r="S380" s="20">
        <v>0</v>
      </c>
      <c r="T380" s="20">
        <v>0</v>
      </c>
    </row>
    <row r="381" spans="1:20" x14ac:dyDescent="0.2">
      <c r="A381" s="20" t="s">
        <v>1882</v>
      </c>
      <c r="B381" s="403" t="s">
        <v>1563</v>
      </c>
      <c r="C381" s="20" t="str">
        <f t="shared" si="26"/>
        <v>TemperateSouth-eastern Asia</v>
      </c>
      <c r="D381" s="249"/>
      <c r="E381" s="257">
        <f t="shared" si="32"/>
        <v>0.38666666666666666</v>
      </c>
      <c r="F381" s="269"/>
      <c r="G381" s="264"/>
      <c r="H381" s="270">
        <v>0.23</v>
      </c>
      <c r="I381" s="276"/>
      <c r="J381" s="270"/>
      <c r="K381" s="271"/>
      <c r="L381" s="271">
        <v>0.23</v>
      </c>
      <c r="M381" s="242">
        <v>0.7</v>
      </c>
      <c r="N381" s="20">
        <v>0</v>
      </c>
      <c r="O381" s="20">
        <v>0</v>
      </c>
      <c r="P381" s="20">
        <v>0</v>
      </c>
      <c r="Q381" s="20">
        <v>0</v>
      </c>
      <c r="R381" s="20">
        <v>0</v>
      </c>
      <c r="S381" s="20">
        <v>0</v>
      </c>
      <c r="T381" s="20">
        <v>0</v>
      </c>
    </row>
    <row r="382" spans="1:20" x14ac:dyDescent="0.2">
      <c r="A382" s="20" t="s">
        <v>1882</v>
      </c>
      <c r="B382" s="403" t="s">
        <v>1567</v>
      </c>
      <c r="C382" s="20" t="str">
        <f t="shared" si="26"/>
        <v>TemperateSouthern Asia</v>
      </c>
      <c r="D382" s="249"/>
      <c r="E382" s="257">
        <f t="shared" si="32"/>
        <v>0.38666666666666666</v>
      </c>
      <c r="F382" s="269"/>
      <c r="G382" s="264"/>
      <c r="H382" s="270">
        <v>0.23</v>
      </c>
      <c r="I382" s="276"/>
      <c r="J382" s="270"/>
      <c r="K382" s="271"/>
      <c r="L382" s="271">
        <v>0.23</v>
      </c>
      <c r="M382" s="242">
        <v>0.7</v>
      </c>
      <c r="N382" s="20">
        <v>0</v>
      </c>
      <c r="O382" s="20">
        <v>0</v>
      </c>
      <c r="P382" s="20">
        <v>0</v>
      </c>
      <c r="Q382" s="20">
        <v>0</v>
      </c>
      <c r="R382" s="20">
        <v>0</v>
      </c>
      <c r="S382" s="20">
        <v>0</v>
      </c>
      <c r="T382" s="20">
        <v>0</v>
      </c>
    </row>
    <row r="383" spans="1:20" x14ac:dyDescent="0.2">
      <c r="A383" s="20" t="s">
        <v>1882</v>
      </c>
      <c r="B383" s="403" t="s">
        <v>1571</v>
      </c>
      <c r="C383" s="20" t="str">
        <f t="shared" si="26"/>
        <v>TemperateWestern Asia</v>
      </c>
      <c r="D383" s="249"/>
      <c r="E383" s="257">
        <f t="shared" si="32"/>
        <v>0.38666666666666666</v>
      </c>
      <c r="F383" s="269"/>
      <c r="G383" s="264"/>
      <c r="H383" s="270">
        <v>0.23</v>
      </c>
      <c r="I383" s="276"/>
      <c r="J383" s="270"/>
      <c r="K383" s="271"/>
      <c r="L383" s="271">
        <v>0.23</v>
      </c>
      <c r="M383" s="242">
        <v>0.7</v>
      </c>
      <c r="N383" s="20">
        <v>0</v>
      </c>
      <c r="O383" s="20">
        <v>0</v>
      </c>
      <c r="P383" s="20">
        <v>0</v>
      </c>
      <c r="Q383" s="20">
        <v>0</v>
      </c>
      <c r="R383" s="20">
        <v>0</v>
      </c>
      <c r="S383" s="20">
        <v>0</v>
      </c>
      <c r="T383" s="20">
        <v>0</v>
      </c>
    </row>
    <row r="384" spans="1:20" x14ac:dyDescent="0.2">
      <c r="A384" s="20" t="s">
        <v>1882</v>
      </c>
      <c r="B384" s="403" t="s">
        <v>1555</v>
      </c>
      <c r="C384" s="20" t="str">
        <f t="shared" si="26"/>
        <v>TemperateEurope</v>
      </c>
      <c r="D384" s="249"/>
      <c r="E384" s="257">
        <f t="shared" si="32"/>
        <v>0.38666666666666666</v>
      </c>
      <c r="F384" s="269"/>
      <c r="G384" s="264"/>
      <c r="H384" s="270">
        <v>0.23</v>
      </c>
      <c r="I384" s="276"/>
      <c r="J384" s="270"/>
      <c r="K384" s="271"/>
      <c r="L384" s="271">
        <v>0.23</v>
      </c>
      <c r="M384" s="242">
        <v>0.7</v>
      </c>
      <c r="N384" s="20">
        <v>0</v>
      </c>
      <c r="O384" s="20">
        <v>0</v>
      </c>
      <c r="P384" s="20">
        <v>0</v>
      </c>
      <c r="Q384" s="20">
        <v>0</v>
      </c>
      <c r="R384" s="20">
        <v>0</v>
      </c>
      <c r="S384" s="20">
        <v>0</v>
      </c>
      <c r="T384" s="20">
        <v>0</v>
      </c>
    </row>
    <row r="385" spans="1:20" x14ac:dyDescent="0.2">
      <c r="A385" s="20" t="s">
        <v>1882</v>
      </c>
      <c r="B385" s="403" t="s">
        <v>1346</v>
      </c>
      <c r="C385" s="20" t="str">
        <f t="shared" si="26"/>
        <v>TemperateOceania</v>
      </c>
      <c r="D385" s="249"/>
      <c r="E385" s="257">
        <f t="shared" si="32"/>
        <v>0.38666666666666666</v>
      </c>
      <c r="F385" s="269"/>
      <c r="G385" s="264"/>
      <c r="H385" s="270">
        <v>0.23</v>
      </c>
      <c r="I385" s="276"/>
      <c r="J385" s="270"/>
      <c r="K385" s="271"/>
      <c r="L385" s="271">
        <v>0.23</v>
      </c>
      <c r="M385" s="242">
        <v>0.7</v>
      </c>
      <c r="N385" s="20">
        <v>0</v>
      </c>
      <c r="O385" s="20">
        <v>0</v>
      </c>
      <c r="P385" s="20">
        <v>0</v>
      </c>
      <c r="Q385" s="20">
        <v>0</v>
      </c>
      <c r="R385" s="20">
        <v>0</v>
      </c>
      <c r="S385" s="20">
        <v>0</v>
      </c>
      <c r="T385" s="20">
        <v>0</v>
      </c>
    </row>
    <row r="386" spans="1:20" x14ac:dyDescent="0.2">
      <c r="A386" s="20" t="s">
        <v>1882</v>
      </c>
      <c r="B386" s="403" t="s">
        <v>1343</v>
      </c>
      <c r="C386" s="20" t="str">
        <f t="shared" si="26"/>
        <v>TemperateNorth America</v>
      </c>
      <c r="D386" s="249"/>
      <c r="E386" s="257">
        <f t="shared" si="32"/>
        <v>0.38666666666666666</v>
      </c>
      <c r="F386" s="269"/>
      <c r="G386" s="264"/>
      <c r="H386" s="270">
        <v>0.23</v>
      </c>
      <c r="I386" s="276"/>
      <c r="J386" s="270"/>
      <c r="K386" s="271"/>
      <c r="L386" s="271">
        <v>0.23</v>
      </c>
      <c r="M386" s="242">
        <v>0.7</v>
      </c>
      <c r="N386" s="20">
        <v>0</v>
      </c>
      <c r="O386" s="20">
        <v>0</v>
      </c>
      <c r="P386" s="20">
        <v>0</v>
      </c>
      <c r="Q386" s="20">
        <v>0</v>
      </c>
      <c r="R386" s="20">
        <v>0</v>
      </c>
      <c r="S386" s="20">
        <v>0</v>
      </c>
      <c r="T386" s="20">
        <v>0</v>
      </c>
    </row>
    <row r="387" spans="1:20" x14ac:dyDescent="0.2">
      <c r="A387" s="20" t="s">
        <v>1882</v>
      </c>
      <c r="B387" s="403" t="s">
        <v>1349</v>
      </c>
      <c r="C387" s="20" t="str">
        <f t="shared" si="26"/>
        <v>TemperateSouth America</v>
      </c>
      <c r="D387" s="249"/>
      <c r="E387" s="257">
        <f t="shared" si="32"/>
        <v>0.38666666666666666</v>
      </c>
      <c r="F387" s="269"/>
      <c r="G387" s="264"/>
      <c r="H387" s="270">
        <v>0.23</v>
      </c>
      <c r="I387" s="276"/>
      <c r="J387" s="270"/>
      <c r="K387" s="271"/>
      <c r="L387" s="271">
        <v>0.23</v>
      </c>
      <c r="M387" s="242">
        <v>0.7</v>
      </c>
      <c r="N387" s="20">
        <v>0</v>
      </c>
      <c r="O387" s="20">
        <v>0</v>
      </c>
      <c r="P387" s="20">
        <v>0</v>
      </c>
      <c r="Q387" s="20">
        <v>0</v>
      </c>
      <c r="R387" s="20">
        <v>0</v>
      </c>
      <c r="S387" s="20">
        <v>0</v>
      </c>
      <c r="T387" s="20">
        <v>0</v>
      </c>
    </row>
    <row r="388" spans="1:20" x14ac:dyDescent="0.2">
      <c r="A388" s="20" t="s">
        <v>1882</v>
      </c>
      <c r="B388" s="403" t="s">
        <v>1333</v>
      </c>
      <c r="C388" s="20" t="str">
        <f t="shared" si="26"/>
        <v>TemperateCentral America</v>
      </c>
      <c r="D388" s="249"/>
      <c r="E388" s="257">
        <f t="shared" si="32"/>
        <v>0.38666666666666666</v>
      </c>
      <c r="F388" s="269"/>
      <c r="G388" s="264"/>
      <c r="H388" s="270">
        <v>0.23</v>
      </c>
      <c r="I388" s="276"/>
      <c r="J388" s="270"/>
      <c r="K388" s="271"/>
      <c r="L388" s="271">
        <v>0.23</v>
      </c>
      <c r="M388" s="242">
        <v>0.7</v>
      </c>
      <c r="N388" s="20">
        <v>0</v>
      </c>
      <c r="O388" s="20">
        <v>0</v>
      </c>
      <c r="P388" s="20">
        <v>0</v>
      </c>
      <c r="Q388" s="20">
        <v>0</v>
      </c>
      <c r="R388" s="20">
        <v>0</v>
      </c>
      <c r="S388" s="20">
        <v>0</v>
      </c>
      <c r="T388" s="20">
        <v>0</v>
      </c>
    </row>
    <row r="389" spans="1:20" x14ac:dyDescent="0.2">
      <c r="A389" s="37" t="s">
        <v>1882</v>
      </c>
      <c r="B389" s="404" t="s">
        <v>1547</v>
      </c>
      <c r="C389" s="37" t="str">
        <f t="shared" si="26"/>
        <v>TemperateCaribbean</v>
      </c>
      <c r="D389" s="252"/>
      <c r="E389" s="258">
        <f t="shared" si="32"/>
        <v>0.38666666666666666</v>
      </c>
      <c r="F389" s="272"/>
      <c r="G389" s="265"/>
      <c r="H389" s="273">
        <v>0.23</v>
      </c>
      <c r="I389" s="277"/>
      <c r="J389" s="273"/>
      <c r="K389" s="271"/>
      <c r="L389" s="274">
        <v>0.23</v>
      </c>
      <c r="M389" s="243">
        <v>0.7</v>
      </c>
      <c r="N389" s="37">
        <v>0</v>
      </c>
      <c r="O389" s="37">
        <v>0</v>
      </c>
      <c r="P389" s="37">
        <v>0</v>
      </c>
      <c r="Q389" s="37">
        <v>0</v>
      </c>
      <c r="R389" s="37">
        <v>0</v>
      </c>
      <c r="S389" s="37">
        <v>0</v>
      </c>
      <c r="T389" s="37">
        <v>0</v>
      </c>
    </row>
    <row r="390" spans="1:20" x14ac:dyDescent="0.2">
      <c r="A390" s="63" t="s">
        <v>1487</v>
      </c>
      <c r="B390" s="413" t="s">
        <v>1552</v>
      </c>
      <c r="C390" s="63" t="str">
        <f t="shared" si="26"/>
        <v>Tropical DryEastern Africa</v>
      </c>
      <c r="D390" s="244"/>
      <c r="E390" s="299">
        <f>AVERAGE(F390:M390)</f>
        <v>0.84875</v>
      </c>
      <c r="F390" s="63">
        <v>0.45</v>
      </c>
      <c r="G390" s="63">
        <v>2.54</v>
      </c>
      <c r="H390" s="63">
        <v>0.12</v>
      </c>
      <c r="I390" s="63">
        <v>0.46</v>
      </c>
      <c r="J390" s="263">
        <v>0.21</v>
      </c>
      <c r="K390" s="267">
        <v>0.55000000000000004</v>
      </c>
      <c r="L390" s="281">
        <v>1.62</v>
      </c>
      <c r="M390" s="267">
        <v>0.84</v>
      </c>
      <c r="N390" s="63">
        <v>0</v>
      </c>
      <c r="O390" s="63">
        <v>0</v>
      </c>
      <c r="P390" s="63">
        <v>0</v>
      </c>
      <c r="Q390" s="63">
        <v>0</v>
      </c>
      <c r="R390" s="63">
        <v>0</v>
      </c>
      <c r="S390" s="63">
        <v>0</v>
      </c>
      <c r="T390" s="63">
        <v>0</v>
      </c>
    </row>
    <row r="391" spans="1:20" x14ac:dyDescent="0.2">
      <c r="A391" s="20" t="s">
        <v>1487</v>
      </c>
      <c r="B391" s="403" t="s">
        <v>1557</v>
      </c>
      <c r="C391" s="20" t="str">
        <f t="shared" si="26"/>
        <v>Tropical DryCentral Africa</v>
      </c>
      <c r="D391" s="297"/>
      <c r="E391" s="299">
        <f t="shared" ref="E391:E405" si="33">AVERAGE(F391:M391)</f>
        <v>0.84875</v>
      </c>
      <c r="F391" s="20">
        <v>0.45</v>
      </c>
      <c r="G391" s="20">
        <v>2.54</v>
      </c>
      <c r="H391" s="20">
        <v>0.12</v>
      </c>
      <c r="I391" s="20">
        <v>0.46</v>
      </c>
      <c r="J391" s="264">
        <v>0.21</v>
      </c>
      <c r="K391" s="270">
        <v>0.55000000000000004</v>
      </c>
      <c r="L391" s="279">
        <v>1.62</v>
      </c>
      <c r="M391" s="270">
        <v>0.84</v>
      </c>
      <c r="N391" s="20">
        <v>0</v>
      </c>
      <c r="O391" s="20">
        <v>0</v>
      </c>
      <c r="P391" s="20">
        <v>0</v>
      </c>
      <c r="Q391" s="20">
        <v>0</v>
      </c>
      <c r="R391" s="20">
        <v>0</v>
      </c>
      <c r="S391" s="20">
        <v>0</v>
      </c>
      <c r="T391" s="20">
        <v>0</v>
      </c>
    </row>
    <row r="392" spans="1:20" x14ac:dyDescent="0.2">
      <c r="A392" s="20" t="s">
        <v>1487</v>
      </c>
      <c r="B392" s="403" t="s">
        <v>1559</v>
      </c>
      <c r="C392" s="20" t="str">
        <f t="shared" si="26"/>
        <v>Tropical DryNorthern Africa</v>
      </c>
      <c r="D392" s="244"/>
      <c r="E392" s="299">
        <f t="shared" si="33"/>
        <v>0.84875</v>
      </c>
      <c r="F392" s="20">
        <v>0.45</v>
      </c>
      <c r="G392" s="20">
        <v>2.54</v>
      </c>
      <c r="H392" s="20">
        <v>0.12</v>
      </c>
      <c r="I392" s="20">
        <v>0.46</v>
      </c>
      <c r="J392" s="264">
        <v>0.21</v>
      </c>
      <c r="K392" s="270">
        <v>0.55000000000000004</v>
      </c>
      <c r="L392" s="279">
        <v>1.62</v>
      </c>
      <c r="M392" s="270">
        <v>0.84</v>
      </c>
      <c r="N392" s="20">
        <v>0</v>
      </c>
      <c r="O392" s="20">
        <v>0</v>
      </c>
      <c r="P392" s="20">
        <v>0</v>
      </c>
      <c r="Q392" s="20">
        <v>0</v>
      </c>
      <c r="R392" s="20">
        <v>0</v>
      </c>
      <c r="S392" s="20">
        <v>0</v>
      </c>
      <c r="T392" s="20">
        <v>0</v>
      </c>
    </row>
    <row r="393" spans="1:20" x14ac:dyDescent="0.2">
      <c r="A393" s="20" t="s">
        <v>1487</v>
      </c>
      <c r="B393" s="403" t="s">
        <v>1565</v>
      </c>
      <c r="C393" s="20" t="str">
        <f t="shared" si="26"/>
        <v>Tropical DrySouthern Africa</v>
      </c>
      <c r="D393" s="244"/>
      <c r="E393" s="299">
        <f t="shared" si="33"/>
        <v>0.84875</v>
      </c>
      <c r="F393" s="20">
        <v>0.45</v>
      </c>
      <c r="G393" s="20">
        <v>2.54</v>
      </c>
      <c r="H393" s="20">
        <v>0.12</v>
      </c>
      <c r="I393" s="20">
        <v>0.46</v>
      </c>
      <c r="J393" s="264">
        <v>0.21</v>
      </c>
      <c r="K393" s="270">
        <v>0.55000000000000004</v>
      </c>
      <c r="L393" s="279">
        <v>1.62</v>
      </c>
      <c r="M393" s="270">
        <v>0.84</v>
      </c>
      <c r="N393" s="20">
        <v>0</v>
      </c>
      <c r="O393" s="20">
        <v>0</v>
      </c>
      <c r="P393" s="20">
        <v>0</v>
      </c>
      <c r="Q393" s="20">
        <v>0</v>
      </c>
      <c r="R393" s="20">
        <v>0</v>
      </c>
      <c r="S393" s="20">
        <v>0</v>
      </c>
      <c r="T393" s="20">
        <v>0</v>
      </c>
    </row>
    <row r="394" spans="1:20" x14ac:dyDescent="0.2">
      <c r="A394" s="20" t="s">
        <v>1487</v>
      </c>
      <c r="B394" s="403" t="s">
        <v>1569</v>
      </c>
      <c r="C394" s="20" t="str">
        <f t="shared" si="26"/>
        <v>Tropical DryWestern Africa</v>
      </c>
      <c r="D394" s="244"/>
      <c r="E394" s="299">
        <f t="shared" si="33"/>
        <v>0.84875</v>
      </c>
      <c r="F394" s="20">
        <v>0.45</v>
      </c>
      <c r="G394" s="20">
        <v>2.54</v>
      </c>
      <c r="H394" s="20">
        <v>0.12</v>
      </c>
      <c r="I394" s="20">
        <v>0.46</v>
      </c>
      <c r="J394" s="264">
        <v>0.21</v>
      </c>
      <c r="K394" s="270">
        <v>0.55000000000000004</v>
      </c>
      <c r="L394" s="279">
        <v>1.62</v>
      </c>
      <c r="M394" s="270">
        <v>0.84</v>
      </c>
      <c r="N394" s="20">
        <v>0</v>
      </c>
      <c r="O394" s="20">
        <v>0</v>
      </c>
      <c r="P394" s="20">
        <v>0</v>
      </c>
      <c r="Q394" s="20">
        <v>0</v>
      </c>
      <c r="R394" s="20">
        <v>0</v>
      </c>
      <c r="S394" s="20">
        <v>0</v>
      </c>
      <c r="T394" s="20">
        <v>0</v>
      </c>
    </row>
    <row r="395" spans="1:20" x14ac:dyDescent="0.2">
      <c r="A395" s="20" t="s">
        <v>1487</v>
      </c>
      <c r="B395" s="403" t="s">
        <v>1550</v>
      </c>
      <c r="C395" s="20" t="str">
        <f t="shared" si="26"/>
        <v>Tropical DryCentral Asia</v>
      </c>
      <c r="D395" s="244"/>
      <c r="E395" s="299">
        <f t="shared" si="33"/>
        <v>0.625</v>
      </c>
      <c r="F395" s="20">
        <v>0.67</v>
      </c>
      <c r="G395" s="20">
        <v>0.53</v>
      </c>
      <c r="H395" s="270">
        <v>0.12</v>
      </c>
      <c r="I395" s="270">
        <v>0.46</v>
      </c>
      <c r="J395" s="271">
        <v>0.21</v>
      </c>
      <c r="K395" s="270">
        <v>0.55000000000000004</v>
      </c>
      <c r="L395" s="21">
        <v>1.62</v>
      </c>
      <c r="M395" s="20">
        <v>0.84</v>
      </c>
      <c r="N395" s="20">
        <v>0</v>
      </c>
      <c r="O395" s="20">
        <v>0</v>
      </c>
      <c r="P395" s="20">
        <v>0</v>
      </c>
      <c r="Q395" s="20">
        <v>0</v>
      </c>
      <c r="R395" s="20">
        <v>0</v>
      </c>
      <c r="S395" s="20">
        <v>0</v>
      </c>
      <c r="T395" s="20">
        <v>0</v>
      </c>
    </row>
    <row r="396" spans="1:20" x14ac:dyDescent="0.2">
      <c r="A396" s="20" t="s">
        <v>1487</v>
      </c>
      <c r="B396" s="403" t="s">
        <v>1554</v>
      </c>
      <c r="C396" s="20" t="str">
        <f t="shared" si="26"/>
        <v>Tropical DryEastern Asia</v>
      </c>
      <c r="D396" s="244"/>
      <c r="E396" s="299">
        <f t="shared" si="33"/>
        <v>0.625</v>
      </c>
      <c r="F396" s="20">
        <v>0.67</v>
      </c>
      <c r="G396" s="20">
        <v>0.53</v>
      </c>
      <c r="H396" s="270">
        <v>0.12</v>
      </c>
      <c r="I396" s="270">
        <v>0.46</v>
      </c>
      <c r="J396" s="271">
        <v>0.21</v>
      </c>
      <c r="K396" s="270">
        <v>0.55000000000000004</v>
      </c>
      <c r="L396" s="21">
        <v>1.62</v>
      </c>
      <c r="M396" s="20">
        <v>0.84</v>
      </c>
      <c r="N396" s="20">
        <v>0</v>
      </c>
      <c r="O396" s="20">
        <v>0</v>
      </c>
      <c r="P396" s="20">
        <v>0</v>
      </c>
      <c r="Q396" s="20">
        <v>0</v>
      </c>
      <c r="R396" s="20">
        <v>0</v>
      </c>
      <c r="S396" s="20">
        <v>0</v>
      </c>
      <c r="T396" s="20">
        <v>0</v>
      </c>
    </row>
    <row r="397" spans="1:20" x14ac:dyDescent="0.2">
      <c r="A397" s="20" t="s">
        <v>1487</v>
      </c>
      <c r="B397" s="403" t="s">
        <v>1563</v>
      </c>
      <c r="C397" s="20" t="str">
        <f t="shared" si="26"/>
        <v>Tropical DrySouth-eastern Asia</v>
      </c>
      <c r="D397" s="244"/>
      <c r="E397" s="299">
        <f t="shared" si="33"/>
        <v>0.625</v>
      </c>
      <c r="F397" s="20">
        <v>0.67</v>
      </c>
      <c r="G397" s="20">
        <v>0.53</v>
      </c>
      <c r="H397" s="270">
        <v>0.12</v>
      </c>
      <c r="I397" s="270">
        <v>0.46</v>
      </c>
      <c r="J397" s="271">
        <v>0.21</v>
      </c>
      <c r="K397" s="270">
        <v>0.55000000000000004</v>
      </c>
      <c r="L397" s="21">
        <v>1.62</v>
      </c>
      <c r="M397" s="20">
        <v>0.84</v>
      </c>
      <c r="N397" s="20">
        <v>0</v>
      </c>
      <c r="O397" s="20">
        <v>0</v>
      </c>
      <c r="P397" s="20">
        <v>0</v>
      </c>
      <c r="Q397" s="20">
        <v>0</v>
      </c>
      <c r="R397" s="20">
        <v>0</v>
      </c>
      <c r="S397" s="20">
        <v>0</v>
      </c>
      <c r="T397" s="20">
        <v>0</v>
      </c>
    </row>
    <row r="398" spans="1:20" x14ac:dyDescent="0.2">
      <c r="A398" s="20" t="s">
        <v>1487</v>
      </c>
      <c r="B398" s="403" t="s">
        <v>1567</v>
      </c>
      <c r="C398" s="20" t="str">
        <f t="shared" si="26"/>
        <v>Tropical DrySouthern Asia</v>
      </c>
      <c r="D398" s="244"/>
      <c r="E398" s="299">
        <f t="shared" si="33"/>
        <v>0.625</v>
      </c>
      <c r="F398" s="20">
        <v>0.67</v>
      </c>
      <c r="G398" s="20">
        <v>0.53</v>
      </c>
      <c r="H398" s="270">
        <v>0.12</v>
      </c>
      <c r="I398" s="270">
        <v>0.46</v>
      </c>
      <c r="J398" s="271">
        <v>0.21</v>
      </c>
      <c r="K398" s="270">
        <v>0.55000000000000004</v>
      </c>
      <c r="L398" s="21">
        <v>1.62</v>
      </c>
      <c r="M398" s="20">
        <v>0.84</v>
      </c>
      <c r="N398" s="20">
        <v>0</v>
      </c>
      <c r="O398" s="20">
        <v>0</v>
      </c>
      <c r="P398" s="20">
        <v>0</v>
      </c>
      <c r="Q398" s="20">
        <v>0</v>
      </c>
      <c r="R398" s="20">
        <v>0</v>
      </c>
      <c r="S398" s="20">
        <v>0</v>
      </c>
      <c r="T398" s="20">
        <v>0</v>
      </c>
    </row>
    <row r="399" spans="1:20" x14ac:dyDescent="0.2">
      <c r="A399" s="20" t="s">
        <v>1487</v>
      </c>
      <c r="B399" s="403" t="s">
        <v>1571</v>
      </c>
      <c r="C399" s="20" t="str">
        <f t="shared" si="26"/>
        <v>Tropical DryWestern Asia</v>
      </c>
      <c r="D399" s="244"/>
      <c r="E399" s="299">
        <f t="shared" si="33"/>
        <v>0.625</v>
      </c>
      <c r="F399" s="20">
        <v>0.67</v>
      </c>
      <c r="G399" s="20">
        <v>0.53</v>
      </c>
      <c r="H399" s="270">
        <v>0.12</v>
      </c>
      <c r="I399" s="270">
        <v>0.46</v>
      </c>
      <c r="J399" s="271">
        <v>0.21</v>
      </c>
      <c r="K399" s="270">
        <v>0.55000000000000004</v>
      </c>
      <c r="L399" s="21">
        <v>1.62</v>
      </c>
      <c r="M399" s="20">
        <v>0.84</v>
      </c>
      <c r="N399" s="20">
        <v>0</v>
      </c>
      <c r="O399" s="20">
        <v>0</v>
      </c>
      <c r="P399" s="20">
        <v>0</v>
      </c>
      <c r="Q399" s="20">
        <v>0</v>
      </c>
      <c r="R399" s="20">
        <v>0</v>
      </c>
      <c r="S399" s="20">
        <v>0</v>
      </c>
      <c r="T399" s="20">
        <v>0</v>
      </c>
    </row>
    <row r="400" spans="1:20" x14ac:dyDescent="0.2">
      <c r="A400" s="20" t="s">
        <v>1487</v>
      </c>
      <c r="B400" s="403" t="s">
        <v>1555</v>
      </c>
      <c r="C400" s="20" t="str">
        <f t="shared" si="26"/>
        <v>Tropical DryEurope</v>
      </c>
      <c r="D400" s="244"/>
      <c r="E400" s="299">
        <f t="shared" si="33"/>
        <v>0.78625</v>
      </c>
      <c r="F400" s="270">
        <v>0.54</v>
      </c>
      <c r="G400" s="270">
        <v>1.95</v>
      </c>
      <c r="H400" s="270">
        <v>0.12</v>
      </c>
      <c r="I400" s="270">
        <v>0.46</v>
      </c>
      <c r="J400" s="271">
        <v>0.21</v>
      </c>
      <c r="K400" s="270">
        <v>0.55000000000000004</v>
      </c>
      <c r="L400" s="279">
        <v>1.62</v>
      </c>
      <c r="M400" s="270">
        <v>0.84</v>
      </c>
      <c r="N400" s="20">
        <v>0</v>
      </c>
      <c r="O400" s="20">
        <v>0</v>
      </c>
      <c r="P400" s="20">
        <v>0</v>
      </c>
      <c r="Q400" s="20">
        <v>0</v>
      </c>
      <c r="R400" s="20">
        <v>0</v>
      </c>
      <c r="S400" s="20">
        <v>0</v>
      </c>
      <c r="T400" s="20">
        <v>0</v>
      </c>
    </row>
    <row r="401" spans="1:20" x14ac:dyDescent="0.2">
      <c r="A401" s="20" t="s">
        <v>1487</v>
      </c>
      <c r="B401" s="403" t="s">
        <v>1346</v>
      </c>
      <c r="C401" s="20" t="str">
        <f t="shared" si="26"/>
        <v>Tropical DryOceania</v>
      </c>
      <c r="D401" s="244"/>
      <c r="E401" s="299">
        <f t="shared" si="33"/>
        <v>0.78625</v>
      </c>
      <c r="F401" s="270">
        <v>0.54</v>
      </c>
      <c r="G401" s="270">
        <v>1.95</v>
      </c>
      <c r="H401" s="270">
        <v>0.12</v>
      </c>
      <c r="I401" s="270">
        <v>0.46</v>
      </c>
      <c r="J401" s="271">
        <v>0.21</v>
      </c>
      <c r="K401" s="270">
        <v>0.55000000000000004</v>
      </c>
      <c r="L401" s="279">
        <v>1.62</v>
      </c>
      <c r="M401" s="270">
        <v>0.84</v>
      </c>
      <c r="N401" s="20">
        <v>0</v>
      </c>
      <c r="O401" s="20">
        <v>0</v>
      </c>
      <c r="P401" s="20">
        <v>0</v>
      </c>
      <c r="Q401" s="20">
        <v>0</v>
      </c>
      <c r="R401" s="20">
        <v>0</v>
      </c>
      <c r="S401" s="20">
        <v>0</v>
      </c>
      <c r="T401" s="20">
        <v>0</v>
      </c>
    </row>
    <row r="402" spans="1:20" x14ac:dyDescent="0.2">
      <c r="A402" s="20" t="s">
        <v>1487</v>
      </c>
      <c r="B402" s="403" t="s">
        <v>1343</v>
      </c>
      <c r="C402" s="20" t="str">
        <f t="shared" si="26"/>
        <v>Tropical DryNorth America</v>
      </c>
      <c r="D402" s="244"/>
      <c r="E402" s="299">
        <f t="shared" si="33"/>
        <v>0.78625</v>
      </c>
      <c r="F402" s="270">
        <v>0.54</v>
      </c>
      <c r="G402" s="270">
        <v>1.95</v>
      </c>
      <c r="H402" s="270">
        <v>0.12</v>
      </c>
      <c r="I402" s="270">
        <v>0.46</v>
      </c>
      <c r="J402" s="271">
        <v>0.21</v>
      </c>
      <c r="K402" s="270">
        <v>0.55000000000000004</v>
      </c>
      <c r="L402" s="279">
        <v>1.62</v>
      </c>
      <c r="M402" s="270">
        <v>0.84</v>
      </c>
      <c r="N402" s="20">
        <v>0</v>
      </c>
      <c r="O402" s="20">
        <v>0</v>
      </c>
      <c r="P402" s="20">
        <v>0</v>
      </c>
      <c r="Q402" s="20">
        <v>0</v>
      </c>
      <c r="R402" s="20">
        <v>0</v>
      </c>
      <c r="S402" s="20">
        <v>0</v>
      </c>
      <c r="T402" s="20">
        <v>0</v>
      </c>
    </row>
    <row r="403" spans="1:20" x14ac:dyDescent="0.2">
      <c r="A403" s="20" t="s">
        <v>1487</v>
      </c>
      <c r="B403" s="403" t="s">
        <v>1349</v>
      </c>
      <c r="C403" s="20" t="str">
        <f t="shared" si="26"/>
        <v>Tropical DrySouth America</v>
      </c>
      <c r="D403" s="244"/>
      <c r="E403" s="299">
        <f t="shared" si="33"/>
        <v>0.78625</v>
      </c>
      <c r="F403" s="270">
        <v>0.54</v>
      </c>
      <c r="G403" s="270">
        <v>1.95</v>
      </c>
      <c r="H403" s="270">
        <v>0.12</v>
      </c>
      <c r="I403" s="270">
        <v>0.46</v>
      </c>
      <c r="J403" s="271">
        <v>0.21</v>
      </c>
      <c r="K403" s="270">
        <v>0.55000000000000004</v>
      </c>
      <c r="L403" s="279">
        <v>1.62</v>
      </c>
      <c r="M403" s="270">
        <v>0.84</v>
      </c>
      <c r="N403" s="20">
        <v>0</v>
      </c>
      <c r="O403" s="20">
        <v>0</v>
      </c>
      <c r="P403" s="20">
        <v>0</v>
      </c>
      <c r="Q403" s="20">
        <v>0</v>
      </c>
      <c r="R403" s="20">
        <v>0</v>
      </c>
      <c r="S403" s="20">
        <v>0</v>
      </c>
      <c r="T403" s="20">
        <v>0</v>
      </c>
    </row>
    <row r="404" spans="1:20" x14ac:dyDescent="0.2">
      <c r="A404" s="20" t="s">
        <v>1487</v>
      </c>
      <c r="B404" s="403" t="s">
        <v>1333</v>
      </c>
      <c r="C404" s="20" t="str">
        <f t="shared" si="26"/>
        <v>Tropical DryCentral America</v>
      </c>
      <c r="D404" s="244"/>
      <c r="E404" s="299">
        <f t="shared" si="33"/>
        <v>0.78625</v>
      </c>
      <c r="F404" s="270">
        <v>0.54</v>
      </c>
      <c r="G404" s="270">
        <v>1.95</v>
      </c>
      <c r="H404" s="270">
        <v>0.12</v>
      </c>
      <c r="I404" s="270">
        <v>0.46</v>
      </c>
      <c r="J404" s="271">
        <v>0.21</v>
      </c>
      <c r="K404" s="270">
        <v>0.55000000000000004</v>
      </c>
      <c r="L404" s="279">
        <v>1.62</v>
      </c>
      <c r="M404" s="270">
        <v>0.84</v>
      </c>
      <c r="N404" s="20">
        <v>0</v>
      </c>
      <c r="O404" s="20">
        <v>0</v>
      </c>
      <c r="P404" s="20">
        <v>0</v>
      </c>
      <c r="Q404" s="20">
        <v>0</v>
      </c>
      <c r="R404" s="20">
        <v>0</v>
      </c>
      <c r="S404" s="20">
        <v>0</v>
      </c>
      <c r="T404" s="20">
        <v>0</v>
      </c>
    </row>
    <row r="405" spans="1:20" x14ac:dyDescent="0.2">
      <c r="A405" s="37" t="s">
        <v>1487</v>
      </c>
      <c r="B405" s="404" t="s">
        <v>1547</v>
      </c>
      <c r="C405" s="20" t="str">
        <f t="shared" si="26"/>
        <v>Tropical DryCaribbean</v>
      </c>
      <c r="D405" s="244"/>
      <c r="E405" s="299">
        <f t="shared" si="33"/>
        <v>0.78625</v>
      </c>
      <c r="F405" s="270">
        <v>0.54</v>
      </c>
      <c r="G405" s="270">
        <v>1.95</v>
      </c>
      <c r="H405" s="270">
        <v>0.12</v>
      </c>
      <c r="I405" s="270">
        <v>0.46</v>
      </c>
      <c r="J405" s="271">
        <v>0.21</v>
      </c>
      <c r="K405" s="273">
        <v>0.55000000000000004</v>
      </c>
      <c r="L405" s="279">
        <v>1.62</v>
      </c>
      <c r="M405" s="270">
        <v>0.84</v>
      </c>
      <c r="N405" s="37">
        <v>0</v>
      </c>
      <c r="O405" s="37">
        <v>0</v>
      </c>
      <c r="P405" s="37">
        <v>0</v>
      </c>
      <c r="Q405" s="37">
        <v>0</v>
      </c>
      <c r="R405" s="37">
        <v>0</v>
      </c>
      <c r="S405" s="37">
        <v>0</v>
      </c>
      <c r="T405" s="37">
        <v>0</v>
      </c>
    </row>
    <row r="406" spans="1:20" x14ac:dyDescent="0.2">
      <c r="A406" s="63" t="s">
        <v>1488</v>
      </c>
      <c r="B406" s="413" t="s">
        <v>1552</v>
      </c>
      <c r="C406" s="263" t="str">
        <f t="shared" si="26"/>
        <v>Tropical MoistEastern Africa</v>
      </c>
      <c r="D406" s="248"/>
      <c r="E406" s="256">
        <f>AVERAGE(F406:M406)</f>
        <v>0.66874999999999996</v>
      </c>
      <c r="F406" s="291">
        <v>0.59</v>
      </c>
      <c r="G406" s="268">
        <v>1.27</v>
      </c>
      <c r="H406" s="267">
        <v>0.11</v>
      </c>
      <c r="I406" s="291">
        <v>0.72</v>
      </c>
      <c r="J406" s="267">
        <v>0.21</v>
      </c>
      <c r="K406" s="21">
        <v>0.44</v>
      </c>
      <c r="L406" s="263">
        <v>1.22</v>
      </c>
      <c r="M406" s="267">
        <v>0.79</v>
      </c>
      <c r="N406" s="63">
        <v>0</v>
      </c>
      <c r="O406" s="63">
        <v>0</v>
      </c>
      <c r="P406" s="63">
        <v>0</v>
      </c>
      <c r="Q406" s="63">
        <v>0</v>
      </c>
      <c r="R406" s="63">
        <v>0</v>
      </c>
      <c r="S406" s="63">
        <v>0</v>
      </c>
      <c r="T406" s="63">
        <v>0</v>
      </c>
    </row>
    <row r="407" spans="1:20" x14ac:dyDescent="0.2">
      <c r="A407" s="20" t="s">
        <v>1488</v>
      </c>
      <c r="B407" s="403" t="s">
        <v>1557</v>
      </c>
      <c r="C407" s="264" t="str">
        <f t="shared" ref="C407:C470" si="34">CONCATENATE(A407,B407)</f>
        <v>Tropical MoistCentral Africa</v>
      </c>
      <c r="D407" s="249"/>
      <c r="E407" s="257">
        <f t="shared" ref="E407:E421" si="35">AVERAGE(F407:M407)</f>
        <v>0.66874999999999996</v>
      </c>
      <c r="F407" s="21">
        <v>0.59</v>
      </c>
      <c r="G407" s="271">
        <v>1.27</v>
      </c>
      <c r="H407" s="270">
        <v>0.11</v>
      </c>
      <c r="I407" s="21">
        <v>0.72</v>
      </c>
      <c r="J407" s="270">
        <v>0.21</v>
      </c>
      <c r="K407" s="21">
        <v>0.44</v>
      </c>
      <c r="L407" s="264">
        <v>1.22</v>
      </c>
      <c r="M407" s="270">
        <v>0.79</v>
      </c>
      <c r="N407" s="20">
        <v>0</v>
      </c>
      <c r="O407" s="20">
        <v>0</v>
      </c>
      <c r="P407" s="20">
        <v>0</v>
      </c>
      <c r="Q407" s="20">
        <v>0</v>
      </c>
      <c r="R407" s="20">
        <v>0</v>
      </c>
      <c r="S407" s="20">
        <v>0</v>
      </c>
      <c r="T407" s="20">
        <v>0</v>
      </c>
    </row>
    <row r="408" spans="1:20" x14ac:dyDescent="0.2">
      <c r="A408" s="20" t="s">
        <v>1488</v>
      </c>
      <c r="B408" s="403" t="s">
        <v>1559</v>
      </c>
      <c r="C408" s="264" t="str">
        <f t="shared" si="34"/>
        <v>Tropical MoistNorthern Africa</v>
      </c>
      <c r="D408" s="249"/>
      <c r="E408" s="257">
        <f t="shared" si="35"/>
        <v>0.66874999999999996</v>
      </c>
      <c r="F408" s="21">
        <v>0.59</v>
      </c>
      <c r="G408" s="271">
        <v>1.27</v>
      </c>
      <c r="H408" s="270">
        <v>0.11</v>
      </c>
      <c r="I408" s="21">
        <v>0.72</v>
      </c>
      <c r="J408" s="270">
        <v>0.21</v>
      </c>
      <c r="K408" s="21">
        <v>0.44</v>
      </c>
      <c r="L408" s="264">
        <v>1.22</v>
      </c>
      <c r="M408" s="270">
        <v>0.79</v>
      </c>
      <c r="N408" s="20">
        <v>0</v>
      </c>
      <c r="O408" s="20">
        <v>0</v>
      </c>
      <c r="P408" s="20">
        <v>0</v>
      </c>
      <c r="Q408" s="20">
        <v>0</v>
      </c>
      <c r="R408" s="20">
        <v>0</v>
      </c>
      <c r="S408" s="20">
        <v>0</v>
      </c>
      <c r="T408" s="20">
        <v>0</v>
      </c>
    </row>
    <row r="409" spans="1:20" x14ac:dyDescent="0.2">
      <c r="A409" s="20" t="s">
        <v>1488</v>
      </c>
      <c r="B409" s="403" t="s">
        <v>1565</v>
      </c>
      <c r="C409" s="264" t="str">
        <f t="shared" si="34"/>
        <v>Tropical MoistSouthern Africa</v>
      </c>
      <c r="D409" s="249"/>
      <c r="E409" s="257">
        <f t="shared" si="35"/>
        <v>0.66874999999999996</v>
      </c>
      <c r="F409" s="21">
        <v>0.59</v>
      </c>
      <c r="G409" s="271">
        <v>1.27</v>
      </c>
      <c r="H409" s="270">
        <v>0.11</v>
      </c>
      <c r="I409" s="21">
        <v>0.72</v>
      </c>
      <c r="J409" s="270">
        <v>0.21</v>
      </c>
      <c r="K409" s="21">
        <v>0.44</v>
      </c>
      <c r="L409" s="264">
        <v>1.22</v>
      </c>
      <c r="M409" s="270">
        <v>0.79</v>
      </c>
      <c r="N409" s="20">
        <v>0</v>
      </c>
      <c r="O409" s="20">
        <v>0</v>
      </c>
      <c r="P409" s="20">
        <v>0</v>
      </c>
      <c r="Q409" s="20">
        <v>0</v>
      </c>
      <c r="R409" s="20">
        <v>0</v>
      </c>
      <c r="S409" s="20">
        <v>0</v>
      </c>
      <c r="T409" s="20">
        <v>0</v>
      </c>
    </row>
    <row r="410" spans="1:20" x14ac:dyDescent="0.2">
      <c r="A410" s="20" t="s">
        <v>1488</v>
      </c>
      <c r="B410" s="403" t="s">
        <v>1569</v>
      </c>
      <c r="C410" s="264" t="str">
        <f t="shared" si="34"/>
        <v>Tropical MoistWestern Africa</v>
      </c>
      <c r="D410" s="249"/>
      <c r="E410" s="257">
        <f t="shared" si="35"/>
        <v>0.66874999999999996</v>
      </c>
      <c r="F410" s="21">
        <v>0.59</v>
      </c>
      <c r="G410" s="271">
        <v>1.27</v>
      </c>
      <c r="H410" s="270">
        <v>0.11</v>
      </c>
      <c r="I410" s="21">
        <v>0.72</v>
      </c>
      <c r="J410" s="270">
        <v>0.21</v>
      </c>
      <c r="K410" s="21">
        <v>0.44</v>
      </c>
      <c r="L410" s="264">
        <v>1.22</v>
      </c>
      <c r="M410" s="270">
        <v>0.79</v>
      </c>
      <c r="N410" s="20">
        <v>0</v>
      </c>
      <c r="O410" s="20">
        <v>0</v>
      </c>
      <c r="P410" s="20">
        <v>0</v>
      </c>
      <c r="Q410" s="20">
        <v>0</v>
      </c>
      <c r="R410" s="20">
        <v>0</v>
      </c>
      <c r="S410" s="20">
        <v>0</v>
      </c>
      <c r="T410" s="20">
        <v>0</v>
      </c>
    </row>
    <row r="411" spans="1:20" x14ac:dyDescent="0.2">
      <c r="A411" s="20" t="s">
        <v>1488</v>
      </c>
      <c r="B411" s="403" t="s">
        <v>1550</v>
      </c>
      <c r="C411" s="264" t="str">
        <f t="shared" si="34"/>
        <v>Tropical MoistCentral Asia</v>
      </c>
      <c r="D411" s="249"/>
      <c r="E411" s="257">
        <f>AVERAGE(F411:M411)</f>
        <v>0.56750000000000012</v>
      </c>
      <c r="F411" s="279">
        <v>0.57999999999999996</v>
      </c>
      <c r="G411" s="264">
        <v>1.27</v>
      </c>
      <c r="H411" s="270">
        <v>0.11</v>
      </c>
      <c r="I411" s="21">
        <v>0.73</v>
      </c>
      <c r="J411" s="270">
        <v>0.21</v>
      </c>
      <c r="K411" s="251">
        <v>0.5</v>
      </c>
      <c r="L411" s="264">
        <v>0.35</v>
      </c>
      <c r="M411" s="270">
        <v>0.79</v>
      </c>
      <c r="N411" s="20">
        <v>0</v>
      </c>
      <c r="O411" s="20">
        <v>0</v>
      </c>
      <c r="P411" s="20">
        <v>0</v>
      </c>
      <c r="Q411" s="20">
        <v>0</v>
      </c>
      <c r="R411" s="20">
        <v>0</v>
      </c>
      <c r="S411" s="20">
        <v>0</v>
      </c>
      <c r="T411" s="20">
        <v>0</v>
      </c>
    </row>
    <row r="412" spans="1:20" x14ac:dyDescent="0.2">
      <c r="A412" s="20" t="s">
        <v>1488</v>
      </c>
      <c r="B412" s="403" t="s">
        <v>1554</v>
      </c>
      <c r="C412" s="264" t="str">
        <f t="shared" si="34"/>
        <v>Tropical MoistEastern Asia</v>
      </c>
      <c r="D412" s="249"/>
      <c r="E412" s="257">
        <f t="shared" si="35"/>
        <v>0.56750000000000012</v>
      </c>
      <c r="F412" s="279">
        <v>0.57999999999999996</v>
      </c>
      <c r="G412" s="264">
        <v>1.27</v>
      </c>
      <c r="H412" s="270">
        <v>0.11</v>
      </c>
      <c r="I412" s="21">
        <v>0.73</v>
      </c>
      <c r="J412" s="270">
        <v>0.21</v>
      </c>
      <c r="K412" s="251">
        <v>0.5</v>
      </c>
      <c r="L412" s="264">
        <v>0.35</v>
      </c>
      <c r="M412" s="270">
        <v>0.79</v>
      </c>
      <c r="N412" s="20">
        <v>0</v>
      </c>
      <c r="O412" s="20">
        <v>0</v>
      </c>
      <c r="P412" s="20">
        <v>0</v>
      </c>
      <c r="Q412" s="20">
        <v>0</v>
      </c>
      <c r="R412" s="20">
        <v>0</v>
      </c>
      <c r="S412" s="20">
        <v>0</v>
      </c>
      <c r="T412" s="20">
        <v>0</v>
      </c>
    </row>
    <row r="413" spans="1:20" x14ac:dyDescent="0.2">
      <c r="A413" s="20" t="s">
        <v>1488</v>
      </c>
      <c r="B413" s="403" t="s">
        <v>1563</v>
      </c>
      <c r="C413" s="264" t="str">
        <f t="shared" si="34"/>
        <v>Tropical MoistSouth-eastern Asia</v>
      </c>
      <c r="D413" s="249"/>
      <c r="E413" s="257">
        <f t="shared" si="35"/>
        <v>0.56750000000000012</v>
      </c>
      <c r="F413" s="279">
        <v>0.57999999999999996</v>
      </c>
      <c r="G413" s="264">
        <v>1.27</v>
      </c>
      <c r="H413" s="270">
        <v>0.11</v>
      </c>
      <c r="I413" s="21">
        <v>0.73</v>
      </c>
      <c r="J413" s="270">
        <v>0.21</v>
      </c>
      <c r="K413" s="251">
        <v>0.5</v>
      </c>
      <c r="L413" s="264">
        <v>0.35</v>
      </c>
      <c r="M413" s="270">
        <v>0.79</v>
      </c>
      <c r="N413" s="20">
        <v>0</v>
      </c>
      <c r="O413" s="20">
        <v>0</v>
      </c>
      <c r="P413" s="20">
        <v>0</v>
      </c>
      <c r="Q413" s="20">
        <v>0</v>
      </c>
      <c r="R413" s="20">
        <v>0</v>
      </c>
      <c r="S413" s="20">
        <v>0</v>
      </c>
      <c r="T413" s="20">
        <v>0</v>
      </c>
    </row>
    <row r="414" spans="1:20" x14ac:dyDescent="0.2">
      <c r="A414" s="20" t="s">
        <v>1488</v>
      </c>
      <c r="B414" s="403" t="s">
        <v>1567</v>
      </c>
      <c r="C414" s="264" t="str">
        <f t="shared" si="34"/>
        <v>Tropical MoistSouthern Asia</v>
      </c>
      <c r="D414" s="249"/>
      <c r="E414" s="257">
        <f t="shared" si="35"/>
        <v>0.56750000000000012</v>
      </c>
      <c r="F414" s="279">
        <v>0.57999999999999996</v>
      </c>
      <c r="G414" s="264">
        <v>1.27</v>
      </c>
      <c r="H414" s="270">
        <v>0.11</v>
      </c>
      <c r="I414" s="21">
        <v>0.73</v>
      </c>
      <c r="J414" s="270">
        <v>0.21</v>
      </c>
      <c r="K414" s="251">
        <v>0.5</v>
      </c>
      <c r="L414" s="264">
        <v>0.35</v>
      </c>
      <c r="M414" s="270">
        <v>0.79</v>
      </c>
      <c r="N414" s="20">
        <v>0</v>
      </c>
      <c r="O414" s="20">
        <v>0</v>
      </c>
      <c r="P414" s="20">
        <v>0</v>
      </c>
      <c r="Q414" s="20">
        <v>0</v>
      </c>
      <c r="R414" s="20">
        <v>0</v>
      </c>
      <c r="S414" s="20">
        <v>0</v>
      </c>
      <c r="T414" s="20">
        <v>0</v>
      </c>
    </row>
    <row r="415" spans="1:20" x14ac:dyDescent="0.2">
      <c r="A415" s="20" t="s">
        <v>1488</v>
      </c>
      <c r="B415" s="403" t="s">
        <v>1571</v>
      </c>
      <c r="C415" s="264" t="str">
        <f t="shared" si="34"/>
        <v>Tropical MoistWestern Asia</v>
      </c>
      <c r="D415" s="249"/>
      <c r="E415" s="257">
        <f t="shared" si="35"/>
        <v>0.56750000000000012</v>
      </c>
      <c r="F415" s="279">
        <v>0.57999999999999996</v>
      </c>
      <c r="G415" s="264">
        <v>1.27</v>
      </c>
      <c r="H415" s="270">
        <v>0.11</v>
      </c>
      <c r="I415" s="21">
        <v>0.73</v>
      </c>
      <c r="J415" s="270">
        <v>0.21</v>
      </c>
      <c r="K415" s="251">
        <v>0.5</v>
      </c>
      <c r="L415" s="264">
        <v>0.35</v>
      </c>
      <c r="M415" s="270">
        <v>0.79</v>
      </c>
      <c r="N415" s="20">
        <v>0</v>
      </c>
      <c r="O415" s="20">
        <v>0</v>
      </c>
      <c r="P415" s="20">
        <v>0</v>
      </c>
      <c r="Q415" s="20">
        <v>0</v>
      </c>
      <c r="R415" s="20">
        <v>0</v>
      </c>
      <c r="S415" s="20">
        <v>0</v>
      </c>
      <c r="T415" s="20">
        <v>0</v>
      </c>
    </row>
    <row r="416" spans="1:20" x14ac:dyDescent="0.2">
      <c r="A416" s="20" t="s">
        <v>1488</v>
      </c>
      <c r="B416" s="403" t="s">
        <v>1555</v>
      </c>
      <c r="C416" s="264" t="str">
        <f t="shared" si="34"/>
        <v>Tropical MoistEurope</v>
      </c>
      <c r="D416" s="249"/>
      <c r="E416" s="257">
        <f t="shared" si="35"/>
        <v>0.61</v>
      </c>
      <c r="F416" s="279">
        <v>0.57999999999999996</v>
      </c>
      <c r="G416" s="271">
        <v>1.27</v>
      </c>
      <c r="H416" s="270">
        <v>0.11</v>
      </c>
      <c r="I416" s="279">
        <v>0.73</v>
      </c>
      <c r="J416" s="270">
        <v>0.21</v>
      </c>
      <c r="K416" s="279">
        <v>0.56999999999999995</v>
      </c>
      <c r="L416" s="271">
        <v>0.62</v>
      </c>
      <c r="M416" s="270">
        <v>0.79</v>
      </c>
      <c r="N416" s="20">
        <v>0</v>
      </c>
      <c r="O416" s="20">
        <v>0</v>
      </c>
      <c r="P416" s="20">
        <v>0</v>
      </c>
      <c r="Q416" s="20">
        <v>0</v>
      </c>
      <c r="R416" s="20">
        <v>0</v>
      </c>
      <c r="S416" s="20">
        <v>0</v>
      </c>
      <c r="T416" s="20">
        <v>0</v>
      </c>
    </row>
    <row r="417" spans="1:20" x14ac:dyDescent="0.2">
      <c r="A417" s="20" t="s">
        <v>1488</v>
      </c>
      <c r="B417" s="403" t="s">
        <v>1346</v>
      </c>
      <c r="C417" s="264" t="str">
        <f t="shared" si="34"/>
        <v>Tropical MoistOceania</v>
      </c>
      <c r="D417" s="249"/>
      <c r="E417" s="257">
        <f t="shared" si="35"/>
        <v>0.61</v>
      </c>
      <c r="F417" s="279">
        <v>0.57999999999999996</v>
      </c>
      <c r="G417" s="271">
        <v>1.27</v>
      </c>
      <c r="H417" s="270">
        <v>0.11</v>
      </c>
      <c r="I417" s="279">
        <v>0.73</v>
      </c>
      <c r="J417" s="270">
        <v>0.21</v>
      </c>
      <c r="K417" s="279">
        <v>0.56999999999999995</v>
      </c>
      <c r="L417" s="271">
        <v>0.62</v>
      </c>
      <c r="M417" s="270">
        <v>0.79</v>
      </c>
      <c r="N417" s="20">
        <v>0</v>
      </c>
      <c r="O417" s="20">
        <v>0</v>
      </c>
      <c r="P417" s="20">
        <v>0</v>
      </c>
      <c r="Q417" s="20">
        <v>0</v>
      </c>
      <c r="R417" s="20">
        <v>0</v>
      </c>
      <c r="S417" s="20">
        <v>0</v>
      </c>
      <c r="T417" s="20">
        <v>0</v>
      </c>
    </row>
    <row r="418" spans="1:20" x14ac:dyDescent="0.2">
      <c r="A418" s="20" t="s">
        <v>1488</v>
      </c>
      <c r="B418" s="403" t="s">
        <v>1343</v>
      </c>
      <c r="C418" s="264" t="str">
        <f t="shared" si="34"/>
        <v>Tropical MoistNorth America</v>
      </c>
      <c r="D418" s="249"/>
      <c r="E418" s="257">
        <f t="shared" si="35"/>
        <v>0.61</v>
      </c>
      <c r="F418" s="279">
        <v>0.57999999999999996</v>
      </c>
      <c r="G418" s="271">
        <v>1.27</v>
      </c>
      <c r="H418" s="270">
        <v>0.11</v>
      </c>
      <c r="I418" s="279">
        <v>0.73</v>
      </c>
      <c r="J418" s="270">
        <v>0.21</v>
      </c>
      <c r="K418" s="279">
        <v>0.56999999999999995</v>
      </c>
      <c r="L418" s="271">
        <v>0.62</v>
      </c>
      <c r="M418" s="270">
        <v>0.79</v>
      </c>
      <c r="N418" s="20">
        <v>0</v>
      </c>
      <c r="O418" s="20">
        <v>0</v>
      </c>
      <c r="P418" s="20">
        <v>0</v>
      </c>
      <c r="Q418" s="20">
        <v>0</v>
      </c>
      <c r="R418" s="20">
        <v>0</v>
      </c>
      <c r="S418" s="20">
        <v>0</v>
      </c>
      <c r="T418" s="20">
        <v>0</v>
      </c>
    </row>
    <row r="419" spans="1:20" x14ac:dyDescent="0.2">
      <c r="A419" s="20" t="s">
        <v>1488</v>
      </c>
      <c r="B419" s="403" t="s">
        <v>1349</v>
      </c>
      <c r="C419" s="264" t="str">
        <f t="shared" si="34"/>
        <v>Tropical MoistSouth America</v>
      </c>
      <c r="D419" s="249"/>
      <c r="E419" s="257">
        <f t="shared" si="35"/>
        <v>0.62750000000000006</v>
      </c>
      <c r="F419" s="279">
        <v>0.57999999999999996</v>
      </c>
      <c r="G419" s="271">
        <v>1.27</v>
      </c>
      <c r="H419" s="270">
        <v>0.11</v>
      </c>
      <c r="I419" s="279">
        <v>0.73</v>
      </c>
      <c r="J419" s="270">
        <v>0.21</v>
      </c>
      <c r="K419" s="21">
        <v>0.71</v>
      </c>
      <c r="L419" s="271">
        <v>0.62</v>
      </c>
      <c r="M419" s="270">
        <v>0.79</v>
      </c>
      <c r="N419" s="20">
        <v>0</v>
      </c>
      <c r="O419" s="20">
        <v>0</v>
      </c>
      <c r="P419" s="20">
        <v>0</v>
      </c>
      <c r="Q419" s="20">
        <v>0</v>
      </c>
      <c r="R419" s="20">
        <v>0</v>
      </c>
      <c r="S419" s="20">
        <v>0</v>
      </c>
      <c r="T419" s="20">
        <v>0</v>
      </c>
    </row>
    <row r="420" spans="1:20" x14ac:dyDescent="0.2">
      <c r="A420" s="20" t="s">
        <v>1488</v>
      </c>
      <c r="B420" s="403" t="s">
        <v>1333</v>
      </c>
      <c r="C420" s="264" t="str">
        <f t="shared" si="34"/>
        <v>Tropical MoistCentral America</v>
      </c>
      <c r="D420" s="249"/>
      <c r="E420" s="257">
        <f t="shared" si="35"/>
        <v>0.60624999999999996</v>
      </c>
      <c r="F420" s="21">
        <v>0.55000000000000004</v>
      </c>
      <c r="G420" s="271">
        <v>1.27</v>
      </c>
      <c r="H420" s="270">
        <v>0.11</v>
      </c>
      <c r="I420" s="279">
        <v>0.73</v>
      </c>
      <c r="J420" s="270">
        <v>0.21</v>
      </c>
      <c r="K420" s="279">
        <v>0.56999999999999995</v>
      </c>
      <c r="L420" s="271">
        <v>0.62</v>
      </c>
      <c r="M420" s="270">
        <v>0.79</v>
      </c>
      <c r="N420" s="20">
        <v>0</v>
      </c>
      <c r="O420" s="20">
        <v>0</v>
      </c>
      <c r="P420" s="20">
        <v>0</v>
      </c>
      <c r="Q420" s="20">
        <v>0</v>
      </c>
      <c r="R420" s="20">
        <v>0</v>
      </c>
      <c r="S420" s="20">
        <v>0</v>
      </c>
      <c r="T420" s="20">
        <v>0</v>
      </c>
    </row>
    <row r="421" spans="1:20" x14ac:dyDescent="0.2">
      <c r="A421" s="20" t="s">
        <v>1488</v>
      </c>
      <c r="B421" s="414" t="s">
        <v>1547</v>
      </c>
      <c r="C421" s="264" t="str">
        <f t="shared" si="34"/>
        <v>Tropical MoistCaribbean</v>
      </c>
      <c r="D421" s="252"/>
      <c r="E421" s="258">
        <f t="shared" si="35"/>
        <v>0.61</v>
      </c>
      <c r="F421" s="280">
        <v>0.57999999999999996</v>
      </c>
      <c r="G421" s="274">
        <v>1.27</v>
      </c>
      <c r="H421" s="270">
        <v>0.11</v>
      </c>
      <c r="I421" s="280">
        <v>0.73</v>
      </c>
      <c r="J421" s="273">
        <v>0.21</v>
      </c>
      <c r="K421" s="280">
        <v>0.56999999999999995</v>
      </c>
      <c r="L421" s="274">
        <v>0.62</v>
      </c>
      <c r="M421" s="273">
        <v>0.79</v>
      </c>
      <c r="N421" s="37">
        <v>0</v>
      </c>
      <c r="O421" s="37">
        <v>0</v>
      </c>
      <c r="P421" s="37">
        <v>0</v>
      </c>
      <c r="Q421" s="37">
        <v>0</v>
      </c>
      <c r="R421" s="37">
        <v>0</v>
      </c>
      <c r="S421" s="37">
        <v>0</v>
      </c>
      <c r="T421" s="37">
        <v>0</v>
      </c>
    </row>
    <row r="422" spans="1:20" x14ac:dyDescent="0.2">
      <c r="A422" s="63" t="str">
        <f>list!$G$11</f>
        <v>Tropical Montane</v>
      </c>
      <c r="B422" s="408" t="s">
        <v>1552</v>
      </c>
      <c r="C422" s="63" t="str">
        <f t="shared" si="34"/>
        <v>Tropical MontaneEastern Africa</v>
      </c>
      <c r="D422" s="63"/>
      <c r="E422" s="257">
        <f>AVERAGE(F422:M422)</f>
        <v>0.58812500000000001</v>
      </c>
      <c r="F422" s="305">
        <f>AVERAGE(F454,F374)</f>
        <v>0.55000000000000004</v>
      </c>
      <c r="G422" s="264">
        <v>1.1200000000000001</v>
      </c>
      <c r="H422" s="301">
        <f t="shared" ref="H422:M422" si="36">AVERAGE(H454,H374)</f>
        <v>0.17</v>
      </c>
      <c r="I422" s="304">
        <f t="shared" si="36"/>
        <v>0.8</v>
      </c>
      <c r="J422" s="306">
        <f t="shared" si="36"/>
        <v>0.21</v>
      </c>
      <c r="K422" s="306">
        <f t="shared" si="36"/>
        <v>0.55000000000000004</v>
      </c>
      <c r="L422" s="306">
        <f t="shared" si="36"/>
        <v>0.56000000000000005</v>
      </c>
      <c r="M422" s="302">
        <f t="shared" si="36"/>
        <v>0.745</v>
      </c>
      <c r="N422" s="63">
        <v>0</v>
      </c>
      <c r="O422" s="63">
        <v>0</v>
      </c>
      <c r="P422" s="63">
        <v>0</v>
      </c>
      <c r="Q422" s="63">
        <v>0</v>
      </c>
      <c r="R422" s="63">
        <v>0</v>
      </c>
      <c r="S422" s="63">
        <v>0</v>
      </c>
      <c r="T422" s="63">
        <v>0</v>
      </c>
    </row>
    <row r="423" spans="1:20" x14ac:dyDescent="0.2">
      <c r="A423" s="20" t="str">
        <f>list!$G$11</f>
        <v>Tropical Montane</v>
      </c>
      <c r="B423" s="401" t="s">
        <v>1557</v>
      </c>
      <c r="C423" s="20" t="str">
        <f t="shared" si="34"/>
        <v>Tropical MontaneCentral Africa</v>
      </c>
      <c r="D423" s="20"/>
      <c r="E423" s="257">
        <f t="shared" ref="E423:E437" si="37">AVERAGE(F423:M423)</f>
        <v>0.58812500000000001</v>
      </c>
      <c r="F423" s="305">
        <f t="shared" ref="F423:G437" si="38">AVERAGE(F455,F375)</f>
        <v>0.55000000000000004</v>
      </c>
      <c r="G423" s="264">
        <v>1.1200000000000001</v>
      </c>
      <c r="H423" s="302">
        <f t="shared" ref="H423:M437" si="39">AVERAGE(H455,H375)</f>
        <v>0.17</v>
      </c>
      <c r="I423" s="304">
        <f t="shared" si="39"/>
        <v>0.8</v>
      </c>
      <c r="J423" s="305">
        <f t="shared" si="39"/>
        <v>0.21</v>
      </c>
      <c r="K423" s="305">
        <f t="shared" si="39"/>
        <v>0.55000000000000004</v>
      </c>
      <c r="L423" s="305">
        <f t="shared" si="39"/>
        <v>0.56000000000000005</v>
      </c>
      <c r="M423" s="302">
        <f t="shared" si="39"/>
        <v>0.745</v>
      </c>
      <c r="N423" s="20">
        <v>0</v>
      </c>
      <c r="O423" s="20">
        <v>0</v>
      </c>
      <c r="P423" s="20">
        <v>0</v>
      </c>
      <c r="Q423" s="20">
        <v>0</v>
      </c>
      <c r="R423" s="20">
        <v>0</v>
      </c>
      <c r="S423" s="20">
        <v>0</v>
      </c>
      <c r="T423" s="20">
        <v>0</v>
      </c>
    </row>
    <row r="424" spans="1:20" x14ac:dyDescent="0.2">
      <c r="A424" s="20" t="str">
        <f>list!$G$11</f>
        <v>Tropical Montane</v>
      </c>
      <c r="B424" s="401" t="s">
        <v>1559</v>
      </c>
      <c r="C424" s="20" t="str">
        <f t="shared" si="34"/>
        <v>Tropical MontaneNorthern Africa</v>
      </c>
      <c r="D424" s="20"/>
      <c r="E424" s="257">
        <f t="shared" si="37"/>
        <v>0.58812500000000001</v>
      </c>
      <c r="F424" s="305">
        <f t="shared" si="38"/>
        <v>0.55000000000000004</v>
      </c>
      <c r="G424" s="264">
        <v>1.1200000000000001</v>
      </c>
      <c r="H424" s="302">
        <f t="shared" si="39"/>
        <v>0.17</v>
      </c>
      <c r="I424" s="304">
        <f t="shared" si="39"/>
        <v>0.8</v>
      </c>
      <c r="J424" s="305">
        <f t="shared" si="39"/>
        <v>0.21</v>
      </c>
      <c r="K424" s="305">
        <f t="shared" si="39"/>
        <v>0.55000000000000004</v>
      </c>
      <c r="L424" s="305">
        <f t="shared" si="39"/>
        <v>0.56000000000000005</v>
      </c>
      <c r="M424" s="302">
        <f t="shared" si="39"/>
        <v>0.745</v>
      </c>
      <c r="N424" s="20">
        <v>0</v>
      </c>
      <c r="O424" s="20">
        <v>0</v>
      </c>
      <c r="P424" s="20">
        <v>0</v>
      </c>
      <c r="Q424" s="20">
        <v>0</v>
      </c>
      <c r="R424" s="20">
        <v>0</v>
      </c>
      <c r="S424" s="20">
        <v>0</v>
      </c>
      <c r="T424" s="20">
        <v>0</v>
      </c>
    </row>
    <row r="425" spans="1:20" x14ac:dyDescent="0.2">
      <c r="A425" s="20" t="str">
        <f>list!$G$11</f>
        <v>Tropical Montane</v>
      </c>
      <c r="B425" s="401" t="s">
        <v>1565</v>
      </c>
      <c r="C425" s="20" t="str">
        <f t="shared" si="34"/>
        <v>Tropical MontaneSouthern Africa</v>
      </c>
      <c r="D425" s="20"/>
      <c r="E425" s="257">
        <f t="shared" si="37"/>
        <v>0.58812500000000001</v>
      </c>
      <c r="F425" s="305">
        <f t="shared" si="38"/>
        <v>0.55000000000000004</v>
      </c>
      <c r="G425" s="264">
        <v>1.1200000000000001</v>
      </c>
      <c r="H425" s="302">
        <f t="shared" si="39"/>
        <v>0.17</v>
      </c>
      <c r="I425" s="304">
        <f t="shared" si="39"/>
        <v>0.8</v>
      </c>
      <c r="J425" s="305">
        <f t="shared" si="39"/>
        <v>0.21</v>
      </c>
      <c r="K425" s="305">
        <f t="shared" si="39"/>
        <v>0.55000000000000004</v>
      </c>
      <c r="L425" s="305">
        <f t="shared" si="39"/>
        <v>0.56000000000000005</v>
      </c>
      <c r="M425" s="302">
        <f t="shared" si="39"/>
        <v>0.745</v>
      </c>
      <c r="N425" s="20">
        <v>0</v>
      </c>
      <c r="O425" s="20">
        <v>0</v>
      </c>
      <c r="P425" s="20">
        <v>0</v>
      </c>
      <c r="Q425" s="20">
        <v>0</v>
      </c>
      <c r="R425" s="20">
        <v>0</v>
      </c>
      <c r="S425" s="20">
        <v>0</v>
      </c>
      <c r="T425" s="20">
        <v>0</v>
      </c>
    </row>
    <row r="426" spans="1:20" x14ac:dyDescent="0.2">
      <c r="A426" s="20" t="str">
        <f>list!$G$11</f>
        <v>Tropical Montane</v>
      </c>
      <c r="B426" s="401" t="s">
        <v>1569</v>
      </c>
      <c r="C426" s="20" t="str">
        <f t="shared" si="34"/>
        <v>Tropical MontaneWestern Africa</v>
      </c>
      <c r="D426" s="20"/>
      <c r="E426" s="257">
        <f t="shared" si="37"/>
        <v>0.58812500000000001</v>
      </c>
      <c r="F426" s="305">
        <f t="shared" si="38"/>
        <v>0.55000000000000004</v>
      </c>
      <c r="G426" s="264">
        <v>1.1200000000000001</v>
      </c>
      <c r="H426" s="302">
        <f t="shared" si="39"/>
        <v>0.17</v>
      </c>
      <c r="I426" s="304">
        <f t="shared" si="39"/>
        <v>0.8</v>
      </c>
      <c r="J426" s="305">
        <f t="shared" si="39"/>
        <v>0.21</v>
      </c>
      <c r="K426" s="305">
        <f t="shared" si="39"/>
        <v>0.55000000000000004</v>
      </c>
      <c r="L426" s="305">
        <f t="shared" si="39"/>
        <v>0.56000000000000005</v>
      </c>
      <c r="M426" s="302">
        <f t="shared" si="39"/>
        <v>0.745</v>
      </c>
      <c r="N426" s="20">
        <v>0</v>
      </c>
      <c r="O426" s="20">
        <v>0</v>
      </c>
      <c r="P426" s="20">
        <v>0</v>
      </c>
      <c r="Q426" s="20">
        <v>0</v>
      </c>
      <c r="R426" s="20">
        <v>0</v>
      </c>
      <c r="S426" s="20">
        <v>0</v>
      </c>
      <c r="T426" s="20">
        <v>0</v>
      </c>
    </row>
    <row r="427" spans="1:20" x14ac:dyDescent="0.2">
      <c r="A427" s="20" t="str">
        <f>list!$G$11</f>
        <v>Tropical Montane</v>
      </c>
      <c r="B427" s="401" t="s">
        <v>1550</v>
      </c>
      <c r="C427" s="20" t="str">
        <f t="shared" si="34"/>
        <v>Tropical MontaneCentral Asia</v>
      </c>
      <c r="D427" s="20"/>
      <c r="E427" s="257">
        <f t="shared" si="37"/>
        <v>0.63437500000000002</v>
      </c>
      <c r="F427" s="305">
        <f t="shared" si="38"/>
        <v>0.55000000000000004</v>
      </c>
      <c r="G427" s="308">
        <f>AVERAGE(G459,G379)</f>
        <v>1.49</v>
      </c>
      <c r="H427" s="302">
        <f t="shared" si="39"/>
        <v>0.17</v>
      </c>
      <c r="I427" s="304">
        <f t="shared" si="39"/>
        <v>0.8</v>
      </c>
      <c r="J427" s="305">
        <f t="shared" si="39"/>
        <v>0.21</v>
      </c>
      <c r="K427" s="305">
        <f t="shared" si="39"/>
        <v>0.55000000000000004</v>
      </c>
      <c r="L427" s="305">
        <f t="shared" si="39"/>
        <v>0.56000000000000005</v>
      </c>
      <c r="M427" s="302">
        <f t="shared" si="39"/>
        <v>0.745</v>
      </c>
      <c r="N427" s="20">
        <v>0</v>
      </c>
      <c r="O427" s="20">
        <v>0</v>
      </c>
      <c r="P427" s="20">
        <v>0</v>
      </c>
      <c r="Q427" s="20">
        <v>0</v>
      </c>
      <c r="R427" s="20">
        <v>0</v>
      </c>
      <c r="S427" s="20">
        <v>0</v>
      </c>
      <c r="T427" s="20">
        <v>0</v>
      </c>
    </row>
    <row r="428" spans="1:20" x14ac:dyDescent="0.2">
      <c r="A428" s="20" t="str">
        <f>list!$G$11</f>
        <v>Tropical Montane</v>
      </c>
      <c r="B428" s="401" t="s">
        <v>1554</v>
      </c>
      <c r="C428" s="20" t="str">
        <f t="shared" si="34"/>
        <v>Tropical MontaneEastern Asia</v>
      </c>
      <c r="D428" s="20"/>
      <c r="E428" s="257">
        <f t="shared" si="37"/>
        <v>0.63437500000000002</v>
      </c>
      <c r="F428" s="305">
        <f t="shared" si="38"/>
        <v>0.55000000000000004</v>
      </c>
      <c r="G428" s="308">
        <f t="shared" si="38"/>
        <v>1.49</v>
      </c>
      <c r="H428" s="302">
        <f t="shared" si="39"/>
        <v>0.17</v>
      </c>
      <c r="I428" s="304">
        <f t="shared" si="39"/>
        <v>0.8</v>
      </c>
      <c r="J428" s="305">
        <f t="shared" si="39"/>
        <v>0.21</v>
      </c>
      <c r="K428" s="305">
        <f t="shared" si="39"/>
        <v>0.55000000000000004</v>
      </c>
      <c r="L428" s="305">
        <f t="shared" si="39"/>
        <v>0.56000000000000005</v>
      </c>
      <c r="M428" s="302">
        <f t="shared" si="39"/>
        <v>0.745</v>
      </c>
      <c r="N428" s="20">
        <v>0</v>
      </c>
      <c r="O428" s="20">
        <v>0</v>
      </c>
      <c r="P428" s="20">
        <v>0</v>
      </c>
      <c r="Q428" s="20">
        <v>0</v>
      </c>
      <c r="R428" s="20">
        <v>0</v>
      </c>
      <c r="S428" s="20">
        <v>0</v>
      </c>
      <c r="T428" s="20">
        <v>0</v>
      </c>
    </row>
    <row r="429" spans="1:20" x14ac:dyDescent="0.2">
      <c r="A429" s="20" t="str">
        <f>list!$G$11</f>
        <v>Tropical Montane</v>
      </c>
      <c r="B429" s="401" t="s">
        <v>1563</v>
      </c>
      <c r="C429" s="20" t="str">
        <f t="shared" si="34"/>
        <v>Tropical MontaneSouth-eastern Asia</v>
      </c>
      <c r="D429" s="20"/>
      <c r="E429" s="257">
        <f t="shared" si="37"/>
        <v>0.63437500000000002</v>
      </c>
      <c r="F429" s="305">
        <f t="shared" si="38"/>
        <v>0.55000000000000004</v>
      </c>
      <c r="G429" s="308">
        <f t="shared" si="38"/>
        <v>1.49</v>
      </c>
      <c r="H429" s="302">
        <f t="shared" si="39"/>
        <v>0.17</v>
      </c>
      <c r="I429" s="304">
        <f t="shared" si="39"/>
        <v>0.8</v>
      </c>
      <c r="J429" s="305">
        <f t="shared" si="39"/>
        <v>0.21</v>
      </c>
      <c r="K429" s="305">
        <f t="shared" si="39"/>
        <v>0.55000000000000004</v>
      </c>
      <c r="L429" s="305">
        <f t="shared" si="39"/>
        <v>0.56000000000000005</v>
      </c>
      <c r="M429" s="302">
        <f t="shared" si="39"/>
        <v>0.745</v>
      </c>
      <c r="N429" s="20">
        <v>0</v>
      </c>
      <c r="O429" s="20">
        <v>0</v>
      </c>
      <c r="P429" s="20">
        <v>0</v>
      </c>
      <c r="Q429" s="20">
        <v>0</v>
      </c>
      <c r="R429" s="20">
        <v>0</v>
      </c>
      <c r="S429" s="20">
        <v>0</v>
      </c>
      <c r="T429" s="20">
        <v>0</v>
      </c>
    </row>
    <row r="430" spans="1:20" x14ac:dyDescent="0.2">
      <c r="A430" s="20" t="str">
        <f>list!$G$11</f>
        <v>Tropical Montane</v>
      </c>
      <c r="B430" s="401" t="s">
        <v>1567</v>
      </c>
      <c r="C430" s="20" t="str">
        <f t="shared" si="34"/>
        <v>Tropical MontaneSouthern Asia</v>
      </c>
      <c r="D430" s="20"/>
      <c r="E430" s="257">
        <f t="shared" si="37"/>
        <v>0.63437500000000002</v>
      </c>
      <c r="F430" s="305">
        <f t="shared" si="38"/>
        <v>0.55000000000000004</v>
      </c>
      <c r="G430" s="308">
        <f t="shared" si="38"/>
        <v>1.49</v>
      </c>
      <c r="H430" s="302">
        <f t="shared" si="39"/>
        <v>0.17</v>
      </c>
      <c r="I430" s="304">
        <f t="shared" si="39"/>
        <v>0.8</v>
      </c>
      <c r="J430" s="305">
        <f t="shared" si="39"/>
        <v>0.21</v>
      </c>
      <c r="K430" s="305">
        <f t="shared" si="39"/>
        <v>0.55000000000000004</v>
      </c>
      <c r="L430" s="305">
        <f t="shared" si="39"/>
        <v>0.56000000000000005</v>
      </c>
      <c r="M430" s="302">
        <f t="shared" si="39"/>
        <v>0.745</v>
      </c>
      <c r="N430" s="20">
        <v>0</v>
      </c>
      <c r="O430" s="20">
        <v>0</v>
      </c>
      <c r="P430" s="20">
        <v>0</v>
      </c>
      <c r="Q430" s="20">
        <v>0</v>
      </c>
      <c r="R430" s="20">
        <v>0</v>
      </c>
      <c r="S430" s="20">
        <v>0</v>
      </c>
      <c r="T430" s="20">
        <v>0</v>
      </c>
    </row>
    <row r="431" spans="1:20" x14ac:dyDescent="0.2">
      <c r="A431" s="20" t="str">
        <f>list!$G$11</f>
        <v>Tropical Montane</v>
      </c>
      <c r="B431" s="401" t="s">
        <v>1571</v>
      </c>
      <c r="C431" s="20" t="str">
        <f t="shared" si="34"/>
        <v>Tropical MontaneWestern Asia</v>
      </c>
      <c r="D431" s="20"/>
      <c r="E431" s="257">
        <f t="shared" si="37"/>
        <v>0.63437500000000002</v>
      </c>
      <c r="F431" s="305">
        <f t="shared" si="38"/>
        <v>0.55000000000000004</v>
      </c>
      <c r="G431" s="308">
        <f t="shared" si="38"/>
        <v>1.49</v>
      </c>
      <c r="H431" s="302">
        <f t="shared" si="39"/>
        <v>0.17</v>
      </c>
      <c r="I431" s="304">
        <f t="shared" si="39"/>
        <v>0.8</v>
      </c>
      <c r="J431" s="305">
        <f t="shared" si="39"/>
        <v>0.21</v>
      </c>
      <c r="K431" s="305">
        <f t="shared" si="39"/>
        <v>0.55000000000000004</v>
      </c>
      <c r="L431" s="305">
        <f t="shared" si="39"/>
        <v>0.56000000000000005</v>
      </c>
      <c r="M431" s="302">
        <f t="shared" si="39"/>
        <v>0.745</v>
      </c>
      <c r="N431" s="20">
        <v>0</v>
      </c>
      <c r="O431" s="20">
        <v>0</v>
      </c>
      <c r="P431" s="20">
        <v>0</v>
      </c>
      <c r="Q431" s="20">
        <v>0</v>
      </c>
      <c r="R431" s="20">
        <v>0</v>
      </c>
      <c r="S431" s="20">
        <v>0</v>
      </c>
      <c r="T431" s="20">
        <v>0</v>
      </c>
    </row>
    <row r="432" spans="1:20" x14ac:dyDescent="0.2">
      <c r="A432" s="20" t="str">
        <f>list!$G$11</f>
        <v>Tropical Montane</v>
      </c>
      <c r="B432" s="401" t="s">
        <v>1555</v>
      </c>
      <c r="C432" s="20" t="str">
        <f t="shared" si="34"/>
        <v>Tropical MontaneEurope</v>
      </c>
      <c r="D432" s="20"/>
      <c r="E432" s="257">
        <f t="shared" si="37"/>
        <v>0.63437500000000002</v>
      </c>
      <c r="F432" s="305">
        <f t="shared" si="38"/>
        <v>0.55000000000000004</v>
      </c>
      <c r="G432" s="308">
        <f t="shared" si="38"/>
        <v>1.49</v>
      </c>
      <c r="H432" s="302">
        <f t="shared" si="39"/>
        <v>0.17</v>
      </c>
      <c r="I432" s="304">
        <f t="shared" si="39"/>
        <v>0.8</v>
      </c>
      <c r="J432" s="305">
        <f t="shared" si="39"/>
        <v>0.21</v>
      </c>
      <c r="K432" s="305">
        <f t="shared" si="39"/>
        <v>0.55000000000000004</v>
      </c>
      <c r="L432" s="305">
        <f t="shared" si="39"/>
        <v>0.56000000000000005</v>
      </c>
      <c r="M432" s="302">
        <f t="shared" si="39"/>
        <v>0.745</v>
      </c>
      <c r="N432" s="20">
        <v>0</v>
      </c>
      <c r="O432" s="20">
        <v>0</v>
      </c>
      <c r="P432" s="20">
        <v>0</v>
      </c>
      <c r="Q432" s="20">
        <v>0</v>
      </c>
      <c r="R432" s="20">
        <v>0</v>
      </c>
      <c r="S432" s="20">
        <v>0</v>
      </c>
      <c r="T432" s="20">
        <v>0</v>
      </c>
    </row>
    <row r="433" spans="1:20" x14ac:dyDescent="0.2">
      <c r="A433" s="20" t="str">
        <f>list!$G$11</f>
        <v>Tropical Montane</v>
      </c>
      <c r="B433" s="401" t="s">
        <v>1346</v>
      </c>
      <c r="C433" s="20" t="str">
        <f t="shared" si="34"/>
        <v>Tropical MontaneOceania</v>
      </c>
      <c r="D433" s="20"/>
      <c r="E433" s="257">
        <f t="shared" si="37"/>
        <v>0.63437500000000002</v>
      </c>
      <c r="F433" s="305">
        <f t="shared" si="38"/>
        <v>0.55000000000000004</v>
      </c>
      <c r="G433" s="308">
        <f t="shared" si="38"/>
        <v>1.49</v>
      </c>
      <c r="H433" s="302">
        <f t="shared" si="39"/>
        <v>0.17</v>
      </c>
      <c r="I433" s="304">
        <f t="shared" si="39"/>
        <v>0.8</v>
      </c>
      <c r="J433" s="305">
        <f t="shared" si="39"/>
        <v>0.21</v>
      </c>
      <c r="K433" s="305">
        <f t="shared" si="39"/>
        <v>0.55000000000000004</v>
      </c>
      <c r="L433" s="305">
        <f t="shared" si="39"/>
        <v>0.56000000000000005</v>
      </c>
      <c r="M433" s="302">
        <f t="shared" si="39"/>
        <v>0.745</v>
      </c>
      <c r="N433" s="20">
        <v>0</v>
      </c>
      <c r="O433" s="20">
        <v>0</v>
      </c>
      <c r="P433" s="20">
        <v>0</v>
      </c>
      <c r="Q433" s="20">
        <v>0</v>
      </c>
      <c r="R433" s="20">
        <v>0</v>
      </c>
      <c r="S433" s="20">
        <v>0</v>
      </c>
      <c r="T433" s="20">
        <v>0</v>
      </c>
    </row>
    <row r="434" spans="1:20" x14ac:dyDescent="0.2">
      <c r="A434" s="20" t="str">
        <f>list!$G$11</f>
        <v>Tropical Montane</v>
      </c>
      <c r="B434" s="401" t="s">
        <v>1343</v>
      </c>
      <c r="C434" s="20" t="str">
        <f t="shared" si="34"/>
        <v>Tropical MontaneNorth America</v>
      </c>
      <c r="D434" s="20"/>
      <c r="E434" s="257">
        <f t="shared" si="37"/>
        <v>0.63437500000000002</v>
      </c>
      <c r="F434" s="305">
        <f t="shared" si="38"/>
        <v>0.55000000000000004</v>
      </c>
      <c r="G434" s="308">
        <f t="shared" si="38"/>
        <v>1.49</v>
      </c>
      <c r="H434" s="302">
        <f t="shared" si="39"/>
        <v>0.17</v>
      </c>
      <c r="I434" s="304">
        <f t="shared" si="39"/>
        <v>0.8</v>
      </c>
      <c r="J434" s="305">
        <f t="shared" si="39"/>
        <v>0.21</v>
      </c>
      <c r="K434" s="305">
        <f t="shared" si="39"/>
        <v>0.55000000000000004</v>
      </c>
      <c r="L434" s="305">
        <f t="shared" si="39"/>
        <v>0.56000000000000005</v>
      </c>
      <c r="M434" s="302">
        <f t="shared" si="39"/>
        <v>0.745</v>
      </c>
      <c r="N434" s="20">
        <v>0</v>
      </c>
      <c r="O434" s="20">
        <v>0</v>
      </c>
      <c r="P434" s="20">
        <v>0</v>
      </c>
      <c r="Q434" s="20">
        <v>0</v>
      </c>
      <c r="R434" s="20">
        <v>0</v>
      </c>
      <c r="S434" s="20">
        <v>0</v>
      </c>
      <c r="T434" s="20">
        <v>0</v>
      </c>
    </row>
    <row r="435" spans="1:20" x14ac:dyDescent="0.2">
      <c r="A435" s="20" t="str">
        <f>list!$G$11</f>
        <v>Tropical Montane</v>
      </c>
      <c r="B435" s="401" t="s">
        <v>1349</v>
      </c>
      <c r="C435" s="20" t="str">
        <f t="shared" si="34"/>
        <v>Tropical MontaneSouth America</v>
      </c>
      <c r="D435" s="20"/>
      <c r="E435" s="257">
        <f t="shared" si="37"/>
        <v>0.63437500000000002</v>
      </c>
      <c r="F435" s="305">
        <f t="shared" si="38"/>
        <v>0.55000000000000004</v>
      </c>
      <c r="G435" s="308">
        <f t="shared" si="38"/>
        <v>1.49</v>
      </c>
      <c r="H435" s="302">
        <f t="shared" si="39"/>
        <v>0.17</v>
      </c>
      <c r="I435" s="304">
        <f t="shared" si="39"/>
        <v>0.8</v>
      </c>
      <c r="J435" s="305">
        <f t="shared" si="39"/>
        <v>0.21</v>
      </c>
      <c r="K435" s="305">
        <f t="shared" si="39"/>
        <v>0.55000000000000004</v>
      </c>
      <c r="L435" s="305">
        <f t="shared" si="39"/>
        <v>0.56000000000000005</v>
      </c>
      <c r="M435" s="302">
        <f t="shared" si="39"/>
        <v>0.745</v>
      </c>
      <c r="N435" s="20">
        <v>0</v>
      </c>
      <c r="O435" s="20">
        <v>0</v>
      </c>
      <c r="P435" s="20">
        <v>0</v>
      </c>
      <c r="Q435" s="20">
        <v>0</v>
      </c>
      <c r="R435" s="20">
        <v>0</v>
      </c>
      <c r="S435" s="20">
        <v>0</v>
      </c>
      <c r="T435" s="20">
        <v>0</v>
      </c>
    </row>
    <row r="436" spans="1:20" x14ac:dyDescent="0.2">
      <c r="A436" s="20" t="str">
        <f>list!$G$11</f>
        <v>Tropical Montane</v>
      </c>
      <c r="B436" s="401" t="s">
        <v>1333</v>
      </c>
      <c r="C436" s="20" t="str">
        <f t="shared" si="34"/>
        <v>Tropical MontaneCentral America</v>
      </c>
      <c r="D436" s="20"/>
      <c r="E436" s="257">
        <f t="shared" si="37"/>
        <v>0.63437500000000002</v>
      </c>
      <c r="F436" s="305">
        <f t="shared" si="38"/>
        <v>0.55000000000000004</v>
      </c>
      <c r="G436" s="308">
        <f t="shared" si="38"/>
        <v>1.49</v>
      </c>
      <c r="H436" s="302">
        <f t="shared" si="39"/>
        <v>0.17</v>
      </c>
      <c r="I436" s="304">
        <f t="shared" si="39"/>
        <v>0.8</v>
      </c>
      <c r="J436" s="305">
        <f t="shared" si="39"/>
        <v>0.21</v>
      </c>
      <c r="K436" s="305">
        <f t="shared" si="39"/>
        <v>0.55000000000000004</v>
      </c>
      <c r="L436" s="305">
        <f t="shared" si="39"/>
        <v>0.56000000000000005</v>
      </c>
      <c r="M436" s="302">
        <f t="shared" si="39"/>
        <v>0.745</v>
      </c>
      <c r="N436" s="20">
        <v>0</v>
      </c>
      <c r="O436" s="20">
        <v>0</v>
      </c>
      <c r="P436" s="20">
        <v>0</v>
      </c>
      <c r="Q436" s="20">
        <v>0</v>
      </c>
      <c r="R436" s="20">
        <v>0</v>
      </c>
      <c r="S436" s="20">
        <v>0</v>
      </c>
      <c r="T436" s="20">
        <v>0</v>
      </c>
    </row>
    <row r="437" spans="1:20" x14ac:dyDescent="0.2">
      <c r="A437" s="37" t="str">
        <f>list!$G$11</f>
        <v>Tropical Montane</v>
      </c>
      <c r="B437" s="402" t="s">
        <v>1547</v>
      </c>
      <c r="C437" s="20" t="str">
        <f t="shared" si="34"/>
        <v>Tropical MontaneCaribbean</v>
      </c>
      <c r="D437" s="37"/>
      <c r="E437" s="257">
        <f t="shared" si="37"/>
        <v>0.63437500000000002</v>
      </c>
      <c r="F437" s="305">
        <f t="shared" si="38"/>
        <v>0.55000000000000004</v>
      </c>
      <c r="G437" s="308">
        <f t="shared" si="38"/>
        <v>1.49</v>
      </c>
      <c r="H437" s="303">
        <f t="shared" si="39"/>
        <v>0.17</v>
      </c>
      <c r="I437" s="304">
        <f t="shared" si="39"/>
        <v>0.8</v>
      </c>
      <c r="J437" s="307">
        <f t="shared" si="39"/>
        <v>0.21</v>
      </c>
      <c r="K437" s="307">
        <f t="shared" si="39"/>
        <v>0.55000000000000004</v>
      </c>
      <c r="L437" s="307">
        <f t="shared" si="39"/>
        <v>0.56000000000000005</v>
      </c>
      <c r="M437" s="302">
        <f t="shared" si="39"/>
        <v>0.745</v>
      </c>
      <c r="N437" s="37">
        <v>0</v>
      </c>
      <c r="O437" s="37">
        <v>0</v>
      </c>
      <c r="P437" s="37">
        <v>0</v>
      </c>
      <c r="Q437" s="37">
        <v>0</v>
      </c>
      <c r="R437" s="37">
        <v>0</v>
      </c>
      <c r="S437" s="37">
        <v>0</v>
      </c>
      <c r="T437" s="37">
        <v>0</v>
      </c>
    </row>
    <row r="438" spans="1:20" x14ac:dyDescent="0.2">
      <c r="A438" s="63" t="s">
        <v>1489</v>
      </c>
      <c r="B438" s="413" t="s">
        <v>1552</v>
      </c>
      <c r="C438" s="63" t="str">
        <f t="shared" si="34"/>
        <v>Tropical WetEastern Africa</v>
      </c>
      <c r="D438" s="291"/>
      <c r="E438" s="256">
        <f>AVERAGE(F438:M438)</f>
        <v>0.56874999999999998</v>
      </c>
      <c r="F438" s="275">
        <v>0.45</v>
      </c>
      <c r="G438" s="63">
        <v>1.49</v>
      </c>
      <c r="H438" s="242">
        <v>0.1</v>
      </c>
      <c r="I438" s="263">
        <v>0.69</v>
      </c>
      <c r="J438" s="267">
        <v>0.21</v>
      </c>
      <c r="K438" s="291">
        <v>0.71</v>
      </c>
      <c r="L438" s="267">
        <v>0.89</v>
      </c>
      <c r="M438" s="275">
        <v>0.01</v>
      </c>
      <c r="N438" s="63">
        <v>0</v>
      </c>
      <c r="O438" s="63">
        <v>0</v>
      </c>
      <c r="P438" s="63">
        <v>0</v>
      </c>
      <c r="Q438" s="63">
        <v>0</v>
      </c>
      <c r="R438" s="63">
        <v>0</v>
      </c>
      <c r="S438" s="63">
        <v>0</v>
      </c>
      <c r="T438" s="63">
        <v>0</v>
      </c>
    </row>
    <row r="439" spans="1:20" x14ac:dyDescent="0.2">
      <c r="A439" s="20" t="s">
        <v>1489</v>
      </c>
      <c r="B439" s="403" t="s">
        <v>1557</v>
      </c>
      <c r="C439" s="20" t="str">
        <f t="shared" si="34"/>
        <v>Tropical WetCentral Africa</v>
      </c>
      <c r="D439" s="21"/>
      <c r="E439" s="257">
        <f t="shared" ref="E439:E453" si="40">AVERAGE(F439:M439)</f>
        <v>0.56874999999999998</v>
      </c>
      <c r="F439" s="276">
        <v>0.45</v>
      </c>
      <c r="G439" s="20">
        <v>1.49</v>
      </c>
      <c r="H439" s="242">
        <v>0.1</v>
      </c>
      <c r="I439" s="264">
        <v>0.69</v>
      </c>
      <c r="J439" s="270">
        <v>0.21</v>
      </c>
      <c r="K439" s="21">
        <v>0.71</v>
      </c>
      <c r="L439" s="270">
        <v>0.89</v>
      </c>
      <c r="M439" s="276">
        <v>0.01</v>
      </c>
      <c r="N439" s="20">
        <v>0</v>
      </c>
      <c r="O439" s="20">
        <v>0</v>
      </c>
      <c r="P439" s="20">
        <v>0</v>
      </c>
      <c r="Q439" s="20">
        <v>0</v>
      </c>
      <c r="R439" s="20">
        <v>0</v>
      </c>
      <c r="S439" s="20">
        <v>0</v>
      </c>
      <c r="T439" s="20">
        <v>0</v>
      </c>
    </row>
    <row r="440" spans="1:20" x14ac:dyDescent="0.2">
      <c r="A440" s="20" t="s">
        <v>1489</v>
      </c>
      <c r="B440" s="403" t="s">
        <v>1559</v>
      </c>
      <c r="C440" s="20" t="str">
        <f t="shared" si="34"/>
        <v>Tropical WetNorthern Africa</v>
      </c>
      <c r="D440" s="21"/>
      <c r="E440" s="257">
        <f t="shared" si="40"/>
        <v>0.56874999999999998</v>
      </c>
      <c r="F440" s="276">
        <v>0.45</v>
      </c>
      <c r="G440" s="20">
        <v>1.49</v>
      </c>
      <c r="H440" s="242">
        <v>0.1</v>
      </c>
      <c r="I440" s="264">
        <v>0.69</v>
      </c>
      <c r="J440" s="270">
        <v>0.21</v>
      </c>
      <c r="K440" s="21">
        <v>0.71</v>
      </c>
      <c r="L440" s="270">
        <v>0.89</v>
      </c>
      <c r="M440" s="276">
        <v>0.01</v>
      </c>
      <c r="N440" s="20">
        <v>0</v>
      </c>
      <c r="O440" s="20">
        <v>0</v>
      </c>
      <c r="P440" s="20">
        <v>0</v>
      </c>
      <c r="Q440" s="20">
        <v>0</v>
      </c>
      <c r="R440" s="20">
        <v>0</v>
      </c>
      <c r="S440" s="20">
        <v>0</v>
      </c>
      <c r="T440" s="20">
        <v>0</v>
      </c>
    </row>
    <row r="441" spans="1:20" x14ac:dyDescent="0.2">
      <c r="A441" s="20" t="s">
        <v>1489</v>
      </c>
      <c r="B441" s="403" t="s">
        <v>1565</v>
      </c>
      <c r="C441" s="20" t="str">
        <f t="shared" si="34"/>
        <v>Tropical WetSouthern Africa</v>
      </c>
      <c r="D441" s="21"/>
      <c r="E441" s="257">
        <f t="shared" si="40"/>
        <v>0.56874999999999998</v>
      </c>
      <c r="F441" s="276">
        <v>0.45</v>
      </c>
      <c r="G441" s="20">
        <v>1.49</v>
      </c>
      <c r="H441" s="242">
        <v>0.1</v>
      </c>
      <c r="I441" s="264">
        <v>0.69</v>
      </c>
      <c r="J441" s="270">
        <v>0.21</v>
      </c>
      <c r="K441" s="21">
        <v>0.71</v>
      </c>
      <c r="L441" s="270">
        <v>0.89</v>
      </c>
      <c r="M441" s="276">
        <v>0.01</v>
      </c>
      <c r="N441" s="20">
        <v>0</v>
      </c>
      <c r="O441" s="20">
        <v>0</v>
      </c>
      <c r="P441" s="20">
        <v>0</v>
      </c>
      <c r="Q441" s="20">
        <v>0</v>
      </c>
      <c r="R441" s="20">
        <v>0</v>
      </c>
      <c r="S441" s="20">
        <v>0</v>
      </c>
      <c r="T441" s="20">
        <v>0</v>
      </c>
    </row>
    <row r="442" spans="1:20" x14ac:dyDescent="0.2">
      <c r="A442" s="20" t="s">
        <v>1489</v>
      </c>
      <c r="B442" s="403" t="s">
        <v>1569</v>
      </c>
      <c r="C442" s="20" t="str">
        <f t="shared" si="34"/>
        <v>Tropical WetWestern Africa</v>
      </c>
      <c r="D442" s="21"/>
      <c r="E442" s="257">
        <f t="shared" si="40"/>
        <v>0.56874999999999998</v>
      </c>
      <c r="F442" s="276">
        <v>0.45</v>
      </c>
      <c r="G442" s="20">
        <v>1.49</v>
      </c>
      <c r="H442" s="242">
        <v>0.1</v>
      </c>
      <c r="I442" s="264">
        <v>0.69</v>
      </c>
      <c r="J442" s="270">
        <v>0.21</v>
      </c>
      <c r="K442" s="21">
        <v>0.71</v>
      </c>
      <c r="L442" s="270">
        <v>0.89</v>
      </c>
      <c r="M442" s="276">
        <v>0.01</v>
      </c>
      <c r="N442" s="20">
        <v>0</v>
      </c>
      <c r="O442" s="20">
        <v>0</v>
      </c>
      <c r="P442" s="20">
        <v>0</v>
      </c>
      <c r="Q442" s="20">
        <v>0</v>
      </c>
      <c r="R442" s="20">
        <v>0</v>
      </c>
      <c r="S442" s="20">
        <v>0</v>
      </c>
      <c r="T442" s="20">
        <v>0</v>
      </c>
    </row>
    <row r="443" spans="1:20" x14ac:dyDescent="0.2">
      <c r="A443" s="20" t="s">
        <v>1489</v>
      </c>
      <c r="B443" s="403" t="s">
        <v>1550</v>
      </c>
      <c r="C443" s="20" t="str">
        <f t="shared" si="34"/>
        <v>Tropical WetCentral Asia</v>
      </c>
      <c r="D443" s="21"/>
      <c r="E443" s="257">
        <f>AVERAGE(F443:M443)</f>
        <v>0.46499999999999997</v>
      </c>
      <c r="F443" s="276">
        <v>0.45</v>
      </c>
      <c r="G443" s="20">
        <v>0.48</v>
      </c>
      <c r="H443" s="242">
        <v>0.1</v>
      </c>
      <c r="I443" s="264">
        <v>1.1599999999999999</v>
      </c>
      <c r="J443" s="270">
        <v>0.21</v>
      </c>
      <c r="K443" s="21">
        <v>0.42</v>
      </c>
      <c r="L443" s="270">
        <v>0.89</v>
      </c>
      <c r="M443" s="269">
        <v>0.01</v>
      </c>
      <c r="N443" s="20">
        <v>0</v>
      </c>
      <c r="O443" s="20">
        <v>0</v>
      </c>
      <c r="P443" s="20">
        <v>0</v>
      </c>
      <c r="Q443" s="20">
        <v>0</v>
      </c>
      <c r="R443" s="20">
        <v>0</v>
      </c>
      <c r="S443" s="20">
        <v>0</v>
      </c>
      <c r="T443" s="20">
        <v>0</v>
      </c>
    </row>
    <row r="444" spans="1:20" x14ac:dyDescent="0.2">
      <c r="A444" s="20" t="s">
        <v>1489</v>
      </c>
      <c r="B444" s="403" t="s">
        <v>1554</v>
      </c>
      <c r="C444" s="20" t="str">
        <f t="shared" si="34"/>
        <v>Tropical WetEastern Asia</v>
      </c>
      <c r="D444" s="21"/>
      <c r="E444" s="257">
        <f t="shared" si="40"/>
        <v>0.46499999999999997</v>
      </c>
      <c r="F444" s="276">
        <v>0.45</v>
      </c>
      <c r="G444" s="20">
        <v>0.48</v>
      </c>
      <c r="H444" s="242">
        <v>0.1</v>
      </c>
      <c r="I444" s="264">
        <v>1.1599999999999999</v>
      </c>
      <c r="J444" s="270">
        <v>0.21</v>
      </c>
      <c r="K444" s="21">
        <v>0.42</v>
      </c>
      <c r="L444" s="270">
        <v>0.89</v>
      </c>
      <c r="M444" s="269">
        <v>0.01</v>
      </c>
      <c r="N444" s="20">
        <v>0</v>
      </c>
      <c r="O444" s="20">
        <v>0</v>
      </c>
      <c r="P444" s="20">
        <v>0</v>
      </c>
      <c r="Q444" s="20">
        <v>0</v>
      </c>
      <c r="R444" s="20">
        <v>0</v>
      </c>
      <c r="S444" s="20">
        <v>0</v>
      </c>
      <c r="T444" s="20">
        <v>0</v>
      </c>
    </row>
    <row r="445" spans="1:20" x14ac:dyDescent="0.2">
      <c r="A445" s="20" t="s">
        <v>1489</v>
      </c>
      <c r="B445" s="403" t="s">
        <v>1563</v>
      </c>
      <c r="C445" s="20" t="str">
        <f t="shared" si="34"/>
        <v>Tropical WetSouth-eastern Asia</v>
      </c>
      <c r="D445" s="21"/>
      <c r="E445" s="257">
        <f t="shared" si="40"/>
        <v>0.46499999999999997</v>
      </c>
      <c r="F445" s="276">
        <v>0.45</v>
      </c>
      <c r="G445" s="20">
        <v>0.48</v>
      </c>
      <c r="H445" s="242">
        <v>0.1</v>
      </c>
      <c r="I445" s="264">
        <v>1.1599999999999999</v>
      </c>
      <c r="J445" s="270">
        <v>0.21</v>
      </c>
      <c r="K445" s="21">
        <v>0.42</v>
      </c>
      <c r="L445" s="270">
        <v>0.89</v>
      </c>
      <c r="M445" s="269">
        <v>0.01</v>
      </c>
      <c r="N445" s="20">
        <v>0</v>
      </c>
      <c r="O445" s="20">
        <v>0</v>
      </c>
      <c r="P445" s="20">
        <v>0</v>
      </c>
      <c r="Q445" s="20">
        <v>0</v>
      </c>
      <c r="R445" s="20">
        <v>0</v>
      </c>
      <c r="S445" s="20">
        <v>0</v>
      </c>
      <c r="T445" s="20">
        <v>0</v>
      </c>
    </row>
    <row r="446" spans="1:20" x14ac:dyDescent="0.2">
      <c r="A446" s="20" t="s">
        <v>1489</v>
      </c>
      <c r="B446" s="403" t="s">
        <v>1567</v>
      </c>
      <c r="C446" s="20" t="str">
        <f t="shared" si="34"/>
        <v>Tropical WetSouthern Asia</v>
      </c>
      <c r="D446" s="21"/>
      <c r="E446" s="257">
        <f t="shared" si="40"/>
        <v>0.46499999999999997</v>
      </c>
      <c r="F446" s="276">
        <v>0.45</v>
      </c>
      <c r="G446" s="20">
        <v>0.48</v>
      </c>
      <c r="H446" s="242">
        <v>0.1</v>
      </c>
      <c r="I446" s="264">
        <v>1.1599999999999999</v>
      </c>
      <c r="J446" s="270">
        <v>0.21</v>
      </c>
      <c r="K446" s="21">
        <v>0.42</v>
      </c>
      <c r="L446" s="270">
        <v>0.89</v>
      </c>
      <c r="M446" s="269">
        <v>0.01</v>
      </c>
      <c r="N446" s="20">
        <v>0</v>
      </c>
      <c r="O446" s="20">
        <v>0</v>
      </c>
      <c r="P446" s="20">
        <v>0</v>
      </c>
      <c r="Q446" s="20">
        <v>0</v>
      </c>
      <c r="R446" s="20">
        <v>0</v>
      </c>
      <c r="S446" s="20">
        <v>0</v>
      </c>
      <c r="T446" s="20">
        <v>0</v>
      </c>
    </row>
    <row r="447" spans="1:20" x14ac:dyDescent="0.2">
      <c r="A447" s="20" t="s">
        <v>1489</v>
      </c>
      <c r="B447" s="403" t="s">
        <v>1571</v>
      </c>
      <c r="C447" s="20" t="str">
        <f t="shared" si="34"/>
        <v>Tropical WetWestern Asia</v>
      </c>
      <c r="D447" s="21"/>
      <c r="E447" s="257">
        <f t="shared" si="40"/>
        <v>0.46499999999999997</v>
      </c>
      <c r="F447" s="276">
        <v>0.45</v>
      </c>
      <c r="G447" s="20">
        <v>0.48</v>
      </c>
      <c r="H447" s="242">
        <v>0.1</v>
      </c>
      <c r="I447" s="264">
        <v>1.1599999999999999</v>
      </c>
      <c r="J447" s="270">
        <v>0.21</v>
      </c>
      <c r="K447" s="21">
        <v>0.42</v>
      </c>
      <c r="L447" s="270">
        <v>0.89</v>
      </c>
      <c r="M447" s="269">
        <v>0.01</v>
      </c>
      <c r="N447" s="20">
        <v>0</v>
      </c>
      <c r="O447" s="20">
        <v>0</v>
      </c>
      <c r="P447" s="20">
        <v>0</v>
      </c>
      <c r="Q447" s="20">
        <v>0</v>
      </c>
      <c r="R447" s="20">
        <v>0</v>
      </c>
      <c r="S447" s="20">
        <v>0</v>
      </c>
      <c r="T447" s="20">
        <v>0</v>
      </c>
    </row>
    <row r="448" spans="1:20" x14ac:dyDescent="0.2">
      <c r="A448" s="20" t="s">
        <v>1489</v>
      </c>
      <c r="B448" s="403" t="s">
        <v>1555</v>
      </c>
      <c r="C448" s="20" t="str">
        <f t="shared" si="34"/>
        <v>Tropical WetEurope</v>
      </c>
      <c r="D448" s="21"/>
      <c r="E448" s="257">
        <f t="shared" si="40"/>
        <v>0.52625</v>
      </c>
      <c r="F448" s="276">
        <v>0.45</v>
      </c>
      <c r="G448" s="242">
        <v>1.1000000000000001</v>
      </c>
      <c r="H448" s="242">
        <v>0.1</v>
      </c>
      <c r="I448" s="271">
        <v>0.91</v>
      </c>
      <c r="J448" s="270">
        <v>0.21</v>
      </c>
      <c r="K448" s="279">
        <v>0.54</v>
      </c>
      <c r="L448" s="270">
        <v>0.89</v>
      </c>
      <c r="M448" s="276">
        <v>0.01</v>
      </c>
      <c r="N448" s="20">
        <v>0</v>
      </c>
      <c r="O448" s="20">
        <v>0</v>
      </c>
      <c r="P448" s="20">
        <v>0</v>
      </c>
      <c r="Q448" s="20">
        <v>0</v>
      </c>
      <c r="R448" s="20">
        <v>0</v>
      </c>
      <c r="S448" s="20">
        <v>0</v>
      </c>
      <c r="T448" s="20">
        <v>0</v>
      </c>
    </row>
    <row r="449" spans="1:20" x14ac:dyDescent="0.2">
      <c r="A449" s="20" t="s">
        <v>1489</v>
      </c>
      <c r="B449" s="403" t="s">
        <v>1346</v>
      </c>
      <c r="C449" s="20" t="str">
        <f t="shared" si="34"/>
        <v>Tropical WetOceania</v>
      </c>
      <c r="D449" s="21"/>
      <c r="E449" s="257">
        <f t="shared" si="40"/>
        <v>0.52625</v>
      </c>
      <c r="F449" s="276">
        <v>0.45</v>
      </c>
      <c r="G449" s="242">
        <v>1.1000000000000001</v>
      </c>
      <c r="H449" s="242">
        <v>0.1</v>
      </c>
      <c r="I449" s="271">
        <v>0.91</v>
      </c>
      <c r="J449" s="270">
        <v>0.21</v>
      </c>
      <c r="K449" s="279">
        <v>0.54</v>
      </c>
      <c r="L449" s="270">
        <v>0.89</v>
      </c>
      <c r="M449" s="276">
        <v>0.01</v>
      </c>
      <c r="N449" s="20">
        <v>0</v>
      </c>
      <c r="O449" s="20">
        <v>0</v>
      </c>
      <c r="P449" s="20">
        <v>0</v>
      </c>
      <c r="Q449" s="20">
        <v>0</v>
      </c>
      <c r="R449" s="20">
        <v>0</v>
      </c>
      <c r="S449" s="20">
        <v>0</v>
      </c>
      <c r="T449" s="20">
        <v>0</v>
      </c>
    </row>
    <row r="450" spans="1:20" x14ac:dyDescent="0.2">
      <c r="A450" s="20" t="s">
        <v>1489</v>
      </c>
      <c r="B450" s="403" t="s">
        <v>1343</v>
      </c>
      <c r="C450" s="20" t="str">
        <f t="shared" si="34"/>
        <v>Tropical WetNorth America</v>
      </c>
      <c r="D450" s="21"/>
      <c r="E450" s="257">
        <f t="shared" si="40"/>
        <v>0.52625</v>
      </c>
      <c r="F450" s="276">
        <v>0.45</v>
      </c>
      <c r="G450" s="242">
        <v>1.1000000000000001</v>
      </c>
      <c r="H450" s="242">
        <v>0.1</v>
      </c>
      <c r="I450" s="271">
        <v>0.91</v>
      </c>
      <c r="J450" s="270">
        <v>0.21</v>
      </c>
      <c r="K450" s="279">
        <v>0.54</v>
      </c>
      <c r="L450" s="270">
        <v>0.89</v>
      </c>
      <c r="M450" s="276">
        <v>0.01</v>
      </c>
      <c r="N450" s="20">
        <v>0</v>
      </c>
      <c r="O450" s="20">
        <v>0</v>
      </c>
      <c r="P450" s="20">
        <v>0</v>
      </c>
      <c r="Q450" s="20">
        <v>0</v>
      </c>
      <c r="R450" s="20">
        <v>0</v>
      </c>
      <c r="S450" s="20">
        <v>0</v>
      </c>
      <c r="T450" s="20">
        <v>0</v>
      </c>
    </row>
    <row r="451" spans="1:20" x14ac:dyDescent="0.2">
      <c r="A451" s="20" t="s">
        <v>1489</v>
      </c>
      <c r="B451" s="403" t="s">
        <v>1349</v>
      </c>
      <c r="C451" s="20" t="str">
        <f t="shared" si="34"/>
        <v>Tropical WetSouth America</v>
      </c>
      <c r="D451" s="21"/>
      <c r="E451" s="257">
        <f t="shared" si="40"/>
        <v>0.52624999999999988</v>
      </c>
      <c r="F451" s="276">
        <v>0.45</v>
      </c>
      <c r="G451" s="20">
        <v>1.1399999999999999</v>
      </c>
      <c r="H451" s="242">
        <v>0.1</v>
      </c>
      <c r="I451" s="264">
        <v>0.7</v>
      </c>
      <c r="J451" s="270">
        <v>0.21</v>
      </c>
      <c r="K451" s="21">
        <v>0.71</v>
      </c>
      <c r="L451" s="270">
        <v>0.89</v>
      </c>
      <c r="M451" s="276">
        <v>0.01</v>
      </c>
      <c r="N451" s="20">
        <v>0</v>
      </c>
      <c r="O451" s="20">
        <v>0</v>
      </c>
      <c r="P451" s="20">
        <v>0</v>
      </c>
      <c r="Q451" s="20">
        <v>0</v>
      </c>
      <c r="R451" s="20">
        <v>0</v>
      </c>
      <c r="S451" s="20">
        <v>0</v>
      </c>
      <c r="T451" s="20">
        <v>0</v>
      </c>
    </row>
    <row r="452" spans="1:20" x14ac:dyDescent="0.2">
      <c r="A452" s="20" t="s">
        <v>1489</v>
      </c>
      <c r="B452" s="403" t="s">
        <v>1333</v>
      </c>
      <c r="C452" s="20" t="str">
        <f t="shared" si="34"/>
        <v>Tropical WetCentral America</v>
      </c>
      <c r="D452" s="21"/>
      <c r="E452" s="257">
        <f t="shared" si="40"/>
        <v>0.50624999999999998</v>
      </c>
      <c r="F452" s="269">
        <v>0.45</v>
      </c>
      <c r="G452" s="242">
        <v>1.1000000000000001</v>
      </c>
      <c r="H452" s="20">
        <v>0.1</v>
      </c>
      <c r="I452" s="264">
        <v>0.78</v>
      </c>
      <c r="J452" s="270">
        <v>0.21</v>
      </c>
      <c r="K452" s="21">
        <v>0.51</v>
      </c>
      <c r="L452" s="270">
        <v>0.89</v>
      </c>
      <c r="M452" s="276">
        <v>0.01</v>
      </c>
      <c r="N452" s="20">
        <v>0</v>
      </c>
      <c r="O452" s="20">
        <v>0</v>
      </c>
      <c r="P452" s="20">
        <v>0</v>
      </c>
      <c r="Q452" s="20">
        <v>0</v>
      </c>
      <c r="R452" s="20">
        <v>0</v>
      </c>
      <c r="S452" s="20">
        <v>0</v>
      </c>
      <c r="T452" s="20">
        <v>0</v>
      </c>
    </row>
    <row r="453" spans="1:20" x14ac:dyDescent="0.2">
      <c r="A453" s="37" t="s">
        <v>1489</v>
      </c>
      <c r="B453" s="404" t="s">
        <v>1547</v>
      </c>
      <c r="C453" s="20" t="str">
        <f t="shared" si="34"/>
        <v>Tropical WetCaribbean</v>
      </c>
      <c r="D453" s="292"/>
      <c r="E453" s="258">
        <f t="shared" si="40"/>
        <v>0.52625</v>
      </c>
      <c r="F453" s="276">
        <v>0.45</v>
      </c>
      <c r="G453" s="242">
        <v>1.1000000000000001</v>
      </c>
      <c r="H453" s="242">
        <v>0.1</v>
      </c>
      <c r="I453" s="271">
        <v>0.91</v>
      </c>
      <c r="J453" s="273">
        <v>0.21</v>
      </c>
      <c r="K453" s="279">
        <v>0.54</v>
      </c>
      <c r="L453" s="273">
        <v>0.89</v>
      </c>
      <c r="M453" s="276">
        <v>0.01</v>
      </c>
      <c r="N453" s="37">
        <v>0</v>
      </c>
      <c r="O453" s="37">
        <v>0</v>
      </c>
      <c r="P453" s="37">
        <v>0</v>
      </c>
      <c r="Q453" s="37">
        <v>0</v>
      </c>
      <c r="R453" s="37">
        <v>0</v>
      </c>
      <c r="S453" s="37">
        <v>0</v>
      </c>
      <c r="T453" s="37">
        <v>0</v>
      </c>
    </row>
    <row r="454" spans="1:20" x14ac:dyDescent="0.2">
      <c r="A454" s="63" t="s">
        <v>111</v>
      </c>
      <c r="B454" s="413" t="s">
        <v>1552</v>
      </c>
      <c r="C454" s="63" t="str">
        <f t="shared" si="34"/>
        <v>TropicalEastern Africa</v>
      </c>
      <c r="D454" s="266"/>
      <c r="E454" s="256">
        <f>AVERAGE(F454:M454)</f>
        <v>0.67374999999999996</v>
      </c>
      <c r="F454" s="267">
        <v>0.55000000000000004</v>
      </c>
      <c r="G454" s="267">
        <v>1.49</v>
      </c>
      <c r="H454" s="267">
        <v>0.11</v>
      </c>
      <c r="I454" s="241">
        <v>0.8</v>
      </c>
      <c r="J454" s="267">
        <v>0.21</v>
      </c>
      <c r="K454" s="267">
        <v>0.55000000000000004</v>
      </c>
      <c r="L454" s="267">
        <v>0.89</v>
      </c>
      <c r="M454" s="267">
        <v>0.79</v>
      </c>
      <c r="N454" s="63">
        <v>0</v>
      </c>
      <c r="O454" s="63">
        <v>0</v>
      </c>
      <c r="P454" s="63">
        <v>0</v>
      </c>
      <c r="Q454" s="63">
        <v>0</v>
      </c>
      <c r="R454" s="63">
        <v>0</v>
      </c>
      <c r="S454" s="63">
        <v>0</v>
      </c>
      <c r="T454" s="63">
        <v>0</v>
      </c>
    </row>
    <row r="455" spans="1:20" x14ac:dyDescent="0.2">
      <c r="A455" s="20" t="s">
        <v>111</v>
      </c>
      <c r="B455" s="403" t="s">
        <v>1557</v>
      </c>
      <c r="C455" s="20" t="str">
        <f t="shared" si="34"/>
        <v>TropicalCentral Africa</v>
      </c>
      <c r="D455" s="269"/>
      <c r="E455" s="257">
        <f t="shared" ref="E455:E469" si="41">AVERAGE(F455:M455)</f>
        <v>0.67374999999999996</v>
      </c>
      <c r="F455" s="270">
        <v>0.55000000000000004</v>
      </c>
      <c r="G455" s="270">
        <v>1.49</v>
      </c>
      <c r="H455" s="270">
        <v>0.11</v>
      </c>
      <c r="I455" s="242">
        <v>0.8</v>
      </c>
      <c r="J455" s="270">
        <v>0.21</v>
      </c>
      <c r="K455" s="270">
        <v>0.55000000000000004</v>
      </c>
      <c r="L455" s="270">
        <v>0.89</v>
      </c>
      <c r="M455" s="270">
        <v>0.79</v>
      </c>
      <c r="N455" s="20">
        <v>0</v>
      </c>
      <c r="O455" s="20">
        <v>0</v>
      </c>
      <c r="P455" s="20">
        <v>0</v>
      </c>
      <c r="Q455" s="20">
        <v>0</v>
      </c>
      <c r="R455" s="20">
        <v>0</v>
      </c>
      <c r="S455" s="20">
        <v>0</v>
      </c>
      <c r="T455" s="20">
        <v>0</v>
      </c>
    </row>
    <row r="456" spans="1:20" x14ac:dyDescent="0.2">
      <c r="A456" s="20" t="s">
        <v>111</v>
      </c>
      <c r="B456" s="403" t="s">
        <v>1559</v>
      </c>
      <c r="C456" s="20" t="str">
        <f t="shared" si="34"/>
        <v>TropicalNorthern Africa</v>
      </c>
      <c r="D456" s="269"/>
      <c r="E456" s="257">
        <f t="shared" si="41"/>
        <v>0.67374999999999996</v>
      </c>
      <c r="F456" s="270">
        <v>0.55000000000000004</v>
      </c>
      <c r="G456" s="270">
        <v>1.49</v>
      </c>
      <c r="H456" s="270">
        <v>0.11</v>
      </c>
      <c r="I456" s="242">
        <v>0.8</v>
      </c>
      <c r="J456" s="270">
        <v>0.21</v>
      </c>
      <c r="K456" s="270">
        <v>0.55000000000000004</v>
      </c>
      <c r="L456" s="270">
        <v>0.89</v>
      </c>
      <c r="M456" s="270">
        <v>0.79</v>
      </c>
      <c r="N456" s="20">
        <v>0</v>
      </c>
      <c r="O456" s="20">
        <v>0</v>
      </c>
      <c r="P456" s="20">
        <v>0</v>
      </c>
      <c r="Q456" s="20">
        <v>0</v>
      </c>
      <c r="R456" s="20">
        <v>0</v>
      </c>
      <c r="S456" s="20">
        <v>0</v>
      </c>
      <c r="T456" s="20">
        <v>0</v>
      </c>
    </row>
    <row r="457" spans="1:20" x14ac:dyDescent="0.2">
      <c r="A457" s="20" t="s">
        <v>111</v>
      </c>
      <c r="B457" s="403" t="s">
        <v>1565</v>
      </c>
      <c r="C457" s="20" t="str">
        <f t="shared" si="34"/>
        <v>TropicalSouthern Africa</v>
      </c>
      <c r="D457" s="269"/>
      <c r="E457" s="257">
        <f t="shared" si="41"/>
        <v>0.67374999999999996</v>
      </c>
      <c r="F457" s="270">
        <v>0.55000000000000004</v>
      </c>
      <c r="G457" s="270">
        <v>1.49</v>
      </c>
      <c r="H457" s="270">
        <v>0.11</v>
      </c>
      <c r="I457" s="242">
        <v>0.8</v>
      </c>
      <c r="J457" s="270">
        <v>0.21</v>
      </c>
      <c r="K457" s="270">
        <v>0.55000000000000004</v>
      </c>
      <c r="L457" s="270">
        <v>0.89</v>
      </c>
      <c r="M457" s="270">
        <v>0.79</v>
      </c>
      <c r="N457" s="20">
        <v>0</v>
      </c>
      <c r="O457" s="20">
        <v>0</v>
      </c>
      <c r="P457" s="20">
        <v>0</v>
      </c>
      <c r="Q457" s="20">
        <v>0</v>
      </c>
      <c r="R457" s="20">
        <v>0</v>
      </c>
      <c r="S457" s="20">
        <v>0</v>
      </c>
      <c r="T457" s="20">
        <v>0</v>
      </c>
    </row>
    <row r="458" spans="1:20" x14ac:dyDescent="0.2">
      <c r="A458" s="20" t="s">
        <v>111</v>
      </c>
      <c r="B458" s="403" t="s">
        <v>1569</v>
      </c>
      <c r="C458" s="20" t="str">
        <f t="shared" si="34"/>
        <v>TropicalWestern Africa</v>
      </c>
      <c r="D458" s="269"/>
      <c r="E458" s="257">
        <f t="shared" si="41"/>
        <v>0.67374999999999996</v>
      </c>
      <c r="F458" s="270">
        <v>0.55000000000000004</v>
      </c>
      <c r="G458" s="270">
        <v>1.49</v>
      </c>
      <c r="H458" s="270">
        <v>0.11</v>
      </c>
      <c r="I458" s="242">
        <v>0.8</v>
      </c>
      <c r="J458" s="270">
        <v>0.21</v>
      </c>
      <c r="K458" s="270">
        <v>0.55000000000000004</v>
      </c>
      <c r="L458" s="270">
        <v>0.89</v>
      </c>
      <c r="M458" s="270">
        <v>0.79</v>
      </c>
      <c r="N458" s="20">
        <v>0</v>
      </c>
      <c r="O458" s="20">
        <v>0</v>
      </c>
      <c r="P458" s="20">
        <v>0</v>
      </c>
      <c r="Q458" s="20">
        <v>0</v>
      </c>
      <c r="R458" s="20">
        <v>0</v>
      </c>
      <c r="S458" s="20">
        <v>0</v>
      </c>
      <c r="T458" s="20">
        <v>0</v>
      </c>
    </row>
    <row r="459" spans="1:20" x14ac:dyDescent="0.2">
      <c r="A459" s="20" t="s">
        <v>111</v>
      </c>
      <c r="B459" s="403" t="s">
        <v>1550</v>
      </c>
      <c r="C459" s="20" t="str">
        <f t="shared" si="34"/>
        <v>TropicalCentral Asia</v>
      </c>
      <c r="D459" s="269"/>
      <c r="E459" s="257">
        <f t="shared" si="41"/>
        <v>0.67374999999999996</v>
      </c>
      <c r="F459" s="270">
        <v>0.55000000000000004</v>
      </c>
      <c r="G459" s="270">
        <v>1.49</v>
      </c>
      <c r="H459" s="270">
        <v>0.11</v>
      </c>
      <c r="I459" s="242">
        <v>0.8</v>
      </c>
      <c r="J459" s="270">
        <v>0.21</v>
      </c>
      <c r="K459" s="270">
        <v>0.55000000000000004</v>
      </c>
      <c r="L459" s="270">
        <v>0.89</v>
      </c>
      <c r="M459" s="270">
        <v>0.79</v>
      </c>
      <c r="N459" s="20">
        <v>0</v>
      </c>
      <c r="O459" s="20">
        <v>0</v>
      </c>
      <c r="P459" s="20">
        <v>0</v>
      </c>
      <c r="Q459" s="20">
        <v>0</v>
      </c>
      <c r="R459" s="20">
        <v>0</v>
      </c>
      <c r="S459" s="20">
        <v>0</v>
      </c>
      <c r="T459" s="20">
        <v>0</v>
      </c>
    </row>
    <row r="460" spans="1:20" x14ac:dyDescent="0.2">
      <c r="A460" s="20" t="s">
        <v>111</v>
      </c>
      <c r="B460" s="403" t="s">
        <v>1554</v>
      </c>
      <c r="C460" s="20" t="str">
        <f t="shared" si="34"/>
        <v>TropicalEastern Asia</v>
      </c>
      <c r="D460" s="269"/>
      <c r="E460" s="257">
        <f t="shared" si="41"/>
        <v>0.67374999999999996</v>
      </c>
      <c r="F460" s="270">
        <v>0.55000000000000004</v>
      </c>
      <c r="G460" s="270">
        <v>1.49</v>
      </c>
      <c r="H460" s="270">
        <v>0.11</v>
      </c>
      <c r="I460" s="242">
        <v>0.8</v>
      </c>
      <c r="J460" s="270">
        <v>0.21</v>
      </c>
      <c r="K460" s="270">
        <v>0.55000000000000004</v>
      </c>
      <c r="L460" s="270">
        <v>0.89</v>
      </c>
      <c r="M460" s="270">
        <v>0.79</v>
      </c>
      <c r="N460" s="20">
        <v>0</v>
      </c>
      <c r="O460" s="20">
        <v>0</v>
      </c>
      <c r="P460" s="20">
        <v>0</v>
      </c>
      <c r="Q460" s="20">
        <v>0</v>
      </c>
      <c r="R460" s="20">
        <v>0</v>
      </c>
      <c r="S460" s="20">
        <v>0</v>
      </c>
      <c r="T460" s="20">
        <v>0</v>
      </c>
    </row>
    <row r="461" spans="1:20" x14ac:dyDescent="0.2">
      <c r="A461" s="20" t="s">
        <v>111</v>
      </c>
      <c r="B461" s="403" t="s">
        <v>1563</v>
      </c>
      <c r="C461" s="20" t="str">
        <f t="shared" si="34"/>
        <v>TropicalSouth-eastern Asia</v>
      </c>
      <c r="D461" s="269"/>
      <c r="E461" s="257">
        <f t="shared" si="41"/>
        <v>0.67374999999999996</v>
      </c>
      <c r="F461" s="270">
        <v>0.55000000000000004</v>
      </c>
      <c r="G461" s="270">
        <v>1.49</v>
      </c>
      <c r="H461" s="270">
        <v>0.11</v>
      </c>
      <c r="I461" s="242">
        <v>0.8</v>
      </c>
      <c r="J461" s="270">
        <v>0.21</v>
      </c>
      <c r="K461" s="270">
        <v>0.55000000000000004</v>
      </c>
      <c r="L461" s="270">
        <v>0.89</v>
      </c>
      <c r="M461" s="270">
        <v>0.79</v>
      </c>
      <c r="N461" s="20">
        <v>0</v>
      </c>
      <c r="O461" s="20">
        <v>0</v>
      </c>
      <c r="P461" s="20">
        <v>0</v>
      </c>
      <c r="Q461" s="20">
        <v>0</v>
      </c>
      <c r="R461" s="20">
        <v>0</v>
      </c>
      <c r="S461" s="20">
        <v>0</v>
      </c>
      <c r="T461" s="20">
        <v>0</v>
      </c>
    </row>
    <row r="462" spans="1:20" x14ac:dyDescent="0.2">
      <c r="A462" s="20" t="s">
        <v>111</v>
      </c>
      <c r="B462" s="403" t="s">
        <v>1567</v>
      </c>
      <c r="C462" s="20" t="str">
        <f t="shared" si="34"/>
        <v>TropicalSouthern Asia</v>
      </c>
      <c r="D462" s="269"/>
      <c r="E462" s="257">
        <f t="shared" si="41"/>
        <v>0.67374999999999996</v>
      </c>
      <c r="F462" s="270">
        <v>0.55000000000000004</v>
      </c>
      <c r="G462" s="270">
        <v>1.49</v>
      </c>
      <c r="H462" s="270">
        <v>0.11</v>
      </c>
      <c r="I462" s="242">
        <v>0.8</v>
      </c>
      <c r="J462" s="270">
        <v>0.21</v>
      </c>
      <c r="K462" s="270">
        <v>0.55000000000000004</v>
      </c>
      <c r="L462" s="270">
        <v>0.89</v>
      </c>
      <c r="M462" s="270">
        <v>0.79</v>
      </c>
      <c r="N462" s="20">
        <v>0</v>
      </c>
      <c r="O462" s="20">
        <v>0</v>
      </c>
      <c r="P462" s="20">
        <v>0</v>
      </c>
      <c r="Q462" s="20">
        <v>0</v>
      </c>
      <c r="R462" s="20">
        <v>0</v>
      </c>
      <c r="S462" s="20">
        <v>0</v>
      </c>
      <c r="T462" s="20">
        <v>0</v>
      </c>
    </row>
    <row r="463" spans="1:20" x14ac:dyDescent="0.2">
      <c r="A463" s="20" t="s">
        <v>111</v>
      </c>
      <c r="B463" s="403" t="s">
        <v>1571</v>
      </c>
      <c r="C463" s="20" t="str">
        <f t="shared" si="34"/>
        <v>TropicalWestern Asia</v>
      </c>
      <c r="D463" s="269"/>
      <c r="E463" s="257">
        <f t="shared" si="41"/>
        <v>0.67374999999999996</v>
      </c>
      <c r="F463" s="270">
        <v>0.55000000000000004</v>
      </c>
      <c r="G463" s="270">
        <v>1.49</v>
      </c>
      <c r="H463" s="270">
        <v>0.11</v>
      </c>
      <c r="I463" s="242">
        <v>0.8</v>
      </c>
      <c r="J463" s="270">
        <v>0.21</v>
      </c>
      <c r="K463" s="270">
        <v>0.55000000000000004</v>
      </c>
      <c r="L463" s="270">
        <v>0.89</v>
      </c>
      <c r="M463" s="270">
        <v>0.79</v>
      </c>
      <c r="N463" s="20">
        <v>0</v>
      </c>
      <c r="O463" s="20">
        <v>0</v>
      </c>
      <c r="P463" s="20">
        <v>0</v>
      </c>
      <c r="Q463" s="20">
        <v>0</v>
      </c>
      <c r="R463" s="20">
        <v>0</v>
      </c>
      <c r="S463" s="20">
        <v>0</v>
      </c>
      <c r="T463" s="20">
        <v>0</v>
      </c>
    </row>
    <row r="464" spans="1:20" x14ac:dyDescent="0.2">
      <c r="A464" s="20" t="s">
        <v>111</v>
      </c>
      <c r="B464" s="403" t="s">
        <v>1555</v>
      </c>
      <c r="C464" s="20" t="str">
        <f t="shared" si="34"/>
        <v>TropicalEurope</v>
      </c>
      <c r="D464" s="269"/>
      <c r="E464" s="257">
        <f t="shared" si="41"/>
        <v>0.67374999999999996</v>
      </c>
      <c r="F464" s="270">
        <v>0.55000000000000004</v>
      </c>
      <c r="G464" s="270">
        <v>1.49</v>
      </c>
      <c r="H464" s="270">
        <v>0.11</v>
      </c>
      <c r="I464" s="242">
        <v>0.8</v>
      </c>
      <c r="J464" s="270">
        <v>0.21</v>
      </c>
      <c r="K464" s="270">
        <v>0.55000000000000004</v>
      </c>
      <c r="L464" s="270">
        <v>0.89</v>
      </c>
      <c r="M464" s="270">
        <v>0.79</v>
      </c>
      <c r="N464" s="20">
        <v>0</v>
      </c>
      <c r="O464" s="20">
        <v>0</v>
      </c>
      <c r="P464" s="20">
        <v>0</v>
      </c>
      <c r="Q464" s="20">
        <v>0</v>
      </c>
      <c r="R464" s="20">
        <v>0</v>
      </c>
      <c r="S464" s="20">
        <v>0</v>
      </c>
      <c r="T464" s="20">
        <v>0</v>
      </c>
    </row>
    <row r="465" spans="1:20" x14ac:dyDescent="0.2">
      <c r="A465" s="20" t="s">
        <v>111</v>
      </c>
      <c r="B465" s="403" t="s">
        <v>1346</v>
      </c>
      <c r="C465" s="20" t="str">
        <f t="shared" si="34"/>
        <v>TropicalOceania</v>
      </c>
      <c r="D465" s="269"/>
      <c r="E465" s="257">
        <f t="shared" si="41"/>
        <v>0.67374999999999996</v>
      </c>
      <c r="F465" s="270">
        <v>0.55000000000000004</v>
      </c>
      <c r="G465" s="270">
        <v>1.49</v>
      </c>
      <c r="H465" s="270">
        <v>0.11</v>
      </c>
      <c r="I465" s="242">
        <v>0.8</v>
      </c>
      <c r="J465" s="270">
        <v>0.21</v>
      </c>
      <c r="K465" s="270">
        <v>0.55000000000000004</v>
      </c>
      <c r="L465" s="270">
        <v>0.89</v>
      </c>
      <c r="M465" s="270">
        <v>0.79</v>
      </c>
      <c r="N465" s="20">
        <v>0</v>
      </c>
      <c r="O465" s="20">
        <v>0</v>
      </c>
      <c r="P465" s="20">
        <v>0</v>
      </c>
      <c r="Q465" s="20">
        <v>0</v>
      </c>
      <c r="R465" s="20">
        <v>0</v>
      </c>
      <c r="S465" s="20">
        <v>0</v>
      </c>
      <c r="T465" s="20">
        <v>0</v>
      </c>
    </row>
    <row r="466" spans="1:20" x14ac:dyDescent="0.2">
      <c r="A466" s="20" t="s">
        <v>111</v>
      </c>
      <c r="B466" s="403" t="s">
        <v>1343</v>
      </c>
      <c r="C466" s="20" t="str">
        <f t="shared" si="34"/>
        <v>TropicalNorth America</v>
      </c>
      <c r="D466" s="269"/>
      <c r="E466" s="257">
        <f t="shared" si="41"/>
        <v>0.67374999999999996</v>
      </c>
      <c r="F466" s="270">
        <v>0.55000000000000004</v>
      </c>
      <c r="G466" s="270">
        <v>1.49</v>
      </c>
      <c r="H466" s="270">
        <v>0.11</v>
      </c>
      <c r="I466" s="242">
        <v>0.8</v>
      </c>
      <c r="J466" s="270">
        <v>0.21</v>
      </c>
      <c r="K466" s="270">
        <v>0.55000000000000004</v>
      </c>
      <c r="L466" s="270">
        <v>0.89</v>
      </c>
      <c r="M466" s="270">
        <v>0.79</v>
      </c>
      <c r="N466" s="20">
        <v>0</v>
      </c>
      <c r="O466" s="20">
        <v>0</v>
      </c>
      <c r="P466" s="20">
        <v>0</v>
      </c>
      <c r="Q466" s="20">
        <v>0</v>
      </c>
      <c r="R466" s="20">
        <v>0</v>
      </c>
      <c r="S466" s="20">
        <v>0</v>
      </c>
      <c r="T466" s="20">
        <v>0</v>
      </c>
    </row>
    <row r="467" spans="1:20" x14ac:dyDescent="0.2">
      <c r="A467" s="20" t="s">
        <v>111</v>
      </c>
      <c r="B467" s="403" t="s">
        <v>1349</v>
      </c>
      <c r="C467" s="20" t="str">
        <f t="shared" si="34"/>
        <v>TropicalSouth America</v>
      </c>
      <c r="D467" s="269"/>
      <c r="E467" s="257">
        <f t="shared" si="41"/>
        <v>0.67374999999999996</v>
      </c>
      <c r="F467" s="270">
        <v>0.55000000000000004</v>
      </c>
      <c r="G467" s="270">
        <v>1.49</v>
      </c>
      <c r="H467" s="270">
        <v>0.11</v>
      </c>
      <c r="I467" s="242">
        <v>0.8</v>
      </c>
      <c r="J467" s="270">
        <v>0.21</v>
      </c>
      <c r="K467" s="270">
        <v>0.55000000000000004</v>
      </c>
      <c r="L467" s="270">
        <v>0.89</v>
      </c>
      <c r="M467" s="270">
        <v>0.79</v>
      </c>
      <c r="N467" s="20">
        <v>0</v>
      </c>
      <c r="O467" s="20">
        <v>0</v>
      </c>
      <c r="P467" s="20">
        <v>0</v>
      </c>
      <c r="Q467" s="20">
        <v>0</v>
      </c>
      <c r="R467" s="20">
        <v>0</v>
      </c>
      <c r="S467" s="20">
        <v>0</v>
      </c>
      <c r="T467" s="20">
        <v>0</v>
      </c>
    </row>
    <row r="468" spans="1:20" x14ac:dyDescent="0.2">
      <c r="A468" s="20" t="s">
        <v>111</v>
      </c>
      <c r="B468" s="403" t="s">
        <v>1333</v>
      </c>
      <c r="C468" s="20" t="str">
        <f t="shared" si="34"/>
        <v>TropicalCentral America</v>
      </c>
      <c r="D468" s="269"/>
      <c r="E468" s="257">
        <f t="shared" si="41"/>
        <v>0.67374999999999996</v>
      </c>
      <c r="F468" s="270">
        <v>0.55000000000000004</v>
      </c>
      <c r="G468" s="270">
        <v>1.49</v>
      </c>
      <c r="H468" s="270">
        <v>0.11</v>
      </c>
      <c r="I468" s="242">
        <v>0.8</v>
      </c>
      <c r="J468" s="270">
        <v>0.21</v>
      </c>
      <c r="K468" s="270">
        <v>0.55000000000000004</v>
      </c>
      <c r="L468" s="270">
        <v>0.89</v>
      </c>
      <c r="M468" s="270">
        <v>0.79</v>
      </c>
      <c r="N468" s="20">
        <v>0</v>
      </c>
      <c r="O468" s="20">
        <v>0</v>
      </c>
      <c r="P468" s="20">
        <v>0</v>
      </c>
      <c r="Q468" s="20">
        <v>0</v>
      </c>
      <c r="R468" s="20">
        <v>0</v>
      </c>
      <c r="S468" s="20">
        <v>0</v>
      </c>
      <c r="T468" s="20">
        <v>0</v>
      </c>
    </row>
    <row r="469" spans="1:20" x14ac:dyDescent="0.2">
      <c r="A469" s="37" t="s">
        <v>111</v>
      </c>
      <c r="B469" s="404" t="s">
        <v>1547</v>
      </c>
      <c r="C469" s="37" t="str">
        <f t="shared" si="34"/>
        <v>TropicalCaribbean</v>
      </c>
      <c r="D469" s="272"/>
      <c r="E469" s="258">
        <f t="shared" si="41"/>
        <v>0.67374999999999996</v>
      </c>
      <c r="F469" s="273">
        <v>0.55000000000000004</v>
      </c>
      <c r="G469" s="273">
        <v>1.49</v>
      </c>
      <c r="H469" s="273">
        <v>0.11</v>
      </c>
      <c r="I469" s="243">
        <v>0.8</v>
      </c>
      <c r="J469" s="273">
        <v>0.21</v>
      </c>
      <c r="K469" s="273">
        <v>0.55000000000000004</v>
      </c>
      <c r="L469" s="273">
        <v>0.89</v>
      </c>
      <c r="M469" s="273">
        <v>0.79</v>
      </c>
      <c r="N469" s="37">
        <v>0</v>
      </c>
      <c r="O469" s="37">
        <v>0</v>
      </c>
      <c r="P469" s="37">
        <v>0</v>
      </c>
      <c r="Q469" s="37">
        <v>0</v>
      </c>
      <c r="R469" s="37">
        <v>0</v>
      </c>
      <c r="S469" s="37">
        <v>0</v>
      </c>
      <c r="T469" s="37">
        <v>0</v>
      </c>
    </row>
    <row r="470" spans="1:20" s="21" customFormat="1" x14ac:dyDescent="0.2">
      <c r="A470" s="63" t="s">
        <v>1490</v>
      </c>
      <c r="B470" s="410" t="s">
        <v>1552</v>
      </c>
      <c r="C470" s="63" t="str">
        <f t="shared" si="34"/>
        <v>Boreal DryEastern Africa</v>
      </c>
      <c r="D470" s="109"/>
      <c r="E470" s="256">
        <f>AVERAGE(F470:M470)</f>
        <v>0.38666666666666666</v>
      </c>
      <c r="F470" s="266"/>
      <c r="G470" s="263"/>
      <c r="H470" s="267">
        <v>0.23</v>
      </c>
      <c r="I470" s="275"/>
      <c r="J470" s="267"/>
      <c r="K470" s="268"/>
      <c r="L470" s="268">
        <v>0.23</v>
      </c>
      <c r="M470" s="241">
        <v>0.7</v>
      </c>
      <c r="N470" s="63">
        <v>0</v>
      </c>
      <c r="O470" s="63">
        <v>0</v>
      </c>
      <c r="P470" s="63">
        <v>0</v>
      </c>
      <c r="Q470" s="63">
        <v>0</v>
      </c>
      <c r="R470" s="63">
        <v>0</v>
      </c>
      <c r="S470" s="63">
        <v>0</v>
      </c>
      <c r="T470" s="63">
        <v>0</v>
      </c>
    </row>
    <row r="471" spans="1:20" s="21" customFormat="1" x14ac:dyDescent="0.2">
      <c r="A471" s="20" t="s">
        <v>1490</v>
      </c>
      <c r="B471" s="411" t="s">
        <v>1557</v>
      </c>
      <c r="C471" s="20" t="str">
        <f t="shared" ref="C471:C501" si="42">CONCATENATE(A471,B471)</f>
        <v>Boreal DryCentral Africa</v>
      </c>
      <c r="D471" s="61"/>
      <c r="E471" s="257">
        <f t="shared" ref="E471:E485" si="43">AVERAGE(F471:M471)</f>
        <v>0.38666666666666666</v>
      </c>
      <c r="F471" s="269"/>
      <c r="G471" s="264"/>
      <c r="H471" s="270">
        <v>0.23</v>
      </c>
      <c r="I471" s="276"/>
      <c r="J471" s="270"/>
      <c r="K471" s="271"/>
      <c r="L471" s="271">
        <v>0.23</v>
      </c>
      <c r="M471" s="242">
        <v>0.7</v>
      </c>
      <c r="N471" s="20">
        <v>0</v>
      </c>
      <c r="O471" s="20">
        <v>0</v>
      </c>
      <c r="P471" s="20">
        <v>0</v>
      </c>
      <c r="Q471" s="20">
        <v>0</v>
      </c>
      <c r="R471" s="20">
        <v>0</v>
      </c>
      <c r="S471" s="20">
        <v>0</v>
      </c>
      <c r="T471" s="20">
        <v>0</v>
      </c>
    </row>
    <row r="472" spans="1:20" s="21" customFormat="1" x14ac:dyDescent="0.2">
      <c r="A472" s="20" t="s">
        <v>1490</v>
      </c>
      <c r="B472" s="411" t="s">
        <v>1559</v>
      </c>
      <c r="C472" s="20" t="str">
        <f t="shared" si="42"/>
        <v>Boreal DryNorthern Africa</v>
      </c>
      <c r="D472" s="61"/>
      <c r="E472" s="257">
        <f t="shared" si="43"/>
        <v>0.38666666666666666</v>
      </c>
      <c r="F472" s="269"/>
      <c r="G472" s="264"/>
      <c r="H472" s="270">
        <v>0.23</v>
      </c>
      <c r="I472" s="276"/>
      <c r="J472" s="270"/>
      <c r="K472" s="271"/>
      <c r="L472" s="271">
        <v>0.23</v>
      </c>
      <c r="M472" s="242">
        <v>0.7</v>
      </c>
      <c r="N472" s="20">
        <v>0</v>
      </c>
      <c r="O472" s="20">
        <v>0</v>
      </c>
      <c r="P472" s="20">
        <v>0</v>
      </c>
      <c r="Q472" s="20">
        <v>0</v>
      </c>
      <c r="R472" s="20">
        <v>0</v>
      </c>
      <c r="S472" s="20">
        <v>0</v>
      </c>
      <c r="T472" s="20">
        <v>0</v>
      </c>
    </row>
    <row r="473" spans="1:20" s="21" customFormat="1" x14ac:dyDescent="0.2">
      <c r="A473" s="20" t="s">
        <v>1490</v>
      </c>
      <c r="B473" s="411" t="s">
        <v>1565</v>
      </c>
      <c r="C473" s="20" t="str">
        <f t="shared" si="42"/>
        <v>Boreal DrySouthern Africa</v>
      </c>
      <c r="D473" s="61"/>
      <c r="E473" s="257">
        <f t="shared" si="43"/>
        <v>0.38666666666666666</v>
      </c>
      <c r="F473" s="269"/>
      <c r="G473" s="264"/>
      <c r="H473" s="270">
        <v>0.23</v>
      </c>
      <c r="I473" s="276"/>
      <c r="J473" s="270"/>
      <c r="K473" s="271"/>
      <c r="L473" s="271">
        <v>0.23</v>
      </c>
      <c r="M473" s="242">
        <v>0.7</v>
      </c>
      <c r="N473" s="20">
        <v>0</v>
      </c>
      <c r="O473" s="20">
        <v>0</v>
      </c>
      <c r="P473" s="20">
        <v>0</v>
      </c>
      <c r="Q473" s="20">
        <v>0</v>
      </c>
      <c r="R473" s="20">
        <v>0</v>
      </c>
      <c r="S473" s="20">
        <v>0</v>
      </c>
      <c r="T473" s="20">
        <v>0</v>
      </c>
    </row>
    <row r="474" spans="1:20" s="21" customFormat="1" x14ac:dyDescent="0.2">
      <c r="A474" s="20" t="s">
        <v>1490</v>
      </c>
      <c r="B474" s="411" t="s">
        <v>1569</v>
      </c>
      <c r="C474" s="20" t="str">
        <f t="shared" si="42"/>
        <v>Boreal DryWestern Africa</v>
      </c>
      <c r="D474" s="61"/>
      <c r="E474" s="257">
        <f t="shared" si="43"/>
        <v>0.38666666666666666</v>
      </c>
      <c r="F474" s="269"/>
      <c r="G474" s="264"/>
      <c r="H474" s="270">
        <v>0.23</v>
      </c>
      <c r="I474" s="276"/>
      <c r="J474" s="270"/>
      <c r="K474" s="271"/>
      <c r="L474" s="271">
        <v>0.23</v>
      </c>
      <c r="M474" s="242">
        <v>0.7</v>
      </c>
      <c r="N474" s="20">
        <v>0</v>
      </c>
      <c r="O474" s="20">
        <v>0</v>
      </c>
      <c r="P474" s="20">
        <v>0</v>
      </c>
      <c r="Q474" s="20">
        <v>0</v>
      </c>
      <c r="R474" s="20">
        <v>0</v>
      </c>
      <c r="S474" s="20">
        <v>0</v>
      </c>
      <c r="T474" s="20">
        <v>0</v>
      </c>
    </row>
    <row r="475" spans="1:20" s="21" customFormat="1" x14ac:dyDescent="0.2">
      <c r="A475" s="20" t="s">
        <v>1490</v>
      </c>
      <c r="B475" s="411" t="s">
        <v>1550</v>
      </c>
      <c r="C475" s="20" t="str">
        <f t="shared" si="42"/>
        <v>Boreal DryCentral Asia</v>
      </c>
      <c r="D475" s="61"/>
      <c r="E475" s="257">
        <f t="shared" si="43"/>
        <v>0.38666666666666666</v>
      </c>
      <c r="F475" s="269"/>
      <c r="G475" s="264"/>
      <c r="H475" s="270">
        <v>0.23</v>
      </c>
      <c r="I475" s="276"/>
      <c r="J475" s="270"/>
      <c r="K475" s="271"/>
      <c r="L475" s="271">
        <v>0.23</v>
      </c>
      <c r="M475" s="242">
        <v>0.7</v>
      </c>
      <c r="N475" s="20">
        <v>0</v>
      </c>
      <c r="O475" s="20">
        <v>0</v>
      </c>
      <c r="P475" s="20">
        <v>0</v>
      </c>
      <c r="Q475" s="20">
        <v>0</v>
      </c>
      <c r="R475" s="20">
        <v>0</v>
      </c>
      <c r="S475" s="20">
        <v>0</v>
      </c>
      <c r="T475" s="20">
        <v>0</v>
      </c>
    </row>
    <row r="476" spans="1:20" s="21" customFormat="1" x14ac:dyDescent="0.2">
      <c r="A476" s="20" t="s">
        <v>1490</v>
      </c>
      <c r="B476" s="411" t="s">
        <v>1554</v>
      </c>
      <c r="C476" s="20" t="str">
        <f t="shared" si="42"/>
        <v>Boreal DryEastern Asia</v>
      </c>
      <c r="D476" s="61"/>
      <c r="E476" s="257">
        <f t="shared" si="43"/>
        <v>0.38666666666666666</v>
      </c>
      <c r="F476" s="269"/>
      <c r="G476" s="264"/>
      <c r="H476" s="270">
        <v>0.23</v>
      </c>
      <c r="I476" s="276"/>
      <c r="J476" s="270"/>
      <c r="K476" s="271"/>
      <c r="L476" s="271">
        <v>0.23</v>
      </c>
      <c r="M476" s="242">
        <v>0.7</v>
      </c>
      <c r="N476" s="20">
        <v>0</v>
      </c>
      <c r="O476" s="20">
        <v>0</v>
      </c>
      <c r="P476" s="20">
        <v>0</v>
      </c>
      <c r="Q476" s="20">
        <v>0</v>
      </c>
      <c r="R476" s="20">
        <v>0</v>
      </c>
      <c r="S476" s="20">
        <v>0</v>
      </c>
      <c r="T476" s="20">
        <v>0</v>
      </c>
    </row>
    <row r="477" spans="1:20" s="21" customFormat="1" x14ac:dyDescent="0.2">
      <c r="A477" s="20" t="s">
        <v>1490</v>
      </c>
      <c r="B477" s="411" t="s">
        <v>1563</v>
      </c>
      <c r="C477" s="20" t="str">
        <f t="shared" si="42"/>
        <v>Boreal DrySouth-eastern Asia</v>
      </c>
      <c r="D477" s="61"/>
      <c r="E477" s="257">
        <f t="shared" si="43"/>
        <v>0.38666666666666666</v>
      </c>
      <c r="F477" s="269"/>
      <c r="G477" s="264"/>
      <c r="H477" s="270">
        <v>0.23</v>
      </c>
      <c r="I477" s="276"/>
      <c r="J477" s="270"/>
      <c r="K477" s="271"/>
      <c r="L477" s="271">
        <v>0.23</v>
      </c>
      <c r="M477" s="242">
        <v>0.7</v>
      </c>
      <c r="N477" s="20">
        <v>0</v>
      </c>
      <c r="O477" s="20">
        <v>0</v>
      </c>
      <c r="P477" s="20">
        <v>0</v>
      </c>
      <c r="Q477" s="20">
        <v>0</v>
      </c>
      <c r="R477" s="20">
        <v>0</v>
      </c>
      <c r="S477" s="20">
        <v>0</v>
      </c>
      <c r="T477" s="20">
        <v>0</v>
      </c>
    </row>
    <row r="478" spans="1:20" s="21" customFormat="1" x14ac:dyDescent="0.2">
      <c r="A478" s="20" t="s">
        <v>1490</v>
      </c>
      <c r="B478" s="411" t="s">
        <v>1567</v>
      </c>
      <c r="C478" s="20" t="str">
        <f t="shared" si="42"/>
        <v>Boreal DrySouthern Asia</v>
      </c>
      <c r="D478" s="61"/>
      <c r="E478" s="257">
        <f t="shared" si="43"/>
        <v>0.38666666666666666</v>
      </c>
      <c r="F478" s="269"/>
      <c r="G478" s="264"/>
      <c r="H478" s="270">
        <v>0.23</v>
      </c>
      <c r="I478" s="276"/>
      <c r="J478" s="270"/>
      <c r="K478" s="271"/>
      <c r="L478" s="271">
        <v>0.23</v>
      </c>
      <c r="M478" s="242">
        <v>0.7</v>
      </c>
      <c r="N478" s="20">
        <v>0</v>
      </c>
      <c r="O478" s="20">
        <v>0</v>
      </c>
      <c r="P478" s="20">
        <v>0</v>
      </c>
      <c r="Q478" s="20">
        <v>0</v>
      </c>
      <c r="R478" s="20">
        <v>0</v>
      </c>
      <c r="S478" s="20">
        <v>0</v>
      </c>
      <c r="T478" s="20">
        <v>0</v>
      </c>
    </row>
    <row r="479" spans="1:20" s="21" customFormat="1" x14ac:dyDescent="0.2">
      <c r="A479" s="20" t="s">
        <v>1490</v>
      </c>
      <c r="B479" s="411" t="s">
        <v>1571</v>
      </c>
      <c r="C479" s="20" t="str">
        <f t="shared" si="42"/>
        <v>Boreal DryWestern Asia</v>
      </c>
      <c r="D479" s="61"/>
      <c r="E479" s="257">
        <f t="shared" si="43"/>
        <v>0.38666666666666666</v>
      </c>
      <c r="F479" s="269"/>
      <c r="G479" s="264"/>
      <c r="H479" s="270">
        <v>0.23</v>
      </c>
      <c r="I479" s="276"/>
      <c r="J479" s="270"/>
      <c r="K479" s="271"/>
      <c r="L479" s="271">
        <v>0.23</v>
      </c>
      <c r="M479" s="242">
        <v>0.7</v>
      </c>
      <c r="N479" s="20">
        <v>0</v>
      </c>
      <c r="O479" s="20">
        <v>0</v>
      </c>
      <c r="P479" s="20">
        <v>0</v>
      </c>
      <c r="Q479" s="20">
        <v>0</v>
      </c>
      <c r="R479" s="20">
        <v>0</v>
      </c>
      <c r="S479" s="20">
        <v>0</v>
      </c>
      <c r="T479" s="20">
        <v>0</v>
      </c>
    </row>
    <row r="480" spans="1:20" s="21" customFormat="1" x14ac:dyDescent="0.2">
      <c r="A480" s="20" t="s">
        <v>1490</v>
      </c>
      <c r="B480" s="411" t="s">
        <v>1555</v>
      </c>
      <c r="C480" s="20" t="str">
        <f t="shared" si="42"/>
        <v>Boreal DryEurope</v>
      </c>
      <c r="D480" s="61"/>
      <c r="E480" s="257">
        <f t="shared" si="43"/>
        <v>0.38666666666666666</v>
      </c>
      <c r="F480" s="269"/>
      <c r="G480" s="264"/>
      <c r="H480" s="270">
        <v>0.23</v>
      </c>
      <c r="I480" s="276"/>
      <c r="J480" s="270"/>
      <c r="K480" s="271"/>
      <c r="L480" s="271">
        <v>0.23</v>
      </c>
      <c r="M480" s="242">
        <v>0.7</v>
      </c>
      <c r="N480" s="20">
        <v>0</v>
      </c>
      <c r="O480" s="20">
        <v>0</v>
      </c>
      <c r="P480" s="20">
        <v>0</v>
      </c>
      <c r="Q480" s="20">
        <v>0</v>
      </c>
      <c r="R480" s="20">
        <v>0</v>
      </c>
      <c r="S480" s="20">
        <v>0</v>
      </c>
      <c r="T480" s="20">
        <v>0</v>
      </c>
    </row>
    <row r="481" spans="1:20" s="21" customFormat="1" x14ac:dyDescent="0.2">
      <c r="A481" s="20" t="s">
        <v>1490</v>
      </c>
      <c r="B481" s="411" t="s">
        <v>1346</v>
      </c>
      <c r="C481" s="20" t="str">
        <f t="shared" si="42"/>
        <v>Boreal DryOceania</v>
      </c>
      <c r="D481" s="61"/>
      <c r="E481" s="257">
        <f t="shared" si="43"/>
        <v>0.38666666666666666</v>
      </c>
      <c r="F481" s="269"/>
      <c r="G481" s="264"/>
      <c r="H481" s="270">
        <v>0.23</v>
      </c>
      <c r="I481" s="276"/>
      <c r="J481" s="270"/>
      <c r="K481" s="271"/>
      <c r="L481" s="271">
        <v>0.23</v>
      </c>
      <c r="M481" s="242">
        <v>0.7</v>
      </c>
      <c r="N481" s="20">
        <v>0</v>
      </c>
      <c r="O481" s="20">
        <v>0</v>
      </c>
      <c r="P481" s="20">
        <v>0</v>
      </c>
      <c r="Q481" s="20">
        <v>0</v>
      </c>
      <c r="R481" s="20">
        <v>0</v>
      </c>
      <c r="S481" s="20">
        <v>0</v>
      </c>
      <c r="T481" s="20">
        <v>0</v>
      </c>
    </row>
    <row r="482" spans="1:20" s="21" customFormat="1" x14ac:dyDescent="0.2">
      <c r="A482" s="20" t="s">
        <v>1490</v>
      </c>
      <c r="B482" s="411" t="s">
        <v>1343</v>
      </c>
      <c r="C482" s="20" t="str">
        <f t="shared" si="42"/>
        <v>Boreal DryNorth America</v>
      </c>
      <c r="D482" s="61"/>
      <c r="E482" s="257">
        <f t="shared" si="43"/>
        <v>0.38666666666666666</v>
      </c>
      <c r="F482" s="269"/>
      <c r="G482" s="264"/>
      <c r="H482" s="270">
        <v>0.23</v>
      </c>
      <c r="I482" s="276"/>
      <c r="J482" s="270"/>
      <c r="K482" s="271"/>
      <c r="L482" s="271">
        <v>0.23</v>
      </c>
      <c r="M482" s="242">
        <v>0.7</v>
      </c>
      <c r="N482" s="20">
        <v>0</v>
      </c>
      <c r="O482" s="20">
        <v>0</v>
      </c>
      <c r="P482" s="20">
        <v>0</v>
      </c>
      <c r="Q482" s="20">
        <v>0</v>
      </c>
      <c r="R482" s="20">
        <v>0</v>
      </c>
      <c r="S482" s="20">
        <v>0</v>
      </c>
      <c r="T482" s="20">
        <v>0</v>
      </c>
    </row>
    <row r="483" spans="1:20" s="21" customFormat="1" x14ac:dyDescent="0.2">
      <c r="A483" s="20" t="s">
        <v>1490</v>
      </c>
      <c r="B483" s="411" t="s">
        <v>1349</v>
      </c>
      <c r="C483" s="20" t="str">
        <f t="shared" si="42"/>
        <v>Boreal DrySouth America</v>
      </c>
      <c r="D483" s="61"/>
      <c r="E483" s="257">
        <f t="shared" si="43"/>
        <v>0.38666666666666666</v>
      </c>
      <c r="F483" s="269"/>
      <c r="G483" s="264"/>
      <c r="H483" s="270">
        <v>0.23</v>
      </c>
      <c r="I483" s="276"/>
      <c r="J483" s="270"/>
      <c r="K483" s="271"/>
      <c r="L483" s="271">
        <v>0.23</v>
      </c>
      <c r="M483" s="242">
        <v>0.7</v>
      </c>
      <c r="N483" s="20">
        <v>0</v>
      </c>
      <c r="O483" s="20">
        <v>0</v>
      </c>
      <c r="P483" s="20">
        <v>0</v>
      </c>
      <c r="Q483" s="20">
        <v>0</v>
      </c>
      <c r="R483" s="20">
        <v>0</v>
      </c>
      <c r="S483" s="20">
        <v>0</v>
      </c>
      <c r="T483" s="20">
        <v>0</v>
      </c>
    </row>
    <row r="484" spans="1:20" s="21" customFormat="1" x14ac:dyDescent="0.2">
      <c r="A484" s="20" t="s">
        <v>1490</v>
      </c>
      <c r="B484" s="411" t="s">
        <v>1333</v>
      </c>
      <c r="C484" s="20" t="str">
        <f t="shared" si="42"/>
        <v>Boreal DryCentral America</v>
      </c>
      <c r="D484" s="61"/>
      <c r="E484" s="257">
        <f t="shared" si="43"/>
        <v>0.38666666666666666</v>
      </c>
      <c r="F484" s="269"/>
      <c r="G484" s="264"/>
      <c r="H484" s="270">
        <v>0.23</v>
      </c>
      <c r="I484" s="276"/>
      <c r="J484" s="270"/>
      <c r="K484" s="271"/>
      <c r="L484" s="271">
        <v>0.23</v>
      </c>
      <c r="M484" s="242">
        <v>0.7</v>
      </c>
      <c r="N484" s="20">
        <v>0</v>
      </c>
      <c r="O484" s="20">
        <v>0</v>
      </c>
      <c r="P484" s="20">
        <v>0</v>
      </c>
      <c r="Q484" s="20">
        <v>0</v>
      </c>
      <c r="R484" s="20">
        <v>0</v>
      </c>
      <c r="S484" s="20">
        <v>0</v>
      </c>
      <c r="T484" s="20">
        <v>0</v>
      </c>
    </row>
    <row r="485" spans="1:20" s="21" customFormat="1" x14ac:dyDescent="0.2">
      <c r="A485" s="37" t="s">
        <v>1490</v>
      </c>
      <c r="B485" s="412" t="s">
        <v>1547</v>
      </c>
      <c r="C485" s="37" t="str">
        <f t="shared" si="42"/>
        <v>Boreal DryCaribbean</v>
      </c>
      <c r="D485" s="60"/>
      <c r="E485" s="258">
        <f t="shared" si="43"/>
        <v>0.38666666666666666</v>
      </c>
      <c r="F485" s="272"/>
      <c r="G485" s="265"/>
      <c r="H485" s="273">
        <v>0.23</v>
      </c>
      <c r="I485" s="277"/>
      <c r="J485" s="273"/>
      <c r="K485" s="271"/>
      <c r="L485" s="274">
        <v>0.23</v>
      </c>
      <c r="M485" s="243">
        <v>0.7</v>
      </c>
      <c r="N485" s="37">
        <v>0</v>
      </c>
      <c r="O485" s="37">
        <v>0</v>
      </c>
      <c r="P485" s="37">
        <v>0</v>
      </c>
      <c r="Q485" s="37">
        <v>0</v>
      </c>
      <c r="R485" s="37">
        <v>0</v>
      </c>
      <c r="S485" s="37">
        <v>0</v>
      </c>
      <c r="T485" s="37">
        <v>0</v>
      </c>
    </row>
    <row r="486" spans="1:20" s="21" customFormat="1" x14ac:dyDescent="0.2">
      <c r="A486" s="20" t="s">
        <v>1491</v>
      </c>
      <c r="B486" s="410" t="s">
        <v>1552</v>
      </c>
      <c r="C486" s="20" t="str">
        <f t="shared" si="42"/>
        <v>Boreal MoistEastern Africa</v>
      </c>
      <c r="D486" s="61"/>
      <c r="E486" s="256">
        <f>AVERAGE(F486:M486)</f>
        <v>0.38666666666666666</v>
      </c>
      <c r="F486" s="266"/>
      <c r="G486" s="263"/>
      <c r="H486" s="267">
        <v>0.23</v>
      </c>
      <c r="I486" s="275"/>
      <c r="J486" s="267"/>
      <c r="K486" s="268"/>
      <c r="L486" s="268">
        <v>0.23</v>
      </c>
      <c r="M486" s="241">
        <v>0.7</v>
      </c>
      <c r="N486" s="44">
        <v>0</v>
      </c>
      <c r="O486" s="44">
        <v>0</v>
      </c>
      <c r="P486" s="44">
        <v>0</v>
      </c>
      <c r="Q486" s="44">
        <v>0</v>
      </c>
      <c r="R486" s="44">
        <v>0</v>
      </c>
      <c r="S486" s="44">
        <v>0</v>
      </c>
      <c r="T486" s="44">
        <v>0</v>
      </c>
    </row>
    <row r="487" spans="1:20" s="21" customFormat="1" x14ac:dyDescent="0.2">
      <c r="A487" s="20" t="s">
        <v>1491</v>
      </c>
      <c r="B487" s="411" t="s">
        <v>1557</v>
      </c>
      <c r="C487" s="20" t="str">
        <f t="shared" si="42"/>
        <v>Boreal MoistCentral Africa</v>
      </c>
      <c r="D487" s="61"/>
      <c r="E487" s="257">
        <f t="shared" ref="E487:E501" si="44">AVERAGE(F487:M487)</f>
        <v>0.38666666666666666</v>
      </c>
      <c r="F487" s="269"/>
      <c r="G487" s="264"/>
      <c r="H487" s="270">
        <v>0.23</v>
      </c>
      <c r="I487" s="276"/>
      <c r="J487" s="270"/>
      <c r="K487" s="271"/>
      <c r="L487" s="271">
        <v>0.23</v>
      </c>
      <c r="M487" s="242">
        <v>0.7</v>
      </c>
      <c r="N487" s="41">
        <v>0</v>
      </c>
      <c r="O487" s="41">
        <v>0</v>
      </c>
      <c r="P487" s="41">
        <v>0</v>
      </c>
      <c r="Q487" s="41">
        <v>0</v>
      </c>
      <c r="R487" s="41">
        <v>0</v>
      </c>
      <c r="S487" s="41">
        <v>0</v>
      </c>
      <c r="T487" s="41">
        <v>0</v>
      </c>
    </row>
    <row r="488" spans="1:20" s="21" customFormat="1" x14ac:dyDescent="0.2">
      <c r="A488" s="20" t="s">
        <v>1491</v>
      </c>
      <c r="B488" s="411" t="s">
        <v>1559</v>
      </c>
      <c r="C488" s="20" t="str">
        <f t="shared" si="42"/>
        <v>Boreal MoistNorthern Africa</v>
      </c>
      <c r="D488" s="61"/>
      <c r="E488" s="257">
        <f t="shared" si="44"/>
        <v>0.38666666666666666</v>
      </c>
      <c r="F488" s="269"/>
      <c r="G488" s="264"/>
      <c r="H488" s="270">
        <v>0.23</v>
      </c>
      <c r="I488" s="276"/>
      <c r="J488" s="270"/>
      <c r="K488" s="271"/>
      <c r="L488" s="271">
        <v>0.23</v>
      </c>
      <c r="M488" s="242">
        <v>0.7</v>
      </c>
      <c r="N488" s="41">
        <v>0</v>
      </c>
      <c r="O488" s="41">
        <v>0</v>
      </c>
      <c r="P488" s="41">
        <v>0</v>
      </c>
      <c r="Q488" s="41">
        <v>0</v>
      </c>
      <c r="R488" s="41">
        <v>0</v>
      </c>
      <c r="S488" s="41">
        <v>0</v>
      </c>
      <c r="T488" s="41">
        <v>0</v>
      </c>
    </row>
    <row r="489" spans="1:20" s="21" customFormat="1" x14ac:dyDescent="0.2">
      <c r="A489" s="20" t="s">
        <v>1491</v>
      </c>
      <c r="B489" s="411" t="s">
        <v>1565</v>
      </c>
      <c r="C489" s="20" t="str">
        <f t="shared" si="42"/>
        <v>Boreal MoistSouthern Africa</v>
      </c>
      <c r="D489" s="61"/>
      <c r="E489" s="257">
        <f t="shared" si="44"/>
        <v>0.38666666666666666</v>
      </c>
      <c r="F489" s="269"/>
      <c r="G489" s="264"/>
      <c r="H489" s="270">
        <v>0.23</v>
      </c>
      <c r="I489" s="276"/>
      <c r="J489" s="270"/>
      <c r="K489" s="271"/>
      <c r="L489" s="271">
        <v>0.23</v>
      </c>
      <c r="M489" s="242">
        <v>0.7</v>
      </c>
      <c r="N489" s="41">
        <v>0</v>
      </c>
      <c r="O489" s="41">
        <v>0</v>
      </c>
      <c r="P489" s="41">
        <v>0</v>
      </c>
      <c r="Q489" s="41">
        <v>0</v>
      </c>
      <c r="R489" s="41">
        <v>0</v>
      </c>
      <c r="S489" s="41">
        <v>0</v>
      </c>
      <c r="T489" s="41">
        <v>0</v>
      </c>
    </row>
    <row r="490" spans="1:20" s="21" customFormat="1" x14ac:dyDescent="0.2">
      <c r="A490" s="20" t="s">
        <v>1491</v>
      </c>
      <c r="B490" s="411" t="s">
        <v>1569</v>
      </c>
      <c r="C490" s="20" t="str">
        <f t="shared" si="42"/>
        <v>Boreal MoistWestern Africa</v>
      </c>
      <c r="D490" s="61"/>
      <c r="E490" s="257">
        <f t="shared" si="44"/>
        <v>0.38666666666666666</v>
      </c>
      <c r="F490" s="269"/>
      <c r="G490" s="264"/>
      <c r="H490" s="270">
        <v>0.23</v>
      </c>
      <c r="I490" s="276"/>
      <c r="J490" s="270"/>
      <c r="K490" s="271"/>
      <c r="L490" s="271">
        <v>0.23</v>
      </c>
      <c r="M490" s="242">
        <v>0.7</v>
      </c>
      <c r="N490" s="41">
        <v>0</v>
      </c>
      <c r="O490" s="41">
        <v>0</v>
      </c>
      <c r="P490" s="41">
        <v>0</v>
      </c>
      <c r="Q490" s="41">
        <v>0</v>
      </c>
      <c r="R490" s="41">
        <v>0</v>
      </c>
      <c r="S490" s="41">
        <v>0</v>
      </c>
      <c r="T490" s="41">
        <v>0</v>
      </c>
    </row>
    <row r="491" spans="1:20" s="21" customFormat="1" x14ac:dyDescent="0.2">
      <c r="A491" s="20" t="s">
        <v>1491</v>
      </c>
      <c r="B491" s="411" t="s">
        <v>1550</v>
      </c>
      <c r="C491" s="20" t="str">
        <f t="shared" si="42"/>
        <v>Boreal MoistCentral Asia</v>
      </c>
      <c r="D491" s="61"/>
      <c r="E491" s="257">
        <f t="shared" si="44"/>
        <v>0.38666666666666666</v>
      </c>
      <c r="F491" s="269"/>
      <c r="G491" s="264"/>
      <c r="H491" s="270">
        <v>0.23</v>
      </c>
      <c r="I491" s="276"/>
      <c r="J491" s="270"/>
      <c r="K491" s="271"/>
      <c r="L491" s="271">
        <v>0.23</v>
      </c>
      <c r="M491" s="242">
        <v>0.7</v>
      </c>
      <c r="N491" s="41">
        <v>0</v>
      </c>
      <c r="O491" s="41">
        <v>0</v>
      </c>
      <c r="P491" s="41">
        <v>0</v>
      </c>
      <c r="Q491" s="41">
        <v>0</v>
      </c>
      <c r="R491" s="41">
        <v>0</v>
      </c>
      <c r="S491" s="41">
        <v>0</v>
      </c>
      <c r="T491" s="41">
        <v>0</v>
      </c>
    </row>
    <row r="492" spans="1:20" s="21" customFormat="1" x14ac:dyDescent="0.2">
      <c r="A492" s="20" t="s">
        <v>1491</v>
      </c>
      <c r="B492" s="411" t="s">
        <v>1554</v>
      </c>
      <c r="C492" s="20" t="str">
        <f t="shared" si="42"/>
        <v>Boreal MoistEastern Asia</v>
      </c>
      <c r="D492" s="61"/>
      <c r="E492" s="257">
        <f t="shared" si="44"/>
        <v>0.38666666666666666</v>
      </c>
      <c r="F492" s="269"/>
      <c r="G492" s="264"/>
      <c r="H492" s="270">
        <v>0.23</v>
      </c>
      <c r="I492" s="276"/>
      <c r="J492" s="270"/>
      <c r="K492" s="271"/>
      <c r="L492" s="271">
        <v>0.23</v>
      </c>
      <c r="M492" s="242">
        <v>0.7</v>
      </c>
      <c r="N492" s="41">
        <v>0</v>
      </c>
      <c r="O492" s="41">
        <v>0</v>
      </c>
      <c r="P492" s="41">
        <v>0</v>
      </c>
      <c r="Q492" s="41">
        <v>0</v>
      </c>
      <c r="R492" s="41">
        <v>0</v>
      </c>
      <c r="S492" s="41">
        <v>0</v>
      </c>
      <c r="T492" s="41">
        <v>0</v>
      </c>
    </row>
    <row r="493" spans="1:20" s="21" customFormat="1" x14ac:dyDescent="0.2">
      <c r="A493" s="20" t="s">
        <v>1491</v>
      </c>
      <c r="B493" s="411" t="s">
        <v>1563</v>
      </c>
      <c r="C493" s="20" t="str">
        <f t="shared" si="42"/>
        <v>Boreal MoistSouth-eastern Asia</v>
      </c>
      <c r="D493" s="61"/>
      <c r="E493" s="257">
        <f t="shared" si="44"/>
        <v>0.38666666666666666</v>
      </c>
      <c r="F493" s="269"/>
      <c r="G493" s="264"/>
      <c r="H493" s="270">
        <v>0.23</v>
      </c>
      <c r="I493" s="276"/>
      <c r="J493" s="270"/>
      <c r="K493" s="271"/>
      <c r="L493" s="271">
        <v>0.23</v>
      </c>
      <c r="M493" s="242">
        <v>0.7</v>
      </c>
      <c r="N493" s="41">
        <v>0</v>
      </c>
      <c r="O493" s="41">
        <v>0</v>
      </c>
      <c r="P493" s="41">
        <v>0</v>
      </c>
      <c r="Q493" s="41">
        <v>0</v>
      </c>
      <c r="R493" s="41">
        <v>0</v>
      </c>
      <c r="S493" s="41">
        <v>0</v>
      </c>
      <c r="T493" s="41">
        <v>0</v>
      </c>
    </row>
    <row r="494" spans="1:20" s="21" customFormat="1" x14ac:dyDescent="0.2">
      <c r="A494" s="20" t="s">
        <v>1491</v>
      </c>
      <c r="B494" s="411" t="s">
        <v>1567</v>
      </c>
      <c r="C494" s="20" t="str">
        <f t="shared" si="42"/>
        <v>Boreal MoistSouthern Asia</v>
      </c>
      <c r="D494" s="61"/>
      <c r="E494" s="257">
        <f>AVERAGE(F494:M494)</f>
        <v>0.38666666666666666</v>
      </c>
      <c r="F494" s="269"/>
      <c r="G494" s="264"/>
      <c r="H494" s="270">
        <v>0.23</v>
      </c>
      <c r="I494" s="276"/>
      <c r="J494" s="270"/>
      <c r="K494" s="271"/>
      <c r="L494" s="271">
        <v>0.23</v>
      </c>
      <c r="M494" s="242">
        <v>0.7</v>
      </c>
      <c r="N494" s="41">
        <v>0</v>
      </c>
      <c r="O494" s="41">
        <v>0</v>
      </c>
      <c r="P494" s="41">
        <v>0</v>
      </c>
      <c r="Q494" s="41">
        <v>0</v>
      </c>
      <c r="R494" s="41">
        <v>0</v>
      </c>
      <c r="S494" s="41">
        <v>0</v>
      </c>
      <c r="T494" s="41">
        <v>0</v>
      </c>
    </row>
    <row r="495" spans="1:20" s="21" customFormat="1" x14ac:dyDescent="0.2">
      <c r="A495" s="20" t="s">
        <v>1491</v>
      </c>
      <c r="B495" s="411" t="s">
        <v>1571</v>
      </c>
      <c r="C495" s="20" t="str">
        <f t="shared" si="42"/>
        <v>Boreal MoistWestern Asia</v>
      </c>
      <c r="D495" s="61"/>
      <c r="E495" s="257">
        <f t="shared" si="44"/>
        <v>0.38666666666666666</v>
      </c>
      <c r="F495" s="269"/>
      <c r="G495" s="264"/>
      <c r="H495" s="270">
        <v>0.23</v>
      </c>
      <c r="I495" s="276"/>
      <c r="J495" s="270"/>
      <c r="K495" s="271"/>
      <c r="L495" s="271">
        <v>0.23</v>
      </c>
      <c r="M495" s="242">
        <v>0.7</v>
      </c>
      <c r="N495" s="41">
        <v>0</v>
      </c>
      <c r="O495" s="41">
        <v>0</v>
      </c>
      <c r="P495" s="41">
        <v>0</v>
      </c>
      <c r="Q495" s="41">
        <v>0</v>
      </c>
      <c r="R495" s="41">
        <v>0</v>
      </c>
      <c r="S495" s="41">
        <v>0</v>
      </c>
      <c r="T495" s="41">
        <v>0</v>
      </c>
    </row>
    <row r="496" spans="1:20" s="21" customFormat="1" x14ac:dyDescent="0.2">
      <c r="A496" s="20" t="s">
        <v>1491</v>
      </c>
      <c r="B496" s="411" t="s">
        <v>1555</v>
      </c>
      <c r="C496" s="20" t="str">
        <f t="shared" si="42"/>
        <v>Boreal MoistEurope</v>
      </c>
      <c r="D496" s="61"/>
      <c r="E496" s="257">
        <f t="shared" si="44"/>
        <v>0.38666666666666666</v>
      </c>
      <c r="F496" s="269"/>
      <c r="G496" s="264"/>
      <c r="H496" s="270">
        <v>0.23</v>
      </c>
      <c r="I496" s="276"/>
      <c r="J496" s="270"/>
      <c r="K496" s="271"/>
      <c r="L496" s="271">
        <v>0.23</v>
      </c>
      <c r="M496" s="242">
        <v>0.7</v>
      </c>
      <c r="N496" s="41">
        <v>0</v>
      </c>
      <c r="O496" s="41">
        <v>0</v>
      </c>
      <c r="P496" s="41">
        <v>0</v>
      </c>
      <c r="Q496" s="41">
        <v>0</v>
      </c>
      <c r="R496" s="41">
        <v>0</v>
      </c>
      <c r="S496" s="41">
        <v>0</v>
      </c>
      <c r="T496" s="41">
        <v>0</v>
      </c>
    </row>
    <row r="497" spans="1:20" s="21" customFormat="1" x14ac:dyDescent="0.2">
      <c r="A497" s="20" t="s">
        <v>1491</v>
      </c>
      <c r="B497" s="411" t="s">
        <v>1346</v>
      </c>
      <c r="C497" s="20" t="str">
        <f t="shared" si="42"/>
        <v>Boreal MoistOceania</v>
      </c>
      <c r="D497" s="61"/>
      <c r="E497" s="257">
        <f t="shared" si="44"/>
        <v>0.38666666666666666</v>
      </c>
      <c r="F497" s="269"/>
      <c r="G497" s="264"/>
      <c r="H497" s="270">
        <v>0.23</v>
      </c>
      <c r="I497" s="276"/>
      <c r="J497" s="270"/>
      <c r="K497" s="271"/>
      <c r="L497" s="271">
        <v>0.23</v>
      </c>
      <c r="M497" s="242">
        <v>0.7</v>
      </c>
      <c r="N497" s="41">
        <v>0</v>
      </c>
      <c r="O497" s="41">
        <v>0</v>
      </c>
      <c r="P497" s="41">
        <v>0</v>
      </c>
      <c r="Q497" s="41">
        <v>0</v>
      </c>
      <c r="R497" s="41">
        <v>0</v>
      </c>
      <c r="S497" s="41">
        <v>0</v>
      </c>
      <c r="T497" s="41">
        <v>0</v>
      </c>
    </row>
    <row r="498" spans="1:20" s="21" customFormat="1" x14ac:dyDescent="0.2">
      <c r="A498" s="20" t="s">
        <v>1491</v>
      </c>
      <c r="B498" s="411" t="s">
        <v>1343</v>
      </c>
      <c r="C498" s="20" t="str">
        <f t="shared" si="42"/>
        <v>Boreal MoistNorth America</v>
      </c>
      <c r="D498" s="61"/>
      <c r="E498" s="257">
        <f t="shared" si="44"/>
        <v>0.38666666666666666</v>
      </c>
      <c r="F498" s="269"/>
      <c r="G498" s="264"/>
      <c r="H498" s="270">
        <v>0.23</v>
      </c>
      <c r="I498" s="276"/>
      <c r="J498" s="270"/>
      <c r="K498" s="271"/>
      <c r="L498" s="271">
        <v>0.23</v>
      </c>
      <c r="M498" s="242">
        <v>0.7</v>
      </c>
      <c r="N498" s="41">
        <v>0</v>
      </c>
      <c r="O498" s="41">
        <v>0</v>
      </c>
      <c r="P498" s="41">
        <v>0</v>
      </c>
      <c r="Q498" s="41">
        <v>0</v>
      </c>
      <c r="R498" s="41">
        <v>0</v>
      </c>
      <c r="S498" s="41">
        <v>0</v>
      </c>
      <c r="T498" s="41">
        <v>0</v>
      </c>
    </row>
    <row r="499" spans="1:20" s="21" customFormat="1" x14ac:dyDescent="0.2">
      <c r="A499" s="20" t="s">
        <v>1491</v>
      </c>
      <c r="B499" s="411" t="s">
        <v>1349</v>
      </c>
      <c r="C499" s="20" t="str">
        <f t="shared" si="42"/>
        <v>Boreal MoistSouth America</v>
      </c>
      <c r="D499" s="61"/>
      <c r="E499" s="257">
        <f t="shared" si="44"/>
        <v>0.38666666666666666</v>
      </c>
      <c r="F499" s="269"/>
      <c r="G499" s="264"/>
      <c r="H499" s="270">
        <v>0.23</v>
      </c>
      <c r="I499" s="276"/>
      <c r="J499" s="270"/>
      <c r="K499" s="271"/>
      <c r="L499" s="271">
        <v>0.23</v>
      </c>
      <c r="M499" s="242">
        <v>0.7</v>
      </c>
      <c r="N499" s="41">
        <v>0</v>
      </c>
      <c r="O499" s="41">
        <v>0</v>
      </c>
      <c r="P499" s="41">
        <v>0</v>
      </c>
      <c r="Q499" s="41">
        <v>0</v>
      </c>
      <c r="R499" s="41">
        <v>0</v>
      </c>
      <c r="S499" s="41">
        <v>0</v>
      </c>
      <c r="T499" s="41">
        <v>0</v>
      </c>
    </row>
    <row r="500" spans="1:20" s="21" customFormat="1" x14ac:dyDescent="0.2">
      <c r="A500" s="20" t="s">
        <v>1491</v>
      </c>
      <c r="B500" s="411" t="s">
        <v>1333</v>
      </c>
      <c r="C500" s="20" t="str">
        <f t="shared" si="42"/>
        <v>Boreal MoistCentral America</v>
      </c>
      <c r="D500" s="61"/>
      <c r="E500" s="257">
        <f t="shared" si="44"/>
        <v>0.38666666666666666</v>
      </c>
      <c r="F500" s="269"/>
      <c r="G500" s="264"/>
      <c r="H500" s="270">
        <v>0.23</v>
      </c>
      <c r="I500" s="276"/>
      <c r="J500" s="270"/>
      <c r="K500" s="271"/>
      <c r="L500" s="271">
        <v>0.23</v>
      </c>
      <c r="M500" s="242">
        <v>0.7</v>
      </c>
      <c r="N500" s="41">
        <v>0</v>
      </c>
      <c r="O500" s="41">
        <v>0</v>
      </c>
      <c r="P500" s="41">
        <v>0</v>
      </c>
      <c r="Q500" s="41">
        <v>0</v>
      </c>
      <c r="R500" s="41">
        <v>0</v>
      </c>
      <c r="S500" s="41">
        <v>0</v>
      </c>
      <c r="T500" s="41">
        <v>0</v>
      </c>
    </row>
    <row r="501" spans="1:20" s="21" customFormat="1" x14ac:dyDescent="0.2">
      <c r="A501" s="37" t="s">
        <v>1491</v>
      </c>
      <c r="B501" s="412" t="s">
        <v>1547</v>
      </c>
      <c r="C501" s="37" t="str">
        <f t="shared" si="42"/>
        <v>Boreal MoistCaribbean</v>
      </c>
      <c r="D501" s="60"/>
      <c r="E501" s="258">
        <f t="shared" si="44"/>
        <v>0.38666666666666666</v>
      </c>
      <c r="F501" s="272"/>
      <c r="G501" s="265"/>
      <c r="H501" s="273">
        <v>0.23</v>
      </c>
      <c r="I501" s="277"/>
      <c r="J501" s="273"/>
      <c r="K501" s="271"/>
      <c r="L501" s="274">
        <v>0.23</v>
      </c>
      <c r="M501" s="243">
        <v>0.7</v>
      </c>
      <c r="N501" s="42">
        <v>0</v>
      </c>
      <c r="O501" s="42">
        <v>0</v>
      </c>
      <c r="P501" s="42">
        <v>0</v>
      </c>
      <c r="Q501" s="42">
        <v>0</v>
      </c>
      <c r="R501" s="42">
        <v>0</v>
      </c>
      <c r="S501" s="42">
        <v>0</v>
      </c>
      <c r="T501" s="42">
        <v>0</v>
      </c>
    </row>
    <row r="502" spans="1:20" s="21" customFormat="1" x14ac:dyDescent="0.2">
      <c r="A502" s="268" t="s">
        <v>1883</v>
      </c>
      <c r="B502" s="291"/>
      <c r="C502" s="291"/>
      <c r="D502" s="291"/>
      <c r="E502" s="291"/>
      <c r="F502" s="291"/>
      <c r="G502" s="291"/>
      <c r="H502" s="291"/>
      <c r="I502" s="291"/>
      <c r="J502" s="291"/>
      <c r="K502" s="291"/>
      <c r="L502" s="291"/>
      <c r="M502" s="266"/>
    </row>
    <row r="503" spans="1:20" s="21" customFormat="1" x14ac:dyDescent="0.2">
      <c r="A503" s="271" t="s">
        <v>1884</v>
      </c>
      <c r="M503" s="269"/>
    </row>
    <row r="504" spans="1:20" s="21" customFormat="1" x14ac:dyDescent="0.2">
      <c r="A504" s="271" t="s">
        <v>1889</v>
      </c>
      <c r="M504" s="269"/>
    </row>
    <row r="505" spans="1:20" s="21" customFormat="1" x14ac:dyDescent="0.2">
      <c r="A505" s="271" t="s">
        <v>1890</v>
      </c>
      <c r="M505" s="269"/>
    </row>
    <row r="506" spans="1:20" s="21" customFormat="1" x14ac:dyDescent="0.2">
      <c r="A506" s="271" t="s">
        <v>1886</v>
      </c>
      <c r="M506" s="269"/>
    </row>
    <row r="507" spans="1:20" s="21" customFormat="1" x14ac:dyDescent="0.2">
      <c r="A507" s="274" t="s">
        <v>1887</v>
      </c>
      <c r="B507" s="292"/>
      <c r="C507" s="292"/>
      <c r="D507" s="292"/>
      <c r="E507" s="292"/>
      <c r="F507" s="292"/>
      <c r="G507" s="292"/>
      <c r="H507" s="292"/>
      <c r="I507" s="292"/>
      <c r="J507" s="292"/>
      <c r="K507" s="292"/>
      <c r="L507" s="292"/>
      <c r="M507" s="272"/>
    </row>
    <row r="508" spans="1:20" ht="16" thickBot="1" x14ac:dyDescent="0.25"/>
    <row r="509" spans="1:20" s="18" customFormat="1" x14ac:dyDescent="0.2">
      <c r="A509" s="350" t="s">
        <v>1891</v>
      </c>
      <c r="B509" s="351"/>
      <c r="C509" s="352"/>
      <c r="E509" s="4544" t="s">
        <v>1892</v>
      </c>
      <c r="F509" s="4545"/>
      <c r="J509" s="4544" t="s">
        <v>1893</v>
      </c>
      <c r="K509" s="4545"/>
    </row>
    <row r="510" spans="1:20" s="18" customFormat="1" x14ac:dyDescent="0.2">
      <c r="A510" s="353" t="s">
        <v>1894</v>
      </c>
      <c r="B510" s="349"/>
      <c r="C510" s="354"/>
      <c r="E510" s="376" t="s">
        <v>1895</v>
      </c>
      <c r="F510" s="379"/>
      <c r="J510" s="382" t="s">
        <v>1896</v>
      </c>
      <c r="K510" s="378" t="s">
        <v>1897</v>
      </c>
    </row>
    <row r="511" spans="1:20" s="18" customFormat="1" x14ac:dyDescent="0.2">
      <c r="A511" s="358" t="s">
        <v>1898</v>
      </c>
      <c r="B511" s="359"/>
      <c r="C511" s="360"/>
      <c r="E511" s="377" t="s">
        <v>1517</v>
      </c>
      <c r="F511" s="378" t="s">
        <v>435</v>
      </c>
      <c r="J511" s="377" t="str">
        <f>list!H90</f>
        <v>Please select</v>
      </c>
      <c r="K511" s="371" t="s">
        <v>995</v>
      </c>
    </row>
    <row r="512" spans="1:20" s="18" customFormat="1" x14ac:dyDescent="0.2">
      <c r="A512" s="347" t="str">
        <f>B308</f>
        <v>Region</v>
      </c>
      <c r="B512" s="348" t="s">
        <v>1899</v>
      </c>
      <c r="C512" s="348" t="s">
        <v>1900</v>
      </c>
      <c r="E512" s="374" t="str">
        <f>A514</f>
        <v>Please select</v>
      </c>
      <c r="F512" s="375" t="s">
        <v>995</v>
      </c>
      <c r="J512" s="398" t="str">
        <f>list!H91</f>
        <v>Straw burnt</v>
      </c>
      <c r="K512" s="399">
        <v>0</v>
      </c>
    </row>
    <row r="513" spans="1:11" ht="17" x14ac:dyDescent="0.2">
      <c r="A513" s="347"/>
      <c r="B513" s="346" t="s">
        <v>1901</v>
      </c>
      <c r="C513" s="345" t="s">
        <v>1902</v>
      </c>
      <c r="E513" s="63" t="str">
        <f>list!F91</f>
        <v>Irrigated, Continuously flooded</v>
      </c>
      <c r="F513" s="244">
        <v>1</v>
      </c>
      <c r="J513" s="20" t="str">
        <f>list!H92</f>
        <v>Straw exported</v>
      </c>
      <c r="K513" s="47">
        <v>0</v>
      </c>
    </row>
    <row r="514" spans="1:11" x14ac:dyDescent="0.2">
      <c r="A514" s="296" t="str">
        <f>B309</f>
        <v>Please select</v>
      </c>
      <c r="B514" s="346" t="s">
        <v>995</v>
      </c>
      <c r="C514" s="345" t="s">
        <v>995</v>
      </c>
      <c r="E514" s="20" t="str">
        <f>list!F92</f>
        <v>Irrigated, Single drainage period</v>
      </c>
      <c r="F514" s="269">
        <v>0.71</v>
      </c>
      <c r="J514" s="20" t="str">
        <f>list!H93</f>
        <v>Compost</v>
      </c>
      <c r="K514" s="41">
        <v>0.17</v>
      </c>
    </row>
    <row r="515" spans="1:11" x14ac:dyDescent="0.2">
      <c r="A515" s="408" t="s">
        <v>1552</v>
      </c>
      <c r="B515" s="263">
        <v>1.19</v>
      </c>
      <c r="C515" s="63">
        <v>113</v>
      </c>
      <c r="E515" s="20" t="str">
        <f>list!F93</f>
        <v>Irrigated, Multiple drainage periods</v>
      </c>
      <c r="F515" s="269">
        <v>0.55000000000000004</v>
      </c>
      <c r="J515" s="20" t="str">
        <f>list!H94</f>
        <v>Farm yard manure</v>
      </c>
      <c r="K515" s="41">
        <v>0.21</v>
      </c>
    </row>
    <row r="516" spans="1:11" x14ac:dyDescent="0.2">
      <c r="A516" s="401" t="s">
        <v>1557</v>
      </c>
      <c r="B516" s="264">
        <v>1.19</v>
      </c>
      <c r="C516" s="20">
        <v>113</v>
      </c>
      <c r="E516" s="20" t="str">
        <f>list!F94</f>
        <v>Rainfed, wet season (regular rainfed)</v>
      </c>
      <c r="F516" s="269">
        <v>0.54</v>
      </c>
      <c r="J516" s="20" t="str">
        <f>list!H95</f>
        <v>Green manure</v>
      </c>
      <c r="K516" s="41">
        <v>0.45</v>
      </c>
    </row>
    <row r="517" spans="1:11" x14ac:dyDescent="0.2">
      <c r="A517" s="401" t="s">
        <v>1559</v>
      </c>
      <c r="B517" s="264">
        <v>1.19</v>
      </c>
      <c r="C517" s="20">
        <v>113</v>
      </c>
      <c r="E517" s="20" t="str">
        <f>list!F95</f>
        <v>Rainfed, dry season (drought prone)</v>
      </c>
      <c r="F517" s="269">
        <v>0.16</v>
      </c>
      <c r="J517" s="20" t="str">
        <f>list!H96</f>
        <v>Straw incorporated long (&gt;30 days) before cultivation</v>
      </c>
      <c r="K517" s="41">
        <v>0.19</v>
      </c>
    </row>
    <row r="518" spans="1:11" x14ac:dyDescent="0.2">
      <c r="A518" s="401" t="s">
        <v>1565</v>
      </c>
      <c r="B518" s="264">
        <v>1.19</v>
      </c>
      <c r="C518" s="20">
        <v>113</v>
      </c>
      <c r="E518" s="37" t="str">
        <f>list!F96</f>
        <v>Rainfed, Deep water</v>
      </c>
      <c r="F518" s="272">
        <v>0.06</v>
      </c>
      <c r="J518" s="37" t="str">
        <f>list!H97</f>
        <v>Straw incorporated shortly (&lt;30 days) before cultivation</v>
      </c>
      <c r="K518" s="48">
        <v>1</v>
      </c>
    </row>
    <row r="519" spans="1:11" x14ac:dyDescent="0.2">
      <c r="A519" s="401" t="s">
        <v>1569</v>
      </c>
      <c r="B519" s="264">
        <v>1.19</v>
      </c>
      <c r="C519" s="20">
        <v>113</v>
      </c>
      <c r="J519" s="4546" t="s">
        <v>1903</v>
      </c>
      <c r="K519" s="4547"/>
    </row>
    <row r="520" spans="1:11" x14ac:dyDescent="0.2">
      <c r="A520" s="401" t="s">
        <v>1550</v>
      </c>
      <c r="B520" s="271">
        <v>1.19</v>
      </c>
      <c r="C520" s="270">
        <v>113</v>
      </c>
    </row>
    <row r="521" spans="1:11" x14ac:dyDescent="0.2">
      <c r="A521" s="401" t="s">
        <v>1554</v>
      </c>
      <c r="B521" s="264">
        <v>1.32</v>
      </c>
      <c r="C521" s="20">
        <v>112</v>
      </c>
      <c r="E521" s="381" t="s">
        <v>1904</v>
      </c>
      <c r="F521" s="380"/>
    </row>
    <row r="522" spans="1:11" x14ac:dyDescent="0.2">
      <c r="A522" s="401" t="s">
        <v>1563</v>
      </c>
      <c r="B522" s="264">
        <v>1.22</v>
      </c>
      <c r="C522" s="20">
        <v>102</v>
      </c>
      <c r="E522" s="372" t="s">
        <v>1905</v>
      </c>
      <c r="F522" s="373"/>
    </row>
    <row r="523" spans="1:11" x14ac:dyDescent="0.2">
      <c r="A523" s="401" t="s">
        <v>1567</v>
      </c>
      <c r="B523" s="264">
        <v>0.85</v>
      </c>
      <c r="C523" s="20">
        <v>112</v>
      </c>
      <c r="E523" s="376" t="s">
        <v>1906</v>
      </c>
      <c r="F523" s="378" t="s">
        <v>436</v>
      </c>
    </row>
    <row r="524" spans="1:11" x14ac:dyDescent="0.2">
      <c r="A524" s="401" t="s">
        <v>1571</v>
      </c>
      <c r="B524" s="271">
        <v>1.19</v>
      </c>
      <c r="C524" s="270">
        <v>113</v>
      </c>
      <c r="E524" s="63" t="str">
        <f>list!G90</f>
        <v>Please select</v>
      </c>
      <c r="F524" s="375" t="s">
        <v>995</v>
      </c>
    </row>
    <row r="525" spans="1:11" x14ac:dyDescent="0.2">
      <c r="A525" s="401" t="s">
        <v>1555</v>
      </c>
      <c r="B525" s="264">
        <v>1.56</v>
      </c>
      <c r="C525" s="20">
        <v>123</v>
      </c>
      <c r="E525" s="20" t="str">
        <f>list!G91</f>
        <v>Non flooded pre-season &lt;180 d</v>
      </c>
      <c r="F525" s="244">
        <v>1</v>
      </c>
    </row>
    <row r="526" spans="1:11" x14ac:dyDescent="0.2">
      <c r="A526" s="401" t="s">
        <v>1346</v>
      </c>
      <c r="B526" s="271">
        <v>1.19</v>
      </c>
      <c r="C526" s="270">
        <v>113</v>
      </c>
      <c r="E526" s="20" t="str">
        <f>list!G92</f>
        <v>Non flooded pre-season &gt;180 d</v>
      </c>
      <c r="F526" s="269">
        <v>0.89</v>
      </c>
    </row>
    <row r="527" spans="1:11" x14ac:dyDescent="0.2">
      <c r="A527" s="401" t="s">
        <v>1343</v>
      </c>
      <c r="B527" s="264">
        <v>0.65</v>
      </c>
      <c r="C527" s="20">
        <v>139</v>
      </c>
      <c r="E527" s="37" t="str">
        <f>list!G93</f>
        <v>Flooded pre-season &gt; 30 d</v>
      </c>
      <c r="F527" s="272">
        <v>2.41</v>
      </c>
    </row>
    <row r="528" spans="1:11" x14ac:dyDescent="0.2">
      <c r="A528" s="401" t="s">
        <v>1349</v>
      </c>
      <c r="B528" s="264">
        <v>1.27</v>
      </c>
      <c r="C528" s="20">
        <v>124</v>
      </c>
    </row>
    <row r="529" spans="1:4" x14ac:dyDescent="0.2">
      <c r="A529" s="401" t="s">
        <v>1333</v>
      </c>
      <c r="B529" s="271">
        <v>1.19</v>
      </c>
      <c r="C529" s="270">
        <v>113</v>
      </c>
    </row>
    <row r="530" spans="1:4" x14ac:dyDescent="0.2">
      <c r="A530" s="409" t="s">
        <v>1547</v>
      </c>
      <c r="B530" s="271">
        <v>1.19</v>
      </c>
      <c r="C530" s="270">
        <v>113</v>
      </c>
    </row>
    <row r="531" spans="1:4" x14ac:dyDescent="0.2">
      <c r="A531" s="355" t="s">
        <v>1907</v>
      </c>
      <c r="B531" s="356"/>
      <c r="C531" s="357"/>
    </row>
    <row r="532" spans="1:4" x14ac:dyDescent="0.2">
      <c r="A532" s="274" t="s">
        <v>1908</v>
      </c>
      <c r="B532" s="280"/>
      <c r="C532" s="277"/>
    </row>
    <row r="533" spans="1:4" ht="16" thickBot="1" x14ac:dyDescent="0.25"/>
    <row r="534" spans="1:4" s="18" customFormat="1" x14ac:dyDescent="0.2">
      <c r="A534" s="350" t="s">
        <v>1909</v>
      </c>
      <c r="B534" s="351"/>
      <c r="C534" s="351"/>
      <c r="D534" s="352"/>
    </row>
    <row r="535" spans="1:4" s="18" customFormat="1" x14ac:dyDescent="0.2">
      <c r="A535" s="353" t="s">
        <v>1910</v>
      </c>
      <c r="B535" s="349"/>
      <c r="C535" s="349"/>
      <c r="D535" s="354"/>
    </row>
    <row r="536" spans="1:4" x14ac:dyDescent="0.2">
      <c r="A536" s="6" t="s">
        <v>1911</v>
      </c>
      <c r="B536" s="6" t="s">
        <v>1912</v>
      </c>
      <c r="C536" s="6" t="s">
        <v>1913</v>
      </c>
      <c r="D536" s="6" t="s">
        <v>1914</v>
      </c>
    </row>
    <row r="537" spans="1:4" s="21" customFormat="1" ht="15" customHeight="1" x14ac:dyDescent="0.2">
      <c r="A537" s="400" t="s">
        <v>1915</v>
      </c>
      <c r="B537" s="20" t="s">
        <v>1916</v>
      </c>
      <c r="C537" s="20" t="s">
        <v>1916</v>
      </c>
      <c r="D537" s="392">
        <v>1</v>
      </c>
    </row>
    <row r="538" spans="1:4" s="21" customFormat="1" ht="15" customHeight="1" x14ac:dyDescent="0.2">
      <c r="A538" s="400" t="s">
        <v>1917</v>
      </c>
      <c r="B538" s="20" t="str">
        <f>list!F121</f>
        <v>Non-degraded</v>
      </c>
      <c r="C538" s="20" t="s">
        <v>1916</v>
      </c>
      <c r="D538" s="392">
        <v>1</v>
      </c>
    </row>
    <row r="539" spans="1:4" s="21" customFormat="1" ht="15" customHeight="1" x14ac:dyDescent="0.2">
      <c r="A539" s="400" t="s">
        <v>1917</v>
      </c>
      <c r="B539" s="20" t="str">
        <f>list!F122</f>
        <v>High intensity grazing</v>
      </c>
      <c r="C539" s="20" t="s">
        <v>1916</v>
      </c>
      <c r="D539" s="20">
        <v>0.9</v>
      </c>
    </row>
    <row r="540" spans="1:4" s="21" customFormat="1" ht="15" customHeight="1" x14ac:dyDescent="0.2">
      <c r="A540" s="400" t="s">
        <v>1917</v>
      </c>
      <c r="B540" s="20" t="str">
        <f>list!F123</f>
        <v>Severely degraded</v>
      </c>
      <c r="C540" s="20" t="s">
        <v>1916</v>
      </c>
      <c r="D540" s="20">
        <v>0.7</v>
      </c>
    </row>
    <row r="541" spans="1:4" s="21" customFormat="1" ht="15" customHeight="1" x14ac:dyDescent="0.2">
      <c r="A541" s="400" t="s">
        <v>1917</v>
      </c>
      <c r="B541" s="20" t="str">
        <f>list!F124</f>
        <v>Improved grassland</v>
      </c>
      <c r="C541" s="20" t="s">
        <v>114</v>
      </c>
      <c r="D541" s="20">
        <v>1.1399999999999999</v>
      </c>
    </row>
    <row r="542" spans="1:4" s="21" customFormat="1" ht="15" customHeight="1" x14ac:dyDescent="0.2">
      <c r="A542" s="400" t="s">
        <v>1917</v>
      </c>
      <c r="B542" s="20" t="s">
        <v>848</v>
      </c>
      <c r="C542" s="20" t="s">
        <v>1358</v>
      </c>
      <c r="D542" s="20">
        <v>1.1399999999999999</v>
      </c>
    </row>
    <row r="543" spans="1:4" s="21" customFormat="1" ht="15" customHeight="1" x14ac:dyDescent="0.2">
      <c r="A543" s="400" t="s">
        <v>1917</v>
      </c>
      <c r="B543" s="20" t="s">
        <v>848</v>
      </c>
      <c r="C543" s="20" t="s">
        <v>111</v>
      </c>
      <c r="D543" s="20">
        <v>1.17</v>
      </c>
    </row>
    <row r="544" spans="1:4" s="21" customFormat="1" ht="15" customHeight="1" x14ac:dyDescent="0.2">
      <c r="A544" s="400" t="s">
        <v>1917</v>
      </c>
      <c r="B544" s="20" t="s">
        <v>848</v>
      </c>
      <c r="C544" s="20" t="s">
        <v>1359</v>
      </c>
      <c r="D544" s="61">
        <v>1.1599999999999999</v>
      </c>
    </row>
    <row r="545" spans="1:4" s="21" customFormat="1" ht="15" customHeight="1" x14ac:dyDescent="0.2">
      <c r="A545" s="400" t="s">
        <v>1917</v>
      </c>
      <c r="B545" s="20" t="s">
        <v>848</v>
      </c>
      <c r="C545" s="20" t="s">
        <v>1360</v>
      </c>
      <c r="D545" s="20">
        <v>1.1399999999999999</v>
      </c>
    </row>
    <row r="546" spans="1:4" s="21" customFormat="1" ht="15" customHeight="1" x14ac:dyDescent="0.2">
      <c r="A546" s="20" t="s">
        <v>1918</v>
      </c>
      <c r="B546" s="20" t="str">
        <f>list!F125</f>
        <v>Improved with medium inputs</v>
      </c>
      <c r="C546" s="20" t="s">
        <v>1916</v>
      </c>
      <c r="D546" s="392">
        <v>1</v>
      </c>
    </row>
    <row r="547" spans="1:4" s="21" customFormat="1" ht="15" customHeight="1" x14ac:dyDescent="0.2">
      <c r="A547" s="37" t="s">
        <v>1918</v>
      </c>
      <c r="B547" s="37" t="str">
        <f>list!F126</f>
        <v>Improved with high inputs</v>
      </c>
      <c r="C547" s="37" t="s">
        <v>1916</v>
      </c>
      <c r="D547" s="37">
        <v>1.1100000000000001</v>
      </c>
    </row>
    <row r="549" spans="1:4" s="329" customFormat="1" x14ac:dyDescent="0.2">
      <c r="A549" s="393" t="s">
        <v>1919</v>
      </c>
      <c r="B549" s="394"/>
      <c r="C549" s="394"/>
      <c r="D549" s="394"/>
    </row>
    <row r="550" spans="1:4" s="106" customFormat="1" x14ac:dyDescent="0.2">
      <c r="A550" s="395" t="s">
        <v>1920</v>
      </c>
      <c r="C550" s="396"/>
      <c r="D550" s="396"/>
    </row>
    <row r="551" spans="1:4" s="329" customFormat="1" x14ac:dyDescent="0.2">
      <c r="A551" s="415"/>
      <c r="B551" s="415" t="s">
        <v>987</v>
      </c>
      <c r="C551" s="394"/>
      <c r="D551" s="394"/>
    </row>
    <row r="552" spans="1:4" s="106" customFormat="1" ht="17" x14ac:dyDescent="0.2">
      <c r="A552" s="416" t="s">
        <v>1921</v>
      </c>
      <c r="B552" s="416" t="s">
        <v>1922</v>
      </c>
      <c r="C552" s="396"/>
      <c r="D552" s="396"/>
    </row>
    <row r="553" spans="1:4" s="21" customFormat="1" x14ac:dyDescent="0.2">
      <c r="A553" s="20" t="s">
        <v>1491</v>
      </c>
      <c r="B553" s="20">
        <v>1.7</v>
      </c>
    </row>
    <row r="554" spans="1:4" s="21" customFormat="1" x14ac:dyDescent="0.2">
      <c r="A554" s="20" t="s">
        <v>1490</v>
      </c>
      <c r="B554" s="20">
        <v>1.7</v>
      </c>
    </row>
    <row r="555" spans="1:4" s="21" customFormat="1" x14ac:dyDescent="0.2">
      <c r="A555" s="20" t="s">
        <v>1483</v>
      </c>
      <c r="B555" s="20">
        <v>1.7</v>
      </c>
    </row>
    <row r="556" spans="1:4" s="21" customFormat="1" x14ac:dyDescent="0.2">
      <c r="A556" s="20" t="s">
        <v>1484</v>
      </c>
      <c r="B556" s="20">
        <v>2.4</v>
      </c>
    </row>
    <row r="557" spans="1:4" s="21" customFormat="1" x14ac:dyDescent="0.2">
      <c r="A557" s="20" t="s">
        <v>1486</v>
      </c>
      <c r="B557" s="20">
        <v>2.7</v>
      </c>
    </row>
    <row r="558" spans="1:4" s="21" customFormat="1" x14ac:dyDescent="0.2">
      <c r="A558" s="20" t="s">
        <v>1485</v>
      </c>
      <c r="B558" s="20">
        <v>1.6</v>
      </c>
    </row>
    <row r="559" spans="1:4" s="21" customFormat="1" x14ac:dyDescent="0.2">
      <c r="A559" s="20" t="s">
        <v>1487</v>
      </c>
      <c r="B559" s="20">
        <v>2.2999999999999998</v>
      </c>
    </row>
    <row r="560" spans="1:4" s="21" customFormat="1" x14ac:dyDescent="0.2">
      <c r="A560" s="20" t="s">
        <v>1488</v>
      </c>
      <c r="B560" s="20">
        <v>6.2</v>
      </c>
    </row>
    <row r="561" spans="1:10" s="21" customFormat="1" x14ac:dyDescent="0.2">
      <c r="A561" s="20" t="s">
        <v>1489</v>
      </c>
      <c r="B561" s="20">
        <v>6.2</v>
      </c>
    </row>
    <row r="562" spans="1:10" s="21" customFormat="1" x14ac:dyDescent="0.2">
      <c r="A562" s="292" t="s">
        <v>1359</v>
      </c>
      <c r="B562" s="272">
        <v>2.2999999999999998</v>
      </c>
    </row>
    <row r="564" spans="1:10" s="329" customFormat="1" x14ac:dyDescent="0.2">
      <c r="A564" s="393" t="s">
        <v>1923</v>
      </c>
    </row>
    <row r="565" spans="1:10" s="106" customFormat="1" x14ac:dyDescent="0.2">
      <c r="A565" s="417" t="s">
        <v>1924</v>
      </c>
    </row>
    <row r="566" spans="1:10" s="291" customFormat="1" x14ac:dyDescent="0.2">
      <c r="A566" s="418"/>
      <c r="B566" s="419" t="s">
        <v>813</v>
      </c>
    </row>
    <row r="567" spans="1:10" s="292" customFormat="1" x14ac:dyDescent="0.2">
      <c r="A567" s="420" t="s">
        <v>1925</v>
      </c>
      <c r="B567" s="421">
        <v>0.77</v>
      </c>
    </row>
    <row r="569" spans="1:10" s="440" customFormat="1" ht="12.75" customHeight="1" x14ac:dyDescent="0.2">
      <c r="A569" s="328" t="s">
        <v>1926</v>
      </c>
      <c r="B569" s="438"/>
      <c r="C569" s="438"/>
      <c r="D569" s="439"/>
      <c r="G569" s="439"/>
    </row>
    <row r="570" spans="1:10" s="437" customFormat="1" ht="12.75" customHeight="1" x14ac:dyDescent="0.2">
      <c r="A570" s="278" t="s">
        <v>1927</v>
      </c>
      <c r="B570" s="435"/>
      <c r="C570" s="435"/>
      <c r="D570" s="436"/>
      <c r="G570" s="436"/>
    </row>
    <row r="571" spans="1:10" s="125" customFormat="1" ht="12.75" customHeight="1" x14ac:dyDescent="0.2">
      <c r="A571" s="441" t="s">
        <v>1623</v>
      </c>
      <c r="B571" s="442" t="s">
        <v>111</v>
      </c>
      <c r="C571" s="442" t="s">
        <v>1360</v>
      </c>
      <c r="D571" s="442" t="s">
        <v>1358</v>
      </c>
      <c r="E571" s="442" t="s">
        <v>114</v>
      </c>
      <c r="F571" s="442" t="s">
        <v>1359</v>
      </c>
      <c r="G571" s="443"/>
      <c r="H571" s="444"/>
      <c r="I571" s="444"/>
      <c r="J571" s="444"/>
    </row>
    <row r="572" spans="1:10" s="18" customFormat="1" ht="12.75" customHeight="1" x14ac:dyDescent="0.2">
      <c r="A572" s="446" t="s">
        <v>995</v>
      </c>
      <c r="B572" s="447" t="s">
        <v>57</v>
      </c>
      <c r="C572" s="447" t="s">
        <v>57</v>
      </c>
      <c r="D572" s="447" t="s">
        <v>57</v>
      </c>
      <c r="E572" s="447" t="s">
        <v>57</v>
      </c>
      <c r="F572" s="447" t="s">
        <v>57</v>
      </c>
      <c r="G572" s="440"/>
      <c r="H572" s="434"/>
      <c r="I572" s="434"/>
      <c r="J572" s="434"/>
    </row>
    <row r="573" spans="1:10" s="21" customFormat="1" x14ac:dyDescent="0.2">
      <c r="A573" s="63"/>
      <c r="B573" s="456" t="s">
        <v>118</v>
      </c>
      <c r="C573" s="63" t="s">
        <v>119</v>
      </c>
      <c r="D573" s="63" t="s">
        <v>120</v>
      </c>
      <c r="E573" s="63" t="s">
        <v>121</v>
      </c>
      <c r="F573" s="63" t="s">
        <v>122</v>
      </c>
      <c r="G573" s="63"/>
    </row>
    <row r="574" spans="1:10" s="21" customFormat="1" x14ac:dyDescent="0.2">
      <c r="A574" s="20"/>
      <c r="B574" s="20" t="s">
        <v>123</v>
      </c>
      <c r="C574" s="20" t="s">
        <v>124</v>
      </c>
      <c r="D574" s="20" t="s">
        <v>125</v>
      </c>
      <c r="E574" s="20" t="s">
        <v>126</v>
      </c>
      <c r="F574" s="20" t="s">
        <v>127</v>
      </c>
      <c r="G574" s="20"/>
    </row>
    <row r="575" spans="1:10" s="21" customFormat="1" x14ac:dyDescent="0.2">
      <c r="A575" s="20"/>
      <c r="B575" s="20" t="s">
        <v>128</v>
      </c>
      <c r="C575" s="20" t="s">
        <v>129</v>
      </c>
      <c r="D575" s="20" t="s">
        <v>130</v>
      </c>
      <c r="E575" s="20" t="s">
        <v>131</v>
      </c>
      <c r="F575" s="20"/>
      <c r="G575" s="20"/>
    </row>
    <row r="576" spans="1:10" s="21" customFormat="1" x14ac:dyDescent="0.2">
      <c r="A576" s="20"/>
      <c r="B576" s="20" t="s">
        <v>132</v>
      </c>
      <c r="C576" s="20" t="s">
        <v>133</v>
      </c>
      <c r="D576" s="445" t="s">
        <v>134</v>
      </c>
      <c r="E576" s="20" t="s">
        <v>135</v>
      </c>
      <c r="F576" s="20"/>
      <c r="G576" s="20"/>
    </row>
    <row r="577" spans="1:37" s="21" customFormat="1" x14ac:dyDescent="0.2">
      <c r="A577" s="20"/>
      <c r="B577" s="21" t="s">
        <v>136</v>
      </c>
      <c r="C577" s="20" t="s">
        <v>137</v>
      </c>
      <c r="D577" s="445" t="s">
        <v>138</v>
      </c>
      <c r="E577" s="20" t="s">
        <v>139</v>
      </c>
      <c r="F577" s="20"/>
      <c r="G577" s="20"/>
    </row>
    <row r="578" spans="1:37" s="21" customFormat="1" x14ac:dyDescent="0.2">
      <c r="A578" s="20"/>
      <c r="B578" s="20" t="s">
        <v>140</v>
      </c>
      <c r="C578" s="20" t="s">
        <v>141</v>
      </c>
      <c r="D578" s="20" t="s">
        <v>142</v>
      </c>
      <c r="E578" s="20" t="s">
        <v>143</v>
      </c>
      <c r="F578" s="20"/>
      <c r="G578" s="20"/>
    </row>
    <row r="579" spans="1:37" s="21" customFormat="1" x14ac:dyDescent="0.2">
      <c r="A579" s="20"/>
      <c r="B579" s="20" t="s">
        <v>144</v>
      </c>
      <c r="C579" s="20" t="s">
        <v>145</v>
      </c>
      <c r="D579" s="20" t="s">
        <v>146</v>
      </c>
      <c r="E579" s="20"/>
      <c r="F579" s="20"/>
      <c r="G579" s="20"/>
    </row>
    <row r="580" spans="1:37" s="21" customFormat="1" x14ac:dyDescent="0.2">
      <c r="A580" s="20"/>
      <c r="B580" s="20" t="s">
        <v>147</v>
      </c>
      <c r="C580" s="20" t="s">
        <v>148</v>
      </c>
      <c r="D580" s="20" t="s">
        <v>149</v>
      </c>
      <c r="E580" s="20"/>
      <c r="F580" s="20"/>
      <c r="G580" s="20"/>
    </row>
    <row r="581" spans="1:37" s="21" customFormat="1" x14ac:dyDescent="0.2">
      <c r="A581" s="20"/>
      <c r="B581" s="20" t="s">
        <v>150</v>
      </c>
      <c r="C581" s="20" t="s">
        <v>136</v>
      </c>
      <c r="D581" s="21" t="s">
        <v>151</v>
      </c>
      <c r="E581" s="20"/>
      <c r="F581" s="20"/>
      <c r="G581" s="20"/>
    </row>
    <row r="582" spans="1:37" s="21" customFormat="1" x14ac:dyDescent="0.2">
      <c r="A582" s="20"/>
      <c r="B582" s="20"/>
      <c r="C582" s="20"/>
      <c r="D582" s="20" t="s">
        <v>152</v>
      </c>
      <c r="E582" s="20"/>
      <c r="F582" s="20"/>
      <c r="G582" s="20"/>
    </row>
    <row r="583" spans="1:37" s="21" customFormat="1" x14ac:dyDescent="0.2">
      <c r="A583" s="20"/>
      <c r="B583" s="20"/>
      <c r="C583" s="20"/>
      <c r="D583" s="20"/>
      <c r="E583" s="20"/>
      <c r="F583" s="20"/>
      <c r="G583" s="20"/>
    </row>
    <row r="584" spans="1:37" s="21" customFormat="1" x14ac:dyDescent="0.2">
      <c r="A584" s="37"/>
      <c r="B584" s="37"/>
      <c r="C584" s="37"/>
      <c r="D584" s="37"/>
      <c r="E584" s="37"/>
      <c r="F584" s="37"/>
      <c r="G584" s="37"/>
    </row>
    <row r="586" spans="1:37" s="329" customFormat="1" x14ac:dyDescent="0.2">
      <c r="A586" s="484" t="s">
        <v>1928</v>
      </c>
    </row>
    <row r="587" spans="1:37" s="125" customFormat="1" x14ac:dyDescent="0.2">
      <c r="A587" s="448" t="s">
        <v>1929</v>
      </c>
    </row>
    <row r="588" spans="1:37" s="480" customFormat="1" x14ac:dyDescent="0.2">
      <c r="A588" s="478"/>
      <c r="B588" s="479"/>
      <c r="C588" s="479"/>
      <c r="D588" s="479"/>
      <c r="E588" s="479"/>
      <c r="F588" s="479"/>
      <c r="G588" s="479"/>
      <c r="H588" s="479"/>
      <c r="I588" s="479"/>
      <c r="J588" s="479"/>
      <c r="K588" s="479"/>
      <c r="L588" s="479"/>
      <c r="M588" s="479"/>
    </row>
    <row r="589" spans="1:37" s="480" customFormat="1" x14ac:dyDescent="0.2">
      <c r="A589" s="487" t="s">
        <v>1930</v>
      </c>
      <c r="B589" s="487" t="s">
        <v>1931</v>
      </c>
      <c r="C589" s="487" t="s">
        <v>1931</v>
      </c>
      <c r="D589" s="487" t="s">
        <v>1931</v>
      </c>
      <c r="E589" s="487" t="s">
        <v>1931</v>
      </c>
      <c r="F589" s="487" t="s">
        <v>1932</v>
      </c>
      <c r="G589" s="487" t="s">
        <v>1931</v>
      </c>
      <c r="H589" s="487" t="s">
        <v>1931</v>
      </c>
      <c r="I589" s="487" t="s">
        <v>1931</v>
      </c>
      <c r="J589" s="487" t="s">
        <v>1931</v>
      </c>
      <c r="K589" s="487" t="s">
        <v>1931</v>
      </c>
      <c r="L589" s="487" t="s">
        <v>1931</v>
      </c>
      <c r="M589" s="487" t="s">
        <v>1931</v>
      </c>
      <c r="N589" s="487" t="s">
        <v>1931</v>
      </c>
      <c r="O589" s="487" t="s">
        <v>1931</v>
      </c>
      <c r="P589" s="487" t="s">
        <v>1931</v>
      </c>
      <c r="Q589" s="487" t="s">
        <v>1931</v>
      </c>
      <c r="R589" s="487" t="s">
        <v>1931</v>
      </c>
      <c r="S589" s="487" t="s">
        <v>1931</v>
      </c>
      <c r="T589" s="487" t="s">
        <v>1931</v>
      </c>
      <c r="U589" s="487" t="s">
        <v>1931</v>
      </c>
      <c r="V589" s="487" t="s">
        <v>1931</v>
      </c>
      <c r="W589" s="487" t="s">
        <v>1931</v>
      </c>
      <c r="X589" s="487" t="s">
        <v>1931</v>
      </c>
      <c r="Y589" s="487" t="s">
        <v>1931</v>
      </c>
      <c r="Z589" s="487" t="s">
        <v>1931</v>
      </c>
      <c r="AA589" s="487" t="s">
        <v>1931</v>
      </c>
      <c r="AB589" s="487" t="s">
        <v>1931</v>
      </c>
      <c r="AC589" s="487" t="s">
        <v>1931</v>
      </c>
      <c r="AD589" s="487" t="s">
        <v>1931</v>
      </c>
      <c r="AE589" s="487" t="s">
        <v>1931</v>
      </c>
      <c r="AF589" s="487" t="s">
        <v>1931</v>
      </c>
      <c r="AG589" s="487" t="s">
        <v>1931</v>
      </c>
      <c r="AH589" s="487" t="s">
        <v>1931</v>
      </c>
      <c r="AI589" s="487" t="s">
        <v>1931</v>
      </c>
      <c r="AJ589" s="487" t="s">
        <v>1931</v>
      </c>
      <c r="AK589" s="487" t="s">
        <v>1931</v>
      </c>
    </row>
    <row r="590" spans="1:37" s="483" customFormat="1" x14ac:dyDescent="0.2">
      <c r="A590" s="484" t="s">
        <v>57</v>
      </c>
      <c r="B590" s="484" t="s">
        <v>118</v>
      </c>
      <c r="C590" s="484" t="s">
        <v>123</v>
      </c>
      <c r="D590" s="484" t="s">
        <v>128</v>
      </c>
      <c r="E590" s="484" t="s">
        <v>132</v>
      </c>
      <c r="F590" s="484" t="s">
        <v>136</v>
      </c>
      <c r="G590" s="484" t="s">
        <v>140</v>
      </c>
      <c r="H590" s="484" t="s">
        <v>144</v>
      </c>
      <c r="I590" s="484" t="s">
        <v>147</v>
      </c>
      <c r="J590" s="484" t="s">
        <v>150</v>
      </c>
      <c r="K590" s="484" t="s">
        <v>119</v>
      </c>
      <c r="L590" s="484" t="s">
        <v>124</v>
      </c>
      <c r="M590" s="484" t="s">
        <v>129</v>
      </c>
      <c r="N590" s="484" t="s">
        <v>133</v>
      </c>
      <c r="O590" s="484" t="s">
        <v>137</v>
      </c>
      <c r="P590" s="484" t="s">
        <v>141</v>
      </c>
      <c r="Q590" s="484" t="s">
        <v>145</v>
      </c>
      <c r="R590" s="484" t="s">
        <v>148</v>
      </c>
      <c r="S590" s="484" t="s">
        <v>136</v>
      </c>
      <c r="T590" s="484" t="s">
        <v>120</v>
      </c>
      <c r="U590" s="484" t="s">
        <v>125</v>
      </c>
      <c r="V590" s="484" t="s">
        <v>130</v>
      </c>
      <c r="W590" s="484" t="s">
        <v>134</v>
      </c>
      <c r="X590" s="484" t="s">
        <v>138</v>
      </c>
      <c r="Y590" s="484" t="s">
        <v>142</v>
      </c>
      <c r="Z590" s="484" t="s">
        <v>146</v>
      </c>
      <c r="AA590" s="484" t="s">
        <v>149</v>
      </c>
      <c r="AB590" s="484" t="s">
        <v>151</v>
      </c>
      <c r="AC590" s="484" t="s">
        <v>152</v>
      </c>
      <c r="AD590" s="484" t="s">
        <v>121</v>
      </c>
      <c r="AE590" s="484" t="s">
        <v>126</v>
      </c>
      <c r="AF590" s="484" t="s">
        <v>131</v>
      </c>
      <c r="AG590" s="484" t="s">
        <v>135</v>
      </c>
      <c r="AH590" s="484" t="s">
        <v>139</v>
      </c>
      <c r="AI590" s="484" t="s">
        <v>143</v>
      </c>
      <c r="AJ590" s="484" t="s">
        <v>122</v>
      </c>
      <c r="AK590" s="484" t="s">
        <v>127</v>
      </c>
    </row>
    <row r="591" spans="1:37" s="2746" customFormat="1" x14ac:dyDescent="0.2">
      <c r="A591" s="2740" t="s">
        <v>1552</v>
      </c>
      <c r="B591" s="2741">
        <v>404.2</v>
      </c>
      <c r="C591" s="2741">
        <v>236.6</v>
      </c>
      <c r="D591" s="2741">
        <v>69.599999999999994</v>
      </c>
      <c r="E591" s="2741">
        <v>48.4</v>
      </c>
      <c r="F591" s="2742"/>
      <c r="G591" s="2743">
        <f>AVERAGE(200,300)</f>
        <v>250</v>
      </c>
      <c r="H591" s="2743">
        <f>AVERAGE(120,483)</f>
        <v>301.5</v>
      </c>
      <c r="I591" s="2743">
        <f>AVERAGE(60,193.9)</f>
        <v>126.95</v>
      </c>
      <c r="J591" s="2743">
        <v>20</v>
      </c>
      <c r="K591" s="2743">
        <v>54.1</v>
      </c>
      <c r="L591" s="2743">
        <v>65.2</v>
      </c>
      <c r="M591" s="2743">
        <v>50.5</v>
      </c>
      <c r="N591" s="2743">
        <v>35.1</v>
      </c>
      <c r="O591" s="2744">
        <v>140</v>
      </c>
      <c r="P591" s="2743">
        <f>AVERAGE(60,70)</f>
        <v>65</v>
      </c>
      <c r="Q591" s="2743">
        <f>AVERAGE(15,20)</f>
        <v>17.5</v>
      </c>
      <c r="R591" s="2743">
        <f>AVERAGE(30,150)</f>
        <v>90</v>
      </c>
      <c r="S591" s="2745"/>
      <c r="T591" s="2744">
        <v>180</v>
      </c>
      <c r="U591" s="2744">
        <v>120</v>
      </c>
      <c r="V591" s="2744">
        <v>100</v>
      </c>
      <c r="W591" s="2744">
        <v>44</v>
      </c>
      <c r="X591" s="2744">
        <v>118.5</v>
      </c>
      <c r="Y591" s="2744">
        <v>160</v>
      </c>
      <c r="Z591" s="2744">
        <v>100</v>
      </c>
      <c r="AA591" s="2744">
        <v>100</v>
      </c>
      <c r="AB591" s="2744">
        <v>44</v>
      </c>
      <c r="AC591" s="2741">
        <f t="shared" ref="AC591:AC596" si="45">AVERAGE(3.6,84.9)</f>
        <v>44.25</v>
      </c>
      <c r="AD591" s="2744">
        <v>50</v>
      </c>
      <c r="AE591" s="2744">
        <v>15</v>
      </c>
      <c r="AF591" s="2744">
        <v>30</v>
      </c>
      <c r="AG591" s="2744">
        <v>40</v>
      </c>
      <c r="AH591" s="2744">
        <v>15</v>
      </c>
      <c r="AI591" s="2744">
        <v>30</v>
      </c>
      <c r="AJ591" s="2741">
        <v>190</v>
      </c>
      <c r="AK591" s="2741">
        <f>AVERAGE(30,150)</f>
        <v>90</v>
      </c>
    </row>
    <row r="592" spans="1:37" s="2746" customFormat="1" x14ac:dyDescent="0.2">
      <c r="A592" s="2747" t="s">
        <v>1557</v>
      </c>
      <c r="B592" s="2748">
        <v>404.2</v>
      </c>
      <c r="C592" s="2748">
        <v>236.6</v>
      </c>
      <c r="D592" s="2748">
        <v>69.599999999999994</v>
      </c>
      <c r="E592" s="2748">
        <v>48.4</v>
      </c>
      <c r="F592" s="2742"/>
      <c r="G592" s="2749">
        <f>AVERAGE(200,300)</f>
        <v>250</v>
      </c>
      <c r="H592" s="2749">
        <f>AVERAGE(120,483)</f>
        <v>301.5</v>
      </c>
      <c r="I592" s="2749">
        <f>AVERAGE(60,193.9)</f>
        <v>126.95</v>
      </c>
      <c r="J592" s="2749">
        <v>20</v>
      </c>
      <c r="K592" s="2749">
        <v>54.1</v>
      </c>
      <c r="L592" s="2749">
        <v>65.2</v>
      </c>
      <c r="M592" s="2749">
        <v>50.5</v>
      </c>
      <c r="N592" s="2749">
        <v>35.1</v>
      </c>
      <c r="O592" s="2750">
        <v>140</v>
      </c>
      <c r="P592" s="2749">
        <f>AVERAGE(60,70)</f>
        <v>65</v>
      </c>
      <c r="Q592" s="2749">
        <f>AVERAGE(15,20)</f>
        <v>17.5</v>
      </c>
      <c r="R592" s="2749">
        <f>AVERAGE(30,150)</f>
        <v>90</v>
      </c>
      <c r="S592" s="2751"/>
      <c r="T592" s="2750">
        <v>180</v>
      </c>
      <c r="U592" s="2750">
        <v>120</v>
      </c>
      <c r="V592" s="2750">
        <v>100</v>
      </c>
      <c r="W592" s="2750">
        <v>44</v>
      </c>
      <c r="X592" s="2750">
        <v>118.5</v>
      </c>
      <c r="Y592" s="2750">
        <v>160</v>
      </c>
      <c r="Z592" s="2750">
        <v>100</v>
      </c>
      <c r="AA592" s="2750">
        <v>100</v>
      </c>
      <c r="AB592" s="2750">
        <v>44</v>
      </c>
      <c r="AC592" s="2748">
        <f t="shared" si="45"/>
        <v>44.25</v>
      </c>
      <c r="AD592" s="2750">
        <v>50</v>
      </c>
      <c r="AE592" s="2750">
        <v>15</v>
      </c>
      <c r="AF592" s="2750">
        <v>30</v>
      </c>
      <c r="AG592" s="2750">
        <v>40</v>
      </c>
      <c r="AH592" s="2750">
        <v>15</v>
      </c>
      <c r="AI592" s="2750">
        <v>30</v>
      </c>
      <c r="AJ592" s="2748">
        <v>190</v>
      </c>
      <c r="AK592" s="2748">
        <f>AVERAGE(30,150)</f>
        <v>90</v>
      </c>
    </row>
    <row r="593" spans="1:38" s="2746" customFormat="1" x14ac:dyDescent="0.2">
      <c r="A593" s="2747" t="s">
        <v>1559</v>
      </c>
      <c r="B593" s="2748">
        <v>404.2</v>
      </c>
      <c r="C593" s="2748">
        <v>236.6</v>
      </c>
      <c r="D593" s="2748">
        <v>69.599999999999994</v>
      </c>
      <c r="E593" s="2748">
        <v>48.4</v>
      </c>
      <c r="F593" s="2742"/>
      <c r="G593" s="2749">
        <f>AVERAGE(200,300)</f>
        <v>250</v>
      </c>
      <c r="H593" s="2749">
        <f>AVERAGE(120,483)</f>
        <v>301.5</v>
      </c>
      <c r="I593" s="2749">
        <f>AVERAGE(60,193.9)</f>
        <v>126.95</v>
      </c>
      <c r="J593" s="2749">
        <v>20</v>
      </c>
      <c r="K593" s="2749">
        <v>54.1</v>
      </c>
      <c r="L593" s="2749">
        <v>65.2</v>
      </c>
      <c r="M593" s="2749">
        <v>50.5</v>
      </c>
      <c r="N593" s="2749">
        <v>35.1</v>
      </c>
      <c r="O593" s="2750">
        <v>140</v>
      </c>
      <c r="P593" s="2749">
        <f>AVERAGE(60,70)</f>
        <v>65</v>
      </c>
      <c r="Q593" s="2749">
        <f>AVERAGE(15,20)</f>
        <v>17.5</v>
      </c>
      <c r="R593" s="2749">
        <f>AVERAGE(30,150)</f>
        <v>90</v>
      </c>
      <c r="S593" s="2751"/>
      <c r="T593" s="2750">
        <v>180</v>
      </c>
      <c r="U593" s="2750">
        <v>120</v>
      </c>
      <c r="V593" s="2750">
        <v>100</v>
      </c>
      <c r="W593" s="2750">
        <v>44</v>
      </c>
      <c r="X593" s="2750">
        <v>118.5</v>
      </c>
      <c r="Y593" s="2750">
        <v>160</v>
      </c>
      <c r="Z593" s="2750">
        <v>100</v>
      </c>
      <c r="AA593" s="2750">
        <v>100</v>
      </c>
      <c r="AB593" s="2750">
        <v>44</v>
      </c>
      <c r="AC593" s="2748">
        <f t="shared" si="45"/>
        <v>44.25</v>
      </c>
      <c r="AD593" s="2750">
        <v>50</v>
      </c>
      <c r="AE593" s="2750">
        <v>15</v>
      </c>
      <c r="AF593" s="2750">
        <v>30</v>
      </c>
      <c r="AG593" s="2750">
        <v>40</v>
      </c>
      <c r="AH593" s="2750">
        <v>15</v>
      </c>
      <c r="AI593" s="2750">
        <v>30</v>
      </c>
      <c r="AJ593" s="2748">
        <v>190</v>
      </c>
      <c r="AK593" s="2748">
        <f>AVERAGE(30,150)</f>
        <v>90</v>
      </c>
    </row>
    <row r="594" spans="1:38" s="2746" customFormat="1" x14ac:dyDescent="0.2">
      <c r="A594" s="2747" t="s">
        <v>1565</v>
      </c>
      <c r="B594" s="2748">
        <v>404.2</v>
      </c>
      <c r="C594" s="2748">
        <v>236.6</v>
      </c>
      <c r="D594" s="2748">
        <v>69.599999999999994</v>
      </c>
      <c r="E594" s="2748">
        <v>48.4</v>
      </c>
      <c r="F594" s="2742"/>
      <c r="G594" s="2749">
        <f>AVERAGE(200,300)</f>
        <v>250</v>
      </c>
      <c r="H594" s="2749">
        <f>AVERAGE(120,483)</f>
        <v>301.5</v>
      </c>
      <c r="I594" s="2749">
        <f>AVERAGE(60,193.9)</f>
        <v>126.95</v>
      </c>
      <c r="J594" s="2749">
        <v>20</v>
      </c>
      <c r="K594" s="2749">
        <v>54.1</v>
      </c>
      <c r="L594" s="2749">
        <v>65.2</v>
      </c>
      <c r="M594" s="2749">
        <v>50.5</v>
      </c>
      <c r="N594" s="2749">
        <v>35.1</v>
      </c>
      <c r="O594" s="2750">
        <v>140</v>
      </c>
      <c r="P594" s="2749">
        <f>AVERAGE(60,70)</f>
        <v>65</v>
      </c>
      <c r="Q594" s="2749">
        <f>AVERAGE(15,20)</f>
        <v>17.5</v>
      </c>
      <c r="R594" s="2749">
        <f>AVERAGE(30,150)</f>
        <v>90</v>
      </c>
      <c r="S594" s="2751"/>
      <c r="T594" s="2750">
        <v>180</v>
      </c>
      <c r="U594" s="2750">
        <v>120</v>
      </c>
      <c r="V594" s="2750">
        <v>100</v>
      </c>
      <c r="W594" s="2750">
        <v>44</v>
      </c>
      <c r="X594" s="2750">
        <v>118.5</v>
      </c>
      <c r="Y594" s="2750">
        <v>160</v>
      </c>
      <c r="Z594" s="2750">
        <v>100</v>
      </c>
      <c r="AA594" s="2750">
        <v>100</v>
      </c>
      <c r="AB594" s="2750">
        <v>44</v>
      </c>
      <c r="AC594" s="2748">
        <f t="shared" si="45"/>
        <v>44.25</v>
      </c>
      <c r="AD594" s="2750">
        <v>50</v>
      </c>
      <c r="AE594" s="2750">
        <v>15</v>
      </c>
      <c r="AF594" s="2750">
        <v>30</v>
      </c>
      <c r="AG594" s="2750">
        <v>40</v>
      </c>
      <c r="AH594" s="2750">
        <v>15</v>
      </c>
      <c r="AI594" s="2750">
        <v>30</v>
      </c>
      <c r="AJ594" s="2748">
        <v>190</v>
      </c>
      <c r="AK594" s="2748">
        <f>AVERAGE(30,150)</f>
        <v>90</v>
      </c>
    </row>
    <row r="595" spans="1:38" s="2746" customFormat="1" x14ac:dyDescent="0.2">
      <c r="A595" s="2747" t="s">
        <v>1569</v>
      </c>
      <c r="B595" s="2748">
        <v>404.2</v>
      </c>
      <c r="C595" s="2748">
        <v>236.6</v>
      </c>
      <c r="D595" s="2748">
        <v>69.599999999999994</v>
      </c>
      <c r="E595" s="2748">
        <v>48.4</v>
      </c>
      <c r="F595" s="2742"/>
      <c r="G595" s="2749">
        <f>AVERAGE(200,300)</f>
        <v>250</v>
      </c>
      <c r="H595" s="2749">
        <f>AVERAGE(120,483)</f>
        <v>301.5</v>
      </c>
      <c r="I595" s="2749">
        <f>AVERAGE(60,193.9)</f>
        <v>126.95</v>
      </c>
      <c r="J595" s="2749">
        <v>20</v>
      </c>
      <c r="K595" s="2749">
        <v>54.1</v>
      </c>
      <c r="L595" s="2749">
        <v>65.2</v>
      </c>
      <c r="M595" s="2749">
        <v>50.5</v>
      </c>
      <c r="N595" s="2749">
        <v>35.1</v>
      </c>
      <c r="O595" s="2750">
        <v>140</v>
      </c>
      <c r="P595" s="2749">
        <f>AVERAGE(60,70)</f>
        <v>65</v>
      </c>
      <c r="Q595" s="2749">
        <f>AVERAGE(15,20)</f>
        <v>17.5</v>
      </c>
      <c r="R595" s="2749">
        <f>AVERAGE(30,150)</f>
        <v>90</v>
      </c>
      <c r="S595" s="2751"/>
      <c r="T595" s="2750">
        <v>180</v>
      </c>
      <c r="U595" s="2750">
        <v>120</v>
      </c>
      <c r="V595" s="2750">
        <v>100</v>
      </c>
      <c r="W595" s="2750">
        <v>44</v>
      </c>
      <c r="X595" s="2750">
        <v>118.5</v>
      </c>
      <c r="Y595" s="2750">
        <v>160</v>
      </c>
      <c r="Z595" s="2750">
        <v>100</v>
      </c>
      <c r="AA595" s="2750">
        <v>100</v>
      </c>
      <c r="AB595" s="2750">
        <v>44</v>
      </c>
      <c r="AC595" s="2748">
        <f t="shared" si="45"/>
        <v>44.25</v>
      </c>
      <c r="AD595" s="2750">
        <v>50</v>
      </c>
      <c r="AE595" s="2750">
        <v>15</v>
      </c>
      <c r="AF595" s="2750">
        <v>30</v>
      </c>
      <c r="AG595" s="2750">
        <v>40</v>
      </c>
      <c r="AH595" s="2750">
        <v>15</v>
      </c>
      <c r="AI595" s="2750">
        <v>30</v>
      </c>
      <c r="AJ595" s="2748">
        <v>190</v>
      </c>
      <c r="AK595" s="2748">
        <f>AVERAGE(30,150)</f>
        <v>90</v>
      </c>
    </row>
    <row r="596" spans="1:38" s="2746" customFormat="1" x14ac:dyDescent="0.2">
      <c r="A596" s="2747" t="s">
        <v>1550</v>
      </c>
      <c r="B596" s="2748">
        <v>413.1</v>
      </c>
      <c r="C596" s="2748">
        <v>67.7</v>
      </c>
      <c r="D596" s="2748">
        <v>184.6</v>
      </c>
      <c r="E596" s="2748">
        <v>38.299999999999997</v>
      </c>
      <c r="F596" s="2742"/>
      <c r="G596" s="2749">
        <f>AVERAGE(48.5,512.8)</f>
        <v>280.64999999999998</v>
      </c>
      <c r="H596" s="2749">
        <f>AVERAGE(93.7,260)</f>
        <v>176.85</v>
      </c>
      <c r="I596" s="2749">
        <f>AVERAGE(45.5,88.8)</f>
        <v>67.150000000000006</v>
      </c>
      <c r="J596" s="2749">
        <f>AVERAGE(30,263.3)</f>
        <v>146.65</v>
      </c>
      <c r="K596" s="2749">
        <v>323</v>
      </c>
      <c r="L596" s="2749">
        <v>70.900000000000006</v>
      </c>
      <c r="M596" s="2749">
        <v>41.6</v>
      </c>
      <c r="N596" s="2749">
        <v>250.2</v>
      </c>
      <c r="O596" s="2749">
        <f>AVERAGE(100,180)</f>
        <v>140</v>
      </c>
      <c r="P596" s="2749">
        <f>AVERAGE(60,163.5)</f>
        <v>111.75</v>
      </c>
      <c r="Q596" s="2749">
        <f>AVERAGE(20,80)</f>
        <v>50</v>
      </c>
      <c r="R596" s="2750">
        <v>90</v>
      </c>
      <c r="S596" s="2751"/>
      <c r="T596" s="2748">
        <v>289.8</v>
      </c>
      <c r="U596" s="2750">
        <v>120</v>
      </c>
      <c r="V596" s="2750">
        <v>100</v>
      </c>
      <c r="W596" s="2750">
        <v>44</v>
      </c>
      <c r="X596" s="2750">
        <v>118.5</v>
      </c>
      <c r="Y596" s="2749">
        <f t="shared" ref="Y596:Y601" si="46">AVERAGE(150,200)</f>
        <v>175</v>
      </c>
      <c r="Z596" s="2749">
        <f>AVERAGE(54.5,132.1)</f>
        <v>93.3</v>
      </c>
      <c r="AA596" s="2750">
        <v>100</v>
      </c>
      <c r="AB596" s="2750">
        <v>44</v>
      </c>
      <c r="AC596" s="2748">
        <f t="shared" si="45"/>
        <v>44.25</v>
      </c>
      <c r="AD596" s="2748">
        <v>62.9</v>
      </c>
      <c r="AE596" s="2750">
        <v>15</v>
      </c>
      <c r="AF596" s="2750">
        <v>30</v>
      </c>
      <c r="AG596" s="2748">
        <f>AVERAGE(40,50)</f>
        <v>45</v>
      </c>
      <c r="AH596" s="2748">
        <v>25</v>
      </c>
      <c r="AI596" s="2748">
        <f t="shared" ref="AI596:AI601" si="47">AVERAGE(40,50)</f>
        <v>45</v>
      </c>
      <c r="AJ596" s="2748">
        <v>433.5</v>
      </c>
      <c r="AK596" s="2748">
        <f>AVERAGE(25,150)</f>
        <v>87.5</v>
      </c>
    </row>
    <row r="597" spans="1:38" s="2746" customFormat="1" x14ac:dyDescent="0.2">
      <c r="A597" s="2747" t="s">
        <v>1554</v>
      </c>
      <c r="B597" s="2748">
        <v>413.1</v>
      </c>
      <c r="C597" s="2748">
        <v>67.7</v>
      </c>
      <c r="D597" s="2748">
        <v>184.6</v>
      </c>
      <c r="E597" s="2748">
        <v>38.299999999999997</v>
      </c>
      <c r="F597" s="2742"/>
      <c r="G597" s="2749">
        <f>AVERAGE(48.5,512.8)</f>
        <v>280.64999999999998</v>
      </c>
      <c r="H597" s="2749">
        <f>AVERAGE(93.7,260)</f>
        <v>176.85</v>
      </c>
      <c r="I597" s="2749">
        <f>AVERAGE(45.5,88.8)</f>
        <v>67.150000000000006</v>
      </c>
      <c r="J597" s="2749">
        <f>AVERAGE(30,263.3)</f>
        <v>146.65</v>
      </c>
      <c r="K597" s="2749">
        <v>323</v>
      </c>
      <c r="L597" s="2749">
        <v>70.900000000000006</v>
      </c>
      <c r="M597" s="2749">
        <v>41.6</v>
      </c>
      <c r="N597" s="2749">
        <v>250.2</v>
      </c>
      <c r="O597" s="2749">
        <f>AVERAGE(100,180)</f>
        <v>140</v>
      </c>
      <c r="P597" s="2749">
        <f>AVERAGE(60,163.5)</f>
        <v>111.75</v>
      </c>
      <c r="Q597" s="2749">
        <f>AVERAGE(20,80)</f>
        <v>50</v>
      </c>
      <c r="R597" s="2750">
        <v>90</v>
      </c>
      <c r="S597" s="2751"/>
      <c r="T597" s="2748">
        <v>289.8</v>
      </c>
      <c r="U597" s="2750">
        <v>120</v>
      </c>
      <c r="V597" s="2750">
        <v>100</v>
      </c>
      <c r="W597" s="2750">
        <v>44</v>
      </c>
      <c r="X597" s="2750">
        <v>118.5</v>
      </c>
      <c r="Y597" s="2749">
        <f t="shared" si="46"/>
        <v>175</v>
      </c>
      <c r="Z597" s="2749">
        <f>AVERAGE(54.5,132.1)</f>
        <v>93.3</v>
      </c>
      <c r="AA597" s="2750">
        <v>100</v>
      </c>
      <c r="AB597" s="2750">
        <v>44</v>
      </c>
      <c r="AC597" s="2748">
        <f t="shared" ref="AC597:AC606" si="48">AVERAGE(3.6,84.9)</f>
        <v>44.25</v>
      </c>
      <c r="AD597" s="2748">
        <v>62.9</v>
      </c>
      <c r="AE597" s="2750">
        <v>15</v>
      </c>
      <c r="AF597" s="2750">
        <v>30</v>
      </c>
      <c r="AG597" s="2748">
        <f t="shared" ref="AG597:AG603" si="49">AVERAGE(40,50)</f>
        <v>45</v>
      </c>
      <c r="AH597" s="2748">
        <v>25</v>
      </c>
      <c r="AI597" s="2748">
        <f t="shared" si="47"/>
        <v>45</v>
      </c>
      <c r="AJ597" s="2748">
        <v>433.5</v>
      </c>
      <c r="AK597" s="2748">
        <f>AVERAGE(25,150)</f>
        <v>87.5</v>
      </c>
    </row>
    <row r="598" spans="1:38" s="2746" customFormat="1" x14ac:dyDescent="0.2">
      <c r="A598" s="2747" t="s">
        <v>1563</v>
      </c>
      <c r="B598" s="2748">
        <v>413.1</v>
      </c>
      <c r="C598" s="2748">
        <v>67.7</v>
      </c>
      <c r="D598" s="2748">
        <v>184.6</v>
      </c>
      <c r="E598" s="2748">
        <v>38.299999999999997</v>
      </c>
      <c r="F598" s="2742"/>
      <c r="G598" s="2749">
        <f>AVERAGE(48.5,512.8)</f>
        <v>280.64999999999998</v>
      </c>
      <c r="H598" s="2749">
        <f>AVERAGE(93.7,260)</f>
        <v>176.85</v>
      </c>
      <c r="I598" s="2749">
        <f>AVERAGE(45.5,88.8)</f>
        <v>67.150000000000006</v>
      </c>
      <c r="J598" s="2749">
        <f>AVERAGE(30,263.3)</f>
        <v>146.65</v>
      </c>
      <c r="K598" s="2749">
        <v>323</v>
      </c>
      <c r="L598" s="2749">
        <v>70.900000000000006</v>
      </c>
      <c r="M598" s="2749">
        <v>41.6</v>
      </c>
      <c r="N598" s="2749">
        <v>250.2</v>
      </c>
      <c r="O598" s="2749">
        <f>AVERAGE(100,180)</f>
        <v>140</v>
      </c>
      <c r="P598" s="2749">
        <f>AVERAGE(60,163.5)</f>
        <v>111.75</v>
      </c>
      <c r="Q598" s="2749">
        <f>AVERAGE(20,80)</f>
        <v>50</v>
      </c>
      <c r="R598" s="2750">
        <v>90</v>
      </c>
      <c r="S598" s="2751"/>
      <c r="T598" s="2748">
        <v>289.8</v>
      </c>
      <c r="U598" s="2750">
        <v>120</v>
      </c>
      <c r="V598" s="2750">
        <v>100</v>
      </c>
      <c r="W598" s="2750">
        <v>44</v>
      </c>
      <c r="X598" s="2750">
        <v>118.5</v>
      </c>
      <c r="Y598" s="2749">
        <f t="shared" si="46"/>
        <v>175</v>
      </c>
      <c r="Z598" s="2749">
        <f>AVERAGE(54.5,132.1)</f>
        <v>93.3</v>
      </c>
      <c r="AA598" s="2750">
        <v>100</v>
      </c>
      <c r="AB598" s="2750">
        <v>44</v>
      </c>
      <c r="AC598" s="2748">
        <f t="shared" si="48"/>
        <v>44.25</v>
      </c>
      <c r="AD598" s="2748">
        <v>62.9</v>
      </c>
      <c r="AE598" s="2750">
        <v>15</v>
      </c>
      <c r="AF598" s="2750">
        <v>30</v>
      </c>
      <c r="AG598" s="2748">
        <f t="shared" si="49"/>
        <v>45</v>
      </c>
      <c r="AH598" s="2748">
        <v>25</v>
      </c>
      <c r="AI598" s="2748">
        <f t="shared" si="47"/>
        <v>45</v>
      </c>
      <c r="AJ598" s="2748">
        <v>433.5</v>
      </c>
      <c r="AK598" s="2748">
        <f>AVERAGE(25,150)</f>
        <v>87.5</v>
      </c>
    </row>
    <row r="599" spans="1:38" s="2746" customFormat="1" x14ac:dyDescent="0.2">
      <c r="A599" s="2747" t="s">
        <v>1567</v>
      </c>
      <c r="B599" s="2748">
        <v>413.1</v>
      </c>
      <c r="C599" s="2748">
        <v>67.7</v>
      </c>
      <c r="D599" s="2748">
        <v>184.6</v>
      </c>
      <c r="E599" s="2748">
        <v>38.299999999999997</v>
      </c>
      <c r="F599" s="2742"/>
      <c r="G599" s="2749">
        <f>AVERAGE(48.5,512.8)</f>
        <v>280.64999999999998</v>
      </c>
      <c r="H599" s="2749">
        <f>AVERAGE(93.7,260)</f>
        <v>176.85</v>
      </c>
      <c r="I599" s="2749">
        <f>AVERAGE(45.5,88.8)</f>
        <v>67.150000000000006</v>
      </c>
      <c r="J599" s="2749">
        <f>AVERAGE(30,263.3)</f>
        <v>146.65</v>
      </c>
      <c r="K599" s="2749">
        <v>323</v>
      </c>
      <c r="L599" s="2749">
        <v>70.900000000000006</v>
      </c>
      <c r="M599" s="2749">
        <v>41.6</v>
      </c>
      <c r="N599" s="2749">
        <v>250.2</v>
      </c>
      <c r="O599" s="2749">
        <f>AVERAGE(100,180)</f>
        <v>140</v>
      </c>
      <c r="P599" s="2749">
        <f>AVERAGE(60,163.5)</f>
        <v>111.75</v>
      </c>
      <c r="Q599" s="2749">
        <f>AVERAGE(20,80)</f>
        <v>50</v>
      </c>
      <c r="R599" s="2750">
        <v>90</v>
      </c>
      <c r="S599" s="2751"/>
      <c r="T599" s="2748">
        <v>289.8</v>
      </c>
      <c r="U599" s="2750">
        <v>120</v>
      </c>
      <c r="V599" s="2750">
        <v>100</v>
      </c>
      <c r="W599" s="2750">
        <v>44</v>
      </c>
      <c r="X599" s="2750">
        <v>118.5</v>
      </c>
      <c r="Y599" s="2749">
        <f t="shared" si="46"/>
        <v>175</v>
      </c>
      <c r="Z599" s="2749">
        <f>AVERAGE(54.5,132.1)</f>
        <v>93.3</v>
      </c>
      <c r="AA599" s="2750">
        <v>100</v>
      </c>
      <c r="AB599" s="2750">
        <v>44</v>
      </c>
      <c r="AC599" s="2748">
        <f t="shared" si="48"/>
        <v>44.25</v>
      </c>
      <c r="AD599" s="2748">
        <v>62.9</v>
      </c>
      <c r="AE599" s="2750">
        <v>15</v>
      </c>
      <c r="AF599" s="2750">
        <v>30</v>
      </c>
      <c r="AG599" s="2748">
        <f t="shared" si="49"/>
        <v>45</v>
      </c>
      <c r="AH599" s="2748">
        <v>25</v>
      </c>
      <c r="AI599" s="2748">
        <f t="shared" si="47"/>
        <v>45</v>
      </c>
      <c r="AJ599" s="2748">
        <v>433.5</v>
      </c>
      <c r="AK599" s="2748">
        <f>AVERAGE(25,150)</f>
        <v>87.5</v>
      </c>
    </row>
    <row r="600" spans="1:38" s="2746" customFormat="1" x14ac:dyDescent="0.2">
      <c r="A600" s="2747" t="s">
        <v>1571</v>
      </c>
      <c r="B600" s="2748">
        <v>413.1</v>
      </c>
      <c r="C600" s="2748">
        <v>67.7</v>
      </c>
      <c r="D600" s="2748">
        <v>184.6</v>
      </c>
      <c r="E600" s="2748">
        <v>38.299999999999997</v>
      </c>
      <c r="F600" s="2742"/>
      <c r="G600" s="2749">
        <f>AVERAGE(48.5,512.8)</f>
        <v>280.64999999999998</v>
      </c>
      <c r="H600" s="2749">
        <f>AVERAGE(93.7,260)</f>
        <v>176.85</v>
      </c>
      <c r="I600" s="2749">
        <f>AVERAGE(45.5,88.8)</f>
        <v>67.150000000000006</v>
      </c>
      <c r="J600" s="2749">
        <f>AVERAGE(30,263.3)</f>
        <v>146.65</v>
      </c>
      <c r="K600" s="2749">
        <v>323</v>
      </c>
      <c r="L600" s="2749">
        <v>70.900000000000006</v>
      </c>
      <c r="M600" s="2749">
        <v>41.6</v>
      </c>
      <c r="N600" s="2749">
        <v>250.2</v>
      </c>
      <c r="O600" s="2749">
        <f>AVERAGE(100,180)</f>
        <v>140</v>
      </c>
      <c r="P600" s="2749">
        <f>AVERAGE(60,163.5)</f>
        <v>111.75</v>
      </c>
      <c r="Q600" s="2749">
        <f>AVERAGE(20,80)</f>
        <v>50</v>
      </c>
      <c r="R600" s="2750">
        <v>90</v>
      </c>
      <c r="S600" s="2751"/>
      <c r="T600" s="2748">
        <v>289.8</v>
      </c>
      <c r="U600" s="2750">
        <v>120</v>
      </c>
      <c r="V600" s="2750">
        <v>100</v>
      </c>
      <c r="W600" s="2750">
        <v>44</v>
      </c>
      <c r="X600" s="2750">
        <v>118.5</v>
      </c>
      <c r="Y600" s="2749">
        <f t="shared" si="46"/>
        <v>175</v>
      </c>
      <c r="Z600" s="2749">
        <f>AVERAGE(54.5,132.1)</f>
        <v>93.3</v>
      </c>
      <c r="AA600" s="2750">
        <v>100</v>
      </c>
      <c r="AB600" s="2750">
        <v>44</v>
      </c>
      <c r="AC600" s="2748">
        <f t="shared" si="48"/>
        <v>44.25</v>
      </c>
      <c r="AD600" s="2748">
        <v>62.9</v>
      </c>
      <c r="AE600" s="2750">
        <v>15</v>
      </c>
      <c r="AF600" s="2750">
        <v>30</v>
      </c>
      <c r="AG600" s="2748">
        <f t="shared" si="49"/>
        <v>45</v>
      </c>
      <c r="AH600" s="2748">
        <v>25</v>
      </c>
      <c r="AI600" s="2748">
        <f t="shared" si="47"/>
        <v>45</v>
      </c>
      <c r="AJ600" s="2748">
        <v>433.5</v>
      </c>
      <c r="AK600" s="2748">
        <f>AVERAGE(25,150)</f>
        <v>87.5</v>
      </c>
    </row>
    <row r="601" spans="1:38" s="2746" customFormat="1" x14ac:dyDescent="0.2">
      <c r="A601" s="2747" t="s">
        <v>1555</v>
      </c>
      <c r="B601" s="2750">
        <v>300</v>
      </c>
      <c r="C601" s="2750">
        <v>180</v>
      </c>
      <c r="D601" s="2750">
        <v>130</v>
      </c>
      <c r="E601" s="2750">
        <v>70</v>
      </c>
      <c r="F601" s="2742"/>
      <c r="G601" s="2750">
        <v>150</v>
      </c>
      <c r="H601" s="2750">
        <v>120</v>
      </c>
      <c r="I601" s="2750">
        <v>60</v>
      </c>
      <c r="J601" s="2750">
        <v>30</v>
      </c>
      <c r="K601" s="2750">
        <v>220</v>
      </c>
      <c r="L601" s="2750">
        <v>130</v>
      </c>
      <c r="M601" s="2750">
        <v>70</v>
      </c>
      <c r="N601" s="2750">
        <v>140</v>
      </c>
      <c r="O601" s="2750">
        <v>140</v>
      </c>
      <c r="P601" s="2750">
        <v>60</v>
      </c>
      <c r="Q601" s="2750">
        <v>30</v>
      </c>
      <c r="R601" s="2750">
        <v>90</v>
      </c>
      <c r="S601" s="2751"/>
      <c r="T601" s="2748">
        <v>126.1</v>
      </c>
      <c r="U601" s="2748">
        <v>332.4</v>
      </c>
      <c r="V601" s="2748">
        <v>301.10000000000002</v>
      </c>
      <c r="W601" s="2750">
        <v>44</v>
      </c>
      <c r="X601" s="2750">
        <v>118.5</v>
      </c>
      <c r="Y601" s="2749">
        <f t="shared" si="46"/>
        <v>175</v>
      </c>
      <c r="Z601" s="2750">
        <v>100</v>
      </c>
      <c r="AA601" s="2750">
        <v>100</v>
      </c>
      <c r="AB601" s="2750">
        <v>44</v>
      </c>
      <c r="AC601" s="2748">
        <f t="shared" si="48"/>
        <v>44.25</v>
      </c>
      <c r="AD601" s="2748">
        <v>62.9</v>
      </c>
      <c r="AE601" s="2750">
        <v>15</v>
      </c>
      <c r="AF601" s="2750">
        <v>30</v>
      </c>
      <c r="AG601" s="2748">
        <f t="shared" si="49"/>
        <v>45</v>
      </c>
      <c r="AH601" s="2748">
        <v>25</v>
      </c>
      <c r="AI601" s="2748">
        <f t="shared" si="47"/>
        <v>45</v>
      </c>
      <c r="AJ601" s="2750">
        <v>140</v>
      </c>
      <c r="AK601" s="2750">
        <v>90</v>
      </c>
    </row>
    <row r="602" spans="1:38" s="2746" customFormat="1" x14ac:dyDescent="0.2">
      <c r="A602" s="2747" t="s">
        <v>1346</v>
      </c>
      <c r="B602" s="2750">
        <v>300</v>
      </c>
      <c r="C602" s="2750">
        <v>180</v>
      </c>
      <c r="D602" s="2750">
        <v>130</v>
      </c>
      <c r="E602" s="2750">
        <v>70</v>
      </c>
      <c r="F602" s="2742"/>
      <c r="G602" s="2750">
        <v>150</v>
      </c>
      <c r="H602" s="2750">
        <v>120</v>
      </c>
      <c r="I602" s="2750">
        <v>60</v>
      </c>
      <c r="J602" s="2750">
        <v>30</v>
      </c>
      <c r="K602" s="2750">
        <v>220</v>
      </c>
      <c r="L602" s="2750">
        <v>130</v>
      </c>
      <c r="M602" s="2750">
        <v>70</v>
      </c>
      <c r="N602" s="2750">
        <v>140</v>
      </c>
      <c r="O602" s="2750">
        <v>140</v>
      </c>
      <c r="P602" s="2750">
        <v>60</v>
      </c>
      <c r="Q602" s="2750">
        <v>30</v>
      </c>
      <c r="R602" s="2750">
        <v>90</v>
      </c>
      <c r="S602" s="2751"/>
      <c r="T602" s="2748">
        <v>352.7</v>
      </c>
      <c r="U602" s="2750">
        <v>120</v>
      </c>
      <c r="V602" s="2750">
        <v>100</v>
      </c>
      <c r="W602" s="2750">
        <v>44</v>
      </c>
      <c r="X602" s="2750">
        <v>118.5</v>
      </c>
      <c r="Y602" s="2750">
        <v>160</v>
      </c>
      <c r="Z602" s="2750">
        <v>100</v>
      </c>
      <c r="AA602" s="2750">
        <v>100</v>
      </c>
      <c r="AB602" s="2750">
        <v>44</v>
      </c>
      <c r="AC602" s="2748">
        <f>AVERAGE(3.6,84.9)</f>
        <v>44.25</v>
      </c>
      <c r="AD602" s="2750">
        <v>50</v>
      </c>
      <c r="AE602" s="2750">
        <v>15</v>
      </c>
      <c r="AF602" s="2750">
        <v>30</v>
      </c>
      <c r="AG602" s="2750">
        <v>40</v>
      </c>
      <c r="AH602" s="2750">
        <v>15</v>
      </c>
      <c r="AI602" s="2750">
        <v>30</v>
      </c>
      <c r="AJ602" s="2750">
        <v>140</v>
      </c>
      <c r="AK602" s="2750">
        <v>90</v>
      </c>
    </row>
    <row r="603" spans="1:38" s="2746" customFormat="1" x14ac:dyDescent="0.2">
      <c r="A603" s="2747" t="s">
        <v>1343</v>
      </c>
      <c r="B603" s="2748">
        <v>307.10000000000002</v>
      </c>
      <c r="C603" s="2748">
        <v>187.3</v>
      </c>
      <c r="D603" s="2748">
        <v>127.5</v>
      </c>
      <c r="E603" s="2748">
        <v>71.5</v>
      </c>
      <c r="F603" s="2742"/>
      <c r="G603" s="2749">
        <f>AVERAGE(150,300)</f>
        <v>225</v>
      </c>
      <c r="H603" s="2749">
        <f>AVERAGE(46.9,284)</f>
        <v>165.45</v>
      </c>
      <c r="I603" s="2749">
        <f>AVERAGE(50,110)</f>
        <v>80</v>
      </c>
      <c r="J603" s="2749">
        <f>AVERAGE(30,60)</f>
        <v>45</v>
      </c>
      <c r="K603" s="2749">
        <v>84.5</v>
      </c>
      <c r="L603" s="2749">
        <v>115.9</v>
      </c>
      <c r="M603" s="2749">
        <v>44</v>
      </c>
      <c r="N603" s="2749">
        <v>74.599999999999994</v>
      </c>
      <c r="O603" s="2749">
        <f>AVERAGE(11.1,270)</f>
        <v>140.55000000000001</v>
      </c>
      <c r="P603" s="2749">
        <f>AVERAGE(60,110)</f>
        <v>85</v>
      </c>
      <c r="Q603" s="2749">
        <f>AVERAGE(30,60)</f>
        <v>45</v>
      </c>
      <c r="R603" s="2749">
        <f>AVERAGE(24.9,170)</f>
        <v>97.45</v>
      </c>
      <c r="S603" s="2751"/>
      <c r="T603" s="2750">
        <v>180</v>
      </c>
      <c r="U603" s="2750">
        <v>120</v>
      </c>
      <c r="V603" s="2750">
        <v>100</v>
      </c>
      <c r="W603" s="2750">
        <v>44</v>
      </c>
      <c r="X603" s="2750">
        <v>118.5</v>
      </c>
      <c r="Y603" s="2749">
        <f>AVERAGE(76.2,131.3)</f>
        <v>103.75</v>
      </c>
      <c r="Z603" s="2748">
        <f>AVERAGE(21.5,96.7)</f>
        <v>59.1</v>
      </c>
      <c r="AA603" s="2748">
        <f>AVERAGE(29.1,89.2)</f>
        <v>59.150000000000006</v>
      </c>
      <c r="AB603" s="2750">
        <v>44</v>
      </c>
      <c r="AC603" s="2748">
        <f>AVERAGE(3.6,84.9)</f>
        <v>44.25</v>
      </c>
      <c r="AD603" s="2748">
        <v>62.9</v>
      </c>
      <c r="AE603" s="2750">
        <v>15</v>
      </c>
      <c r="AF603" s="2750">
        <v>30</v>
      </c>
      <c r="AG603" s="2748">
        <f t="shared" si="49"/>
        <v>45</v>
      </c>
      <c r="AH603" s="2748">
        <v>25</v>
      </c>
      <c r="AI603" s="2748">
        <f>AVERAGE(40,50)</f>
        <v>45</v>
      </c>
      <c r="AJ603" s="2748">
        <v>195</v>
      </c>
      <c r="AK603" s="2748">
        <f>AVERAGE(30,170)</f>
        <v>100</v>
      </c>
    </row>
    <row r="604" spans="1:38" s="2746" customFormat="1" x14ac:dyDescent="0.2">
      <c r="A604" s="2747" t="s">
        <v>1349</v>
      </c>
      <c r="B604" s="2748">
        <v>307.10000000000002</v>
      </c>
      <c r="C604" s="2748">
        <v>187.3</v>
      </c>
      <c r="D604" s="2748">
        <v>127.5</v>
      </c>
      <c r="E604" s="2748">
        <v>71.5</v>
      </c>
      <c r="F604" s="2742"/>
      <c r="G604" s="2749">
        <f>AVERAGE(150,300)</f>
        <v>225</v>
      </c>
      <c r="H604" s="2749">
        <f>AVERAGE(46.9,284)</f>
        <v>165.45</v>
      </c>
      <c r="I604" s="2749">
        <f>AVERAGE(50,110)</f>
        <v>80</v>
      </c>
      <c r="J604" s="2749">
        <f>AVERAGE(30,60)</f>
        <v>45</v>
      </c>
      <c r="K604" s="2749">
        <v>84.5</v>
      </c>
      <c r="L604" s="2749">
        <v>115.9</v>
      </c>
      <c r="M604" s="2749">
        <v>44</v>
      </c>
      <c r="N604" s="2749">
        <v>74.599999999999994</v>
      </c>
      <c r="O604" s="2749">
        <f>AVERAGE(11.1,270)</f>
        <v>140.55000000000001</v>
      </c>
      <c r="P604" s="2749">
        <f>AVERAGE(60,110)</f>
        <v>85</v>
      </c>
      <c r="Q604" s="2749">
        <f>AVERAGE(30,60)</f>
        <v>45</v>
      </c>
      <c r="R604" s="2749">
        <f>AVERAGE(24.9,170)</f>
        <v>97.45</v>
      </c>
      <c r="S604" s="2751"/>
      <c r="T604" s="2750">
        <v>180</v>
      </c>
      <c r="U604" s="2750">
        <v>120</v>
      </c>
      <c r="V604" s="2750">
        <v>100</v>
      </c>
      <c r="W604" s="2750">
        <v>44</v>
      </c>
      <c r="X604" s="2750">
        <v>118.5</v>
      </c>
      <c r="Y604" s="2749">
        <f>AVERAGE(76.2,131.3)</f>
        <v>103.75</v>
      </c>
      <c r="Z604" s="2748">
        <f>AVERAGE(21.5,96.7)</f>
        <v>59.1</v>
      </c>
      <c r="AA604" s="2748">
        <f>AVERAGE(29.1,89.2)</f>
        <v>59.150000000000006</v>
      </c>
      <c r="AB604" s="2750">
        <v>44</v>
      </c>
      <c r="AC604" s="2748">
        <f t="shared" si="48"/>
        <v>44.25</v>
      </c>
      <c r="AD604" s="2750">
        <v>50</v>
      </c>
      <c r="AE604" s="2750">
        <v>15</v>
      </c>
      <c r="AF604" s="2750">
        <v>30</v>
      </c>
      <c r="AG604" s="2750">
        <v>40</v>
      </c>
      <c r="AH604" s="2750">
        <v>15</v>
      </c>
      <c r="AI604" s="2750">
        <v>30</v>
      </c>
      <c r="AJ604" s="2748">
        <v>195</v>
      </c>
      <c r="AK604" s="2748">
        <f>AVERAGE(30,170)</f>
        <v>100</v>
      </c>
    </row>
    <row r="605" spans="1:38" s="2746" customFormat="1" x14ac:dyDescent="0.2">
      <c r="A605" s="2747" t="s">
        <v>1333</v>
      </c>
      <c r="B605" s="2748">
        <v>307.10000000000002</v>
      </c>
      <c r="C605" s="2748">
        <v>187.3</v>
      </c>
      <c r="D605" s="2748">
        <v>127.5</v>
      </c>
      <c r="E605" s="2748">
        <v>71.5</v>
      </c>
      <c r="F605" s="2742"/>
      <c r="G605" s="2749">
        <f>AVERAGE(150,300)</f>
        <v>225</v>
      </c>
      <c r="H605" s="2749">
        <f>AVERAGE(46.9,284)</f>
        <v>165.45</v>
      </c>
      <c r="I605" s="2749">
        <f>AVERAGE(50,110)</f>
        <v>80</v>
      </c>
      <c r="J605" s="2749">
        <f>AVERAGE(30,60)</f>
        <v>45</v>
      </c>
      <c r="K605" s="2749">
        <v>84.5</v>
      </c>
      <c r="L605" s="2749">
        <v>115.9</v>
      </c>
      <c r="M605" s="2749">
        <v>44</v>
      </c>
      <c r="N605" s="2749">
        <v>74.599999999999994</v>
      </c>
      <c r="O605" s="2749">
        <f>AVERAGE(11.1,270)</f>
        <v>140.55000000000001</v>
      </c>
      <c r="P605" s="2749">
        <f>AVERAGE(60,110)</f>
        <v>85</v>
      </c>
      <c r="Q605" s="2749">
        <f>AVERAGE(30,60)</f>
        <v>45</v>
      </c>
      <c r="R605" s="2749">
        <f>AVERAGE(24.9,170)</f>
        <v>97.45</v>
      </c>
      <c r="S605" s="2752"/>
      <c r="T605" s="2750">
        <v>180</v>
      </c>
      <c r="U605" s="2750">
        <v>120</v>
      </c>
      <c r="V605" s="2750">
        <v>100</v>
      </c>
      <c r="W605" s="2750">
        <v>44</v>
      </c>
      <c r="X605" s="2750">
        <v>118.5</v>
      </c>
      <c r="Y605" s="2749">
        <f>AVERAGE(76.2,131.3)</f>
        <v>103.75</v>
      </c>
      <c r="Z605" s="2748">
        <f>AVERAGE(21.5,96.7)</f>
        <v>59.1</v>
      </c>
      <c r="AA605" s="2748">
        <f>AVERAGE(29.1,89.2)</f>
        <v>59.150000000000006</v>
      </c>
      <c r="AB605" s="2750">
        <v>44</v>
      </c>
      <c r="AC605" s="2748">
        <f>AVERAGE(3.6,84.9)</f>
        <v>44.25</v>
      </c>
      <c r="AD605" s="2750">
        <v>50</v>
      </c>
      <c r="AE605" s="2750">
        <v>15</v>
      </c>
      <c r="AF605" s="2750">
        <v>30</v>
      </c>
      <c r="AG605" s="2750">
        <v>40</v>
      </c>
      <c r="AH605" s="2750">
        <v>15</v>
      </c>
      <c r="AI605" s="2750">
        <v>30</v>
      </c>
      <c r="AJ605" s="2749">
        <f>AVERAGE(76.2,131.3)</f>
        <v>103.75</v>
      </c>
      <c r="AK605" s="2748">
        <f>AVERAGE(21.5,96.7)</f>
        <v>59.1</v>
      </c>
      <c r="AL605" s="2748">
        <f>AVERAGE(29.1,89.2)</f>
        <v>59.150000000000006</v>
      </c>
    </row>
    <row r="606" spans="1:38" s="2746" customFormat="1" x14ac:dyDescent="0.2">
      <c r="A606" s="2753" t="s">
        <v>1547</v>
      </c>
      <c r="B606" s="2748">
        <v>307.10000000000002</v>
      </c>
      <c r="C606" s="2748">
        <v>187.3</v>
      </c>
      <c r="D606" s="2748">
        <v>127.5</v>
      </c>
      <c r="E606" s="2748">
        <v>71.5</v>
      </c>
      <c r="F606" s="2742"/>
      <c r="G606" s="2749">
        <f>AVERAGE(150,300)</f>
        <v>225</v>
      </c>
      <c r="H606" s="2749">
        <f>AVERAGE(46.9,284)</f>
        <v>165.45</v>
      </c>
      <c r="I606" s="2749">
        <f>AVERAGE(50,110)</f>
        <v>80</v>
      </c>
      <c r="J606" s="2749">
        <f>AVERAGE(30,60)</f>
        <v>45</v>
      </c>
      <c r="K606" s="2749">
        <v>84.5</v>
      </c>
      <c r="L606" s="2749">
        <v>115.9</v>
      </c>
      <c r="M606" s="2749">
        <v>44</v>
      </c>
      <c r="N606" s="2749">
        <v>74.599999999999994</v>
      </c>
      <c r="O606" s="2749">
        <f>AVERAGE(11.1,270)</f>
        <v>140.55000000000001</v>
      </c>
      <c r="P606" s="2749">
        <f>AVERAGE(60,110)</f>
        <v>85</v>
      </c>
      <c r="Q606" s="2749">
        <f>AVERAGE(30,60)</f>
        <v>45</v>
      </c>
      <c r="R606" s="2749">
        <f>AVERAGE(24.9,170)</f>
        <v>97.45</v>
      </c>
      <c r="S606" s="2752"/>
      <c r="T606" s="2750">
        <v>180</v>
      </c>
      <c r="U606" s="2750">
        <v>120</v>
      </c>
      <c r="V606" s="2750">
        <v>100</v>
      </c>
      <c r="W606" s="2750">
        <v>44</v>
      </c>
      <c r="X606" s="2750">
        <v>118.5</v>
      </c>
      <c r="Y606" s="2749">
        <f>AVERAGE(76.2,131.3)</f>
        <v>103.75</v>
      </c>
      <c r="Z606" s="2748">
        <f>AVERAGE(21.5,96.7)</f>
        <v>59.1</v>
      </c>
      <c r="AA606" s="2748">
        <f>AVERAGE(29.1,89.2)</f>
        <v>59.150000000000006</v>
      </c>
      <c r="AB606" s="2750">
        <v>44</v>
      </c>
      <c r="AC606" s="2748">
        <f t="shared" si="48"/>
        <v>44.25</v>
      </c>
      <c r="AD606" s="2750">
        <v>50</v>
      </c>
      <c r="AE606" s="2750">
        <v>15</v>
      </c>
      <c r="AF606" s="2750">
        <v>30</v>
      </c>
      <c r="AG606" s="2750">
        <v>40</v>
      </c>
      <c r="AH606" s="2750">
        <v>15</v>
      </c>
      <c r="AI606" s="2750">
        <v>30</v>
      </c>
      <c r="AJ606" s="2749">
        <f>AVERAGE(76.2,131.3)</f>
        <v>103.75</v>
      </c>
      <c r="AK606" s="2748">
        <f>AVERAGE(21.5,96.7)</f>
        <v>59.1</v>
      </c>
      <c r="AL606" s="2748">
        <f>AVERAGE(29.1,89.2)</f>
        <v>59.150000000000006</v>
      </c>
    </row>
    <row r="607" spans="1:38" s="291" customFormat="1" x14ac:dyDescent="0.2">
      <c r="A607" s="458" t="s">
        <v>1933</v>
      </c>
      <c r="B607" s="419"/>
      <c r="G607" s="419"/>
      <c r="H607" s="419"/>
      <c r="I607" s="503"/>
      <c r="L607" s="419"/>
      <c r="M607" s="419"/>
      <c r="N607" s="419"/>
      <c r="O607" s="419"/>
      <c r="P607" s="419"/>
      <c r="Q607" s="419"/>
      <c r="R607" s="419"/>
      <c r="S607" s="419"/>
      <c r="T607" s="419"/>
      <c r="U607" s="419"/>
      <c r="V607" s="419"/>
      <c r="W607" s="419"/>
      <c r="X607" s="419"/>
      <c r="Y607" s="419"/>
      <c r="Z607" s="419"/>
      <c r="AA607" s="419"/>
      <c r="AB607" s="419"/>
      <c r="AC607" s="419"/>
      <c r="AD607" s="419"/>
      <c r="AE607" s="419"/>
      <c r="AF607" s="419"/>
      <c r="AG607" s="419"/>
      <c r="AH607" s="419"/>
      <c r="AI607" s="419"/>
      <c r="AJ607" s="419"/>
      <c r="AK607" s="419"/>
    </row>
    <row r="608" spans="1:38" s="21" customFormat="1" x14ac:dyDescent="0.2">
      <c r="A608" s="459" t="s">
        <v>1934</v>
      </c>
      <c r="B608" s="453"/>
      <c r="G608" s="453"/>
      <c r="H608" s="453"/>
      <c r="I608" s="454"/>
      <c r="L608" s="453"/>
      <c r="M608" s="453"/>
      <c r="N608" s="453"/>
      <c r="O608" s="453"/>
    </row>
    <row r="609" spans="1:71" s="21" customFormat="1" x14ac:dyDescent="0.2">
      <c r="A609" s="459" t="s">
        <v>1935</v>
      </c>
    </row>
    <row r="610" spans="1:71" s="472" customFormat="1" x14ac:dyDescent="0.2">
      <c r="A610" s="655" t="s">
        <v>1936</v>
      </c>
    </row>
    <row r="612" spans="1:71" s="329" customFormat="1" x14ac:dyDescent="0.2">
      <c r="A612" s="449" t="s">
        <v>1937</v>
      </c>
    </row>
    <row r="613" spans="1:71" s="106" customFormat="1" x14ac:dyDescent="0.2">
      <c r="A613" s="450" t="s">
        <v>1938</v>
      </c>
    </row>
    <row r="614" spans="1:71" s="480" customFormat="1" x14ac:dyDescent="0.2">
      <c r="A614" s="478"/>
      <c r="B614" s="479"/>
      <c r="C614" s="479"/>
      <c r="D614" s="479"/>
      <c r="E614" s="479"/>
      <c r="F614" s="479"/>
      <c r="G614" s="479"/>
      <c r="H614" s="479"/>
      <c r="I614" s="479"/>
      <c r="J614" s="479"/>
      <c r="K614" s="479"/>
      <c r="L614" s="479"/>
      <c r="M614" s="479"/>
      <c r="AC614" s="313"/>
      <c r="AD614" s="313"/>
      <c r="AE614" s="507"/>
      <c r="AF614" s="507"/>
      <c r="AG614" s="506"/>
      <c r="AH614" s="506"/>
      <c r="AI614" s="506"/>
    </row>
    <row r="615" spans="1:71" s="483" customFormat="1" x14ac:dyDescent="0.2">
      <c r="A615" s="481"/>
      <c r="B615" s="481"/>
      <c r="C615" s="481"/>
      <c r="D615" s="481"/>
      <c r="E615" s="481"/>
      <c r="F615" s="487"/>
      <c r="G615" s="487"/>
      <c r="H615" s="487"/>
      <c r="I615" s="487"/>
      <c r="J615" s="487"/>
      <c r="K615" s="487"/>
      <c r="L615" s="487"/>
      <c r="M615" s="487"/>
      <c r="N615" s="487"/>
      <c r="O615" s="481"/>
      <c r="P615" s="481"/>
      <c r="Q615" s="481"/>
      <c r="R615" s="481"/>
      <c r="S615" s="481"/>
      <c r="T615" s="481"/>
      <c r="U615" s="481"/>
      <c r="V615" s="481"/>
      <c r="W615" s="481"/>
      <c r="X615" s="481"/>
      <c r="Y615" s="481"/>
      <c r="Z615" s="481"/>
      <c r="AA615" s="481"/>
      <c r="AB615" s="505"/>
      <c r="AC615" s="481"/>
      <c r="AD615" s="481"/>
      <c r="AE615" s="481"/>
      <c r="AF615" s="482"/>
      <c r="AJ615" s="481"/>
      <c r="AK615" s="481"/>
      <c r="AL615" s="481"/>
      <c r="AM615" s="481"/>
      <c r="AN615" s="481"/>
      <c r="AO615" s="481"/>
      <c r="AP615" s="481"/>
      <c r="AQ615" s="481"/>
      <c r="AR615" s="481"/>
      <c r="AS615" s="481"/>
      <c r="AT615" s="481"/>
      <c r="AU615" s="481"/>
      <c r="AV615" s="481"/>
      <c r="AW615" s="481"/>
      <c r="AX615" s="481"/>
      <c r="AY615" s="481"/>
      <c r="AZ615" s="481"/>
      <c r="BA615" s="481"/>
      <c r="BB615" s="481"/>
      <c r="BC615" s="481"/>
      <c r="BD615" s="481"/>
      <c r="BE615" s="481"/>
      <c r="BF615" s="481"/>
      <c r="BG615" s="481"/>
      <c r="BH615" s="481"/>
      <c r="BI615" s="481"/>
      <c r="BJ615" s="481"/>
      <c r="BK615" s="481"/>
      <c r="BL615" s="481"/>
      <c r="BM615" s="481"/>
      <c r="BN615" s="481"/>
      <c r="BO615" s="481"/>
      <c r="BP615" s="482"/>
      <c r="BQ615" s="482"/>
      <c r="BR615" s="482"/>
      <c r="BS615" s="482"/>
    </row>
    <row r="616" spans="1:71" s="489" customFormat="1" x14ac:dyDescent="0.2">
      <c r="A616" s="486"/>
      <c r="B616" s="486" t="s">
        <v>118</v>
      </c>
      <c r="C616" s="487" t="s">
        <v>123</v>
      </c>
      <c r="D616" s="486" t="s">
        <v>128</v>
      </c>
      <c r="E616" s="486" t="s">
        <v>132</v>
      </c>
      <c r="F616" s="486" t="s">
        <v>140</v>
      </c>
      <c r="G616" s="487" t="s">
        <v>144</v>
      </c>
      <c r="H616" s="486" t="s">
        <v>147</v>
      </c>
      <c r="I616" s="486" t="s">
        <v>150</v>
      </c>
      <c r="J616" s="486" t="s">
        <v>119</v>
      </c>
      <c r="K616" s="487" t="s">
        <v>124</v>
      </c>
      <c r="L616" s="487" t="s">
        <v>129</v>
      </c>
      <c r="M616" s="486" t="s">
        <v>133</v>
      </c>
      <c r="N616" s="487" t="s">
        <v>137</v>
      </c>
      <c r="O616" s="486" t="s">
        <v>141</v>
      </c>
      <c r="P616" s="486" t="s">
        <v>145</v>
      </c>
      <c r="Q616" s="486" t="s">
        <v>148</v>
      </c>
      <c r="R616" s="487" t="s">
        <v>120</v>
      </c>
      <c r="S616" s="494" t="s">
        <v>125</v>
      </c>
      <c r="T616" s="487" t="s">
        <v>130</v>
      </c>
      <c r="U616" s="486" t="s">
        <v>138</v>
      </c>
      <c r="V616" s="486" t="s">
        <v>134</v>
      </c>
      <c r="W616" s="487" t="s">
        <v>142</v>
      </c>
      <c r="X616" s="487" t="s">
        <v>146</v>
      </c>
      <c r="Y616" s="487" t="s">
        <v>149</v>
      </c>
      <c r="Z616" s="486" t="s">
        <v>151</v>
      </c>
      <c r="AA616" s="486" t="s">
        <v>152</v>
      </c>
      <c r="AB616" s="487" t="s">
        <v>121</v>
      </c>
      <c r="AC616" s="487" t="s">
        <v>126</v>
      </c>
      <c r="AD616" s="487" t="s">
        <v>131</v>
      </c>
      <c r="AE616" s="487" t="s">
        <v>135</v>
      </c>
      <c r="AF616" s="487" t="s">
        <v>139</v>
      </c>
      <c r="AG616" s="487" t="s">
        <v>143</v>
      </c>
      <c r="AH616" s="486" t="s">
        <v>122</v>
      </c>
      <c r="AI616" s="485" t="s">
        <v>127</v>
      </c>
      <c r="AJ616" s="486" t="s">
        <v>118</v>
      </c>
      <c r="AK616" s="487" t="s">
        <v>123</v>
      </c>
      <c r="AL616" s="486" t="s">
        <v>128</v>
      </c>
      <c r="AM616" s="486" t="s">
        <v>132</v>
      </c>
      <c r="AN616" s="487" t="s">
        <v>136</v>
      </c>
      <c r="AO616" s="486" t="s">
        <v>140</v>
      </c>
      <c r="AP616" s="487" t="s">
        <v>144</v>
      </c>
      <c r="AQ616" s="486" t="s">
        <v>147</v>
      </c>
      <c r="AR616" s="486" t="s">
        <v>150</v>
      </c>
      <c r="AS616" s="486" t="s">
        <v>119</v>
      </c>
      <c r="AT616" s="487" t="s">
        <v>124</v>
      </c>
      <c r="AU616" s="487" t="s">
        <v>129</v>
      </c>
      <c r="AV616" s="486" t="s">
        <v>133</v>
      </c>
      <c r="AW616" s="487" t="s">
        <v>137</v>
      </c>
      <c r="AX616" s="486" t="s">
        <v>141</v>
      </c>
      <c r="AY616" s="486" t="s">
        <v>145</v>
      </c>
      <c r="AZ616" s="486" t="s">
        <v>148</v>
      </c>
      <c r="BA616" s="508" t="s">
        <v>136</v>
      </c>
      <c r="BB616" s="487" t="s">
        <v>120</v>
      </c>
      <c r="BC616" s="494" t="s">
        <v>125</v>
      </c>
      <c r="BD616" s="487" t="s">
        <v>130</v>
      </c>
      <c r="BE616" s="486" t="s">
        <v>134</v>
      </c>
      <c r="BF616" s="486" t="s">
        <v>138</v>
      </c>
      <c r="BG616" s="487" t="s">
        <v>142</v>
      </c>
      <c r="BH616" s="487" t="s">
        <v>146</v>
      </c>
      <c r="BI616" s="487" t="s">
        <v>149</v>
      </c>
      <c r="BJ616" s="486" t="s">
        <v>151</v>
      </c>
      <c r="BK616" s="486" t="s">
        <v>152</v>
      </c>
      <c r="BL616" s="487" t="s">
        <v>121</v>
      </c>
      <c r="BM616" s="487" t="s">
        <v>126</v>
      </c>
      <c r="BN616" s="487" t="s">
        <v>131</v>
      </c>
      <c r="BO616" s="487" t="s">
        <v>135</v>
      </c>
      <c r="BP616" s="487" t="s">
        <v>139</v>
      </c>
      <c r="BQ616" s="487" t="s">
        <v>143</v>
      </c>
      <c r="BR616" s="486" t="s">
        <v>122</v>
      </c>
      <c r="BS616" s="486" t="s">
        <v>127</v>
      </c>
    </row>
    <row r="617" spans="1:71" s="489" customFormat="1" x14ac:dyDescent="0.2">
      <c r="A617" s="504" t="s">
        <v>57</v>
      </c>
      <c r="B617" s="486" t="s">
        <v>1939</v>
      </c>
      <c r="C617" s="486" t="s">
        <v>1939</v>
      </c>
      <c r="D617" s="486" t="s">
        <v>1939</v>
      </c>
      <c r="E617" s="486" t="s">
        <v>1939</v>
      </c>
      <c r="F617" s="486" t="s">
        <v>1939</v>
      </c>
      <c r="G617" s="486" t="s">
        <v>1939</v>
      </c>
      <c r="H617" s="486" t="s">
        <v>1939</v>
      </c>
      <c r="I617" s="486" t="s">
        <v>1939</v>
      </c>
      <c r="J617" s="486" t="s">
        <v>1939</v>
      </c>
      <c r="K617" s="486" t="s">
        <v>1939</v>
      </c>
      <c r="L617" s="486" t="s">
        <v>1939</v>
      </c>
      <c r="M617" s="486" t="s">
        <v>1939</v>
      </c>
      <c r="N617" s="486" t="s">
        <v>1939</v>
      </c>
      <c r="O617" s="486" t="s">
        <v>1939</v>
      </c>
      <c r="P617" s="486" t="s">
        <v>1939</v>
      </c>
      <c r="Q617" s="486" t="s">
        <v>1939</v>
      </c>
      <c r="R617" s="486" t="s">
        <v>1939</v>
      </c>
      <c r="S617" s="499" t="s">
        <v>1939</v>
      </c>
      <c r="T617" s="486" t="s">
        <v>1939</v>
      </c>
      <c r="U617" s="486" t="s">
        <v>1939</v>
      </c>
      <c r="V617" s="486" t="s">
        <v>1939</v>
      </c>
      <c r="W617" s="486" t="s">
        <v>1939</v>
      </c>
      <c r="X617" s="486" t="s">
        <v>1939</v>
      </c>
      <c r="Y617" s="486" t="s">
        <v>1939</v>
      </c>
      <c r="Z617" s="486" t="s">
        <v>1939</v>
      </c>
      <c r="AA617" s="486" t="s">
        <v>1939</v>
      </c>
      <c r="AB617" s="486" t="s">
        <v>1940</v>
      </c>
      <c r="AC617" s="486" t="s">
        <v>1940</v>
      </c>
      <c r="AD617" s="486" t="s">
        <v>1940</v>
      </c>
      <c r="AE617" s="486" t="s">
        <v>1940</v>
      </c>
      <c r="AF617" s="486" t="s">
        <v>1940</v>
      </c>
      <c r="AG617" s="486" t="s">
        <v>1940</v>
      </c>
      <c r="AH617" s="486" t="s">
        <v>1939</v>
      </c>
      <c r="AI617" s="485" t="s">
        <v>1939</v>
      </c>
      <c r="AJ617" s="486" t="s">
        <v>1941</v>
      </c>
      <c r="AK617" s="486" t="s">
        <v>1941</v>
      </c>
      <c r="AL617" s="486" t="s">
        <v>1941</v>
      </c>
      <c r="AM617" s="486" t="s">
        <v>1941</v>
      </c>
      <c r="AN617" s="497"/>
      <c r="AO617" s="486" t="s">
        <v>1941</v>
      </c>
      <c r="AP617" s="486" t="s">
        <v>1941</v>
      </c>
      <c r="AQ617" s="486" t="s">
        <v>1941</v>
      </c>
      <c r="AR617" s="486" t="s">
        <v>1941</v>
      </c>
      <c r="AS617" s="486" t="s">
        <v>1941</v>
      </c>
      <c r="AT617" s="486" t="s">
        <v>1941</v>
      </c>
      <c r="AU617" s="486" t="s">
        <v>1941</v>
      </c>
      <c r="AV617" s="486" t="s">
        <v>1941</v>
      </c>
      <c r="AW617" s="486" t="s">
        <v>1941</v>
      </c>
      <c r="AX617" s="486" t="s">
        <v>1941</v>
      </c>
      <c r="AY617" s="486" t="s">
        <v>1941</v>
      </c>
      <c r="AZ617" s="486" t="s">
        <v>1941</v>
      </c>
      <c r="BA617" s="498"/>
      <c r="BB617" s="486" t="s">
        <v>1941</v>
      </c>
      <c r="BC617" s="499" t="s">
        <v>1941</v>
      </c>
      <c r="BD617" s="488" t="s">
        <v>1941</v>
      </c>
      <c r="BE617" s="500" t="s">
        <v>1941</v>
      </c>
      <c r="BF617" s="486" t="s">
        <v>1941</v>
      </c>
      <c r="BG617" s="486" t="s">
        <v>1941</v>
      </c>
      <c r="BH617" s="486" t="s">
        <v>1941</v>
      </c>
      <c r="BI617" s="486" t="s">
        <v>1941</v>
      </c>
      <c r="BJ617" s="486" t="s">
        <v>1941</v>
      </c>
      <c r="BK617" s="486" t="s">
        <v>1941</v>
      </c>
      <c r="BL617" s="486" t="s">
        <v>1942</v>
      </c>
      <c r="BM617" s="486" t="s">
        <v>1942</v>
      </c>
      <c r="BN617" s="486" t="s">
        <v>1942</v>
      </c>
      <c r="BO617" s="486" t="s">
        <v>1942</v>
      </c>
      <c r="BP617" s="486" t="s">
        <v>1942</v>
      </c>
      <c r="BQ617" s="486" t="s">
        <v>1942</v>
      </c>
      <c r="BR617" s="486" t="s">
        <v>1941</v>
      </c>
      <c r="BS617" s="486" t="s">
        <v>1941</v>
      </c>
    </row>
    <row r="618" spans="1:71" s="2725" customFormat="1" x14ac:dyDescent="0.2">
      <c r="A618" s="2717" t="s">
        <v>1552</v>
      </c>
      <c r="B618" s="2718">
        <v>0.82499999999999996</v>
      </c>
      <c r="C618" s="2718">
        <v>0.23200000000000001</v>
      </c>
      <c r="D618" s="2718">
        <v>0.33200000000000002</v>
      </c>
      <c r="E618" s="2719">
        <v>0.4</v>
      </c>
      <c r="F618" s="2719">
        <v>0.37</v>
      </c>
      <c r="G618" s="2719">
        <v>0.2</v>
      </c>
      <c r="H618" s="2720">
        <v>0.56000000000000005</v>
      </c>
      <c r="I618" s="2719">
        <v>0.4</v>
      </c>
      <c r="J618" s="2718">
        <v>0.23200000000000001</v>
      </c>
      <c r="K618" s="2719">
        <v>0.56000000000000005</v>
      </c>
      <c r="L618" s="2719">
        <v>0.32</v>
      </c>
      <c r="M618" s="2719">
        <v>0.27</v>
      </c>
      <c r="N618" s="2719">
        <v>0.2</v>
      </c>
      <c r="O618" s="2719">
        <v>0.56000000000000005</v>
      </c>
      <c r="P618" s="2720">
        <v>0.32</v>
      </c>
      <c r="Q618" s="2719">
        <v>0.27</v>
      </c>
      <c r="R618" s="2719">
        <v>0.44</v>
      </c>
      <c r="S618" s="2719">
        <v>0.44</v>
      </c>
      <c r="T618" s="2719">
        <v>0.44</v>
      </c>
      <c r="U618" s="2719">
        <v>0.44</v>
      </c>
      <c r="V618" s="2719">
        <v>0.44</v>
      </c>
      <c r="W618" s="2719">
        <v>0.44</v>
      </c>
      <c r="X618" s="2720">
        <v>0.44</v>
      </c>
      <c r="Y618" s="2719">
        <v>0.44</v>
      </c>
      <c r="Z618" s="2719">
        <v>0.44</v>
      </c>
      <c r="AA618" s="2719">
        <v>0.44</v>
      </c>
      <c r="AB618" s="2721">
        <v>0.39</v>
      </c>
      <c r="AC618" s="2722">
        <v>0.39</v>
      </c>
      <c r="AD618" s="2722">
        <v>0.39</v>
      </c>
      <c r="AE618" s="2722">
        <v>0.39</v>
      </c>
      <c r="AF618" s="2721">
        <v>0.39</v>
      </c>
      <c r="AG618" s="2722">
        <v>0.39</v>
      </c>
      <c r="AH618" s="2722">
        <v>0.27</v>
      </c>
      <c r="AI618" s="2721">
        <v>0.27</v>
      </c>
      <c r="AJ618" s="2718">
        <v>0.53200000000000003</v>
      </c>
      <c r="AK618" s="2718">
        <v>0.23200000000000001</v>
      </c>
      <c r="AL618" s="2718">
        <v>0.379</v>
      </c>
      <c r="AM618" s="2720">
        <v>0.4</v>
      </c>
      <c r="AN618" s="2723"/>
      <c r="AO618" s="2719">
        <v>0.37</v>
      </c>
      <c r="AP618" s="2719">
        <v>0.24</v>
      </c>
      <c r="AQ618" s="2719">
        <v>0.28000000000000003</v>
      </c>
      <c r="AR618" s="2719">
        <v>0.4</v>
      </c>
      <c r="AS618" s="2718">
        <v>0.23200000000000001</v>
      </c>
      <c r="AT618" s="2719">
        <v>0.28000000000000003</v>
      </c>
      <c r="AU618" s="2720">
        <v>0.32</v>
      </c>
      <c r="AV618" s="2719">
        <v>0.27</v>
      </c>
      <c r="AW618" s="2719">
        <v>0.24</v>
      </c>
      <c r="AX618" s="2719">
        <v>0.28000000000000003</v>
      </c>
      <c r="AY618" s="2719">
        <v>0.32</v>
      </c>
      <c r="AZ618" s="2719">
        <v>0.27</v>
      </c>
      <c r="BA618" s="2724"/>
      <c r="BB618" s="2719">
        <v>0.22</v>
      </c>
      <c r="BC618" s="2720">
        <v>0.22</v>
      </c>
      <c r="BD618" s="2719">
        <v>0.22</v>
      </c>
      <c r="BE618" s="2719">
        <v>0.22</v>
      </c>
      <c r="BF618" s="2719">
        <v>0.22</v>
      </c>
      <c r="BG618" s="2719">
        <v>0.22</v>
      </c>
      <c r="BH618" s="2719">
        <v>0.22</v>
      </c>
      <c r="BI618" s="2719">
        <v>0.22</v>
      </c>
      <c r="BJ618" s="2719">
        <v>0.22</v>
      </c>
      <c r="BK618" s="2719">
        <v>0.22</v>
      </c>
      <c r="BL618" s="2722">
        <v>0.24</v>
      </c>
      <c r="BM618" s="2722">
        <v>0.24</v>
      </c>
      <c r="BN618" s="2722">
        <v>0.24</v>
      </c>
      <c r="BO618" s="2722">
        <v>0.24</v>
      </c>
      <c r="BP618" s="2722">
        <v>0.24</v>
      </c>
      <c r="BQ618" s="2722">
        <v>0.24</v>
      </c>
      <c r="BR618" s="2722">
        <v>0.27</v>
      </c>
      <c r="BS618" s="2722">
        <v>0.27</v>
      </c>
    </row>
    <row r="619" spans="1:71" s="2725" customFormat="1" x14ac:dyDescent="0.2">
      <c r="A619" s="2726" t="s">
        <v>1557</v>
      </c>
      <c r="B619" s="2727">
        <v>0.82499999999999996</v>
      </c>
      <c r="C619" s="2727">
        <v>0.23200000000000001</v>
      </c>
      <c r="D619" s="2727">
        <v>0.33200000000000002</v>
      </c>
      <c r="E619" s="2728">
        <v>0.4</v>
      </c>
      <c r="F619" s="2728">
        <v>0.37</v>
      </c>
      <c r="G619" s="2728">
        <v>0.2</v>
      </c>
      <c r="H619" s="2729">
        <v>0.56000000000000005</v>
      </c>
      <c r="I619" s="2728">
        <v>0.4</v>
      </c>
      <c r="J619" s="2727">
        <v>0.23200000000000001</v>
      </c>
      <c r="K619" s="2728">
        <v>0.56000000000000005</v>
      </c>
      <c r="L619" s="2728">
        <v>0.32</v>
      </c>
      <c r="M619" s="2728">
        <v>0.27</v>
      </c>
      <c r="N619" s="2728">
        <v>0.2</v>
      </c>
      <c r="O619" s="2728">
        <v>0.56000000000000005</v>
      </c>
      <c r="P619" s="2729">
        <v>0.32</v>
      </c>
      <c r="Q619" s="2728">
        <v>0.27</v>
      </c>
      <c r="R619" s="2728">
        <v>0.44</v>
      </c>
      <c r="S619" s="2728">
        <v>0.44</v>
      </c>
      <c r="T619" s="2728">
        <v>0.44</v>
      </c>
      <c r="U619" s="2728">
        <v>0.44</v>
      </c>
      <c r="V619" s="2728">
        <v>0.44</v>
      </c>
      <c r="W619" s="2728">
        <v>0.44</v>
      </c>
      <c r="X619" s="2729">
        <v>0.44</v>
      </c>
      <c r="Y619" s="2728">
        <v>0.44</v>
      </c>
      <c r="Z619" s="2728">
        <v>0.44</v>
      </c>
      <c r="AA619" s="2728">
        <v>0.44</v>
      </c>
      <c r="AB619" s="2730">
        <v>0.39</v>
      </c>
      <c r="AC619" s="2731">
        <v>0.39</v>
      </c>
      <c r="AD619" s="2731">
        <v>0.39</v>
      </c>
      <c r="AE619" s="2731">
        <v>0.39</v>
      </c>
      <c r="AF619" s="2730">
        <v>0.39</v>
      </c>
      <c r="AG619" s="2731">
        <v>0.39</v>
      </c>
      <c r="AH619" s="2731">
        <v>0.27</v>
      </c>
      <c r="AI619" s="2730">
        <v>0.27</v>
      </c>
      <c r="AJ619" s="2727">
        <v>0.53200000000000003</v>
      </c>
      <c r="AK619" s="2727">
        <v>0.23200000000000001</v>
      </c>
      <c r="AL619" s="2727">
        <v>0.379</v>
      </c>
      <c r="AM619" s="2729">
        <v>0.4</v>
      </c>
      <c r="AN619" s="2732"/>
      <c r="AO619" s="2728">
        <v>0.37</v>
      </c>
      <c r="AP619" s="2728">
        <v>0.24</v>
      </c>
      <c r="AQ619" s="2728">
        <v>0.28000000000000003</v>
      </c>
      <c r="AR619" s="2728">
        <v>0.4</v>
      </c>
      <c r="AS619" s="2727">
        <v>0.23200000000000001</v>
      </c>
      <c r="AT619" s="2728">
        <v>0.28000000000000003</v>
      </c>
      <c r="AU619" s="2729">
        <v>0.32</v>
      </c>
      <c r="AV619" s="2728">
        <v>0.27</v>
      </c>
      <c r="AW619" s="2728">
        <v>0.24</v>
      </c>
      <c r="AX619" s="2728">
        <v>0.28000000000000003</v>
      </c>
      <c r="AY619" s="2728">
        <v>0.32</v>
      </c>
      <c r="AZ619" s="2728">
        <v>0.27</v>
      </c>
      <c r="BA619" s="2733"/>
      <c r="BB619" s="2728">
        <v>0.22</v>
      </c>
      <c r="BC619" s="2729">
        <v>0.22</v>
      </c>
      <c r="BD619" s="2728">
        <v>0.22</v>
      </c>
      <c r="BE619" s="2728">
        <v>0.22</v>
      </c>
      <c r="BF619" s="2728">
        <v>0.22</v>
      </c>
      <c r="BG619" s="2728">
        <v>0.22</v>
      </c>
      <c r="BH619" s="2728">
        <v>0.22</v>
      </c>
      <c r="BI619" s="2728">
        <v>0.22</v>
      </c>
      <c r="BJ619" s="2728">
        <v>0.22</v>
      </c>
      <c r="BK619" s="2728">
        <v>0.22</v>
      </c>
      <c r="BL619" s="2731">
        <v>0.24</v>
      </c>
      <c r="BM619" s="2731">
        <v>0.24</v>
      </c>
      <c r="BN619" s="2731">
        <v>0.24</v>
      </c>
      <c r="BO619" s="2731">
        <v>0.24</v>
      </c>
      <c r="BP619" s="2731">
        <v>0.24</v>
      </c>
      <c r="BQ619" s="2731">
        <v>0.24</v>
      </c>
      <c r="BR619" s="2731">
        <v>0.27</v>
      </c>
      <c r="BS619" s="2731">
        <v>0.27</v>
      </c>
    </row>
    <row r="620" spans="1:71" s="2725" customFormat="1" x14ac:dyDescent="0.2">
      <c r="A620" s="2726" t="s">
        <v>1559</v>
      </c>
      <c r="B620" s="2727">
        <v>0.82499999999999996</v>
      </c>
      <c r="C620" s="2727">
        <v>0.23200000000000001</v>
      </c>
      <c r="D620" s="2727">
        <v>0.33200000000000002</v>
      </c>
      <c r="E620" s="2728">
        <v>0.4</v>
      </c>
      <c r="F620" s="2728">
        <v>0.37</v>
      </c>
      <c r="G620" s="2728">
        <v>0.2</v>
      </c>
      <c r="H620" s="2729">
        <v>0.56000000000000005</v>
      </c>
      <c r="I620" s="2728">
        <v>0.4</v>
      </c>
      <c r="J620" s="2727">
        <v>0.23200000000000001</v>
      </c>
      <c r="K620" s="2728">
        <v>0.56000000000000005</v>
      </c>
      <c r="L620" s="2728">
        <v>0.32</v>
      </c>
      <c r="M620" s="2728">
        <v>0.27</v>
      </c>
      <c r="N620" s="2728">
        <v>0.2</v>
      </c>
      <c r="O620" s="2728">
        <v>0.56000000000000005</v>
      </c>
      <c r="P620" s="2729">
        <v>0.32</v>
      </c>
      <c r="Q620" s="2728">
        <v>0.27</v>
      </c>
      <c r="R620" s="2728">
        <v>0.44</v>
      </c>
      <c r="S620" s="2728">
        <v>0.44</v>
      </c>
      <c r="T620" s="2728">
        <v>0.44</v>
      </c>
      <c r="U620" s="2728">
        <v>0.44</v>
      </c>
      <c r="V620" s="2728">
        <v>0.44</v>
      </c>
      <c r="W620" s="2728">
        <v>0.44</v>
      </c>
      <c r="X620" s="2729">
        <v>0.44</v>
      </c>
      <c r="Y620" s="2728">
        <v>0.44</v>
      </c>
      <c r="Z620" s="2728">
        <v>0.44</v>
      </c>
      <c r="AA620" s="2728">
        <v>0.44</v>
      </c>
      <c r="AB620" s="2730">
        <v>0.39</v>
      </c>
      <c r="AC620" s="2731">
        <v>0.39</v>
      </c>
      <c r="AD620" s="2731">
        <v>0.39</v>
      </c>
      <c r="AE620" s="2731">
        <v>0.39</v>
      </c>
      <c r="AF620" s="2730">
        <v>0.39</v>
      </c>
      <c r="AG620" s="2731">
        <v>0.39</v>
      </c>
      <c r="AH620" s="2731">
        <v>0.27</v>
      </c>
      <c r="AI620" s="2730">
        <v>0.27</v>
      </c>
      <c r="AJ620" s="2727">
        <v>0.53200000000000003</v>
      </c>
      <c r="AK620" s="2727">
        <v>0.23200000000000001</v>
      </c>
      <c r="AL620" s="2727">
        <v>0.379</v>
      </c>
      <c r="AM620" s="2729">
        <v>0.4</v>
      </c>
      <c r="AN620" s="2732"/>
      <c r="AO620" s="2728">
        <v>0.37</v>
      </c>
      <c r="AP620" s="2728">
        <v>0.24</v>
      </c>
      <c r="AQ620" s="2728">
        <v>0.28000000000000003</v>
      </c>
      <c r="AR620" s="2728">
        <v>0.4</v>
      </c>
      <c r="AS620" s="2727">
        <v>0.23200000000000001</v>
      </c>
      <c r="AT620" s="2728">
        <v>0.28000000000000003</v>
      </c>
      <c r="AU620" s="2729">
        <v>0.32</v>
      </c>
      <c r="AV620" s="2728">
        <v>0.27</v>
      </c>
      <c r="AW620" s="2728">
        <v>0.24</v>
      </c>
      <c r="AX620" s="2728">
        <v>0.28000000000000003</v>
      </c>
      <c r="AY620" s="2728">
        <v>0.32</v>
      </c>
      <c r="AZ620" s="2728">
        <v>0.27</v>
      </c>
      <c r="BA620" s="2733"/>
      <c r="BB620" s="2728">
        <v>0.22</v>
      </c>
      <c r="BC620" s="2729">
        <v>0.22</v>
      </c>
      <c r="BD620" s="2728">
        <v>0.22</v>
      </c>
      <c r="BE620" s="2728">
        <v>0.22</v>
      </c>
      <c r="BF620" s="2728">
        <v>0.22</v>
      </c>
      <c r="BG620" s="2728">
        <v>0.22</v>
      </c>
      <c r="BH620" s="2728">
        <v>0.22</v>
      </c>
      <c r="BI620" s="2728">
        <v>0.22</v>
      </c>
      <c r="BJ620" s="2728">
        <v>0.22</v>
      </c>
      <c r="BK620" s="2728">
        <v>0.22</v>
      </c>
      <c r="BL620" s="2731">
        <v>0.24</v>
      </c>
      <c r="BM620" s="2731">
        <v>0.24</v>
      </c>
      <c r="BN620" s="2731">
        <v>0.24</v>
      </c>
      <c r="BO620" s="2731">
        <v>0.24</v>
      </c>
      <c r="BP620" s="2731">
        <v>0.24</v>
      </c>
      <c r="BQ620" s="2731">
        <v>0.24</v>
      </c>
      <c r="BR620" s="2731">
        <v>0.27</v>
      </c>
      <c r="BS620" s="2731">
        <v>0.27</v>
      </c>
    </row>
    <row r="621" spans="1:71" s="2725" customFormat="1" x14ac:dyDescent="0.2">
      <c r="A621" s="2726" t="s">
        <v>1565</v>
      </c>
      <c r="B621" s="2727">
        <v>0.82499999999999996</v>
      </c>
      <c r="C621" s="2727">
        <v>0.23200000000000001</v>
      </c>
      <c r="D621" s="2727">
        <v>0.33200000000000002</v>
      </c>
      <c r="E621" s="2728">
        <v>0.4</v>
      </c>
      <c r="F621" s="2728">
        <v>0.37</v>
      </c>
      <c r="G621" s="2728">
        <v>0.2</v>
      </c>
      <c r="H621" s="2729">
        <v>0.56000000000000005</v>
      </c>
      <c r="I621" s="2728">
        <v>0.4</v>
      </c>
      <c r="J621" s="2727">
        <v>0.23200000000000001</v>
      </c>
      <c r="K621" s="2728">
        <v>0.56000000000000005</v>
      </c>
      <c r="L621" s="2728">
        <v>0.32</v>
      </c>
      <c r="M621" s="2728">
        <v>0.27</v>
      </c>
      <c r="N621" s="2728">
        <v>0.2</v>
      </c>
      <c r="O621" s="2728">
        <v>0.56000000000000005</v>
      </c>
      <c r="P621" s="2729">
        <v>0.32</v>
      </c>
      <c r="Q621" s="2728">
        <v>0.27</v>
      </c>
      <c r="R621" s="2728">
        <v>0.44</v>
      </c>
      <c r="S621" s="2728">
        <v>0.44</v>
      </c>
      <c r="T621" s="2728">
        <v>0.44</v>
      </c>
      <c r="U621" s="2728">
        <v>0.44</v>
      </c>
      <c r="V621" s="2728">
        <v>0.44</v>
      </c>
      <c r="W621" s="2728">
        <v>0.44</v>
      </c>
      <c r="X621" s="2729">
        <v>0.44</v>
      </c>
      <c r="Y621" s="2728">
        <v>0.44</v>
      </c>
      <c r="Z621" s="2728">
        <v>0.44</v>
      </c>
      <c r="AA621" s="2728">
        <v>0.44</v>
      </c>
      <c r="AB621" s="2730">
        <v>0.39</v>
      </c>
      <c r="AC621" s="2731">
        <v>0.39</v>
      </c>
      <c r="AD621" s="2731">
        <v>0.39</v>
      </c>
      <c r="AE621" s="2731">
        <v>0.39</v>
      </c>
      <c r="AF621" s="2730">
        <v>0.39</v>
      </c>
      <c r="AG621" s="2731">
        <v>0.39</v>
      </c>
      <c r="AH621" s="2731">
        <v>0.27</v>
      </c>
      <c r="AI621" s="2730">
        <v>0.27</v>
      </c>
      <c r="AJ621" s="2727">
        <v>0.53200000000000003</v>
      </c>
      <c r="AK621" s="2727">
        <v>0.23200000000000001</v>
      </c>
      <c r="AL621" s="2727">
        <v>0.379</v>
      </c>
      <c r="AM621" s="2729">
        <v>0.4</v>
      </c>
      <c r="AN621" s="2732"/>
      <c r="AO621" s="2728">
        <v>0.37</v>
      </c>
      <c r="AP621" s="2728">
        <v>0.24</v>
      </c>
      <c r="AQ621" s="2728">
        <v>0.28000000000000003</v>
      </c>
      <c r="AR621" s="2728">
        <v>0.4</v>
      </c>
      <c r="AS621" s="2727">
        <v>0.23200000000000001</v>
      </c>
      <c r="AT621" s="2728">
        <v>0.28000000000000003</v>
      </c>
      <c r="AU621" s="2729">
        <v>0.32</v>
      </c>
      <c r="AV621" s="2728">
        <v>0.27</v>
      </c>
      <c r="AW621" s="2728">
        <v>0.24</v>
      </c>
      <c r="AX621" s="2728">
        <v>0.28000000000000003</v>
      </c>
      <c r="AY621" s="2728">
        <v>0.32</v>
      </c>
      <c r="AZ621" s="2728">
        <v>0.27</v>
      </c>
      <c r="BA621" s="2733"/>
      <c r="BB621" s="2728">
        <v>0.22</v>
      </c>
      <c r="BC621" s="2729">
        <v>0.22</v>
      </c>
      <c r="BD621" s="2728">
        <v>0.22</v>
      </c>
      <c r="BE621" s="2728">
        <v>0.22</v>
      </c>
      <c r="BF621" s="2728">
        <v>0.22</v>
      </c>
      <c r="BG621" s="2728">
        <v>0.22</v>
      </c>
      <c r="BH621" s="2728">
        <v>0.22</v>
      </c>
      <c r="BI621" s="2728">
        <v>0.22</v>
      </c>
      <c r="BJ621" s="2728">
        <v>0.22</v>
      </c>
      <c r="BK621" s="2728">
        <v>0.22</v>
      </c>
      <c r="BL621" s="2731">
        <v>0.24</v>
      </c>
      <c r="BM621" s="2731">
        <v>0.24</v>
      </c>
      <c r="BN621" s="2731">
        <v>0.24</v>
      </c>
      <c r="BO621" s="2731">
        <v>0.24</v>
      </c>
      <c r="BP621" s="2731">
        <v>0.24</v>
      </c>
      <c r="BQ621" s="2731">
        <v>0.24</v>
      </c>
      <c r="BR621" s="2731">
        <v>0.27</v>
      </c>
      <c r="BS621" s="2731">
        <v>0.27</v>
      </c>
    </row>
    <row r="622" spans="1:71" s="2725" customFormat="1" x14ac:dyDescent="0.2">
      <c r="A622" s="2726" t="s">
        <v>1569</v>
      </c>
      <c r="B622" s="2727">
        <v>0.82499999999999996</v>
      </c>
      <c r="C622" s="2727">
        <v>0.23200000000000001</v>
      </c>
      <c r="D622" s="2727">
        <v>0.33200000000000002</v>
      </c>
      <c r="E622" s="2728">
        <v>0.4</v>
      </c>
      <c r="F622" s="2728">
        <v>0.37</v>
      </c>
      <c r="G622" s="2728">
        <v>0.2</v>
      </c>
      <c r="H622" s="2729">
        <v>0.56000000000000005</v>
      </c>
      <c r="I622" s="2728">
        <v>0.4</v>
      </c>
      <c r="J622" s="2727">
        <v>0.23200000000000001</v>
      </c>
      <c r="K622" s="2728">
        <v>0.56000000000000005</v>
      </c>
      <c r="L622" s="2728">
        <v>0.32</v>
      </c>
      <c r="M622" s="2728">
        <v>0.27</v>
      </c>
      <c r="N622" s="2728">
        <v>0.2</v>
      </c>
      <c r="O622" s="2728">
        <v>0.56000000000000005</v>
      </c>
      <c r="P622" s="2729">
        <v>0.32</v>
      </c>
      <c r="Q622" s="2728">
        <v>0.27</v>
      </c>
      <c r="R622" s="2728">
        <v>0.44</v>
      </c>
      <c r="S622" s="2728">
        <v>0.44</v>
      </c>
      <c r="T622" s="2728">
        <v>0.44</v>
      </c>
      <c r="U622" s="2728">
        <v>0.44</v>
      </c>
      <c r="V622" s="2728">
        <v>0.44</v>
      </c>
      <c r="W622" s="2728">
        <v>0.44</v>
      </c>
      <c r="X622" s="2729">
        <v>0.44</v>
      </c>
      <c r="Y622" s="2728">
        <v>0.44</v>
      </c>
      <c r="Z622" s="2728">
        <v>0.44</v>
      </c>
      <c r="AA622" s="2728">
        <v>0.44</v>
      </c>
      <c r="AB622" s="2730">
        <v>0.39</v>
      </c>
      <c r="AC622" s="2731">
        <v>0.39</v>
      </c>
      <c r="AD622" s="2731">
        <v>0.39</v>
      </c>
      <c r="AE622" s="2731">
        <v>0.39</v>
      </c>
      <c r="AF622" s="2730">
        <v>0.39</v>
      </c>
      <c r="AG622" s="2731">
        <v>0.39</v>
      </c>
      <c r="AH622" s="2731">
        <v>0.27</v>
      </c>
      <c r="AI622" s="2730">
        <v>0.27</v>
      </c>
      <c r="AJ622" s="2727">
        <v>0.53200000000000003</v>
      </c>
      <c r="AK622" s="2727">
        <v>0.23200000000000001</v>
      </c>
      <c r="AL622" s="2727">
        <v>0.379</v>
      </c>
      <c r="AM622" s="2729">
        <v>0.4</v>
      </c>
      <c r="AN622" s="2732"/>
      <c r="AO622" s="2728">
        <v>0.37</v>
      </c>
      <c r="AP622" s="2728">
        <v>0.24</v>
      </c>
      <c r="AQ622" s="2728">
        <v>0.28000000000000003</v>
      </c>
      <c r="AR622" s="2728">
        <v>0.4</v>
      </c>
      <c r="AS622" s="2727">
        <v>0.23200000000000001</v>
      </c>
      <c r="AT622" s="2728">
        <v>0.28000000000000003</v>
      </c>
      <c r="AU622" s="2729">
        <v>0.32</v>
      </c>
      <c r="AV622" s="2728">
        <v>0.27</v>
      </c>
      <c r="AW622" s="2728">
        <v>0.24</v>
      </c>
      <c r="AX622" s="2728">
        <v>0.28000000000000003</v>
      </c>
      <c r="AY622" s="2728">
        <v>0.32</v>
      </c>
      <c r="AZ622" s="2728">
        <v>0.27</v>
      </c>
      <c r="BA622" s="2733"/>
      <c r="BB622" s="2728">
        <v>0.22</v>
      </c>
      <c r="BC622" s="2729">
        <v>0.22</v>
      </c>
      <c r="BD622" s="2728">
        <v>0.22</v>
      </c>
      <c r="BE622" s="2728">
        <v>0.22</v>
      </c>
      <c r="BF622" s="2728">
        <v>0.22</v>
      </c>
      <c r="BG622" s="2728">
        <v>0.22</v>
      </c>
      <c r="BH622" s="2728">
        <v>0.22</v>
      </c>
      <c r="BI622" s="2728">
        <v>0.22</v>
      </c>
      <c r="BJ622" s="2728">
        <v>0.22</v>
      </c>
      <c r="BK622" s="2728">
        <v>0.22</v>
      </c>
      <c r="BL622" s="2731">
        <v>0.24</v>
      </c>
      <c r="BM622" s="2731">
        <v>0.24</v>
      </c>
      <c r="BN622" s="2731">
        <v>0.24</v>
      </c>
      <c r="BO622" s="2731">
        <v>0.24</v>
      </c>
      <c r="BP622" s="2731">
        <v>0.24</v>
      </c>
      <c r="BQ622" s="2731">
        <v>0.24</v>
      </c>
      <c r="BR622" s="2731">
        <v>0.27</v>
      </c>
      <c r="BS622" s="2731">
        <v>0.27</v>
      </c>
    </row>
    <row r="623" spans="1:71" s="2725" customFormat="1" x14ac:dyDescent="0.2">
      <c r="A623" s="2726" t="s">
        <v>1550</v>
      </c>
      <c r="B623" s="2727">
        <v>0.20699999999999999</v>
      </c>
      <c r="C623" s="2727">
        <v>0.32300000000000001</v>
      </c>
      <c r="D623" s="2727">
        <f>AVERAGE(0.44,0.322)</f>
        <v>0.38100000000000001</v>
      </c>
      <c r="E623" s="2731">
        <v>0.32200000000000001</v>
      </c>
      <c r="F623" s="2731">
        <v>0.32500000000000001</v>
      </c>
      <c r="G623" s="2728">
        <v>0.2</v>
      </c>
      <c r="H623" s="2729">
        <v>0.56000000000000005</v>
      </c>
      <c r="I623" s="2728">
        <v>0.4</v>
      </c>
      <c r="J623" s="2727">
        <v>0.23</v>
      </c>
      <c r="K623" s="2727">
        <v>0.44</v>
      </c>
      <c r="L623" s="2728">
        <v>0.32</v>
      </c>
      <c r="M623" s="2728">
        <v>0.27</v>
      </c>
      <c r="N623" s="2728">
        <v>0.2</v>
      </c>
      <c r="O623" s="2728">
        <v>0.56000000000000005</v>
      </c>
      <c r="P623" s="2730">
        <v>2.1579999999999999</v>
      </c>
      <c r="Q623" s="2728">
        <v>0.27</v>
      </c>
      <c r="R623" s="2734">
        <f>AVERAGE(0.464,0.213,0.19,0.243,0.225)</f>
        <v>0.26700000000000002</v>
      </c>
      <c r="S623" s="2735">
        <f>AVERAGE(0.262,0.225,0.243)</f>
        <v>0.24333333333333332</v>
      </c>
      <c r="T623" s="2735">
        <f>AVERAGE(0.5,0.243,0.225)</f>
        <v>0.32266666666666666</v>
      </c>
      <c r="U623" s="2728">
        <v>0.44</v>
      </c>
      <c r="V623" s="2728">
        <v>0.44</v>
      </c>
      <c r="W623" s="2731">
        <v>0.307</v>
      </c>
      <c r="X623" s="2736">
        <f>AVERAGE(0.303, 0.307)</f>
        <v>0.30499999999999999</v>
      </c>
      <c r="Y623" s="2735">
        <f>AVERAGE(0.231,0.224,0.307)</f>
        <v>0.254</v>
      </c>
      <c r="Z623" s="2728">
        <v>0.44</v>
      </c>
      <c r="AA623" s="2728">
        <v>0.44</v>
      </c>
      <c r="AB623" s="2730">
        <v>0.39</v>
      </c>
      <c r="AC623" s="2731">
        <v>0.39</v>
      </c>
      <c r="AD623" s="2731">
        <v>0.39</v>
      </c>
      <c r="AE623" s="2731">
        <v>0.39</v>
      </c>
      <c r="AF623" s="2730">
        <v>0.39</v>
      </c>
      <c r="AG623" s="2731">
        <v>0.39</v>
      </c>
      <c r="AH623" s="2731">
        <v>0.27</v>
      </c>
      <c r="AI623" s="2730">
        <v>0.27</v>
      </c>
      <c r="AJ623" s="2727">
        <v>0.21199999999999999</v>
      </c>
      <c r="AK623" s="2727">
        <v>0.246</v>
      </c>
      <c r="AL623" s="2727">
        <v>0.379</v>
      </c>
      <c r="AM623" s="2729">
        <v>0.34499999999999997</v>
      </c>
      <c r="AN623" s="2732"/>
      <c r="AO623" s="2719">
        <v>0.37</v>
      </c>
      <c r="AP623" s="2728">
        <v>0.24</v>
      </c>
      <c r="AQ623" s="2728">
        <v>0.28000000000000003</v>
      </c>
      <c r="AR623" s="2728">
        <v>0.4</v>
      </c>
      <c r="AS623" s="2727">
        <v>0.246</v>
      </c>
      <c r="AT623" s="2727">
        <v>0.44</v>
      </c>
      <c r="AU623" s="2730">
        <v>1.3380000000000001</v>
      </c>
      <c r="AV623" s="2728">
        <v>0.27</v>
      </c>
      <c r="AW623" s="2728">
        <v>0.24</v>
      </c>
      <c r="AX623" s="2728">
        <v>0.28000000000000003</v>
      </c>
      <c r="AY623" s="2728">
        <v>0.32</v>
      </c>
      <c r="AZ623" s="2728">
        <v>0.27</v>
      </c>
      <c r="BA623" s="2733"/>
      <c r="BB623" s="2731">
        <v>0.22900000000000001</v>
      </c>
      <c r="BC623" s="2736">
        <f>AVERAGE(0.305, 0.356,0.262, 0.229)</f>
        <v>0.28800000000000003</v>
      </c>
      <c r="BD623" s="2735">
        <f>AVERAGE(0.265,0.303,0.262, 0.229)</f>
        <v>0.26475000000000004</v>
      </c>
      <c r="BE623" s="2728">
        <v>0.22</v>
      </c>
      <c r="BF623" s="2728">
        <v>0.22</v>
      </c>
      <c r="BG623" s="2734">
        <f>AVERAGE(0.232,0.248)</f>
        <v>0.24</v>
      </c>
      <c r="BH623" s="2735">
        <f>AVERAGE(0.221,0.232, 0.248)</f>
        <v>0.23366666666666669</v>
      </c>
      <c r="BI623" s="2735">
        <f>AVERAGE(0.22,0.232, 0.248)</f>
        <v>0.23333333333333331</v>
      </c>
      <c r="BJ623" s="2728">
        <v>0.22</v>
      </c>
      <c r="BK623" s="2728">
        <v>0.22</v>
      </c>
      <c r="BL623" s="2731">
        <v>0.24</v>
      </c>
      <c r="BM623" s="2731">
        <v>0.24</v>
      </c>
      <c r="BN623" s="2731">
        <v>0.24</v>
      </c>
      <c r="BO623" s="2731">
        <v>0.24</v>
      </c>
      <c r="BP623" s="2731">
        <v>0.24</v>
      </c>
      <c r="BQ623" s="2731">
        <v>0.24</v>
      </c>
      <c r="BR623" s="2731">
        <v>0.27</v>
      </c>
      <c r="BS623" s="2731">
        <v>0.27</v>
      </c>
    </row>
    <row r="624" spans="1:71" s="2725" customFormat="1" x14ac:dyDescent="0.2">
      <c r="A624" s="2726" t="s">
        <v>1554</v>
      </c>
      <c r="B624" s="2727">
        <v>0.20699999999999999</v>
      </c>
      <c r="C624" s="2727">
        <v>0.32300000000000001</v>
      </c>
      <c r="D624" s="2727">
        <f>AVERAGE(0.44,0.322)</f>
        <v>0.38100000000000001</v>
      </c>
      <c r="E624" s="2731">
        <v>0.32200000000000001</v>
      </c>
      <c r="F624" s="2731">
        <v>0.32500000000000001</v>
      </c>
      <c r="G624" s="2728">
        <v>0.2</v>
      </c>
      <c r="H624" s="2729">
        <v>0.56000000000000005</v>
      </c>
      <c r="I624" s="2728">
        <v>0.4</v>
      </c>
      <c r="J624" s="2727">
        <v>0.23</v>
      </c>
      <c r="K624" s="2727">
        <v>0.44</v>
      </c>
      <c r="L624" s="2728">
        <v>0.32</v>
      </c>
      <c r="M624" s="2728">
        <v>0.27</v>
      </c>
      <c r="N624" s="2728">
        <v>0.2</v>
      </c>
      <c r="O624" s="2728">
        <v>0.56000000000000005</v>
      </c>
      <c r="P624" s="2730">
        <v>2.1579999999999999</v>
      </c>
      <c r="Q624" s="2728">
        <v>0.27</v>
      </c>
      <c r="R624" s="2734">
        <f>AVERAGE(0.464,0.213,0.19,0.243,0.225)</f>
        <v>0.26700000000000002</v>
      </c>
      <c r="S624" s="2735">
        <f>AVERAGE(0.262,0.225,0.243)</f>
        <v>0.24333333333333332</v>
      </c>
      <c r="T624" s="2735">
        <f>AVERAGE(0.5,0.243,0.225)</f>
        <v>0.32266666666666666</v>
      </c>
      <c r="U624" s="2728">
        <v>0.44</v>
      </c>
      <c r="V624" s="2728">
        <v>0.44</v>
      </c>
      <c r="W624" s="2731">
        <v>0.307</v>
      </c>
      <c r="X624" s="2736">
        <f>AVERAGE(0.303, 0.307)</f>
        <v>0.30499999999999999</v>
      </c>
      <c r="Y624" s="2735">
        <f>AVERAGE(0.231,0.224,0.307)</f>
        <v>0.254</v>
      </c>
      <c r="Z624" s="2728">
        <v>0.44</v>
      </c>
      <c r="AA624" s="2728">
        <v>0.44</v>
      </c>
      <c r="AB624" s="2730">
        <v>0.39</v>
      </c>
      <c r="AC624" s="2731">
        <v>0.39</v>
      </c>
      <c r="AD624" s="2731">
        <v>0.39</v>
      </c>
      <c r="AE624" s="2731">
        <v>0.39</v>
      </c>
      <c r="AF624" s="2730">
        <v>0.39</v>
      </c>
      <c r="AG624" s="2731">
        <v>0.39</v>
      </c>
      <c r="AH624" s="2731">
        <v>0.27</v>
      </c>
      <c r="AI624" s="2730">
        <v>0.27</v>
      </c>
      <c r="AJ624" s="2727">
        <v>0.21199999999999999</v>
      </c>
      <c r="AK624" s="2727">
        <v>0.246</v>
      </c>
      <c r="AL624" s="2727">
        <v>0.379</v>
      </c>
      <c r="AM624" s="2729">
        <v>0.34499999999999997</v>
      </c>
      <c r="AN624" s="2732"/>
      <c r="AO624" s="2728">
        <v>0.37</v>
      </c>
      <c r="AP624" s="2728">
        <v>0.24</v>
      </c>
      <c r="AQ624" s="2728">
        <v>0.28000000000000003</v>
      </c>
      <c r="AR624" s="2728">
        <v>0.4</v>
      </c>
      <c r="AS624" s="2727">
        <v>0.246</v>
      </c>
      <c r="AT624" s="2727">
        <v>0.44</v>
      </c>
      <c r="AU624" s="2730">
        <v>1.3380000000000001</v>
      </c>
      <c r="AV624" s="2728">
        <v>0.27</v>
      </c>
      <c r="AW624" s="2728">
        <v>0.24</v>
      </c>
      <c r="AX624" s="2728">
        <v>0.28000000000000003</v>
      </c>
      <c r="AY624" s="2728">
        <v>0.32</v>
      </c>
      <c r="AZ624" s="2728">
        <v>0.27</v>
      </c>
      <c r="BA624" s="2733"/>
      <c r="BB624" s="2731">
        <v>0.22900000000000001</v>
      </c>
      <c r="BC624" s="2736">
        <f>AVERAGE(0.305, 0.356,0.262, 0.229)</f>
        <v>0.28800000000000003</v>
      </c>
      <c r="BD624" s="2735">
        <f>AVERAGE(0.265,0.303,0.262, 0.229)</f>
        <v>0.26475000000000004</v>
      </c>
      <c r="BE624" s="2728">
        <v>0.22</v>
      </c>
      <c r="BF624" s="2728">
        <v>0.22</v>
      </c>
      <c r="BG624" s="2734">
        <f>AVERAGE(0.232,0.248)</f>
        <v>0.24</v>
      </c>
      <c r="BH624" s="2735">
        <f>AVERAGE(0.221,0.232, 0.248)</f>
        <v>0.23366666666666669</v>
      </c>
      <c r="BI624" s="2735">
        <f>AVERAGE(0.22,0.232, 0.248)</f>
        <v>0.23333333333333331</v>
      </c>
      <c r="BJ624" s="2728">
        <v>0.22</v>
      </c>
      <c r="BK624" s="2728">
        <v>0.22</v>
      </c>
      <c r="BL624" s="2731">
        <v>0.24</v>
      </c>
      <c r="BM624" s="2731">
        <v>0.24</v>
      </c>
      <c r="BN624" s="2731">
        <v>0.24</v>
      </c>
      <c r="BO624" s="2731">
        <v>0.24</v>
      </c>
      <c r="BP624" s="2731">
        <v>0.24</v>
      </c>
      <c r="BQ624" s="2731">
        <v>0.24</v>
      </c>
      <c r="BR624" s="2731">
        <v>0.27</v>
      </c>
      <c r="BS624" s="2731">
        <v>0.27</v>
      </c>
    </row>
    <row r="625" spans="1:71" s="2725" customFormat="1" x14ac:dyDescent="0.2">
      <c r="A625" s="2726" t="s">
        <v>1563</v>
      </c>
      <c r="B625" s="2727">
        <v>0.20699999999999999</v>
      </c>
      <c r="C625" s="2727">
        <v>0.32300000000000001</v>
      </c>
      <c r="D625" s="2727">
        <f>AVERAGE(0.44,0.322)</f>
        <v>0.38100000000000001</v>
      </c>
      <c r="E625" s="2731">
        <v>0.32200000000000001</v>
      </c>
      <c r="F625" s="2731">
        <v>0.32500000000000001</v>
      </c>
      <c r="G625" s="2728">
        <v>0.2</v>
      </c>
      <c r="H625" s="2729">
        <v>0.56000000000000005</v>
      </c>
      <c r="I625" s="2728">
        <v>0.4</v>
      </c>
      <c r="J625" s="2727">
        <v>0.23</v>
      </c>
      <c r="K625" s="2727">
        <v>0.44</v>
      </c>
      <c r="L625" s="2728">
        <v>0.32</v>
      </c>
      <c r="M625" s="2728">
        <v>0.27</v>
      </c>
      <c r="N625" s="2728">
        <v>0.2</v>
      </c>
      <c r="O625" s="2728">
        <v>0.56000000000000005</v>
      </c>
      <c r="P625" s="2730">
        <v>2.1579999999999999</v>
      </c>
      <c r="Q625" s="2728">
        <v>0.27</v>
      </c>
      <c r="R625" s="2734">
        <f>AVERAGE(0.464,0.213,0.19,0.243,0.225)</f>
        <v>0.26700000000000002</v>
      </c>
      <c r="S625" s="2735">
        <f>AVERAGE(0.262,0.225,0.243)</f>
        <v>0.24333333333333332</v>
      </c>
      <c r="T625" s="2735">
        <f>AVERAGE(0.5,0.243,0.225)</f>
        <v>0.32266666666666666</v>
      </c>
      <c r="U625" s="2728">
        <v>0.44</v>
      </c>
      <c r="V625" s="2728">
        <v>0.44</v>
      </c>
      <c r="W625" s="2731">
        <v>0.307</v>
      </c>
      <c r="X625" s="2736">
        <f>AVERAGE(0.303, 0.307)</f>
        <v>0.30499999999999999</v>
      </c>
      <c r="Y625" s="2735">
        <f>AVERAGE(0.231,0.224,0.307)</f>
        <v>0.254</v>
      </c>
      <c r="Z625" s="2728">
        <v>0.44</v>
      </c>
      <c r="AA625" s="2728">
        <v>0.44</v>
      </c>
      <c r="AB625" s="2730">
        <v>0.39</v>
      </c>
      <c r="AC625" s="2731">
        <v>0.39</v>
      </c>
      <c r="AD625" s="2731">
        <v>0.39</v>
      </c>
      <c r="AE625" s="2731">
        <v>0.39</v>
      </c>
      <c r="AF625" s="2730">
        <v>0.39</v>
      </c>
      <c r="AG625" s="2731">
        <v>0.39</v>
      </c>
      <c r="AH625" s="2731">
        <v>0.27</v>
      </c>
      <c r="AI625" s="2730">
        <v>0.27</v>
      </c>
      <c r="AJ625" s="2727">
        <v>0.21199999999999999</v>
      </c>
      <c r="AK625" s="2727">
        <v>0.246</v>
      </c>
      <c r="AL625" s="2727">
        <v>0.379</v>
      </c>
      <c r="AM625" s="2729">
        <v>0.34499999999999997</v>
      </c>
      <c r="AN625" s="2732"/>
      <c r="AO625" s="2728">
        <v>0.37</v>
      </c>
      <c r="AP625" s="2728">
        <v>0.24</v>
      </c>
      <c r="AQ625" s="2728">
        <v>0.28000000000000003</v>
      </c>
      <c r="AR625" s="2728">
        <v>0.4</v>
      </c>
      <c r="AS625" s="2727">
        <v>0.246</v>
      </c>
      <c r="AT625" s="2727">
        <v>0.44</v>
      </c>
      <c r="AU625" s="2730">
        <v>1.3380000000000001</v>
      </c>
      <c r="AV625" s="2728">
        <v>0.27</v>
      </c>
      <c r="AW625" s="2728">
        <v>0.24</v>
      </c>
      <c r="AX625" s="2728">
        <v>0.28000000000000003</v>
      </c>
      <c r="AY625" s="2728">
        <v>0.32</v>
      </c>
      <c r="AZ625" s="2728">
        <v>0.27</v>
      </c>
      <c r="BA625" s="2733"/>
      <c r="BB625" s="2731">
        <v>0.22900000000000001</v>
      </c>
      <c r="BC625" s="2736">
        <f>AVERAGE(0.305, 0.356,0.262, 0.229)</f>
        <v>0.28800000000000003</v>
      </c>
      <c r="BD625" s="2735">
        <f>AVERAGE(0.265,0.303,0.262, 0.229)</f>
        <v>0.26475000000000004</v>
      </c>
      <c r="BE625" s="2728">
        <v>0.22</v>
      </c>
      <c r="BF625" s="2728">
        <v>0.22</v>
      </c>
      <c r="BG625" s="2734">
        <f>AVERAGE(0.232,0.248)</f>
        <v>0.24</v>
      </c>
      <c r="BH625" s="2735">
        <f>AVERAGE(0.221,0.232, 0.248)</f>
        <v>0.23366666666666669</v>
      </c>
      <c r="BI625" s="2735">
        <f>AVERAGE(0.22,0.232, 0.248)</f>
        <v>0.23333333333333331</v>
      </c>
      <c r="BJ625" s="2728">
        <v>0.22</v>
      </c>
      <c r="BK625" s="2728">
        <v>0.22</v>
      </c>
      <c r="BL625" s="2731">
        <v>0.24</v>
      </c>
      <c r="BM625" s="2731">
        <v>0.24</v>
      </c>
      <c r="BN625" s="2731">
        <v>0.24</v>
      </c>
      <c r="BO625" s="2731">
        <v>0.24</v>
      </c>
      <c r="BP625" s="2731">
        <v>0.24</v>
      </c>
      <c r="BQ625" s="2731">
        <v>0.24</v>
      </c>
      <c r="BR625" s="2731">
        <v>0.27</v>
      </c>
      <c r="BS625" s="2731">
        <v>0.27</v>
      </c>
    </row>
    <row r="626" spans="1:71" s="2725" customFormat="1" x14ac:dyDescent="0.2">
      <c r="A626" s="2726" t="s">
        <v>1567</v>
      </c>
      <c r="B626" s="2727">
        <v>0.20699999999999999</v>
      </c>
      <c r="C626" s="2727">
        <v>0.32300000000000001</v>
      </c>
      <c r="D626" s="2727">
        <f>AVERAGE(0.44,0.322)</f>
        <v>0.38100000000000001</v>
      </c>
      <c r="E626" s="2731">
        <v>0.32200000000000001</v>
      </c>
      <c r="F626" s="2731">
        <v>0.32500000000000001</v>
      </c>
      <c r="G626" s="2728">
        <v>0.2</v>
      </c>
      <c r="H626" s="2729">
        <v>0.56000000000000005</v>
      </c>
      <c r="I626" s="2728">
        <v>0.4</v>
      </c>
      <c r="J626" s="2727">
        <v>0.23</v>
      </c>
      <c r="K626" s="2727">
        <v>0.44</v>
      </c>
      <c r="L626" s="2728">
        <v>0.32</v>
      </c>
      <c r="M626" s="2728">
        <v>0.27</v>
      </c>
      <c r="N626" s="2728">
        <v>0.2</v>
      </c>
      <c r="O626" s="2728">
        <v>0.56000000000000005</v>
      </c>
      <c r="P626" s="2730">
        <v>2.1579999999999999</v>
      </c>
      <c r="Q626" s="2728">
        <v>0.27</v>
      </c>
      <c r="R626" s="2734">
        <f>AVERAGE(0.464,0.213,0.19,0.243,0.225)</f>
        <v>0.26700000000000002</v>
      </c>
      <c r="S626" s="2735">
        <f>AVERAGE(0.262,0.225,0.243)</f>
        <v>0.24333333333333332</v>
      </c>
      <c r="T626" s="2735">
        <f>AVERAGE(0.5,0.243,0.225)</f>
        <v>0.32266666666666666</v>
      </c>
      <c r="U626" s="2728">
        <v>0.44</v>
      </c>
      <c r="V626" s="2728">
        <v>0.44</v>
      </c>
      <c r="W626" s="2731">
        <v>0.307</v>
      </c>
      <c r="X626" s="2736">
        <f>AVERAGE(0.303, 0.307)</f>
        <v>0.30499999999999999</v>
      </c>
      <c r="Y626" s="2735">
        <f>AVERAGE(0.231,0.224,0.307)</f>
        <v>0.254</v>
      </c>
      <c r="Z626" s="2728">
        <v>0.44</v>
      </c>
      <c r="AA626" s="2728">
        <v>0.44</v>
      </c>
      <c r="AB626" s="2730">
        <v>0.39</v>
      </c>
      <c r="AC626" s="2731">
        <v>0.39</v>
      </c>
      <c r="AD626" s="2731">
        <v>0.39</v>
      </c>
      <c r="AE626" s="2731">
        <v>0.39</v>
      </c>
      <c r="AF626" s="2730">
        <v>0.39</v>
      </c>
      <c r="AG626" s="2731">
        <v>0.39</v>
      </c>
      <c r="AH626" s="2731">
        <v>0.27</v>
      </c>
      <c r="AI626" s="2730">
        <v>0.27</v>
      </c>
      <c r="AJ626" s="2727">
        <v>0.21199999999999999</v>
      </c>
      <c r="AK626" s="2727">
        <v>0.246</v>
      </c>
      <c r="AL626" s="2727">
        <v>0.379</v>
      </c>
      <c r="AM626" s="2729">
        <v>0.34499999999999997</v>
      </c>
      <c r="AN626" s="2732"/>
      <c r="AO626" s="2728">
        <v>0.37</v>
      </c>
      <c r="AP626" s="2728">
        <v>0.24</v>
      </c>
      <c r="AQ626" s="2728">
        <v>0.28000000000000003</v>
      </c>
      <c r="AR626" s="2728">
        <v>0.4</v>
      </c>
      <c r="AS626" s="2727">
        <v>0.246</v>
      </c>
      <c r="AT626" s="2727">
        <v>0.44</v>
      </c>
      <c r="AU626" s="2730">
        <v>1.3380000000000001</v>
      </c>
      <c r="AV626" s="2728">
        <v>0.27</v>
      </c>
      <c r="AW626" s="2728">
        <v>0.24</v>
      </c>
      <c r="AX626" s="2728">
        <v>0.28000000000000003</v>
      </c>
      <c r="AY626" s="2728">
        <v>0.32</v>
      </c>
      <c r="AZ626" s="2728">
        <v>0.27</v>
      </c>
      <c r="BA626" s="2733"/>
      <c r="BB626" s="2731">
        <v>0.22900000000000001</v>
      </c>
      <c r="BC626" s="2736">
        <f>AVERAGE(0.305, 0.356,0.262, 0.229)</f>
        <v>0.28800000000000003</v>
      </c>
      <c r="BD626" s="2735">
        <f>AVERAGE(0.265,0.303,0.262, 0.229)</f>
        <v>0.26475000000000004</v>
      </c>
      <c r="BE626" s="2728">
        <v>0.22</v>
      </c>
      <c r="BF626" s="2728">
        <v>0.22</v>
      </c>
      <c r="BG626" s="2734">
        <f>AVERAGE(0.232,0.248)</f>
        <v>0.24</v>
      </c>
      <c r="BH626" s="2735">
        <f>AVERAGE(0.221,0.232, 0.248)</f>
        <v>0.23366666666666669</v>
      </c>
      <c r="BI626" s="2735">
        <f>AVERAGE(0.22,0.232, 0.248)</f>
        <v>0.23333333333333331</v>
      </c>
      <c r="BJ626" s="2728">
        <v>0.22</v>
      </c>
      <c r="BK626" s="2728">
        <v>0.22</v>
      </c>
      <c r="BL626" s="2731">
        <v>0.24</v>
      </c>
      <c r="BM626" s="2731">
        <v>0.24</v>
      </c>
      <c r="BN626" s="2731">
        <v>0.24</v>
      </c>
      <c r="BO626" s="2731">
        <v>0.24</v>
      </c>
      <c r="BP626" s="2731">
        <v>0.24</v>
      </c>
      <c r="BQ626" s="2731">
        <v>0.24</v>
      </c>
      <c r="BR626" s="2731">
        <v>0.27</v>
      </c>
      <c r="BS626" s="2731">
        <v>0.27</v>
      </c>
    </row>
    <row r="627" spans="1:71" s="2725" customFormat="1" x14ac:dyDescent="0.2">
      <c r="A627" s="2726" t="s">
        <v>1571</v>
      </c>
      <c r="B627" s="2727">
        <v>0.20699999999999999</v>
      </c>
      <c r="C627" s="2727">
        <v>0.32300000000000001</v>
      </c>
      <c r="D627" s="2727">
        <f>AVERAGE(0.44,0.322)</f>
        <v>0.38100000000000001</v>
      </c>
      <c r="E627" s="2731">
        <v>0.32200000000000001</v>
      </c>
      <c r="F627" s="2731">
        <v>0.32500000000000001</v>
      </c>
      <c r="G627" s="2728">
        <v>0.2</v>
      </c>
      <c r="H627" s="2729">
        <v>0.56000000000000005</v>
      </c>
      <c r="I627" s="2728">
        <v>0.4</v>
      </c>
      <c r="J627" s="2727">
        <v>0.23</v>
      </c>
      <c r="K627" s="2727">
        <v>0.44</v>
      </c>
      <c r="L627" s="2728">
        <v>0.32</v>
      </c>
      <c r="M627" s="2728">
        <v>0.27</v>
      </c>
      <c r="N627" s="2728">
        <v>0.2</v>
      </c>
      <c r="O627" s="2728">
        <v>0.56000000000000005</v>
      </c>
      <c r="P627" s="2730">
        <v>2.1579999999999999</v>
      </c>
      <c r="Q627" s="2728">
        <v>0.27</v>
      </c>
      <c r="R627" s="2734">
        <f>AVERAGE(0.464,0.213,0.19,0.243,0.225)</f>
        <v>0.26700000000000002</v>
      </c>
      <c r="S627" s="2735">
        <f>AVERAGE(0.262,0.225,0.243)</f>
        <v>0.24333333333333332</v>
      </c>
      <c r="T627" s="2735">
        <f>AVERAGE(0.5,0.243,0.225)</f>
        <v>0.32266666666666666</v>
      </c>
      <c r="U627" s="2728">
        <v>0.44</v>
      </c>
      <c r="V627" s="2728">
        <v>0.44</v>
      </c>
      <c r="W627" s="2731">
        <v>0.307</v>
      </c>
      <c r="X627" s="2736">
        <f>AVERAGE(0.303, 0.307)</f>
        <v>0.30499999999999999</v>
      </c>
      <c r="Y627" s="2735">
        <f>AVERAGE(0.231,0.224,0.307)</f>
        <v>0.254</v>
      </c>
      <c r="Z627" s="2728">
        <v>0.44</v>
      </c>
      <c r="AA627" s="2728">
        <v>0.44</v>
      </c>
      <c r="AB627" s="2730">
        <v>0.39</v>
      </c>
      <c r="AC627" s="2731">
        <v>0.39</v>
      </c>
      <c r="AD627" s="2731">
        <v>0.39</v>
      </c>
      <c r="AE627" s="2731">
        <v>0.39</v>
      </c>
      <c r="AF627" s="2730">
        <v>0.39</v>
      </c>
      <c r="AG627" s="2731">
        <v>0.39</v>
      </c>
      <c r="AH627" s="2731">
        <v>0.27</v>
      </c>
      <c r="AI627" s="2730">
        <v>0.27</v>
      </c>
      <c r="AJ627" s="2727">
        <v>0.21199999999999999</v>
      </c>
      <c r="AK627" s="2727">
        <v>0.246</v>
      </c>
      <c r="AL627" s="2727">
        <v>0.379</v>
      </c>
      <c r="AM627" s="2729">
        <v>0.34499999999999997</v>
      </c>
      <c r="AN627" s="2732"/>
      <c r="AO627" s="2728">
        <v>0.37</v>
      </c>
      <c r="AP627" s="2728">
        <v>0.24</v>
      </c>
      <c r="AQ627" s="2728">
        <v>0.28000000000000003</v>
      </c>
      <c r="AR627" s="2728">
        <v>0.4</v>
      </c>
      <c r="AS627" s="2727">
        <v>0.246</v>
      </c>
      <c r="AT627" s="2727">
        <v>0.44</v>
      </c>
      <c r="AU627" s="2730">
        <v>1.3380000000000001</v>
      </c>
      <c r="AV627" s="2728">
        <v>0.27</v>
      </c>
      <c r="AW627" s="2728">
        <v>0.24</v>
      </c>
      <c r="AX627" s="2728">
        <v>0.28000000000000003</v>
      </c>
      <c r="AY627" s="2728">
        <v>0.32</v>
      </c>
      <c r="AZ627" s="2728">
        <v>0.27</v>
      </c>
      <c r="BA627" s="2733"/>
      <c r="BB627" s="2731">
        <v>0.22900000000000001</v>
      </c>
      <c r="BC627" s="2736">
        <f>AVERAGE(0.305, 0.356,0.262, 0.229)</f>
        <v>0.28800000000000003</v>
      </c>
      <c r="BD627" s="2735">
        <f>AVERAGE(0.265,0.303,0.262, 0.229)</f>
        <v>0.26475000000000004</v>
      </c>
      <c r="BE627" s="2728">
        <v>0.22</v>
      </c>
      <c r="BF627" s="2728">
        <v>0.22</v>
      </c>
      <c r="BG627" s="2734">
        <f>AVERAGE(0.232,0.248)</f>
        <v>0.24</v>
      </c>
      <c r="BH627" s="2735">
        <f>AVERAGE(0.221,0.232, 0.248)</f>
        <v>0.23366666666666669</v>
      </c>
      <c r="BI627" s="2735">
        <f>AVERAGE(0.22,0.232, 0.248)</f>
        <v>0.23333333333333331</v>
      </c>
      <c r="BJ627" s="2728">
        <v>0.22</v>
      </c>
      <c r="BK627" s="2728">
        <v>0.22</v>
      </c>
      <c r="BL627" s="2731">
        <v>0.24</v>
      </c>
      <c r="BM627" s="2731">
        <v>0.24</v>
      </c>
      <c r="BN627" s="2731">
        <v>0.24</v>
      </c>
      <c r="BO627" s="2731">
        <v>0.24</v>
      </c>
      <c r="BP627" s="2731">
        <v>0.24</v>
      </c>
      <c r="BQ627" s="2731">
        <v>0.24</v>
      </c>
      <c r="BR627" s="2731">
        <v>0.27</v>
      </c>
      <c r="BS627" s="2731">
        <v>0.27</v>
      </c>
    </row>
    <row r="628" spans="1:71" s="2725" customFormat="1" x14ac:dyDescent="0.2">
      <c r="A628" s="2726" t="s">
        <v>1555</v>
      </c>
      <c r="B628" s="2728">
        <v>0.37</v>
      </c>
      <c r="C628" s="2728">
        <v>0.2</v>
      </c>
      <c r="D628" s="2728">
        <v>0.56000000000000005</v>
      </c>
      <c r="E628" s="2728">
        <v>0.4</v>
      </c>
      <c r="F628" s="2728">
        <v>0.37</v>
      </c>
      <c r="G628" s="2728">
        <v>0.2</v>
      </c>
      <c r="H628" s="2729">
        <v>0.56000000000000005</v>
      </c>
      <c r="I628" s="2728">
        <v>0.4</v>
      </c>
      <c r="J628" s="2728">
        <v>0.2</v>
      </c>
      <c r="K628" s="2728">
        <v>0.56000000000000005</v>
      </c>
      <c r="L628" s="2728">
        <v>0.32</v>
      </c>
      <c r="M628" s="2728">
        <v>0.27</v>
      </c>
      <c r="N628" s="2728">
        <v>0.2</v>
      </c>
      <c r="O628" s="2728">
        <v>0.56000000000000005</v>
      </c>
      <c r="P628" s="2729">
        <v>0.32</v>
      </c>
      <c r="Q628" s="2728">
        <v>0.27</v>
      </c>
      <c r="R628" s="2731">
        <f>AVERAGE(0.192,0.359)</f>
        <v>0.27549999999999997</v>
      </c>
      <c r="S628" s="2728">
        <v>0.44</v>
      </c>
      <c r="T628" s="2731">
        <v>1.155</v>
      </c>
      <c r="U628" s="2728">
        <v>0.44</v>
      </c>
      <c r="V628" s="2728">
        <v>0.44</v>
      </c>
      <c r="W628" s="2734">
        <f>AVERAGE(1.4,0.359)</f>
        <v>0.87949999999999995</v>
      </c>
      <c r="X628" s="2730">
        <v>0.34</v>
      </c>
      <c r="Y628" s="2728">
        <v>0.44</v>
      </c>
      <c r="Z628" s="2728">
        <v>0.44</v>
      </c>
      <c r="AA628" s="2728">
        <v>0.44</v>
      </c>
      <c r="AB628" s="2730">
        <v>0.39</v>
      </c>
      <c r="AC628" s="2731">
        <v>0.39</v>
      </c>
      <c r="AD628" s="2731">
        <v>0.39</v>
      </c>
      <c r="AE628" s="2731">
        <v>0.39</v>
      </c>
      <c r="AF628" s="2730">
        <v>0.39</v>
      </c>
      <c r="AG628" s="2731">
        <v>0.39</v>
      </c>
      <c r="AH628" s="2731">
        <v>0.27</v>
      </c>
      <c r="AI628" s="2730">
        <v>0.27</v>
      </c>
      <c r="AJ628" s="2728">
        <v>0.37</v>
      </c>
      <c r="AK628" s="2728">
        <v>0.24</v>
      </c>
      <c r="AL628" s="2728">
        <v>0.28000000000000003</v>
      </c>
      <c r="AM628" s="2729">
        <v>0.4</v>
      </c>
      <c r="AN628" s="2732"/>
      <c r="AO628" s="2728">
        <v>0.37</v>
      </c>
      <c r="AP628" s="2728">
        <v>0.24</v>
      </c>
      <c r="AQ628" s="2728">
        <v>0.28000000000000003</v>
      </c>
      <c r="AR628" s="2728">
        <v>0.4</v>
      </c>
      <c r="AS628" s="2728">
        <v>0.24</v>
      </c>
      <c r="AT628" s="2728">
        <v>0.28000000000000003</v>
      </c>
      <c r="AU628" s="2729">
        <v>0.32</v>
      </c>
      <c r="AV628" s="2728">
        <v>0.27</v>
      </c>
      <c r="AW628" s="2728">
        <v>0.24</v>
      </c>
      <c r="AX628" s="2728">
        <v>0.28000000000000003</v>
      </c>
      <c r="AY628" s="2728">
        <v>0.32</v>
      </c>
      <c r="AZ628" s="2728">
        <v>0.27</v>
      </c>
      <c r="BA628" s="2733"/>
      <c r="BB628" s="2731">
        <v>0.17199999999999999</v>
      </c>
      <c r="BC628" s="2730">
        <v>0.47699999999999998</v>
      </c>
      <c r="BD628" s="2731">
        <v>0.39400000000000002</v>
      </c>
      <c r="BE628" s="2728">
        <v>0.22</v>
      </c>
      <c r="BF628" s="2728">
        <v>0.22</v>
      </c>
      <c r="BG628" s="2734">
        <f>AVERAGE(0.206,0.359)</f>
        <v>0.28249999999999997</v>
      </c>
      <c r="BH628" s="2728">
        <v>0.22</v>
      </c>
      <c r="BI628" s="2728">
        <v>0.22</v>
      </c>
      <c r="BJ628" s="2728">
        <v>0.22</v>
      </c>
      <c r="BK628" s="2728">
        <v>0.22</v>
      </c>
      <c r="BL628" s="2731">
        <v>0.24</v>
      </c>
      <c r="BM628" s="2731">
        <v>0.24</v>
      </c>
      <c r="BN628" s="2731">
        <v>0.24</v>
      </c>
      <c r="BO628" s="2731">
        <v>0.24</v>
      </c>
      <c r="BP628" s="2731">
        <v>0.24</v>
      </c>
      <c r="BQ628" s="2731">
        <v>0.24</v>
      </c>
      <c r="BR628" s="2731">
        <v>0.27</v>
      </c>
      <c r="BS628" s="2731">
        <v>0.27</v>
      </c>
    </row>
    <row r="629" spans="1:71" s="2725" customFormat="1" x14ac:dyDescent="0.2">
      <c r="A629" s="2726" t="s">
        <v>1346</v>
      </c>
      <c r="B629" s="2728">
        <v>0.37</v>
      </c>
      <c r="C629" s="2728">
        <v>0.2</v>
      </c>
      <c r="D629" s="2728">
        <v>0.56000000000000005</v>
      </c>
      <c r="E629" s="2728">
        <v>0.4</v>
      </c>
      <c r="F629" s="2728">
        <v>0.37</v>
      </c>
      <c r="G629" s="2728">
        <v>0.2</v>
      </c>
      <c r="H629" s="2729">
        <v>0.56000000000000005</v>
      </c>
      <c r="I629" s="2728">
        <v>0.4</v>
      </c>
      <c r="J629" s="2728">
        <v>0.2</v>
      </c>
      <c r="K629" s="2728">
        <v>0.56000000000000005</v>
      </c>
      <c r="L629" s="2728">
        <v>0.32</v>
      </c>
      <c r="M629" s="2728">
        <v>0.27</v>
      </c>
      <c r="N629" s="2728">
        <v>0.2</v>
      </c>
      <c r="O629" s="2728">
        <v>0.56000000000000005</v>
      </c>
      <c r="P629" s="2729">
        <v>0.32</v>
      </c>
      <c r="Q629" s="2728">
        <v>0.27</v>
      </c>
      <c r="R629" s="2735">
        <f>AVERAGE(0.464,0.213)</f>
        <v>0.33850000000000002</v>
      </c>
      <c r="S629" s="2728">
        <v>0.44</v>
      </c>
      <c r="T629" s="2731">
        <v>0.14499999999999999</v>
      </c>
      <c r="U629" s="2728">
        <v>0.44</v>
      </c>
      <c r="V629" s="2728">
        <v>0.44</v>
      </c>
      <c r="W629" s="2734">
        <f>AVERAGE(0.634,0.391)</f>
        <v>0.51249999999999996</v>
      </c>
      <c r="X629" s="2729">
        <v>0.44</v>
      </c>
      <c r="Y629" s="2731">
        <v>0.29299999999999998</v>
      </c>
      <c r="Z629" s="2728">
        <v>0.44</v>
      </c>
      <c r="AA629" s="2728">
        <v>0.44</v>
      </c>
      <c r="AB629" s="2730">
        <v>0.39</v>
      </c>
      <c r="AC629" s="2731">
        <v>0.39</v>
      </c>
      <c r="AD629" s="2731">
        <v>0.39</v>
      </c>
      <c r="AE629" s="2731">
        <v>0.39</v>
      </c>
      <c r="AF629" s="2730">
        <v>0.39</v>
      </c>
      <c r="AG629" s="2731">
        <v>0.39</v>
      </c>
      <c r="AH629" s="2731">
        <v>0.27</v>
      </c>
      <c r="AI629" s="2730">
        <v>0.27</v>
      </c>
      <c r="AJ629" s="2728">
        <v>0.37</v>
      </c>
      <c r="AK629" s="2728">
        <v>0.24</v>
      </c>
      <c r="AL629" s="2728">
        <v>0.28000000000000003</v>
      </c>
      <c r="AM629" s="2729">
        <v>0.4</v>
      </c>
      <c r="AN629" s="2732"/>
      <c r="AO629" s="2728">
        <v>0.37</v>
      </c>
      <c r="AP629" s="2728">
        <v>0.24</v>
      </c>
      <c r="AQ629" s="2728">
        <v>0.28000000000000003</v>
      </c>
      <c r="AR629" s="2728">
        <v>0.4</v>
      </c>
      <c r="AS629" s="2728">
        <v>0.24</v>
      </c>
      <c r="AT629" s="2728">
        <v>0.28000000000000003</v>
      </c>
      <c r="AU629" s="2729">
        <v>0.32</v>
      </c>
      <c r="AV629" s="2728">
        <v>0.27</v>
      </c>
      <c r="AW629" s="2728">
        <v>0.24</v>
      </c>
      <c r="AX629" s="2728">
        <v>0.28000000000000003</v>
      </c>
      <c r="AY629" s="2728">
        <v>0.32</v>
      </c>
      <c r="AZ629" s="2728">
        <v>0.27</v>
      </c>
      <c r="BA629" s="2733"/>
      <c r="BB629" s="2735">
        <f>AVERAGE(0.257, 0.313, 0.188)</f>
        <v>0.25266666666666665</v>
      </c>
      <c r="BC629" s="2729">
        <v>0.22</v>
      </c>
      <c r="BD629" s="2731">
        <v>0.30199999999999999</v>
      </c>
      <c r="BE629" s="2728">
        <v>0.22</v>
      </c>
      <c r="BF629" s="2728">
        <v>0.22</v>
      </c>
      <c r="BG629" s="2739">
        <f>AVERAGE(0.294,0.19)</f>
        <v>0.24199999999999999</v>
      </c>
      <c r="BH629" s="2728">
        <v>0.22</v>
      </c>
      <c r="BI629" s="2731">
        <v>0.20100000000000001</v>
      </c>
      <c r="BJ629" s="2728">
        <v>0.22</v>
      </c>
      <c r="BK629" s="2728">
        <v>0.22</v>
      </c>
      <c r="BL629" s="2731">
        <v>0.24</v>
      </c>
      <c r="BM629" s="2731">
        <v>0.24</v>
      </c>
      <c r="BN629" s="2731">
        <v>0.24</v>
      </c>
      <c r="BO629" s="2731">
        <v>0.24</v>
      </c>
      <c r="BP629" s="2731">
        <v>0.24</v>
      </c>
      <c r="BQ629" s="2731">
        <v>0.24</v>
      </c>
      <c r="BR629" s="2731">
        <v>0.27</v>
      </c>
      <c r="BS629" s="2731">
        <v>0.27</v>
      </c>
    </row>
    <row r="630" spans="1:71" s="2725" customFormat="1" x14ac:dyDescent="0.2">
      <c r="A630" s="2726" t="s">
        <v>1343</v>
      </c>
      <c r="B630" s="2727">
        <v>0.221</v>
      </c>
      <c r="C630" s="2727">
        <v>0.28399999999999997</v>
      </c>
      <c r="D630" s="2727">
        <v>0.33400000000000002</v>
      </c>
      <c r="E630" s="2731">
        <v>0.34799999999999998</v>
      </c>
      <c r="F630" s="2727">
        <v>0.17</v>
      </c>
      <c r="G630" s="2728">
        <v>0.2</v>
      </c>
      <c r="H630" s="2729">
        <v>0.56000000000000005</v>
      </c>
      <c r="I630" s="2731">
        <v>2.1579999999999999</v>
      </c>
      <c r="J630" s="2727">
        <v>0.17499999999999999</v>
      </c>
      <c r="K630" s="2727">
        <v>0.33600000000000002</v>
      </c>
      <c r="L630" s="2731">
        <v>1.3380000000000001</v>
      </c>
      <c r="M630" s="2728">
        <v>0.27</v>
      </c>
      <c r="N630" s="2728">
        <v>0.2</v>
      </c>
      <c r="O630" s="2728">
        <v>0.56000000000000005</v>
      </c>
      <c r="P630" s="2729">
        <v>0.32</v>
      </c>
      <c r="Q630" s="2728">
        <v>0.27</v>
      </c>
      <c r="R630" s="2731">
        <f>AVERAGE(0.466,0.337)</f>
        <v>0.40150000000000002</v>
      </c>
      <c r="S630" s="2731">
        <v>0.48099999999999998</v>
      </c>
      <c r="T630" s="2734">
        <f>AVERAGE(0.37,0.232)</f>
        <v>0.30099999999999999</v>
      </c>
      <c r="U630" s="2728">
        <v>0.44</v>
      </c>
      <c r="V630" s="2728">
        <v>0.44</v>
      </c>
      <c r="W630" s="2728">
        <v>0.44</v>
      </c>
      <c r="X630" s="2730">
        <v>0.23699999999999999</v>
      </c>
      <c r="Y630" s="2731">
        <v>0.30199999999999999</v>
      </c>
      <c r="Z630" s="2728">
        <v>0.44</v>
      </c>
      <c r="AA630" s="2728">
        <v>0.44</v>
      </c>
      <c r="AB630" s="2730">
        <v>0.39</v>
      </c>
      <c r="AC630" s="2731">
        <v>0.39</v>
      </c>
      <c r="AD630" s="2731">
        <v>0.39</v>
      </c>
      <c r="AE630" s="2731">
        <v>0.39</v>
      </c>
      <c r="AF630" s="2730">
        <v>0.39</v>
      </c>
      <c r="AG630" s="2731">
        <v>0.39</v>
      </c>
      <c r="AH630" s="2731">
        <v>0.27</v>
      </c>
      <c r="AI630" s="2730">
        <v>0.27</v>
      </c>
      <c r="AJ630" s="2727">
        <v>0.221</v>
      </c>
      <c r="AK630" s="2727">
        <v>0.28399999999999997</v>
      </c>
      <c r="AL630" s="2727">
        <v>0.379</v>
      </c>
      <c r="AM630" s="2730">
        <v>0.28299999999999997</v>
      </c>
      <c r="AN630" s="2732"/>
      <c r="AO630" s="2727">
        <v>0.17</v>
      </c>
      <c r="AP630" s="2728">
        <v>0.24</v>
      </c>
      <c r="AQ630" s="2728">
        <v>0.28000000000000003</v>
      </c>
      <c r="AR630" s="2728">
        <v>0.4</v>
      </c>
      <c r="AS630" s="2727">
        <v>0.28399999999999997</v>
      </c>
      <c r="AT630" s="2727">
        <v>0.35199999999999998</v>
      </c>
      <c r="AU630" s="2729">
        <v>0.32</v>
      </c>
      <c r="AV630" s="2728">
        <v>0.27</v>
      </c>
      <c r="AW630" s="2728">
        <v>0.24</v>
      </c>
      <c r="AX630" s="2728">
        <v>0.28000000000000003</v>
      </c>
      <c r="AY630" s="2728">
        <v>0.32</v>
      </c>
      <c r="AZ630" s="2728">
        <v>0.27</v>
      </c>
      <c r="BA630" s="2733"/>
      <c r="BB630" s="2734">
        <f>AVERAGE(0.338,0.19)</f>
        <v>0.26400000000000001</v>
      </c>
      <c r="BC630" s="2730">
        <v>0.27700000000000002</v>
      </c>
      <c r="BD630" s="2734">
        <f>AVERAGE(0.217,0.245)</f>
        <v>0.23099999999999998</v>
      </c>
      <c r="BE630" s="2728">
        <v>0.22</v>
      </c>
      <c r="BF630" s="2728">
        <v>0.22</v>
      </c>
      <c r="BG630" s="2731">
        <v>0.20300000000000001</v>
      </c>
      <c r="BH630" s="2728">
        <v>0.22</v>
      </c>
      <c r="BI630" s="2728">
        <v>0.22</v>
      </c>
      <c r="BJ630" s="2728">
        <v>0.22</v>
      </c>
      <c r="BK630" s="2728">
        <v>0.22</v>
      </c>
      <c r="BL630" s="2731">
        <v>0.24</v>
      </c>
      <c r="BM630" s="2731">
        <v>0.24</v>
      </c>
      <c r="BN630" s="2731">
        <v>0.24</v>
      </c>
      <c r="BO630" s="2731">
        <v>0.24</v>
      </c>
      <c r="BP630" s="2731">
        <v>0.24</v>
      </c>
      <c r="BQ630" s="2731">
        <v>0.24</v>
      </c>
      <c r="BR630" s="2731">
        <v>0.27</v>
      </c>
      <c r="BS630" s="2731">
        <v>0.27</v>
      </c>
    </row>
    <row r="631" spans="1:71" s="2725" customFormat="1" x14ac:dyDescent="0.2">
      <c r="A631" s="2726" t="s">
        <v>1349</v>
      </c>
      <c r="B631" s="2727">
        <v>0.221</v>
      </c>
      <c r="C631" s="2727">
        <v>0.28399999999999997</v>
      </c>
      <c r="D631" s="2727">
        <v>0.33400000000000002</v>
      </c>
      <c r="E631" s="2731">
        <v>0.34799999999999998</v>
      </c>
      <c r="F631" s="2727">
        <v>0.17</v>
      </c>
      <c r="G631" s="2728">
        <v>0.2</v>
      </c>
      <c r="H631" s="2729">
        <v>0.56000000000000005</v>
      </c>
      <c r="I631" s="2731">
        <v>2.1579999999999999</v>
      </c>
      <c r="J631" s="2727">
        <v>0.17499999999999999</v>
      </c>
      <c r="K631" s="2727">
        <v>0.33600000000000002</v>
      </c>
      <c r="L631" s="2731">
        <v>1.3380000000000001</v>
      </c>
      <c r="M631" s="2728">
        <v>0.27</v>
      </c>
      <c r="N631" s="2728">
        <v>0.2</v>
      </c>
      <c r="O631" s="2728">
        <v>0.56000000000000005</v>
      </c>
      <c r="P631" s="2729">
        <v>0.32</v>
      </c>
      <c r="Q631" s="2728">
        <v>0.27</v>
      </c>
      <c r="R631" s="2731">
        <v>0.46600000000000003</v>
      </c>
      <c r="S631" s="2731">
        <v>0.48099999999999998</v>
      </c>
      <c r="T631" s="2734">
        <f>AVERAGE(0.37,0.232)</f>
        <v>0.30099999999999999</v>
      </c>
      <c r="U631" s="2728">
        <v>0.44</v>
      </c>
      <c r="V631" s="2728">
        <v>0.44</v>
      </c>
      <c r="W631" s="2728">
        <v>0.44</v>
      </c>
      <c r="X631" s="2730">
        <v>0.23699999999999999</v>
      </c>
      <c r="Y631" s="2731">
        <v>0.30199999999999999</v>
      </c>
      <c r="Z631" s="2728">
        <v>0.44</v>
      </c>
      <c r="AA631" s="2728">
        <v>0.44</v>
      </c>
      <c r="AB631" s="2730">
        <v>0.39</v>
      </c>
      <c r="AC631" s="2731">
        <v>0.39</v>
      </c>
      <c r="AD631" s="2731">
        <v>0.39</v>
      </c>
      <c r="AE631" s="2731">
        <v>0.39</v>
      </c>
      <c r="AF631" s="2730">
        <v>0.39</v>
      </c>
      <c r="AG631" s="2731">
        <v>0.39</v>
      </c>
      <c r="AH631" s="2731">
        <v>0.27</v>
      </c>
      <c r="AI631" s="2730">
        <v>0.27</v>
      </c>
      <c r="AJ631" s="2727">
        <v>0.221</v>
      </c>
      <c r="AK631" s="2727">
        <v>0.28399999999999997</v>
      </c>
      <c r="AL631" s="2727">
        <v>0.379</v>
      </c>
      <c r="AM631" s="2730">
        <v>0.28299999999999997</v>
      </c>
      <c r="AN631" s="2732"/>
      <c r="AO631" s="2727">
        <v>0.17</v>
      </c>
      <c r="AP631" s="2728">
        <v>0.24</v>
      </c>
      <c r="AQ631" s="2728">
        <v>0.28000000000000003</v>
      </c>
      <c r="AR631" s="2728">
        <v>0.4</v>
      </c>
      <c r="AS631" s="2727">
        <v>0.28399999999999997</v>
      </c>
      <c r="AT631" s="2727">
        <v>0.35199999999999998</v>
      </c>
      <c r="AU631" s="2729">
        <v>0.32</v>
      </c>
      <c r="AV631" s="2728">
        <v>0.27</v>
      </c>
      <c r="AW631" s="2728">
        <v>0.24</v>
      </c>
      <c r="AX631" s="2728">
        <v>0.28000000000000003</v>
      </c>
      <c r="AY631" s="2728">
        <v>0.32</v>
      </c>
      <c r="AZ631" s="2728">
        <v>0.27</v>
      </c>
      <c r="BA631" s="2733"/>
      <c r="BB631" s="2734">
        <f>AVERAGE(0.338,0.19)</f>
        <v>0.26400000000000001</v>
      </c>
      <c r="BC631" s="2730">
        <v>0.27700000000000002</v>
      </c>
      <c r="BD631" s="2734">
        <f>AVERAGE(0.217,0.245)</f>
        <v>0.23099999999999998</v>
      </c>
      <c r="BE631" s="2728">
        <v>0.22</v>
      </c>
      <c r="BF631" s="2728">
        <v>0.22</v>
      </c>
      <c r="BG631" s="2731">
        <v>0.20300000000000001</v>
      </c>
      <c r="BH631" s="2728">
        <v>0.22</v>
      </c>
      <c r="BI631" s="2728">
        <v>0.22</v>
      </c>
      <c r="BJ631" s="2728">
        <v>0.22</v>
      </c>
      <c r="BK631" s="2728">
        <v>0.22</v>
      </c>
      <c r="BL631" s="2731">
        <v>0.24</v>
      </c>
      <c r="BM631" s="2731">
        <v>0.24</v>
      </c>
      <c r="BN631" s="2731">
        <v>0.24</v>
      </c>
      <c r="BO631" s="2731">
        <v>0.24</v>
      </c>
      <c r="BP631" s="2731">
        <v>0.24</v>
      </c>
      <c r="BQ631" s="2731">
        <v>0.24</v>
      </c>
      <c r="BR631" s="2731">
        <v>0.27</v>
      </c>
      <c r="BS631" s="2731">
        <v>0.27</v>
      </c>
    </row>
    <row r="632" spans="1:71" s="2725" customFormat="1" x14ac:dyDescent="0.2">
      <c r="A632" s="2726" t="s">
        <v>1333</v>
      </c>
      <c r="B632" s="2727">
        <v>0.221</v>
      </c>
      <c r="C632" s="2727">
        <v>0.28399999999999997</v>
      </c>
      <c r="D632" s="2727">
        <v>0.33400000000000002</v>
      </c>
      <c r="E632" s="2731">
        <v>0.34799999999999998</v>
      </c>
      <c r="F632" s="2727">
        <v>0.17</v>
      </c>
      <c r="G632" s="2728">
        <v>0.2</v>
      </c>
      <c r="H632" s="2729">
        <v>0.56000000000000005</v>
      </c>
      <c r="I632" s="2731">
        <v>2.1579999999999999</v>
      </c>
      <c r="J632" s="2727">
        <v>0.17499999999999999</v>
      </c>
      <c r="K632" s="2727">
        <v>0.33600000000000002</v>
      </c>
      <c r="L632" s="2731">
        <v>1.3380000000000001</v>
      </c>
      <c r="M632" s="2728">
        <v>0.27</v>
      </c>
      <c r="N632" s="2728">
        <v>0.2</v>
      </c>
      <c r="O632" s="2728">
        <v>0.56000000000000005</v>
      </c>
      <c r="P632" s="2729">
        <v>0.32</v>
      </c>
      <c r="Q632" s="2728">
        <v>0.27</v>
      </c>
      <c r="R632" s="2731">
        <v>0.46600000000000003</v>
      </c>
      <c r="S632" s="2731">
        <v>0.48099999999999998</v>
      </c>
      <c r="T632" s="2734">
        <f>AVERAGE(0.37,0.232)</f>
        <v>0.30099999999999999</v>
      </c>
      <c r="U632" s="2728">
        <v>0.44</v>
      </c>
      <c r="V632" s="2728">
        <v>0.44</v>
      </c>
      <c r="W632" s="2728">
        <v>0.44</v>
      </c>
      <c r="X632" s="2730">
        <v>0.23699999999999999</v>
      </c>
      <c r="Y632" s="2731">
        <v>0.30199999999999999</v>
      </c>
      <c r="Z632" s="2728">
        <v>0.44</v>
      </c>
      <c r="AA632" s="2728">
        <v>0.44</v>
      </c>
      <c r="AB632" s="2730">
        <v>0.39</v>
      </c>
      <c r="AC632" s="2731">
        <v>0.39</v>
      </c>
      <c r="AD632" s="2731">
        <v>0.39</v>
      </c>
      <c r="AE632" s="2731">
        <v>0.39</v>
      </c>
      <c r="AF632" s="2730">
        <v>0.39</v>
      </c>
      <c r="AG632" s="2731">
        <v>0.39</v>
      </c>
      <c r="AH632" s="2731">
        <v>0.27</v>
      </c>
      <c r="AI632" s="2730">
        <v>0.27</v>
      </c>
      <c r="AJ632" s="2727">
        <v>0.221</v>
      </c>
      <c r="AK632" s="2727">
        <v>0.28399999999999997</v>
      </c>
      <c r="AL632" s="2727">
        <v>0.379</v>
      </c>
      <c r="AM632" s="2730">
        <v>0.28299999999999997</v>
      </c>
      <c r="AN632" s="2732"/>
      <c r="AO632" s="2727">
        <v>0.17</v>
      </c>
      <c r="AP632" s="2728">
        <v>0.24</v>
      </c>
      <c r="AQ632" s="2728">
        <v>0.28000000000000003</v>
      </c>
      <c r="AR632" s="2728">
        <v>0.4</v>
      </c>
      <c r="AS632" s="2727">
        <v>0.28399999999999997</v>
      </c>
      <c r="AT632" s="2727">
        <v>0.35199999999999998</v>
      </c>
      <c r="AU632" s="2729">
        <v>0.32</v>
      </c>
      <c r="AV632" s="2728">
        <v>0.27</v>
      </c>
      <c r="AW632" s="2728">
        <v>0.24</v>
      </c>
      <c r="AX632" s="2728">
        <v>0.28000000000000003</v>
      </c>
      <c r="AY632" s="2728">
        <v>0.32</v>
      </c>
      <c r="AZ632" s="2728">
        <v>0.27</v>
      </c>
      <c r="BA632" s="2737"/>
      <c r="BB632" s="2734">
        <f>AVERAGE(0.338,0.19)</f>
        <v>0.26400000000000001</v>
      </c>
      <c r="BC632" s="2730">
        <v>0.27700000000000002</v>
      </c>
      <c r="BD632" s="2734">
        <f>AVERAGE(0.217,0.245)</f>
        <v>0.23099999999999998</v>
      </c>
      <c r="BE632" s="2728">
        <v>0.22</v>
      </c>
      <c r="BF632" s="2728">
        <v>0.22</v>
      </c>
      <c r="BG632" s="2731">
        <v>0.20300000000000001</v>
      </c>
      <c r="BH632" s="2728">
        <v>0.22</v>
      </c>
      <c r="BI632" s="2728">
        <v>0.22</v>
      </c>
      <c r="BJ632" s="2728">
        <v>0.22</v>
      </c>
      <c r="BK632" s="2728">
        <v>0.22</v>
      </c>
      <c r="BL632" s="2731">
        <v>0.24</v>
      </c>
      <c r="BM632" s="2731">
        <v>0.24</v>
      </c>
      <c r="BN632" s="2731">
        <v>0.24</v>
      </c>
      <c r="BO632" s="2731">
        <v>0.24</v>
      </c>
      <c r="BP632" s="2731">
        <v>0.24</v>
      </c>
      <c r="BQ632" s="2731">
        <v>0.24</v>
      </c>
      <c r="BR632" s="2731">
        <v>0.27</v>
      </c>
      <c r="BS632" s="2731">
        <v>0.27</v>
      </c>
    </row>
    <row r="633" spans="1:71" s="2725" customFormat="1" x14ac:dyDescent="0.2">
      <c r="A633" s="2738" t="s">
        <v>1547</v>
      </c>
      <c r="B633" s="2727">
        <v>0.221</v>
      </c>
      <c r="C633" s="2727">
        <v>0.28399999999999997</v>
      </c>
      <c r="D633" s="2727">
        <v>0.33400000000000002</v>
      </c>
      <c r="E633" s="2731">
        <v>0.34799999999999998</v>
      </c>
      <c r="F633" s="2727">
        <v>0.17</v>
      </c>
      <c r="G633" s="2728">
        <v>0.2</v>
      </c>
      <c r="H633" s="2729">
        <v>0.56000000000000005</v>
      </c>
      <c r="I633" s="2731">
        <v>2.1579999999999999</v>
      </c>
      <c r="J633" s="2727">
        <v>0.17499999999999999</v>
      </c>
      <c r="K633" s="2727">
        <v>0.33600000000000002</v>
      </c>
      <c r="L633" s="2731">
        <v>1.3380000000000001</v>
      </c>
      <c r="M633" s="2728">
        <v>0.27</v>
      </c>
      <c r="N633" s="2728">
        <v>0.2</v>
      </c>
      <c r="O633" s="2728">
        <v>0.56000000000000005</v>
      </c>
      <c r="P633" s="2729">
        <v>0.32</v>
      </c>
      <c r="Q633" s="2728">
        <v>0.27</v>
      </c>
      <c r="R633" s="2731">
        <v>0.46600000000000003</v>
      </c>
      <c r="S633" s="2731">
        <v>0.48099999999999998</v>
      </c>
      <c r="T633" s="2734">
        <f>AVERAGE(0.37,0.232)</f>
        <v>0.30099999999999999</v>
      </c>
      <c r="U633" s="2728">
        <v>0.44</v>
      </c>
      <c r="V633" s="2728">
        <v>0.44</v>
      </c>
      <c r="W633" s="2728">
        <v>0.44</v>
      </c>
      <c r="X633" s="2730">
        <v>0.23699999999999999</v>
      </c>
      <c r="Y633" s="2731">
        <v>0.30199999999999999</v>
      </c>
      <c r="Z633" s="2728">
        <v>0.44</v>
      </c>
      <c r="AA633" s="2728">
        <v>0.44</v>
      </c>
      <c r="AB633" s="2730">
        <v>0.39</v>
      </c>
      <c r="AC633" s="2731">
        <v>0.39</v>
      </c>
      <c r="AD633" s="2731">
        <v>0.39</v>
      </c>
      <c r="AE633" s="2731">
        <v>0.39</v>
      </c>
      <c r="AF633" s="2730">
        <v>0.39</v>
      </c>
      <c r="AG633" s="2731">
        <v>0.39</v>
      </c>
      <c r="AH633" s="2731">
        <v>0.27</v>
      </c>
      <c r="AI633" s="2730">
        <v>0.27</v>
      </c>
      <c r="AJ633" s="2727">
        <v>0.221</v>
      </c>
      <c r="AK633" s="2727">
        <v>0.28399999999999997</v>
      </c>
      <c r="AL633" s="2727">
        <v>0.379</v>
      </c>
      <c r="AM633" s="2730">
        <v>0.28299999999999997</v>
      </c>
      <c r="AN633" s="2732"/>
      <c r="AO633" s="2727">
        <v>0.17</v>
      </c>
      <c r="AP633" s="2728">
        <v>0.24</v>
      </c>
      <c r="AQ633" s="2728">
        <v>0.28000000000000003</v>
      </c>
      <c r="AR633" s="2728">
        <v>0.4</v>
      </c>
      <c r="AS633" s="2727">
        <v>0.28399999999999997</v>
      </c>
      <c r="AT633" s="2727">
        <v>0.35199999999999998</v>
      </c>
      <c r="AU633" s="2729">
        <v>0.32</v>
      </c>
      <c r="AV633" s="2728">
        <v>0.27</v>
      </c>
      <c r="AW633" s="2728">
        <v>0.24</v>
      </c>
      <c r="AX633" s="2728">
        <v>0.28000000000000003</v>
      </c>
      <c r="AY633" s="2728">
        <v>0.32</v>
      </c>
      <c r="AZ633" s="2728">
        <v>0.27</v>
      </c>
      <c r="BA633" s="2737"/>
      <c r="BB633" s="2734">
        <f>AVERAGE(0.338,0.19)</f>
        <v>0.26400000000000001</v>
      </c>
      <c r="BC633" s="2730">
        <v>0.27700000000000002</v>
      </c>
      <c r="BD633" s="2734">
        <f>AVERAGE(0.217,0.245)</f>
        <v>0.23099999999999998</v>
      </c>
      <c r="BE633" s="2728">
        <v>0.22</v>
      </c>
      <c r="BF633" s="2728">
        <v>0.22</v>
      </c>
      <c r="BG633" s="2731">
        <v>0.20300000000000001</v>
      </c>
      <c r="BH633" s="2728">
        <v>0.22</v>
      </c>
      <c r="BI633" s="2728">
        <v>0.22</v>
      </c>
      <c r="BJ633" s="2728">
        <v>0.22</v>
      </c>
      <c r="BK633" s="2728">
        <v>0.22</v>
      </c>
      <c r="BL633" s="2731">
        <v>0.24</v>
      </c>
      <c r="BM633" s="2731">
        <v>0.24</v>
      </c>
      <c r="BN633" s="2731">
        <v>0.24</v>
      </c>
      <c r="BO633" s="2731">
        <v>0.24</v>
      </c>
      <c r="BP633" s="2731">
        <v>0.24</v>
      </c>
      <c r="BQ633" s="2731">
        <v>0.24</v>
      </c>
      <c r="BR633" s="2731">
        <v>0.27</v>
      </c>
      <c r="BS633" s="2731">
        <v>0.27</v>
      </c>
    </row>
    <row r="634" spans="1:71" s="291" customFormat="1" x14ac:dyDescent="0.2">
      <c r="A634" s="458" t="s">
        <v>1933</v>
      </c>
      <c r="B634" s="419"/>
      <c r="G634" s="419"/>
      <c r="H634" s="419"/>
      <c r="I634" s="503"/>
      <c r="L634" s="419"/>
      <c r="M634" s="419"/>
      <c r="N634" s="419"/>
      <c r="O634" s="419"/>
      <c r="P634" s="419"/>
      <c r="Q634" s="419"/>
      <c r="R634" s="419"/>
      <c r="S634" s="419"/>
      <c r="T634" s="419"/>
      <c r="U634" s="419"/>
      <c r="V634" s="419"/>
      <c r="W634" s="419"/>
      <c r="X634" s="419"/>
      <c r="Y634" s="419"/>
      <c r="Z634" s="419"/>
      <c r="AA634" s="419"/>
      <c r="AB634" s="419"/>
      <c r="AC634" s="419"/>
      <c r="AD634" s="419"/>
      <c r="AE634" s="419"/>
      <c r="AF634" s="419"/>
      <c r="AG634" s="419"/>
      <c r="AH634" s="419"/>
      <c r="AI634" s="419"/>
      <c r="AJ634" s="419"/>
      <c r="AK634" s="419"/>
    </row>
    <row r="635" spans="1:71" s="21" customFormat="1" x14ac:dyDescent="0.2">
      <c r="A635" s="459" t="s">
        <v>1943</v>
      </c>
      <c r="B635" s="453"/>
      <c r="G635" s="453"/>
      <c r="H635" s="453"/>
      <c r="I635" s="454"/>
      <c r="L635" s="453"/>
      <c r="M635" s="453"/>
      <c r="N635" s="453"/>
      <c r="O635" s="453"/>
    </row>
    <row r="636" spans="1:71" s="21" customFormat="1" x14ac:dyDescent="0.2">
      <c r="A636" s="264" t="s">
        <v>1944</v>
      </c>
    </row>
    <row r="637" spans="1:71" s="292" customFormat="1" x14ac:dyDescent="0.2">
      <c r="A637" s="265"/>
    </row>
    <row r="639" spans="1:71" s="509" customFormat="1" x14ac:dyDescent="0.2">
      <c r="A639" s="504" t="s">
        <v>1945</v>
      </c>
    </row>
    <row r="640" spans="1:71" s="479" customFormat="1" x14ac:dyDescent="0.2">
      <c r="A640" s="478" t="s">
        <v>1946</v>
      </c>
    </row>
    <row r="641" spans="1:4" s="291" customFormat="1" x14ac:dyDescent="0.2">
      <c r="A641" s="510" t="s">
        <v>1947</v>
      </c>
      <c r="B641" s="511" t="s">
        <v>79</v>
      </c>
      <c r="C641" s="511" t="s">
        <v>1948</v>
      </c>
      <c r="D641" s="263"/>
    </row>
    <row r="642" spans="1:4" s="21" customFormat="1" x14ac:dyDescent="0.2">
      <c r="A642" s="511" t="s">
        <v>57</v>
      </c>
      <c r="B642" s="511" t="s">
        <v>1949</v>
      </c>
      <c r="C642" s="511" t="s">
        <v>1949</v>
      </c>
      <c r="D642" s="264"/>
    </row>
    <row r="643" spans="1:4" s="21" customFormat="1" x14ac:dyDescent="0.2">
      <c r="A643" s="20" t="s">
        <v>118</v>
      </c>
      <c r="B643" s="41">
        <v>4.8</v>
      </c>
      <c r="C643" s="41">
        <v>14.8</v>
      </c>
    </row>
    <row r="644" spans="1:4" s="21" customFormat="1" x14ac:dyDescent="0.2">
      <c r="A644" s="20" t="s">
        <v>123</v>
      </c>
      <c r="B644" s="41">
        <v>5.9</v>
      </c>
      <c r="C644" s="471">
        <v>8</v>
      </c>
    </row>
    <row r="645" spans="1:4" s="21" customFormat="1" x14ac:dyDescent="0.2">
      <c r="A645" s="20" t="s">
        <v>128</v>
      </c>
      <c r="B645" s="41">
        <v>2.4</v>
      </c>
      <c r="C645" s="471">
        <v>9</v>
      </c>
    </row>
    <row r="646" spans="1:4" s="21" customFormat="1" x14ac:dyDescent="0.2">
      <c r="A646" s="20" t="s">
        <v>132</v>
      </c>
      <c r="B646" s="163">
        <v>0</v>
      </c>
      <c r="C646" s="163">
        <v>0</v>
      </c>
    </row>
    <row r="647" spans="1:4" s="21" customFormat="1" x14ac:dyDescent="0.2">
      <c r="A647" s="514" t="s">
        <v>136</v>
      </c>
      <c r="B647" s="513">
        <v>0.7</v>
      </c>
      <c r="C647" s="513">
        <v>10.7</v>
      </c>
      <c r="D647" s="455" t="s">
        <v>1950</v>
      </c>
    </row>
    <row r="648" spans="1:4" s="21" customFormat="1" x14ac:dyDescent="0.2">
      <c r="A648" s="20" t="s">
        <v>119</v>
      </c>
      <c r="B648" s="41">
        <v>8.6999999999999993</v>
      </c>
      <c r="C648" s="41">
        <v>13.2</v>
      </c>
    </row>
    <row r="649" spans="1:4" s="21" customFormat="1" x14ac:dyDescent="0.2">
      <c r="A649" s="20" t="s">
        <v>124</v>
      </c>
      <c r="B649" s="163">
        <v>0</v>
      </c>
      <c r="C649" s="512">
        <v>64.400000000000006</v>
      </c>
    </row>
    <row r="650" spans="1:4" s="21" customFormat="1" x14ac:dyDescent="0.2">
      <c r="A650" s="20" t="s">
        <v>129</v>
      </c>
      <c r="B650" s="163">
        <v>0</v>
      </c>
      <c r="C650" s="41">
        <v>6.8</v>
      </c>
    </row>
    <row r="651" spans="1:4" s="21" customFormat="1" x14ac:dyDescent="0.2">
      <c r="A651" s="20" t="s">
        <v>133</v>
      </c>
      <c r="B651" s="163">
        <v>0</v>
      </c>
      <c r="C651" s="41">
        <v>11.8</v>
      </c>
    </row>
    <row r="652" spans="1:4" s="21" customFormat="1" x14ac:dyDescent="0.2">
      <c r="A652" s="20" t="s">
        <v>120</v>
      </c>
      <c r="B652" s="41">
        <v>2.9</v>
      </c>
      <c r="C652" s="41">
        <v>36.799999999999997</v>
      </c>
    </row>
    <row r="653" spans="1:4" s="21" customFormat="1" x14ac:dyDescent="0.2">
      <c r="A653" s="20" t="s">
        <v>125</v>
      </c>
      <c r="B653" s="41">
        <v>47.8</v>
      </c>
      <c r="C653" s="41">
        <v>23</v>
      </c>
    </row>
    <row r="654" spans="1:4" s="21" customFormat="1" x14ac:dyDescent="0.2">
      <c r="A654" s="20" t="s">
        <v>130</v>
      </c>
      <c r="B654" s="41">
        <v>3.7</v>
      </c>
      <c r="C654" s="41">
        <v>37.6</v>
      </c>
    </row>
    <row r="655" spans="1:4" s="21" customFormat="1" x14ac:dyDescent="0.2">
      <c r="A655" s="20" t="s">
        <v>134</v>
      </c>
      <c r="B655" s="163">
        <v>0</v>
      </c>
      <c r="C655" s="41">
        <v>10.5</v>
      </c>
    </row>
    <row r="656" spans="1:4" s="21" customFormat="1" x14ac:dyDescent="0.2">
      <c r="A656" s="20" t="s">
        <v>138</v>
      </c>
      <c r="B656" s="41">
        <v>28.7</v>
      </c>
      <c r="C656" s="41">
        <v>21.7</v>
      </c>
    </row>
    <row r="657" spans="1:3" s="21" customFormat="1" x14ac:dyDescent="0.2">
      <c r="A657" s="20" t="s">
        <v>121</v>
      </c>
      <c r="B657" s="41">
        <v>31.4</v>
      </c>
      <c r="C657" s="41">
        <v>19.7</v>
      </c>
    </row>
    <row r="658" spans="1:3" s="21" customFormat="1" x14ac:dyDescent="0.2">
      <c r="A658" s="20" t="s">
        <v>126</v>
      </c>
      <c r="B658" s="41">
        <v>49.5</v>
      </c>
      <c r="C658" s="41">
        <v>3.1</v>
      </c>
    </row>
    <row r="659" spans="1:3" s="21" customFormat="1" x14ac:dyDescent="0.2">
      <c r="A659" s="20" t="s">
        <v>131</v>
      </c>
      <c r="B659" s="163">
        <v>0</v>
      </c>
      <c r="C659" s="163">
        <v>0</v>
      </c>
    </row>
    <row r="660" spans="1:3" s="21" customFormat="1" x14ac:dyDescent="0.2">
      <c r="A660" s="20" t="s">
        <v>122</v>
      </c>
      <c r="B660" s="163">
        <v>0</v>
      </c>
      <c r="C660" s="41">
        <v>3.3</v>
      </c>
    </row>
    <row r="661" spans="1:3" s="21" customFormat="1" x14ac:dyDescent="0.2">
      <c r="A661" s="20" t="s">
        <v>140</v>
      </c>
      <c r="B661" s="41">
        <v>4.8</v>
      </c>
      <c r="C661" s="41">
        <v>14.8</v>
      </c>
    </row>
    <row r="662" spans="1:3" s="21" customFormat="1" x14ac:dyDescent="0.2">
      <c r="A662" s="20" t="s">
        <v>144</v>
      </c>
      <c r="B662" s="41">
        <v>5.9</v>
      </c>
      <c r="C662" s="471">
        <v>8</v>
      </c>
    </row>
    <row r="663" spans="1:3" s="21" customFormat="1" x14ac:dyDescent="0.2">
      <c r="A663" s="20" t="s">
        <v>147</v>
      </c>
      <c r="B663" s="41">
        <v>2.4</v>
      </c>
      <c r="C663" s="471">
        <v>9</v>
      </c>
    </row>
    <row r="664" spans="1:3" s="21" customFormat="1" x14ac:dyDescent="0.2">
      <c r="A664" s="20" t="s">
        <v>150</v>
      </c>
      <c r="B664" s="163">
        <v>0</v>
      </c>
      <c r="C664" s="163">
        <v>0</v>
      </c>
    </row>
    <row r="665" spans="1:3" s="21" customFormat="1" x14ac:dyDescent="0.2">
      <c r="A665" s="20" t="s">
        <v>137</v>
      </c>
      <c r="B665" s="41">
        <v>8.6999999999999993</v>
      </c>
      <c r="C665" s="41">
        <v>13.2</v>
      </c>
    </row>
    <row r="666" spans="1:3" s="21" customFormat="1" x14ac:dyDescent="0.2">
      <c r="A666" s="20" t="s">
        <v>141</v>
      </c>
      <c r="B666" s="163">
        <v>0</v>
      </c>
      <c r="C666" s="512">
        <v>64.400000000000006</v>
      </c>
    </row>
    <row r="667" spans="1:3" s="21" customFormat="1" x14ac:dyDescent="0.2">
      <c r="A667" s="20" t="s">
        <v>145</v>
      </c>
      <c r="B667" s="163">
        <v>0</v>
      </c>
      <c r="C667" s="41">
        <v>6.8</v>
      </c>
    </row>
    <row r="668" spans="1:3" s="21" customFormat="1" x14ac:dyDescent="0.2">
      <c r="A668" s="20" t="s">
        <v>148</v>
      </c>
      <c r="B668" s="163">
        <v>0</v>
      </c>
      <c r="C668" s="41">
        <v>11.8</v>
      </c>
    </row>
    <row r="669" spans="1:3" s="21" customFormat="1" x14ac:dyDescent="0.2">
      <c r="A669" s="20" t="s">
        <v>142</v>
      </c>
      <c r="B669" s="41">
        <v>2.9</v>
      </c>
      <c r="C669" s="41">
        <v>36.799999999999997</v>
      </c>
    </row>
    <row r="670" spans="1:3" s="21" customFormat="1" x14ac:dyDescent="0.2">
      <c r="A670" s="20" t="s">
        <v>146</v>
      </c>
      <c r="B670" s="41">
        <v>47.8</v>
      </c>
      <c r="C670" s="41">
        <v>23</v>
      </c>
    </row>
    <row r="671" spans="1:3" s="21" customFormat="1" x14ac:dyDescent="0.2">
      <c r="A671" s="20" t="s">
        <v>149</v>
      </c>
      <c r="B671" s="41">
        <v>3.7</v>
      </c>
      <c r="C671" s="41">
        <v>37.6</v>
      </c>
    </row>
    <row r="672" spans="1:3" s="21" customFormat="1" x14ac:dyDescent="0.2">
      <c r="A672" s="20" t="s">
        <v>151</v>
      </c>
      <c r="B672" s="163">
        <v>0</v>
      </c>
      <c r="C672" s="41">
        <v>10.5</v>
      </c>
    </row>
    <row r="673" spans="1:25" s="21" customFormat="1" x14ac:dyDescent="0.2">
      <c r="A673" s="20" t="s">
        <v>152</v>
      </c>
      <c r="B673" s="41">
        <v>28.7</v>
      </c>
      <c r="C673" s="41">
        <v>21.7</v>
      </c>
    </row>
    <row r="674" spans="1:25" s="21" customFormat="1" x14ac:dyDescent="0.2">
      <c r="A674" s="20" t="s">
        <v>135</v>
      </c>
      <c r="B674" s="41">
        <v>31.4</v>
      </c>
      <c r="C674" s="41">
        <v>19.7</v>
      </c>
    </row>
    <row r="675" spans="1:25" s="21" customFormat="1" x14ac:dyDescent="0.2">
      <c r="A675" s="20" t="s">
        <v>139</v>
      </c>
      <c r="B675" s="41">
        <v>49.5</v>
      </c>
      <c r="C675" s="41">
        <v>3.1</v>
      </c>
    </row>
    <row r="676" spans="1:25" s="21" customFormat="1" x14ac:dyDescent="0.2">
      <c r="A676" s="20" t="s">
        <v>143</v>
      </c>
      <c r="B676" s="163">
        <v>0</v>
      </c>
      <c r="C676" s="163">
        <v>0</v>
      </c>
    </row>
    <row r="677" spans="1:25" s="21" customFormat="1" x14ac:dyDescent="0.2">
      <c r="A677" s="37" t="s">
        <v>127</v>
      </c>
      <c r="B677" s="466">
        <v>0</v>
      </c>
      <c r="C677" s="42">
        <v>3.3</v>
      </c>
    </row>
    <row r="678" spans="1:25" s="21" customFormat="1" x14ac:dyDescent="0.2">
      <c r="B678" s="465"/>
      <c r="C678" s="453"/>
    </row>
    <row r="679" spans="1:25" ht="9.75" customHeight="1" x14ac:dyDescent="0.2"/>
    <row r="680" spans="1:25" ht="16.25" customHeight="1" x14ac:dyDescent="0.2">
      <c r="A680" s="753" t="s">
        <v>1951</v>
      </c>
      <c r="B680" s="532"/>
      <c r="C680" s="532"/>
      <c r="D680" s="532"/>
      <c r="E680" s="532"/>
      <c r="F680" s="532"/>
      <c r="G680" s="532"/>
      <c r="H680" s="532"/>
      <c r="I680" s="532"/>
      <c r="J680" s="532"/>
      <c r="K680" s="532"/>
      <c r="L680" s="532"/>
      <c r="M680" s="532"/>
      <c r="N680" s="532"/>
      <c r="O680" s="532"/>
      <c r="P680" s="532"/>
      <c r="Q680" s="533"/>
      <c r="R680" s="533"/>
      <c r="S680" s="533"/>
      <c r="T680" s="533"/>
      <c r="U680" s="533"/>
      <c r="V680" s="533"/>
      <c r="W680" s="533"/>
      <c r="X680" s="533"/>
      <c r="Y680" s="533"/>
    </row>
    <row r="681" spans="1:25" x14ac:dyDescent="0.2">
      <c r="A681" s="529" t="s">
        <v>1952</v>
      </c>
      <c r="B681" s="528"/>
      <c r="C681" s="375"/>
      <c r="D681" s="754" t="s">
        <v>1953</v>
      </c>
      <c r="E681" s="531" t="s">
        <v>1953</v>
      </c>
      <c r="F681" s="531" t="s">
        <v>1953</v>
      </c>
      <c r="G681" s="531" t="s">
        <v>1954</v>
      </c>
      <c r="H681" s="530"/>
      <c r="I681" s="531" t="s">
        <v>1878</v>
      </c>
      <c r="J681" s="531" t="s">
        <v>1878</v>
      </c>
      <c r="K681" s="531" t="s">
        <v>1878</v>
      </c>
      <c r="L681" s="531" t="s">
        <v>1878</v>
      </c>
      <c r="M681" s="531" t="s">
        <v>1878</v>
      </c>
      <c r="N681" s="531" t="s">
        <v>1878</v>
      </c>
      <c r="O681" s="531" t="s">
        <v>1878</v>
      </c>
      <c r="P681" s="531" t="s">
        <v>1878</v>
      </c>
      <c r="Q681" s="531" t="s">
        <v>1878</v>
      </c>
      <c r="R681" s="748" t="s">
        <v>1955</v>
      </c>
      <c r="S681" s="378" t="s">
        <v>1879</v>
      </c>
      <c r="T681" s="378" t="s">
        <v>1879</v>
      </c>
      <c r="U681" s="378" t="s">
        <v>1879</v>
      </c>
      <c r="V681" s="378" t="s">
        <v>1879</v>
      </c>
      <c r="W681" s="378" t="s">
        <v>1879</v>
      </c>
      <c r="X681" s="378" t="s">
        <v>1879</v>
      </c>
      <c r="Y681" s="378" t="s">
        <v>1879</v>
      </c>
    </row>
    <row r="682" spans="1:25" s="235" customFormat="1" x14ac:dyDescent="0.2">
      <c r="A682" s="524"/>
      <c r="B682" s="525"/>
      <c r="C682" s="526"/>
      <c r="D682" s="378" t="s">
        <v>1382</v>
      </c>
      <c r="E682" s="371" t="s">
        <v>1590</v>
      </c>
      <c r="F682" s="371" t="s">
        <v>1384</v>
      </c>
      <c r="G682" s="371" t="s">
        <v>1396</v>
      </c>
      <c r="H682" s="294" t="s">
        <v>1401</v>
      </c>
      <c r="I682" s="371" t="s">
        <v>1494</v>
      </c>
      <c r="J682" s="371" t="s">
        <v>1352</v>
      </c>
      <c r="K682" s="371" t="s">
        <v>1505</v>
      </c>
      <c r="L682" s="531" t="s">
        <v>1407</v>
      </c>
      <c r="M682" s="531" t="s">
        <v>1413</v>
      </c>
      <c r="N682" s="531" t="s">
        <v>1417</v>
      </c>
      <c r="O682" s="531" t="s">
        <v>1421</v>
      </c>
      <c r="P682" s="531" t="s">
        <v>1424</v>
      </c>
      <c r="Q682" s="531" t="s">
        <v>1427</v>
      </c>
      <c r="R682" s="378" t="s">
        <v>1592</v>
      </c>
      <c r="S682" s="378" t="s">
        <v>1497</v>
      </c>
      <c r="T682" s="378" t="s">
        <v>1499</v>
      </c>
      <c r="U682" s="378" t="s">
        <v>1501</v>
      </c>
      <c r="V682" s="378" t="s">
        <v>1507</v>
      </c>
      <c r="W682" s="378" t="s">
        <v>1510</v>
      </c>
      <c r="X682" s="378" t="s">
        <v>1502</v>
      </c>
      <c r="Y682" s="378" t="s">
        <v>1508</v>
      </c>
    </row>
    <row r="683" spans="1:25" s="341" customFormat="1" x14ac:dyDescent="0.2">
      <c r="A683" s="293"/>
      <c r="B683" s="533"/>
      <c r="C683" s="533"/>
      <c r="D683" s="378" t="s">
        <v>1956</v>
      </c>
      <c r="E683" s="378" t="s">
        <v>1956</v>
      </c>
      <c r="F683" s="378" t="s">
        <v>1956</v>
      </c>
      <c r="G683" s="378" t="s">
        <v>1956</v>
      </c>
      <c r="H683" s="378" t="s">
        <v>1956</v>
      </c>
      <c r="I683" s="378" t="s">
        <v>1956</v>
      </c>
      <c r="J683" s="378" t="s">
        <v>1956</v>
      </c>
      <c r="K683" s="378" t="s">
        <v>1956</v>
      </c>
      <c r="L683" s="378" t="s">
        <v>1956</v>
      </c>
      <c r="M683" s="378" t="s">
        <v>1956</v>
      </c>
      <c r="N683" s="378" t="s">
        <v>1956</v>
      </c>
      <c r="O683" s="378" t="s">
        <v>1956</v>
      </c>
      <c r="P683" s="378" t="s">
        <v>1956</v>
      </c>
      <c r="Q683" s="378" t="s">
        <v>1956</v>
      </c>
      <c r="R683" s="378" t="s">
        <v>1956</v>
      </c>
      <c r="S683" s="378" t="s">
        <v>1956</v>
      </c>
      <c r="T683" s="378" t="s">
        <v>1956</v>
      </c>
      <c r="U683" s="378" t="s">
        <v>1956</v>
      </c>
      <c r="V683" s="378" t="s">
        <v>1956</v>
      </c>
      <c r="W683" s="378" t="s">
        <v>1956</v>
      </c>
      <c r="X683" s="378" t="s">
        <v>1956</v>
      </c>
      <c r="Y683" s="378" t="s">
        <v>1956</v>
      </c>
    </row>
    <row r="684" spans="1:25" x14ac:dyDescent="0.2">
      <c r="A684" s="522" t="s">
        <v>1822</v>
      </c>
      <c r="B684" s="522" t="s">
        <v>1310</v>
      </c>
      <c r="C684" s="522" t="s">
        <v>1880</v>
      </c>
      <c r="D684" s="42" t="s">
        <v>1957</v>
      </c>
      <c r="E684" s="42" t="s">
        <v>1957</v>
      </c>
      <c r="F684" s="42" t="s">
        <v>1957</v>
      </c>
      <c r="G684" s="42" t="s">
        <v>1957</v>
      </c>
      <c r="H684" s="42" t="s">
        <v>1957</v>
      </c>
      <c r="I684" s="42" t="s">
        <v>1957</v>
      </c>
      <c r="J684" s="42" t="s">
        <v>1957</v>
      </c>
      <c r="K684" s="42" t="s">
        <v>1957</v>
      </c>
      <c r="L684" s="42" t="s">
        <v>1957</v>
      </c>
      <c r="M684" s="42" t="s">
        <v>1957</v>
      </c>
      <c r="N684" s="42" t="s">
        <v>1957</v>
      </c>
      <c r="O684" s="42" t="s">
        <v>1957</v>
      </c>
      <c r="P684" s="42" t="s">
        <v>1957</v>
      </c>
      <c r="Q684" s="42" t="s">
        <v>1957</v>
      </c>
      <c r="R684" s="42" t="s">
        <v>1957</v>
      </c>
      <c r="S684" s="42" t="s">
        <v>1957</v>
      </c>
      <c r="T684" s="42" t="s">
        <v>1957</v>
      </c>
      <c r="U684" s="42" t="s">
        <v>1957</v>
      </c>
      <c r="V684" s="42" t="s">
        <v>1957</v>
      </c>
      <c r="W684" s="42" t="s">
        <v>1957</v>
      </c>
      <c r="X684" s="42" t="s">
        <v>1957</v>
      </c>
      <c r="Y684" s="42" t="s">
        <v>1957</v>
      </c>
    </row>
    <row r="685" spans="1:25" x14ac:dyDescent="0.2">
      <c r="A685" s="296" t="s">
        <v>57</v>
      </c>
      <c r="B685" s="296" t="s">
        <v>57</v>
      </c>
      <c r="C685" s="296" t="s">
        <v>1881</v>
      </c>
      <c r="D685" s="62" t="s">
        <v>1958</v>
      </c>
      <c r="E685" s="62" t="s">
        <v>1958</v>
      </c>
      <c r="F685" s="62" t="s">
        <v>1958</v>
      </c>
      <c r="G685" s="62" t="s">
        <v>1958</v>
      </c>
      <c r="H685" s="62" t="s">
        <v>1958</v>
      </c>
      <c r="I685" s="62" t="s">
        <v>1958</v>
      </c>
      <c r="J685" s="62" t="s">
        <v>1958</v>
      </c>
      <c r="K685" s="62" t="s">
        <v>1958</v>
      </c>
      <c r="L685" s="62" t="s">
        <v>1958</v>
      </c>
      <c r="M685" s="62" t="s">
        <v>1958</v>
      </c>
      <c r="N685" s="62" t="s">
        <v>1958</v>
      </c>
      <c r="O685" s="62" t="s">
        <v>1958</v>
      </c>
      <c r="P685" s="62" t="s">
        <v>1958</v>
      </c>
      <c r="Q685" s="62" t="s">
        <v>1958</v>
      </c>
      <c r="R685" s="62" t="s">
        <v>1958</v>
      </c>
      <c r="S685" s="62" t="s">
        <v>1958</v>
      </c>
      <c r="T685" s="62" t="s">
        <v>1958</v>
      </c>
      <c r="U685" s="62" t="s">
        <v>1958</v>
      </c>
      <c r="V685" s="62" t="s">
        <v>1958</v>
      </c>
      <c r="W685" s="62" t="s">
        <v>1958</v>
      </c>
      <c r="X685" s="62" t="s">
        <v>1958</v>
      </c>
      <c r="Y685" s="62" t="s">
        <v>1958</v>
      </c>
    </row>
    <row r="686" spans="1:25" s="2771" customFormat="1" x14ac:dyDescent="0.2">
      <c r="A686" s="2764" t="s">
        <v>1483</v>
      </c>
      <c r="B686" s="2765" t="s">
        <v>1552</v>
      </c>
      <c r="C686" s="2764" t="str">
        <f>CONCATENATE(A686,B686)</f>
        <v>Cool Temperate DryEastern Africa</v>
      </c>
      <c r="D686" s="2766">
        <v>4.7</v>
      </c>
      <c r="E686" s="2766">
        <f>D686</f>
        <v>4.7</v>
      </c>
      <c r="F686" s="2766">
        <f>E686</f>
        <v>4.7</v>
      </c>
      <c r="G686" s="2767">
        <f>6.5*0.47</f>
        <v>3.0549999999999997</v>
      </c>
      <c r="H686" s="2768">
        <v>0</v>
      </c>
      <c r="I686" s="2769">
        <f t="shared" ref="I686:I717" si="50">E107+E310</f>
        <v>1.5966666666666669</v>
      </c>
      <c r="J686" s="490"/>
      <c r="K686" s="490"/>
      <c r="L686" s="490">
        <f t="shared" ref="L686:L717" si="51">H107+H310</f>
        <v>1.1000000000000001</v>
      </c>
      <c r="M686" s="490"/>
      <c r="N686" s="490"/>
      <c r="O686" s="490"/>
      <c r="P686" s="490">
        <f t="shared" ref="P686:P717" si="52">L107+L310</f>
        <v>1.4000000000000001</v>
      </c>
      <c r="Q686" s="490">
        <f t="shared" ref="Q686:Q717" si="53">M107+M310</f>
        <v>2.29</v>
      </c>
      <c r="R686" s="749">
        <v>1</v>
      </c>
      <c r="S686" s="491">
        <f t="shared" ref="S686:S717" si="54">N107+N310</f>
        <v>0.46</v>
      </c>
      <c r="T686" s="2764">
        <f t="shared" ref="T686:T717" si="55">O107+O310</f>
        <v>0.43</v>
      </c>
      <c r="U686" s="2764">
        <f t="shared" ref="U686:U717" si="56">Q107+Q310</f>
        <v>3.2</v>
      </c>
      <c r="V686" s="2764">
        <f t="shared" ref="V686:V701" si="57">T107+T310</f>
        <v>0.7</v>
      </c>
      <c r="W686" s="2770">
        <f t="shared" ref="W686:W717" si="58">P107+P310</f>
        <v>0.28000000000000003</v>
      </c>
      <c r="X686" s="2764">
        <v>0</v>
      </c>
      <c r="Y686" s="2764">
        <v>0</v>
      </c>
    </row>
    <row r="687" spans="1:25" s="16" customFormat="1" x14ac:dyDescent="0.2">
      <c r="A687" s="392" t="s">
        <v>1483</v>
      </c>
      <c r="B687" s="2772" t="s">
        <v>1557</v>
      </c>
      <c r="C687" s="392" t="str">
        <f t="shared" ref="C687:C701" si="59">CONCATENATE(A687,B687)</f>
        <v>Cool Temperate DryCentral Africa</v>
      </c>
      <c r="D687" s="2773">
        <v>4.7</v>
      </c>
      <c r="E687" s="2773">
        <f t="shared" ref="E687:F749" si="60">D687</f>
        <v>4.7</v>
      </c>
      <c r="F687" s="2773">
        <f t="shared" si="60"/>
        <v>4.7</v>
      </c>
      <c r="G687" s="2767">
        <f>6.5*0.47</f>
        <v>3.0549999999999997</v>
      </c>
      <c r="H687" s="2767">
        <v>0</v>
      </c>
      <c r="I687" s="492">
        <f t="shared" si="50"/>
        <v>1.5966666666666669</v>
      </c>
      <c r="J687" s="492"/>
      <c r="K687" s="492"/>
      <c r="L687" s="492">
        <f t="shared" si="51"/>
        <v>1.1000000000000001</v>
      </c>
      <c r="M687" s="492"/>
      <c r="N687" s="492"/>
      <c r="O687" s="492"/>
      <c r="P687" s="492">
        <f t="shared" si="52"/>
        <v>1.4000000000000001</v>
      </c>
      <c r="Q687" s="492">
        <f t="shared" si="53"/>
        <v>2.29</v>
      </c>
      <c r="R687" s="749">
        <v>1</v>
      </c>
      <c r="S687" s="471">
        <f t="shared" si="54"/>
        <v>0.46</v>
      </c>
      <c r="T687" s="392">
        <f t="shared" si="55"/>
        <v>0.43</v>
      </c>
      <c r="U687" s="392">
        <f t="shared" si="56"/>
        <v>3.2</v>
      </c>
      <c r="V687" s="392">
        <f t="shared" si="57"/>
        <v>0.7</v>
      </c>
      <c r="W687" s="2774">
        <f t="shared" si="58"/>
        <v>0.28000000000000003</v>
      </c>
      <c r="X687" s="392">
        <v>0</v>
      </c>
      <c r="Y687" s="392">
        <v>0</v>
      </c>
    </row>
    <row r="688" spans="1:25" s="16" customFormat="1" x14ac:dyDescent="0.2">
      <c r="A688" s="392" t="s">
        <v>1483</v>
      </c>
      <c r="B688" s="2772" t="s">
        <v>1559</v>
      </c>
      <c r="C688" s="392" t="str">
        <f t="shared" si="59"/>
        <v>Cool Temperate DryNorthern Africa</v>
      </c>
      <c r="D688" s="2773">
        <v>4.7</v>
      </c>
      <c r="E688" s="2773">
        <f t="shared" si="60"/>
        <v>4.7</v>
      </c>
      <c r="F688" s="2773">
        <f t="shared" si="60"/>
        <v>4.7</v>
      </c>
      <c r="G688" s="2767">
        <f>6.5*0.47</f>
        <v>3.0549999999999997</v>
      </c>
      <c r="H688" s="2767">
        <v>0</v>
      </c>
      <c r="I688" s="492">
        <f t="shared" si="50"/>
        <v>1.5966666666666669</v>
      </c>
      <c r="J688" s="492"/>
      <c r="K688" s="492"/>
      <c r="L688" s="492">
        <f t="shared" si="51"/>
        <v>1.1000000000000001</v>
      </c>
      <c r="M688" s="492"/>
      <c r="N688" s="492"/>
      <c r="O688" s="492"/>
      <c r="P688" s="492">
        <f t="shared" si="52"/>
        <v>1.4000000000000001</v>
      </c>
      <c r="Q688" s="492">
        <f t="shared" si="53"/>
        <v>2.29</v>
      </c>
      <c r="R688" s="749">
        <v>1</v>
      </c>
      <c r="S688" s="471">
        <f t="shared" si="54"/>
        <v>0.46</v>
      </c>
      <c r="T688" s="392">
        <f t="shared" si="55"/>
        <v>0.43</v>
      </c>
      <c r="U688" s="392">
        <f t="shared" si="56"/>
        <v>3.2</v>
      </c>
      <c r="V688" s="392">
        <f t="shared" si="57"/>
        <v>0.7</v>
      </c>
      <c r="W688" s="2774">
        <f t="shared" si="58"/>
        <v>0.28000000000000003</v>
      </c>
      <c r="X688" s="392">
        <v>0</v>
      </c>
      <c r="Y688" s="392">
        <v>0</v>
      </c>
    </row>
    <row r="689" spans="1:25" s="16" customFormat="1" x14ac:dyDescent="0.2">
      <c r="A689" s="392" t="s">
        <v>1483</v>
      </c>
      <c r="B689" s="2772" t="s">
        <v>1565</v>
      </c>
      <c r="C689" s="392" t="str">
        <f t="shared" si="59"/>
        <v>Cool Temperate DrySouthern Africa</v>
      </c>
      <c r="D689" s="2773">
        <v>4.7</v>
      </c>
      <c r="E689" s="2773">
        <f t="shared" si="60"/>
        <v>4.7</v>
      </c>
      <c r="F689" s="2773">
        <f t="shared" si="60"/>
        <v>4.7</v>
      </c>
      <c r="G689" s="2767">
        <f>6.5*0.47</f>
        <v>3.0549999999999997</v>
      </c>
      <c r="H689" s="2767">
        <v>0</v>
      </c>
      <c r="I689" s="492">
        <f t="shared" si="50"/>
        <v>1.5966666666666669</v>
      </c>
      <c r="J689" s="492"/>
      <c r="K689" s="492"/>
      <c r="L689" s="492">
        <f t="shared" si="51"/>
        <v>1.1000000000000001</v>
      </c>
      <c r="M689" s="492"/>
      <c r="N689" s="492"/>
      <c r="O689" s="492"/>
      <c r="P689" s="492">
        <f t="shared" si="52"/>
        <v>1.4000000000000001</v>
      </c>
      <c r="Q689" s="492">
        <f t="shared" si="53"/>
        <v>2.29</v>
      </c>
      <c r="R689" s="749">
        <v>1</v>
      </c>
      <c r="S689" s="471">
        <f t="shared" si="54"/>
        <v>0.46</v>
      </c>
      <c r="T689" s="392">
        <f t="shared" si="55"/>
        <v>0.43</v>
      </c>
      <c r="U689" s="392">
        <f t="shared" si="56"/>
        <v>3.2</v>
      </c>
      <c r="V689" s="392">
        <f t="shared" si="57"/>
        <v>0.7</v>
      </c>
      <c r="W689" s="2774">
        <f t="shared" si="58"/>
        <v>0.28000000000000003</v>
      </c>
      <c r="X689" s="392">
        <v>0</v>
      </c>
      <c r="Y689" s="392">
        <v>0</v>
      </c>
    </row>
    <row r="690" spans="1:25" s="16" customFormat="1" x14ac:dyDescent="0.2">
      <c r="A690" s="392" t="s">
        <v>1483</v>
      </c>
      <c r="B690" s="2772" t="s">
        <v>1569</v>
      </c>
      <c r="C690" s="392" t="str">
        <f t="shared" si="59"/>
        <v>Cool Temperate DryWestern Africa</v>
      </c>
      <c r="D690" s="2773">
        <v>4.7</v>
      </c>
      <c r="E690" s="2773">
        <f t="shared" si="60"/>
        <v>4.7</v>
      </c>
      <c r="F690" s="2773">
        <f t="shared" si="60"/>
        <v>4.7</v>
      </c>
      <c r="G690" s="2767">
        <f t="shared" ref="G690:G701" si="61">6.5*0.47</f>
        <v>3.0549999999999997</v>
      </c>
      <c r="H690" s="2767">
        <v>0</v>
      </c>
      <c r="I690" s="492">
        <f t="shared" si="50"/>
        <v>1.5966666666666669</v>
      </c>
      <c r="J690" s="492"/>
      <c r="K690" s="492"/>
      <c r="L690" s="492">
        <f t="shared" si="51"/>
        <v>1.1000000000000001</v>
      </c>
      <c r="M690" s="492"/>
      <c r="N690" s="492"/>
      <c r="O690" s="492"/>
      <c r="P690" s="492">
        <f t="shared" si="52"/>
        <v>1.4000000000000001</v>
      </c>
      <c r="Q690" s="492">
        <f t="shared" si="53"/>
        <v>2.29</v>
      </c>
      <c r="R690" s="749">
        <v>1</v>
      </c>
      <c r="S690" s="471">
        <f t="shared" si="54"/>
        <v>0.46</v>
      </c>
      <c r="T690" s="392">
        <f t="shared" si="55"/>
        <v>0.43</v>
      </c>
      <c r="U690" s="392">
        <f t="shared" si="56"/>
        <v>3.2</v>
      </c>
      <c r="V690" s="392">
        <f t="shared" si="57"/>
        <v>0.7</v>
      </c>
      <c r="W690" s="2774">
        <f t="shared" si="58"/>
        <v>0.28000000000000003</v>
      </c>
      <c r="X690" s="392">
        <v>0</v>
      </c>
      <c r="Y690" s="392">
        <v>0</v>
      </c>
    </row>
    <row r="691" spans="1:25" s="16" customFormat="1" x14ac:dyDescent="0.2">
      <c r="A691" s="392" t="s">
        <v>1483</v>
      </c>
      <c r="B691" s="2772" t="s">
        <v>1550</v>
      </c>
      <c r="C691" s="392" t="str">
        <f t="shared" si="59"/>
        <v>Cool Temperate DryCentral Asia</v>
      </c>
      <c r="D691" s="2773">
        <v>4.7</v>
      </c>
      <c r="E691" s="2773">
        <f t="shared" si="60"/>
        <v>4.7</v>
      </c>
      <c r="F691" s="2773">
        <f t="shared" si="60"/>
        <v>4.7</v>
      </c>
      <c r="G691" s="2767">
        <f t="shared" si="61"/>
        <v>3.0549999999999997</v>
      </c>
      <c r="H691" s="2767">
        <v>0</v>
      </c>
      <c r="I691" s="492">
        <f t="shared" si="50"/>
        <v>2.3766666666666669</v>
      </c>
      <c r="J691" s="492"/>
      <c r="K691" s="492"/>
      <c r="L691" s="492">
        <f t="shared" si="51"/>
        <v>1.1000000000000001</v>
      </c>
      <c r="M691" s="492"/>
      <c r="N691" s="492"/>
      <c r="O691" s="492"/>
      <c r="P691" s="492">
        <f t="shared" si="52"/>
        <v>3.74</v>
      </c>
      <c r="Q691" s="492">
        <f t="shared" si="53"/>
        <v>2.29</v>
      </c>
      <c r="R691" s="749">
        <v>1</v>
      </c>
      <c r="S691" s="471">
        <f t="shared" si="54"/>
        <v>0.46</v>
      </c>
      <c r="T691" s="392">
        <f t="shared" si="55"/>
        <v>0.43</v>
      </c>
      <c r="U691" s="392">
        <f t="shared" si="56"/>
        <v>3.2</v>
      </c>
      <c r="V691" s="392">
        <f t="shared" si="57"/>
        <v>0.7</v>
      </c>
      <c r="W691" s="2774">
        <f t="shared" si="58"/>
        <v>0.28000000000000003</v>
      </c>
      <c r="X691" s="392">
        <v>0</v>
      </c>
      <c r="Y691" s="392">
        <v>0</v>
      </c>
    </row>
    <row r="692" spans="1:25" s="16" customFormat="1" x14ac:dyDescent="0.2">
      <c r="A692" s="392" t="s">
        <v>1483</v>
      </c>
      <c r="B692" s="2772" t="s">
        <v>1554</v>
      </c>
      <c r="C692" s="392" t="str">
        <f t="shared" si="59"/>
        <v>Cool Temperate DryEastern Asia</v>
      </c>
      <c r="D692" s="2773">
        <v>4.7</v>
      </c>
      <c r="E692" s="2773">
        <f t="shared" si="60"/>
        <v>4.7</v>
      </c>
      <c r="F692" s="2773">
        <f t="shared" si="60"/>
        <v>4.7</v>
      </c>
      <c r="G692" s="2767">
        <f t="shared" si="61"/>
        <v>3.0549999999999997</v>
      </c>
      <c r="H692" s="2767">
        <v>0</v>
      </c>
      <c r="I692" s="492">
        <f t="shared" si="50"/>
        <v>2.3766666666666669</v>
      </c>
      <c r="J692" s="492"/>
      <c r="K692" s="492"/>
      <c r="L692" s="492">
        <f t="shared" si="51"/>
        <v>1.1000000000000001</v>
      </c>
      <c r="M692" s="492"/>
      <c r="N692" s="492"/>
      <c r="O692" s="492"/>
      <c r="P692" s="492">
        <f t="shared" si="52"/>
        <v>3.74</v>
      </c>
      <c r="Q692" s="492">
        <f t="shared" si="53"/>
        <v>2.29</v>
      </c>
      <c r="R692" s="749">
        <v>1</v>
      </c>
      <c r="S692" s="471">
        <f t="shared" si="54"/>
        <v>0.46</v>
      </c>
      <c r="T692" s="392">
        <f t="shared" si="55"/>
        <v>0.43</v>
      </c>
      <c r="U692" s="392">
        <f t="shared" si="56"/>
        <v>3.2</v>
      </c>
      <c r="V692" s="392">
        <f t="shared" si="57"/>
        <v>0.7</v>
      </c>
      <c r="W692" s="2774">
        <f t="shared" si="58"/>
        <v>0.28000000000000003</v>
      </c>
      <c r="X692" s="392">
        <v>0</v>
      </c>
      <c r="Y692" s="392">
        <v>0</v>
      </c>
    </row>
    <row r="693" spans="1:25" s="16" customFormat="1" x14ac:dyDescent="0.2">
      <c r="A693" s="392" t="s">
        <v>1483</v>
      </c>
      <c r="B693" s="2772" t="s">
        <v>1563</v>
      </c>
      <c r="C693" s="392" t="str">
        <f t="shared" si="59"/>
        <v>Cool Temperate DrySouth-eastern Asia</v>
      </c>
      <c r="D693" s="2773">
        <v>4.7</v>
      </c>
      <c r="E693" s="2773">
        <f t="shared" si="60"/>
        <v>4.7</v>
      </c>
      <c r="F693" s="2773">
        <f t="shared" si="60"/>
        <v>4.7</v>
      </c>
      <c r="G693" s="2767">
        <f t="shared" si="61"/>
        <v>3.0549999999999997</v>
      </c>
      <c r="H693" s="2767">
        <v>0</v>
      </c>
      <c r="I693" s="492">
        <f t="shared" si="50"/>
        <v>2.3766666666666669</v>
      </c>
      <c r="J693" s="492"/>
      <c r="K693" s="492"/>
      <c r="L693" s="492">
        <f t="shared" si="51"/>
        <v>1.1000000000000001</v>
      </c>
      <c r="M693" s="492"/>
      <c r="N693" s="492"/>
      <c r="O693" s="492"/>
      <c r="P693" s="492">
        <f t="shared" si="52"/>
        <v>3.74</v>
      </c>
      <c r="Q693" s="492">
        <f t="shared" si="53"/>
        <v>2.29</v>
      </c>
      <c r="R693" s="749">
        <v>1</v>
      </c>
      <c r="S693" s="471">
        <f t="shared" si="54"/>
        <v>0.46</v>
      </c>
      <c r="T693" s="392">
        <f t="shared" si="55"/>
        <v>0.43</v>
      </c>
      <c r="U693" s="392">
        <f t="shared" si="56"/>
        <v>3.2</v>
      </c>
      <c r="V693" s="392">
        <f t="shared" si="57"/>
        <v>0.7</v>
      </c>
      <c r="W693" s="2774">
        <f t="shared" si="58"/>
        <v>0.28000000000000003</v>
      </c>
      <c r="X693" s="392">
        <v>0</v>
      </c>
      <c r="Y693" s="392">
        <v>0</v>
      </c>
    </row>
    <row r="694" spans="1:25" s="16" customFormat="1" x14ac:dyDescent="0.2">
      <c r="A694" s="392" t="s">
        <v>1483</v>
      </c>
      <c r="B694" s="2772" t="s">
        <v>1567</v>
      </c>
      <c r="C694" s="392" t="str">
        <f t="shared" si="59"/>
        <v>Cool Temperate DrySouthern Asia</v>
      </c>
      <c r="D694" s="2773">
        <v>4.7</v>
      </c>
      <c r="E694" s="2773">
        <f t="shared" si="60"/>
        <v>4.7</v>
      </c>
      <c r="F694" s="2773">
        <f t="shared" si="60"/>
        <v>4.7</v>
      </c>
      <c r="G694" s="2767">
        <f t="shared" si="61"/>
        <v>3.0549999999999997</v>
      </c>
      <c r="H694" s="2767">
        <v>0</v>
      </c>
      <c r="I694" s="492">
        <f t="shared" si="50"/>
        <v>2.3766666666666669</v>
      </c>
      <c r="J694" s="492"/>
      <c r="K694" s="492"/>
      <c r="L694" s="492">
        <f t="shared" si="51"/>
        <v>1.1000000000000001</v>
      </c>
      <c r="M694" s="492"/>
      <c r="N694" s="492"/>
      <c r="O694" s="492"/>
      <c r="P694" s="492">
        <f t="shared" si="52"/>
        <v>3.74</v>
      </c>
      <c r="Q694" s="492">
        <f t="shared" si="53"/>
        <v>2.29</v>
      </c>
      <c r="R694" s="749">
        <v>1</v>
      </c>
      <c r="S694" s="471">
        <f t="shared" si="54"/>
        <v>0.46</v>
      </c>
      <c r="T694" s="392">
        <f t="shared" si="55"/>
        <v>0.43</v>
      </c>
      <c r="U694" s="392">
        <f t="shared" si="56"/>
        <v>3.2</v>
      </c>
      <c r="V694" s="392">
        <f t="shared" si="57"/>
        <v>0.7</v>
      </c>
      <c r="W694" s="2774">
        <f t="shared" si="58"/>
        <v>0.28000000000000003</v>
      </c>
      <c r="X694" s="392">
        <v>0</v>
      </c>
      <c r="Y694" s="392">
        <v>0</v>
      </c>
    </row>
    <row r="695" spans="1:25" s="16" customFormat="1" x14ac:dyDescent="0.2">
      <c r="A695" s="392" t="s">
        <v>1483</v>
      </c>
      <c r="B695" s="2772" t="s">
        <v>1571</v>
      </c>
      <c r="C695" s="392" t="str">
        <f t="shared" si="59"/>
        <v>Cool Temperate DryWestern Asia</v>
      </c>
      <c r="D695" s="2773">
        <v>4.7</v>
      </c>
      <c r="E695" s="2773">
        <f t="shared" si="60"/>
        <v>4.7</v>
      </c>
      <c r="F695" s="2773">
        <f t="shared" si="60"/>
        <v>4.7</v>
      </c>
      <c r="G695" s="2767">
        <f t="shared" si="61"/>
        <v>3.0549999999999997</v>
      </c>
      <c r="H695" s="2767">
        <v>0</v>
      </c>
      <c r="I695" s="492">
        <f t="shared" si="50"/>
        <v>2.3766666666666669</v>
      </c>
      <c r="J695" s="492"/>
      <c r="K695" s="492"/>
      <c r="L695" s="492">
        <f t="shared" si="51"/>
        <v>1.1000000000000001</v>
      </c>
      <c r="M695" s="492"/>
      <c r="N695" s="492"/>
      <c r="O695" s="492"/>
      <c r="P695" s="492">
        <f t="shared" si="52"/>
        <v>3.74</v>
      </c>
      <c r="Q695" s="492">
        <f t="shared" si="53"/>
        <v>2.29</v>
      </c>
      <c r="R695" s="749">
        <v>1</v>
      </c>
      <c r="S695" s="471">
        <f t="shared" si="54"/>
        <v>0.46</v>
      </c>
      <c r="T695" s="392">
        <f t="shared" si="55"/>
        <v>0.43</v>
      </c>
      <c r="U695" s="392">
        <f t="shared" si="56"/>
        <v>3.2</v>
      </c>
      <c r="V695" s="392">
        <f t="shared" si="57"/>
        <v>0.7</v>
      </c>
      <c r="W695" s="2774">
        <f t="shared" si="58"/>
        <v>0.28000000000000003</v>
      </c>
      <c r="X695" s="392">
        <v>0</v>
      </c>
      <c r="Y695" s="392">
        <v>0</v>
      </c>
    </row>
    <row r="696" spans="1:25" s="16" customFormat="1" x14ac:dyDescent="0.2">
      <c r="A696" s="392" t="s">
        <v>1483</v>
      </c>
      <c r="B696" s="2772" t="s">
        <v>1555</v>
      </c>
      <c r="C696" s="392" t="str">
        <f t="shared" si="59"/>
        <v>Cool Temperate DryEurope</v>
      </c>
      <c r="D696" s="2773">
        <v>4.7</v>
      </c>
      <c r="E696" s="2773">
        <f t="shared" si="60"/>
        <v>4.7</v>
      </c>
      <c r="F696" s="2773">
        <f t="shared" si="60"/>
        <v>4.7</v>
      </c>
      <c r="G696" s="2767">
        <f t="shared" si="61"/>
        <v>3.0549999999999997</v>
      </c>
      <c r="H696" s="2767">
        <v>0</v>
      </c>
      <c r="I696" s="492">
        <f t="shared" si="50"/>
        <v>1.7433333333333334</v>
      </c>
      <c r="J696" s="492"/>
      <c r="K696" s="492"/>
      <c r="L696" s="492">
        <f t="shared" si="51"/>
        <v>1.1000000000000001</v>
      </c>
      <c r="M696" s="492"/>
      <c r="N696" s="492"/>
      <c r="O696" s="492"/>
      <c r="P696" s="492">
        <f t="shared" si="52"/>
        <v>1.4000000000000001</v>
      </c>
      <c r="Q696" s="492">
        <f t="shared" si="53"/>
        <v>2.73</v>
      </c>
      <c r="R696" s="749">
        <v>1</v>
      </c>
      <c r="S696" s="471">
        <f t="shared" si="54"/>
        <v>0.46</v>
      </c>
      <c r="T696" s="392">
        <f t="shared" si="55"/>
        <v>0.43</v>
      </c>
      <c r="U696" s="392">
        <f t="shared" si="56"/>
        <v>3.2</v>
      </c>
      <c r="V696" s="392">
        <f t="shared" si="57"/>
        <v>0.7</v>
      </c>
      <c r="W696" s="2774">
        <f t="shared" si="58"/>
        <v>0.28000000000000003</v>
      </c>
      <c r="X696" s="392">
        <v>0</v>
      </c>
      <c r="Y696" s="392">
        <v>0</v>
      </c>
    </row>
    <row r="697" spans="1:25" s="16" customFormat="1" x14ac:dyDescent="0.2">
      <c r="A697" s="392" t="s">
        <v>1483</v>
      </c>
      <c r="B697" s="2772" t="s">
        <v>1346</v>
      </c>
      <c r="C697" s="392" t="str">
        <f t="shared" si="59"/>
        <v>Cool Temperate DryOceania</v>
      </c>
      <c r="D697" s="2773">
        <v>4.7</v>
      </c>
      <c r="E697" s="2773">
        <f t="shared" si="60"/>
        <v>4.7</v>
      </c>
      <c r="F697" s="2773">
        <f t="shared" si="60"/>
        <v>4.7</v>
      </c>
      <c r="G697" s="2767">
        <f t="shared" si="61"/>
        <v>3.0549999999999997</v>
      </c>
      <c r="H697" s="2767">
        <v>0</v>
      </c>
      <c r="I697" s="492">
        <f t="shared" si="50"/>
        <v>1.5966666666666669</v>
      </c>
      <c r="J697" s="492"/>
      <c r="K697" s="492"/>
      <c r="L697" s="492">
        <f t="shared" si="51"/>
        <v>1.1000000000000001</v>
      </c>
      <c r="M697" s="492"/>
      <c r="N697" s="492"/>
      <c r="O697" s="492"/>
      <c r="P697" s="492">
        <f t="shared" si="52"/>
        <v>1.4000000000000001</v>
      </c>
      <c r="Q697" s="492">
        <f t="shared" si="53"/>
        <v>2.29</v>
      </c>
      <c r="R697" s="749">
        <v>1</v>
      </c>
      <c r="S697" s="471">
        <f t="shared" si="54"/>
        <v>0.46</v>
      </c>
      <c r="T697" s="392">
        <f t="shared" si="55"/>
        <v>0.43</v>
      </c>
      <c r="U697" s="392">
        <f t="shared" si="56"/>
        <v>3.2</v>
      </c>
      <c r="V697" s="392">
        <f t="shared" si="57"/>
        <v>0.7</v>
      </c>
      <c r="W697" s="2774">
        <f t="shared" si="58"/>
        <v>0.28000000000000003</v>
      </c>
      <c r="X697" s="392">
        <v>0</v>
      </c>
      <c r="Y697" s="392">
        <v>0</v>
      </c>
    </row>
    <row r="698" spans="1:25" s="16" customFormat="1" x14ac:dyDescent="0.2">
      <c r="A698" s="392" t="s">
        <v>1483</v>
      </c>
      <c r="B698" s="2772" t="s">
        <v>1343</v>
      </c>
      <c r="C698" s="392" t="str">
        <f t="shared" si="59"/>
        <v>Cool Temperate DryNorth America</v>
      </c>
      <c r="D698" s="2773">
        <v>4.7</v>
      </c>
      <c r="E698" s="2773">
        <f t="shared" si="60"/>
        <v>4.7</v>
      </c>
      <c r="F698" s="2773">
        <f t="shared" si="60"/>
        <v>4.7</v>
      </c>
      <c r="G698" s="2767">
        <f t="shared" si="61"/>
        <v>3.0549999999999997</v>
      </c>
      <c r="H698" s="2767">
        <v>0</v>
      </c>
      <c r="I698" s="492">
        <f t="shared" si="50"/>
        <v>0.97</v>
      </c>
      <c r="J698" s="492"/>
      <c r="K698" s="492"/>
      <c r="L698" s="492">
        <f t="shared" si="51"/>
        <v>1.1000000000000001</v>
      </c>
      <c r="M698" s="492"/>
      <c r="N698" s="492"/>
      <c r="O698" s="492"/>
      <c r="P698" s="492">
        <f t="shared" si="52"/>
        <v>0.73</v>
      </c>
      <c r="Q698" s="492">
        <f t="shared" si="53"/>
        <v>1.08</v>
      </c>
      <c r="R698" s="749">
        <v>1</v>
      </c>
      <c r="S698" s="471">
        <f t="shared" si="54"/>
        <v>0.46</v>
      </c>
      <c r="T698" s="392">
        <f t="shared" si="55"/>
        <v>0.43</v>
      </c>
      <c r="U698" s="392">
        <f t="shared" si="56"/>
        <v>3.2</v>
      </c>
      <c r="V698" s="392">
        <f t="shared" si="57"/>
        <v>0.7</v>
      </c>
      <c r="W698" s="2774">
        <f t="shared" si="58"/>
        <v>0.28000000000000003</v>
      </c>
      <c r="X698" s="392">
        <v>0</v>
      </c>
      <c r="Y698" s="392">
        <v>0</v>
      </c>
    </row>
    <row r="699" spans="1:25" s="16" customFormat="1" x14ac:dyDescent="0.2">
      <c r="A699" s="392" t="s">
        <v>1483</v>
      </c>
      <c r="B699" s="2772" t="s">
        <v>1349</v>
      </c>
      <c r="C699" s="392" t="str">
        <f t="shared" si="59"/>
        <v>Cool Temperate DrySouth America</v>
      </c>
      <c r="D699" s="2773">
        <v>4.7</v>
      </c>
      <c r="E699" s="2773">
        <f t="shared" si="60"/>
        <v>4.7</v>
      </c>
      <c r="F699" s="2773">
        <f t="shared" si="60"/>
        <v>4.7</v>
      </c>
      <c r="G699" s="2767">
        <f t="shared" si="61"/>
        <v>3.0549999999999997</v>
      </c>
      <c r="H699" s="2767">
        <v>0</v>
      </c>
      <c r="I699" s="492">
        <f t="shared" si="50"/>
        <v>1.4</v>
      </c>
      <c r="J699" s="492"/>
      <c r="K699" s="492"/>
      <c r="L699" s="492">
        <f t="shared" si="51"/>
        <v>1.1000000000000001</v>
      </c>
      <c r="M699" s="492"/>
      <c r="N699" s="492"/>
      <c r="O699" s="492"/>
      <c r="P699" s="492">
        <f t="shared" si="52"/>
        <v>1.4000000000000001</v>
      </c>
      <c r="Q699" s="492">
        <f t="shared" si="53"/>
        <v>1.7</v>
      </c>
      <c r="R699" s="749">
        <v>1</v>
      </c>
      <c r="S699" s="471">
        <f t="shared" si="54"/>
        <v>0.46</v>
      </c>
      <c r="T699" s="392">
        <f t="shared" si="55"/>
        <v>0.43</v>
      </c>
      <c r="U699" s="392">
        <f t="shared" si="56"/>
        <v>3.2</v>
      </c>
      <c r="V699" s="392">
        <f t="shared" si="57"/>
        <v>0.7</v>
      </c>
      <c r="W699" s="2774">
        <f t="shared" si="58"/>
        <v>0.28000000000000003</v>
      </c>
      <c r="X699" s="392">
        <v>0</v>
      </c>
      <c r="Y699" s="392">
        <v>0</v>
      </c>
    </row>
    <row r="700" spans="1:25" s="16" customFormat="1" x14ac:dyDescent="0.2">
      <c r="A700" s="392" t="s">
        <v>1483</v>
      </c>
      <c r="B700" s="2772" t="s">
        <v>1333</v>
      </c>
      <c r="C700" s="392" t="str">
        <f t="shared" si="59"/>
        <v>Cool Temperate DryCentral America</v>
      </c>
      <c r="D700" s="2773">
        <v>4.7</v>
      </c>
      <c r="E700" s="2773">
        <f t="shared" si="60"/>
        <v>4.7</v>
      </c>
      <c r="F700" s="2773">
        <f t="shared" si="60"/>
        <v>4.7</v>
      </c>
      <c r="G700" s="2767">
        <f t="shared" si="61"/>
        <v>3.0549999999999997</v>
      </c>
      <c r="H700" s="2767">
        <v>0</v>
      </c>
      <c r="I700" s="492">
        <f t="shared" si="50"/>
        <v>1.4</v>
      </c>
      <c r="J700" s="492"/>
      <c r="K700" s="492"/>
      <c r="L700" s="492">
        <f t="shared" si="51"/>
        <v>1.1000000000000001</v>
      </c>
      <c r="M700" s="492"/>
      <c r="N700" s="492"/>
      <c r="O700" s="492"/>
      <c r="P700" s="492">
        <f t="shared" si="52"/>
        <v>1.4000000000000001</v>
      </c>
      <c r="Q700" s="492">
        <f t="shared" si="53"/>
        <v>1.7</v>
      </c>
      <c r="R700" s="749">
        <v>1</v>
      </c>
      <c r="S700" s="471">
        <f t="shared" si="54"/>
        <v>0.46</v>
      </c>
      <c r="T700" s="392">
        <f t="shared" si="55"/>
        <v>0.43</v>
      </c>
      <c r="U700" s="392">
        <f t="shared" si="56"/>
        <v>3.2</v>
      </c>
      <c r="V700" s="392">
        <f t="shared" si="57"/>
        <v>0.7</v>
      </c>
      <c r="W700" s="2774">
        <f t="shared" si="58"/>
        <v>0.28000000000000003</v>
      </c>
      <c r="X700" s="392">
        <v>0</v>
      </c>
      <c r="Y700" s="392">
        <v>0</v>
      </c>
    </row>
    <row r="701" spans="1:25" s="2781" customFormat="1" x14ac:dyDescent="0.2">
      <c r="A701" s="2775" t="s">
        <v>1483</v>
      </c>
      <c r="B701" s="2776" t="s">
        <v>1547</v>
      </c>
      <c r="C701" s="2775" t="str">
        <f t="shared" si="59"/>
        <v>Cool Temperate DryCaribbean</v>
      </c>
      <c r="D701" s="2777">
        <v>4.7</v>
      </c>
      <c r="E701" s="2777">
        <f t="shared" si="60"/>
        <v>4.7</v>
      </c>
      <c r="F701" s="2777">
        <f t="shared" si="60"/>
        <v>4.7</v>
      </c>
      <c r="G701" s="2767">
        <f t="shared" si="61"/>
        <v>3.0549999999999997</v>
      </c>
      <c r="H701" s="2778">
        <v>0</v>
      </c>
      <c r="I701" s="2779">
        <f t="shared" si="50"/>
        <v>1.4</v>
      </c>
      <c r="J701" s="492"/>
      <c r="K701" s="492"/>
      <c r="L701" s="492">
        <f t="shared" si="51"/>
        <v>1.1000000000000001</v>
      </c>
      <c r="M701" s="492"/>
      <c r="N701" s="492"/>
      <c r="O701" s="492"/>
      <c r="P701" s="492">
        <f t="shared" si="52"/>
        <v>1.4000000000000001</v>
      </c>
      <c r="Q701" s="492">
        <f t="shared" si="53"/>
        <v>1.7</v>
      </c>
      <c r="R701" s="749">
        <v>1</v>
      </c>
      <c r="S701" s="536">
        <f t="shared" si="54"/>
        <v>0.46</v>
      </c>
      <c r="T701" s="2775">
        <f t="shared" si="55"/>
        <v>0.43</v>
      </c>
      <c r="U701" s="2775">
        <f t="shared" si="56"/>
        <v>3.2</v>
      </c>
      <c r="V701" s="2775">
        <f t="shared" si="57"/>
        <v>0.7</v>
      </c>
      <c r="W701" s="2780">
        <f t="shared" si="58"/>
        <v>0.28000000000000003</v>
      </c>
      <c r="X701" s="392">
        <v>0</v>
      </c>
      <c r="Y701" s="392">
        <v>0</v>
      </c>
    </row>
    <row r="702" spans="1:25" s="2771" customFormat="1" x14ac:dyDescent="0.2">
      <c r="A702" s="2764" t="s">
        <v>1484</v>
      </c>
      <c r="B702" s="2782" t="s">
        <v>1552</v>
      </c>
      <c r="C702" s="2764" t="str">
        <f>CONCATENATE(A702,B702)</f>
        <v>Cool Temperate MoistEastern Africa</v>
      </c>
      <c r="D702" s="2766">
        <v>4.7</v>
      </c>
      <c r="E702" s="2766">
        <f t="shared" si="60"/>
        <v>4.7</v>
      </c>
      <c r="F702" s="2766">
        <f t="shared" si="60"/>
        <v>4.7</v>
      </c>
      <c r="G702" s="2783">
        <f>13.6*0.47</f>
        <v>6.3919999999999995</v>
      </c>
      <c r="H702" s="2768">
        <v>0</v>
      </c>
      <c r="I702" s="492">
        <f t="shared" si="50"/>
        <v>1.5966666666666669</v>
      </c>
      <c r="J702" s="490"/>
      <c r="K702" s="490"/>
      <c r="L702" s="490">
        <f t="shared" si="51"/>
        <v>1.1000000000000001</v>
      </c>
      <c r="M702" s="490"/>
      <c r="N702" s="490"/>
      <c r="O702" s="490"/>
      <c r="P702" s="490">
        <f t="shared" si="52"/>
        <v>1.4000000000000001</v>
      </c>
      <c r="Q702" s="491">
        <f t="shared" si="53"/>
        <v>2.29</v>
      </c>
      <c r="R702" s="552">
        <v>1</v>
      </c>
      <c r="S702" s="491">
        <f t="shared" si="54"/>
        <v>0.46</v>
      </c>
      <c r="T702" s="2764">
        <f t="shared" si="55"/>
        <v>0.43</v>
      </c>
      <c r="U702" s="392">
        <f t="shared" si="56"/>
        <v>3.2</v>
      </c>
      <c r="V702" s="392">
        <f t="shared" ref="V702:V717" si="62">T187+T326</f>
        <v>0.7</v>
      </c>
      <c r="W702" s="2774">
        <f t="shared" si="58"/>
        <v>0.28000000000000003</v>
      </c>
      <c r="X702" s="2764">
        <v>0</v>
      </c>
      <c r="Y702" s="2764">
        <v>0</v>
      </c>
    </row>
    <row r="703" spans="1:25" s="16" customFormat="1" x14ac:dyDescent="0.2">
      <c r="A703" s="392" t="s">
        <v>1484</v>
      </c>
      <c r="B703" s="2784" t="s">
        <v>1557</v>
      </c>
      <c r="C703" s="392" t="str">
        <f t="shared" ref="C703:C733" si="63">CONCATENATE(A703,B703)</f>
        <v>Cool Temperate MoistCentral Africa</v>
      </c>
      <c r="D703" s="2773">
        <v>4.7</v>
      </c>
      <c r="E703" s="2773">
        <f t="shared" si="60"/>
        <v>4.7</v>
      </c>
      <c r="F703" s="2773">
        <f t="shared" si="60"/>
        <v>4.7</v>
      </c>
      <c r="G703" s="2785">
        <f>13.6*0.47</f>
        <v>6.3919999999999995</v>
      </c>
      <c r="H703" s="2767">
        <v>0</v>
      </c>
      <c r="I703" s="492">
        <f t="shared" si="50"/>
        <v>1.5966666666666669</v>
      </c>
      <c r="J703" s="492"/>
      <c r="K703" s="492"/>
      <c r="L703" s="492">
        <f t="shared" si="51"/>
        <v>1.1000000000000001</v>
      </c>
      <c r="M703" s="492"/>
      <c r="N703" s="492"/>
      <c r="O703" s="492"/>
      <c r="P703" s="492">
        <f t="shared" si="52"/>
        <v>1.4000000000000001</v>
      </c>
      <c r="Q703" s="471">
        <f t="shared" si="53"/>
        <v>2.29</v>
      </c>
      <c r="R703" s="553">
        <v>1</v>
      </c>
      <c r="S703" s="471">
        <f t="shared" si="54"/>
        <v>0.46</v>
      </c>
      <c r="T703" s="392">
        <f t="shared" si="55"/>
        <v>0.43</v>
      </c>
      <c r="U703" s="392">
        <f t="shared" si="56"/>
        <v>3.2</v>
      </c>
      <c r="V703" s="392">
        <f t="shared" si="62"/>
        <v>0.7</v>
      </c>
      <c r="W703" s="2774">
        <f t="shared" si="58"/>
        <v>0.28000000000000003</v>
      </c>
      <c r="X703" s="392">
        <v>0</v>
      </c>
      <c r="Y703" s="392">
        <v>0</v>
      </c>
    </row>
    <row r="704" spans="1:25" s="16" customFormat="1" x14ac:dyDescent="0.2">
      <c r="A704" s="392" t="s">
        <v>1484</v>
      </c>
      <c r="B704" s="2784" t="s">
        <v>1559</v>
      </c>
      <c r="C704" s="392" t="str">
        <f t="shared" si="63"/>
        <v>Cool Temperate MoistNorthern Africa</v>
      </c>
      <c r="D704" s="2773">
        <v>4.7</v>
      </c>
      <c r="E704" s="2773">
        <f t="shared" si="60"/>
        <v>4.7</v>
      </c>
      <c r="F704" s="2773">
        <f t="shared" si="60"/>
        <v>4.7</v>
      </c>
      <c r="G704" s="2785">
        <f t="shared" ref="G704:G717" si="64">13.6*0.47</f>
        <v>6.3919999999999995</v>
      </c>
      <c r="H704" s="2767">
        <v>0</v>
      </c>
      <c r="I704" s="492">
        <f t="shared" si="50"/>
        <v>1.5966666666666669</v>
      </c>
      <c r="J704" s="492"/>
      <c r="K704" s="492"/>
      <c r="L704" s="492">
        <f t="shared" si="51"/>
        <v>1.1000000000000001</v>
      </c>
      <c r="M704" s="492"/>
      <c r="N704" s="492"/>
      <c r="O704" s="492"/>
      <c r="P704" s="492">
        <f t="shared" si="52"/>
        <v>1.4000000000000001</v>
      </c>
      <c r="Q704" s="471">
        <f t="shared" si="53"/>
        <v>2.29</v>
      </c>
      <c r="R704" s="553">
        <v>1</v>
      </c>
      <c r="S704" s="471">
        <f t="shared" si="54"/>
        <v>0.46</v>
      </c>
      <c r="T704" s="392">
        <f t="shared" si="55"/>
        <v>0.43</v>
      </c>
      <c r="U704" s="392">
        <f t="shared" si="56"/>
        <v>3.2</v>
      </c>
      <c r="V704" s="392">
        <f t="shared" si="62"/>
        <v>0.7</v>
      </c>
      <c r="W704" s="2774">
        <f t="shared" si="58"/>
        <v>0.28000000000000003</v>
      </c>
      <c r="X704" s="392">
        <v>0</v>
      </c>
      <c r="Y704" s="392">
        <v>0</v>
      </c>
    </row>
    <row r="705" spans="1:25" s="16" customFormat="1" x14ac:dyDescent="0.2">
      <c r="A705" s="392" t="s">
        <v>1484</v>
      </c>
      <c r="B705" s="2784" t="s">
        <v>1565</v>
      </c>
      <c r="C705" s="392" t="str">
        <f t="shared" si="63"/>
        <v>Cool Temperate MoistSouthern Africa</v>
      </c>
      <c r="D705" s="2773">
        <v>4.7</v>
      </c>
      <c r="E705" s="2773">
        <f t="shared" si="60"/>
        <v>4.7</v>
      </c>
      <c r="F705" s="2773">
        <f t="shared" si="60"/>
        <v>4.7</v>
      </c>
      <c r="G705" s="2785">
        <f t="shared" si="64"/>
        <v>6.3919999999999995</v>
      </c>
      <c r="H705" s="2767">
        <v>0</v>
      </c>
      <c r="I705" s="492">
        <f t="shared" si="50"/>
        <v>1.5966666666666669</v>
      </c>
      <c r="J705" s="492"/>
      <c r="K705" s="492"/>
      <c r="L705" s="492">
        <f t="shared" si="51"/>
        <v>1.1000000000000001</v>
      </c>
      <c r="M705" s="492"/>
      <c r="N705" s="492"/>
      <c r="O705" s="492"/>
      <c r="P705" s="492">
        <f t="shared" si="52"/>
        <v>1.4000000000000001</v>
      </c>
      <c r="Q705" s="471">
        <f t="shared" si="53"/>
        <v>2.29</v>
      </c>
      <c r="R705" s="553">
        <v>1</v>
      </c>
      <c r="S705" s="471">
        <f t="shared" si="54"/>
        <v>0.46</v>
      </c>
      <c r="T705" s="392">
        <f t="shared" si="55"/>
        <v>0.43</v>
      </c>
      <c r="U705" s="392">
        <f t="shared" si="56"/>
        <v>3.2</v>
      </c>
      <c r="V705" s="392">
        <f t="shared" si="62"/>
        <v>0.7</v>
      </c>
      <c r="W705" s="2774">
        <f t="shared" si="58"/>
        <v>0.28000000000000003</v>
      </c>
      <c r="X705" s="392">
        <v>0</v>
      </c>
      <c r="Y705" s="392">
        <v>0</v>
      </c>
    </row>
    <row r="706" spans="1:25" s="16" customFormat="1" x14ac:dyDescent="0.2">
      <c r="A706" s="392" t="s">
        <v>1484</v>
      </c>
      <c r="B706" s="2784" t="s">
        <v>1569</v>
      </c>
      <c r="C706" s="392" t="str">
        <f t="shared" si="63"/>
        <v>Cool Temperate MoistWestern Africa</v>
      </c>
      <c r="D706" s="2773">
        <v>4.7</v>
      </c>
      <c r="E706" s="2773">
        <f t="shared" si="60"/>
        <v>4.7</v>
      </c>
      <c r="F706" s="2773">
        <f t="shared" si="60"/>
        <v>4.7</v>
      </c>
      <c r="G706" s="2785">
        <f t="shared" si="64"/>
        <v>6.3919999999999995</v>
      </c>
      <c r="H706" s="2767">
        <v>0</v>
      </c>
      <c r="I706" s="492">
        <f t="shared" si="50"/>
        <v>1.5966666666666669</v>
      </c>
      <c r="J706" s="492"/>
      <c r="K706" s="492"/>
      <c r="L706" s="492">
        <f t="shared" si="51"/>
        <v>1.1000000000000001</v>
      </c>
      <c r="M706" s="492"/>
      <c r="N706" s="492"/>
      <c r="O706" s="492"/>
      <c r="P706" s="492">
        <f t="shared" si="52"/>
        <v>1.4000000000000001</v>
      </c>
      <c r="Q706" s="471">
        <f t="shared" si="53"/>
        <v>2.29</v>
      </c>
      <c r="R706" s="553">
        <v>1</v>
      </c>
      <c r="S706" s="471">
        <f t="shared" si="54"/>
        <v>0.46</v>
      </c>
      <c r="T706" s="392">
        <f t="shared" si="55"/>
        <v>0.43</v>
      </c>
      <c r="U706" s="392">
        <f t="shared" si="56"/>
        <v>3.2</v>
      </c>
      <c r="V706" s="392">
        <f t="shared" si="62"/>
        <v>0.7</v>
      </c>
      <c r="W706" s="2774">
        <f t="shared" si="58"/>
        <v>0.28000000000000003</v>
      </c>
      <c r="X706" s="392">
        <v>0</v>
      </c>
      <c r="Y706" s="392">
        <v>0</v>
      </c>
    </row>
    <row r="707" spans="1:25" s="16" customFormat="1" x14ac:dyDescent="0.2">
      <c r="A707" s="392" t="s">
        <v>1484</v>
      </c>
      <c r="B707" s="2784" t="s">
        <v>1550</v>
      </c>
      <c r="C707" s="392" t="str">
        <f t="shared" si="63"/>
        <v>Cool Temperate MoistCentral Asia</v>
      </c>
      <c r="D707" s="2773">
        <v>4.7</v>
      </c>
      <c r="E707" s="2773">
        <f t="shared" si="60"/>
        <v>4.7</v>
      </c>
      <c r="F707" s="2773">
        <f t="shared" si="60"/>
        <v>4.7</v>
      </c>
      <c r="G707" s="2785">
        <f t="shared" si="64"/>
        <v>6.3919999999999995</v>
      </c>
      <c r="H707" s="2767">
        <v>0</v>
      </c>
      <c r="I707" s="492">
        <f t="shared" si="50"/>
        <v>2.3766666666666669</v>
      </c>
      <c r="J707" s="492"/>
      <c r="K707" s="492"/>
      <c r="L707" s="492">
        <f t="shared" si="51"/>
        <v>1.1000000000000001</v>
      </c>
      <c r="M707" s="492"/>
      <c r="N707" s="492"/>
      <c r="O707" s="492"/>
      <c r="P707" s="492">
        <f t="shared" si="52"/>
        <v>3.74</v>
      </c>
      <c r="Q707" s="471">
        <f t="shared" si="53"/>
        <v>2.29</v>
      </c>
      <c r="R707" s="553">
        <v>1</v>
      </c>
      <c r="S707" s="471">
        <f t="shared" si="54"/>
        <v>0.46</v>
      </c>
      <c r="T707" s="392">
        <f t="shared" si="55"/>
        <v>0.43</v>
      </c>
      <c r="U707" s="392">
        <f t="shared" si="56"/>
        <v>3.2</v>
      </c>
      <c r="V707" s="392">
        <f t="shared" si="62"/>
        <v>0.7</v>
      </c>
      <c r="W707" s="2774">
        <f t="shared" si="58"/>
        <v>0.28000000000000003</v>
      </c>
      <c r="X707" s="392">
        <v>0</v>
      </c>
      <c r="Y707" s="392">
        <v>0</v>
      </c>
    </row>
    <row r="708" spans="1:25" s="16" customFormat="1" x14ac:dyDescent="0.2">
      <c r="A708" s="392" t="s">
        <v>1484</v>
      </c>
      <c r="B708" s="2784" t="s">
        <v>1554</v>
      </c>
      <c r="C708" s="392" t="str">
        <f t="shared" si="63"/>
        <v>Cool Temperate MoistEastern Asia</v>
      </c>
      <c r="D708" s="2773">
        <v>4.7</v>
      </c>
      <c r="E708" s="2773">
        <f t="shared" si="60"/>
        <v>4.7</v>
      </c>
      <c r="F708" s="2773">
        <f t="shared" si="60"/>
        <v>4.7</v>
      </c>
      <c r="G708" s="2785">
        <f t="shared" si="64"/>
        <v>6.3919999999999995</v>
      </c>
      <c r="H708" s="2767">
        <v>0</v>
      </c>
      <c r="I708" s="492">
        <f t="shared" si="50"/>
        <v>2.3766666666666669</v>
      </c>
      <c r="J708" s="492"/>
      <c r="K708" s="492"/>
      <c r="L708" s="492">
        <f t="shared" si="51"/>
        <v>1.1000000000000001</v>
      </c>
      <c r="M708" s="492"/>
      <c r="N708" s="492"/>
      <c r="O708" s="492"/>
      <c r="P708" s="492">
        <f t="shared" si="52"/>
        <v>3.74</v>
      </c>
      <c r="Q708" s="471">
        <f t="shared" si="53"/>
        <v>2.29</v>
      </c>
      <c r="R708" s="553">
        <v>1</v>
      </c>
      <c r="S708" s="471">
        <f t="shared" si="54"/>
        <v>0.46</v>
      </c>
      <c r="T708" s="392">
        <f t="shared" si="55"/>
        <v>0.43</v>
      </c>
      <c r="U708" s="392">
        <f t="shared" si="56"/>
        <v>3.2</v>
      </c>
      <c r="V708" s="392">
        <f t="shared" si="62"/>
        <v>0.7</v>
      </c>
      <c r="W708" s="2774">
        <f t="shared" si="58"/>
        <v>0.28000000000000003</v>
      </c>
      <c r="X708" s="392">
        <v>0</v>
      </c>
      <c r="Y708" s="392">
        <v>0</v>
      </c>
    </row>
    <row r="709" spans="1:25" s="16" customFormat="1" x14ac:dyDescent="0.2">
      <c r="A709" s="392" t="s">
        <v>1484</v>
      </c>
      <c r="B709" s="2784" t="s">
        <v>1563</v>
      </c>
      <c r="C709" s="392" t="str">
        <f t="shared" si="63"/>
        <v>Cool Temperate MoistSouth-eastern Asia</v>
      </c>
      <c r="D709" s="2773">
        <v>4.7</v>
      </c>
      <c r="E709" s="2773">
        <f t="shared" si="60"/>
        <v>4.7</v>
      </c>
      <c r="F709" s="2773">
        <f t="shared" si="60"/>
        <v>4.7</v>
      </c>
      <c r="G709" s="2785">
        <f t="shared" si="64"/>
        <v>6.3919999999999995</v>
      </c>
      <c r="H709" s="2767">
        <v>0</v>
      </c>
      <c r="I709" s="492">
        <f t="shared" si="50"/>
        <v>2.3766666666666669</v>
      </c>
      <c r="J709" s="492"/>
      <c r="K709" s="492"/>
      <c r="L709" s="492">
        <f t="shared" si="51"/>
        <v>1.1000000000000001</v>
      </c>
      <c r="M709" s="492"/>
      <c r="N709" s="492"/>
      <c r="O709" s="492"/>
      <c r="P709" s="492">
        <f t="shared" si="52"/>
        <v>3.74</v>
      </c>
      <c r="Q709" s="471">
        <f t="shared" si="53"/>
        <v>2.29</v>
      </c>
      <c r="R709" s="553">
        <v>1</v>
      </c>
      <c r="S709" s="471">
        <f t="shared" si="54"/>
        <v>0.46</v>
      </c>
      <c r="T709" s="392">
        <f t="shared" si="55"/>
        <v>0.43</v>
      </c>
      <c r="U709" s="392">
        <f t="shared" si="56"/>
        <v>3.2</v>
      </c>
      <c r="V709" s="392">
        <f t="shared" si="62"/>
        <v>0.7</v>
      </c>
      <c r="W709" s="2774">
        <f t="shared" si="58"/>
        <v>0.28000000000000003</v>
      </c>
      <c r="X709" s="392">
        <v>0</v>
      </c>
      <c r="Y709" s="392">
        <v>0</v>
      </c>
    </row>
    <row r="710" spans="1:25" s="16" customFormat="1" x14ac:dyDescent="0.2">
      <c r="A710" s="392" t="s">
        <v>1484</v>
      </c>
      <c r="B710" s="2784" t="s">
        <v>1567</v>
      </c>
      <c r="C710" s="392" t="str">
        <f t="shared" si="63"/>
        <v>Cool Temperate MoistSouthern Asia</v>
      </c>
      <c r="D710" s="2773">
        <v>4.7</v>
      </c>
      <c r="E710" s="2773">
        <f t="shared" si="60"/>
        <v>4.7</v>
      </c>
      <c r="F710" s="2773">
        <f t="shared" si="60"/>
        <v>4.7</v>
      </c>
      <c r="G710" s="2785">
        <f t="shared" si="64"/>
        <v>6.3919999999999995</v>
      </c>
      <c r="H710" s="2767">
        <v>0</v>
      </c>
      <c r="I710" s="492">
        <f t="shared" si="50"/>
        <v>2.3766666666666669</v>
      </c>
      <c r="J710" s="492"/>
      <c r="K710" s="492"/>
      <c r="L710" s="492">
        <f t="shared" si="51"/>
        <v>1.1000000000000001</v>
      </c>
      <c r="M710" s="492"/>
      <c r="N710" s="492"/>
      <c r="O710" s="492"/>
      <c r="P710" s="492">
        <f t="shared" si="52"/>
        <v>3.74</v>
      </c>
      <c r="Q710" s="471">
        <f t="shared" si="53"/>
        <v>2.29</v>
      </c>
      <c r="R710" s="553">
        <v>1</v>
      </c>
      <c r="S710" s="471">
        <f t="shared" si="54"/>
        <v>0.46</v>
      </c>
      <c r="T710" s="392">
        <f t="shared" si="55"/>
        <v>0.43</v>
      </c>
      <c r="U710" s="392">
        <f t="shared" si="56"/>
        <v>3.2</v>
      </c>
      <c r="V710" s="392">
        <f t="shared" si="62"/>
        <v>0.7</v>
      </c>
      <c r="W710" s="2774">
        <f t="shared" si="58"/>
        <v>0.28000000000000003</v>
      </c>
      <c r="X710" s="392">
        <v>0</v>
      </c>
      <c r="Y710" s="392">
        <v>0</v>
      </c>
    </row>
    <row r="711" spans="1:25" s="16" customFormat="1" x14ac:dyDescent="0.2">
      <c r="A711" s="392" t="s">
        <v>1484</v>
      </c>
      <c r="B711" s="2784" t="s">
        <v>1571</v>
      </c>
      <c r="C711" s="392" t="str">
        <f t="shared" si="63"/>
        <v>Cool Temperate MoistWestern Asia</v>
      </c>
      <c r="D711" s="2773">
        <v>4.7</v>
      </c>
      <c r="E711" s="2773">
        <f t="shared" si="60"/>
        <v>4.7</v>
      </c>
      <c r="F711" s="2773">
        <f t="shared" si="60"/>
        <v>4.7</v>
      </c>
      <c r="G711" s="2785">
        <f t="shared" si="64"/>
        <v>6.3919999999999995</v>
      </c>
      <c r="H711" s="2767">
        <v>0</v>
      </c>
      <c r="I711" s="492">
        <f t="shared" si="50"/>
        <v>2.3766666666666669</v>
      </c>
      <c r="J711" s="492"/>
      <c r="K711" s="492"/>
      <c r="L711" s="492">
        <f t="shared" si="51"/>
        <v>1.1000000000000001</v>
      </c>
      <c r="M711" s="492"/>
      <c r="N711" s="492"/>
      <c r="O711" s="492"/>
      <c r="P711" s="492">
        <f t="shared" si="52"/>
        <v>3.74</v>
      </c>
      <c r="Q711" s="471">
        <f t="shared" si="53"/>
        <v>2.29</v>
      </c>
      <c r="R711" s="553">
        <v>1</v>
      </c>
      <c r="S711" s="471">
        <f t="shared" si="54"/>
        <v>0.46</v>
      </c>
      <c r="T711" s="392">
        <f t="shared" si="55"/>
        <v>0.43</v>
      </c>
      <c r="U711" s="392">
        <f t="shared" si="56"/>
        <v>3.2</v>
      </c>
      <c r="V711" s="392">
        <f t="shared" si="62"/>
        <v>0.7</v>
      </c>
      <c r="W711" s="2774">
        <f t="shared" si="58"/>
        <v>0.28000000000000003</v>
      </c>
      <c r="X711" s="392">
        <v>0</v>
      </c>
      <c r="Y711" s="392">
        <v>0</v>
      </c>
    </row>
    <row r="712" spans="1:25" s="16" customFormat="1" x14ac:dyDescent="0.2">
      <c r="A712" s="392" t="s">
        <v>1484</v>
      </c>
      <c r="B712" s="2784" t="s">
        <v>1555</v>
      </c>
      <c r="C712" s="392" t="str">
        <f t="shared" si="63"/>
        <v>Cool Temperate MoistEurope</v>
      </c>
      <c r="D712" s="2773">
        <v>4.7</v>
      </c>
      <c r="E712" s="2773">
        <f t="shared" si="60"/>
        <v>4.7</v>
      </c>
      <c r="F712" s="2773">
        <f t="shared" si="60"/>
        <v>4.7</v>
      </c>
      <c r="G712" s="2785">
        <f t="shared" si="64"/>
        <v>6.3919999999999995</v>
      </c>
      <c r="H712" s="2767">
        <v>0</v>
      </c>
      <c r="I712" s="492">
        <f t="shared" si="50"/>
        <v>1.7433333333333334</v>
      </c>
      <c r="J712" s="492"/>
      <c r="K712" s="492"/>
      <c r="L712" s="492">
        <f t="shared" si="51"/>
        <v>1.1000000000000001</v>
      </c>
      <c r="M712" s="492"/>
      <c r="N712" s="492"/>
      <c r="O712" s="492"/>
      <c r="P712" s="492">
        <f t="shared" si="52"/>
        <v>1.4000000000000001</v>
      </c>
      <c r="Q712" s="471">
        <f t="shared" si="53"/>
        <v>2.73</v>
      </c>
      <c r="R712" s="553">
        <v>1</v>
      </c>
      <c r="S712" s="471">
        <f t="shared" si="54"/>
        <v>0.46</v>
      </c>
      <c r="T712" s="392">
        <f t="shared" si="55"/>
        <v>0.43</v>
      </c>
      <c r="U712" s="392">
        <f t="shared" si="56"/>
        <v>3.2</v>
      </c>
      <c r="V712" s="392">
        <f t="shared" si="62"/>
        <v>0.7</v>
      </c>
      <c r="W712" s="2774">
        <f t="shared" si="58"/>
        <v>0.28000000000000003</v>
      </c>
      <c r="X712" s="392">
        <v>0</v>
      </c>
      <c r="Y712" s="392">
        <v>0</v>
      </c>
    </row>
    <row r="713" spans="1:25" s="16" customFormat="1" x14ac:dyDescent="0.2">
      <c r="A713" s="392" t="s">
        <v>1484</v>
      </c>
      <c r="B713" s="2784" t="s">
        <v>1346</v>
      </c>
      <c r="C713" s="392" t="str">
        <f t="shared" si="63"/>
        <v>Cool Temperate MoistOceania</v>
      </c>
      <c r="D713" s="2773">
        <v>4.7</v>
      </c>
      <c r="E713" s="2773">
        <f t="shared" si="60"/>
        <v>4.7</v>
      </c>
      <c r="F713" s="2773">
        <f t="shared" si="60"/>
        <v>4.7</v>
      </c>
      <c r="G713" s="2785">
        <f t="shared" si="64"/>
        <v>6.3919999999999995</v>
      </c>
      <c r="H713" s="2767">
        <v>0</v>
      </c>
      <c r="I713" s="492">
        <f t="shared" si="50"/>
        <v>1.5966666666666669</v>
      </c>
      <c r="J713" s="492"/>
      <c r="K713" s="492"/>
      <c r="L713" s="492">
        <f t="shared" si="51"/>
        <v>1.1000000000000001</v>
      </c>
      <c r="M713" s="492"/>
      <c r="N713" s="492"/>
      <c r="O713" s="492"/>
      <c r="P713" s="492">
        <f t="shared" si="52"/>
        <v>1.4000000000000001</v>
      </c>
      <c r="Q713" s="471">
        <f t="shared" si="53"/>
        <v>2.29</v>
      </c>
      <c r="R713" s="553">
        <v>1</v>
      </c>
      <c r="S713" s="471">
        <f t="shared" si="54"/>
        <v>0.46</v>
      </c>
      <c r="T713" s="392">
        <f t="shared" si="55"/>
        <v>0.43</v>
      </c>
      <c r="U713" s="392">
        <f t="shared" si="56"/>
        <v>3.2</v>
      </c>
      <c r="V713" s="392">
        <f t="shared" si="62"/>
        <v>0.7</v>
      </c>
      <c r="W713" s="2774">
        <f t="shared" si="58"/>
        <v>0.28000000000000003</v>
      </c>
      <c r="X713" s="392">
        <v>0</v>
      </c>
      <c r="Y713" s="392">
        <v>0</v>
      </c>
    </row>
    <row r="714" spans="1:25" s="16" customFormat="1" x14ac:dyDescent="0.2">
      <c r="A714" s="392" t="s">
        <v>1484</v>
      </c>
      <c r="B714" s="2784" t="s">
        <v>1343</v>
      </c>
      <c r="C714" s="392" t="str">
        <f t="shared" si="63"/>
        <v>Cool Temperate MoistNorth America</v>
      </c>
      <c r="D714" s="2773">
        <v>4.7</v>
      </c>
      <c r="E714" s="2773">
        <f t="shared" si="60"/>
        <v>4.7</v>
      </c>
      <c r="F714" s="2773">
        <f t="shared" si="60"/>
        <v>4.7</v>
      </c>
      <c r="G714" s="2785">
        <f t="shared" si="64"/>
        <v>6.3919999999999995</v>
      </c>
      <c r="H714" s="2767">
        <v>0</v>
      </c>
      <c r="I714" s="492">
        <f t="shared" si="50"/>
        <v>0.97</v>
      </c>
      <c r="J714" s="492"/>
      <c r="K714" s="492"/>
      <c r="L714" s="492">
        <f t="shared" si="51"/>
        <v>1.1000000000000001</v>
      </c>
      <c r="M714" s="492"/>
      <c r="N714" s="492"/>
      <c r="O714" s="492"/>
      <c r="P714" s="492">
        <f t="shared" si="52"/>
        <v>0.73</v>
      </c>
      <c r="Q714" s="471">
        <f t="shared" si="53"/>
        <v>1.08</v>
      </c>
      <c r="R714" s="553">
        <v>1</v>
      </c>
      <c r="S714" s="471">
        <f t="shared" si="54"/>
        <v>0.46</v>
      </c>
      <c r="T714" s="392">
        <f t="shared" si="55"/>
        <v>0.43</v>
      </c>
      <c r="U714" s="392">
        <f t="shared" si="56"/>
        <v>3.2</v>
      </c>
      <c r="V714" s="392">
        <f t="shared" si="62"/>
        <v>0.7</v>
      </c>
      <c r="W714" s="2774">
        <f t="shared" si="58"/>
        <v>0.28000000000000003</v>
      </c>
      <c r="X714" s="392">
        <v>0</v>
      </c>
      <c r="Y714" s="392">
        <v>0</v>
      </c>
    </row>
    <row r="715" spans="1:25" s="16" customFormat="1" x14ac:dyDescent="0.2">
      <c r="A715" s="392" t="s">
        <v>1484</v>
      </c>
      <c r="B715" s="2784" t="s">
        <v>1349</v>
      </c>
      <c r="C715" s="392" t="str">
        <f t="shared" si="63"/>
        <v>Cool Temperate MoistSouth America</v>
      </c>
      <c r="D715" s="2773">
        <v>4.7</v>
      </c>
      <c r="E715" s="2773">
        <f t="shared" si="60"/>
        <v>4.7</v>
      </c>
      <c r="F715" s="2773">
        <f t="shared" si="60"/>
        <v>4.7</v>
      </c>
      <c r="G715" s="2785">
        <f t="shared" si="64"/>
        <v>6.3919999999999995</v>
      </c>
      <c r="H715" s="2767">
        <v>0</v>
      </c>
      <c r="I715" s="492">
        <f t="shared" si="50"/>
        <v>1.4</v>
      </c>
      <c r="J715" s="492"/>
      <c r="K715" s="492"/>
      <c r="L715" s="492">
        <f t="shared" si="51"/>
        <v>1.1000000000000001</v>
      </c>
      <c r="M715" s="492"/>
      <c r="N715" s="492"/>
      <c r="O715" s="492"/>
      <c r="P715" s="492">
        <f t="shared" si="52"/>
        <v>1.4000000000000001</v>
      </c>
      <c r="Q715" s="471">
        <f t="shared" si="53"/>
        <v>1.7</v>
      </c>
      <c r="R715" s="553">
        <v>1</v>
      </c>
      <c r="S715" s="471">
        <f t="shared" si="54"/>
        <v>0.46</v>
      </c>
      <c r="T715" s="392">
        <f t="shared" si="55"/>
        <v>0.43</v>
      </c>
      <c r="U715" s="392">
        <f t="shared" si="56"/>
        <v>3.2</v>
      </c>
      <c r="V715" s="392">
        <f t="shared" si="62"/>
        <v>0.7</v>
      </c>
      <c r="W715" s="2774">
        <f t="shared" si="58"/>
        <v>0.28000000000000003</v>
      </c>
      <c r="X715" s="392">
        <v>0</v>
      </c>
      <c r="Y715" s="392">
        <v>0</v>
      </c>
    </row>
    <row r="716" spans="1:25" s="16" customFormat="1" x14ac:dyDescent="0.2">
      <c r="A716" s="392" t="s">
        <v>1484</v>
      </c>
      <c r="B716" s="2784" t="s">
        <v>1333</v>
      </c>
      <c r="C716" s="392" t="str">
        <f t="shared" si="63"/>
        <v>Cool Temperate MoistCentral America</v>
      </c>
      <c r="D716" s="2773">
        <v>4.7</v>
      </c>
      <c r="E716" s="2773">
        <f t="shared" si="60"/>
        <v>4.7</v>
      </c>
      <c r="F716" s="2773">
        <f t="shared" si="60"/>
        <v>4.7</v>
      </c>
      <c r="G716" s="2785">
        <f t="shared" si="64"/>
        <v>6.3919999999999995</v>
      </c>
      <c r="H716" s="2767">
        <v>0</v>
      </c>
      <c r="I716" s="492">
        <f t="shared" si="50"/>
        <v>1.4</v>
      </c>
      <c r="J716" s="492"/>
      <c r="K716" s="492"/>
      <c r="L716" s="492">
        <f t="shared" si="51"/>
        <v>1.1000000000000001</v>
      </c>
      <c r="M716" s="492"/>
      <c r="N716" s="492"/>
      <c r="O716" s="492"/>
      <c r="P716" s="492">
        <f t="shared" si="52"/>
        <v>1.4000000000000001</v>
      </c>
      <c r="Q716" s="471">
        <f t="shared" si="53"/>
        <v>1.7</v>
      </c>
      <c r="R716" s="553">
        <v>1</v>
      </c>
      <c r="S716" s="471">
        <f t="shared" si="54"/>
        <v>0.46</v>
      </c>
      <c r="T716" s="392">
        <f t="shared" si="55"/>
        <v>0.43</v>
      </c>
      <c r="U716" s="392">
        <f t="shared" si="56"/>
        <v>3.2</v>
      </c>
      <c r="V716" s="392">
        <f t="shared" si="62"/>
        <v>0.7</v>
      </c>
      <c r="W716" s="2774">
        <f t="shared" si="58"/>
        <v>0.28000000000000003</v>
      </c>
      <c r="X716" s="392">
        <v>0</v>
      </c>
      <c r="Y716" s="392">
        <v>0</v>
      </c>
    </row>
    <row r="717" spans="1:25" s="2781" customFormat="1" x14ac:dyDescent="0.2">
      <c r="A717" s="2775" t="s">
        <v>1484</v>
      </c>
      <c r="B717" s="2786" t="s">
        <v>1547</v>
      </c>
      <c r="C717" s="2775" t="str">
        <f t="shared" si="63"/>
        <v>Cool Temperate MoistCaribbean</v>
      </c>
      <c r="D717" s="2777">
        <v>4.7</v>
      </c>
      <c r="E717" s="2777">
        <f t="shared" si="60"/>
        <v>4.7</v>
      </c>
      <c r="F717" s="2777">
        <f t="shared" si="60"/>
        <v>4.7</v>
      </c>
      <c r="G717" s="2787">
        <f t="shared" si="64"/>
        <v>6.3919999999999995</v>
      </c>
      <c r="H717" s="2778">
        <v>0</v>
      </c>
      <c r="I717" s="492">
        <f t="shared" si="50"/>
        <v>1.4</v>
      </c>
      <c r="J717" s="492"/>
      <c r="K717" s="492"/>
      <c r="L717" s="492">
        <f t="shared" si="51"/>
        <v>1.1000000000000001</v>
      </c>
      <c r="M717" s="492"/>
      <c r="N717" s="492"/>
      <c r="O717" s="492"/>
      <c r="P717" s="492">
        <f t="shared" si="52"/>
        <v>1.4000000000000001</v>
      </c>
      <c r="Q717" s="471">
        <f t="shared" si="53"/>
        <v>1.7</v>
      </c>
      <c r="R717" s="554">
        <v>1</v>
      </c>
      <c r="S717" s="471">
        <f t="shared" si="54"/>
        <v>0.46</v>
      </c>
      <c r="T717" s="392">
        <f t="shared" si="55"/>
        <v>0.43</v>
      </c>
      <c r="U717" s="392">
        <f t="shared" si="56"/>
        <v>3.2</v>
      </c>
      <c r="V717" s="392">
        <f t="shared" si="62"/>
        <v>0.7</v>
      </c>
      <c r="W717" s="2774">
        <f t="shared" si="58"/>
        <v>0.28000000000000003</v>
      </c>
      <c r="X717" s="392">
        <v>0</v>
      </c>
      <c r="Y717" s="392">
        <v>0</v>
      </c>
    </row>
    <row r="718" spans="1:25" s="2771" customFormat="1" x14ac:dyDescent="0.2">
      <c r="A718" s="2764" t="s">
        <v>1485</v>
      </c>
      <c r="B718" s="2788" t="s">
        <v>1552</v>
      </c>
      <c r="C718" s="2764" t="str">
        <f t="shared" si="63"/>
        <v>Warm Temperate DryEastern Africa</v>
      </c>
      <c r="D718" s="2766">
        <v>4.7</v>
      </c>
      <c r="E718" s="2766">
        <f t="shared" si="60"/>
        <v>4.7</v>
      </c>
      <c r="F718" s="2766">
        <f t="shared" si="60"/>
        <v>4.7</v>
      </c>
      <c r="G718" s="2785">
        <f t="shared" ref="G718:G733" si="65">6.1*0.47</f>
        <v>2.8669999999999995</v>
      </c>
      <c r="H718" s="2768">
        <v>0</v>
      </c>
      <c r="I718" s="490">
        <f t="shared" ref="I718:I749" si="66">E139+E342</f>
        <v>1.7566666666666668</v>
      </c>
      <c r="J718" s="490"/>
      <c r="K718" s="490"/>
      <c r="L718" s="490">
        <f t="shared" ref="L718:L749" si="67">H139+H342</f>
        <v>1.1000000000000001</v>
      </c>
      <c r="M718" s="490"/>
      <c r="N718" s="490"/>
      <c r="O718" s="490"/>
      <c r="P718" s="490">
        <f t="shared" ref="P718:P749" si="68">L139+L342</f>
        <v>1.1400000000000001</v>
      </c>
      <c r="Q718" s="491">
        <f t="shared" ref="Q718:Q749" si="69">M139+M342</f>
        <v>3.0300000000000002</v>
      </c>
      <c r="R718" s="750">
        <v>1</v>
      </c>
      <c r="S718" s="2770">
        <f t="shared" ref="S718:S749" si="70">N139+N342</f>
        <v>0.46</v>
      </c>
      <c r="T718" s="2764">
        <f t="shared" ref="T718:T749" si="71">O139+O342</f>
        <v>0.43</v>
      </c>
      <c r="U718" s="2764">
        <f t="shared" ref="U718:U749" si="72">Q139+Q342</f>
        <v>3.2</v>
      </c>
      <c r="V718" s="2764">
        <f t="shared" ref="V718:V749" si="73">T139+T342</f>
        <v>0.7</v>
      </c>
      <c r="W718" s="2770">
        <f t="shared" ref="W718:W749" si="74">P139+P342</f>
        <v>0.28000000000000003</v>
      </c>
      <c r="X718" s="2764">
        <v>0</v>
      </c>
      <c r="Y718" s="2764">
        <v>0</v>
      </c>
    </row>
    <row r="719" spans="1:25" s="16" customFormat="1" x14ac:dyDescent="0.2">
      <c r="A719" s="392" t="s">
        <v>1485</v>
      </c>
      <c r="B719" s="2789" t="s">
        <v>1557</v>
      </c>
      <c r="C719" s="392" t="str">
        <f t="shared" si="63"/>
        <v>Warm Temperate DryCentral Africa</v>
      </c>
      <c r="D719" s="2773">
        <v>4.7</v>
      </c>
      <c r="E719" s="2773">
        <f t="shared" si="60"/>
        <v>4.7</v>
      </c>
      <c r="F719" s="2773">
        <f t="shared" si="60"/>
        <v>4.7</v>
      </c>
      <c r="G719" s="2785">
        <f t="shared" si="65"/>
        <v>2.8669999999999995</v>
      </c>
      <c r="H719" s="2767">
        <v>0</v>
      </c>
      <c r="I719" s="492">
        <f t="shared" si="66"/>
        <v>1.7566666666666668</v>
      </c>
      <c r="J719" s="492"/>
      <c r="K719" s="492"/>
      <c r="L719" s="492">
        <f t="shared" si="67"/>
        <v>1.1000000000000001</v>
      </c>
      <c r="M719" s="492"/>
      <c r="N719" s="492"/>
      <c r="O719" s="492"/>
      <c r="P719" s="492">
        <f t="shared" si="68"/>
        <v>1.1400000000000001</v>
      </c>
      <c r="Q719" s="471">
        <f t="shared" si="69"/>
        <v>3.0300000000000002</v>
      </c>
      <c r="R719" s="751">
        <v>1</v>
      </c>
      <c r="S719" s="2774">
        <f t="shared" si="70"/>
        <v>0.46</v>
      </c>
      <c r="T719" s="392">
        <f t="shared" si="71"/>
        <v>0.43</v>
      </c>
      <c r="U719" s="392">
        <f t="shared" si="72"/>
        <v>3.2</v>
      </c>
      <c r="V719" s="392">
        <f t="shared" si="73"/>
        <v>0.7</v>
      </c>
      <c r="W719" s="2774">
        <f t="shared" si="74"/>
        <v>0.28000000000000003</v>
      </c>
      <c r="X719" s="392">
        <v>0</v>
      </c>
      <c r="Y719" s="392">
        <v>0</v>
      </c>
    </row>
    <row r="720" spans="1:25" s="16" customFormat="1" x14ac:dyDescent="0.2">
      <c r="A720" s="392" t="s">
        <v>1485</v>
      </c>
      <c r="B720" s="2789" t="s">
        <v>1559</v>
      </c>
      <c r="C720" s="392" t="str">
        <f t="shared" si="63"/>
        <v>Warm Temperate DryNorthern Africa</v>
      </c>
      <c r="D720" s="2773">
        <v>4.7</v>
      </c>
      <c r="E720" s="2773">
        <f t="shared" si="60"/>
        <v>4.7</v>
      </c>
      <c r="F720" s="2773">
        <f t="shared" si="60"/>
        <v>4.7</v>
      </c>
      <c r="G720" s="2785">
        <f t="shared" si="65"/>
        <v>2.8669999999999995</v>
      </c>
      <c r="H720" s="2767">
        <v>0</v>
      </c>
      <c r="I720" s="492">
        <f t="shared" si="66"/>
        <v>1.7566666666666668</v>
      </c>
      <c r="J720" s="492"/>
      <c r="K720" s="492"/>
      <c r="L720" s="492">
        <f t="shared" si="67"/>
        <v>1.1000000000000001</v>
      </c>
      <c r="M720" s="492"/>
      <c r="N720" s="492"/>
      <c r="O720" s="492"/>
      <c r="P720" s="492">
        <f t="shared" si="68"/>
        <v>1.1400000000000001</v>
      </c>
      <c r="Q720" s="471">
        <f t="shared" si="69"/>
        <v>3.0300000000000002</v>
      </c>
      <c r="R720" s="751">
        <v>1</v>
      </c>
      <c r="S720" s="2774">
        <f t="shared" si="70"/>
        <v>0.46</v>
      </c>
      <c r="T720" s="392">
        <f t="shared" si="71"/>
        <v>0.43</v>
      </c>
      <c r="U720" s="392">
        <f t="shared" si="72"/>
        <v>3.2</v>
      </c>
      <c r="V720" s="392">
        <f t="shared" si="73"/>
        <v>0.7</v>
      </c>
      <c r="W720" s="2774">
        <f t="shared" si="74"/>
        <v>0.28000000000000003</v>
      </c>
      <c r="X720" s="392">
        <v>0</v>
      </c>
      <c r="Y720" s="392">
        <v>0</v>
      </c>
    </row>
    <row r="721" spans="1:25" s="16" customFormat="1" x14ac:dyDescent="0.2">
      <c r="A721" s="392" t="s">
        <v>1485</v>
      </c>
      <c r="B721" s="2789" t="s">
        <v>1565</v>
      </c>
      <c r="C721" s="392" t="str">
        <f t="shared" si="63"/>
        <v>Warm Temperate DrySouthern Africa</v>
      </c>
      <c r="D721" s="2773">
        <v>4.7</v>
      </c>
      <c r="E721" s="2773">
        <f t="shared" si="60"/>
        <v>4.7</v>
      </c>
      <c r="F721" s="2773">
        <f t="shared" si="60"/>
        <v>4.7</v>
      </c>
      <c r="G721" s="2785">
        <f t="shared" si="65"/>
        <v>2.8669999999999995</v>
      </c>
      <c r="H721" s="2767">
        <v>0</v>
      </c>
      <c r="I721" s="492">
        <f t="shared" si="66"/>
        <v>1.7566666666666668</v>
      </c>
      <c r="J721" s="492"/>
      <c r="K721" s="492"/>
      <c r="L721" s="492">
        <f t="shared" si="67"/>
        <v>1.1000000000000001</v>
      </c>
      <c r="M721" s="492"/>
      <c r="N721" s="492"/>
      <c r="O721" s="492"/>
      <c r="P721" s="492">
        <f t="shared" si="68"/>
        <v>1.1400000000000001</v>
      </c>
      <c r="Q721" s="471">
        <f t="shared" si="69"/>
        <v>3.0300000000000002</v>
      </c>
      <c r="R721" s="751">
        <v>1</v>
      </c>
      <c r="S721" s="2774">
        <f t="shared" si="70"/>
        <v>0.46</v>
      </c>
      <c r="T721" s="392">
        <f t="shared" si="71"/>
        <v>0.43</v>
      </c>
      <c r="U721" s="392">
        <f t="shared" si="72"/>
        <v>3.2</v>
      </c>
      <c r="V721" s="392">
        <f t="shared" si="73"/>
        <v>0.7</v>
      </c>
      <c r="W721" s="2774">
        <f t="shared" si="74"/>
        <v>0.28000000000000003</v>
      </c>
      <c r="X721" s="392">
        <v>0</v>
      </c>
      <c r="Y721" s="392">
        <v>0</v>
      </c>
    </row>
    <row r="722" spans="1:25" s="16" customFormat="1" x14ac:dyDescent="0.2">
      <c r="A722" s="392" t="s">
        <v>1485</v>
      </c>
      <c r="B722" s="2789" t="s">
        <v>1569</v>
      </c>
      <c r="C722" s="392" t="str">
        <f t="shared" si="63"/>
        <v>Warm Temperate DryWestern Africa</v>
      </c>
      <c r="D722" s="2773">
        <v>4.7</v>
      </c>
      <c r="E722" s="2773">
        <f t="shared" si="60"/>
        <v>4.7</v>
      </c>
      <c r="F722" s="2773">
        <f t="shared" si="60"/>
        <v>4.7</v>
      </c>
      <c r="G722" s="2785">
        <f t="shared" si="65"/>
        <v>2.8669999999999995</v>
      </c>
      <c r="H722" s="2767">
        <v>0</v>
      </c>
      <c r="I722" s="492">
        <f t="shared" si="66"/>
        <v>1.7566666666666668</v>
      </c>
      <c r="J722" s="492"/>
      <c r="K722" s="492"/>
      <c r="L722" s="492">
        <f t="shared" si="67"/>
        <v>1.1000000000000001</v>
      </c>
      <c r="M722" s="492"/>
      <c r="N722" s="492"/>
      <c r="O722" s="492"/>
      <c r="P722" s="492">
        <f t="shared" si="68"/>
        <v>1.1400000000000001</v>
      </c>
      <c r="Q722" s="471">
        <f t="shared" si="69"/>
        <v>3.0300000000000002</v>
      </c>
      <c r="R722" s="751">
        <v>1</v>
      </c>
      <c r="S722" s="2774">
        <f t="shared" si="70"/>
        <v>0.46</v>
      </c>
      <c r="T722" s="392">
        <f t="shared" si="71"/>
        <v>0.43</v>
      </c>
      <c r="U722" s="392">
        <f t="shared" si="72"/>
        <v>3.2</v>
      </c>
      <c r="V722" s="392">
        <f t="shared" si="73"/>
        <v>0.7</v>
      </c>
      <c r="W722" s="2774">
        <f t="shared" si="74"/>
        <v>0.28000000000000003</v>
      </c>
      <c r="X722" s="392">
        <v>0</v>
      </c>
      <c r="Y722" s="392">
        <v>0</v>
      </c>
    </row>
    <row r="723" spans="1:25" s="16" customFormat="1" x14ac:dyDescent="0.2">
      <c r="A723" s="392" t="s">
        <v>1485</v>
      </c>
      <c r="B723" s="2789" t="s">
        <v>1550</v>
      </c>
      <c r="C723" s="392" t="str">
        <f t="shared" si="63"/>
        <v>Warm Temperate DryCentral Asia</v>
      </c>
      <c r="D723" s="2773">
        <v>4.7</v>
      </c>
      <c r="E723" s="2773">
        <f t="shared" si="60"/>
        <v>4.7</v>
      </c>
      <c r="F723" s="2773">
        <f t="shared" si="60"/>
        <v>4.7</v>
      </c>
      <c r="G723" s="2785">
        <f t="shared" si="65"/>
        <v>2.8669999999999995</v>
      </c>
      <c r="H723" s="2767">
        <v>0</v>
      </c>
      <c r="I723" s="492">
        <f t="shared" si="66"/>
        <v>1.7566666666666668</v>
      </c>
      <c r="J723" s="492"/>
      <c r="K723" s="492"/>
      <c r="L723" s="492">
        <f t="shared" si="67"/>
        <v>1.1000000000000001</v>
      </c>
      <c r="M723" s="492"/>
      <c r="N723" s="492"/>
      <c r="O723" s="492"/>
      <c r="P723" s="492">
        <f t="shared" si="68"/>
        <v>1.1400000000000001</v>
      </c>
      <c r="Q723" s="471">
        <f t="shared" si="69"/>
        <v>3.0300000000000002</v>
      </c>
      <c r="R723" s="751">
        <v>1</v>
      </c>
      <c r="S723" s="2774">
        <f t="shared" si="70"/>
        <v>0.46</v>
      </c>
      <c r="T723" s="392">
        <f t="shared" si="71"/>
        <v>0.43</v>
      </c>
      <c r="U723" s="392">
        <f t="shared" si="72"/>
        <v>3.2</v>
      </c>
      <c r="V723" s="392">
        <f t="shared" si="73"/>
        <v>0.7</v>
      </c>
      <c r="W723" s="2774">
        <f t="shared" si="74"/>
        <v>0.28000000000000003</v>
      </c>
      <c r="X723" s="392">
        <v>0</v>
      </c>
      <c r="Y723" s="392">
        <v>0</v>
      </c>
    </row>
    <row r="724" spans="1:25" s="16" customFormat="1" x14ac:dyDescent="0.2">
      <c r="A724" s="392" t="s">
        <v>1485</v>
      </c>
      <c r="B724" s="2789" t="s">
        <v>1554</v>
      </c>
      <c r="C724" s="392" t="str">
        <f t="shared" si="63"/>
        <v>Warm Temperate DryEastern Asia</v>
      </c>
      <c r="D724" s="2773">
        <v>4.7</v>
      </c>
      <c r="E724" s="2773">
        <f t="shared" si="60"/>
        <v>4.7</v>
      </c>
      <c r="F724" s="2773">
        <f t="shared" si="60"/>
        <v>4.7</v>
      </c>
      <c r="G724" s="2785">
        <f t="shared" si="65"/>
        <v>2.8669999999999995</v>
      </c>
      <c r="H724" s="2767">
        <v>0</v>
      </c>
      <c r="I724" s="492">
        <f t="shared" si="66"/>
        <v>1.7566666666666668</v>
      </c>
      <c r="J724" s="492"/>
      <c r="K724" s="492"/>
      <c r="L724" s="492">
        <f t="shared" si="67"/>
        <v>1.1000000000000001</v>
      </c>
      <c r="M724" s="492"/>
      <c r="N724" s="492"/>
      <c r="O724" s="492"/>
      <c r="P724" s="492">
        <f t="shared" si="68"/>
        <v>1.1400000000000001</v>
      </c>
      <c r="Q724" s="471">
        <f t="shared" si="69"/>
        <v>3.0300000000000002</v>
      </c>
      <c r="R724" s="751">
        <v>1</v>
      </c>
      <c r="S724" s="2774">
        <f t="shared" si="70"/>
        <v>0.46</v>
      </c>
      <c r="T724" s="392">
        <f t="shared" si="71"/>
        <v>0.43</v>
      </c>
      <c r="U724" s="392">
        <f t="shared" si="72"/>
        <v>3.2</v>
      </c>
      <c r="V724" s="392">
        <f t="shared" si="73"/>
        <v>0.7</v>
      </c>
      <c r="W724" s="2774">
        <f t="shared" si="74"/>
        <v>0.28000000000000003</v>
      </c>
      <c r="X724" s="392">
        <v>0</v>
      </c>
      <c r="Y724" s="392">
        <v>0</v>
      </c>
    </row>
    <row r="725" spans="1:25" s="16" customFormat="1" x14ac:dyDescent="0.2">
      <c r="A725" s="392" t="s">
        <v>1485</v>
      </c>
      <c r="B725" s="2789" t="s">
        <v>1563</v>
      </c>
      <c r="C725" s="392" t="str">
        <f t="shared" si="63"/>
        <v>Warm Temperate DrySouth-eastern Asia</v>
      </c>
      <c r="D725" s="2773">
        <v>4.7</v>
      </c>
      <c r="E725" s="2773">
        <f t="shared" si="60"/>
        <v>4.7</v>
      </c>
      <c r="F725" s="2773">
        <f t="shared" si="60"/>
        <v>4.7</v>
      </c>
      <c r="G725" s="2785">
        <f t="shared" si="65"/>
        <v>2.8669999999999995</v>
      </c>
      <c r="H725" s="2767">
        <v>0</v>
      </c>
      <c r="I725" s="492">
        <f t="shared" si="66"/>
        <v>1.7566666666666668</v>
      </c>
      <c r="J725" s="492"/>
      <c r="K725" s="492"/>
      <c r="L725" s="492">
        <f t="shared" si="67"/>
        <v>1.1000000000000001</v>
      </c>
      <c r="M725" s="492"/>
      <c r="N725" s="492"/>
      <c r="O725" s="492"/>
      <c r="P725" s="492">
        <f t="shared" si="68"/>
        <v>1.1400000000000001</v>
      </c>
      <c r="Q725" s="471">
        <f t="shared" si="69"/>
        <v>3.0300000000000002</v>
      </c>
      <c r="R725" s="751">
        <v>1</v>
      </c>
      <c r="S725" s="2774">
        <f t="shared" si="70"/>
        <v>0.46</v>
      </c>
      <c r="T725" s="392">
        <f t="shared" si="71"/>
        <v>0.43</v>
      </c>
      <c r="U725" s="392">
        <f t="shared" si="72"/>
        <v>3.2</v>
      </c>
      <c r="V725" s="392">
        <f t="shared" si="73"/>
        <v>0.7</v>
      </c>
      <c r="W725" s="2774">
        <f t="shared" si="74"/>
        <v>0.28000000000000003</v>
      </c>
      <c r="X725" s="392">
        <v>0</v>
      </c>
      <c r="Y725" s="392">
        <v>0</v>
      </c>
    </row>
    <row r="726" spans="1:25" s="16" customFormat="1" x14ac:dyDescent="0.2">
      <c r="A726" s="392" t="s">
        <v>1485</v>
      </c>
      <c r="B726" s="2789" t="s">
        <v>1567</v>
      </c>
      <c r="C726" s="392" t="str">
        <f t="shared" si="63"/>
        <v>Warm Temperate DrySouthern Asia</v>
      </c>
      <c r="D726" s="2773">
        <v>4.7</v>
      </c>
      <c r="E726" s="2773">
        <f t="shared" si="60"/>
        <v>4.7</v>
      </c>
      <c r="F726" s="2773">
        <f t="shared" si="60"/>
        <v>4.7</v>
      </c>
      <c r="G726" s="2785">
        <f t="shared" si="65"/>
        <v>2.8669999999999995</v>
      </c>
      <c r="H726" s="2767">
        <v>0</v>
      </c>
      <c r="I726" s="492">
        <f t="shared" si="66"/>
        <v>1.7566666666666668</v>
      </c>
      <c r="J726" s="492"/>
      <c r="K726" s="492"/>
      <c r="L726" s="492">
        <f t="shared" si="67"/>
        <v>1.1000000000000001</v>
      </c>
      <c r="M726" s="492"/>
      <c r="N726" s="492"/>
      <c r="O726" s="492"/>
      <c r="P726" s="492">
        <f t="shared" si="68"/>
        <v>1.1400000000000001</v>
      </c>
      <c r="Q726" s="471">
        <f t="shared" si="69"/>
        <v>3.0300000000000002</v>
      </c>
      <c r="R726" s="751">
        <v>1</v>
      </c>
      <c r="S726" s="2774">
        <f t="shared" si="70"/>
        <v>0.46</v>
      </c>
      <c r="T726" s="392">
        <f t="shared" si="71"/>
        <v>0.43</v>
      </c>
      <c r="U726" s="392">
        <f t="shared" si="72"/>
        <v>3.2</v>
      </c>
      <c r="V726" s="392">
        <f t="shared" si="73"/>
        <v>0.7</v>
      </c>
      <c r="W726" s="2774">
        <f t="shared" si="74"/>
        <v>0.28000000000000003</v>
      </c>
      <c r="X726" s="392">
        <v>0</v>
      </c>
      <c r="Y726" s="392">
        <v>0</v>
      </c>
    </row>
    <row r="727" spans="1:25" s="16" customFormat="1" x14ac:dyDescent="0.2">
      <c r="A727" s="392" t="s">
        <v>1485</v>
      </c>
      <c r="B727" s="2789" t="s">
        <v>1571</v>
      </c>
      <c r="C727" s="392" t="str">
        <f t="shared" si="63"/>
        <v>Warm Temperate DryWestern Asia</v>
      </c>
      <c r="D727" s="2773">
        <v>4.7</v>
      </c>
      <c r="E727" s="2773">
        <f t="shared" si="60"/>
        <v>4.7</v>
      </c>
      <c r="F727" s="2773">
        <f t="shared" si="60"/>
        <v>4.7</v>
      </c>
      <c r="G727" s="2785">
        <f t="shared" si="65"/>
        <v>2.8669999999999995</v>
      </c>
      <c r="H727" s="2767">
        <v>0</v>
      </c>
      <c r="I727" s="492">
        <f t="shared" si="66"/>
        <v>1.7566666666666668</v>
      </c>
      <c r="J727" s="492"/>
      <c r="K727" s="492"/>
      <c r="L727" s="492">
        <f t="shared" si="67"/>
        <v>1.1000000000000001</v>
      </c>
      <c r="M727" s="492"/>
      <c r="N727" s="492"/>
      <c r="O727" s="492"/>
      <c r="P727" s="492">
        <f t="shared" si="68"/>
        <v>1.1400000000000001</v>
      </c>
      <c r="Q727" s="471">
        <f t="shared" si="69"/>
        <v>3.0300000000000002</v>
      </c>
      <c r="R727" s="751">
        <v>1</v>
      </c>
      <c r="S727" s="2774">
        <f t="shared" si="70"/>
        <v>0.46</v>
      </c>
      <c r="T727" s="392">
        <f t="shared" si="71"/>
        <v>0.43</v>
      </c>
      <c r="U727" s="392">
        <f t="shared" si="72"/>
        <v>3.2</v>
      </c>
      <c r="V727" s="392">
        <f t="shared" si="73"/>
        <v>0.7</v>
      </c>
      <c r="W727" s="2774">
        <f t="shared" si="74"/>
        <v>0.28000000000000003</v>
      </c>
      <c r="X727" s="392">
        <v>0</v>
      </c>
      <c r="Y727" s="392">
        <v>0</v>
      </c>
    </row>
    <row r="728" spans="1:25" s="16" customFormat="1" x14ac:dyDescent="0.2">
      <c r="A728" s="392" t="s">
        <v>1485</v>
      </c>
      <c r="B728" s="2789" t="s">
        <v>1555</v>
      </c>
      <c r="C728" s="392" t="str">
        <f t="shared" si="63"/>
        <v>Warm Temperate DryEurope</v>
      </c>
      <c r="D728" s="2773">
        <v>4.7</v>
      </c>
      <c r="E728" s="2773">
        <f t="shared" si="60"/>
        <v>4.7</v>
      </c>
      <c r="F728" s="2773">
        <f t="shared" si="60"/>
        <v>4.7</v>
      </c>
      <c r="G728" s="2785">
        <f t="shared" si="65"/>
        <v>2.8669999999999995</v>
      </c>
      <c r="H728" s="2767">
        <v>0</v>
      </c>
      <c r="I728" s="492">
        <f t="shared" si="66"/>
        <v>1.9666666666666666</v>
      </c>
      <c r="J728" s="492"/>
      <c r="K728" s="492"/>
      <c r="L728" s="492">
        <f t="shared" si="67"/>
        <v>1.1000000000000001</v>
      </c>
      <c r="M728" s="492"/>
      <c r="N728" s="492"/>
      <c r="O728" s="492"/>
      <c r="P728" s="492">
        <f t="shared" si="68"/>
        <v>0.66</v>
      </c>
      <c r="Q728" s="471">
        <f t="shared" si="69"/>
        <v>4.1399999999999997</v>
      </c>
      <c r="R728" s="751">
        <v>1</v>
      </c>
      <c r="S728" s="2774">
        <f t="shared" si="70"/>
        <v>0.46</v>
      </c>
      <c r="T728" s="392">
        <f t="shared" si="71"/>
        <v>0.43</v>
      </c>
      <c r="U728" s="392">
        <f t="shared" si="72"/>
        <v>3.2</v>
      </c>
      <c r="V728" s="392">
        <f t="shared" si="73"/>
        <v>0.7</v>
      </c>
      <c r="W728" s="2774">
        <f t="shared" si="74"/>
        <v>0.28000000000000003</v>
      </c>
      <c r="X728" s="392">
        <v>0</v>
      </c>
      <c r="Y728" s="392">
        <v>0</v>
      </c>
    </row>
    <row r="729" spans="1:25" s="16" customFormat="1" x14ac:dyDescent="0.2">
      <c r="A729" s="392" t="s">
        <v>1485</v>
      </c>
      <c r="B729" s="2789" t="s">
        <v>1346</v>
      </c>
      <c r="C729" s="392" t="str">
        <f t="shared" si="63"/>
        <v>Warm Temperate DryOceania</v>
      </c>
      <c r="D729" s="2773">
        <v>4.7</v>
      </c>
      <c r="E729" s="2773">
        <f t="shared" si="60"/>
        <v>4.7</v>
      </c>
      <c r="F729" s="2773">
        <f t="shared" si="60"/>
        <v>4.7</v>
      </c>
      <c r="G729" s="2785">
        <f t="shared" si="65"/>
        <v>2.8669999999999995</v>
      </c>
      <c r="H729" s="2767">
        <v>0</v>
      </c>
      <c r="I729" s="492">
        <f t="shared" si="66"/>
        <v>1.7566666666666668</v>
      </c>
      <c r="J729" s="492"/>
      <c r="K729" s="492"/>
      <c r="L729" s="492">
        <f t="shared" si="67"/>
        <v>1.1000000000000001</v>
      </c>
      <c r="M729" s="492"/>
      <c r="N729" s="492"/>
      <c r="O729" s="492"/>
      <c r="P729" s="492">
        <f t="shared" si="68"/>
        <v>1.1400000000000001</v>
      </c>
      <c r="Q729" s="471">
        <f t="shared" si="69"/>
        <v>3.0300000000000002</v>
      </c>
      <c r="R729" s="751">
        <v>1</v>
      </c>
      <c r="S729" s="2774">
        <f t="shared" si="70"/>
        <v>0.46</v>
      </c>
      <c r="T729" s="392">
        <f t="shared" si="71"/>
        <v>0.43</v>
      </c>
      <c r="U729" s="392">
        <f t="shared" si="72"/>
        <v>3.2</v>
      </c>
      <c r="V729" s="392">
        <f t="shared" si="73"/>
        <v>0.7</v>
      </c>
      <c r="W729" s="2774">
        <f t="shared" si="74"/>
        <v>0.28000000000000003</v>
      </c>
      <c r="X729" s="392">
        <v>0</v>
      </c>
      <c r="Y729" s="392">
        <v>0</v>
      </c>
    </row>
    <row r="730" spans="1:25" s="16" customFormat="1" x14ac:dyDescent="0.2">
      <c r="A730" s="392" t="s">
        <v>1485</v>
      </c>
      <c r="B730" s="2789" t="s">
        <v>1343</v>
      </c>
      <c r="C730" s="392" t="str">
        <f t="shared" si="63"/>
        <v>Warm Temperate DryNorth America</v>
      </c>
      <c r="D730" s="2773">
        <v>4.7</v>
      </c>
      <c r="E730" s="2773">
        <f t="shared" si="60"/>
        <v>4.7</v>
      </c>
      <c r="F730" s="2773">
        <f t="shared" si="60"/>
        <v>4.7</v>
      </c>
      <c r="G730" s="2785">
        <f t="shared" si="65"/>
        <v>2.8669999999999995</v>
      </c>
      <c r="H730" s="2767">
        <v>0</v>
      </c>
      <c r="I730" s="492">
        <f t="shared" si="66"/>
        <v>1.7566666666666668</v>
      </c>
      <c r="J730" s="492"/>
      <c r="K730" s="492"/>
      <c r="L730" s="492">
        <f t="shared" si="67"/>
        <v>1.1000000000000001</v>
      </c>
      <c r="M730" s="492"/>
      <c r="N730" s="492"/>
      <c r="O730" s="492"/>
      <c r="P730" s="492">
        <f t="shared" si="68"/>
        <v>1.1400000000000001</v>
      </c>
      <c r="Q730" s="471">
        <f t="shared" si="69"/>
        <v>3.0300000000000002</v>
      </c>
      <c r="R730" s="751">
        <v>1</v>
      </c>
      <c r="S730" s="2774">
        <f t="shared" si="70"/>
        <v>0.46</v>
      </c>
      <c r="T730" s="392">
        <f t="shared" si="71"/>
        <v>0.43</v>
      </c>
      <c r="U730" s="392">
        <f t="shared" si="72"/>
        <v>3.2</v>
      </c>
      <c r="V730" s="392">
        <f t="shared" si="73"/>
        <v>0.7</v>
      </c>
      <c r="W730" s="2774">
        <f t="shared" si="74"/>
        <v>0.28000000000000003</v>
      </c>
      <c r="X730" s="392">
        <v>0</v>
      </c>
      <c r="Y730" s="392">
        <v>0</v>
      </c>
    </row>
    <row r="731" spans="1:25" s="16" customFormat="1" x14ac:dyDescent="0.2">
      <c r="A731" s="392" t="s">
        <v>1485</v>
      </c>
      <c r="B731" s="2789" t="s">
        <v>1349</v>
      </c>
      <c r="C731" s="392" t="str">
        <f t="shared" si="63"/>
        <v>Warm Temperate DrySouth America</v>
      </c>
      <c r="D731" s="2773">
        <v>4.7</v>
      </c>
      <c r="E731" s="2773">
        <f t="shared" si="60"/>
        <v>4.7</v>
      </c>
      <c r="F731" s="2773">
        <f t="shared" si="60"/>
        <v>4.7</v>
      </c>
      <c r="G731" s="2785">
        <f t="shared" si="65"/>
        <v>2.8669999999999995</v>
      </c>
      <c r="H731" s="2767">
        <v>0</v>
      </c>
      <c r="I731" s="492">
        <f t="shared" si="66"/>
        <v>1.7566666666666668</v>
      </c>
      <c r="J731" s="492"/>
      <c r="K731" s="492"/>
      <c r="L731" s="492">
        <f t="shared" si="67"/>
        <v>1.1000000000000001</v>
      </c>
      <c r="M731" s="492"/>
      <c r="N731" s="492"/>
      <c r="O731" s="492"/>
      <c r="P731" s="492">
        <f t="shared" si="68"/>
        <v>1.1400000000000001</v>
      </c>
      <c r="Q731" s="471">
        <f t="shared" si="69"/>
        <v>3.0300000000000002</v>
      </c>
      <c r="R731" s="751">
        <v>1</v>
      </c>
      <c r="S731" s="2774">
        <f t="shared" si="70"/>
        <v>0.46</v>
      </c>
      <c r="T731" s="392">
        <f t="shared" si="71"/>
        <v>0.43</v>
      </c>
      <c r="U731" s="392">
        <f t="shared" si="72"/>
        <v>3.2</v>
      </c>
      <c r="V731" s="392">
        <f t="shared" si="73"/>
        <v>0.7</v>
      </c>
      <c r="W731" s="2774">
        <f t="shared" si="74"/>
        <v>0.28000000000000003</v>
      </c>
      <c r="X731" s="392">
        <v>0</v>
      </c>
      <c r="Y731" s="392">
        <v>0</v>
      </c>
    </row>
    <row r="732" spans="1:25" s="16" customFormat="1" x14ac:dyDescent="0.2">
      <c r="A732" s="392" t="s">
        <v>1485</v>
      </c>
      <c r="B732" s="2789" t="s">
        <v>1333</v>
      </c>
      <c r="C732" s="392" t="str">
        <f t="shared" si="63"/>
        <v>Warm Temperate DryCentral America</v>
      </c>
      <c r="D732" s="2773">
        <v>4.7</v>
      </c>
      <c r="E732" s="2773">
        <f t="shared" si="60"/>
        <v>4.7</v>
      </c>
      <c r="F732" s="2773">
        <f t="shared" si="60"/>
        <v>4.7</v>
      </c>
      <c r="G732" s="2785">
        <f t="shared" si="65"/>
        <v>2.8669999999999995</v>
      </c>
      <c r="H732" s="2767">
        <v>0</v>
      </c>
      <c r="I732" s="492">
        <f t="shared" si="66"/>
        <v>1.7566666666666668</v>
      </c>
      <c r="J732" s="492"/>
      <c r="K732" s="492"/>
      <c r="L732" s="492">
        <f t="shared" si="67"/>
        <v>1.1000000000000001</v>
      </c>
      <c r="M732" s="492"/>
      <c r="N732" s="492"/>
      <c r="O732" s="492"/>
      <c r="P732" s="492">
        <f t="shared" si="68"/>
        <v>1.1400000000000001</v>
      </c>
      <c r="Q732" s="471">
        <f t="shared" si="69"/>
        <v>3.0300000000000002</v>
      </c>
      <c r="R732" s="751">
        <v>1</v>
      </c>
      <c r="S732" s="2774">
        <f t="shared" si="70"/>
        <v>0.46</v>
      </c>
      <c r="T732" s="392">
        <f t="shared" si="71"/>
        <v>0.43</v>
      </c>
      <c r="U732" s="392">
        <f t="shared" si="72"/>
        <v>3.2</v>
      </c>
      <c r="V732" s="392">
        <f t="shared" si="73"/>
        <v>0.7</v>
      </c>
      <c r="W732" s="2774">
        <f t="shared" si="74"/>
        <v>0.28000000000000003</v>
      </c>
      <c r="X732" s="392">
        <v>0</v>
      </c>
      <c r="Y732" s="392">
        <v>0</v>
      </c>
    </row>
    <row r="733" spans="1:25" s="2781" customFormat="1" x14ac:dyDescent="0.2">
      <c r="A733" s="2775" t="s">
        <v>1485</v>
      </c>
      <c r="B733" s="2790" t="s">
        <v>1547</v>
      </c>
      <c r="C733" s="2775" t="str">
        <f t="shared" si="63"/>
        <v>Warm Temperate DryCaribbean</v>
      </c>
      <c r="D733" s="2777">
        <v>4.7</v>
      </c>
      <c r="E733" s="2777">
        <f t="shared" si="60"/>
        <v>4.7</v>
      </c>
      <c r="F733" s="2777">
        <f t="shared" si="60"/>
        <v>4.7</v>
      </c>
      <c r="G733" s="2785">
        <f t="shared" si="65"/>
        <v>2.8669999999999995</v>
      </c>
      <c r="H733" s="2778">
        <v>0</v>
      </c>
      <c r="I733" s="492">
        <f t="shared" si="66"/>
        <v>1.7566666666666668</v>
      </c>
      <c r="J733" s="492"/>
      <c r="K733" s="492"/>
      <c r="L733" s="492">
        <f t="shared" si="67"/>
        <v>1.1000000000000001</v>
      </c>
      <c r="M733" s="492"/>
      <c r="N733" s="492"/>
      <c r="O733" s="492"/>
      <c r="P733" s="492">
        <f t="shared" si="68"/>
        <v>1.1400000000000001</v>
      </c>
      <c r="Q733" s="471">
        <f t="shared" si="69"/>
        <v>3.0300000000000002</v>
      </c>
      <c r="R733" s="752">
        <v>1</v>
      </c>
      <c r="S733" s="2780">
        <f t="shared" si="70"/>
        <v>0.46</v>
      </c>
      <c r="T733" s="2775">
        <f t="shared" si="71"/>
        <v>0.43</v>
      </c>
      <c r="U733" s="2775">
        <f t="shared" si="72"/>
        <v>3.2</v>
      </c>
      <c r="V733" s="2775">
        <f t="shared" si="73"/>
        <v>0.7</v>
      </c>
      <c r="W733" s="2780">
        <f t="shared" si="74"/>
        <v>0.28000000000000003</v>
      </c>
      <c r="X733" s="392">
        <v>0</v>
      </c>
      <c r="Y733" s="392">
        <v>0</v>
      </c>
    </row>
    <row r="734" spans="1:25" s="2771" customFormat="1" x14ac:dyDescent="0.2">
      <c r="A734" s="2764" t="s">
        <v>1486</v>
      </c>
      <c r="B734" s="2788" t="s">
        <v>1552</v>
      </c>
      <c r="C734" s="2764" t="str">
        <f>CONCATENATE(A734,B734)</f>
        <v>Warm Temperate MoistEastern Africa</v>
      </c>
      <c r="D734" s="2766">
        <v>4.7</v>
      </c>
      <c r="E734" s="2766">
        <f t="shared" si="60"/>
        <v>4.7</v>
      </c>
      <c r="F734" s="2766">
        <f t="shared" si="60"/>
        <v>4.7</v>
      </c>
      <c r="G734" s="2783">
        <f t="shared" ref="G734:G749" si="75">13.5*0.47</f>
        <v>6.3449999999999998</v>
      </c>
      <c r="H734" s="2768">
        <v>0</v>
      </c>
      <c r="I734" s="490">
        <f t="shared" si="66"/>
        <v>1.7566666666666668</v>
      </c>
      <c r="J734" s="490"/>
      <c r="K734" s="490"/>
      <c r="L734" s="490">
        <f t="shared" si="67"/>
        <v>1.1000000000000001</v>
      </c>
      <c r="M734" s="490"/>
      <c r="N734" s="490"/>
      <c r="O734" s="490"/>
      <c r="P734" s="490">
        <f t="shared" si="68"/>
        <v>1.1400000000000001</v>
      </c>
      <c r="Q734" s="491">
        <f t="shared" si="69"/>
        <v>3.0300000000000002</v>
      </c>
      <c r="R734" s="552">
        <v>1</v>
      </c>
      <c r="S734" s="2774">
        <f t="shared" si="70"/>
        <v>0.46</v>
      </c>
      <c r="T734" s="392">
        <f t="shared" si="71"/>
        <v>0.43</v>
      </c>
      <c r="U734" s="392">
        <f t="shared" si="72"/>
        <v>3.2</v>
      </c>
      <c r="V734" s="392">
        <f t="shared" si="73"/>
        <v>0.7</v>
      </c>
      <c r="W734" s="2774">
        <f t="shared" si="74"/>
        <v>0.28000000000000003</v>
      </c>
      <c r="X734" s="2764">
        <v>0</v>
      </c>
      <c r="Y734" s="2764">
        <v>0</v>
      </c>
    </row>
    <row r="735" spans="1:25" s="16" customFormat="1" x14ac:dyDescent="0.2">
      <c r="A735" s="392" t="s">
        <v>1486</v>
      </c>
      <c r="B735" s="2789" t="s">
        <v>1557</v>
      </c>
      <c r="C735" s="392" t="str">
        <f t="shared" ref="C735:C765" si="76">CONCATENATE(A735,B735)</f>
        <v>Warm Temperate MoistCentral Africa</v>
      </c>
      <c r="D735" s="2773">
        <v>4.7</v>
      </c>
      <c r="E735" s="2773">
        <f t="shared" si="60"/>
        <v>4.7</v>
      </c>
      <c r="F735" s="2773">
        <f t="shared" si="60"/>
        <v>4.7</v>
      </c>
      <c r="G735" s="2785">
        <f t="shared" si="75"/>
        <v>6.3449999999999998</v>
      </c>
      <c r="H735" s="2767">
        <v>0</v>
      </c>
      <c r="I735" s="492">
        <f t="shared" si="66"/>
        <v>1.7566666666666668</v>
      </c>
      <c r="J735" s="492"/>
      <c r="K735" s="492"/>
      <c r="L735" s="492">
        <f t="shared" si="67"/>
        <v>1.1000000000000001</v>
      </c>
      <c r="M735" s="492"/>
      <c r="N735" s="492"/>
      <c r="O735" s="492"/>
      <c r="P735" s="492">
        <f t="shared" si="68"/>
        <v>1.1400000000000001</v>
      </c>
      <c r="Q735" s="471">
        <f t="shared" si="69"/>
        <v>3.0300000000000002</v>
      </c>
      <c r="R735" s="553">
        <v>1</v>
      </c>
      <c r="S735" s="2774">
        <f t="shared" si="70"/>
        <v>0.46</v>
      </c>
      <c r="T735" s="392">
        <f t="shared" si="71"/>
        <v>0.43</v>
      </c>
      <c r="U735" s="392">
        <f t="shared" si="72"/>
        <v>3.2</v>
      </c>
      <c r="V735" s="392">
        <f t="shared" si="73"/>
        <v>0.7</v>
      </c>
      <c r="W735" s="2774">
        <f t="shared" si="74"/>
        <v>0.28000000000000003</v>
      </c>
      <c r="X735" s="392">
        <v>0</v>
      </c>
      <c r="Y735" s="392">
        <v>0</v>
      </c>
    </row>
    <row r="736" spans="1:25" s="16" customFormat="1" x14ac:dyDescent="0.2">
      <c r="A736" s="392" t="s">
        <v>1486</v>
      </c>
      <c r="B736" s="2789" t="s">
        <v>1559</v>
      </c>
      <c r="C736" s="392" t="str">
        <f t="shared" si="76"/>
        <v>Warm Temperate MoistNorthern Africa</v>
      </c>
      <c r="D736" s="2773">
        <v>4.7</v>
      </c>
      <c r="E736" s="2773">
        <f t="shared" si="60"/>
        <v>4.7</v>
      </c>
      <c r="F736" s="2773">
        <f t="shared" si="60"/>
        <v>4.7</v>
      </c>
      <c r="G736" s="2785">
        <f t="shared" si="75"/>
        <v>6.3449999999999998</v>
      </c>
      <c r="H736" s="2767">
        <v>0</v>
      </c>
      <c r="I736" s="492">
        <f t="shared" si="66"/>
        <v>1.7566666666666668</v>
      </c>
      <c r="J736" s="492"/>
      <c r="K736" s="492"/>
      <c r="L736" s="492">
        <f t="shared" si="67"/>
        <v>1.1000000000000001</v>
      </c>
      <c r="M736" s="492"/>
      <c r="N736" s="492"/>
      <c r="O736" s="492"/>
      <c r="P736" s="492">
        <f t="shared" si="68"/>
        <v>1.1400000000000001</v>
      </c>
      <c r="Q736" s="471">
        <f t="shared" si="69"/>
        <v>3.0300000000000002</v>
      </c>
      <c r="R736" s="553">
        <v>1</v>
      </c>
      <c r="S736" s="2774">
        <f t="shared" si="70"/>
        <v>0.46</v>
      </c>
      <c r="T736" s="392">
        <f t="shared" si="71"/>
        <v>0.43</v>
      </c>
      <c r="U736" s="392">
        <f t="shared" si="72"/>
        <v>3.2</v>
      </c>
      <c r="V736" s="392">
        <f t="shared" si="73"/>
        <v>0.7</v>
      </c>
      <c r="W736" s="2774">
        <f t="shared" si="74"/>
        <v>0.28000000000000003</v>
      </c>
      <c r="X736" s="392">
        <v>0</v>
      </c>
      <c r="Y736" s="392">
        <v>0</v>
      </c>
    </row>
    <row r="737" spans="1:25" s="16" customFormat="1" x14ac:dyDescent="0.2">
      <c r="A737" s="392" t="s">
        <v>1486</v>
      </c>
      <c r="B737" s="2789" t="s">
        <v>1565</v>
      </c>
      <c r="C737" s="392" t="str">
        <f t="shared" si="76"/>
        <v>Warm Temperate MoistSouthern Africa</v>
      </c>
      <c r="D737" s="2773">
        <v>4.7</v>
      </c>
      <c r="E737" s="2773">
        <f t="shared" si="60"/>
        <v>4.7</v>
      </c>
      <c r="F737" s="2773">
        <f t="shared" si="60"/>
        <v>4.7</v>
      </c>
      <c r="G737" s="2785">
        <f t="shared" si="75"/>
        <v>6.3449999999999998</v>
      </c>
      <c r="H737" s="2767">
        <v>0</v>
      </c>
      <c r="I737" s="492">
        <f t="shared" si="66"/>
        <v>1.7566666666666668</v>
      </c>
      <c r="J737" s="492"/>
      <c r="K737" s="492"/>
      <c r="L737" s="492">
        <f t="shared" si="67"/>
        <v>1.1000000000000001</v>
      </c>
      <c r="M737" s="492"/>
      <c r="N737" s="492"/>
      <c r="O737" s="492"/>
      <c r="P737" s="492">
        <f t="shared" si="68"/>
        <v>1.1400000000000001</v>
      </c>
      <c r="Q737" s="471">
        <f t="shared" si="69"/>
        <v>3.0300000000000002</v>
      </c>
      <c r="R737" s="553">
        <v>1</v>
      </c>
      <c r="S737" s="2774">
        <f t="shared" si="70"/>
        <v>0.46</v>
      </c>
      <c r="T737" s="392">
        <f t="shared" si="71"/>
        <v>0.43</v>
      </c>
      <c r="U737" s="392">
        <f t="shared" si="72"/>
        <v>3.2</v>
      </c>
      <c r="V737" s="392">
        <f t="shared" si="73"/>
        <v>0.7</v>
      </c>
      <c r="W737" s="2774">
        <f t="shared" si="74"/>
        <v>0.28000000000000003</v>
      </c>
      <c r="X737" s="392">
        <v>0</v>
      </c>
      <c r="Y737" s="392">
        <v>0</v>
      </c>
    </row>
    <row r="738" spans="1:25" s="16" customFormat="1" x14ac:dyDescent="0.2">
      <c r="A738" s="392" t="s">
        <v>1486</v>
      </c>
      <c r="B738" s="2789" t="s">
        <v>1569</v>
      </c>
      <c r="C738" s="392" t="str">
        <f t="shared" si="76"/>
        <v>Warm Temperate MoistWestern Africa</v>
      </c>
      <c r="D738" s="2773">
        <v>4.7</v>
      </c>
      <c r="E738" s="2773">
        <f t="shared" si="60"/>
        <v>4.7</v>
      </c>
      <c r="F738" s="2773">
        <f t="shared" si="60"/>
        <v>4.7</v>
      </c>
      <c r="G738" s="2785">
        <f t="shared" si="75"/>
        <v>6.3449999999999998</v>
      </c>
      <c r="H738" s="2767">
        <v>0</v>
      </c>
      <c r="I738" s="492">
        <f t="shared" si="66"/>
        <v>1.7566666666666668</v>
      </c>
      <c r="J738" s="492"/>
      <c r="K738" s="492"/>
      <c r="L738" s="492">
        <f t="shared" si="67"/>
        <v>1.1000000000000001</v>
      </c>
      <c r="M738" s="492"/>
      <c r="N738" s="492"/>
      <c r="O738" s="492"/>
      <c r="P738" s="492">
        <f t="shared" si="68"/>
        <v>1.1400000000000001</v>
      </c>
      <c r="Q738" s="471">
        <f t="shared" si="69"/>
        <v>3.0300000000000002</v>
      </c>
      <c r="R738" s="553">
        <v>1</v>
      </c>
      <c r="S738" s="2774">
        <f t="shared" si="70"/>
        <v>0.46</v>
      </c>
      <c r="T738" s="392">
        <f t="shared" si="71"/>
        <v>0.43</v>
      </c>
      <c r="U738" s="392">
        <f t="shared" si="72"/>
        <v>3.2</v>
      </c>
      <c r="V738" s="392">
        <f t="shared" si="73"/>
        <v>0.7</v>
      </c>
      <c r="W738" s="2774">
        <f t="shared" si="74"/>
        <v>0.28000000000000003</v>
      </c>
      <c r="X738" s="392">
        <v>0</v>
      </c>
      <c r="Y738" s="392">
        <v>0</v>
      </c>
    </row>
    <row r="739" spans="1:25" s="16" customFormat="1" x14ac:dyDescent="0.2">
      <c r="A739" s="392" t="s">
        <v>1486</v>
      </c>
      <c r="B739" s="2789" t="s">
        <v>1550</v>
      </c>
      <c r="C739" s="392" t="str">
        <f t="shared" si="76"/>
        <v>Warm Temperate MoistCentral Asia</v>
      </c>
      <c r="D739" s="2773">
        <v>4.7</v>
      </c>
      <c r="E739" s="2773">
        <f t="shared" si="60"/>
        <v>4.7</v>
      </c>
      <c r="F739" s="2773">
        <f t="shared" si="60"/>
        <v>4.7</v>
      </c>
      <c r="G739" s="2785">
        <f t="shared" si="75"/>
        <v>6.3449999999999998</v>
      </c>
      <c r="H739" s="2767">
        <v>0</v>
      </c>
      <c r="I739" s="492">
        <f t="shared" si="66"/>
        <v>1.7566666666666668</v>
      </c>
      <c r="J739" s="492"/>
      <c r="K739" s="492"/>
      <c r="L739" s="492">
        <f t="shared" si="67"/>
        <v>1.1000000000000001</v>
      </c>
      <c r="M739" s="492"/>
      <c r="N739" s="492"/>
      <c r="O739" s="492"/>
      <c r="P739" s="492">
        <f t="shared" si="68"/>
        <v>1.1400000000000001</v>
      </c>
      <c r="Q739" s="471">
        <f t="shared" si="69"/>
        <v>3.0300000000000002</v>
      </c>
      <c r="R739" s="553">
        <v>1</v>
      </c>
      <c r="S739" s="2774">
        <f t="shared" si="70"/>
        <v>0.46</v>
      </c>
      <c r="T739" s="392">
        <f t="shared" si="71"/>
        <v>0.43</v>
      </c>
      <c r="U739" s="392">
        <f t="shared" si="72"/>
        <v>3.2</v>
      </c>
      <c r="V739" s="392">
        <f t="shared" si="73"/>
        <v>0.7</v>
      </c>
      <c r="W739" s="2774">
        <f t="shared" si="74"/>
        <v>0.28000000000000003</v>
      </c>
      <c r="X739" s="392">
        <v>0</v>
      </c>
      <c r="Y739" s="392">
        <v>0</v>
      </c>
    </row>
    <row r="740" spans="1:25" s="16" customFormat="1" x14ac:dyDescent="0.2">
      <c r="A740" s="392" t="s">
        <v>1486</v>
      </c>
      <c r="B740" s="2789" t="s">
        <v>1554</v>
      </c>
      <c r="C740" s="392" t="str">
        <f t="shared" si="76"/>
        <v>Warm Temperate MoistEastern Asia</v>
      </c>
      <c r="D740" s="2773">
        <v>4.7</v>
      </c>
      <c r="E740" s="2773">
        <f t="shared" si="60"/>
        <v>4.7</v>
      </c>
      <c r="F740" s="2773">
        <f t="shared" si="60"/>
        <v>4.7</v>
      </c>
      <c r="G740" s="2785">
        <f t="shared" si="75"/>
        <v>6.3449999999999998</v>
      </c>
      <c r="H740" s="2767">
        <v>0</v>
      </c>
      <c r="I740" s="492">
        <f t="shared" si="66"/>
        <v>1.7566666666666668</v>
      </c>
      <c r="J740" s="492"/>
      <c r="K740" s="492"/>
      <c r="L740" s="492">
        <f t="shared" si="67"/>
        <v>1.1000000000000001</v>
      </c>
      <c r="M740" s="492"/>
      <c r="N740" s="492"/>
      <c r="O740" s="492"/>
      <c r="P740" s="492">
        <f t="shared" si="68"/>
        <v>1.1400000000000001</v>
      </c>
      <c r="Q740" s="471">
        <f t="shared" si="69"/>
        <v>3.0300000000000002</v>
      </c>
      <c r="R740" s="553">
        <v>1</v>
      </c>
      <c r="S740" s="2774">
        <f t="shared" si="70"/>
        <v>0.46</v>
      </c>
      <c r="T740" s="392">
        <f t="shared" si="71"/>
        <v>0.43</v>
      </c>
      <c r="U740" s="392">
        <f t="shared" si="72"/>
        <v>3.2</v>
      </c>
      <c r="V740" s="392">
        <f t="shared" si="73"/>
        <v>0.7</v>
      </c>
      <c r="W740" s="2774">
        <f t="shared" si="74"/>
        <v>0.28000000000000003</v>
      </c>
      <c r="X740" s="392">
        <v>0</v>
      </c>
      <c r="Y740" s="392">
        <v>0</v>
      </c>
    </row>
    <row r="741" spans="1:25" s="16" customFormat="1" x14ac:dyDescent="0.2">
      <c r="A741" s="392" t="s">
        <v>1486</v>
      </c>
      <c r="B741" s="2789" t="s">
        <v>1563</v>
      </c>
      <c r="C741" s="392" t="str">
        <f t="shared" si="76"/>
        <v>Warm Temperate MoistSouth-eastern Asia</v>
      </c>
      <c r="D741" s="2773">
        <v>4.7</v>
      </c>
      <c r="E741" s="2773">
        <f t="shared" si="60"/>
        <v>4.7</v>
      </c>
      <c r="F741" s="2773">
        <f t="shared" si="60"/>
        <v>4.7</v>
      </c>
      <c r="G741" s="2785">
        <f t="shared" si="75"/>
        <v>6.3449999999999998</v>
      </c>
      <c r="H741" s="2767">
        <v>0</v>
      </c>
      <c r="I741" s="492">
        <f t="shared" si="66"/>
        <v>1.7566666666666668</v>
      </c>
      <c r="J741" s="492"/>
      <c r="K741" s="492"/>
      <c r="L741" s="492">
        <f t="shared" si="67"/>
        <v>1.1000000000000001</v>
      </c>
      <c r="M741" s="492"/>
      <c r="N741" s="492"/>
      <c r="O741" s="492"/>
      <c r="P741" s="492">
        <f t="shared" si="68"/>
        <v>1.1400000000000001</v>
      </c>
      <c r="Q741" s="471">
        <f t="shared" si="69"/>
        <v>3.0300000000000002</v>
      </c>
      <c r="R741" s="553">
        <v>1</v>
      </c>
      <c r="S741" s="2774">
        <f t="shared" si="70"/>
        <v>0.46</v>
      </c>
      <c r="T741" s="392">
        <f t="shared" si="71"/>
        <v>0.43</v>
      </c>
      <c r="U741" s="392">
        <f t="shared" si="72"/>
        <v>3.2</v>
      </c>
      <c r="V741" s="392">
        <f t="shared" si="73"/>
        <v>0.7</v>
      </c>
      <c r="W741" s="2774">
        <f t="shared" si="74"/>
        <v>0.28000000000000003</v>
      </c>
      <c r="X741" s="392">
        <v>0</v>
      </c>
      <c r="Y741" s="392">
        <v>0</v>
      </c>
    </row>
    <row r="742" spans="1:25" s="16" customFormat="1" x14ac:dyDescent="0.2">
      <c r="A742" s="392" t="s">
        <v>1486</v>
      </c>
      <c r="B742" s="2789" t="s">
        <v>1567</v>
      </c>
      <c r="C742" s="392" t="str">
        <f t="shared" si="76"/>
        <v>Warm Temperate MoistSouthern Asia</v>
      </c>
      <c r="D742" s="2773">
        <v>4.7</v>
      </c>
      <c r="E742" s="2773">
        <f t="shared" si="60"/>
        <v>4.7</v>
      </c>
      <c r="F742" s="2773">
        <f t="shared" si="60"/>
        <v>4.7</v>
      </c>
      <c r="G742" s="2785">
        <f t="shared" si="75"/>
        <v>6.3449999999999998</v>
      </c>
      <c r="H742" s="2767">
        <v>0</v>
      </c>
      <c r="I742" s="492">
        <f t="shared" si="66"/>
        <v>1.7566666666666668</v>
      </c>
      <c r="J742" s="492"/>
      <c r="K742" s="492"/>
      <c r="L742" s="492">
        <f t="shared" si="67"/>
        <v>1.1000000000000001</v>
      </c>
      <c r="M742" s="492"/>
      <c r="N742" s="492"/>
      <c r="O742" s="492"/>
      <c r="P742" s="492">
        <f t="shared" si="68"/>
        <v>1.1400000000000001</v>
      </c>
      <c r="Q742" s="471">
        <f t="shared" si="69"/>
        <v>3.0300000000000002</v>
      </c>
      <c r="R742" s="553">
        <v>1</v>
      </c>
      <c r="S742" s="2774">
        <f t="shared" si="70"/>
        <v>0.46</v>
      </c>
      <c r="T742" s="392">
        <f t="shared" si="71"/>
        <v>0.43</v>
      </c>
      <c r="U742" s="392">
        <f t="shared" si="72"/>
        <v>3.2</v>
      </c>
      <c r="V742" s="392">
        <f t="shared" si="73"/>
        <v>0.7</v>
      </c>
      <c r="W742" s="2774">
        <f t="shared" si="74"/>
        <v>0.28000000000000003</v>
      </c>
      <c r="X742" s="392">
        <v>0</v>
      </c>
      <c r="Y742" s="392">
        <v>0</v>
      </c>
    </row>
    <row r="743" spans="1:25" s="16" customFormat="1" x14ac:dyDescent="0.2">
      <c r="A743" s="392" t="s">
        <v>1486</v>
      </c>
      <c r="B743" s="2789" t="s">
        <v>1571</v>
      </c>
      <c r="C743" s="392" t="str">
        <f t="shared" si="76"/>
        <v>Warm Temperate MoistWestern Asia</v>
      </c>
      <c r="D743" s="2773">
        <v>4.7</v>
      </c>
      <c r="E743" s="2773">
        <f t="shared" si="60"/>
        <v>4.7</v>
      </c>
      <c r="F743" s="2773">
        <f t="shared" si="60"/>
        <v>4.7</v>
      </c>
      <c r="G743" s="2785">
        <f t="shared" si="75"/>
        <v>6.3449999999999998</v>
      </c>
      <c r="H743" s="2767">
        <v>0</v>
      </c>
      <c r="I743" s="492">
        <f t="shared" si="66"/>
        <v>1.7566666666666668</v>
      </c>
      <c r="J743" s="492"/>
      <c r="K743" s="492"/>
      <c r="L743" s="492">
        <f t="shared" si="67"/>
        <v>1.1000000000000001</v>
      </c>
      <c r="M743" s="492"/>
      <c r="N743" s="492"/>
      <c r="O743" s="492"/>
      <c r="P743" s="492">
        <f t="shared" si="68"/>
        <v>1.1400000000000001</v>
      </c>
      <c r="Q743" s="471">
        <f t="shared" si="69"/>
        <v>3.0300000000000002</v>
      </c>
      <c r="R743" s="553">
        <v>1</v>
      </c>
      <c r="S743" s="2774">
        <f t="shared" si="70"/>
        <v>0.46</v>
      </c>
      <c r="T743" s="392">
        <f t="shared" si="71"/>
        <v>0.43</v>
      </c>
      <c r="U743" s="392">
        <f t="shared" si="72"/>
        <v>3.2</v>
      </c>
      <c r="V743" s="392">
        <f t="shared" si="73"/>
        <v>0.7</v>
      </c>
      <c r="W743" s="2774">
        <f t="shared" si="74"/>
        <v>0.28000000000000003</v>
      </c>
      <c r="X743" s="392">
        <v>0</v>
      </c>
      <c r="Y743" s="392">
        <v>0</v>
      </c>
    </row>
    <row r="744" spans="1:25" s="16" customFormat="1" x14ac:dyDescent="0.2">
      <c r="A744" s="392" t="s">
        <v>1486</v>
      </c>
      <c r="B744" s="2789" t="s">
        <v>1555</v>
      </c>
      <c r="C744" s="392" t="str">
        <f t="shared" si="76"/>
        <v>Warm Temperate MoistEurope</v>
      </c>
      <c r="D744" s="2773">
        <v>4.7</v>
      </c>
      <c r="E744" s="2773">
        <f t="shared" si="60"/>
        <v>4.7</v>
      </c>
      <c r="F744" s="2773">
        <f t="shared" si="60"/>
        <v>4.7</v>
      </c>
      <c r="G744" s="2785">
        <f t="shared" si="75"/>
        <v>6.3449999999999998</v>
      </c>
      <c r="H744" s="2767">
        <v>0</v>
      </c>
      <c r="I744" s="492">
        <f t="shared" si="66"/>
        <v>1.9666666666666666</v>
      </c>
      <c r="J744" s="492"/>
      <c r="K744" s="492"/>
      <c r="L744" s="492">
        <f t="shared" si="67"/>
        <v>1.1000000000000001</v>
      </c>
      <c r="M744" s="492"/>
      <c r="N744" s="492"/>
      <c r="O744" s="492"/>
      <c r="P744" s="492">
        <f t="shared" si="68"/>
        <v>0.66</v>
      </c>
      <c r="Q744" s="471">
        <f t="shared" si="69"/>
        <v>4.1399999999999997</v>
      </c>
      <c r="R744" s="553">
        <v>1</v>
      </c>
      <c r="S744" s="2774">
        <f t="shared" si="70"/>
        <v>0.46</v>
      </c>
      <c r="T744" s="392">
        <f t="shared" si="71"/>
        <v>0.43</v>
      </c>
      <c r="U744" s="392">
        <f t="shared" si="72"/>
        <v>3.2</v>
      </c>
      <c r="V744" s="392">
        <f t="shared" si="73"/>
        <v>0.7</v>
      </c>
      <c r="W744" s="2774">
        <f t="shared" si="74"/>
        <v>0.28000000000000003</v>
      </c>
      <c r="X744" s="392">
        <v>0</v>
      </c>
      <c r="Y744" s="392">
        <v>0</v>
      </c>
    </row>
    <row r="745" spans="1:25" s="16" customFormat="1" x14ac:dyDescent="0.2">
      <c r="A745" s="392" t="s">
        <v>1486</v>
      </c>
      <c r="B745" s="2789" t="s">
        <v>1346</v>
      </c>
      <c r="C745" s="392" t="str">
        <f t="shared" si="76"/>
        <v>Warm Temperate MoistOceania</v>
      </c>
      <c r="D745" s="2773">
        <v>4.7</v>
      </c>
      <c r="E745" s="2773">
        <f t="shared" si="60"/>
        <v>4.7</v>
      </c>
      <c r="F745" s="2773">
        <f t="shared" si="60"/>
        <v>4.7</v>
      </c>
      <c r="G745" s="2785">
        <f t="shared" si="75"/>
        <v>6.3449999999999998</v>
      </c>
      <c r="H745" s="2767">
        <v>0</v>
      </c>
      <c r="I745" s="492">
        <f t="shared" si="66"/>
        <v>1.7566666666666668</v>
      </c>
      <c r="J745" s="492"/>
      <c r="K745" s="492"/>
      <c r="L745" s="492">
        <f t="shared" si="67"/>
        <v>1.1000000000000001</v>
      </c>
      <c r="M745" s="492"/>
      <c r="N745" s="492"/>
      <c r="O745" s="492"/>
      <c r="P745" s="492">
        <f t="shared" si="68"/>
        <v>1.1400000000000001</v>
      </c>
      <c r="Q745" s="471">
        <f t="shared" si="69"/>
        <v>3.0300000000000002</v>
      </c>
      <c r="R745" s="553">
        <v>1</v>
      </c>
      <c r="S745" s="2774">
        <f t="shared" si="70"/>
        <v>0.46</v>
      </c>
      <c r="T745" s="392">
        <f t="shared" si="71"/>
        <v>0.43</v>
      </c>
      <c r="U745" s="392">
        <f t="shared" si="72"/>
        <v>3.2</v>
      </c>
      <c r="V745" s="392">
        <f t="shared" si="73"/>
        <v>0.7</v>
      </c>
      <c r="W745" s="2774">
        <f t="shared" si="74"/>
        <v>0.28000000000000003</v>
      </c>
      <c r="X745" s="392">
        <v>0</v>
      </c>
      <c r="Y745" s="392">
        <v>0</v>
      </c>
    </row>
    <row r="746" spans="1:25" s="16" customFormat="1" x14ac:dyDescent="0.2">
      <c r="A746" s="392" t="s">
        <v>1486</v>
      </c>
      <c r="B746" s="2789" t="s">
        <v>1343</v>
      </c>
      <c r="C746" s="392" t="str">
        <f t="shared" si="76"/>
        <v>Warm Temperate MoistNorth America</v>
      </c>
      <c r="D746" s="2773">
        <v>4.7</v>
      </c>
      <c r="E746" s="2773">
        <f t="shared" si="60"/>
        <v>4.7</v>
      </c>
      <c r="F746" s="2773">
        <f t="shared" si="60"/>
        <v>4.7</v>
      </c>
      <c r="G746" s="2785">
        <f t="shared" si="75"/>
        <v>6.3449999999999998</v>
      </c>
      <c r="H746" s="2767">
        <v>0</v>
      </c>
      <c r="I746" s="492">
        <f t="shared" si="66"/>
        <v>1.7566666666666668</v>
      </c>
      <c r="J746" s="492"/>
      <c r="K746" s="492"/>
      <c r="L746" s="492">
        <f t="shared" si="67"/>
        <v>1.1000000000000001</v>
      </c>
      <c r="M746" s="492"/>
      <c r="N746" s="492"/>
      <c r="O746" s="492"/>
      <c r="P746" s="492">
        <f t="shared" si="68"/>
        <v>1.1400000000000001</v>
      </c>
      <c r="Q746" s="471">
        <f t="shared" si="69"/>
        <v>3.0300000000000002</v>
      </c>
      <c r="R746" s="553">
        <v>1</v>
      </c>
      <c r="S746" s="2774">
        <f t="shared" si="70"/>
        <v>0.46</v>
      </c>
      <c r="T746" s="392">
        <f t="shared" si="71"/>
        <v>0.43</v>
      </c>
      <c r="U746" s="392">
        <f t="shared" si="72"/>
        <v>3.2</v>
      </c>
      <c r="V746" s="392">
        <f t="shared" si="73"/>
        <v>0.7</v>
      </c>
      <c r="W746" s="2774">
        <f t="shared" si="74"/>
        <v>0.28000000000000003</v>
      </c>
      <c r="X746" s="392">
        <v>0</v>
      </c>
      <c r="Y746" s="392">
        <v>0</v>
      </c>
    </row>
    <row r="747" spans="1:25" s="16" customFormat="1" x14ac:dyDescent="0.2">
      <c r="A747" s="392" t="s">
        <v>1486</v>
      </c>
      <c r="B747" s="2789" t="s">
        <v>1349</v>
      </c>
      <c r="C747" s="392" t="str">
        <f t="shared" si="76"/>
        <v>Warm Temperate MoistSouth America</v>
      </c>
      <c r="D747" s="2773">
        <v>4.7</v>
      </c>
      <c r="E747" s="2773">
        <f t="shared" si="60"/>
        <v>4.7</v>
      </c>
      <c r="F747" s="2773">
        <f t="shared" si="60"/>
        <v>4.7</v>
      </c>
      <c r="G747" s="2785">
        <f t="shared" si="75"/>
        <v>6.3449999999999998</v>
      </c>
      <c r="H747" s="2767">
        <v>0</v>
      </c>
      <c r="I747" s="492">
        <f t="shared" si="66"/>
        <v>1.7566666666666668</v>
      </c>
      <c r="J747" s="492"/>
      <c r="K747" s="492"/>
      <c r="L747" s="492">
        <f t="shared" si="67"/>
        <v>1.1000000000000001</v>
      </c>
      <c r="M747" s="492"/>
      <c r="N747" s="492"/>
      <c r="O747" s="492"/>
      <c r="P747" s="492">
        <f t="shared" si="68"/>
        <v>1.1400000000000001</v>
      </c>
      <c r="Q747" s="471">
        <f t="shared" si="69"/>
        <v>3.0300000000000002</v>
      </c>
      <c r="R747" s="553">
        <v>1</v>
      </c>
      <c r="S747" s="2774">
        <f t="shared" si="70"/>
        <v>0.46</v>
      </c>
      <c r="T747" s="392">
        <f t="shared" si="71"/>
        <v>0.43</v>
      </c>
      <c r="U747" s="392">
        <f t="shared" si="72"/>
        <v>3.2</v>
      </c>
      <c r="V747" s="392">
        <f t="shared" si="73"/>
        <v>0.7</v>
      </c>
      <c r="W747" s="2774">
        <f t="shared" si="74"/>
        <v>0.28000000000000003</v>
      </c>
      <c r="X747" s="392">
        <v>0</v>
      </c>
      <c r="Y747" s="392">
        <v>0</v>
      </c>
    </row>
    <row r="748" spans="1:25" s="16" customFormat="1" x14ac:dyDescent="0.2">
      <c r="A748" s="392" t="s">
        <v>1486</v>
      </c>
      <c r="B748" s="2789" t="s">
        <v>1333</v>
      </c>
      <c r="C748" s="392" t="str">
        <f t="shared" si="76"/>
        <v>Warm Temperate MoistCentral America</v>
      </c>
      <c r="D748" s="2773">
        <v>4.7</v>
      </c>
      <c r="E748" s="2773">
        <f t="shared" si="60"/>
        <v>4.7</v>
      </c>
      <c r="F748" s="2773">
        <f t="shared" si="60"/>
        <v>4.7</v>
      </c>
      <c r="G748" s="2785">
        <f t="shared" si="75"/>
        <v>6.3449999999999998</v>
      </c>
      <c r="H748" s="2767">
        <v>0</v>
      </c>
      <c r="I748" s="492">
        <f t="shared" si="66"/>
        <v>1.7566666666666668</v>
      </c>
      <c r="J748" s="492"/>
      <c r="K748" s="492"/>
      <c r="L748" s="492">
        <f t="shared" si="67"/>
        <v>1.1000000000000001</v>
      </c>
      <c r="M748" s="492"/>
      <c r="N748" s="492"/>
      <c r="O748" s="492"/>
      <c r="P748" s="492">
        <f t="shared" si="68"/>
        <v>1.1400000000000001</v>
      </c>
      <c r="Q748" s="471">
        <f t="shared" si="69"/>
        <v>3.0300000000000002</v>
      </c>
      <c r="R748" s="553">
        <v>1</v>
      </c>
      <c r="S748" s="2774">
        <f t="shared" si="70"/>
        <v>0.46</v>
      </c>
      <c r="T748" s="392">
        <f t="shared" si="71"/>
        <v>0.43</v>
      </c>
      <c r="U748" s="392">
        <f t="shared" si="72"/>
        <v>3.2</v>
      </c>
      <c r="V748" s="392">
        <f t="shared" si="73"/>
        <v>0.7</v>
      </c>
      <c r="W748" s="2774">
        <f t="shared" si="74"/>
        <v>0.28000000000000003</v>
      </c>
      <c r="X748" s="392">
        <v>0</v>
      </c>
      <c r="Y748" s="392">
        <v>0</v>
      </c>
    </row>
    <row r="749" spans="1:25" s="2781" customFormat="1" x14ac:dyDescent="0.2">
      <c r="A749" s="2775" t="s">
        <v>1486</v>
      </c>
      <c r="B749" s="2790" t="s">
        <v>1547</v>
      </c>
      <c r="C749" s="2775" t="str">
        <f t="shared" si="76"/>
        <v>Warm Temperate MoistCaribbean</v>
      </c>
      <c r="D749" s="2777">
        <v>4.7</v>
      </c>
      <c r="E749" s="2777">
        <f t="shared" si="60"/>
        <v>4.7</v>
      </c>
      <c r="F749" s="2777">
        <f t="shared" si="60"/>
        <v>4.7</v>
      </c>
      <c r="G749" s="2787">
        <f t="shared" si="75"/>
        <v>6.3449999999999998</v>
      </c>
      <c r="H749" s="2778">
        <v>0</v>
      </c>
      <c r="I749" s="492">
        <f t="shared" si="66"/>
        <v>1.7566666666666668</v>
      </c>
      <c r="J749" s="492"/>
      <c r="K749" s="2779"/>
      <c r="L749" s="2779">
        <f t="shared" si="67"/>
        <v>1.1000000000000001</v>
      </c>
      <c r="M749" s="2779"/>
      <c r="N749" s="492"/>
      <c r="O749" s="492"/>
      <c r="P749" s="492">
        <f t="shared" si="68"/>
        <v>1.1400000000000001</v>
      </c>
      <c r="Q749" s="471">
        <f t="shared" si="69"/>
        <v>3.0300000000000002</v>
      </c>
      <c r="R749" s="554">
        <v>1</v>
      </c>
      <c r="S749" s="2774">
        <f t="shared" si="70"/>
        <v>0.46</v>
      </c>
      <c r="T749" s="392">
        <f t="shared" si="71"/>
        <v>0.43</v>
      </c>
      <c r="U749" s="392">
        <f t="shared" si="72"/>
        <v>3.2</v>
      </c>
      <c r="V749" s="392">
        <f t="shared" si="73"/>
        <v>0.7</v>
      </c>
      <c r="W749" s="2774">
        <f t="shared" si="74"/>
        <v>0.28000000000000003</v>
      </c>
      <c r="X749" s="2775">
        <v>0</v>
      </c>
      <c r="Y749" s="2775">
        <v>0</v>
      </c>
    </row>
    <row r="750" spans="1:25" s="2771" customFormat="1" x14ac:dyDescent="0.2">
      <c r="A750" s="2764" t="s">
        <v>1487</v>
      </c>
      <c r="B750" s="2782" t="s">
        <v>1552</v>
      </c>
      <c r="C750" s="2764" t="str">
        <f t="shared" si="76"/>
        <v>Tropical DryEastern Africa</v>
      </c>
      <c r="D750" s="2766">
        <v>4.7</v>
      </c>
      <c r="E750" s="2766">
        <f t="shared" ref="E750:F813" si="77">D750</f>
        <v>4.7</v>
      </c>
      <c r="F750" s="2766">
        <f t="shared" si="77"/>
        <v>4.7</v>
      </c>
      <c r="G750" s="2783">
        <f t="shared" ref="G750:G765" si="78">8.7*0.47</f>
        <v>4.0889999999999995</v>
      </c>
      <c r="H750" s="2768">
        <v>0</v>
      </c>
      <c r="I750" s="490">
        <f t="shared" ref="I750:I781" si="79">E171+E390</f>
        <v>3.5862500000000002</v>
      </c>
      <c r="J750" s="491">
        <f t="shared" ref="J750:J781" si="80">F171+F390</f>
        <v>2.33</v>
      </c>
      <c r="K750" s="491">
        <f t="shared" ref="K750:K781" si="81">G171+G390</f>
        <v>8.15</v>
      </c>
      <c r="L750" s="491">
        <f t="shared" ref="L750:L781" si="82">H171+H390</f>
        <v>0.6</v>
      </c>
      <c r="M750" s="490">
        <f t="shared" ref="M750:M781" si="83">I171+I390</f>
        <v>2.09</v>
      </c>
      <c r="N750" s="490">
        <f t="shared" ref="N750:N781" si="84">J171+J390</f>
        <v>0.79999999999999993</v>
      </c>
      <c r="O750" s="490">
        <f t="shared" ref="O750:O781" si="85">K171+K390</f>
        <v>2.95</v>
      </c>
      <c r="P750" s="490">
        <f t="shared" ref="P750:P781" si="86">L171+L390</f>
        <v>7.86</v>
      </c>
      <c r="Q750" s="491">
        <f t="shared" ref="Q750:Q781" si="87">M171+M390</f>
        <v>3.9099999999999997</v>
      </c>
      <c r="R750" s="750">
        <v>1</v>
      </c>
      <c r="S750" s="2764">
        <f t="shared" ref="S750:S781" si="88">N171+N390</f>
        <v>0</v>
      </c>
      <c r="T750" s="2764">
        <f t="shared" ref="T750:T781" si="89">O171+O390</f>
        <v>0</v>
      </c>
      <c r="U750" s="2764">
        <f t="shared" ref="U750:U781" si="90">Q171+Q390</f>
        <v>0</v>
      </c>
      <c r="V750" s="2764">
        <f t="shared" ref="V750:V781" si="91">T171+T390</f>
        <v>0.7</v>
      </c>
      <c r="W750" s="2770">
        <f t="shared" ref="W750:W781" si="92">P171+P390</f>
        <v>0</v>
      </c>
      <c r="X750" s="2774">
        <f t="shared" ref="X750:X781" si="93">R171+R390</f>
        <v>2.4</v>
      </c>
      <c r="Y750" s="392">
        <f t="shared" ref="Y750:Y781" si="94">S171+S390</f>
        <v>3</v>
      </c>
    </row>
    <row r="751" spans="1:25" s="16" customFormat="1" x14ac:dyDescent="0.2">
      <c r="A751" s="392" t="s">
        <v>1487</v>
      </c>
      <c r="B751" s="2784" t="s">
        <v>1557</v>
      </c>
      <c r="C751" s="392" t="str">
        <f t="shared" si="76"/>
        <v>Tropical DryCentral Africa</v>
      </c>
      <c r="D751" s="2773">
        <v>4.7</v>
      </c>
      <c r="E751" s="2773">
        <f t="shared" si="77"/>
        <v>4.7</v>
      </c>
      <c r="F751" s="2773">
        <f t="shared" si="77"/>
        <v>4.7</v>
      </c>
      <c r="G751" s="2785">
        <f t="shared" si="78"/>
        <v>4.0889999999999995</v>
      </c>
      <c r="H751" s="2767">
        <v>0</v>
      </c>
      <c r="I751" s="492">
        <f t="shared" si="79"/>
        <v>3.5862500000000002</v>
      </c>
      <c r="J751" s="471">
        <f t="shared" si="80"/>
        <v>2.33</v>
      </c>
      <c r="K751" s="471">
        <f t="shared" si="81"/>
        <v>8.15</v>
      </c>
      <c r="L751" s="471">
        <f t="shared" si="82"/>
        <v>0.6</v>
      </c>
      <c r="M751" s="492">
        <f t="shared" si="83"/>
        <v>2.09</v>
      </c>
      <c r="N751" s="492">
        <f t="shared" si="84"/>
        <v>0.79999999999999993</v>
      </c>
      <c r="O751" s="492">
        <f t="shared" si="85"/>
        <v>2.95</v>
      </c>
      <c r="P751" s="492">
        <f t="shared" si="86"/>
        <v>7.86</v>
      </c>
      <c r="Q751" s="471">
        <f t="shared" si="87"/>
        <v>3.9099999999999997</v>
      </c>
      <c r="R751" s="751">
        <v>1</v>
      </c>
      <c r="S751" s="392">
        <f t="shared" si="88"/>
        <v>0</v>
      </c>
      <c r="T751" s="392">
        <f t="shared" si="89"/>
        <v>0</v>
      </c>
      <c r="U751" s="392">
        <f t="shared" si="90"/>
        <v>0</v>
      </c>
      <c r="V751" s="392">
        <f t="shared" si="91"/>
        <v>0.7</v>
      </c>
      <c r="W751" s="2774">
        <f t="shared" si="92"/>
        <v>0</v>
      </c>
      <c r="X751" s="2774">
        <f t="shared" si="93"/>
        <v>2.4</v>
      </c>
      <c r="Y751" s="392">
        <f t="shared" si="94"/>
        <v>3</v>
      </c>
    </row>
    <row r="752" spans="1:25" s="16" customFormat="1" x14ac:dyDescent="0.2">
      <c r="A752" s="392" t="s">
        <v>1487</v>
      </c>
      <c r="B752" s="2784" t="s">
        <v>1559</v>
      </c>
      <c r="C752" s="392" t="str">
        <f t="shared" si="76"/>
        <v>Tropical DryNorthern Africa</v>
      </c>
      <c r="D752" s="2773">
        <v>4.7</v>
      </c>
      <c r="E752" s="2773">
        <f t="shared" si="77"/>
        <v>4.7</v>
      </c>
      <c r="F752" s="2773">
        <f t="shared" si="77"/>
        <v>4.7</v>
      </c>
      <c r="G752" s="2785">
        <f t="shared" si="78"/>
        <v>4.0889999999999995</v>
      </c>
      <c r="H752" s="2767">
        <v>0</v>
      </c>
      <c r="I752" s="492">
        <f t="shared" si="79"/>
        <v>3.5862500000000002</v>
      </c>
      <c r="J752" s="471">
        <f t="shared" si="80"/>
        <v>2.33</v>
      </c>
      <c r="K752" s="471">
        <f t="shared" si="81"/>
        <v>8.15</v>
      </c>
      <c r="L752" s="471">
        <f t="shared" si="82"/>
        <v>0.6</v>
      </c>
      <c r="M752" s="492">
        <f t="shared" si="83"/>
        <v>2.09</v>
      </c>
      <c r="N752" s="492">
        <f t="shared" si="84"/>
        <v>0.79999999999999993</v>
      </c>
      <c r="O752" s="492">
        <f t="shared" si="85"/>
        <v>2.95</v>
      </c>
      <c r="P752" s="492">
        <f t="shared" si="86"/>
        <v>7.86</v>
      </c>
      <c r="Q752" s="471">
        <f t="shared" si="87"/>
        <v>3.9099999999999997</v>
      </c>
      <c r="R752" s="751">
        <v>1</v>
      </c>
      <c r="S752" s="392">
        <f t="shared" si="88"/>
        <v>0</v>
      </c>
      <c r="T752" s="392">
        <f t="shared" si="89"/>
        <v>0</v>
      </c>
      <c r="U752" s="392">
        <f t="shared" si="90"/>
        <v>0</v>
      </c>
      <c r="V752" s="392">
        <f t="shared" si="91"/>
        <v>0.7</v>
      </c>
      <c r="W752" s="2774">
        <f t="shared" si="92"/>
        <v>0</v>
      </c>
      <c r="X752" s="2774">
        <f t="shared" si="93"/>
        <v>2.4</v>
      </c>
      <c r="Y752" s="392">
        <f t="shared" si="94"/>
        <v>3</v>
      </c>
    </row>
    <row r="753" spans="1:25" s="16" customFormat="1" x14ac:dyDescent="0.2">
      <c r="A753" s="392" t="s">
        <v>1487</v>
      </c>
      <c r="B753" s="2784" t="s">
        <v>1565</v>
      </c>
      <c r="C753" s="392" t="str">
        <f t="shared" si="76"/>
        <v>Tropical DrySouthern Africa</v>
      </c>
      <c r="D753" s="2773">
        <v>4.7</v>
      </c>
      <c r="E753" s="2773">
        <f t="shared" si="77"/>
        <v>4.7</v>
      </c>
      <c r="F753" s="2773">
        <f t="shared" si="77"/>
        <v>4.7</v>
      </c>
      <c r="G753" s="2785">
        <f t="shared" si="78"/>
        <v>4.0889999999999995</v>
      </c>
      <c r="H753" s="2767">
        <v>0</v>
      </c>
      <c r="I753" s="492">
        <f t="shared" si="79"/>
        <v>3.5862500000000002</v>
      </c>
      <c r="J753" s="471">
        <f t="shared" si="80"/>
        <v>2.33</v>
      </c>
      <c r="K753" s="471">
        <f t="shared" si="81"/>
        <v>8.15</v>
      </c>
      <c r="L753" s="471">
        <f t="shared" si="82"/>
        <v>0.6</v>
      </c>
      <c r="M753" s="492">
        <f t="shared" si="83"/>
        <v>2.09</v>
      </c>
      <c r="N753" s="492">
        <f t="shared" si="84"/>
        <v>0.79999999999999993</v>
      </c>
      <c r="O753" s="492">
        <f t="shared" si="85"/>
        <v>2.95</v>
      </c>
      <c r="P753" s="492">
        <f t="shared" si="86"/>
        <v>7.86</v>
      </c>
      <c r="Q753" s="471">
        <f t="shared" si="87"/>
        <v>3.9099999999999997</v>
      </c>
      <c r="R753" s="751">
        <v>1</v>
      </c>
      <c r="S753" s="392">
        <f t="shared" si="88"/>
        <v>0</v>
      </c>
      <c r="T753" s="392">
        <f t="shared" si="89"/>
        <v>0</v>
      </c>
      <c r="U753" s="392">
        <f t="shared" si="90"/>
        <v>0</v>
      </c>
      <c r="V753" s="392">
        <f t="shared" si="91"/>
        <v>0.7</v>
      </c>
      <c r="W753" s="2774">
        <f t="shared" si="92"/>
        <v>0</v>
      </c>
      <c r="X753" s="2774">
        <f t="shared" si="93"/>
        <v>2.4</v>
      </c>
      <c r="Y753" s="392">
        <f t="shared" si="94"/>
        <v>3</v>
      </c>
    </row>
    <row r="754" spans="1:25" s="16" customFormat="1" x14ac:dyDescent="0.2">
      <c r="A754" s="392" t="s">
        <v>1487</v>
      </c>
      <c r="B754" s="2784" t="s">
        <v>1569</v>
      </c>
      <c r="C754" s="392" t="str">
        <f t="shared" si="76"/>
        <v>Tropical DryWestern Africa</v>
      </c>
      <c r="D754" s="2773">
        <v>4.7</v>
      </c>
      <c r="E754" s="2773">
        <f t="shared" si="77"/>
        <v>4.7</v>
      </c>
      <c r="F754" s="2773">
        <f t="shared" si="77"/>
        <v>4.7</v>
      </c>
      <c r="G754" s="2785">
        <f t="shared" si="78"/>
        <v>4.0889999999999995</v>
      </c>
      <c r="H754" s="2767">
        <v>0</v>
      </c>
      <c r="I754" s="492">
        <f t="shared" si="79"/>
        <v>3.5862500000000002</v>
      </c>
      <c r="J754" s="471">
        <f t="shared" si="80"/>
        <v>2.33</v>
      </c>
      <c r="K754" s="471">
        <f t="shared" si="81"/>
        <v>8.15</v>
      </c>
      <c r="L754" s="471">
        <f t="shared" si="82"/>
        <v>0.6</v>
      </c>
      <c r="M754" s="492">
        <f t="shared" si="83"/>
        <v>2.09</v>
      </c>
      <c r="N754" s="492">
        <f t="shared" si="84"/>
        <v>0.79999999999999993</v>
      </c>
      <c r="O754" s="492">
        <f t="shared" si="85"/>
        <v>2.95</v>
      </c>
      <c r="P754" s="492">
        <f t="shared" si="86"/>
        <v>7.86</v>
      </c>
      <c r="Q754" s="471">
        <f t="shared" si="87"/>
        <v>3.9099999999999997</v>
      </c>
      <c r="R754" s="751">
        <v>1</v>
      </c>
      <c r="S754" s="392">
        <f t="shared" si="88"/>
        <v>0</v>
      </c>
      <c r="T754" s="392">
        <f t="shared" si="89"/>
        <v>0</v>
      </c>
      <c r="U754" s="392">
        <f t="shared" si="90"/>
        <v>0</v>
      </c>
      <c r="V754" s="392">
        <f t="shared" si="91"/>
        <v>0.7</v>
      </c>
      <c r="W754" s="2774">
        <f t="shared" si="92"/>
        <v>0</v>
      </c>
      <c r="X754" s="2774">
        <f t="shared" si="93"/>
        <v>2.4</v>
      </c>
      <c r="Y754" s="392">
        <f t="shared" si="94"/>
        <v>3</v>
      </c>
    </row>
    <row r="755" spans="1:25" s="16" customFormat="1" x14ac:dyDescent="0.2">
      <c r="A755" s="392" t="s">
        <v>1487</v>
      </c>
      <c r="B755" s="2784" t="s">
        <v>1550</v>
      </c>
      <c r="C755" s="392" t="str">
        <f t="shared" si="76"/>
        <v>Tropical DryCentral Asia</v>
      </c>
      <c r="D755" s="2773">
        <v>4.7</v>
      </c>
      <c r="E755" s="2773">
        <f t="shared" si="77"/>
        <v>4.7</v>
      </c>
      <c r="F755" s="2773">
        <f t="shared" si="77"/>
        <v>4.7</v>
      </c>
      <c r="G755" s="2785">
        <f t="shared" si="78"/>
        <v>4.0889999999999995</v>
      </c>
      <c r="H755" s="2767">
        <v>0</v>
      </c>
      <c r="I755" s="492">
        <f t="shared" si="79"/>
        <v>3.4762500000000003</v>
      </c>
      <c r="J755" s="471">
        <f t="shared" si="80"/>
        <v>3.46</v>
      </c>
      <c r="K755" s="471">
        <f t="shared" si="81"/>
        <v>6.1400000000000006</v>
      </c>
      <c r="L755" s="471">
        <f t="shared" si="82"/>
        <v>0.6</v>
      </c>
      <c r="M755" s="492">
        <f t="shared" si="83"/>
        <v>2.09</v>
      </c>
      <c r="N755" s="492">
        <f t="shared" si="84"/>
        <v>0.79999999999999993</v>
      </c>
      <c r="O755" s="492">
        <f t="shared" si="85"/>
        <v>2.95</v>
      </c>
      <c r="P755" s="492">
        <f t="shared" si="86"/>
        <v>7.86</v>
      </c>
      <c r="Q755" s="471">
        <f t="shared" si="87"/>
        <v>3.9099999999999997</v>
      </c>
      <c r="R755" s="751">
        <v>1</v>
      </c>
      <c r="S755" s="392">
        <f t="shared" si="88"/>
        <v>0</v>
      </c>
      <c r="T755" s="392">
        <f t="shared" si="89"/>
        <v>0</v>
      </c>
      <c r="U755" s="392">
        <f t="shared" si="90"/>
        <v>0</v>
      </c>
      <c r="V755" s="392">
        <f t="shared" si="91"/>
        <v>0.7</v>
      </c>
      <c r="W755" s="2774">
        <f t="shared" si="92"/>
        <v>0</v>
      </c>
      <c r="X755" s="2774">
        <f t="shared" si="93"/>
        <v>2.4</v>
      </c>
      <c r="Y755" s="392">
        <f t="shared" si="94"/>
        <v>3</v>
      </c>
    </row>
    <row r="756" spans="1:25" s="16" customFormat="1" x14ac:dyDescent="0.2">
      <c r="A756" s="392" t="s">
        <v>1487</v>
      </c>
      <c r="B756" s="2784" t="s">
        <v>1554</v>
      </c>
      <c r="C756" s="392" t="str">
        <f t="shared" si="76"/>
        <v>Tropical DryEastern Asia</v>
      </c>
      <c r="D756" s="2773">
        <v>4.7</v>
      </c>
      <c r="E756" s="2773">
        <f t="shared" si="77"/>
        <v>4.7</v>
      </c>
      <c r="F756" s="2773">
        <f t="shared" si="77"/>
        <v>4.7</v>
      </c>
      <c r="G756" s="2785">
        <f t="shared" si="78"/>
        <v>4.0889999999999995</v>
      </c>
      <c r="H756" s="2767">
        <v>0</v>
      </c>
      <c r="I756" s="492">
        <f t="shared" si="79"/>
        <v>3.4762500000000003</v>
      </c>
      <c r="J756" s="471">
        <f t="shared" si="80"/>
        <v>3.46</v>
      </c>
      <c r="K756" s="471">
        <f t="shared" si="81"/>
        <v>6.1400000000000006</v>
      </c>
      <c r="L756" s="471">
        <f t="shared" si="82"/>
        <v>0.6</v>
      </c>
      <c r="M756" s="492">
        <f t="shared" si="83"/>
        <v>2.09</v>
      </c>
      <c r="N756" s="492">
        <f t="shared" si="84"/>
        <v>0.79999999999999993</v>
      </c>
      <c r="O756" s="492">
        <f t="shared" si="85"/>
        <v>2.95</v>
      </c>
      <c r="P756" s="492">
        <f t="shared" si="86"/>
        <v>7.86</v>
      </c>
      <c r="Q756" s="471">
        <f t="shared" si="87"/>
        <v>3.9099999999999997</v>
      </c>
      <c r="R756" s="751">
        <v>1</v>
      </c>
      <c r="S756" s="392">
        <f t="shared" si="88"/>
        <v>0</v>
      </c>
      <c r="T756" s="392">
        <f t="shared" si="89"/>
        <v>0</v>
      </c>
      <c r="U756" s="392">
        <f t="shared" si="90"/>
        <v>0</v>
      </c>
      <c r="V756" s="392">
        <f t="shared" si="91"/>
        <v>0.7</v>
      </c>
      <c r="W756" s="2774">
        <f t="shared" si="92"/>
        <v>0</v>
      </c>
      <c r="X756" s="2774">
        <f t="shared" si="93"/>
        <v>2.4</v>
      </c>
      <c r="Y756" s="392">
        <f t="shared" si="94"/>
        <v>3</v>
      </c>
    </row>
    <row r="757" spans="1:25" s="16" customFormat="1" x14ac:dyDescent="0.2">
      <c r="A757" s="392" t="s">
        <v>1487</v>
      </c>
      <c r="B757" s="2784" t="s">
        <v>1563</v>
      </c>
      <c r="C757" s="392" t="str">
        <f t="shared" si="76"/>
        <v>Tropical DrySouth-eastern Asia</v>
      </c>
      <c r="D757" s="2773">
        <v>4.7</v>
      </c>
      <c r="E757" s="2773">
        <f t="shared" si="77"/>
        <v>4.7</v>
      </c>
      <c r="F757" s="2773">
        <f t="shared" si="77"/>
        <v>4.7</v>
      </c>
      <c r="G757" s="2785">
        <f t="shared" si="78"/>
        <v>4.0889999999999995</v>
      </c>
      <c r="H757" s="2767">
        <v>0</v>
      </c>
      <c r="I757" s="492">
        <f t="shared" si="79"/>
        <v>3.4762500000000003</v>
      </c>
      <c r="J757" s="471">
        <f t="shared" si="80"/>
        <v>3.46</v>
      </c>
      <c r="K757" s="471">
        <f t="shared" si="81"/>
        <v>6.1400000000000006</v>
      </c>
      <c r="L757" s="471">
        <f t="shared" si="82"/>
        <v>0.6</v>
      </c>
      <c r="M757" s="492">
        <f t="shared" si="83"/>
        <v>2.09</v>
      </c>
      <c r="N757" s="492">
        <f t="shared" si="84"/>
        <v>0.79999999999999993</v>
      </c>
      <c r="O757" s="492">
        <f t="shared" si="85"/>
        <v>2.95</v>
      </c>
      <c r="P757" s="492">
        <f t="shared" si="86"/>
        <v>7.86</v>
      </c>
      <c r="Q757" s="471">
        <f t="shared" si="87"/>
        <v>3.9099999999999997</v>
      </c>
      <c r="R757" s="751">
        <v>1</v>
      </c>
      <c r="S757" s="392">
        <f t="shared" si="88"/>
        <v>0</v>
      </c>
      <c r="T757" s="392">
        <f t="shared" si="89"/>
        <v>0</v>
      </c>
      <c r="U757" s="392">
        <f t="shared" si="90"/>
        <v>0</v>
      </c>
      <c r="V757" s="392">
        <f t="shared" si="91"/>
        <v>0</v>
      </c>
      <c r="W757" s="2774">
        <f t="shared" si="92"/>
        <v>0</v>
      </c>
      <c r="X757" s="2774">
        <f t="shared" si="93"/>
        <v>2.4</v>
      </c>
      <c r="Y757" s="392">
        <f t="shared" si="94"/>
        <v>3</v>
      </c>
    </row>
    <row r="758" spans="1:25" s="16" customFormat="1" x14ac:dyDescent="0.2">
      <c r="A758" s="392" t="s">
        <v>1487</v>
      </c>
      <c r="B758" s="2784" t="s">
        <v>1567</v>
      </c>
      <c r="C758" s="392" t="str">
        <f t="shared" si="76"/>
        <v>Tropical DrySouthern Asia</v>
      </c>
      <c r="D758" s="2773">
        <v>4.7</v>
      </c>
      <c r="E758" s="2773">
        <f t="shared" si="77"/>
        <v>4.7</v>
      </c>
      <c r="F758" s="2773">
        <f t="shared" si="77"/>
        <v>4.7</v>
      </c>
      <c r="G758" s="2785">
        <f t="shared" si="78"/>
        <v>4.0889999999999995</v>
      </c>
      <c r="H758" s="2767">
        <v>0</v>
      </c>
      <c r="I758" s="492">
        <f t="shared" si="79"/>
        <v>3.4762500000000003</v>
      </c>
      <c r="J758" s="471">
        <f t="shared" si="80"/>
        <v>3.46</v>
      </c>
      <c r="K758" s="471">
        <f t="shared" si="81"/>
        <v>6.1400000000000006</v>
      </c>
      <c r="L758" s="471">
        <f t="shared" si="82"/>
        <v>0.6</v>
      </c>
      <c r="M758" s="492">
        <f t="shared" si="83"/>
        <v>2.09</v>
      </c>
      <c r="N758" s="492">
        <f t="shared" si="84"/>
        <v>0.79999999999999993</v>
      </c>
      <c r="O758" s="492">
        <f t="shared" si="85"/>
        <v>2.95</v>
      </c>
      <c r="P758" s="492">
        <f t="shared" si="86"/>
        <v>7.86</v>
      </c>
      <c r="Q758" s="471">
        <f t="shared" si="87"/>
        <v>3.9099999999999997</v>
      </c>
      <c r="R758" s="751">
        <v>1</v>
      </c>
      <c r="S758" s="392">
        <f t="shared" si="88"/>
        <v>0</v>
      </c>
      <c r="T758" s="392">
        <f t="shared" si="89"/>
        <v>0</v>
      </c>
      <c r="U758" s="392">
        <f t="shared" si="90"/>
        <v>0</v>
      </c>
      <c r="V758" s="392">
        <f t="shared" si="91"/>
        <v>0.7</v>
      </c>
      <c r="W758" s="2774">
        <f t="shared" si="92"/>
        <v>0</v>
      </c>
      <c r="X758" s="2774">
        <f t="shared" si="93"/>
        <v>2.4</v>
      </c>
      <c r="Y758" s="392">
        <f t="shared" si="94"/>
        <v>3</v>
      </c>
    </row>
    <row r="759" spans="1:25" s="16" customFormat="1" x14ac:dyDescent="0.2">
      <c r="A759" s="392" t="s">
        <v>1487</v>
      </c>
      <c r="B759" s="2784" t="s">
        <v>1571</v>
      </c>
      <c r="C759" s="392" t="str">
        <f t="shared" si="76"/>
        <v>Tropical DryWestern Asia</v>
      </c>
      <c r="D759" s="2773">
        <v>4.7</v>
      </c>
      <c r="E759" s="2773">
        <f t="shared" si="77"/>
        <v>4.7</v>
      </c>
      <c r="F759" s="2773">
        <f t="shared" si="77"/>
        <v>4.7</v>
      </c>
      <c r="G759" s="2785">
        <f t="shared" si="78"/>
        <v>4.0889999999999995</v>
      </c>
      <c r="H759" s="2767">
        <v>0</v>
      </c>
      <c r="I759" s="492">
        <f t="shared" si="79"/>
        <v>3.4762500000000003</v>
      </c>
      <c r="J759" s="471">
        <f t="shared" si="80"/>
        <v>3.46</v>
      </c>
      <c r="K759" s="471">
        <f t="shared" si="81"/>
        <v>6.1400000000000006</v>
      </c>
      <c r="L759" s="471">
        <f t="shared" si="82"/>
        <v>0.6</v>
      </c>
      <c r="M759" s="492">
        <f t="shared" si="83"/>
        <v>2.09</v>
      </c>
      <c r="N759" s="492">
        <f t="shared" si="84"/>
        <v>0.79999999999999993</v>
      </c>
      <c r="O759" s="492">
        <f t="shared" si="85"/>
        <v>2.95</v>
      </c>
      <c r="P759" s="492">
        <f t="shared" si="86"/>
        <v>7.86</v>
      </c>
      <c r="Q759" s="471">
        <f t="shared" si="87"/>
        <v>3.9099999999999997</v>
      </c>
      <c r="R759" s="751">
        <v>1</v>
      </c>
      <c r="S759" s="392">
        <f t="shared" si="88"/>
        <v>0</v>
      </c>
      <c r="T759" s="392">
        <f t="shared" si="89"/>
        <v>0</v>
      </c>
      <c r="U759" s="392">
        <f t="shared" si="90"/>
        <v>0</v>
      </c>
      <c r="V759" s="392">
        <f t="shared" si="91"/>
        <v>0.7</v>
      </c>
      <c r="W759" s="2774">
        <f t="shared" si="92"/>
        <v>0</v>
      </c>
      <c r="X759" s="2774">
        <f t="shared" si="93"/>
        <v>2.4</v>
      </c>
      <c r="Y759" s="392">
        <f t="shared" si="94"/>
        <v>3</v>
      </c>
    </row>
    <row r="760" spans="1:25" s="16" customFormat="1" x14ac:dyDescent="0.2">
      <c r="A760" s="392" t="s">
        <v>1487</v>
      </c>
      <c r="B760" s="2784" t="s">
        <v>1555</v>
      </c>
      <c r="C760" s="392" t="str">
        <f t="shared" si="76"/>
        <v>Tropical DryEurope</v>
      </c>
      <c r="D760" s="2773">
        <v>4.7</v>
      </c>
      <c r="E760" s="2773">
        <f t="shared" si="77"/>
        <v>4.7</v>
      </c>
      <c r="F760" s="2773">
        <f t="shared" si="77"/>
        <v>4.7</v>
      </c>
      <c r="G760" s="2785">
        <f t="shared" si="78"/>
        <v>4.0889999999999995</v>
      </c>
      <c r="H760" s="2767">
        <v>0</v>
      </c>
      <c r="I760" s="492">
        <f t="shared" si="79"/>
        <v>3.5725000000000002</v>
      </c>
      <c r="J760" s="471">
        <f t="shared" si="80"/>
        <v>2.81</v>
      </c>
      <c r="K760" s="471">
        <f t="shared" si="81"/>
        <v>7.5600000000000005</v>
      </c>
      <c r="L760" s="471">
        <f t="shared" si="82"/>
        <v>0.6</v>
      </c>
      <c r="M760" s="492">
        <f t="shared" si="83"/>
        <v>2.09</v>
      </c>
      <c r="N760" s="492">
        <f t="shared" si="84"/>
        <v>0.79999999999999993</v>
      </c>
      <c r="O760" s="492">
        <f t="shared" si="85"/>
        <v>2.95</v>
      </c>
      <c r="P760" s="492">
        <f t="shared" si="86"/>
        <v>7.86</v>
      </c>
      <c r="Q760" s="471">
        <f t="shared" si="87"/>
        <v>3.9099999999999997</v>
      </c>
      <c r="R760" s="751">
        <v>1</v>
      </c>
      <c r="S760" s="392">
        <f t="shared" si="88"/>
        <v>0</v>
      </c>
      <c r="T760" s="392">
        <f t="shared" si="89"/>
        <v>0</v>
      </c>
      <c r="U760" s="392">
        <f t="shared" si="90"/>
        <v>0</v>
      </c>
      <c r="V760" s="392">
        <f t="shared" si="91"/>
        <v>0.7</v>
      </c>
      <c r="W760" s="2774">
        <f t="shared" si="92"/>
        <v>0</v>
      </c>
      <c r="X760" s="2774">
        <f t="shared" si="93"/>
        <v>2.4</v>
      </c>
      <c r="Y760" s="392">
        <f t="shared" si="94"/>
        <v>3</v>
      </c>
    </row>
    <row r="761" spans="1:25" s="16" customFormat="1" x14ac:dyDescent="0.2">
      <c r="A761" s="392" t="s">
        <v>1487</v>
      </c>
      <c r="B761" s="2784" t="s">
        <v>1346</v>
      </c>
      <c r="C761" s="392" t="str">
        <f t="shared" si="76"/>
        <v>Tropical DryOceania</v>
      </c>
      <c r="D761" s="2773">
        <v>4.7</v>
      </c>
      <c r="E761" s="2773">
        <f t="shared" si="77"/>
        <v>4.7</v>
      </c>
      <c r="F761" s="2773">
        <f t="shared" si="77"/>
        <v>4.7</v>
      </c>
      <c r="G761" s="2785">
        <f t="shared" si="78"/>
        <v>4.0889999999999995</v>
      </c>
      <c r="H761" s="2767">
        <v>0</v>
      </c>
      <c r="I761" s="492">
        <f t="shared" si="79"/>
        <v>3.5725000000000002</v>
      </c>
      <c r="J761" s="471">
        <f t="shared" si="80"/>
        <v>2.81</v>
      </c>
      <c r="K761" s="471">
        <f t="shared" si="81"/>
        <v>7.5600000000000005</v>
      </c>
      <c r="L761" s="471">
        <f t="shared" si="82"/>
        <v>0.6</v>
      </c>
      <c r="M761" s="492">
        <f t="shared" si="83"/>
        <v>2.09</v>
      </c>
      <c r="N761" s="492">
        <f t="shared" si="84"/>
        <v>0.79999999999999993</v>
      </c>
      <c r="O761" s="492">
        <f t="shared" si="85"/>
        <v>2.95</v>
      </c>
      <c r="P761" s="492">
        <f t="shared" si="86"/>
        <v>7.86</v>
      </c>
      <c r="Q761" s="471">
        <f t="shared" si="87"/>
        <v>3.9099999999999997</v>
      </c>
      <c r="R761" s="751">
        <v>1</v>
      </c>
      <c r="S761" s="392">
        <f t="shared" si="88"/>
        <v>0</v>
      </c>
      <c r="T761" s="392">
        <f t="shared" si="89"/>
        <v>0</v>
      </c>
      <c r="U761" s="392">
        <f t="shared" si="90"/>
        <v>0</v>
      </c>
      <c r="V761" s="392">
        <f t="shared" si="91"/>
        <v>0.7</v>
      </c>
      <c r="W761" s="2774">
        <f t="shared" si="92"/>
        <v>0</v>
      </c>
      <c r="X761" s="2774">
        <f t="shared" si="93"/>
        <v>2.4</v>
      </c>
      <c r="Y761" s="392">
        <f t="shared" si="94"/>
        <v>3</v>
      </c>
    </row>
    <row r="762" spans="1:25" s="16" customFormat="1" x14ac:dyDescent="0.2">
      <c r="A762" s="392" t="s">
        <v>1487</v>
      </c>
      <c r="B762" s="2784" t="s">
        <v>1343</v>
      </c>
      <c r="C762" s="392" t="str">
        <f t="shared" si="76"/>
        <v>Tropical DryNorth America</v>
      </c>
      <c r="D762" s="2773">
        <v>4.7</v>
      </c>
      <c r="E762" s="2773">
        <f t="shared" si="77"/>
        <v>4.7</v>
      </c>
      <c r="F762" s="2773">
        <f t="shared" si="77"/>
        <v>4.7</v>
      </c>
      <c r="G762" s="2785">
        <f t="shared" si="78"/>
        <v>4.0889999999999995</v>
      </c>
      <c r="H762" s="2767">
        <v>0</v>
      </c>
      <c r="I762" s="492">
        <f t="shared" si="79"/>
        <v>3.5725000000000002</v>
      </c>
      <c r="J762" s="471">
        <f t="shared" si="80"/>
        <v>2.81</v>
      </c>
      <c r="K762" s="471">
        <f t="shared" si="81"/>
        <v>7.5600000000000005</v>
      </c>
      <c r="L762" s="471">
        <f t="shared" si="82"/>
        <v>0.6</v>
      </c>
      <c r="M762" s="492">
        <f t="shared" si="83"/>
        <v>2.09</v>
      </c>
      <c r="N762" s="492">
        <f t="shared" si="84"/>
        <v>0.79999999999999993</v>
      </c>
      <c r="O762" s="492">
        <f t="shared" si="85"/>
        <v>2.95</v>
      </c>
      <c r="P762" s="492">
        <f t="shared" si="86"/>
        <v>7.86</v>
      </c>
      <c r="Q762" s="471">
        <f t="shared" si="87"/>
        <v>3.9099999999999997</v>
      </c>
      <c r="R762" s="751">
        <v>1</v>
      </c>
      <c r="S762" s="392">
        <f t="shared" si="88"/>
        <v>0</v>
      </c>
      <c r="T762" s="392">
        <f t="shared" si="89"/>
        <v>0</v>
      </c>
      <c r="U762" s="392">
        <f t="shared" si="90"/>
        <v>0</v>
      </c>
      <c r="V762" s="392">
        <f t="shared" si="91"/>
        <v>0.7</v>
      </c>
      <c r="W762" s="2774">
        <f t="shared" si="92"/>
        <v>0</v>
      </c>
      <c r="X762" s="2774">
        <f t="shared" si="93"/>
        <v>2.4</v>
      </c>
      <c r="Y762" s="392">
        <f t="shared" si="94"/>
        <v>3</v>
      </c>
    </row>
    <row r="763" spans="1:25" s="16" customFormat="1" x14ac:dyDescent="0.2">
      <c r="A763" s="392" t="s">
        <v>1487</v>
      </c>
      <c r="B763" s="2784" t="s">
        <v>1349</v>
      </c>
      <c r="C763" s="392" t="str">
        <f t="shared" si="76"/>
        <v>Tropical DrySouth America</v>
      </c>
      <c r="D763" s="2773">
        <v>4.7</v>
      </c>
      <c r="E763" s="2773">
        <f t="shared" si="77"/>
        <v>4.7</v>
      </c>
      <c r="F763" s="2773">
        <f t="shared" si="77"/>
        <v>4.7</v>
      </c>
      <c r="G763" s="2785">
        <f t="shared" si="78"/>
        <v>4.0889999999999995</v>
      </c>
      <c r="H763" s="2767">
        <v>0</v>
      </c>
      <c r="I763" s="492">
        <f t="shared" si="79"/>
        <v>3.5725000000000002</v>
      </c>
      <c r="J763" s="471">
        <f t="shared" si="80"/>
        <v>2.81</v>
      </c>
      <c r="K763" s="471">
        <f t="shared" si="81"/>
        <v>7.5600000000000005</v>
      </c>
      <c r="L763" s="471">
        <f t="shared" si="82"/>
        <v>0.6</v>
      </c>
      <c r="M763" s="492">
        <f t="shared" si="83"/>
        <v>2.09</v>
      </c>
      <c r="N763" s="492">
        <f t="shared" si="84"/>
        <v>0.79999999999999993</v>
      </c>
      <c r="O763" s="492">
        <f t="shared" si="85"/>
        <v>2.95</v>
      </c>
      <c r="P763" s="492">
        <f t="shared" si="86"/>
        <v>7.86</v>
      </c>
      <c r="Q763" s="471">
        <f t="shared" si="87"/>
        <v>3.9099999999999997</v>
      </c>
      <c r="R763" s="751">
        <v>1</v>
      </c>
      <c r="S763" s="392">
        <f t="shared" si="88"/>
        <v>0</v>
      </c>
      <c r="T763" s="392">
        <f t="shared" si="89"/>
        <v>0</v>
      </c>
      <c r="U763" s="392">
        <f t="shared" si="90"/>
        <v>0</v>
      </c>
      <c r="V763" s="392">
        <f t="shared" si="91"/>
        <v>0.7</v>
      </c>
      <c r="W763" s="2774">
        <f t="shared" si="92"/>
        <v>0</v>
      </c>
      <c r="X763" s="2774">
        <f t="shared" si="93"/>
        <v>2.4</v>
      </c>
      <c r="Y763" s="392">
        <f t="shared" si="94"/>
        <v>3</v>
      </c>
    </row>
    <row r="764" spans="1:25" s="16" customFormat="1" x14ac:dyDescent="0.2">
      <c r="A764" s="392" t="s">
        <v>1487</v>
      </c>
      <c r="B764" s="2784" t="s">
        <v>1333</v>
      </c>
      <c r="C764" s="392" t="str">
        <f t="shared" si="76"/>
        <v>Tropical DryCentral America</v>
      </c>
      <c r="D764" s="2773">
        <v>4.7</v>
      </c>
      <c r="E764" s="2773">
        <f t="shared" si="77"/>
        <v>4.7</v>
      </c>
      <c r="F764" s="2773">
        <f t="shared" si="77"/>
        <v>4.7</v>
      </c>
      <c r="G764" s="2785">
        <f t="shared" si="78"/>
        <v>4.0889999999999995</v>
      </c>
      <c r="H764" s="2767">
        <v>0</v>
      </c>
      <c r="I764" s="492">
        <f t="shared" si="79"/>
        <v>3.5725000000000002</v>
      </c>
      <c r="J764" s="471">
        <f t="shared" si="80"/>
        <v>2.81</v>
      </c>
      <c r="K764" s="471">
        <f t="shared" si="81"/>
        <v>7.5600000000000005</v>
      </c>
      <c r="L764" s="471">
        <f t="shared" si="82"/>
        <v>0.6</v>
      </c>
      <c r="M764" s="492">
        <f t="shared" si="83"/>
        <v>2.09</v>
      </c>
      <c r="N764" s="492">
        <f t="shared" si="84"/>
        <v>0.79999999999999993</v>
      </c>
      <c r="O764" s="492">
        <f t="shared" si="85"/>
        <v>2.95</v>
      </c>
      <c r="P764" s="492">
        <f t="shared" si="86"/>
        <v>7.86</v>
      </c>
      <c r="Q764" s="471">
        <f t="shared" si="87"/>
        <v>3.9099999999999997</v>
      </c>
      <c r="R764" s="751">
        <v>1</v>
      </c>
      <c r="S764" s="392">
        <f t="shared" si="88"/>
        <v>0</v>
      </c>
      <c r="T764" s="392">
        <f t="shared" si="89"/>
        <v>0</v>
      </c>
      <c r="U764" s="392">
        <f t="shared" si="90"/>
        <v>0</v>
      </c>
      <c r="V764" s="392">
        <f t="shared" si="91"/>
        <v>0.7</v>
      </c>
      <c r="W764" s="2774">
        <f t="shared" si="92"/>
        <v>0</v>
      </c>
      <c r="X764" s="2774">
        <f t="shared" si="93"/>
        <v>2.4</v>
      </c>
      <c r="Y764" s="392">
        <f t="shared" si="94"/>
        <v>3</v>
      </c>
    </row>
    <row r="765" spans="1:25" s="2781" customFormat="1" x14ac:dyDescent="0.2">
      <c r="A765" s="2775" t="s">
        <v>1487</v>
      </c>
      <c r="B765" s="2786" t="s">
        <v>1547</v>
      </c>
      <c r="C765" s="2775" t="str">
        <f t="shared" si="76"/>
        <v>Tropical DryCaribbean</v>
      </c>
      <c r="D765" s="2777">
        <v>4.7</v>
      </c>
      <c r="E765" s="2777">
        <f t="shared" si="77"/>
        <v>4.7</v>
      </c>
      <c r="F765" s="2777">
        <f t="shared" si="77"/>
        <v>4.7</v>
      </c>
      <c r="G765" s="2787">
        <f t="shared" si="78"/>
        <v>4.0889999999999995</v>
      </c>
      <c r="H765" s="2778">
        <v>0</v>
      </c>
      <c r="I765" s="2779">
        <f t="shared" si="79"/>
        <v>3.5725000000000002</v>
      </c>
      <c r="J765" s="471">
        <f t="shared" si="80"/>
        <v>2.81</v>
      </c>
      <c r="K765" s="471">
        <f t="shared" si="81"/>
        <v>7.5600000000000005</v>
      </c>
      <c r="L765" s="471">
        <f t="shared" si="82"/>
        <v>0.6</v>
      </c>
      <c r="M765" s="492">
        <f t="shared" si="83"/>
        <v>2.09</v>
      </c>
      <c r="N765" s="492">
        <f t="shared" si="84"/>
        <v>0.79999999999999993</v>
      </c>
      <c r="O765" s="492">
        <f t="shared" si="85"/>
        <v>2.95</v>
      </c>
      <c r="P765" s="492">
        <f t="shared" si="86"/>
        <v>7.86</v>
      </c>
      <c r="Q765" s="471">
        <f t="shared" si="87"/>
        <v>3.9099999999999997</v>
      </c>
      <c r="R765" s="752">
        <v>1</v>
      </c>
      <c r="S765" s="392">
        <f t="shared" si="88"/>
        <v>0</v>
      </c>
      <c r="T765" s="392">
        <f t="shared" si="89"/>
        <v>0</v>
      </c>
      <c r="U765" s="392">
        <f t="shared" si="90"/>
        <v>0</v>
      </c>
      <c r="V765" s="392">
        <f t="shared" si="91"/>
        <v>0.7</v>
      </c>
      <c r="W765" s="2774">
        <f t="shared" si="92"/>
        <v>0</v>
      </c>
      <c r="X765" s="2780">
        <f t="shared" si="93"/>
        <v>2.4</v>
      </c>
      <c r="Y765" s="2775">
        <f t="shared" si="94"/>
        <v>3</v>
      </c>
    </row>
    <row r="766" spans="1:25" s="2771" customFormat="1" x14ac:dyDescent="0.2">
      <c r="A766" s="2764" t="s">
        <v>1488</v>
      </c>
      <c r="B766" s="2782" t="s">
        <v>1552</v>
      </c>
      <c r="C766" s="2764" t="str">
        <f>CONCATENATE(A766,B766)</f>
        <v>Tropical MoistEastern Africa</v>
      </c>
      <c r="D766" s="2766">
        <v>4.7</v>
      </c>
      <c r="E766" s="2766">
        <f t="shared" si="77"/>
        <v>4.7</v>
      </c>
      <c r="F766" s="2766">
        <f t="shared" si="77"/>
        <v>4.7</v>
      </c>
      <c r="G766" s="2785">
        <f t="shared" ref="G766:G781" si="95">16.1*0.47</f>
        <v>7.5670000000000002</v>
      </c>
      <c r="H766" s="2768">
        <v>0</v>
      </c>
      <c r="I766" s="492">
        <f t="shared" si="79"/>
        <v>3.4074999999999998</v>
      </c>
      <c r="J766" s="490">
        <f t="shared" si="80"/>
        <v>3.34</v>
      </c>
      <c r="K766" s="490">
        <f t="shared" si="81"/>
        <v>6.57</v>
      </c>
      <c r="L766" s="490">
        <f t="shared" si="82"/>
        <v>0.57999999999999996</v>
      </c>
      <c r="M766" s="490">
        <f t="shared" si="83"/>
        <v>3.7</v>
      </c>
      <c r="N766" s="490">
        <f t="shared" si="84"/>
        <v>0.79999999999999993</v>
      </c>
      <c r="O766" s="490">
        <f t="shared" si="85"/>
        <v>2.2600000000000002</v>
      </c>
      <c r="P766" s="490">
        <f t="shared" si="86"/>
        <v>6.31</v>
      </c>
      <c r="Q766" s="491">
        <f t="shared" si="87"/>
        <v>3.7</v>
      </c>
      <c r="R766" s="750">
        <v>1</v>
      </c>
      <c r="S766" s="2764">
        <f t="shared" si="88"/>
        <v>0</v>
      </c>
      <c r="T766" s="2764">
        <f t="shared" si="89"/>
        <v>0</v>
      </c>
      <c r="U766" s="2764">
        <f t="shared" si="90"/>
        <v>0</v>
      </c>
      <c r="V766" s="2764">
        <f t="shared" si="91"/>
        <v>0.7</v>
      </c>
      <c r="W766" s="2764">
        <f t="shared" si="92"/>
        <v>0</v>
      </c>
      <c r="X766" s="2764">
        <f t="shared" si="93"/>
        <v>2.4</v>
      </c>
      <c r="Y766" s="2764">
        <f t="shared" si="94"/>
        <v>3</v>
      </c>
    </row>
    <row r="767" spans="1:25" s="16" customFormat="1" x14ac:dyDescent="0.2">
      <c r="A767" s="392" t="s">
        <v>1488</v>
      </c>
      <c r="B767" s="2784" t="s">
        <v>1557</v>
      </c>
      <c r="C767" s="392" t="str">
        <f t="shared" ref="C767:C781" si="96">CONCATENATE(A767,B767)</f>
        <v>Tropical MoistCentral Africa</v>
      </c>
      <c r="D767" s="2773">
        <v>4.7</v>
      </c>
      <c r="E767" s="2773">
        <f t="shared" si="77"/>
        <v>4.7</v>
      </c>
      <c r="F767" s="2773">
        <f t="shared" si="77"/>
        <v>4.7</v>
      </c>
      <c r="G767" s="2785">
        <f t="shared" si="95"/>
        <v>7.5670000000000002</v>
      </c>
      <c r="H767" s="2767">
        <v>0</v>
      </c>
      <c r="I767" s="492">
        <f t="shared" si="79"/>
        <v>3.4074999999999998</v>
      </c>
      <c r="J767" s="492">
        <f t="shared" si="80"/>
        <v>3.34</v>
      </c>
      <c r="K767" s="492">
        <f t="shared" si="81"/>
        <v>6.57</v>
      </c>
      <c r="L767" s="492">
        <f t="shared" si="82"/>
        <v>0.57999999999999996</v>
      </c>
      <c r="M767" s="492">
        <f t="shared" si="83"/>
        <v>3.7</v>
      </c>
      <c r="N767" s="492">
        <f t="shared" si="84"/>
        <v>0.79999999999999993</v>
      </c>
      <c r="O767" s="492">
        <f t="shared" si="85"/>
        <v>2.2600000000000002</v>
      </c>
      <c r="P767" s="492">
        <f t="shared" si="86"/>
        <v>6.31</v>
      </c>
      <c r="Q767" s="471">
        <f t="shared" si="87"/>
        <v>3.7</v>
      </c>
      <c r="R767" s="751">
        <v>1</v>
      </c>
      <c r="S767" s="392">
        <f t="shared" si="88"/>
        <v>0</v>
      </c>
      <c r="T767" s="392">
        <f t="shared" si="89"/>
        <v>0</v>
      </c>
      <c r="U767" s="392">
        <f t="shared" si="90"/>
        <v>0</v>
      </c>
      <c r="V767" s="392">
        <f t="shared" si="91"/>
        <v>0.7</v>
      </c>
      <c r="W767" s="392">
        <f t="shared" si="92"/>
        <v>0</v>
      </c>
      <c r="X767" s="392">
        <f t="shared" si="93"/>
        <v>2.4</v>
      </c>
      <c r="Y767" s="392">
        <f t="shared" si="94"/>
        <v>3</v>
      </c>
    </row>
    <row r="768" spans="1:25" s="16" customFormat="1" x14ac:dyDescent="0.2">
      <c r="A768" s="392" t="s">
        <v>1488</v>
      </c>
      <c r="B768" s="2784" t="s">
        <v>1559</v>
      </c>
      <c r="C768" s="392" t="str">
        <f t="shared" si="96"/>
        <v>Tropical MoistNorthern Africa</v>
      </c>
      <c r="D768" s="2773">
        <v>4.7</v>
      </c>
      <c r="E768" s="2773">
        <f t="shared" si="77"/>
        <v>4.7</v>
      </c>
      <c r="F768" s="2773">
        <f t="shared" si="77"/>
        <v>4.7</v>
      </c>
      <c r="G768" s="2785">
        <f t="shared" si="95"/>
        <v>7.5670000000000002</v>
      </c>
      <c r="H768" s="2767">
        <v>0</v>
      </c>
      <c r="I768" s="492">
        <f t="shared" si="79"/>
        <v>3.4074999999999998</v>
      </c>
      <c r="J768" s="492">
        <f t="shared" si="80"/>
        <v>3.34</v>
      </c>
      <c r="K768" s="492">
        <f t="shared" si="81"/>
        <v>6.57</v>
      </c>
      <c r="L768" s="492">
        <f t="shared" si="82"/>
        <v>0.57999999999999996</v>
      </c>
      <c r="M768" s="492">
        <f t="shared" si="83"/>
        <v>3.7</v>
      </c>
      <c r="N768" s="492">
        <f t="shared" si="84"/>
        <v>0.79999999999999993</v>
      </c>
      <c r="O768" s="492">
        <f t="shared" si="85"/>
        <v>2.2600000000000002</v>
      </c>
      <c r="P768" s="492">
        <f t="shared" si="86"/>
        <v>6.31</v>
      </c>
      <c r="Q768" s="471">
        <f t="shared" si="87"/>
        <v>3.7</v>
      </c>
      <c r="R768" s="751">
        <v>1</v>
      </c>
      <c r="S768" s="392">
        <f t="shared" si="88"/>
        <v>0</v>
      </c>
      <c r="T768" s="392">
        <f t="shared" si="89"/>
        <v>0</v>
      </c>
      <c r="U768" s="392">
        <f t="shared" si="90"/>
        <v>0</v>
      </c>
      <c r="V768" s="392">
        <f t="shared" si="91"/>
        <v>0.7</v>
      </c>
      <c r="W768" s="392">
        <f t="shared" si="92"/>
        <v>0</v>
      </c>
      <c r="X768" s="392">
        <f t="shared" si="93"/>
        <v>2.4</v>
      </c>
      <c r="Y768" s="392">
        <f t="shared" si="94"/>
        <v>3</v>
      </c>
    </row>
    <row r="769" spans="1:25" s="16" customFormat="1" x14ac:dyDescent="0.2">
      <c r="A769" s="392" t="s">
        <v>1488</v>
      </c>
      <c r="B769" s="2784" t="s">
        <v>1565</v>
      </c>
      <c r="C769" s="392" t="str">
        <f t="shared" si="96"/>
        <v>Tropical MoistSouthern Africa</v>
      </c>
      <c r="D769" s="2773">
        <v>4.7</v>
      </c>
      <c r="E769" s="2773">
        <f t="shared" si="77"/>
        <v>4.7</v>
      </c>
      <c r="F769" s="2773">
        <f t="shared" si="77"/>
        <v>4.7</v>
      </c>
      <c r="G769" s="2785">
        <f t="shared" si="95"/>
        <v>7.5670000000000002</v>
      </c>
      <c r="H769" s="2767">
        <v>0</v>
      </c>
      <c r="I769" s="492">
        <f t="shared" si="79"/>
        <v>3.4074999999999998</v>
      </c>
      <c r="J769" s="492">
        <f t="shared" si="80"/>
        <v>3.34</v>
      </c>
      <c r="K769" s="492">
        <f t="shared" si="81"/>
        <v>6.57</v>
      </c>
      <c r="L769" s="492">
        <f t="shared" si="82"/>
        <v>0.57999999999999996</v>
      </c>
      <c r="M769" s="492">
        <f t="shared" si="83"/>
        <v>3.7</v>
      </c>
      <c r="N769" s="492">
        <f t="shared" si="84"/>
        <v>0.79999999999999993</v>
      </c>
      <c r="O769" s="492">
        <f t="shared" si="85"/>
        <v>2.2600000000000002</v>
      </c>
      <c r="P769" s="492">
        <f t="shared" si="86"/>
        <v>6.31</v>
      </c>
      <c r="Q769" s="471">
        <f t="shared" si="87"/>
        <v>3.7</v>
      </c>
      <c r="R769" s="751">
        <v>1</v>
      </c>
      <c r="S769" s="392">
        <f t="shared" si="88"/>
        <v>0</v>
      </c>
      <c r="T769" s="392">
        <f t="shared" si="89"/>
        <v>0</v>
      </c>
      <c r="U769" s="392">
        <f t="shared" si="90"/>
        <v>0</v>
      </c>
      <c r="V769" s="392">
        <f t="shared" si="91"/>
        <v>0.7</v>
      </c>
      <c r="W769" s="392">
        <f t="shared" si="92"/>
        <v>0</v>
      </c>
      <c r="X769" s="392">
        <f t="shared" si="93"/>
        <v>2.4</v>
      </c>
      <c r="Y769" s="392">
        <f t="shared" si="94"/>
        <v>3</v>
      </c>
    </row>
    <row r="770" spans="1:25" s="16" customFormat="1" x14ac:dyDescent="0.2">
      <c r="A770" s="392" t="s">
        <v>1488</v>
      </c>
      <c r="B770" s="2784" t="s">
        <v>1569</v>
      </c>
      <c r="C770" s="392" t="str">
        <f t="shared" si="96"/>
        <v>Tropical MoistWestern Africa</v>
      </c>
      <c r="D770" s="2773">
        <v>4.7</v>
      </c>
      <c r="E770" s="2773">
        <f t="shared" si="77"/>
        <v>4.7</v>
      </c>
      <c r="F770" s="2773">
        <f t="shared" si="77"/>
        <v>4.7</v>
      </c>
      <c r="G770" s="2785">
        <f t="shared" si="95"/>
        <v>7.5670000000000002</v>
      </c>
      <c r="H770" s="2767">
        <v>0</v>
      </c>
      <c r="I770" s="492">
        <f t="shared" si="79"/>
        <v>3.4074999999999998</v>
      </c>
      <c r="J770" s="492">
        <f t="shared" si="80"/>
        <v>3.34</v>
      </c>
      <c r="K770" s="492">
        <f t="shared" si="81"/>
        <v>6.57</v>
      </c>
      <c r="L770" s="492">
        <f t="shared" si="82"/>
        <v>0.57999999999999996</v>
      </c>
      <c r="M770" s="492">
        <f t="shared" si="83"/>
        <v>3.7</v>
      </c>
      <c r="N770" s="492">
        <f t="shared" si="84"/>
        <v>0.79999999999999993</v>
      </c>
      <c r="O770" s="492">
        <f t="shared" si="85"/>
        <v>2.2600000000000002</v>
      </c>
      <c r="P770" s="492">
        <f t="shared" si="86"/>
        <v>6.31</v>
      </c>
      <c r="Q770" s="471">
        <f t="shared" si="87"/>
        <v>3.7</v>
      </c>
      <c r="R770" s="751">
        <v>1</v>
      </c>
      <c r="S770" s="392">
        <f t="shared" si="88"/>
        <v>0</v>
      </c>
      <c r="T770" s="392">
        <f t="shared" si="89"/>
        <v>0</v>
      </c>
      <c r="U770" s="392">
        <f t="shared" si="90"/>
        <v>0</v>
      </c>
      <c r="V770" s="392">
        <f t="shared" si="91"/>
        <v>0.7</v>
      </c>
      <c r="W770" s="392">
        <f t="shared" si="92"/>
        <v>0</v>
      </c>
      <c r="X770" s="392">
        <f t="shared" si="93"/>
        <v>2.4</v>
      </c>
      <c r="Y770" s="392">
        <f t="shared" si="94"/>
        <v>3</v>
      </c>
    </row>
    <row r="771" spans="1:25" s="16" customFormat="1" x14ac:dyDescent="0.2">
      <c r="A771" s="392" t="s">
        <v>1488</v>
      </c>
      <c r="B771" s="2784" t="s">
        <v>1550</v>
      </c>
      <c r="C771" s="392" t="str">
        <f t="shared" si="96"/>
        <v>Tropical MoistCentral Asia</v>
      </c>
      <c r="D771" s="2773">
        <v>4.7</v>
      </c>
      <c r="E771" s="2773">
        <f t="shared" si="77"/>
        <v>4.7</v>
      </c>
      <c r="F771" s="2773">
        <f t="shared" si="77"/>
        <v>4.7</v>
      </c>
      <c r="G771" s="2785">
        <f t="shared" si="95"/>
        <v>7.5670000000000002</v>
      </c>
      <c r="H771" s="2767">
        <v>0</v>
      </c>
      <c r="I771" s="492">
        <f t="shared" si="79"/>
        <v>2.875</v>
      </c>
      <c r="J771" s="492">
        <f t="shared" si="80"/>
        <v>3.17</v>
      </c>
      <c r="K771" s="492">
        <f t="shared" si="81"/>
        <v>6.57</v>
      </c>
      <c r="L771" s="492">
        <f t="shared" si="82"/>
        <v>0.57999999999999996</v>
      </c>
      <c r="M771" s="492">
        <f t="shared" si="83"/>
        <v>3.76</v>
      </c>
      <c r="N771" s="492">
        <f t="shared" si="84"/>
        <v>0.79999999999999993</v>
      </c>
      <c r="O771" s="492">
        <f t="shared" si="85"/>
        <v>2.57</v>
      </c>
      <c r="P771" s="492">
        <f t="shared" si="86"/>
        <v>1.85</v>
      </c>
      <c r="Q771" s="471">
        <f t="shared" si="87"/>
        <v>3.7</v>
      </c>
      <c r="R771" s="751">
        <v>1</v>
      </c>
      <c r="S771" s="392">
        <f t="shared" si="88"/>
        <v>0</v>
      </c>
      <c r="T771" s="392">
        <f t="shared" si="89"/>
        <v>0</v>
      </c>
      <c r="U771" s="392">
        <f t="shared" si="90"/>
        <v>0</v>
      </c>
      <c r="V771" s="392">
        <f t="shared" si="91"/>
        <v>0.7</v>
      </c>
      <c r="W771" s="392">
        <f t="shared" si="92"/>
        <v>0</v>
      </c>
      <c r="X771" s="392">
        <f t="shared" si="93"/>
        <v>2.4</v>
      </c>
      <c r="Y771" s="392">
        <f t="shared" si="94"/>
        <v>3</v>
      </c>
    </row>
    <row r="772" spans="1:25" s="16" customFormat="1" x14ac:dyDescent="0.2">
      <c r="A772" s="392" t="s">
        <v>1488</v>
      </c>
      <c r="B772" s="2784" t="s">
        <v>1554</v>
      </c>
      <c r="C772" s="392" t="str">
        <f t="shared" si="96"/>
        <v>Tropical MoistEastern Asia</v>
      </c>
      <c r="D772" s="2773">
        <v>4.7</v>
      </c>
      <c r="E772" s="2773">
        <f t="shared" si="77"/>
        <v>4.7</v>
      </c>
      <c r="F772" s="2773">
        <f t="shared" si="77"/>
        <v>4.7</v>
      </c>
      <c r="G772" s="2785">
        <f t="shared" si="95"/>
        <v>7.5670000000000002</v>
      </c>
      <c r="H772" s="2767">
        <v>0</v>
      </c>
      <c r="I772" s="492">
        <f t="shared" si="79"/>
        <v>2.875</v>
      </c>
      <c r="J772" s="492">
        <f t="shared" si="80"/>
        <v>3.17</v>
      </c>
      <c r="K772" s="492">
        <f t="shared" si="81"/>
        <v>6.57</v>
      </c>
      <c r="L772" s="492">
        <f t="shared" si="82"/>
        <v>0.57999999999999996</v>
      </c>
      <c r="M772" s="492">
        <f t="shared" si="83"/>
        <v>3.76</v>
      </c>
      <c r="N772" s="492">
        <f t="shared" si="84"/>
        <v>0.79999999999999993</v>
      </c>
      <c r="O772" s="492">
        <f t="shared" si="85"/>
        <v>2.57</v>
      </c>
      <c r="P772" s="492">
        <f t="shared" si="86"/>
        <v>1.85</v>
      </c>
      <c r="Q772" s="471">
        <f t="shared" si="87"/>
        <v>3.7</v>
      </c>
      <c r="R772" s="751">
        <v>1</v>
      </c>
      <c r="S772" s="392">
        <f t="shared" si="88"/>
        <v>0</v>
      </c>
      <c r="T772" s="392">
        <f t="shared" si="89"/>
        <v>0</v>
      </c>
      <c r="U772" s="392">
        <f t="shared" si="90"/>
        <v>0</v>
      </c>
      <c r="V772" s="392">
        <f t="shared" si="91"/>
        <v>0.7</v>
      </c>
      <c r="W772" s="392">
        <f t="shared" si="92"/>
        <v>0</v>
      </c>
      <c r="X772" s="392">
        <f t="shared" si="93"/>
        <v>2.4</v>
      </c>
      <c r="Y772" s="392">
        <f t="shared" si="94"/>
        <v>3</v>
      </c>
    </row>
    <row r="773" spans="1:25" s="16" customFormat="1" x14ac:dyDescent="0.2">
      <c r="A773" s="392" t="s">
        <v>1488</v>
      </c>
      <c r="B773" s="2784" t="s">
        <v>1563</v>
      </c>
      <c r="C773" s="392" t="str">
        <f t="shared" si="96"/>
        <v>Tropical MoistSouth-eastern Asia</v>
      </c>
      <c r="D773" s="2773">
        <v>4.7</v>
      </c>
      <c r="E773" s="2773">
        <f t="shared" si="77"/>
        <v>4.7</v>
      </c>
      <c r="F773" s="2773">
        <f t="shared" si="77"/>
        <v>4.7</v>
      </c>
      <c r="G773" s="2785">
        <f t="shared" si="95"/>
        <v>7.5670000000000002</v>
      </c>
      <c r="H773" s="2767">
        <v>0</v>
      </c>
      <c r="I773" s="492">
        <f t="shared" si="79"/>
        <v>2.875</v>
      </c>
      <c r="J773" s="492">
        <f t="shared" si="80"/>
        <v>3.17</v>
      </c>
      <c r="K773" s="492">
        <f t="shared" si="81"/>
        <v>6.57</v>
      </c>
      <c r="L773" s="492">
        <f t="shared" si="82"/>
        <v>0.57999999999999996</v>
      </c>
      <c r="M773" s="492">
        <f t="shared" si="83"/>
        <v>3.76</v>
      </c>
      <c r="N773" s="492">
        <f t="shared" si="84"/>
        <v>0.79999999999999993</v>
      </c>
      <c r="O773" s="492">
        <f t="shared" si="85"/>
        <v>2.57</v>
      </c>
      <c r="P773" s="492">
        <f t="shared" si="86"/>
        <v>1.85</v>
      </c>
      <c r="Q773" s="471">
        <f t="shared" si="87"/>
        <v>3.7</v>
      </c>
      <c r="R773" s="751">
        <v>1</v>
      </c>
      <c r="S773" s="392">
        <f t="shared" si="88"/>
        <v>0</v>
      </c>
      <c r="T773" s="392">
        <f t="shared" si="89"/>
        <v>0</v>
      </c>
      <c r="U773" s="392">
        <f t="shared" si="90"/>
        <v>0</v>
      </c>
      <c r="V773" s="392">
        <f t="shared" si="91"/>
        <v>0.7</v>
      </c>
      <c r="W773" s="392">
        <f t="shared" si="92"/>
        <v>0</v>
      </c>
      <c r="X773" s="392">
        <f t="shared" si="93"/>
        <v>2.4</v>
      </c>
      <c r="Y773" s="392">
        <f t="shared" si="94"/>
        <v>3</v>
      </c>
    </row>
    <row r="774" spans="1:25" s="16" customFormat="1" x14ac:dyDescent="0.2">
      <c r="A774" s="392" t="s">
        <v>1488</v>
      </c>
      <c r="B774" s="2784" t="s">
        <v>1567</v>
      </c>
      <c r="C774" s="392" t="str">
        <f t="shared" si="96"/>
        <v>Tropical MoistSouthern Asia</v>
      </c>
      <c r="D774" s="2773">
        <v>4.7</v>
      </c>
      <c r="E774" s="2773">
        <f t="shared" si="77"/>
        <v>4.7</v>
      </c>
      <c r="F774" s="2773">
        <f t="shared" si="77"/>
        <v>4.7</v>
      </c>
      <c r="G774" s="2785">
        <f t="shared" si="95"/>
        <v>7.5670000000000002</v>
      </c>
      <c r="H774" s="2767">
        <v>0</v>
      </c>
      <c r="I774" s="492">
        <f t="shared" si="79"/>
        <v>2.875</v>
      </c>
      <c r="J774" s="492">
        <f t="shared" si="80"/>
        <v>3.17</v>
      </c>
      <c r="K774" s="492">
        <f t="shared" si="81"/>
        <v>6.57</v>
      </c>
      <c r="L774" s="492">
        <f t="shared" si="82"/>
        <v>0.57999999999999996</v>
      </c>
      <c r="M774" s="492">
        <f t="shared" si="83"/>
        <v>3.76</v>
      </c>
      <c r="N774" s="492">
        <f t="shared" si="84"/>
        <v>0.79999999999999993</v>
      </c>
      <c r="O774" s="492">
        <f t="shared" si="85"/>
        <v>2.57</v>
      </c>
      <c r="P774" s="492">
        <f t="shared" si="86"/>
        <v>1.85</v>
      </c>
      <c r="Q774" s="471">
        <f t="shared" si="87"/>
        <v>3.7</v>
      </c>
      <c r="R774" s="751">
        <v>1</v>
      </c>
      <c r="S774" s="392">
        <f t="shared" si="88"/>
        <v>0</v>
      </c>
      <c r="T774" s="392">
        <f t="shared" si="89"/>
        <v>0</v>
      </c>
      <c r="U774" s="392">
        <f t="shared" si="90"/>
        <v>0</v>
      </c>
      <c r="V774" s="392">
        <f t="shared" si="91"/>
        <v>0.7</v>
      </c>
      <c r="W774" s="392">
        <f t="shared" si="92"/>
        <v>0</v>
      </c>
      <c r="X774" s="392">
        <f t="shared" si="93"/>
        <v>2.4</v>
      </c>
      <c r="Y774" s="392">
        <f t="shared" si="94"/>
        <v>3</v>
      </c>
    </row>
    <row r="775" spans="1:25" s="16" customFormat="1" x14ac:dyDescent="0.2">
      <c r="A775" s="392" t="s">
        <v>1488</v>
      </c>
      <c r="B775" s="2784" t="s">
        <v>1571</v>
      </c>
      <c r="C775" s="392" t="str">
        <f t="shared" si="96"/>
        <v>Tropical MoistWestern Asia</v>
      </c>
      <c r="D775" s="2773">
        <v>4.7</v>
      </c>
      <c r="E775" s="2773">
        <f t="shared" si="77"/>
        <v>4.7</v>
      </c>
      <c r="F775" s="2773">
        <f t="shared" si="77"/>
        <v>4.7</v>
      </c>
      <c r="G775" s="2785">
        <f t="shared" si="95"/>
        <v>7.5670000000000002</v>
      </c>
      <c r="H775" s="2767">
        <v>0</v>
      </c>
      <c r="I775" s="492">
        <f t="shared" si="79"/>
        <v>2.875</v>
      </c>
      <c r="J775" s="492">
        <f t="shared" si="80"/>
        <v>3.17</v>
      </c>
      <c r="K775" s="492">
        <f t="shared" si="81"/>
        <v>6.57</v>
      </c>
      <c r="L775" s="492">
        <f t="shared" si="82"/>
        <v>0.57999999999999996</v>
      </c>
      <c r="M775" s="492">
        <f t="shared" si="83"/>
        <v>3.76</v>
      </c>
      <c r="N775" s="492">
        <f t="shared" si="84"/>
        <v>0.79999999999999993</v>
      </c>
      <c r="O775" s="492">
        <f t="shared" si="85"/>
        <v>2.57</v>
      </c>
      <c r="P775" s="492">
        <f t="shared" si="86"/>
        <v>1.85</v>
      </c>
      <c r="Q775" s="471">
        <f t="shared" si="87"/>
        <v>3.7</v>
      </c>
      <c r="R775" s="751">
        <v>1</v>
      </c>
      <c r="S775" s="392">
        <f t="shared" si="88"/>
        <v>0</v>
      </c>
      <c r="T775" s="392">
        <f t="shared" si="89"/>
        <v>0</v>
      </c>
      <c r="U775" s="392">
        <f t="shared" si="90"/>
        <v>0</v>
      </c>
      <c r="V775" s="392">
        <f t="shared" si="91"/>
        <v>0.7</v>
      </c>
      <c r="W775" s="392">
        <f t="shared" si="92"/>
        <v>0</v>
      </c>
      <c r="X775" s="392">
        <f t="shared" si="93"/>
        <v>2.4</v>
      </c>
      <c r="Y775" s="392">
        <f t="shared" si="94"/>
        <v>3</v>
      </c>
    </row>
    <row r="776" spans="1:25" s="16" customFormat="1" x14ac:dyDescent="0.2">
      <c r="A776" s="392" t="s">
        <v>1488</v>
      </c>
      <c r="B776" s="2784" t="s">
        <v>1555</v>
      </c>
      <c r="C776" s="392" t="str">
        <f t="shared" si="96"/>
        <v>Tropical MoistEurope</v>
      </c>
      <c r="D776" s="2773">
        <v>4.7</v>
      </c>
      <c r="E776" s="2773">
        <f t="shared" si="77"/>
        <v>4.7</v>
      </c>
      <c r="F776" s="2773">
        <f t="shared" si="77"/>
        <v>4.7</v>
      </c>
      <c r="G776" s="2785">
        <f t="shared" si="95"/>
        <v>7.5670000000000002</v>
      </c>
      <c r="H776" s="2767">
        <v>0</v>
      </c>
      <c r="I776" s="492">
        <f t="shared" si="79"/>
        <v>3.1024999999999996</v>
      </c>
      <c r="J776" s="492">
        <f t="shared" si="80"/>
        <v>3.17</v>
      </c>
      <c r="K776" s="492">
        <f t="shared" si="81"/>
        <v>6.57</v>
      </c>
      <c r="L776" s="492">
        <f t="shared" si="82"/>
        <v>0.57999999999999996</v>
      </c>
      <c r="M776" s="492">
        <f t="shared" si="83"/>
        <v>3.75</v>
      </c>
      <c r="N776" s="492">
        <f t="shared" si="84"/>
        <v>0.79999999999999993</v>
      </c>
      <c r="O776" s="492">
        <f t="shared" si="85"/>
        <v>3</v>
      </c>
      <c r="P776" s="492">
        <f t="shared" si="86"/>
        <v>3.25</v>
      </c>
      <c r="Q776" s="471">
        <f t="shared" si="87"/>
        <v>3.7</v>
      </c>
      <c r="R776" s="751">
        <v>1</v>
      </c>
      <c r="S776" s="392">
        <f t="shared" si="88"/>
        <v>0</v>
      </c>
      <c r="T776" s="392">
        <f t="shared" si="89"/>
        <v>0</v>
      </c>
      <c r="U776" s="392">
        <f t="shared" si="90"/>
        <v>0</v>
      </c>
      <c r="V776" s="392">
        <f t="shared" si="91"/>
        <v>0.7</v>
      </c>
      <c r="W776" s="392">
        <f t="shared" si="92"/>
        <v>0</v>
      </c>
      <c r="X776" s="392">
        <f t="shared" si="93"/>
        <v>2.4</v>
      </c>
      <c r="Y776" s="392">
        <f t="shared" si="94"/>
        <v>3</v>
      </c>
    </row>
    <row r="777" spans="1:25" s="16" customFormat="1" x14ac:dyDescent="0.2">
      <c r="A777" s="392" t="s">
        <v>1488</v>
      </c>
      <c r="B777" s="2784" t="s">
        <v>1346</v>
      </c>
      <c r="C777" s="392" t="str">
        <f t="shared" si="96"/>
        <v>Tropical MoistOceania</v>
      </c>
      <c r="D777" s="2773">
        <v>4.7</v>
      </c>
      <c r="E777" s="2773">
        <f t="shared" si="77"/>
        <v>4.7</v>
      </c>
      <c r="F777" s="2773">
        <f t="shared" si="77"/>
        <v>4.7</v>
      </c>
      <c r="G777" s="2785">
        <f t="shared" si="95"/>
        <v>7.5670000000000002</v>
      </c>
      <c r="H777" s="2767">
        <v>0</v>
      </c>
      <c r="I777" s="492">
        <f t="shared" si="79"/>
        <v>3.1024999999999996</v>
      </c>
      <c r="J777" s="492">
        <f t="shared" si="80"/>
        <v>3.17</v>
      </c>
      <c r="K777" s="492">
        <f t="shared" si="81"/>
        <v>6.57</v>
      </c>
      <c r="L777" s="492">
        <f t="shared" si="82"/>
        <v>0.57999999999999996</v>
      </c>
      <c r="M777" s="492">
        <f t="shared" si="83"/>
        <v>3.75</v>
      </c>
      <c r="N777" s="492">
        <f t="shared" si="84"/>
        <v>0.79999999999999993</v>
      </c>
      <c r="O777" s="492">
        <f t="shared" si="85"/>
        <v>3</v>
      </c>
      <c r="P777" s="492">
        <f t="shared" si="86"/>
        <v>3.25</v>
      </c>
      <c r="Q777" s="471">
        <f t="shared" si="87"/>
        <v>3.7</v>
      </c>
      <c r="R777" s="751">
        <v>1</v>
      </c>
      <c r="S777" s="392">
        <f t="shared" si="88"/>
        <v>0</v>
      </c>
      <c r="T777" s="392">
        <f t="shared" si="89"/>
        <v>0</v>
      </c>
      <c r="U777" s="392">
        <f t="shared" si="90"/>
        <v>0</v>
      </c>
      <c r="V777" s="392">
        <f t="shared" si="91"/>
        <v>0.7</v>
      </c>
      <c r="W777" s="392">
        <f t="shared" si="92"/>
        <v>0</v>
      </c>
      <c r="X777" s="392">
        <f t="shared" si="93"/>
        <v>2.4</v>
      </c>
      <c r="Y777" s="392">
        <f t="shared" si="94"/>
        <v>3</v>
      </c>
    </row>
    <row r="778" spans="1:25" s="16" customFormat="1" x14ac:dyDescent="0.2">
      <c r="A778" s="392" t="s">
        <v>1488</v>
      </c>
      <c r="B778" s="2784" t="s">
        <v>1343</v>
      </c>
      <c r="C778" s="392" t="str">
        <f t="shared" si="96"/>
        <v>Tropical MoistNorth America</v>
      </c>
      <c r="D778" s="2773">
        <v>4.7</v>
      </c>
      <c r="E778" s="2773">
        <f t="shared" si="77"/>
        <v>4.7</v>
      </c>
      <c r="F778" s="2773">
        <f t="shared" si="77"/>
        <v>4.7</v>
      </c>
      <c r="G778" s="2785">
        <f t="shared" si="95"/>
        <v>7.5670000000000002</v>
      </c>
      <c r="H778" s="2767">
        <v>0</v>
      </c>
      <c r="I778" s="492">
        <f t="shared" si="79"/>
        <v>3.1024999999999996</v>
      </c>
      <c r="J778" s="492">
        <f t="shared" si="80"/>
        <v>3.17</v>
      </c>
      <c r="K778" s="492">
        <f t="shared" si="81"/>
        <v>6.57</v>
      </c>
      <c r="L778" s="492">
        <f t="shared" si="82"/>
        <v>0.57999999999999996</v>
      </c>
      <c r="M778" s="492">
        <f t="shared" si="83"/>
        <v>3.75</v>
      </c>
      <c r="N778" s="492">
        <f t="shared" si="84"/>
        <v>0.79999999999999993</v>
      </c>
      <c r="O778" s="492">
        <f t="shared" si="85"/>
        <v>3</v>
      </c>
      <c r="P778" s="492">
        <f t="shared" si="86"/>
        <v>3.25</v>
      </c>
      <c r="Q778" s="471">
        <f t="shared" si="87"/>
        <v>3.7</v>
      </c>
      <c r="R778" s="751">
        <v>1</v>
      </c>
      <c r="S778" s="392">
        <f t="shared" si="88"/>
        <v>0</v>
      </c>
      <c r="T778" s="392">
        <f t="shared" si="89"/>
        <v>0</v>
      </c>
      <c r="U778" s="392">
        <f t="shared" si="90"/>
        <v>0</v>
      </c>
      <c r="V778" s="392">
        <f t="shared" si="91"/>
        <v>0.7</v>
      </c>
      <c r="W778" s="392">
        <f t="shared" si="92"/>
        <v>0</v>
      </c>
      <c r="X778" s="392">
        <f t="shared" si="93"/>
        <v>2.4</v>
      </c>
      <c r="Y778" s="392">
        <f t="shared" si="94"/>
        <v>3</v>
      </c>
    </row>
    <row r="779" spans="1:25" s="16" customFormat="1" x14ac:dyDescent="0.2">
      <c r="A779" s="392" t="s">
        <v>1488</v>
      </c>
      <c r="B779" s="2784" t="s">
        <v>1349</v>
      </c>
      <c r="C779" s="392" t="str">
        <f t="shared" si="96"/>
        <v>Tropical MoistSouth America</v>
      </c>
      <c r="D779" s="2773">
        <v>4.7</v>
      </c>
      <c r="E779" s="2773">
        <f t="shared" si="77"/>
        <v>4.7</v>
      </c>
      <c r="F779" s="2773">
        <f t="shared" si="77"/>
        <v>4.7</v>
      </c>
      <c r="G779" s="2785">
        <f t="shared" si="95"/>
        <v>7.5670000000000002</v>
      </c>
      <c r="H779" s="2767">
        <v>0</v>
      </c>
      <c r="I779" s="492">
        <f t="shared" si="79"/>
        <v>3.19875</v>
      </c>
      <c r="J779" s="492">
        <f t="shared" si="80"/>
        <v>3.17</v>
      </c>
      <c r="K779" s="492">
        <f t="shared" si="81"/>
        <v>6.57</v>
      </c>
      <c r="L779" s="492">
        <f t="shared" si="82"/>
        <v>0.57999999999999996</v>
      </c>
      <c r="M779" s="492">
        <f t="shared" si="83"/>
        <v>3.75</v>
      </c>
      <c r="N779" s="492">
        <f t="shared" si="84"/>
        <v>0.79999999999999993</v>
      </c>
      <c r="O779" s="492">
        <f t="shared" si="85"/>
        <v>3.77</v>
      </c>
      <c r="P779" s="492">
        <f t="shared" si="86"/>
        <v>3.25</v>
      </c>
      <c r="Q779" s="471">
        <f t="shared" si="87"/>
        <v>3.7</v>
      </c>
      <c r="R779" s="751">
        <v>1</v>
      </c>
      <c r="S779" s="392">
        <f t="shared" si="88"/>
        <v>0</v>
      </c>
      <c r="T779" s="392">
        <f t="shared" si="89"/>
        <v>0</v>
      </c>
      <c r="U779" s="392">
        <f t="shared" si="90"/>
        <v>0</v>
      </c>
      <c r="V779" s="392">
        <f t="shared" si="91"/>
        <v>0.7</v>
      </c>
      <c r="W779" s="392">
        <f t="shared" si="92"/>
        <v>0</v>
      </c>
      <c r="X779" s="392">
        <f t="shared" si="93"/>
        <v>2.4</v>
      </c>
      <c r="Y779" s="392">
        <f t="shared" si="94"/>
        <v>3</v>
      </c>
    </row>
    <row r="780" spans="1:25" s="16" customFormat="1" x14ac:dyDescent="0.2">
      <c r="A780" s="392" t="s">
        <v>1488</v>
      </c>
      <c r="B780" s="2784" t="s">
        <v>1333</v>
      </c>
      <c r="C780" s="392" t="str">
        <f t="shared" si="96"/>
        <v>Tropical MoistCentral America</v>
      </c>
      <c r="D780" s="2773">
        <v>4.7</v>
      </c>
      <c r="E780" s="2773">
        <f t="shared" si="77"/>
        <v>4.7</v>
      </c>
      <c r="F780" s="2773">
        <f t="shared" si="77"/>
        <v>4.7</v>
      </c>
      <c r="G780" s="2785">
        <f t="shared" si="95"/>
        <v>7.5670000000000002</v>
      </c>
      <c r="H780" s="2767">
        <v>0</v>
      </c>
      <c r="I780" s="492">
        <f t="shared" si="79"/>
        <v>3.0599999999999996</v>
      </c>
      <c r="J780" s="492">
        <f t="shared" si="80"/>
        <v>2.83</v>
      </c>
      <c r="K780" s="492">
        <f t="shared" si="81"/>
        <v>6.57</v>
      </c>
      <c r="L780" s="492">
        <f t="shared" si="82"/>
        <v>0.57999999999999996</v>
      </c>
      <c r="M780" s="492">
        <f t="shared" si="83"/>
        <v>3.75</v>
      </c>
      <c r="N780" s="492">
        <f t="shared" si="84"/>
        <v>0.79999999999999993</v>
      </c>
      <c r="O780" s="492">
        <f t="shared" si="85"/>
        <v>3</v>
      </c>
      <c r="P780" s="492">
        <f t="shared" si="86"/>
        <v>3.25</v>
      </c>
      <c r="Q780" s="471">
        <f t="shared" si="87"/>
        <v>3.7</v>
      </c>
      <c r="R780" s="751">
        <v>1</v>
      </c>
      <c r="S780" s="392">
        <f t="shared" si="88"/>
        <v>0</v>
      </c>
      <c r="T780" s="392">
        <f t="shared" si="89"/>
        <v>0</v>
      </c>
      <c r="U780" s="392">
        <f t="shared" si="90"/>
        <v>0</v>
      </c>
      <c r="V780" s="392">
        <f t="shared" si="91"/>
        <v>0.7</v>
      </c>
      <c r="W780" s="392">
        <f t="shared" si="92"/>
        <v>0</v>
      </c>
      <c r="X780" s="392">
        <f t="shared" si="93"/>
        <v>2.4</v>
      </c>
      <c r="Y780" s="392">
        <f t="shared" si="94"/>
        <v>3</v>
      </c>
    </row>
    <row r="781" spans="1:25" s="2781" customFormat="1" x14ac:dyDescent="0.2">
      <c r="A781" s="2775" t="s">
        <v>1488</v>
      </c>
      <c r="B781" s="2786" t="s">
        <v>1547</v>
      </c>
      <c r="C781" s="2775" t="str">
        <f t="shared" si="96"/>
        <v>Tropical MoistCaribbean</v>
      </c>
      <c r="D781" s="2777">
        <v>4.7</v>
      </c>
      <c r="E781" s="2777">
        <f t="shared" si="77"/>
        <v>4.7</v>
      </c>
      <c r="F781" s="2777">
        <f t="shared" si="77"/>
        <v>4.7</v>
      </c>
      <c r="G781" s="2785">
        <f t="shared" si="95"/>
        <v>7.5670000000000002</v>
      </c>
      <c r="H781" s="2778">
        <v>0</v>
      </c>
      <c r="I781" s="492">
        <f t="shared" si="79"/>
        <v>3.1024999999999996</v>
      </c>
      <c r="J781" s="492">
        <f t="shared" si="80"/>
        <v>3.17</v>
      </c>
      <c r="K781" s="492">
        <f t="shared" si="81"/>
        <v>6.57</v>
      </c>
      <c r="L781" s="492">
        <f t="shared" si="82"/>
        <v>0.57999999999999996</v>
      </c>
      <c r="M781" s="492">
        <f t="shared" si="83"/>
        <v>3.75</v>
      </c>
      <c r="N781" s="492">
        <f t="shared" si="84"/>
        <v>0.79999999999999993</v>
      </c>
      <c r="O781" s="492">
        <f t="shared" si="85"/>
        <v>3</v>
      </c>
      <c r="P781" s="492">
        <f t="shared" si="86"/>
        <v>3.25</v>
      </c>
      <c r="Q781" s="471">
        <f t="shared" si="87"/>
        <v>3.7</v>
      </c>
      <c r="R781" s="752">
        <v>1</v>
      </c>
      <c r="S781" s="392">
        <f t="shared" si="88"/>
        <v>0</v>
      </c>
      <c r="T781" s="392">
        <f t="shared" si="89"/>
        <v>0</v>
      </c>
      <c r="U781" s="392">
        <f t="shared" si="90"/>
        <v>0</v>
      </c>
      <c r="V781" s="392">
        <f t="shared" si="91"/>
        <v>0.7</v>
      </c>
      <c r="W781" s="392">
        <f t="shared" si="92"/>
        <v>0</v>
      </c>
      <c r="X781" s="2775">
        <f t="shared" si="93"/>
        <v>2.4</v>
      </c>
      <c r="Y781" s="2775">
        <f t="shared" si="94"/>
        <v>3</v>
      </c>
    </row>
    <row r="782" spans="1:25" s="2771" customFormat="1" x14ac:dyDescent="0.2">
      <c r="A782" s="2764" t="str">
        <f>list!$G$11</f>
        <v>Tropical Montane</v>
      </c>
      <c r="B782" s="2788" t="s">
        <v>1552</v>
      </c>
      <c r="C782" s="2764" t="str">
        <f>CONCATENATE(A782,B782)</f>
        <v>Tropical MontaneEastern Africa</v>
      </c>
      <c r="D782" s="2766">
        <v>4.7</v>
      </c>
      <c r="E782" s="2766">
        <f t="shared" si="77"/>
        <v>4.7</v>
      </c>
      <c r="F782" s="2766">
        <f t="shared" si="77"/>
        <v>4.7</v>
      </c>
      <c r="G782" s="2783">
        <v>4.09</v>
      </c>
      <c r="H782" s="2768">
        <v>0</v>
      </c>
      <c r="I782" s="490">
        <f t="shared" ref="I782:I813" si="97">E203+E422</f>
        <v>2.7481249999999999</v>
      </c>
      <c r="J782" s="490">
        <f t="shared" ref="J782:J813" si="98">F203+F422</f>
        <v>2.92</v>
      </c>
      <c r="K782" s="490">
        <f t="shared" ref="K782:K813" si="99">G203+G422</f>
        <v>4.24</v>
      </c>
      <c r="L782" s="490">
        <f t="shared" ref="L782:L813" si="100">H203+H422</f>
        <v>0.84</v>
      </c>
      <c r="M782" s="490">
        <f t="shared" ref="M782:M813" si="101">I203+I422</f>
        <v>4.05</v>
      </c>
      <c r="N782" s="490">
        <f t="shared" ref="N782:N813" si="102">J203+J422</f>
        <v>0.79999999999999993</v>
      </c>
      <c r="O782" s="490">
        <f t="shared" ref="O782:O813" si="103">K203+K422</f>
        <v>2.95</v>
      </c>
      <c r="P782" s="490">
        <f t="shared" ref="P782:P813" si="104">L203+L422</f>
        <v>2.82</v>
      </c>
      <c r="Q782" s="491">
        <f t="shared" ref="Q782:Q813" si="105">M203+M422</f>
        <v>3.3650000000000002</v>
      </c>
      <c r="R782" s="750">
        <v>1</v>
      </c>
      <c r="S782" s="2764">
        <f t="shared" ref="S782:S813" si="106">N203+N422</f>
        <v>0</v>
      </c>
      <c r="T782" s="2770">
        <f t="shared" ref="T782:T813" si="107">O203+O422</f>
        <v>0</v>
      </c>
      <c r="U782" s="2764">
        <f t="shared" ref="U782:U813" si="108">Q203+Q422</f>
        <v>0</v>
      </c>
      <c r="V782" s="2764">
        <f t="shared" ref="V782:V813" si="109">T203+T422</f>
        <v>0.7</v>
      </c>
      <c r="W782" s="2764">
        <f t="shared" ref="W782:W813" si="110">P203+P422</f>
        <v>0</v>
      </c>
      <c r="X782" s="2774">
        <f t="shared" ref="X782:X813" si="111">R203+R422</f>
        <v>2.4</v>
      </c>
      <c r="Y782" s="392">
        <f t="shared" ref="Y782:Y813" si="112">S203+S422</f>
        <v>3</v>
      </c>
    </row>
    <row r="783" spans="1:25" s="16" customFormat="1" x14ac:dyDescent="0.2">
      <c r="A783" s="392" t="str">
        <f>list!$G$11</f>
        <v>Tropical Montane</v>
      </c>
      <c r="B783" s="2789" t="s">
        <v>1557</v>
      </c>
      <c r="C783" s="392" t="str">
        <f t="shared" ref="C783:C845" si="113">CONCATENATE(A783,B783)</f>
        <v>Tropical MontaneCentral Africa</v>
      </c>
      <c r="D783" s="2773">
        <v>4.7</v>
      </c>
      <c r="E783" s="2773">
        <f t="shared" si="77"/>
        <v>4.7</v>
      </c>
      <c r="F783" s="2773">
        <f t="shared" si="77"/>
        <v>4.7</v>
      </c>
      <c r="G783" s="2785">
        <v>4.09</v>
      </c>
      <c r="H783" s="2767">
        <v>0</v>
      </c>
      <c r="I783" s="492">
        <f t="shared" si="97"/>
        <v>2.7481249999999999</v>
      </c>
      <c r="J783" s="492">
        <f t="shared" si="98"/>
        <v>2.92</v>
      </c>
      <c r="K783" s="492">
        <f t="shared" si="99"/>
        <v>4.24</v>
      </c>
      <c r="L783" s="492">
        <f t="shared" si="100"/>
        <v>0.84</v>
      </c>
      <c r="M783" s="492">
        <f t="shared" si="101"/>
        <v>4.05</v>
      </c>
      <c r="N783" s="492">
        <f t="shared" si="102"/>
        <v>0.79999999999999993</v>
      </c>
      <c r="O783" s="492">
        <f t="shared" si="103"/>
        <v>2.95</v>
      </c>
      <c r="P783" s="492">
        <f t="shared" si="104"/>
        <v>2.82</v>
      </c>
      <c r="Q783" s="471">
        <f t="shared" si="105"/>
        <v>3.3650000000000002</v>
      </c>
      <c r="R783" s="751">
        <v>1</v>
      </c>
      <c r="S783" s="392">
        <f t="shared" si="106"/>
        <v>0</v>
      </c>
      <c r="T783" s="2774">
        <f t="shared" si="107"/>
        <v>0</v>
      </c>
      <c r="U783" s="392">
        <f t="shared" si="108"/>
        <v>0</v>
      </c>
      <c r="V783" s="392">
        <f t="shared" si="109"/>
        <v>0.7</v>
      </c>
      <c r="W783" s="392">
        <f t="shared" si="110"/>
        <v>0</v>
      </c>
      <c r="X783" s="2774">
        <f t="shared" si="111"/>
        <v>2.4</v>
      </c>
      <c r="Y783" s="392">
        <f t="shared" si="112"/>
        <v>3</v>
      </c>
    </row>
    <row r="784" spans="1:25" s="16" customFormat="1" x14ac:dyDescent="0.2">
      <c r="A784" s="392" t="str">
        <f>list!$G$11</f>
        <v>Tropical Montane</v>
      </c>
      <c r="B784" s="2789" t="s">
        <v>1559</v>
      </c>
      <c r="C784" s="392" t="str">
        <f t="shared" si="113"/>
        <v>Tropical MontaneNorthern Africa</v>
      </c>
      <c r="D784" s="2773">
        <v>4.7</v>
      </c>
      <c r="E784" s="2773">
        <f t="shared" si="77"/>
        <v>4.7</v>
      </c>
      <c r="F784" s="2773">
        <f t="shared" si="77"/>
        <v>4.7</v>
      </c>
      <c r="G784" s="2785">
        <v>4.09</v>
      </c>
      <c r="H784" s="2767">
        <v>0</v>
      </c>
      <c r="I784" s="492">
        <f t="shared" si="97"/>
        <v>2.7481249999999999</v>
      </c>
      <c r="J784" s="492">
        <f t="shared" si="98"/>
        <v>2.92</v>
      </c>
      <c r="K784" s="492">
        <f t="shared" si="99"/>
        <v>4.24</v>
      </c>
      <c r="L784" s="492">
        <f t="shared" si="100"/>
        <v>0.84</v>
      </c>
      <c r="M784" s="492">
        <f t="shared" si="101"/>
        <v>4.05</v>
      </c>
      <c r="N784" s="492">
        <f t="shared" si="102"/>
        <v>0.79999999999999993</v>
      </c>
      <c r="O784" s="492">
        <f t="shared" si="103"/>
        <v>2.95</v>
      </c>
      <c r="P784" s="492">
        <f t="shared" si="104"/>
        <v>2.82</v>
      </c>
      <c r="Q784" s="471">
        <f t="shared" si="105"/>
        <v>3.3650000000000002</v>
      </c>
      <c r="R784" s="751">
        <v>1</v>
      </c>
      <c r="S784" s="392">
        <f t="shared" si="106"/>
        <v>0</v>
      </c>
      <c r="T784" s="2774">
        <f t="shared" si="107"/>
        <v>0</v>
      </c>
      <c r="U784" s="392">
        <f t="shared" si="108"/>
        <v>0</v>
      </c>
      <c r="V784" s="392">
        <f t="shared" si="109"/>
        <v>0.7</v>
      </c>
      <c r="W784" s="392">
        <f t="shared" si="110"/>
        <v>0</v>
      </c>
      <c r="X784" s="2774">
        <f t="shared" si="111"/>
        <v>2.4</v>
      </c>
      <c r="Y784" s="392">
        <f t="shared" si="112"/>
        <v>3</v>
      </c>
    </row>
    <row r="785" spans="1:25" s="16" customFormat="1" x14ac:dyDescent="0.2">
      <c r="A785" s="392" t="str">
        <f>list!$G$11</f>
        <v>Tropical Montane</v>
      </c>
      <c r="B785" s="2789" t="s">
        <v>1565</v>
      </c>
      <c r="C785" s="392" t="str">
        <f t="shared" si="113"/>
        <v>Tropical MontaneSouthern Africa</v>
      </c>
      <c r="D785" s="2773">
        <v>4.7</v>
      </c>
      <c r="E785" s="2773">
        <f t="shared" si="77"/>
        <v>4.7</v>
      </c>
      <c r="F785" s="2773">
        <f t="shared" si="77"/>
        <v>4.7</v>
      </c>
      <c r="G785" s="2785">
        <v>4.09</v>
      </c>
      <c r="H785" s="2767">
        <v>0</v>
      </c>
      <c r="I785" s="492">
        <f t="shared" si="97"/>
        <v>2.7481249999999999</v>
      </c>
      <c r="J785" s="492">
        <f t="shared" si="98"/>
        <v>2.92</v>
      </c>
      <c r="K785" s="492">
        <f t="shared" si="99"/>
        <v>4.24</v>
      </c>
      <c r="L785" s="492">
        <f t="shared" si="100"/>
        <v>0.84</v>
      </c>
      <c r="M785" s="492">
        <f t="shared" si="101"/>
        <v>4.05</v>
      </c>
      <c r="N785" s="492">
        <f t="shared" si="102"/>
        <v>0.79999999999999993</v>
      </c>
      <c r="O785" s="492">
        <f t="shared" si="103"/>
        <v>2.95</v>
      </c>
      <c r="P785" s="492">
        <f t="shared" si="104"/>
        <v>2.82</v>
      </c>
      <c r="Q785" s="471">
        <f t="shared" si="105"/>
        <v>3.3650000000000002</v>
      </c>
      <c r="R785" s="751">
        <v>1</v>
      </c>
      <c r="S785" s="392">
        <f t="shared" si="106"/>
        <v>0</v>
      </c>
      <c r="T785" s="2774">
        <f t="shared" si="107"/>
        <v>0</v>
      </c>
      <c r="U785" s="392">
        <f t="shared" si="108"/>
        <v>0</v>
      </c>
      <c r="V785" s="392">
        <f t="shared" si="109"/>
        <v>0.7</v>
      </c>
      <c r="W785" s="392">
        <f t="shared" si="110"/>
        <v>0</v>
      </c>
      <c r="X785" s="2774">
        <f t="shared" si="111"/>
        <v>2.4</v>
      </c>
      <c r="Y785" s="392">
        <f t="shared" si="112"/>
        <v>3</v>
      </c>
    </row>
    <row r="786" spans="1:25" s="16" customFormat="1" x14ac:dyDescent="0.2">
      <c r="A786" s="392" t="str">
        <f>list!$G$11</f>
        <v>Tropical Montane</v>
      </c>
      <c r="B786" s="2789" t="s">
        <v>1569</v>
      </c>
      <c r="C786" s="392" t="str">
        <f t="shared" si="113"/>
        <v>Tropical MontaneWestern Africa</v>
      </c>
      <c r="D786" s="2773">
        <v>4.7</v>
      </c>
      <c r="E786" s="2773">
        <f t="shared" si="77"/>
        <v>4.7</v>
      </c>
      <c r="F786" s="2773">
        <f t="shared" si="77"/>
        <v>4.7</v>
      </c>
      <c r="G786" s="2785">
        <v>4.09</v>
      </c>
      <c r="H786" s="2767">
        <v>0</v>
      </c>
      <c r="I786" s="492">
        <f t="shared" si="97"/>
        <v>2.7481249999999999</v>
      </c>
      <c r="J786" s="492">
        <f t="shared" si="98"/>
        <v>2.92</v>
      </c>
      <c r="K786" s="492">
        <f t="shared" si="99"/>
        <v>4.24</v>
      </c>
      <c r="L786" s="492">
        <f t="shared" si="100"/>
        <v>0.84</v>
      </c>
      <c r="M786" s="492">
        <f t="shared" si="101"/>
        <v>4.05</v>
      </c>
      <c r="N786" s="492">
        <f t="shared" si="102"/>
        <v>0.79999999999999993</v>
      </c>
      <c r="O786" s="492">
        <f t="shared" si="103"/>
        <v>2.95</v>
      </c>
      <c r="P786" s="492">
        <f t="shared" si="104"/>
        <v>2.82</v>
      </c>
      <c r="Q786" s="471">
        <f t="shared" si="105"/>
        <v>3.3650000000000002</v>
      </c>
      <c r="R786" s="751">
        <v>1</v>
      </c>
      <c r="S786" s="392">
        <f t="shared" si="106"/>
        <v>0</v>
      </c>
      <c r="T786" s="2774">
        <f t="shared" si="107"/>
        <v>0</v>
      </c>
      <c r="U786" s="392">
        <f t="shared" si="108"/>
        <v>0</v>
      </c>
      <c r="V786" s="392">
        <f t="shared" si="109"/>
        <v>0.7</v>
      </c>
      <c r="W786" s="392">
        <f t="shared" si="110"/>
        <v>0</v>
      </c>
      <c r="X786" s="2774">
        <f t="shared" si="111"/>
        <v>2.4</v>
      </c>
      <c r="Y786" s="392">
        <f t="shared" si="112"/>
        <v>3</v>
      </c>
    </row>
    <row r="787" spans="1:25" s="16" customFormat="1" x14ac:dyDescent="0.2">
      <c r="A787" s="392" t="str">
        <f>list!$G$11</f>
        <v>Tropical Montane</v>
      </c>
      <c r="B787" s="2789" t="s">
        <v>1550</v>
      </c>
      <c r="C787" s="392" t="str">
        <f t="shared" si="113"/>
        <v>Tropical MontaneCentral Asia</v>
      </c>
      <c r="D787" s="2773">
        <v>4.7</v>
      </c>
      <c r="E787" s="2773">
        <f t="shared" si="77"/>
        <v>4.7</v>
      </c>
      <c r="F787" s="2773">
        <f t="shared" si="77"/>
        <v>4.7</v>
      </c>
      <c r="G787" s="2785">
        <v>4.09</v>
      </c>
      <c r="H787" s="2767">
        <v>0</v>
      </c>
      <c r="I787" s="492">
        <f t="shared" si="97"/>
        <v>2.9568750000000001</v>
      </c>
      <c r="J787" s="492">
        <f t="shared" si="98"/>
        <v>2.92</v>
      </c>
      <c r="K787" s="492">
        <f t="shared" si="99"/>
        <v>5.91</v>
      </c>
      <c r="L787" s="492">
        <f t="shared" si="100"/>
        <v>0.84</v>
      </c>
      <c r="M787" s="492">
        <f t="shared" si="101"/>
        <v>4.05</v>
      </c>
      <c r="N787" s="492">
        <f t="shared" si="102"/>
        <v>0.79999999999999993</v>
      </c>
      <c r="O787" s="492">
        <f t="shared" si="103"/>
        <v>2.95</v>
      </c>
      <c r="P787" s="492">
        <f t="shared" si="104"/>
        <v>2.82</v>
      </c>
      <c r="Q787" s="471">
        <f t="shared" si="105"/>
        <v>3.3650000000000002</v>
      </c>
      <c r="R787" s="751">
        <v>1</v>
      </c>
      <c r="S787" s="392">
        <f t="shared" si="106"/>
        <v>0</v>
      </c>
      <c r="T787" s="2774">
        <f t="shared" si="107"/>
        <v>0</v>
      </c>
      <c r="U787" s="392">
        <f t="shared" si="108"/>
        <v>0</v>
      </c>
      <c r="V787" s="392">
        <f t="shared" si="109"/>
        <v>0.7</v>
      </c>
      <c r="W787" s="392">
        <f t="shared" si="110"/>
        <v>0</v>
      </c>
      <c r="X787" s="2774">
        <f t="shared" si="111"/>
        <v>2.4</v>
      </c>
      <c r="Y787" s="392">
        <f t="shared" si="112"/>
        <v>3</v>
      </c>
    </row>
    <row r="788" spans="1:25" s="16" customFormat="1" x14ac:dyDescent="0.2">
      <c r="A788" s="392" t="str">
        <f>list!$G$11</f>
        <v>Tropical Montane</v>
      </c>
      <c r="B788" s="2789" t="s">
        <v>1554</v>
      </c>
      <c r="C788" s="392" t="str">
        <f t="shared" si="113"/>
        <v>Tropical MontaneEastern Asia</v>
      </c>
      <c r="D788" s="2773">
        <v>4.7</v>
      </c>
      <c r="E788" s="2773">
        <f t="shared" si="77"/>
        <v>4.7</v>
      </c>
      <c r="F788" s="2773">
        <f t="shared" si="77"/>
        <v>4.7</v>
      </c>
      <c r="G788" s="2785">
        <v>4.09</v>
      </c>
      <c r="H788" s="2767">
        <v>0</v>
      </c>
      <c r="I788" s="492">
        <f t="shared" si="97"/>
        <v>2.9568750000000001</v>
      </c>
      <c r="J788" s="492">
        <f t="shared" si="98"/>
        <v>2.92</v>
      </c>
      <c r="K788" s="492">
        <f t="shared" si="99"/>
        <v>5.91</v>
      </c>
      <c r="L788" s="492">
        <f t="shared" si="100"/>
        <v>0.84</v>
      </c>
      <c r="M788" s="492">
        <f t="shared" si="101"/>
        <v>4.05</v>
      </c>
      <c r="N788" s="492">
        <f t="shared" si="102"/>
        <v>0.79999999999999993</v>
      </c>
      <c r="O788" s="492">
        <f t="shared" si="103"/>
        <v>2.95</v>
      </c>
      <c r="P788" s="492">
        <f t="shared" si="104"/>
        <v>2.82</v>
      </c>
      <c r="Q788" s="471">
        <f t="shared" si="105"/>
        <v>3.3650000000000002</v>
      </c>
      <c r="R788" s="751">
        <v>1</v>
      </c>
      <c r="S788" s="392">
        <f t="shared" si="106"/>
        <v>0</v>
      </c>
      <c r="T788" s="2774">
        <f t="shared" si="107"/>
        <v>0</v>
      </c>
      <c r="U788" s="392">
        <f t="shared" si="108"/>
        <v>0</v>
      </c>
      <c r="V788" s="392">
        <f t="shared" si="109"/>
        <v>0.7</v>
      </c>
      <c r="W788" s="392">
        <f t="shared" si="110"/>
        <v>0</v>
      </c>
      <c r="X788" s="2774">
        <f t="shared" si="111"/>
        <v>2.4</v>
      </c>
      <c r="Y788" s="392">
        <f t="shared" si="112"/>
        <v>3</v>
      </c>
    </row>
    <row r="789" spans="1:25" s="16" customFormat="1" x14ac:dyDescent="0.2">
      <c r="A789" s="392" t="str">
        <f>list!$G$11</f>
        <v>Tropical Montane</v>
      </c>
      <c r="B789" s="2789" t="s">
        <v>1563</v>
      </c>
      <c r="C789" s="392" t="str">
        <f t="shared" si="113"/>
        <v>Tropical MontaneSouth-eastern Asia</v>
      </c>
      <c r="D789" s="2773">
        <v>4.7</v>
      </c>
      <c r="E789" s="2773">
        <f t="shared" si="77"/>
        <v>4.7</v>
      </c>
      <c r="F789" s="2773">
        <f t="shared" si="77"/>
        <v>4.7</v>
      </c>
      <c r="G789" s="2785">
        <v>4.09</v>
      </c>
      <c r="H789" s="2767">
        <v>0</v>
      </c>
      <c r="I789" s="492">
        <f t="shared" si="97"/>
        <v>2.9568750000000001</v>
      </c>
      <c r="J789" s="492">
        <f t="shared" si="98"/>
        <v>2.92</v>
      </c>
      <c r="K789" s="492">
        <f t="shared" si="99"/>
        <v>5.91</v>
      </c>
      <c r="L789" s="492">
        <f t="shared" si="100"/>
        <v>0.84</v>
      </c>
      <c r="M789" s="492">
        <f t="shared" si="101"/>
        <v>4.05</v>
      </c>
      <c r="N789" s="492">
        <f t="shared" si="102"/>
        <v>0.79999999999999993</v>
      </c>
      <c r="O789" s="492">
        <f t="shared" si="103"/>
        <v>2.95</v>
      </c>
      <c r="P789" s="492">
        <f t="shared" si="104"/>
        <v>2.82</v>
      </c>
      <c r="Q789" s="471">
        <f t="shared" si="105"/>
        <v>3.3650000000000002</v>
      </c>
      <c r="R789" s="751">
        <v>1</v>
      </c>
      <c r="S789" s="392">
        <f t="shared" si="106"/>
        <v>0</v>
      </c>
      <c r="T789" s="2774">
        <f t="shared" si="107"/>
        <v>0</v>
      </c>
      <c r="U789" s="392">
        <f t="shared" si="108"/>
        <v>0</v>
      </c>
      <c r="V789" s="392">
        <f t="shared" si="109"/>
        <v>0.7</v>
      </c>
      <c r="W789" s="392">
        <f t="shared" si="110"/>
        <v>0</v>
      </c>
      <c r="X789" s="2774">
        <f t="shared" si="111"/>
        <v>2.4</v>
      </c>
      <c r="Y789" s="392">
        <f t="shared" si="112"/>
        <v>3</v>
      </c>
    </row>
    <row r="790" spans="1:25" s="16" customFormat="1" x14ac:dyDescent="0.2">
      <c r="A790" s="392" t="str">
        <f>list!$G$11</f>
        <v>Tropical Montane</v>
      </c>
      <c r="B790" s="2789" t="s">
        <v>1567</v>
      </c>
      <c r="C790" s="392" t="str">
        <f t="shared" si="113"/>
        <v>Tropical MontaneSouthern Asia</v>
      </c>
      <c r="D790" s="2773">
        <v>4.7</v>
      </c>
      <c r="E790" s="2773">
        <f t="shared" si="77"/>
        <v>4.7</v>
      </c>
      <c r="F790" s="2773">
        <f t="shared" si="77"/>
        <v>4.7</v>
      </c>
      <c r="G790" s="2785">
        <v>4.09</v>
      </c>
      <c r="H790" s="2767">
        <v>0</v>
      </c>
      <c r="I790" s="492">
        <f t="shared" si="97"/>
        <v>2.9568750000000001</v>
      </c>
      <c r="J790" s="492">
        <f t="shared" si="98"/>
        <v>2.92</v>
      </c>
      <c r="K790" s="492">
        <f t="shared" si="99"/>
        <v>5.91</v>
      </c>
      <c r="L790" s="492">
        <f t="shared" si="100"/>
        <v>0.84</v>
      </c>
      <c r="M790" s="492">
        <f t="shared" si="101"/>
        <v>4.05</v>
      </c>
      <c r="N790" s="492">
        <f t="shared" si="102"/>
        <v>0.79999999999999993</v>
      </c>
      <c r="O790" s="492">
        <f t="shared" si="103"/>
        <v>2.95</v>
      </c>
      <c r="P790" s="492">
        <f t="shared" si="104"/>
        <v>2.82</v>
      </c>
      <c r="Q790" s="471">
        <f t="shared" si="105"/>
        <v>3.3650000000000002</v>
      </c>
      <c r="R790" s="751">
        <v>1</v>
      </c>
      <c r="S790" s="392">
        <f t="shared" si="106"/>
        <v>0</v>
      </c>
      <c r="T790" s="2774">
        <f t="shared" si="107"/>
        <v>0</v>
      </c>
      <c r="U790" s="392">
        <f t="shared" si="108"/>
        <v>0</v>
      </c>
      <c r="V790" s="392">
        <f t="shared" si="109"/>
        <v>0.7</v>
      </c>
      <c r="W790" s="392">
        <f t="shared" si="110"/>
        <v>0</v>
      </c>
      <c r="X790" s="2774">
        <f t="shared" si="111"/>
        <v>2.4</v>
      </c>
      <c r="Y790" s="392">
        <f t="shared" si="112"/>
        <v>3</v>
      </c>
    </row>
    <row r="791" spans="1:25" s="16" customFormat="1" x14ac:dyDescent="0.2">
      <c r="A791" s="392" t="str">
        <f>list!$G$11</f>
        <v>Tropical Montane</v>
      </c>
      <c r="B791" s="2789" t="s">
        <v>1571</v>
      </c>
      <c r="C791" s="392" t="str">
        <f t="shared" si="113"/>
        <v>Tropical MontaneWestern Asia</v>
      </c>
      <c r="D791" s="2773">
        <v>4.7</v>
      </c>
      <c r="E791" s="2773">
        <f t="shared" si="77"/>
        <v>4.7</v>
      </c>
      <c r="F791" s="2773">
        <f t="shared" si="77"/>
        <v>4.7</v>
      </c>
      <c r="G791" s="2785">
        <v>4.09</v>
      </c>
      <c r="H791" s="2767">
        <v>0</v>
      </c>
      <c r="I791" s="492">
        <f t="shared" si="97"/>
        <v>2.9568750000000001</v>
      </c>
      <c r="J791" s="492">
        <f t="shared" si="98"/>
        <v>2.92</v>
      </c>
      <c r="K791" s="492">
        <f t="shared" si="99"/>
        <v>5.91</v>
      </c>
      <c r="L791" s="492">
        <f t="shared" si="100"/>
        <v>0.84</v>
      </c>
      <c r="M791" s="492">
        <f t="shared" si="101"/>
        <v>4.05</v>
      </c>
      <c r="N791" s="492">
        <f t="shared" si="102"/>
        <v>0.79999999999999993</v>
      </c>
      <c r="O791" s="492">
        <f t="shared" si="103"/>
        <v>2.95</v>
      </c>
      <c r="P791" s="492">
        <f t="shared" si="104"/>
        <v>2.82</v>
      </c>
      <c r="Q791" s="471">
        <f t="shared" si="105"/>
        <v>3.3650000000000002</v>
      </c>
      <c r="R791" s="751">
        <v>1</v>
      </c>
      <c r="S791" s="392">
        <f t="shared" si="106"/>
        <v>0</v>
      </c>
      <c r="T791" s="2774">
        <f t="shared" si="107"/>
        <v>0</v>
      </c>
      <c r="U791" s="392">
        <f t="shared" si="108"/>
        <v>0</v>
      </c>
      <c r="V791" s="392">
        <f t="shared" si="109"/>
        <v>0.7</v>
      </c>
      <c r="W791" s="392">
        <f t="shared" si="110"/>
        <v>0</v>
      </c>
      <c r="X791" s="2774">
        <f t="shared" si="111"/>
        <v>2.4</v>
      </c>
      <c r="Y791" s="392">
        <f t="shared" si="112"/>
        <v>3</v>
      </c>
    </row>
    <row r="792" spans="1:25" s="16" customFormat="1" x14ac:dyDescent="0.2">
      <c r="A792" s="392" t="str">
        <f>list!$G$11</f>
        <v>Tropical Montane</v>
      </c>
      <c r="B792" s="2789" t="s">
        <v>1555</v>
      </c>
      <c r="C792" s="392" t="str">
        <f t="shared" si="113"/>
        <v>Tropical MontaneEurope</v>
      </c>
      <c r="D792" s="2773">
        <v>4.7</v>
      </c>
      <c r="E792" s="2773">
        <f t="shared" si="77"/>
        <v>4.7</v>
      </c>
      <c r="F792" s="2773">
        <f t="shared" si="77"/>
        <v>4.7</v>
      </c>
      <c r="G792" s="2785">
        <v>4.09</v>
      </c>
      <c r="H792" s="2767">
        <v>0</v>
      </c>
      <c r="I792" s="492">
        <f t="shared" si="97"/>
        <v>2.9568750000000001</v>
      </c>
      <c r="J792" s="492">
        <f t="shared" si="98"/>
        <v>2.92</v>
      </c>
      <c r="K792" s="492">
        <f t="shared" si="99"/>
        <v>5.91</v>
      </c>
      <c r="L792" s="492">
        <f t="shared" si="100"/>
        <v>0.84</v>
      </c>
      <c r="M792" s="492">
        <f t="shared" si="101"/>
        <v>4.05</v>
      </c>
      <c r="N792" s="492">
        <f t="shared" si="102"/>
        <v>0.79999999999999993</v>
      </c>
      <c r="O792" s="492">
        <f t="shared" si="103"/>
        <v>2.95</v>
      </c>
      <c r="P792" s="492">
        <f t="shared" si="104"/>
        <v>2.82</v>
      </c>
      <c r="Q792" s="471">
        <f t="shared" si="105"/>
        <v>3.3650000000000002</v>
      </c>
      <c r="R792" s="751">
        <v>1</v>
      </c>
      <c r="S792" s="392">
        <f t="shared" si="106"/>
        <v>0</v>
      </c>
      <c r="T792" s="2774">
        <f t="shared" si="107"/>
        <v>0</v>
      </c>
      <c r="U792" s="392">
        <f t="shared" si="108"/>
        <v>0</v>
      </c>
      <c r="V792" s="392">
        <f t="shared" si="109"/>
        <v>0.7</v>
      </c>
      <c r="W792" s="392">
        <f t="shared" si="110"/>
        <v>0</v>
      </c>
      <c r="X792" s="2774">
        <f t="shared" si="111"/>
        <v>2.4</v>
      </c>
      <c r="Y792" s="392">
        <f t="shared" si="112"/>
        <v>3</v>
      </c>
    </row>
    <row r="793" spans="1:25" s="16" customFormat="1" x14ac:dyDescent="0.2">
      <c r="A793" s="392" t="str">
        <f>list!$G$11</f>
        <v>Tropical Montane</v>
      </c>
      <c r="B793" s="2789" t="s">
        <v>1346</v>
      </c>
      <c r="C793" s="392" t="str">
        <f t="shared" si="113"/>
        <v>Tropical MontaneOceania</v>
      </c>
      <c r="D793" s="2773">
        <v>4.7</v>
      </c>
      <c r="E793" s="2773">
        <f t="shared" si="77"/>
        <v>4.7</v>
      </c>
      <c r="F793" s="2773">
        <f t="shared" si="77"/>
        <v>4.7</v>
      </c>
      <c r="G793" s="2785">
        <v>4.09</v>
      </c>
      <c r="H793" s="2767">
        <v>0</v>
      </c>
      <c r="I793" s="492">
        <f t="shared" si="97"/>
        <v>2.9568750000000001</v>
      </c>
      <c r="J793" s="492">
        <f t="shared" si="98"/>
        <v>2.92</v>
      </c>
      <c r="K793" s="492">
        <f t="shared" si="99"/>
        <v>5.91</v>
      </c>
      <c r="L793" s="492">
        <f t="shared" si="100"/>
        <v>0.84</v>
      </c>
      <c r="M793" s="492">
        <f t="shared" si="101"/>
        <v>4.05</v>
      </c>
      <c r="N793" s="492">
        <f t="shared" si="102"/>
        <v>0.79999999999999993</v>
      </c>
      <c r="O793" s="492">
        <f t="shared" si="103"/>
        <v>2.95</v>
      </c>
      <c r="P793" s="492">
        <f t="shared" si="104"/>
        <v>2.82</v>
      </c>
      <c r="Q793" s="471">
        <f t="shared" si="105"/>
        <v>3.3650000000000002</v>
      </c>
      <c r="R793" s="751">
        <v>1</v>
      </c>
      <c r="S793" s="392">
        <f t="shared" si="106"/>
        <v>0</v>
      </c>
      <c r="T793" s="2774">
        <f t="shared" si="107"/>
        <v>0</v>
      </c>
      <c r="U793" s="392">
        <f t="shared" si="108"/>
        <v>0</v>
      </c>
      <c r="V793" s="392">
        <f t="shared" si="109"/>
        <v>0.7</v>
      </c>
      <c r="W793" s="392">
        <f t="shared" si="110"/>
        <v>0</v>
      </c>
      <c r="X793" s="2774">
        <f t="shared" si="111"/>
        <v>2.4</v>
      </c>
      <c r="Y793" s="392">
        <f t="shared" si="112"/>
        <v>3</v>
      </c>
    </row>
    <row r="794" spans="1:25" s="16" customFormat="1" x14ac:dyDescent="0.2">
      <c r="A794" s="392" t="str">
        <f>list!$G$11</f>
        <v>Tropical Montane</v>
      </c>
      <c r="B794" s="2789" t="s">
        <v>1343</v>
      </c>
      <c r="C794" s="392" t="str">
        <f t="shared" si="113"/>
        <v>Tropical MontaneNorth America</v>
      </c>
      <c r="D794" s="2773">
        <v>4.7</v>
      </c>
      <c r="E794" s="2773">
        <f t="shared" si="77"/>
        <v>4.7</v>
      </c>
      <c r="F794" s="2773">
        <f t="shared" si="77"/>
        <v>4.7</v>
      </c>
      <c r="G794" s="2785">
        <v>4.09</v>
      </c>
      <c r="H794" s="2767">
        <v>0</v>
      </c>
      <c r="I794" s="492">
        <f t="shared" si="97"/>
        <v>2.9568750000000001</v>
      </c>
      <c r="J794" s="492">
        <f t="shared" si="98"/>
        <v>2.92</v>
      </c>
      <c r="K794" s="492">
        <f t="shared" si="99"/>
        <v>5.91</v>
      </c>
      <c r="L794" s="492">
        <f t="shared" si="100"/>
        <v>0.84</v>
      </c>
      <c r="M794" s="492">
        <f t="shared" si="101"/>
        <v>4.05</v>
      </c>
      <c r="N794" s="492">
        <f t="shared" si="102"/>
        <v>0.79999999999999993</v>
      </c>
      <c r="O794" s="492">
        <f t="shared" si="103"/>
        <v>2.95</v>
      </c>
      <c r="P794" s="492">
        <f t="shared" si="104"/>
        <v>2.82</v>
      </c>
      <c r="Q794" s="471">
        <f t="shared" si="105"/>
        <v>3.3650000000000002</v>
      </c>
      <c r="R794" s="751">
        <v>1</v>
      </c>
      <c r="S794" s="392">
        <f t="shared" si="106"/>
        <v>0</v>
      </c>
      <c r="T794" s="2774">
        <f t="shared" si="107"/>
        <v>0</v>
      </c>
      <c r="U794" s="392">
        <f t="shared" si="108"/>
        <v>0</v>
      </c>
      <c r="V794" s="392">
        <f t="shared" si="109"/>
        <v>0.7</v>
      </c>
      <c r="W794" s="392">
        <f t="shared" si="110"/>
        <v>0</v>
      </c>
      <c r="X794" s="2774">
        <f t="shared" si="111"/>
        <v>2.4</v>
      </c>
      <c r="Y794" s="392">
        <f t="shared" si="112"/>
        <v>3</v>
      </c>
    </row>
    <row r="795" spans="1:25" s="16" customFormat="1" x14ac:dyDescent="0.2">
      <c r="A795" s="392" t="str">
        <f>list!$G$11</f>
        <v>Tropical Montane</v>
      </c>
      <c r="B795" s="2789" t="s">
        <v>1349</v>
      </c>
      <c r="C795" s="392" t="str">
        <f t="shared" si="113"/>
        <v>Tropical MontaneSouth America</v>
      </c>
      <c r="D795" s="2773">
        <v>4.7</v>
      </c>
      <c r="E795" s="2773">
        <f t="shared" si="77"/>
        <v>4.7</v>
      </c>
      <c r="F795" s="2773">
        <f t="shared" si="77"/>
        <v>4.7</v>
      </c>
      <c r="G795" s="2785">
        <v>4.09</v>
      </c>
      <c r="H795" s="2767">
        <v>0</v>
      </c>
      <c r="I795" s="492">
        <f t="shared" si="97"/>
        <v>2.9568750000000001</v>
      </c>
      <c r="J795" s="492">
        <f t="shared" si="98"/>
        <v>2.92</v>
      </c>
      <c r="K795" s="492">
        <f t="shared" si="99"/>
        <v>5.91</v>
      </c>
      <c r="L795" s="492">
        <f t="shared" si="100"/>
        <v>0.84</v>
      </c>
      <c r="M795" s="492">
        <f t="shared" si="101"/>
        <v>4.05</v>
      </c>
      <c r="N795" s="492">
        <f t="shared" si="102"/>
        <v>0.79999999999999993</v>
      </c>
      <c r="O795" s="492">
        <f t="shared" si="103"/>
        <v>2.95</v>
      </c>
      <c r="P795" s="492">
        <f t="shared" si="104"/>
        <v>2.82</v>
      </c>
      <c r="Q795" s="471">
        <f t="shared" si="105"/>
        <v>3.3650000000000002</v>
      </c>
      <c r="R795" s="751">
        <v>1</v>
      </c>
      <c r="S795" s="392">
        <f t="shared" si="106"/>
        <v>0</v>
      </c>
      <c r="T795" s="2774">
        <f t="shared" si="107"/>
        <v>0</v>
      </c>
      <c r="U795" s="392">
        <f t="shared" si="108"/>
        <v>0</v>
      </c>
      <c r="V795" s="392">
        <f t="shared" si="109"/>
        <v>0.7</v>
      </c>
      <c r="W795" s="392">
        <f t="shared" si="110"/>
        <v>0</v>
      </c>
      <c r="X795" s="2774">
        <f t="shared" si="111"/>
        <v>2.4</v>
      </c>
      <c r="Y795" s="392">
        <f t="shared" si="112"/>
        <v>3</v>
      </c>
    </row>
    <row r="796" spans="1:25" s="16" customFormat="1" x14ac:dyDescent="0.2">
      <c r="A796" s="392" t="str">
        <f>list!$G$11</f>
        <v>Tropical Montane</v>
      </c>
      <c r="B796" s="2789" t="s">
        <v>1333</v>
      </c>
      <c r="C796" s="392" t="str">
        <f t="shared" si="113"/>
        <v>Tropical MontaneCentral America</v>
      </c>
      <c r="D796" s="2773">
        <v>4.7</v>
      </c>
      <c r="E796" s="2773">
        <f t="shared" si="77"/>
        <v>4.7</v>
      </c>
      <c r="F796" s="2773">
        <f t="shared" si="77"/>
        <v>4.7</v>
      </c>
      <c r="G796" s="2785">
        <v>4.09</v>
      </c>
      <c r="H796" s="2767">
        <v>0</v>
      </c>
      <c r="I796" s="492">
        <f t="shared" si="97"/>
        <v>2.9568750000000001</v>
      </c>
      <c r="J796" s="492">
        <f t="shared" si="98"/>
        <v>2.92</v>
      </c>
      <c r="K796" s="492">
        <f t="shared" si="99"/>
        <v>5.91</v>
      </c>
      <c r="L796" s="492">
        <f t="shared" si="100"/>
        <v>0.84</v>
      </c>
      <c r="M796" s="492">
        <f t="shared" si="101"/>
        <v>4.05</v>
      </c>
      <c r="N796" s="492">
        <f t="shared" si="102"/>
        <v>0.79999999999999993</v>
      </c>
      <c r="O796" s="492">
        <f t="shared" si="103"/>
        <v>2.95</v>
      </c>
      <c r="P796" s="492">
        <f t="shared" si="104"/>
        <v>2.82</v>
      </c>
      <c r="Q796" s="471">
        <f t="shared" si="105"/>
        <v>3.3650000000000002</v>
      </c>
      <c r="R796" s="751">
        <v>1</v>
      </c>
      <c r="S796" s="392">
        <f t="shared" si="106"/>
        <v>0</v>
      </c>
      <c r="T796" s="2774">
        <f t="shared" si="107"/>
        <v>0</v>
      </c>
      <c r="U796" s="392">
        <f t="shared" si="108"/>
        <v>0</v>
      </c>
      <c r="V796" s="392">
        <f t="shared" si="109"/>
        <v>0.7</v>
      </c>
      <c r="W796" s="392">
        <f t="shared" si="110"/>
        <v>0</v>
      </c>
      <c r="X796" s="2774">
        <f t="shared" si="111"/>
        <v>2.4</v>
      </c>
      <c r="Y796" s="392">
        <f t="shared" si="112"/>
        <v>3</v>
      </c>
    </row>
    <row r="797" spans="1:25" s="2781" customFormat="1" x14ac:dyDescent="0.2">
      <c r="A797" s="2775" t="str">
        <f>list!$G$11</f>
        <v>Tropical Montane</v>
      </c>
      <c r="B797" s="2790" t="s">
        <v>1547</v>
      </c>
      <c r="C797" s="2775" t="str">
        <f t="shared" si="113"/>
        <v>Tropical MontaneCaribbean</v>
      </c>
      <c r="D797" s="2777">
        <v>4.7</v>
      </c>
      <c r="E797" s="2777">
        <f t="shared" si="77"/>
        <v>4.7</v>
      </c>
      <c r="F797" s="2777">
        <f t="shared" si="77"/>
        <v>4.7</v>
      </c>
      <c r="G797" s="2787">
        <v>4.09</v>
      </c>
      <c r="H797" s="2778">
        <v>0</v>
      </c>
      <c r="I797" s="2779">
        <f t="shared" si="97"/>
        <v>2.9568750000000001</v>
      </c>
      <c r="J797" s="492">
        <f t="shared" si="98"/>
        <v>2.92</v>
      </c>
      <c r="K797" s="492">
        <f t="shared" si="99"/>
        <v>5.91</v>
      </c>
      <c r="L797" s="492">
        <f t="shared" si="100"/>
        <v>0.84</v>
      </c>
      <c r="M797" s="492">
        <f t="shared" si="101"/>
        <v>4.05</v>
      </c>
      <c r="N797" s="492">
        <f t="shared" si="102"/>
        <v>0.79999999999999993</v>
      </c>
      <c r="O797" s="492">
        <f t="shared" si="103"/>
        <v>2.95</v>
      </c>
      <c r="P797" s="492">
        <f t="shared" si="104"/>
        <v>2.82</v>
      </c>
      <c r="Q797" s="471">
        <f t="shared" si="105"/>
        <v>3.3650000000000002</v>
      </c>
      <c r="R797" s="752">
        <v>1</v>
      </c>
      <c r="S797" s="392">
        <f t="shared" si="106"/>
        <v>0</v>
      </c>
      <c r="T797" s="2774">
        <f t="shared" si="107"/>
        <v>0</v>
      </c>
      <c r="U797" s="392">
        <f t="shared" si="108"/>
        <v>0</v>
      </c>
      <c r="V797" s="392">
        <f t="shared" si="109"/>
        <v>0.7</v>
      </c>
      <c r="W797" s="392">
        <f t="shared" si="110"/>
        <v>0</v>
      </c>
      <c r="X797" s="2774">
        <f t="shared" si="111"/>
        <v>2.4</v>
      </c>
      <c r="Y797" s="392">
        <f t="shared" si="112"/>
        <v>3</v>
      </c>
    </row>
    <row r="798" spans="1:25" s="2771" customFormat="1" x14ac:dyDescent="0.2">
      <c r="A798" s="2764" t="s">
        <v>1489</v>
      </c>
      <c r="B798" s="2765" t="s">
        <v>1552</v>
      </c>
      <c r="C798" s="2764" t="str">
        <f t="shared" si="113"/>
        <v>Tropical WetEastern Africa</v>
      </c>
      <c r="D798" s="2766">
        <v>4.7</v>
      </c>
      <c r="E798" s="2766">
        <f t="shared" si="77"/>
        <v>4.7</v>
      </c>
      <c r="F798" s="2766">
        <f t="shared" si="77"/>
        <v>4.7</v>
      </c>
      <c r="G798" s="2785">
        <f t="shared" ref="G798:G813" si="114">16.1*0.47</f>
        <v>7.5670000000000002</v>
      </c>
      <c r="H798" s="2768">
        <v>0</v>
      </c>
      <c r="I798" s="492">
        <f t="shared" si="97"/>
        <v>2.9224999999999999</v>
      </c>
      <c r="J798" s="490">
        <f t="shared" si="98"/>
        <v>2.33</v>
      </c>
      <c r="K798" s="490">
        <f t="shared" si="99"/>
        <v>7.7</v>
      </c>
      <c r="L798" s="490">
        <f t="shared" si="100"/>
        <v>0.53</v>
      </c>
      <c r="M798" s="490">
        <f t="shared" si="101"/>
        <v>3.58</v>
      </c>
      <c r="N798" s="490">
        <f t="shared" si="102"/>
        <v>0.79999999999999993</v>
      </c>
      <c r="O798" s="490">
        <f t="shared" si="103"/>
        <v>3.87</v>
      </c>
      <c r="P798" s="490">
        <f t="shared" si="104"/>
        <v>4.5</v>
      </c>
      <c r="Q798" s="491">
        <f t="shared" si="105"/>
        <v>6.9999999999999993E-2</v>
      </c>
      <c r="R798" s="750">
        <v>1</v>
      </c>
      <c r="S798" s="2764">
        <f t="shared" si="106"/>
        <v>0</v>
      </c>
      <c r="T798" s="2764">
        <f t="shared" si="107"/>
        <v>0</v>
      </c>
      <c r="U798" s="2764">
        <f t="shared" si="108"/>
        <v>0</v>
      </c>
      <c r="V798" s="2764">
        <f t="shared" si="109"/>
        <v>0.7</v>
      </c>
      <c r="W798" s="2764">
        <f t="shared" si="110"/>
        <v>0</v>
      </c>
      <c r="X798" s="2764">
        <f t="shared" si="111"/>
        <v>2.4</v>
      </c>
      <c r="Y798" s="2764">
        <f t="shared" si="112"/>
        <v>3</v>
      </c>
    </row>
    <row r="799" spans="1:25" s="16" customFormat="1" x14ac:dyDescent="0.2">
      <c r="A799" s="392" t="s">
        <v>1489</v>
      </c>
      <c r="B799" s="2772" t="s">
        <v>1557</v>
      </c>
      <c r="C799" s="392" t="str">
        <f t="shared" si="113"/>
        <v>Tropical WetCentral Africa</v>
      </c>
      <c r="D799" s="2773">
        <v>4.7</v>
      </c>
      <c r="E799" s="2773">
        <f t="shared" si="77"/>
        <v>4.7</v>
      </c>
      <c r="F799" s="2773">
        <f t="shared" si="77"/>
        <v>4.7</v>
      </c>
      <c r="G799" s="2785">
        <f t="shared" si="114"/>
        <v>7.5670000000000002</v>
      </c>
      <c r="H799" s="2767">
        <v>0</v>
      </c>
      <c r="I799" s="492">
        <f t="shared" si="97"/>
        <v>2.9224999999999999</v>
      </c>
      <c r="J799" s="492">
        <f t="shared" si="98"/>
        <v>2.33</v>
      </c>
      <c r="K799" s="492">
        <f t="shared" si="99"/>
        <v>7.7</v>
      </c>
      <c r="L799" s="492">
        <f t="shared" si="100"/>
        <v>0.53</v>
      </c>
      <c r="M799" s="492">
        <f t="shared" si="101"/>
        <v>3.58</v>
      </c>
      <c r="N799" s="492">
        <f t="shared" si="102"/>
        <v>0.79999999999999993</v>
      </c>
      <c r="O799" s="492">
        <f t="shared" si="103"/>
        <v>3.87</v>
      </c>
      <c r="P799" s="492">
        <f t="shared" si="104"/>
        <v>4.5</v>
      </c>
      <c r="Q799" s="471">
        <f t="shared" si="105"/>
        <v>6.9999999999999993E-2</v>
      </c>
      <c r="R799" s="751">
        <v>1</v>
      </c>
      <c r="S799" s="392">
        <f t="shared" si="106"/>
        <v>0</v>
      </c>
      <c r="T799" s="392">
        <f t="shared" si="107"/>
        <v>0</v>
      </c>
      <c r="U799" s="392">
        <f t="shared" si="108"/>
        <v>0</v>
      </c>
      <c r="V799" s="392">
        <f t="shared" si="109"/>
        <v>0.7</v>
      </c>
      <c r="W799" s="392">
        <f t="shared" si="110"/>
        <v>0</v>
      </c>
      <c r="X799" s="392">
        <f t="shared" si="111"/>
        <v>2.4</v>
      </c>
      <c r="Y799" s="392">
        <f t="shared" si="112"/>
        <v>3</v>
      </c>
    </row>
    <row r="800" spans="1:25" s="16" customFormat="1" x14ac:dyDescent="0.2">
      <c r="A800" s="392" t="s">
        <v>1489</v>
      </c>
      <c r="B800" s="2772" t="s">
        <v>1559</v>
      </c>
      <c r="C800" s="392" t="str">
        <f t="shared" si="113"/>
        <v>Tropical WetNorthern Africa</v>
      </c>
      <c r="D800" s="2773">
        <v>4.7</v>
      </c>
      <c r="E800" s="2773">
        <f t="shared" si="77"/>
        <v>4.7</v>
      </c>
      <c r="F800" s="2773">
        <f t="shared" si="77"/>
        <v>4.7</v>
      </c>
      <c r="G800" s="2785">
        <f t="shared" si="114"/>
        <v>7.5670000000000002</v>
      </c>
      <c r="H800" s="2767">
        <v>0</v>
      </c>
      <c r="I800" s="492">
        <f t="shared" si="97"/>
        <v>2.9224999999999999</v>
      </c>
      <c r="J800" s="492">
        <f t="shared" si="98"/>
        <v>2.33</v>
      </c>
      <c r="K800" s="492">
        <f t="shared" si="99"/>
        <v>7.7</v>
      </c>
      <c r="L800" s="492">
        <f t="shared" si="100"/>
        <v>0.53</v>
      </c>
      <c r="M800" s="492">
        <f t="shared" si="101"/>
        <v>3.58</v>
      </c>
      <c r="N800" s="492">
        <f t="shared" si="102"/>
        <v>0.79999999999999993</v>
      </c>
      <c r="O800" s="492">
        <f t="shared" si="103"/>
        <v>3.87</v>
      </c>
      <c r="P800" s="492">
        <f t="shared" si="104"/>
        <v>4.5</v>
      </c>
      <c r="Q800" s="471">
        <f t="shared" si="105"/>
        <v>6.9999999999999993E-2</v>
      </c>
      <c r="R800" s="751">
        <v>1</v>
      </c>
      <c r="S800" s="392">
        <f t="shared" si="106"/>
        <v>0</v>
      </c>
      <c r="T800" s="392">
        <f t="shared" si="107"/>
        <v>0</v>
      </c>
      <c r="U800" s="392">
        <f t="shared" si="108"/>
        <v>0</v>
      </c>
      <c r="V800" s="392">
        <f t="shared" si="109"/>
        <v>0.7</v>
      </c>
      <c r="W800" s="392">
        <f t="shared" si="110"/>
        <v>0</v>
      </c>
      <c r="X800" s="392">
        <f t="shared" si="111"/>
        <v>2.4</v>
      </c>
      <c r="Y800" s="392">
        <f t="shared" si="112"/>
        <v>3</v>
      </c>
    </row>
    <row r="801" spans="1:25" s="16" customFormat="1" x14ac:dyDescent="0.2">
      <c r="A801" s="392" t="s">
        <v>1489</v>
      </c>
      <c r="B801" s="2772" t="s">
        <v>1565</v>
      </c>
      <c r="C801" s="392" t="str">
        <f t="shared" si="113"/>
        <v>Tropical WetSouthern Africa</v>
      </c>
      <c r="D801" s="2773">
        <v>4.7</v>
      </c>
      <c r="E801" s="2773">
        <f t="shared" si="77"/>
        <v>4.7</v>
      </c>
      <c r="F801" s="2773">
        <f t="shared" si="77"/>
        <v>4.7</v>
      </c>
      <c r="G801" s="2785">
        <f t="shared" si="114"/>
        <v>7.5670000000000002</v>
      </c>
      <c r="H801" s="2767">
        <v>0</v>
      </c>
      <c r="I801" s="492">
        <f t="shared" si="97"/>
        <v>2.9224999999999999</v>
      </c>
      <c r="J801" s="492">
        <f t="shared" si="98"/>
        <v>2.33</v>
      </c>
      <c r="K801" s="492">
        <f t="shared" si="99"/>
        <v>7.7</v>
      </c>
      <c r="L801" s="492">
        <f t="shared" si="100"/>
        <v>0.53</v>
      </c>
      <c r="M801" s="492">
        <f t="shared" si="101"/>
        <v>3.58</v>
      </c>
      <c r="N801" s="492">
        <f t="shared" si="102"/>
        <v>0.79999999999999993</v>
      </c>
      <c r="O801" s="492">
        <f t="shared" si="103"/>
        <v>3.87</v>
      </c>
      <c r="P801" s="492">
        <f t="shared" si="104"/>
        <v>4.5</v>
      </c>
      <c r="Q801" s="471">
        <f t="shared" si="105"/>
        <v>6.9999999999999993E-2</v>
      </c>
      <c r="R801" s="751">
        <v>1</v>
      </c>
      <c r="S801" s="392">
        <f t="shared" si="106"/>
        <v>0</v>
      </c>
      <c r="T801" s="392">
        <f t="shared" si="107"/>
        <v>0</v>
      </c>
      <c r="U801" s="392">
        <f t="shared" si="108"/>
        <v>0</v>
      </c>
      <c r="V801" s="392">
        <f t="shared" si="109"/>
        <v>0.7</v>
      </c>
      <c r="W801" s="392">
        <f t="shared" si="110"/>
        <v>0</v>
      </c>
      <c r="X801" s="392">
        <f t="shared" si="111"/>
        <v>2.4</v>
      </c>
      <c r="Y801" s="392">
        <f t="shared" si="112"/>
        <v>3</v>
      </c>
    </row>
    <row r="802" spans="1:25" s="16" customFormat="1" x14ac:dyDescent="0.2">
      <c r="A802" s="392" t="s">
        <v>1489</v>
      </c>
      <c r="B802" s="2772" t="s">
        <v>1569</v>
      </c>
      <c r="C802" s="392" t="str">
        <f t="shared" si="113"/>
        <v>Tropical WetWestern Africa</v>
      </c>
      <c r="D802" s="2773">
        <v>4.7</v>
      </c>
      <c r="E802" s="2773">
        <f t="shared" si="77"/>
        <v>4.7</v>
      </c>
      <c r="F802" s="2773">
        <f t="shared" si="77"/>
        <v>4.7</v>
      </c>
      <c r="G802" s="2785">
        <f t="shared" si="114"/>
        <v>7.5670000000000002</v>
      </c>
      <c r="H802" s="2767">
        <v>0</v>
      </c>
      <c r="I802" s="492">
        <f t="shared" si="97"/>
        <v>2.9224999999999999</v>
      </c>
      <c r="J802" s="492">
        <f t="shared" si="98"/>
        <v>2.33</v>
      </c>
      <c r="K802" s="492">
        <f t="shared" si="99"/>
        <v>7.7</v>
      </c>
      <c r="L802" s="492">
        <f t="shared" si="100"/>
        <v>0.53</v>
      </c>
      <c r="M802" s="492">
        <f t="shared" si="101"/>
        <v>3.58</v>
      </c>
      <c r="N802" s="492">
        <f t="shared" si="102"/>
        <v>0.79999999999999993</v>
      </c>
      <c r="O802" s="492">
        <f t="shared" si="103"/>
        <v>3.87</v>
      </c>
      <c r="P802" s="492">
        <f t="shared" si="104"/>
        <v>4.5</v>
      </c>
      <c r="Q802" s="471">
        <f t="shared" si="105"/>
        <v>6.9999999999999993E-2</v>
      </c>
      <c r="R802" s="751">
        <v>1</v>
      </c>
      <c r="S802" s="392">
        <f t="shared" si="106"/>
        <v>0</v>
      </c>
      <c r="T802" s="392">
        <f t="shared" si="107"/>
        <v>0</v>
      </c>
      <c r="U802" s="392">
        <f t="shared" si="108"/>
        <v>0</v>
      </c>
      <c r="V802" s="392">
        <f t="shared" si="109"/>
        <v>0.7</v>
      </c>
      <c r="W802" s="392">
        <f t="shared" si="110"/>
        <v>0</v>
      </c>
      <c r="X802" s="392">
        <f t="shared" si="111"/>
        <v>2.4</v>
      </c>
      <c r="Y802" s="392">
        <f t="shared" si="112"/>
        <v>3</v>
      </c>
    </row>
    <row r="803" spans="1:25" s="16" customFormat="1" x14ac:dyDescent="0.2">
      <c r="A803" s="392" t="s">
        <v>1489</v>
      </c>
      <c r="B803" s="2772" t="s">
        <v>1550</v>
      </c>
      <c r="C803" s="392" t="str">
        <f t="shared" si="113"/>
        <v>Tropical WetCentral Asia</v>
      </c>
      <c r="D803" s="2773">
        <v>4.7</v>
      </c>
      <c r="E803" s="2773">
        <f t="shared" si="77"/>
        <v>4.7</v>
      </c>
      <c r="F803" s="2773">
        <f t="shared" si="77"/>
        <v>4.7</v>
      </c>
      <c r="G803" s="2785">
        <f t="shared" si="114"/>
        <v>7.5670000000000002</v>
      </c>
      <c r="H803" s="2767">
        <v>0</v>
      </c>
      <c r="I803" s="492">
        <f t="shared" si="97"/>
        <v>2.36375</v>
      </c>
      <c r="J803" s="492">
        <f t="shared" si="98"/>
        <v>2.33</v>
      </c>
      <c r="K803" s="492">
        <f t="shared" si="99"/>
        <v>2.48</v>
      </c>
      <c r="L803" s="492">
        <f t="shared" si="100"/>
        <v>0.53</v>
      </c>
      <c r="M803" s="492">
        <f t="shared" si="101"/>
        <v>5.99</v>
      </c>
      <c r="N803" s="492">
        <f t="shared" si="102"/>
        <v>0.79999999999999993</v>
      </c>
      <c r="O803" s="492">
        <f t="shared" si="103"/>
        <v>2.21</v>
      </c>
      <c r="P803" s="492">
        <f t="shared" si="104"/>
        <v>4.5</v>
      </c>
      <c r="Q803" s="471">
        <f t="shared" si="105"/>
        <v>6.9999999999999993E-2</v>
      </c>
      <c r="R803" s="751">
        <v>1</v>
      </c>
      <c r="S803" s="392">
        <f t="shared" si="106"/>
        <v>0</v>
      </c>
      <c r="T803" s="392">
        <f t="shared" si="107"/>
        <v>0</v>
      </c>
      <c r="U803" s="392">
        <f t="shared" si="108"/>
        <v>0</v>
      </c>
      <c r="V803" s="392">
        <f t="shared" si="109"/>
        <v>0.7</v>
      </c>
      <c r="W803" s="392">
        <f t="shared" si="110"/>
        <v>0</v>
      </c>
      <c r="X803" s="392">
        <f t="shared" si="111"/>
        <v>2.4</v>
      </c>
      <c r="Y803" s="392">
        <f t="shared" si="112"/>
        <v>3</v>
      </c>
    </row>
    <row r="804" spans="1:25" s="16" customFormat="1" x14ac:dyDescent="0.2">
      <c r="A804" s="392" t="s">
        <v>1489</v>
      </c>
      <c r="B804" s="2772" t="s">
        <v>1554</v>
      </c>
      <c r="C804" s="392" t="str">
        <f t="shared" si="113"/>
        <v>Tropical WetEastern Asia</v>
      </c>
      <c r="D804" s="2773">
        <v>4.7</v>
      </c>
      <c r="E804" s="2773">
        <f t="shared" si="77"/>
        <v>4.7</v>
      </c>
      <c r="F804" s="2773">
        <f t="shared" si="77"/>
        <v>4.7</v>
      </c>
      <c r="G804" s="2785">
        <f t="shared" si="114"/>
        <v>7.5670000000000002</v>
      </c>
      <c r="H804" s="2767">
        <v>0</v>
      </c>
      <c r="I804" s="492">
        <f t="shared" si="97"/>
        <v>2.36375</v>
      </c>
      <c r="J804" s="492">
        <f t="shared" si="98"/>
        <v>2.33</v>
      </c>
      <c r="K804" s="492">
        <f t="shared" si="99"/>
        <v>2.48</v>
      </c>
      <c r="L804" s="492">
        <f t="shared" si="100"/>
        <v>0.53</v>
      </c>
      <c r="M804" s="492">
        <f t="shared" si="101"/>
        <v>5.99</v>
      </c>
      <c r="N804" s="492">
        <f t="shared" si="102"/>
        <v>0.79999999999999993</v>
      </c>
      <c r="O804" s="492">
        <f t="shared" si="103"/>
        <v>2.21</v>
      </c>
      <c r="P804" s="492">
        <f t="shared" si="104"/>
        <v>4.5</v>
      </c>
      <c r="Q804" s="471">
        <f t="shared" si="105"/>
        <v>6.9999999999999993E-2</v>
      </c>
      <c r="R804" s="751">
        <v>1</v>
      </c>
      <c r="S804" s="392">
        <f t="shared" si="106"/>
        <v>0</v>
      </c>
      <c r="T804" s="392">
        <f t="shared" si="107"/>
        <v>0</v>
      </c>
      <c r="U804" s="392">
        <f t="shared" si="108"/>
        <v>0</v>
      </c>
      <c r="V804" s="392">
        <f t="shared" si="109"/>
        <v>0.7</v>
      </c>
      <c r="W804" s="392">
        <f t="shared" si="110"/>
        <v>0</v>
      </c>
      <c r="X804" s="392">
        <f t="shared" si="111"/>
        <v>2.4</v>
      </c>
      <c r="Y804" s="392">
        <f t="shared" si="112"/>
        <v>3</v>
      </c>
    </row>
    <row r="805" spans="1:25" s="16" customFormat="1" x14ac:dyDescent="0.2">
      <c r="A805" s="392" t="s">
        <v>1489</v>
      </c>
      <c r="B805" s="2772" t="s">
        <v>1563</v>
      </c>
      <c r="C805" s="392" t="str">
        <f t="shared" si="113"/>
        <v>Tropical WetSouth-eastern Asia</v>
      </c>
      <c r="D805" s="2773">
        <v>4.7</v>
      </c>
      <c r="E805" s="2773">
        <f t="shared" si="77"/>
        <v>4.7</v>
      </c>
      <c r="F805" s="2773">
        <f t="shared" si="77"/>
        <v>4.7</v>
      </c>
      <c r="G805" s="2785">
        <f t="shared" si="114"/>
        <v>7.5670000000000002</v>
      </c>
      <c r="H805" s="2767">
        <v>0</v>
      </c>
      <c r="I805" s="492">
        <f t="shared" si="97"/>
        <v>2.36375</v>
      </c>
      <c r="J805" s="492">
        <f t="shared" si="98"/>
        <v>2.33</v>
      </c>
      <c r="K805" s="492">
        <f t="shared" si="99"/>
        <v>2.48</v>
      </c>
      <c r="L805" s="492">
        <f t="shared" si="100"/>
        <v>0.53</v>
      </c>
      <c r="M805" s="492">
        <f t="shared" si="101"/>
        <v>5.99</v>
      </c>
      <c r="N805" s="492">
        <f t="shared" si="102"/>
        <v>0.79999999999999993</v>
      </c>
      <c r="O805" s="492">
        <f t="shared" si="103"/>
        <v>2.21</v>
      </c>
      <c r="P805" s="492">
        <f t="shared" si="104"/>
        <v>4.5</v>
      </c>
      <c r="Q805" s="471">
        <f t="shared" si="105"/>
        <v>6.9999999999999993E-2</v>
      </c>
      <c r="R805" s="751">
        <v>1</v>
      </c>
      <c r="S805" s="392">
        <f t="shared" si="106"/>
        <v>0</v>
      </c>
      <c r="T805" s="392">
        <f t="shared" si="107"/>
        <v>0</v>
      </c>
      <c r="U805" s="392">
        <f t="shared" si="108"/>
        <v>0</v>
      </c>
      <c r="V805" s="392">
        <f t="shared" si="109"/>
        <v>0.7</v>
      </c>
      <c r="W805" s="392">
        <f t="shared" si="110"/>
        <v>0</v>
      </c>
      <c r="X805" s="392">
        <f t="shared" si="111"/>
        <v>2.4</v>
      </c>
      <c r="Y805" s="392">
        <f t="shared" si="112"/>
        <v>3</v>
      </c>
    </row>
    <row r="806" spans="1:25" s="16" customFormat="1" x14ac:dyDescent="0.2">
      <c r="A806" s="392" t="s">
        <v>1489</v>
      </c>
      <c r="B806" s="2772" t="s">
        <v>1567</v>
      </c>
      <c r="C806" s="392" t="str">
        <f t="shared" si="113"/>
        <v>Tropical WetSouthern Asia</v>
      </c>
      <c r="D806" s="2773">
        <v>4.7</v>
      </c>
      <c r="E806" s="2773">
        <f t="shared" si="77"/>
        <v>4.7</v>
      </c>
      <c r="F806" s="2773">
        <f t="shared" si="77"/>
        <v>4.7</v>
      </c>
      <c r="G806" s="2785">
        <f t="shared" si="114"/>
        <v>7.5670000000000002</v>
      </c>
      <c r="H806" s="2767">
        <v>0</v>
      </c>
      <c r="I806" s="492">
        <f t="shared" si="97"/>
        <v>2.36375</v>
      </c>
      <c r="J806" s="492">
        <f t="shared" si="98"/>
        <v>2.33</v>
      </c>
      <c r="K806" s="492">
        <f t="shared" si="99"/>
        <v>2.48</v>
      </c>
      <c r="L806" s="492">
        <f t="shared" si="100"/>
        <v>0.53</v>
      </c>
      <c r="M806" s="492">
        <f t="shared" si="101"/>
        <v>5.99</v>
      </c>
      <c r="N806" s="492">
        <f t="shared" si="102"/>
        <v>0.79999999999999993</v>
      </c>
      <c r="O806" s="492">
        <f t="shared" si="103"/>
        <v>2.21</v>
      </c>
      <c r="P806" s="492">
        <f t="shared" si="104"/>
        <v>4.5</v>
      </c>
      <c r="Q806" s="471">
        <f t="shared" si="105"/>
        <v>6.9999999999999993E-2</v>
      </c>
      <c r="R806" s="751">
        <v>1</v>
      </c>
      <c r="S806" s="392">
        <f t="shared" si="106"/>
        <v>0</v>
      </c>
      <c r="T806" s="392">
        <f t="shared" si="107"/>
        <v>0</v>
      </c>
      <c r="U806" s="392">
        <f t="shared" si="108"/>
        <v>0</v>
      </c>
      <c r="V806" s="392">
        <f t="shared" si="109"/>
        <v>0.7</v>
      </c>
      <c r="W806" s="392">
        <f t="shared" si="110"/>
        <v>0</v>
      </c>
      <c r="X806" s="392">
        <f t="shared" si="111"/>
        <v>2.4</v>
      </c>
      <c r="Y806" s="392">
        <f t="shared" si="112"/>
        <v>3</v>
      </c>
    </row>
    <row r="807" spans="1:25" s="16" customFormat="1" x14ac:dyDescent="0.2">
      <c r="A807" s="392" t="s">
        <v>1489</v>
      </c>
      <c r="B807" s="2772" t="s">
        <v>1571</v>
      </c>
      <c r="C807" s="392" t="str">
        <f t="shared" si="113"/>
        <v>Tropical WetWestern Asia</v>
      </c>
      <c r="D807" s="2773">
        <v>4.7</v>
      </c>
      <c r="E807" s="2773">
        <f t="shared" si="77"/>
        <v>4.7</v>
      </c>
      <c r="F807" s="2773">
        <f t="shared" si="77"/>
        <v>4.7</v>
      </c>
      <c r="G807" s="2785">
        <f t="shared" si="114"/>
        <v>7.5670000000000002</v>
      </c>
      <c r="H807" s="2767">
        <v>0</v>
      </c>
      <c r="I807" s="492">
        <f t="shared" si="97"/>
        <v>2.36375</v>
      </c>
      <c r="J807" s="492">
        <f t="shared" si="98"/>
        <v>2.33</v>
      </c>
      <c r="K807" s="492">
        <f t="shared" si="99"/>
        <v>2.48</v>
      </c>
      <c r="L807" s="492">
        <f t="shared" si="100"/>
        <v>0.53</v>
      </c>
      <c r="M807" s="492">
        <f t="shared" si="101"/>
        <v>5.99</v>
      </c>
      <c r="N807" s="492">
        <f t="shared" si="102"/>
        <v>0.79999999999999993</v>
      </c>
      <c r="O807" s="492">
        <f t="shared" si="103"/>
        <v>2.21</v>
      </c>
      <c r="P807" s="492">
        <f t="shared" si="104"/>
        <v>4.5</v>
      </c>
      <c r="Q807" s="471">
        <f t="shared" si="105"/>
        <v>6.9999999999999993E-2</v>
      </c>
      <c r="R807" s="751">
        <v>1</v>
      </c>
      <c r="S807" s="392">
        <f t="shared" si="106"/>
        <v>0</v>
      </c>
      <c r="T807" s="392">
        <f t="shared" si="107"/>
        <v>0</v>
      </c>
      <c r="U807" s="392">
        <f t="shared" si="108"/>
        <v>0</v>
      </c>
      <c r="V807" s="392">
        <f t="shared" si="109"/>
        <v>0.7</v>
      </c>
      <c r="W807" s="392">
        <f t="shared" si="110"/>
        <v>0</v>
      </c>
      <c r="X807" s="392">
        <f t="shared" si="111"/>
        <v>2.4</v>
      </c>
      <c r="Y807" s="392">
        <f t="shared" si="112"/>
        <v>3</v>
      </c>
    </row>
    <row r="808" spans="1:25" s="16" customFormat="1" x14ac:dyDescent="0.2">
      <c r="A808" s="392" t="s">
        <v>1489</v>
      </c>
      <c r="B808" s="2772" t="s">
        <v>1555</v>
      </c>
      <c r="C808" s="392" t="str">
        <f t="shared" si="113"/>
        <v>Tropical WetEurope</v>
      </c>
      <c r="D808" s="2773">
        <v>4.7</v>
      </c>
      <c r="E808" s="2773">
        <f t="shared" si="77"/>
        <v>4.7</v>
      </c>
      <c r="F808" s="2773">
        <f t="shared" si="77"/>
        <v>4.7</v>
      </c>
      <c r="G808" s="2785">
        <f t="shared" si="114"/>
        <v>7.5670000000000002</v>
      </c>
      <c r="H808" s="2767">
        <v>0</v>
      </c>
      <c r="I808" s="492">
        <f t="shared" si="97"/>
        <v>2.6224999999999996</v>
      </c>
      <c r="J808" s="492">
        <f t="shared" si="98"/>
        <v>2.33</v>
      </c>
      <c r="K808" s="492">
        <f t="shared" si="99"/>
        <v>5.6899999999999995</v>
      </c>
      <c r="L808" s="492">
        <f t="shared" si="100"/>
        <v>0.53</v>
      </c>
      <c r="M808" s="492">
        <f t="shared" si="101"/>
        <v>4.16</v>
      </c>
      <c r="N808" s="492">
        <f t="shared" si="102"/>
        <v>0.79999999999999993</v>
      </c>
      <c r="O808" s="492">
        <f t="shared" si="103"/>
        <v>2.9</v>
      </c>
      <c r="P808" s="492">
        <f t="shared" si="104"/>
        <v>4.5</v>
      </c>
      <c r="Q808" s="471">
        <f t="shared" si="105"/>
        <v>6.9999999999999993E-2</v>
      </c>
      <c r="R808" s="751">
        <v>1</v>
      </c>
      <c r="S808" s="392">
        <f t="shared" si="106"/>
        <v>0</v>
      </c>
      <c r="T808" s="392">
        <f t="shared" si="107"/>
        <v>0</v>
      </c>
      <c r="U808" s="392">
        <f t="shared" si="108"/>
        <v>0</v>
      </c>
      <c r="V808" s="392">
        <f t="shared" si="109"/>
        <v>0.7</v>
      </c>
      <c r="W808" s="392">
        <f t="shared" si="110"/>
        <v>0</v>
      </c>
      <c r="X808" s="392">
        <f t="shared" si="111"/>
        <v>2.4</v>
      </c>
      <c r="Y808" s="392">
        <f t="shared" si="112"/>
        <v>3</v>
      </c>
    </row>
    <row r="809" spans="1:25" s="16" customFormat="1" x14ac:dyDescent="0.2">
      <c r="A809" s="392" t="s">
        <v>1489</v>
      </c>
      <c r="B809" s="2772" t="s">
        <v>1346</v>
      </c>
      <c r="C809" s="392" t="str">
        <f t="shared" si="113"/>
        <v>Tropical WetOceania</v>
      </c>
      <c r="D809" s="2773">
        <v>4.7</v>
      </c>
      <c r="E809" s="2773">
        <f t="shared" si="77"/>
        <v>4.7</v>
      </c>
      <c r="F809" s="2773">
        <f t="shared" si="77"/>
        <v>4.7</v>
      </c>
      <c r="G809" s="2785">
        <f t="shared" si="114"/>
        <v>7.5670000000000002</v>
      </c>
      <c r="H809" s="2767">
        <v>0</v>
      </c>
      <c r="I809" s="492">
        <f t="shared" si="97"/>
        <v>2.6224999999999996</v>
      </c>
      <c r="J809" s="492">
        <f t="shared" si="98"/>
        <v>2.33</v>
      </c>
      <c r="K809" s="492">
        <f t="shared" si="99"/>
        <v>5.6899999999999995</v>
      </c>
      <c r="L809" s="492">
        <f t="shared" si="100"/>
        <v>0.53</v>
      </c>
      <c r="M809" s="492">
        <f t="shared" si="101"/>
        <v>4.16</v>
      </c>
      <c r="N809" s="492">
        <f t="shared" si="102"/>
        <v>0.79999999999999993</v>
      </c>
      <c r="O809" s="492">
        <f t="shared" si="103"/>
        <v>2.9</v>
      </c>
      <c r="P809" s="492">
        <f t="shared" si="104"/>
        <v>4.5</v>
      </c>
      <c r="Q809" s="471">
        <f t="shared" si="105"/>
        <v>6.9999999999999993E-2</v>
      </c>
      <c r="R809" s="751">
        <v>1</v>
      </c>
      <c r="S809" s="392">
        <f t="shared" si="106"/>
        <v>0</v>
      </c>
      <c r="T809" s="392">
        <f t="shared" si="107"/>
        <v>0</v>
      </c>
      <c r="U809" s="392">
        <f t="shared" si="108"/>
        <v>0</v>
      </c>
      <c r="V809" s="392">
        <f t="shared" si="109"/>
        <v>0.7</v>
      </c>
      <c r="W809" s="392">
        <f t="shared" si="110"/>
        <v>0</v>
      </c>
      <c r="X809" s="392">
        <f t="shared" si="111"/>
        <v>2.4</v>
      </c>
      <c r="Y809" s="392">
        <f t="shared" si="112"/>
        <v>3</v>
      </c>
    </row>
    <row r="810" spans="1:25" s="16" customFormat="1" x14ac:dyDescent="0.2">
      <c r="A810" s="392" t="s">
        <v>1489</v>
      </c>
      <c r="B810" s="2772" t="s">
        <v>1343</v>
      </c>
      <c r="C810" s="392" t="str">
        <f t="shared" si="113"/>
        <v>Tropical WetNorth America</v>
      </c>
      <c r="D810" s="2773">
        <v>4.7</v>
      </c>
      <c r="E810" s="2773">
        <f t="shared" si="77"/>
        <v>4.7</v>
      </c>
      <c r="F810" s="2773">
        <f t="shared" si="77"/>
        <v>4.7</v>
      </c>
      <c r="G810" s="2785">
        <f t="shared" si="114"/>
        <v>7.5670000000000002</v>
      </c>
      <c r="H810" s="2767">
        <v>0</v>
      </c>
      <c r="I810" s="492">
        <f t="shared" si="97"/>
        <v>2.6224999999999996</v>
      </c>
      <c r="J810" s="492">
        <f t="shared" si="98"/>
        <v>2.33</v>
      </c>
      <c r="K810" s="492">
        <f t="shared" si="99"/>
        <v>5.6899999999999995</v>
      </c>
      <c r="L810" s="492">
        <f t="shared" si="100"/>
        <v>0.53</v>
      </c>
      <c r="M810" s="492">
        <f t="shared" si="101"/>
        <v>4.16</v>
      </c>
      <c r="N810" s="492">
        <f t="shared" si="102"/>
        <v>0.79999999999999993</v>
      </c>
      <c r="O810" s="492">
        <f t="shared" si="103"/>
        <v>2.9</v>
      </c>
      <c r="P810" s="492">
        <f t="shared" si="104"/>
        <v>4.5</v>
      </c>
      <c r="Q810" s="471">
        <f t="shared" si="105"/>
        <v>6.9999999999999993E-2</v>
      </c>
      <c r="R810" s="751">
        <v>1</v>
      </c>
      <c r="S810" s="392">
        <f t="shared" si="106"/>
        <v>0</v>
      </c>
      <c r="T810" s="392">
        <f t="shared" si="107"/>
        <v>0</v>
      </c>
      <c r="U810" s="392">
        <f t="shared" si="108"/>
        <v>0</v>
      </c>
      <c r="V810" s="392">
        <f t="shared" si="109"/>
        <v>0.7</v>
      </c>
      <c r="W810" s="392">
        <f t="shared" si="110"/>
        <v>0</v>
      </c>
      <c r="X810" s="392">
        <f t="shared" si="111"/>
        <v>2.4</v>
      </c>
      <c r="Y810" s="392">
        <f t="shared" si="112"/>
        <v>3</v>
      </c>
    </row>
    <row r="811" spans="1:25" s="16" customFormat="1" x14ac:dyDescent="0.2">
      <c r="A811" s="392" t="s">
        <v>1489</v>
      </c>
      <c r="B811" s="2772" t="s">
        <v>1349</v>
      </c>
      <c r="C811" s="392" t="str">
        <f t="shared" si="113"/>
        <v>Tropical WetSouth America</v>
      </c>
      <c r="D811" s="2773">
        <v>4.7</v>
      </c>
      <c r="E811" s="2773">
        <f t="shared" si="77"/>
        <v>4.7</v>
      </c>
      <c r="F811" s="2773">
        <f t="shared" si="77"/>
        <v>4.7</v>
      </c>
      <c r="G811" s="2785">
        <f t="shared" si="114"/>
        <v>7.5670000000000002</v>
      </c>
      <c r="H811" s="2767">
        <v>0</v>
      </c>
      <c r="I811" s="492">
        <f t="shared" si="97"/>
        <v>2.6374999999999993</v>
      </c>
      <c r="J811" s="492">
        <f t="shared" si="98"/>
        <v>2.33</v>
      </c>
      <c r="K811" s="492">
        <f t="shared" si="99"/>
        <v>5.8999999999999995</v>
      </c>
      <c r="L811" s="492">
        <f t="shared" si="100"/>
        <v>0.53</v>
      </c>
      <c r="M811" s="492">
        <f t="shared" si="101"/>
        <v>3.3</v>
      </c>
      <c r="N811" s="492">
        <f t="shared" si="102"/>
        <v>0.79999999999999993</v>
      </c>
      <c r="O811" s="492">
        <f t="shared" si="103"/>
        <v>3.67</v>
      </c>
      <c r="P811" s="492">
        <f t="shared" si="104"/>
        <v>4.5</v>
      </c>
      <c r="Q811" s="471">
        <f t="shared" si="105"/>
        <v>6.9999999999999993E-2</v>
      </c>
      <c r="R811" s="751">
        <v>1</v>
      </c>
      <c r="S811" s="392">
        <f t="shared" si="106"/>
        <v>0</v>
      </c>
      <c r="T811" s="392">
        <f t="shared" si="107"/>
        <v>0</v>
      </c>
      <c r="U811" s="392">
        <f t="shared" si="108"/>
        <v>0</v>
      </c>
      <c r="V811" s="392">
        <f t="shared" si="109"/>
        <v>0.7</v>
      </c>
      <c r="W811" s="392">
        <f t="shared" si="110"/>
        <v>0</v>
      </c>
      <c r="X811" s="392">
        <f t="shared" si="111"/>
        <v>2.4</v>
      </c>
      <c r="Y811" s="392">
        <f t="shared" si="112"/>
        <v>3</v>
      </c>
    </row>
    <row r="812" spans="1:25" s="16" customFormat="1" x14ac:dyDescent="0.2">
      <c r="A812" s="392" t="s">
        <v>1489</v>
      </c>
      <c r="B812" s="2772" t="s">
        <v>1333</v>
      </c>
      <c r="C812" s="392" t="str">
        <f t="shared" si="113"/>
        <v>Tropical WetCentral America</v>
      </c>
      <c r="D812" s="2773">
        <v>4.7</v>
      </c>
      <c r="E812" s="2773">
        <f t="shared" si="77"/>
        <v>4.7</v>
      </c>
      <c r="F812" s="2773">
        <f t="shared" si="77"/>
        <v>4.7</v>
      </c>
      <c r="G812" s="2785">
        <f t="shared" si="114"/>
        <v>7.5670000000000002</v>
      </c>
      <c r="H812" s="2767">
        <v>0</v>
      </c>
      <c r="I812" s="492">
        <f t="shared" si="97"/>
        <v>2.5924999999999998</v>
      </c>
      <c r="J812" s="492">
        <f t="shared" si="98"/>
        <v>2.33</v>
      </c>
      <c r="K812" s="492">
        <f t="shared" si="99"/>
        <v>5.6899999999999995</v>
      </c>
      <c r="L812" s="492">
        <f t="shared" si="100"/>
        <v>0.53</v>
      </c>
      <c r="M812" s="492">
        <f t="shared" si="101"/>
        <v>4.03</v>
      </c>
      <c r="N812" s="492">
        <f t="shared" si="102"/>
        <v>0.79999999999999993</v>
      </c>
      <c r="O812" s="492">
        <f t="shared" si="103"/>
        <v>2.79</v>
      </c>
      <c r="P812" s="492">
        <f t="shared" si="104"/>
        <v>4.5</v>
      </c>
      <c r="Q812" s="471">
        <f t="shared" si="105"/>
        <v>6.9999999999999993E-2</v>
      </c>
      <c r="R812" s="751">
        <v>1</v>
      </c>
      <c r="S812" s="392">
        <f t="shared" si="106"/>
        <v>0</v>
      </c>
      <c r="T812" s="392">
        <f t="shared" si="107"/>
        <v>0</v>
      </c>
      <c r="U812" s="392">
        <f t="shared" si="108"/>
        <v>0</v>
      </c>
      <c r="V812" s="392">
        <f t="shared" si="109"/>
        <v>0.7</v>
      </c>
      <c r="W812" s="392">
        <f t="shared" si="110"/>
        <v>0</v>
      </c>
      <c r="X812" s="392">
        <f t="shared" si="111"/>
        <v>2.4</v>
      </c>
      <c r="Y812" s="392">
        <f t="shared" si="112"/>
        <v>3</v>
      </c>
    </row>
    <row r="813" spans="1:25" s="2781" customFormat="1" x14ac:dyDescent="0.2">
      <c r="A813" s="2775" t="s">
        <v>1489</v>
      </c>
      <c r="B813" s="2776" t="s">
        <v>1547</v>
      </c>
      <c r="C813" s="2775" t="str">
        <f t="shared" si="113"/>
        <v>Tropical WetCaribbean</v>
      </c>
      <c r="D813" s="2777">
        <v>4.7</v>
      </c>
      <c r="E813" s="2777">
        <f t="shared" si="77"/>
        <v>4.7</v>
      </c>
      <c r="F813" s="2777">
        <f t="shared" si="77"/>
        <v>4.7</v>
      </c>
      <c r="G813" s="2785">
        <f t="shared" si="114"/>
        <v>7.5670000000000002</v>
      </c>
      <c r="H813" s="2778">
        <v>0</v>
      </c>
      <c r="I813" s="492">
        <f t="shared" si="97"/>
        <v>2.6224999999999996</v>
      </c>
      <c r="J813" s="2779">
        <f t="shared" si="98"/>
        <v>2.33</v>
      </c>
      <c r="K813" s="2779">
        <f t="shared" si="99"/>
        <v>5.6899999999999995</v>
      </c>
      <c r="L813" s="492">
        <f t="shared" si="100"/>
        <v>0.53</v>
      </c>
      <c r="M813" s="2779">
        <f t="shared" si="101"/>
        <v>4.16</v>
      </c>
      <c r="N813" s="2779">
        <f t="shared" si="102"/>
        <v>0.79999999999999993</v>
      </c>
      <c r="O813" s="2779">
        <f t="shared" si="103"/>
        <v>2.9</v>
      </c>
      <c r="P813" s="492">
        <f t="shared" si="104"/>
        <v>4.5</v>
      </c>
      <c r="Q813" s="471">
        <f t="shared" si="105"/>
        <v>6.9999999999999993E-2</v>
      </c>
      <c r="R813" s="752">
        <v>1</v>
      </c>
      <c r="S813" s="2775">
        <f t="shared" si="106"/>
        <v>0</v>
      </c>
      <c r="T813" s="2775">
        <f t="shared" si="107"/>
        <v>0</v>
      </c>
      <c r="U813" s="2775">
        <f t="shared" si="108"/>
        <v>0</v>
      </c>
      <c r="V813" s="2775">
        <f t="shared" si="109"/>
        <v>0.7</v>
      </c>
      <c r="W813" s="2775">
        <f t="shared" si="110"/>
        <v>0</v>
      </c>
      <c r="X813" s="2775">
        <f t="shared" si="111"/>
        <v>2.4</v>
      </c>
      <c r="Y813" s="2775">
        <f t="shared" si="112"/>
        <v>3</v>
      </c>
    </row>
    <row r="814" spans="1:25" s="2771" customFormat="1" x14ac:dyDescent="0.2">
      <c r="A814" s="2764" t="s">
        <v>1490</v>
      </c>
      <c r="B814" s="2791" t="s">
        <v>1552</v>
      </c>
      <c r="C814" s="2764" t="str">
        <f t="shared" si="113"/>
        <v>Boreal DryEastern Africa</v>
      </c>
      <c r="D814" s="2766">
        <v>4.7</v>
      </c>
      <c r="E814" s="2766">
        <f t="shared" ref="E814:F845" si="115">D814</f>
        <v>4.7</v>
      </c>
      <c r="F814" s="2766">
        <f t="shared" si="115"/>
        <v>4.7</v>
      </c>
      <c r="G814" s="2783">
        <f>8.5*0.47</f>
        <v>3.9949999999999997</v>
      </c>
      <c r="H814" s="2768">
        <v>0</v>
      </c>
      <c r="I814" s="491">
        <f t="shared" ref="I814:I845" si="116">E235+E470</f>
        <v>1.7566666666666668</v>
      </c>
      <c r="J814" s="2792"/>
      <c r="K814" s="2770"/>
      <c r="L814" s="491">
        <f t="shared" ref="L814:L845" si="117">H235+H470</f>
        <v>1.1000000000000001</v>
      </c>
      <c r="M814" s="2792"/>
      <c r="N814" s="2764"/>
      <c r="O814" s="2770"/>
      <c r="P814" s="490">
        <f t="shared" ref="P814:P845" si="118">L235+L470</f>
        <v>1.1400000000000001</v>
      </c>
      <c r="Q814" s="491">
        <f t="shared" ref="Q814:Q845" si="119">M235+M470</f>
        <v>3.0300000000000002</v>
      </c>
      <c r="R814" s="552">
        <v>1</v>
      </c>
      <c r="S814" s="392">
        <f t="shared" ref="S814:S845" si="120">N235+N470</f>
        <v>0.46</v>
      </c>
      <c r="T814" s="392">
        <f t="shared" ref="T814:T845" si="121">O235+O470</f>
        <v>0.43</v>
      </c>
      <c r="U814" s="392">
        <f t="shared" ref="U814:U845" si="122">Q235+Q470</f>
        <v>3.2</v>
      </c>
      <c r="V814" s="392">
        <f t="shared" ref="V814:V845" si="123">T235+T470</f>
        <v>0.7</v>
      </c>
      <c r="W814" s="392">
        <f t="shared" ref="W814:W845" si="124">P235+P470</f>
        <v>0.28000000000000003</v>
      </c>
      <c r="X814" s="392">
        <f t="shared" ref="X814:X845" si="125">R235+R470</f>
        <v>0</v>
      </c>
      <c r="Y814" s="2793">
        <f t="shared" ref="Y814:Y845" si="126">S235+S470</f>
        <v>0</v>
      </c>
    </row>
    <row r="815" spans="1:25" s="16" customFormat="1" x14ac:dyDescent="0.2">
      <c r="A815" s="392" t="s">
        <v>1490</v>
      </c>
      <c r="B815" s="2794" t="s">
        <v>1557</v>
      </c>
      <c r="C815" s="392" t="str">
        <f t="shared" si="113"/>
        <v>Boreal DryCentral Africa</v>
      </c>
      <c r="D815" s="2773">
        <v>4.7</v>
      </c>
      <c r="E815" s="2773">
        <f t="shared" si="115"/>
        <v>4.7</v>
      </c>
      <c r="F815" s="2773">
        <f t="shared" si="115"/>
        <v>4.7</v>
      </c>
      <c r="G815" s="2785">
        <f>8.5*0.47</f>
        <v>3.9949999999999997</v>
      </c>
      <c r="H815" s="2767">
        <v>0</v>
      </c>
      <c r="I815" s="471">
        <f t="shared" si="116"/>
        <v>1.7566666666666668</v>
      </c>
      <c r="J815" s="2793"/>
      <c r="K815" s="2774"/>
      <c r="L815" s="471">
        <f t="shared" si="117"/>
        <v>1.1000000000000001</v>
      </c>
      <c r="M815" s="2793"/>
      <c r="N815" s="392"/>
      <c r="O815" s="2774"/>
      <c r="P815" s="492">
        <f t="shared" si="118"/>
        <v>1.1400000000000001</v>
      </c>
      <c r="Q815" s="471">
        <f t="shared" si="119"/>
        <v>3.0300000000000002</v>
      </c>
      <c r="R815" s="553">
        <v>1</v>
      </c>
      <c r="S815" s="392">
        <f t="shared" si="120"/>
        <v>0.46</v>
      </c>
      <c r="T815" s="392">
        <f t="shared" si="121"/>
        <v>0.43</v>
      </c>
      <c r="U815" s="392">
        <f t="shared" si="122"/>
        <v>3.2</v>
      </c>
      <c r="V815" s="392">
        <f t="shared" si="123"/>
        <v>0.7</v>
      </c>
      <c r="W815" s="392">
        <f t="shared" si="124"/>
        <v>0.28000000000000003</v>
      </c>
      <c r="X815" s="392">
        <f t="shared" si="125"/>
        <v>0</v>
      </c>
      <c r="Y815" s="2793">
        <f t="shared" si="126"/>
        <v>0</v>
      </c>
    </row>
    <row r="816" spans="1:25" s="16" customFormat="1" x14ac:dyDescent="0.2">
      <c r="A816" s="392" t="s">
        <v>1490</v>
      </c>
      <c r="B816" s="2794" t="s">
        <v>1559</v>
      </c>
      <c r="C816" s="392" t="str">
        <f t="shared" si="113"/>
        <v>Boreal DryNorthern Africa</v>
      </c>
      <c r="D816" s="2773">
        <v>4.7</v>
      </c>
      <c r="E816" s="2773">
        <f t="shared" si="115"/>
        <v>4.7</v>
      </c>
      <c r="F816" s="2773">
        <f t="shared" si="115"/>
        <v>4.7</v>
      </c>
      <c r="G816" s="2785">
        <f t="shared" ref="G816:G845" si="127">8.5*0.47</f>
        <v>3.9949999999999997</v>
      </c>
      <c r="H816" s="2767">
        <v>0</v>
      </c>
      <c r="I816" s="471">
        <f t="shared" si="116"/>
        <v>1.7566666666666668</v>
      </c>
      <c r="J816" s="2793"/>
      <c r="K816" s="2774"/>
      <c r="L816" s="471">
        <f t="shared" si="117"/>
        <v>1.1000000000000001</v>
      </c>
      <c r="M816" s="2793"/>
      <c r="N816" s="392"/>
      <c r="O816" s="2774"/>
      <c r="P816" s="492">
        <f t="shared" si="118"/>
        <v>1.1400000000000001</v>
      </c>
      <c r="Q816" s="471">
        <f t="shared" si="119"/>
        <v>3.0300000000000002</v>
      </c>
      <c r="R816" s="553">
        <v>1</v>
      </c>
      <c r="S816" s="392">
        <f t="shared" si="120"/>
        <v>0.46</v>
      </c>
      <c r="T816" s="392">
        <f t="shared" si="121"/>
        <v>0.43</v>
      </c>
      <c r="U816" s="392">
        <f t="shared" si="122"/>
        <v>3.2</v>
      </c>
      <c r="V816" s="392">
        <f t="shared" si="123"/>
        <v>0.7</v>
      </c>
      <c r="W816" s="392">
        <f t="shared" si="124"/>
        <v>0.28000000000000003</v>
      </c>
      <c r="X816" s="392">
        <f t="shared" si="125"/>
        <v>0</v>
      </c>
      <c r="Y816" s="2793">
        <f t="shared" si="126"/>
        <v>0</v>
      </c>
    </row>
    <row r="817" spans="1:25" s="16" customFormat="1" x14ac:dyDescent="0.2">
      <c r="A817" s="392" t="s">
        <v>1490</v>
      </c>
      <c r="B817" s="2794" t="s">
        <v>1565</v>
      </c>
      <c r="C817" s="392" t="str">
        <f t="shared" si="113"/>
        <v>Boreal DrySouthern Africa</v>
      </c>
      <c r="D817" s="2773">
        <v>4.7</v>
      </c>
      <c r="E817" s="2773">
        <f t="shared" si="115"/>
        <v>4.7</v>
      </c>
      <c r="F817" s="2773">
        <f t="shared" si="115"/>
        <v>4.7</v>
      </c>
      <c r="G817" s="2785">
        <f t="shared" si="127"/>
        <v>3.9949999999999997</v>
      </c>
      <c r="H817" s="2767">
        <v>0</v>
      </c>
      <c r="I817" s="471">
        <f t="shared" si="116"/>
        <v>1.7566666666666668</v>
      </c>
      <c r="J817" s="2793"/>
      <c r="K817" s="2774"/>
      <c r="L817" s="471">
        <f t="shared" si="117"/>
        <v>1.1000000000000001</v>
      </c>
      <c r="M817" s="2793"/>
      <c r="N817" s="392"/>
      <c r="O817" s="2774"/>
      <c r="P817" s="492">
        <f t="shared" si="118"/>
        <v>1.1400000000000001</v>
      </c>
      <c r="Q817" s="471">
        <f t="shared" si="119"/>
        <v>3.0300000000000002</v>
      </c>
      <c r="R817" s="553">
        <v>1</v>
      </c>
      <c r="S817" s="392">
        <f t="shared" si="120"/>
        <v>0.46</v>
      </c>
      <c r="T817" s="392">
        <f t="shared" si="121"/>
        <v>0.43</v>
      </c>
      <c r="U817" s="392">
        <f t="shared" si="122"/>
        <v>3.2</v>
      </c>
      <c r="V817" s="392">
        <f t="shared" si="123"/>
        <v>0.7</v>
      </c>
      <c r="W817" s="392">
        <f t="shared" si="124"/>
        <v>0.28000000000000003</v>
      </c>
      <c r="X817" s="392">
        <f t="shared" si="125"/>
        <v>0</v>
      </c>
      <c r="Y817" s="2793">
        <f t="shared" si="126"/>
        <v>0</v>
      </c>
    </row>
    <row r="818" spans="1:25" s="16" customFormat="1" x14ac:dyDescent="0.2">
      <c r="A818" s="392" t="s">
        <v>1490</v>
      </c>
      <c r="B818" s="2794" t="s">
        <v>1569</v>
      </c>
      <c r="C818" s="392" t="str">
        <f t="shared" si="113"/>
        <v>Boreal DryWestern Africa</v>
      </c>
      <c r="D818" s="2773">
        <v>4.7</v>
      </c>
      <c r="E818" s="2773">
        <f t="shared" si="115"/>
        <v>4.7</v>
      </c>
      <c r="F818" s="2773">
        <f t="shared" si="115"/>
        <v>4.7</v>
      </c>
      <c r="G818" s="2785">
        <f t="shared" si="127"/>
        <v>3.9949999999999997</v>
      </c>
      <c r="H818" s="2767">
        <v>0</v>
      </c>
      <c r="I818" s="471">
        <f t="shared" si="116"/>
        <v>1.7566666666666668</v>
      </c>
      <c r="J818" s="2793"/>
      <c r="K818" s="2774"/>
      <c r="L818" s="471">
        <f t="shared" si="117"/>
        <v>1.1000000000000001</v>
      </c>
      <c r="M818" s="2793"/>
      <c r="N818" s="392"/>
      <c r="O818" s="2774"/>
      <c r="P818" s="492">
        <f t="shared" si="118"/>
        <v>1.1400000000000001</v>
      </c>
      <c r="Q818" s="471">
        <f t="shared" si="119"/>
        <v>3.0300000000000002</v>
      </c>
      <c r="R818" s="553">
        <v>1</v>
      </c>
      <c r="S818" s="392">
        <f t="shared" si="120"/>
        <v>0.46</v>
      </c>
      <c r="T818" s="392">
        <f t="shared" si="121"/>
        <v>0.43</v>
      </c>
      <c r="U818" s="392">
        <f t="shared" si="122"/>
        <v>3.2</v>
      </c>
      <c r="V818" s="392">
        <f t="shared" si="123"/>
        <v>0.7</v>
      </c>
      <c r="W818" s="392">
        <f t="shared" si="124"/>
        <v>0.28000000000000003</v>
      </c>
      <c r="X818" s="392">
        <f t="shared" si="125"/>
        <v>0</v>
      </c>
      <c r="Y818" s="2793">
        <f t="shared" si="126"/>
        <v>0</v>
      </c>
    </row>
    <row r="819" spans="1:25" s="16" customFormat="1" x14ac:dyDescent="0.2">
      <c r="A819" s="392" t="s">
        <v>1490</v>
      </c>
      <c r="B819" s="2794" t="s">
        <v>1550</v>
      </c>
      <c r="C819" s="392" t="str">
        <f t="shared" si="113"/>
        <v>Boreal DryCentral Asia</v>
      </c>
      <c r="D819" s="2773">
        <v>4.7</v>
      </c>
      <c r="E819" s="2773">
        <f t="shared" si="115"/>
        <v>4.7</v>
      </c>
      <c r="F819" s="2773">
        <f t="shared" si="115"/>
        <v>4.7</v>
      </c>
      <c r="G819" s="2785">
        <f t="shared" si="127"/>
        <v>3.9949999999999997</v>
      </c>
      <c r="H819" s="2767">
        <v>0</v>
      </c>
      <c r="I819" s="471">
        <f t="shared" si="116"/>
        <v>1.7566666666666668</v>
      </c>
      <c r="J819" s="2793"/>
      <c r="K819" s="2774"/>
      <c r="L819" s="471">
        <f t="shared" si="117"/>
        <v>1.1000000000000001</v>
      </c>
      <c r="M819" s="2793"/>
      <c r="N819" s="392"/>
      <c r="O819" s="2774"/>
      <c r="P819" s="492">
        <f t="shared" si="118"/>
        <v>1.1400000000000001</v>
      </c>
      <c r="Q819" s="471">
        <f t="shared" si="119"/>
        <v>3.0300000000000002</v>
      </c>
      <c r="R819" s="553">
        <v>1</v>
      </c>
      <c r="S819" s="392">
        <f t="shared" si="120"/>
        <v>0.46</v>
      </c>
      <c r="T819" s="392">
        <f t="shared" si="121"/>
        <v>0.43</v>
      </c>
      <c r="U819" s="392">
        <f t="shared" si="122"/>
        <v>3.2</v>
      </c>
      <c r="V819" s="392">
        <f t="shared" si="123"/>
        <v>0.7</v>
      </c>
      <c r="W819" s="392">
        <f t="shared" si="124"/>
        <v>0.28000000000000003</v>
      </c>
      <c r="X819" s="392">
        <f t="shared" si="125"/>
        <v>0</v>
      </c>
      <c r="Y819" s="2793">
        <f t="shared" si="126"/>
        <v>0</v>
      </c>
    </row>
    <row r="820" spans="1:25" s="16" customFormat="1" x14ac:dyDescent="0.2">
      <c r="A820" s="392" t="s">
        <v>1490</v>
      </c>
      <c r="B820" s="2794" t="s">
        <v>1554</v>
      </c>
      <c r="C820" s="392" t="str">
        <f t="shared" si="113"/>
        <v>Boreal DryEastern Asia</v>
      </c>
      <c r="D820" s="2773">
        <v>4.7</v>
      </c>
      <c r="E820" s="2773">
        <f t="shared" si="115"/>
        <v>4.7</v>
      </c>
      <c r="F820" s="2773">
        <f t="shared" si="115"/>
        <v>4.7</v>
      </c>
      <c r="G820" s="2785">
        <f t="shared" si="127"/>
        <v>3.9949999999999997</v>
      </c>
      <c r="H820" s="2767">
        <v>0</v>
      </c>
      <c r="I820" s="471">
        <f t="shared" si="116"/>
        <v>1.7566666666666668</v>
      </c>
      <c r="J820" s="2793"/>
      <c r="K820" s="2774"/>
      <c r="L820" s="471">
        <f t="shared" si="117"/>
        <v>1.1000000000000001</v>
      </c>
      <c r="M820" s="2793"/>
      <c r="N820" s="392"/>
      <c r="O820" s="2774"/>
      <c r="P820" s="492">
        <f t="shared" si="118"/>
        <v>1.1400000000000001</v>
      </c>
      <c r="Q820" s="471">
        <f t="shared" si="119"/>
        <v>3.0300000000000002</v>
      </c>
      <c r="R820" s="553">
        <v>1</v>
      </c>
      <c r="S820" s="392">
        <f t="shared" si="120"/>
        <v>0.46</v>
      </c>
      <c r="T820" s="392">
        <f t="shared" si="121"/>
        <v>0.43</v>
      </c>
      <c r="U820" s="392">
        <f t="shared" si="122"/>
        <v>3.2</v>
      </c>
      <c r="V820" s="392">
        <f t="shared" si="123"/>
        <v>0.7</v>
      </c>
      <c r="W820" s="392">
        <f t="shared" si="124"/>
        <v>0.28000000000000003</v>
      </c>
      <c r="X820" s="392">
        <f t="shared" si="125"/>
        <v>0</v>
      </c>
      <c r="Y820" s="2793">
        <f t="shared" si="126"/>
        <v>0</v>
      </c>
    </row>
    <row r="821" spans="1:25" s="16" customFormat="1" x14ac:dyDescent="0.2">
      <c r="A821" s="392" t="s">
        <v>1490</v>
      </c>
      <c r="B821" s="2794" t="s">
        <v>1563</v>
      </c>
      <c r="C821" s="392" t="str">
        <f t="shared" si="113"/>
        <v>Boreal DrySouth-eastern Asia</v>
      </c>
      <c r="D821" s="2773">
        <v>4.7</v>
      </c>
      <c r="E821" s="2773">
        <f t="shared" si="115"/>
        <v>4.7</v>
      </c>
      <c r="F821" s="2773">
        <f t="shared" si="115"/>
        <v>4.7</v>
      </c>
      <c r="G821" s="2785">
        <f t="shared" si="127"/>
        <v>3.9949999999999997</v>
      </c>
      <c r="H821" s="2767">
        <v>0</v>
      </c>
      <c r="I821" s="471">
        <f t="shared" si="116"/>
        <v>1.7566666666666668</v>
      </c>
      <c r="J821" s="2793"/>
      <c r="K821" s="2774"/>
      <c r="L821" s="471">
        <f t="shared" si="117"/>
        <v>1.1000000000000001</v>
      </c>
      <c r="M821" s="2793"/>
      <c r="N821" s="392"/>
      <c r="O821" s="2774"/>
      <c r="P821" s="492">
        <f t="shared" si="118"/>
        <v>1.1400000000000001</v>
      </c>
      <c r="Q821" s="471">
        <f t="shared" si="119"/>
        <v>3.0300000000000002</v>
      </c>
      <c r="R821" s="553">
        <v>1</v>
      </c>
      <c r="S821" s="392">
        <f t="shared" si="120"/>
        <v>0.46</v>
      </c>
      <c r="T821" s="392">
        <f t="shared" si="121"/>
        <v>0.43</v>
      </c>
      <c r="U821" s="392">
        <f t="shared" si="122"/>
        <v>3.2</v>
      </c>
      <c r="V821" s="392">
        <f t="shared" si="123"/>
        <v>0.7</v>
      </c>
      <c r="W821" s="392">
        <f t="shared" si="124"/>
        <v>0.28000000000000003</v>
      </c>
      <c r="X821" s="392">
        <f t="shared" si="125"/>
        <v>0</v>
      </c>
      <c r="Y821" s="2793">
        <f t="shared" si="126"/>
        <v>0</v>
      </c>
    </row>
    <row r="822" spans="1:25" s="16" customFormat="1" x14ac:dyDescent="0.2">
      <c r="A822" s="392" t="s">
        <v>1490</v>
      </c>
      <c r="B822" s="2794" t="s">
        <v>1567</v>
      </c>
      <c r="C822" s="392" t="str">
        <f t="shared" si="113"/>
        <v>Boreal DrySouthern Asia</v>
      </c>
      <c r="D822" s="2773">
        <v>4.7</v>
      </c>
      <c r="E822" s="2773">
        <f t="shared" si="115"/>
        <v>4.7</v>
      </c>
      <c r="F822" s="2773">
        <f t="shared" si="115"/>
        <v>4.7</v>
      </c>
      <c r="G822" s="2785">
        <f t="shared" si="127"/>
        <v>3.9949999999999997</v>
      </c>
      <c r="H822" s="2767">
        <v>0</v>
      </c>
      <c r="I822" s="471">
        <f t="shared" si="116"/>
        <v>1.7566666666666668</v>
      </c>
      <c r="J822" s="2793"/>
      <c r="K822" s="2774"/>
      <c r="L822" s="471">
        <f t="shared" si="117"/>
        <v>1.1000000000000001</v>
      </c>
      <c r="M822" s="2793"/>
      <c r="N822" s="392"/>
      <c r="O822" s="2774"/>
      <c r="P822" s="492">
        <f t="shared" si="118"/>
        <v>1.1400000000000001</v>
      </c>
      <c r="Q822" s="471">
        <f t="shared" si="119"/>
        <v>3.0300000000000002</v>
      </c>
      <c r="R822" s="553">
        <v>1</v>
      </c>
      <c r="S822" s="392">
        <f t="shared" si="120"/>
        <v>0.46</v>
      </c>
      <c r="T822" s="392">
        <f t="shared" si="121"/>
        <v>0.43</v>
      </c>
      <c r="U822" s="392">
        <f t="shared" si="122"/>
        <v>3.2</v>
      </c>
      <c r="V822" s="392">
        <f t="shared" si="123"/>
        <v>0.7</v>
      </c>
      <c r="W822" s="392">
        <f t="shared" si="124"/>
        <v>0.28000000000000003</v>
      </c>
      <c r="X822" s="392">
        <f t="shared" si="125"/>
        <v>0</v>
      </c>
      <c r="Y822" s="2793">
        <f t="shared" si="126"/>
        <v>0</v>
      </c>
    </row>
    <row r="823" spans="1:25" s="16" customFormat="1" x14ac:dyDescent="0.2">
      <c r="A823" s="392" t="s">
        <v>1490</v>
      </c>
      <c r="B823" s="2794" t="s">
        <v>1571</v>
      </c>
      <c r="C823" s="392" t="str">
        <f t="shared" si="113"/>
        <v>Boreal DryWestern Asia</v>
      </c>
      <c r="D823" s="2773">
        <v>4.7</v>
      </c>
      <c r="E823" s="2773">
        <f t="shared" si="115"/>
        <v>4.7</v>
      </c>
      <c r="F823" s="2773">
        <f t="shared" si="115"/>
        <v>4.7</v>
      </c>
      <c r="G823" s="2785">
        <f t="shared" si="127"/>
        <v>3.9949999999999997</v>
      </c>
      <c r="H823" s="2767">
        <v>0</v>
      </c>
      <c r="I823" s="471">
        <f t="shared" si="116"/>
        <v>1.7566666666666668</v>
      </c>
      <c r="J823" s="2793"/>
      <c r="K823" s="2774"/>
      <c r="L823" s="471">
        <f t="shared" si="117"/>
        <v>1.1000000000000001</v>
      </c>
      <c r="M823" s="2793"/>
      <c r="N823" s="392"/>
      <c r="O823" s="2774"/>
      <c r="P823" s="492">
        <f t="shared" si="118"/>
        <v>1.1400000000000001</v>
      </c>
      <c r="Q823" s="471">
        <f t="shared" si="119"/>
        <v>3.0300000000000002</v>
      </c>
      <c r="R823" s="553">
        <v>1</v>
      </c>
      <c r="S823" s="392">
        <f t="shared" si="120"/>
        <v>0.46</v>
      </c>
      <c r="T823" s="392">
        <f t="shared" si="121"/>
        <v>0.43</v>
      </c>
      <c r="U823" s="392">
        <f t="shared" si="122"/>
        <v>3.2</v>
      </c>
      <c r="V823" s="392">
        <f t="shared" si="123"/>
        <v>0.7</v>
      </c>
      <c r="W823" s="392">
        <f t="shared" si="124"/>
        <v>0.28000000000000003</v>
      </c>
      <c r="X823" s="392">
        <f t="shared" si="125"/>
        <v>0</v>
      </c>
      <c r="Y823" s="2793">
        <f t="shared" si="126"/>
        <v>0</v>
      </c>
    </row>
    <row r="824" spans="1:25" s="16" customFormat="1" x14ac:dyDescent="0.2">
      <c r="A824" s="392" t="s">
        <v>1490</v>
      </c>
      <c r="B824" s="2794" t="s">
        <v>1555</v>
      </c>
      <c r="C824" s="392" t="str">
        <f t="shared" si="113"/>
        <v>Boreal DryEurope</v>
      </c>
      <c r="D824" s="2773">
        <v>4.7</v>
      </c>
      <c r="E824" s="2773">
        <f t="shared" si="115"/>
        <v>4.7</v>
      </c>
      <c r="F824" s="2773">
        <f t="shared" si="115"/>
        <v>4.7</v>
      </c>
      <c r="G824" s="2785">
        <f t="shared" si="127"/>
        <v>3.9949999999999997</v>
      </c>
      <c r="H824" s="2767">
        <v>0</v>
      </c>
      <c r="I824" s="471">
        <f t="shared" si="116"/>
        <v>1.7566666666666668</v>
      </c>
      <c r="J824" s="2793"/>
      <c r="K824" s="2774"/>
      <c r="L824" s="471">
        <f t="shared" si="117"/>
        <v>1.1000000000000001</v>
      </c>
      <c r="M824" s="2793"/>
      <c r="N824" s="392"/>
      <c r="O824" s="2774"/>
      <c r="P824" s="492">
        <f t="shared" si="118"/>
        <v>1.1400000000000001</v>
      </c>
      <c r="Q824" s="471">
        <f t="shared" si="119"/>
        <v>3.0300000000000002</v>
      </c>
      <c r="R824" s="553">
        <v>1</v>
      </c>
      <c r="S824" s="392">
        <f t="shared" si="120"/>
        <v>0.46</v>
      </c>
      <c r="T824" s="392">
        <f t="shared" si="121"/>
        <v>0.43</v>
      </c>
      <c r="U824" s="392">
        <f t="shared" si="122"/>
        <v>3.2</v>
      </c>
      <c r="V824" s="392">
        <f t="shared" si="123"/>
        <v>0.7</v>
      </c>
      <c r="W824" s="392">
        <f t="shared" si="124"/>
        <v>0.28000000000000003</v>
      </c>
      <c r="X824" s="392">
        <f t="shared" si="125"/>
        <v>0</v>
      </c>
      <c r="Y824" s="2793">
        <f t="shared" si="126"/>
        <v>0</v>
      </c>
    </row>
    <row r="825" spans="1:25" s="16" customFormat="1" x14ac:dyDescent="0.2">
      <c r="A825" s="392" t="s">
        <v>1490</v>
      </c>
      <c r="B825" s="2794" t="s">
        <v>1346</v>
      </c>
      <c r="C825" s="392" t="str">
        <f t="shared" si="113"/>
        <v>Boreal DryOceania</v>
      </c>
      <c r="D825" s="2773">
        <v>4.7</v>
      </c>
      <c r="E825" s="2773">
        <f t="shared" si="115"/>
        <v>4.7</v>
      </c>
      <c r="F825" s="2773">
        <f t="shared" si="115"/>
        <v>4.7</v>
      </c>
      <c r="G825" s="2785">
        <f t="shared" si="127"/>
        <v>3.9949999999999997</v>
      </c>
      <c r="H825" s="2767">
        <v>0</v>
      </c>
      <c r="I825" s="471">
        <f t="shared" si="116"/>
        <v>1.7566666666666668</v>
      </c>
      <c r="J825" s="2793"/>
      <c r="K825" s="2774"/>
      <c r="L825" s="471">
        <f t="shared" si="117"/>
        <v>1.1000000000000001</v>
      </c>
      <c r="M825" s="2793"/>
      <c r="N825" s="392"/>
      <c r="O825" s="2774"/>
      <c r="P825" s="492">
        <f t="shared" si="118"/>
        <v>1.1400000000000001</v>
      </c>
      <c r="Q825" s="471">
        <f t="shared" si="119"/>
        <v>3.0300000000000002</v>
      </c>
      <c r="R825" s="553">
        <v>1</v>
      </c>
      <c r="S825" s="392">
        <f t="shared" si="120"/>
        <v>0.46</v>
      </c>
      <c r="T825" s="392">
        <f t="shared" si="121"/>
        <v>0.43</v>
      </c>
      <c r="U825" s="392">
        <f t="shared" si="122"/>
        <v>3.2</v>
      </c>
      <c r="V825" s="392">
        <f t="shared" si="123"/>
        <v>0.7</v>
      </c>
      <c r="W825" s="392">
        <f t="shared" si="124"/>
        <v>0.28000000000000003</v>
      </c>
      <c r="X825" s="392">
        <f t="shared" si="125"/>
        <v>0</v>
      </c>
      <c r="Y825" s="2793">
        <f t="shared" si="126"/>
        <v>0</v>
      </c>
    </row>
    <row r="826" spans="1:25" s="16" customFormat="1" x14ac:dyDescent="0.2">
      <c r="A826" s="392" t="s">
        <v>1490</v>
      </c>
      <c r="B826" s="2794" t="s">
        <v>1343</v>
      </c>
      <c r="C826" s="392" t="str">
        <f t="shared" si="113"/>
        <v>Boreal DryNorth America</v>
      </c>
      <c r="D826" s="2773">
        <v>4.7</v>
      </c>
      <c r="E826" s="2773">
        <f t="shared" si="115"/>
        <v>4.7</v>
      </c>
      <c r="F826" s="2773">
        <f t="shared" si="115"/>
        <v>4.7</v>
      </c>
      <c r="G826" s="2785">
        <f t="shared" si="127"/>
        <v>3.9949999999999997</v>
      </c>
      <c r="H826" s="2767">
        <v>0</v>
      </c>
      <c r="I826" s="471">
        <f t="shared" si="116"/>
        <v>1.7566666666666668</v>
      </c>
      <c r="J826" s="2793"/>
      <c r="K826" s="2774"/>
      <c r="L826" s="471">
        <f t="shared" si="117"/>
        <v>1.1000000000000001</v>
      </c>
      <c r="M826" s="2793"/>
      <c r="N826" s="392"/>
      <c r="O826" s="2774"/>
      <c r="P826" s="492">
        <f t="shared" si="118"/>
        <v>1.1400000000000001</v>
      </c>
      <c r="Q826" s="471">
        <f t="shared" si="119"/>
        <v>3.0300000000000002</v>
      </c>
      <c r="R826" s="553">
        <v>1</v>
      </c>
      <c r="S826" s="392">
        <f t="shared" si="120"/>
        <v>0.46</v>
      </c>
      <c r="T826" s="392">
        <f t="shared" si="121"/>
        <v>0.43</v>
      </c>
      <c r="U826" s="392">
        <f t="shared" si="122"/>
        <v>3.2</v>
      </c>
      <c r="V826" s="392">
        <f t="shared" si="123"/>
        <v>0.7</v>
      </c>
      <c r="W826" s="392">
        <f t="shared" si="124"/>
        <v>0.28000000000000003</v>
      </c>
      <c r="X826" s="392">
        <f t="shared" si="125"/>
        <v>0</v>
      </c>
      <c r="Y826" s="2793">
        <f t="shared" si="126"/>
        <v>0</v>
      </c>
    </row>
    <row r="827" spans="1:25" s="16" customFormat="1" x14ac:dyDescent="0.2">
      <c r="A827" s="392" t="s">
        <v>1490</v>
      </c>
      <c r="B827" s="2794" t="s">
        <v>1349</v>
      </c>
      <c r="C827" s="392" t="str">
        <f t="shared" si="113"/>
        <v>Boreal DrySouth America</v>
      </c>
      <c r="D827" s="2773">
        <v>4.7</v>
      </c>
      <c r="E827" s="2773">
        <f t="shared" si="115"/>
        <v>4.7</v>
      </c>
      <c r="F827" s="2773">
        <f t="shared" si="115"/>
        <v>4.7</v>
      </c>
      <c r="G827" s="2785">
        <f t="shared" si="127"/>
        <v>3.9949999999999997</v>
      </c>
      <c r="H827" s="2767">
        <v>0</v>
      </c>
      <c r="I827" s="471">
        <f t="shared" si="116"/>
        <v>1.7566666666666668</v>
      </c>
      <c r="J827" s="2793"/>
      <c r="K827" s="2774"/>
      <c r="L827" s="471">
        <f t="shared" si="117"/>
        <v>1.1000000000000001</v>
      </c>
      <c r="M827" s="2793"/>
      <c r="N827" s="392"/>
      <c r="O827" s="2774"/>
      <c r="P827" s="492">
        <f t="shared" si="118"/>
        <v>1.1400000000000001</v>
      </c>
      <c r="Q827" s="471">
        <f t="shared" si="119"/>
        <v>3.0300000000000002</v>
      </c>
      <c r="R827" s="553">
        <v>1</v>
      </c>
      <c r="S827" s="392">
        <f t="shared" si="120"/>
        <v>0.46</v>
      </c>
      <c r="T827" s="392">
        <f t="shared" si="121"/>
        <v>0.43</v>
      </c>
      <c r="U827" s="392">
        <f t="shared" si="122"/>
        <v>3.2</v>
      </c>
      <c r="V827" s="392">
        <f t="shared" si="123"/>
        <v>0.7</v>
      </c>
      <c r="W827" s="392">
        <f t="shared" si="124"/>
        <v>0.28000000000000003</v>
      </c>
      <c r="X827" s="392">
        <f t="shared" si="125"/>
        <v>0</v>
      </c>
      <c r="Y827" s="2793">
        <f t="shared" si="126"/>
        <v>0</v>
      </c>
    </row>
    <row r="828" spans="1:25" s="16" customFormat="1" x14ac:dyDescent="0.2">
      <c r="A828" s="392" t="s">
        <v>1490</v>
      </c>
      <c r="B828" s="2794" t="s">
        <v>1333</v>
      </c>
      <c r="C828" s="392" t="str">
        <f t="shared" si="113"/>
        <v>Boreal DryCentral America</v>
      </c>
      <c r="D828" s="2773">
        <v>4.7</v>
      </c>
      <c r="E828" s="2773">
        <f t="shared" si="115"/>
        <v>4.7</v>
      </c>
      <c r="F828" s="2773">
        <f t="shared" si="115"/>
        <v>4.7</v>
      </c>
      <c r="G828" s="2785">
        <f t="shared" si="127"/>
        <v>3.9949999999999997</v>
      </c>
      <c r="H828" s="2767">
        <v>0</v>
      </c>
      <c r="I828" s="471">
        <f t="shared" si="116"/>
        <v>1.7566666666666668</v>
      </c>
      <c r="J828" s="2793"/>
      <c r="K828" s="2774"/>
      <c r="L828" s="471">
        <f t="shared" si="117"/>
        <v>1.1000000000000001</v>
      </c>
      <c r="M828" s="2793"/>
      <c r="N828" s="392"/>
      <c r="O828" s="2774"/>
      <c r="P828" s="492">
        <f t="shared" si="118"/>
        <v>1.1400000000000001</v>
      </c>
      <c r="Q828" s="471">
        <f t="shared" si="119"/>
        <v>3.0300000000000002</v>
      </c>
      <c r="R828" s="553">
        <v>1</v>
      </c>
      <c r="S828" s="392">
        <f t="shared" si="120"/>
        <v>0.46</v>
      </c>
      <c r="T828" s="392">
        <f t="shared" si="121"/>
        <v>0.43</v>
      </c>
      <c r="U828" s="392">
        <f t="shared" si="122"/>
        <v>3.2</v>
      </c>
      <c r="V828" s="392">
        <f t="shared" si="123"/>
        <v>0.7</v>
      </c>
      <c r="W828" s="392">
        <f t="shared" si="124"/>
        <v>0.28000000000000003</v>
      </c>
      <c r="X828" s="392">
        <f t="shared" si="125"/>
        <v>0</v>
      </c>
      <c r="Y828" s="2793">
        <f t="shared" si="126"/>
        <v>0</v>
      </c>
    </row>
    <row r="829" spans="1:25" s="2781" customFormat="1" x14ac:dyDescent="0.2">
      <c r="A829" s="2775" t="s">
        <v>1490</v>
      </c>
      <c r="B829" s="2795" t="s">
        <v>1547</v>
      </c>
      <c r="C829" s="2775" t="str">
        <f t="shared" si="113"/>
        <v>Boreal DryCaribbean</v>
      </c>
      <c r="D829" s="2777">
        <v>4.7</v>
      </c>
      <c r="E829" s="2777">
        <f t="shared" si="115"/>
        <v>4.7</v>
      </c>
      <c r="F829" s="2777">
        <f t="shared" si="115"/>
        <v>4.7</v>
      </c>
      <c r="G829" s="2787">
        <f t="shared" si="127"/>
        <v>3.9949999999999997</v>
      </c>
      <c r="H829" s="2778">
        <v>0</v>
      </c>
      <c r="I829" s="536">
        <f t="shared" si="116"/>
        <v>1.7566666666666668</v>
      </c>
      <c r="J829" s="2796"/>
      <c r="K829" s="2780"/>
      <c r="L829" s="536">
        <f t="shared" si="117"/>
        <v>1.1000000000000001</v>
      </c>
      <c r="M829" s="2796"/>
      <c r="N829" s="2775"/>
      <c r="O829" s="2780"/>
      <c r="P829" s="2779">
        <f t="shared" si="118"/>
        <v>1.1400000000000001</v>
      </c>
      <c r="Q829" s="536">
        <f t="shared" si="119"/>
        <v>3.0300000000000002</v>
      </c>
      <c r="R829" s="554">
        <v>1</v>
      </c>
      <c r="S829" s="392">
        <f t="shared" si="120"/>
        <v>0.46</v>
      </c>
      <c r="T829" s="392">
        <f t="shared" si="121"/>
        <v>0.43</v>
      </c>
      <c r="U829" s="392">
        <f t="shared" si="122"/>
        <v>3.2</v>
      </c>
      <c r="V829" s="392">
        <f t="shared" si="123"/>
        <v>0.7</v>
      </c>
      <c r="W829" s="392">
        <f t="shared" si="124"/>
        <v>0.28000000000000003</v>
      </c>
      <c r="X829" s="392">
        <f t="shared" si="125"/>
        <v>0</v>
      </c>
      <c r="Y829" s="2793">
        <f t="shared" si="126"/>
        <v>0</v>
      </c>
    </row>
    <row r="830" spans="1:25" s="2771" customFormat="1" x14ac:dyDescent="0.2">
      <c r="A830" s="2764" t="s">
        <v>1491</v>
      </c>
      <c r="B830" s="2791" t="s">
        <v>1552</v>
      </c>
      <c r="C830" s="2764" t="str">
        <f t="shared" si="113"/>
        <v>Boreal MoistEastern Africa</v>
      </c>
      <c r="D830" s="2766">
        <v>4.7</v>
      </c>
      <c r="E830" s="2766">
        <f t="shared" si="115"/>
        <v>4.7</v>
      </c>
      <c r="F830" s="2766">
        <f t="shared" si="115"/>
        <v>4.7</v>
      </c>
      <c r="G830" s="2783">
        <f t="shared" si="127"/>
        <v>3.9949999999999997</v>
      </c>
      <c r="H830" s="2768">
        <v>0</v>
      </c>
      <c r="I830" s="491">
        <f t="shared" si="116"/>
        <v>1.7566666666666668</v>
      </c>
      <c r="J830" s="2792"/>
      <c r="K830" s="2770"/>
      <c r="L830" s="491">
        <f t="shared" si="117"/>
        <v>1.1000000000000001</v>
      </c>
      <c r="M830" s="2792"/>
      <c r="N830" s="2764"/>
      <c r="O830" s="2770"/>
      <c r="P830" s="490">
        <f t="shared" si="118"/>
        <v>1.1400000000000001</v>
      </c>
      <c r="Q830" s="491">
        <f t="shared" si="119"/>
        <v>3.0300000000000002</v>
      </c>
      <c r="R830" s="750">
        <v>1</v>
      </c>
      <c r="S830" s="2770">
        <f t="shared" si="120"/>
        <v>0.46</v>
      </c>
      <c r="T830" s="2770">
        <f t="shared" si="121"/>
        <v>0.43</v>
      </c>
      <c r="U830" s="2770">
        <f t="shared" si="122"/>
        <v>3.2</v>
      </c>
      <c r="V830" s="2770">
        <f t="shared" si="123"/>
        <v>0.7</v>
      </c>
      <c r="W830" s="2770">
        <f t="shared" si="124"/>
        <v>0.28000000000000003</v>
      </c>
      <c r="X830" s="2770">
        <f t="shared" si="125"/>
        <v>0</v>
      </c>
      <c r="Y830" s="2764">
        <f t="shared" si="126"/>
        <v>0</v>
      </c>
    </row>
    <row r="831" spans="1:25" s="16" customFormat="1" x14ac:dyDescent="0.2">
      <c r="A831" s="392" t="s">
        <v>1491</v>
      </c>
      <c r="B831" s="2794" t="s">
        <v>1557</v>
      </c>
      <c r="C831" s="392" t="str">
        <f t="shared" si="113"/>
        <v>Boreal MoistCentral Africa</v>
      </c>
      <c r="D831" s="2773">
        <v>4.7</v>
      </c>
      <c r="E831" s="2773">
        <f t="shared" si="115"/>
        <v>4.7</v>
      </c>
      <c r="F831" s="2773">
        <f t="shared" si="115"/>
        <v>4.7</v>
      </c>
      <c r="G831" s="2785">
        <f t="shared" si="127"/>
        <v>3.9949999999999997</v>
      </c>
      <c r="H831" s="2767">
        <v>0</v>
      </c>
      <c r="I831" s="471">
        <f t="shared" si="116"/>
        <v>1.7566666666666668</v>
      </c>
      <c r="J831" s="2793"/>
      <c r="K831" s="2774"/>
      <c r="L831" s="471">
        <f t="shared" si="117"/>
        <v>1.1000000000000001</v>
      </c>
      <c r="M831" s="2793"/>
      <c r="N831" s="392"/>
      <c r="O831" s="2774"/>
      <c r="P831" s="492">
        <f t="shared" si="118"/>
        <v>1.1400000000000001</v>
      </c>
      <c r="Q831" s="471">
        <f t="shared" si="119"/>
        <v>3.0300000000000002</v>
      </c>
      <c r="R831" s="751">
        <v>1</v>
      </c>
      <c r="S831" s="2774">
        <f t="shared" si="120"/>
        <v>0.46</v>
      </c>
      <c r="T831" s="2774">
        <f t="shared" si="121"/>
        <v>0.43</v>
      </c>
      <c r="U831" s="2774">
        <f t="shared" si="122"/>
        <v>3.2</v>
      </c>
      <c r="V831" s="2774">
        <f t="shared" si="123"/>
        <v>0.7</v>
      </c>
      <c r="W831" s="2774">
        <f t="shared" si="124"/>
        <v>0.28000000000000003</v>
      </c>
      <c r="X831" s="2774">
        <f t="shared" si="125"/>
        <v>0</v>
      </c>
      <c r="Y831" s="392">
        <f t="shared" si="126"/>
        <v>0</v>
      </c>
    </row>
    <row r="832" spans="1:25" s="16" customFormat="1" x14ac:dyDescent="0.2">
      <c r="A832" s="392" t="s">
        <v>1491</v>
      </c>
      <c r="B832" s="2794" t="s">
        <v>1559</v>
      </c>
      <c r="C832" s="392" t="str">
        <f t="shared" si="113"/>
        <v>Boreal MoistNorthern Africa</v>
      </c>
      <c r="D832" s="2773">
        <v>4.7</v>
      </c>
      <c r="E832" s="2773">
        <f t="shared" si="115"/>
        <v>4.7</v>
      </c>
      <c r="F832" s="2773">
        <f t="shared" si="115"/>
        <v>4.7</v>
      </c>
      <c r="G832" s="2785">
        <f t="shared" si="127"/>
        <v>3.9949999999999997</v>
      </c>
      <c r="H832" s="2767">
        <v>0</v>
      </c>
      <c r="I832" s="471">
        <f t="shared" si="116"/>
        <v>1.7566666666666668</v>
      </c>
      <c r="J832" s="2793"/>
      <c r="K832" s="2774"/>
      <c r="L832" s="471">
        <f t="shared" si="117"/>
        <v>1.1000000000000001</v>
      </c>
      <c r="M832" s="2793"/>
      <c r="N832" s="392"/>
      <c r="O832" s="2774"/>
      <c r="P832" s="492">
        <f t="shared" si="118"/>
        <v>1.1400000000000001</v>
      </c>
      <c r="Q832" s="471">
        <f t="shared" si="119"/>
        <v>3.0300000000000002</v>
      </c>
      <c r="R832" s="751">
        <v>1</v>
      </c>
      <c r="S832" s="2774">
        <f t="shared" si="120"/>
        <v>0.46</v>
      </c>
      <c r="T832" s="2774">
        <f t="shared" si="121"/>
        <v>0.43</v>
      </c>
      <c r="U832" s="2774">
        <f t="shared" si="122"/>
        <v>3.2</v>
      </c>
      <c r="V832" s="2774">
        <f t="shared" si="123"/>
        <v>0.7</v>
      </c>
      <c r="W832" s="2774">
        <f t="shared" si="124"/>
        <v>0.28000000000000003</v>
      </c>
      <c r="X832" s="2774">
        <f t="shared" si="125"/>
        <v>0</v>
      </c>
      <c r="Y832" s="392">
        <f t="shared" si="126"/>
        <v>0</v>
      </c>
    </row>
    <row r="833" spans="1:25" s="16" customFormat="1" x14ac:dyDescent="0.2">
      <c r="A833" s="392" t="s">
        <v>1491</v>
      </c>
      <c r="B833" s="2794" t="s">
        <v>1565</v>
      </c>
      <c r="C833" s="392" t="str">
        <f t="shared" si="113"/>
        <v>Boreal MoistSouthern Africa</v>
      </c>
      <c r="D833" s="2773">
        <v>4.7</v>
      </c>
      <c r="E833" s="2773">
        <f t="shared" si="115"/>
        <v>4.7</v>
      </c>
      <c r="F833" s="2773">
        <f t="shared" si="115"/>
        <v>4.7</v>
      </c>
      <c r="G833" s="2785">
        <f t="shared" si="127"/>
        <v>3.9949999999999997</v>
      </c>
      <c r="H833" s="2767">
        <v>0</v>
      </c>
      <c r="I833" s="471">
        <f t="shared" si="116"/>
        <v>1.7566666666666668</v>
      </c>
      <c r="J833" s="2793"/>
      <c r="K833" s="2774"/>
      <c r="L833" s="471">
        <f t="shared" si="117"/>
        <v>1.1000000000000001</v>
      </c>
      <c r="M833" s="2793"/>
      <c r="N833" s="392"/>
      <c r="O833" s="2774"/>
      <c r="P833" s="492">
        <f t="shared" si="118"/>
        <v>1.1400000000000001</v>
      </c>
      <c r="Q833" s="471">
        <f t="shared" si="119"/>
        <v>3.0300000000000002</v>
      </c>
      <c r="R833" s="751">
        <v>1</v>
      </c>
      <c r="S833" s="2774">
        <f t="shared" si="120"/>
        <v>0.46</v>
      </c>
      <c r="T833" s="2774">
        <f t="shared" si="121"/>
        <v>0.43</v>
      </c>
      <c r="U833" s="2774">
        <f t="shared" si="122"/>
        <v>3.2</v>
      </c>
      <c r="V833" s="2774">
        <f t="shared" si="123"/>
        <v>0.7</v>
      </c>
      <c r="W833" s="2774">
        <f t="shared" si="124"/>
        <v>0.28000000000000003</v>
      </c>
      <c r="X833" s="2774">
        <f t="shared" si="125"/>
        <v>0</v>
      </c>
      <c r="Y833" s="392">
        <f t="shared" si="126"/>
        <v>0</v>
      </c>
    </row>
    <row r="834" spans="1:25" s="16" customFormat="1" x14ac:dyDescent="0.2">
      <c r="A834" s="392" t="s">
        <v>1491</v>
      </c>
      <c r="B834" s="2794" t="s">
        <v>1569</v>
      </c>
      <c r="C834" s="392" t="str">
        <f t="shared" si="113"/>
        <v>Boreal MoistWestern Africa</v>
      </c>
      <c r="D834" s="2773">
        <v>4.7</v>
      </c>
      <c r="E834" s="2773">
        <f t="shared" si="115"/>
        <v>4.7</v>
      </c>
      <c r="F834" s="2773">
        <f t="shared" si="115"/>
        <v>4.7</v>
      </c>
      <c r="G834" s="2785">
        <f t="shared" si="127"/>
        <v>3.9949999999999997</v>
      </c>
      <c r="H834" s="2767">
        <v>0</v>
      </c>
      <c r="I834" s="471">
        <f t="shared" si="116"/>
        <v>1.7566666666666668</v>
      </c>
      <c r="J834" s="2793"/>
      <c r="K834" s="2774"/>
      <c r="L834" s="471">
        <f t="shared" si="117"/>
        <v>1.1000000000000001</v>
      </c>
      <c r="M834" s="2793"/>
      <c r="N834" s="392"/>
      <c r="O834" s="2774"/>
      <c r="P834" s="492">
        <f t="shared" si="118"/>
        <v>1.1400000000000001</v>
      </c>
      <c r="Q834" s="471">
        <f t="shared" si="119"/>
        <v>3.0300000000000002</v>
      </c>
      <c r="R834" s="751">
        <v>1</v>
      </c>
      <c r="S834" s="2774">
        <f t="shared" si="120"/>
        <v>0.46</v>
      </c>
      <c r="T834" s="2774">
        <f t="shared" si="121"/>
        <v>0.43</v>
      </c>
      <c r="U834" s="2774">
        <f t="shared" si="122"/>
        <v>3.2</v>
      </c>
      <c r="V834" s="2774">
        <f t="shared" si="123"/>
        <v>0.7</v>
      </c>
      <c r="W834" s="2774">
        <f t="shared" si="124"/>
        <v>0.28000000000000003</v>
      </c>
      <c r="X834" s="2774">
        <f t="shared" si="125"/>
        <v>0</v>
      </c>
      <c r="Y834" s="392">
        <f t="shared" si="126"/>
        <v>0</v>
      </c>
    </row>
    <row r="835" spans="1:25" s="16" customFormat="1" x14ac:dyDescent="0.2">
      <c r="A835" s="392" t="s">
        <v>1491</v>
      </c>
      <c r="B835" s="2794" t="s">
        <v>1550</v>
      </c>
      <c r="C835" s="392" t="str">
        <f t="shared" si="113"/>
        <v>Boreal MoistCentral Asia</v>
      </c>
      <c r="D835" s="2773">
        <v>4.7</v>
      </c>
      <c r="E835" s="2773">
        <f t="shared" si="115"/>
        <v>4.7</v>
      </c>
      <c r="F835" s="2773">
        <f t="shared" si="115"/>
        <v>4.7</v>
      </c>
      <c r="G835" s="2785">
        <f t="shared" si="127"/>
        <v>3.9949999999999997</v>
      </c>
      <c r="H835" s="2767">
        <v>0</v>
      </c>
      <c r="I835" s="471">
        <f t="shared" si="116"/>
        <v>1.7566666666666668</v>
      </c>
      <c r="J835" s="2793"/>
      <c r="K835" s="2774"/>
      <c r="L835" s="471">
        <f t="shared" si="117"/>
        <v>1.1000000000000001</v>
      </c>
      <c r="M835" s="2793"/>
      <c r="N835" s="392"/>
      <c r="O835" s="2774"/>
      <c r="P835" s="492">
        <f t="shared" si="118"/>
        <v>1.1400000000000001</v>
      </c>
      <c r="Q835" s="471">
        <f t="shared" si="119"/>
        <v>3.0300000000000002</v>
      </c>
      <c r="R835" s="751">
        <v>1</v>
      </c>
      <c r="S835" s="2774">
        <f t="shared" si="120"/>
        <v>0.46</v>
      </c>
      <c r="T835" s="2774">
        <f t="shared" si="121"/>
        <v>0.43</v>
      </c>
      <c r="U835" s="2774">
        <f t="shared" si="122"/>
        <v>3.2</v>
      </c>
      <c r="V835" s="2774">
        <f t="shared" si="123"/>
        <v>0.7</v>
      </c>
      <c r="W835" s="2774">
        <f t="shared" si="124"/>
        <v>0.28000000000000003</v>
      </c>
      <c r="X835" s="2774">
        <f t="shared" si="125"/>
        <v>0</v>
      </c>
      <c r="Y835" s="392">
        <f t="shared" si="126"/>
        <v>0</v>
      </c>
    </row>
    <row r="836" spans="1:25" s="16" customFormat="1" x14ac:dyDescent="0.2">
      <c r="A836" s="392" t="s">
        <v>1491</v>
      </c>
      <c r="B836" s="2794" t="s">
        <v>1554</v>
      </c>
      <c r="C836" s="392" t="str">
        <f t="shared" si="113"/>
        <v>Boreal MoistEastern Asia</v>
      </c>
      <c r="D836" s="2773">
        <v>4.7</v>
      </c>
      <c r="E836" s="2773">
        <f t="shared" si="115"/>
        <v>4.7</v>
      </c>
      <c r="F836" s="2773">
        <f t="shared" si="115"/>
        <v>4.7</v>
      </c>
      <c r="G836" s="2785">
        <f t="shared" si="127"/>
        <v>3.9949999999999997</v>
      </c>
      <c r="H836" s="2767">
        <v>0</v>
      </c>
      <c r="I836" s="471">
        <f t="shared" si="116"/>
        <v>1.7566666666666668</v>
      </c>
      <c r="J836" s="2793"/>
      <c r="K836" s="2774"/>
      <c r="L836" s="471">
        <f t="shared" si="117"/>
        <v>1.1000000000000001</v>
      </c>
      <c r="M836" s="2793"/>
      <c r="N836" s="392"/>
      <c r="O836" s="2774"/>
      <c r="P836" s="492">
        <f t="shared" si="118"/>
        <v>1.1400000000000001</v>
      </c>
      <c r="Q836" s="471">
        <f t="shared" si="119"/>
        <v>3.0300000000000002</v>
      </c>
      <c r="R836" s="751">
        <v>1</v>
      </c>
      <c r="S836" s="2774">
        <f t="shared" si="120"/>
        <v>0.46</v>
      </c>
      <c r="T836" s="2774">
        <f t="shared" si="121"/>
        <v>0.43</v>
      </c>
      <c r="U836" s="2774">
        <f t="shared" si="122"/>
        <v>3.2</v>
      </c>
      <c r="V836" s="2774">
        <f t="shared" si="123"/>
        <v>0.7</v>
      </c>
      <c r="W836" s="2774">
        <f t="shared" si="124"/>
        <v>0.28000000000000003</v>
      </c>
      <c r="X836" s="2774">
        <f t="shared" si="125"/>
        <v>0</v>
      </c>
      <c r="Y836" s="392">
        <f t="shared" si="126"/>
        <v>0</v>
      </c>
    </row>
    <row r="837" spans="1:25" s="16" customFormat="1" x14ac:dyDescent="0.2">
      <c r="A837" s="392" t="s">
        <v>1491</v>
      </c>
      <c r="B837" s="2794" t="s">
        <v>1563</v>
      </c>
      <c r="C837" s="392" t="str">
        <f t="shared" si="113"/>
        <v>Boreal MoistSouth-eastern Asia</v>
      </c>
      <c r="D837" s="2773">
        <v>4.7</v>
      </c>
      <c r="E837" s="2773">
        <f t="shared" si="115"/>
        <v>4.7</v>
      </c>
      <c r="F837" s="2773">
        <f t="shared" si="115"/>
        <v>4.7</v>
      </c>
      <c r="G837" s="2785">
        <f t="shared" si="127"/>
        <v>3.9949999999999997</v>
      </c>
      <c r="H837" s="2767">
        <v>0</v>
      </c>
      <c r="I837" s="471">
        <f t="shared" si="116"/>
        <v>1.7566666666666668</v>
      </c>
      <c r="J837" s="2793"/>
      <c r="K837" s="2774"/>
      <c r="L837" s="471">
        <f t="shared" si="117"/>
        <v>1.1000000000000001</v>
      </c>
      <c r="M837" s="2793"/>
      <c r="N837" s="392"/>
      <c r="O837" s="2774"/>
      <c r="P837" s="492">
        <f t="shared" si="118"/>
        <v>1.1400000000000001</v>
      </c>
      <c r="Q837" s="471">
        <f t="shared" si="119"/>
        <v>3.0300000000000002</v>
      </c>
      <c r="R837" s="751">
        <v>1</v>
      </c>
      <c r="S837" s="2774">
        <f t="shared" si="120"/>
        <v>0.46</v>
      </c>
      <c r="T837" s="2774">
        <f t="shared" si="121"/>
        <v>0.43</v>
      </c>
      <c r="U837" s="2774">
        <f t="shared" si="122"/>
        <v>3.2</v>
      </c>
      <c r="V837" s="2774">
        <f t="shared" si="123"/>
        <v>0.7</v>
      </c>
      <c r="W837" s="2774">
        <f t="shared" si="124"/>
        <v>0.28000000000000003</v>
      </c>
      <c r="X837" s="2774">
        <f t="shared" si="125"/>
        <v>0</v>
      </c>
      <c r="Y837" s="392">
        <f t="shared" si="126"/>
        <v>0</v>
      </c>
    </row>
    <row r="838" spans="1:25" s="16" customFormat="1" x14ac:dyDescent="0.2">
      <c r="A838" s="392" t="s">
        <v>1491</v>
      </c>
      <c r="B838" s="2794" t="s">
        <v>1567</v>
      </c>
      <c r="C838" s="392" t="str">
        <f t="shared" si="113"/>
        <v>Boreal MoistSouthern Asia</v>
      </c>
      <c r="D838" s="2773">
        <v>4.7</v>
      </c>
      <c r="E838" s="2773">
        <f t="shared" si="115"/>
        <v>4.7</v>
      </c>
      <c r="F838" s="2773">
        <f t="shared" si="115"/>
        <v>4.7</v>
      </c>
      <c r="G838" s="2785">
        <f t="shared" si="127"/>
        <v>3.9949999999999997</v>
      </c>
      <c r="H838" s="2767">
        <v>0</v>
      </c>
      <c r="I838" s="471">
        <f t="shared" si="116"/>
        <v>1.7566666666666668</v>
      </c>
      <c r="J838" s="2793"/>
      <c r="K838" s="2774"/>
      <c r="L838" s="471">
        <f t="shared" si="117"/>
        <v>1.1000000000000001</v>
      </c>
      <c r="M838" s="2793"/>
      <c r="N838" s="392"/>
      <c r="O838" s="2774"/>
      <c r="P838" s="492">
        <f t="shared" si="118"/>
        <v>1.1400000000000001</v>
      </c>
      <c r="Q838" s="471">
        <f t="shared" si="119"/>
        <v>3.0300000000000002</v>
      </c>
      <c r="R838" s="751">
        <v>1</v>
      </c>
      <c r="S838" s="2774">
        <f t="shared" si="120"/>
        <v>0.46</v>
      </c>
      <c r="T838" s="2774">
        <f t="shared" si="121"/>
        <v>0.43</v>
      </c>
      <c r="U838" s="2774">
        <f t="shared" si="122"/>
        <v>3.2</v>
      </c>
      <c r="V838" s="2774">
        <f t="shared" si="123"/>
        <v>0.7</v>
      </c>
      <c r="W838" s="2774">
        <f t="shared" si="124"/>
        <v>0.28000000000000003</v>
      </c>
      <c r="X838" s="2774">
        <f t="shared" si="125"/>
        <v>0</v>
      </c>
      <c r="Y838" s="392">
        <f t="shared" si="126"/>
        <v>0</v>
      </c>
    </row>
    <row r="839" spans="1:25" s="16" customFormat="1" x14ac:dyDescent="0.2">
      <c r="A839" s="392" t="s">
        <v>1491</v>
      </c>
      <c r="B839" s="2794" t="s">
        <v>1571</v>
      </c>
      <c r="C839" s="392" t="str">
        <f t="shared" si="113"/>
        <v>Boreal MoistWestern Asia</v>
      </c>
      <c r="D839" s="2773">
        <v>4.7</v>
      </c>
      <c r="E839" s="2773">
        <f t="shared" si="115"/>
        <v>4.7</v>
      </c>
      <c r="F839" s="2773">
        <f t="shared" si="115"/>
        <v>4.7</v>
      </c>
      <c r="G839" s="2785">
        <f t="shared" si="127"/>
        <v>3.9949999999999997</v>
      </c>
      <c r="H839" s="2767">
        <v>0</v>
      </c>
      <c r="I839" s="471">
        <f t="shared" si="116"/>
        <v>1.7566666666666668</v>
      </c>
      <c r="J839" s="2793"/>
      <c r="K839" s="2774"/>
      <c r="L839" s="471">
        <f t="shared" si="117"/>
        <v>1.1000000000000001</v>
      </c>
      <c r="M839" s="2793"/>
      <c r="N839" s="392"/>
      <c r="O839" s="2774"/>
      <c r="P839" s="492">
        <f t="shared" si="118"/>
        <v>1.1400000000000001</v>
      </c>
      <c r="Q839" s="471">
        <f t="shared" si="119"/>
        <v>3.0300000000000002</v>
      </c>
      <c r="R839" s="751">
        <v>1</v>
      </c>
      <c r="S839" s="2774">
        <f t="shared" si="120"/>
        <v>0.46</v>
      </c>
      <c r="T839" s="2774">
        <f t="shared" si="121"/>
        <v>0.43</v>
      </c>
      <c r="U839" s="2774">
        <f t="shared" si="122"/>
        <v>3.2</v>
      </c>
      <c r="V839" s="2774">
        <f t="shared" si="123"/>
        <v>0.7</v>
      </c>
      <c r="W839" s="2774">
        <f t="shared" si="124"/>
        <v>0.28000000000000003</v>
      </c>
      <c r="X839" s="2774">
        <f t="shared" si="125"/>
        <v>0</v>
      </c>
      <c r="Y839" s="392">
        <f t="shared" si="126"/>
        <v>0</v>
      </c>
    </row>
    <row r="840" spans="1:25" s="16" customFormat="1" x14ac:dyDescent="0.2">
      <c r="A840" s="392" t="s">
        <v>1491</v>
      </c>
      <c r="B840" s="2794" t="s">
        <v>1555</v>
      </c>
      <c r="C840" s="392" t="str">
        <f t="shared" si="113"/>
        <v>Boreal MoistEurope</v>
      </c>
      <c r="D840" s="2773">
        <v>4.7</v>
      </c>
      <c r="E840" s="2773">
        <f t="shared" si="115"/>
        <v>4.7</v>
      </c>
      <c r="F840" s="2773">
        <f t="shared" si="115"/>
        <v>4.7</v>
      </c>
      <c r="G840" s="2785">
        <f t="shared" si="127"/>
        <v>3.9949999999999997</v>
      </c>
      <c r="H840" s="2767">
        <v>0</v>
      </c>
      <c r="I840" s="471">
        <f t="shared" si="116"/>
        <v>1.7566666666666668</v>
      </c>
      <c r="J840" s="2793"/>
      <c r="K840" s="2774"/>
      <c r="L840" s="471">
        <f t="shared" si="117"/>
        <v>1.1000000000000001</v>
      </c>
      <c r="M840" s="2793"/>
      <c r="N840" s="392"/>
      <c r="O840" s="2774"/>
      <c r="P840" s="492">
        <f t="shared" si="118"/>
        <v>1.1400000000000001</v>
      </c>
      <c r="Q840" s="471">
        <f t="shared" si="119"/>
        <v>3.0300000000000002</v>
      </c>
      <c r="R840" s="751">
        <v>1</v>
      </c>
      <c r="S840" s="2774">
        <f t="shared" si="120"/>
        <v>0.46</v>
      </c>
      <c r="T840" s="2774">
        <f t="shared" si="121"/>
        <v>0.43</v>
      </c>
      <c r="U840" s="2774">
        <f t="shared" si="122"/>
        <v>3.2</v>
      </c>
      <c r="V840" s="2774">
        <f t="shared" si="123"/>
        <v>0.7</v>
      </c>
      <c r="W840" s="2774">
        <f t="shared" si="124"/>
        <v>0.28000000000000003</v>
      </c>
      <c r="X840" s="2774">
        <f t="shared" si="125"/>
        <v>0</v>
      </c>
      <c r="Y840" s="392">
        <f t="shared" si="126"/>
        <v>0</v>
      </c>
    </row>
    <row r="841" spans="1:25" s="16" customFormat="1" x14ac:dyDescent="0.2">
      <c r="A841" s="392" t="s">
        <v>1491</v>
      </c>
      <c r="B841" s="2794" t="s">
        <v>1346</v>
      </c>
      <c r="C841" s="392" t="str">
        <f t="shared" si="113"/>
        <v>Boreal MoistOceania</v>
      </c>
      <c r="D841" s="2773">
        <v>4.7</v>
      </c>
      <c r="E841" s="2773">
        <f t="shared" si="115"/>
        <v>4.7</v>
      </c>
      <c r="F841" s="2773">
        <f t="shared" si="115"/>
        <v>4.7</v>
      </c>
      <c r="G841" s="2785">
        <f t="shared" si="127"/>
        <v>3.9949999999999997</v>
      </c>
      <c r="H841" s="2767">
        <v>0</v>
      </c>
      <c r="I841" s="471">
        <f t="shared" si="116"/>
        <v>1.7566666666666668</v>
      </c>
      <c r="J841" s="2793"/>
      <c r="K841" s="2774"/>
      <c r="L841" s="471">
        <f t="shared" si="117"/>
        <v>1.1000000000000001</v>
      </c>
      <c r="M841" s="2793"/>
      <c r="N841" s="392"/>
      <c r="O841" s="2774"/>
      <c r="P841" s="492">
        <f t="shared" si="118"/>
        <v>1.1400000000000001</v>
      </c>
      <c r="Q841" s="471">
        <f t="shared" si="119"/>
        <v>3.0300000000000002</v>
      </c>
      <c r="R841" s="751">
        <v>1</v>
      </c>
      <c r="S841" s="2774">
        <f t="shared" si="120"/>
        <v>0.46</v>
      </c>
      <c r="T841" s="2774">
        <f t="shared" si="121"/>
        <v>0.43</v>
      </c>
      <c r="U841" s="2774">
        <f t="shared" si="122"/>
        <v>3.2</v>
      </c>
      <c r="V841" s="2774">
        <f t="shared" si="123"/>
        <v>0.7</v>
      </c>
      <c r="W841" s="2774">
        <f t="shared" si="124"/>
        <v>0.28000000000000003</v>
      </c>
      <c r="X841" s="2774">
        <f t="shared" si="125"/>
        <v>0</v>
      </c>
      <c r="Y841" s="392">
        <f t="shared" si="126"/>
        <v>0</v>
      </c>
    </row>
    <row r="842" spans="1:25" s="16" customFormat="1" x14ac:dyDescent="0.2">
      <c r="A842" s="392" t="s">
        <v>1491</v>
      </c>
      <c r="B842" s="2794" t="s">
        <v>1343</v>
      </c>
      <c r="C842" s="392" t="str">
        <f t="shared" si="113"/>
        <v>Boreal MoistNorth America</v>
      </c>
      <c r="D842" s="2773">
        <v>4.7</v>
      </c>
      <c r="E842" s="2773">
        <f t="shared" si="115"/>
        <v>4.7</v>
      </c>
      <c r="F842" s="2773">
        <f t="shared" si="115"/>
        <v>4.7</v>
      </c>
      <c r="G842" s="2785">
        <f t="shared" si="127"/>
        <v>3.9949999999999997</v>
      </c>
      <c r="H842" s="2767">
        <v>0</v>
      </c>
      <c r="I842" s="471">
        <f t="shared" si="116"/>
        <v>1.7566666666666668</v>
      </c>
      <c r="J842" s="2793"/>
      <c r="K842" s="2774"/>
      <c r="L842" s="471">
        <f t="shared" si="117"/>
        <v>1.1000000000000001</v>
      </c>
      <c r="M842" s="2793"/>
      <c r="N842" s="392"/>
      <c r="O842" s="2774"/>
      <c r="P842" s="492">
        <f t="shared" si="118"/>
        <v>1.1400000000000001</v>
      </c>
      <c r="Q842" s="471">
        <f t="shared" si="119"/>
        <v>3.0300000000000002</v>
      </c>
      <c r="R842" s="751">
        <v>1</v>
      </c>
      <c r="S842" s="2774">
        <f t="shared" si="120"/>
        <v>0.46</v>
      </c>
      <c r="T842" s="2774">
        <f t="shared" si="121"/>
        <v>0.43</v>
      </c>
      <c r="U842" s="2774">
        <f t="shared" si="122"/>
        <v>3.2</v>
      </c>
      <c r="V842" s="2774">
        <f t="shared" si="123"/>
        <v>0.7</v>
      </c>
      <c r="W842" s="2774">
        <f t="shared" si="124"/>
        <v>0.28000000000000003</v>
      </c>
      <c r="X842" s="2774">
        <f t="shared" si="125"/>
        <v>0</v>
      </c>
      <c r="Y842" s="392">
        <f t="shared" si="126"/>
        <v>0</v>
      </c>
    </row>
    <row r="843" spans="1:25" s="16" customFormat="1" x14ac:dyDescent="0.2">
      <c r="A843" s="392" t="s">
        <v>1491</v>
      </c>
      <c r="B843" s="2794" t="s">
        <v>1349</v>
      </c>
      <c r="C843" s="392" t="str">
        <f t="shared" si="113"/>
        <v>Boreal MoistSouth America</v>
      </c>
      <c r="D843" s="2773">
        <v>4.7</v>
      </c>
      <c r="E843" s="2773">
        <f t="shared" si="115"/>
        <v>4.7</v>
      </c>
      <c r="F843" s="2773">
        <f t="shared" si="115"/>
        <v>4.7</v>
      </c>
      <c r="G843" s="2785">
        <f t="shared" si="127"/>
        <v>3.9949999999999997</v>
      </c>
      <c r="H843" s="2767">
        <v>0</v>
      </c>
      <c r="I843" s="471">
        <f t="shared" si="116"/>
        <v>1.7566666666666668</v>
      </c>
      <c r="J843" s="2793"/>
      <c r="K843" s="2774"/>
      <c r="L843" s="471">
        <f t="shared" si="117"/>
        <v>1.1000000000000001</v>
      </c>
      <c r="M843" s="2793"/>
      <c r="N843" s="392"/>
      <c r="O843" s="2774"/>
      <c r="P843" s="492">
        <f t="shared" si="118"/>
        <v>1.1400000000000001</v>
      </c>
      <c r="Q843" s="471">
        <f t="shared" si="119"/>
        <v>3.0300000000000002</v>
      </c>
      <c r="R843" s="751">
        <v>1</v>
      </c>
      <c r="S843" s="2774">
        <f t="shared" si="120"/>
        <v>0.46</v>
      </c>
      <c r="T843" s="2774">
        <f t="shared" si="121"/>
        <v>0.43</v>
      </c>
      <c r="U843" s="2774">
        <f t="shared" si="122"/>
        <v>3.2</v>
      </c>
      <c r="V843" s="2774">
        <f t="shared" si="123"/>
        <v>0.7</v>
      </c>
      <c r="W843" s="2774">
        <f t="shared" si="124"/>
        <v>0.28000000000000003</v>
      </c>
      <c r="X843" s="2774">
        <f t="shared" si="125"/>
        <v>0</v>
      </c>
      <c r="Y843" s="392">
        <f t="shared" si="126"/>
        <v>0</v>
      </c>
    </row>
    <row r="844" spans="1:25" s="16" customFormat="1" x14ac:dyDescent="0.2">
      <c r="A844" s="392" t="s">
        <v>1491</v>
      </c>
      <c r="B844" s="2794" t="s">
        <v>1333</v>
      </c>
      <c r="C844" s="392" t="str">
        <f t="shared" si="113"/>
        <v>Boreal MoistCentral America</v>
      </c>
      <c r="D844" s="2773">
        <v>4.7</v>
      </c>
      <c r="E844" s="2773">
        <f t="shared" si="115"/>
        <v>4.7</v>
      </c>
      <c r="F844" s="2773">
        <f t="shared" si="115"/>
        <v>4.7</v>
      </c>
      <c r="G844" s="2785">
        <f t="shared" si="127"/>
        <v>3.9949999999999997</v>
      </c>
      <c r="H844" s="2767">
        <v>0</v>
      </c>
      <c r="I844" s="471">
        <f t="shared" si="116"/>
        <v>1.7566666666666668</v>
      </c>
      <c r="J844" s="2793"/>
      <c r="K844" s="2774"/>
      <c r="L844" s="471">
        <f t="shared" si="117"/>
        <v>1.1000000000000001</v>
      </c>
      <c r="M844" s="2793"/>
      <c r="N844" s="392"/>
      <c r="O844" s="2774"/>
      <c r="P844" s="492">
        <f t="shared" si="118"/>
        <v>1.1400000000000001</v>
      </c>
      <c r="Q844" s="471">
        <f t="shared" si="119"/>
        <v>3.0300000000000002</v>
      </c>
      <c r="R844" s="751">
        <v>1</v>
      </c>
      <c r="S844" s="2774">
        <f t="shared" si="120"/>
        <v>0.46</v>
      </c>
      <c r="T844" s="2774">
        <f t="shared" si="121"/>
        <v>0.43</v>
      </c>
      <c r="U844" s="2774">
        <f t="shared" si="122"/>
        <v>3.2</v>
      </c>
      <c r="V844" s="2774">
        <f t="shared" si="123"/>
        <v>0.7</v>
      </c>
      <c r="W844" s="2774">
        <f t="shared" si="124"/>
        <v>0.28000000000000003</v>
      </c>
      <c r="X844" s="2774">
        <f t="shared" si="125"/>
        <v>0</v>
      </c>
      <c r="Y844" s="392">
        <f t="shared" si="126"/>
        <v>0</v>
      </c>
    </row>
    <row r="845" spans="1:25" s="2781" customFormat="1" x14ac:dyDescent="0.2">
      <c r="A845" s="2775" t="s">
        <v>1491</v>
      </c>
      <c r="B845" s="2795" t="s">
        <v>1547</v>
      </c>
      <c r="C845" s="2775" t="str">
        <f t="shared" si="113"/>
        <v>Boreal MoistCaribbean</v>
      </c>
      <c r="D845" s="2777">
        <v>4.7</v>
      </c>
      <c r="E845" s="2777">
        <f t="shared" si="115"/>
        <v>4.7</v>
      </c>
      <c r="F845" s="2777">
        <f t="shared" si="115"/>
        <v>4.7</v>
      </c>
      <c r="G845" s="2787">
        <f t="shared" si="127"/>
        <v>3.9949999999999997</v>
      </c>
      <c r="H845" s="2778">
        <v>0</v>
      </c>
      <c r="I845" s="536">
        <f t="shared" si="116"/>
        <v>1.7566666666666668</v>
      </c>
      <c r="J845" s="2796"/>
      <c r="K845" s="2780"/>
      <c r="L845" s="536">
        <f t="shared" si="117"/>
        <v>1.1000000000000001</v>
      </c>
      <c r="M845" s="2796"/>
      <c r="N845" s="2775"/>
      <c r="O845" s="2780"/>
      <c r="P845" s="2779">
        <f t="shared" si="118"/>
        <v>1.1400000000000001</v>
      </c>
      <c r="Q845" s="536">
        <f t="shared" si="119"/>
        <v>3.0300000000000002</v>
      </c>
      <c r="R845" s="752">
        <v>1</v>
      </c>
      <c r="S845" s="2780">
        <f t="shared" si="120"/>
        <v>0.46</v>
      </c>
      <c r="T845" s="2780">
        <f t="shared" si="121"/>
        <v>0.43</v>
      </c>
      <c r="U845" s="2780">
        <f t="shared" si="122"/>
        <v>3.2</v>
      </c>
      <c r="V845" s="2780">
        <f t="shared" si="123"/>
        <v>0.7</v>
      </c>
      <c r="W845" s="2780">
        <f t="shared" si="124"/>
        <v>0.28000000000000003</v>
      </c>
      <c r="X845" s="2780">
        <f t="shared" si="125"/>
        <v>0</v>
      </c>
      <c r="Y845" s="2775">
        <f t="shared" si="126"/>
        <v>0</v>
      </c>
    </row>
    <row r="846" spans="1:25" x14ac:dyDescent="0.2">
      <c r="A846" s="527" t="s">
        <v>1933</v>
      </c>
      <c r="B846" s="291"/>
      <c r="C846" s="291"/>
      <c r="D846" s="291"/>
      <c r="E846" s="291"/>
      <c r="F846" s="291"/>
      <c r="G846" s="266"/>
      <c r="H846" s="63"/>
      <c r="I846" s="20"/>
      <c r="J846" s="63"/>
      <c r="K846" s="63"/>
      <c r="L846" s="63"/>
      <c r="M846" s="63"/>
      <c r="N846" s="63"/>
      <c r="O846" s="63"/>
      <c r="P846" s="63"/>
      <c r="Q846" s="63"/>
      <c r="R846" s="552"/>
      <c r="S846" s="20"/>
      <c r="T846" s="20"/>
      <c r="U846" s="20"/>
      <c r="V846" s="20"/>
      <c r="W846" s="20"/>
      <c r="X846" s="20"/>
      <c r="Y846" s="269"/>
    </row>
    <row r="847" spans="1:25" x14ac:dyDescent="0.2">
      <c r="A847" s="264" t="s">
        <v>1959</v>
      </c>
      <c r="B847" s="21"/>
      <c r="C847" s="21"/>
      <c r="D847" s="21"/>
      <c r="E847" s="21"/>
      <c r="F847" s="21"/>
      <c r="G847" s="269"/>
      <c r="H847" s="20"/>
      <c r="I847" s="20"/>
      <c r="J847" s="20"/>
      <c r="K847" s="20"/>
      <c r="L847" s="20"/>
      <c r="M847" s="20"/>
      <c r="N847" s="20"/>
      <c r="O847" s="20"/>
      <c r="P847" s="20"/>
      <c r="Q847" s="20"/>
      <c r="R847" s="553"/>
      <c r="S847" s="20"/>
      <c r="T847" s="20"/>
      <c r="U847" s="20"/>
      <c r="V847" s="20"/>
      <c r="W847" s="20"/>
      <c r="X847" s="20"/>
      <c r="Y847" s="269"/>
    </row>
    <row r="848" spans="1:25" x14ac:dyDescent="0.2">
      <c r="A848" s="265" t="s">
        <v>1887</v>
      </c>
      <c r="B848" s="292"/>
      <c r="C848" s="292"/>
      <c r="D848" s="292"/>
      <c r="E848" s="292"/>
      <c r="F848" s="292"/>
      <c r="G848" s="272"/>
      <c r="H848" s="37"/>
      <c r="I848" s="37"/>
      <c r="J848" s="37"/>
      <c r="K848" s="37"/>
      <c r="L848" s="37"/>
      <c r="M848" s="37"/>
      <c r="N848" s="37"/>
      <c r="O848" s="37"/>
      <c r="P848" s="37"/>
      <c r="Q848" s="37"/>
      <c r="R848" s="554"/>
      <c r="S848" s="37"/>
      <c r="T848" s="37"/>
      <c r="U848" s="37"/>
      <c r="V848" s="37"/>
      <c r="W848" s="37"/>
      <c r="X848" s="20"/>
      <c r="Y848" s="269"/>
    </row>
    <row r="850" spans="1:24" s="125" customFormat="1" x14ac:dyDescent="0.2">
      <c r="A850" s="377" t="s">
        <v>1960</v>
      </c>
    </row>
    <row r="851" spans="1:24" ht="16.25" customHeight="1" x14ac:dyDescent="0.2">
      <c r="A851" s="374"/>
      <c r="B851" s="522" t="s">
        <v>1961</v>
      </c>
      <c r="C851" s="531" t="s">
        <v>1961</v>
      </c>
      <c r="D851" s="531" t="s">
        <v>1961</v>
      </c>
      <c r="E851" s="539" t="s">
        <v>1962</v>
      </c>
      <c r="F851" s="538"/>
      <c r="G851" s="531" t="s">
        <v>1961</v>
      </c>
      <c r="H851" s="531" t="s">
        <v>1961</v>
      </c>
      <c r="I851" s="531" t="s">
        <v>1961</v>
      </c>
      <c r="J851" s="531" t="s">
        <v>1961</v>
      </c>
      <c r="K851" s="531" t="s">
        <v>1961</v>
      </c>
      <c r="L851" s="531" t="s">
        <v>1961</v>
      </c>
      <c r="M851" s="531" t="s">
        <v>1961</v>
      </c>
      <c r="N851" s="531" t="s">
        <v>1961</v>
      </c>
      <c r="O851" s="531" t="s">
        <v>1961</v>
      </c>
      <c r="P851" s="555"/>
      <c r="Q851" s="531" t="s">
        <v>1961</v>
      </c>
      <c r="R851" s="531" t="s">
        <v>1961</v>
      </c>
      <c r="S851" s="531" t="s">
        <v>1961</v>
      </c>
      <c r="T851" s="531" t="s">
        <v>1961</v>
      </c>
      <c r="U851" s="531" t="s">
        <v>1961</v>
      </c>
      <c r="V851" s="531" t="s">
        <v>1961</v>
      </c>
      <c r="W851" s="531" t="s">
        <v>1961</v>
      </c>
      <c r="X851" s="531" t="s">
        <v>1961</v>
      </c>
    </row>
    <row r="852" spans="1:24" s="291" customFormat="1" x14ac:dyDescent="0.2">
      <c r="A852" s="293" t="s">
        <v>1963</v>
      </c>
      <c r="B852" s="426" t="s">
        <v>1382</v>
      </c>
      <c r="C852" s="426" t="s">
        <v>1590</v>
      </c>
      <c r="D852" s="44" t="s">
        <v>1384</v>
      </c>
      <c r="E852" s="426" t="s">
        <v>1396</v>
      </c>
      <c r="F852" s="774" t="s">
        <v>1401</v>
      </c>
      <c r="G852" s="426" t="s">
        <v>1494</v>
      </c>
      <c r="H852" s="426" t="s">
        <v>1352</v>
      </c>
      <c r="I852" s="426" t="s">
        <v>1505</v>
      </c>
      <c r="J852" s="426" t="s">
        <v>1407</v>
      </c>
      <c r="K852" s="426" t="s">
        <v>1413</v>
      </c>
      <c r="L852" s="426" t="s">
        <v>1417</v>
      </c>
      <c r="M852" s="426" t="s">
        <v>1421</v>
      </c>
      <c r="N852" s="426" t="s">
        <v>1424</v>
      </c>
      <c r="O852" s="537" t="s">
        <v>1427</v>
      </c>
      <c r="P852" s="656" t="s">
        <v>1592</v>
      </c>
      <c r="Q852" s="537" t="s">
        <v>1502</v>
      </c>
      <c r="R852" s="537" t="s">
        <v>1508</v>
      </c>
      <c r="S852" s="537" t="s">
        <v>1507</v>
      </c>
      <c r="T852" s="537" t="s">
        <v>1497</v>
      </c>
      <c r="U852" s="537" t="s">
        <v>1499</v>
      </c>
      <c r="V852" s="537" t="s">
        <v>1501</v>
      </c>
      <c r="W852" s="537" t="s">
        <v>1510</v>
      </c>
      <c r="X852" s="537" t="s">
        <v>2959</v>
      </c>
    </row>
    <row r="853" spans="1:24" s="21" customFormat="1" x14ac:dyDescent="0.2">
      <c r="A853" s="255" t="s">
        <v>57</v>
      </c>
      <c r="B853" s="426" t="s">
        <v>173</v>
      </c>
      <c r="C853" s="426" t="s">
        <v>173</v>
      </c>
      <c r="D853" s="426" t="s">
        <v>173</v>
      </c>
      <c r="E853" s="426" t="s">
        <v>173</v>
      </c>
      <c r="F853" s="630" t="s">
        <v>1964</v>
      </c>
      <c r="G853" s="426" t="s">
        <v>173</v>
      </c>
      <c r="H853" s="426" t="s">
        <v>173</v>
      </c>
      <c r="I853" s="426" t="s">
        <v>173</v>
      </c>
      <c r="J853" s="426" t="s">
        <v>173</v>
      </c>
      <c r="K853" s="426" t="s">
        <v>173</v>
      </c>
      <c r="L853" s="426" t="s">
        <v>173</v>
      </c>
      <c r="M853" s="426" t="s">
        <v>173</v>
      </c>
      <c r="N853" s="426" t="s">
        <v>173</v>
      </c>
      <c r="O853" s="426" t="s">
        <v>173</v>
      </c>
      <c r="P853" s="426" t="s">
        <v>173</v>
      </c>
      <c r="Q853" s="426" t="s">
        <v>173</v>
      </c>
      <c r="R853" s="426" t="s">
        <v>173</v>
      </c>
      <c r="S853" s="426" t="s">
        <v>173</v>
      </c>
      <c r="T853" s="426" t="s">
        <v>173</v>
      </c>
      <c r="U853" s="426" t="s">
        <v>173</v>
      </c>
      <c r="V853" s="426" t="s">
        <v>173</v>
      </c>
      <c r="W853" s="426" t="s">
        <v>173</v>
      </c>
      <c r="X853" s="426" t="s">
        <v>173</v>
      </c>
    </row>
    <row r="854" spans="1:24" s="21" customFormat="1" x14ac:dyDescent="0.2">
      <c r="A854" s="20" t="s">
        <v>1490</v>
      </c>
      <c r="B854" s="41">
        <v>0.77</v>
      </c>
      <c r="C854" s="44">
        <v>0.93</v>
      </c>
      <c r="D854" s="451">
        <v>1.35</v>
      </c>
      <c r="E854" s="491">
        <v>1</v>
      </c>
      <c r="F854" s="658">
        <v>1</v>
      </c>
      <c r="G854" s="44">
        <v>0.72</v>
      </c>
      <c r="H854" s="44">
        <v>0.72</v>
      </c>
      <c r="I854" s="44">
        <v>0.72</v>
      </c>
      <c r="J854" s="44">
        <v>0.72</v>
      </c>
      <c r="K854" s="44">
        <v>0.72</v>
      </c>
      <c r="L854" s="44">
        <v>0.72</v>
      </c>
      <c r="M854" s="44">
        <v>0.72</v>
      </c>
      <c r="N854" s="44">
        <v>0.72</v>
      </c>
      <c r="O854" s="44">
        <v>0.72</v>
      </c>
      <c r="P854" s="657">
        <f>B854*50%</f>
        <v>0.38500000000000001</v>
      </c>
      <c r="Q854" s="44">
        <v>0.72</v>
      </c>
      <c r="R854" s="44">
        <v>0.72</v>
      </c>
      <c r="S854" s="44">
        <v>0.72</v>
      </c>
      <c r="T854" s="44">
        <v>0.72</v>
      </c>
      <c r="U854" s="44">
        <v>0.72</v>
      </c>
      <c r="V854" s="44">
        <v>0.72</v>
      </c>
      <c r="W854" s="44">
        <v>0.72</v>
      </c>
      <c r="X854" s="44">
        <v>1</v>
      </c>
    </row>
    <row r="855" spans="1:24" s="21" customFormat="1" x14ac:dyDescent="0.2">
      <c r="A855" s="20" t="s">
        <v>1491</v>
      </c>
      <c r="B855" s="41">
        <v>0.7</v>
      </c>
      <c r="C855" s="41">
        <v>0.82</v>
      </c>
      <c r="D855" s="451">
        <v>1.35</v>
      </c>
      <c r="E855" s="471">
        <v>1</v>
      </c>
      <c r="F855" s="659">
        <v>1</v>
      </c>
      <c r="G855" s="41">
        <v>0.72</v>
      </c>
      <c r="H855" s="41">
        <v>0.72</v>
      </c>
      <c r="I855" s="41">
        <v>0.72</v>
      </c>
      <c r="J855" s="41">
        <v>0.72</v>
      </c>
      <c r="K855" s="41">
        <v>0.72</v>
      </c>
      <c r="L855" s="41">
        <v>0.72</v>
      </c>
      <c r="M855" s="41">
        <v>0.72</v>
      </c>
      <c r="N855" s="41">
        <v>0.72</v>
      </c>
      <c r="O855" s="41">
        <v>0.72</v>
      </c>
      <c r="P855" s="657">
        <f>B855*50%</f>
        <v>0.35</v>
      </c>
      <c r="Q855" s="41">
        <v>0.72</v>
      </c>
      <c r="R855" s="41">
        <v>0.72</v>
      </c>
      <c r="S855" s="41">
        <v>0.72</v>
      </c>
      <c r="T855" s="41">
        <v>0.72</v>
      </c>
      <c r="U855" s="41">
        <v>0.72</v>
      </c>
      <c r="V855" s="41">
        <v>0.72</v>
      </c>
      <c r="W855" s="41">
        <v>0.72</v>
      </c>
      <c r="X855" s="41">
        <v>1</v>
      </c>
    </row>
    <row r="856" spans="1:24" s="21" customFormat="1" x14ac:dyDescent="0.2">
      <c r="A856" s="20" t="s">
        <v>1483</v>
      </c>
      <c r="B856" s="41">
        <v>0.77</v>
      </c>
      <c r="C856" s="41">
        <v>0.93</v>
      </c>
      <c r="D856" s="451">
        <v>1.35</v>
      </c>
      <c r="E856" s="471">
        <v>1</v>
      </c>
      <c r="F856" s="659">
        <v>1</v>
      </c>
      <c r="G856" s="41">
        <v>0.72</v>
      </c>
      <c r="H856" s="41">
        <v>0.72</v>
      </c>
      <c r="I856" s="41">
        <v>0.72</v>
      </c>
      <c r="J856" s="41">
        <v>0.72</v>
      </c>
      <c r="K856" s="41">
        <v>0.72</v>
      </c>
      <c r="L856" s="41">
        <v>0.72</v>
      </c>
      <c r="M856" s="41">
        <v>0.72</v>
      </c>
      <c r="N856" s="41">
        <v>0.72</v>
      </c>
      <c r="O856" s="41">
        <v>0.72</v>
      </c>
      <c r="P856" s="657">
        <f>B856*50%</f>
        <v>0.38500000000000001</v>
      </c>
      <c r="Q856" s="41">
        <v>0.72</v>
      </c>
      <c r="R856" s="41">
        <v>0.72</v>
      </c>
      <c r="S856" s="41">
        <v>0.72</v>
      </c>
      <c r="T856" s="41">
        <v>0.72</v>
      </c>
      <c r="U856" s="41">
        <v>0.72</v>
      </c>
      <c r="V856" s="41">
        <v>0.72</v>
      </c>
      <c r="W856" s="41">
        <v>0.72</v>
      </c>
      <c r="X856" s="41">
        <v>1</v>
      </c>
    </row>
    <row r="857" spans="1:24" s="21" customFormat="1" x14ac:dyDescent="0.2">
      <c r="A857" s="20" t="s">
        <v>1484</v>
      </c>
      <c r="B857" s="41">
        <v>0.7</v>
      </c>
      <c r="C857" s="41">
        <v>0.82</v>
      </c>
      <c r="D857" s="451">
        <v>1.35</v>
      </c>
      <c r="E857" s="471">
        <v>1</v>
      </c>
      <c r="F857" s="659">
        <v>1</v>
      </c>
      <c r="G857" s="41">
        <v>0.72</v>
      </c>
      <c r="H857" s="41">
        <v>0.72</v>
      </c>
      <c r="I857" s="41">
        <v>0.72</v>
      </c>
      <c r="J857" s="41">
        <v>0.72</v>
      </c>
      <c r="K857" s="41">
        <v>0.72</v>
      </c>
      <c r="L857" s="41">
        <v>0.72</v>
      </c>
      <c r="M857" s="41">
        <v>0.72</v>
      </c>
      <c r="N857" s="41">
        <v>0.72</v>
      </c>
      <c r="O857" s="41">
        <v>0.72</v>
      </c>
      <c r="P857" s="657">
        <f>B857*50%</f>
        <v>0.35</v>
      </c>
      <c r="Q857" s="41">
        <v>0.72</v>
      </c>
      <c r="R857" s="41">
        <v>0.72</v>
      </c>
      <c r="S857" s="41">
        <v>0.72</v>
      </c>
      <c r="T857" s="41">
        <v>0.72</v>
      </c>
      <c r="U857" s="41">
        <v>0.72</v>
      </c>
      <c r="V857" s="41">
        <v>0.72</v>
      </c>
      <c r="W857" s="41">
        <v>0.72</v>
      </c>
      <c r="X857" s="41">
        <v>1</v>
      </c>
    </row>
    <row r="858" spans="1:24" s="21" customFormat="1" x14ac:dyDescent="0.2">
      <c r="A858" s="20" t="s">
        <v>1487</v>
      </c>
      <c r="B858" s="41">
        <v>0.92</v>
      </c>
      <c r="C858" s="41">
        <v>0.93</v>
      </c>
      <c r="D858" s="451">
        <v>1.35</v>
      </c>
      <c r="E858" s="471">
        <v>1</v>
      </c>
      <c r="F858" s="659">
        <v>1</v>
      </c>
      <c r="G858" s="41">
        <v>1.01</v>
      </c>
      <c r="H858" s="41">
        <v>1.01</v>
      </c>
      <c r="I858" s="41">
        <v>1.01</v>
      </c>
      <c r="J858" s="41">
        <v>1.01</v>
      </c>
      <c r="K858" s="41">
        <v>1.01</v>
      </c>
      <c r="L858" s="41">
        <v>1.01</v>
      </c>
      <c r="M858" s="41">
        <v>1.01</v>
      </c>
      <c r="N858" s="41">
        <v>1.01</v>
      </c>
      <c r="O858" s="41">
        <v>1.01</v>
      </c>
      <c r="P858" s="657">
        <f t="shared" ref="P858:P863" si="128">B858*50%</f>
        <v>0.46</v>
      </c>
      <c r="Q858" s="41">
        <v>1.01</v>
      </c>
      <c r="R858" s="41">
        <v>1.01</v>
      </c>
      <c r="S858" s="41">
        <v>1.01</v>
      </c>
      <c r="T858" s="41">
        <v>1.01</v>
      </c>
      <c r="U858" s="41">
        <v>1.01</v>
      </c>
      <c r="V858" s="41">
        <v>1.01</v>
      </c>
      <c r="W858" s="41">
        <v>1.01</v>
      </c>
      <c r="X858" s="41">
        <v>1</v>
      </c>
    </row>
    <row r="859" spans="1:24" s="21" customFormat="1" x14ac:dyDescent="0.2">
      <c r="A859" s="20" t="s">
        <v>1488</v>
      </c>
      <c r="B859" s="41">
        <v>0.83</v>
      </c>
      <c r="C859" s="41">
        <v>0.82</v>
      </c>
      <c r="D859" s="451">
        <v>1.35</v>
      </c>
      <c r="E859" s="471">
        <v>1</v>
      </c>
      <c r="F859" s="659">
        <v>1</v>
      </c>
      <c r="G859" s="41">
        <v>1.01</v>
      </c>
      <c r="H859" s="41">
        <v>1.01</v>
      </c>
      <c r="I859" s="41">
        <v>1.01</v>
      </c>
      <c r="J859" s="41">
        <v>1.01</v>
      </c>
      <c r="K859" s="41">
        <v>1.01</v>
      </c>
      <c r="L859" s="41">
        <v>1.01</v>
      </c>
      <c r="M859" s="41">
        <v>1.01</v>
      </c>
      <c r="N859" s="41">
        <v>1.01</v>
      </c>
      <c r="O859" s="41">
        <v>1.01</v>
      </c>
      <c r="P859" s="657">
        <f t="shared" si="128"/>
        <v>0.41499999999999998</v>
      </c>
      <c r="Q859" s="41">
        <v>1.01</v>
      </c>
      <c r="R859" s="41">
        <v>1.01</v>
      </c>
      <c r="S859" s="41">
        <v>1.01</v>
      </c>
      <c r="T859" s="41">
        <v>1.01</v>
      </c>
      <c r="U859" s="41">
        <v>1.01</v>
      </c>
      <c r="V859" s="41">
        <v>1.01</v>
      </c>
      <c r="W859" s="41">
        <v>1.01</v>
      </c>
      <c r="X859" s="41">
        <v>1</v>
      </c>
    </row>
    <row r="860" spans="1:24" s="21" customFormat="1" x14ac:dyDescent="0.2">
      <c r="A860" s="20" t="s">
        <v>1489</v>
      </c>
      <c r="B860" s="41">
        <v>0.83</v>
      </c>
      <c r="C860" s="41">
        <v>0.82</v>
      </c>
      <c r="D860" s="451">
        <v>1.35</v>
      </c>
      <c r="E860" s="471">
        <v>1</v>
      </c>
      <c r="F860" s="659">
        <v>1</v>
      </c>
      <c r="G860" s="41">
        <v>1.01</v>
      </c>
      <c r="H860" s="41">
        <v>1.01</v>
      </c>
      <c r="I860" s="41">
        <v>1.01</v>
      </c>
      <c r="J860" s="41">
        <v>1.01</v>
      </c>
      <c r="K860" s="41">
        <v>1.01</v>
      </c>
      <c r="L860" s="41">
        <v>1.01</v>
      </c>
      <c r="M860" s="41">
        <v>1.01</v>
      </c>
      <c r="N860" s="41">
        <v>1.01</v>
      </c>
      <c r="O860" s="41">
        <v>1.01</v>
      </c>
      <c r="P860" s="657">
        <f t="shared" si="128"/>
        <v>0.41499999999999998</v>
      </c>
      <c r="Q860" s="41">
        <v>1.01</v>
      </c>
      <c r="R860" s="41">
        <v>1.01</v>
      </c>
      <c r="S860" s="41">
        <v>1.01</v>
      </c>
      <c r="T860" s="41">
        <v>1.01</v>
      </c>
      <c r="U860" s="41">
        <v>1.01</v>
      </c>
      <c r="V860" s="41">
        <v>1.01</v>
      </c>
      <c r="W860" s="41">
        <v>1.01</v>
      </c>
      <c r="X860" s="41">
        <v>1</v>
      </c>
    </row>
    <row r="861" spans="1:24" s="21" customFormat="1" x14ac:dyDescent="0.2">
      <c r="A861" s="20" t="s">
        <v>1359</v>
      </c>
      <c r="B861" s="164">
        <v>0.64</v>
      </c>
      <c r="C861" s="41">
        <v>0.88</v>
      </c>
      <c r="D861" s="451">
        <v>1.35</v>
      </c>
      <c r="E861" s="471">
        <v>1</v>
      </c>
      <c r="F861" s="659">
        <v>1</v>
      </c>
      <c r="G861" s="164">
        <v>1</v>
      </c>
      <c r="H861" s="164">
        <v>1</v>
      </c>
      <c r="I861" s="164">
        <v>1</v>
      </c>
      <c r="J861" s="164">
        <v>1</v>
      </c>
      <c r="K861" s="164">
        <v>1</v>
      </c>
      <c r="L861" s="164">
        <v>1</v>
      </c>
      <c r="M861" s="164">
        <v>1</v>
      </c>
      <c r="N861" s="164">
        <v>1</v>
      </c>
      <c r="O861" s="164">
        <v>1</v>
      </c>
      <c r="P861" s="657">
        <f t="shared" si="128"/>
        <v>0.32</v>
      </c>
      <c r="Q861" s="164">
        <v>1</v>
      </c>
      <c r="R861" s="164">
        <v>1</v>
      </c>
      <c r="S861" s="164">
        <v>1</v>
      </c>
      <c r="T861" s="164">
        <v>1</v>
      </c>
      <c r="U861" s="164">
        <v>1</v>
      </c>
      <c r="V861" s="164">
        <v>1</v>
      </c>
      <c r="W861" s="164">
        <v>1</v>
      </c>
      <c r="X861" s="164">
        <v>1</v>
      </c>
    </row>
    <row r="862" spans="1:24" s="21" customFormat="1" x14ac:dyDescent="0.2">
      <c r="A862" s="20" t="s">
        <v>1485</v>
      </c>
      <c r="B862" s="41">
        <v>0.76</v>
      </c>
      <c r="C862" s="41">
        <v>0.93</v>
      </c>
      <c r="D862" s="451">
        <v>1.35</v>
      </c>
      <c r="E862" s="471">
        <v>1</v>
      </c>
      <c r="F862" s="659">
        <v>1</v>
      </c>
      <c r="G862" s="41">
        <v>0.72</v>
      </c>
      <c r="H862" s="41">
        <v>0.72</v>
      </c>
      <c r="I862" s="41">
        <v>0.72</v>
      </c>
      <c r="J862" s="41">
        <v>0.72</v>
      </c>
      <c r="K862" s="41">
        <v>0.72</v>
      </c>
      <c r="L862" s="41">
        <v>0.72</v>
      </c>
      <c r="M862" s="41">
        <v>0.72</v>
      </c>
      <c r="N862" s="41">
        <v>0.72</v>
      </c>
      <c r="O862" s="41">
        <v>0.72</v>
      </c>
      <c r="P862" s="657">
        <f t="shared" si="128"/>
        <v>0.38</v>
      </c>
      <c r="Q862" s="41">
        <v>0.72</v>
      </c>
      <c r="R862" s="41">
        <v>0.72</v>
      </c>
      <c r="S862" s="41">
        <v>0.72</v>
      </c>
      <c r="T862" s="41">
        <v>0.72</v>
      </c>
      <c r="U862" s="41">
        <v>0.72</v>
      </c>
      <c r="V862" s="41">
        <v>0.72</v>
      </c>
      <c r="W862" s="41">
        <v>0.72</v>
      </c>
      <c r="X862" s="41">
        <v>1</v>
      </c>
    </row>
    <row r="863" spans="1:24" s="21" customFormat="1" x14ac:dyDescent="0.2">
      <c r="A863" s="20" t="s">
        <v>1486</v>
      </c>
      <c r="B863" s="41">
        <v>0.69</v>
      </c>
      <c r="C863" s="42">
        <v>0.82</v>
      </c>
      <c r="D863" s="451">
        <v>1.35</v>
      </c>
      <c r="E863" s="536">
        <v>1</v>
      </c>
      <c r="F863" s="660">
        <v>1</v>
      </c>
      <c r="G863" s="42">
        <v>0.72</v>
      </c>
      <c r="H863" s="42">
        <v>0.72</v>
      </c>
      <c r="I863" s="42">
        <v>0.72</v>
      </c>
      <c r="J863" s="42">
        <v>0.72</v>
      </c>
      <c r="K863" s="42">
        <v>0.72</v>
      </c>
      <c r="L863" s="42">
        <v>0.72</v>
      </c>
      <c r="M863" s="42">
        <v>0.72</v>
      </c>
      <c r="N863" s="42">
        <v>0.72</v>
      </c>
      <c r="O863" s="42">
        <v>0.72</v>
      </c>
      <c r="P863" s="657">
        <f t="shared" si="128"/>
        <v>0.34499999999999997</v>
      </c>
      <c r="Q863" s="42">
        <v>0.72</v>
      </c>
      <c r="R863" s="42">
        <v>0.72</v>
      </c>
      <c r="S863" s="42">
        <v>0.72</v>
      </c>
      <c r="T863" s="42">
        <v>0.72</v>
      </c>
      <c r="U863" s="42">
        <v>0.72</v>
      </c>
      <c r="V863" s="42">
        <v>0.72</v>
      </c>
      <c r="W863" s="42">
        <v>0.72</v>
      </c>
      <c r="X863" s="42">
        <v>1</v>
      </c>
    </row>
    <row r="864" spans="1:24" s="535" customFormat="1" x14ac:dyDescent="0.2">
      <c r="A864" s="518" t="s">
        <v>1933</v>
      </c>
      <c r="E864" s="292"/>
      <c r="G864" s="292"/>
    </row>
    <row r="865" spans="1:5" s="535" customFormat="1" x14ac:dyDescent="0.2">
      <c r="A865" s="534" t="s">
        <v>1965</v>
      </c>
    </row>
    <row r="866" spans="1:5" s="535" customFormat="1" x14ac:dyDescent="0.2">
      <c r="A866" s="534"/>
    </row>
    <row r="868" spans="1:5" s="532" customFormat="1" ht="13" x14ac:dyDescent="0.15">
      <c r="A868" s="541" t="s">
        <v>1966</v>
      </c>
      <c r="B868" s="523"/>
      <c r="C868" s="523"/>
      <c r="D868" s="523"/>
      <c r="E868" s="523"/>
    </row>
    <row r="869" spans="1:5" s="532" customFormat="1" ht="13" x14ac:dyDescent="0.15">
      <c r="A869" s="540" t="s">
        <v>1967</v>
      </c>
      <c r="B869" s="544"/>
      <c r="C869" s="555" t="s">
        <v>1968</v>
      </c>
      <c r="D869" s="555" t="s">
        <v>1969</v>
      </c>
      <c r="E869" s="555" t="s">
        <v>1970</v>
      </c>
    </row>
    <row r="870" spans="1:5" s="452" customFormat="1" x14ac:dyDescent="0.2">
      <c r="A870" s="542" t="s">
        <v>1971</v>
      </c>
      <c r="B870" s="524" t="s">
        <v>813</v>
      </c>
      <c r="C870" s="813" t="s">
        <v>1972</v>
      </c>
      <c r="D870" s="813" t="s">
        <v>1972</v>
      </c>
      <c r="E870" s="813" t="s">
        <v>1972</v>
      </c>
    </row>
    <row r="871" spans="1:5" s="21" customFormat="1" x14ac:dyDescent="0.2">
      <c r="A871" s="63" t="s">
        <v>118</v>
      </c>
      <c r="B871" s="567">
        <v>0.32</v>
      </c>
      <c r="C871" s="567">
        <v>1580</v>
      </c>
      <c r="D871" s="567">
        <v>6.8</v>
      </c>
      <c r="E871" s="567">
        <v>0.2</v>
      </c>
    </row>
    <row r="872" spans="1:5" s="21" customFormat="1" x14ac:dyDescent="0.2">
      <c r="A872" s="20" t="s">
        <v>123</v>
      </c>
      <c r="B872" s="55">
        <v>0.36</v>
      </c>
      <c r="C872" s="55">
        <v>1580</v>
      </c>
      <c r="D872" s="55">
        <v>6.8</v>
      </c>
      <c r="E872" s="55">
        <v>0.2</v>
      </c>
    </row>
    <row r="873" spans="1:5" s="21" customFormat="1" x14ac:dyDescent="0.2">
      <c r="A873" s="20" t="s">
        <v>128</v>
      </c>
      <c r="B873" s="55">
        <v>0.36</v>
      </c>
      <c r="C873" s="55">
        <v>1580</v>
      </c>
      <c r="D873" s="55">
        <v>6.8</v>
      </c>
      <c r="E873" s="55">
        <v>0.2</v>
      </c>
    </row>
    <row r="874" spans="1:5" s="21" customFormat="1" x14ac:dyDescent="0.2">
      <c r="A874" s="20" t="s">
        <v>132</v>
      </c>
      <c r="B874" s="55">
        <v>0.72</v>
      </c>
      <c r="C874" s="55">
        <v>1580</v>
      </c>
      <c r="D874" s="55">
        <v>6.8</v>
      </c>
      <c r="E874" s="55">
        <v>0.2</v>
      </c>
    </row>
    <row r="875" spans="1:5" s="21" customFormat="1" x14ac:dyDescent="0.2">
      <c r="A875" s="20" t="s">
        <v>136</v>
      </c>
      <c r="B875" s="55">
        <v>0.32</v>
      </c>
      <c r="C875" s="812">
        <v>1580</v>
      </c>
      <c r="D875" s="812">
        <v>6.8</v>
      </c>
      <c r="E875" s="812">
        <v>0.2</v>
      </c>
    </row>
    <row r="876" spans="1:5" s="21" customFormat="1" x14ac:dyDescent="0.2">
      <c r="A876" s="20" t="s">
        <v>140</v>
      </c>
      <c r="B876" s="55">
        <v>0.32</v>
      </c>
      <c r="C876" s="55">
        <v>1580</v>
      </c>
      <c r="D876" s="55">
        <v>6.8</v>
      </c>
      <c r="E876" s="55">
        <v>0.2</v>
      </c>
    </row>
    <row r="877" spans="1:5" s="21" customFormat="1" x14ac:dyDescent="0.2">
      <c r="A877" s="20" t="s">
        <v>144</v>
      </c>
      <c r="B877" s="55">
        <v>0.36</v>
      </c>
      <c r="C877" s="55">
        <v>1580</v>
      </c>
      <c r="D877" s="55">
        <v>6.8</v>
      </c>
      <c r="E877" s="55">
        <v>0.2</v>
      </c>
    </row>
    <row r="878" spans="1:5" s="21" customFormat="1" x14ac:dyDescent="0.2">
      <c r="A878" s="20" t="s">
        <v>147</v>
      </c>
      <c r="B878" s="55">
        <v>0.36</v>
      </c>
      <c r="C878" s="55">
        <v>1580</v>
      </c>
      <c r="D878" s="55">
        <v>6.8</v>
      </c>
      <c r="E878" s="55">
        <v>0.2</v>
      </c>
    </row>
    <row r="879" spans="1:5" s="21" customFormat="1" x14ac:dyDescent="0.2">
      <c r="A879" s="20" t="s">
        <v>150</v>
      </c>
      <c r="B879" s="55">
        <v>0.72</v>
      </c>
      <c r="C879" s="55">
        <v>1580</v>
      </c>
      <c r="D879" s="55">
        <v>6.8</v>
      </c>
      <c r="E879" s="55">
        <v>0.2</v>
      </c>
    </row>
    <row r="880" spans="1:5" s="21" customFormat="1" x14ac:dyDescent="0.2">
      <c r="A880" s="20" t="s">
        <v>119</v>
      </c>
      <c r="B880" s="55">
        <v>0.36</v>
      </c>
      <c r="C880" s="55">
        <v>1569</v>
      </c>
      <c r="D880" s="55">
        <v>4.7</v>
      </c>
      <c r="E880" s="55">
        <v>0.26</v>
      </c>
    </row>
    <row r="881" spans="1:5" s="21" customFormat="1" x14ac:dyDescent="0.2">
      <c r="A881" s="20" t="s">
        <v>124</v>
      </c>
      <c r="B881" s="55">
        <v>0.36</v>
      </c>
      <c r="C881" s="55">
        <v>1569</v>
      </c>
      <c r="D881" s="55">
        <v>4.7</v>
      </c>
      <c r="E881" s="55">
        <v>0.26</v>
      </c>
    </row>
    <row r="882" spans="1:5" s="21" customFormat="1" x14ac:dyDescent="0.2">
      <c r="A882" s="20" t="s">
        <v>129</v>
      </c>
      <c r="B882" s="55">
        <v>0.74</v>
      </c>
      <c r="C882" s="55">
        <v>1569</v>
      </c>
      <c r="D882" s="55">
        <v>4.7</v>
      </c>
      <c r="E882" s="55">
        <v>0.26</v>
      </c>
    </row>
    <row r="883" spans="1:5" s="21" customFormat="1" x14ac:dyDescent="0.2">
      <c r="A883" s="20" t="s">
        <v>133</v>
      </c>
      <c r="B883" s="55">
        <v>0.36</v>
      </c>
      <c r="C883" s="55">
        <v>1569</v>
      </c>
      <c r="D883" s="55">
        <v>4.7</v>
      </c>
      <c r="E883" s="55">
        <v>0.26</v>
      </c>
    </row>
    <row r="884" spans="1:5" s="21" customFormat="1" x14ac:dyDescent="0.2">
      <c r="A884" s="20" t="s">
        <v>137</v>
      </c>
      <c r="B884" s="55">
        <v>0.36</v>
      </c>
      <c r="C884" s="55">
        <v>1569</v>
      </c>
      <c r="D884" s="55">
        <v>4.7</v>
      </c>
      <c r="E884" s="55">
        <v>0.26</v>
      </c>
    </row>
    <row r="885" spans="1:5" s="21" customFormat="1" x14ac:dyDescent="0.2">
      <c r="A885" s="20" t="s">
        <v>141</v>
      </c>
      <c r="B885" s="55">
        <v>0.36</v>
      </c>
      <c r="C885" s="55">
        <v>1569</v>
      </c>
      <c r="D885" s="55">
        <v>4.7</v>
      </c>
      <c r="E885" s="55">
        <v>0.26</v>
      </c>
    </row>
    <row r="886" spans="1:5" s="21" customFormat="1" x14ac:dyDescent="0.2">
      <c r="A886" s="20" t="s">
        <v>145</v>
      </c>
      <c r="B886" s="55">
        <v>0.74</v>
      </c>
      <c r="C886" s="55">
        <v>1569</v>
      </c>
      <c r="D886" s="55">
        <v>4.7</v>
      </c>
      <c r="E886" s="55">
        <v>0.26</v>
      </c>
    </row>
    <row r="887" spans="1:5" s="21" customFormat="1" x14ac:dyDescent="0.2">
      <c r="A887" s="20" t="s">
        <v>148</v>
      </c>
      <c r="B887" s="55">
        <v>0.36</v>
      </c>
      <c r="C887" s="55">
        <v>1569</v>
      </c>
      <c r="D887" s="55">
        <v>4.7</v>
      </c>
      <c r="E887" s="55">
        <v>0.26</v>
      </c>
    </row>
    <row r="888" spans="1:5" s="21" customFormat="1" x14ac:dyDescent="0.2">
      <c r="A888" s="20" t="s">
        <v>136</v>
      </c>
      <c r="B888" s="55">
        <v>0.32</v>
      </c>
      <c r="C888" s="812"/>
      <c r="D888" s="812">
        <v>6.8</v>
      </c>
      <c r="E888" s="812"/>
    </row>
    <row r="889" spans="1:5" s="21" customFormat="1" x14ac:dyDescent="0.2">
      <c r="A889" s="55" t="s">
        <v>120</v>
      </c>
      <c r="B889" s="55">
        <v>0.45</v>
      </c>
      <c r="C889" s="55">
        <v>1569</v>
      </c>
      <c r="D889" s="55">
        <v>4.7</v>
      </c>
      <c r="E889" s="55">
        <v>0.26</v>
      </c>
    </row>
    <row r="890" spans="1:5" s="21" customFormat="1" x14ac:dyDescent="0.2">
      <c r="A890" s="55" t="s">
        <v>125</v>
      </c>
      <c r="B890" s="55">
        <v>0.45</v>
      </c>
      <c r="C890" s="55">
        <v>1569</v>
      </c>
      <c r="D890" s="55">
        <v>4.7</v>
      </c>
      <c r="E890" s="55">
        <v>0.26</v>
      </c>
    </row>
    <row r="891" spans="1:5" s="21" customFormat="1" x14ac:dyDescent="0.2">
      <c r="A891" s="55" t="s">
        <v>130</v>
      </c>
      <c r="B891" s="55">
        <v>0.45</v>
      </c>
      <c r="C891" s="55">
        <v>1569</v>
      </c>
      <c r="D891" s="55">
        <v>4.7</v>
      </c>
      <c r="E891" s="55">
        <v>0.26</v>
      </c>
    </row>
    <row r="892" spans="1:5" s="21" customFormat="1" x14ac:dyDescent="0.2">
      <c r="A892" s="20" t="s">
        <v>134</v>
      </c>
      <c r="B892" s="55">
        <v>0.45</v>
      </c>
      <c r="C892" s="55">
        <v>1569</v>
      </c>
      <c r="D892" s="55">
        <v>4.7</v>
      </c>
      <c r="E892" s="55">
        <v>0.26</v>
      </c>
    </row>
    <row r="893" spans="1:5" s="21" customFormat="1" x14ac:dyDescent="0.2">
      <c r="A893" s="20" t="s">
        <v>138</v>
      </c>
      <c r="B893" s="55">
        <v>0.45</v>
      </c>
      <c r="C893" s="55">
        <v>1569</v>
      </c>
      <c r="D893" s="55">
        <v>4.7</v>
      </c>
      <c r="E893" s="55">
        <v>0.26</v>
      </c>
    </row>
    <row r="894" spans="1:5" s="21" customFormat="1" x14ac:dyDescent="0.2">
      <c r="A894" s="20" t="s">
        <v>142</v>
      </c>
      <c r="B894" s="55">
        <v>0.45</v>
      </c>
      <c r="C894" s="55">
        <v>1569</v>
      </c>
      <c r="D894" s="55">
        <v>4.7</v>
      </c>
      <c r="E894" s="55">
        <v>0.26</v>
      </c>
    </row>
    <row r="895" spans="1:5" s="21" customFormat="1" x14ac:dyDescent="0.2">
      <c r="A895" s="20" t="s">
        <v>146</v>
      </c>
      <c r="B895" s="55">
        <v>0.45</v>
      </c>
      <c r="C895" s="55">
        <v>1569</v>
      </c>
      <c r="D895" s="55">
        <v>4.7</v>
      </c>
      <c r="E895" s="55">
        <v>0.26</v>
      </c>
    </row>
    <row r="896" spans="1:5" s="21" customFormat="1" x14ac:dyDescent="0.2">
      <c r="A896" s="20" t="s">
        <v>149</v>
      </c>
      <c r="B896" s="55">
        <v>0.45</v>
      </c>
      <c r="C896" s="55">
        <v>1569</v>
      </c>
      <c r="D896" s="55">
        <v>4.7</v>
      </c>
      <c r="E896" s="55">
        <v>0.26</v>
      </c>
    </row>
    <row r="897" spans="1:9" s="21" customFormat="1" x14ac:dyDescent="0.2">
      <c r="A897" s="20" t="s">
        <v>151</v>
      </c>
      <c r="B897" s="55">
        <v>0.45</v>
      </c>
      <c r="C897" s="55">
        <v>1569</v>
      </c>
      <c r="D897" s="55">
        <v>4.7</v>
      </c>
      <c r="E897" s="55">
        <v>0.26</v>
      </c>
    </row>
    <row r="898" spans="1:9" s="21" customFormat="1" x14ac:dyDescent="0.2">
      <c r="A898" s="20" t="s">
        <v>152</v>
      </c>
      <c r="B898" s="55">
        <v>0.45</v>
      </c>
      <c r="C898" s="55">
        <v>1569</v>
      </c>
      <c r="D898" s="55">
        <v>4.7</v>
      </c>
      <c r="E898" s="55">
        <v>0.26</v>
      </c>
    </row>
    <row r="899" spans="1:9" s="21" customFormat="1" x14ac:dyDescent="0.2">
      <c r="A899" s="20" t="s">
        <v>121</v>
      </c>
      <c r="B899" s="55">
        <v>0.34</v>
      </c>
      <c r="C899" s="55">
        <v>1569</v>
      </c>
      <c r="D899" s="55">
        <v>4.7</v>
      </c>
      <c r="E899" s="55">
        <v>0.26</v>
      </c>
    </row>
    <row r="900" spans="1:9" s="21" customFormat="1" x14ac:dyDescent="0.2">
      <c r="A900" s="20" t="s">
        <v>126</v>
      </c>
      <c r="B900" s="55">
        <v>0.34</v>
      </c>
      <c r="C900" s="55">
        <v>1569</v>
      </c>
      <c r="D900" s="55">
        <v>4.7</v>
      </c>
      <c r="E900" s="55">
        <v>0.26</v>
      </c>
    </row>
    <row r="901" spans="1:9" s="21" customFormat="1" x14ac:dyDescent="0.2">
      <c r="A901" s="20" t="s">
        <v>131</v>
      </c>
      <c r="B901" s="55">
        <v>0.34</v>
      </c>
      <c r="C901" s="55">
        <v>1569</v>
      </c>
      <c r="D901" s="55">
        <v>4.7</v>
      </c>
      <c r="E901" s="55">
        <v>0.26</v>
      </c>
    </row>
    <row r="902" spans="1:9" s="21" customFormat="1" x14ac:dyDescent="0.2">
      <c r="A902" s="20" t="s">
        <v>135</v>
      </c>
      <c r="B902" s="55">
        <v>0.34</v>
      </c>
      <c r="C902" s="55">
        <v>1569</v>
      </c>
      <c r="D902" s="55">
        <v>4.7</v>
      </c>
      <c r="E902" s="55">
        <v>0.26</v>
      </c>
    </row>
    <row r="903" spans="1:9" s="21" customFormat="1" x14ac:dyDescent="0.2">
      <c r="A903" s="20" t="s">
        <v>139</v>
      </c>
      <c r="B903" s="55">
        <v>0.34</v>
      </c>
      <c r="C903" s="55">
        <v>1569</v>
      </c>
      <c r="D903" s="55">
        <v>4.7</v>
      </c>
      <c r="E903" s="55">
        <v>0.26</v>
      </c>
    </row>
    <row r="904" spans="1:9" s="21" customFormat="1" x14ac:dyDescent="0.2">
      <c r="A904" s="20" t="s">
        <v>143</v>
      </c>
      <c r="B904" s="55">
        <v>0.34</v>
      </c>
      <c r="C904" s="55">
        <v>1569</v>
      </c>
      <c r="D904" s="55">
        <v>4.7</v>
      </c>
      <c r="E904" s="55">
        <v>0.26</v>
      </c>
    </row>
    <row r="905" spans="1:9" s="21" customFormat="1" x14ac:dyDescent="0.2">
      <c r="A905" s="20" t="s">
        <v>122</v>
      </c>
      <c r="B905" s="55">
        <v>0.36</v>
      </c>
      <c r="C905" s="55">
        <v>1580</v>
      </c>
      <c r="D905" s="55">
        <v>6.8</v>
      </c>
      <c r="E905" s="55">
        <v>0.2</v>
      </c>
    </row>
    <row r="906" spans="1:9" s="21" customFormat="1" x14ac:dyDescent="0.2">
      <c r="A906" s="37" t="s">
        <v>127</v>
      </c>
      <c r="B906" s="579">
        <v>0.36</v>
      </c>
      <c r="C906" s="579">
        <v>1580</v>
      </c>
      <c r="D906" s="579">
        <v>6.8</v>
      </c>
      <c r="E906" s="579">
        <v>0.2</v>
      </c>
    </row>
    <row r="908" spans="1:9" s="329" customFormat="1" x14ac:dyDescent="0.2">
      <c r="A908" s="545" t="s">
        <v>1973</v>
      </c>
    </row>
    <row r="909" spans="1:9" s="18" customFormat="1" x14ac:dyDescent="0.2">
      <c r="A909" s="544" t="s">
        <v>1974</v>
      </c>
      <c r="B909" s="15"/>
      <c r="C909" s="15"/>
      <c r="D909" s="15"/>
      <c r="E909" s="437"/>
      <c r="F909" s="437"/>
      <c r="G909" s="15"/>
      <c r="I909" s="437"/>
    </row>
    <row r="910" spans="1:9" s="106" customFormat="1" x14ac:dyDescent="0.2">
      <c r="A910" s="377" t="s">
        <v>1975</v>
      </c>
      <c r="B910" s="377"/>
      <c r="C910" s="547"/>
      <c r="D910" s="547"/>
      <c r="E910" s="548"/>
      <c r="F910" s="548"/>
      <c r="G910" s="547"/>
      <c r="I910" s="548"/>
    </row>
    <row r="911" spans="1:9" s="21" customFormat="1" x14ac:dyDescent="0.2">
      <c r="A911" s="264"/>
      <c r="B911" s="546" t="s">
        <v>1976</v>
      </c>
      <c r="C911" s="453"/>
      <c r="D911" s="453"/>
      <c r="E911" s="453"/>
      <c r="F911" s="453"/>
      <c r="G911" s="23"/>
    </row>
    <row r="912" spans="1:9" s="21" customFormat="1" x14ac:dyDescent="0.2">
      <c r="A912" s="633" t="s">
        <v>1977</v>
      </c>
      <c r="B912" s="453"/>
      <c r="C912" s="453"/>
      <c r="D912" s="453"/>
      <c r="E912" s="453"/>
      <c r="F912" s="453"/>
      <c r="G912" s="23"/>
    </row>
    <row r="913" spans="1:8" s="21" customFormat="1" x14ac:dyDescent="0.2">
      <c r="A913" s="264" t="s">
        <v>1978</v>
      </c>
      <c r="B913" s="453">
        <v>15</v>
      </c>
      <c r="C913" s="453"/>
      <c r="D913" s="453"/>
      <c r="E913" s="453"/>
      <c r="F913" s="453"/>
      <c r="G913" s="23"/>
    </row>
    <row r="914" spans="1:8" s="292" customFormat="1" x14ac:dyDescent="0.2">
      <c r="A914" s="265" t="s">
        <v>1979</v>
      </c>
      <c r="B914" s="421">
        <v>10</v>
      </c>
      <c r="C914" s="421"/>
      <c r="D914" s="421"/>
      <c r="E914" s="421"/>
      <c r="F914" s="421"/>
      <c r="G914" s="634"/>
    </row>
    <row r="916" spans="1:8" s="635" customFormat="1" x14ac:dyDescent="0.2"/>
    <row r="917" spans="1:8" s="635" customFormat="1" x14ac:dyDescent="0.2">
      <c r="A917" s="642" t="s">
        <v>1980</v>
      </c>
      <c r="G917" s="509"/>
      <c r="H917" s="480"/>
    </row>
    <row r="918" spans="1:8" s="635" customFormat="1" x14ac:dyDescent="0.2">
      <c r="A918" s="642" t="s">
        <v>1981</v>
      </c>
    </row>
    <row r="919" spans="1:8" s="635" customFormat="1" x14ac:dyDescent="0.2">
      <c r="A919" s="642" t="s">
        <v>1982</v>
      </c>
    </row>
    <row r="920" spans="1:8" s="635" customFormat="1" x14ac:dyDescent="0.2">
      <c r="A920" s="636" t="s">
        <v>1983</v>
      </c>
      <c r="B920" s="637"/>
      <c r="C920" s="637"/>
      <c r="D920" s="481" t="s">
        <v>1931</v>
      </c>
      <c r="E920" s="487" t="s">
        <v>1931</v>
      </c>
      <c r="G920" s="188" t="s">
        <v>1554</v>
      </c>
      <c r="H920" s="646" t="s">
        <v>1321</v>
      </c>
    </row>
    <row r="921" spans="1:8" s="635" customFormat="1" x14ac:dyDescent="0.2">
      <c r="A921" s="636" t="s">
        <v>1822</v>
      </c>
      <c r="B921" s="636" t="s">
        <v>1310</v>
      </c>
      <c r="C921" s="636" t="s">
        <v>1880</v>
      </c>
      <c r="D921" s="487" t="s">
        <v>987</v>
      </c>
      <c r="E921" s="487" t="s">
        <v>987</v>
      </c>
      <c r="G921" s="188" t="s">
        <v>1563</v>
      </c>
      <c r="H921" s="209" t="s">
        <v>1329</v>
      </c>
    </row>
    <row r="922" spans="1:8" s="479" customFormat="1" x14ac:dyDescent="0.2">
      <c r="A922" s="638" t="s">
        <v>57</v>
      </c>
      <c r="B922" s="638" t="s">
        <v>57</v>
      </c>
      <c r="C922" s="638" t="s">
        <v>1881</v>
      </c>
      <c r="D922" s="639" t="s">
        <v>1984</v>
      </c>
      <c r="E922" s="639" t="s">
        <v>1985</v>
      </c>
      <c r="G922" s="188" t="s">
        <v>1567</v>
      </c>
      <c r="H922" s="647" t="s">
        <v>1986</v>
      </c>
    </row>
    <row r="923" spans="1:8" s="21" customFormat="1" x14ac:dyDescent="0.2">
      <c r="A923" s="640" t="s">
        <v>1987</v>
      </c>
      <c r="B923" s="640" t="s">
        <v>1988</v>
      </c>
      <c r="C923" s="640" t="s">
        <v>1989</v>
      </c>
      <c r="D923" s="641" t="s">
        <v>251</v>
      </c>
      <c r="E923" s="641" t="s">
        <v>251</v>
      </c>
      <c r="G923" s="188" t="s">
        <v>1571</v>
      </c>
      <c r="H923" s="209" t="s">
        <v>1341</v>
      </c>
    </row>
    <row r="924" spans="1:8" s="291" customFormat="1" x14ac:dyDescent="0.2">
      <c r="A924" s="63" t="s">
        <v>118</v>
      </c>
      <c r="B924" s="408" t="s">
        <v>1552</v>
      </c>
      <c r="C924" s="63" t="str">
        <f t="shared" ref="C924:C929" si="129">CONCATENATE(A924,B924)</f>
        <v>Tropical rainforestEastern Africa</v>
      </c>
      <c r="D924" s="44">
        <v>3.5</v>
      </c>
      <c r="E924" s="44">
        <v>7.6</v>
      </c>
    </row>
    <row r="925" spans="1:8" s="21" customFormat="1" x14ac:dyDescent="0.2">
      <c r="A925" s="20" t="s">
        <v>118</v>
      </c>
      <c r="B925" s="401" t="s">
        <v>1557</v>
      </c>
      <c r="C925" s="20" t="str">
        <f t="shared" si="129"/>
        <v>Tropical rainforestCentral Africa</v>
      </c>
      <c r="D925" s="41">
        <v>3.5</v>
      </c>
      <c r="E925" s="41">
        <v>7.6</v>
      </c>
    </row>
    <row r="926" spans="1:8" s="21" customFormat="1" x14ac:dyDescent="0.2">
      <c r="A926" s="20" t="s">
        <v>118</v>
      </c>
      <c r="B926" s="401" t="s">
        <v>1559</v>
      </c>
      <c r="C926" s="20" t="str">
        <f t="shared" si="129"/>
        <v>Tropical rainforestNorthern Africa</v>
      </c>
      <c r="D926" s="41">
        <v>3.5</v>
      </c>
      <c r="E926" s="41">
        <v>7.6</v>
      </c>
    </row>
    <row r="927" spans="1:8" s="21" customFormat="1" x14ac:dyDescent="0.2">
      <c r="A927" s="20" t="s">
        <v>118</v>
      </c>
      <c r="B927" s="401" t="s">
        <v>1565</v>
      </c>
      <c r="C927" s="20" t="str">
        <f t="shared" si="129"/>
        <v>Tropical rainforestSouthern Africa</v>
      </c>
      <c r="D927" s="41">
        <v>3.5</v>
      </c>
      <c r="E927" s="41">
        <v>7.6</v>
      </c>
    </row>
    <row r="928" spans="1:8" s="21" customFormat="1" x14ac:dyDescent="0.2">
      <c r="A928" s="20" t="s">
        <v>118</v>
      </c>
      <c r="B928" s="401" t="s">
        <v>1569</v>
      </c>
      <c r="C928" s="20" t="str">
        <f t="shared" si="129"/>
        <v>Tropical rainforestWestern Africa</v>
      </c>
      <c r="D928" s="41">
        <v>3.5</v>
      </c>
      <c r="E928" s="41">
        <v>7.6</v>
      </c>
    </row>
    <row r="929" spans="1:5" s="21" customFormat="1" x14ac:dyDescent="0.2">
      <c r="A929" s="20" t="s">
        <v>118</v>
      </c>
      <c r="B929" s="401" t="s">
        <v>1550</v>
      </c>
      <c r="C929" s="20" t="str">
        <f t="shared" si="129"/>
        <v>Tropical rainforestCentral Asia</v>
      </c>
      <c r="D929" s="41">
        <v>2.7</v>
      </c>
      <c r="E929" s="41">
        <v>3.4</v>
      </c>
    </row>
    <row r="930" spans="1:5" s="21" customFormat="1" x14ac:dyDescent="0.2">
      <c r="A930" s="20" t="s">
        <v>118</v>
      </c>
      <c r="B930" s="401" t="s">
        <v>1554</v>
      </c>
      <c r="C930" s="20" t="str">
        <f t="shared" ref="C930:C946" si="130">CONCATENATE(A930,B930)</f>
        <v>Tropical rainforestEastern Asia</v>
      </c>
      <c r="D930" s="41">
        <v>2.7</v>
      </c>
      <c r="E930" s="41">
        <v>3.4</v>
      </c>
    </row>
    <row r="931" spans="1:5" s="21" customFormat="1" x14ac:dyDescent="0.2">
      <c r="A931" s="20" t="s">
        <v>118</v>
      </c>
      <c r="B931" s="401" t="s">
        <v>1563</v>
      </c>
      <c r="C931" s="20" t="str">
        <f t="shared" si="130"/>
        <v>Tropical rainforestSouth-eastern Asia</v>
      </c>
      <c r="D931" s="41">
        <v>2.7</v>
      </c>
      <c r="E931" s="41">
        <v>3.4</v>
      </c>
    </row>
    <row r="932" spans="1:5" s="21" customFormat="1" x14ac:dyDescent="0.2">
      <c r="A932" s="20" t="s">
        <v>118</v>
      </c>
      <c r="B932" s="401" t="s">
        <v>1567</v>
      </c>
      <c r="C932" s="20" t="str">
        <f t="shared" si="130"/>
        <v>Tropical rainforestSouthern Asia</v>
      </c>
      <c r="D932" s="41">
        <v>2.7</v>
      </c>
      <c r="E932" s="41">
        <v>3.4</v>
      </c>
    </row>
    <row r="933" spans="1:5" s="21" customFormat="1" x14ac:dyDescent="0.2">
      <c r="A933" s="20" t="s">
        <v>118</v>
      </c>
      <c r="B933" s="401" t="s">
        <v>1571</v>
      </c>
      <c r="C933" s="20" t="str">
        <f t="shared" si="130"/>
        <v>Tropical rainforestWestern Asia</v>
      </c>
      <c r="D933" s="41">
        <v>2.7</v>
      </c>
      <c r="E933" s="41">
        <v>3.4</v>
      </c>
    </row>
    <row r="934" spans="1:5" s="21" customFormat="1" x14ac:dyDescent="0.2">
      <c r="A934" s="20" t="s">
        <v>118</v>
      </c>
      <c r="B934" s="401" t="s">
        <v>1555</v>
      </c>
      <c r="C934" s="20" t="str">
        <f t="shared" si="130"/>
        <v>Tropical rainforestEurope</v>
      </c>
      <c r="D934" s="163">
        <v>7</v>
      </c>
      <c r="E934" s="163">
        <v>7</v>
      </c>
    </row>
    <row r="935" spans="1:5" s="21" customFormat="1" x14ac:dyDescent="0.2">
      <c r="A935" s="20" t="s">
        <v>118</v>
      </c>
      <c r="B935" s="401" t="s">
        <v>1346</v>
      </c>
      <c r="C935" s="20" t="str">
        <f t="shared" si="130"/>
        <v>Tropical rainforestOceania</v>
      </c>
      <c r="D935" s="163">
        <v>7</v>
      </c>
      <c r="E935" s="163">
        <v>7</v>
      </c>
    </row>
    <row r="936" spans="1:5" s="21" customFormat="1" x14ac:dyDescent="0.2">
      <c r="A936" s="20" t="s">
        <v>118</v>
      </c>
      <c r="B936" s="401" t="s">
        <v>1343</v>
      </c>
      <c r="C936" s="20" t="str">
        <f t="shared" si="130"/>
        <v>Tropical rainforestNorth America</v>
      </c>
      <c r="D936" s="41">
        <v>2.2999999999999998</v>
      </c>
      <c r="E936" s="41">
        <v>5.9</v>
      </c>
    </row>
    <row r="937" spans="1:5" s="21" customFormat="1" x14ac:dyDescent="0.2">
      <c r="A937" s="20" t="s">
        <v>118</v>
      </c>
      <c r="B937" s="401" t="s">
        <v>1349</v>
      </c>
      <c r="C937" s="20" t="str">
        <f t="shared" si="130"/>
        <v>Tropical rainforestSouth America</v>
      </c>
      <c r="D937" s="41">
        <v>2.2999999999999998</v>
      </c>
      <c r="E937" s="41">
        <v>5.9</v>
      </c>
    </row>
    <row r="938" spans="1:5" s="21" customFormat="1" x14ac:dyDescent="0.2">
      <c r="A938" s="20" t="s">
        <v>118</v>
      </c>
      <c r="B938" s="401" t="s">
        <v>1333</v>
      </c>
      <c r="C938" s="20" t="str">
        <f t="shared" si="130"/>
        <v>Tropical rainforestCentral America</v>
      </c>
      <c r="D938" s="363">
        <v>2.2999999999999998</v>
      </c>
      <c r="E938" s="363">
        <v>5.9</v>
      </c>
    </row>
    <row r="939" spans="1:5" s="292" customFormat="1" x14ac:dyDescent="0.2">
      <c r="A939" s="37" t="s">
        <v>118</v>
      </c>
      <c r="B939" s="402" t="s">
        <v>1547</v>
      </c>
      <c r="C939" s="37" t="str">
        <f t="shared" si="130"/>
        <v>Tropical rainforestCaribbean</v>
      </c>
      <c r="D939" s="363">
        <v>2.2999999999999998</v>
      </c>
      <c r="E939" s="363">
        <v>5.9</v>
      </c>
    </row>
    <row r="940" spans="1:5" s="291" customFormat="1" x14ac:dyDescent="0.2">
      <c r="A940" s="63" t="s">
        <v>123</v>
      </c>
      <c r="B940" s="408" t="s">
        <v>1552</v>
      </c>
      <c r="C940" s="63" t="str">
        <f t="shared" si="130"/>
        <v>Tropical moist deciduous forestEastern Africa</v>
      </c>
      <c r="D940" s="44">
        <v>0.9</v>
      </c>
      <c r="E940" s="44">
        <v>2.9</v>
      </c>
    </row>
    <row r="941" spans="1:5" s="21" customFormat="1" x14ac:dyDescent="0.2">
      <c r="A941" s="20" t="s">
        <v>123</v>
      </c>
      <c r="B941" s="401" t="s">
        <v>1557</v>
      </c>
      <c r="C941" s="20" t="str">
        <f t="shared" si="130"/>
        <v>Tropical moist deciduous forestCentral Africa</v>
      </c>
      <c r="D941" s="41">
        <v>0.9</v>
      </c>
      <c r="E941" s="41">
        <v>2.9</v>
      </c>
    </row>
    <row r="942" spans="1:5" s="21" customFormat="1" x14ac:dyDescent="0.2">
      <c r="A942" s="20" t="s">
        <v>123</v>
      </c>
      <c r="B942" s="401" t="s">
        <v>1559</v>
      </c>
      <c r="C942" s="20" t="str">
        <f t="shared" si="130"/>
        <v>Tropical moist deciduous forestNorthern Africa</v>
      </c>
      <c r="D942" s="41">
        <v>0.9</v>
      </c>
      <c r="E942" s="41">
        <v>2.9</v>
      </c>
    </row>
    <row r="943" spans="1:5" s="21" customFormat="1" x14ac:dyDescent="0.2">
      <c r="A943" s="20" t="s">
        <v>123</v>
      </c>
      <c r="B943" s="401" t="s">
        <v>1565</v>
      </c>
      <c r="C943" s="20" t="str">
        <f t="shared" si="130"/>
        <v>Tropical moist deciduous forestSouthern Africa</v>
      </c>
      <c r="D943" s="41">
        <v>0.9</v>
      </c>
      <c r="E943" s="41">
        <v>2.9</v>
      </c>
    </row>
    <row r="944" spans="1:5" s="21" customFormat="1" x14ac:dyDescent="0.2">
      <c r="A944" s="20" t="s">
        <v>123</v>
      </c>
      <c r="B944" s="401" t="s">
        <v>1569</v>
      </c>
      <c r="C944" s="20" t="str">
        <f t="shared" si="130"/>
        <v>Tropical moist deciduous forestWestern Africa</v>
      </c>
      <c r="D944" s="41">
        <v>0.9</v>
      </c>
      <c r="E944" s="41">
        <v>2.9</v>
      </c>
    </row>
    <row r="945" spans="1:5" s="21" customFormat="1" x14ac:dyDescent="0.2">
      <c r="A945" s="20" t="s">
        <v>123</v>
      </c>
      <c r="B945" s="401" t="s">
        <v>1550</v>
      </c>
      <c r="C945" s="20" t="str">
        <f t="shared" si="130"/>
        <v>Tropical moist deciduous forestCentral Asia</v>
      </c>
      <c r="D945" s="41">
        <v>0.9</v>
      </c>
      <c r="E945" s="41">
        <v>2.4</v>
      </c>
    </row>
    <row r="946" spans="1:5" s="21" customFormat="1" x14ac:dyDescent="0.2">
      <c r="A946" s="20" t="s">
        <v>123</v>
      </c>
      <c r="B946" s="401" t="s">
        <v>1554</v>
      </c>
      <c r="C946" s="20" t="str">
        <f t="shared" si="130"/>
        <v>Tropical moist deciduous forestEastern Asia</v>
      </c>
      <c r="D946" s="41">
        <v>0.9</v>
      </c>
      <c r="E946" s="41">
        <v>2.4</v>
      </c>
    </row>
    <row r="947" spans="1:5" s="21" customFormat="1" x14ac:dyDescent="0.2">
      <c r="A947" s="20" t="s">
        <v>123</v>
      </c>
      <c r="B947" s="401" t="s">
        <v>1563</v>
      </c>
      <c r="C947" s="20" t="str">
        <f t="shared" ref="C947:C987" si="131">CONCATENATE(A947,B947)</f>
        <v>Tropical moist deciduous forestSouth-eastern Asia</v>
      </c>
      <c r="D947" s="41">
        <v>0.9</v>
      </c>
      <c r="E947" s="41">
        <v>2.4</v>
      </c>
    </row>
    <row r="948" spans="1:5" s="21" customFormat="1" x14ac:dyDescent="0.2">
      <c r="A948" s="20" t="s">
        <v>123</v>
      </c>
      <c r="B948" s="401" t="s">
        <v>1567</v>
      </c>
      <c r="C948" s="20" t="str">
        <f t="shared" si="131"/>
        <v>Tropical moist deciduous forestSouthern Asia</v>
      </c>
      <c r="D948" s="41">
        <v>0.9</v>
      </c>
      <c r="E948" s="41">
        <v>2.4</v>
      </c>
    </row>
    <row r="949" spans="1:5" s="21" customFormat="1" x14ac:dyDescent="0.2">
      <c r="A949" s="20" t="s">
        <v>123</v>
      </c>
      <c r="B949" s="401" t="s">
        <v>1571</v>
      </c>
      <c r="C949" s="20" t="str">
        <f t="shared" si="131"/>
        <v>Tropical moist deciduous forestWestern Asia</v>
      </c>
      <c r="D949" s="41">
        <v>0.9</v>
      </c>
      <c r="E949" s="41">
        <v>2.4</v>
      </c>
    </row>
    <row r="950" spans="1:5" s="21" customFormat="1" x14ac:dyDescent="0.2">
      <c r="A950" s="20" t="s">
        <v>123</v>
      </c>
      <c r="B950" s="401" t="s">
        <v>1555</v>
      </c>
      <c r="C950" s="20" t="str">
        <f t="shared" si="131"/>
        <v>Tropical moist deciduous forestEurope</v>
      </c>
      <c r="D950" s="163">
        <v>5</v>
      </c>
      <c r="E950" s="163">
        <v>5</v>
      </c>
    </row>
    <row r="951" spans="1:5" s="21" customFormat="1" x14ac:dyDescent="0.2">
      <c r="A951" s="20" t="s">
        <v>123</v>
      </c>
      <c r="B951" s="401" t="s">
        <v>1346</v>
      </c>
      <c r="C951" s="20" t="str">
        <f t="shared" si="131"/>
        <v>Tropical moist deciduous forestOceania</v>
      </c>
      <c r="D951" s="163">
        <v>5</v>
      </c>
      <c r="E951" s="163">
        <v>5</v>
      </c>
    </row>
    <row r="952" spans="1:5" s="21" customFormat="1" x14ac:dyDescent="0.2">
      <c r="A952" s="20" t="s">
        <v>123</v>
      </c>
      <c r="B952" s="401" t="s">
        <v>1343</v>
      </c>
      <c r="C952" s="20" t="str">
        <f t="shared" si="131"/>
        <v>Tropical moist deciduous forestNorth America</v>
      </c>
      <c r="D952" s="41">
        <v>2.7</v>
      </c>
      <c r="E952" s="41">
        <v>5.2</v>
      </c>
    </row>
    <row r="953" spans="1:5" s="21" customFormat="1" x14ac:dyDescent="0.2">
      <c r="A953" s="20" t="s">
        <v>123</v>
      </c>
      <c r="B953" s="401" t="s">
        <v>1349</v>
      </c>
      <c r="C953" s="20" t="str">
        <f t="shared" si="131"/>
        <v>Tropical moist deciduous forestSouth America</v>
      </c>
      <c r="D953" s="41">
        <v>2.7</v>
      </c>
      <c r="E953" s="41">
        <v>5.2</v>
      </c>
    </row>
    <row r="954" spans="1:5" s="21" customFormat="1" x14ac:dyDescent="0.2">
      <c r="A954" s="20" t="s">
        <v>123</v>
      </c>
      <c r="B954" s="401" t="s">
        <v>1333</v>
      </c>
      <c r="C954" s="20" t="str">
        <f t="shared" si="131"/>
        <v>Tropical moist deciduous forestCentral America</v>
      </c>
      <c r="D954" s="363">
        <v>2.7</v>
      </c>
      <c r="E954" s="363">
        <v>5.2</v>
      </c>
    </row>
    <row r="955" spans="1:5" s="292" customFormat="1" x14ac:dyDescent="0.2">
      <c r="A955" s="37" t="s">
        <v>123</v>
      </c>
      <c r="B955" s="402" t="s">
        <v>1547</v>
      </c>
      <c r="C955" s="37" t="str">
        <f t="shared" si="131"/>
        <v>Tropical moist deciduous forestCaribbean</v>
      </c>
      <c r="D955" s="363">
        <v>2.7</v>
      </c>
      <c r="E955" s="363">
        <v>5.2</v>
      </c>
    </row>
    <row r="956" spans="1:5" s="291" customFormat="1" x14ac:dyDescent="0.2">
      <c r="A956" s="63" t="s">
        <v>128</v>
      </c>
      <c r="B956" s="408" t="s">
        <v>1552</v>
      </c>
      <c r="C956" s="63" t="str">
        <f>CONCATENATE(A956,B956)</f>
        <v>Tropical dry forestEastern Africa</v>
      </c>
      <c r="D956" s="44">
        <v>1.6</v>
      </c>
      <c r="E956" s="44">
        <v>3.9</v>
      </c>
    </row>
    <row r="957" spans="1:5" s="21" customFormat="1" x14ac:dyDescent="0.2">
      <c r="A957" s="20" t="s">
        <v>128</v>
      </c>
      <c r="B957" s="401" t="s">
        <v>1557</v>
      </c>
      <c r="C957" s="20" t="str">
        <f t="shared" si="131"/>
        <v>Tropical dry forestCentral Africa</v>
      </c>
      <c r="D957" s="41">
        <v>1.6</v>
      </c>
      <c r="E957" s="41">
        <v>3.9</v>
      </c>
    </row>
    <row r="958" spans="1:5" s="21" customFormat="1" x14ac:dyDescent="0.2">
      <c r="A958" s="20" t="s">
        <v>128</v>
      </c>
      <c r="B958" s="401" t="s">
        <v>1559</v>
      </c>
      <c r="C958" s="20" t="str">
        <f t="shared" si="131"/>
        <v>Tropical dry forestNorthern Africa</v>
      </c>
      <c r="D958" s="41">
        <v>1.6</v>
      </c>
      <c r="E958" s="41">
        <v>3.9</v>
      </c>
    </row>
    <row r="959" spans="1:5" s="21" customFormat="1" x14ac:dyDescent="0.2">
      <c r="A959" s="20" t="s">
        <v>128</v>
      </c>
      <c r="B959" s="401" t="s">
        <v>1565</v>
      </c>
      <c r="C959" s="20" t="str">
        <f t="shared" si="131"/>
        <v>Tropical dry forestSouthern Africa</v>
      </c>
      <c r="D959" s="41">
        <v>1.6</v>
      </c>
      <c r="E959" s="41">
        <v>3.9</v>
      </c>
    </row>
    <row r="960" spans="1:5" s="21" customFormat="1" x14ac:dyDescent="0.2">
      <c r="A960" s="20" t="s">
        <v>128</v>
      </c>
      <c r="B960" s="401" t="s">
        <v>1569</v>
      </c>
      <c r="C960" s="20" t="str">
        <f t="shared" si="131"/>
        <v>Tropical dry forestWestern Africa</v>
      </c>
      <c r="D960" s="41">
        <v>1.6</v>
      </c>
      <c r="E960" s="41">
        <v>3.9</v>
      </c>
    </row>
    <row r="961" spans="1:5" s="21" customFormat="1" x14ac:dyDescent="0.2">
      <c r="A961" s="20" t="s">
        <v>128</v>
      </c>
      <c r="B961" s="401" t="s">
        <v>1550</v>
      </c>
      <c r="C961" s="20" t="str">
        <f t="shared" si="131"/>
        <v>Tropical dry forestCentral Asia</v>
      </c>
      <c r="D961" s="41">
        <v>1.6</v>
      </c>
      <c r="E961" s="41">
        <v>3.9</v>
      </c>
    </row>
    <row r="962" spans="1:5" s="21" customFormat="1" x14ac:dyDescent="0.2">
      <c r="A962" s="20" t="s">
        <v>128</v>
      </c>
      <c r="B962" s="401" t="s">
        <v>1554</v>
      </c>
      <c r="C962" s="20" t="str">
        <f t="shared" si="131"/>
        <v>Tropical dry forestEastern Asia</v>
      </c>
      <c r="D962" s="41">
        <v>1.6</v>
      </c>
      <c r="E962" s="41">
        <v>3.9</v>
      </c>
    </row>
    <row r="963" spans="1:5" s="21" customFormat="1" x14ac:dyDescent="0.2">
      <c r="A963" s="20" t="s">
        <v>128</v>
      </c>
      <c r="B963" s="401" t="s">
        <v>1563</v>
      </c>
      <c r="C963" s="20" t="str">
        <f t="shared" si="131"/>
        <v>Tropical dry forestSouth-eastern Asia</v>
      </c>
      <c r="D963" s="41">
        <v>1.6</v>
      </c>
      <c r="E963" s="41">
        <v>3.9</v>
      </c>
    </row>
    <row r="964" spans="1:5" s="21" customFormat="1" x14ac:dyDescent="0.2">
      <c r="A964" s="20" t="s">
        <v>128</v>
      </c>
      <c r="B964" s="401" t="s">
        <v>1567</v>
      </c>
      <c r="C964" s="20" t="str">
        <f t="shared" si="131"/>
        <v>Tropical dry forestSouthern Asia</v>
      </c>
      <c r="D964" s="41">
        <v>1.6</v>
      </c>
      <c r="E964" s="41">
        <v>3.9</v>
      </c>
    </row>
    <row r="965" spans="1:5" s="21" customFormat="1" x14ac:dyDescent="0.2">
      <c r="A965" s="20" t="s">
        <v>128</v>
      </c>
      <c r="B965" s="401" t="s">
        <v>1571</v>
      </c>
      <c r="C965" s="20" t="str">
        <f t="shared" si="131"/>
        <v>Tropical dry forestWestern Asia</v>
      </c>
      <c r="D965" s="41">
        <v>1.6</v>
      </c>
      <c r="E965" s="41">
        <v>3.9</v>
      </c>
    </row>
    <row r="966" spans="1:5" s="21" customFormat="1" x14ac:dyDescent="0.2">
      <c r="A966" s="20" t="s">
        <v>128</v>
      </c>
      <c r="B966" s="401" t="s">
        <v>1555</v>
      </c>
      <c r="C966" s="20" t="str">
        <f t="shared" si="131"/>
        <v>Tropical dry forestEurope</v>
      </c>
      <c r="D966" s="163">
        <v>2.4</v>
      </c>
      <c r="E966" s="163">
        <v>2.4</v>
      </c>
    </row>
    <row r="967" spans="1:5" s="21" customFormat="1" x14ac:dyDescent="0.2">
      <c r="A967" s="20" t="s">
        <v>128</v>
      </c>
      <c r="B967" s="401" t="s">
        <v>1346</v>
      </c>
      <c r="C967" s="20" t="str">
        <f t="shared" si="131"/>
        <v>Tropical dry forestOceania</v>
      </c>
      <c r="D967" s="163">
        <v>2.4</v>
      </c>
      <c r="E967" s="163">
        <v>2.4</v>
      </c>
    </row>
    <row r="968" spans="1:5" s="21" customFormat="1" x14ac:dyDescent="0.2">
      <c r="A968" s="20" t="s">
        <v>128</v>
      </c>
      <c r="B968" s="401" t="s">
        <v>1343</v>
      </c>
      <c r="C968" s="20" t="str">
        <f t="shared" si="131"/>
        <v>Tropical dry forestNorth America</v>
      </c>
      <c r="D968" s="41">
        <v>1.6</v>
      </c>
      <c r="E968" s="41">
        <v>3.9</v>
      </c>
    </row>
    <row r="969" spans="1:5" s="21" customFormat="1" x14ac:dyDescent="0.2">
      <c r="A969" s="20" t="s">
        <v>128</v>
      </c>
      <c r="B969" s="401" t="s">
        <v>1349</v>
      </c>
      <c r="C969" s="20" t="str">
        <f t="shared" si="131"/>
        <v>Tropical dry forestSouth America</v>
      </c>
      <c r="D969" s="41">
        <v>1.6</v>
      </c>
      <c r="E969" s="41">
        <v>3.9</v>
      </c>
    </row>
    <row r="970" spans="1:5" s="21" customFormat="1" x14ac:dyDescent="0.2">
      <c r="A970" s="20" t="s">
        <v>128</v>
      </c>
      <c r="B970" s="401" t="s">
        <v>1333</v>
      </c>
      <c r="C970" s="20" t="str">
        <f t="shared" si="131"/>
        <v>Tropical dry forestCentral America</v>
      </c>
      <c r="D970" s="363">
        <v>1.6</v>
      </c>
      <c r="E970" s="363">
        <v>3.9</v>
      </c>
    </row>
    <row r="971" spans="1:5" s="292" customFormat="1" x14ac:dyDescent="0.2">
      <c r="A971" s="37" t="s">
        <v>128</v>
      </c>
      <c r="B971" s="402" t="s">
        <v>1547</v>
      </c>
      <c r="C971" s="37" t="str">
        <f t="shared" si="131"/>
        <v>Tropical dry forestCaribbean</v>
      </c>
      <c r="D971" s="363">
        <v>1.6</v>
      </c>
      <c r="E971" s="363">
        <v>3.9</v>
      </c>
    </row>
    <row r="972" spans="1:5" s="291" customFormat="1" x14ac:dyDescent="0.2">
      <c r="A972" s="63" t="s">
        <v>132</v>
      </c>
      <c r="B972" s="408" t="s">
        <v>1552</v>
      </c>
      <c r="C972" s="63" t="str">
        <f>CONCATENATE(A972,B972)</f>
        <v>Tropical shrublandEastern Africa</v>
      </c>
      <c r="D972" s="490">
        <v>0.9</v>
      </c>
      <c r="E972" s="491">
        <f>AVERAGE(0.2,0.7)</f>
        <v>0.44999999999999996</v>
      </c>
    </row>
    <row r="973" spans="1:5" s="21" customFormat="1" x14ac:dyDescent="0.2">
      <c r="A973" s="20" t="s">
        <v>132</v>
      </c>
      <c r="B973" s="401" t="s">
        <v>1557</v>
      </c>
      <c r="C973" s="20" t="str">
        <f>CONCATENATE(A973,B973)</f>
        <v>Tropical shrublandCentral Africa</v>
      </c>
      <c r="D973" s="492">
        <v>0.9</v>
      </c>
      <c r="E973" s="471">
        <f>AVERAGE(0.2,0.7)</f>
        <v>0.44999999999999996</v>
      </c>
    </row>
    <row r="974" spans="1:5" s="21" customFormat="1" x14ac:dyDescent="0.2">
      <c r="A974" s="20" t="s">
        <v>132</v>
      </c>
      <c r="B974" s="401" t="s">
        <v>1559</v>
      </c>
      <c r="C974" s="20" t="str">
        <f t="shared" si="131"/>
        <v>Tropical shrublandNorthern Africa</v>
      </c>
      <c r="D974" s="492">
        <v>0.9</v>
      </c>
      <c r="E974" s="471">
        <f>AVERAGE(0.2,0.7)</f>
        <v>0.44999999999999996</v>
      </c>
    </row>
    <row r="975" spans="1:5" s="21" customFormat="1" x14ac:dyDescent="0.2">
      <c r="A975" s="20" t="s">
        <v>132</v>
      </c>
      <c r="B975" s="401" t="s">
        <v>1565</v>
      </c>
      <c r="C975" s="20" t="str">
        <f t="shared" si="131"/>
        <v>Tropical shrublandSouthern Africa</v>
      </c>
      <c r="D975" s="492">
        <v>0.9</v>
      </c>
      <c r="E975" s="471">
        <f>AVERAGE(0.2,0.7)</f>
        <v>0.44999999999999996</v>
      </c>
    </row>
    <row r="976" spans="1:5" s="21" customFormat="1" x14ac:dyDescent="0.2">
      <c r="A976" s="20" t="s">
        <v>132</v>
      </c>
      <c r="B976" s="401" t="s">
        <v>1569</v>
      </c>
      <c r="C976" s="20" t="str">
        <f t="shared" si="131"/>
        <v>Tropical shrublandWestern Africa</v>
      </c>
      <c r="D976" s="492">
        <v>0.9</v>
      </c>
      <c r="E976" s="471">
        <f>AVERAGE(0.2,0.7)</f>
        <v>0.44999999999999996</v>
      </c>
    </row>
    <row r="977" spans="1:5" s="21" customFormat="1" x14ac:dyDescent="0.2">
      <c r="A977" s="20" t="s">
        <v>132</v>
      </c>
      <c r="B977" s="401" t="s">
        <v>1550</v>
      </c>
      <c r="C977" s="20" t="str">
        <f t="shared" si="131"/>
        <v>Tropical shrublandCentral Asia</v>
      </c>
      <c r="D977" s="492">
        <f>AVERAGE(1,1.3)</f>
        <v>1.1499999999999999</v>
      </c>
      <c r="E977" s="471">
        <f>AVERAGE(2,5)</f>
        <v>3.5</v>
      </c>
    </row>
    <row r="978" spans="1:5" s="21" customFormat="1" x14ac:dyDescent="0.2">
      <c r="A978" s="20" t="s">
        <v>132</v>
      </c>
      <c r="B978" s="401" t="s">
        <v>1554</v>
      </c>
      <c r="C978" s="20" t="str">
        <f t="shared" si="131"/>
        <v>Tropical shrublandEastern Asia</v>
      </c>
      <c r="D978" s="492">
        <f>AVERAGE(1,1.3)</f>
        <v>1.1499999999999999</v>
      </c>
      <c r="E978" s="471">
        <f>AVERAGE(2,5)</f>
        <v>3.5</v>
      </c>
    </row>
    <row r="979" spans="1:5" s="21" customFormat="1" x14ac:dyDescent="0.2">
      <c r="A979" s="20" t="s">
        <v>132</v>
      </c>
      <c r="B979" s="401" t="s">
        <v>1563</v>
      </c>
      <c r="C979" s="20" t="str">
        <f t="shared" si="131"/>
        <v>Tropical shrublandSouth-eastern Asia</v>
      </c>
      <c r="D979" s="492">
        <f>AVERAGE(1,1.3)</f>
        <v>1.1499999999999999</v>
      </c>
      <c r="E979" s="471">
        <f>AVERAGE(2,5)</f>
        <v>3.5</v>
      </c>
    </row>
    <row r="980" spans="1:5" s="21" customFormat="1" x14ac:dyDescent="0.2">
      <c r="A980" s="20" t="s">
        <v>132</v>
      </c>
      <c r="B980" s="401" t="s">
        <v>1567</v>
      </c>
      <c r="C980" s="20" t="str">
        <f t="shared" si="131"/>
        <v>Tropical shrublandSouthern Asia</v>
      </c>
      <c r="D980" s="492">
        <f>AVERAGE(1,1.3)</f>
        <v>1.1499999999999999</v>
      </c>
      <c r="E980" s="471">
        <f>AVERAGE(2,5)</f>
        <v>3.5</v>
      </c>
    </row>
    <row r="981" spans="1:5" s="21" customFormat="1" x14ac:dyDescent="0.2">
      <c r="A981" s="20" t="s">
        <v>132</v>
      </c>
      <c r="B981" s="401" t="s">
        <v>1571</v>
      </c>
      <c r="C981" s="20" t="str">
        <f t="shared" si="131"/>
        <v>Tropical shrublandWestern Asia</v>
      </c>
      <c r="D981" s="492">
        <f>AVERAGE(1,1.3)</f>
        <v>1.1499999999999999</v>
      </c>
      <c r="E981" s="471">
        <f>AVERAGE(2,5)</f>
        <v>3.5</v>
      </c>
    </row>
    <row r="982" spans="1:5" s="21" customFormat="1" x14ac:dyDescent="0.2">
      <c r="A982" s="20" t="s">
        <v>132</v>
      </c>
      <c r="B982" s="401" t="s">
        <v>1555</v>
      </c>
      <c r="C982" s="20" t="str">
        <f t="shared" si="131"/>
        <v>Tropical shrublandEurope</v>
      </c>
      <c r="D982" s="644">
        <v>1</v>
      </c>
      <c r="E982" s="643">
        <v>1</v>
      </c>
    </row>
    <row r="983" spans="1:5" s="21" customFormat="1" x14ac:dyDescent="0.2">
      <c r="A983" s="20" t="s">
        <v>132</v>
      </c>
      <c r="B983" s="401" t="s">
        <v>1346</v>
      </c>
      <c r="C983" s="20" t="str">
        <f t="shared" si="131"/>
        <v>Tropical shrublandOceania</v>
      </c>
      <c r="D983" s="644">
        <v>1</v>
      </c>
      <c r="E983" s="643">
        <v>1</v>
      </c>
    </row>
    <row r="984" spans="1:5" s="21" customFormat="1" x14ac:dyDescent="0.2">
      <c r="A984" s="20" t="s">
        <v>132</v>
      </c>
      <c r="B984" s="401" t="s">
        <v>1343</v>
      </c>
      <c r="C984" s="20" t="str">
        <f t="shared" si="131"/>
        <v>Tropical shrublandNorth America</v>
      </c>
      <c r="D984" s="492">
        <v>1</v>
      </c>
      <c r="E984" s="471">
        <v>4</v>
      </c>
    </row>
    <row r="985" spans="1:5" s="21" customFormat="1" x14ac:dyDescent="0.2">
      <c r="A985" s="20" t="s">
        <v>132</v>
      </c>
      <c r="B985" s="401" t="s">
        <v>1349</v>
      </c>
      <c r="C985" s="20" t="str">
        <f t="shared" si="131"/>
        <v>Tropical shrublandSouth America</v>
      </c>
      <c r="D985" s="492">
        <v>1</v>
      </c>
      <c r="E985" s="471">
        <v>4</v>
      </c>
    </row>
    <row r="986" spans="1:5" s="21" customFormat="1" x14ac:dyDescent="0.2">
      <c r="A986" s="20" t="s">
        <v>132</v>
      </c>
      <c r="B986" s="401" t="s">
        <v>1333</v>
      </c>
      <c r="C986" s="20" t="str">
        <f t="shared" si="131"/>
        <v>Tropical shrublandCentral America</v>
      </c>
      <c r="D986" s="648">
        <v>1</v>
      </c>
      <c r="E986" s="649">
        <v>4</v>
      </c>
    </row>
    <row r="987" spans="1:5" s="292" customFormat="1" x14ac:dyDescent="0.2">
      <c r="A987" s="37" t="s">
        <v>132</v>
      </c>
      <c r="B987" s="402" t="s">
        <v>1547</v>
      </c>
      <c r="C987" s="37" t="str">
        <f t="shared" si="131"/>
        <v>Tropical shrublandCaribbean</v>
      </c>
      <c r="D987" s="648">
        <v>1</v>
      </c>
      <c r="E987" s="649">
        <v>4</v>
      </c>
    </row>
    <row r="988" spans="1:5" s="291" customFormat="1" x14ac:dyDescent="0.2">
      <c r="A988" s="63" t="s">
        <v>119</v>
      </c>
      <c r="B988" s="408" t="s">
        <v>1552</v>
      </c>
      <c r="C988" s="63" t="str">
        <f>CONCATENATE(A988,B988)</f>
        <v>Subtropical humid forestEastern Africa</v>
      </c>
      <c r="D988" s="44">
        <v>1</v>
      </c>
      <c r="E988" s="44">
        <v>2.5</v>
      </c>
    </row>
    <row r="989" spans="1:5" s="21" customFormat="1" x14ac:dyDescent="0.2">
      <c r="A989" s="20" t="s">
        <v>119</v>
      </c>
      <c r="B989" s="401" t="s">
        <v>1557</v>
      </c>
      <c r="C989" s="20" t="str">
        <f t="shared" ref="C989:C1052" si="132">CONCATENATE(A989,B989)</f>
        <v>Subtropical humid forestCentral Africa</v>
      </c>
      <c r="D989" s="41">
        <v>1</v>
      </c>
      <c r="E989" s="41">
        <v>2.5</v>
      </c>
    </row>
    <row r="990" spans="1:5" s="21" customFormat="1" x14ac:dyDescent="0.2">
      <c r="A990" s="20" t="s">
        <v>119</v>
      </c>
      <c r="B990" s="401" t="s">
        <v>1559</v>
      </c>
      <c r="C990" s="20" t="str">
        <f t="shared" si="132"/>
        <v>Subtropical humid forestNorthern Africa</v>
      </c>
      <c r="D990" s="41">
        <v>1</v>
      </c>
      <c r="E990" s="41">
        <v>2.5</v>
      </c>
    </row>
    <row r="991" spans="1:5" s="21" customFormat="1" x14ac:dyDescent="0.2">
      <c r="A991" s="20" t="s">
        <v>119</v>
      </c>
      <c r="B991" s="401" t="s">
        <v>1565</v>
      </c>
      <c r="C991" s="20" t="str">
        <f t="shared" si="132"/>
        <v>Subtropical humid forestSouthern Africa</v>
      </c>
      <c r="D991" s="41">
        <v>1</v>
      </c>
      <c r="E991" s="41">
        <v>2.5</v>
      </c>
    </row>
    <row r="992" spans="1:5" s="21" customFormat="1" x14ac:dyDescent="0.2">
      <c r="A992" s="20" t="s">
        <v>119</v>
      </c>
      <c r="B992" s="401" t="s">
        <v>1569</v>
      </c>
      <c r="C992" s="20" t="str">
        <f t="shared" si="132"/>
        <v>Subtropical humid forestWestern Africa</v>
      </c>
      <c r="D992" s="41">
        <v>1</v>
      </c>
      <c r="E992" s="41">
        <v>2.5</v>
      </c>
    </row>
    <row r="993" spans="1:5" s="21" customFormat="1" x14ac:dyDescent="0.2">
      <c r="A993" s="20" t="s">
        <v>119</v>
      </c>
      <c r="B993" s="401" t="s">
        <v>1550</v>
      </c>
      <c r="C993" s="20" t="str">
        <f>CONCATENATE(A993,B993)</f>
        <v>Subtropical humid forestCentral Asia</v>
      </c>
      <c r="D993" s="41">
        <v>1</v>
      </c>
      <c r="E993" s="41">
        <v>2.5</v>
      </c>
    </row>
    <row r="994" spans="1:5" s="21" customFormat="1" x14ac:dyDescent="0.2">
      <c r="A994" s="20" t="s">
        <v>119</v>
      </c>
      <c r="B994" s="401" t="s">
        <v>1554</v>
      </c>
      <c r="C994" s="20" t="str">
        <f t="shared" si="132"/>
        <v>Subtropical humid forestEastern Asia</v>
      </c>
      <c r="D994" s="41">
        <v>1</v>
      </c>
      <c r="E994" s="41">
        <v>2.5</v>
      </c>
    </row>
    <row r="995" spans="1:5" s="21" customFormat="1" x14ac:dyDescent="0.2">
      <c r="A995" s="20" t="s">
        <v>119</v>
      </c>
      <c r="B995" s="401" t="s">
        <v>1563</v>
      </c>
      <c r="C995" s="20" t="str">
        <f t="shared" si="132"/>
        <v>Subtropical humid forestSouth-eastern Asia</v>
      </c>
      <c r="D995" s="41">
        <v>1</v>
      </c>
      <c r="E995" s="41">
        <v>2.5</v>
      </c>
    </row>
    <row r="996" spans="1:5" s="21" customFormat="1" x14ac:dyDescent="0.2">
      <c r="A996" s="20" t="s">
        <v>119</v>
      </c>
      <c r="B996" s="401" t="s">
        <v>1567</v>
      </c>
      <c r="C996" s="20" t="str">
        <f t="shared" si="132"/>
        <v>Subtropical humid forestSouthern Asia</v>
      </c>
      <c r="D996" s="41">
        <v>1</v>
      </c>
      <c r="E996" s="41">
        <v>2.5</v>
      </c>
    </row>
    <row r="997" spans="1:5" s="21" customFormat="1" x14ac:dyDescent="0.2">
      <c r="A997" s="20" t="s">
        <v>119</v>
      </c>
      <c r="B997" s="401" t="s">
        <v>1571</v>
      </c>
      <c r="C997" s="20" t="str">
        <f t="shared" si="132"/>
        <v>Subtropical humid forestWestern Asia</v>
      </c>
      <c r="D997" s="41">
        <v>1</v>
      </c>
      <c r="E997" s="41">
        <v>2.5</v>
      </c>
    </row>
    <row r="998" spans="1:5" s="21" customFormat="1" x14ac:dyDescent="0.2">
      <c r="A998" s="20" t="s">
        <v>119</v>
      </c>
      <c r="B998" s="401" t="s">
        <v>1555</v>
      </c>
      <c r="C998" s="20" t="str">
        <f t="shared" si="132"/>
        <v>Subtropical humid forestEurope</v>
      </c>
      <c r="D998" s="163">
        <v>5</v>
      </c>
      <c r="E998" s="163">
        <v>5</v>
      </c>
    </row>
    <row r="999" spans="1:5" s="21" customFormat="1" x14ac:dyDescent="0.2">
      <c r="A999" s="20" t="s">
        <v>119</v>
      </c>
      <c r="B999" s="401" t="s">
        <v>1346</v>
      </c>
      <c r="C999" s="20" t="str">
        <f t="shared" si="132"/>
        <v>Subtropical humid forestOceania</v>
      </c>
      <c r="D999" s="163">
        <v>5</v>
      </c>
      <c r="E999" s="163">
        <v>5</v>
      </c>
    </row>
    <row r="1000" spans="1:5" s="21" customFormat="1" x14ac:dyDescent="0.2">
      <c r="A1000" s="20" t="s">
        <v>119</v>
      </c>
      <c r="B1000" s="401" t="s">
        <v>1343</v>
      </c>
      <c r="C1000" s="20" t="str">
        <f t="shared" si="132"/>
        <v>Subtropical humid forestNorth America</v>
      </c>
      <c r="D1000" s="41">
        <v>1</v>
      </c>
      <c r="E1000" s="41">
        <v>2.5</v>
      </c>
    </row>
    <row r="1001" spans="1:5" s="21" customFormat="1" x14ac:dyDescent="0.2">
      <c r="A1001" s="20" t="s">
        <v>119</v>
      </c>
      <c r="B1001" s="401" t="s">
        <v>1349</v>
      </c>
      <c r="C1001" s="20" t="str">
        <f t="shared" si="132"/>
        <v>Subtropical humid forestSouth America</v>
      </c>
      <c r="D1001" s="41">
        <v>1</v>
      </c>
      <c r="E1001" s="41">
        <v>2.5</v>
      </c>
    </row>
    <row r="1002" spans="1:5" s="21" customFormat="1" x14ac:dyDescent="0.2">
      <c r="A1002" s="20" t="s">
        <v>119</v>
      </c>
      <c r="B1002" s="401" t="s">
        <v>1333</v>
      </c>
      <c r="C1002" s="20" t="str">
        <f t="shared" si="132"/>
        <v>Subtropical humid forestCentral America</v>
      </c>
      <c r="D1002" s="363">
        <v>1</v>
      </c>
      <c r="E1002" s="363">
        <v>2.5</v>
      </c>
    </row>
    <row r="1003" spans="1:5" s="292" customFormat="1" x14ac:dyDescent="0.2">
      <c r="A1003" s="37" t="s">
        <v>119</v>
      </c>
      <c r="B1003" s="402" t="s">
        <v>1547</v>
      </c>
      <c r="C1003" s="37" t="str">
        <f t="shared" si="132"/>
        <v>Subtropical humid forestCaribbean</v>
      </c>
      <c r="D1003" s="363">
        <v>1</v>
      </c>
      <c r="E1003" s="363">
        <v>2.5</v>
      </c>
    </row>
    <row r="1004" spans="1:5" s="291" customFormat="1" x14ac:dyDescent="0.2">
      <c r="A1004" s="63" t="s">
        <v>124</v>
      </c>
      <c r="B1004" s="408" t="s">
        <v>1552</v>
      </c>
      <c r="C1004" s="63" t="str">
        <f>CONCATENATE(A1004,B1004)</f>
        <v>Subtropical dry forestEastern Africa</v>
      </c>
      <c r="D1004" s="491">
        <v>1.8</v>
      </c>
      <c r="E1004" s="491">
        <v>2.4</v>
      </c>
    </row>
    <row r="1005" spans="1:5" s="21" customFormat="1" x14ac:dyDescent="0.2">
      <c r="A1005" s="20" t="s">
        <v>124</v>
      </c>
      <c r="B1005" s="401" t="s">
        <v>1557</v>
      </c>
      <c r="C1005" s="20" t="str">
        <f t="shared" si="132"/>
        <v>Subtropical dry forestCentral Africa</v>
      </c>
      <c r="D1005" s="471">
        <v>1.8</v>
      </c>
      <c r="E1005" s="471">
        <v>2.4</v>
      </c>
    </row>
    <row r="1006" spans="1:5" s="21" customFormat="1" x14ac:dyDescent="0.2">
      <c r="A1006" s="20" t="s">
        <v>124</v>
      </c>
      <c r="B1006" s="401" t="s">
        <v>1559</v>
      </c>
      <c r="C1006" s="20" t="str">
        <f t="shared" si="132"/>
        <v>Subtropical dry forestNorthern Africa</v>
      </c>
      <c r="D1006" s="471">
        <v>1.8</v>
      </c>
      <c r="E1006" s="471">
        <v>2.4</v>
      </c>
    </row>
    <row r="1007" spans="1:5" s="21" customFormat="1" x14ac:dyDescent="0.2">
      <c r="A1007" s="20" t="s">
        <v>124</v>
      </c>
      <c r="B1007" s="401" t="s">
        <v>1565</v>
      </c>
      <c r="C1007" s="20" t="str">
        <f t="shared" si="132"/>
        <v>Subtropical dry forestSouthern Africa</v>
      </c>
      <c r="D1007" s="471">
        <v>1.8</v>
      </c>
      <c r="E1007" s="471">
        <v>2.4</v>
      </c>
    </row>
    <row r="1008" spans="1:5" s="21" customFormat="1" x14ac:dyDescent="0.2">
      <c r="A1008" s="20" t="s">
        <v>124</v>
      </c>
      <c r="B1008" s="401" t="s">
        <v>1569</v>
      </c>
      <c r="C1008" s="20" t="str">
        <f t="shared" si="132"/>
        <v>Subtropical dry forestWestern Africa</v>
      </c>
      <c r="D1008" s="471">
        <v>1.8</v>
      </c>
      <c r="E1008" s="471">
        <v>2.4</v>
      </c>
    </row>
    <row r="1009" spans="1:5" s="21" customFormat="1" x14ac:dyDescent="0.2">
      <c r="A1009" s="20" t="s">
        <v>124</v>
      </c>
      <c r="B1009" s="401" t="s">
        <v>1550</v>
      </c>
      <c r="C1009" s="20" t="str">
        <f t="shared" si="132"/>
        <v>Subtropical dry forestCentral Asia</v>
      </c>
      <c r="D1009" s="471">
        <f>AVERAGE(1.5,2)</f>
        <v>1.75</v>
      </c>
      <c r="E1009" s="471">
        <f>AVERAGE(6,7)</f>
        <v>6.5</v>
      </c>
    </row>
    <row r="1010" spans="1:5" s="21" customFormat="1" x14ac:dyDescent="0.2">
      <c r="A1010" s="20" t="s">
        <v>124</v>
      </c>
      <c r="B1010" s="401" t="s">
        <v>1554</v>
      </c>
      <c r="C1010" s="20" t="str">
        <f t="shared" si="132"/>
        <v>Subtropical dry forestEastern Asia</v>
      </c>
      <c r="D1010" s="471">
        <f>AVERAGE(1.5,2)</f>
        <v>1.75</v>
      </c>
      <c r="E1010" s="471">
        <f>AVERAGE(6,7)</f>
        <v>6.5</v>
      </c>
    </row>
    <row r="1011" spans="1:5" s="21" customFormat="1" x14ac:dyDescent="0.2">
      <c r="A1011" s="20" t="s">
        <v>124</v>
      </c>
      <c r="B1011" s="401" t="s">
        <v>1563</v>
      </c>
      <c r="C1011" s="20" t="str">
        <f t="shared" si="132"/>
        <v>Subtropical dry forestSouth-eastern Asia</v>
      </c>
      <c r="D1011" s="471">
        <f>AVERAGE(1.5,2)</f>
        <v>1.75</v>
      </c>
      <c r="E1011" s="471">
        <f>AVERAGE(6,7)</f>
        <v>6.5</v>
      </c>
    </row>
    <row r="1012" spans="1:5" s="21" customFormat="1" x14ac:dyDescent="0.2">
      <c r="A1012" s="20" t="s">
        <v>124</v>
      </c>
      <c r="B1012" s="401" t="s">
        <v>1567</v>
      </c>
      <c r="C1012" s="20" t="str">
        <f t="shared" si="132"/>
        <v>Subtropical dry forestSouthern Asia</v>
      </c>
      <c r="D1012" s="471">
        <f>AVERAGE(1.5,2)</f>
        <v>1.75</v>
      </c>
      <c r="E1012" s="471">
        <f>AVERAGE(6,7)</f>
        <v>6.5</v>
      </c>
    </row>
    <row r="1013" spans="1:5" s="21" customFormat="1" x14ac:dyDescent="0.2">
      <c r="A1013" s="20" t="s">
        <v>124</v>
      </c>
      <c r="B1013" s="401" t="s">
        <v>1571</v>
      </c>
      <c r="C1013" s="20" t="str">
        <f t="shared" si="132"/>
        <v>Subtropical dry forestWestern Asia</v>
      </c>
      <c r="D1013" s="471">
        <f>AVERAGE(1.5,2)</f>
        <v>1.75</v>
      </c>
      <c r="E1013" s="471">
        <f>AVERAGE(6,7)</f>
        <v>6.5</v>
      </c>
    </row>
    <row r="1014" spans="1:5" s="21" customFormat="1" x14ac:dyDescent="0.2">
      <c r="A1014" s="20" t="s">
        <v>124</v>
      </c>
      <c r="B1014" s="401" t="s">
        <v>1555</v>
      </c>
      <c r="C1014" s="20" t="str">
        <f t="shared" si="132"/>
        <v>Subtropical dry forestEurope</v>
      </c>
      <c r="D1014" s="643">
        <v>2.4</v>
      </c>
      <c r="E1014" s="643">
        <v>2.4</v>
      </c>
    </row>
    <row r="1015" spans="1:5" s="21" customFormat="1" x14ac:dyDescent="0.2">
      <c r="A1015" s="20" t="s">
        <v>124</v>
      </c>
      <c r="B1015" s="401" t="s">
        <v>1346</v>
      </c>
      <c r="C1015" s="20" t="str">
        <f t="shared" si="132"/>
        <v>Subtropical dry forestOceania</v>
      </c>
      <c r="D1015" s="643">
        <v>2.4</v>
      </c>
      <c r="E1015" s="643">
        <v>2.4</v>
      </c>
    </row>
    <row r="1016" spans="1:5" s="21" customFormat="1" x14ac:dyDescent="0.2">
      <c r="A1016" s="20" t="s">
        <v>124</v>
      </c>
      <c r="B1016" s="401" t="s">
        <v>1343</v>
      </c>
      <c r="C1016" s="20" t="str">
        <f t="shared" si="132"/>
        <v>Subtropical dry forestNorth America</v>
      </c>
      <c r="D1016" s="471">
        <v>1</v>
      </c>
      <c r="E1016" s="471">
        <v>4</v>
      </c>
    </row>
    <row r="1017" spans="1:5" s="21" customFormat="1" x14ac:dyDescent="0.2">
      <c r="A1017" s="20" t="s">
        <v>124</v>
      </c>
      <c r="B1017" s="401" t="s">
        <v>1349</v>
      </c>
      <c r="C1017" s="20" t="str">
        <f t="shared" si="132"/>
        <v>Subtropical dry forestSouth America</v>
      </c>
      <c r="D1017" s="471">
        <v>1</v>
      </c>
      <c r="E1017" s="471">
        <v>4</v>
      </c>
    </row>
    <row r="1018" spans="1:5" s="21" customFormat="1" x14ac:dyDescent="0.2">
      <c r="A1018" s="20" t="s">
        <v>124</v>
      </c>
      <c r="B1018" s="401" t="s">
        <v>1333</v>
      </c>
      <c r="C1018" s="20" t="str">
        <f t="shared" si="132"/>
        <v>Subtropical dry forestCentral America</v>
      </c>
      <c r="D1018" s="649">
        <v>1</v>
      </c>
      <c r="E1018" s="649">
        <v>4</v>
      </c>
    </row>
    <row r="1019" spans="1:5" s="292" customFormat="1" x14ac:dyDescent="0.2">
      <c r="A1019" s="37" t="s">
        <v>124</v>
      </c>
      <c r="B1019" s="402" t="s">
        <v>1547</v>
      </c>
      <c r="C1019" s="37" t="str">
        <f t="shared" si="132"/>
        <v>Subtropical dry forestCaribbean</v>
      </c>
      <c r="D1019" s="649">
        <v>1</v>
      </c>
      <c r="E1019" s="649">
        <v>4</v>
      </c>
    </row>
    <row r="1020" spans="1:5" s="291" customFormat="1" x14ac:dyDescent="0.2">
      <c r="A1020" s="63" t="s">
        <v>129</v>
      </c>
      <c r="B1020" s="408" t="s">
        <v>1552</v>
      </c>
      <c r="C1020" s="63" t="str">
        <f t="shared" si="132"/>
        <v>Subtropical steppeEastern Africa</v>
      </c>
      <c r="D1020" s="491">
        <v>0.9</v>
      </c>
      <c r="E1020" s="491">
        <v>1.2</v>
      </c>
    </row>
    <row r="1021" spans="1:5" s="21" customFormat="1" x14ac:dyDescent="0.2">
      <c r="A1021" s="20" t="s">
        <v>129</v>
      </c>
      <c r="B1021" s="401" t="s">
        <v>1557</v>
      </c>
      <c r="C1021" s="20" t="str">
        <f t="shared" si="132"/>
        <v>Subtropical steppeCentral Africa</v>
      </c>
      <c r="D1021" s="471">
        <v>0.9</v>
      </c>
      <c r="E1021" s="471">
        <v>1.2</v>
      </c>
    </row>
    <row r="1022" spans="1:5" s="21" customFormat="1" x14ac:dyDescent="0.2">
      <c r="A1022" s="20" t="s">
        <v>129</v>
      </c>
      <c r="B1022" s="401" t="s">
        <v>1559</v>
      </c>
      <c r="C1022" s="20" t="str">
        <f t="shared" si="132"/>
        <v>Subtropical steppeNorthern Africa</v>
      </c>
      <c r="D1022" s="471">
        <v>0.9</v>
      </c>
      <c r="E1022" s="471">
        <v>1.2</v>
      </c>
    </row>
    <row r="1023" spans="1:5" s="21" customFormat="1" x14ac:dyDescent="0.2">
      <c r="A1023" s="20" t="s">
        <v>129</v>
      </c>
      <c r="B1023" s="401" t="s">
        <v>1565</v>
      </c>
      <c r="C1023" s="20" t="str">
        <f t="shared" si="132"/>
        <v>Subtropical steppeSouthern Africa</v>
      </c>
      <c r="D1023" s="471">
        <v>0.9</v>
      </c>
      <c r="E1023" s="471">
        <v>1.2</v>
      </c>
    </row>
    <row r="1024" spans="1:5" s="21" customFormat="1" x14ac:dyDescent="0.2">
      <c r="A1024" s="20" t="s">
        <v>129</v>
      </c>
      <c r="B1024" s="401" t="s">
        <v>1569</v>
      </c>
      <c r="C1024" s="20" t="str">
        <f t="shared" si="132"/>
        <v>Subtropical steppeWestern Africa</v>
      </c>
      <c r="D1024" s="471">
        <v>0.9</v>
      </c>
      <c r="E1024" s="471">
        <v>1.2</v>
      </c>
    </row>
    <row r="1025" spans="1:5" s="21" customFormat="1" x14ac:dyDescent="0.2">
      <c r="A1025" s="20" t="s">
        <v>129</v>
      </c>
      <c r="B1025" s="401" t="s">
        <v>1550</v>
      </c>
      <c r="C1025" s="20" t="str">
        <f t="shared" si="132"/>
        <v>Subtropical steppeCentral Asia</v>
      </c>
      <c r="D1025" s="471">
        <f>AVERAGE(1,1.3)</f>
        <v>1.1499999999999999</v>
      </c>
      <c r="E1025" s="471">
        <f>AVERAGE(2,5)</f>
        <v>3.5</v>
      </c>
    </row>
    <row r="1026" spans="1:5" s="21" customFormat="1" x14ac:dyDescent="0.2">
      <c r="A1026" s="20" t="s">
        <v>129</v>
      </c>
      <c r="B1026" s="401" t="s">
        <v>1554</v>
      </c>
      <c r="C1026" s="20" t="str">
        <f t="shared" si="132"/>
        <v>Subtropical steppeEastern Asia</v>
      </c>
      <c r="D1026" s="471">
        <f>AVERAGE(1,1.3)</f>
        <v>1.1499999999999999</v>
      </c>
      <c r="E1026" s="471">
        <f>AVERAGE(2,5)</f>
        <v>3.5</v>
      </c>
    </row>
    <row r="1027" spans="1:5" s="21" customFormat="1" x14ac:dyDescent="0.2">
      <c r="A1027" s="20" t="s">
        <v>129</v>
      </c>
      <c r="B1027" s="401" t="s">
        <v>1563</v>
      </c>
      <c r="C1027" s="20" t="str">
        <f t="shared" si="132"/>
        <v>Subtropical steppeSouth-eastern Asia</v>
      </c>
      <c r="D1027" s="471">
        <f>AVERAGE(1,1.3)</f>
        <v>1.1499999999999999</v>
      </c>
      <c r="E1027" s="471">
        <f>AVERAGE(2,5)</f>
        <v>3.5</v>
      </c>
    </row>
    <row r="1028" spans="1:5" s="21" customFormat="1" x14ac:dyDescent="0.2">
      <c r="A1028" s="20" t="s">
        <v>129</v>
      </c>
      <c r="B1028" s="401" t="s">
        <v>1567</v>
      </c>
      <c r="C1028" s="20" t="str">
        <f t="shared" si="132"/>
        <v>Subtropical steppeSouthern Asia</v>
      </c>
      <c r="D1028" s="471">
        <f>AVERAGE(1,1.3)</f>
        <v>1.1499999999999999</v>
      </c>
      <c r="E1028" s="471">
        <f>AVERAGE(2,5)</f>
        <v>3.5</v>
      </c>
    </row>
    <row r="1029" spans="1:5" s="21" customFormat="1" x14ac:dyDescent="0.2">
      <c r="A1029" s="20" t="s">
        <v>129</v>
      </c>
      <c r="B1029" s="401" t="s">
        <v>1571</v>
      </c>
      <c r="C1029" s="20" t="str">
        <f t="shared" si="132"/>
        <v>Subtropical steppeWestern Asia</v>
      </c>
      <c r="D1029" s="471">
        <f>AVERAGE(1,1.3)</f>
        <v>1.1499999999999999</v>
      </c>
      <c r="E1029" s="471">
        <f>AVERAGE(2,5)</f>
        <v>3.5</v>
      </c>
    </row>
    <row r="1030" spans="1:5" s="21" customFormat="1" x14ac:dyDescent="0.2">
      <c r="A1030" s="20" t="s">
        <v>129</v>
      </c>
      <c r="B1030" s="401" t="s">
        <v>1555</v>
      </c>
      <c r="C1030" s="20" t="str">
        <f t="shared" si="132"/>
        <v>Subtropical steppeEurope</v>
      </c>
      <c r="D1030" s="643">
        <v>1</v>
      </c>
      <c r="E1030" s="643">
        <v>1</v>
      </c>
    </row>
    <row r="1031" spans="1:5" s="21" customFormat="1" x14ac:dyDescent="0.2">
      <c r="A1031" s="20" t="s">
        <v>129</v>
      </c>
      <c r="B1031" s="401" t="s">
        <v>1346</v>
      </c>
      <c r="C1031" s="20" t="str">
        <f t="shared" si="132"/>
        <v>Subtropical steppeOceania</v>
      </c>
      <c r="D1031" s="643">
        <v>1</v>
      </c>
      <c r="E1031" s="643">
        <v>1</v>
      </c>
    </row>
    <row r="1032" spans="1:5" s="21" customFormat="1" x14ac:dyDescent="0.2">
      <c r="A1032" s="20" t="s">
        <v>129</v>
      </c>
      <c r="B1032" s="401" t="s">
        <v>1343</v>
      </c>
      <c r="C1032" s="20" t="str">
        <f t="shared" si="132"/>
        <v>Subtropical steppeNorth America</v>
      </c>
      <c r="D1032" s="471">
        <v>1</v>
      </c>
      <c r="E1032" s="471">
        <v>4</v>
      </c>
    </row>
    <row r="1033" spans="1:5" s="21" customFormat="1" x14ac:dyDescent="0.2">
      <c r="A1033" s="20" t="s">
        <v>129</v>
      </c>
      <c r="B1033" s="401" t="s">
        <v>1349</v>
      </c>
      <c r="C1033" s="20" t="str">
        <f t="shared" si="132"/>
        <v>Subtropical steppeSouth America</v>
      </c>
      <c r="D1033" s="471">
        <v>1</v>
      </c>
      <c r="E1033" s="471">
        <v>4</v>
      </c>
    </row>
    <row r="1034" spans="1:5" s="21" customFormat="1" x14ac:dyDescent="0.2">
      <c r="A1034" s="20" t="s">
        <v>129</v>
      </c>
      <c r="B1034" s="401" t="s">
        <v>1333</v>
      </c>
      <c r="C1034" s="20" t="str">
        <f t="shared" si="132"/>
        <v>Subtropical steppeCentral America</v>
      </c>
      <c r="D1034" s="649">
        <v>1</v>
      </c>
      <c r="E1034" s="649">
        <v>4</v>
      </c>
    </row>
    <row r="1035" spans="1:5" s="292" customFormat="1" x14ac:dyDescent="0.2">
      <c r="A1035" s="37" t="s">
        <v>129</v>
      </c>
      <c r="B1035" s="402" t="s">
        <v>1547</v>
      </c>
      <c r="C1035" s="37" t="str">
        <f t="shared" si="132"/>
        <v>Subtropical steppeCaribbean</v>
      </c>
      <c r="D1035" s="649">
        <v>1</v>
      </c>
      <c r="E1035" s="649">
        <v>4</v>
      </c>
    </row>
    <row r="1036" spans="1:5" s="291" customFormat="1" x14ac:dyDescent="0.2">
      <c r="A1036" s="63" t="s">
        <v>133</v>
      </c>
      <c r="B1036" s="408" t="s">
        <v>1552</v>
      </c>
      <c r="C1036" s="63" t="str">
        <f t="shared" si="132"/>
        <v>Subtropical mountain systemsEastern Africa</v>
      </c>
      <c r="D1036" s="44">
        <v>0.5</v>
      </c>
      <c r="E1036" s="44">
        <v>2.5</v>
      </c>
    </row>
    <row r="1037" spans="1:5" s="21" customFormat="1" x14ac:dyDescent="0.2">
      <c r="A1037" s="20" t="s">
        <v>133</v>
      </c>
      <c r="B1037" s="401" t="s">
        <v>1557</v>
      </c>
      <c r="C1037" s="20" t="str">
        <f t="shared" si="132"/>
        <v>Subtropical mountain systemsCentral Africa</v>
      </c>
      <c r="D1037" s="41">
        <v>0.5</v>
      </c>
      <c r="E1037" s="41">
        <v>2.5</v>
      </c>
    </row>
    <row r="1038" spans="1:5" s="21" customFormat="1" x14ac:dyDescent="0.2">
      <c r="A1038" s="20" t="s">
        <v>133</v>
      </c>
      <c r="B1038" s="401" t="s">
        <v>1559</v>
      </c>
      <c r="C1038" s="20" t="str">
        <f t="shared" si="132"/>
        <v>Subtropical mountain systemsNorthern Africa</v>
      </c>
      <c r="D1038" s="41">
        <v>0.5</v>
      </c>
      <c r="E1038" s="41">
        <v>2.5</v>
      </c>
    </row>
    <row r="1039" spans="1:5" s="21" customFormat="1" x14ac:dyDescent="0.2">
      <c r="A1039" s="20" t="s">
        <v>133</v>
      </c>
      <c r="B1039" s="401" t="s">
        <v>1565</v>
      </c>
      <c r="C1039" s="20" t="str">
        <f t="shared" si="132"/>
        <v>Subtropical mountain systemsSouthern Africa</v>
      </c>
      <c r="D1039" s="41">
        <v>0.5</v>
      </c>
      <c r="E1039" s="41">
        <v>2.5</v>
      </c>
    </row>
    <row r="1040" spans="1:5" s="21" customFormat="1" x14ac:dyDescent="0.2">
      <c r="A1040" s="20" t="s">
        <v>133</v>
      </c>
      <c r="B1040" s="401" t="s">
        <v>1569</v>
      </c>
      <c r="C1040" s="20" t="str">
        <f t="shared" si="132"/>
        <v>Subtropical mountain systemsWestern Africa</v>
      </c>
      <c r="D1040" s="41">
        <v>0.5</v>
      </c>
      <c r="E1040" s="41">
        <v>2.5</v>
      </c>
    </row>
    <row r="1041" spans="1:5" s="21" customFormat="1" x14ac:dyDescent="0.2">
      <c r="A1041" s="20" t="s">
        <v>133</v>
      </c>
      <c r="B1041" s="401" t="s">
        <v>1550</v>
      </c>
      <c r="C1041" s="20" t="str">
        <f t="shared" si="132"/>
        <v>Subtropical mountain systemsCentral Asia</v>
      </c>
      <c r="D1041" s="41">
        <v>0.5</v>
      </c>
      <c r="E1041" s="41">
        <v>2.5</v>
      </c>
    </row>
    <row r="1042" spans="1:5" s="21" customFormat="1" x14ac:dyDescent="0.2">
      <c r="A1042" s="20" t="s">
        <v>133</v>
      </c>
      <c r="B1042" s="401" t="s">
        <v>1554</v>
      </c>
      <c r="C1042" s="20" t="str">
        <f t="shared" si="132"/>
        <v>Subtropical mountain systemsEastern Asia</v>
      </c>
      <c r="D1042" s="41">
        <v>0.5</v>
      </c>
      <c r="E1042" s="41">
        <v>2.5</v>
      </c>
    </row>
    <row r="1043" spans="1:5" s="21" customFormat="1" x14ac:dyDescent="0.2">
      <c r="A1043" s="20" t="s">
        <v>133</v>
      </c>
      <c r="B1043" s="401" t="s">
        <v>1563</v>
      </c>
      <c r="C1043" s="20" t="str">
        <f t="shared" si="132"/>
        <v>Subtropical mountain systemsSouth-eastern Asia</v>
      </c>
      <c r="D1043" s="41">
        <v>0.5</v>
      </c>
      <c r="E1043" s="41">
        <v>2.5</v>
      </c>
    </row>
    <row r="1044" spans="1:5" s="21" customFormat="1" x14ac:dyDescent="0.2">
      <c r="A1044" s="20" t="s">
        <v>133</v>
      </c>
      <c r="B1044" s="401" t="s">
        <v>1567</v>
      </c>
      <c r="C1044" s="20" t="str">
        <f t="shared" si="132"/>
        <v>Subtropical mountain systemsSouthern Asia</v>
      </c>
      <c r="D1044" s="41">
        <v>0.5</v>
      </c>
      <c r="E1044" s="41">
        <v>2.5</v>
      </c>
    </row>
    <row r="1045" spans="1:5" s="21" customFormat="1" x14ac:dyDescent="0.2">
      <c r="A1045" s="20" t="s">
        <v>133</v>
      </c>
      <c r="B1045" s="401" t="s">
        <v>1571</v>
      </c>
      <c r="C1045" s="20" t="str">
        <f t="shared" si="132"/>
        <v>Subtropical mountain systemsWestern Asia</v>
      </c>
      <c r="D1045" s="41">
        <v>0.5</v>
      </c>
      <c r="E1045" s="41">
        <v>2.5</v>
      </c>
    </row>
    <row r="1046" spans="1:5" s="21" customFormat="1" x14ac:dyDescent="0.2">
      <c r="A1046" s="20" t="s">
        <v>133</v>
      </c>
      <c r="B1046" s="401" t="s">
        <v>1555</v>
      </c>
      <c r="C1046" s="20" t="str">
        <f t="shared" si="132"/>
        <v>Subtropical mountain systemsEurope</v>
      </c>
      <c r="D1046" s="163">
        <v>1</v>
      </c>
      <c r="E1046" s="163">
        <v>1</v>
      </c>
    </row>
    <row r="1047" spans="1:5" s="21" customFormat="1" x14ac:dyDescent="0.2">
      <c r="A1047" s="20" t="s">
        <v>133</v>
      </c>
      <c r="B1047" s="401" t="s">
        <v>1346</v>
      </c>
      <c r="C1047" s="20" t="str">
        <f t="shared" si="132"/>
        <v>Subtropical mountain systemsOceania</v>
      </c>
      <c r="D1047" s="163">
        <v>1</v>
      </c>
      <c r="E1047" s="163">
        <v>1</v>
      </c>
    </row>
    <row r="1048" spans="1:5" s="21" customFormat="1" x14ac:dyDescent="0.2">
      <c r="A1048" s="20" t="s">
        <v>133</v>
      </c>
      <c r="B1048" s="401" t="s">
        <v>1343</v>
      </c>
      <c r="C1048" s="20" t="str">
        <f t="shared" si="132"/>
        <v>Subtropical mountain systemsNorth America</v>
      </c>
      <c r="D1048" s="41">
        <v>0.5</v>
      </c>
      <c r="E1048" s="41">
        <v>2.5</v>
      </c>
    </row>
    <row r="1049" spans="1:5" s="21" customFormat="1" x14ac:dyDescent="0.2">
      <c r="A1049" s="20" t="s">
        <v>133</v>
      </c>
      <c r="B1049" s="401" t="s">
        <v>1349</v>
      </c>
      <c r="C1049" s="20" t="str">
        <f t="shared" si="132"/>
        <v>Subtropical mountain systemsSouth America</v>
      </c>
      <c r="D1049" s="41">
        <v>0.5</v>
      </c>
      <c r="E1049" s="41">
        <v>2.5</v>
      </c>
    </row>
    <row r="1050" spans="1:5" s="21" customFormat="1" x14ac:dyDescent="0.2">
      <c r="A1050" s="20" t="s">
        <v>133</v>
      </c>
      <c r="B1050" s="401" t="s">
        <v>1333</v>
      </c>
      <c r="C1050" s="20" t="str">
        <f t="shared" si="132"/>
        <v>Subtropical mountain systemsCentral America</v>
      </c>
      <c r="D1050" s="363">
        <v>0.5</v>
      </c>
      <c r="E1050" s="363">
        <v>2.5</v>
      </c>
    </row>
    <row r="1051" spans="1:5" s="292" customFormat="1" x14ac:dyDescent="0.2">
      <c r="A1051" s="37" t="s">
        <v>133</v>
      </c>
      <c r="B1051" s="402" t="s">
        <v>1547</v>
      </c>
      <c r="C1051" s="37" t="str">
        <f t="shared" si="132"/>
        <v>Subtropical mountain systemsCaribbean</v>
      </c>
      <c r="D1051" s="363">
        <v>0.5</v>
      </c>
      <c r="E1051" s="363">
        <v>2.5</v>
      </c>
    </row>
    <row r="1052" spans="1:5" s="291" customFormat="1" x14ac:dyDescent="0.2">
      <c r="A1052" s="63" t="s">
        <v>120</v>
      </c>
      <c r="B1052" s="408" t="s">
        <v>1552</v>
      </c>
      <c r="C1052" s="263" t="str">
        <f t="shared" si="132"/>
        <v>Temperate oceanic forestEastern Africa</v>
      </c>
      <c r="D1052" s="464">
        <v>4.4000000000000004</v>
      </c>
      <c r="E1052" s="464">
        <v>4.4000000000000004</v>
      </c>
    </row>
    <row r="1053" spans="1:5" s="21" customFormat="1" x14ac:dyDescent="0.2">
      <c r="A1053" s="20" t="s">
        <v>120</v>
      </c>
      <c r="B1053" s="401" t="s">
        <v>1557</v>
      </c>
      <c r="C1053" s="264" t="str">
        <f t="shared" ref="C1053:C1099" si="133">CONCATENATE(A1053,B1053)</f>
        <v>Temperate oceanic forestCentral Africa</v>
      </c>
      <c r="D1053" s="163">
        <v>4.4000000000000004</v>
      </c>
      <c r="E1053" s="163">
        <v>4.4000000000000004</v>
      </c>
    </row>
    <row r="1054" spans="1:5" s="21" customFormat="1" x14ac:dyDescent="0.2">
      <c r="A1054" s="20" t="s">
        <v>120</v>
      </c>
      <c r="B1054" s="401" t="s">
        <v>1559</v>
      </c>
      <c r="C1054" s="264" t="str">
        <f t="shared" si="133"/>
        <v>Temperate oceanic forestNorthern Africa</v>
      </c>
      <c r="D1054" s="163">
        <v>4.4000000000000004</v>
      </c>
      <c r="E1054" s="163">
        <v>4.4000000000000004</v>
      </c>
    </row>
    <row r="1055" spans="1:5" s="21" customFormat="1" x14ac:dyDescent="0.2">
      <c r="A1055" s="20" t="s">
        <v>120</v>
      </c>
      <c r="B1055" s="401" t="s">
        <v>1565</v>
      </c>
      <c r="C1055" s="264" t="str">
        <f t="shared" si="133"/>
        <v>Temperate oceanic forestSouthern Africa</v>
      </c>
      <c r="D1055" s="163">
        <v>4.4000000000000004</v>
      </c>
      <c r="E1055" s="163">
        <v>4.4000000000000004</v>
      </c>
    </row>
    <row r="1056" spans="1:5" s="21" customFormat="1" x14ac:dyDescent="0.2">
      <c r="A1056" s="20" t="s">
        <v>120</v>
      </c>
      <c r="B1056" s="401" t="s">
        <v>1569</v>
      </c>
      <c r="C1056" s="264" t="str">
        <f t="shared" si="133"/>
        <v>Temperate oceanic forestWestern Africa</v>
      </c>
      <c r="D1056" s="163">
        <v>4.4000000000000004</v>
      </c>
      <c r="E1056" s="163">
        <v>4.4000000000000004</v>
      </c>
    </row>
    <row r="1057" spans="1:5" s="21" customFormat="1" x14ac:dyDescent="0.2">
      <c r="A1057" s="20" t="s">
        <v>120</v>
      </c>
      <c r="B1057" s="401" t="s">
        <v>1550</v>
      </c>
      <c r="C1057" s="264" t="str">
        <f t="shared" si="133"/>
        <v>Temperate oceanic forestCentral Asia</v>
      </c>
      <c r="D1057" s="163">
        <v>4.4000000000000004</v>
      </c>
      <c r="E1057" s="163">
        <v>4.4000000000000004</v>
      </c>
    </row>
    <row r="1058" spans="1:5" s="21" customFormat="1" x14ac:dyDescent="0.2">
      <c r="A1058" s="20" t="s">
        <v>120</v>
      </c>
      <c r="B1058" s="401" t="s">
        <v>1554</v>
      </c>
      <c r="C1058" s="264" t="str">
        <f t="shared" si="133"/>
        <v>Temperate oceanic forestEastern Asia</v>
      </c>
      <c r="D1058" s="163">
        <v>4.4000000000000004</v>
      </c>
      <c r="E1058" s="163">
        <v>4.4000000000000004</v>
      </c>
    </row>
    <row r="1059" spans="1:5" s="21" customFormat="1" x14ac:dyDescent="0.2">
      <c r="A1059" s="20" t="s">
        <v>120</v>
      </c>
      <c r="B1059" s="401" t="s">
        <v>1563</v>
      </c>
      <c r="C1059" s="264" t="str">
        <f>CONCATENATE(A1059,B1059)</f>
        <v>Temperate oceanic forestSouth-eastern Asia</v>
      </c>
      <c r="D1059" s="163">
        <v>4.4000000000000004</v>
      </c>
      <c r="E1059" s="163">
        <v>4.4000000000000004</v>
      </c>
    </row>
    <row r="1060" spans="1:5" s="21" customFormat="1" x14ac:dyDescent="0.2">
      <c r="A1060" s="20" t="s">
        <v>120</v>
      </c>
      <c r="B1060" s="401" t="s">
        <v>1567</v>
      </c>
      <c r="C1060" s="264" t="str">
        <f t="shared" si="133"/>
        <v>Temperate oceanic forestSouthern Asia</v>
      </c>
      <c r="D1060" s="163">
        <v>4.4000000000000004</v>
      </c>
      <c r="E1060" s="163">
        <v>4.4000000000000004</v>
      </c>
    </row>
    <row r="1061" spans="1:5" s="21" customFormat="1" x14ac:dyDescent="0.2">
      <c r="A1061" s="20" t="s">
        <v>120</v>
      </c>
      <c r="B1061" s="401" t="s">
        <v>1571</v>
      </c>
      <c r="C1061" s="264" t="str">
        <f t="shared" si="133"/>
        <v>Temperate oceanic forestWestern Asia</v>
      </c>
      <c r="D1061" s="163">
        <v>4.4000000000000004</v>
      </c>
      <c r="E1061" s="163">
        <v>4.4000000000000004</v>
      </c>
    </row>
    <row r="1062" spans="1:5" s="21" customFormat="1" x14ac:dyDescent="0.2">
      <c r="A1062" s="20" t="s">
        <v>120</v>
      </c>
      <c r="B1062" s="401" t="s">
        <v>1555</v>
      </c>
      <c r="C1062" s="264" t="str">
        <f t="shared" si="133"/>
        <v>Temperate oceanic forestEurope</v>
      </c>
      <c r="D1062" s="41">
        <v>2.2999999999999998</v>
      </c>
      <c r="E1062" s="169">
        <v>2.2999999999999998</v>
      </c>
    </row>
    <row r="1063" spans="1:5" s="21" customFormat="1" x14ac:dyDescent="0.2">
      <c r="A1063" s="20" t="s">
        <v>120</v>
      </c>
      <c r="B1063" s="401" t="s">
        <v>1346</v>
      </c>
      <c r="C1063" s="264" t="str">
        <f t="shared" si="133"/>
        <v>Temperate oceanic forestOceania</v>
      </c>
      <c r="D1063" s="41">
        <v>2.12</v>
      </c>
      <c r="E1063" s="169">
        <v>3.12</v>
      </c>
    </row>
    <row r="1064" spans="1:5" s="21" customFormat="1" x14ac:dyDescent="0.2">
      <c r="A1064" s="20" t="s">
        <v>120</v>
      </c>
      <c r="B1064" s="401" t="s">
        <v>1343</v>
      </c>
      <c r="C1064" s="264" t="str">
        <f t="shared" si="133"/>
        <v>Temperate oceanic forestNorth America</v>
      </c>
      <c r="D1064" s="41">
        <v>9.1</v>
      </c>
      <c r="E1064" s="169">
        <v>6.3</v>
      </c>
    </row>
    <row r="1065" spans="1:5" s="21" customFormat="1" x14ac:dyDescent="0.2">
      <c r="A1065" s="20" t="s">
        <v>120</v>
      </c>
      <c r="B1065" s="401" t="s">
        <v>1349</v>
      </c>
      <c r="C1065" s="264" t="str">
        <f t="shared" si="133"/>
        <v>Temperate oceanic forestSouth America</v>
      </c>
      <c r="D1065" s="41">
        <v>9.1</v>
      </c>
      <c r="E1065" s="169">
        <v>6.3</v>
      </c>
    </row>
    <row r="1066" spans="1:5" s="21" customFormat="1" x14ac:dyDescent="0.2">
      <c r="A1066" s="20" t="s">
        <v>120</v>
      </c>
      <c r="B1066" s="401" t="s">
        <v>1333</v>
      </c>
      <c r="C1066" s="264" t="str">
        <f t="shared" si="133"/>
        <v>Temperate oceanic forestCentral America</v>
      </c>
      <c r="D1066" s="363">
        <v>9.1</v>
      </c>
      <c r="E1066" s="650">
        <v>6.3</v>
      </c>
    </row>
    <row r="1067" spans="1:5" s="292" customFormat="1" x14ac:dyDescent="0.2">
      <c r="A1067" s="37" t="s">
        <v>120</v>
      </c>
      <c r="B1067" s="402" t="s">
        <v>1547</v>
      </c>
      <c r="C1067" s="265" t="str">
        <f t="shared" si="133"/>
        <v>Temperate oceanic forestCaribbean</v>
      </c>
      <c r="D1067" s="364">
        <v>9.1</v>
      </c>
      <c r="E1067" s="2803">
        <v>6.3</v>
      </c>
    </row>
    <row r="1068" spans="1:5" s="291" customFormat="1" x14ac:dyDescent="0.2">
      <c r="A1068" s="63" t="s">
        <v>125</v>
      </c>
      <c r="B1068" s="408" t="s">
        <v>1552</v>
      </c>
      <c r="C1068" s="63" t="str">
        <f>CONCATENATE(A1068,B1068)</f>
        <v>Temperate continental forestEastern Africa</v>
      </c>
      <c r="D1068" s="163">
        <v>4</v>
      </c>
      <c r="E1068" s="163">
        <v>4</v>
      </c>
    </row>
    <row r="1069" spans="1:5" s="21" customFormat="1" x14ac:dyDescent="0.2">
      <c r="A1069" s="20" t="s">
        <v>125</v>
      </c>
      <c r="B1069" s="401" t="s">
        <v>1557</v>
      </c>
      <c r="C1069" s="20" t="str">
        <f>CONCATENATE(A1069,B1069)</f>
        <v>Temperate continental forestCentral Africa</v>
      </c>
      <c r="D1069" s="163">
        <v>4</v>
      </c>
      <c r="E1069" s="163">
        <v>4</v>
      </c>
    </row>
    <row r="1070" spans="1:5" s="21" customFormat="1" x14ac:dyDescent="0.2">
      <c r="A1070" s="20" t="s">
        <v>125</v>
      </c>
      <c r="B1070" s="401" t="s">
        <v>1559</v>
      </c>
      <c r="C1070" s="20" t="str">
        <f t="shared" si="133"/>
        <v>Temperate continental forestNorthern Africa</v>
      </c>
      <c r="D1070" s="163">
        <v>4</v>
      </c>
      <c r="E1070" s="163">
        <v>4</v>
      </c>
    </row>
    <row r="1071" spans="1:5" s="21" customFormat="1" x14ac:dyDescent="0.2">
      <c r="A1071" s="20" t="s">
        <v>125</v>
      </c>
      <c r="B1071" s="401" t="s">
        <v>1565</v>
      </c>
      <c r="C1071" s="20" t="str">
        <f t="shared" si="133"/>
        <v>Temperate continental forestSouthern Africa</v>
      </c>
      <c r="D1071" s="163">
        <v>4</v>
      </c>
      <c r="E1071" s="163">
        <v>4</v>
      </c>
    </row>
    <row r="1072" spans="1:5" s="21" customFormat="1" x14ac:dyDescent="0.2">
      <c r="A1072" s="20" t="s">
        <v>125</v>
      </c>
      <c r="B1072" s="401" t="s">
        <v>1569</v>
      </c>
      <c r="C1072" s="20" t="str">
        <f t="shared" si="133"/>
        <v>Temperate continental forestWestern Africa</v>
      </c>
      <c r="D1072" s="163">
        <v>4</v>
      </c>
      <c r="E1072" s="163">
        <v>4</v>
      </c>
    </row>
    <row r="1073" spans="1:5" s="21" customFormat="1" x14ac:dyDescent="0.2">
      <c r="A1073" s="20" t="s">
        <v>125</v>
      </c>
      <c r="B1073" s="401" t="s">
        <v>1550</v>
      </c>
      <c r="C1073" s="20" t="str">
        <f t="shared" si="133"/>
        <v>Temperate continental forestCentral Asia</v>
      </c>
      <c r="D1073" s="163">
        <v>4</v>
      </c>
      <c r="E1073" s="163">
        <v>4</v>
      </c>
    </row>
    <row r="1074" spans="1:5" s="21" customFormat="1" x14ac:dyDescent="0.2">
      <c r="A1074" s="20" t="s">
        <v>125</v>
      </c>
      <c r="B1074" s="401" t="s">
        <v>1554</v>
      </c>
      <c r="C1074" s="20" t="str">
        <f t="shared" si="133"/>
        <v>Temperate continental forestEastern Asia</v>
      </c>
      <c r="D1074" s="163">
        <v>4</v>
      </c>
      <c r="E1074" s="163">
        <v>4</v>
      </c>
    </row>
    <row r="1075" spans="1:5" s="21" customFormat="1" x14ac:dyDescent="0.2">
      <c r="A1075" s="20" t="s">
        <v>125</v>
      </c>
      <c r="B1075" s="401" t="s">
        <v>1563</v>
      </c>
      <c r="C1075" s="20" t="str">
        <f t="shared" si="133"/>
        <v>Temperate continental forestSouth-eastern Asia</v>
      </c>
      <c r="D1075" s="163">
        <v>4</v>
      </c>
      <c r="E1075" s="163">
        <v>4</v>
      </c>
    </row>
    <row r="1076" spans="1:5" s="21" customFormat="1" x14ac:dyDescent="0.2">
      <c r="A1076" s="20" t="s">
        <v>125</v>
      </c>
      <c r="B1076" s="401" t="s">
        <v>1567</v>
      </c>
      <c r="C1076" s="20" t="str">
        <f t="shared" si="133"/>
        <v>Temperate continental forestSouthern Asia</v>
      </c>
      <c r="D1076" s="163">
        <v>4</v>
      </c>
      <c r="E1076" s="163">
        <v>4</v>
      </c>
    </row>
    <row r="1077" spans="1:5" s="21" customFormat="1" x14ac:dyDescent="0.2">
      <c r="A1077" s="20" t="s">
        <v>125</v>
      </c>
      <c r="B1077" s="401" t="s">
        <v>1571</v>
      </c>
      <c r="C1077" s="20" t="str">
        <f t="shared" si="133"/>
        <v>Temperate continental forestWestern Asia</v>
      </c>
      <c r="D1077" s="163">
        <v>4</v>
      </c>
      <c r="E1077" s="163">
        <v>4</v>
      </c>
    </row>
    <row r="1078" spans="1:5" s="21" customFormat="1" x14ac:dyDescent="0.2">
      <c r="A1078" s="20" t="s">
        <v>125</v>
      </c>
      <c r="B1078" s="401" t="s">
        <v>1555</v>
      </c>
      <c r="C1078" s="20" t="str">
        <f t="shared" si="133"/>
        <v>Temperate continental forestEurope</v>
      </c>
      <c r="D1078" s="163">
        <v>4</v>
      </c>
      <c r="E1078" s="163">
        <v>4</v>
      </c>
    </row>
    <row r="1079" spans="1:5" s="21" customFormat="1" x14ac:dyDescent="0.2">
      <c r="A1079" s="20" t="s">
        <v>125</v>
      </c>
      <c r="B1079" s="401" t="s">
        <v>1346</v>
      </c>
      <c r="C1079" s="20" t="str">
        <f t="shared" si="133"/>
        <v>Temperate continental forestOceania</v>
      </c>
      <c r="D1079" s="163">
        <v>4</v>
      </c>
      <c r="E1079" s="163">
        <v>4</v>
      </c>
    </row>
    <row r="1080" spans="1:5" s="21" customFormat="1" x14ac:dyDescent="0.2">
      <c r="A1080" s="20" t="s">
        <v>125</v>
      </c>
      <c r="B1080" s="401" t="s">
        <v>1343</v>
      </c>
      <c r="C1080" s="20" t="str">
        <f t="shared" si="133"/>
        <v>Temperate continental forestNorth America</v>
      </c>
      <c r="D1080" s="41">
        <v>3.6</v>
      </c>
      <c r="E1080" s="41">
        <v>3.3</v>
      </c>
    </row>
    <row r="1081" spans="1:5" s="21" customFormat="1" x14ac:dyDescent="0.2">
      <c r="A1081" s="20" t="s">
        <v>125</v>
      </c>
      <c r="B1081" s="401" t="s">
        <v>1349</v>
      </c>
      <c r="C1081" s="20" t="str">
        <f t="shared" si="133"/>
        <v>Temperate continental forestSouth America</v>
      </c>
      <c r="D1081" s="41">
        <v>3.6</v>
      </c>
      <c r="E1081" s="41">
        <v>3.3</v>
      </c>
    </row>
    <row r="1082" spans="1:5" s="21" customFormat="1" x14ac:dyDescent="0.2">
      <c r="A1082" s="20" t="s">
        <v>125</v>
      </c>
      <c r="B1082" s="401" t="s">
        <v>1333</v>
      </c>
      <c r="C1082" s="20" t="str">
        <f t="shared" si="133"/>
        <v>Temperate continental forestCentral America</v>
      </c>
      <c r="D1082" s="363">
        <v>3.6</v>
      </c>
      <c r="E1082" s="363">
        <v>3.3</v>
      </c>
    </row>
    <row r="1083" spans="1:5" s="292" customFormat="1" x14ac:dyDescent="0.2">
      <c r="A1083" s="37" t="s">
        <v>125</v>
      </c>
      <c r="B1083" s="402" t="s">
        <v>1547</v>
      </c>
      <c r="C1083" s="37" t="str">
        <f t="shared" si="133"/>
        <v>Temperate continental forestCaribbean</v>
      </c>
      <c r="D1083" s="363">
        <v>3.6</v>
      </c>
      <c r="E1083" s="363">
        <v>3.3</v>
      </c>
    </row>
    <row r="1084" spans="1:5" s="291" customFormat="1" x14ac:dyDescent="0.2">
      <c r="A1084" s="63" t="s">
        <v>130</v>
      </c>
      <c r="B1084" s="408" t="s">
        <v>1552</v>
      </c>
      <c r="C1084" s="263" t="str">
        <f t="shared" si="133"/>
        <v>Temperate mountain systemsEastern Africa</v>
      </c>
      <c r="D1084" s="464">
        <v>3</v>
      </c>
      <c r="E1084" s="464">
        <v>3</v>
      </c>
    </row>
    <row r="1085" spans="1:5" s="21" customFormat="1" x14ac:dyDescent="0.2">
      <c r="A1085" s="20" t="s">
        <v>130</v>
      </c>
      <c r="B1085" s="401" t="s">
        <v>1557</v>
      </c>
      <c r="C1085" s="264" t="str">
        <f t="shared" si="133"/>
        <v>Temperate mountain systemsCentral Africa</v>
      </c>
      <c r="D1085" s="163">
        <v>3</v>
      </c>
      <c r="E1085" s="163">
        <v>3</v>
      </c>
    </row>
    <row r="1086" spans="1:5" s="21" customFormat="1" x14ac:dyDescent="0.2">
      <c r="A1086" s="20" t="s">
        <v>130</v>
      </c>
      <c r="B1086" s="401" t="s">
        <v>1559</v>
      </c>
      <c r="C1086" s="264" t="str">
        <f t="shared" si="133"/>
        <v>Temperate mountain systemsNorthern Africa</v>
      </c>
      <c r="D1086" s="163">
        <v>3</v>
      </c>
      <c r="E1086" s="163">
        <v>3</v>
      </c>
    </row>
    <row r="1087" spans="1:5" s="21" customFormat="1" x14ac:dyDescent="0.2">
      <c r="A1087" s="20" t="s">
        <v>130</v>
      </c>
      <c r="B1087" s="401" t="s">
        <v>1565</v>
      </c>
      <c r="C1087" s="264" t="str">
        <f t="shared" si="133"/>
        <v>Temperate mountain systemsSouthern Africa</v>
      </c>
      <c r="D1087" s="163">
        <v>3</v>
      </c>
      <c r="E1087" s="163">
        <v>3</v>
      </c>
    </row>
    <row r="1088" spans="1:5" s="21" customFormat="1" x14ac:dyDescent="0.2">
      <c r="A1088" s="20" t="s">
        <v>130</v>
      </c>
      <c r="B1088" s="401" t="s">
        <v>1569</v>
      </c>
      <c r="C1088" s="264" t="str">
        <f t="shared" si="133"/>
        <v>Temperate mountain systemsWestern Africa</v>
      </c>
      <c r="D1088" s="163">
        <v>3</v>
      </c>
      <c r="E1088" s="163">
        <v>3</v>
      </c>
    </row>
    <row r="1089" spans="1:5" s="21" customFormat="1" x14ac:dyDescent="0.2">
      <c r="A1089" s="20" t="s">
        <v>130</v>
      </c>
      <c r="B1089" s="401" t="s">
        <v>1550</v>
      </c>
      <c r="C1089" s="264" t="str">
        <f t="shared" si="133"/>
        <v>Temperate mountain systemsCentral Asia</v>
      </c>
      <c r="D1089" s="163">
        <v>3</v>
      </c>
      <c r="E1089" s="163">
        <v>3</v>
      </c>
    </row>
    <row r="1090" spans="1:5" s="21" customFormat="1" x14ac:dyDescent="0.2">
      <c r="A1090" s="20" t="s">
        <v>130</v>
      </c>
      <c r="B1090" s="401" t="s">
        <v>1554</v>
      </c>
      <c r="C1090" s="264" t="str">
        <f t="shared" si="133"/>
        <v>Temperate mountain systemsEastern Asia</v>
      </c>
      <c r="D1090" s="163">
        <v>3</v>
      </c>
      <c r="E1090" s="163">
        <v>3</v>
      </c>
    </row>
    <row r="1091" spans="1:5" s="21" customFormat="1" x14ac:dyDescent="0.2">
      <c r="A1091" s="20" t="s">
        <v>130</v>
      </c>
      <c r="B1091" s="401" t="s">
        <v>1563</v>
      </c>
      <c r="C1091" s="264" t="str">
        <f t="shared" si="133"/>
        <v>Temperate mountain systemsSouth-eastern Asia</v>
      </c>
      <c r="D1091" s="163">
        <v>3</v>
      </c>
      <c r="E1091" s="163">
        <v>3</v>
      </c>
    </row>
    <row r="1092" spans="1:5" s="21" customFormat="1" x14ac:dyDescent="0.2">
      <c r="A1092" s="20" t="s">
        <v>130</v>
      </c>
      <c r="B1092" s="401" t="s">
        <v>1567</v>
      </c>
      <c r="C1092" s="264" t="str">
        <f t="shared" si="133"/>
        <v>Temperate mountain systemsSouthern Asia</v>
      </c>
      <c r="D1092" s="163">
        <v>3</v>
      </c>
      <c r="E1092" s="163">
        <v>3</v>
      </c>
    </row>
    <row r="1093" spans="1:5" s="21" customFormat="1" x14ac:dyDescent="0.2">
      <c r="A1093" s="20" t="s">
        <v>130</v>
      </c>
      <c r="B1093" s="401" t="s">
        <v>1571</v>
      </c>
      <c r="C1093" s="264" t="str">
        <f t="shared" si="133"/>
        <v>Temperate mountain systemsWestern Asia</v>
      </c>
      <c r="D1093" s="163">
        <v>3</v>
      </c>
      <c r="E1093" s="163">
        <v>3</v>
      </c>
    </row>
    <row r="1094" spans="1:5" s="21" customFormat="1" x14ac:dyDescent="0.2">
      <c r="A1094" s="20" t="s">
        <v>130</v>
      </c>
      <c r="B1094" s="401" t="s">
        <v>1555</v>
      </c>
      <c r="C1094" s="264" t="str">
        <f t="shared" si="133"/>
        <v>Temperate mountain systemsEurope</v>
      </c>
      <c r="D1094" s="163">
        <v>3</v>
      </c>
      <c r="E1094" s="163">
        <v>3</v>
      </c>
    </row>
    <row r="1095" spans="1:5" s="21" customFormat="1" x14ac:dyDescent="0.2">
      <c r="A1095" s="20" t="s">
        <v>130</v>
      </c>
      <c r="B1095" s="401" t="s">
        <v>1346</v>
      </c>
      <c r="C1095" s="264" t="str">
        <f t="shared" si="133"/>
        <v>Temperate mountain systemsOceania</v>
      </c>
      <c r="D1095" s="163">
        <v>3</v>
      </c>
      <c r="E1095" s="163">
        <v>3</v>
      </c>
    </row>
    <row r="1096" spans="1:5" s="21" customFormat="1" x14ac:dyDescent="0.2">
      <c r="A1096" s="20" t="s">
        <v>130</v>
      </c>
      <c r="B1096" s="401" t="s">
        <v>1343</v>
      </c>
      <c r="C1096" s="264" t="str">
        <f t="shared" si="133"/>
        <v>Temperate mountain systemsNorth America</v>
      </c>
      <c r="D1096" s="41">
        <v>4.4000000000000004</v>
      </c>
      <c r="E1096" s="41">
        <v>3.1</v>
      </c>
    </row>
    <row r="1097" spans="1:5" s="21" customFormat="1" x14ac:dyDescent="0.2">
      <c r="A1097" s="20" t="s">
        <v>130</v>
      </c>
      <c r="B1097" s="401" t="s">
        <v>1349</v>
      </c>
      <c r="C1097" s="264" t="str">
        <f t="shared" si="133"/>
        <v>Temperate mountain systemsSouth America</v>
      </c>
      <c r="D1097" s="41">
        <v>4.4000000000000004</v>
      </c>
      <c r="E1097" s="41">
        <v>3.1</v>
      </c>
    </row>
    <row r="1098" spans="1:5" s="21" customFormat="1" x14ac:dyDescent="0.2">
      <c r="A1098" s="20" t="s">
        <v>130</v>
      </c>
      <c r="B1098" s="401" t="s">
        <v>1333</v>
      </c>
      <c r="C1098" s="264" t="str">
        <f t="shared" si="133"/>
        <v>Temperate mountain systemsCentral America</v>
      </c>
      <c r="D1098" s="363">
        <v>4.4000000000000004</v>
      </c>
      <c r="E1098" s="363">
        <v>3.1</v>
      </c>
    </row>
    <row r="1099" spans="1:5" s="292" customFormat="1" x14ac:dyDescent="0.2">
      <c r="A1099" s="37" t="s">
        <v>130</v>
      </c>
      <c r="B1099" s="402" t="s">
        <v>1547</v>
      </c>
      <c r="C1099" s="265" t="str">
        <f t="shared" si="133"/>
        <v>Temperate mountain systemsCaribbean</v>
      </c>
      <c r="D1099" s="364">
        <v>4.4000000000000004</v>
      </c>
      <c r="E1099" s="364">
        <v>3.1</v>
      </c>
    </row>
    <row r="1100" spans="1:5" s="291" customFormat="1" x14ac:dyDescent="0.2">
      <c r="A1100" s="63" t="s">
        <v>134</v>
      </c>
      <c r="B1100" s="408" t="s">
        <v>1552</v>
      </c>
      <c r="C1100" s="63" t="str">
        <f>CONCATENATE(A1100,B1100)</f>
        <v>Temperate desertEastern Africa</v>
      </c>
      <c r="D1100" s="163">
        <v>0.6</v>
      </c>
      <c r="E1100" s="163">
        <v>0.5</v>
      </c>
    </row>
    <row r="1101" spans="1:5" s="21" customFormat="1" x14ac:dyDescent="0.2">
      <c r="A1101" s="20" t="s">
        <v>134</v>
      </c>
      <c r="B1101" s="401" t="s">
        <v>1557</v>
      </c>
      <c r="C1101" s="20" t="str">
        <f t="shared" ref="C1101:C1115" si="134">CONCATENATE(A1101,B1101)</f>
        <v>Temperate desertCentral Africa</v>
      </c>
      <c r="D1101" s="163">
        <v>0.6</v>
      </c>
      <c r="E1101" s="163">
        <v>0.5</v>
      </c>
    </row>
    <row r="1102" spans="1:5" s="21" customFormat="1" x14ac:dyDescent="0.2">
      <c r="A1102" s="20" t="s">
        <v>134</v>
      </c>
      <c r="B1102" s="401" t="s">
        <v>1559</v>
      </c>
      <c r="C1102" s="20" t="str">
        <f t="shared" si="134"/>
        <v>Temperate desertNorthern Africa</v>
      </c>
      <c r="D1102" s="163">
        <v>0.6</v>
      </c>
      <c r="E1102" s="163">
        <v>0.5</v>
      </c>
    </row>
    <row r="1103" spans="1:5" s="21" customFormat="1" x14ac:dyDescent="0.2">
      <c r="A1103" s="20" t="s">
        <v>134</v>
      </c>
      <c r="B1103" s="401" t="s">
        <v>1565</v>
      </c>
      <c r="C1103" s="20" t="str">
        <f t="shared" si="134"/>
        <v>Temperate desertSouthern Africa</v>
      </c>
      <c r="D1103" s="163">
        <v>0.6</v>
      </c>
      <c r="E1103" s="163">
        <v>0.5</v>
      </c>
    </row>
    <row r="1104" spans="1:5" s="21" customFormat="1" x14ac:dyDescent="0.2">
      <c r="A1104" s="20" t="s">
        <v>134</v>
      </c>
      <c r="B1104" s="401" t="s">
        <v>1569</v>
      </c>
      <c r="C1104" s="20" t="str">
        <f t="shared" si="134"/>
        <v>Temperate desertWestern Africa</v>
      </c>
      <c r="D1104" s="163">
        <v>0.6</v>
      </c>
      <c r="E1104" s="163">
        <v>0.5</v>
      </c>
    </row>
    <row r="1105" spans="1:5" s="21" customFormat="1" x14ac:dyDescent="0.2">
      <c r="A1105" s="20" t="s">
        <v>134</v>
      </c>
      <c r="B1105" s="401" t="s">
        <v>1550</v>
      </c>
      <c r="C1105" s="20" t="str">
        <f t="shared" si="134"/>
        <v>Temperate desertCentral Asia</v>
      </c>
      <c r="D1105" s="163">
        <v>0.6</v>
      </c>
      <c r="E1105" s="163">
        <v>0.5</v>
      </c>
    </row>
    <row r="1106" spans="1:5" s="21" customFormat="1" x14ac:dyDescent="0.2">
      <c r="A1106" s="20" t="s">
        <v>134</v>
      </c>
      <c r="B1106" s="401" t="s">
        <v>1554</v>
      </c>
      <c r="C1106" s="20" t="str">
        <f t="shared" si="134"/>
        <v>Temperate desertEastern Asia</v>
      </c>
      <c r="D1106" s="163">
        <v>0.6</v>
      </c>
      <c r="E1106" s="163">
        <v>0.5</v>
      </c>
    </row>
    <row r="1107" spans="1:5" s="21" customFormat="1" x14ac:dyDescent="0.2">
      <c r="A1107" s="20" t="s">
        <v>134</v>
      </c>
      <c r="B1107" s="401" t="s">
        <v>1563</v>
      </c>
      <c r="C1107" s="20" t="str">
        <f t="shared" si="134"/>
        <v>Temperate desertSouth-eastern Asia</v>
      </c>
      <c r="D1107" s="163">
        <v>0.6</v>
      </c>
      <c r="E1107" s="163">
        <v>0.5</v>
      </c>
    </row>
    <row r="1108" spans="1:5" s="21" customFormat="1" x14ac:dyDescent="0.2">
      <c r="A1108" s="20" t="s">
        <v>134</v>
      </c>
      <c r="B1108" s="401" t="s">
        <v>1567</v>
      </c>
      <c r="C1108" s="20" t="str">
        <f t="shared" si="134"/>
        <v>Temperate desertSouthern Asia</v>
      </c>
      <c r="D1108" s="163">
        <v>0.6</v>
      </c>
      <c r="E1108" s="163">
        <v>0.5</v>
      </c>
    </row>
    <row r="1109" spans="1:5" s="21" customFormat="1" x14ac:dyDescent="0.2">
      <c r="A1109" s="20" t="s">
        <v>134</v>
      </c>
      <c r="B1109" s="401" t="s">
        <v>1571</v>
      </c>
      <c r="C1109" s="20" t="str">
        <f t="shared" si="134"/>
        <v>Temperate desertWestern Asia</v>
      </c>
      <c r="D1109" s="163">
        <v>0.6</v>
      </c>
      <c r="E1109" s="163">
        <v>0.5</v>
      </c>
    </row>
    <row r="1110" spans="1:5" s="21" customFormat="1" x14ac:dyDescent="0.2">
      <c r="A1110" s="20" t="s">
        <v>134</v>
      </c>
      <c r="B1110" s="401" t="s">
        <v>1555</v>
      </c>
      <c r="C1110" s="20" t="str">
        <f t="shared" si="134"/>
        <v>Temperate desertEurope</v>
      </c>
      <c r="D1110" s="163">
        <v>0.6</v>
      </c>
      <c r="E1110" s="163">
        <v>0.5</v>
      </c>
    </row>
    <row r="1111" spans="1:5" s="21" customFormat="1" x14ac:dyDescent="0.2">
      <c r="A1111" s="20" t="s">
        <v>134</v>
      </c>
      <c r="B1111" s="401" t="s">
        <v>1346</v>
      </c>
      <c r="C1111" s="20" t="str">
        <f t="shared" si="134"/>
        <v>Temperate desertOceania</v>
      </c>
      <c r="D1111" s="163">
        <v>0.6</v>
      </c>
      <c r="E1111" s="163">
        <v>0.5</v>
      </c>
    </row>
    <row r="1112" spans="1:5" s="21" customFormat="1" x14ac:dyDescent="0.2">
      <c r="A1112" s="20" t="s">
        <v>134</v>
      </c>
      <c r="B1112" s="401" t="s">
        <v>1343</v>
      </c>
      <c r="C1112" s="20" t="str">
        <f t="shared" si="134"/>
        <v>Temperate desertNorth America</v>
      </c>
      <c r="D1112" s="41">
        <v>0.6</v>
      </c>
      <c r="E1112" s="41">
        <v>0.5</v>
      </c>
    </row>
    <row r="1113" spans="1:5" s="21" customFormat="1" x14ac:dyDescent="0.2">
      <c r="A1113" s="20" t="s">
        <v>134</v>
      </c>
      <c r="B1113" s="401" t="s">
        <v>1349</v>
      </c>
      <c r="C1113" s="20" t="str">
        <f t="shared" si="134"/>
        <v>Temperate desertSouth America</v>
      </c>
      <c r="D1113" s="41">
        <v>0.6</v>
      </c>
      <c r="E1113" s="41">
        <v>0.5</v>
      </c>
    </row>
    <row r="1114" spans="1:5" s="21" customFormat="1" x14ac:dyDescent="0.2">
      <c r="A1114" s="20" t="s">
        <v>134</v>
      </c>
      <c r="B1114" s="401" t="s">
        <v>1333</v>
      </c>
      <c r="C1114" s="20" t="str">
        <f t="shared" si="134"/>
        <v>Temperate desertCentral America</v>
      </c>
      <c r="D1114" s="163">
        <v>0.6</v>
      </c>
      <c r="E1114" s="163">
        <v>0.5</v>
      </c>
    </row>
    <row r="1115" spans="1:5" s="292" customFormat="1" x14ac:dyDescent="0.2">
      <c r="A1115" s="37" t="s">
        <v>134</v>
      </c>
      <c r="B1115" s="402" t="s">
        <v>1547</v>
      </c>
      <c r="C1115" s="37" t="str">
        <f t="shared" si="134"/>
        <v>Temperate desertCaribbean</v>
      </c>
      <c r="D1115" s="163">
        <v>0.6</v>
      </c>
      <c r="E1115" s="163">
        <v>0.5</v>
      </c>
    </row>
    <row r="1116" spans="1:5" s="291" customFormat="1" x14ac:dyDescent="0.2">
      <c r="A1116" s="63" t="s">
        <v>138</v>
      </c>
      <c r="B1116" s="408" t="s">
        <v>1552</v>
      </c>
      <c r="C1116" s="567" t="str">
        <f>CONCATENATE(A1116,B1116)</f>
        <v>Temperate steppeEastern Africa</v>
      </c>
      <c r="D1116" s="464">
        <v>3.5</v>
      </c>
      <c r="E1116" s="464">
        <v>2.2999999999999998</v>
      </c>
    </row>
    <row r="1117" spans="1:5" s="21" customFormat="1" x14ac:dyDescent="0.2">
      <c r="A1117" s="20" t="s">
        <v>138</v>
      </c>
      <c r="B1117" s="401" t="s">
        <v>1557</v>
      </c>
      <c r="C1117" s="55" t="str">
        <f t="shared" ref="C1117:C1180" si="135">CONCATENATE(A1117,B1117)</f>
        <v>Temperate steppeCentral Africa</v>
      </c>
      <c r="D1117" s="163">
        <v>3.5</v>
      </c>
      <c r="E1117" s="163">
        <v>2.2999999999999998</v>
      </c>
    </row>
    <row r="1118" spans="1:5" s="21" customFormat="1" x14ac:dyDescent="0.2">
      <c r="A1118" s="20" t="s">
        <v>138</v>
      </c>
      <c r="B1118" s="401" t="s">
        <v>1559</v>
      </c>
      <c r="C1118" s="55" t="str">
        <f t="shared" si="135"/>
        <v>Temperate steppeNorthern Africa</v>
      </c>
      <c r="D1118" s="163">
        <v>3.5</v>
      </c>
      <c r="E1118" s="163">
        <v>2.2999999999999998</v>
      </c>
    </row>
    <row r="1119" spans="1:5" s="21" customFormat="1" x14ac:dyDescent="0.2">
      <c r="A1119" s="20" t="s">
        <v>138</v>
      </c>
      <c r="B1119" s="401" t="s">
        <v>1565</v>
      </c>
      <c r="C1119" s="55" t="str">
        <f t="shared" si="135"/>
        <v>Temperate steppeSouthern Africa</v>
      </c>
      <c r="D1119" s="163">
        <v>3.5</v>
      </c>
      <c r="E1119" s="163">
        <v>2.2999999999999998</v>
      </c>
    </row>
    <row r="1120" spans="1:5" s="21" customFormat="1" x14ac:dyDescent="0.2">
      <c r="A1120" s="20" t="s">
        <v>138</v>
      </c>
      <c r="B1120" s="401" t="s">
        <v>1569</v>
      </c>
      <c r="C1120" s="55" t="str">
        <f t="shared" si="135"/>
        <v>Temperate steppeWestern Africa</v>
      </c>
      <c r="D1120" s="163">
        <v>3.5</v>
      </c>
      <c r="E1120" s="163">
        <v>2.2999999999999998</v>
      </c>
    </row>
    <row r="1121" spans="1:5" s="21" customFormat="1" x14ac:dyDescent="0.2">
      <c r="A1121" s="20" t="s">
        <v>138</v>
      </c>
      <c r="B1121" s="401" t="s">
        <v>1550</v>
      </c>
      <c r="C1121" s="55" t="str">
        <f t="shared" si="135"/>
        <v>Temperate steppeCentral Asia</v>
      </c>
      <c r="D1121" s="163">
        <v>3.5</v>
      </c>
      <c r="E1121" s="163">
        <v>2.2999999999999998</v>
      </c>
    </row>
    <row r="1122" spans="1:5" s="21" customFormat="1" x14ac:dyDescent="0.2">
      <c r="A1122" s="20" t="s">
        <v>138</v>
      </c>
      <c r="B1122" s="401" t="s">
        <v>1554</v>
      </c>
      <c r="C1122" s="55" t="str">
        <f t="shared" si="135"/>
        <v>Temperate steppeEastern Asia</v>
      </c>
      <c r="D1122" s="163">
        <v>3.5</v>
      </c>
      <c r="E1122" s="163">
        <v>2.2999999999999998</v>
      </c>
    </row>
    <row r="1123" spans="1:5" s="21" customFormat="1" x14ac:dyDescent="0.2">
      <c r="A1123" s="20" t="s">
        <v>138</v>
      </c>
      <c r="B1123" s="401" t="s">
        <v>1563</v>
      </c>
      <c r="C1123" s="55" t="str">
        <f t="shared" si="135"/>
        <v>Temperate steppeSouth-eastern Asia</v>
      </c>
      <c r="D1123" s="163">
        <v>3.5</v>
      </c>
      <c r="E1123" s="163">
        <v>2.2999999999999998</v>
      </c>
    </row>
    <row r="1124" spans="1:5" s="21" customFormat="1" x14ac:dyDescent="0.2">
      <c r="A1124" s="20" t="s">
        <v>138</v>
      </c>
      <c r="B1124" s="401" t="s">
        <v>1567</v>
      </c>
      <c r="C1124" s="55" t="str">
        <f t="shared" si="135"/>
        <v>Temperate steppeSouthern Asia</v>
      </c>
      <c r="D1124" s="163">
        <v>3.5</v>
      </c>
      <c r="E1124" s="163">
        <v>2.2999999999999998</v>
      </c>
    </row>
    <row r="1125" spans="1:5" s="21" customFormat="1" x14ac:dyDescent="0.2">
      <c r="A1125" s="20" t="s">
        <v>138</v>
      </c>
      <c r="B1125" s="401" t="s">
        <v>1571</v>
      </c>
      <c r="C1125" s="55" t="str">
        <f t="shared" si="135"/>
        <v>Temperate steppeWestern Asia</v>
      </c>
      <c r="D1125" s="163">
        <v>3.5</v>
      </c>
      <c r="E1125" s="163">
        <v>2.2999999999999998</v>
      </c>
    </row>
    <row r="1126" spans="1:5" s="21" customFormat="1" x14ac:dyDescent="0.2">
      <c r="A1126" s="20" t="s">
        <v>138</v>
      </c>
      <c r="B1126" s="401" t="s">
        <v>1555</v>
      </c>
      <c r="C1126" s="55" t="str">
        <f t="shared" si="135"/>
        <v>Temperate steppeEurope</v>
      </c>
      <c r="D1126" s="163">
        <v>3.5</v>
      </c>
      <c r="E1126" s="163">
        <v>2.2999999999999998</v>
      </c>
    </row>
    <row r="1127" spans="1:5" s="21" customFormat="1" x14ac:dyDescent="0.2">
      <c r="A1127" s="20" t="s">
        <v>138</v>
      </c>
      <c r="B1127" s="401" t="s">
        <v>1346</v>
      </c>
      <c r="C1127" s="55" t="str">
        <f t="shared" si="135"/>
        <v>Temperate steppeOceania</v>
      </c>
      <c r="D1127" s="163">
        <v>3.5</v>
      </c>
      <c r="E1127" s="163">
        <v>2.2999999999999998</v>
      </c>
    </row>
    <row r="1128" spans="1:5" s="21" customFormat="1" x14ac:dyDescent="0.2">
      <c r="A1128" s="20" t="s">
        <v>138</v>
      </c>
      <c r="B1128" s="401" t="s">
        <v>1343</v>
      </c>
      <c r="C1128" s="55" t="str">
        <f t="shared" si="135"/>
        <v>Temperate steppeNorth America</v>
      </c>
      <c r="D1128" s="41">
        <v>3.5</v>
      </c>
      <c r="E1128" s="41">
        <v>2.2999999999999998</v>
      </c>
    </row>
    <row r="1129" spans="1:5" s="21" customFormat="1" x14ac:dyDescent="0.2">
      <c r="A1129" s="20" t="s">
        <v>138</v>
      </c>
      <c r="B1129" s="401" t="s">
        <v>1349</v>
      </c>
      <c r="C1129" s="55" t="str">
        <f t="shared" si="135"/>
        <v>Temperate steppeSouth America</v>
      </c>
      <c r="D1129" s="41">
        <v>3.5</v>
      </c>
      <c r="E1129" s="41">
        <v>2.2999999999999998</v>
      </c>
    </row>
    <row r="1130" spans="1:5" s="21" customFormat="1" x14ac:dyDescent="0.2">
      <c r="A1130" s="20" t="s">
        <v>138</v>
      </c>
      <c r="B1130" s="401" t="s">
        <v>1333</v>
      </c>
      <c r="C1130" s="55" t="str">
        <f t="shared" si="135"/>
        <v>Temperate steppeCentral America</v>
      </c>
      <c r="D1130" s="163">
        <v>3.5</v>
      </c>
      <c r="E1130" s="163">
        <v>2.2999999999999998</v>
      </c>
    </row>
    <row r="1131" spans="1:5" s="292" customFormat="1" x14ac:dyDescent="0.2">
      <c r="A1131" s="37" t="s">
        <v>138</v>
      </c>
      <c r="B1131" s="402" t="s">
        <v>1547</v>
      </c>
      <c r="C1131" s="579" t="str">
        <f t="shared" si="135"/>
        <v>Temperate steppeCaribbean</v>
      </c>
      <c r="D1131" s="466">
        <v>3.5</v>
      </c>
      <c r="E1131" s="466">
        <v>2.2999999999999998</v>
      </c>
    </row>
    <row r="1132" spans="1:5" s="291" customFormat="1" x14ac:dyDescent="0.2">
      <c r="A1132" s="63" t="s">
        <v>121</v>
      </c>
      <c r="B1132" s="408" t="s">
        <v>1552</v>
      </c>
      <c r="C1132" s="567" t="str">
        <f t="shared" si="135"/>
        <v>Boreal coniferous forestEastern Africa</v>
      </c>
      <c r="D1132" s="471">
        <v>0</v>
      </c>
      <c r="E1132" s="471">
        <v>0</v>
      </c>
    </row>
    <row r="1133" spans="1:5" s="21" customFormat="1" x14ac:dyDescent="0.2">
      <c r="A1133" s="20" t="s">
        <v>121</v>
      </c>
      <c r="B1133" s="401" t="s">
        <v>1557</v>
      </c>
      <c r="C1133" s="55" t="str">
        <f t="shared" si="135"/>
        <v>Boreal coniferous forestCentral Africa</v>
      </c>
      <c r="D1133" s="471">
        <v>0</v>
      </c>
      <c r="E1133" s="471">
        <v>0</v>
      </c>
    </row>
    <row r="1134" spans="1:5" s="21" customFormat="1" x14ac:dyDescent="0.2">
      <c r="A1134" s="20" t="s">
        <v>121</v>
      </c>
      <c r="B1134" s="401" t="s">
        <v>1559</v>
      </c>
      <c r="C1134" s="55" t="str">
        <f t="shared" si="135"/>
        <v>Boreal coniferous forestNorthern Africa</v>
      </c>
      <c r="D1134" s="471">
        <v>0</v>
      </c>
      <c r="E1134" s="471">
        <v>0</v>
      </c>
    </row>
    <row r="1135" spans="1:5" s="21" customFormat="1" x14ac:dyDescent="0.2">
      <c r="A1135" s="20" t="s">
        <v>121</v>
      </c>
      <c r="B1135" s="401" t="s">
        <v>1565</v>
      </c>
      <c r="C1135" s="55" t="str">
        <f t="shared" si="135"/>
        <v>Boreal coniferous forestSouthern Africa</v>
      </c>
      <c r="D1135" s="471">
        <v>0</v>
      </c>
      <c r="E1135" s="471">
        <v>0</v>
      </c>
    </row>
    <row r="1136" spans="1:5" s="21" customFormat="1" x14ac:dyDescent="0.2">
      <c r="A1136" s="20" t="s">
        <v>121</v>
      </c>
      <c r="B1136" s="401" t="s">
        <v>1569</v>
      </c>
      <c r="C1136" s="55" t="str">
        <f t="shared" si="135"/>
        <v>Boreal coniferous forestWestern Africa</v>
      </c>
      <c r="D1136" s="471">
        <v>0</v>
      </c>
      <c r="E1136" s="471">
        <v>0</v>
      </c>
    </row>
    <row r="1137" spans="1:5" s="21" customFormat="1" x14ac:dyDescent="0.2">
      <c r="A1137" s="20" t="s">
        <v>121</v>
      </c>
      <c r="B1137" s="401" t="s">
        <v>1550</v>
      </c>
      <c r="C1137" s="55" t="str">
        <f t="shared" si="135"/>
        <v>Boreal coniferous forestCentral Asia</v>
      </c>
      <c r="D1137" s="471">
        <f>AVERAGE(0.1,2.2)</f>
        <v>1.1500000000000001</v>
      </c>
      <c r="E1137" s="41">
        <f>AVERAGE(0.1,2.3)</f>
        <v>1.2</v>
      </c>
    </row>
    <row r="1138" spans="1:5" s="21" customFormat="1" x14ac:dyDescent="0.2">
      <c r="A1138" s="20" t="s">
        <v>121</v>
      </c>
      <c r="B1138" s="401" t="s">
        <v>1554</v>
      </c>
      <c r="C1138" s="55" t="str">
        <f t="shared" si="135"/>
        <v>Boreal coniferous forestEastern Asia</v>
      </c>
      <c r="D1138" s="471">
        <f t="shared" ref="D1138:D1147" si="136">AVERAGE(0.1,2.2)</f>
        <v>1.1500000000000001</v>
      </c>
      <c r="E1138" s="41">
        <f t="shared" ref="E1138:E1147" si="137">AVERAGE(0.1,2.3)</f>
        <v>1.2</v>
      </c>
    </row>
    <row r="1139" spans="1:5" s="21" customFormat="1" x14ac:dyDescent="0.2">
      <c r="A1139" s="20" t="s">
        <v>121</v>
      </c>
      <c r="B1139" s="401" t="s">
        <v>1563</v>
      </c>
      <c r="C1139" s="55" t="str">
        <f t="shared" si="135"/>
        <v>Boreal coniferous forestSouth-eastern Asia</v>
      </c>
      <c r="D1139" s="471">
        <f t="shared" si="136"/>
        <v>1.1500000000000001</v>
      </c>
      <c r="E1139" s="41">
        <f t="shared" si="137"/>
        <v>1.2</v>
      </c>
    </row>
    <row r="1140" spans="1:5" s="21" customFormat="1" x14ac:dyDescent="0.2">
      <c r="A1140" s="20" t="s">
        <v>121</v>
      </c>
      <c r="B1140" s="401" t="s">
        <v>1567</v>
      </c>
      <c r="C1140" s="55" t="str">
        <f t="shared" si="135"/>
        <v>Boreal coniferous forestSouthern Asia</v>
      </c>
      <c r="D1140" s="471">
        <f>AVERAGE(0.1,2.2)</f>
        <v>1.1500000000000001</v>
      </c>
      <c r="E1140" s="41">
        <f t="shared" si="137"/>
        <v>1.2</v>
      </c>
    </row>
    <row r="1141" spans="1:5" s="21" customFormat="1" x14ac:dyDescent="0.2">
      <c r="A1141" s="20" t="s">
        <v>121</v>
      </c>
      <c r="B1141" s="401" t="s">
        <v>1571</v>
      </c>
      <c r="C1141" s="55" t="str">
        <f t="shared" si="135"/>
        <v>Boreal coniferous forestWestern Asia</v>
      </c>
      <c r="D1141" s="471">
        <f t="shared" si="136"/>
        <v>1.1500000000000001</v>
      </c>
      <c r="E1141" s="41">
        <f t="shared" si="137"/>
        <v>1.2</v>
      </c>
    </row>
    <row r="1142" spans="1:5" s="21" customFormat="1" x14ac:dyDescent="0.2">
      <c r="A1142" s="20" t="s">
        <v>121</v>
      </c>
      <c r="B1142" s="401" t="s">
        <v>1555</v>
      </c>
      <c r="C1142" s="55" t="str">
        <f t="shared" si="135"/>
        <v>Boreal coniferous forestEurope</v>
      </c>
      <c r="D1142" s="471">
        <f>AVERAGE(0.1,2.2)</f>
        <v>1.1500000000000001</v>
      </c>
      <c r="E1142" s="41">
        <f t="shared" si="137"/>
        <v>1.2</v>
      </c>
    </row>
    <row r="1143" spans="1:5" s="21" customFormat="1" x14ac:dyDescent="0.2">
      <c r="A1143" s="20" t="s">
        <v>121</v>
      </c>
      <c r="B1143" s="401" t="s">
        <v>1346</v>
      </c>
      <c r="C1143" s="55" t="str">
        <f t="shared" si="135"/>
        <v>Boreal coniferous forestOceania</v>
      </c>
      <c r="D1143" s="471">
        <f t="shared" si="136"/>
        <v>1.1500000000000001</v>
      </c>
      <c r="E1143" s="41">
        <f t="shared" si="137"/>
        <v>1.2</v>
      </c>
    </row>
    <row r="1144" spans="1:5" s="21" customFormat="1" x14ac:dyDescent="0.2">
      <c r="A1144" s="20" t="s">
        <v>121</v>
      </c>
      <c r="B1144" s="401" t="s">
        <v>1343</v>
      </c>
      <c r="C1144" s="55" t="str">
        <f t="shared" si="135"/>
        <v>Boreal coniferous forestNorth America</v>
      </c>
      <c r="D1144" s="471">
        <f t="shared" si="136"/>
        <v>1.1500000000000001</v>
      </c>
      <c r="E1144" s="41">
        <f t="shared" si="137"/>
        <v>1.2</v>
      </c>
    </row>
    <row r="1145" spans="1:5" s="21" customFormat="1" x14ac:dyDescent="0.2">
      <c r="A1145" s="20" t="s">
        <v>121</v>
      </c>
      <c r="B1145" s="401" t="s">
        <v>1349</v>
      </c>
      <c r="C1145" s="55" t="str">
        <f t="shared" si="135"/>
        <v>Boreal coniferous forestSouth America</v>
      </c>
      <c r="D1145" s="471">
        <f t="shared" si="136"/>
        <v>1.1500000000000001</v>
      </c>
      <c r="E1145" s="41">
        <f t="shared" si="137"/>
        <v>1.2</v>
      </c>
    </row>
    <row r="1146" spans="1:5" s="21" customFormat="1" x14ac:dyDescent="0.2">
      <c r="A1146" s="20" t="s">
        <v>121</v>
      </c>
      <c r="B1146" s="401" t="s">
        <v>1333</v>
      </c>
      <c r="C1146" s="55" t="str">
        <f t="shared" si="135"/>
        <v>Boreal coniferous forestCentral America</v>
      </c>
      <c r="D1146" s="471">
        <f t="shared" si="136"/>
        <v>1.1500000000000001</v>
      </c>
      <c r="E1146" s="41">
        <f t="shared" si="137"/>
        <v>1.2</v>
      </c>
    </row>
    <row r="1147" spans="1:5" s="292" customFormat="1" x14ac:dyDescent="0.2">
      <c r="A1147" s="37" t="s">
        <v>121</v>
      </c>
      <c r="B1147" s="402" t="s">
        <v>1547</v>
      </c>
      <c r="C1147" s="579" t="str">
        <f t="shared" si="135"/>
        <v>Boreal coniferous forestCaribbean</v>
      </c>
      <c r="D1147" s="471">
        <f t="shared" si="136"/>
        <v>1.1500000000000001</v>
      </c>
      <c r="E1147" s="41">
        <f t="shared" si="137"/>
        <v>1.2</v>
      </c>
    </row>
    <row r="1148" spans="1:5" s="291" customFormat="1" x14ac:dyDescent="0.2">
      <c r="A1148" s="63" t="s">
        <v>126</v>
      </c>
      <c r="B1148" s="408" t="s">
        <v>1552</v>
      </c>
      <c r="C1148" s="567" t="str">
        <f t="shared" si="135"/>
        <v>Boreal tundra woodlandEastern Africa</v>
      </c>
      <c r="D1148" s="44">
        <v>0</v>
      </c>
      <c r="E1148" s="44">
        <v>0</v>
      </c>
    </row>
    <row r="1149" spans="1:5" s="21" customFormat="1" x14ac:dyDescent="0.2">
      <c r="A1149" s="20" t="s">
        <v>126</v>
      </c>
      <c r="B1149" s="401" t="s">
        <v>1557</v>
      </c>
      <c r="C1149" s="55" t="str">
        <f t="shared" si="135"/>
        <v>Boreal tundra woodlandCentral Africa</v>
      </c>
      <c r="D1149" s="41">
        <v>0</v>
      </c>
      <c r="E1149" s="41">
        <v>0</v>
      </c>
    </row>
    <row r="1150" spans="1:5" s="21" customFormat="1" x14ac:dyDescent="0.2">
      <c r="A1150" s="20" t="s">
        <v>126</v>
      </c>
      <c r="B1150" s="401" t="s">
        <v>1559</v>
      </c>
      <c r="C1150" s="55" t="str">
        <f t="shared" si="135"/>
        <v>Boreal tundra woodlandNorthern Africa</v>
      </c>
      <c r="D1150" s="41">
        <v>0</v>
      </c>
      <c r="E1150" s="41">
        <v>0</v>
      </c>
    </row>
    <row r="1151" spans="1:5" s="21" customFormat="1" x14ac:dyDescent="0.2">
      <c r="A1151" s="20" t="s">
        <v>126</v>
      </c>
      <c r="B1151" s="401" t="s">
        <v>1565</v>
      </c>
      <c r="C1151" s="55" t="str">
        <f t="shared" si="135"/>
        <v>Boreal tundra woodlandSouthern Africa</v>
      </c>
      <c r="D1151" s="41">
        <v>0</v>
      </c>
      <c r="E1151" s="41">
        <v>0</v>
      </c>
    </row>
    <row r="1152" spans="1:5" s="21" customFormat="1" x14ac:dyDescent="0.2">
      <c r="A1152" s="20" t="s">
        <v>126</v>
      </c>
      <c r="B1152" s="401" t="s">
        <v>1569</v>
      </c>
      <c r="C1152" s="55" t="str">
        <f t="shared" si="135"/>
        <v>Boreal tundra woodlandWestern Africa</v>
      </c>
      <c r="D1152" s="41">
        <v>0</v>
      </c>
      <c r="E1152" s="41">
        <v>0</v>
      </c>
    </row>
    <row r="1153" spans="1:5" s="21" customFormat="1" x14ac:dyDescent="0.2">
      <c r="A1153" s="20" t="s">
        <v>126</v>
      </c>
      <c r="B1153" s="401" t="s">
        <v>1550</v>
      </c>
      <c r="C1153" s="55" t="str">
        <f t="shared" si="135"/>
        <v>Boreal tundra woodlandCentral Asia</v>
      </c>
      <c r="D1153" s="41">
        <v>0.4</v>
      </c>
      <c r="E1153" s="41">
        <v>0.4</v>
      </c>
    </row>
    <row r="1154" spans="1:5" s="21" customFormat="1" x14ac:dyDescent="0.2">
      <c r="A1154" s="20" t="s">
        <v>126</v>
      </c>
      <c r="B1154" s="401" t="s">
        <v>1554</v>
      </c>
      <c r="C1154" s="55" t="str">
        <f t="shared" si="135"/>
        <v>Boreal tundra woodlandEastern Asia</v>
      </c>
      <c r="D1154" s="41">
        <v>0.4</v>
      </c>
      <c r="E1154" s="41">
        <v>0.4</v>
      </c>
    </row>
    <row r="1155" spans="1:5" s="21" customFormat="1" x14ac:dyDescent="0.2">
      <c r="A1155" s="20" t="s">
        <v>126</v>
      </c>
      <c r="B1155" s="401" t="s">
        <v>1563</v>
      </c>
      <c r="C1155" s="55" t="str">
        <f t="shared" si="135"/>
        <v>Boreal tundra woodlandSouth-eastern Asia</v>
      </c>
      <c r="D1155" s="41">
        <v>0.4</v>
      </c>
      <c r="E1155" s="41">
        <v>0.4</v>
      </c>
    </row>
    <row r="1156" spans="1:5" s="21" customFormat="1" x14ac:dyDescent="0.2">
      <c r="A1156" s="20" t="s">
        <v>126</v>
      </c>
      <c r="B1156" s="401" t="s">
        <v>1567</v>
      </c>
      <c r="C1156" s="55" t="str">
        <f t="shared" si="135"/>
        <v>Boreal tundra woodlandSouthern Asia</v>
      </c>
      <c r="D1156" s="41">
        <v>0.4</v>
      </c>
      <c r="E1156" s="41">
        <v>0.4</v>
      </c>
    </row>
    <row r="1157" spans="1:5" s="21" customFormat="1" x14ac:dyDescent="0.2">
      <c r="A1157" s="20" t="s">
        <v>126</v>
      </c>
      <c r="B1157" s="401" t="s">
        <v>1571</v>
      </c>
      <c r="C1157" s="55" t="str">
        <f t="shared" si="135"/>
        <v>Boreal tundra woodlandWestern Asia</v>
      </c>
      <c r="D1157" s="41">
        <v>0.4</v>
      </c>
      <c r="E1157" s="41">
        <v>0.4</v>
      </c>
    </row>
    <row r="1158" spans="1:5" s="21" customFormat="1" x14ac:dyDescent="0.2">
      <c r="A1158" s="20" t="s">
        <v>126</v>
      </c>
      <c r="B1158" s="401" t="s">
        <v>1555</v>
      </c>
      <c r="C1158" s="55" t="str">
        <f t="shared" si="135"/>
        <v>Boreal tundra woodlandEurope</v>
      </c>
      <c r="D1158" s="41">
        <v>0.4</v>
      </c>
      <c r="E1158" s="41">
        <v>0.4</v>
      </c>
    </row>
    <row r="1159" spans="1:5" s="21" customFormat="1" x14ac:dyDescent="0.2">
      <c r="A1159" s="20" t="s">
        <v>126</v>
      </c>
      <c r="B1159" s="401" t="s">
        <v>1346</v>
      </c>
      <c r="C1159" s="55" t="str">
        <f t="shared" si="135"/>
        <v>Boreal tundra woodlandOceania</v>
      </c>
      <c r="D1159" s="41">
        <v>0.4</v>
      </c>
      <c r="E1159" s="41">
        <v>0.4</v>
      </c>
    </row>
    <row r="1160" spans="1:5" s="21" customFormat="1" x14ac:dyDescent="0.2">
      <c r="A1160" s="20" t="s">
        <v>126</v>
      </c>
      <c r="B1160" s="401" t="s">
        <v>1343</v>
      </c>
      <c r="C1160" s="55" t="str">
        <f t="shared" si="135"/>
        <v>Boreal tundra woodlandNorth America</v>
      </c>
      <c r="D1160" s="41">
        <v>0.4</v>
      </c>
      <c r="E1160" s="41">
        <v>0.4</v>
      </c>
    </row>
    <row r="1161" spans="1:5" s="21" customFormat="1" x14ac:dyDescent="0.2">
      <c r="A1161" s="20" t="s">
        <v>126</v>
      </c>
      <c r="B1161" s="401" t="s">
        <v>1349</v>
      </c>
      <c r="C1161" s="55" t="str">
        <f t="shared" si="135"/>
        <v>Boreal tundra woodlandSouth America</v>
      </c>
      <c r="D1161" s="41">
        <v>0.4</v>
      </c>
      <c r="E1161" s="41">
        <v>0.4</v>
      </c>
    </row>
    <row r="1162" spans="1:5" s="21" customFormat="1" x14ac:dyDescent="0.2">
      <c r="A1162" s="20" t="s">
        <v>126</v>
      </c>
      <c r="B1162" s="401" t="s">
        <v>1333</v>
      </c>
      <c r="C1162" s="55" t="str">
        <f t="shared" si="135"/>
        <v>Boreal tundra woodlandCentral America</v>
      </c>
      <c r="D1162" s="41">
        <v>0.4</v>
      </c>
      <c r="E1162" s="41">
        <v>0.4</v>
      </c>
    </row>
    <row r="1163" spans="1:5" s="292" customFormat="1" x14ac:dyDescent="0.2">
      <c r="A1163" s="37" t="s">
        <v>126</v>
      </c>
      <c r="B1163" s="402" t="s">
        <v>1547</v>
      </c>
      <c r="C1163" s="579" t="str">
        <f t="shared" si="135"/>
        <v>Boreal tundra woodlandCaribbean</v>
      </c>
      <c r="D1163" s="42">
        <v>0.4</v>
      </c>
      <c r="E1163" s="42">
        <v>0.4</v>
      </c>
    </row>
    <row r="1164" spans="1:5" s="291" customFormat="1" x14ac:dyDescent="0.2">
      <c r="A1164" s="63" t="s">
        <v>131</v>
      </c>
      <c r="B1164" s="408" t="s">
        <v>1552</v>
      </c>
      <c r="C1164" s="567" t="str">
        <f t="shared" si="135"/>
        <v>Boreal mountain systemsEastern Africa</v>
      </c>
      <c r="D1164" s="163">
        <v>0</v>
      </c>
      <c r="E1164" s="163">
        <v>0</v>
      </c>
    </row>
    <row r="1165" spans="1:5" s="21" customFormat="1" x14ac:dyDescent="0.2">
      <c r="A1165" s="20" t="s">
        <v>131</v>
      </c>
      <c r="B1165" s="401" t="s">
        <v>1557</v>
      </c>
      <c r="C1165" s="55" t="str">
        <f t="shared" si="135"/>
        <v>Boreal mountain systemsCentral Africa</v>
      </c>
      <c r="D1165" s="163">
        <v>0</v>
      </c>
      <c r="E1165" s="163">
        <v>0</v>
      </c>
    </row>
    <row r="1166" spans="1:5" s="21" customFormat="1" x14ac:dyDescent="0.2">
      <c r="A1166" s="20" t="s">
        <v>131</v>
      </c>
      <c r="B1166" s="401" t="s">
        <v>1559</v>
      </c>
      <c r="C1166" s="55" t="str">
        <f t="shared" si="135"/>
        <v>Boreal mountain systemsNorthern Africa</v>
      </c>
      <c r="D1166" s="163">
        <v>0</v>
      </c>
      <c r="E1166" s="163">
        <v>0</v>
      </c>
    </row>
    <row r="1167" spans="1:5" s="21" customFormat="1" x14ac:dyDescent="0.2">
      <c r="A1167" s="20" t="s">
        <v>131</v>
      </c>
      <c r="B1167" s="401" t="s">
        <v>1565</v>
      </c>
      <c r="C1167" s="55" t="str">
        <f t="shared" si="135"/>
        <v>Boreal mountain systemsSouthern Africa</v>
      </c>
      <c r="D1167" s="163">
        <v>0</v>
      </c>
      <c r="E1167" s="163">
        <v>0</v>
      </c>
    </row>
    <row r="1168" spans="1:5" s="21" customFormat="1" x14ac:dyDescent="0.2">
      <c r="A1168" s="20" t="s">
        <v>131</v>
      </c>
      <c r="B1168" s="401" t="s">
        <v>1569</v>
      </c>
      <c r="C1168" s="55" t="str">
        <f t="shared" si="135"/>
        <v>Boreal mountain systemsWestern Africa</v>
      </c>
      <c r="D1168" s="163">
        <v>0</v>
      </c>
      <c r="E1168" s="163">
        <v>0</v>
      </c>
    </row>
    <row r="1169" spans="1:5" s="21" customFormat="1" x14ac:dyDescent="0.2">
      <c r="A1169" s="20" t="s">
        <v>131</v>
      </c>
      <c r="B1169" s="401" t="s">
        <v>1550</v>
      </c>
      <c r="C1169" s="55" t="str">
        <f t="shared" si="135"/>
        <v>Boreal mountain systemsCentral Asia</v>
      </c>
      <c r="D1169" s="41">
        <f t="shared" ref="D1169:D1179" si="138">AVERAGE(1.1,1.5)</f>
        <v>1.3</v>
      </c>
      <c r="E1169" s="471">
        <f>AVERAGE(1,1.1)</f>
        <v>1.05</v>
      </c>
    </row>
    <row r="1170" spans="1:5" s="21" customFormat="1" x14ac:dyDescent="0.2">
      <c r="A1170" s="20" t="s">
        <v>131</v>
      </c>
      <c r="B1170" s="401" t="s">
        <v>1554</v>
      </c>
      <c r="C1170" s="55" t="str">
        <f t="shared" si="135"/>
        <v>Boreal mountain systemsEastern Asia</v>
      </c>
      <c r="D1170" s="41">
        <f t="shared" si="138"/>
        <v>1.3</v>
      </c>
      <c r="E1170" s="471">
        <f t="shared" ref="E1170:E1175" si="139">AVERAGE(1,1.1)</f>
        <v>1.05</v>
      </c>
    </row>
    <row r="1171" spans="1:5" s="21" customFormat="1" x14ac:dyDescent="0.2">
      <c r="A1171" s="20" t="s">
        <v>131</v>
      </c>
      <c r="B1171" s="401" t="s">
        <v>1563</v>
      </c>
      <c r="C1171" s="55" t="str">
        <f t="shared" si="135"/>
        <v>Boreal mountain systemsSouth-eastern Asia</v>
      </c>
      <c r="D1171" s="41">
        <f t="shared" si="138"/>
        <v>1.3</v>
      </c>
      <c r="E1171" s="471">
        <f t="shared" si="139"/>
        <v>1.05</v>
      </c>
    </row>
    <row r="1172" spans="1:5" s="21" customFormat="1" x14ac:dyDescent="0.2">
      <c r="A1172" s="20" t="s">
        <v>131</v>
      </c>
      <c r="B1172" s="401" t="s">
        <v>1567</v>
      </c>
      <c r="C1172" s="55" t="str">
        <f t="shared" si="135"/>
        <v>Boreal mountain systemsSouthern Asia</v>
      </c>
      <c r="D1172" s="41">
        <f t="shared" si="138"/>
        <v>1.3</v>
      </c>
      <c r="E1172" s="471">
        <f t="shared" si="139"/>
        <v>1.05</v>
      </c>
    </row>
    <row r="1173" spans="1:5" s="21" customFormat="1" x14ac:dyDescent="0.2">
      <c r="A1173" s="20" t="s">
        <v>131</v>
      </c>
      <c r="B1173" s="401" t="s">
        <v>1571</v>
      </c>
      <c r="C1173" s="55" t="str">
        <f t="shared" si="135"/>
        <v>Boreal mountain systemsWestern Asia</v>
      </c>
      <c r="D1173" s="41">
        <f t="shared" si="138"/>
        <v>1.3</v>
      </c>
      <c r="E1173" s="471">
        <f t="shared" si="139"/>
        <v>1.05</v>
      </c>
    </row>
    <row r="1174" spans="1:5" s="21" customFormat="1" x14ac:dyDescent="0.2">
      <c r="A1174" s="20" t="s">
        <v>131</v>
      </c>
      <c r="B1174" s="401" t="s">
        <v>1555</v>
      </c>
      <c r="C1174" s="55" t="str">
        <f t="shared" si="135"/>
        <v>Boreal mountain systemsEurope</v>
      </c>
      <c r="D1174" s="41">
        <f t="shared" si="138"/>
        <v>1.3</v>
      </c>
      <c r="E1174" s="471">
        <f t="shared" si="139"/>
        <v>1.05</v>
      </c>
    </row>
    <row r="1175" spans="1:5" s="21" customFormat="1" x14ac:dyDescent="0.2">
      <c r="A1175" s="20" t="s">
        <v>131</v>
      </c>
      <c r="B1175" s="401" t="s">
        <v>1346</v>
      </c>
      <c r="C1175" s="55" t="str">
        <f t="shared" si="135"/>
        <v>Boreal mountain systemsOceania</v>
      </c>
      <c r="D1175" s="467">
        <f t="shared" si="138"/>
        <v>1.3</v>
      </c>
      <c r="E1175" s="2800">
        <f t="shared" si="139"/>
        <v>1.05</v>
      </c>
    </row>
    <row r="1176" spans="1:5" s="21" customFormat="1" x14ac:dyDescent="0.2">
      <c r="A1176" s="20" t="s">
        <v>131</v>
      </c>
      <c r="B1176" s="401" t="s">
        <v>1343</v>
      </c>
      <c r="C1176" s="55" t="str">
        <f t="shared" si="135"/>
        <v>Boreal mountain systemsNorth America</v>
      </c>
      <c r="D1176" s="467">
        <f t="shared" si="138"/>
        <v>1.3</v>
      </c>
      <c r="E1176" s="2800">
        <f>AVERAGE(1,1.1)</f>
        <v>1.05</v>
      </c>
    </row>
    <row r="1177" spans="1:5" s="21" customFormat="1" x14ac:dyDescent="0.2">
      <c r="A1177" s="20" t="s">
        <v>131</v>
      </c>
      <c r="B1177" s="401" t="s">
        <v>1349</v>
      </c>
      <c r="C1177" s="55" t="str">
        <f t="shared" si="135"/>
        <v>Boreal mountain systemsSouth America</v>
      </c>
      <c r="D1177" s="467">
        <f t="shared" si="138"/>
        <v>1.3</v>
      </c>
      <c r="E1177" s="2800">
        <f>AVERAGE(1,1.1)</f>
        <v>1.05</v>
      </c>
    </row>
    <row r="1178" spans="1:5" s="21" customFormat="1" x14ac:dyDescent="0.2">
      <c r="A1178" s="20" t="s">
        <v>131</v>
      </c>
      <c r="B1178" s="401" t="s">
        <v>1333</v>
      </c>
      <c r="C1178" s="55" t="str">
        <f t="shared" si="135"/>
        <v>Boreal mountain systemsCentral America</v>
      </c>
      <c r="D1178" s="467">
        <f t="shared" si="138"/>
        <v>1.3</v>
      </c>
      <c r="E1178" s="2800">
        <f>AVERAGE(1,1.1)</f>
        <v>1.05</v>
      </c>
    </row>
    <row r="1179" spans="1:5" s="292" customFormat="1" x14ac:dyDescent="0.2">
      <c r="A1179" s="37" t="s">
        <v>131</v>
      </c>
      <c r="B1179" s="402" t="s">
        <v>1547</v>
      </c>
      <c r="C1179" s="579" t="str">
        <f t="shared" si="135"/>
        <v>Boreal mountain systemsCaribbean</v>
      </c>
      <c r="D1179" s="467">
        <f t="shared" si="138"/>
        <v>1.3</v>
      </c>
      <c r="E1179" s="2800">
        <f>AVERAGE(1,1.1)</f>
        <v>1.05</v>
      </c>
    </row>
    <row r="1180" spans="1:5" s="291" customFormat="1" x14ac:dyDescent="0.2">
      <c r="A1180" s="63" t="s">
        <v>122</v>
      </c>
      <c r="B1180" s="408" t="s">
        <v>1552</v>
      </c>
      <c r="C1180" s="567" t="str">
        <f t="shared" si="135"/>
        <v>Tropical mountain systemsEastern Africa</v>
      </c>
      <c r="D1180" s="491">
        <v>1.8</v>
      </c>
      <c r="E1180" s="491">
        <v>5.5</v>
      </c>
    </row>
    <row r="1181" spans="1:5" s="21" customFormat="1" x14ac:dyDescent="0.2">
      <c r="A1181" s="20" t="s">
        <v>122</v>
      </c>
      <c r="B1181" s="401" t="s">
        <v>1557</v>
      </c>
      <c r="C1181" s="55" t="str">
        <f t="shared" ref="C1181:C1244" si="140">CONCATENATE(A1181,B1181)</f>
        <v>Tropical mountain systemsCentral Africa</v>
      </c>
      <c r="D1181" s="471">
        <v>1.8</v>
      </c>
      <c r="E1181" s="471">
        <v>5.5</v>
      </c>
    </row>
    <row r="1182" spans="1:5" s="21" customFormat="1" x14ac:dyDescent="0.2">
      <c r="A1182" s="20" t="s">
        <v>122</v>
      </c>
      <c r="B1182" s="401" t="s">
        <v>1559</v>
      </c>
      <c r="C1182" s="55" t="str">
        <f t="shared" si="140"/>
        <v>Tropical mountain systemsNorthern Africa</v>
      </c>
      <c r="D1182" s="471">
        <v>1.8</v>
      </c>
      <c r="E1182" s="471">
        <v>5.5</v>
      </c>
    </row>
    <row r="1183" spans="1:5" s="21" customFormat="1" x14ac:dyDescent="0.2">
      <c r="A1183" s="20" t="s">
        <v>122</v>
      </c>
      <c r="B1183" s="401" t="s">
        <v>1565</v>
      </c>
      <c r="C1183" s="55" t="str">
        <f t="shared" si="140"/>
        <v>Tropical mountain systemsSouthern Africa</v>
      </c>
      <c r="D1183" s="471">
        <v>1.8</v>
      </c>
      <c r="E1183" s="471">
        <v>5.5</v>
      </c>
    </row>
    <row r="1184" spans="1:5" s="21" customFormat="1" x14ac:dyDescent="0.2">
      <c r="A1184" s="20" t="s">
        <v>122</v>
      </c>
      <c r="B1184" s="401" t="s">
        <v>1569</v>
      </c>
      <c r="C1184" s="55" t="str">
        <f t="shared" si="140"/>
        <v>Tropical mountain systemsWestern Africa</v>
      </c>
      <c r="D1184" s="471">
        <v>1.8</v>
      </c>
      <c r="E1184" s="471">
        <v>5.5</v>
      </c>
    </row>
    <row r="1185" spans="1:5" s="21" customFormat="1" x14ac:dyDescent="0.2">
      <c r="A1185" s="20" t="s">
        <v>122</v>
      </c>
      <c r="B1185" s="401" t="s">
        <v>1550</v>
      </c>
      <c r="C1185" s="55" t="str">
        <f t="shared" si="140"/>
        <v>Tropical mountain systemsCentral Asia</v>
      </c>
      <c r="D1185" s="471">
        <v>1.1000000000000001</v>
      </c>
      <c r="E1185" s="471">
        <v>2.9</v>
      </c>
    </row>
    <row r="1186" spans="1:5" s="21" customFormat="1" x14ac:dyDescent="0.2">
      <c r="A1186" s="20" t="s">
        <v>122</v>
      </c>
      <c r="B1186" s="401" t="s">
        <v>1554</v>
      </c>
      <c r="C1186" s="55" t="str">
        <f t="shared" si="140"/>
        <v>Tropical mountain systemsEastern Asia</v>
      </c>
      <c r="D1186" s="471">
        <v>1.1000000000000001</v>
      </c>
      <c r="E1186" s="471">
        <v>2.9</v>
      </c>
    </row>
    <row r="1187" spans="1:5" s="21" customFormat="1" x14ac:dyDescent="0.2">
      <c r="A1187" s="20" t="s">
        <v>122</v>
      </c>
      <c r="B1187" s="401" t="s">
        <v>1563</v>
      </c>
      <c r="C1187" s="55" t="str">
        <f t="shared" si="140"/>
        <v>Tropical mountain systemsSouth-eastern Asia</v>
      </c>
      <c r="D1187" s="471">
        <v>1.1000000000000001</v>
      </c>
      <c r="E1187" s="471">
        <v>2.9</v>
      </c>
    </row>
    <row r="1188" spans="1:5" s="21" customFormat="1" x14ac:dyDescent="0.2">
      <c r="A1188" s="20" t="s">
        <v>122</v>
      </c>
      <c r="B1188" s="401" t="s">
        <v>1567</v>
      </c>
      <c r="C1188" s="55" t="str">
        <f t="shared" si="140"/>
        <v>Tropical mountain systemsSouthern Asia</v>
      </c>
      <c r="D1188" s="471">
        <v>1.1000000000000001</v>
      </c>
      <c r="E1188" s="471">
        <v>2.9</v>
      </c>
    </row>
    <row r="1189" spans="1:5" s="21" customFormat="1" x14ac:dyDescent="0.2">
      <c r="A1189" s="20" t="s">
        <v>122</v>
      </c>
      <c r="B1189" s="401" t="s">
        <v>1571</v>
      </c>
      <c r="C1189" s="55" t="str">
        <f t="shared" si="140"/>
        <v>Tropical mountain systemsWestern Asia</v>
      </c>
      <c r="D1189" s="471">
        <v>1.1000000000000001</v>
      </c>
      <c r="E1189" s="471">
        <v>2.9</v>
      </c>
    </row>
    <row r="1190" spans="1:5" s="21" customFormat="1" x14ac:dyDescent="0.2">
      <c r="A1190" s="20" t="s">
        <v>122</v>
      </c>
      <c r="B1190" s="401" t="s">
        <v>1555</v>
      </c>
      <c r="C1190" s="55" t="str">
        <f t="shared" si="140"/>
        <v>Tropical mountain systemsEurope</v>
      </c>
      <c r="D1190" s="643">
        <v>1</v>
      </c>
      <c r="E1190" s="643">
        <v>1</v>
      </c>
    </row>
    <row r="1191" spans="1:5" s="21" customFormat="1" x14ac:dyDescent="0.2">
      <c r="A1191" s="20" t="s">
        <v>122</v>
      </c>
      <c r="B1191" s="401" t="s">
        <v>1346</v>
      </c>
      <c r="C1191" s="55" t="str">
        <f t="shared" si="140"/>
        <v>Tropical mountain systemsOceania</v>
      </c>
      <c r="D1191" s="643">
        <v>1</v>
      </c>
      <c r="E1191" s="643">
        <v>1</v>
      </c>
    </row>
    <row r="1192" spans="1:5" s="21" customFormat="1" x14ac:dyDescent="0.2">
      <c r="A1192" s="20" t="s">
        <v>122</v>
      </c>
      <c r="B1192" s="401" t="s">
        <v>1343</v>
      </c>
      <c r="C1192" s="55" t="str">
        <f t="shared" si="140"/>
        <v>Tropical mountain systemsNorth America</v>
      </c>
      <c r="D1192" s="471">
        <v>1.8</v>
      </c>
      <c r="E1192" s="471">
        <v>4.4000000000000004</v>
      </c>
    </row>
    <row r="1193" spans="1:5" s="21" customFormat="1" x14ac:dyDescent="0.2">
      <c r="A1193" s="20" t="s">
        <v>122</v>
      </c>
      <c r="B1193" s="401" t="s">
        <v>1349</v>
      </c>
      <c r="C1193" s="55" t="str">
        <f t="shared" si="140"/>
        <v>Tropical mountain systemsSouth America</v>
      </c>
      <c r="D1193" s="471">
        <v>1.8</v>
      </c>
      <c r="E1193" s="471">
        <v>4.4000000000000004</v>
      </c>
    </row>
    <row r="1194" spans="1:5" s="21" customFormat="1" x14ac:dyDescent="0.2">
      <c r="A1194" s="20" t="s">
        <v>122</v>
      </c>
      <c r="B1194" s="401" t="s">
        <v>1333</v>
      </c>
      <c r="C1194" s="55" t="str">
        <f t="shared" si="140"/>
        <v>Tropical mountain systemsCentral America</v>
      </c>
      <c r="D1194" s="649">
        <v>1.8</v>
      </c>
      <c r="E1194" s="649">
        <v>4.4000000000000004</v>
      </c>
    </row>
    <row r="1195" spans="1:5" s="292" customFormat="1" x14ac:dyDescent="0.2">
      <c r="A1195" s="37" t="s">
        <v>122</v>
      </c>
      <c r="B1195" s="402" t="s">
        <v>1547</v>
      </c>
      <c r="C1195" s="579" t="str">
        <f t="shared" si="140"/>
        <v>Tropical mountain systemsCaribbean</v>
      </c>
      <c r="D1195" s="649">
        <v>1.8</v>
      </c>
      <c r="E1195" s="649">
        <v>4.4000000000000004</v>
      </c>
    </row>
    <row r="1196" spans="1:5" s="291" customFormat="1" x14ac:dyDescent="0.2">
      <c r="A1196" s="63" t="s">
        <v>140</v>
      </c>
      <c r="B1196" s="408" t="s">
        <v>1552</v>
      </c>
      <c r="C1196" s="569" t="str">
        <f t="shared" si="140"/>
        <v>Planted Tropical rainforestEastern Africa</v>
      </c>
      <c r="D1196" s="645">
        <v>15</v>
      </c>
      <c r="E1196" s="491">
        <f>AVERAGE(5,8)</f>
        <v>6.5</v>
      </c>
    </row>
    <row r="1197" spans="1:5" s="21" customFormat="1" x14ac:dyDescent="0.2">
      <c r="A1197" s="20" t="s">
        <v>140</v>
      </c>
      <c r="B1197" s="401" t="s">
        <v>1557</v>
      </c>
      <c r="C1197" s="572" t="str">
        <f t="shared" si="140"/>
        <v>Planted Tropical rainforestCentral Africa</v>
      </c>
      <c r="D1197" s="643">
        <v>15</v>
      </c>
      <c r="E1197" s="471">
        <f>AVERAGE(5,8)</f>
        <v>6.5</v>
      </c>
    </row>
    <row r="1198" spans="1:5" s="21" customFormat="1" x14ac:dyDescent="0.2">
      <c r="A1198" s="20" t="s">
        <v>140</v>
      </c>
      <c r="B1198" s="401" t="s">
        <v>1559</v>
      </c>
      <c r="C1198" s="572" t="str">
        <f t="shared" si="140"/>
        <v>Planted Tropical rainforestNorthern Africa</v>
      </c>
      <c r="D1198" s="643">
        <v>15</v>
      </c>
      <c r="E1198" s="471">
        <f>AVERAGE(5,8)</f>
        <v>6.5</v>
      </c>
    </row>
    <row r="1199" spans="1:5" s="21" customFormat="1" x14ac:dyDescent="0.2">
      <c r="A1199" s="20" t="s">
        <v>140</v>
      </c>
      <c r="B1199" s="401" t="s">
        <v>1565</v>
      </c>
      <c r="C1199" s="572" t="str">
        <f t="shared" si="140"/>
        <v>Planted Tropical rainforestSouthern Africa</v>
      </c>
      <c r="D1199" s="643">
        <v>15</v>
      </c>
      <c r="E1199" s="471">
        <f>AVERAGE(5,8)</f>
        <v>6.5</v>
      </c>
    </row>
    <row r="1200" spans="1:5" s="21" customFormat="1" x14ac:dyDescent="0.2">
      <c r="A1200" s="20" t="s">
        <v>140</v>
      </c>
      <c r="B1200" s="401" t="s">
        <v>1569</v>
      </c>
      <c r="C1200" s="572" t="str">
        <f t="shared" si="140"/>
        <v>Planted Tropical rainforestWestern Africa</v>
      </c>
      <c r="D1200" s="643">
        <v>15</v>
      </c>
      <c r="E1200" s="471">
        <f>AVERAGE(5,8)</f>
        <v>6.5</v>
      </c>
    </row>
    <row r="1201" spans="1:5" s="21" customFormat="1" x14ac:dyDescent="0.2">
      <c r="A1201" s="20" t="s">
        <v>140</v>
      </c>
      <c r="B1201" s="401" t="s">
        <v>1550</v>
      </c>
      <c r="C1201" s="572" t="str">
        <f t="shared" si="140"/>
        <v>Planted Tropical rainforestCentral Asia</v>
      </c>
      <c r="D1201" s="471">
        <f>AVERAGE(2,8)</f>
        <v>5</v>
      </c>
      <c r="E1201" s="471">
        <f>AVERAGE(2,8)</f>
        <v>5</v>
      </c>
    </row>
    <row r="1202" spans="1:5" s="21" customFormat="1" x14ac:dyDescent="0.2">
      <c r="A1202" s="20" t="s">
        <v>140</v>
      </c>
      <c r="B1202" s="401" t="s">
        <v>1554</v>
      </c>
      <c r="C1202" s="572" t="str">
        <f t="shared" si="140"/>
        <v>Planted Tropical rainforestEastern Asia</v>
      </c>
      <c r="D1202" s="471">
        <f t="shared" ref="D1202:E1205" si="141">AVERAGE(2,8)</f>
        <v>5</v>
      </c>
      <c r="E1202" s="471">
        <f t="shared" si="141"/>
        <v>5</v>
      </c>
    </row>
    <row r="1203" spans="1:5" s="21" customFormat="1" x14ac:dyDescent="0.2">
      <c r="A1203" s="20" t="s">
        <v>140</v>
      </c>
      <c r="B1203" s="401" t="s">
        <v>1563</v>
      </c>
      <c r="C1203" s="572" t="str">
        <f t="shared" si="140"/>
        <v>Planted Tropical rainforestSouth-eastern Asia</v>
      </c>
      <c r="D1203" s="471">
        <f t="shared" si="141"/>
        <v>5</v>
      </c>
      <c r="E1203" s="471">
        <f t="shared" si="141"/>
        <v>5</v>
      </c>
    </row>
    <row r="1204" spans="1:5" s="21" customFormat="1" x14ac:dyDescent="0.2">
      <c r="A1204" s="20" t="s">
        <v>140</v>
      </c>
      <c r="B1204" s="401" t="s">
        <v>1567</v>
      </c>
      <c r="C1204" s="572" t="str">
        <f t="shared" si="140"/>
        <v>Planted Tropical rainforestSouthern Asia</v>
      </c>
      <c r="D1204" s="471">
        <f t="shared" si="141"/>
        <v>5</v>
      </c>
      <c r="E1204" s="471">
        <f t="shared" si="141"/>
        <v>5</v>
      </c>
    </row>
    <row r="1205" spans="1:5" s="21" customFormat="1" x14ac:dyDescent="0.2">
      <c r="A1205" s="20" t="s">
        <v>140</v>
      </c>
      <c r="B1205" s="401" t="s">
        <v>1571</v>
      </c>
      <c r="C1205" s="572" t="str">
        <f t="shared" si="140"/>
        <v>Planted Tropical rainforestWestern Asia</v>
      </c>
      <c r="D1205" s="471">
        <f t="shared" si="141"/>
        <v>5</v>
      </c>
      <c r="E1205" s="471">
        <f>AVERAGE(2,8)</f>
        <v>5</v>
      </c>
    </row>
    <row r="1206" spans="1:5" s="21" customFormat="1" x14ac:dyDescent="0.2">
      <c r="A1206" s="20" t="s">
        <v>140</v>
      </c>
      <c r="B1206" s="401" t="s">
        <v>1555</v>
      </c>
      <c r="C1206" s="572" t="str">
        <f t="shared" si="140"/>
        <v>Planted Tropical rainforestEurope</v>
      </c>
      <c r="D1206" s="643">
        <v>15</v>
      </c>
      <c r="E1206" s="643">
        <v>15</v>
      </c>
    </row>
    <row r="1207" spans="1:5" s="21" customFormat="1" x14ac:dyDescent="0.2">
      <c r="A1207" s="20" t="s">
        <v>140</v>
      </c>
      <c r="B1207" s="401" t="s">
        <v>1346</v>
      </c>
      <c r="C1207" s="572" t="str">
        <f t="shared" si="140"/>
        <v>Planted Tropical rainforestOceania</v>
      </c>
      <c r="D1207" s="643">
        <v>15</v>
      </c>
      <c r="E1207" s="643">
        <v>15</v>
      </c>
    </row>
    <row r="1208" spans="1:5" s="21" customFormat="1" x14ac:dyDescent="0.2">
      <c r="A1208" s="20" t="s">
        <v>140</v>
      </c>
      <c r="B1208" s="401" t="s">
        <v>1343</v>
      </c>
      <c r="C1208" s="572" t="str">
        <f t="shared" si="140"/>
        <v>Planted Tropical rainforestNorth America</v>
      </c>
      <c r="D1208" s="471">
        <f t="shared" ref="D1208:E1211" si="142">AVERAGE(5,40)</f>
        <v>22.5</v>
      </c>
      <c r="E1208" s="471">
        <f t="shared" si="142"/>
        <v>22.5</v>
      </c>
    </row>
    <row r="1209" spans="1:5" s="21" customFormat="1" x14ac:dyDescent="0.2">
      <c r="A1209" s="20" t="s">
        <v>140</v>
      </c>
      <c r="B1209" s="401" t="s">
        <v>1349</v>
      </c>
      <c r="C1209" s="572" t="str">
        <f t="shared" si="140"/>
        <v>Planted Tropical rainforestSouth America</v>
      </c>
      <c r="D1209" s="471">
        <f t="shared" si="142"/>
        <v>22.5</v>
      </c>
      <c r="E1209" s="471">
        <f t="shared" si="142"/>
        <v>22.5</v>
      </c>
    </row>
    <row r="1210" spans="1:5" s="21" customFormat="1" x14ac:dyDescent="0.2">
      <c r="A1210" s="20" t="s">
        <v>140</v>
      </c>
      <c r="B1210" s="401" t="s">
        <v>1333</v>
      </c>
      <c r="C1210" s="572" t="str">
        <f t="shared" si="140"/>
        <v>Planted Tropical rainforestCentral America</v>
      </c>
      <c r="D1210" s="649">
        <f t="shared" si="142"/>
        <v>22.5</v>
      </c>
      <c r="E1210" s="649">
        <f t="shared" si="142"/>
        <v>22.5</v>
      </c>
    </row>
    <row r="1211" spans="1:5" s="292" customFormat="1" x14ac:dyDescent="0.2">
      <c r="A1211" s="37" t="s">
        <v>140</v>
      </c>
      <c r="B1211" s="402" t="s">
        <v>1547</v>
      </c>
      <c r="C1211" s="420" t="str">
        <f t="shared" si="140"/>
        <v>Planted Tropical rainforestCaribbean</v>
      </c>
      <c r="D1211" s="2801">
        <f t="shared" si="142"/>
        <v>22.5</v>
      </c>
      <c r="E1211" s="2801">
        <f t="shared" si="142"/>
        <v>22.5</v>
      </c>
    </row>
    <row r="1212" spans="1:5" s="291" customFormat="1" x14ac:dyDescent="0.2">
      <c r="A1212" s="63" t="s">
        <v>144</v>
      </c>
      <c r="B1212" s="408" t="s">
        <v>1552</v>
      </c>
      <c r="C1212" s="567" t="str">
        <f t="shared" si="140"/>
        <v>Planted Tropical moist deciduous forestEastern Africa</v>
      </c>
      <c r="D1212" s="643">
        <v>10</v>
      </c>
      <c r="E1212" s="471">
        <f>AVERAGE(3,15)</f>
        <v>9</v>
      </c>
    </row>
    <row r="1213" spans="1:5" s="21" customFormat="1" x14ac:dyDescent="0.2">
      <c r="A1213" s="20" t="s">
        <v>144</v>
      </c>
      <c r="B1213" s="401" t="s">
        <v>1557</v>
      </c>
      <c r="C1213" s="55" t="str">
        <f t="shared" si="140"/>
        <v>Planted Tropical moist deciduous forestCentral Africa</v>
      </c>
      <c r="D1213" s="643">
        <v>10</v>
      </c>
      <c r="E1213" s="471">
        <f>AVERAGE(3,15)</f>
        <v>9</v>
      </c>
    </row>
    <row r="1214" spans="1:5" s="21" customFormat="1" x14ac:dyDescent="0.2">
      <c r="A1214" s="20" t="s">
        <v>144</v>
      </c>
      <c r="B1214" s="401" t="s">
        <v>1559</v>
      </c>
      <c r="C1214" s="55" t="str">
        <f t="shared" si="140"/>
        <v>Planted Tropical moist deciduous forestNorthern Africa</v>
      </c>
      <c r="D1214" s="643">
        <v>10</v>
      </c>
      <c r="E1214" s="471">
        <f>AVERAGE(3,15)</f>
        <v>9</v>
      </c>
    </row>
    <row r="1215" spans="1:5" s="21" customFormat="1" x14ac:dyDescent="0.2">
      <c r="A1215" s="20" t="s">
        <v>144</v>
      </c>
      <c r="B1215" s="401" t="s">
        <v>1565</v>
      </c>
      <c r="C1215" s="55" t="str">
        <f t="shared" si="140"/>
        <v>Planted Tropical moist deciduous forestSouthern Africa</v>
      </c>
      <c r="D1215" s="643">
        <v>10</v>
      </c>
      <c r="E1215" s="471">
        <f>AVERAGE(3,15)</f>
        <v>9</v>
      </c>
    </row>
    <row r="1216" spans="1:5" s="21" customFormat="1" x14ac:dyDescent="0.2">
      <c r="A1216" s="20" t="s">
        <v>144</v>
      </c>
      <c r="B1216" s="401" t="s">
        <v>1569</v>
      </c>
      <c r="C1216" s="55" t="str">
        <f t="shared" si="140"/>
        <v>Planted Tropical moist deciduous forestWestern Africa</v>
      </c>
      <c r="D1216" s="643">
        <v>10</v>
      </c>
      <c r="E1216" s="471">
        <f>AVERAGE(3,15)</f>
        <v>9</v>
      </c>
    </row>
    <row r="1217" spans="1:5" s="21" customFormat="1" x14ac:dyDescent="0.2">
      <c r="A1217" s="20" t="s">
        <v>144</v>
      </c>
      <c r="B1217" s="401" t="s">
        <v>1550</v>
      </c>
      <c r="C1217" s="55" t="str">
        <f t="shared" si="140"/>
        <v>Planted Tropical moist deciduous forestCentral Asia</v>
      </c>
      <c r="D1217" s="471">
        <v>8</v>
      </c>
      <c r="E1217" s="471">
        <v>8</v>
      </c>
    </row>
    <row r="1218" spans="1:5" s="21" customFormat="1" x14ac:dyDescent="0.2">
      <c r="A1218" s="20" t="s">
        <v>144</v>
      </c>
      <c r="B1218" s="401" t="s">
        <v>1554</v>
      </c>
      <c r="C1218" s="55" t="str">
        <f t="shared" si="140"/>
        <v>Planted Tropical moist deciduous forestEastern Asia</v>
      </c>
      <c r="D1218" s="471">
        <v>8</v>
      </c>
      <c r="E1218" s="471">
        <v>8</v>
      </c>
    </row>
    <row r="1219" spans="1:5" s="21" customFormat="1" x14ac:dyDescent="0.2">
      <c r="A1219" s="20" t="s">
        <v>144</v>
      </c>
      <c r="B1219" s="401" t="s">
        <v>1563</v>
      </c>
      <c r="C1219" s="55" t="str">
        <f t="shared" si="140"/>
        <v>Planted Tropical moist deciduous forestSouth-eastern Asia</v>
      </c>
      <c r="D1219" s="471">
        <v>8</v>
      </c>
      <c r="E1219" s="471">
        <v>8</v>
      </c>
    </row>
    <row r="1220" spans="1:5" s="21" customFormat="1" x14ac:dyDescent="0.2">
      <c r="A1220" s="20" t="s">
        <v>144</v>
      </c>
      <c r="B1220" s="401" t="s">
        <v>1567</v>
      </c>
      <c r="C1220" s="55" t="str">
        <f t="shared" si="140"/>
        <v>Planted Tropical moist deciduous forestSouthern Asia</v>
      </c>
      <c r="D1220" s="471">
        <v>8</v>
      </c>
      <c r="E1220" s="471">
        <v>8</v>
      </c>
    </row>
    <row r="1221" spans="1:5" s="21" customFormat="1" x14ac:dyDescent="0.2">
      <c r="A1221" s="20" t="s">
        <v>144</v>
      </c>
      <c r="B1221" s="401" t="s">
        <v>1571</v>
      </c>
      <c r="C1221" s="55" t="str">
        <f t="shared" si="140"/>
        <v>Planted Tropical moist deciduous forestWestern Asia</v>
      </c>
      <c r="D1221" s="471">
        <v>8</v>
      </c>
      <c r="E1221" s="471">
        <v>8</v>
      </c>
    </row>
    <row r="1222" spans="1:5" s="21" customFormat="1" x14ac:dyDescent="0.2">
      <c r="A1222" s="20" t="s">
        <v>144</v>
      </c>
      <c r="B1222" s="401" t="s">
        <v>1555</v>
      </c>
      <c r="C1222" s="55" t="str">
        <f t="shared" si="140"/>
        <v>Planted Tropical moist deciduous forestEurope</v>
      </c>
      <c r="D1222" s="643">
        <v>10</v>
      </c>
      <c r="E1222" s="643">
        <v>10</v>
      </c>
    </row>
    <row r="1223" spans="1:5" s="21" customFormat="1" x14ac:dyDescent="0.2">
      <c r="A1223" s="20" t="s">
        <v>144</v>
      </c>
      <c r="B1223" s="401" t="s">
        <v>1346</v>
      </c>
      <c r="C1223" s="55" t="str">
        <f t="shared" si="140"/>
        <v>Planted Tropical moist deciduous forestOceania</v>
      </c>
      <c r="D1223" s="643">
        <v>10</v>
      </c>
      <c r="E1223" s="643">
        <v>10</v>
      </c>
    </row>
    <row r="1224" spans="1:5" s="21" customFormat="1" x14ac:dyDescent="0.2">
      <c r="A1224" s="20" t="s">
        <v>144</v>
      </c>
      <c r="B1224" s="401" t="s">
        <v>1343</v>
      </c>
      <c r="C1224" s="55" t="str">
        <f t="shared" si="140"/>
        <v>Planted Tropical moist deciduous forestNorth America</v>
      </c>
      <c r="D1224" s="471">
        <f t="shared" ref="D1224:E1227" si="143">AVERAGE(4,20)</f>
        <v>12</v>
      </c>
      <c r="E1224" s="471">
        <f t="shared" si="143"/>
        <v>12</v>
      </c>
    </row>
    <row r="1225" spans="1:5" s="21" customFormat="1" x14ac:dyDescent="0.2">
      <c r="A1225" s="20" t="s">
        <v>144</v>
      </c>
      <c r="B1225" s="401" t="s">
        <v>1349</v>
      </c>
      <c r="C1225" s="55" t="str">
        <f t="shared" si="140"/>
        <v>Planted Tropical moist deciduous forestSouth America</v>
      </c>
      <c r="D1225" s="471">
        <f t="shared" si="143"/>
        <v>12</v>
      </c>
      <c r="E1225" s="471">
        <f t="shared" si="143"/>
        <v>12</v>
      </c>
    </row>
    <row r="1226" spans="1:5" s="21" customFormat="1" x14ac:dyDescent="0.2">
      <c r="A1226" s="20" t="s">
        <v>144</v>
      </c>
      <c r="B1226" s="401" t="s">
        <v>1333</v>
      </c>
      <c r="C1226" s="55" t="str">
        <f t="shared" si="140"/>
        <v>Planted Tropical moist deciduous forestCentral America</v>
      </c>
      <c r="D1226" s="649">
        <f t="shared" si="143"/>
        <v>12</v>
      </c>
      <c r="E1226" s="649">
        <f t="shared" si="143"/>
        <v>12</v>
      </c>
    </row>
    <row r="1227" spans="1:5" s="292" customFormat="1" x14ac:dyDescent="0.2">
      <c r="A1227" s="37" t="s">
        <v>144</v>
      </c>
      <c r="B1227" s="402" t="s">
        <v>1547</v>
      </c>
      <c r="C1227" s="579" t="str">
        <f t="shared" si="140"/>
        <v>Planted Tropical moist deciduous forestCaribbean</v>
      </c>
      <c r="D1227" s="649">
        <f t="shared" si="143"/>
        <v>12</v>
      </c>
      <c r="E1227" s="649">
        <f t="shared" si="143"/>
        <v>12</v>
      </c>
    </row>
    <row r="1228" spans="1:5" s="291" customFormat="1" x14ac:dyDescent="0.2">
      <c r="A1228" s="63" t="s">
        <v>147</v>
      </c>
      <c r="B1228" s="408" t="s">
        <v>1552</v>
      </c>
      <c r="C1228" s="567" t="str">
        <f t="shared" si="140"/>
        <v>Planted Tropical dry forestEastern Africa</v>
      </c>
      <c r="D1228" s="491">
        <f>AVERAGE(6,13)</f>
        <v>9.5</v>
      </c>
      <c r="E1228" s="491">
        <f>AVERAGE(4,20)</f>
        <v>12</v>
      </c>
    </row>
    <row r="1229" spans="1:5" s="21" customFormat="1" x14ac:dyDescent="0.2">
      <c r="A1229" s="20" t="s">
        <v>147</v>
      </c>
      <c r="B1229" s="401" t="s">
        <v>1557</v>
      </c>
      <c r="C1229" s="55" t="str">
        <f t="shared" si="140"/>
        <v>Planted Tropical dry forestCentral Africa</v>
      </c>
      <c r="D1229" s="471">
        <f>AVERAGE(6,13)</f>
        <v>9.5</v>
      </c>
      <c r="E1229" s="471">
        <f>AVERAGE(4,20)</f>
        <v>12</v>
      </c>
    </row>
    <row r="1230" spans="1:5" s="21" customFormat="1" x14ac:dyDescent="0.2">
      <c r="A1230" s="20" t="s">
        <v>147</v>
      </c>
      <c r="B1230" s="401" t="s">
        <v>1559</v>
      </c>
      <c r="C1230" s="55" t="str">
        <f t="shared" si="140"/>
        <v>Planted Tropical dry forestNorthern Africa</v>
      </c>
      <c r="D1230" s="471">
        <f>AVERAGE(6,13)</f>
        <v>9.5</v>
      </c>
      <c r="E1230" s="471">
        <f>AVERAGE(4,20)</f>
        <v>12</v>
      </c>
    </row>
    <row r="1231" spans="1:5" s="21" customFormat="1" x14ac:dyDescent="0.2">
      <c r="A1231" s="20" t="s">
        <v>147</v>
      </c>
      <c r="B1231" s="401" t="s">
        <v>1565</v>
      </c>
      <c r="C1231" s="55" t="str">
        <f t="shared" si="140"/>
        <v>Planted Tropical dry forestSouthern Africa</v>
      </c>
      <c r="D1231" s="471">
        <f>AVERAGE(6,13)</f>
        <v>9.5</v>
      </c>
      <c r="E1231" s="471">
        <f>AVERAGE(4,20)</f>
        <v>12</v>
      </c>
    </row>
    <row r="1232" spans="1:5" s="21" customFormat="1" x14ac:dyDescent="0.2">
      <c r="A1232" s="20" t="s">
        <v>147</v>
      </c>
      <c r="B1232" s="401" t="s">
        <v>1569</v>
      </c>
      <c r="C1232" s="55" t="str">
        <f t="shared" si="140"/>
        <v>Planted Tropical dry forestWestern Africa</v>
      </c>
      <c r="D1232" s="471">
        <f>AVERAGE(6,13)</f>
        <v>9.5</v>
      </c>
      <c r="E1232" s="471">
        <f>AVERAGE(4,20)</f>
        <v>12</v>
      </c>
    </row>
    <row r="1233" spans="1:5" s="21" customFormat="1" x14ac:dyDescent="0.2">
      <c r="A1233" s="20" t="s">
        <v>147</v>
      </c>
      <c r="B1233" s="401" t="s">
        <v>1550</v>
      </c>
      <c r="C1233" s="55" t="str">
        <f t="shared" si="140"/>
        <v>Planted Tropical dry forestCentral Asia</v>
      </c>
      <c r="D1233" s="471">
        <f t="shared" ref="D1233:E1237" si="144">AVERAGE(2,25)</f>
        <v>13.5</v>
      </c>
      <c r="E1233" s="471">
        <f t="shared" si="144"/>
        <v>13.5</v>
      </c>
    </row>
    <row r="1234" spans="1:5" s="21" customFormat="1" x14ac:dyDescent="0.2">
      <c r="A1234" s="20" t="s">
        <v>147</v>
      </c>
      <c r="B1234" s="401" t="s">
        <v>1554</v>
      </c>
      <c r="C1234" s="55" t="str">
        <f t="shared" si="140"/>
        <v>Planted Tropical dry forestEastern Asia</v>
      </c>
      <c r="D1234" s="471">
        <f t="shared" si="144"/>
        <v>13.5</v>
      </c>
      <c r="E1234" s="471">
        <f t="shared" si="144"/>
        <v>13.5</v>
      </c>
    </row>
    <row r="1235" spans="1:5" s="21" customFormat="1" x14ac:dyDescent="0.2">
      <c r="A1235" s="20" t="s">
        <v>147</v>
      </c>
      <c r="B1235" s="401" t="s">
        <v>1563</v>
      </c>
      <c r="C1235" s="55" t="str">
        <f t="shared" si="140"/>
        <v>Planted Tropical dry forestSouth-eastern Asia</v>
      </c>
      <c r="D1235" s="471">
        <f t="shared" si="144"/>
        <v>13.5</v>
      </c>
      <c r="E1235" s="471">
        <f t="shared" si="144"/>
        <v>13.5</v>
      </c>
    </row>
    <row r="1236" spans="1:5" s="21" customFormat="1" x14ac:dyDescent="0.2">
      <c r="A1236" s="20" t="s">
        <v>147</v>
      </c>
      <c r="B1236" s="401" t="s">
        <v>1567</v>
      </c>
      <c r="C1236" s="55" t="str">
        <f t="shared" si="140"/>
        <v>Planted Tropical dry forestSouthern Asia</v>
      </c>
      <c r="D1236" s="471">
        <f t="shared" si="144"/>
        <v>13.5</v>
      </c>
      <c r="E1236" s="471">
        <f t="shared" si="144"/>
        <v>13.5</v>
      </c>
    </row>
    <row r="1237" spans="1:5" s="21" customFormat="1" x14ac:dyDescent="0.2">
      <c r="A1237" s="20" t="s">
        <v>147</v>
      </c>
      <c r="B1237" s="401" t="s">
        <v>1571</v>
      </c>
      <c r="C1237" s="55" t="str">
        <f t="shared" si="140"/>
        <v>Planted Tropical dry forestWestern Asia</v>
      </c>
      <c r="D1237" s="471">
        <f t="shared" si="144"/>
        <v>13.5</v>
      </c>
      <c r="E1237" s="471">
        <f t="shared" si="144"/>
        <v>13.5</v>
      </c>
    </row>
    <row r="1238" spans="1:5" s="21" customFormat="1" x14ac:dyDescent="0.2">
      <c r="A1238" s="20" t="s">
        <v>147</v>
      </c>
      <c r="B1238" s="401" t="s">
        <v>1555</v>
      </c>
      <c r="C1238" s="55" t="str">
        <f t="shared" si="140"/>
        <v>Planted Tropical dry forestEurope</v>
      </c>
      <c r="D1238" s="643">
        <v>8</v>
      </c>
      <c r="E1238" s="643">
        <v>8</v>
      </c>
    </row>
    <row r="1239" spans="1:5" s="21" customFormat="1" x14ac:dyDescent="0.2">
      <c r="A1239" s="20" t="s">
        <v>147</v>
      </c>
      <c r="B1239" s="401" t="s">
        <v>1346</v>
      </c>
      <c r="C1239" s="55" t="str">
        <f t="shared" si="140"/>
        <v>Planted Tropical dry forestOceania</v>
      </c>
      <c r="D1239" s="643">
        <v>8</v>
      </c>
      <c r="E1239" s="643">
        <v>8</v>
      </c>
    </row>
    <row r="1240" spans="1:5" s="21" customFormat="1" x14ac:dyDescent="0.2">
      <c r="A1240" s="20" t="s">
        <v>147</v>
      </c>
      <c r="B1240" s="401" t="s">
        <v>1343</v>
      </c>
      <c r="C1240" s="55" t="str">
        <f t="shared" si="140"/>
        <v>Planted Tropical dry forestNorth America</v>
      </c>
      <c r="D1240" s="471">
        <f t="shared" ref="D1240:E1243" si="145">AVERAGE(4,30)</f>
        <v>17</v>
      </c>
      <c r="E1240" s="471">
        <f t="shared" si="145"/>
        <v>17</v>
      </c>
    </row>
    <row r="1241" spans="1:5" s="21" customFormat="1" x14ac:dyDescent="0.2">
      <c r="A1241" s="20" t="s">
        <v>147</v>
      </c>
      <c r="B1241" s="401" t="s">
        <v>1349</v>
      </c>
      <c r="C1241" s="55" t="str">
        <f t="shared" si="140"/>
        <v>Planted Tropical dry forestSouth America</v>
      </c>
      <c r="D1241" s="471">
        <f t="shared" si="145"/>
        <v>17</v>
      </c>
      <c r="E1241" s="471">
        <f t="shared" si="145"/>
        <v>17</v>
      </c>
    </row>
    <row r="1242" spans="1:5" s="21" customFormat="1" x14ac:dyDescent="0.2">
      <c r="A1242" s="20" t="s">
        <v>147</v>
      </c>
      <c r="B1242" s="401" t="s">
        <v>1333</v>
      </c>
      <c r="C1242" s="55" t="str">
        <f t="shared" si="140"/>
        <v>Planted Tropical dry forestCentral America</v>
      </c>
      <c r="D1242" s="649">
        <f t="shared" si="145"/>
        <v>17</v>
      </c>
      <c r="E1242" s="649">
        <f t="shared" si="145"/>
        <v>17</v>
      </c>
    </row>
    <row r="1243" spans="1:5" s="292" customFormat="1" x14ac:dyDescent="0.2">
      <c r="A1243" s="37" t="s">
        <v>147</v>
      </c>
      <c r="B1243" s="402" t="s">
        <v>1547</v>
      </c>
      <c r="C1243" s="579" t="str">
        <f t="shared" si="140"/>
        <v>Planted Tropical dry forestCaribbean</v>
      </c>
      <c r="D1243" s="649">
        <f t="shared" si="145"/>
        <v>17</v>
      </c>
      <c r="E1243" s="649">
        <f t="shared" si="145"/>
        <v>17</v>
      </c>
    </row>
    <row r="1244" spans="1:5" s="291" customFormat="1" x14ac:dyDescent="0.2">
      <c r="A1244" s="63" t="s">
        <v>150</v>
      </c>
      <c r="B1244" s="408" t="s">
        <v>1552</v>
      </c>
      <c r="C1244" s="567" t="str">
        <f t="shared" si="140"/>
        <v>Planted  Tropical shrublandEastern Africa</v>
      </c>
      <c r="D1244" s="491">
        <f>AVERAGE(2.5,14)</f>
        <v>8.25</v>
      </c>
      <c r="E1244" s="491">
        <f>AVERAGE(3,7)</f>
        <v>5</v>
      </c>
    </row>
    <row r="1245" spans="1:5" s="21" customFormat="1" x14ac:dyDescent="0.2">
      <c r="A1245" s="20" t="s">
        <v>150</v>
      </c>
      <c r="B1245" s="401" t="s">
        <v>1557</v>
      </c>
      <c r="C1245" s="55" t="str">
        <f t="shared" ref="C1245:C1308" si="146">CONCATENATE(A1245,B1245)</f>
        <v>Planted  Tropical shrublandCentral Africa</v>
      </c>
      <c r="D1245" s="471">
        <f>AVERAGE(2.5,14)</f>
        <v>8.25</v>
      </c>
      <c r="E1245" s="471">
        <f>AVERAGE(3,7)</f>
        <v>5</v>
      </c>
    </row>
    <row r="1246" spans="1:5" s="21" customFormat="1" x14ac:dyDescent="0.2">
      <c r="A1246" s="20" t="s">
        <v>150</v>
      </c>
      <c r="B1246" s="401" t="s">
        <v>1559</v>
      </c>
      <c r="C1246" s="55" t="str">
        <f t="shared" si="146"/>
        <v>Planted  Tropical shrublandNorthern Africa</v>
      </c>
      <c r="D1246" s="471">
        <f>AVERAGE(2.5,14)</f>
        <v>8.25</v>
      </c>
      <c r="E1246" s="471">
        <f>AVERAGE(3,7)</f>
        <v>5</v>
      </c>
    </row>
    <row r="1247" spans="1:5" s="21" customFormat="1" x14ac:dyDescent="0.2">
      <c r="A1247" s="20" t="s">
        <v>150</v>
      </c>
      <c r="B1247" s="401" t="s">
        <v>1565</v>
      </c>
      <c r="C1247" s="55" t="str">
        <f t="shared" si="146"/>
        <v>Planted  Tropical shrublandSouthern Africa</v>
      </c>
      <c r="D1247" s="471">
        <f>AVERAGE(2.5,14)</f>
        <v>8.25</v>
      </c>
      <c r="E1247" s="471">
        <f>AVERAGE(3,7)</f>
        <v>5</v>
      </c>
    </row>
    <row r="1248" spans="1:5" s="21" customFormat="1" x14ac:dyDescent="0.2">
      <c r="A1248" s="20" t="s">
        <v>150</v>
      </c>
      <c r="B1248" s="401" t="s">
        <v>1569</v>
      </c>
      <c r="C1248" s="55" t="str">
        <f t="shared" si="146"/>
        <v>Planted  Tropical shrublandWestern Africa</v>
      </c>
      <c r="D1248" s="471">
        <f>AVERAGE(2.5,14)</f>
        <v>8.25</v>
      </c>
      <c r="E1248" s="471">
        <f>AVERAGE(3,7)</f>
        <v>5</v>
      </c>
    </row>
    <row r="1249" spans="1:5" s="21" customFormat="1" x14ac:dyDescent="0.2">
      <c r="A1249" s="20" t="s">
        <v>150</v>
      </c>
      <c r="B1249" s="401" t="s">
        <v>1550</v>
      </c>
      <c r="C1249" s="55" t="str">
        <f t="shared" si="146"/>
        <v>Planted  Tropical shrublandCentral Asia</v>
      </c>
      <c r="D1249" s="471">
        <f>AVERAGE(1,12)</f>
        <v>6.5</v>
      </c>
      <c r="E1249" s="471">
        <f>AVERAGE(1,12)</f>
        <v>6.5</v>
      </c>
    </row>
    <row r="1250" spans="1:5" s="21" customFormat="1" x14ac:dyDescent="0.2">
      <c r="A1250" s="20" t="s">
        <v>150</v>
      </c>
      <c r="B1250" s="401" t="s">
        <v>1554</v>
      </c>
      <c r="C1250" s="55" t="str">
        <f t="shared" si="146"/>
        <v>Planted  Tropical shrublandEastern Asia</v>
      </c>
      <c r="D1250" s="471">
        <f>AVERAGE(1,12)</f>
        <v>6.5</v>
      </c>
      <c r="E1250" s="471">
        <f>AVERAGE(1,12)</f>
        <v>6.5</v>
      </c>
    </row>
    <row r="1251" spans="1:5" s="21" customFormat="1" x14ac:dyDescent="0.2">
      <c r="A1251" s="20" t="s">
        <v>150</v>
      </c>
      <c r="B1251" s="401" t="s">
        <v>1563</v>
      </c>
      <c r="C1251" s="55" t="str">
        <f t="shared" si="146"/>
        <v>Planted  Tropical shrublandSouth-eastern Asia</v>
      </c>
      <c r="D1251" s="471">
        <f t="shared" ref="D1251:E1253" si="147">AVERAGE(1,12)</f>
        <v>6.5</v>
      </c>
      <c r="E1251" s="471">
        <f t="shared" si="147"/>
        <v>6.5</v>
      </c>
    </row>
    <row r="1252" spans="1:5" s="21" customFormat="1" x14ac:dyDescent="0.2">
      <c r="A1252" s="20" t="s">
        <v>150</v>
      </c>
      <c r="B1252" s="401" t="s">
        <v>1567</v>
      </c>
      <c r="C1252" s="55" t="str">
        <f t="shared" si="146"/>
        <v>Planted  Tropical shrublandSouthern Asia</v>
      </c>
      <c r="D1252" s="471">
        <f t="shared" si="147"/>
        <v>6.5</v>
      </c>
      <c r="E1252" s="471">
        <f t="shared" si="147"/>
        <v>6.5</v>
      </c>
    </row>
    <row r="1253" spans="1:5" s="21" customFormat="1" x14ac:dyDescent="0.2">
      <c r="A1253" s="20" t="s">
        <v>150</v>
      </c>
      <c r="B1253" s="401" t="s">
        <v>1571</v>
      </c>
      <c r="C1253" s="55" t="str">
        <f t="shared" si="146"/>
        <v>Planted  Tropical shrublandWestern Asia</v>
      </c>
      <c r="D1253" s="471">
        <f t="shared" si="147"/>
        <v>6.5</v>
      </c>
      <c r="E1253" s="471">
        <f t="shared" si="147"/>
        <v>6.5</v>
      </c>
    </row>
    <row r="1254" spans="1:5" s="21" customFormat="1" x14ac:dyDescent="0.2">
      <c r="A1254" s="20" t="s">
        <v>150</v>
      </c>
      <c r="B1254" s="401" t="s">
        <v>1555</v>
      </c>
      <c r="C1254" s="55" t="str">
        <f t="shared" si="146"/>
        <v>Planted  Tropical shrublandEurope</v>
      </c>
      <c r="D1254" s="643">
        <v>5</v>
      </c>
      <c r="E1254" s="643">
        <v>5</v>
      </c>
    </row>
    <row r="1255" spans="1:5" s="21" customFormat="1" x14ac:dyDescent="0.2">
      <c r="A1255" s="20" t="s">
        <v>150</v>
      </c>
      <c r="B1255" s="401" t="s">
        <v>1346</v>
      </c>
      <c r="C1255" s="55" t="str">
        <f t="shared" si="146"/>
        <v>Planted  Tropical shrublandOceania</v>
      </c>
      <c r="D1255" s="643">
        <v>5</v>
      </c>
      <c r="E1255" s="643">
        <v>5</v>
      </c>
    </row>
    <row r="1256" spans="1:5" s="21" customFormat="1" x14ac:dyDescent="0.2">
      <c r="A1256" s="20" t="s">
        <v>150</v>
      </c>
      <c r="B1256" s="401" t="s">
        <v>1343</v>
      </c>
      <c r="C1256" s="55" t="str">
        <f t="shared" si="146"/>
        <v>Planted  Tropical shrublandNorth America</v>
      </c>
      <c r="D1256" s="471">
        <f t="shared" ref="D1256:E1259" si="148">AVERAGE(5,20)</f>
        <v>12.5</v>
      </c>
      <c r="E1256" s="471">
        <f t="shared" si="148"/>
        <v>12.5</v>
      </c>
    </row>
    <row r="1257" spans="1:5" s="21" customFormat="1" x14ac:dyDescent="0.2">
      <c r="A1257" s="20" t="s">
        <v>150</v>
      </c>
      <c r="B1257" s="401" t="s">
        <v>1349</v>
      </c>
      <c r="C1257" s="55" t="str">
        <f t="shared" si="146"/>
        <v>Planted  Tropical shrublandSouth America</v>
      </c>
      <c r="D1257" s="471">
        <f t="shared" si="148"/>
        <v>12.5</v>
      </c>
      <c r="E1257" s="471">
        <f t="shared" si="148"/>
        <v>12.5</v>
      </c>
    </row>
    <row r="1258" spans="1:5" s="21" customFormat="1" x14ac:dyDescent="0.2">
      <c r="A1258" s="20" t="s">
        <v>150</v>
      </c>
      <c r="B1258" s="401" t="s">
        <v>1333</v>
      </c>
      <c r="C1258" s="55" t="str">
        <f t="shared" si="146"/>
        <v>Planted  Tropical shrublandCentral America</v>
      </c>
      <c r="D1258" s="649">
        <f t="shared" si="148"/>
        <v>12.5</v>
      </c>
      <c r="E1258" s="649">
        <f t="shared" si="148"/>
        <v>12.5</v>
      </c>
    </row>
    <row r="1259" spans="1:5" s="292" customFormat="1" x14ac:dyDescent="0.2">
      <c r="A1259" s="37" t="s">
        <v>150</v>
      </c>
      <c r="B1259" s="402" t="s">
        <v>1547</v>
      </c>
      <c r="C1259" s="579" t="str">
        <f t="shared" si="146"/>
        <v>Planted  Tropical shrublandCaribbean</v>
      </c>
      <c r="D1259" s="649">
        <f t="shared" si="148"/>
        <v>12.5</v>
      </c>
      <c r="E1259" s="649">
        <f t="shared" si="148"/>
        <v>12.5</v>
      </c>
    </row>
    <row r="1260" spans="1:5" s="291" customFormat="1" x14ac:dyDescent="0.2">
      <c r="A1260" s="63" t="s">
        <v>127</v>
      </c>
      <c r="B1260" s="408" t="s">
        <v>1552</v>
      </c>
      <c r="C1260" s="567" t="str">
        <f t="shared" si="146"/>
        <v>Planted Tropical mountain systemsEastern Africa</v>
      </c>
      <c r="D1260" s="44">
        <v>10</v>
      </c>
      <c r="E1260" s="44">
        <v>10</v>
      </c>
    </row>
    <row r="1261" spans="1:5" s="21" customFormat="1" x14ac:dyDescent="0.2">
      <c r="A1261" s="20" t="s">
        <v>127</v>
      </c>
      <c r="B1261" s="401" t="s">
        <v>1557</v>
      </c>
      <c r="C1261" s="55" t="str">
        <f t="shared" si="146"/>
        <v>Planted Tropical mountain systemsCentral Africa</v>
      </c>
      <c r="D1261" s="41">
        <v>10</v>
      </c>
      <c r="E1261" s="41">
        <v>10</v>
      </c>
    </row>
    <row r="1262" spans="1:5" s="21" customFormat="1" x14ac:dyDescent="0.2">
      <c r="A1262" s="20" t="s">
        <v>127</v>
      </c>
      <c r="B1262" s="401" t="s">
        <v>1559</v>
      </c>
      <c r="C1262" s="55" t="str">
        <f t="shared" si="146"/>
        <v>Planted Tropical mountain systemsNorthern Africa</v>
      </c>
      <c r="D1262" s="41">
        <v>10</v>
      </c>
      <c r="E1262" s="41">
        <v>10</v>
      </c>
    </row>
    <row r="1263" spans="1:5" s="21" customFormat="1" x14ac:dyDescent="0.2">
      <c r="A1263" s="20" t="s">
        <v>127</v>
      </c>
      <c r="B1263" s="401" t="s">
        <v>1565</v>
      </c>
      <c r="C1263" s="55" t="str">
        <f t="shared" si="146"/>
        <v>Planted Tropical mountain systemsSouthern Africa</v>
      </c>
      <c r="D1263" s="41">
        <v>10</v>
      </c>
      <c r="E1263" s="41">
        <v>10</v>
      </c>
    </row>
    <row r="1264" spans="1:5" s="21" customFormat="1" x14ac:dyDescent="0.2">
      <c r="A1264" s="20" t="s">
        <v>127</v>
      </c>
      <c r="B1264" s="401" t="s">
        <v>1569</v>
      </c>
      <c r="C1264" s="55" t="str">
        <f t="shared" si="146"/>
        <v>Planted Tropical mountain systemsWestern Africa</v>
      </c>
      <c r="D1264" s="41">
        <v>10</v>
      </c>
      <c r="E1264" s="41">
        <v>10</v>
      </c>
    </row>
    <row r="1265" spans="1:5" s="21" customFormat="1" x14ac:dyDescent="0.2">
      <c r="A1265" s="20" t="s">
        <v>127</v>
      </c>
      <c r="B1265" s="401" t="s">
        <v>1550</v>
      </c>
      <c r="C1265" s="55" t="str">
        <f t="shared" si="146"/>
        <v>Planted Tropical mountain systemsCentral Asia</v>
      </c>
      <c r="D1265" s="41">
        <f>AVERAGE(1,10)</f>
        <v>5.5</v>
      </c>
      <c r="E1265" s="41">
        <f>AVERAGE(1,10)</f>
        <v>5.5</v>
      </c>
    </row>
    <row r="1266" spans="1:5" s="21" customFormat="1" x14ac:dyDescent="0.2">
      <c r="A1266" s="20" t="s">
        <v>127</v>
      </c>
      <c r="B1266" s="401" t="s">
        <v>1554</v>
      </c>
      <c r="C1266" s="55" t="str">
        <f t="shared" si="146"/>
        <v>Planted Tropical mountain systemsEastern Asia</v>
      </c>
      <c r="D1266" s="41">
        <f t="shared" ref="D1266:E1269" si="149">AVERAGE(1,10)</f>
        <v>5.5</v>
      </c>
      <c r="E1266" s="41">
        <f t="shared" si="149"/>
        <v>5.5</v>
      </c>
    </row>
    <row r="1267" spans="1:5" s="21" customFormat="1" x14ac:dyDescent="0.2">
      <c r="A1267" s="20" t="s">
        <v>127</v>
      </c>
      <c r="B1267" s="401" t="s">
        <v>1563</v>
      </c>
      <c r="C1267" s="55" t="str">
        <f t="shared" si="146"/>
        <v>Planted Tropical mountain systemsSouth-eastern Asia</v>
      </c>
      <c r="D1267" s="41">
        <f t="shared" si="149"/>
        <v>5.5</v>
      </c>
      <c r="E1267" s="41">
        <f t="shared" si="149"/>
        <v>5.5</v>
      </c>
    </row>
    <row r="1268" spans="1:5" s="21" customFormat="1" x14ac:dyDescent="0.2">
      <c r="A1268" s="20" t="s">
        <v>127</v>
      </c>
      <c r="B1268" s="401" t="s">
        <v>1567</v>
      </c>
      <c r="C1268" s="55" t="str">
        <f t="shared" si="146"/>
        <v>Planted Tropical mountain systemsSouthern Asia</v>
      </c>
      <c r="D1268" s="41">
        <f t="shared" si="149"/>
        <v>5.5</v>
      </c>
      <c r="E1268" s="41">
        <f t="shared" si="149"/>
        <v>5.5</v>
      </c>
    </row>
    <row r="1269" spans="1:5" s="21" customFormat="1" x14ac:dyDescent="0.2">
      <c r="A1269" s="20" t="s">
        <v>127</v>
      </c>
      <c r="B1269" s="401" t="s">
        <v>1571</v>
      </c>
      <c r="C1269" s="55" t="str">
        <f t="shared" si="146"/>
        <v>Planted Tropical mountain systemsWestern Asia</v>
      </c>
      <c r="D1269" s="41">
        <f t="shared" si="149"/>
        <v>5.5</v>
      </c>
      <c r="E1269" s="41">
        <f t="shared" si="149"/>
        <v>5.5</v>
      </c>
    </row>
    <row r="1270" spans="1:5" s="21" customFormat="1" x14ac:dyDescent="0.2">
      <c r="A1270" s="20" t="s">
        <v>127</v>
      </c>
      <c r="B1270" s="401" t="s">
        <v>1555</v>
      </c>
      <c r="C1270" s="55" t="str">
        <f t="shared" si="146"/>
        <v>Planted Tropical mountain systemsEurope</v>
      </c>
      <c r="D1270" s="163">
        <v>5</v>
      </c>
      <c r="E1270" s="163">
        <v>5</v>
      </c>
    </row>
    <row r="1271" spans="1:5" s="21" customFormat="1" x14ac:dyDescent="0.2">
      <c r="A1271" s="20" t="s">
        <v>127</v>
      </c>
      <c r="B1271" s="401" t="s">
        <v>1346</v>
      </c>
      <c r="C1271" s="55" t="str">
        <f t="shared" si="146"/>
        <v>Planted Tropical mountain systemsOceania</v>
      </c>
      <c r="D1271" s="163">
        <v>5</v>
      </c>
      <c r="E1271" s="163">
        <v>5</v>
      </c>
    </row>
    <row r="1272" spans="1:5" s="21" customFormat="1" ht="14.25" customHeight="1" x14ac:dyDescent="0.2">
      <c r="A1272" s="20" t="s">
        <v>127</v>
      </c>
      <c r="B1272" s="401" t="s">
        <v>1343</v>
      </c>
      <c r="C1272" s="55" t="str">
        <f t="shared" si="146"/>
        <v>Planted Tropical mountain systemsNorth America</v>
      </c>
      <c r="D1272" s="41">
        <f t="shared" ref="D1272:E1275" si="150">AVERAGE(8,18)</f>
        <v>13</v>
      </c>
      <c r="E1272" s="41">
        <f t="shared" si="150"/>
        <v>13</v>
      </c>
    </row>
    <row r="1273" spans="1:5" s="21" customFormat="1" ht="14.25" customHeight="1" x14ac:dyDescent="0.2">
      <c r="A1273" s="20" t="s">
        <v>127</v>
      </c>
      <c r="B1273" s="401" t="s">
        <v>1349</v>
      </c>
      <c r="C1273" s="55" t="str">
        <f t="shared" si="146"/>
        <v>Planted Tropical mountain systemsSouth America</v>
      </c>
      <c r="D1273" s="41">
        <f t="shared" si="150"/>
        <v>13</v>
      </c>
      <c r="E1273" s="41">
        <f t="shared" si="150"/>
        <v>13</v>
      </c>
    </row>
    <row r="1274" spans="1:5" s="21" customFormat="1" ht="14.25" customHeight="1" x14ac:dyDescent="0.2">
      <c r="A1274" s="20" t="s">
        <v>127</v>
      </c>
      <c r="B1274" s="401" t="s">
        <v>1333</v>
      </c>
      <c r="C1274" s="55" t="str">
        <f t="shared" si="146"/>
        <v>Planted Tropical mountain systemsCentral America</v>
      </c>
      <c r="D1274" s="363">
        <f t="shared" si="150"/>
        <v>13</v>
      </c>
      <c r="E1274" s="363">
        <f t="shared" si="150"/>
        <v>13</v>
      </c>
    </row>
    <row r="1275" spans="1:5" s="292" customFormat="1" x14ac:dyDescent="0.2">
      <c r="A1275" s="37" t="s">
        <v>127</v>
      </c>
      <c r="B1275" s="402" t="s">
        <v>1547</v>
      </c>
      <c r="C1275" s="579" t="str">
        <f t="shared" si="146"/>
        <v>Planted Tropical mountain systemsCaribbean</v>
      </c>
      <c r="D1275" s="363">
        <f t="shared" si="150"/>
        <v>13</v>
      </c>
      <c r="E1275" s="363">
        <f t="shared" si="150"/>
        <v>13</v>
      </c>
    </row>
    <row r="1276" spans="1:5" s="291" customFormat="1" x14ac:dyDescent="0.2">
      <c r="A1276" s="63" t="s">
        <v>137</v>
      </c>
      <c r="B1276" s="408" t="s">
        <v>1552</v>
      </c>
      <c r="C1276" s="569" t="str">
        <f t="shared" si="146"/>
        <v>Planted Subtropical humid forestEastern Africa</v>
      </c>
      <c r="D1276" s="464">
        <v>10</v>
      </c>
      <c r="E1276" s="464">
        <v>10</v>
      </c>
    </row>
    <row r="1277" spans="1:5" s="21" customFormat="1" x14ac:dyDescent="0.2">
      <c r="A1277" s="20" t="s">
        <v>137</v>
      </c>
      <c r="B1277" s="401" t="s">
        <v>1557</v>
      </c>
      <c r="C1277" s="572" t="str">
        <f t="shared" si="146"/>
        <v>Planted Subtropical humid forestCentral Africa</v>
      </c>
      <c r="D1277" s="163">
        <v>10</v>
      </c>
      <c r="E1277" s="163">
        <v>10</v>
      </c>
    </row>
    <row r="1278" spans="1:5" s="21" customFormat="1" x14ac:dyDescent="0.2">
      <c r="A1278" s="20" t="s">
        <v>137</v>
      </c>
      <c r="B1278" s="401" t="s">
        <v>1559</v>
      </c>
      <c r="C1278" s="572" t="str">
        <f t="shared" si="146"/>
        <v>Planted Subtropical humid forestNorthern Africa</v>
      </c>
      <c r="D1278" s="163">
        <v>10</v>
      </c>
      <c r="E1278" s="163">
        <v>10</v>
      </c>
    </row>
    <row r="1279" spans="1:5" s="21" customFormat="1" x14ac:dyDescent="0.2">
      <c r="A1279" s="20" t="s">
        <v>137</v>
      </c>
      <c r="B1279" s="401" t="s">
        <v>1565</v>
      </c>
      <c r="C1279" s="572" t="str">
        <f t="shared" si="146"/>
        <v>Planted Subtropical humid forestSouthern Africa</v>
      </c>
      <c r="D1279" s="163">
        <v>10</v>
      </c>
      <c r="E1279" s="163">
        <v>10</v>
      </c>
    </row>
    <row r="1280" spans="1:5" s="21" customFormat="1" x14ac:dyDescent="0.2">
      <c r="A1280" s="20" t="s">
        <v>137</v>
      </c>
      <c r="B1280" s="401" t="s">
        <v>1569</v>
      </c>
      <c r="C1280" s="572" t="str">
        <f t="shared" si="146"/>
        <v>Planted Subtropical humid forestWestern Africa</v>
      </c>
      <c r="D1280" s="163">
        <v>10</v>
      </c>
      <c r="E1280" s="163">
        <v>10</v>
      </c>
    </row>
    <row r="1281" spans="1:5" s="21" customFormat="1" x14ac:dyDescent="0.2">
      <c r="A1281" s="20" t="s">
        <v>137</v>
      </c>
      <c r="B1281" s="401" t="s">
        <v>1550</v>
      </c>
      <c r="C1281" s="572" t="str">
        <f t="shared" si="146"/>
        <v>Planted Subtropical humid forestCentral Asia</v>
      </c>
      <c r="D1281" s="41">
        <v>8</v>
      </c>
      <c r="E1281" s="41">
        <v>8</v>
      </c>
    </row>
    <row r="1282" spans="1:5" s="21" customFormat="1" x14ac:dyDescent="0.2">
      <c r="A1282" s="20" t="s">
        <v>137</v>
      </c>
      <c r="B1282" s="401" t="s">
        <v>1554</v>
      </c>
      <c r="C1282" s="572" t="str">
        <f t="shared" si="146"/>
        <v>Planted Subtropical humid forestEastern Asia</v>
      </c>
      <c r="D1282" s="41">
        <v>8</v>
      </c>
      <c r="E1282" s="41">
        <v>8</v>
      </c>
    </row>
    <row r="1283" spans="1:5" s="21" customFormat="1" x14ac:dyDescent="0.2">
      <c r="A1283" s="20" t="s">
        <v>137</v>
      </c>
      <c r="B1283" s="401" t="s">
        <v>1563</v>
      </c>
      <c r="C1283" s="572" t="str">
        <f t="shared" si="146"/>
        <v>Planted Subtropical humid forestSouth-eastern Asia</v>
      </c>
      <c r="D1283" s="41">
        <v>8</v>
      </c>
      <c r="E1283" s="41">
        <v>8</v>
      </c>
    </row>
    <row r="1284" spans="1:5" s="21" customFormat="1" x14ac:dyDescent="0.2">
      <c r="A1284" s="20" t="s">
        <v>137</v>
      </c>
      <c r="B1284" s="401" t="s">
        <v>1567</v>
      </c>
      <c r="C1284" s="572" t="str">
        <f t="shared" si="146"/>
        <v>Planted Subtropical humid forestSouthern Asia</v>
      </c>
      <c r="D1284" s="41">
        <v>8</v>
      </c>
      <c r="E1284" s="41">
        <v>8</v>
      </c>
    </row>
    <row r="1285" spans="1:5" s="21" customFormat="1" x14ac:dyDescent="0.2">
      <c r="A1285" s="20" t="s">
        <v>137</v>
      </c>
      <c r="B1285" s="401" t="s">
        <v>1571</v>
      </c>
      <c r="C1285" s="572" t="str">
        <f t="shared" si="146"/>
        <v>Planted Subtropical humid forestWestern Asia</v>
      </c>
      <c r="D1285" s="41">
        <v>8</v>
      </c>
      <c r="E1285" s="41">
        <v>8</v>
      </c>
    </row>
    <row r="1286" spans="1:5" s="21" customFormat="1" x14ac:dyDescent="0.2">
      <c r="A1286" s="20" t="s">
        <v>137</v>
      </c>
      <c r="B1286" s="401" t="s">
        <v>1555</v>
      </c>
      <c r="C1286" s="572" t="str">
        <f t="shared" si="146"/>
        <v>Planted Subtropical humid forestEurope</v>
      </c>
      <c r="D1286" s="163">
        <v>10</v>
      </c>
      <c r="E1286" s="163">
        <v>10</v>
      </c>
    </row>
    <row r="1287" spans="1:5" s="21" customFormat="1" x14ac:dyDescent="0.2">
      <c r="A1287" s="20" t="s">
        <v>137</v>
      </c>
      <c r="B1287" s="401" t="s">
        <v>1346</v>
      </c>
      <c r="C1287" s="572" t="str">
        <f t="shared" si="146"/>
        <v>Planted Subtropical humid forestOceania</v>
      </c>
      <c r="D1287" s="163">
        <v>10</v>
      </c>
      <c r="E1287" s="163">
        <v>10</v>
      </c>
    </row>
    <row r="1288" spans="1:5" s="21" customFormat="1" x14ac:dyDescent="0.2">
      <c r="A1288" s="20" t="s">
        <v>137</v>
      </c>
      <c r="B1288" s="401" t="s">
        <v>1343</v>
      </c>
      <c r="C1288" s="572" t="str">
        <f t="shared" si="146"/>
        <v>Planted Subtropical humid forestNorth America</v>
      </c>
      <c r="D1288" s="41">
        <f t="shared" ref="D1288:E1291" si="151">AVERAGE(3,32)</f>
        <v>17.5</v>
      </c>
      <c r="E1288" s="41">
        <f t="shared" si="151"/>
        <v>17.5</v>
      </c>
    </row>
    <row r="1289" spans="1:5" s="21" customFormat="1" x14ac:dyDescent="0.2">
      <c r="A1289" s="20" t="s">
        <v>137</v>
      </c>
      <c r="B1289" s="401" t="s">
        <v>1349</v>
      </c>
      <c r="C1289" s="572" t="str">
        <f t="shared" si="146"/>
        <v>Planted Subtropical humid forestSouth America</v>
      </c>
      <c r="D1289" s="41">
        <f t="shared" si="151"/>
        <v>17.5</v>
      </c>
      <c r="E1289" s="41">
        <f t="shared" si="151"/>
        <v>17.5</v>
      </c>
    </row>
    <row r="1290" spans="1:5" s="21" customFormat="1" x14ac:dyDescent="0.2">
      <c r="A1290" s="20" t="s">
        <v>137</v>
      </c>
      <c r="B1290" s="401" t="s">
        <v>1333</v>
      </c>
      <c r="C1290" s="572" t="str">
        <f t="shared" si="146"/>
        <v>Planted Subtropical humid forestCentral America</v>
      </c>
      <c r="D1290" s="363">
        <f t="shared" si="151"/>
        <v>17.5</v>
      </c>
      <c r="E1290" s="363">
        <f t="shared" si="151"/>
        <v>17.5</v>
      </c>
    </row>
    <row r="1291" spans="1:5" s="292" customFormat="1" x14ac:dyDescent="0.2">
      <c r="A1291" s="37" t="s">
        <v>137</v>
      </c>
      <c r="B1291" s="402" t="s">
        <v>1547</v>
      </c>
      <c r="C1291" s="420" t="str">
        <f t="shared" si="146"/>
        <v>Planted Subtropical humid forestCaribbean</v>
      </c>
      <c r="D1291" s="363">
        <f t="shared" si="151"/>
        <v>17.5</v>
      </c>
      <c r="E1291" s="363">
        <f t="shared" si="151"/>
        <v>17.5</v>
      </c>
    </row>
    <row r="1292" spans="1:5" s="291" customFormat="1" x14ac:dyDescent="0.2">
      <c r="A1292" s="63" t="s">
        <v>141</v>
      </c>
      <c r="B1292" s="408" t="s">
        <v>1552</v>
      </c>
      <c r="C1292" s="567" t="str">
        <f t="shared" si="146"/>
        <v>Planted Subtropical dry forestEastern Africa</v>
      </c>
      <c r="D1292" s="491">
        <v>8</v>
      </c>
      <c r="E1292" s="491">
        <f>AVERAGE(4,20)</f>
        <v>12</v>
      </c>
    </row>
    <row r="1293" spans="1:5" s="21" customFormat="1" x14ac:dyDescent="0.2">
      <c r="A1293" s="20" t="s">
        <v>141</v>
      </c>
      <c r="B1293" s="401" t="s">
        <v>1557</v>
      </c>
      <c r="C1293" s="55" t="str">
        <f t="shared" si="146"/>
        <v>Planted Subtropical dry forestCentral Africa</v>
      </c>
      <c r="D1293" s="471">
        <v>8</v>
      </c>
      <c r="E1293" s="471">
        <f>AVERAGE(4,20)</f>
        <v>12</v>
      </c>
    </row>
    <row r="1294" spans="1:5" s="21" customFormat="1" x14ac:dyDescent="0.2">
      <c r="A1294" s="20" t="s">
        <v>141</v>
      </c>
      <c r="B1294" s="401" t="s">
        <v>1559</v>
      </c>
      <c r="C1294" s="55" t="str">
        <f t="shared" si="146"/>
        <v>Planted Subtropical dry forestNorthern Africa</v>
      </c>
      <c r="D1294" s="471">
        <v>8</v>
      </c>
      <c r="E1294" s="471">
        <f>AVERAGE(4,20)</f>
        <v>12</v>
      </c>
    </row>
    <row r="1295" spans="1:5" s="21" customFormat="1" x14ac:dyDescent="0.2">
      <c r="A1295" s="20" t="s">
        <v>141</v>
      </c>
      <c r="B1295" s="401" t="s">
        <v>1565</v>
      </c>
      <c r="C1295" s="55" t="str">
        <f t="shared" si="146"/>
        <v>Planted Subtropical dry forestSouthern Africa</v>
      </c>
      <c r="D1295" s="471">
        <v>8</v>
      </c>
      <c r="E1295" s="471">
        <f>AVERAGE(4,20)</f>
        <v>12</v>
      </c>
    </row>
    <row r="1296" spans="1:5" s="21" customFormat="1" x14ac:dyDescent="0.2">
      <c r="A1296" s="20" t="s">
        <v>141</v>
      </c>
      <c r="B1296" s="401" t="s">
        <v>1569</v>
      </c>
      <c r="C1296" s="55" t="str">
        <f t="shared" si="146"/>
        <v>Planted Subtropical dry forestWestern Africa</v>
      </c>
      <c r="D1296" s="471">
        <v>8</v>
      </c>
      <c r="E1296" s="471">
        <f>AVERAGE(4,20)</f>
        <v>12</v>
      </c>
    </row>
    <row r="1297" spans="1:5" s="21" customFormat="1" x14ac:dyDescent="0.2">
      <c r="A1297" s="20" t="s">
        <v>141</v>
      </c>
      <c r="B1297" s="401" t="s">
        <v>1550</v>
      </c>
      <c r="C1297" s="55" t="str">
        <f t="shared" si="146"/>
        <v>Planted Subtropical dry forestCentral Asia</v>
      </c>
      <c r="D1297" s="471">
        <f>AVERAGE(2,25)</f>
        <v>13.5</v>
      </c>
      <c r="E1297" s="471">
        <f>AVERAGE(2,25)</f>
        <v>13.5</v>
      </c>
    </row>
    <row r="1298" spans="1:5" s="21" customFormat="1" x14ac:dyDescent="0.2">
      <c r="A1298" s="20" t="s">
        <v>141</v>
      </c>
      <c r="B1298" s="401" t="s">
        <v>1554</v>
      </c>
      <c r="C1298" s="55" t="str">
        <f t="shared" si="146"/>
        <v>Planted Subtropical dry forestEastern Asia</v>
      </c>
      <c r="D1298" s="471">
        <f t="shared" ref="D1298:E1301" si="152">AVERAGE(2,25)</f>
        <v>13.5</v>
      </c>
      <c r="E1298" s="471">
        <f t="shared" si="152"/>
        <v>13.5</v>
      </c>
    </row>
    <row r="1299" spans="1:5" s="21" customFormat="1" x14ac:dyDescent="0.2">
      <c r="A1299" s="20" t="s">
        <v>141</v>
      </c>
      <c r="B1299" s="401" t="s">
        <v>1563</v>
      </c>
      <c r="C1299" s="55" t="str">
        <f t="shared" si="146"/>
        <v>Planted Subtropical dry forestSouth-eastern Asia</v>
      </c>
      <c r="D1299" s="471">
        <f t="shared" si="152"/>
        <v>13.5</v>
      </c>
      <c r="E1299" s="471">
        <f t="shared" si="152"/>
        <v>13.5</v>
      </c>
    </row>
    <row r="1300" spans="1:5" s="21" customFormat="1" x14ac:dyDescent="0.2">
      <c r="A1300" s="20" t="s">
        <v>141</v>
      </c>
      <c r="B1300" s="401" t="s">
        <v>1567</v>
      </c>
      <c r="C1300" s="55" t="str">
        <f t="shared" si="146"/>
        <v>Planted Subtropical dry forestSouthern Asia</v>
      </c>
      <c r="D1300" s="471">
        <f>AVERAGE(2,25)</f>
        <v>13.5</v>
      </c>
      <c r="E1300" s="471">
        <f>AVERAGE(2,25)</f>
        <v>13.5</v>
      </c>
    </row>
    <row r="1301" spans="1:5" s="21" customFormat="1" x14ac:dyDescent="0.2">
      <c r="A1301" s="20" t="s">
        <v>141</v>
      </c>
      <c r="B1301" s="401" t="s">
        <v>1571</v>
      </c>
      <c r="C1301" s="55" t="str">
        <f t="shared" si="146"/>
        <v>Planted Subtropical dry forestWestern Asia</v>
      </c>
      <c r="D1301" s="471">
        <f t="shared" si="152"/>
        <v>13.5</v>
      </c>
      <c r="E1301" s="471">
        <f t="shared" si="152"/>
        <v>13.5</v>
      </c>
    </row>
    <row r="1302" spans="1:5" s="21" customFormat="1" x14ac:dyDescent="0.2">
      <c r="A1302" s="20" t="s">
        <v>141</v>
      </c>
      <c r="B1302" s="401" t="s">
        <v>1555</v>
      </c>
      <c r="C1302" s="55" t="str">
        <f t="shared" si="146"/>
        <v>Planted Subtropical dry forestEurope</v>
      </c>
      <c r="D1302" s="643">
        <v>8</v>
      </c>
      <c r="E1302" s="643">
        <v>8</v>
      </c>
    </row>
    <row r="1303" spans="1:5" s="21" customFormat="1" x14ac:dyDescent="0.2">
      <c r="A1303" s="20" t="s">
        <v>141</v>
      </c>
      <c r="B1303" s="401" t="s">
        <v>1346</v>
      </c>
      <c r="C1303" s="55" t="str">
        <f t="shared" si="146"/>
        <v>Planted Subtropical dry forestOceania</v>
      </c>
      <c r="D1303" s="643">
        <v>8</v>
      </c>
      <c r="E1303" s="643">
        <v>8</v>
      </c>
    </row>
    <row r="1304" spans="1:5" s="21" customFormat="1" x14ac:dyDescent="0.2">
      <c r="A1304" s="20" t="s">
        <v>141</v>
      </c>
      <c r="B1304" s="401" t="s">
        <v>1343</v>
      </c>
      <c r="C1304" s="55" t="str">
        <f t="shared" si="146"/>
        <v>Planted Subtropical dry forestNorth America</v>
      </c>
      <c r="D1304" s="471">
        <f t="shared" ref="D1304:E1307" si="153">AVERAGE(3,30)</f>
        <v>16.5</v>
      </c>
      <c r="E1304" s="471">
        <f t="shared" si="153"/>
        <v>16.5</v>
      </c>
    </row>
    <row r="1305" spans="1:5" s="21" customFormat="1" x14ac:dyDescent="0.2">
      <c r="A1305" s="20" t="s">
        <v>141</v>
      </c>
      <c r="B1305" s="401" t="s">
        <v>1349</v>
      </c>
      <c r="C1305" s="55" t="str">
        <f t="shared" si="146"/>
        <v>Planted Subtropical dry forestSouth America</v>
      </c>
      <c r="D1305" s="471">
        <f t="shared" si="153"/>
        <v>16.5</v>
      </c>
      <c r="E1305" s="471">
        <f t="shared" si="153"/>
        <v>16.5</v>
      </c>
    </row>
    <row r="1306" spans="1:5" s="21" customFormat="1" x14ac:dyDescent="0.2">
      <c r="A1306" s="20" t="s">
        <v>141</v>
      </c>
      <c r="B1306" s="401" t="s">
        <v>1333</v>
      </c>
      <c r="C1306" s="55" t="str">
        <f t="shared" si="146"/>
        <v>Planted Subtropical dry forestCentral America</v>
      </c>
      <c r="D1306" s="649">
        <f t="shared" si="153"/>
        <v>16.5</v>
      </c>
      <c r="E1306" s="649">
        <f t="shared" si="153"/>
        <v>16.5</v>
      </c>
    </row>
    <row r="1307" spans="1:5" s="292" customFormat="1" x14ac:dyDescent="0.2">
      <c r="A1307" s="37" t="s">
        <v>141</v>
      </c>
      <c r="B1307" s="402" t="s">
        <v>1547</v>
      </c>
      <c r="C1307" s="579" t="str">
        <f t="shared" si="146"/>
        <v>Planted Subtropical dry forestCaribbean</v>
      </c>
      <c r="D1307" s="649">
        <f t="shared" si="153"/>
        <v>16.5</v>
      </c>
      <c r="E1307" s="649">
        <f t="shared" si="153"/>
        <v>16.5</v>
      </c>
    </row>
    <row r="1308" spans="1:5" s="291" customFormat="1" x14ac:dyDescent="0.2">
      <c r="A1308" s="63" t="s">
        <v>145</v>
      </c>
      <c r="B1308" s="408" t="s">
        <v>1552</v>
      </c>
      <c r="C1308" s="567" t="str">
        <f t="shared" si="146"/>
        <v>Planted Subtropical steppeEastern Africa</v>
      </c>
      <c r="D1308" s="44">
        <f>AVERAGE(2.5,14)</f>
        <v>8.25</v>
      </c>
      <c r="E1308" s="44">
        <f>AVERAGE(0.5,15)</f>
        <v>7.75</v>
      </c>
    </row>
    <row r="1309" spans="1:5" s="21" customFormat="1" x14ac:dyDescent="0.2">
      <c r="A1309" s="20" t="s">
        <v>145</v>
      </c>
      <c r="B1309" s="401" t="s">
        <v>1557</v>
      </c>
      <c r="C1309" s="55" t="str">
        <f t="shared" ref="C1309:C1372" si="154">CONCATENATE(A1309,B1309)</f>
        <v>Planted Subtropical steppeCentral Africa</v>
      </c>
      <c r="D1309" s="41">
        <f>AVERAGE(2.5,14)</f>
        <v>8.25</v>
      </c>
      <c r="E1309" s="41">
        <f>AVERAGE(0.5,15)</f>
        <v>7.75</v>
      </c>
    </row>
    <row r="1310" spans="1:5" s="21" customFormat="1" x14ac:dyDescent="0.2">
      <c r="A1310" s="20" t="s">
        <v>145</v>
      </c>
      <c r="B1310" s="401" t="s">
        <v>1559</v>
      </c>
      <c r="C1310" s="55" t="str">
        <f t="shared" si="154"/>
        <v>Planted Subtropical steppeNorthern Africa</v>
      </c>
      <c r="D1310" s="41">
        <f>AVERAGE(2.5,14)</f>
        <v>8.25</v>
      </c>
      <c r="E1310" s="41">
        <f>AVERAGE(0.5,15)</f>
        <v>7.75</v>
      </c>
    </row>
    <row r="1311" spans="1:5" s="21" customFormat="1" x14ac:dyDescent="0.2">
      <c r="A1311" s="20" t="s">
        <v>145</v>
      </c>
      <c r="B1311" s="401" t="s">
        <v>1565</v>
      </c>
      <c r="C1311" s="55" t="str">
        <f t="shared" si="154"/>
        <v>Planted Subtropical steppeSouthern Africa</v>
      </c>
      <c r="D1311" s="41">
        <f>AVERAGE(2.5,14)</f>
        <v>8.25</v>
      </c>
      <c r="E1311" s="41">
        <f>AVERAGE(0.5,15)</f>
        <v>7.75</v>
      </c>
    </row>
    <row r="1312" spans="1:5" s="21" customFormat="1" x14ac:dyDescent="0.2">
      <c r="A1312" s="20" t="s">
        <v>145</v>
      </c>
      <c r="B1312" s="401" t="s">
        <v>1569</v>
      </c>
      <c r="C1312" s="55" t="str">
        <f t="shared" si="154"/>
        <v>Planted Subtropical steppeWestern Africa</v>
      </c>
      <c r="D1312" s="41">
        <f>AVERAGE(2.5,14)</f>
        <v>8.25</v>
      </c>
      <c r="E1312" s="41">
        <f>AVERAGE(0.5,15)</f>
        <v>7.75</v>
      </c>
    </row>
    <row r="1313" spans="1:5" s="21" customFormat="1" x14ac:dyDescent="0.2">
      <c r="A1313" s="20" t="s">
        <v>145</v>
      </c>
      <c r="B1313" s="401" t="s">
        <v>1550</v>
      </c>
      <c r="C1313" s="55" t="str">
        <f t="shared" si="154"/>
        <v>Planted Subtropical steppeCentral Asia</v>
      </c>
      <c r="D1313" s="41">
        <f>AVERAGE(1,12)</f>
        <v>6.5</v>
      </c>
      <c r="E1313" s="41">
        <f>AVERAGE(1,12)</f>
        <v>6.5</v>
      </c>
    </row>
    <row r="1314" spans="1:5" s="21" customFormat="1" x14ac:dyDescent="0.2">
      <c r="A1314" s="20" t="s">
        <v>145</v>
      </c>
      <c r="B1314" s="401" t="s">
        <v>1554</v>
      </c>
      <c r="C1314" s="55" t="str">
        <f t="shared" si="154"/>
        <v>Planted Subtropical steppeEastern Asia</v>
      </c>
      <c r="D1314" s="41">
        <f t="shared" ref="D1314:E1317" si="155">AVERAGE(1,12)</f>
        <v>6.5</v>
      </c>
      <c r="E1314" s="41">
        <f t="shared" si="155"/>
        <v>6.5</v>
      </c>
    </row>
    <row r="1315" spans="1:5" s="21" customFormat="1" x14ac:dyDescent="0.2">
      <c r="A1315" s="20" t="s">
        <v>145</v>
      </c>
      <c r="B1315" s="401" t="s">
        <v>1563</v>
      </c>
      <c r="C1315" s="55" t="str">
        <f t="shared" si="154"/>
        <v>Planted Subtropical steppeSouth-eastern Asia</v>
      </c>
      <c r="D1315" s="41">
        <f t="shared" si="155"/>
        <v>6.5</v>
      </c>
      <c r="E1315" s="41">
        <f t="shared" si="155"/>
        <v>6.5</v>
      </c>
    </row>
    <row r="1316" spans="1:5" s="21" customFormat="1" x14ac:dyDescent="0.2">
      <c r="A1316" s="20" t="s">
        <v>145</v>
      </c>
      <c r="B1316" s="401" t="s">
        <v>1567</v>
      </c>
      <c r="C1316" s="55" t="str">
        <f t="shared" si="154"/>
        <v>Planted Subtropical steppeSouthern Asia</v>
      </c>
      <c r="D1316" s="41">
        <f t="shared" si="155"/>
        <v>6.5</v>
      </c>
      <c r="E1316" s="41">
        <f t="shared" si="155"/>
        <v>6.5</v>
      </c>
    </row>
    <row r="1317" spans="1:5" s="21" customFormat="1" x14ac:dyDescent="0.2">
      <c r="A1317" s="20" t="s">
        <v>145</v>
      </c>
      <c r="B1317" s="401" t="s">
        <v>1571</v>
      </c>
      <c r="C1317" s="55" t="str">
        <f t="shared" si="154"/>
        <v>Planted Subtropical steppeWestern Asia</v>
      </c>
      <c r="D1317" s="41">
        <f t="shared" si="155"/>
        <v>6.5</v>
      </c>
      <c r="E1317" s="41">
        <f t="shared" si="155"/>
        <v>6.5</v>
      </c>
    </row>
    <row r="1318" spans="1:5" s="21" customFormat="1" x14ac:dyDescent="0.2">
      <c r="A1318" s="20" t="s">
        <v>145</v>
      </c>
      <c r="B1318" s="401" t="s">
        <v>1555</v>
      </c>
      <c r="C1318" s="55" t="str">
        <f t="shared" si="154"/>
        <v>Planted Subtropical steppeEurope</v>
      </c>
      <c r="D1318" s="163">
        <v>5</v>
      </c>
      <c r="E1318" s="163">
        <v>5</v>
      </c>
    </row>
    <row r="1319" spans="1:5" s="21" customFormat="1" x14ac:dyDescent="0.2">
      <c r="A1319" s="20" t="s">
        <v>145</v>
      </c>
      <c r="B1319" s="401" t="s">
        <v>1346</v>
      </c>
      <c r="C1319" s="55" t="str">
        <f t="shared" si="154"/>
        <v>Planted Subtropical steppeOceania</v>
      </c>
      <c r="D1319" s="163">
        <v>5</v>
      </c>
      <c r="E1319" s="163">
        <v>5</v>
      </c>
    </row>
    <row r="1320" spans="1:5" s="21" customFormat="1" x14ac:dyDescent="0.2">
      <c r="A1320" s="20" t="s">
        <v>145</v>
      </c>
      <c r="B1320" s="401" t="s">
        <v>1343</v>
      </c>
      <c r="C1320" s="55" t="str">
        <f t="shared" si="154"/>
        <v>Planted Subtropical steppeNorth America</v>
      </c>
      <c r="D1320" s="41">
        <f t="shared" ref="D1320:E1323" si="156">AVERAGE(5,20)</f>
        <v>12.5</v>
      </c>
      <c r="E1320" s="41">
        <f t="shared" si="156"/>
        <v>12.5</v>
      </c>
    </row>
    <row r="1321" spans="1:5" s="21" customFormat="1" x14ac:dyDescent="0.2">
      <c r="A1321" s="20" t="s">
        <v>145</v>
      </c>
      <c r="B1321" s="401" t="s">
        <v>1349</v>
      </c>
      <c r="C1321" s="55" t="str">
        <f t="shared" si="154"/>
        <v>Planted Subtropical steppeSouth America</v>
      </c>
      <c r="D1321" s="41">
        <f t="shared" si="156"/>
        <v>12.5</v>
      </c>
      <c r="E1321" s="41">
        <f t="shared" si="156"/>
        <v>12.5</v>
      </c>
    </row>
    <row r="1322" spans="1:5" s="21" customFormat="1" x14ac:dyDescent="0.2">
      <c r="A1322" s="20" t="s">
        <v>145</v>
      </c>
      <c r="B1322" s="401" t="s">
        <v>1333</v>
      </c>
      <c r="C1322" s="55" t="str">
        <f t="shared" si="154"/>
        <v>Planted Subtropical steppeCentral America</v>
      </c>
      <c r="D1322" s="363">
        <f t="shared" si="156"/>
        <v>12.5</v>
      </c>
      <c r="E1322" s="363">
        <f t="shared" si="156"/>
        <v>12.5</v>
      </c>
    </row>
    <row r="1323" spans="1:5" s="292" customFormat="1" x14ac:dyDescent="0.2">
      <c r="A1323" s="37" t="s">
        <v>145</v>
      </c>
      <c r="B1323" s="402" t="s">
        <v>1547</v>
      </c>
      <c r="C1323" s="579" t="str">
        <f t="shared" si="154"/>
        <v>Planted Subtropical steppeCaribbean</v>
      </c>
      <c r="D1323" s="363">
        <f t="shared" si="156"/>
        <v>12.5</v>
      </c>
      <c r="E1323" s="363">
        <f t="shared" si="156"/>
        <v>12.5</v>
      </c>
    </row>
    <row r="1324" spans="1:5" s="291" customFormat="1" x14ac:dyDescent="0.2">
      <c r="A1324" s="63" t="s">
        <v>148</v>
      </c>
      <c r="B1324" s="408" t="s">
        <v>1552</v>
      </c>
      <c r="C1324" s="567" t="str">
        <f t="shared" si="154"/>
        <v>Planted Subtropical mountain systemsEastern Africa</v>
      </c>
      <c r="D1324" s="44">
        <v>10</v>
      </c>
      <c r="E1324" s="44">
        <v>10</v>
      </c>
    </row>
    <row r="1325" spans="1:5" s="21" customFormat="1" x14ac:dyDescent="0.2">
      <c r="A1325" s="20" t="s">
        <v>148</v>
      </c>
      <c r="B1325" s="401" t="s">
        <v>1557</v>
      </c>
      <c r="C1325" s="55" t="str">
        <f t="shared" si="154"/>
        <v>Planted Subtropical mountain systemsCentral Africa</v>
      </c>
      <c r="D1325" s="41">
        <v>10</v>
      </c>
      <c r="E1325" s="41">
        <v>10</v>
      </c>
    </row>
    <row r="1326" spans="1:5" s="21" customFormat="1" x14ac:dyDescent="0.2">
      <c r="A1326" s="20" t="s">
        <v>148</v>
      </c>
      <c r="B1326" s="401" t="s">
        <v>1559</v>
      </c>
      <c r="C1326" s="55" t="str">
        <f t="shared" si="154"/>
        <v>Planted Subtropical mountain systemsNorthern Africa</v>
      </c>
      <c r="D1326" s="41">
        <v>10</v>
      </c>
      <c r="E1326" s="41">
        <v>10</v>
      </c>
    </row>
    <row r="1327" spans="1:5" s="21" customFormat="1" x14ac:dyDescent="0.2">
      <c r="A1327" s="20" t="s">
        <v>148</v>
      </c>
      <c r="B1327" s="401" t="s">
        <v>1565</v>
      </c>
      <c r="C1327" s="55" t="str">
        <f t="shared" si="154"/>
        <v>Planted Subtropical mountain systemsSouthern Africa</v>
      </c>
      <c r="D1327" s="41">
        <v>10</v>
      </c>
      <c r="E1327" s="41">
        <v>10</v>
      </c>
    </row>
    <row r="1328" spans="1:5" s="21" customFormat="1" x14ac:dyDescent="0.2">
      <c r="A1328" s="20" t="s">
        <v>148</v>
      </c>
      <c r="B1328" s="401" t="s">
        <v>1569</v>
      </c>
      <c r="C1328" s="55" t="str">
        <f t="shared" si="154"/>
        <v>Planted Subtropical mountain systemsWestern Africa</v>
      </c>
      <c r="D1328" s="41">
        <v>10</v>
      </c>
      <c r="E1328" s="41">
        <v>10</v>
      </c>
    </row>
    <row r="1329" spans="1:5" s="21" customFormat="1" x14ac:dyDescent="0.2">
      <c r="A1329" s="20" t="s">
        <v>148</v>
      </c>
      <c r="B1329" s="401" t="s">
        <v>1550</v>
      </c>
      <c r="C1329" s="55" t="str">
        <f t="shared" si="154"/>
        <v>Planted Subtropical mountain systemsCentral Asia</v>
      </c>
      <c r="D1329" s="41">
        <f t="shared" ref="D1329:E1333" si="157">AVERAGE(1,12)</f>
        <v>6.5</v>
      </c>
      <c r="E1329" s="41">
        <f t="shared" si="157"/>
        <v>6.5</v>
      </c>
    </row>
    <row r="1330" spans="1:5" s="21" customFormat="1" x14ac:dyDescent="0.2">
      <c r="A1330" s="20" t="s">
        <v>148</v>
      </c>
      <c r="B1330" s="401" t="s">
        <v>1554</v>
      </c>
      <c r="C1330" s="55" t="str">
        <f t="shared" si="154"/>
        <v>Planted Subtropical mountain systemsEastern Asia</v>
      </c>
      <c r="D1330" s="41">
        <f t="shared" si="157"/>
        <v>6.5</v>
      </c>
      <c r="E1330" s="41">
        <f t="shared" si="157"/>
        <v>6.5</v>
      </c>
    </row>
    <row r="1331" spans="1:5" s="21" customFormat="1" x14ac:dyDescent="0.2">
      <c r="A1331" s="20" t="s">
        <v>148</v>
      </c>
      <c r="B1331" s="401" t="s">
        <v>1563</v>
      </c>
      <c r="C1331" s="55" t="str">
        <f t="shared" si="154"/>
        <v>Planted Subtropical mountain systemsSouth-eastern Asia</v>
      </c>
      <c r="D1331" s="41">
        <f t="shared" si="157"/>
        <v>6.5</v>
      </c>
      <c r="E1331" s="41">
        <f t="shared" si="157"/>
        <v>6.5</v>
      </c>
    </row>
    <row r="1332" spans="1:5" s="21" customFormat="1" x14ac:dyDescent="0.2">
      <c r="A1332" s="20" t="s">
        <v>148</v>
      </c>
      <c r="B1332" s="401" t="s">
        <v>1567</v>
      </c>
      <c r="C1332" s="55" t="str">
        <f t="shared" si="154"/>
        <v>Planted Subtropical mountain systemsSouthern Asia</v>
      </c>
      <c r="D1332" s="41">
        <f t="shared" si="157"/>
        <v>6.5</v>
      </c>
      <c r="E1332" s="41">
        <f t="shared" si="157"/>
        <v>6.5</v>
      </c>
    </row>
    <row r="1333" spans="1:5" s="21" customFormat="1" x14ac:dyDescent="0.2">
      <c r="A1333" s="20" t="s">
        <v>148</v>
      </c>
      <c r="B1333" s="401" t="s">
        <v>1571</v>
      </c>
      <c r="C1333" s="55" t="str">
        <f t="shared" si="154"/>
        <v>Planted Subtropical mountain systemsWestern Asia</v>
      </c>
      <c r="D1333" s="41">
        <f t="shared" si="157"/>
        <v>6.5</v>
      </c>
      <c r="E1333" s="41">
        <f t="shared" si="157"/>
        <v>6.5</v>
      </c>
    </row>
    <row r="1334" spans="1:5" s="21" customFormat="1" x14ac:dyDescent="0.2">
      <c r="A1334" s="20" t="s">
        <v>148</v>
      </c>
      <c r="B1334" s="401" t="s">
        <v>1555</v>
      </c>
      <c r="C1334" s="55" t="str">
        <f t="shared" si="154"/>
        <v>Planted Subtropical mountain systemsEurope</v>
      </c>
      <c r="D1334" s="163">
        <v>5</v>
      </c>
      <c r="E1334" s="163">
        <v>5</v>
      </c>
    </row>
    <row r="1335" spans="1:5" s="21" customFormat="1" x14ac:dyDescent="0.2">
      <c r="A1335" s="20" t="s">
        <v>148</v>
      </c>
      <c r="B1335" s="401" t="s">
        <v>1346</v>
      </c>
      <c r="C1335" s="55" t="str">
        <f t="shared" si="154"/>
        <v>Planted Subtropical mountain systemsOceania</v>
      </c>
      <c r="D1335" s="163">
        <v>5</v>
      </c>
      <c r="E1335" s="163">
        <v>5</v>
      </c>
    </row>
    <row r="1336" spans="1:5" s="21" customFormat="1" x14ac:dyDescent="0.2">
      <c r="A1336" s="20" t="s">
        <v>148</v>
      </c>
      <c r="B1336" s="401" t="s">
        <v>1343</v>
      </c>
      <c r="C1336" s="55" t="str">
        <f t="shared" si="154"/>
        <v>Planted Subtropical mountain systemsNorth America</v>
      </c>
      <c r="D1336" s="41">
        <f t="shared" ref="D1336:E1339" si="158">AVERAGE(2,18)</f>
        <v>10</v>
      </c>
      <c r="E1336" s="41">
        <f t="shared" si="158"/>
        <v>10</v>
      </c>
    </row>
    <row r="1337" spans="1:5" s="21" customFormat="1" x14ac:dyDescent="0.2">
      <c r="A1337" s="20" t="s">
        <v>148</v>
      </c>
      <c r="B1337" s="401" t="s">
        <v>1349</v>
      </c>
      <c r="C1337" s="55" t="str">
        <f t="shared" si="154"/>
        <v>Planted Subtropical mountain systemsSouth America</v>
      </c>
      <c r="D1337" s="41">
        <f t="shared" si="158"/>
        <v>10</v>
      </c>
      <c r="E1337" s="41">
        <f t="shared" si="158"/>
        <v>10</v>
      </c>
    </row>
    <row r="1338" spans="1:5" s="21" customFormat="1" x14ac:dyDescent="0.2">
      <c r="A1338" s="20" t="s">
        <v>148</v>
      </c>
      <c r="B1338" s="401" t="s">
        <v>1333</v>
      </c>
      <c r="C1338" s="55" t="str">
        <f t="shared" si="154"/>
        <v>Planted Subtropical mountain systemsCentral America</v>
      </c>
      <c r="D1338" s="363">
        <f t="shared" si="158"/>
        <v>10</v>
      </c>
      <c r="E1338" s="363">
        <f t="shared" si="158"/>
        <v>10</v>
      </c>
    </row>
    <row r="1339" spans="1:5" s="292" customFormat="1" x14ac:dyDescent="0.2">
      <c r="A1339" s="37" t="s">
        <v>148</v>
      </c>
      <c r="B1339" s="402" t="s">
        <v>1547</v>
      </c>
      <c r="C1339" s="579" t="str">
        <f t="shared" si="154"/>
        <v>Planted Subtropical mountain systemsCaribbean</v>
      </c>
      <c r="D1339" s="363">
        <f t="shared" si="158"/>
        <v>10</v>
      </c>
      <c r="E1339" s="363">
        <f t="shared" si="158"/>
        <v>10</v>
      </c>
    </row>
    <row r="1340" spans="1:5" s="291" customFormat="1" x14ac:dyDescent="0.2">
      <c r="A1340" s="63" t="s">
        <v>149</v>
      </c>
      <c r="B1340" s="408" t="s">
        <v>1552</v>
      </c>
      <c r="C1340" s="569" t="str">
        <f t="shared" si="154"/>
        <v>Planted Temperate mountain systemsEastern Africa</v>
      </c>
      <c r="D1340" s="645">
        <v>3</v>
      </c>
      <c r="E1340" s="476">
        <v>3</v>
      </c>
    </row>
    <row r="1341" spans="1:5" s="21" customFormat="1" x14ac:dyDescent="0.2">
      <c r="A1341" s="20" t="s">
        <v>149</v>
      </c>
      <c r="B1341" s="401" t="s">
        <v>1557</v>
      </c>
      <c r="C1341" s="572" t="str">
        <f t="shared" si="154"/>
        <v>Planted Temperate mountain systemsCentral Africa</v>
      </c>
      <c r="D1341" s="643">
        <v>3</v>
      </c>
      <c r="E1341" s="477">
        <v>3</v>
      </c>
    </row>
    <row r="1342" spans="1:5" s="21" customFormat="1" x14ac:dyDescent="0.2">
      <c r="A1342" s="20" t="s">
        <v>149</v>
      </c>
      <c r="B1342" s="401" t="s">
        <v>1559</v>
      </c>
      <c r="C1342" s="572" t="str">
        <f t="shared" si="154"/>
        <v>Planted Temperate mountain systemsNorthern Africa</v>
      </c>
      <c r="D1342" s="643">
        <v>3</v>
      </c>
      <c r="E1342" s="477">
        <v>3</v>
      </c>
    </row>
    <row r="1343" spans="1:5" s="21" customFormat="1" x14ac:dyDescent="0.2">
      <c r="A1343" s="20" t="s">
        <v>149</v>
      </c>
      <c r="B1343" s="401" t="s">
        <v>1565</v>
      </c>
      <c r="C1343" s="572" t="str">
        <f t="shared" si="154"/>
        <v>Planted Temperate mountain systemsSouthern Africa</v>
      </c>
      <c r="D1343" s="643">
        <v>3</v>
      </c>
      <c r="E1343" s="477">
        <v>3</v>
      </c>
    </row>
    <row r="1344" spans="1:5" s="21" customFormat="1" x14ac:dyDescent="0.2">
      <c r="A1344" s="20" t="s">
        <v>149</v>
      </c>
      <c r="B1344" s="401" t="s">
        <v>1569</v>
      </c>
      <c r="C1344" s="572" t="str">
        <f t="shared" si="154"/>
        <v>Planted Temperate mountain systemsWestern Africa</v>
      </c>
      <c r="D1344" s="643">
        <v>3</v>
      </c>
      <c r="E1344" s="477">
        <v>3</v>
      </c>
    </row>
    <row r="1345" spans="1:5" s="21" customFormat="1" x14ac:dyDescent="0.2">
      <c r="A1345" s="20" t="s">
        <v>149</v>
      </c>
      <c r="B1345" s="401" t="s">
        <v>1550</v>
      </c>
      <c r="C1345" s="572" t="str">
        <f t="shared" si="154"/>
        <v>Planted Temperate mountain systemsCentral Asia</v>
      </c>
      <c r="D1345" s="471">
        <v>3</v>
      </c>
      <c r="E1345" s="651">
        <v>3</v>
      </c>
    </row>
    <row r="1346" spans="1:5" s="21" customFormat="1" x14ac:dyDescent="0.2">
      <c r="A1346" s="20" t="s">
        <v>149</v>
      </c>
      <c r="B1346" s="401" t="s">
        <v>1554</v>
      </c>
      <c r="C1346" s="572" t="str">
        <f t="shared" si="154"/>
        <v>Planted Temperate mountain systemsEastern Asia</v>
      </c>
      <c r="D1346" s="471">
        <v>3</v>
      </c>
      <c r="E1346" s="651">
        <v>3</v>
      </c>
    </row>
    <row r="1347" spans="1:5" s="21" customFormat="1" x14ac:dyDescent="0.2">
      <c r="A1347" s="20" t="s">
        <v>149</v>
      </c>
      <c r="B1347" s="401" t="s">
        <v>1563</v>
      </c>
      <c r="C1347" s="572" t="str">
        <f t="shared" si="154"/>
        <v>Planted Temperate mountain systemsSouth-eastern Asia</v>
      </c>
      <c r="D1347" s="471">
        <v>3</v>
      </c>
      <c r="E1347" s="651">
        <v>3</v>
      </c>
    </row>
    <row r="1348" spans="1:5" s="21" customFormat="1" x14ac:dyDescent="0.2">
      <c r="A1348" s="20" t="s">
        <v>149</v>
      </c>
      <c r="B1348" s="401" t="s">
        <v>1567</v>
      </c>
      <c r="C1348" s="572" t="str">
        <f t="shared" si="154"/>
        <v>Planted Temperate mountain systemsSouthern Asia</v>
      </c>
      <c r="D1348" s="471">
        <v>3</v>
      </c>
      <c r="E1348" s="651">
        <v>3</v>
      </c>
    </row>
    <row r="1349" spans="1:5" s="21" customFormat="1" x14ac:dyDescent="0.2">
      <c r="A1349" s="20" t="s">
        <v>149</v>
      </c>
      <c r="B1349" s="401" t="s">
        <v>1571</v>
      </c>
      <c r="C1349" s="572" t="str">
        <f t="shared" si="154"/>
        <v>Planted Temperate mountain systemsWestern Asia</v>
      </c>
      <c r="D1349" s="471">
        <v>3</v>
      </c>
      <c r="E1349" s="651">
        <v>3</v>
      </c>
    </row>
    <row r="1350" spans="1:5" s="21" customFormat="1" x14ac:dyDescent="0.2">
      <c r="A1350" s="20" t="s">
        <v>149</v>
      </c>
      <c r="B1350" s="401" t="s">
        <v>1555</v>
      </c>
      <c r="C1350" s="572" t="str">
        <f t="shared" si="154"/>
        <v>Planted Temperate mountain systemsEurope</v>
      </c>
      <c r="D1350" s="471">
        <v>3</v>
      </c>
      <c r="E1350" s="651">
        <v>3</v>
      </c>
    </row>
    <row r="1351" spans="1:5" s="21" customFormat="1" x14ac:dyDescent="0.2">
      <c r="A1351" s="20" t="s">
        <v>149</v>
      </c>
      <c r="B1351" s="401" t="s">
        <v>1346</v>
      </c>
      <c r="C1351" s="572" t="str">
        <f t="shared" si="154"/>
        <v>Planted Temperate mountain systemsOceania</v>
      </c>
      <c r="D1351" s="643">
        <v>3</v>
      </c>
      <c r="E1351" s="477">
        <v>3</v>
      </c>
    </row>
    <row r="1352" spans="1:5" s="21" customFormat="1" x14ac:dyDescent="0.2">
      <c r="A1352" s="20" t="s">
        <v>149</v>
      </c>
      <c r="B1352" s="401" t="s">
        <v>1343</v>
      </c>
      <c r="C1352" s="572" t="str">
        <f t="shared" si="154"/>
        <v>Planted Temperate mountain systemsNorth America</v>
      </c>
      <c r="D1352" s="471">
        <v>9</v>
      </c>
      <c r="E1352" s="651">
        <v>10</v>
      </c>
    </row>
    <row r="1353" spans="1:5" s="21" customFormat="1" x14ac:dyDescent="0.2">
      <c r="A1353" s="20" t="s">
        <v>149</v>
      </c>
      <c r="B1353" s="401" t="s">
        <v>1349</v>
      </c>
      <c r="C1353" s="572" t="str">
        <f t="shared" si="154"/>
        <v>Planted Temperate mountain systemsSouth America</v>
      </c>
      <c r="D1353" s="471">
        <v>9</v>
      </c>
      <c r="E1353" s="651">
        <v>10</v>
      </c>
    </row>
    <row r="1354" spans="1:5" s="21" customFormat="1" x14ac:dyDescent="0.2">
      <c r="A1354" s="20" t="s">
        <v>149</v>
      </c>
      <c r="B1354" s="401" t="s">
        <v>1333</v>
      </c>
      <c r="C1354" s="572" t="str">
        <f t="shared" si="154"/>
        <v>Planted Temperate mountain systemsCentral America</v>
      </c>
      <c r="D1354" s="649">
        <v>9</v>
      </c>
      <c r="E1354" s="652">
        <v>10</v>
      </c>
    </row>
    <row r="1355" spans="1:5" s="292" customFormat="1" x14ac:dyDescent="0.2">
      <c r="A1355" s="37" t="s">
        <v>149</v>
      </c>
      <c r="B1355" s="402" t="s">
        <v>1547</v>
      </c>
      <c r="C1355" s="420" t="str">
        <f t="shared" si="154"/>
        <v>Planted Temperate mountain systemsCaribbean</v>
      </c>
      <c r="D1355" s="2801">
        <v>9</v>
      </c>
      <c r="E1355" s="2802">
        <v>10</v>
      </c>
    </row>
    <row r="1356" spans="1:5" s="291" customFormat="1" x14ac:dyDescent="0.2">
      <c r="A1356" s="63" t="s">
        <v>146</v>
      </c>
      <c r="B1356" s="408" t="s">
        <v>1552</v>
      </c>
      <c r="C1356" s="567" t="str">
        <f t="shared" si="154"/>
        <v>Planted Temperate continental forestEastern Africa</v>
      </c>
      <c r="D1356" s="643">
        <v>4</v>
      </c>
      <c r="E1356" s="643">
        <v>4</v>
      </c>
    </row>
    <row r="1357" spans="1:5" s="21" customFormat="1" x14ac:dyDescent="0.2">
      <c r="A1357" s="20" t="s">
        <v>146</v>
      </c>
      <c r="B1357" s="401" t="s">
        <v>1557</v>
      </c>
      <c r="C1357" s="55" t="str">
        <f t="shared" si="154"/>
        <v>Planted Temperate continental forestCentral Africa</v>
      </c>
      <c r="D1357" s="643">
        <v>4</v>
      </c>
      <c r="E1357" s="643">
        <v>4</v>
      </c>
    </row>
    <row r="1358" spans="1:5" s="21" customFormat="1" x14ac:dyDescent="0.2">
      <c r="A1358" s="20" t="s">
        <v>146</v>
      </c>
      <c r="B1358" s="401" t="s">
        <v>1559</v>
      </c>
      <c r="C1358" s="55" t="str">
        <f t="shared" si="154"/>
        <v>Planted Temperate continental forestNorthern Africa</v>
      </c>
      <c r="D1358" s="643">
        <v>4</v>
      </c>
      <c r="E1358" s="643">
        <v>4</v>
      </c>
    </row>
    <row r="1359" spans="1:5" s="21" customFormat="1" x14ac:dyDescent="0.2">
      <c r="A1359" s="20" t="s">
        <v>146</v>
      </c>
      <c r="B1359" s="401" t="s">
        <v>1565</v>
      </c>
      <c r="C1359" s="55" t="str">
        <f t="shared" si="154"/>
        <v>Planted Temperate continental forestSouthern Africa</v>
      </c>
      <c r="D1359" s="643">
        <v>4</v>
      </c>
      <c r="E1359" s="643">
        <v>4</v>
      </c>
    </row>
    <row r="1360" spans="1:5" s="21" customFormat="1" x14ac:dyDescent="0.2">
      <c r="A1360" s="20" t="s">
        <v>146</v>
      </c>
      <c r="B1360" s="401" t="s">
        <v>1569</v>
      </c>
      <c r="C1360" s="55" t="str">
        <f t="shared" si="154"/>
        <v>Planted Temperate continental forestWestern Africa</v>
      </c>
      <c r="D1360" s="643">
        <v>4</v>
      </c>
      <c r="E1360" s="643">
        <v>4</v>
      </c>
    </row>
    <row r="1361" spans="1:5" s="21" customFormat="1" x14ac:dyDescent="0.2">
      <c r="A1361" s="20" t="s">
        <v>146</v>
      </c>
      <c r="B1361" s="401" t="s">
        <v>1550</v>
      </c>
      <c r="C1361" s="55" t="str">
        <f t="shared" si="154"/>
        <v>Planted Temperate continental forestCentral Asia</v>
      </c>
      <c r="D1361" s="471">
        <v>4</v>
      </c>
      <c r="E1361" s="471">
        <v>4</v>
      </c>
    </row>
    <row r="1362" spans="1:5" s="21" customFormat="1" x14ac:dyDescent="0.2">
      <c r="A1362" s="20" t="s">
        <v>146</v>
      </c>
      <c r="B1362" s="401" t="s">
        <v>1554</v>
      </c>
      <c r="C1362" s="55" t="str">
        <f t="shared" si="154"/>
        <v>Planted Temperate continental forestEastern Asia</v>
      </c>
      <c r="D1362" s="471">
        <v>4</v>
      </c>
      <c r="E1362" s="471">
        <v>4</v>
      </c>
    </row>
    <row r="1363" spans="1:5" s="21" customFormat="1" x14ac:dyDescent="0.2">
      <c r="A1363" s="20" t="s">
        <v>146</v>
      </c>
      <c r="B1363" s="401" t="s">
        <v>1563</v>
      </c>
      <c r="C1363" s="55" t="str">
        <f t="shared" si="154"/>
        <v>Planted Temperate continental forestSouth-eastern Asia</v>
      </c>
      <c r="D1363" s="471">
        <v>4</v>
      </c>
      <c r="E1363" s="471">
        <v>4</v>
      </c>
    </row>
    <row r="1364" spans="1:5" s="21" customFormat="1" x14ac:dyDescent="0.2">
      <c r="A1364" s="20" t="s">
        <v>146</v>
      </c>
      <c r="B1364" s="401" t="s">
        <v>1567</v>
      </c>
      <c r="C1364" s="55" t="str">
        <f t="shared" si="154"/>
        <v>Planted Temperate continental forestSouthern Asia</v>
      </c>
      <c r="D1364" s="471">
        <v>4</v>
      </c>
      <c r="E1364" s="471">
        <v>4</v>
      </c>
    </row>
    <row r="1365" spans="1:5" s="21" customFormat="1" x14ac:dyDescent="0.2">
      <c r="A1365" s="20" t="s">
        <v>146</v>
      </c>
      <c r="B1365" s="401" t="s">
        <v>1571</v>
      </c>
      <c r="C1365" s="55" t="str">
        <f t="shared" si="154"/>
        <v>Planted Temperate continental forestWestern Asia</v>
      </c>
      <c r="D1365" s="471">
        <v>4</v>
      </c>
      <c r="E1365" s="471">
        <v>4</v>
      </c>
    </row>
    <row r="1366" spans="1:5" s="21" customFormat="1" x14ac:dyDescent="0.2">
      <c r="A1366" s="20" t="s">
        <v>146</v>
      </c>
      <c r="B1366" s="401" t="s">
        <v>1555</v>
      </c>
      <c r="C1366" s="55" t="str">
        <f t="shared" si="154"/>
        <v>Planted Temperate continental forestEurope</v>
      </c>
      <c r="D1366" s="471">
        <v>4</v>
      </c>
      <c r="E1366" s="471">
        <v>4</v>
      </c>
    </row>
    <row r="1367" spans="1:5" s="21" customFormat="1" x14ac:dyDescent="0.2">
      <c r="A1367" s="20" t="s">
        <v>146</v>
      </c>
      <c r="B1367" s="401" t="s">
        <v>1346</v>
      </c>
      <c r="C1367" s="55" t="str">
        <f t="shared" si="154"/>
        <v>Planted Temperate continental forestOceania</v>
      </c>
      <c r="D1367" s="643">
        <v>4</v>
      </c>
      <c r="E1367" s="643">
        <v>4</v>
      </c>
    </row>
    <row r="1368" spans="1:5" s="21" customFormat="1" x14ac:dyDescent="0.2">
      <c r="A1368" s="20" t="s">
        <v>146</v>
      </c>
      <c r="B1368" s="401" t="s">
        <v>1343</v>
      </c>
      <c r="C1368" s="55" t="str">
        <f t="shared" si="154"/>
        <v>Planted Temperate continental forestNorth America</v>
      </c>
      <c r="D1368" s="471">
        <v>4</v>
      </c>
      <c r="E1368" s="471">
        <v>5</v>
      </c>
    </row>
    <row r="1369" spans="1:5" s="21" customFormat="1" x14ac:dyDescent="0.2">
      <c r="A1369" s="20" t="s">
        <v>146</v>
      </c>
      <c r="B1369" s="401" t="s">
        <v>1349</v>
      </c>
      <c r="C1369" s="55" t="str">
        <f t="shared" si="154"/>
        <v>Planted Temperate continental forestSouth America</v>
      </c>
      <c r="D1369" s="471">
        <v>4</v>
      </c>
      <c r="E1369" s="471">
        <v>5</v>
      </c>
    </row>
    <row r="1370" spans="1:5" s="21" customFormat="1" x14ac:dyDescent="0.2">
      <c r="A1370" s="20" t="s">
        <v>146</v>
      </c>
      <c r="B1370" s="401" t="s">
        <v>1333</v>
      </c>
      <c r="C1370" s="55" t="str">
        <f t="shared" si="154"/>
        <v>Planted Temperate continental forestCentral America</v>
      </c>
      <c r="D1370" s="649">
        <v>4</v>
      </c>
      <c r="E1370" s="649">
        <v>5</v>
      </c>
    </row>
    <row r="1371" spans="1:5" s="292" customFormat="1" x14ac:dyDescent="0.2">
      <c r="A1371" s="37" t="s">
        <v>146</v>
      </c>
      <c r="B1371" s="402" t="s">
        <v>1547</v>
      </c>
      <c r="C1371" s="579" t="str">
        <f t="shared" si="154"/>
        <v>Planted Temperate continental forestCaribbean</v>
      </c>
      <c r="D1371" s="649">
        <v>4</v>
      </c>
      <c r="E1371" s="649">
        <v>5</v>
      </c>
    </row>
    <row r="1372" spans="1:5" s="291" customFormat="1" x14ac:dyDescent="0.2">
      <c r="A1372" s="63" t="s">
        <v>142</v>
      </c>
      <c r="B1372" s="408" t="s">
        <v>1552</v>
      </c>
      <c r="C1372" s="569" t="str">
        <f t="shared" si="154"/>
        <v>Planted Temperate oceanic forestEastern Africa</v>
      </c>
      <c r="D1372" s="464">
        <v>4.4000000000000004</v>
      </c>
      <c r="E1372" s="464">
        <v>4.4000000000000004</v>
      </c>
    </row>
    <row r="1373" spans="1:5" s="21" customFormat="1" x14ac:dyDescent="0.2">
      <c r="A1373" s="20" t="s">
        <v>142</v>
      </c>
      <c r="B1373" s="401" t="s">
        <v>1557</v>
      </c>
      <c r="C1373" s="572" t="str">
        <f t="shared" ref="C1373:C1436" si="159">CONCATENATE(A1373,B1373)</f>
        <v>Planted Temperate oceanic forestCentral Africa</v>
      </c>
      <c r="D1373" s="163">
        <v>4.4000000000000004</v>
      </c>
      <c r="E1373" s="163">
        <v>4.4000000000000004</v>
      </c>
    </row>
    <row r="1374" spans="1:5" s="21" customFormat="1" x14ac:dyDescent="0.2">
      <c r="A1374" s="20" t="s">
        <v>142</v>
      </c>
      <c r="B1374" s="401" t="s">
        <v>1559</v>
      </c>
      <c r="C1374" s="572" t="str">
        <f t="shared" si="159"/>
        <v>Planted Temperate oceanic forestNorthern Africa</v>
      </c>
      <c r="D1374" s="163">
        <v>4.4000000000000004</v>
      </c>
      <c r="E1374" s="163">
        <v>4.4000000000000004</v>
      </c>
    </row>
    <row r="1375" spans="1:5" s="21" customFormat="1" x14ac:dyDescent="0.2">
      <c r="A1375" s="20" t="s">
        <v>142</v>
      </c>
      <c r="B1375" s="401" t="s">
        <v>1565</v>
      </c>
      <c r="C1375" s="572" t="str">
        <f t="shared" si="159"/>
        <v>Planted Temperate oceanic forestSouthern Africa</v>
      </c>
      <c r="D1375" s="163">
        <v>4.4000000000000004</v>
      </c>
      <c r="E1375" s="163">
        <v>4.4000000000000004</v>
      </c>
    </row>
    <row r="1376" spans="1:5" s="21" customFormat="1" x14ac:dyDescent="0.2">
      <c r="A1376" s="20" t="s">
        <v>142</v>
      </c>
      <c r="B1376" s="401" t="s">
        <v>1569</v>
      </c>
      <c r="C1376" s="572" t="str">
        <f t="shared" si="159"/>
        <v>Planted Temperate oceanic forestWestern Africa</v>
      </c>
      <c r="D1376" s="163">
        <v>4.4000000000000004</v>
      </c>
      <c r="E1376" s="163">
        <v>4.4000000000000004</v>
      </c>
    </row>
    <row r="1377" spans="1:5" s="21" customFormat="1" x14ac:dyDescent="0.2">
      <c r="A1377" s="20" t="s">
        <v>142</v>
      </c>
      <c r="B1377" s="401" t="s">
        <v>1550</v>
      </c>
      <c r="C1377" s="572" t="str">
        <f t="shared" si="159"/>
        <v>Planted Temperate oceanic forestCentral Asia</v>
      </c>
      <c r="D1377" s="41">
        <v>4.4000000000000004</v>
      </c>
      <c r="E1377" s="41">
        <v>4.4000000000000004</v>
      </c>
    </row>
    <row r="1378" spans="1:5" s="21" customFormat="1" x14ac:dyDescent="0.2">
      <c r="A1378" s="20" t="s">
        <v>142</v>
      </c>
      <c r="B1378" s="401" t="s">
        <v>1554</v>
      </c>
      <c r="C1378" s="572" t="str">
        <f t="shared" si="159"/>
        <v>Planted Temperate oceanic forestEastern Asia</v>
      </c>
      <c r="D1378" s="41">
        <v>4.4000000000000004</v>
      </c>
      <c r="E1378" s="41">
        <v>4.4000000000000004</v>
      </c>
    </row>
    <row r="1379" spans="1:5" s="21" customFormat="1" x14ac:dyDescent="0.2">
      <c r="A1379" s="20" t="s">
        <v>142</v>
      </c>
      <c r="B1379" s="401" t="s">
        <v>1563</v>
      </c>
      <c r="C1379" s="572" t="str">
        <f t="shared" si="159"/>
        <v>Planted Temperate oceanic forestSouth-eastern Asia</v>
      </c>
      <c r="D1379" s="41">
        <v>4.4000000000000004</v>
      </c>
      <c r="E1379" s="41">
        <v>4.4000000000000004</v>
      </c>
    </row>
    <row r="1380" spans="1:5" s="21" customFormat="1" x14ac:dyDescent="0.2">
      <c r="A1380" s="20" t="s">
        <v>142</v>
      </c>
      <c r="B1380" s="401" t="s">
        <v>1567</v>
      </c>
      <c r="C1380" s="572" t="str">
        <f t="shared" si="159"/>
        <v>Planted Temperate oceanic forestSouthern Asia</v>
      </c>
      <c r="D1380" s="41">
        <v>4.4000000000000004</v>
      </c>
      <c r="E1380" s="41">
        <v>4.4000000000000004</v>
      </c>
    </row>
    <row r="1381" spans="1:5" s="21" customFormat="1" x14ac:dyDescent="0.2">
      <c r="A1381" s="20" t="s">
        <v>142</v>
      </c>
      <c r="B1381" s="401" t="s">
        <v>1571</v>
      </c>
      <c r="C1381" s="572" t="str">
        <f t="shared" si="159"/>
        <v>Planted Temperate oceanic forestWestern Asia</v>
      </c>
      <c r="D1381" s="41">
        <v>4.4000000000000004</v>
      </c>
      <c r="E1381" s="41">
        <v>4.4000000000000004</v>
      </c>
    </row>
    <row r="1382" spans="1:5" s="21" customFormat="1" x14ac:dyDescent="0.2">
      <c r="A1382" s="20" t="s">
        <v>142</v>
      </c>
      <c r="B1382" s="401" t="s">
        <v>1555</v>
      </c>
      <c r="C1382" s="572" t="str">
        <f t="shared" si="159"/>
        <v>Planted Temperate oceanic forestEurope</v>
      </c>
      <c r="D1382" s="41">
        <v>4.4000000000000004</v>
      </c>
      <c r="E1382" s="41">
        <v>4.4000000000000004</v>
      </c>
    </row>
    <row r="1383" spans="1:5" s="21" customFormat="1" x14ac:dyDescent="0.2">
      <c r="A1383" s="20" t="s">
        <v>142</v>
      </c>
      <c r="B1383" s="401" t="s">
        <v>1346</v>
      </c>
      <c r="C1383" s="572" t="str">
        <f t="shared" si="159"/>
        <v>Planted Temperate oceanic forestOceania</v>
      </c>
      <c r="D1383" s="41">
        <v>4.4000000000000004</v>
      </c>
      <c r="E1383" s="41">
        <v>4.4000000000000004</v>
      </c>
    </row>
    <row r="1384" spans="1:5" s="21" customFormat="1" x14ac:dyDescent="0.2">
      <c r="A1384" s="20" t="s">
        <v>142</v>
      </c>
      <c r="B1384" s="401" t="s">
        <v>1343</v>
      </c>
      <c r="C1384" s="572" t="str">
        <f t="shared" si="159"/>
        <v>Planted Temperate oceanic forestNorth America</v>
      </c>
      <c r="D1384" s="41">
        <v>10</v>
      </c>
      <c r="E1384" s="41">
        <v>6</v>
      </c>
    </row>
    <row r="1385" spans="1:5" s="21" customFormat="1" x14ac:dyDescent="0.2">
      <c r="A1385" s="20" t="s">
        <v>142</v>
      </c>
      <c r="B1385" s="401" t="s">
        <v>1349</v>
      </c>
      <c r="C1385" s="572" t="str">
        <f t="shared" si="159"/>
        <v>Planted Temperate oceanic forestSouth America</v>
      </c>
      <c r="D1385" s="41">
        <v>10</v>
      </c>
      <c r="E1385" s="41">
        <v>6</v>
      </c>
    </row>
    <row r="1386" spans="1:5" s="21" customFormat="1" x14ac:dyDescent="0.2">
      <c r="A1386" s="20" t="s">
        <v>142</v>
      </c>
      <c r="B1386" s="401" t="s">
        <v>1333</v>
      </c>
      <c r="C1386" s="572" t="str">
        <f t="shared" si="159"/>
        <v>Planted Temperate oceanic forestCentral America</v>
      </c>
      <c r="D1386" s="363">
        <v>10</v>
      </c>
      <c r="E1386" s="363">
        <v>6</v>
      </c>
    </row>
    <row r="1387" spans="1:5" s="292" customFormat="1" x14ac:dyDescent="0.2">
      <c r="A1387" s="37" t="s">
        <v>142</v>
      </c>
      <c r="B1387" s="402" t="s">
        <v>1547</v>
      </c>
      <c r="C1387" s="420" t="str">
        <f t="shared" si="159"/>
        <v>Planted Temperate oceanic forestCaribbean</v>
      </c>
      <c r="D1387" s="363">
        <v>10</v>
      </c>
      <c r="E1387" s="363">
        <v>6</v>
      </c>
    </row>
    <row r="1388" spans="1:5" s="291" customFormat="1" x14ac:dyDescent="0.2">
      <c r="A1388" s="63" t="s">
        <v>151</v>
      </c>
      <c r="B1388" s="408" t="s">
        <v>1552</v>
      </c>
      <c r="C1388" s="569" t="str">
        <f t="shared" si="159"/>
        <v>Planted Temperate desertEastern Africa</v>
      </c>
      <c r="D1388" s="470">
        <v>0</v>
      </c>
      <c r="E1388" s="474">
        <v>0</v>
      </c>
    </row>
    <row r="1389" spans="1:5" s="21" customFormat="1" x14ac:dyDescent="0.2">
      <c r="A1389" s="20" t="s">
        <v>151</v>
      </c>
      <c r="B1389" s="401" t="s">
        <v>1557</v>
      </c>
      <c r="C1389" s="572" t="str">
        <f t="shared" si="159"/>
        <v>Planted Temperate desertCentral Africa</v>
      </c>
      <c r="D1389" s="467">
        <v>0</v>
      </c>
      <c r="E1389" s="469">
        <v>0</v>
      </c>
    </row>
    <row r="1390" spans="1:5" s="21" customFormat="1" x14ac:dyDescent="0.2">
      <c r="A1390" s="20" t="s">
        <v>151</v>
      </c>
      <c r="B1390" s="401" t="s">
        <v>1559</v>
      </c>
      <c r="C1390" s="572" t="str">
        <f t="shared" si="159"/>
        <v>Planted Temperate desertNorthern Africa</v>
      </c>
      <c r="D1390" s="467">
        <v>0</v>
      </c>
      <c r="E1390" s="469">
        <v>0</v>
      </c>
    </row>
    <row r="1391" spans="1:5" s="21" customFormat="1" x14ac:dyDescent="0.2">
      <c r="A1391" s="20" t="s">
        <v>151</v>
      </c>
      <c r="B1391" s="401" t="s">
        <v>1565</v>
      </c>
      <c r="C1391" s="572" t="str">
        <f t="shared" si="159"/>
        <v>Planted Temperate desertSouthern Africa</v>
      </c>
      <c r="D1391" s="467">
        <v>0</v>
      </c>
      <c r="E1391" s="469">
        <v>0</v>
      </c>
    </row>
    <row r="1392" spans="1:5" s="21" customFormat="1" x14ac:dyDescent="0.2">
      <c r="A1392" s="20" t="s">
        <v>151</v>
      </c>
      <c r="B1392" s="401" t="s">
        <v>1569</v>
      </c>
      <c r="C1392" s="572" t="str">
        <f t="shared" si="159"/>
        <v>Planted Temperate desertWestern Africa</v>
      </c>
      <c r="D1392" s="467">
        <v>0</v>
      </c>
      <c r="E1392" s="469">
        <v>0</v>
      </c>
    </row>
    <row r="1393" spans="1:5" s="21" customFormat="1" x14ac:dyDescent="0.2">
      <c r="A1393" s="20" t="s">
        <v>151</v>
      </c>
      <c r="B1393" s="401" t="s">
        <v>1550</v>
      </c>
      <c r="C1393" s="572" t="str">
        <f t="shared" si="159"/>
        <v>Planted Temperate desertCentral Asia</v>
      </c>
      <c r="D1393" s="467">
        <v>0</v>
      </c>
      <c r="E1393" s="469">
        <v>0</v>
      </c>
    </row>
    <row r="1394" spans="1:5" s="21" customFormat="1" x14ac:dyDescent="0.2">
      <c r="A1394" s="20" t="s">
        <v>151</v>
      </c>
      <c r="B1394" s="401" t="s">
        <v>1554</v>
      </c>
      <c r="C1394" s="572" t="str">
        <f t="shared" si="159"/>
        <v>Planted Temperate desertEastern Asia</v>
      </c>
      <c r="D1394" s="467">
        <v>0</v>
      </c>
      <c r="E1394" s="469">
        <v>0</v>
      </c>
    </row>
    <row r="1395" spans="1:5" s="21" customFormat="1" x14ac:dyDescent="0.2">
      <c r="A1395" s="20" t="s">
        <v>151</v>
      </c>
      <c r="B1395" s="401" t="s">
        <v>1563</v>
      </c>
      <c r="C1395" s="572" t="str">
        <f t="shared" si="159"/>
        <v>Planted Temperate desertSouth-eastern Asia</v>
      </c>
      <c r="D1395" s="467">
        <v>0</v>
      </c>
      <c r="E1395" s="469">
        <v>0</v>
      </c>
    </row>
    <row r="1396" spans="1:5" s="21" customFormat="1" x14ac:dyDescent="0.2">
      <c r="A1396" s="20" t="s">
        <v>151</v>
      </c>
      <c r="B1396" s="401" t="s">
        <v>1567</v>
      </c>
      <c r="C1396" s="572" t="str">
        <f t="shared" si="159"/>
        <v>Planted Temperate desertSouthern Asia</v>
      </c>
      <c r="D1396" s="467">
        <v>0</v>
      </c>
      <c r="E1396" s="469">
        <v>0</v>
      </c>
    </row>
    <row r="1397" spans="1:5" s="21" customFormat="1" x14ac:dyDescent="0.2">
      <c r="A1397" s="20" t="s">
        <v>151</v>
      </c>
      <c r="B1397" s="401" t="s">
        <v>1571</v>
      </c>
      <c r="C1397" s="572" t="str">
        <f t="shared" si="159"/>
        <v>Planted Temperate desertWestern Asia</v>
      </c>
      <c r="D1397" s="467">
        <v>0</v>
      </c>
      <c r="E1397" s="469">
        <v>0</v>
      </c>
    </row>
    <row r="1398" spans="1:5" s="21" customFormat="1" x14ac:dyDescent="0.2">
      <c r="A1398" s="20" t="s">
        <v>151</v>
      </c>
      <c r="B1398" s="401" t="s">
        <v>1555</v>
      </c>
      <c r="C1398" s="572" t="str">
        <f t="shared" si="159"/>
        <v>Planted Temperate desertEurope</v>
      </c>
      <c r="D1398" s="467">
        <v>0</v>
      </c>
      <c r="E1398" s="469">
        <v>0</v>
      </c>
    </row>
    <row r="1399" spans="1:5" s="21" customFormat="1" x14ac:dyDescent="0.2">
      <c r="A1399" s="20" t="s">
        <v>151</v>
      </c>
      <c r="B1399" s="401" t="s">
        <v>1346</v>
      </c>
      <c r="C1399" s="572" t="str">
        <f t="shared" si="159"/>
        <v>Planted Temperate desertOceania</v>
      </c>
      <c r="D1399" s="467">
        <v>0</v>
      </c>
      <c r="E1399" s="469">
        <v>0</v>
      </c>
    </row>
    <row r="1400" spans="1:5" s="21" customFormat="1" x14ac:dyDescent="0.2">
      <c r="A1400" s="20" t="s">
        <v>151</v>
      </c>
      <c r="B1400" s="401" t="s">
        <v>1343</v>
      </c>
      <c r="C1400" s="572" t="str">
        <f t="shared" si="159"/>
        <v>Planted Temperate desertNorth America</v>
      </c>
      <c r="D1400" s="467">
        <v>0</v>
      </c>
      <c r="E1400" s="469">
        <v>0</v>
      </c>
    </row>
    <row r="1401" spans="1:5" s="21" customFormat="1" x14ac:dyDescent="0.2">
      <c r="A1401" s="20" t="s">
        <v>151</v>
      </c>
      <c r="B1401" s="401" t="s">
        <v>1349</v>
      </c>
      <c r="C1401" s="572" t="str">
        <f t="shared" si="159"/>
        <v>Planted Temperate desertSouth America</v>
      </c>
      <c r="D1401" s="467">
        <v>0</v>
      </c>
      <c r="E1401" s="469">
        <v>0</v>
      </c>
    </row>
    <row r="1402" spans="1:5" s="21" customFormat="1" x14ac:dyDescent="0.2">
      <c r="A1402" s="20" t="s">
        <v>151</v>
      </c>
      <c r="B1402" s="401" t="s">
        <v>1333</v>
      </c>
      <c r="C1402" s="572" t="str">
        <f t="shared" si="159"/>
        <v>Planted Temperate desertCentral America</v>
      </c>
      <c r="D1402" s="467">
        <v>0</v>
      </c>
      <c r="E1402" s="469">
        <v>0</v>
      </c>
    </row>
    <row r="1403" spans="1:5" s="292" customFormat="1" x14ac:dyDescent="0.2">
      <c r="A1403" s="37" t="s">
        <v>151</v>
      </c>
      <c r="B1403" s="402" t="s">
        <v>1547</v>
      </c>
      <c r="C1403" s="420" t="str">
        <f t="shared" si="159"/>
        <v>Planted Temperate desertCaribbean</v>
      </c>
      <c r="D1403" s="654">
        <v>0</v>
      </c>
      <c r="E1403" s="653">
        <v>0</v>
      </c>
    </row>
    <row r="1404" spans="1:5" s="291" customFormat="1" x14ac:dyDescent="0.2">
      <c r="A1404" s="63" t="s">
        <v>152</v>
      </c>
      <c r="B1404" s="408" t="s">
        <v>1552</v>
      </c>
      <c r="C1404" s="567" t="str">
        <f t="shared" si="159"/>
        <v>Planted Temperate steppeEastern Africa</v>
      </c>
      <c r="D1404" s="471">
        <v>11</v>
      </c>
      <c r="E1404" s="471">
        <v>4</v>
      </c>
    </row>
    <row r="1405" spans="1:5" s="21" customFormat="1" x14ac:dyDescent="0.2">
      <c r="A1405" s="20" t="s">
        <v>152</v>
      </c>
      <c r="B1405" s="401" t="s">
        <v>1557</v>
      </c>
      <c r="C1405" s="55" t="str">
        <f t="shared" si="159"/>
        <v>Planted Temperate steppeCentral Africa</v>
      </c>
      <c r="D1405" s="471">
        <v>11</v>
      </c>
      <c r="E1405" s="471">
        <v>4</v>
      </c>
    </row>
    <row r="1406" spans="1:5" s="21" customFormat="1" x14ac:dyDescent="0.2">
      <c r="A1406" s="20" t="s">
        <v>152</v>
      </c>
      <c r="B1406" s="401" t="s">
        <v>1559</v>
      </c>
      <c r="C1406" s="55" t="str">
        <f t="shared" si="159"/>
        <v>Planted Temperate steppeNorthern Africa</v>
      </c>
      <c r="D1406" s="471">
        <v>11</v>
      </c>
      <c r="E1406" s="471">
        <v>4</v>
      </c>
    </row>
    <row r="1407" spans="1:5" s="21" customFormat="1" x14ac:dyDescent="0.2">
      <c r="A1407" s="20" t="s">
        <v>152</v>
      </c>
      <c r="B1407" s="401" t="s">
        <v>1565</v>
      </c>
      <c r="C1407" s="55" t="str">
        <f t="shared" si="159"/>
        <v>Planted Temperate steppeSouthern Africa</v>
      </c>
      <c r="D1407" s="471">
        <v>11</v>
      </c>
      <c r="E1407" s="471">
        <v>4</v>
      </c>
    </row>
    <row r="1408" spans="1:5" s="21" customFormat="1" x14ac:dyDescent="0.2">
      <c r="A1408" s="20" t="s">
        <v>152</v>
      </c>
      <c r="B1408" s="401" t="s">
        <v>1569</v>
      </c>
      <c r="C1408" s="55" t="str">
        <f t="shared" si="159"/>
        <v>Planted Temperate steppeWestern Africa</v>
      </c>
      <c r="D1408" s="471">
        <v>11</v>
      </c>
      <c r="E1408" s="471">
        <v>4</v>
      </c>
    </row>
    <row r="1409" spans="1:5" s="21" customFormat="1" x14ac:dyDescent="0.2">
      <c r="A1409" s="20" t="s">
        <v>152</v>
      </c>
      <c r="B1409" s="401" t="s">
        <v>1550</v>
      </c>
      <c r="C1409" s="55" t="str">
        <f t="shared" si="159"/>
        <v>Planted Temperate steppeCentral Asia</v>
      </c>
      <c r="D1409" s="471">
        <v>11</v>
      </c>
      <c r="E1409" s="471">
        <v>4</v>
      </c>
    </row>
    <row r="1410" spans="1:5" s="21" customFormat="1" x14ac:dyDescent="0.2">
      <c r="A1410" s="20" t="s">
        <v>152</v>
      </c>
      <c r="B1410" s="401" t="s">
        <v>1554</v>
      </c>
      <c r="C1410" s="55" t="str">
        <f t="shared" si="159"/>
        <v>Planted Temperate steppeEastern Asia</v>
      </c>
      <c r="D1410" s="471">
        <v>11</v>
      </c>
      <c r="E1410" s="471">
        <v>4</v>
      </c>
    </row>
    <row r="1411" spans="1:5" s="21" customFormat="1" x14ac:dyDescent="0.2">
      <c r="A1411" s="20" t="s">
        <v>152</v>
      </c>
      <c r="B1411" s="401" t="s">
        <v>1563</v>
      </c>
      <c r="C1411" s="55" t="str">
        <f t="shared" si="159"/>
        <v>Planted Temperate steppeSouth-eastern Asia</v>
      </c>
      <c r="D1411" s="471">
        <v>11</v>
      </c>
      <c r="E1411" s="471">
        <v>4</v>
      </c>
    </row>
    <row r="1412" spans="1:5" s="21" customFormat="1" x14ac:dyDescent="0.2">
      <c r="A1412" s="20" t="s">
        <v>152</v>
      </c>
      <c r="B1412" s="401" t="s">
        <v>1567</v>
      </c>
      <c r="C1412" s="55" t="str">
        <f t="shared" si="159"/>
        <v>Planted Temperate steppeSouthern Asia</v>
      </c>
      <c r="D1412" s="471">
        <v>11</v>
      </c>
      <c r="E1412" s="471">
        <v>4</v>
      </c>
    </row>
    <row r="1413" spans="1:5" s="21" customFormat="1" x14ac:dyDescent="0.2">
      <c r="A1413" s="20" t="s">
        <v>152</v>
      </c>
      <c r="B1413" s="401" t="s">
        <v>1571</v>
      </c>
      <c r="C1413" s="55" t="str">
        <f t="shared" si="159"/>
        <v>Planted Temperate steppeWestern Asia</v>
      </c>
      <c r="D1413" s="471">
        <v>11</v>
      </c>
      <c r="E1413" s="471">
        <v>4</v>
      </c>
    </row>
    <row r="1414" spans="1:5" s="21" customFormat="1" x14ac:dyDescent="0.2">
      <c r="A1414" s="20" t="s">
        <v>152</v>
      </c>
      <c r="B1414" s="401" t="s">
        <v>1555</v>
      </c>
      <c r="C1414" s="55" t="str">
        <f t="shared" si="159"/>
        <v>Planted Temperate steppeEurope</v>
      </c>
      <c r="D1414" s="471">
        <v>11</v>
      </c>
      <c r="E1414" s="471">
        <v>4</v>
      </c>
    </row>
    <row r="1415" spans="1:5" s="21" customFormat="1" x14ac:dyDescent="0.2">
      <c r="A1415" s="20" t="s">
        <v>152</v>
      </c>
      <c r="B1415" s="401" t="s">
        <v>1346</v>
      </c>
      <c r="C1415" s="55" t="str">
        <f t="shared" si="159"/>
        <v>Planted Temperate steppeOceania</v>
      </c>
      <c r="D1415" s="471">
        <v>11</v>
      </c>
      <c r="E1415" s="471">
        <v>4</v>
      </c>
    </row>
    <row r="1416" spans="1:5" s="21" customFormat="1" x14ac:dyDescent="0.2">
      <c r="A1416" s="20" t="s">
        <v>152</v>
      </c>
      <c r="B1416" s="401" t="s">
        <v>1343</v>
      </c>
      <c r="C1416" s="55" t="str">
        <f t="shared" si="159"/>
        <v>Planted Temperate steppeNorth America</v>
      </c>
      <c r="D1416" s="471">
        <v>11</v>
      </c>
      <c r="E1416" s="471">
        <v>4</v>
      </c>
    </row>
    <row r="1417" spans="1:5" s="21" customFormat="1" x14ac:dyDescent="0.2">
      <c r="A1417" s="20" t="s">
        <v>152</v>
      </c>
      <c r="B1417" s="401" t="s">
        <v>1349</v>
      </c>
      <c r="C1417" s="55" t="str">
        <f t="shared" si="159"/>
        <v>Planted Temperate steppeSouth America</v>
      </c>
      <c r="D1417" s="471">
        <v>11</v>
      </c>
      <c r="E1417" s="471">
        <v>4</v>
      </c>
    </row>
    <row r="1418" spans="1:5" s="21" customFormat="1" x14ac:dyDescent="0.2">
      <c r="A1418" s="20" t="s">
        <v>152</v>
      </c>
      <c r="B1418" s="401" t="s">
        <v>1333</v>
      </c>
      <c r="C1418" s="55" t="str">
        <f t="shared" si="159"/>
        <v>Planted Temperate steppeCentral America</v>
      </c>
      <c r="D1418" s="471">
        <v>11</v>
      </c>
      <c r="E1418" s="471">
        <v>4</v>
      </c>
    </row>
    <row r="1419" spans="1:5" s="292" customFormat="1" x14ac:dyDescent="0.2">
      <c r="A1419" s="37" t="s">
        <v>152</v>
      </c>
      <c r="B1419" s="402" t="s">
        <v>1547</v>
      </c>
      <c r="C1419" s="579" t="str">
        <f t="shared" si="159"/>
        <v>Planted Temperate steppeCaribbean</v>
      </c>
      <c r="D1419" s="471">
        <v>11</v>
      </c>
      <c r="E1419" s="471">
        <v>4</v>
      </c>
    </row>
    <row r="1420" spans="1:5" s="291" customFormat="1" x14ac:dyDescent="0.2">
      <c r="A1420" s="63" t="s">
        <v>135</v>
      </c>
      <c r="B1420" s="408" t="s">
        <v>1552</v>
      </c>
      <c r="C1420" s="567" t="str">
        <f t="shared" si="159"/>
        <v>Planted Boreal coniferous forestEastern Africa</v>
      </c>
      <c r="D1420" s="491">
        <v>1</v>
      </c>
      <c r="E1420" s="491">
        <v>1</v>
      </c>
    </row>
    <row r="1421" spans="1:5" s="21" customFormat="1" x14ac:dyDescent="0.2">
      <c r="A1421" s="20" t="s">
        <v>135</v>
      </c>
      <c r="B1421" s="401" t="s">
        <v>1557</v>
      </c>
      <c r="C1421" s="55" t="str">
        <f t="shared" si="159"/>
        <v>Planted Boreal coniferous forestCentral Africa</v>
      </c>
      <c r="D1421" s="471">
        <v>1</v>
      </c>
      <c r="E1421" s="471">
        <v>1</v>
      </c>
    </row>
    <row r="1422" spans="1:5" s="21" customFormat="1" x14ac:dyDescent="0.2">
      <c r="A1422" s="20" t="s">
        <v>135</v>
      </c>
      <c r="B1422" s="401" t="s">
        <v>1559</v>
      </c>
      <c r="C1422" s="55" t="str">
        <f t="shared" si="159"/>
        <v>Planted Boreal coniferous forestNorthern Africa</v>
      </c>
      <c r="D1422" s="471">
        <v>1</v>
      </c>
      <c r="E1422" s="471">
        <v>1</v>
      </c>
    </row>
    <row r="1423" spans="1:5" s="21" customFormat="1" x14ac:dyDescent="0.2">
      <c r="A1423" s="20" t="s">
        <v>135</v>
      </c>
      <c r="B1423" s="401" t="s">
        <v>1565</v>
      </c>
      <c r="C1423" s="55" t="str">
        <f t="shared" si="159"/>
        <v>Planted Boreal coniferous forestSouthern Africa</v>
      </c>
      <c r="D1423" s="471">
        <v>1</v>
      </c>
      <c r="E1423" s="471">
        <v>1</v>
      </c>
    </row>
    <row r="1424" spans="1:5" s="21" customFormat="1" x14ac:dyDescent="0.2">
      <c r="A1424" s="20" t="s">
        <v>135</v>
      </c>
      <c r="B1424" s="401" t="s">
        <v>1569</v>
      </c>
      <c r="C1424" s="55" t="str">
        <f t="shared" si="159"/>
        <v>Planted Boreal coniferous forestWestern Africa</v>
      </c>
      <c r="D1424" s="471">
        <v>1</v>
      </c>
      <c r="E1424" s="471">
        <v>1</v>
      </c>
    </row>
    <row r="1425" spans="1:5" s="21" customFormat="1" x14ac:dyDescent="0.2">
      <c r="A1425" s="20" t="s">
        <v>135</v>
      </c>
      <c r="B1425" s="401" t="s">
        <v>1550</v>
      </c>
      <c r="C1425" s="55" t="str">
        <f t="shared" si="159"/>
        <v>Planted Boreal coniferous forestCentral Asia</v>
      </c>
      <c r="D1425" s="471">
        <v>1</v>
      </c>
      <c r="E1425" s="471">
        <v>1</v>
      </c>
    </row>
    <row r="1426" spans="1:5" s="21" customFormat="1" x14ac:dyDescent="0.2">
      <c r="A1426" s="20" t="s">
        <v>135</v>
      </c>
      <c r="B1426" s="401" t="s">
        <v>1554</v>
      </c>
      <c r="C1426" s="55" t="str">
        <f t="shared" si="159"/>
        <v>Planted Boreal coniferous forestEastern Asia</v>
      </c>
      <c r="D1426" s="471">
        <v>1</v>
      </c>
      <c r="E1426" s="471">
        <v>1</v>
      </c>
    </row>
    <row r="1427" spans="1:5" s="21" customFormat="1" x14ac:dyDescent="0.2">
      <c r="A1427" s="20" t="s">
        <v>135</v>
      </c>
      <c r="B1427" s="401" t="s">
        <v>1563</v>
      </c>
      <c r="C1427" s="55" t="str">
        <f t="shared" si="159"/>
        <v>Planted Boreal coniferous forestSouth-eastern Asia</v>
      </c>
      <c r="D1427" s="471">
        <v>1</v>
      </c>
      <c r="E1427" s="471">
        <v>1</v>
      </c>
    </row>
    <row r="1428" spans="1:5" s="21" customFormat="1" x14ac:dyDescent="0.2">
      <c r="A1428" s="20" t="s">
        <v>135</v>
      </c>
      <c r="B1428" s="401" t="s">
        <v>1567</v>
      </c>
      <c r="C1428" s="55" t="str">
        <f t="shared" si="159"/>
        <v>Planted Boreal coniferous forestSouthern Asia</v>
      </c>
      <c r="D1428" s="471">
        <v>1</v>
      </c>
      <c r="E1428" s="471">
        <v>1</v>
      </c>
    </row>
    <row r="1429" spans="1:5" s="21" customFormat="1" x14ac:dyDescent="0.2">
      <c r="A1429" s="20" t="s">
        <v>135</v>
      </c>
      <c r="B1429" s="401" t="s">
        <v>1571</v>
      </c>
      <c r="C1429" s="55" t="str">
        <f t="shared" si="159"/>
        <v>Planted Boreal coniferous forestWestern Asia</v>
      </c>
      <c r="D1429" s="471">
        <v>1</v>
      </c>
      <c r="E1429" s="471">
        <v>1</v>
      </c>
    </row>
    <row r="1430" spans="1:5" s="21" customFormat="1" x14ac:dyDescent="0.2">
      <c r="A1430" s="20" t="s">
        <v>135</v>
      </c>
      <c r="B1430" s="401" t="s">
        <v>1555</v>
      </c>
      <c r="C1430" s="55" t="str">
        <f t="shared" si="159"/>
        <v>Planted Boreal coniferous forestEurope</v>
      </c>
      <c r="D1430" s="471">
        <v>1</v>
      </c>
      <c r="E1430" s="471">
        <v>1</v>
      </c>
    </row>
    <row r="1431" spans="1:5" s="21" customFormat="1" x14ac:dyDescent="0.2">
      <c r="A1431" s="20" t="s">
        <v>135</v>
      </c>
      <c r="B1431" s="401" t="s">
        <v>1346</v>
      </c>
      <c r="C1431" s="55" t="str">
        <f t="shared" si="159"/>
        <v>Planted Boreal coniferous forestOceania</v>
      </c>
      <c r="D1431" s="471">
        <v>1</v>
      </c>
      <c r="E1431" s="471">
        <v>1</v>
      </c>
    </row>
    <row r="1432" spans="1:5" s="21" customFormat="1" x14ac:dyDescent="0.2">
      <c r="A1432" s="20" t="s">
        <v>135</v>
      </c>
      <c r="B1432" s="401" t="s">
        <v>1343</v>
      </c>
      <c r="C1432" s="55" t="str">
        <f t="shared" si="159"/>
        <v>Planted Boreal coniferous forestNorth America</v>
      </c>
      <c r="D1432" s="471">
        <v>1</v>
      </c>
      <c r="E1432" s="471">
        <v>1</v>
      </c>
    </row>
    <row r="1433" spans="1:5" s="21" customFormat="1" x14ac:dyDescent="0.2">
      <c r="A1433" s="20" t="s">
        <v>135</v>
      </c>
      <c r="B1433" s="401" t="s">
        <v>1349</v>
      </c>
      <c r="C1433" s="55" t="str">
        <f t="shared" si="159"/>
        <v>Planted Boreal coniferous forestSouth America</v>
      </c>
      <c r="D1433" s="471">
        <v>1</v>
      </c>
      <c r="E1433" s="471">
        <v>1</v>
      </c>
    </row>
    <row r="1434" spans="1:5" s="21" customFormat="1" x14ac:dyDescent="0.2">
      <c r="A1434" s="20" t="s">
        <v>135</v>
      </c>
      <c r="B1434" s="401" t="s">
        <v>1333</v>
      </c>
      <c r="C1434" s="55" t="str">
        <f t="shared" si="159"/>
        <v>Planted Boreal coniferous forestCentral America</v>
      </c>
      <c r="D1434" s="471">
        <v>1</v>
      </c>
      <c r="E1434" s="471">
        <v>1</v>
      </c>
    </row>
    <row r="1435" spans="1:5" s="292" customFormat="1" x14ac:dyDescent="0.2">
      <c r="A1435" s="37" t="s">
        <v>135</v>
      </c>
      <c r="B1435" s="402" t="s">
        <v>1547</v>
      </c>
      <c r="C1435" s="579" t="str">
        <f t="shared" si="159"/>
        <v>Planted Boreal coniferous forestCaribbean</v>
      </c>
      <c r="D1435" s="536">
        <v>1</v>
      </c>
      <c r="E1435" s="536">
        <v>1</v>
      </c>
    </row>
    <row r="1436" spans="1:5" s="291" customFormat="1" x14ac:dyDescent="0.2">
      <c r="A1436" s="63" t="s">
        <v>139</v>
      </c>
      <c r="B1436" s="408" t="s">
        <v>1552</v>
      </c>
      <c r="C1436" s="567" t="str">
        <f t="shared" si="159"/>
        <v>Planted Boreal tundra woodlandEastern Africa</v>
      </c>
      <c r="D1436" s="44">
        <v>0.4</v>
      </c>
      <c r="E1436" s="44">
        <v>0.4</v>
      </c>
    </row>
    <row r="1437" spans="1:5" s="21" customFormat="1" x14ac:dyDescent="0.2">
      <c r="A1437" s="20" t="s">
        <v>139</v>
      </c>
      <c r="B1437" s="401" t="s">
        <v>1557</v>
      </c>
      <c r="C1437" s="55" t="str">
        <f t="shared" ref="C1437:C1467" si="160">CONCATENATE(A1437,B1437)</f>
        <v>Planted Boreal tundra woodlandCentral Africa</v>
      </c>
      <c r="D1437" s="41">
        <v>0.4</v>
      </c>
      <c r="E1437" s="41">
        <v>0.4</v>
      </c>
    </row>
    <row r="1438" spans="1:5" s="21" customFormat="1" x14ac:dyDescent="0.2">
      <c r="A1438" s="20" t="s">
        <v>139</v>
      </c>
      <c r="B1438" s="401" t="s">
        <v>1559</v>
      </c>
      <c r="C1438" s="55" t="str">
        <f t="shared" si="160"/>
        <v>Planted Boreal tundra woodlandNorthern Africa</v>
      </c>
      <c r="D1438" s="41">
        <v>0.4</v>
      </c>
      <c r="E1438" s="41">
        <v>0.4</v>
      </c>
    </row>
    <row r="1439" spans="1:5" s="21" customFormat="1" x14ac:dyDescent="0.2">
      <c r="A1439" s="20" t="s">
        <v>139</v>
      </c>
      <c r="B1439" s="401" t="s">
        <v>1565</v>
      </c>
      <c r="C1439" s="55" t="str">
        <f t="shared" si="160"/>
        <v>Planted Boreal tundra woodlandSouthern Africa</v>
      </c>
      <c r="D1439" s="41">
        <v>0.4</v>
      </c>
      <c r="E1439" s="41">
        <v>0.4</v>
      </c>
    </row>
    <row r="1440" spans="1:5" s="21" customFormat="1" x14ac:dyDescent="0.2">
      <c r="A1440" s="20" t="s">
        <v>139</v>
      </c>
      <c r="B1440" s="401" t="s">
        <v>1569</v>
      </c>
      <c r="C1440" s="55" t="str">
        <f t="shared" si="160"/>
        <v>Planted Boreal tundra woodlandWestern Africa</v>
      </c>
      <c r="D1440" s="41">
        <v>0.4</v>
      </c>
      <c r="E1440" s="41">
        <v>0.4</v>
      </c>
    </row>
    <row r="1441" spans="1:5" s="21" customFormat="1" x14ac:dyDescent="0.2">
      <c r="A1441" s="20" t="s">
        <v>139</v>
      </c>
      <c r="B1441" s="401" t="s">
        <v>1550</v>
      </c>
      <c r="C1441" s="55" t="str">
        <f t="shared" si="160"/>
        <v>Planted Boreal tundra woodlandCentral Asia</v>
      </c>
      <c r="D1441" s="41">
        <v>0.4</v>
      </c>
      <c r="E1441" s="41">
        <v>0.4</v>
      </c>
    </row>
    <row r="1442" spans="1:5" s="21" customFormat="1" x14ac:dyDescent="0.2">
      <c r="A1442" s="20" t="s">
        <v>139</v>
      </c>
      <c r="B1442" s="401" t="s">
        <v>1554</v>
      </c>
      <c r="C1442" s="55" t="str">
        <f t="shared" si="160"/>
        <v>Planted Boreal tundra woodlandEastern Asia</v>
      </c>
      <c r="D1442" s="41">
        <v>0.4</v>
      </c>
      <c r="E1442" s="41">
        <v>0.4</v>
      </c>
    </row>
    <row r="1443" spans="1:5" s="21" customFormat="1" x14ac:dyDescent="0.2">
      <c r="A1443" s="20" t="s">
        <v>139</v>
      </c>
      <c r="B1443" s="401" t="s">
        <v>1563</v>
      </c>
      <c r="C1443" s="55" t="str">
        <f t="shared" si="160"/>
        <v>Planted Boreal tundra woodlandSouth-eastern Asia</v>
      </c>
      <c r="D1443" s="41">
        <v>0.4</v>
      </c>
      <c r="E1443" s="41">
        <v>0.4</v>
      </c>
    </row>
    <row r="1444" spans="1:5" s="21" customFormat="1" x14ac:dyDescent="0.2">
      <c r="A1444" s="20" t="s">
        <v>139</v>
      </c>
      <c r="B1444" s="401" t="s">
        <v>1567</v>
      </c>
      <c r="C1444" s="55" t="str">
        <f t="shared" si="160"/>
        <v>Planted Boreal tundra woodlandSouthern Asia</v>
      </c>
      <c r="D1444" s="41">
        <v>0.4</v>
      </c>
      <c r="E1444" s="41">
        <v>0.4</v>
      </c>
    </row>
    <row r="1445" spans="1:5" s="21" customFormat="1" x14ac:dyDescent="0.2">
      <c r="A1445" s="20" t="s">
        <v>139</v>
      </c>
      <c r="B1445" s="401" t="s">
        <v>1571</v>
      </c>
      <c r="C1445" s="55" t="str">
        <f t="shared" si="160"/>
        <v>Planted Boreal tundra woodlandWestern Asia</v>
      </c>
      <c r="D1445" s="41">
        <v>0.4</v>
      </c>
      <c r="E1445" s="41">
        <v>0.4</v>
      </c>
    </row>
    <row r="1446" spans="1:5" s="21" customFormat="1" x14ac:dyDescent="0.2">
      <c r="A1446" s="20" t="s">
        <v>139</v>
      </c>
      <c r="B1446" s="401" t="s">
        <v>1555</v>
      </c>
      <c r="C1446" s="55" t="str">
        <f t="shared" si="160"/>
        <v>Planted Boreal tundra woodlandEurope</v>
      </c>
      <c r="D1446" s="41">
        <v>0.4</v>
      </c>
      <c r="E1446" s="41">
        <v>0.4</v>
      </c>
    </row>
    <row r="1447" spans="1:5" s="21" customFormat="1" x14ac:dyDescent="0.2">
      <c r="A1447" s="20" t="s">
        <v>139</v>
      </c>
      <c r="B1447" s="401" t="s">
        <v>1346</v>
      </c>
      <c r="C1447" s="55" t="str">
        <f t="shared" si="160"/>
        <v>Planted Boreal tundra woodlandOceania</v>
      </c>
      <c r="D1447" s="41">
        <v>0.4</v>
      </c>
      <c r="E1447" s="41">
        <v>0.4</v>
      </c>
    </row>
    <row r="1448" spans="1:5" s="21" customFormat="1" x14ac:dyDescent="0.2">
      <c r="A1448" s="20" t="s">
        <v>139</v>
      </c>
      <c r="B1448" s="401" t="s">
        <v>1343</v>
      </c>
      <c r="C1448" s="55" t="str">
        <f t="shared" si="160"/>
        <v>Planted Boreal tundra woodlandNorth America</v>
      </c>
      <c r="D1448" s="41">
        <v>0.4</v>
      </c>
      <c r="E1448" s="41">
        <v>0.4</v>
      </c>
    </row>
    <row r="1449" spans="1:5" s="21" customFormat="1" x14ac:dyDescent="0.2">
      <c r="A1449" s="20" t="s">
        <v>139</v>
      </c>
      <c r="B1449" s="401" t="s">
        <v>1349</v>
      </c>
      <c r="C1449" s="55" t="str">
        <f t="shared" si="160"/>
        <v>Planted Boreal tundra woodlandSouth America</v>
      </c>
      <c r="D1449" s="41">
        <v>0.4</v>
      </c>
      <c r="E1449" s="41">
        <v>0.4</v>
      </c>
    </row>
    <row r="1450" spans="1:5" s="21" customFormat="1" x14ac:dyDescent="0.2">
      <c r="A1450" s="20" t="s">
        <v>139</v>
      </c>
      <c r="B1450" s="401" t="s">
        <v>1333</v>
      </c>
      <c r="C1450" s="55" t="str">
        <f t="shared" si="160"/>
        <v>Planted Boreal tundra woodlandCentral America</v>
      </c>
      <c r="D1450" s="41">
        <v>0.4</v>
      </c>
      <c r="E1450" s="41">
        <v>0.4</v>
      </c>
    </row>
    <row r="1451" spans="1:5" s="292" customFormat="1" x14ac:dyDescent="0.2">
      <c r="A1451" s="37" t="s">
        <v>139</v>
      </c>
      <c r="B1451" s="402" t="s">
        <v>1547</v>
      </c>
      <c r="C1451" s="579" t="str">
        <f t="shared" si="160"/>
        <v>Planted Boreal tundra woodlandCaribbean</v>
      </c>
      <c r="D1451" s="42">
        <v>0.4</v>
      </c>
      <c r="E1451" s="42">
        <v>0.4</v>
      </c>
    </row>
    <row r="1452" spans="1:5" s="291" customFormat="1" ht="19.5" customHeight="1" x14ac:dyDescent="0.2">
      <c r="A1452" s="63" t="s">
        <v>143</v>
      </c>
      <c r="B1452" s="408" t="s">
        <v>1552</v>
      </c>
      <c r="C1452" s="567" t="str">
        <f t="shared" si="160"/>
        <v>Planted Boreal mountain systemsEastern Africa</v>
      </c>
      <c r="D1452" s="491">
        <v>1</v>
      </c>
      <c r="E1452" s="491">
        <v>1</v>
      </c>
    </row>
    <row r="1453" spans="1:5" s="21" customFormat="1" x14ac:dyDescent="0.2">
      <c r="A1453" s="20" t="s">
        <v>143</v>
      </c>
      <c r="B1453" s="401" t="s">
        <v>1557</v>
      </c>
      <c r="C1453" s="55" t="str">
        <f t="shared" si="160"/>
        <v>Planted Boreal mountain systemsCentral Africa</v>
      </c>
      <c r="D1453" s="471">
        <v>1</v>
      </c>
      <c r="E1453" s="471">
        <v>1</v>
      </c>
    </row>
    <row r="1454" spans="1:5" s="21" customFormat="1" x14ac:dyDescent="0.2">
      <c r="A1454" s="20" t="s">
        <v>143</v>
      </c>
      <c r="B1454" s="401" t="s">
        <v>1559</v>
      </c>
      <c r="C1454" s="55" t="str">
        <f t="shared" si="160"/>
        <v>Planted Boreal mountain systemsNorthern Africa</v>
      </c>
      <c r="D1454" s="471">
        <v>1</v>
      </c>
      <c r="E1454" s="471">
        <v>1</v>
      </c>
    </row>
    <row r="1455" spans="1:5" s="21" customFormat="1" x14ac:dyDescent="0.2">
      <c r="A1455" s="20" t="s">
        <v>143</v>
      </c>
      <c r="B1455" s="401" t="s">
        <v>1565</v>
      </c>
      <c r="C1455" s="55" t="str">
        <f t="shared" si="160"/>
        <v>Planted Boreal mountain systemsSouthern Africa</v>
      </c>
      <c r="D1455" s="471">
        <v>1</v>
      </c>
      <c r="E1455" s="471">
        <v>1</v>
      </c>
    </row>
    <row r="1456" spans="1:5" s="21" customFormat="1" x14ac:dyDescent="0.2">
      <c r="A1456" s="20" t="s">
        <v>143</v>
      </c>
      <c r="B1456" s="401" t="s">
        <v>1569</v>
      </c>
      <c r="C1456" s="55" t="str">
        <f t="shared" si="160"/>
        <v>Planted Boreal mountain systemsWestern Africa</v>
      </c>
      <c r="D1456" s="471">
        <v>1</v>
      </c>
      <c r="E1456" s="471">
        <v>1</v>
      </c>
    </row>
    <row r="1457" spans="1:5" s="21" customFormat="1" x14ac:dyDescent="0.2">
      <c r="A1457" s="20" t="s">
        <v>143</v>
      </c>
      <c r="B1457" s="401" t="s">
        <v>1550</v>
      </c>
      <c r="C1457" s="55" t="str">
        <f t="shared" si="160"/>
        <v>Planted Boreal mountain systemsCentral Asia</v>
      </c>
      <c r="D1457" s="471">
        <v>1</v>
      </c>
      <c r="E1457" s="471">
        <v>1</v>
      </c>
    </row>
    <row r="1458" spans="1:5" s="21" customFormat="1" x14ac:dyDescent="0.2">
      <c r="A1458" s="20" t="s">
        <v>143</v>
      </c>
      <c r="B1458" s="401" t="s">
        <v>1554</v>
      </c>
      <c r="C1458" s="55" t="str">
        <f t="shared" si="160"/>
        <v>Planted Boreal mountain systemsEastern Asia</v>
      </c>
      <c r="D1458" s="471">
        <v>1</v>
      </c>
      <c r="E1458" s="471">
        <v>1</v>
      </c>
    </row>
    <row r="1459" spans="1:5" s="21" customFormat="1" x14ac:dyDescent="0.2">
      <c r="A1459" s="20" t="s">
        <v>143</v>
      </c>
      <c r="B1459" s="401" t="s">
        <v>1563</v>
      </c>
      <c r="C1459" s="55" t="str">
        <f t="shared" si="160"/>
        <v>Planted Boreal mountain systemsSouth-eastern Asia</v>
      </c>
      <c r="D1459" s="471">
        <v>1</v>
      </c>
      <c r="E1459" s="471">
        <v>1</v>
      </c>
    </row>
    <row r="1460" spans="1:5" s="21" customFormat="1" x14ac:dyDescent="0.2">
      <c r="A1460" s="20" t="s">
        <v>143</v>
      </c>
      <c r="B1460" s="401" t="s">
        <v>1567</v>
      </c>
      <c r="C1460" s="55" t="str">
        <f t="shared" si="160"/>
        <v>Planted Boreal mountain systemsSouthern Asia</v>
      </c>
      <c r="D1460" s="471">
        <v>1</v>
      </c>
      <c r="E1460" s="471">
        <v>1</v>
      </c>
    </row>
    <row r="1461" spans="1:5" s="21" customFormat="1" x14ac:dyDescent="0.2">
      <c r="A1461" s="20" t="s">
        <v>143</v>
      </c>
      <c r="B1461" s="401" t="s">
        <v>1571</v>
      </c>
      <c r="C1461" s="55" t="str">
        <f t="shared" si="160"/>
        <v>Planted Boreal mountain systemsWestern Asia</v>
      </c>
      <c r="D1461" s="471">
        <v>1</v>
      </c>
      <c r="E1461" s="471">
        <v>1</v>
      </c>
    </row>
    <row r="1462" spans="1:5" s="21" customFormat="1" x14ac:dyDescent="0.2">
      <c r="A1462" s="20" t="s">
        <v>143</v>
      </c>
      <c r="B1462" s="401" t="s">
        <v>1555</v>
      </c>
      <c r="C1462" s="55" t="str">
        <f t="shared" si="160"/>
        <v>Planted Boreal mountain systemsEurope</v>
      </c>
      <c r="D1462" s="471">
        <v>1</v>
      </c>
      <c r="E1462" s="471">
        <v>1</v>
      </c>
    </row>
    <row r="1463" spans="1:5" s="21" customFormat="1" x14ac:dyDescent="0.2">
      <c r="A1463" s="20" t="s">
        <v>143</v>
      </c>
      <c r="B1463" s="401" t="s">
        <v>1346</v>
      </c>
      <c r="C1463" s="55" t="str">
        <f t="shared" si="160"/>
        <v>Planted Boreal mountain systemsOceania</v>
      </c>
      <c r="D1463" s="471">
        <v>1</v>
      </c>
      <c r="E1463" s="471">
        <v>1</v>
      </c>
    </row>
    <row r="1464" spans="1:5" s="21" customFormat="1" x14ac:dyDescent="0.2">
      <c r="A1464" s="20" t="s">
        <v>143</v>
      </c>
      <c r="B1464" s="401" t="s">
        <v>1343</v>
      </c>
      <c r="C1464" s="55" t="str">
        <f t="shared" si="160"/>
        <v>Planted Boreal mountain systemsNorth America</v>
      </c>
      <c r="D1464" s="471">
        <v>1</v>
      </c>
      <c r="E1464" s="471">
        <v>1</v>
      </c>
    </row>
    <row r="1465" spans="1:5" s="21" customFormat="1" x14ac:dyDescent="0.2">
      <c r="A1465" s="20" t="s">
        <v>143</v>
      </c>
      <c r="B1465" s="401" t="s">
        <v>1349</v>
      </c>
      <c r="C1465" s="55" t="str">
        <f t="shared" si="160"/>
        <v>Planted Boreal mountain systemsSouth America</v>
      </c>
      <c r="D1465" s="471">
        <v>1</v>
      </c>
      <c r="E1465" s="471">
        <v>1</v>
      </c>
    </row>
    <row r="1466" spans="1:5" s="21" customFormat="1" x14ac:dyDescent="0.2">
      <c r="A1466" s="20" t="s">
        <v>143</v>
      </c>
      <c r="B1466" s="401" t="s">
        <v>1333</v>
      </c>
      <c r="C1466" s="55" t="str">
        <f t="shared" si="160"/>
        <v>Planted Boreal mountain systemsCentral America</v>
      </c>
      <c r="D1466" s="471">
        <v>1</v>
      </c>
      <c r="E1466" s="471">
        <v>1</v>
      </c>
    </row>
    <row r="1467" spans="1:5" s="292" customFormat="1" x14ac:dyDescent="0.2">
      <c r="A1467" s="37" t="s">
        <v>143</v>
      </c>
      <c r="B1467" s="402" t="s">
        <v>1547</v>
      </c>
      <c r="C1467" s="579" t="str">
        <f t="shared" si="160"/>
        <v>Planted Boreal mountain systemsCaribbean</v>
      </c>
      <c r="D1467" s="536">
        <v>1</v>
      </c>
      <c r="E1467" s="536">
        <v>1</v>
      </c>
    </row>
    <row r="1469" spans="1:5" s="635" customFormat="1" x14ac:dyDescent="0.2">
      <c r="A1469" s="671" t="s">
        <v>1966</v>
      </c>
      <c r="B1469" s="509"/>
      <c r="C1469" s="509"/>
      <c r="D1469" s="509"/>
      <c r="E1469" s="509"/>
    </row>
    <row r="1470" spans="1:5" s="635" customFormat="1" ht="16" x14ac:dyDescent="0.2">
      <c r="A1470" s="734"/>
      <c r="B1470" s="737" t="s">
        <v>1990</v>
      </c>
      <c r="C1470" s="736" t="s">
        <v>1991</v>
      </c>
      <c r="D1470" s="62"/>
      <c r="E1470" s="62"/>
    </row>
    <row r="1471" spans="1:5" s="635" customFormat="1" x14ac:dyDescent="0.2">
      <c r="A1471" s="735" t="s">
        <v>1609</v>
      </c>
      <c r="B1471" s="737" t="s">
        <v>1992</v>
      </c>
      <c r="C1471" s="737" t="s">
        <v>1993</v>
      </c>
      <c r="D1471" s="733" t="s">
        <v>1993</v>
      </c>
      <c r="E1471" s="733" t="s">
        <v>1993</v>
      </c>
    </row>
    <row r="1472" spans="1:5" s="21" customFormat="1" ht="17" x14ac:dyDescent="0.25">
      <c r="A1472" s="264" t="s">
        <v>57</v>
      </c>
      <c r="B1472" s="737" t="s">
        <v>813</v>
      </c>
      <c r="C1472" s="325" t="s">
        <v>1994</v>
      </c>
      <c r="D1472" s="322" t="s">
        <v>1995</v>
      </c>
      <c r="E1472" s="322" t="s">
        <v>1996</v>
      </c>
    </row>
    <row r="1473" spans="1:5" s="21" customFormat="1" x14ac:dyDescent="0.2">
      <c r="A1473" s="820" t="s">
        <v>1382</v>
      </c>
      <c r="B1473" s="821">
        <v>0.4</v>
      </c>
      <c r="C1473" s="822">
        <v>1515</v>
      </c>
      <c r="D1473" s="823">
        <v>2.7</v>
      </c>
      <c r="E1473" s="823">
        <v>7.0000000000000007E-2</v>
      </c>
    </row>
    <row r="1474" spans="1:5" s="21" customFormat="1" x14ac:dyDescent="0.2">
      <c r="A1474" s="20" t="s">
        <v>1494</v>
      </c>
      <c r="B1474" s="41">
        <v>0.8</v>
      </c>
      <c r="C1474" s="663">
        <v>1613</v>
      </c>
      <c r="D1474" s="55">
        <v>2.2999999999999998</v>
      </c>
      <c r="E1474" s="55">
        <v>0.21</v>
      </c>
    </row>
    <row r="1475" spans="1:5" s="21" customFormat="1" x14ac:dyDescent="0.2">
      <c r="A1475" s="824" t="s">
        <v>1590</v>
      </c>
      <c r="B1475" s="821">
        <v>0.4</v>
      </c>
      <c r="C1475" s="822">
        <v>1515</v>
      </c>
      <c r="D1475" s="812">
        <v>2.7</v>
      </c>
      <c r="E1475" s="812">
        <v>7.0000000000000007E-2</v>
      </c>
    </row>
    <row r="1476" spans="1:5" s="21" customFormat="1" x14ac:dyDescent="0.2">
      <c r="A1476" s="20" t="s">
        <v>1592</v>
      </c>
      <c r="B1476" s="41">
        <v>0.8</v>
      </c>
      <c r="C1476" s="663">
        <v>1613</v>
      </c>
      <c r="D1476" s="55">
        <v>2.2999999999999998</v>
      </c>
      <c r="E1476" s="55">
        <v>0.21</v>
      </c>
    </row>
    <row r="1477" spans="1:5" s="21" customFormat="1" x14ac:dyDescent="0.2">
      <c r="A1477" s="20" t="s">
        <v>1401</v>
      </c>
      <c r="B1477" s="41">
        <v>0</v>
      </c>
      <c r="C1477" s="663">
        <v>0</v>
      </c>
      <c r="D1477" s="55">
        <v>0</v>
      </c>
      <c r="E1477" s="55">
        <v>0</v>
      </c>
    </row>
    <row r="1478" spans="1:5" s="21" customFormat="1" x14ac:dyDescent="0.2">
      <c r="A1478" s="824" t="s">
        <v>1384</v>
      </c>
      <c r="B1478" s="501">
        <v>0.4</v>
      </c>
      <c r="C1478" s="825">
        <v>1515</v>
      </c>
      <c r="D1478" s="812">
        <v>2.7</v>
      </c>
      <c r="E1478" s="812">
        <v>7.0000000000000007E-2</v>
      </c>
    </row>
    <row r="1479" spans="1:5" s="21" customFormat="1" x14ac:dyDescent="0.2">
      <c r="A1479" s="20" t="s">
        <v>1396</v>
      </c>
      <c r="B1479" s="41">
        <v>0.8</v>
      </c>
      <c r="C1479" s="663">
        <v>1613</v>
      </c>
      <c r="D1479" s="55">
        <v>2.2999999999999998</v>
      </c>
      <c r="E1479" s="55">
        <v>0.21</v>
      </c>
    </row>
    <row r="1480" spans="1:5" s="21" customFormat="1" x14ac:dyDescent="0.2">
      <c r="A1480" s="670" t="s">
        <v>1352</v>
      </c>
      <c r="B1480" s="41">
        <v>0.8</v>
      </c>
      <c r="C1480" s="663">
        <v>1613</v>
      </c>
      <c r="D1480" s="55">
        <v>2.2999999999999998</v>
      </c>
      <c r="E1480" s="55">
        <v>0.21</v>
      </c>
    </row>
    <row r="1481" spans="1:5" s="21" customFormat="1" x14ac:dyDescent="0.2">
      <c r="A1481" s="670" t="s">
        <v>1505</v>
      </c>
      <c r="B1481" s="41">
        <v>0.8</v>
      </c>
      <c r="C1481" s="663">
        <v>1613</v>
      </c>
      <c r="D1481" s="55">
        <v>2.2999999999999998</v>
      </c>
      <c r="E1481" s="55">
        <v>0.21</v>
      </c>
    </row>
    <row r="1482" spans="1:5" s="21" customFormat="1" x14ac:dyDescent="0.2">
      <c r="A1482" s="670" t="s">
        <v>1407</v>
      </c>
      <c r="B1482" s="41">
        <v>0.8</v>
      </c>
      <c r="C1482" s="663">
        <v>1613</v>
      </c>
      <c r="D1482" s="55">
        <v>2.2999999999999998</v>
      </c>
      <c r="E1482" s="55">
        <v>0.21</v>
      </c>
    </row>
    <row r="1483" spans="1:5" s="21" customFormat="1" x14ac:dyDescent="0.2">
      <c r="A1483" s="670" t="s">
        <v>1413</v>
      </c>
      <c r="B1483" s="41">
        <v>0.8</v>
      </c>
      <c r="C1483" s="663">
        <v>1613</v>
      </c>
      <c r="D1483" s="55">
        <v>2.2999999999999998</v>
      </c>
      <c r="E1483" s="55">
        <v>0.21</v>
      </c>
    </row>
    <row r="1484" spans="1:5" s="21" customFormat="1" x14ac:dyDescent="0.2">
      <c r="A1484" s="670" t="s">
        <v>1417</v>
      </c>
      <c r="B1484" s="41">
        <v>0.8</v>
      </c>
      <c r="C1484" s="663">
        <v>1613</v>
      </c>
      <c r="D1484" s="663">
        <v>2.2999999999999998</v>
      </c>
      <c r="E1484" s="663">
        <v>0.21</v>
      </c>
    </row>
    <row r="1485" spans="1:5" s="21" customFormat="1" x14ac:dyDescent="0.2">
      <c r="A1485" s="670" t="s">
        <v>1421</v>
      </c>
      <c r="B1485" s="41">
        <v>0.8</v>
      </c>
      <c r="C1485" s="663">
        <v>1613</v>
      </c>
      <c r="D1485" s="663">
        <v>2.2999999999999998</v>
      </c>
      <c r="E1485" s="663">
        <v>0.21</v>
      </c>
    </row>
    <row r="1486" spans="1:5" s="21" customFormat="1" x14ac:dyDescent="0.2">
      <c r="A1486" s="670" t="s">
        <v>1424</v>
      </c>
      <c r="B1486" s="41">
        <v>0.8</v>
      </c>
      <c r="C1486" s="663">
        <v>1613</v>
      </c>
      <c r="D1486" s="663">
        <v>2.2999999999999998</v>
      </c>
      <c r="E1486" s="663">
        <v>0.21</v>
      </c>
    </row>
    <row r="1487" spans="1:5" s="21" customFormat="1" x14ac:dyDescent="0.2">
      <c r="A1487" s="670" t="s">
        <v>1427</v>
      </c>
      <c r="B1487" s="41">
        <v>0.8</v>
      </c>
      <c r="C1487" s="663">
        <v>1613</v>
      </c>
      <c r="D1487" s="663">
        <v>2.2999999999999998</v>
      </c>
      <c r="E1487" s="663">
        <v>0.21</v>
      </c>
    </row>
    <row r="1488" spans="1:5" s="21" customFormat="1" x14ac:dyDescent="0.2">
      <c r="A1488" s="670" t="s">
        <v>1592</v>
      </c>
      <c r="B1488" s="41">
        <v>0.8</v>
      </c>
      <c r="C1488" s="663">
        <v>1613</v>
      </c>
      <c r="D1488" s="663">
        <v>2.2999999999999998</v>
      </c>
      <c r="E1488" s="663">
        <v>0.21</v>
      </c>
    </row>
    <row r="1489" spans="1:10" s="21" customFormat="1" x14ac:dyDescent="0.2">
      <c r="A1489" s="670" t="s">
        <v>1497</v>
      </c>
      <c r="B1489" s="41">
        <v>0.8</v>
      </c>
      <c r="C1489" s="663">
        <v>1613</v>
      </c>
      <c r="D1489" s="663">
        <v>2.2999999999999998</v>
      </c>
      <c r="E1489" s="663">
        <v>0.21</v>
      </c>
    </row>
    <row r="1490" spans="1:10" s="21" customFormat="1" x14ac:dyDescent="0.2">
      <c r="A1490" s="670" t="s">
        <v>1499</v>
      </c>
      <c r="B1490" s="41">
        <v>0.8</v>
      </c>
      <c r="C1490" s="663">
        <v>1613</v>
      </c>
      <c r="D1490" s="663">
        <v>2.2999999999999998</v>
      </c>
      <c r="E1490" s="663">
        <v>0.21</v>
      </c>
    </row>
    <row r="1491" spans="1:10" s="21" customFormat="1" x14ac:dyDescent="0.2">
      <c r="A1491" s="670" t="s">
        <v>1501</v>
      </c>
      <c r="B1491" s="41">
        <v>0.8</v>
      </c>
      <c r="C1491" s="663">
        <v>1613</v>
      </c>
      <c r="D1491" s="663">
        <v>2.2999999999999998</v>
      </c>
      <c r="E1491" s="663">
        <v>0.21</v>
      </c>
    </row>
    <row r="1492" spans="1:10" s="21" customFormat="1" x14ac:dyDescent="0.2">
      <c r="A1492" s="670" t="s">
        <v>1507</v>
      </c>
      <c r="B1492" s="41">
        <v>0.8</v>
      </c>
      <c r="C1492" s="663">
        <v>1613</v>
      </c>
      <c r="D1492" s="663">
        <v>2.2999999999999998</v>
      </c>
      <c r="E1492" s="663">
        <v>0.21</v>
      </c>
    </row>
    <row r="1493" spans="1:10" s="21" customFormat="1" x14ac:dyDescent="0.2">
      <c r="A1493" s="670" t="s">
        <v>1510</v>
      </c>
      <c r="B1493" s="41">
        <v>0.8</v>
      </c>
      <c r="C1493" s="663">
        <v>1613</v>
      </c>
      <c r="D1493" s="663">
        <v>2.2999999999999998</v>
      </c>
      <c r="E1493" s="663">
        <v>0.21</v>
      </c>
    </row>
    <row r="1494" spans="1:10" s="21" customFormat="1" x14ac:dyDescent="0.2">
      <c r="A1494" s="670" t="s">
        <v>1502</v>
      </c>
      <c r="B1494" s="41">
        <v>0.8</v>
      </c>
      <c r="C1494" s="663">
        <v>1613</v>
      </c>
      <c r="D1494" s="663">
        <v>2.2999999999999998</v>
      </c>
      <c r="E1494" s="663">
        <v>0.21</v>
      </c>
    </row>
    <row r="1495" spans="1:10" s="21" customFormat="1" x14ac:dyDescent="0.2">
      <c r="A1495" s="670" t="s">
        <v>1508</v>
      </c>
      <c r="B1495" s="41">
        <v>0.8</v>
      </c>
      <c r="C1495" s="663">
        <v>1613</v>
      </c>
      <c r="D1495" s="663">
        <v>2.2999999999999998</v>
      </c>
      <c r="E1495" s="663">
        <v>0.21</v>
      </c>
    </row>
    <row r="1496" spans="1:10" s="21" customFormat="1" x14ac:dyDescent="0.2">
      <c r="A1496" s="37"/>
      <c r="B1496" s="819"/>
      <c r="C1496" s="672"/>
      <c r="D1496" s="672"/>
      <c r="E1496" s="672"/>
    </row>
    <row r="1498" spans="1:10" s="740" customFormat="1" x14ac:dyDescent="0.2">
      <c r="A1498" s="740" t="s">
        <v>1997</v>
      </c>
    </row>
    <row r="1499" spans="1:10" s="292" customFormat="1" x14ac:dyDescent="0.2">
      <c r="A1499" s="631"/>
      <c r="B1499" s="426" t="s">
        <v>1998</v>
      </c>
      <c r="C1499" s="1173" t="s">
        <v>1999</v>
      </c>
      <c r="D1499" s="371" t="s">
        <v>987</v>
      </c>
      <c r="E1499" s="426" t="s">
        <v>2000</v>
      </c>
      <c r="F1499" s="1173" t="s">
        <v>2001</v>
      </c>
      <c r="G1499" s="631"/>
      <c r="H1499" s="631" t="s">
        <v>2002</v>
      </c>
      <c r="I1499" s="426" t="s">
        <v>2002</v>
      </c>
      <c r="J1499" s="631" t="s">
        <v>2003</v>
      </c>
    </row>
    <row r="1500" spans="1:10" s="21" customFormat="1" x14ac:dyDescent="0.2">
      <c r="A1500" s="293" t="s">
        <v>1963</v>
      </c>
      <c r="B1500" s="371" t="s">
        <v>987</v>
      </c>
      <c r="C1500" s="371" t="s">
        <v>2004</v>
      </c>
      <c r="D1500" s="345" t="s">
        <v>62</v>
      </c>
      <c r="E1500" s="371" t="s">
        <v>2005</v>
      </c>
      <c r="F1500" s="371" t="s">
        <v>2006</v>
      </c>
      <c r="G1500" s="371" t="s">
        <v>103</v>
      </c>
      <c r="H1500" s="371" t="s">
        <v>79</v>
      </c>
      <c r="I1500" s="371" t="s">
        <v>80</v>
      </c>
      <c r="J1500" s="371" t="s">
        <v>2007</v>
      </c>
    </row>
    <row r="1501" spans="1:10" s="21" customFormat="1" x14ac:dyDescent="0.2">
      <c r="A1501" s="296" t="s">
        <v>57</v>
      </c>
      <c r="B1501" s="345" t="s">
        <v>2008</v>
      </c>
      <c r="C1501" s="345" t="s">
        <v>2009</v>
      </c>
      <c r="D1501" s="345" t="s">
        <v>136</v>
      </c>
      <c r="E1501" s="345" t="s">
        <v>2010</v>
      </c>
      <c r="F1501" s="345" t="s">
        <v>2011</v>
      </c>
      <c r="G1501" s="345" t="s">
        <v>62</v>
      </c>
      <c r="H1501" s="345" t="s">
        <v>62</v>
      </c>
      <c r="I1501" s="345" t="s">
        <v>62</v>
      </c>
      <c r="J1501" s="345" t="s">
        <v>62</v>
      </c>
    </row>
    <row r="1502" spans="1:10" s="21" customFormat="1" x14ac:dyDescent="0.2">
      <c r="A1502" s="63" t="s">
        <v>1487</v>
      </c>
      <c r="B1502" s="44">
        <v>92</v>
      </c>
      <c r="C1502" s="44">
        <f>45.1/100</f>
        <v>0.45100000000000001</v>
      </c>
      <c r="D1502" s="1678">
        <f>B1502*$C1502</f>
        <v>41.492000000000004</v>
      </c>
      <c r="E1502" s="44">
        <v>3.3</v>
      </c>
      <c r="F1502" s="44">
        <v>0.28999999999999998</v>
      </c>
      <c r="G1502" s="1678">
        <f>$D1502*$F1502</f>
        <v>12.032680000000001</v>
      </c>
      <c r="H1502" s="44">
        <v>0.7</v>
      </c>
      <c r="I1502" s="44">
        <v>10.7</v>
      </c>
      <c r="J1502" s="44">
        <v>22</v>
      </c>
    </row>
    <row r="1503" spans="1:10" s="21" customFormat="1" x14ac:dyDescent="0.2">
      <c r="A1503" s="20" t="s">
        <v>1488</v>
      </c>
      <c r="B1503" s="41">
        <v>192</v>
      </c>
      <c r="C1503" s="41">
        <f>45.1/100</f>
        <v>0.45100000000000001</v>
      </c>
      <c r="D1503" s="1679">
        <f>B1503*$C1503</f>
        <v>86.591999999999999</v>
      </c>
      <c r="E1503" s="41">
        <v>9.9</v>
      </c>
      <c r="F1503" s="41">
        <v>0.49</v>
      </c>
      <c r="G1503" s="1679">
        <f>$D1503*$F1503</f>
        <v>42.430079999999997</v>
      </c>
      <c r="H1503" s="41">
        <v>0.7</v>
      </c>
      <c r="I1503" s="41">
        <v>10.7</v>
      </c>
      <c r="J1503" s="41">
        <v>68</v>
      </c>
    </row>
    <row r="1504" spans="1:10" s="21" customFormat="1" x14ac:dyDescent="0.2">
      <c r="A1504" s="20" t="s">
        <v>1489</v>
      </c>
      <c r="B1504" s="41">
        <v>192</v>
      </c>
      <c r="C1504" s="41">
        <f>45.1/100</f>
        <v>0.45100000000000001</v>
      </c>
      <c r="D1504" s="1679">
        <f>B1504*$C1504</f>
        <v>86.591999999999999</v>
      </c>
      <c r="E1504" s="41">
        <v>9.9</v>
      </c>
      <c r="F1504" s="41">
        <v>0.49</v>
      </c>
      <c r="G1504" s="1679">
        <f>$D1504*$F1504</f>
        <v>42.430079999999997</v>
      </c>
      <c r="H1504" s="41">
        <v>0.7</v>
      </c>
      <c r="I1504" s="41">
        <v>10.7</v>
      </c>
      <c r="J1504" s="41">
        <v>49</v>
      </c>
    </row>
    <row r="1505" spans="1:25" s="21" customFormat="1" x14ac:dyDescent="0.2">
      <c r="A1505" s="20" t="s">
        <v>1485</v>
      </c>
      <c r="B1505" s="41">
        <v>75</v>
      </c>
      <c r="C1505" s="41">
        <f>45.1/100</f>
        <v>0.45100000000000001</v>
      </c>
      <c r="D1505" s="1679">
        <f>B1505*$C1505</f>
        <v>33.825000000000003</v>
      </c>
      <c r="E1505" s="41">
        <v>18.100000000000001</v>
      </c>
      <c r="F1505" s="41">
        <v>0.96</v>
      </c>
      <c r="G1505" s="1679">
        <f>$D1505*$F1505</f>
        <v>32.472000000000001</v>
      </c>
      <c r="H1505" s="41">
        <v>0.7</v>
      </c>
      <c r="I1505" s="41">
        <v>10.7</v>
      </c>
      <c r="J1505" s="41">
        <v>74</v>
      </c>
    </row>
    <row r="1506" spans="1:25" s="21" customFormat="1" x14ac:dyDescent="0.2">
      <c r="A1506" s="20" t="s">
        <v>1486</v>
      </c>
      <c r="B1506" s="41">
        <v>75</v>
      </c>
      <c r="C1506" s="41">
        <f>45.1/100</f>
        <v>0.45100000000000001</v>
      </c>
      <c r="D1506" s="1679">
        <f>B1506*$C1506</f>
        <v>33.825000000000003</v>
      </c>
      <c r="E1506" s="41">
        <v>18.100000000000001</v>
      </c>
      <c r="F1506" s="41">
        <v>0.96</v>
      </c>
      <c r="G1506" s="1679">
        <f>$D1506*$F1506</f>
        <v>32.472000000000001</v>
      </c>
      <c r="H1506" s="41">
        <v>0.7</v>
      </c>
      <c r="I1506" s="41">
        <v>10.7</v>
      </c>
      <c r="J1506" s="41">
        <v>135</v>
      </c>
    </row>
    <row r="1507" spans="1:25" s="21" customFormat="1" x14ac:dyDescent="0.2">
      <c r="A1507" s="20" t="s">
        <v>1491</v>
      </c>
      <c r="B1507" s="41">
        <v>0</v>
      </c>
      <c r="C1507" s="41">
        <v>0</v>
      </c>
      <c r="D1507" s="41">
        <v>0</v>
      </c>
      <c r="E1507" s="41">
        <v>0</v>
      </c>
      <c r="F1507" s="41">
        <v>0</v>
      </c>
      <c r="G1507" s="41">
        <v>0</v>
      </c>
      <c r="H1507" s="41">
        <v>0.7</v>
      </c>
      <c r="I1507" s="41">
        <v>10.7</v>
      </c>
      <c r="J1507" s="41">
        <v>116</v>
      </c>
    </row>
    <row r="1508" spans="1:25" s="21" customFormat="1" x14ac:dyDescent="0.2">
      <c r="A1508" s="20" t="s">
        <v>1490</v>
      </c>
      <c r="B1508" s="41">
        <v>0</v>
      </c>
      <c r="C1508" s="41">
        <v>0</v>
      </c>
      <c r="D1508" s="41">
        <v>0</v>
      </c>
      <c r="E1508" s="41">
        <v>0</v>
      </c>
      <c r="F1508" s="41">
        <v>0</v>
      </c>
      <c r="G1508" s="41">
        <v>0</v>
      </c>
      <c r="H1508" s="41">
        <v>0.7</v>
      </c>
      <c r="I1508" s="41">
        <v>10.7</v>
      </c>
      <c r="J1508" s="41">
        <v>116</v>
      </c>
    </row>
    <row r="1509" spans="1:25" s="21" customFormat="1" x14ac:dyDescent="0.2">
      <c r="A1509" s="20" t="s">
        <v>1483</v>
      </c>
      <c r="B1509" s="41">
        <v>0</v>
      </c>
      <c r="C1509" s="41">
        <v>0</v>
      </c>
      <c r="D1509" s="41">
        <v>0</v>
      </c>
      <c r="E1509" s="41">
        <v>0</v>
      </c>
      <c r="F1509" s="41">
        <v>0</v>
      </c>
      <c r="G1509" s="41">
        <v>0</v>
      </c>
      <c r="H1509" s="41">
        <v>0.7</v>
      </c>
      <c r="I1509" s="41">
        <v>10.7</v>
      </c>
      <c r="J1509" s="41">
        <v>87</v>
      </c>
    </row>
    <row r="1510" spans="1:25" s="21" customFormat="1" x14ac:dyDescent="0.2">
      <c r="A1510" s="20" t="s">
        <v>1484</v>
      </c>
      <c r="B1510" s="41">
        <v>0</v>
      </c>
      <c r="C1510" s="41">
        <v>0</v>
      </c>
      <c r="D1510" s="41">
        <v>0</v>
      </c>
      <c r="E1510" s="41">
        <v>0</v>
      </c>
      <c r="F1510" s="41">
        <v>0</v>
      </c>
      <c r="G1510" s="41">
        <v>0</v>
      </c>
      <c r="H1510" s="41">
        <v>0.7</v>
      </c>
      <c r="I1510" s="41">
        <v>10.7</v>
      </c>
      <c r="J1510" s="41">
        <v>128</v>
      </c>
    </row>
    <row r="1511" spans="1:25" s="21" customFormat="1" x14ac:dyDescent="0.2">
      <c r="A1511" s="37" t="s">
        <v>1359</v>
      </c>
      <c r="B1511" s="42">
        <v>0</v>
      </c>
      <c r="C1511" s="42">
        <v>0</v>
      </c>
      <c r="D1511" s="42">
        <v>0</v>
      </c>
      <c r="E1511" s="42">
        <v>0</v>
      </c>
      <c r="F1511" s="42">
        <v>0</v>
      </c>
      <c r="G1511" s="42">
        <v>0</v>
      </c>
      <c r="H1511" s="42">
        <v>0.7</v>
      </c>
      <c r="I1511" s="42">
        <v>10.7</v>
      </c>
      <c r="J1511" s="42">
        <v>82</v>
      </c>
    </row>
    <row r="1512" spans="1:25" s="21" customFormat="1" x14ac:dyDescent="0.2"/>
    <row r="1513" spans="1:25" s="284" customFormat="1" x14ac:dyDescent="0.2"/>
    <row r="1515" spans="1:25" s="773" customFormat="1" ht="22.25" customHeight="1" x14ac:dyDescent="0.2">
      <c r="A1515" s="770" t="s">
        <v>2012</v>
      </c>
      <c r="B1515" s="532"/>
      <c r="C1515" s="532"/>
      <c r="D1515" s="532"/>
      <c r="E1515" s="772"/>
      <c r="F1515" s="532"/>
      <c r="G1515" s="532"/>
      <c r="H1515" s="532"/>
      <c r="I1515" s="532"/>
      <c r="J1515" s="532"/>
      <c r="K1515" s="532"/>
      <c r="L1515" s="532"/>
      <c r="M1515" s="532"/>
      <c r="N1515" s="532"/>
      <c r="O1515" s="532"/>
      <c r="P1515" s="532"/>
      <c r="Q1515" s="533"/>
      <c r="R1515" s="533"/>
      <c r="S1515" s="533"/>
      <c r="T1515" s="533"/>
      <c r="U1515" s="533"/>
      <c r="V1515" s="533"/>
      <c r="W1515" s="533"/>
      <c r="X1515" s="533"/>
      <c r="Y1515" s="533"/>
    </row>
    <row r="1516" spans="1:25" x14ac:dyDescent="0.2">
      <c r="A1516" s="347"/>
      <c r="B1516" s="348"/>
      <c r="C1516" s="348"/>
      <c r="D1516" s="754" t="s">
        <v>1953</v>
      </c>
      <c r="E1516" s="531" t="s">
        <v>1953</v>
      </c>
      <c r="F1516" s="531" t="s">
        <v>1953</v>
      </c>
      <c r="G1516" s="531" t="s">
        <v>1954</v>
      </c>
      <c r="H1516" s="530"/>
      <c r="I1516" s="531" t="s">
        <v>2013</v>
      </c>
      <c r="J1516" s="531" t="s">
        <v>2014</v>
      </c>
      <c r="K1516" s="531" t="s">
        <v>2014</v>
      </c>
      <c r="L1516" s="531" t="s">
        <v>2014</v>
      </c>
      <c r="M1516" s="531" t="s">
        <v>2014</v>
      </c>
      <c r="N1516" s="531" t="s">
        <v>2014</v>
      </c>
      <c r="O1516" s="531" t="s">
        <v>2014</v>
      </c>
      <c r="P1516" s="531" t="s">
        <v>2014</v>
      </c>
      <c r="Q1516" s="531" t="s">
        <v>2014</v>
      </c>
      <c r="R1516" s="754" t="s">
        <v>1955</v>
      </c>
      <c r="S1516" s="754" t="s">
        <v>1879</v>
      </c>
      <c r="T1516" s="754" t="s">
        <v>1879</v>
      </c>
      <c r="U1516" s="754" t="s">
        <v>1879</v>
      </c>
      <c r="V1516" s="754" t="s">
        <v>1879</v>
      </c>
      <c r="W1516" s="754" t="s">
        <v>1879</v>
      </c>
      <c r="X1516" s="754" t="s">
        <v>1879</v>
      </c>
      <c r="Y1516" s="754" t="s">
        <v>1879</v>
      </c>
    </row>
    <row r="1517" spans="1:25" x14ac:dyDescent="0.2">
      <c r="A1517" s="347"/>
      <c r="B1517" s="347"/>
      <c r="C1517" s="347"/>
      <c r="D1517" s="378" t="s">
        <v>1382</v>
      </c>
      <c r="E1517" s="371" t="s">
        <v>1590</v>
      </c>
      <c r="F1517" s="371" t="s">
        <v>1384</v>
      </c>
      <c r="G1517" s="371" t="s">
        <v>1396</v>
      </c>
      <c r="H1517" s="371" t="s">
        <v>1401</v>
      </c>
      <c r="I1517" s="371" t="s">
        <v>1494</v>
      </c>
      <c r="J1517" s="371" t="s">
        <v>1352</v>
      </c>
      <c r="K1517" s="371" t="s">
        <v>1505</v>
      </c>
      <c r="L1517" s="508" t="s">
        <v>1407</v>
      </c>
      <c r="M1517" s="371" t="s">
        <v>1413</v>
      </c>
      <c r="N1517" s="508" t="s">
        <v>1417</v>
      </c>
      <c r="O1517" s="371" t="s">
        <v>1421</v>
      </c>
      <c r="P1517" s="508" t="s">
        <v>1424</v>
      </c>
      <c r="Q1517" s="508" t="s">
        <v>1427</v>
      </c>
      <c r="R1517" s="378" t="s">
        <v>1592</v>
      </c>
      <c r="S1517" s="378" t="s">
        <v>1497</v>
      </c>
      <c r="T1517" s="378" t="s">
        <v>1499</v>
      </c>
      <c r="U1517" s="378" t="s">
        <v>1501</v>
      </c>
      <c r="V1517" s="378" t="s">
        <v>1507</v>
      </c>
      <c r="W1517" s="378" t="s">
        <v>1510</v>
      </c>
      <c r="X1517" s="378" t="s">
        <v>1502</v>
      </c>
      <c r="Y1517" s="378" t="s">
        <v>1508</v>
      </c>
    </row>
    <row r="1518" spans="1:25" x14ac:dyDescent="0.2">
      <c r="A1518" s="347"/>
      <c r="B1518" s="347"/>
      <c r="C1518" s="347"/>
      <c r="D1518" s="378"/>
      <c r="E1518" s="378"/>
      <c r="F1518" s="533"/>
      <c r="G1518" s="533"/>
      <c r="H1518" s="533"/>
      <c r="I1518" s="533"/>
      <c r="J1518" s="378" t="s">
        <v>2015</v>
      </c>
      <c r="K1518" s="378" t="s">
        <v>2015</v>
      </c>
      <c r="L1518" s="378" t="s">
        <v>2015</v>
      </c>
      <c r="M1518" s="378" t="s">
        <v>2015</v>
      </c>
      <c r="N1518" s="378" t="s">
        <v>2015</v>
      </c>
      <c r="O1518" s="378" t="s">
        <v>2015</v>
      </c>
      <c r="P1518" s="378" t="s">
        <v>2015</v>
      </c>
      <c r="Q1518" s="378" t="s">
        <v>2015</v>
      </c>
      <c r="R1518" s="533"/>
      <c r="S1518" s="378" t="s">
        <v>2015</v>
      </c>
      <c r="T1518" s="378" t="s">
        <v>2015</v>
      </c>
      <c r="U1518" s="378" t="s">
        <v>2015</v>
      </c>
      <c r="V1518" s="378" t="s">
        <v>2015</v>
      </c>
      <c r="W1518" s="378" t="s">
        <v>2015</v>
      </c>
      <c r="X1518" s="378" t="s">
        <v>2015</v>
      </c>
      <c r="Y1518" s="378" t="s">
        <v>2015</v>
      </c>
    </row>
    <row r="1519" spans="1:25" ht="16" x14ac:dyDescent="0.2">
      <c r="A1519" s="771" t="s">
        <v>1822</v>
      </c>
      <c r="B1519" s="771" t="s">
        <v>1310</v>
      </c>
      <c r="C1519" s="771" t="s">
        <v>1880</v>
      </c>
      <c r="D1519" s="169" t="s">
        <v>2016</v>
      </c>
      <c r="E1519" s="169" t="s">
        <v>2016</v>
      </c>
      <c r="F1519" s="169" t="s">
        <v>2016</v>
      </c>
      <c r="G1519" s="169" t="s">
        <v>2016</v>
      </c>
      <c r="H1519" s="169" t="s">
        <v>2016</v>
      </c>
      <c r="I1519" s="169" t="s">
        <v>2016</v>
      </c>
      <c r="J1519" s="169" t="s">
        <v>2016</v>
      </c>
      <c r="K1519" s="169" t="s">
        <v>2016</v>
      </c>
      <c r="L1519" s="169" t="s">
        <v>2016</v>
      </c>
      <c r="M1519" s="169" t="s">
        <v>2016</v>
      </c>
      <c r="N1519" s="169" t="s">
        <v>2016</v>
      </c>
      <c r="O1519" s="169" t="s">
        <v>2016</v>
      </c>
      <c r="P1519" s="169" t="s">
        <v>2016</v>
      </c>
      <c r="Q1519" s="169" t="s">
        <v>2016</v>
      </c>
      <c r="R1519" s="169" t="s">
        <v>2016</v>
      </c>
      <c r="S1519" s="169" t="s">
        <v>2016</v>
      </c>
      <c r="T1519" s="169" t="s">
        <v>2016</v>
      </c>
      <c r="U1519" s="169" t="s">
        <v>2016</v>
      </c>
      <c r="V1519" s="169" t="s">
        <v>2016</v>
      </c>
      <c r="W1519" s="169" t="s">
        <v>2016</v>
      </c>
      <c r="X1519" s="169" t="s">
        <v>2016</v>
      </c>
      <c r="Y1519" s="169" t="s">
        <v>2016</v>
      </c>
    </row>
    <row r="1520" spans="1:25" x14ac:dyDescent="0.2">
      <c r="A1520" s="296" t="s">
        <v>57</v>
      </c>
      <c r="B1520" s="296" t="s">
        <v>57</v>
      </c>
      <c r="C1520" s="296" t="s">
        <v>1881</v>
      </c>
      <c r="D1520" s="378" t="s">
        <v>1382</v>
      </c>
      <c r="E1520" s="62" t="s">
        <v>1590</v>
      </c>
      <c r="F1520" s="371" t="s">
        <v>1384</v>
      </c>
      <c r="G1520" s="62" t="s">
        <v>1396</v>
      </c>
      <c r="H1520" s="371" t="s">
        <v>1401</v>
      </c>
      <c r="I1520" s="371" t="s">
        <v>1494</v>
      </c>
      <c r="J1520" s="371" t="s">
        <v>1352</v>
      </c>
      <c r="K1520" s="371" t="s">
        <v>1505</v>
      </c>
      <c r="L1520" s="54" t="s">
        <v>1407</v>
      </c>
      <c r="M1520" s="371" t="s">
        <v>1413</v>
      </c>
      <c r="N1520" s="54" t="s">
        <v>1417</v>
      </c>
      <c r="O1520" s="371" t="s">
        <v>1421</v>
      </c>
      <c r="P1520" s="371" t="s">
        <v>1424</v>
      </c>
      <c r="Q1520" s="371" t="s">
        <v>1427</v>
      </c>
      <c r="R1520" s="54" t="s">
        <v>1592</v>
      </c>
      <c r="S1520" s="54" t="s">
        <v>1497</v>
      </c>
      <c r="T1520" s="378" t="s">
        <v>1499</v>
      </c>
      <c r="U1520" s="378" t="s">
        <v>1501</v>
      </c>
      <c r="V1520" s="378" t="s">
        <v>1507</v>
      </c>
      <c r="W1520" s="378" t="s">
        <v>1510</v>
      </c>
      <c r="X1520" s="378" t="s">
        <v>1502</v>
      </c>
      <c r="Y1520" s="378" t="s">
        <v>1508</v>
      </c>
    </row>
    <row r="1521" spans="1:25" x14ac:dyDescent="0.2">
      <c r="A1521" s="63" t="s">
        <v>1483</v>
      </c>
      <c r="B1521" s="408" t="s">
        <v>1552</v>
      </c>
      <c r="C1521" s="63" t="str">
        <f>CONCATENATE(A1521,B1521)</f>
        <v>Cool Temperate DryEastern Africa</v>
      </c>
      <c r="D1521" s="569">
        <v>4.7</v>
      </c>
      <c r="E1521" s="569">
        <v>4.7</v>
      </c>
      <c r="F1521" s="569">
        <v>4.7</v>
      </c>
      <c r="G1521" s="566">
        <f>6.5*0.47</f>
        <v>3.0549999999999997</v>
      </c>
      <c r="H1521" s="729">
        <v>0</v>
      </c>
      <c r="I1521" s="755">
        <f>AVERAGE(J1521:Q1521)</f>
        <v>20.599999999999998</v>
      </c>
      <c r="J1521" s="591"/>
      <c r="K1521" s="584"/>
      <c r="L1521" s="583">
        <v>13.1</v>
      </c>
      <c r="M1521" s="756"/>
      <c r="N1521" s="756"/>
      <c r="O1521" s="756"/>
      <c r="P1521" s="583">
        <v>13.7</v>
      </c>
      <c r="Q1521" s="585">
        <v>35</v>
      </c>
      <c r="R1521" s="757">
        <v>1</v>
      </c>
      <c r="S1521" s="569">
        <v>6.9</v>
      </c>
      <c r="T1521" s="567">
        <v>6.4</v>
      </c>
      <c r="U1521" s="570">
        <v>6.35</v>
      </c>
      <c r="V1521" s="567">
        <v>18.3</v>
      </c>
      <c r="W1521" s="569">
        <v>2.8</v>
      </c>
      <c r="X1521" s="567"/>
      <c r="Y1521" s="567"/>
    </row>
    <row r="1522" spans="1:25" x14ac:dyDescent="0.2">
      <c r="A1522" s="20" t="s">
        <v>1483</v>
      </c>
      <c r="B1522" s="401" t="s">
        <v>1557</v>
      </c>
      <c r="C1522" s="20" t="str">
        <f t="shared" ref="C1522:C1536" si="161">CONCATENATE(A1522,B1522)</f>
        <v>Cool Temperate DryCentral Africa</v>
      </c>
      <c r="D1522" s="572">
        <v>4.7</v>
      </c>
      <c r="E1522" s="572">
        <v>4.7</v>
      </c>
      <c r="F1522" s="572">
        <v>4.7</v>
      </c>
      <c r="G1522" s="566">
        <f>6.5*0.47</f>
        <v>3.0549999999999997</v>
      </c>
      <c r="H1522" s="730">
        <v>0</v>
      </c>
      <c r="I1522" s="758">
        <f t="shared" ref="I1522:I1585" si="162">AVERAGE(J1522:Q1522)</f>
        <v>20.599999999999998</v>
      </c>
      <c r="J1522" s="588"/>
      <c r="K1522" s="574"/>
      <c r="L1522" s="564">
        <v>13.1</v>
      </c>
      <c r="M1522" s="759"/>
      <c r="N1522" s="759"/>
      <c r="O1522" s="759"/>
      <c r="P1522" s="564">
        <v>13.7</v>
      </c>
      <c r="Q1522" s="563">
        <v>35</v>
      </c>
      <c r="R1522" s="757">
        <v>1</v>
      </c>
      <c r="S1522" s="572">
        <v>6.9</v>
      </c>
      <c r="T1522" s="55">
        <v>6.4</v>
      </c>
      <c r="U1522" s="573">
        <v>6.35</v>
      </c>
      <c r="V1522" s="55">
        <v>18.3</v>
      </c>
      <c r="W1522" s="572">
        <v>2.8</v>
      </c>
      <c r="X1522" s="55"/>
      <c r="Y1522" s="55"/>
    </row>
    <row r="1523" spans="1:25" x14ac:dyDescent="0.2">
      <c r="A1523" s="20" t="s">
        <v>1483</v>
      </c>
      <c r="B1523" s="401" t="s">
        <v>1559</v>
      </c>
      <c r="C1523" s="20" t="str">
        <f t="shared" si="161"/>
        <v>Cool Temperate DryNorthern Africa</v>
      </c>
      <c r="D1523" s="572">
        <v>4.7</v>
      </c>
      <c r="E1523" s="572">
        <v>4.7</v>
      </c>
      <c r="F1523" s="572">
        <v>4.7</v>
      </c>
      <c r="G1523" s="566">
        <f>6.5*0.47</f>
        <v>3.0549999999999997</v>
      </c>
      <c r="H1523" s="730">
        <v>0</v>
      </c>
      <c r="I1523" s="758">
        <f t="shared" si="162"/>
        <v>20.599999999999998</v>
      </c>
      <c r="J1523" s="588"/>
      <c r="K1523" s="574"/>
      <c r="L1523" s="564">
        <v>13.1</v>
      </c>
      <c r="M1523" s="759"/>
      <c r="N1523" s="759"/>
      <c r="O1523" s="759"/>
      <c r="P1523" s="564">
        <v>13.7</v>
      </c>
      <c r="Q1523" s="563">
        <v>35</v>
      </c>
      <c r="R1523" s="757">
        <v>1</v>
      </c>
      <c r="S1523" s="572">
        <v>6.9</v>
      </c>
      <c r="T1523" s="55">
        <v>6.4</v>
      </c>
      <c r="U1523" s="573">
        <v>6.35</v>
      </c>
      <c r="V1523" s="55">
        <v>18.3</v>
      </c>
      <c r="W1523" s="572">
        <v>2.8</v>
      </c>
      <c r="X1523" s="55"/>
      <c r="Y1523" s="55"/>
    </row>
    <row r="1524" spans="1:25" x14ac:dyDescent="0.2">
      <c r="A1524" s="20" t="s">
        <v>1483</v>
      </c>
      <c r="B1524" s="401" t="s">
        <v>1565</v>
      </c>
      <c r="C1524" s="20" t="str">
        <f t="shared" si="161"/>
        <v>Cool Temperate DrySouthern Africa</v>
      </c>
      <c r="D1524" s="572">
        <v>4.7</v>
      </c>
      <c r="E1524" s="572">
        <v>4.7</v>
      </c>
      <c r="F1524" s="572">
        <v>4.7</v>
      </c>
      <c r="G1524" s="566">
        <f>6.5*0.47</f>
        <v>3.0549999999999997</v>
      </c>
      <c r="H1524" s="730">
        <v>0</v>
      </c>
      <c r="I1524" s="758">
        <f t="shared" si="162"/>
        <v>20.599999999999998</v>
      </c>
      <c r="J1524" s="588"/>
      <c r="K1524" s="574"/>
      <c r="L1524" s="564">
        <v>13.1</v>
      </c>
      <c r="M1524" s="759"/>
      <c r="N1524" s="759"/>
      <c r="O1524" s="759"/>
      <c r="P1524" s="564">
        <v>13.7</v>
      </c>
      <c r="Q1524" s="563">
        <v>35</v>
      </c>
      <c r="R1524" s="757">
        <v>1</v>
      </c>
      <c r="S1524" s="572">
        <v>6.9</v>
      </c>
      <c r="T1524" s="55">
        <v>6.4</v>
      </c>
      <c r="U1524" s="573">
        <v>6.35</v>
      </c>
      <c r="V1524" s="55">
        <v>18.3</v>
      </c>
      <c r="W1524" s="572">
        <v>2.8</v>
      </c>
      <c r="X1524" s="55"/>
      <c r="Y1524" s="55"/>
    </row>
    <row r="1525" spans="1:25" x14ac:dyDescent="0.2">
      <c r="A1525" s="20" t="s">
        <v>1483</v>
      </c>
      <c r="B1525" s="401" t="s">
        <v>1569</v>
      </c>
      <c r="C1525" s="20" t="str">
        <f t="shared" si="161"/>
        <v>Cool Temperate DryWestern Africa</v>
      </c>
      <c r="D1525" s="572">
        <v>4.7</v>
      </c>
      <c r="E1525" s="572">
        <v>4.7</v>
      </c>
      <c r="F1525" s="572">
        <v>4.7</v>
      </c>
      <c r="G1525" s="566">
        <f t="shared" ref="G1525:G1536" si="163">6.5*0.47</f>
        <v>3.0549999999999997</v>
      </c>
      <c r="H1525" s="730">
        <v>0</v>
      </c>
      <c r="I1525" s="758">
        <f t="shared" si="162"/>
        <v>20.599999999999998</v>
      </c>
      <c r="J1525" s="588"/>
      <c r="K1525" s="574"/>
      <c r="L1525" s="564">
        <v>13.1</v>
      </c>
      <c r="M1525" s="759"/>
      <c r="N1525" s="759"/>
      <c r="O1525" s="759"/>
      <c r="P1525" s="564">
        <v>13.7</v>
      </c>
      <c r="Q1525" s="563">
        <v>35</v>
      </c>
      <c r="R1525" s="757">
        <v>1</v>
      </c>
      <c r="S1525" s="572">
        <v>6.9</v>
      </c>
      <c r="T1525" s="55">
        <v>6.4</v>
      </c>
      <c r="U1525" s="573">
        <v>6.35</v>
      </c>
      <c r="V1525" s="55">
        <v>18.3</v>
      </c>
      <c r="W1525" s="572">
        <v>2.8</v>
      </c>
      <c r="X1525" s="55"/>
      <c r="Y1525" s="55"/>
    </row>
    <row r="1526" spans="1:25" x14ac:dyDescent="0.2">
      <c r="A1526" s="20" t="s">
        <v>1483</v>
      </c>
      <c r="B1526" s="401" t="s">
        <v>1550</v>
      </c>
      <c r="C1526" s="20" t="str">
        <f t="shared" si="161"/>
        <v>Cool Temperate DryCentral Asia</v>
      </c>
      <c r="D1526" s="572">
        <v>4.7</v>
      </c>
      <c r="E1526" s="572">
        <v>4.7</v>
      </c>
      <c r="F1526" s="572">
        <v>4.7</v>
      </c>
      <c r="G1526" s="566">
        <f t="shared" si="163"/>
        <v>3.0549999999999997</v>
      </c>
      <c r="H1526" s="730">
        <v>0</v>
      </c>
      <c r="I1526" s="758">
        <f t="shared" si="162"/>
        <v>20.599999999999998</v>
      </c>
      <c r="J1526" s="588"/>
      <c r="K1526" s="574"/>
      <c r="L1526" s="564">
        <v>13.1</v>
      </c>
      <c r="M1526" s="759"/>
      <c r="N1526" s="759"/>
      <c r="O1526" s="759"/>
      <c r="P1526" s="564">
        <v>13.7</v>
      </c>
      <c r="Q1526" s="563">
        <v>35</v>
      </c>
      <c r="R1526" s="757">
        <v>1</v>
      </c>
      <c r="S1526" s="572">
        <v>6.9</v>
      </c>
      <c r="T1526" s="55">
        <v>6.4</v>
      </c>
      <c r="U1526" s="573">
        <v>6.35</v>
      </c>
      <c r="V1526" s="55">
        <v>18.3</v>
      </c>
      <c r="W1526" s="572">
        <v>2.8</v>
      </c>
      <c r="X1526" s="55"/>
      <c r="Y1526" s="55"/>
    </row>
    <row r="1527" spans="1:25" x14ac:dyDescent="0.2">
      <c r="A1527" s="20" t="s">
        <v>1483</v>
      </c>
      <c r="B1527" s="401" t="s">
        <v>1554</v>
      </c>
      <c r="C1527" s="20" t="str">
        <f t="shared" si="161"/>
        <v>Cool Temperate DryEastern Asia</v>
      </c>
      <c r="D1527" s="572">
        <v>4.7</v>
      </c>
      <c r="E1527" s="572">
        <v>4.7</v>
      </c>
      <c r="F1527" s="572">
        <v>4.7</v>
      </c>
      <c r="G1527" s="566">
        <f t="shared" si="163"/>
        <v>3.0549999999999997</v>
      </c>
      <c r="H1527" s="730">
        <v>0</v>
      </c>
      <c r="I1527" s="758">
        <f t="shared" si="162"/>
        <v>20.599999999999998</v>
      </c>
      <c r="J1527" s="588"/>
      <c r="K1527" s="574"/>
      <c r="L1527" s="564">
        <v>13.1</v>
      </c>
      <c r="M1527" s="759"/>
      <c r="N1527" s="759"/>
      <c r="O1527" s="759"/>
      <c r="P1527" s="564">
        <v>13.7</v>
      </c>
      <c r="Q1527" s="563">
        <v>35</v>
      </c>
      <c r="R1527" s="757">
        <v>1</v>
      </c>
      <c r="S1527" s="572">
        <v>6.9</v>
      </c>
      <c r="T1527" s="55">
        <v>6.4</v>
      </c>
      <c r="U1527" s="573">
        <v>6.35</v>
      </c>
      <c r="V1527" s="55">
        <v>18.3</v>
      </c>
      <c r="W1527" s="572">
        <v>2.8</v>
      </c>
      <c r="X1527" s="55"/>
      <c r="Y1527" s="55"/>
    </row>
    <row r="1528" spans="1:25" x14ac:dyDescent="0.2">
      <c r="A1528" s="20" t="s">
        <v>1483</v>
      </c>
      <c r="B1528" s="401" t="s">
        <v>1563</v>
      </c>
      <c r="C1528" s="20" t="str">
        <f t="shared" si="161"/>
        <v>Cool Temperate DrySouth-eastern Asia</v>
      </c>
      <c r="D1528" s="572">
        <v>4.7</v>
      </c>
      <c r="E1528" s="572">
        <v>4.7</v>
      </c>
      <c r="F1528" s="572">
        <v>4.7</v>
      </c>
      <c r="G1528" s="566">
        <f t="shared" si="163"/>
        <v>3.0549999999999997</v>
      </c>
      <c r="H1528" s="730">
        <v>0</v>
      </c>
      <c r="I1528" s="758">
        <f t="shared" si="162"/>
        <v>20.599999999999998</v>
      </c>
      <c r="J1528" s="588"/>
      <c r="K1528" s="574"/>
      <c r="L1528" s="564">
        <v>13.1</v>
      </c>
      <c r="M1528" s="759"/>
      <c r="N1528" s="759"/>
      <c r="O1528" s="759"/>
      <c r="P1528" s="564">
        <v>13.7</v>
      </c>
      <c r="Q1528" s="563">
        <v>35</v>
      </c>
      <c r="R1528" s="757">
        <v>1</v>
      </c>
      <c r="S1528" s="572">
        <v>6.9</v>
      </c>
      <c r="T1528" s="55">
        <v>6.4</v>
      </c>
      <c r="U1528" s="573">
        <v>6.35</v>
      </c>
      <c r="V1528" s="55">
        <v>18.3</v>
      </c>
      <c r="W1528" s="572">
        <v>2.8</v>
      </c>
      <c r="X1528" s="55"/>
      <c r="Y1528" s="55"/>
    </row>
    <row r="1529" spans="1:25" x14ac:dyDescent="0.2">
      <c r="A1529" s="20" t="s">
        <v>1483</v>
      </c>
      <c r="B1529" s="401" t="s">
        <v>1567</v>
      </c>
      <c r="C1529" s="20" t="str">
        <f t="shared" si="161"/>
        <v>Cool Temperate DrySouthern Asia</v>
      </c>
      <c r="D1529" s="572">
        <v>4.7</v>
      </c>
      <c r="E1529" s="572">
        <v>4.7</v>
      </c>
      <c r="F1529" s="572">
        <v>4.7</v>
      </c>
      <c r="G1529" s="566">
        <f t="shared" si="163"/>
        <v>3.0549999999999997</v>
      </c>
      <c r="H1529" s="730">
        <v>0</v>
      </c>
      <c r="I1529" s="758">
        <f t="shared" si="162"/>
        <v>20.599999999999998</v>
      </c>
      <c r="J1529" s="588"/>
      <c r="K1529" s="574"/>
      <c r="L1529" s="564">
        <v>13.1</v>
      </c>
      <c r="M1529" s="759"/>
      <c r="N1529" s="759"/>
      <c r="O1529" s="759"/>
      <c r="P1529" s="564">
        <v>13.7</v>
      </c>
      <c r="Q1529" s="563">
        <v>35</v>
      </c>
      <c r="R1529" s="757">
        <v>1</v>
      </c>
      <c r="S1529" s="572">
        <v>6.9</v>
      </c>
      <c r="T1529" s="55">
        <v>6.4</v>
      </c>
      <c r="U1529" s="573">
        <v>6.35</v>
      </c>
      <c r="V1529" s="55">
        <v>18.3</v>
      </c>
      <c r="W1529" s="572">
        <v>2.8</v>
      </c>
      <c r="X1529" s="55"/>
      <c r="Y1529" s="55"/>
    </row>
    <row r="1530" spans="1:25" x14ac:dyDescent="0.2">
      <c r="A1530" s="20" t="s">
        <v>1483</v>
      </c>
      <c r="B1530" s="401" t="s">
        <v>1571</v>
      </c>
      <c r="C1530" s="20" t="str">
        <f t="shared" si="161"/>
        <v>Cool Temperate DryWestern Asia</v>
      </c>
      <c r="D1530" s="572">
        <v>4.7</v>
      </c>
      <c r="E1530" s="572">
        <v>4.7</v>
      </c>
      <c r="F1530" s="572">
        <v>4.7</v>
      </c>
      <c r="G1530" s="566">
        <f t="shared" si="163"/>
        <v>3.0549999999999997</v>
      </c>
      <c r="H1530" s="730">
        <v>0</v>
      </c>
      <c r="I1530" s="758">
        <f t="shared" si="162"/>
        <v>20.599999999999998</v>
      </c>
      <c r="J1530" s="588"/>
      <c r="K1530" s="574"/>
      <c r="L1530" s="564">
        <v>13.1</v>
      </c>
      <c r="M1530" s="759"/>
      <c r="N1530" s="759"/>
      <c r="O1530" s="759"/>
      <c r="P1530" s="564">
        <v>13.7</v>
      </c>
      <c r="Q1530" s="563">
        <v>35</v>
      </c>
      <c r="R1530" s="757">
        <v>1</v>
      </c>
      <c r="S1530" s="572">
        <v>6.9</v>
      </c>
      <c r="T1530" s="55">
        <v>6.4</v>
      </c>
      <c r="U1530" s="573">
        <v>6.35</v>
      </c>
      <c r="V1530" s="55">
        <v>18.3</v>
      </c>
      <c r="W1530" s="572">
        <v>2.8</v>
      </c>
      <c r="X1530" s="55"/>
      <c r="Y1530" s="55"/>
    </row>
    <row r="1531" spans="1:25" x14ac:dyDescent="0.2">
      <c r="A1531" s="20" t="s">
        <v>1483</v>
      </c>
      <c r="B1531" s="401" t="s">
        <v>1555</v>
      </c>
      <c r="C1531" s="20" t="str">
        <f t="shared" si="161"/>
        <v>Cool Temperate DryEurope</v>
      </c>
      <c r="D1531" s="572">
        <v>4.7</v>
      </c>
      <c r="E1531" s="572">
        <v>4.7</v>
      </c>
      <c r="F1531" s="572">
        <v>4.7</v>
      </c>
      <c r="G1531" s="566">
        <f t="shared" si="163"/>
        <v>3.0549999999999997</v>
      </c>
      <c r="H1531" s="730">
        <v>0</v>
      </c>
      <c r="I1531" s="758">
        <f t="shared" si="162"/>
        <v>20.599999999999998</v>
      </c>
      <c r="J1531" s="588"/>
      <c r="K1531" s="574"/>
      <c r="L1531" s="564">
        <v>13.1</v>
      </c>
      <c r="M1531" s="759"/>
      <c r="N1531" s="759"/>
      <c r="O1531" s="759"/>
      <c r="P1531" s="564">
        <v>13.7</v>
      </c>
      <c r="Q1531" s="563">
        <v>35</v>
      </c>
      <c r="R1531" s="757">
        <v>1</v>
      </c>
      <c r="S1531" s="572">
        <v>6.9</v>
      </c>
      <c r="T1531" s="55">
        <v>6.4</v>
      </c>
      <c r="U1531" s="573">
        <v>6.35</v>
      </c>
      <c r="V1531" s="55">
        <v>18.3</v>
      </c>
      <c r="W1531" s="572">
        <v>2.8</v>
      </c>
      <c r="X1531" s="55"/>
      <c r="Y1531" s="55"/>
    </row>
    <row r="1532" spans="1:25" x14ac:dyDescent="0.2">
      <c r="A1532" s="20" t="s">
        <v>1483</v>
      </c>
      <c r="B1532" s="401" t="s">
        <v>1346</v>
      </c>
      <c r="C1532" s="20" t="str">
        <f t="shared" si="161"/>
        <v>Cool Temperate DryOceania</v>
      </c>
      <c r="D1532" s="572">
        <v>4.7</v>
      </c>
      <c r="E1532" s="572">
        <v>4.7</v>
      </c>
      <c r="F1532" s="572">
        <v>4.7</v>
      </c>
      <c r="G1532" s="566">
        <f t="shared" si="163"/>
        <v>3.0549999999999997</v>
      </c>
      <c r="H1532" s="730">
        <v>0</v>
      </c>
      <c r="I1532" s="758">
        <f t="shared" si="162"/>
        <v>20.599999999999998</v>
      </c>
      <c r="J1532" s="588"/>
      <c r="K1532" s="574"/>
      <c r="L1532" s="564">
        <v>13.1</v>
      </c>
      <c r="M1532" s="759"/>
      <c r="N1532" s="759"/>
      <c r="O1532" s="759"/>
      <c r="P1532" s="564">
        <v>13.7</v>
      </c>
      <c r="Q1532" s="563">
        <v>35</v>
      </c>
      <c r="R1532" s="757">
        <v>1</v>
      </c>
      <c r="S1532" s="572">
        <v>6.9</v>
      </c>
      <c r="T1532" s="55">
        <v>6.4</v>
      </c>
      <c r="U1532" s="573">
        <v>6.35</v>
      </c>
      <c r="V1532" s="55">
        <v>18.3</v>
      </c>
      <c r="W1532" s="572">
        <v>2.8</v>
      </c>
      <c r="X1532" s="55"/>
      <c r="Y1532" s="55"/>
    </row>
    <row r="1533" spans="1:25" x14ac:dyDescent="0.2">
      <c r="A1533" s="20" t="s">
        <v>1483</v>
      </c>
      <c r="B1533" s="401" t="s">
        <v>1343</v>
      </c>
      <c r="C1533" s="20" t="str">
        <f t="shared" si="161"/>
        <v>Cool Temperate DryNorth America</v>
      </c>
      <c r="D1533" s="572">
        <v>4.7</v>
      </c>
      <c r="E1533" s="572">
        <v>4.7</v>
      </c>
      <c r="F1533" s="572">
        <v>4.7</v>
      </c>
      <c r="G1533" s="566">
        <f t="shared" si="163"/>
        <v>3.0549999999999997</v>
      </c>
      <c r="H1533" s="730">
        <v>0</v>
      </c>
      <c r="I1533" s="758">
        <f t="shared" si="162"/>
        <v>20.599999999999998</v>
      </c>
      <c r="J1533" s="588"/>
      <c r="K1533" s="574"/>
      <c r="L1533" s="564">
        <v>13.1</v>
      </c>
      <c r="M1533" s="759"/>
      <c r="N1533" s="759"/>
      <c r="O1533" s="759"/>
      <c r="P1533" s="564">
        <v>13.7</v>
      </c>
      <c r="Q1533" s="563">
        <v>35</v>
      </c>
      <c r="R1533" s="757">
        <v>1</v>
      </c>
      <c r="S1533" s="572">
        <v>6.9</v>
      </c>
      <c r="T1533" s="55">
        <v>6.4</v>
      </c>
      <c r="U1533" s="573">
        <v>6.35</v>
      </c>
      <c r="V1533" s="55">
        <v>18.3</v>
      </c>
      <c r="W1533" s="572">
        <v>2.8</v>
      </c>
      <c r="X1533" s="55"/>
      <c r="Y1533" s="55"/>
    </row>
    <row r="1534" spans="1:25" x14ac:dyDescent="0.2">
      <c r="A1534" s="20" t="s">
        <v>1483</v>
      </c>
      <c r="B1534" s="401" t="s">
        <v>1349</v>
      </c>
      <c r="C1534" s="20" t="str">
        <f t="shared" si="161"/>
        <v>Cool Temperate DrySouth America</v>
      </c>
      <c r="D1534" s="572">
        <v>4.7</v>
      </c>
      <c r="E1534" s="572">
        <v>4.7</v>
      </c>
      <c r="F1534" s="572">
        <v>4.7</v>
      </c>
      <c r="G1534" s="566">
        <f t="shared" si="163"/>
        <v>3.0549999999999997</v>
      </c>
      <c r="H1534" s="730">
        <v>0</v>
      </c>
      <c r="I1534" s="758">
        <f t="shared" si="162"/>
        <v>20.599999999999998</v>
      </c>
      <c r="J1534" s="588"/>
      <c r="K1534" s="574"/>
      <c r="L1534" s="564">
        <v>13.1</v>
      </c>
      <c r="M1534" s="759"/>
      <c r="N1534" s="759"/>
      <c r="O1534" s="759"/>
      <c r="P1534" s="564">
        <v>13.7</v>
      </c>
      <c r="Q1534" s="563">
        <v>35</v>
      </c>
      <c r="R1534" s="757">
        <v>1</v>
      </c>
      <c r="S1534" s="572">
        <v>6.9</v>
      </c>
      <c r="T1534" s="55">
        <v>6.4</v>
      </c>
      <c r="U1534" s="573">
        <v>6.35</v>
      </c>
      <c r="V1534" s="55">
        <v>18.3</v>
      </c>
      <c r="W1534" s="572">
        <v>2.8</v>
      </c>
      <c r="X1534" s="55"/>
      <c r="Y1534" s="55"/>
    </row>
    <row r="1535" spans="1:25" x14ac:dyDescent="0.2">
      <c r="A1535" s="20" t="s">
        <v>1483</v>
      </c>
      <c r="B1535" s="401" t="s">
        <v>1333</v>
      </c>
      <c r="C1535" s="20" t="str">
        <f t="shared" si="161"/>
        <v>Cool Temperate DryCentral America</v>
      </c>
      <c r="D1535" s="572">
        <v>4.7</v>
      </c>
      <c r="E1535" s="572">
        <v>4.7</v>
      </c>
      <c r="F1535" s="572">
        <v>4.7</v>
      </c>
      <c r="G1535" s="566">
        <f t="shared" si="163"/>
        <v>3.0549999999999997</v>
      </c>
      <c r="H1535" s="730">
        <v>0</v>
      </c>
      <c r="I1535" s="758">
        <f t="shared" si="162"/>
        <v>20.599999999999998</v>
      </c>
      <c r="J1535" s="588"/>
      <c r="K1535" s="574"/>
      <c r="L1535" s="564">
        <v>13.1</v>
      </c>
      <c r="M1535" s="759"/>
      <c r="N1535" s="759"/>
      <c r="O1535" s="759"/>
      <c r="P1535" s="564">
        <v>13.7</v>
      </c>
      <c r="Q1535" s="563">
        <v>35</v>
      </c>
      <c r="R1535" s="757">
        <v>1</v>
      </c>
      <c r="S1535" s="572">
        <v>6.9</v>
      </c>
      <c r="T1535" s="55">
        <v>6.4</v>
      </c>
      <c r="U1535" s="573">
        <v>6.35</v>
      </c>
      <c r="V1535" s="55">
        <v>18.3</v>
      </c>
      <c r="W1535" s="572">
        <v>2.8</v>
      </c>
      <c r="X1535" s="55"/>
      <c r="Y1535" s="55"/>
    </row>
    <row r="1536" spans="1:25" x14ac:dyDescent="0.2">
      <c r="A1536" s="37" t="s">
        <v>1483</v>
      </c>
      <c r="B1536" s="402" t="s">
        <v>1547</v>
      </c>
      <c r="C1536" s="37" t="str">
        <f t="shared" si="161"/>
        <v>Cool Temperate DryCaribbean</v>
      </c>
      <c r="D1536" s="420">
        <v>4.7</v>
      </c>
      <c r="E1536" s="420">
        <v>4.7</v>
      </c>
      <c r="F1536" s="420">
        <v>4.7</v>
      </c>
      <c r="G1536" s="566">
        <f t="shared" si="163"/>
        <v>3.0549999999999997</v>
      </c>
      <c r="H1536" s="731">
        <v>0</v>
      </c>
      <c r="I1536" s="760">
        <f t="shared" si="162"/>
        <v>20.599999999999998</v>
      </c>
      <c r="J1536" s="588"/>
      <c r="K1536" s="574"/>
      <c r="L1536" s="577">
        <v>13.1</v>
      </c>
      <c r="M1536" s="761"/>
      <c r="N1536" s="761"/>
      <c r="O1536" s="761"/>
      <c r="P1536" s="577">
        <v>13.7</v>
      </c>
      <c r="Q1536" s="576">
        <v>35</v>
      </c>
      <c r="R1536" s="757">
        <v>1</v>
      </c>
      <c r="S1536" s="420">
        <v>6.9</v>
      </c>
      <c r="T1536" s="579">
        <v>6.4</v>
      </c>
      <c r="U1536" s="581">
        <v>6.35</v>
      </c>
      <c r="V1536" s="579">
        <v>18.3</v>
      </c>
      <c r="W1536" s="420">
        <v>2.8</v>
      </c>
      <c r="X1536" s="55"/>
      <c r="Y1536" s="55"/>
    </row>
    <row r="1537" spans="1:25" x14ac:dyDescent="0.2">
      <c r="A1537" s="63" t="s">
        <v>1484</v>
      </c>
      <c r="B1537" s="413" t="s">
        <v>1552</v>
      </c>
      <c r="C1537" s="63" t="str">
        <f>CONCATENATE(A1537,B1537)</f>
        <v>Cool Temperate MoistEastern Africa</v>
      </c>
      <c r="D1537" s="569">
        <v>4.7</v>
      </c>
      <c r="E1537" s="569">
        <v>4.7</v>
      </c>
      <c r="F1537" s="569">
        <v>4.7</v>
      </c>
      <c r="G1537" s="582">
        <f>13.6*0.47</f>
        <v>6.3919999999999995</v>
      </c>
      <c r="H1537" s="729">
        <v>0</v>
      </c>
      <c r="I1537" s="755">
        <f t="shared" si="162"/>
        <v>20.599999999999998</v>
      </c>
      <c r="J1537" s="591"/>
      <c r="K1537" s="584"/>
      <c r="L1537" s="583">
        <v>13.1</v>
      </c>
      <c r="M1537" s="756"/>
      <c r="N1537" s="756"/>
      <c r="O1537" s="756"/>
      <c r="P1537" s="583">
        <v>13.7</v>
      </c>
      <c r="Q1537" s="585">
        <v>35</v>
      </c>
      <c r="R1537" s="757">
        <v>1</v>
      </c>
      <c r="S1537" s="569">
        <v>6.9</v>
      </c>
      <c r="T1537" s="567">
        <v>6.4</v>
      </c>
      <c r="U1537" s="570">
        <v>6.35</v>
      </c>
      <c r="V1537" s="567">
        <v>18.3</v>
      </c>
      <c r="W1537" s="569">
        <v>2.8</v>
      </c>
      <c r="X1537" s="567"/>
      <c r="Y1537" s="567"/>
    </row>
    <row r="1538" spans="1:25" x14ac:dyDescent="0.2">
      <c r="A1538" s="20" t="s">
        <v>1484</v>
      </c>
      <c r="B1538" s="403" t="s">
        <v>1557</v>
      </c>
      <c r="C1538" s="20" t="str">
        <f t="shared" ref="C1538:C1568" si="164">CONCATENATE(A1538,B1538)</f>
        <v>Cool Temperate MoistCentral Africa</v>
      </c>
      <c r="D1538" s="572">
        <v>4.7</v>
      </c>
      <c r="E1538" s="572">
        <v>4.7</v>
      </c>
      <c r="F1538" s="572">
        <v>4.7</v>
      </c>
      <c r="G1538" s="565">
        <f>13.6*0.47</f>
        <v>6.3919999999999995</v>
      </c>
      <c r="H1538" s="730">
        <v>0</v>
      </c>
      <c r="I1538" s="758">
        <f>AVERAGE(J1538:Q1538)</f>
        <v>20.599999999999998</v>
      </c>
      <c r="J1538" s="588"/>
      <c r="K1538" s="574"/>
      <c r="L1538" s="564">
        <v>13.1</v>
      </c>
      <c r="M1538" s="759"/>
      <c r="N1538" s="759"/>
      <c r="O1538" s="759"/>
      <c r="P1538" s="564">
        <v>13.7</v>
      </c>
      <c r="Q1538" s="563">
        <v>35</v>
      </c>
      <c r="R1538" s="757">
        <v>1</v>
      </c>
      <c r="S1538" s="572">
        <v>6.9</v>
      </c>
      <c r="T1538" s="55">
        <v>6.4</v>
      </c>
      <c r="U1538" s="573">
        <v>6.35</v>
      </c>
      <c r="V1538" s="55">
        <v>18.3</v>
      </c>
      <c r="W1538" s="572">
        <v>2.8</v>
      </c>
      <c r="X1538" s="55"/>
      <c r="Y1538" s="55"/>
    </row>
    <row r="1539" spans="1:25" x14ac:dyDescent="0.2">
      <c r="A1539" s="20" t="s">
        <v>1484</v>
      </c>
      <c r="B1539" s="403" t="s">
        <v>1559</v>
      </c>
      <c r="C1539" s="20" t="str">
        <f t="shared" si="164"/>
        <v>Cool Temperate MoistNorthern Africa</v>
      </c>
      <c r="D1539" s="572">
        <v>4.7</v>
      </c>
      <c r="E1539" s="572">
        <v>4.7</v>
      </c>
      <c r="F1539" s="572">
        <v>4.7</v>
      </c>
      <c r="G1539" s="565">
        <f t="shared" ref="G1539:G1552" si="165">13.6*0.47</f>
        <v>6.3919999999999995</v>
      </c>
      <c r="H1539" s="730">
        <v>0</v>
      </c>
      <c r="I1539" s="758">
        <f t="shared" si="162"/>
        <v>20.599999999999998</v>
      </c>
      <c r="J1539" s="588"/>
      <c r="K1539" s="574"/>
      <c r="L1539" s="564">
        <v>13.1</v>
      </c>
      <c r="M1539" s="759"/>
      <c r="N1539" s="759"/>
      <c r="O1539" s="759"/>
      <c r="P1539" s="564">
        <v>13.7</v>
      </c>
      <c r="Q1539" s="563">
        <v>35</v>
      </c>
      <c r="R1539" s="757">
        <v>1</v>
      </c>
      <c r="S1539" s="572">
        <v>6.9</v>
      </c>
      <c r="T1539" s="55">
        <v>6.4</v>
      </c>
      <c r="U1539" s="573">
        <v>6.35</v>
      </c>
      <c r="V1539" s="55">
        <v>18.3</v>
      </c>
      <c r="W1539" s="572">
        <v>2.8</v>
      </c>
      <c r="X1539" s="55"/>
      <c r="Y1539" s="55"/>
    </row>
    <row r="1540" spans="1:25" x14ac:dyDescent="0.2">
      <c r="A1540" s="20" t="s">
        <v>1484</v>
      </c>
      <c r="B1540" s="403" t="s">
        <v>1565</v>
      </c>
      <c r="C1540" s="20" t="str">
        <f t="shared" si="164"/>
        <v>Cool Temperate MoistSouthern Africa</v>
      </c>
      <c r="D1540" s="572">
        <v>4.7</v>
      </c>
      <c r="E1540" s="572">
        <v>4.7</v>
      </c>
      <c r="F1540" s="572">
        <v>4.7</v>
      </c>
      <c r="G1540" s="565">
        <f t="shared" si="165"/>
        <v>6.3919999999999995</v>
      </c>
      <c r="H1540" s="730">
        <v>0</v>
      </c>
      <c r="I1540" s="758">
        <f t="shared" si="162"/>
        <v>20.599999999999998</v>
      </c>
      <c r="J1540" s="588"/>
      <c r="K1540" s="574"/>
      <c r="L1540" s="564">
        <v>13.1</v>
      </c>
      <c r="M1540" s="759"/>
      <c r="N1540" s="759"/>
      <c r="O1540" s="759"/>
      <c r="P1540" s="564">
        <v>13.7</v>
      </c>
      <c r="Q1540" s="563">
        <v>35</v>
      </c>
      <c r="R1540" s="757">
        <v>1</v>
      </c>
      <c r="S1540" s="572">
        <v>6.9</v>
      </c>
      <c r="T1540" s="55">
        <v>6.4</v>
      </c>
      <c r="U1540" s="573">
        <v>6.35</v>
      </c>
      <c r="V1540" s="55">
        <v>18.3</v>
      </c>
      <c r="W1540" s="572">
        <v>2.8</v>
      </c>
      <c r="X1540" s="55"/>
      <c r="Y1540" s="55"/>
    </row>
    <row r="1541" spans="1:25" x14ac:dyDescent="0.2">
      <c r="A1541" s="20" t="s">
        <v>1484</v>
      </c>
      <c r="B1541" s="403" t="s">
        <v>1569</v>
      </c>
      <c r="C1541" s="20" t="str">
        <f t="shared" si="164"/>
        <v>Cool Temperate MoistWestern Africa</v>
      </c>
      <c r="D1541" s="572">
        <v>4.7</v>
      </c>
      <c r="E1541" s="572">
        <v>4.7</v>
      </c>
      <c r="F1541" s="572">
        <v>4.7</v>
      </c>
      <c r="G1541" s="565">
        <f t="shared" si="165"/>
        <v>6.3919999999999995</v>
      </c>
      <c r="H1541" s="730">
        <v>0</v>
      </c>
      <c r="I1541" s="758">
        <f t="shared" si="162"/>
        <v>20.599999999999998</v>
      </c>
      <c r="J1541" s="588"/>
      <c r="K1541" s="574"/>
      <c r="L1541" s="564">
        <v>13.1</v>
      </c>
      <c r="M1541" s="759"/>
      <c r="N1541" s="759"/>
      <c r="O1541" s="759"/>
      <c r="P1541" s="564">
        <v>13.7</v>
      </c>
      <c r="Q1541" s="563">
        <v>35</v>
      </c>
      <c r="R1541" s="757">
        <v>1</v>
      </c>
      <c r="S1541" s="572">
        <v>6.9</v>
      </c>
      <c r="T1541" s="55">
        <v>6.4</v>
      </c>
      <c r="U1541" s="573">
        <v>6.35</v>
      </c>
      <c r="V1541" s="55">
        <v>18.3</v>
      </c>
      <c r="W1541" s="572">
        <v>2.8</v>
      </c>
      <c r="X1541" s="55"/>
      <c r="Y1541" s="55"/>
    </row>
    <row r="1542" spans="1:25" x14ac:dyDescent="0.2">
      <c r="A1542" s="20" t="s">
        <v>1484</v>
      </c>
      <c r="B1542" s="403" t="s">
        <v>1550</v>
      </c>
      <c r="C1542" s="20" t="str">
        <f t="shared" si="164"/>
        <v>Cool Temperate MoistCentral Asia</v>
      </c>
      <c r="D1542" s="572">
        <v>4.7</v>
      </c>
      <c r="E1542" s="572">
        <v>4.7</v>
      </c>
      <c r="F1542" s="572">
        <v>4.7</v>
      </c>
      <c r="G1542" s="565">
        <f t="shared" si="165"/>
        <v>6.3919999999999995</v>
      </c>
      <c r="H1542" s="730">
        <v>0</v>
      </c>
      <c r="I1542" s="758">
        <f t="shared" si="162"/>
        <v>20.599999999999998</v>
      </c>
      <c r="J1542" s="588"/>
      <c r="K1542" s="574"/>
      <c r="L1542" s="564">
        <v>13.1</v>
      </c>
      <c r="M1542" s="759"/>
      <c r="N1542" s="759"/>
      <c r="O1542" s="759"/>
      <c r="P1542" s="564">
        <v>13.7</v>
      </c>
      <c r="Q1542" s="563">
        <v>35</v>
      </c>
      <c r="R1542" s="757">
        <v>1</v>
      </c>
      <c r="S1542" s="572">
        <v>6.9</v>
      </c>
      <c r="T1542" s="55">
        <v>6.4</v>
      </c>
      <c r="U1542" s="573">
        <v>6.35</v>
      </c>
      <c r="V1542" s="55">
        <v>18.3</v>
      </c>
      <c r="W1542" s="572">
        <v>2.8</v>
      </c>
      <c r="X1542" s="55"/>
      <c r="Y1542" s="55"/>
    </row>
    <row r="1543" spans="1:25" x14ac:dyDescent="0.2">
      <c r="A1543" s="20" t="s">
        <v>1484</v>
      </c>
      <c r="B1543" s="403" t="s">
        <v>1554</v>
      </c>
      <c r="C1543" s="20" t="str">
        <f t="shared" si="164"/>
        <v>Cool Temperate MoistEastern Asia</v>
      </c>
      <c r="D1543" s="572">
        <v>4.7</v>
      </c>
      <c r="E1543" s="572">
        <v>4.7</v>
      </c>
      <c r="F1543" s="572">
        <v>4.7</v>
      </c>
      <c r="G1543" s="565">
        <f t="shared" si="165"/>
        <v>6.3919999999999995</v>
      </c>
      <c r="H1543" s="730">
        <v>0</v>
      </c>
      <c r="I1543" s="758">
        <f t="shared" si="162"/>
        <v>20.599999999999998</v>
      </c>
      <c r="J1543" s="588"/>
      <c r="K1543" s="574"/>
      <c r="L1543" s="564">
        <v>13.1</v>
      </c>
      <c r="M1543" s="759"/>
      <c r="N1543" s="759"/>
      <c r="O1543" s="759"/>
      <c r="P1543" s="564">
        <v>13.7</v>
      </c>
      <c r="Q1543" s="563">
        <v>35</v>
      </c>
      <c r="R1543" s="757">
        <v>1</v>
      </c>
      <c r="S1543" s="572">
        <v>6.9</v>
      </c>
      <c r="T1543" s="55">
        <v>6.4</v>
      </c>
      <c r="U1543" s="573">
        <v>6.35</v>
      </c>
      <c r="V1543" s="55">
        <v>18.3</v>
      </c>
      <c r="W1543" s="572">
        <v>2.8</v>
      </c>
      <c r="X1543" s="55"/>
      <c r="Y1543" s="55"/>
    </row>
    <row r="1544" spans="1:25" x14ac:dyDescent="0.2">
      <c r="A1544" s="20" t="s">
        <v>1484</v>
      </c>
      <c r="B1544" s="403" t="s">
        <v>1563</v>
      </c>
      <c r="C1544" s="20" t="str">
        <f t="shared" si="164"/>
        <v>Cool Temperate MoistSouth-eastern Asia</v>
      </c>
      <c r="D1544" s="572">
        <v>4.7</v>
      </c>
      <c r="E1544" s="572">
        <v>4.7</v>
      </c>
      <c r="F1544" s="572">
        <v>4.7</v>
      </c>
      <c r="G1544" s="565">
        <f t="shared" si="165"/>
        <v>6.3919999999999995</v>
      </c>
      <c r="H1544" s="730">
        <v>0</v>
      </c>
      <c r="I1544" s="758">
        <f t="shared" si="162"/>
        <v>20.599999999999998</v>
      </c>
      <c r="J1544" s="588"/>
      <c r="K1544" s="574"/>
      <c r="L1544" s="564">
        <v>13.1</v>
      </c>
      <c r="M1544" s="759"/>
      <c r="N1544" s="759"/>
      <c r="O1544" s="759"/>
      <c r="P1544" s="564">
        <v>13.7</v>
      </c>
      <c r="Q1544" s="563">
        <v>35</v>
      </c>
      <c r="R1544" s="757">
        <v>1</v>
      </c>
      <c r="S1544" s="572">
        <v>6.9</v>
      </c>
      <c r="T1544" s="55">
        <v>6.4</v>
      </c>
      <c r="U1544" s="573">
        <v>6.35</v>
      </c>
      <c r="V1544" s="55">
        <v>18.3</v>
      </c>
      <c r="W1544" s="572">
        <v>2.8</v>
      </c>
      <c r="X1544" s="55"/>
      <c r="Y1544" s="55"/>
    </row>
    <row r="1545" spans="1:25" x14ac:dyDescent="0.2">
      <c r="A1545" s="20" t="s">
        <v>1484</v>
      </c>
      <c r="B1545" s="403" t="s">
        <v>1567</v>
      </c>
      <c r="C1545" s="20" t="str">
        <f t="shared" si="164"/>
        <v>Cool Temperate MoistSouthern Asia</v>
      </c>
      <c r="D1545" s="572">
        <v>4.7</v>
      </c>
      <c r="E1545" s="572">
        <v>4.7</v>
      </c>
      <c r="F1545" s="572">
        <v>4.7</v>
      </c>
      <c r="G1545" s="565">
        <f t="shared" si="165"/>
        <v>6.3919999999999995</v>
      </c>
      <c r="H1545" s="730">
        <v>0</v>
      </c>
      <c r="I1545" s="758">
        <f t="shared" si="162"/>
        <v>20.599999999999998</v>
      </c>
      <c r="J1545" s="588"/>
      <c r="K1545" s="574"/>
      <c r="L1545" s="564">
        <v>13.1</v>
      </c>
      <c r="M1545" s="759"/>
      <c r="N1545" s="759"/>
      <c r="O1545" s="759"/>
      <c r="P1545" s="564">
        <v>13.7</v>
      </c>
      <c r="Q1545" s="563">
        <v>35</v>
      </c>
      <c r="R1545" s="757">
        <v>1</v>
      </c>
      <c r="S1545" s="572">
        <v>6.9</v>
      </c>
      <c r="T1545" s="55">
        <v>6.4</v>
      </c>
      <c r="U1545" s="573">
        <v>6.35</v>
      </c>
      <c r="V1545" s="55">
        <v>18.3</v>
      </c>
      <c r="W1545" s="572">
        <v>2.8</v>
      </c>
      <c r="X1545" s="55"/>
      <c r="Y1545" s="55"/>
    </row>
    <row r="1546" spans="1:25" x14ac:dyDescent="0.2">
      <c r="A1546" s="20" t="s">
        <v>1484</v>
      </c>
      <c r="B1546" s="403" t="s">
        <v>1571</v>
      </c>
      <c r="C1546" s="20" t="str">
        <f t="shared" si="164"/>
        <v>Cool Temperate MoistWestern Asia</v>
      </c>
      <c r="D1546" s="572">
        <v>4.7</v>
      </c>
      <c r="E1546" s="572">
        <v>4.7</v>
      </c>
      <c r="F1546" s="572">
        <v>4.7</v>
      </c>
      <c r="G1546" s="565">
        <f t="shared" si="165"/>
        <v>6.3919999999999995</v>
      </c>
      <c r="H1546" s="730">
        <v>0</v>
      </c>
      <c r="I1546" s="758">
        <f t="shared" si="162"/>
        <v>20.599999999999998</v>
      </c>
      <c r="J1546" s="588"/>
      <c r="K1546" s="574"/>
      <c r="L1546" s="564">
        <v>13.1</v>
      </c>
      <c r="M1546" s="759"/>
      <c r="N1546" s="759"/>
      <c r="O1546" s="759"/>
      <c r="P1546" s="564">
        <v>13.7</v>
      </c>
      <c r="Q1546" s="563">
        <v>35</v>
      </c>
      <c r="R1546" s="757">
        <v>1</v>
      </c>
      <c r="S1546" s="572">
        <v>6.9</v>
      </c>
      <c r="T1546" s="55">
        <v>6.4</v>
      </c>
      <c r="U1546" s="573">
        <v>6.35</v>
      </c>
      <c r="V1546" s="55">
        <v>18.3</v>
      </c>
      <c r="W1546" s="572">
        <v>2.8</v>
      </c>
      <c r="X1546" s="55"/>
      <c r="Y1546" s="55"/>
    </row>
    <row r="1547" spans="1:25" x14ac:dyDescent="0.2">
      <c r="A1547" s="20" t="s">
        <v>1484</v>
      </c>
      <c r="B1547" s="403" t="s">
        <v>1555</v>
      </c>
      <c r="C1547" s="20" t="str">
        <f t="shared" si="164"/>
        <v>Cool Temperate MoistEurope</v>
      </c>
      <c r="D1547" s="572">
        <v>4.7</v>
      </c>
      <c r="E1547" s="572">
        <v>4.7</v>
      </c>
      <c r="F1547" s="572">
        <v>4.7</v>
      </c>
      <c r="G1547" s="565">
        <f t="shared" si="165"/>
        <v>6.3919999999999995</v>
      </c>
      <c r="H1547" s="730">
        <v>0</v>
      </c>
      <c r="I1547" s="758">
        <f t="shared" si="162"/>
        <v>20.599999999999998</v>
      </c>
      <c r="J1547" s="588"/>
      <c r="K1547" s="574"/>
      <c r="L1547" s="564">
        <v>13.1</v>
      </c>
      <c r="M1547" s="759"/>
      <c r="N1547" s="759"/>
      <c r="O1547" s="759"/>
      <c r="P1547" s="564">
        <v>13.7</v>
      </c>
      <c r="Q1547" s="563">
        <v>35</v>
      </c>
      <c r="R1547" s="757">
        <v>1</v>
      </c>
      <c r="S1547" s="572">
        <v>6.9</v>
      </c>
      <c r="T1547" s="55">
        <v>6.4</v>
      </c>
      <c r="U1547" s="573">
        <v>6.35</v>
      </c>
      <c r="V1547" s="55">
        <v>18.3</v>
      </c>
      <c r="W1547" s="572">
        <v>2.8</v>
      </c>
      <c r="X1547" s="55"/>
      <c r="Y1547" s="55"/>
    </row>
    <row r="1548" spans="1:25" x14ac:dyDescent="0.2">
      <c r="A1548" s="20" t="s">
        <v>1484</v>
      </c>
      <c r="B1548" s="403" t="s">
        <v>1346</v>
      </c>
      <c r="C1548" s="20" t="str">
        <f t="shared" si="164"/>
        <v>Cool Temperate MoistOceania</v>
      </c>
      <c r="D1548" s="572">
        <v>4.7</v>
      </c>
      <c r="E1548" s="572">
        <v>4.7</v>
      </c>
      <c r="F1548" s="572">
        <v>4.7</v>
      </c>
      <c r="G1548" s="565">
        <f t="shared" si="165"/>
        <v>6.3919999999999995</v>
      </c>
      <c r="H1548" s="730">
        <v>0</v>
      </c>
      <c r="I1548" s="758">
        <f t="shared" si="162"/>
        <v>20.599999999999998</v>
      </c>
      <c r="J1548" s="588"/>
      <c r="K1548" s="574"/>
      <c r="L1548" s="564">
        <v>13.1</v>
      </c>
      <c r="M1548" s="759"/>
      <c r="N1548" s="759"/>
      <c r="O1548" s="759"/>
      <c r="P1548" s="564">
        <v>13.7</v>
      </c>
      <c r="Q1548" s="563">
        <v>35</v>
      </c>
      <c r="R1548" s="757">
        <v>1</v>
      </c>
      <c r="S1548" s="572">
        <v>6.9</v>
      </c>
      <c r="T1548" s="55">
        <v>6.4</v>
      </c>
      <c r="U1548" s="573">
        <v>6.35</v>
      </c>
      <c r="V1548" s="55">
        <v>18.3</v>
      </c>
      <c r="W1548" s="572">
        <v>2.8</v>
      </c>
      <c r="X1548" s="55"/>
      <c r="Y1548" s="55"/>
    </row>
    <row r="1549" spans="1:25" x14ac:dyDescent="0.2">
      <c r="A1549" s="20" t="s">
        <v>1484</v>
      </c>
      <c r="B1549" s="403" t="s">
        <v>1343</v>
      </c>
      <c r="C1549" s="20" t="str">
        <f t="shared" si="164"/>
        <v>Cool Temperate MoistNorth America</v>
      </c>
      <c r="D1549" s="572">
        <v>4.7</v>
      </c>
      <c r="E1549" s="572">
        <v>4.7</v>
      </c>
      <c r="F1549" s="572">
        <v>4.7</v>
      </c>
      <c r="G1549" s="565">
        <f t="shared" si="165"/>
        <v>6.3919999999999995</v>
      </c>
      <c r="H1549" s="730">
        <v>0</v>
      </c>
      <c r="I1549" s="758">
        <f t="shared" si="162"/>
        <v>20.599999999999998</v>
      </c>
      <c r="J1549" s="588"/>
      <c r="K1549" s="574"/>
      <c r="L1549" s="564">
        <v>13.1</v>
      </c>
      <c r="M1549" s="759"/>
      <c r="N1549" s="759"/>
      <c r="O1549" s="759"/>
      <c r="P1549" s="564">
        <v>13.7</v>
      </c>
      <c r="Q1549" s="563">
        <v>35</v>
      </c>
      <c r="R1549" s="757">
        <v>1</v>
      </c>
      <c r="S1549" s="572">
        <v>6.9</v>
      </c>
      <c r="T1549" s="55">
        <v>6.4</v>
      </c>
      <c r="U1549" s="573">
        <v>6.35</v>
      </c>
      <c r="V1549" s="55">
        <v>18.3</v>
      </c>
      <c r="W1549" s="572">
        <v>2.8</v>
      </c>
      <c r="X1549" s="55"/>
      <c r="Y1549" s="55"/>
    </row>
    <row r="1550" spans="1:25" x14ac:dyDescent="0.2">
      <c r="A1550" s="20" t="s">
        <v>1484</v>
      </c>
      <c r="B1550" s="403" t="s">
        <v>1349</v>
      </c>
      <c r="C1550" s="20" t="str">
        <f t="shared" si="164"/>
        <v>Cool Temperate MoistSouth America</v>
      </c>
      <c r="D1550" s="572">
        <v>4.7</v>
      </c>
      <c r="E1550" s="572">
        <v>4.7</v>
      </c>
      <c r="F1550" s="572">
        <v>4.7</v>
      </c>
      <c r="G1550" s="565">
        <f t="shared" si="165"/>
        <v>6.3919999999999995</v>
      </c>
      <c r="H1550" s="730">
        <v>0</v>
      </c>
      <c r="I1550" s="758">
        <f t="shared" si="162"/>
        <v>20.599999999999998</v>
      </c>
      <c r="J1550" s="588"/>
      <c r="K1550" s="574"/>
      <c r="L1550" s="564">
        <v>13.1</v>
      </c>
      <c r="M1550" s="759"/>
      <c r="N1550" s="759"/>
      <c r="O1550" s="759"/>
      <c r="P1550" s="564">
        <v>13.7</v>
      </c>
      <c r="Q1550" s="563">
        <v>35</v>
      </c>
      <c r="R1550" s="757">
        <v>1</v>
      </c>
      <c r="S1550" s="572">
        <v>6.9</v>
      </c>
      <c r="T1550" s="55">
        <v>6.4</v>
      </c>
      <c r="U1550" s="573">
        <v>6.35</v>
      </c>
      <c r="V1550" s="55">
        <v>18.3</v>
      </c>
      <c r="W1550" s="572">
        <v>2.8</v>
      </c>
      <c r="X1550" s="55"/>
      <c r="Y1550" s="55"/>
    </row>
    <row r="1551" spans="1:25" x14ac:dyDescent="0.2">
      <c r="A1551" s="20" t="s">
        <v>1484</v>
      </c>
      <c r="B1551" s="403" t="s">
        <v>1333</v>
      </c>
      <c r="C1551" s="20" t="str">
        <f t="shared" si="164"/>
        <v>Cool Temperate MoistCentral America</v>
      </c>
      <c r="D1551" s="572">
        <v>4.7</v>
      </c>
      <c r="E1551" s="572">
        <v>4.7</v>
      </c>
      <c r="F1551" s="572">
        <v>4.7</v>
      </c>
      <c r="G1551" s="565">
        <f t="shared" si="165"/>
        <v>6.3919999999999995</v>
      </c>
      <c r="H1551" s="730">
        <v>0</v>
      </c>
      <c r="I1551" s="758">
        <f t="shared" si="162"/>
        <v>20.599999999999998</v>
      </c>
      <c r="J1551" s="588"/>
      <c r="K1551" s="574"/>
      <c r="L1551" s="564">
        <v>13.1</v>
      </c>
      <c r="M1551" s="759"/>
      <c r="N1551" s="759"/>
      <c r="O1551" s="759"/>
      <c r="P1551" s="564">
        <v>13.7</v>
      </c>
      <c r="Q1551" s="563">
        <v>35</v>
      </c>
      <c r="R1551" s="757">
        <v>1</v>
      </c>
      <c r="S1551" s="572">
        <v>6.9</v>
      </c>
      <c r="T1551" s="55">
        <v>6.4</v>
      </c>
      <c r="U1551" s="573">
        <v>6.35</v>
      </c>
      <c r="V1551" s="55">
        <v>18.3</v>
      </c>
      <c r="W1551" s="572">
        <v>2.8</v>
      </c>
      <c r="X1551" s="55"/>
      <c r="Y1551" s="55"/>
    </row>
    <row r="1552" spans="1:25" x14ac:dyDescent="0.2">
      <c r="A1552" s="37" t="s">
        <v>1484</v>
      </c>
      <c r="B1552" s="404" t="s">
        <v>1547</v>
      </c>
      <c r="C1552" s="37" t="str">
        <f t="shared" si="164"/>
        <v>Cool Temperate MoistCaribbean</v>
      </c>
      <c r="D1552" s="420">
        <v>4.7</v>
      </c>
      <c r="E1552" s="420">
        <v>4.7</v>
      </c>
      <c r="F1552" s="420">
        <v>4.7</v>
      </c>
      <c r="G1552" s="578">
        <f t="shared" si="165"/>
        <v>6.3919999999999995</v>
      </c>
      <c r="H1552" s="731">
        <v>0</v>
      </c>
      <c r="I1552" s="760">
        <f t="shared" si="162"/>
        <v>20.599999999999998</v>
      </c>
      <c r="J1552" s="588"/>
      <c r="K1552" s="574"/>
      <c r="L1552" s="577">
        <v>13.1</v>
      </c>
      <c r="M1552" s="761"/>
      <c r="N1552" s="761"/>
      <c r="O1552" s="761"/>
      <c r="P1552" s="577">
        <v>13.7</v>
      </c>
      <c r="Q1552" s="576">
        <v>35</v>
      </c>
      <c r="R1552" s="757">
        <v>1</v>
      </c>
      <c r="S1552" s="420">
        <v>6.9</v>
      </c>
      <c r="T1552" s="579">
        <v>6.4</v>
      </c>
      <c r="U1552" s="581">
        <v>6.35</v>
      </c>
      <c r="V1552" s="579">
        <v>18.3</v>
      </c>
      <c r="W1552" s="420">
        <v>2.8</v>
      </c>
      <c r="X1552" s="55"/>
      <c r="Y1552" s="55"/>
    </row>
    <row r="1553" spans="1:25" x14ac:dyDescent="0.2">
      <c r="A1553" s="63" t="s">
        <v>1485</v>
      </c>
      <c r="B1553" s="407" t="s">
        <v>1552</v>
      </c>
      <c r="C1553" s="63" t="str">
        <f t="shared" si="164"/>
        <v>Warm Temperate DryEastern Africa</v>
      </c>
      <c r="D1553" s="569">
        <v>4.7</v>
      </c>
      <c r="E1553" s="569">
        <v>4.7</v>
      </c>
      <c r="F1553" s="569">
        <v>4.7</v>
      </c>
      <c r="G1553" s="565">
        <f t="shared" ref="G1553:G1568" si="166">6.1*0.47</f>
        <v>2.8669999999999995</v>
      </c>
      <c r="H1553" s="729">
        <v>0</v>
      </c>
      <c r="I1553" s="755">
        <f t="shared" si="162"/>
        <v>20.599999999999998</v>
      </c>
      <c r="J1553" s="591"/>
      <c r="K1553" s="584"/>
      <c r="L1553" s="583">
        <v>13.1</v>
      </c>
      <c r="M1553" s="756"/>
      <c r="N1553" s="756"/>
      <c r="O1553" s="756"/>
      <c r="P1553" s="583">
        <v>13.7</v>
      </c>
      <c r="Q1553" s="585">
        <v>35</v>
      </c>
      <c r="R1553" s="757">
        <v>1</v>
      </c>
      <c r="S1553" s="569">
        <v>6.9</v>
      </c>
      <c r="T1553" s="567">
        <v>6.4</v>
      </c>
      <c r="U1553" s="570">
        <v>6.35</v>
      </c>
      <c r="V1553" s="567">
        <v>18.3</v>
      </c>
      <c r="W1553" s="569">
        <v>2.8</v>
      </c>
      <c r="X1553" s="567"/>
      <c r="Y1553" s="567"/>
    </row>
    <row r="1554" spans="1:25" x14ac:dyDescent="0.2">
      <c r="A1554" s="20" t="s">
        <v>1485</v>
      </c>
      <c r="B1554" s="405" t="s">
        <v>1557</v>
      </c>
      <c r="C1554" s="20" t="str">
        <f t="shared" si="164"/>
        <v>Warm Temperate DryCentral Africa</v>
      </c>
      <c r="D1554" s="572">
        <v>4.7</v>
      </c>
      <c r="E1554" s="572">
        <v>4.7</v>
      </c>
      <c r="F1554" s="572">
        <v>4.7</v>
      </c>
      <c r="G1554" s="565">
        <f t="shared" si="166"/>
        <v>2.8669999999999995</v>
      </c>
      <c r="H1554" s="730">
        <v>0</v>
      </c>
      <c r="I1554" s="758">
        <f t="shared" si="162"/>
        <v>20.599999999999998</v>
      </c>
      <c r="J1554" s="588"/>
      <c r="K1554" s="574"/>
      <c r="L1554" s="564">
        <v>13.1</v>
      </c>
      <c r="M1554" s="759"/>
      <c r="N1554" s="759"/>
      <c r="O1554" s="759"/>
      <c r="P1554" s="564">
        <v>13.7</v>
      </c>
      <c r="Q1554" s="563">
        <v>35</v>
      </c>
      <c r="R1554" s="757">
        <v>1</v>
      </c>
      <c r="S1554" s="572">
        <v>6.9</v>
      </c>
      <c r="T1554" s="55">
        <v>6.4</v>
      </c>
      <c r="U1554" s="573">
        <v>6.35</v>
      </c>
      <c r="V1554" s="55">
        <v>18.3</v>
      </c>
      <c r="W1554" s="572">
        <v>2.8</v>
      </c>
      <c r="X1554" s="55"/>
      <c r="Y1554" s="55"/>
    </row>
    <row r="1555" spans="1:25" x14ac:dyDescent="0.2">
      <c r="A1555" s="20" t="s">
        <v>1485</v>
      </c>
      <c r="B1555" s="405" t="s">
        <v>1559</v>
      </c>
      <c r="C1555" s="20" t="str">
        <f t="shared" si="164"/>
        <v>Warm Temperate DryNorthern Africa</v>
      </c>
      <c r="D1555" s="572">
        <v>4.7</v>
      </c>
      <c r="E1555" s="572">
        <v>4.7</v>
      </c>
      <c r="F1555" s="572">
        <v>4.7</v>
      </c>
      <c r="G1555" s="565">
        <f t="shared" si="166"/>
        <v>2.8669999999999995</v>
      </c>
      <c r="H1555" s="730">
        <v>0</v>
      </c>
      <c r="I1555" s="758">
        <f t="shared" si="162"/>
        <v>20.599999999999998</v>
      </c>
      <c r="J1555" s="588"/>
      <c r="K1555" s="574"/>
      <c r="L1555" s="564">
        <v>13.1</v>
      </c>
      <c r="M1555" s="759"/>
      <c r="N1555" s="759"/>
      <c r="O1555" s="759"/>
      <c r="P1555" s="564">
        <v>13.7</v>
      </c>
      <c r="Q1555" s="563">
        <v>35</v>
      </c>
      <c r="R1555" s="757">
        <v>1</v>
      </c>
      <c r="S1555" s="572">
        <v>6.9</v>
      </c>
      <c r="T1555" s="55">
        <v>6.4</v>
      </c>
      <c r="U1555" s="573">
        <v>6.35</v>
      </c>
      <c r="V1555" s="55">
        <v>18.3</v>
      </c>
      <c r="W1555" s="572">
        <v>2.8</v>
      </c>
      <c r="X1555" s="55"/>
      <c r="Y1555" s="55"/>
    </row>
    <row r="1556" spans="1:25" x14ac:dyDescent="0.2">
      <c r="A1556" s="20" t="s">
        <v>1485</v>
      </c>
      <c r="B1556" s="405" t="s">
        <v>1565</v>
      </c>
      <c r="C1556" s="20" t="str">
        <f t="shared" si="164"/>
        <v>Warm Temperate DrySouthern Africa</v>
      </c>
      <c r="D1556" s="572">
        <v>4.7</v>
      </c>
      <c r="E1556" s="572">
        <v>4.7</v>
      </c>
      <c r="F1556" s="572">
        <v>4.7</v>
      </c>
      <c r="G1556" s="565">
        <f t="shared" si="166"/>
        <v>2.8669999999999995</v>
      </c>
      <c r="H1556" s="730">
        <v>0</v>
      </c>
      <c r="I1556" s="758">
        <f t="shared" si="162"/>
        <v>20.599999999999998</v>
      </c>
      <c r="J1556" s="588"/>
      <c r="K1556" s="574"/>
      <c r="L1556" s="564">
        <v>13.1</v>
      </c>
      <c r="M1556" s="759"/>
      <c r="N1556" s="759"/>
      <c r="O1556" s="759"/>
      <c r="P1556" s="564">
        <v>13.7</v>
      </c>
      <c r="Q1556" s="563">
        <v>35</v>
      </c>
      <c r="R1556" s="757">
        <v>1</v>
      </c>
      <c r="S1556" s="572">
        <v>6.9</v>
      </c>
      <c r="T1556" s="55">
        <v>6.4</v>
      </c>
      <c r="U1556" s="573">
        <v>6.35</v>
      </c>
      <c r="V1556" s="55">
        <v>18.3</v>
      </c>
      <c r="W1556" s="572">
        <v>2.8</v>
      </c>
      <c r="X1556" s="55"/>
      <c r="Y1556" s="55"/>
    </row>
    <row r="1557" spans="1:25" x14ac:dyDescent="0.2">
      <c r="A1557" s="20" t="s">
        <v>1485</v>
      </c>
      <c r="B1557" s="405" t="s">
        <v>1569</v>
      </c>
      <c r="C1557" s="20" t="str">
        <f t="shared" si="164"/>
        <v>Warm Temperate DryWestern Africa</v>
      </c>
      <c r="D1557" s="572">
        <v>4.7</v>
      </c>
      <c r="E1557" s="572">
        <v>4.7</v>
      </c>
      <c r="F1557" s="572">
        <v>4.7</v>
      </c>
      <c r="G1557" s="565">
        <f t="shared" si="166"/>
        <v>2.8669999999999995</v>
      </c>
      <c r="H1557" s="730">
        <v>0</v>
      </c>
      <c r="I1557" s="758">
        <f t="shared" si="162"/>
        <v>20.599999999999998</v>
      </c>
      <c r="J1557" s="588"/>
      <c r="K1557" s="574"/>
      <c r="L1557" s="564">
        <v>13.1</v>
      </c>
      <c r="M1557" s="759"/>
      <c r="N1557" s="759"/>
      <c r="O1557" s="759"/>
      <c r="P1557" s="564">
        <v>13.7</v>
      </c>
      <c r="Q1557" s="563">
        <v>35</v>
      </c>
      <c r="R1557" s="757">
        <v>1</v>
      </c>
      <c r="S1557" s="572">
        <v>6.9</v>
      </c>
      <c r="T1557" s="55">
        <v>6.4</v>
      </c>
      <c r="U1557" s="573">
        <v>6.35</v>
      </c>
      <c r="V1557" s="55">
        <v>18.3</v>
      </c>
      <c r="W1557" s="572">
        <v>2.8</v>
      </c>
      <c r="X1557" s="55"/>
      <c r="Y1557" s="55"/>
    </row>
    <row r="1558" spans="1:25" x14ac:dyDescent="0.2">
      <c r="A1558" s="20" t="s">
        <v>1485</v>
      </c>
      <c r="B1558" s="405" t="s">
        <v>1550</v>
      </c>
      <c r="C1558" s="20" t="str">
        <f t="shared" si="164"/>
        <v>Warm Temperate DryCentral Asia</v>
      </c>
      <c r="D1558" s="572">
        <v>4.7</v>
      </c>
      <c r="E1558" s="572">
        <v>4.7</v>
      </c>
      <c r="F1558" s="572">
        <v>4.7</v>
      </c>
      <c r="G1558" s="565">
        <f t="shared" si="166"/>
        <v>2.8669999999999995</v>
      </c>
      <c r="H1558" s="730">
        <v>0</v>
      </c>
      <c r="I1558" s="758">
        <f>AVERAGE(J1558:Q1558)</f>
        <v>20.599999999999998</v>
      </c>
      <c r="J1558" s="588"/>
      <c r="K1558" s="574"/>
      <c r="L1558" s="564">
        <v>13.1</v>
      </c>
      <c r="M1558" s="759"/>
      <c r="N1558" s="759"/>
      <c r="O1558" s="759"/>
      <c r="P1558" s="564">
        <v>13.7</v>
      </c>
      <c r="Q1558" s="563">
        <v>35</v>
      </c>
      <c r="R1558" s="757">
        <v>1</v>
      </c>
      <c r="S1558" s="572">
        <v>6.9</v>
      </c>
      <c r="T1558" s="55">
        <v>6.4</v>
      </c>
      <c r="U1558" s="573">
        <v>6.35</v>
      </c>
      <c r="V1558" s="55">
        <v>18.3</v>
      </c>
      <c r="W1558" s="572">
        <v>2.8</v>
      </c>
      <c r="X1558" s="55"/>
      <c r="Y1558" s="55"/>
    </row>
    <row r="1559" spans="1:25" x14ac:dyDescent="0.2">
      <c r="A1559" s="20" t="s">
        <v>1485</v>
      </c>
      <c r="B1559" s="405" t="s">
        <v>1554</v>
      </c>
      <c r="C1559" s="20" t="str">
        <f t="shared" si="164"/>
        <v>Warm Temperate DryEastern Asia</v>
      </c>
      <c r="D1559" s="572">
        <v>4.7</v>
      </c>
      <c r="E1559" s="572">
        <v>4.7</v>
      </c>
      <c r="F1559" s="572">
        <v>4.7</v>
      </c>
      <c r="G1559" s="565">
        <f t="shared" si="166"/>
        <v>2.8669999999999995</v>
      </c>
      <c r="H1559" s="730">
        <v>0</v>
      </c>
      <c r="I1559" s="758">
        <f t="shared" si="162"/>
        <v>20.599999999999998</v>
      </c>
      <c r="J1559" s="588"/>
      <c r="K1559" s="574"/>
      <c r="L1559" s="564">
        <v>13.1</v>
      </c>
      <c r="M1559" s="759"/>
      <c r="N1559" s="759"/>
      <c r="O1559" s="759"/>
      <c r="P1559" s="564">
        <v>13.7</v>
      </c>
      <c r="Q1559" s="563">
        <v>35</v>
      </c>
      <c r="R1559" s="757">
        <v>1</v>
      </c>
      <c r="S1559" s="572">
        <v>6.9</v>
      </c>
      <c r="T1559" s="55">
        <v>6.4</v>
      </c>
      <c r="U1559" s="573">
        <v>6.35</v>
      </c>
      <c r="V1559" s="55">
        <v>18.3</v>
      </c>
      <c r="W1559" s="572">
        <v>2.8</v>
      </c>
      <c r="X1559" s="55"/>
      <c r="Y1559" s="55"/>
    </row>
    <row r="1560" spans="1:25" x14ac:dyDescent="0.2">
      <c r="A1560" s="20" t="s">
        <v>1485</v>
      </c>
      <c r="B1560" s="405" t="s">
        <v>1563</v>
      </c>
      <c r="C1560" s="20" t="str">
        <f t="shared" si="164"/>
        <v>Warm Temperate DrySouth-eastern Asia</v>
      </c>
      <c r="D1560" s="572">
        <v>4.7</v>
      </c>
      <c r="E1560" s="572">
        <v>4.7</v>
      </c>
      <c r="F1560" s="572">
        <v>4.7</v>
      </c>
      <c r="G1560" s="565">
        <f t="shared" si="166"/>
        <v>2.8669999999999995</v>
      </c>
      <c r="H1560" s="730">
        <v>0</v>
      </c>
      <c r="I1560" s="758">
        <f t="shared" si="162"/>
        <v>20.599999999999998</v>
      </c>
      <c r="J1560" s="588"/>
      <c r="K1560" s="574"/>
      <c r="L1560" s="564">
        <v>13.1</v>
      </c>
      <c r="M1560" s="759"/>
      <c r="N1560" s="759"/>
      <c r="O1560" s="759"/>
      <c r="P1560" s="564">
        <v>13.7</v>
      </c>
      <c r="Q1560" s="563">
        <v>35</v>
      </c>
      <c r="R1560" s="757">
        <v>1</v>
      </c>
      <c r="S1560" s="572">
        <v>6.9</v>
      </c>
      <c r="T1560" s="55">
        <v>6.4</v>
      </c>
      <c r="U1560" s="573">
        <v>6.35</v>
      </c>
      <c r="V1560" s="55">
        <v>18.3</v>
      </c>
      <c r="W1560" s="572">
        <v>2.8</v>
      </c>
      <c r="X1560" s="55"/>
      <c r="Y1560" s="55"/>
    </row>
    <row r="1561" spans="1:25" x14ac:dyDescent="0.2">
      <c r="A1561" s="20" t="s">
        <v>1485</v>
      </c>
      <c r="B1561" s="405" t="s">
        <v>1567</v>
      </c>
      <c r="C1561" s="20" t="str">
        <f t="shared" si="164"/>
        <v>Warm Temperate DrySouthern Asia</v>
      </c>
      <c r="D1561" s="572">
        <v>4.7</v>
      </c>
      <c r="E1561" s="572">
        <v>4.7</v>
      </c>
      <c r="F1561" s="572">
        <v>4.7</v>
      </c>
      <c r="G1561" s="565">
        <f t="shared" si="166"/>
        <v>2.8669999999999995</v>
      </c>
      <c r="H1561" s="730">
        <v>0</v>
      </c>
      <c r="I1561" s="758">
        <f>AVERAGE(J1561:Q1561)</f>
        <v>20.599999999999998</v>
      </c>
      <c r="J1561" s="588"/>
      <c r="K1561" s="574"/>
      <c r="L1561" s="564">
        <v>13.1</v>
      </c>
      <c r="M1561" s="759"/>
      <c r="N1561" s="759"/>
      <c r="O1561" s="759"/>
      <c r="P1561" s="564">
        <v>13.7</v>
      </c>
      <c r="Q1561" s="563">
        <v>35</v>
      </c>
      <c r="R1561" s="757">
        <v>1</v>
      </c>
      <c r="S1561" s="572">
        <v>6.9</v>
      </c>
      <c r="T1561" s="55">
        <v>6.4</v>
      </c>
      <c r="U1561" s="573">
        <v>6.35</v>
      </c>
      <c r="V1561" s="55">
        <v>18.3</v>
      </c>
      <c r="W1561" s="572">
        <v>2.8</v>
      </c>
      <c r="X1561" s="55"/>
      <c r="Y1561" s="55"/>
    </row>
    <row r="1562" spans="1:25" x14ac:dyDescent="0.2">
      <c r="A1562" s="20" t="s">
        <v>1485</v>
      </c>
      <c r="B1562" s="405" t="s">
        <v>1571</v>
      </c>
      <c r="C1562" s="20" t="str">
        <f t="shared" si="164"/>
        <v>Warm Temperate DryWestern Asia</v>
      </c>
      <c r="D1562" s="572">
        <v>4.7</v>
      </c>
      <c r="E1562" s="572">
        <v>4.7</v>
      </c>
      <c r="F1562" s="572">
        <v>4.7</v>
      </c>
      <c r="G1562" s="565">
        <f t="shared" si="166"/>
        <v>2.8669999999999995</v>
      </c>
      <c r="H1562" s="730">
        <v>0</v>
      </c>
      <c r="I1562" s="758">
        <f t="shared" si="162"/>
        <v>20.599999999999998</v>
      </c>
      <c r="J1562" s="588"/>
      <c r="K1562" s="574"/>
      <c r="L1562" s="564">
        <v>13.1</v>
      </c>
      <c r="M1562" s="759"/>
      <c r="N1562" s="759"/>
      <c r="O1562" s="759"/>
      <c r="P1562" s="564">
        <v>13.7</v>
      </c>
      <c r="Q1562" s="563">
        <v>35</v>
      </c>
      <c r="R1562" s="757">
        <v>1</v>
      </c>
      <c r="S1562" s="572">
        <v>6.9</v>
      </c>
      <c r="T1562" s="55">
        <v>6.4</v>
      </c>
      <c r="U1562" s="573">
        <v>6.35</v>
      </c>
      <c r="V1562" s="55">
        <v>18.3</v>
      </c>
      <c r="W1562" s="572">
        <v>2.8</v>
      </c>
      <c r="X1562" s="55"/>
      <c r="Y1562" s="55"/>
    </row>
    <row r="1563" spans="1:25" x14ac:dyDescent="0.2">
      <c r="A1563" s="20" t="s">
        <v>1485</v>
      </c>
      <c r="B1563" s="405" t="s">
        <v>1555</v>
      </c>
      <c r="C1563" s="20" t="str">
        <f t="shared" si="164"/>
        <v>Warm Temperate DryEurope</v>
      </c>
      <c r="D1563" s="572">
        <v>4.7</v>
      </c>
      <c r="E1563" s="572">
        <v>4.7</v>
      </c>
      <c r="F1563" s="572">
        <v>4.7</v>
      </c>
      <c r="G1563" s="565">
        <f t="shared" si="166"/>
        <v>2.8669999999999995</v>
      </c>
      <c r="H1563" s="730">
        <v>0</v>
      </c>
      <c r="I1563" s="758">
        <f t="shared" si="162"/>
        <v>20.599999999999998</v>
      </c>
      <c r="J1563" s="588"/>
      <c r="K1563" s="574"/>
      <c r="L1563" s="564">
        <v>13.1</v>
      </c>
      <c r="M1563" s="759"/>
      <c r="N1563" s="759"/>
      <c r="O1563" s="759"/>
      <c r="P1563" s="564">
        <v>13.7</v>
      </c>
      <c r="Q1563" s="563">
        <v>35</v>
      </c>
      <c r="R1563" s="757">
        <v>1</v>
      </c>
      <c r="S1563" s="572">
        <v>6.9</v>
      </c>
      <c r="T1563" s="55">
        <v>6.4</v>
      </c>
      <c r="U1563" s="573">
        <v>6.35</v>
      </c>
      <c r="V1563" s="55">
        <v>18.3</v>
      </c>
      <c r="W1563" s="572">
        <v>2.8</v>
      </c>
      <c r="X1563" s="55"/>
      <c r="Y1563" s="55"/>
    </row>
    <row r="1564" spans="1:25" x14ac:dyDescent="0.2">
      <c r="A1564" s="20" t="s">
        <v>1485</v>
      </c>
      <c r="B1564" s="405" t="s">
        <v>1346</v>
      </c>
      <c r="C1564" s="20" t="str">
        <f t="shared" si="164"/>
        <v>Warm Temperate DryOceania</v>
      </c>
      <c r="D1564" s="572">
        <v>4.7</v>
      </c>
      <c r="E1564" s="572">
        <v>4.7</v>
      </c>
      <c r="F1564" s="572">
        <v>4.7</v>
      </c>
      <c r="G1564" s="565">
        <f t="shared" si="166"/>
        <v>2.8669999999999995</v>
      </c>
      <c r="H1564" s="730">
        <v>0</v>
      </c>
      <c r="I1564" s="758">
        <f t="shared" si="162"/>
        <v>20.599999999999998</v>
      </c>
      <c r="J1564" s="588"/>
      <c r="K1564" s="574"/>
      <c r="L1564" s="564">
        <v>13.1</v>
      </c>
      <c r="M1564" s="759"/>
      <c r="N1564" s="759"/>
      <c r="O1564" s="759"/>
      <c r="P1564" s="564">
        <v>13.7</v>
      </c>
      <c r="Q1564" s="563">
        <v>35</v>
      </c>
      <c r="R1564" s="757">
        <v>1</v>
      </c>
      <c r="S1564" s="572">
        <v>6.9</v>
      </c>
      <c r="T1564" s="55">
        <v>6.4</v>
      </c>
      <c r="U1564" s="573">
        <v>6.35</v>
      </c>
      <c r="V1564" s="55">
        <v>18.3</v>
      </c>
      <c r="W1564" s="572">
        <v>2.8</v>
      </c>
      <c r="X1564" s="55"/>
      <c r="Y1564" s="55"/>
    </row>
    <row r="1565" spans="1:25" x14ac:dyDescent="0.2">
      <c r="A1565" s="20" t="s">
        <v>1485</v>
      </c>
      <c r="B1565" s="405" t="s">
        <v>1343</v>
      </c>
      <c r="C1565" s="20" t="str">
        <f t="shared" si="164"/>
        <v>Warm Temperate DryNorth America</v>
      </c>
      <c r="D1565" s="572">
        <v>4.7</v>
      </c>
      <c r="E1565" s="572">
        <v>4.7</v>
      </c>
      <c r="F1565" s="572">
        <v>4.7</v>
      </c>
      <c r="G1565" s="565">
        <f t="shared" si="166"/>
        <v>2.8669999999999995</v>
      </c>
      <c r="H1565" s="730">
        <v>0</v>
      </c>
      <c r="I1565" s="758">
        <f t="shared" si="162"/>
        <v>20.599999999999998</v>
      </c>
      <c r="J1565" s="588"/>
      <c r="K1565" s="574"/>
      <c r="L1565" s="564">
        <v>13.1</v>
      </c>
      <c r="M1565" s="759"/>
      <c r="N1565" s="759"/>
      <c r="O1565" s="759"/>
      <c r="P1565" s="564">
        <v>13.7</v>
      </c>
      <c r="Q1565" s="563">
        <v>35</v>
      </c>
      <c r="R1565" s="757">
        <v>1</v>
      </c>
      <c r="S1565" s="572">
        <v>6.9</v>
      </c>
      <c r="T1565" s="55">
        <v>6.4</v>
      </c>
      <c r="U1565" s="573">
        <v>6.35</v>
      </c>
      <c r="V1565" s="55">
        <v>18.3</v>
      </c>
      <c r="W1565" s="572">
        <v>2.8</v>
      </c>
      <c r="X1565" s="55"/>
      <c r="Y1565" s="55"/>
    </row>
    <row r="1566" spans="1:25" x14ac:dyDescent="0.2">
      <c r="A1566" s="20" t="s">
        <v>1485</v>
      </c>
      <c r="B1566" s="405" t="s">
        <v>1349</v>
      </c>
      <c r="C1566" s="20" t="str">
        <f t="shared" si="164"/>
        <v>Warm Temperate DrySouth America</v>
      </c>
      <c r="D1566" s="572">
        <v>4.7</v>
      </c>
      <c r="E1566" s="572">
        <v>4.7</v>
      </c>
      <c r="F1566" s="572">
        <v>4.7</v>
      </c>
      <c r="G1566" s="565">
        <f t="shared" si="166"/>
        <v>2.8669999999999995</v>
      </c>
      <c r="H1566" s="730">
        <v>0</v>
      </c>
      <c r="I1566" s="758">
        <f t="shared" si="162"/>
        <v>20.599999999999998</v>
      </c>
      <c r="J1566" s="588"/>
      <c r="K1566" s="574"/>
      <c r="L1566" s="564">
        <v>13.1</v>
      </c>
      <c r="M1566" s="759"/>
      <c r="N1566" s="759"/>
      <c r="O1566" s="759"/>
      <c r="P1566" s="564">
        <v>13.7</v>
      </c>
      <c r="Q1566" s="563">
        <v>35</v>
      </c>
      <c r="R1566" s="757">
        <v>1</v>
      </c>
      <c r="S1566" s="572">
        <v>6.9</v>
      </c>
      <c r="T1566" s="55">
        <v>6.4</v>
      </c>
      <c r="U1566" s="573">
        <v>6.35</v>
      </c>
      <c r="V1566" s="55">
        <v>18.3</v>
      </c>
      <c r="W1566" s="572">
        <v>2.8</v>
      </c>
      <c r="X1566" s="55"/>
      <c r="Y1566" s="55"/>
    </row>
    <row r="1567" spans="1:25" x14ac:dyDescent="0.2">
      <c r="A1567" s="20" t="s">
        <v>1485</v>
      </c>
      <c r="B1567" s="405" t="s">
        <v>1333</v>
      </c>
      <c r="C1567" s="20" t="str">
        <f t="shared" si="164"/>
        <v>Warm Temperate DryCentral America</v>
      </c>
      <c r="D1567" s="572">
        <v>4.7</v>
      </c>
      <c r="E1567" s="572">
        <v>4.7</v>
      </c>
      <c r="F1567" s="572">
        <v>4.7</v>
      </c>
      <c r="G1567" s="565">
        <f t="shared" si="166"/>
        <v>2.8669999999999995</v>
      </c>
      <c r="H1567" s="730">
        <v>0</v>
      </c>
      <c r="I1567" s="758">
        <f t="shared" si="162"/>
        <v>20.599999999999998</v>
      </c>
      <c r="J1567" s="588"/>
      <c r="K1567" s="574"/>
      <c r="L1567" s="564">
        <v>13.1</v>
      </c>
      <c r="M1567" s="759"/>
      <c r="N1567" s="759"/>
      <c r="O1567" s="759"/>
      <c r="P1567" s="564">
        <v>13.7</v>
      </c>
      <c r="Q1567" s="563">
        <v>35</v>
      </c>
      <c r="R1567" s="757">
        <v>1</v>
      </c>
      <c r="S1567" s="572">
        <v>6.9</v>
      </c>
      <c r="T1567" s="55">
        <v>6.4</v>
      </c>
      <c r="U1567" s="573">
        <v>6.35</v>
      </c>
      <c r="V1567" s="55">
        <v>18.3</v>
      </c>
      <c r="W1567" s="572">
        <v>2.8</v>
      </c>
      <c r="X1567" s="55"/>
      <c r="Y1567" s="55"/>
    </row>
    <row r="1568" spans="1:25" x14ac:dyDescent="0.2">
      <c r="A1568" s="37" t="s">
        <v>1485</v>
      </c>
      <c r="B1568" s="406" t="s">
        <v>1547</v>
      </c>
      <c r="C1568" s="37" t="str">
        <f t="shared" si="164"/>
        <v>Warm Temperate DryCaribbean</v>
      </c>
      <c r="D1568" s="420">
        <v>4.7</v>
      </c>
      <c r="E1568" s="420">
        <v>4.7</v>
      </c>
      <c r="F1568" s="420">
        <v>4.7</v>
      </c>
      <c r="G1568" s="565">
        <f t="shared" si="166"/>
        <v>2.8669999999999995</v>
      </c>
      <c r="H1568" s="731">
        <v>0</v>
      </c>
      <c r="I1568" s="760">
        <f t="shared" si="162"/>
        <v>20.599999999999998</v>
      </c>
      <c r="J1568" s="588"/>
      <c r="K1568" s="574"/>
      <c r="L1568" s="577">
        <v>13.1</v>
      </c>
      <c r="M1568" s="761"/>
      <c r="N1568" s="761"/>
      <c r="O1568" s="761"/>
      <c r="P1568" s="577">
        <v>13.7</v>
      </c>
      <c r="Q1568" s="576">
        <v>35</v>
      </c>
      <c r="R1568" s="757">
        <v>1</v>
      </c>
      <c r="S1568" s="420">
        <v>6.9</v>
      </c>
      <c r="T1568" s="579">
        <v>6.4</v>
      </c>
      <c r="U1568" s="581">
        <v>6.35</v>
      </c>
      <c r="V1568" s="579">
        <v>18.3</v>
      </c>
      <c r="W1568" s="420">
        <v>2.8</v>
      </c>
      <c r="X1568" s="55"/>
      <c r="Y1568" s="55"/>
    </row>
    <row r="1569" spans="1:25" x14ac:dyDescent="0.2">
      <c r="A1569" s="63" t="s">
        <v>1486</v>
      </c>
      <c r="B1569" s="407" t="s">
        <v>1552</v>
      </c>
      <c r="C1569" s="63" t="str">
        <f>CONCATENATE(A1569,B1569)</f>
        <v>Warm Temperate MoistEastern Africa</v>
      </c>
      <c r="D1569" s="569">
        <v>4.7</v>
      </c>
      <c r="E1569" s="569">
        <v>4.7</v>
      </c>
      <c r="F1569" s="569">
        <v>4.7</v>
      </c>
      <c r="G1569" s="582">
        <f t="shared" ref="G1569:G1584" si="167">13.5*0.47</f>
        <v>6.3449999999999998</v>
      </c>
      <c r="H1569" s="729">
        <v>0</v>
      </c>
      <c r="I1569" s="755">
        <f t="shared" si="162"/>
        <v>20.599999999999998</v>
      </c>
      <c r="J1569" s="591"/>
      <c r="K1569" s="584"/>
      <c r="L1569" s="583">
        <v>13.1</v>
      </c>
      <c r="M1569" s="756"/>
      <c r="N1569" s="756"/>
      <c r="O1569" s="756"/>
      <c r="P1569" s="583">
        <v>13.7</v>
      </c>
      <c r="Q1569" s="585">
        <v>35</v>
      </c>
      <c r="R1569" s="757">
        <v>1</v>
      </c>
      <c r="S1569" s="569">
        <v>6.9</v>
      </c>
      <c r="T1569" s="567">
        <v>6.4</v>
      </c>
      <c r="U1569" s="570">
        <v>6.35</v>
      </c>
      <c r="V1569" s="567">
        <v>18.3</v>
      </c>
      <c r="W1569" s="569">
        <v>2.8</v>
      </c>
      <c r="X1569" s="567"/>
      <c r="Y1569" s="567"/>
    </row>
    <row r="1570" spans="1:25" x14ac:dyDescent="0.2">
      <c r="A1570" s="20" t="s">
        <v>1486</v>
      </c>
      <c r="B1570" s="405" t="s">
        <v>1557</v>
      </c>
      <c r="C1570" s="20" t="str">
        <f t="shared" ref="C1570:C1600" si="168">CONCATENATE(A1570,B1570)</f>
        <v>Warm Temperate MoistCentral Africa</v>
      </c>
      <c r="D1570" s="572">
        <v>4.7</v>
      </c>
      <c r="E1570" s="572">
        <v>4.7</v>
      </c>
      <c r="F1570" s="572">
        <v>4.7</v>
      </c>
      <c r="G1570" s="565">
        <f t="shared" si="167"/>
        <v>6.3449999999999998</v>
      </c>
      <c r="H1570" s="730">
        <v>0</v>
      </c>
      <c r="I1570" s="758">
        <f t="shared" si="162"/>
        <v>20.599999999999998</v>
      </c>
      <c r="J1570" s="588"/>
      <c r="K1570" s="574"/>
      <c r="L1570" s="564">
        <v>13.1</v>
      </c>
      <c r="M1570" s="759"/>
      <c r="N1570" s="759"/>
      <c r="O1570" s="759"/>
      <c r="P1570" s="564">
        <v>13.7</v>
      </c>
      <c r="Q1570" s="563">
        <v>35</v>
      </c>
      <c r="R1570" s="757">
        <v>1</v>
      </c>
      <c r="S1570" s="572">
        <v>6.9</v>
      </c>
      <c r="T1570" s="55">
        <v>6.4</v>
      </c>
      <c r="U1570" s="573">
        <v>6.35</v>
      </c>
      <c r="V1570" s="55">
        <v>18.3</v>
      </c>
      <c r="W1570" s="572">
        <v>2.8</v>
      </c>
      <c r="X1570" s="55"/>
      <c r="Y1570" s="55"/>
    </row>
    <row r="1571" spans="1:25" x14ac:dyDescent="0.2">
      <c r="A1571" s="20" t="s">
        <v>1486</v>
      </c>
      <c r="B1571" s="405" t="s">
        <v>1559</v>
      </c>
      <c r="C1571" s="20" t="str">
        <f t="shared" si="168"/>
        <v>Warm Temperate MoistNorthern Africa</v>
      </c>
      <c r="D1571" s="572">
        <v>4.7</v>
      </c>
      <c r="E1571" s="572">
        <v>4.7</v>
      </c>
      <c r="F1571" s="572">
        <v>4.7</v>
      </c>
      <c r="G1571" s="565">
        <f t="shared" si="167"/>
        <v>6.3449999999999998</v>
      </c>
      <c r="H1571" s="730">
        <v>0</v>
      </c>
      <c r="I1571" s="758">
        <f t="shared" si="162"/>
        <v>20.599999999999998</v>
      </c>
      <c r="J1571" s="588"/>
      <c r="K1571" s="574"/>
      <c r="L1571" s="564">
        <v>13.1</v>
      </c>
      <c r="M1571" s="759"/>
      <c r="N1571" s="759"/>
      <c r="O1571" s="759"/>
      <c r="P1571" s="564">
        <v>13.7</v>
      </c>
      <c r="Q1571" s="563">
        <v>35</v>
      </c>
      <c r="R1571" s="757">
        <v>1</v>
      </c>
      <c r="S1571" s="572">
        <v>6.9</v>
      </c>
      <c r="T1571" s="55">
        <v>6.4</v>
      </c>
      <c r="U1571" s="573">
        <v>6.35</v>
      </c>
      <c r="V1571" s="55">
        <v>18.3</v>
      </c>
      <c r="W1571" s="572">
        <v>2.8</v>
      </c>
      <c r="X1571" s="55"/>
      <c r="Y1571" s="55"/>
    </row>
    <row r="1572" spans="1:25" x14ac:dyDescent="0.2">
      <c r="A1572" s="20" t="s">
        <v>1486</v>
      </c>
      <c r="B1572" s="405" t="s">
        <v>1565</v>
      </c>
      <c r="C1572" s="20" t="str">
        <f t="shared" si="168"/>
        <v>Warm Temperate MoistSouthern Africa</v>
      </c>
      <c r="D1572" s="572">
        <v>4.7</v>
      </c>
      <c r="E1572" s="572">
        <v>4.7</v>
      </c>
      <c r="F1572" s="572">
        <v>4.7</v>
      </c>
      <c r="G1572" s="565">
        <f t="shared" si="167"/>
        <v>6.3449999999999998</v>
      </c>
      <c r="H1572" s="730">
        <v>0</v>
      </c>
      <c r="I1572" s="758">
        <f t="shared" si="162"/>
        <v>20.599999999999998</v>
      </c>
      <c r="J1572" s="588"/>
      <c r="K1572" s="574"/>
      <c r="L1572" s="564">
        <v>13.1</v>
      </c>
      <c r="M1572" s="759"/>
      <c r="N1572" s="759"/>
      <c r="O1572" s="759"/>
      <c r="P1572" s="564">
        <v>13.7</v>
      </c>
      <c r="Q1572" s="563">
        <v>35</v>
      </c>
      <c r="R1572" s="757">
        <v>1</v>
      </c>
      <c r="S1572" s="572">
        <v>6.9</v>
      </c>
      <c r="T1572" s="55">
        <v>6.4</v>
      </c>
      <c r="U1572" s="573">
        <v>6.35</v>
      </c>
      <c r="V1572" s="55">
        <v>18.3</v>
      </c>
      <c r="W1572" s="572">
        <v>2.8</v>
      </c>
      <c r="X1572" s="55"/>
      <c r="Y1572" s="55"/>
    </row>
    <row r="1573" spans="1:25" x14ac:dyDescent="0.2">
      <c r="A1573" s="20" t="s">
        <v>1486</v>
      </c>
      <c r="B1573" s="405" t="s">
        <v>1569</v>
      </c>
      <c r="C1573" s="20" t="str">
        <f t="shared" si="168"/>
        <v>Warm Temperate MoistWestern Africa</v>
      </c>
      <c r="D1573" s="572">
        <v>4.7</v>
      </c>
      <c r="E1573" s="572">
        <v>4.7</v>
      </c>
      <c r="F1573" s="572">
        <v>4.7</v>
      </c>
      <c r="G1573" s="565">
        <f t="shared" si="167"/>
        <v>6.3449999999999998</v>
      </c>
      <c r="H1573" s="730">
        <v>0</v>
      </c>
      <c r="I1573" s="758">
        <f>AVERAGE(J1573:Q1573)</f>
        <v>20.599999999999998</v>
      </c>
      <c r="J1573" s="588"/>
      <c r="K1573" s="574"/>
      <c r="L1573" s="564">
        <v>13.1</v>
      </c>
      <c r="M1573" s="759"/>
      <c r="N1573" s="759"/>
      <c r="O1573" s="759"/>
      <c r="P1573" s="564">
        <v>13.7</v>
      </c>
      <c r="Q1573" s="563">
        <v>35</v>
      </c>
      <c r="R1573" s="757">
        <v>1</v>
      </c>
      <c r="S1573" s="572">
        <v>6.9</v>
      </c>
      <c r="T1573" s="55">
        <v>6.4</v>
      </c>
      <c r="U1573" s="573">
        <v>6.35</v>
      </c>
      <c r="V1573" s="55">
        <v>18.3</v>
      </c>
      <c r="W1573" s="572">
        <v>2.8</v>
      </c>
      <c r="X1573" s="55"/>
      <c r="Y1573" s="55"/>
    </row>
    <row r="1574" spans="1:25" x14ac:dyDescent="0.2">
      <c r="A1574" s="20" t="s">
        <v>1486</v>
      </c>
      <c r="B1574" s="405" t="s">
        <v>1550</v>
      </c>
      <c r="C1574" s="20" t="str">
        <f t="shared" si="168"/>
        <v>Warm Temperate MoistCentral Asia</v>
      </c>
      <c r="D1574" s="572">
        <v>4.7</v>
      </c>
      <c r="E1574" s="572">
        <v>4.7</v>
      </c>
      <c r="F1574" s="572">
        <v>4.7</v>
      </c>
      <c r="G1574" s="565">
        <f t="shared" si="167"/>
        <v>6.3449999999999998</v>
      </c>
      <c r="H1574" s="730">
        <v>0</v>
      </c>
      <c r="I1574" s="758">
        <f t="shared" si="162"/>
        <v>20.599999999999998</v>
      </c>
      <c r="J1574" s="588"/>
      <c r="K1574" s="574"/>
      <c r="L1574" s="564">
        <v>13.1</v>
      </c>
      <c r="M1574" s="759"/>
      <c r="N1574" s="759"/>
      <c r="O1574" s="759"/>
      <c r="P1574" s="564">
        <v>13.7</v>
      </c>
      <c r="Q1574" s="563">
        <v>35</v>
      </c>
      <c r="R1574" s="757">
        <v>1</v>
      </c>
      <c r="S1574" s="572">
        <v>6.9</v>
      </c>
      <c r="T1574" s="55">
        <v>6.4</v>
      </c>
      <c r="U1574" s="573">
        <v>6.35</v>
      </c>
      <c r="V1574" s="55">
        <v>18.3</v>
      </c>
      <c r="W1574" s="572">
        <v>2.8</v>
      </c>
      <c r="X1574" s="55"/>
      <c r="Y1574" s="55"/>
    </row>
    <row r="1575" spans="1:25" x14ac:dyDescent="0.2">
      <c r="A1575" s="20" t="s">
        <v>1486</v>
      </c>
      <c r="B1575" s="405" t="s">
        <v>1554</v>
      </c>
      <c r="C1575" s="20" t="str">
        <f t="shared" si="168"/>
        <v>Warm Temperate MoistEastern Asia</v>
      </c>
      <c r="D1575" s="572">
        <v>4.7</v>
      </c>
      <c r="E1575" s="572">
        <v>4.7</v>
      </c>
      <c r="F1575" s="572">
        <v>4.7</v>
      </c>
      <c r="G1575" s="565">
        <f t="shared" si="167"/>
        <v>6.3449999999999998</v>
      </c>
      <c r="H1575" s="730">
        <v>0</v>
      </c>
      <c r="I1575" s="758">
        <f t="shared" si="162"/>
        <v>20.599999999999998</v>
      </c>
      <c r="J1575" s="588"/>
      <c r="K1575" s="574"/>
      <c r="L1575" s="564">
        <v>13.1</v>
      </c>
      <c r="M1575" s="759"/>
      <c r="N1575" s="759"/>
      <c r="O1575" s="759"/>
      <c r="P1575" s="564">
        <v>13.7</v>
      </c>
      <c r="Q1575" s="563">
        <v>35</v>
      </c>
      <c r="R1575" s="757">
        <v>1</v>
      </c>
      <c r="S1575" s="572">
        <v>6.9</v>
      </c>
      <c r="T1575" s="55">
        <v>6.4</v>
      </c>
      <c r="U1575" s="573">
        <v>6.35</v>
      </c>
      <c r="V1575" s="55">
        <v>18.3</v>
      </c>
      <c r="W1575" s="572">
        <v>2.8</v>
      </c>
      <c r="X1575" s="55"/>
      <c r="Y1575" s="55"/>
    </row>
    <row r="1576" spans="1:25" x14ac:dyDescent="0.2">
      <c r="A1576" s="20" t="s">
        <v>1486</v>
      </c>
      <c r="B1576" s="405" t="s">
        <v>1563</v>
      </c>
      <c r="C1576" s="20" t="str">
        <f t="shared" si="168"/>
        <v>Warm Temperate MoistSouth-eastern Asia</v>
      </c>
      <c r="D1576" s="572">
        <v>4.7</v>
      </c>
      <c r="E1576" s="572">
        <v>4.7</v>
      </c>
      <c r="F1576" s="572">
        <v>4.7</v>
      </c>
      <c r="G1576" s="565">
        <f t="shared" si="167"/>
        <v>6.3449999999999998</v>
      </c>
      <c r="H1576" s="730">
        <v>0</v>
      </c>
      <c r="I1576" s="758">
        <f t="shared" si="162"/>
        <v>20.599999999999998</v>
      </c>
      <c r="J1576" s="588"/>
      <c r="K1576" s="574"/>
      <c r="L1576" s="564">
        <v>13.1</v>
      </c>
      <c r="M1576" s="759"/>
      <c r="N1576" s="759"/>
      <c r="O1576" s="759"/>
      <c r="P1576" s="564">
        <v>13.7</v>
      </c>
      <c r="Q1576" s="563">
        <v>35</v>
      </c>
      <c r="R1576" s="757">
        <v>1</v>
      </c>
      <c r="S1576" s="572">
        <v>6.9</v>
      </c>
      <c r="T1576" s="55">
        <v>6.4</v>
      </c>
      <c r="U1576" s="573">
        <v>6.35</v>
      </c>
      <c r="V1576" s="55">
        <v>18.3</v>
      </c>
      <c r="W1576" s="572">
        <v>2.8</v>
      </c>
      <c r="X1576" s="55"/>
      <c r="Y1576" s="55"/>
    </row>
    <row r="1577" spans="1:25" x14ac:dyDescent="0.2">
      <c r="A1577" s="20" t="s">
        <v>1486</v>
      </c>
      <c r="B1577" s="405" t="s">
        <v>1567</v>
      </c>
      <c r="C1577" s="20" t="str">
        <f t="shared" si="168"/>
        <v>Warm Temperate MoistSouthern Asia</v>
      </c>
      <c r="D1577" s="572">
        <v>4.7</v>
      </c>
      <c r="E1577" s="572">
        <v>4.7</v>
      </c>
      <c r="F1577" s="572">
        <v>4.7</v>
      </c>
      <c r="G1577" s="565">
        <f t="shared" si="167"/>
        <v>6.3449999999999998</v>
      </c>
      <c r="H1577" s="730">
        <v>0</v>
      </c>
      <c r="I1577" s="758">
        <f t="shared" si="162"/>
        <v>20.599999999999998</v>
      </c>
      <c r="J1577" s="588"/>
      <c r="K1577" s="574"/>
      <c r="L1577" s="564">
        <v>13.1</v>
      </c>
      <c r="M1577" s="759"/>
      <c r="N1577" s="759"/>
      <c r="O1577" s="759"/>
      <c r="P1577" s="564">
        <v>13.7</v>
      </c>
      <c r="Q1577" s="563">
        <v>35</v>
      </c>
      <c r="R1577" s="757">
        <v>1</v>
      </c>
      <c r="S1577" s="572">
        <v>6.9</v>
      </c>
      <c r="T1577" s="55">
        <v>6.4</v>
      </c>
      <c r="U1577" s="573">
        <v>6.35</v>
      </c>
      <c r="V1577" s="55">
        <v>18.3</v>
      </c>
      <c r="W1577" s="572">
        <v>2.8</v>
      </c>
      <c r="X1577" s="55"/>
      <c r="Y1577" s="55"/>
    </row>
    <row r="1578" spans="1:25" x14ac:dyDescent="0.2">
      <c r="A1578" s="20" t="s">
        <v>1486</v>
      </c>
      <c r="B1578" s="405" t="s">
        <v>1571</v>
      </c>
      <c r="C1578" s="20" t="str">
        <f t="shared" si="168"/>
        <v>Warm Temperate MoistWestern Asia</v>
      </c>
      <c r="D1578" s="572">
        <v>4.7</v>
      </c>
      <c r="E1578" s="572">
        <v>4.7</v>
      </c>
      <c r="F1578" s="572">
        <v>4.7</v>
      </c>
      <c r="G1578" s="565">
        <f t="shared" si="167"/>
        <v>6.3449999999999998</v>
      </c>
      <c r="H1578" s="730">
        <v>0</v>
      </c>
      <c r="I1578" s="758">
        <f t="shared" si="162"/>
        <v>20.599999999999998</v>
      </c>
      <c r="J1578" s="588"/>
      <c r="K1578" s="574"/>
      <c r="L1578" s="564">
        <v>13.1</v>
      </c>
      <c r="M1578" s="759"/>
      <c r="N1578" s="759"/>
      <c r="O1578" s="759"/>
      <c r="P1578" s="564">
        <v>13.7</v>
      </c>
      <c r="Q1578" s="563">
        <v>35</v>
      </c>
      <c r="R1578" s="757">
        <v>1</v>
      </c>
      <c r="S1578" s="572">
        <v>6.9</v>
      </c>
      <c r="T1578" s="55">
        <v>6.4</v>
      </c>
      <c r="U1578" s="573">
        <v>6.35</v>
      </c>
      <c r="V1578" s="55">
        <v>18.3</v>
      </c>
      <c r="W1578" s="572">
        <v>2.8</v>
      </c>
      <c r="X1578" s="55"/>
      <c r="Y1578" s="55"/>
    </row>
    <row r="1579" spans="1:25" x14ac:dyDescent="0.2">
      <c r="A1579" s="20" t="s">
        <v>1486</v>
      </c>
      <c r="B1579" s="405" t="s">
        <v>1555</v>
      </c>
      <c r="C1579" s="20" t="str">
        <f t="shared" si="168"/>
        <v>Warm Temperate MoistEurope</v>
      </c>
      <c r="D1579" s="572">
        <v>4.7</v>
      </c>
      <c r="E1579" s="572">
        <v>4.7</v>
      </c>
      <c r="F1579" s="572">
        <v>4.7</v>
      </c>
      <c r="G1579" s="565">
        <f t="shared" si="167"/>
        <v>6.3449999999999998</v>
      </c>
      <c r="H1579" s="730">
        <v>0</v>
      </c>
      <c r="I1579" s="758">
        <f t="shared" si="162"/>
        <v>20.599999999999998</v>
      </c>
      <c r="J1579" s="588"/>
      <c r="K1579" s="574"/>
      <c r="L1579" s="564">
        <v>13.1</v>
      </c>
      <c r="M1579" s="759"/>
      <c r="N1579" s="759"/>
      <c r="O1579" s="759"/>
      <c r="P1579" s="564">
        <v>13.7</v>
      </c>
      <c r="Q1579" s="563">
        <v>35</v>
      </c>
      <c r="R1579" s="757">
        <v>1</v>
      </c>
      <c r="S1579" s="572">
        <v>6.9</v>
      </c>
      <c r="T1579" s="55">
        <v>6.4</v>
      </c>
      <c r="U1579" s="573">
        <v>6.35</v>
      </c>
      <c r="V1579" s="55">
        <v>18.3</v>
      </c>
      <c r="W1579" s="572">
        <v>2.8</v>
      </c>
      <c r="X1579" s="55"/>
      <c r="Y1579" s="55"/>
    </row>
    <row r="1580" spans="1:25" x14ac:dyDescent="0.2">
      <c r="A1580" s="20" t="s">
        <v>1486</v>
      </c>
      <c r="B1580" s="405" t="s">
        <v>1346</v>
      </c>
      <c r="C1580" s="20" t="str">
        <f t="shared" si="168"/>
        <v>Warm Temperate MoistOceania</v>
      </c>
      <c r="D1580" s="572">
        <v>4.7</v>
      </c>
      <c r="E1580" s="572">
        <v>4.7</v>
      </c>
      <c r="F1580" s="572">
        <v>4.7</v>
      </c>
      <c r="G1580" s="565">
        <f t="shared" si="167"/>
        <v>6.3449999999999998</v>
      </c>
      <c r="H1580" s="730">
        <v>0</v>
      </c>
      <c r="I1580" s="758">
        <f t="shared" si="162"/>
        <v>20.599999999999998</v>
      </c>
      <c r="J1580" s="588"/>
      <c r="K1580" s="574"/>
      <c r="L1580" s="564">
        <v>13.1</v>
      </c>
      <c r="M1580" s="759"/>
      <c r="N1580" s="759"/>
      <c r="O1580" s="759"/>
      <c r="P1580" s="564">
        <v>13.7</v>
      </c>
      <c r="Q1580" s="563">
        <v>35</v>
      </c>
      <c r="R1580" s="757">
        <v>1</v>
      </c>
      <c r="S1580" s="572">
        <v>6.9</v>
      </c>
      <c r="T1580" s="55">
        <v>6.4</v>
      </c>
      <c r="U1580" s="573">
        <v>6.35</v>
      </c>
      <c r="V1580" s="55">
        <v>18.3</v>
      </c>
      <c r="W1580" s="572">
        <v>2.8</v>
      </c>
      <c r="X1580" s="55"/>
      <c r="Y1580" s="55"/>
    </row>
    <row r="1581" spans="1:25" x14ac:dyDescent="0.2">
      <c r="A1581" s="20" t="s">
        <v>1486</v>
      </c>
      <c r="B1581" s="405" t="s">
        <v>1343</v>
      </c>
      <c r="C1581" s="20" t="str">
        <f t="shared" si="168"/>
        <v>Warm Temperate MoistNorth America</v>
      </c>
      <c r="D1581" s="572">
        <v>4.7</v>
      </c>
      <c r="E1581" s="572">
        <v>4.7</v>
      </c>
      <c r="F1581" s="572">
        <v>4.7</v>
      </c>
      <c r="G1581" s="565">
        <f t="shared" si="167"/>
        <v>6.3449999999999998</v>
      </c>
      <c r="H1581" s="730">
        <v>0</v>
      </c>
      <c r="I1581" s="758">
        <f t="shared" si="162"/>
        <v>20.599999999999998</v>
      </c>
      <c r="J1581" s="588"/>
      <c r="K1581" s="574"/>
      <c r="L1581" s="564">
        <v>13.1</v>
      </c>
      <c r="M1581" s="759"/>
      <c r="N1581" s="759"/>
      <c r="O1581" s="759"/>
      <c r="P1581" s="564">
        <v>13.7</v>
      </c>
      <c r="Q1581" s="563">
        <v>35</v>
      </c>
      <c r="R1581" s="757">
        <v>1</v>
      </c>
      <c r="S1581" s="572">
        <v>6.9</v>
      </c>
      <c r="T1581" s="55">
        <v>6.4</v>
      </c>
      <c r="U1581" s="573">
        <v>6.35</v>
      </c>
      <c r="V1581" s="55">
        <v>18.3</v>
      </c>
      <c r="W1581" s="572">
        <v>2.8</v>
      </c>
      <c r="X1581" s="55"/>
      <c r="Y1581" s="55"/>
    </row>
    <row r="1582" spans="1:25" x14ac:dyDescent="0.2">
      <c r="A1582" s="20" t="s">
        <v>1486</v>
      </c>
      <c r="B1582" s="405" t="s">
        <v>1349</v>
      </c>
      <c r="C1582" s="20" t="str">
        <f t="shared" si="168"/>
        <v>Warm Temperate MoistSouth America</v>
      </c>
      <c r="D1582" s="572">
        <v>4.7</v>
      </c>
      <c r="E1582" s="572">
        <v>4.7</v>
      </c>
      <c r="F1582" s="572">
        <v>4.7</v>
      </c>
      <c r="G1582" s="565">
        <f t="shared" si="167"/>
        <v>6.3449999999999998</v>
      </c>
      <c r="H1582" s="730">
        <v>0</v>
      </c>
      <c r="I1582" s="758">
        <f t="shared" si="162"/>
        <v>20.599999999999998</v>
      </c>
      <c r="J1582" s="588"/>
      <c r="K1582" s="574"/>
      <c r="L1582" s="564">
        <v>13.1</v>
      </c>
      <c r="M1582" s="759"/>
      <c r="N1582" s="759"/>
      <c r="O1582" s="759"/>
      <c r="P1582" s="564">
        <v>13.7</v>
      </c>
      <c r="Q1582" s="563">
        <v>35</v>
      </c>
      <c r="R1582" s="757">
        <v>1</v>
      </c>
      <c r="S1582" s="572">
        <v>6.9</v>
      </c>
      <c r="T1582" s="55">
        <v>6.4</v>
      </c>
      <c r="U1582" s="573">
        <v>6.35</v>
      </c>
      <c r="V1582" s="55">
        <v>18.3</v>
      </c>
      <c r="W1582" s="572">
        <v>2.8</v>
      </c>
      <c r="X1582" s="55"/>
      <c r="Y1582" s="55"/>
    </row>
    <row r="1583" spans="1:25" x14ac:dyDescent="0.2">
      <c r="A1583" s="20" t="s">
        <v>1486</v>
      </c>
      <c r="B1583" s="405" t="s">
        <v>1333</v>
      </c>
      <c r="C1583" s="20" t="str">
        <f t="shared" si="168"/>
        <v>Warm Temperate MoistCentral America</v>
      </c>
      <c r="D1583" s="572">
        <v>4.7</v>
      </c>
      <c r="E1583" s="572">
        <v>4.7</v>
      </c>
      <c r="F1583" s="572">
        <v>4.7</v>
      </c>
      <c r="G1583" s="565">
        <f t="shared" si="167"/>
        <v>6.3449999999999998</v>
      </c>
      <c r="H1583" s="730">
        <v>0</v>
      </c>
      <c r="I1583" s="758">
        <f t="shared" si="162"/>
        <v>20.599999999999998</v>
      </c>
      <c r="J1583" s="588"/>
      <c r="K1583" s="574"/>
      <c r="L1583" s="564">
        <v>13.1</v>
      </c>
      <c r="M1583" s="759"/>
      <c r="N1583" s="759"/>
      <c r="O1583" s="759"/>
      <c r="P1583" s="564">
        <v>13.7</v>
      </c>
      <c r="Q1583" s="563">
        <v>35</v>
      </c>
      <c r="R1583" s="757">
        <v>1</v>
      </c>
      <c r="S1583" s="572">
        <v>6.9</v>
      </c>
      <c r="T1583" s="55">
        <v>6.4</v>
      </c>
      <c r="U1583" s="573">
        <v>6.35</v>
      </c>
      <c r="V1583" s="55">
        <v>18.3</v>
      </c>
      <c r="W1583" s="572">
        <v>2.8</v>
      </c>
      <c r="X1583" s="55"/>
      <c r="Y1583" s="55"/>
    </row>
    <row r="1584" spans="1:25" x14ac:dyDescent="0.2">
      <c r="A1584" s="37" t="s">
        <v>1486</v>
      </c>
      <c r="B1584" s="406" t="s">
        <v>1547</v>
      </c>
      <c r="C1584" s="37" t="str">
        <f t="shared" si="168"/>
        <v>Warm Temperate MoistCaribbean</v>
      </c>
      <c r="D1584" s="420">
        <v>4.7</v>
      </c>
      <c r="E1584" s="420">
        <v>4.7</v>
      </c>
      <c r="F1584" s="420">
        <v>4.7</v>
      </c>
      <c r="G1584" s="578">
        <f t="shared" si="167"/>
        <v>6.3449999999999998</v>
      </c>
      <c r="H1584" s="731">
        <v>0</v>
      </c>
      <c r="I1584" s="760">
        <f t="shared" si="162"/>
        <v>20.599999999999998</v>
      </c>
      <c r="J1584" s="588"/>
      <c r="K1584" s="616"/>
      <c r="L1584" s="577">
        <v>13.1</v>
      </c>
      <c r="M1584" s="761"/>
      <c r="N1584" s="761"/>
      <c r="O1584" s="761"/>
      <c r="P1584" s="577">
        <v>13.7</v>
      </c>
      <c r="Q1584" s="563">
        <v>35</v>
      </c>
      <c r="R1584" s="757">
        <v>1</v>
      </c>
      <c r="S1584" s="420">
        <v>6.9</v>
      </c>
      <c r="T1584" s="579">
        <v>6.4</v>
      </c>
      <c r="U1584" s="581">
        <v>6.35</v>
      </c>
      <c r="V1584" s="579">
        <v>18.3</v>
      </c>
      <c r="W1584" s="420">
        <v>2.8</v>
      </c>
      <c r="X1584" s="579"/>
      <c r="Y1584" s="579"/>
    </row>
    <row r="1585" spans="1:25" x14ac:dyDescent="0.2">
      <c r="A1585" s="63" t="s">
        <v>1487</v>
      </c>
      <c r="B1585" s="413" t="s">
        <v>1552</v>
      </c>
      <c r="C1585" s="63" t="str">
        <f t="shared" si="168"/>
        <v>Tropical DryEastern Africa</v>
      </c>
      <c r="D1585" s="569">
        <v>4.7</v>
      </c>
      <c r="E1585" s="569">
        <v>4.7</v>
      </c>
      <c r="F1585" s="569">
        <v>4.7</v>
      </c>
      <c r="G1585" s="582">
        <f t="shared" ref="G1585:G1600" si="169">8.7*0.47</f>
        <v>4.0889999999999995</v>
      </c>
      <c r="H1585" s="729">
        <v>0</v>
      </c>
      <c r="I1585" s="755">
        <f t="shared" si="162"/>
        <v>20.887499999999999</v>
      </c>
      <c r="J1585" s="585">
        <v>23.7</v>
      </c>
      <c r="K1585" s="583">
        <v>11.1</v>
      </c>
      <c r="L1585" s="583">
        <v>4.7</v>
      </c>
      <c r="M1585" s="584">
        <v>32.5</v>
      </c>
      <c r="N1585" s="584">
        <v>5.9</v>
      </c>
      <c r="O1585" s="584">
        <v>24</v>
      </c>
      <c r="P1585" s="584">
        <v>36.1</v>
      </c>
      <c r="Q1585" s="583">
        <v>29.1</v>
      </c>
      <c r="R1585" s="762">
        <v>1</v>
      </c>
      <c r="S1585" s="567"/>
      <c r="T1585" s="567"/>
      <c r="U1585" s="567"/>
      <c r="V1585" s="567">
        <v>18.3</v>
      </c>
      <c r="W1585" s="569"/>
      <c r="X1585" s="572">
        <v>30</v>
      </c>
      <c r="Y1585" s="55">
        <v>40.1</v>
      </c>
    </row>
    <row r="1586" spans="1:25" x14ac:dyDescent="0.2">
      <c r="A1586" s="20" t="s">
        <v>1487</v>
      </c>
      <c r="B1586" s="403" t="s">
        <v>1557</v>
      </c>
      <c r="C1586" s="20" t="str">
        <f t="shared" si="168"/>
        <v>Tropical DryCentral Africa</v>
      </c>
      <c r="D1586" s="572">
        <v>4.7</v>
      </c>
      <c r="E1586" s="572">
        <v>4.7</v>
      </c>
      <c r="F1586" s="572">
        <v>4.7</v>
      </c>
      <c r="G1586" s="565">
        <f t="shared" si="169"/>
        <v>4.0889999999999995</v>
      </c>
      <c r="H1586" s="730">
        <v>0</v>
      </c>
      <c r="I1586" s="758">
        <f t="shared" ref="I1586:I1649" si="170">AVERAGE(J1586:Q1586)</f>
        <v>20.887499999999999</v>
      </c>
      <c r="J1586" s="563">
        <v>23.7</v>
      </c>
      <c r="K1586" s="564">
        <v>11.1</v>
      </c>
      <c r="L1586" s="564">
        <v>4.7</v>
      </c>
      <c r="M1586" s="574">
        <v>32.5</v>
      </c>
      <c r="N1586" s="574">
        <v>5.9</v>
      </c>
      <c r="O1586" s="574">
        <v>24</v>
      </c>
      <c r="P1586" s="574">
        <v>36.1</v>
      </c>
      <c r="Q1586" s="564">
        <v>29.1</v>
      </c>
      <c r="R1586" s="757">
        <v>1</v>
      </c>
      <c r="S1586" s="55"/>
      <c r="T1586" s="55"/>
      <c r="U1586" s="55"/>
      <c r="V1586" s="55">
        <v>18.3</v>
      </c>
      <c r="W1586" s="572"/>
      <c r="X1586" s="572">
        <v>30</v>
      </c>
      <c r="Y1586" s="55">
        <v>40.1</v>
      </c>
    </row>
    <row r="1587" spans="1:25" x14ac:dyDescent="0.2">
      <c r="A1587" s="20" t="s">
        <v>1487</v>
      </c>
      <c r="B1587" s="403" t="s">
        <v>1559</v>
      </c>
      <c r="C1587" s="20" t="str">
        <f t="shared" si="168"/>
        <v>Tropical DryNorthern Africa</v>
      </c>
      <c r="D1587" s="572">
        <v>4.7</v>
      </c>
      <c r="E1587" s="572">
        <v>4.7</v>
      </c>
      <c r="F1587" s="572">
        <v>4.7</v>
      </c>
      <c r="G1587" s="565">
        <f t="shared" si="169"/>
        <v>4.0889999999999995</v>
      </c>
      <c r="H1587" s="730">
        <v>0</v>
      </c>
      <c r="I1587" s="758">
        <f t="shared" si="170"/>
        <v>20.887499999999999</v>
      </c>
      <c r="J1587" s="563">
        <v>23.7</v>
      </c>
      <c r="K1587" s="564">
        <v>11.1</v>
      </c>
      <c r="L1587" s="564">
        <v>4.7</v>
      </c>
      <c r="M1587" s="574">
        <v>32.5</v>
      </c>
      <c r="N1587" s="574">
        <v>5.9</v>
      </c>
      <c r="O1587" s="574">
        <v>24</v>
      </c>
      <c r="P1587" s="574">
        <v>36.1</v>
      </c>
      <c r="Q1587" s="564">
        <v>29.1</v>
      </c>
      <c r="R1587" s="757">
        <v>1</v>
      </c>
      <c r="S1587" s="55"/>
      <c r="T1587" s="55"/>
      <c r="U1587" s="55"/>
      <c r="V1587" s="55">
        <v>18.3</v>
      </c>
      <c r="W1587" s="572"/>
      <c r="X1587" s="572">
        <v>30</v>
      </c>
      <c r="Y1587" s="55">
        <v>40.1</v>
      </c>
    </row>
    <row r="1588" spans="1:25" x14ac:dyDescent="0.2">
      <c r="A1588" s="20" t="s">
        <v>1487</v>
      </c>
      <c r="B1588" s="403" t="s">
        <v>1565</v>
      </c>
      <c r="C1588" s="20" t="str">
        <f t="shared" si="168"/>
        <v>Tropical DrySouthern Africa</v>
      </c>
      <c r="D1588" s="572">
        <v>4.7</v>
      </c>
      <c r="E1588" s="572">
        <v>4.7</v>
      </c>
      <c r="F1588" s="572">
        <v>4.7</v>
      </c>
      <c r="G1588" s="565">
        <f t="shared" si="169"/>
        <v>4.0889999999999995</v>
      </c>
      <c r="H1588" s="730">
        <v>0</v>
      </c>
      <c r="I1588" s="758">
        <f t="shared" si="170"/>
        <v>20.887499999999999</v>
      </c>
      <c r="J1588" s="563">
        <v>23.7</v>
      </c>
      <c r="K1588" s="564">
        <v>11.1</v>
      </c>
      <c r="L1588" s="564">
        <v>4.7</v>
      </c>
      <c r="M1588" s="574">
        <v>32.5</v>
      </c>
      <c r="N1588" s="574">
        <v>5.9</v>
      </c>
      <c r="O1588" s="574">
        <v>24</v>
      </c>
      <c r="P1588" s="574">
        <v>36.1</v>
      </c>
      <c r="Q1588" s="564">
        <v>29.1</v>
      </c>
      <c r="R1588" s="757">
        <v>1</v>
      </c>
      <c r="S1588" s="55"/>
      <c r="T1588" s="55"/>
      <c r="U1588" s="55"/>
      <c r="V1588" s="55">
        <v>18.3</v>
      </c>
      <c r="W1588" s="572"/>
      <c r="X1588" s="572">
        <v>30</v>
      </c>
      <c r="Y1588" s="55">
        <v>40.1</v>
      </c>
    </row>
    <row r="1589" spans="1:25" x14ac:dyDescent="0.2">
      <c r="A1589" s="20" t="s">
        <v>1487</v>
      </c>
      <c r="B1589" s="403" t="s">
        <v>1569</v>
      </c>
      <c r="C1589" s="20" t="str">
        <f t="shared" si="168"/>
        <v>Tropical DryWestern Africa</v>
      </c>
      <c r="D1589" s="572">
        <v>4.7</v>
      </c>
      <c r="E1589" s="572">
        <v>4.7</v>
      </c>
      <c r="F1589" s="572">
        <v>4.7</v>
      </c>
      <c r="G1589" s="565">
        <f t="shared" si="169"/>
        <v>4.0889999999999995</v>
      </c>
      <c r="H1589" s="730">
        <v>0</v>
      </c>
      <c r="I1589" s="758">
        <f>AVERAGE(J1589:Q1589)</f>
        <v>20.887499999999999</v>
      </c>
      <c r="J1589" s="563">
        <v>23.7</v>
      </c>
      <c r="K1589" s="564">
        <v>11.1</v>
      </c>
      <c r="L1589" s="564">
        <v>4.7</v>
      </c>
      <c r="M1589" s="574">
        <v>32.5</v>
      </c>
      <c r="N1589" s="574">
        <v>5.9</v>
      </c>
      <c r="O1589" s="574">
        <v>24</v>
      </c>
      <c r="P1589" s="574">
        <v>36.1</v>
      </c>
      <c r="Q1589" s="564">
        <v>29.1</v>
      </c>
      <c r="R1589" s="757">
        <v>1</v>
      </c>
      <c r="S1589" s="55"/>
      <c r="T1589" s="55"/>
      <c r="U1589" s="55"/>
      <c r="V1589" s="55">
        <v>18.3</v>
      </c>
      <c r="W1589" s="572"/>
      <c r="X1589" s="572">
        <v>30</v>
      </c>
      <c r="Y1589" s="55">
        <v>40.1</v>
      </c>
    </row>
    <row r="1590" spans="1:25" x14ac:dyDescent="0.2">
      <c r="A1590" s="20" t="s">
        <v>1487</v>
      </c>
      <c r="B1590" s="403" t="s">
        <v>1550</v>
      </c>
      <c r="C1590" s="20" t="str">
        <f t="shared" si="168"/>
        <v>Tropical DryCentral Asia</v>
      </c>
      <c r="D1590" s="572">
        <v>4.7</v>
      </c>
      <c r="E1590" s="572">
        <v>4.7</v>
      </c>
      <c r="F1590" s="572">
        <v>4.7</v>
      </c>
      <c r="G1590" s="565">
        <f t="shared" si="169"/>
        <v>4.0889999999999995</v>
      </c>
      <c r="H1590" s="730">
        <v>0</v>
      </c>
      <c r="I1590" s="758">
        <f t="shared" si="170"/>
        <v>20.887499999999999</v>
      </c>
      <c r="J1590" s="563">
        <v>23.7</v>
      </c>
      <c r="K1590" s="564">
        <v>11.1</v>
      </c>
      <c r="L1590" s="564">
        <v>4.7</v>
      </c>
      <c r="M1590" s="574">
        <v>32.5</v>
      </c>
      <c r="N1590" s="574">
        <v>5.9</v>
      </c>
      <c r="O1590" s="574">
        <v>24</v>
      </c>
      <c r="P1590" s="574">
        <v>36.1</v>
      </c>
      <c r="Q1590" s="564">
        <v>29.1</v>
      </c>
      <c r="R1590" s="757">
        <v>1</v>
      </c>
      <c r="S1590" s="55"/>
      <c r="T1590" s="55"/>
      <c r="U1590" s="55"/>
      <c r="V1590" s="55">
        <v>18.3</v>
      </c>
      <c r="W1590" s="572"/>
      <c r="X1590" s="572">
        <v>30</v>
      </c>
      <c r="Y1590" s="55">
        <v>40.1</v>
      </c>
    </row>
    <row r="1591" spans="1:25" x14ac:dyDescent="0.2">
      <c r="A1591" s="20" t="s">
        <v>1487</v>
      </c>
      <c r="B1591" s="403" t="s">
        <v>1554</v>
      </c>
      <c r="C1591" s="20" t="str">
        <f t="shared" si="168"/>
        <v>Tropical DryEastern Asia</v>
      </c>
      <c r="D1591" s="572">
        <v>4.7</v>
      </c>
      <c r="E1591" s="572">
        <v>4.7</v>
      </c>
      <c r="F1591" s="572">
        <v>4.7</v>
      </c>
      <c r="G1591" s="565">
        <f t="shared" si="169"/>
        <v>4.0889999999999995</v>
      </c>
      <c r="H1591" s="730">
        <v>0</v>
      </c>
      <c r="I1591" s="758">
        <f t="shared" si="170"/>
        <v>20.887499999999999</v>
      </c>
      <c r="J1591" s="563">
        <v>23.7</v>
      </c>
      <c r="K1591" s="564">
        <v>11.1</v>
      </c>
      <c r="L1591" s="564">
        <v>4.7</v>
      </c>
      <c r="M1591" s="574">
        <v>32.5</v>
      </c>
      <c r="N1591" s="574">
        <v>5.9</v>
      </c>
      <c r="O1591" s="574">
        <v>24</v>
      </c>
      <c r="P1591" s="574">
        <v>36.1</v>
      </c>
      <c r="Q1591" s="564">
        <v>29.1</v>
      </c>
      <c r="R1591" s="757">
        <v>1</v>
      </c>
      <c r="S1591" s="55"/>
      <c r="T1591" s="55"/>
      <c r="U1591" s="55"/>
      <c r="V1591" s="55">
        <v>18.3</v>
      </c>
      <c r="W1591" s="572"/>
      <c r="X1591" s="572">
        <v>30</v>
      </c>
      <c r="Y1591" s="55">
        <v>40.1</v>
      </c>
    </row>
    <row r="1592" spans="1:25" x14ac:dyDescent="0.2">
      <c r="A1592" s="20" t="s">
        <v>1487</v>
      </c>
      <c r="B1592" s="403" t="s">
        <v>1563</v>
      </c>
      <c r="C1592" s="20" t="str">
        <f t="shared" si="168"/>
        <v>Tropical DrySouth-eastern Asia</v>
      </c>
      <c r="D1592" s="572">
        <v>4.7</v>
      </c>
      <c r="E1592" s="572">
        <v>4.7</v>
      </c>
      <c r="F1592" s="572">
        <v>4.7</v>
      </c>
      <c r="G1592" s="565">
        <f t="shared" si="169"/>
        <v>4.0889999999999995</v>
      </c>
      <c r="H1592" s="730">
        <v>0</v>
      </c>
      <c r="I1592" s="758">
        <f t="shared" si="170"/>
        <v>20.887499999999999</v>
      </c>
      <c r="J1592" s="563">
        <v>23.7</v>
      </c>
      <c r="K1592" s="564">
        <v>11.1</v>
      </c>
      <c r="L1592" s="564">
        <v>4.7</v>
      </c>
      <c r="M1592" s="574">
        <v>32.5</v>
      </c>
      <c r="N1592" s="574">
        <v>5.9</v>
      </c>
      <c r="O1592" s="574">
        <v>24</v>
      </c>
      <c r="P1592" s="574">
        <v>36.1</v>
      </c>
      <c r="Q1592" s="564">
        <v>29.1</v>
      </c>
      <c r="R1592" s="757">
        <v>1</v>
      </c>
      <c r="S1592" s="55"/>
      <c r="T1592" s="55"/>
      <c r="U1592" s="55"/>
      <c r="V1592" s="55">
        <v>18.3</v>
      </c>
      <c r="W1592" s="572"/>
      <c r="X1592" s="572">
        <v>30</v>
      </c>
      <c r="Y1592" s="55">
        <v>40.1</v>
      </c>
    </row>
    <row r="1593" spans="1:25" x14ac:dyDescent="0.2">
      <c r="A1593" s="20" t="s">
        <v>1487</v>
      </c>
      <c r="B1593" s="403" t="s">
        <v>1567</v>
      </c>
      <c r="C1593" s="20" t="str">
        <f t="shared" si="168"/>
        <v>Tropical DrySouthern Asia</v>
      </c>
      <c r="D1593" s="572">
        <v>4.7</v>
      </c>
      <c r="E1593" s="572">
        <v>4.7</v>
      </c>
      <c r="F1593" s="572">
        <v>4.7</v>
      </c>
      <c r="G1593" s="565">
        <f t="shared" si="169"/>
        <v>4.0889999999999995</v>
      </c>
      <c r="H1593" s="730">
        <v>0</v>
      </c>
      <c r="I1593" s="758">
        <f t="shared" si="170"/>
        <v>20.887499999999999</v>
      </c>
      <c r="J1593" s="563">
        <v>23.7</v>
      </c>
      <c r="K1593" s="564">
        <v>11.1</v>
      </c>
      <c r="L1593" s="564">
        <v>4.7</v>
      </c>
      <c r="M1593" s="574">
        <v>32.5</v>
      </c>
      <c r="N1593" s="574">
        <v>5.9</v>
      </c>
      <c r="O1593" s="574">
        <v>24</v>
      </c>
      <c r="P1593" s="574">
        <v>36.1</v>
      </c>
      <c r="Q1593" s="564">
        <v>29.1</v>
      </c>
      <c r="R1593" s="757">
        <v>1</v>
      </c>
      <c r="S1593" s="55"/>
      <c r="T1593" s="55"/>
      <c r="U1593" s="55"/>
      <c r="V1593" s="55">
        <v>18.3</v>
      </c>
      <c r="W1593" s="572"/>
      <c r="X1593" s="572">
        <v>30</v>
      </c>
      <c r="Y1593" s="55">
        <v>40.1</v>
      </c>
    </row>
    <row r="1594" spans="1:25" x14ac:dyDescent="0.2">
      <c r="A1594" s="20" t="s">
        <v>1487</v>
      </c>
      <c r="B1594" s="403" t="s">
        <v>1571</v>
      </c>
      <c r="C1594" s="20" t="str">
        <f t="shared" si="168"/>
        <v>Tropical DryWestern Asia</v>
      </c>
      <c r="D1594" s="572">
        <v>4.7</v>
      </c>
      <c r="E1594" s="572">
        <v>4.7</v>
      </c>
      <c r="F1594" s="572">
        <v>4.7</v>
      </c>
      <c r="G1594" s="565">
        <f t="shared" si="169"/>
        <v>4.0889999999999995</v>
      </c>
      <c r="H1594" s="730">
        <v>0</v>
      </c>
      <c r="I1594" s="758">
        <f t="shared" si="170"/>
        <v>20.887499999999999</v>
      </c>
      <c r="J1594" s="563">
        <v>23.7</v>
      </c>
      <c r="K1594" s="564">
        <v>11.1</v>
      </c>
      <c r="L1594" s="564">
        <v>4.7</v>
      </c>
      <c r="M1594" s="574">
        <v>32.5</v>
      </c>
      <c r="N1594" s="574">
        <v>5.9</v>
      </c>
      <c r="O1594" s="574">
        <v>24</v>
      </c>
      <c r="P1594" s="574">
        <v>36.1</v>
      </c>
      <c r="Q1594" s="564">
        <v>29.1</v>
      </c>
      <c r="R1594" s="757">
        <v>1</v>
      </c>
      <c r="S1594" s="55"/>
      <c r="T1594" s="55"/>
      <c r="U1594" s="55"/>
      <c r="V1594" s="55">
        <v>18.3</v>
      </c>
      <c r="W1594" s="572"/>
      <c r="X1594" s="572">
        <v>30</v>
      </c>
      <c r="Y1594" s="55">
        <v>40.1</v>
      </c>
    </row>
    <row r="1595" spans="1:25" x14ac:dyDescent="0.2">
      <c r="A1595" s="20" t="s">
        <v>1487</v>
      </c>
      <c r="B1595" s="403" t="s">
        <v>1555</v>
      </c>
      <c r="C1595" s="20" t="str">
        <f t="shared" si="168"/>
        <v>Tropical DryEurope</v>
      </c>
      <c r="D1595" s="572">
        <v>4.7</v>
      </c>
      <c r="E1595" s="572">
        <v>4.7</v>
      </c>
      <c r="F1595" s="572">
        <v>4.7</v>
      </c>
      <c r="G1595" s="565">
        <f t="shared" si="169"/>
        <v>4.0889999999999995</v>
      </c>
      <c r="H1595" s="730">
        <v>0</v>
      </c>
      <c r="I1595" s="758">
        <f t="shared" si="170"/>
        <v>20.887499999999999</v>
      </c>
      <c r="J1595" s="563">
        <v>23.7</v>
      </c>
      <c r="K1595" s="564">
        <v>11.1</v>
      </c>
      <c r="L1595" s="564">
        <v>4.7</v>
      </c>
      <c r="M1595" s="574">
        <v>32.5</v>
      </c>
      <c r="N1595" s="574">
        <v>5.9</v>
      </c>
      <c r="O1595" s="574">
        <v>24</v>
      </c>
      <c r="P1595" s="574">
        <v>36.1</v>
      </c>
      <c r="Q1595" s="564">
        <v>29.1</v>
      </c>
      <c r="R1595" s="757">
        <v>1</v>
      </c>
      <c r="S1595" s="55"/>
      <c r="T1595" s="55"/>
      <c r="U1595" s="55"/>
      <c r="V1595" s="55">
        <v>18.3</v>
      </c>
      <c r="W1595" s="572"/>
      <c r="X1595" s="572">
        <v>30</v>
      </c>
      <c r="Y1595" s="55">
        <v>40.1</v>
      </c>
    </row>
    <row r="1596" spans="1:25" x14ac:dyDescent="0.2">
      <c r="A1596" s="20" t="s">
        <v>1487</v>
      </c>
      <c r="B1596" s="403" t="s">
        <v>1346</v>
      </c>
      <c r="C1596" s="20" t="str">
        <f t="shared" si="168"/>
        <v>Tropical DryOceania</v>
      </c>
      <c r="D1596" s="572">
        <v>4.7</v>
      </c>
      <c r="E1596" s="572">
        <v>4.7</v>
      </c>
      <c r="F1596" s="572">
        <v>4.7</v>
      </c>
      <c r="G1596" s="565">
        <f t="shared" si="169"/>
        <v>4.0889999999999995</v>
      </c>
      <c r="H1596" s="730">
        <v>0</v>
      </c>
      <c r="I1596" s="758">
        <f t="shared" si="170"/>
        <v>20.887499999999999</v>
      </c>
      <c r="J1596" s="563">
        <v>23.7</v>
      </c>
      <c r="K1596" s="564">
        <v>11.1</v>
      </c>
      <c r="L1596" s="564">
        <v>4.7</v>
      </c>
      <c r="M1596" s="574">
        <v>32.5</v>
      </c>
      <c r="N1596" s="574">
        <v>5.9</v>
      </c>
      <c r="O1596" s="574">
        <v>24</v>
      </c>
      <c r="P1596" s="574">
        <v>36.1</v>
      </c>
      <c r="Q1596" s="564">
        <v>29.1</v>
      </c>
      <c r="R1596" s="757">
        <v>1</v>
      </c>
      <c r="S1596" s="55"/>
      <c r="T1596" s="55"/>
      <c r="U1596" s="55"/>
      <c r="V1596" s="55">
        <v>18.3</v>
      </c>
      <c r="W1596" s="572"/>
      <c r="X1596" s="572">
        <v>30</v>
      </c>
      <c r="Y1596" s="55">
        <v>40.1</v>
      </c>
    </row>
    <row r="1597" spans="1:25" x14ac:dyDescent="0.2">
      <c r="A1597" s="20" t="s">
        <v>1487</v>
      </c>
      <c r="B1597" s="403" t="s">
        <v>1343</v>
      </c>
      <c r="C1597" s="20" t="str">
        <f t="shared" si="168"/>
        <v>Tropical DryNorth America</v>
      </c>
      <c r="D1597" s="572">
        <v>4.7</v>
      </c>
      <c r="E1597" s="572">
        <v>4.7</v>
      </c>
      <c r="F1597" s="572">
        <v>4.7</v>
      </c>
      <c r="G1597" s="565">
        <f t="shared" si="169"/>
        <v>4.0889999999999995</v>
      </c>
      <c r="H1597" s="730">
        <v>0</v>
      </c>
      <c r="I1597" s="758">
        <f t="shared" si="170"/>
        <v>20.887499999999999</v>
      </c>
      <c r="J1597" s="563">
        <v>23.7</v>
      </c>
      <c r="K1597" s="564">
        <v>11.1</v>
      </c>
      <c r="L1597" s="564">
        <v>4.7</v>
      </c>
      <c r="M1597" s="574">
        <v>32.5</v>
      </c>
      <c r="N1597" s="574">
        <v>5.9</v>
      </c>
      <c r="O1597" s="574">
        <v>24</v>
      </c>
      <c r="P1597" s="574">
        <v>36.1</v>
      </c>
      <c r="Q1597" s="564">
        <v>29.1</v>
      </c>
      <c r="R1597" s="757">
        <v>1</v>
      </c>
      <c r="S1597" s="55"/>
      <c r="T1597" s="55"/>
      <c r="U1597" s="55"/>
      <c r="V1597" s="55">
        <v>18.3</v>
      </c>
      <c r="W1597" s="572"/>
      <c r="X1597" s="572">
        <v>30</v>
      </c>
      <c r="Y1597" s="55">
        <v>40.1</v>
      </c>
    </row>
    <row r="1598" spans="1:25" x14ac:dyDescent="0.2">
      <c r="A1598" s="20" t="s">
        <v>1487</v>
      </c>
      <c r="B1598" s="403" t="s">
        <v>1349</v>
      </c>
      <c r="C1598" s="20" t="str">
        <f t="shared" si="168"/>
        <v>Tropical DrySouth America</v>
      </c>
      <c r="D1598" s="572">
        <v>4.7</v>
      </c>
      <c r="E1598" s="572">
        <v>4.7</v>
      </c>
      <c r="F1598" s="572">
        <v>4.7</v>
      </c>
      <c r="G1598" s="565">
        <f t="shared" si="169"/>
        <v>4.0889999999999995</v>
      </c>
      <c r="H1598" s="730">
        <v>0</v>
      </c>
      <c r="I1598" s="758">
        <f t="shared" si="170"/>
        <v>20.887499999999999</v>
      </c>
      <c r="J1598" s="563">
        <v>23.7</v>
      </c>
      <c r="K1598" s="564">
        <v>11.1</v>
      </c>
      <c r="L1598" s="564">
        <v>4.7</v>
      </c>
      <c r="M1598" s="574">
        <v>32.5</v>
      </c>
      <c r="N1598" s="574">
        <v>5.9</v>
      </c>
      <c r="O1598" s="574">
        <v>24</v>
      </c>
      <c r="P1598" s="574">
        <v>36.1</v>
      </c>
      <c r="Q1598" s="564">
        <v>29.1</v>
      </c>
      <c r="R1598" s="757">
        <v>1</v>
      </c>
      <c r="S1598" s="55"/>
      <c r="T1598" s="55"/>
      <c r="U1598" s="55"/>
      <c r="V1598" s="55">
        <v>18.3</v>
      </c>
      <c r="W1598" s="572"/>
      <c r="X1598" s="572">
        <v>30</v>
      </c>
      <c r="Y1598" s="55">
        <v>40.1</v>
      </c>
    </row>
    <row r="1599" spans="1:25" x14ac:dyDescent="0.2">
      <c r="A1599" s="20" t="s">
        <v>1487</v>
      </c>
      <c r="B1599" s="403" t="s">
        <v>1333</v>
      </c>
      <c r="C1599" s="20" t="str">
        <f t="shared" si="168"/>
        <v>Tropical DryCentral America</v>
      </c>
      <c r="D1599" s="572">
        <v>4.7</v>
      </c>
      <c r="E1599" s="572">
        <v>4.7</v>
      </c>
      <c r="F1599" s="572">
        <v>4.7</v>
      </c>
      <c r="G1599" s="565">
        <f t="shared" si="169"/>
        <v>4.0889999999999995</v>
      </c>
      <c r="H1599" s="730">
        <v>0</v>
      </c>
      <c r="I1599" s="758">
        <f t="shared" si="170"/>
        <v>20.887499999999999</v>
      </c>
      <c r="J1599" s="563">
        <v>23.7</v>
      </c>
      <c r="K1599" s="564">
        <v>11.1</v>
      </c>
      <c r="L1599" s="564">
        <v>4.7</v>
      </c>
      <c r="M1599" s="574">
        <v>32.5</v>
      </c>
      <c r="N1599" s="574">
        <v>5.9</v>
      </c>
      <c r="O1599" s="574">
        <v>24</v>
      </c>
      <c r="P1599" s="574">
        <v>36.1</v>
      </c>
      <c r="Q1599" s="564">
        <v>29.1</v>
      </c>
      <c r="R1599" s="757">
        <v>1</v>
      </c>
      <c r="S1599" s="55"/>
      <c r="T1599" s="55"/>
      <c r="U1599" s="55"/>
      <c r="V1599" s="55">
        <v>18.3</v>
      </c>
      <c r="W1599" s="572"/>
      <c r="X1599" s="572">
        <v>30</v>
      </c>
      <c r="Y1599" s="55">
        <v>40.1</v>
      </c>
    </row>
    <row r="1600" spans="1:25" x14ac:dyDescent="0.2">
      <c r="A1600" s="37" t="s">
        <v>1487</v>
      </c>
      <c r="B1600" s="404" t="s">
        <v>1547</v>
      </c>
      <c r="C1600" s="37" t="str">
        <f t="shared" si="168"/>
        <v>Tropical DryCaribbean</v>
      </c>
      <c r="D1600" s="420">
        <v>4.7</v>
      </c>
      <c r="E1600" s="420">
        <v>4.7</v>
      </c>
      <c r="F1600" s="420">
        <v>4.7</v>
      </c>
      <c r="G1600" s="578">
        <f t="shared" si="169"/>
        <v>4.0889999999999995</v>
      </c>
      <c r="H1600" s="731">
        <v>0</v>
      </c>
      <c r="I1600" s="760">
        <f t="shared" si="170"/>
        <v>20.887499999999999</v>
      </c>
      <c r="J1600" s="563">
        <v>23.7</v>
      </c>
      <c r="K1600" s="564">
        <v>11.1</v>
      </c>
      <c r="L1600" s="564">
        <v>4.7</v>
      </c>
      <c r="M1600" s="574">
        <v>32.5</v>
      </c>
      <c r="N1600" s="574">
        <v>5.9</v>
      </c>
      <c r="O1600" s="574">
        <v>24</v>
      </c>
      <c r="P1600" s="574">
        <v>36.1</v>
      </c>
      <c r="Q1600" s="577">
        <v>29.1</v>
      </c>
      <c r="R1600" s="763">
        <v>1</v>
      </c>
      <c r="S1600" s="55"/>
      <c r="T1600" s="55"/>
      <c r="U1600" s="55"/>
      <c r="V1600" s="55">
        <v>18.3</v>
      </c>
      <c r="W1600" s="572"/>
      <c r="X1600" s="420">
        <v>30</v>
      </c>
      <c r="Y1600" s="579">
        <v>40.1</v>
      </c>
    </row>
    <row r="1601" spans="1:25" x14ac:dyDescent="0.2">
      <c r="A1601" s="63" t="s">
        <v>1488</v>
      </c>
      <c r="B1601" s="413" t="s">
        <v>1552</v>
      </c>
      <c r="C1601" s="63" t="str">
        <f>CONCATENATE(A1601,B1601)</f>
        <v>Tropical MoistEastern Africa</v>
      </c>
      <c r="D1601" s="569">
        <v>4.7</v>
      </c>
      <c r="E1601" s="569">
        <v>4.7</v>
      </c>
      <c r="F1601" s="569">
        <v>4.7</v>
      </c>
      <c r="G1601" s="565">
        <f t="shared" ref="G1601:G1616" si="171">16.1*0.47</f>
        <v>7.5670000000000002</v>
      </c>
      <c r="H1601" s="729">
        <v>0</v>
      </c>
      <c r="I1601" s="755">
        <f t="shared" si="170"/>
        <v>20.887499999999999</v>
      </c>
      <c r="J1601" s="585">
        <v>23.7</v>
      </c>
      <c r="K1601" s="583">
        <v>11.1</v>
      </c>
      <c r="L1601" s="583">
        <v>4.7</v>
      </c>
      <c r="M1601" s="584">
        <v>32.5</v>
      </c>
      <c r="N1601" s="584">
        <v>5.9</v>
      </c>
      <c r="O1601" s="584">
        <v>24</v>
      </c>
      <c r="P1601" s="584">
        <v>36.1</v>
      </c>
      <c r="Q1601" s="583">
        <v>29.1</v>
      </c>
      <c r="R1601" s="762">
        <v>1</v>
      </c>
      <c r="S1601" s="567"/>
      <c r="T1601" s="567"/>
      <c r="U1601" s="567"/>
      <c r="V1601" s="567">
        <v>18.3</v>
      </c>
      <c r="W1601" s="569"/>
      <c r="X1601" s="572">
        <v>30</v>
      </c>
      <c r="Y1601" s="55">
        <v>40.1</v>
      </c>
    </row>
    <row r="1602" spans="1:25" x14ac:dyDescent="0.2">
      <c r="A1602" s="20" t="s">
        <v>1488</v>
      </c>
      <c r="B1602" s="403" t="s">
        <v>1557</v>
      </c>
      <c r="C1602" s="20" t="str">
        <f t="shared" ref="C1602:C1616" si="172">CONCATENATE(A1602,B1602)</f>
        <v>Tropical MoistCentral Africa</v>
      </c>
      <c r="D1602" s="572">
        <v>4.7</v>
      </c>
      <c r="E1602" s="572">
        <v>4.7</v>
      </c>
      <c r="F1602" s="572">
        <v>4.7</v>
      </c>
      <c r="G1602" s="565">
        <f t="shared" si="171"/>
        <v>7.5670000000000002</v>
      </c>
      <c r="H1602" s="730">
        <v>0</v>
      </c>
      <c r="I1602" s="758">
        <f t="shared" si="170"/>
        <v>20.887499999999999</v>
      </c>
      <c r="J1602" s="563">
        <v>23.7</v>
      </c>
      <c r="K1602" s="564">
        <v>11.1</v>
      </c>
      <c r="L1602" s="564">
        <v>4.7</v>
      </c>
      <c r="M1602" s="574">
        <v>32.5</v>
      </c>
      <c r="N1602" s="574">
        <v>5.9</v>
      </c>
      <c r="O1602" s="574">
        <v>24</v>
      </c>
      <c r="P1602" s="574">
        <v>36.1</v>
      </c>
      <c r="Q1602" s="564">
        <v>29.1</v>
      </c>
      <c r="R1602" s="757">
        <v>1</v>
      </c>
      <c r="S1602" s="55"/>
      <c r="T1602" s="55"/>
      <c r="U1602" s="55"/>
      <c r="V1602" s="55">
        <v>18.3</v>
      </c>
      <c r="W1602" s="572"/>
      <c r="X1602" s="572">
        <v>30</v>
      </c>
      <c r="Y1602" s="55">
        <v>40.1</v>
      </c>
    </row>
    <row r="1603" spans="1:25" x14ac:dyDescent="0.2">
      <c r="A1603" s="20" t="s">
        <v>1488</v>
      </c>
      <c r="B1603" s="403" t="s">
        <v>1559</v>
      </c>
      <c r="C1603" s="20" t="str">
        <f t="shared" si="172"/>
        <v>Tropical MoistNorthern Africa</v>
      </c>
      <c r="D1603" s="572">
        <v>4.7</v>
      </c>
      <c r="E1603" s="572">
        <v>4.7</v>
      </c>
      <c r="F1603" s="572">
        <v>4.7</v>
      </c>
      <c r="G1603" s="565">
        <f t="shared" si="171"/>
        <v>7.5670000000000002</v>
      </c>
      <c r="H1603" s="730">
        <v>0</v>
      </c>
      <c r="I1603" s="758">
        <f>AVERAGE(J1603:Q1603)</f>
        <v>20.887499999999999</v>
      </c>
      <c r="J1603" s="563">
        <v>23.7</v>
      </c>
      <c r="K1603" s="564">
        <v>11.1</v>
      </c>
      <c r="L1603" s="564">
        <v>4.7</v>
      </c>
      <c r="M1603" s="574">
        <v>32.5</v>
      </c>
      <c r="N1603" s="574">
        <v>5.9</v>
      </c>
      <c r="O1603" s="574">
        <v>24</v>
      </c>
      <c r="P1603" s="574">
        <v>36.1</v>
      </c>
      <c r="Q1603" s="564">
        <v>29.1</v>
      </c>
      <c r="R1603" s="757">
        <v>1</v>
      </c>
      <c r="S1603" s="55"/>
      <c r="T1603" s="55"/>
      <c r="U1603" s="55"/>
      <c r="V1603" s="55">
        <v>18.3</v>
      </c>
      <c r="W1603" s="572"/>
      <c r="X1603" s="572">
        <v>30</v>
      </c>
      <c r="Y1603" s="55">
        <v>40.1</v>
      </c>
    </row>
    <row r="1604" spans="1:25" x14ac:dyDescent="0.2">
      <c r="A1604" s="20" t="s">
        <v>1488</v>
      </c>
      <c r="B1604" s="403" t="s">
        <v>1565</v>
      </c>
      <c r="C1604" s="20" t="str">
        <f t="shared" si="172"/>
        <v>Tropical MoistSouthern Africa</v>
      </c>
      <c r="D1604" s="572">
        <v>4.7</v>
      </c>
      <c r="E1604" s="572">
        <v>4.7</v>
      </c>
      <c r="F1604" s="572">
        <v>4.7</v>
      </c>
      <c r="G1604" s="565">
        <f t="shared" si="171"/>
        <v>7.5670000000000002</v>
      </c>
      <c r="H1604" s="730">
        <v>0</v>
      </c>
      <c r="I1604" s="758">
        <f t="shared" si="170"/>
        <v>20.887499999999999</v>
      </c>
      <c r="J1604" s="563">
        <v>23.7</v>
      </c>
      <c r="K1604" s="564">
        <v>11.1</v>
      </c>
      <c r="L1604" s="564">
        <v>4.7</v>
      </c>
      <c r="M1604" s="574">
        <v>32.5</v>
      </c>
      <c r="N1604" s="574">
        <v>5.9</v>
      </c>
      <c r="O1604" s="574">
        <v>24</v>
      </c>
      <c r="P1604" s="574">
        <v>36.1</v>
      </c>
      <c r="Q1604" s="564">
        <v>29.1</v>
      </c>
      <c r="R1604" s="757">
        <v>1</v>
      </c>
      <c r="S1604" s="55"/>
      <c r="T1604" s="55"/>
      <c r="U1604" s="55"/>
      <c r="V1604" s="55">
        <v>18.3</v>
      </c>
      <c r="W1604" s="572"/>
      <c r="X1604" s="572">
        <v>30</v>
      </c>
      <c r="Y1604" s="55">
        <v>40.1</v>
      </c>
    </row>
    <row r="1605" spans="1:25" x14ac:dyDescent="0.2">
      <c r="A1605" s="20" t="s">
        <v>1488</v>
      </c>
      <c r="B1605" s="403" t="s">
        <v>1569</v>
      </c>
      <c r="C1605" s="20" t="str">
        <f t="shared" si="172"/>
        <v>Tropical MoistWestern Africa</v>
      </c>
      <c r="D1605" s="572">
        <v>4.7</v>
      </c>
      <c r="E1605" s="572">
        <v>4.7</v>
      </c>
      <c r="F1605" s="572">
        <v>4.7</v>
      </c>
      <c r="G1605" s="565">
        <f t="shared" si="171"/>
        <v>7.5670000000000002</v>
      </c>
      <c r="H1605" s="730">
        <v>0</v>
      </c>
      <c r="I1605" s="758">
        <f t="shared" si="170"/>
        <v>20.887499999999999</v>
      </c>
      <c r="J1605" s="563">
        <v>23.7</v>
      </c>
      <c r="K1605" s="564">
        <v>11.1</v>
      </c>
      <c r="L1605" s="564">
        <v>4.7</v>
      </c>
      <c r="M1605" s="574">
        <v>32.5</v>
      </c>
      <c r="N1605" s="574">
        <v>5.9</v>
      </c>
      <c r="O1605" s="574">
        <v>24</v>
      </c>
      <c r="P1605" s="574">
        <v>36.1</v>
      </c>
      <c r="Q1605" s="564">
        <v>29.1</v>
      </c>
      <c r="R1605" s="757">
        <v>1</v>
      </c>
      <c r="S1605" s="55"/>
      <c r="T1605" s="55"/>
      <c r="U1605" s="55"/>
      <c r="V1605" s="55">
        <v>18.3</v>
      </c>
      <c r="W1605" s="572"/>
      <c r="X1605" s="572">
        <v>30</v>
      </c>
      <c r="Y1605" s="55">
        <v>40.1</v>
      </c>
    </row>
    <row r="1606" spans="1:25" x14ac:dyDescent="0.2">
      <c r="A1606" s="20" t="s">
        <v>1488</v>
      </c>
      <c r="B1606" s="403" t="s">
        <v>1550</v>
      </c>
      <c r="C1606" s="20" t="str">
        <f t="shared" si="172"/>
        <v>Tropical MoistCentral Asia</v>
      </c>
      <c r="D1606" s="572">
        <v>4.7</v>
      </c>
      <c r="E1606" s="572">
        <v>4.7</v>
      </c>
      <c r="F1606" s="572">
        <v>4.7</v>
      </c>
      <c r="G1606" s="565">
        <f t="shared" si="171"/>
        <v>7.5670000000000002</v>
      </c>
      <c r="H1606" s="730">
        <v>0</v>
      </c>
      <c r="I1606" s="758">
        <f t="shared" si="170"/>
        <v>20.887499999999999</v>
      </c>
      <c r="J1606" s="563">
        <v>23.7</v>
      </c>
      <c r="K1606" s="564">
        <v>11.1</v>
      </c>
      <c r="L1606" s="564">
        <v>4.7</v>
      </c>
      <c r="M1606" s="574">
        <v>32.5</v>
      </c>
      <c r="N1606" s="574">
        <v>5.9</v>
      </c>
      <c r="O1606" s="574">
        <v>24</v>
      </c>
      <c r="P1606" s="574">
        <v>36.1</v>
      </c>
      <c r="Q1606" s="564">
        <v>29.1</v>
      </c>
      <c r="R1606" s="757">
        <v>1</v>
      </c>
      <c r="S1606" s="55"/>
      <c r="T1606" s="55"/>
      <c r="U1606" s="55"/>
      <c r="V1606" s="55">
        <v>18.3</v>
      </c>
      <c r="W1606" s="572"/>
      <c r="X1606" s="572">
        <v>30</v>
      </c>
      <c r="Y1606" s="55">
        <v>40.1</v>
      </c>
    </row>
    <row r="1607" spans="1:25" x14ac:dyDescent="0.2">
      <c r="A1607" s="20" t="s">
        <v>1488</v>
      </c>
      <c r="B1607" s="403" t="s">
        <v>1554</v>
      </c>
      <c r="C1607" s="20" t="str">
        <f t="shared" si="172"/>
        <v>Tropical MoistEastern Asia</v>
      </c>
      <c r="D1607" s="572">
        <v>4.7</v>
      </c>
      <c r="E1607" s="572">
        <v>4.7</v>
      </c>
      <c r="F1607" s="572">
        <v>4.7</v>
      </c>
      <c r="G1607" s="565">
        <f t="shared" si="171"/>
        <v>7.5670000000000002</v>
      </c>
      <c r="H1607" s="730">
        <v>0</v>
      </c>
      <c r="I1607" s="758">
        <f t="shared" si="170"/>
        <v>20.887499999999999</v>
      </c>
      <c r="J1607" s="563">
        <v>23.7</v>
      </c>
      <c r="K1607" s="564">
        <v>11.1</v>
      </c>
      <c r="L1607" s="564">
        <v>4.7</v>
      </c>
      <c r="M1607" s="574">
        <v>32.5</v>
      </c>
      <c r="N1607" s="574">
        <v>5.9</v>
      </c>
      <c r="O1607" s="574">
        <v>24</v>
      </c>
      <c r="P1607" s="574">
        <v>36.1</v>
      </c>
      <c r="Q1607" s="564">
        <v>29.1</v>
      </c>
      <c r="R1607" s="757">
        <v>1</v>
      </c>
      <c r="S1607" s="55"/>
      <c r="T1607" s="55"/>
      <c r="U1607" s="55"/>
      <c r="V1607" s="55">
        <v>18.3</v>
      </c>
      <c r="W1607" s="572"/>
      <c r="X1607" s="572">
        <v>30</v>
      </c>
      <c r="Y1607" s="55">
        <v>40.1</v>
      </c>
    </row>
    <row r="1608" spans="1:25" x14ac:dyDescent="0.2">
      <c r="A1608" s="20" t="s">
        <v>1488</v>
      </c>
      <c r="B1608" s="403" t="s">
        <v>1563</v>
      </c>
      <c r="C1608" s="20" t="str">
        <f t="shared" si="172"/>
        <v>Tropical MoistSouth-eastern Asia</v>
      </c>
      <c r="D1608" s="572">
        <v>4.7</v>
      </c>
      <c r="E1608" s="572">
        <v>4.7</v>
      </c>
      <c r="F1608" s="572">
        <v>4.7</v>
      </c>
      <c r="G1608" s="565">
        <f t="shared" si="171"/>
        <v>7.5670000000000002</v>
      </c>
      <c r="H1608" s="730">
        <v>0</v>
      </c>
      <c r="I1608" s="758">
        <f t="shared" si="170"/>
        <v>20.887499999999999</v>
      </c>
      <c r="J1608" s="563">
        <v>23.7</v>
      </c>
      <c r="K1608" s="564">
        <v>11.1</v>
      </c>
      <c r="L1608" s="564">
        <v>4.7</v>
      </c>
      <c r="M1608" s="574">
        <v>32.5</v>
      </c>
      <c r="N1608" s="574">
        <v>5.9</v>
      </c>
      <c r="O1608" s="574">
        <v>24</v>
      </c>
      <c r="P1608" s="574">
        <v>36.1</v>
      </c>
      <c r="Q1608" s="564">
        <v>29.1</v>
      </c>
      <c r="R1608" s="757">
        <v>1</v>
      </c>
      <c r="S1608" s="55"/>
      <c r="T1608" s="55"/>
      <c r="U1608" s="55"/>
      <c r="V1608" s="55">
        <v>18.3</v>
      </c>
      <c r="W1608" s="572"/>
      <c r="X1608" s="572">
        <v>30</v>
      </c>
      <c r="Y1608" s="55">
        <v>40.1</v>
      </c>
    </row>
    <row r="1609" spans="1:25" x14ac:dyDescent="0.2">
      <c r="A1609" s="20" t="s">
        <v>1488</v>
      </c>
      <c r="B1609" s="403" t="s">
        <v>1567</v>
      </c>
      <c r="C1609" s="20" t="str">
        <f t="shared" si="172"/>
        <v>Tropical MoistSouthern Asia</v>
      </c>
      <c r="D1609" s="572">
        <v>4.7</v>
      </c>
      <c r="E1609" s="572">
        <v>4.7</v>
      </c>
      <c r="F1609" s="572">
        <v>4.7</v>
      </c>
      <c r="G1609" s="565">
        <f t="shared" si="171"/>
        <v>7.5670000000000002</v>
      </c>
      <c r="H1609" s="730">
        <v>0</v>
      </c>
      <c r="I1609" s="758">
        <f t="shared" si="170"/>
        <v>20.887499999999999</v>
      </c>
      <c r="J1609" s="563">
        <v>23.7</v>
      </c>
      <c r="K1609" s="564">
        <v>11.1</v>
      </c>
      <c r="L1609" s="564">
        <v>4.7</v>
      </c>
      <c r="M1609" s="574">
        <v>32.5</v>
      </c>
      <c r="N1609" s="574">
        <v>5.9</v>
      </c>
      <c r="O1609" s="574">
        <v>24</v>
      </c>
      <c r="P1609" s="574">
        <v>36.1</v>
      </c>
      <c r="Q1609" s="564">
        <v>29.1</v>
      </c>
      <c r="R1609" s="757">
        <v>1</v>
      </c>
      <c r="S1609" s="55"/>
      <c r="T1609" s="55"/>
      <c r="U1609" s="55"/>
      <c r="V1609" s="55">
        <v>18.3</v>
      </c>
      <c r="W1609" s="572"/>
      <c r="X1609" s="572">
        <v>30</v>
      </c>
      <c r="Y1609" s="55">
        <v>40.1</v>
      </c>
    </row>
    <row r="1610" spans="1:25" x14ac:dyDescent="0.2">
      <c r="A1610" s="20" t="s">
        <v>1488</v>
      </c>
      <c r="B1610" s="403" t="s">
        <v>1571</v>
      </c>
      <c r="C1610" s="20" t="str">
        <f t="shared" si="172"/>
        <v>Tropical MoistWestern Asia</v>
      </c>
      <c r="D1610" s="572">
        <v>4.7</v>
      </c>
      <c r="E1610" s="572">
        <v>4.7</v>
      </c>
      <c r="F1610" s="572">
        <v>4.7</v>
      </c>
      <c r="G1610" s="565">
        <f t="shared" si="171"/>
        <v>7.5670000000000002</v>
      </c>
      <c r="H1610" s="730">
        <v>0</v>
      </c>
      <c r="I1610" s="758">
        <f t="shared" si="170"/>
        <v>20.887499999999999</v>
      </c>
      <c r="J1610" s="563">
        <v>23.7</v>
      </c>
      <c r="K1610" s="564">
        <v>11.1</v>
      </c>
      <c r="L1610" s="564">
        <v>4.7</v>
      </c>
      <c r="M1610" s="574">
        <v>32.5</v>
      </c>
      <c r="N1610" s="574">
        <v>5.9</v>
      </c>
      <c r="O1610" s="574">
        <v>24</v>
      </c>
      <c r="P1610" s="574">
        <v>36.1</v>
      </c>
      <c r="Q1610" s="564">
        <v>29.1</v>
      </c>
      <c r="R1610" s="757">
        <v>1</v>
      </c>
      <c r="S1610" s="55"/>
      <c r="T1610" s="55"/>
      <c r="U1610" s="55"/>
      <c r="V1610" s="55">
        <v>18.3</v>
      </c>
      <c r="W1610" s="572"/>
      <c r="X1610" s="572">
        <v>30</v>
      </c>
      <c r="Y1610" s="55">
        <v>40.1</v>
      </c>
    </row>
    <row r="1611" spans="1:25" x14ac:dyDescent="0.2">
      <c r="A1611" s="20" t="s">
        <v>1488</v>
      </c>
      <c r="B1611" s="403" t="s">
        <v>1555</v>
      </c>
      <c r="C1611" s="20" t="str">
        <f t="shared" si="172"/>
        <v>Tropical MoistEurope</v>
      </c>
      <c r="D1611" s="572">
        <v>4.7</v>
      </c>
      <c r="E1611" s="572">
        <v>4.7</v>
      </c>
      <c r="F1611" s="572">
        <v>4.7</v>
      </c>
      <c r="G1611" s="565">
        <f t="shared" si="171"/>
        <v>7.5670000000000002</v>
      </c>
      <c r="H1611" s="730">
        <v>0</v>
      </c>
      <c r="I1611" s="758">
        <f t="shared" si="170"/>
        <v>20.887499999999999</v>
      </c>
      <c r="J1611" s="563">
        <v>23.7</v>
      </c>
      <c r="K1611" s="564">
        <v>11.1</v>
      </c>
      <c r="L1611" s="564">
        <v>4.7</v>
      </c>
      <c r="M1611" s="574">
        <v>32.5</v>
      </c>
      <c r="N1611" s="574">
        <v>5.9</v>
      </c>
      <c r="O1611" s="574">
        <v>24</v>
      </c>
      <c r="P1611" s="574">
        <v>36.1</v>
      </c>
      <c r="Q1611" s="564">
        <v>29.1</v>
      </c>
      <c r="R1611" s="757">
        <v>1</v>
      </c>
      <c r="S1611" s="55"/>
      <c r="T1611" s="55"/>
      <c r="U1611" s="55"/>
      <c r="V1611" s="55">
        <v>18.3</v>
      </c>
      <c r="W1611" s="572"/>
      <c r="X1611" s="572">
        <v>30</v>
      </c>
      <c r="Y1611" s="55">
        <v>40.1</v>
      </c>
    </row>
    <row r="1612" spans="1:25" x14ac:dyDescent="0.2">
      <c r="A1612" s="20" t="s">
        <v>1488</v>
      </c>
      <c r="B1612" s="403" t="s">
        <v>1346</v>
      </c>
      <c r="C1612" s="20" t="str">
        <f t="shared" si="172"/>
        <v>Tropical MoistOceania</v>
      </c>
      <c r="D1612" s="572">
        <v>4.7</v>
      </c>
      <c r="E1612" s="572">
        <v>4.7</v>
      </c>
      <c r="F1612" s="572">
        <v>4.7</v>
      </c>
      <c r="G1612" s="565">
        <f t="shared" si="171"/>
        <v>7.5670000000000002</v>
      </c>
      <c r="H1612" s="730">
        <v>0</v>
      </c>
      <c r="I1612" s="758">
        <f t="shared" si="170"/>
        <v>20.887499999999999</v>
      </c>
      <c r="J1612" s="563">
        <v>23.7</v>
      </c>
      <c r="K1612" s="564">
        <v>11.1</v>
      </c>
      <c r="L1612" s="564">
        <v>4.7</v>
      </c>
      <c r="M1612" s="574">
        <v>32.5</v>
      </c>
      <c r="N1612" s="574">
        <v>5.9</v>
      </c>
      <c r="O1612" s="574">
        <v>24</v>
      </c>
      <c r="P1612" s="574">
        <v>36.1</v>
      </c>
      <c r="Q1612" s="564">
        <v>29.1</v>
      </c>
      <c r="R1612" s="757">
        <v>1</v>
      </c>
      <c r="S1612" s="55"/>
      <c r="T1612" s="55"/>
      <c r="U1612" s="55"/>
      <c r="V1612" s="55">
        <v>18.3</v>
      </c>
      <c r="W1612" s="572"/>
      <c r="X1612" s="572">
        <v>30</v>
      </c>
      <c r="Y1612" s="55">
        <v>40.1</v>
      </c>
    </row>
    <row r="1613" spans="1:25" x14ac:dyDescent="0.2">
      <c r="A1613" s="20" t="s">
        <v>1488</v>
      </c>
      <c r="B1613" s="403" t="s">
        <v>1343</v>
      </c>
      <c r="C1613" s="20" t="str">
        <f t="shared" si="172"/>
        <v>Tropical MoistNorth America</v>
      </c>
      <c r="D1613" s="572">
        <v>4.7</v>
      </c>
      <c r="E1613" s="572">
        <v>4.7</v>
      </c>
      <c r="F1613" s="572">
        <v>4.7</v>
      </c>
      <c r="G1613" s="565">
        <f t="shared" si="171"/>
        <v>7.5670000000000002</v>
      </c>
      <c r="H1613" s="730">
        <v>0</v>
      </c>
      <c r="I1613" s="758">
        <f t="shared" si="170"/>
        <v>20.887499999999999</v>
      </c>
      <c r="J1613" s="563">
        <v>23.7</v>
      </c>
      <c r="K1613" s="564">
        <v>11.1</v>
      </c>
      <c r="L1613" s="564">
        <v>4.7</v>
      </c>
      <c r="M1613" s="574">
        <v>32.5</v>
      </c>
      <c r="N1613" s="574">
        <v>5.9</v>
      </c>
      <c r="O1613" s="574">
        <v>24</v>
      </c>
      <c r="P1613" s="574">
        <v>36.1</v>
      </c>
      <c r="Q1613" s="564">
        <v>29.1</v>
      </c>
      <c r="R1613" s="757">
        <v>1</v>
      </c>
      <c r="S1613" s="55"/>
      <c r="T1613" s="55"/>
      <c r="U1613" s="55"/>
      <c r="V1613" s="55">
        <v>18.3</v>
      </c>
      <c r="W1613" s="572"/>
      <c r="X1613" s="572">
        <v>30</v>
      </c>
      <c r="Y1613" s="55">
        <v>40.1</v>
      </c>
    </row>
    <row r="1614" spans="1:25" x14ac:dyDescent="0.2">
      <c r="A1614" s="20" t="s">
        <v>1488</v>
      </c>
      <c r="B1614" s="403" t="s">
        <v>1349</v>
      </c>
      <c r="C1614" s="20" t="str">
        <f t="shared" si="172"/>
        <v>Tropical MoistSouth America</v>
      </c>
      <c r="D1614" s="572">
        <v>4.7</v>
      </c>
      <c r="E1614" s="572">
        <v>4.7</v>
      </c>
      <c r="F1614" s="572">
        <v>4.7</v>
      </c>
      <c r="G1614" s="565">
        <f t="shared" si="171"/>
        <v>7.5670000000000002</v>
      </c>
      <c r="H1614" s="730">
        <v>0</v>
      </c>
      <c r="I1614" s="758">
        <f t="shared" si="170"/>
        <v>20.887499999999999</v>
      </c>
      <c r="J1614" s="563">
        <v>23.7</v>
      </c>
      <c r="K1614" s="564">
        <v>11.1</v>
      </c>
      <c r="L1614" s="564">
        <v>4.7</v>
      </c>
      <c r="M1614" s="574">
        <v>32.5</v>
      </c>
      <c r="N1614" s="574">
        <v>5.9</v>
      </c>
      <c r="O1614" s="574">
        <v>24</v>
      </c>
      <c r="P1614" s="574">
        <v>36.1</v>
      </c>
      <c r="Q1614" s="564">
        <v>29.1</v>
      </c>
      <c r="R1614" s="757">
        <v>1</v>
      </c>
      <c r="S1614" s="55"/>
      <c r="T1614" s="55"/>
      <c r="U1614" s="55"/>
      <c r="V1614" s="55">
        <v>18.3</v>
      </c>
      <c r="W1614" s="572"/>
      <c r="X1614" s="572">
        <v>30</v>
      </c>
      <c r="Y1614" s="55">
        <v>40.1</v>
      </c>
    </row>
    <row r="1615" spans="1:25" x14ac:dyDescent="0.2">
      <c r="A1615" s="20" t="s">
        <v>1488</v>
      </c>
      <c r="B1615" s="403" t="s">
        <v>1333</v>
      </c>
      <c r="C1615" s="20" t="str">
        <f t="shared" si="172"/>
        <v>Tropical MoistCentral America</v>
      </c>
      <c r="D1615" s="572">
        <v>4.7</v>
      </c>
      <c r="E1615" s="572">
        <v>4.7</v>
      </c>
      <c r="F1615" s="572">
        <v>4.7</v>
      </c>
      <c r="G1615" s="565">
        <f t="shared" si="171"/>
        <v>7.5670000000000002</v>
      </c>
      <c r="H1615" s="730">
        <v>0</v>
      </c>
      <c r="I1615" s="758">
        <f t="shared" si="170"/>
        <v>20.887499999999999</v>
      </c>
      <c r="J1615" s="563">
        <v>23.7</v>
      </c>
      <c r="K1615" s="564">
        <v>11.1</v>
      </c>
      <c r="L1615" s="564">
        <v>4.7</v>
      </c>
      <c r="M1615" s="574">
        <v>32.5</v>
      </c>
      <c r="N1615" s="574">
        <v>5.9</v>
      </c>
      <c r="O1615" s="574">
        <v>24</v>
      </c>
      <c r="P1615" s="574">
        <v>36.1</v>
      </c>
      <c r="Q1615" s="564">
        <v>29.1</v>
      </c>
      <c r="R1615" s="757">
        <v>1</v>
      </c>
      <c r="S1615" s="55"/>
      <c r="T1615" s="55"/>
      <c r="U1615" s="55"/>
      <c r="V1615" s="55">
        <v>18.3</v>
      </c>
      <c r="W1615" s="572"/>
      <c r="X1615" s="572">
        <v>30</v>
      </c>
      <c r="Y1615" s="55">
        <v>40.1</v>
      </c>
    </row>
    <row r="1616" spans="1:25" x14ac:dyDescent="0.2">
      <c r="A1616" s="37" t="s">
        <v>1488</v>
      </c>
      <c r="B1616" s="404" t="s">
        <v>1547</v>
      </c>
      <c r="C1616" s="37" t="str">
        <f t="shared" si="172"/>
        <v>Tropical MoistCaribbean</v>
      </c>
      <c r="D1616" s="420">
        <v>4.7</v>
      </c>
      <c r="E1616" s="420">
        <v>4.7</v>
      </c>
      <c r="F1616" s="420">
        <v>4.7</v>
      </c>
      <c r="G1616" s="565">
        <f t="shared" si="171"/>
        <v>7.5670000000000002</v>
      </c>
      <c r="H1616" s="731">
        <v>0</v>
      </c>
      <c r="I1616" s="760">
        <f t="shared" si="170"/>
        <v>20.887499999999999</v>
      </c>
      <c r="J1616" s="563">
        <v>23.7</v>
      </c>
      <c r="K1616" s="564">
        <v>11.1</v>
      </c>
      <c r="L1616" s="564">
        <v>4.7</v>
      </c>
      <c r="M1616" s="574">
        <v>32.5</v>
      </c>
      <c r="N1616" s="574">
        <v>5.9</v>
      </c>
      <c r="O1616" s="574">
        <v>24</v>
      </c>
      <c r="P1616" s="574">
        <v>36.1</v>
      </c>
      <c r="Q1616" s="577">
        <v>29.1</v>
      </c>
      <c r="R1616" s="763">
        <v>1</v>
      </c>
      <c r="S1616" s="55"/>
      <c r="T1616" s="55"/>
      <c r="U1616" s="55"/>
      <c r="V1616" s="55">
        <v>18.3</v>
      </c>
      <c r="W1616" s="572"/>
      <c r="X1616" s="420">
        <v>30</v>
      </c>
      <c r="Y1616" s="579">
        <v>40.1</v>
      </c>
    </row>
    <row r="1617" spans="1:25" x14ac:dyDescent="0.2">
      <c r="A1617" s="20" t="str">
        <f>list!$G$11</f>
        <v>Tropical Montane</v>
      </c>
      <c r="B1617" s="407" t="s">
        <v>1552</v>
      </c>
      <c r="C1617" s="63" t="str">
        <f>CONCATENATE(A1617,B1617)</f>
        <v>Tropical MontaneEastern Africa</v>
      </c>
      <c r="D1617" s="569">
        <v>4.7</v>
      </c>
      <c r="E1617" s="569">
        <v>4.7</v>
      </c>
      <c r="F1617" s="569">
        <v>4.7</v>
      </c>
      <c r="G1617" s="614">
        <v>4.09</v>
      </c>
      <c r="H1617" s="729">
        <v>0</v>
      </c>
      <c r="I1617" s="755">
        <f t="shared" si="170"/>
        <v>20.887499999999999</v>
      </c>
      <c r="J1617" s="585">
        <v>23.7</v>
      </c>
      <c r="K1617" s="583">
        <v>11.1</v>
      </c>
      <c r="L1617" s="583">
        <v>4.7</v>
      </c>
      <c r="M1617" s="584">
        <v>32.5</v>
      </c>
      <c r="N1617" s="584">
        <v>5.9</v>
      </c>
      <c r="O1617" s="584">
        <v>24</v>
      </c>
      <c r="P1617" s="584">
        <v>36.1</v>
      </c>
      <c r="Q1617" s="583">
        <v>29.1</v>
      </c>
      <c r="R1617" s="762">
        <v>1</v>
      </c>
      <c r="S1617" s="567"/>
      <c r="T1617" s="569"/>
      <c r="U1617" s="567"/>
      <c r="V1617" s="567">
        <v>18.3</v>
      </c>
      <c r="W1617" s="569"/>
      <c r="X1617" s="572">
        <v>30</v>
      </c>
      <c r="Y1617" s="55">
        <v>40.1</v>
      </c>
    </row>
    <row r="1618" spans="1:25" x14ac:dyDescent="0.2">
      <c r="A1618" s="20" t="str">
        <f>list!$G$11</f>
        <v>Tropical Montane</v>
      </c>
      <c r="B1618" s="405" t="s">
        <v>1557</v>
      </c>
      <c r="C1618" s="20" t="str">
        <f t="shared" ref="C1618:C1680" si="173">CONCATENATE(A1618,B1618)</f>
        <v>Tropical MontaneCentral Africa</v>
      </c>
      <c r="D1618" s="572">
        <v>4.7</v>
      </c>
      <c r="E1618" s="572">
        <v>4.7</v>
      </c>
      <c r="F1618" s="572">
        <v>4.7</v>
      </c>
      <c r="G1618" s="615">
        <v>4.09</v>
      </c>
      <c r="H1618" s="730">
        <v>0</v>
      </c>
      <c r="I1618" s="758">
        <f t="shared" si="170"/>
        <v>20.887499999999999</v>
      </c>
      <c r="J1618" s="563">
        <v>23.7</v>
      </c>
      <c r="K1618" s="564">
        <v>11.1</v>
      </c>
      <c r="L1618" s="564">
        <v>4.7</v>
      </c>
      <c r="M1618" s="574">
        <v>32.5</v>
      </c>
      <c r="N1618" s="574">
        <v>5.9</v>
      </c>
      <c r="O1618" s="574">
        <v>24</v>
      </c>
      <c r="P1618" s="574">
        <v>36.1</v>
      </c>
      <c r="Q1618" s="564">
        <v>29.1</v>
      </c>
      <c r="R1618" s="757">
        <v>1</v>
      </c>
      <c r="S1618" s="55"/>
      <c r="T1618" s="572"/>
      <c r="U1618" s="55"/>
      <c r="V1618" s="55">
        <v>18.3</v>
      </c>
      <c r="W1618" s="572"/>
      <c r="X1618" s="572">
        <v>30</v>
      </c>
      <c r="Y1618" s="55">
        <v>40.1</v>
      </c>
    </row>
    <row r="1619" spans="1:25" x14ac:dyDescent="0.2">
      <c r="A1619" s="20" t="str">
        <f>list!$G$11</f>
        <v>Tropical Montane</v>
      </c>
      <c r="B1619" s="405" t="s">
        <v>1559</v>
      </c>
      <c r="C1619" s="20" t="str">
        <f t="shared" si="173"/>
        <v>Tropical MontaneNorthern Africa</v>
      </c>
      <c r="D1619" s="572">
        <v>4.7</v>
      </c>
      <c r="E1619" s="572">
        <v>4.7</v>
      </c>
      <c r="F1619" s="572">
        <v>4.7</v>
      </c>
      <c r="G1619" s="615">
        <v>4.09</v>
      </c>
      <c r="H1619" s="730">
        <v>0</v>
      </c>
      <c r="I1619" s="758">
        <f t="shared" si="170"/>
        <v>20.887499999999999</v>
      </c>
      <c r="J1619" s="563">
        <v>23.7</v>
      </c>
      <c r="K1619" s="564">
        <v>11.1</v>
      </c>
      <c r="L1619" s="564">
        <v>4.7</v>
      </c>
      <c r="M1619" s="574">
        <v>32.5</v>
      </c>
      <c r="N1619" s="574">
        <v>5.9</v>
      </c>
      <c r="O1619" s="574">
        <v>24</v>
      </c>
      <c r="P1619" s="574">
        <v>36.1</v>
      </c>
      <c r="Q1619" s="564">
        <v>29.1</v>
      </c>
      <c r="R1619" s="757">
        <v>1</v>
      </c>
      <c r="S1619" s="55"/>
      <c r="T1619" s="572"/>
      <c r="U1619" s="55"/>
      <c r="V1619" s="55">
        <v>18.3</v>
      </c>
      <c r="W1619" s="572"/>
      <c r="X1619" s="572">
        <v>30</v>
      </c>
      <c r="Y1619" s="55">
        <v>40.1</v>
      </c>
    </row>
    <row r="1620" spans="1:25" x14ac:dyDescent="0.2">
      <c r="A1620" s="20" t="str">
        <f>list!$G$11</f>
        <v>Tropical Montane</v>
      </c>
      <c r="B1620" s="405" t="s">
        <v>1565</v>
      </c>
      <c r="C1620" s="20" t="str">
        <f t="shared" si="173"/>
        <v>Tropical MontaneSouthern Africa</v>
      </c>
      <c r="D1620" s="572">
        <v>4.7</v>
      </c>
      <c r="E1620" s="572">
        <v>4.7</v>
      </c>
      <c r="F1620" s="572">
        <v>4.7</v>
      </c>
      <c r="G1620" s="615">
        <v>4.09</v>
      </c>
      <c r="H1620" s="730">
        <v>0</v>
      </c>
      <c r="I1620" s="758">
        <f t="shared" si="170"/>
        <v>20.887499999999999</v>
      </c>
      <c r="J1620" s="563">
        <v>23.7</v>
      </c>
      <c r="K1620" s="564">
        <v>11.1</v>
      </c>
      <c r="L1620" s="564">
        <v>4.7</v>
      </c>
      <c r="M1620" s="574">
        <v>32.5</v>
      </c>
      <c r="N1620" s="574">
        <v>5.9</v>
      </c>
      <c r="O1620" s="574">
        <v>24</v>
      </c>
      <c r="P1620" s="574">
        <v>36.1</v>
      </c>
      <c r="Q1620" s="564">
        <v>29.1</v>
      </c>
      <c r="R1620" s="757">
        <v>1</v>
      </c>
      <c r="S1620" s="55"/>
      <c r="T1620" s="572"/>
      <c r="U1620" s="55"/>
      <c r="V1620" s="55">
        <v>18.3</v>
      </c>
      <c r="W1620" s="572"/>
      <c r="X1620" s="572">
        <v>30</v>
      </c>
      <c r="Y1620" s="55">
        <v>40.1</v>
      </c>
    </row>
    <row r="1621" spans="1:25" x14ac:dyDescent="0.2">
      <c r="A1621" s="20" t="str">
        <f>list!$G$11</f>
        <v>Tropical Montane</v>
      </c>
      <c r="B1621" s="405" t="s">
        <v>1569</v>
      </c>
      <c r="C1621" s="20" t="str">
        <f t="shared" si="173"/>
        <v>Tropical MontaneWestern Africa</v>
      </c>
      <c r="D1621" s="572">
        <v>4.7</v>
      </c>
      <c r="E1621" s="572">
        <v>4.7</v>
      </c>
      <c r="F1621" s="572">
        <v>4.7</v>
      </c>
      <c r="G1621" s="615">
        <v>4.09</v>
      </c>
      <c r="H1621" s="730">
        <v>0</v>
      </c>
      <c r="I1621" s="758">
        <f t="shared" si="170"/>
        <v>20.887499999999999</v>
      </c>
      <c r="J1621" s="563">
        <v>23.7</v>
      </c>
      <c r="K1621" s="564">
        <v>11.1</v>
      </c>
      <c r="L1621" s="564">
        <v>4.7</v>
      </c>
      <c r="M1621" s="574">
        <v>32.5</v>
      </c>
      <c r="N1621" s="574">
        <v>5.9</v>
      </c>
      <c r="O1621" s="574">
        <v>24</v>
      </c>
      <c r="P1621" s="574">
        <v>36.1</v>
      </c>
      <c r="Q1621" s="564">
        <v>29.1</v>
      </c>
      <c r="R1621" s="757">
        <v>1</v>
      </c>
      <c r="S1621" s="55"/>
      <c r="T1621" s="572"/>
      <c r="U1621" s="55"/>
      <c r="V1621" s="55">
        <v>18.3</v>
      </c>
      <c r="W1621" s="572"/>
      <c r="X1621" s="572">
        <v>30</v>
      </c>
      <c r="Y1621" s="55">
        <v>40.1</v>
      </c>
    </row>
    <row r="1622" spans="1:25" x14ac:dyDescent="0.2">
      <c r="A1622" s="20" t="str">
        <f>list!$G$11</f>
        <v>Tropical Montane</v>
      </c>
      <c r="B1622" s="405" t="s">
        <v>1550</v>
      </c>
      <c r="C1622" s="20" t="str">
        <f t="shared" si="173"/>
        <v>Tropical MontaneCentral Asia</v>
      </c>
      <c r="D1622" s="572">
        <v>4.7</v>
      </c>
      <c r="E1622" s="572">
        <v>4.7</v>
      </c>
      <c r="F1622" s="572">
        <v>4.7</v>
      </c>
      <c r="G1622" s="615">
        <v>4.09</v>
      </c>
      <c r="H1622" s="730">
        <v>0</v>
      </c>
      <c r="I1622" s="758">
        <f t="shared" si="170"/>
        <v>20.887499999999999</v>
      </c>
      <c r="J1622" s="563">
        <v>23.7</v>
      </c>
      <c r="K1622" s="564">
        <v>11.1</v>
      </c>
      <c r="L1622" s="564">
        <v>4.7</v>
      </c>
      <c r="M1622" s="574">
        <v>32.5</v>
      </c>
      <c r="N1622" s="574">
        <v>5.9</v>
      </c>
      <c r="O1622" s="574">
        <v>24</v>
      </c>
      <c r="P1622" s="574">
        <v>36.1</v>
      </c>
      <c r="Q1622" s="564">
        <v>29.1</v>
      </c>
      <c r="R1622" s="757">
        <v>1</v>
      </c>
      <c r="S1622" s="55"/>
      <c r="T1622" s="572"/>
      <c r="U1622" s="55"/>
      <c r="V1622" s="55">
        <v>18.3</v>
      </c>
      <c r="W1622" s="572"/>
      <c r="X1622" s="572">
        <v>30</v>
      </c>
      <c r="Y1622" s="55">
        <v>40.1</v>
      </c>
    </row>
    <row r="1623" spans="1:25" x14ac:dyDescent="0.2">
      <c r="A1623" s="20" t="str">
        <f>list!$G$11</f>
        <v>Tropical Montane</v>
      </c>
      <c r="B1623" s="405" t="s">
        <v>1554</v>
      </c>
      <c r="C1623" s="20" t="str">
        <f t="shared" si="173"/>
        <v>Tropical MontaneEastern Asia</v>
      </c>
      <c r="D1623" s="572">
        <v>4.7</v>
      </c>
      <c r="E1623" s="572">
        <v>4.7</v>
      </c>
      <c r="F1623" s="572">
        <v>4.7</v>
      </c>
      <c r="G1623" s="615">
        <v>4.09</v>
      </c>
      <c r="H1623" s="730">
        <v>0</v>
      </c>
      <c r="I1623" s="758">
        <f t="shared" si="170"/>
        <v>20.887499999999999</v>
      </c>
      <c r="J1623" s="563">
        <v>23.7</v>
      </c>
      <c r="K1623" s="564">
        <v>11.1</v>
      </c>
      <c r="L1623" s="564">
        <v>4.7</v>
      </c>
      <c r="M1623" s="574">
        <v>32.5</v>
      </c>
      <c r="N1623" s="574">
        <v>5.9</v>
      </c>
      <c r="O1623" s="574">
        <v>24</v>
      </c>
      <c r="P1623" s="574">
        <v>36.1</v>
      </c>
      <c r="Q1623" s="564">
        <v>29.1</v>
      </c>
      <c r="R1623" s="757">
        <v>1</v>
      </c>
      <c r="S1623" s="55"/>
      <c r="T1623" s="572"/>
      <c r="U1623" s="55"/>
      <c r="V1623" s="55">
        <v>18.3</v>
      </c>
      <c r="W1623" s="572"/>
      <c r="X1623" s="572">
        <v>30</v>
      </c>
      <c r="Y1623" s="55">
        <v>40.1</v>
      </c>
    </row>
    <row r="1624" spans="1:25" x14ac:dyDescent="0.2">
      <c r="A1624" s="20" t="str">
        <f>list!$G$11</f>
        <v>Tropical Montane</v>
      </c>
      <c r="B1624" s="405" t="s">
        <v>1563</v>
      </c>
      <c r="C1624" s="20" t="str">
        <f t="shared" si="173"/>
        <v>Tropical MontaneSouth-eastern Asia</v>
      </c>
      <c r="D1624" s="572">
        <v>4.7</v>
      </c>
      <c r="E1624" s="572">
        <v>4.7</v>
      </c>
      <c r="F1624" s="572">
        <v>4.7</v>
      </c>
      <c r="G1624" s="615">
        <v>4.09</v>
      </c>
      <c r="H1624" s="730">
        <v>0</v>
      </c>
      <c r="I1624" s="758">
        <f t="shared" si="170"/>
        <v>20.887499999999999</v>
      </c>
      <c r="J1624" s="563">
        <v>23.7</v>
      </c>
      <c r="K1624" s="564">
        <v>11.1</v>
      </c>
      <c r="L1624" s="564">
        <v>4.7</v>
      </c>
      <c r="M1624" s="574">
        <v>32.5</v>
      </c>
      <c r="N1624" s="574">
        <v>5.9</v>
      </c>
      <c r="O1624" s="574">
        <v>24</v>
      </c>
      <c r="P1624" s="574">
        <v>36.1</v>
      </c>
      <c r="Q1624" s="564">
        <v>29.1</v>
      </c>
      <c r="R1624" s="757">
        <v>1</v>
      </c>
      <c r="S1624" s="55"/>
      <c r="T1624" s="572"/>
      <c r="U1624" s="55"/>
      <c r="V1624" s="55">
        <v>18.3</v>
      </c>
      <c r="W1624" s="572"/>
      <c r="X1624" s="572">
        <v>30</v>
      </c>
      <c r="Y1624" s="55">
        <v>40.1</v>
      </c>
    </row>
    <row r="1625" spans="1:25" x14ac:dyDescent="0.2">
      <c r="A1625" s="20" t="str">
        <f>list!$G$11</f>
        <v>Tropical Montane</v>
      </c>
      <c r="B1625" s="405" t="s">
        <v>1567</v>
      </c>
      <c r="C1625" s="20" t="str">
        <f t="shared" si="173"/>
        <v>Tropical MontaneSouthern Asia</v>
      </c>
      <c r="D1625" s="572">
        <v>4.7</v>
      </c>
      <c r="E1625" s="572">
        <v>4.7</v>
      </c>
      <c r="F1625" s="572">
        <v>4.7</v>
      </c>
      <c r="G1625" s="615">
        <v>4.09</v>
      </c>
      <c r="H1625" s="730">
        <v>0</v>
      </c>
      <c r="I1625" s="758">
        <f t="shared" si="170"/>
        <v>20.887499999999999</v>
      </c>
      <c r="J1625" s="563">
        <v>23.7</v>
      </c>
      <c r="K1625" s="564">
        <v>11.1</v>
      </c>
      <c r="L1625" s="564">
        <v>4.7</v>
      </c>
      <c r="M1625" s="574">
        <v>32.5</v>
      </c>
      <c r="N1625" s="574">
        <v>5.9</v>
      </c>
      <c r="O1625" s="574">
        <v>24</v>
      </c>
      <c r="P1625" s="574">
        <v>36.1</v>
      </c>
      <c r="Q1625" s="564">
        <v>29.1</v>
      </c>
      <c r="R1625" s="757">
        <v>1</v>
      </c>
      <c r="S1625" s="55"/>
      <c r="T1625" s="572"/>
      <c r="U1625" s="55"/>
      <c r="V1625" s="55">
        <v>18.3</v>
      </c>
      <c r="W1625" s="572"/>
      <c r="X1625" s="572">
        <v>30</v>
      </c>
      <c r="Y1625" s="55">
        <v>40.1</v>
      </c>
    </row>
    <row r="1626" spans="1:25" x14ac:dyDescent="0.2">
      <c r="A1626" s="20" t="str">
        <f>list!$G$11</f>
        <v>Tropical Montane</v>
      </c>
      <c r="B1626" s="405" t="s">
        <v>1571</v>
      </c>
      <c r="C1626" s="20" t="str">
        <f t="shared" si="173"/>
        <v>Tropical MontaneWestern Asia</v>
      </c>
      <c r="D1626" s="572">
        <v>4.7</v>
      </c>
      <c r="E1626" s="572">
        <v>4.7</v>
      </c>
      <c r="F1626" s="572">
        <v>4.7</v>
      </c>
      <c r="G1626" s="615">
        <v>4.09</v>
      </c>
      <c r="H1626" s="730">
        <v>0</v>
      </c>
      <c r="I1626" s="758">
        <f t="shared" si="170"/>
        <v>20.887499999999999</v>
      </c>
      <c r="J1626" s="563">
        <v>23.7</v>
      </c>
      <c r="K1626" s="564">
        <v>11.1</v>
      </c>
      <c r="L1626" s="564">
        <v>4.7</v>
      </c>
      <c r="M1626" s="574">
        <v>32.5</v>
      </c>
      <c r="N1626" s="574">
        <v>5.9</v>
      </c>
      <c r="O1626" s="574">
        <v>24</v>
      </c>
      <c r="P1626" s="574">
        <v>36.1</v>
      </c>
      <c r="Q1626" s="564">
        <v>29.1</v>
      </c>
      <c r="R1626" s="757">
        <v>1</v>
      </c>
      <c r="S1626" s="55"/>
      <c r="T1626" s="572"/>
      <c r="U1626" s="55"/>
      <c r="V1626" s="55">
        <v>18.3</v>
      </c>
      <c r="W1626" s="572"/>
      <c r="X1626" s="572">
        <v>30</v>
      </c>
      <c r="Y1626" s="55">
        <v>40.1</v>
      </c>
    </row>
    <row r="1627" spans="1:25" x14ac:dyDescent="0.2">
      <c r="A1627" s="20" t="str">
        <f>list!$G$11</f>
        <v>Tropical Montane</v>
      </c>
      <c r="B1627" s="405" t="s">
        <v>1555</v>
      </c>
      <c r="C1627" s="20" t="str">
        <f t="shared" si="173"/>
        <v>Tropical MontaneEurope</v>
      </c>
      <c r="D1627" s="572">
        <v>4.7</v>
      </c>
      <c r="E1627" s="572">
        <v>4.7</v>
      </c>
      <c r="F1627" s="572">
        <v>4.7</v>
      </c>
      <c r="G1627" s="615">
        <v>4.09</v>
      </c>
      <c r="H1627" s="730">
        <v>0</v>
      </c>
      <c r="I1627" s="758">
        <f t="shared" si="170"/>
        <v>20.887499999999999</v>
      </c>
      <c r="J1627" s="563">
        <v>23.7</v>
      </c>
      <c r="K1627" s="564">
        <v>11.1</v>
      </c>
      <c r="L1627" s="564">
        <v>4.7</v>
      </c>
      <c r="M1627" s="574">
        <v>32.5</v>
      </c>
      <c r="N1627" s="574">
        <v>5.9</v>
      </c>
      <c r="O1627" s="574">
        <v>24</v>
      </c>
      <c r="P1627" s="574">
        <v>36.1</v>
      </c>
      <c r="Q1627" s="564">
        <v>29.1</v>
      </c>
      <c r="R1627" s="757">
        <v>1</v>
      </c>
      <c r="S1627" s="55"/>
      <c r="T1627" s="572"/>
      <c r="U1627" s="55"/>
      <c r="V1627" s="55">
        <v>18.3</v>
      </c>
      <c r="W1627" s="572"/>
      <c r="X1627" s="572">
        <v>30</v>
      </c>
      <c r="Y1627" s="55">
        <v>40.1</v>
      </c>
    </row>
    <row r="1628" spans="1:25" x14ac:dyDescent="0.2">
      <c r="A1628" s="20" t="str">
        <f>list!$G$11</f>
        <v>Tropical Montane</v>
      </c>
      <c r="B1628" s="405" t="s">
        <v>1346</v>
      </c>
      <c r="C1628" s="20" t="str">
        <f t="shared" si="173"/>
        <v>Tropical MontaneOceania</v>
      </c>
      <c r="D1628" s="572">
        <v>4.7</v>
      </c>
      <c r="E1628" s="572">
        <v>4.7</v>
      </c>
      <c r="F1628" s="572">
        <v>4.7</v>
      </c>
      <c r="G1628" s="615">
        <v>4.09</v>
      </c>
      <c r="H1628" s="730">
        <v>0</v>
      </c>
      <c r="I1628" s="758">
        <f t="shared" si="170"/>
        <v>20.887499999999999</v>
      </c>
      <c r="J1628" s="563">
        <v>23.7</v>
      </c>
      <c r="K1628" s="564">
        <v>11.1</v>
      </c>
      <c r="L1628" s="564">
        <v>4.7</v>
      </c>
      <c r="M1628" s="574">
        <v>32.5</v>
      </c>
      <c r="N1628" s="574">
        <v>5.9</v>
      </c>
      <c r="O1628" s="574">
        <v>24</v>
      </c>
      <c r="P1628" s="574">
        <v>36.1</v>
      </c>
      <c r="Q1628" s="564">
        <v>29.1</v>
      </c>
      <c r="R1628" s="757">
        <v>1</v>
      </c>
      <c r="S1628" s="55"/>
      <c r="T1628" s="572"/>
      <c r="U1628" s="55"/>
      <c r="V1628" s="55">
        <v>18.3</v>
      </c>
      <c r="W1628" s="572"/>
      <c r="X1628" s="572">
        <v>30</v>
      </c>
      <c r="Y1628" s="55">
        <v>40.1</v>
      </c>
    </row>
    <row r="1629" spans="1:25" x14ac:dyDescent="0.2">
      <c r="A1629" s="20" t="str">
        <f>list!$G$11</f>
        <v>Tropical Montane</v>
      </c>
      <c r="B1629" s="405" t="s">
        <v>1343</v>
      </c>
      <c r="C1629" s="20" t="str">
        <f t="shared" si="173"/>
        <v>Tropical MontaneNorth America</v>
      </c>
      <c r="D1629" s="572">
        <v>4.7</v>
      </c>
      <c r="E1629" s="572">
        <v>4.7</v>
      </c>
      <c r="F1629" s="572">
        <v>4.7</v>
      </c>
      <c r="G1629" s="615">
        <v>4.09</v>
      </c>
      <c r="H1629" s="730">
        <v>0</v>
      </c>
      <c r="I1629" s="758">
        <f t="shared" si="170"/>
        <v>20.887499999999999</v>
      </c>
      <c r="J1629" s="563">
        <v>23.7</v>
      </c>
      <c r="K1629" s="564">
        <v>11.1</v>
      </c>
      <c r="L1629" s="564">
        <v>4.7</v>
      </c>
      <c r="M1629" s="574">
        <v>32.5</v>
      </c>
      <c r="N1629" s="574">
        <v>5.9</v>
      </c>
      <c r="O1629" s="574">
        <v>24</v>
      </c>
      <c r="P1629" s="574">
        <v>36.1</v>
      </c>
      <c r="Q1629" s="564">
        <v>29.1</v>
      </c>
      <c r="R1629" s="757">
        <v>1</v>
      </c>
      <c r="S1629" s="55"/>
      <c r="T1629" s="572"/>
      <c r="U1629" s="55"/>
      <c r="V1629" s="55">
        <v>18.3</v>
      </c>
      <c r="W1629" s="572"/>
      <c r="X1629" s="572">
        <v>30</v>
      </c>
      <c r="Y1629" s="55">
        <v>40.1</v>
      </c>
    </row>
    <row r="1630" spans="1:25" x14ac:dyDescent="0.2">
      <c r="A1630" s="20" t="str">
        <f>list!$G$11</f>
        <v>Tropical Montane</v>
      </c>
      <c r="B1630" s="405" t="s">
        <v>1349</v>
      </c>
      <c r="C1630" s="20" t="str">
        <f t="shared" si="173"/>
        <v>Tropical MontaneSouth America</v>
      </c>
      <c r="D1630" s="572">
        <v>4.7</v>
      </c>
      <c r="E1630" s="572">
        <v>4.7</v>
      </c>
      <c r="F1630" s="572">
        <v>4.7</v>
      </c>
      <c r="G1630" s="615">
        <v>4.09</v>
      </c>
      <c r="H1630" s="730">
        <v>0</v>
      </c>
      <c r="I1630" s="758">
        <f t="shared" si="170"/>
        <v>20.887499999999999</v>
      </c>
      <c r="J1630" s="563">
        <v>23.7</v>
      </c>
      <c r="K1630" s="564">
        <v>11.1</v>
      </c>
      <c r="L1630" s="564">
        <v>4.7</v>
      </c>
      <c r="M1630" s="574">
        <v>32.5</v>
      </c>
      <c r="N1630" s="574">
        <v>5.9</v>
      </c>
      <c r="O1630" s="574">
        <v>24</v>
      </c>
      <c r="P1630" s="574">
        <v>36.1</v>
      </c>
      <c r="Q1630" s="564">
        <v>29.1</v>
      </c>
      <c r="R1630" s="757">
        <v>1</v>
      </c>
      <c r="S1630" s="55"/>
      <c r="T1630" s="572"/>
      <c r="U1630" s="55"/>
      <c r="V1630" s="55">
        <v>18.3</v>
      </c>
      <c r="W1630" s="572"/>
      <c r="X1630" s="572">
        <v>30</v>
      </c>
      <c r="Y1630" s="55">
        <v>40.1</v>
      </c>
    </row>
    <row r="1631" spans="1:25" x14ac:dyDescent="0.2">
      <c r="A1631" s="20" t="str">
        <f>list!$G$11</f>
        <v>Tropical Montane</v>
      </c>
      <c r="B1631" s="405" t="s">
        <v>1333</v>
      </c>
      <c r="C1631" s="20" t="str">
        <f t="shared" si="173"/>
        <v>Tropical MontaneCentral America</v>
      </c>
      <c r="D1631" s="572">
        <v>4.7</v>
      </c>
      <c r="E1631" s="572">
        <v>4.7</v>
      </c>
      <c r="F1631" s="572">
        <v>4.7</v>
      </c>
      <c r="G1631" s="615">
        <v>4.09</v>
      </c>
      <c r="H1631" s="730">
        <v>0</v>
      </c>
      <c r="I1631" s="758">
        <f t="shared" si="170"/>
        <v>20.887499999999999</v>
      </c>
      <c r="J1631" s="563">
        <v>23.7</v>
      </c>
      <c r="K1631" s="564">
        <v>11.1</v>
      </c>
      <c r="L1631" s="564">
        <v>4.7</v>
      </c>
      <c r="M1631" s="574">
        <v>32.5</v>
      </c>
      <c r="N1631" s="574">
        <v>5.9</v>
      </c>
      <c r="O1631" s="574">
        <v>24</v>
      </c>
      <c r="P1631" s="574">
        <v>36.1</v>
      </c>
      <c r="Q1631" s="564">
        <v>29.1</v>
      </c>
      <c r="R1631" s="757">
        <v>1</v>
      </c>
      <c r="S1631" s="55"/>
      <c r="T1631" s="572"/>
      <c r="U1631" s="55"/>
      <c r="V1631" s="55">
        <v>18.3</v>
      </c>
      <c r="W1631" s="572"/>
      <c r="X1631" s="572">
        <v>30</v>
      </c>
      <c r="Y1631" s="55">
        <v>40.1</v>
      </c>
    </row>
    <row r="1632" spans="1:25" x14ac:dyDescent="0.2">
      <c r="A1632" s="20" t="str">
        <f>list!$G$11</f>
        <v>Tropical Montane</v>
      </c>
      <c r="B1632" s="406" t="s">
        <v>1547</v>
      </c>
      <c r="C1632" s="37" t="str">
        <f t="shared" si="173"/>
        <v>Tropical MontaneCaribbean</v>
      </c>
      <c r="D1632" s="420">
        <v>4.7</v>
      </c>
      <c r="E1632" s="420">
        <v>4.7</v>
      </c>
      <c r="F1632" s="420">
        <v>4.7</v>
      </c>
      <c r="G1632" s="617">
        <v>4.09</v>
      </c>
      <c r="H1632" s="731">
        <v>0</v>
      </c>
      <c r="I1632" s="760">
        <f t="shared" si="170"/>
        <v>20.887499999999999</v>
      </c>
      <c r="J1632" s="563">
        <v>23.7</v>
      </c>
      <c r="K1632" s="564">
        <v>11.1</v>
      </c>
      <c r="L1632" s="564">
        <v>4.7</v>
      </c>
      <c r="M1632" s="574">
        <v>32.5</v>
      </c>
      <c r="N1632" s="574">
        <v>5.9</v>
      </c>
      <c r="O1632" s="574">
        <v>24</v>
      </c>
      <c r="P1632" s="574">
        <v>36.1</v>
      </c>
      <c r="Q1632" s="577">
        <v>29.1</v>
      </c>
      <c r="R1632" s="763">
        <v>1</v>
      </c>
      <c r="S1632" s="55"/>
      <c r="T1632" s="572"/>
      <c r="U1632" s="55"/>
      <c r="V1632" s="55">
        <v>18.3</v>
      </c>
      <c r="W1632" s="572"/>
      <c r="X1632" s="420">
        <v>30</v>
      </c>
      <c r="Y1632" s="579">
        <v>40.1</v>
      </c>
    </row>
    <row r="1633" spans="1:25" x14ac:dyDescent="0.2">
      <c r="A1633" s="63" t="s">
        <v>1489</v>
      </c>
      <c r="B1633" s="408" t="s">
        <v>1552</v>
      </c>
      <c r="C1633" s="63" t="str">
        <f t="shared" si="173"/>
        <v>Tropical WetEastern Africa</v>
      </c>
      <c r="D1633" s="569">
        <v>4.7</v>
      </c>
      <c r="E1633" s="569">
        <v>4.7</v>
      </c>
      <c r="F1633" s="569">
        <v>4.7</v>
      </c>
      <c r="G1633" s="565">
        <f t="shared" ref="G1633:G1648" si="174">16.1*0.47</f>
        <v>7.5670000000000002</v>
      </c>
      <c r="H1633" s="729">
        <v>0</v>
      </c>
      <c r="I1633" s="755">
        <f t="shared" si="170"/>
        <v>20.887499999999999</v>
      </c>
      <c r="J1633" s="585">
        <v>23.7</v>
      </c>
      <c r="K1633" s="583">
        <v>11.1</v>
      </c>
      <c r="L1633" s="583">
        <v>4.7</v>
      </c>
      <c r="M1633" s="584">
        <v>32.5</v>
      </c>
      <c r="N1633" s="584">
        <v>5.9</v>
      </c>
      <c r="O1633" s="584">
        <v>24</v>
      </c>
      <c r="P1633" s="584">
        <v>36.1</v>
      </c>
      <c r="Q1633" s="583">
        <v>29.1</v>
      </c>
      <c r="R1633" s="762">
        <v>1</v>
      </c>
      <c r="S1633" s="567"/>
      <c r="T1633" s="567"/>
      <c r="U1633" s="567"/>
      <c r="V1633" s="567">
        <v>18.3</v>
      </c>
      <c r="W1633" s="569"/>
      <c r="X1633" s="572">
        <v>30</v>
      </c>
      <c r="Y1633" s="55">
        <v>40.1</v>
      </c>
    </row>
    <row r="1634" spans="1:25" x14ac:dyDescent="0.2">
      <c r="A1634" s="20" t="s">
        <v>1489</v>
      </c>
      <c r="B1634" s="401" t="s">
        <v>1557</v>
      </c>
      <c r="C1634" s="20" t="str">
        <f t="shared" si="173"/>
        <v>Tropical WetCentral Africa</v>
      </c>
      <c r="D1634" s="572">
        <v>4.7</v>
      </c>
      <c r="E1634" s="572">
        <v>4.7</v>
      </c>
      <c r="F1634" s="572">
        <v>4.7</v>
      </c>
      <c r="G1634" s="565">
        <f t="shared" si="174"/>
        <v>7.5670000000000002</v>
      </c>
      <c r="H1634" s="730">
        <v>0</v>
      </c>
      <c r="I1634" s="758">
        <f t="shared" si="170"/>
        <v>20.887499999999999</v>
      </c>
      <c r="J1634" s="563">
        <v>23.7</v>
      </c>
      <c r="K1634" s="564">
        <v>11.1</v>
      </c>
      <c r="L1634" s="564">
        <v>4.7</v>
      </c>
      <c r="M1634" s="574">
        <v>32.5</v>
      </c>
      <c r="N1634" s="574">
        <v>5.9</v>
      </c>
      <c r="O1634" s="574">
        <v>24</v>
      </c>
      <c r="P1634" s="574">
        <v>36.1</v>
      </c>
      <c r="Q1634" s="564">
        <v>29.1</v>
      </c>
      <c r="R1634" s="757">
        <v>1</v>
      </c>
      <c r="S1634" s="55"/>
      <c r="T1634" s="55"/>
      <c r="U1634" s="55"/>
      <c r="V1634" s="55">
        <v>18.3</v>
      </c>
      <c r="W1634" s="572"/>
      <c r="X1634" s="572">
        <v>30</v>
      </c>
      <c r="Y1634" s="55">
        <v>40.1</v>
      </c>
    </row>
    <row r="1635" spans="1:25" x14ac:dyDescent="0.2">
      <c r="A1635" s="20" t="s">
        <v>1489</v>
      </c>
      <c r="B1635" s="401" t="s">
        <v>1559</v>
      </c>
      <c r="C1635" s="20" t="str">
        <f t="shared" si="173"/>
        <v>Tropical WetNorthern Africa</v>
      </c>
      <c r="D1635" s="572">
        <v>4.7</v>
      </c>
      <c r="E1635" s="572">
        <v>4.7</v>
      </c>
      <c r="F1635" s="572">
        <v>4.7</v>
      </c>
      <c r="G1635" s="565">
        <f t="shared" si="174"/>
        <v>7.5670000000000002</v>
      </c>
      <c r="H1635" s="730">
        <v>0</v>
      </c>
      <c r="I1635" s="758">
        <f t="shared" si="170"/>
        <v>20.887499999999999</v>
      </c>
      <c r="J1635" s="563">
        <v>23.7</v>
      </c>
      <c r="K1635" s="564">
        <v>11.1</v>
      </c>
      <c r="L1635" s="564">
        <v>4.7</v>
      </c>
      <c r="M1635" s="574">
        <v>32.5</v>
      </c>
      <c r="N1635" s="574">
        <v>5.9</v>
      </c>
      <c r="O1635" s="574">
        <v>24</v>
      </c>
      <c r="P1635" s="574">
        <v>36.1</v>
      </c>
      <c r="Q1635" s="564">
        <v>29.1</v>
      </c>
      <c r="R1635" s="757">
        <v>1</v>
      </c>
      <c r="S1635" s="55"/>
      <c r="T1635" s="55"/>
      <c r="U1635" s="55"/>
      <c r="V1635" s="55">
        <v>18.3</v>
      </c>
      <c r="W1635" s="572"/>
      <c r="X1635" s="572">
        <v>30</v>
      </c>
      <c r="Y1635" s="55">
        <v>40.1</v>
      </c>
    </row>
    <row r="1636" spans="1:25" x14ac:dyDescent="0.2">
      <c r="A1636" s="20" t="s">
        <v>1489</v>
      </c>
      <c r="B1636" s="401" t="s">
        <v>1565</v>
      </c>
      <c r="C1636" s="20" t="str">
        <f t="shared" si="173"/>
        <v>Tropical WetSouthern Africa</v>
      </c>
      <c r="D1636" s="572">
        <v>4.7</v>
      </c>
      <c r="E1636" s="572">
        <v>4.7</v>
      </c>
      <c r="F1636" s="572">
        <v>4.7</v>
      </c>
      <c r="G1636" s="565">
        <f t="shared" si="174"/>
        <v>7.5670000000000002</v>
      </c>
      <c r="H1636" s="730">
        <v>0</v>
      </c>
      <c r="I1636" s="758">
        <f t="shared" si="170"/>
        <v>20.887499999999999</v>
      </c>
      <c r="J1636" s="563">
        <v>23.7</v>
      </c>
      <c r="K1636" s="564">
        <v>11.1</v>
      </c>
      <c r="L1636" s="564">
        <v>4.7</v>
      </c>
      <c r="M1636" s="574">
        <v>32.5</v>
      </c>
      <c r="N1636" s="574">
        <v>5.9</v>
      </c>
      <c r="O1636" s="574">
        <v>24</v>
      </c>
      <c r="P1636" s="574">
        <v>36.1</v>
      </c>
      <c r="Q1636" s="564">
        <v>29.1</v>
      </c>
      <c r="R1636" s="757">
        <v>1</v>
      </c>
      <c r="S1636" s="55"/>
      <c r="T1636" s="55"/>
      <c r="U1636" s="55"/>
      <c r="V1636" s="55">
        <v>18.3</v>
      </c>
      <c r="W1636" s="572"/>
      <c r="X1636" s="572">
        <v>30</v>
      </c>
      <c r="Y1636" s="55">
        <v>40.1</v>
      </c>
    </row>
    <row r="1637" spans="1:25" x14ac:dyDescent="0.2">
      <c r="A1637" s="20" t="s">
        <v>1489</v>
      </c>
      <c r="B1637" s="401" t="s">
        <v>1569</v>
      </c>
      <c r="C1637" s="20" t="str">
        <f t="shared" si="173"/>
        <v>Tropical WetWestern Africa</v>
      </c>
      <c r="D1637" s="572">
        <v>4.7</v>
      </c>
      <c r="E1637" s="572">
        <v>4.7</v>
      </c>
      <c r="F1637" s="572">
        <v>4.7</v>
      </c>
      <c r="G1637" s="565">
        <f t="shared" si="174"/>
        <v>7.5670000000000002</v>
      </c>
      <c r="H1637" s="730">
        <v>0</v>
      </c>
      <c r="I1637" s="758">
        <f t="shared" si="170"/>
        <v>20.887499999999999</v>
      </c>
      <c r="J1637" s="563">
        <v>23.7</v>
      </c>
      <c r="K1637" s="564">
        <v>11.1</v>
      </c>
      <c r="L1637" s="564">
        <v>4.7</v>
      </c>
      <c r="M1637" s="574">
        <v>32.5</v>
      </c>
      <c r="N1637" s="574">
        <v>5.9</v>
      </c>
      <c r="O1637" s="574">
        <v>24</v>
      </c>
      <c r="P1637" s="574">
        <v>36.1</v>
      </c>
      <c r="Q1637" s="564">
        <v>29.1</v>
      </c>
      <c r="R1637" s="757">
        <v>1</v>
      </c>
      <c r="S1637" s="55"/>
      <c r="T1637" s="55"/>
      <c r="U1637" s="55"/>
      <c r="V1637" s="55">
        <v>18.3</v>
      </c>
      <c r="W1637" s="572"/>
      <c r="X1637" s="572">
        <v>30</v>
      </c>
      <c r="Y1637" s="55">
        <v>40.1</v>
      </c>
    </row>
    <row r="1638" spans="1:25" x14ac:dyDescent="0.2">
      <c r="A1638" s="20" t="s">
        <v>1489</v>
      </c>
      <c r="B1638" s="401" t="s">
        <v>1550</v>
      </c>
      <c r="C1638" s="20" t="str">
        <f t="shared" si="173"/>
        <v>Tropical WetCentral Asia</v>
      </c>
      <c r="D1638" s="572">
        <v>4.7</v>
      </c>
      <c r="E1638" s="572">
        <v>4.7</v>
      </c>
      <c r="F1638" s="572">
        <v>4.7</v>
      </c>
      <c r="G1638" s="565">
        <f t="shared" si="174"/>
        <v>7.5670000000000002</v>
      </c>
      <c r="H1638" s="730">
        <v>0</v>
      </c>
      <c r="I1638" s="758">
        <f t="shared" si="170"/>
        <v>20.887499999999999</v>
      </c>
      <c r="J1638" s="563">
        <v>23.7</v>
      </c>
      <c r="K1638" s="564">
        <v>11.1</v>
      </c>
      <c r="L1638" s="564">
        <v>4.7</v>
      </c>
      <c r="M1638" s="574">
        <v>32.5</v>
      </c>
      <c r="N1638" s="574">
        <v>5.9</v>
      </c>
      <c r="O1638" s="574">
        <v>24</v>
      </c>
      <c r="P1638" s="574">
        <v>36.1</v>
      </c>
      <c r="Q1638" s="564">
        <v>29.1</v>
      </c>
      <c r="R1638" s="757">
        <v>1</v>
      </c>
      <c r="S1638" s="55"/>
      <c r="T1638" s="55"/>
      <c r="U1638" s="55"/>
      <c r="V1638" s="55">
        <v>18.3</v>
      </c>
      <c r="W1638" s="572"/>
      <c r="X1638" s="572">
        <v>30</v>
      </c>
      <c r="Y1638" s="55">
        <v>40.1</v>
      </c>
    </row>
    <row r="1639" spans="1:25" x14ac:dyDescent="0.2">
      <c r="A1639" s="20" t="s">
        <v>1489</v>
      </c>
      <c r="B1639" s="401" t="s">
        <v>1554</v>
      </c>
      <c r="C1639" s="20" t="str">
        <f t="shared" si="173"/>
        <v>Tropical WetEastern Asia</v>
      </c>
      <c r="D1639" s="572">
        <v>4.7</v>
      </c>
      <c r="E1639" s="572">
        <v>4.7</v>
      </c>
      <c r="F1639" s="572">
        <v>4.7</v>
      </c>
      <c r="G1639" s="565">
        <f t="shared" si="174"/>
        <v>7.5670000000000002</v>
      </c>
      <c r="H1639" s="730">
        <v>0</v>
      </c>
      <c r="I1639" s="758">
        <f t="shared" si="170"/>
        <v>20.887499999999999</v>
      </c>
      <c r="J1639" s="563">
        <v>23.7</v>
      </c>
      <c r="K1639" s="564">
        <v>11.1</v>
      </c>
      <c r="L1639" s="564">
        <v>4.7</v>
      </c>
      <c r="M1639" s="574">
        <v>32.5</v>
      </c>
      <c r="N1639" s="574">
        <v>5.9</v>
      </c>
      <c r="O1639" s="574">
        <v>24</v>
      </c>
      <c r="P1639" s="574">
        <v>36.1</v>
      </c>
      <c r="Q1639" s="564">
        <v>29.1</v>
      </c>
      <c r="R1639" s="757">
        <v>1</v>
      </c>
      <c r="S1639" s="55"/>
      <c r="T1639" s="55"/>
      <c r="U1639" s="55"/>
      <c r="V1639" s="55">
        <v>18.3</v>
      </c>
      <c r="W1639" s="572"/>
      <c r="X1639" s="572">
        <v>30</v>
      </c>
      <c r="Y1639" s="55">
        <v>40.1</v>
      </c>
    </row>
    <row r="1640" spans="1:25" x14ac:dyDescent="0.2">
      <c r="A1640" s="20" t="s">
        <v>1489</v>
      </c>
      <c r="B1640" s="401" t="s">
        <v>1563</v>
      </c>
      <c r="C1640" s="20" t="str">
        <f t="shared" si="173"/>
        <v>Tropical WetSouth-eastern Asia</v>
      </c>
      <c r="D1640" s="572">
        <v>4.7</v>
      </c>
      <c r="E1640" s="572">
        <v>4.7</v>
      </c>
      <c r="F1640" s="572">
        <v>4.7</v>
      </c>
      <c r="G1640" s="565">
        <f t="shared" si="174"/>
        <v>7.5670000000000002</v>
      </c>
      <c r="H1640" s="730">
        <v>0</v>
      </c>
      <c r="I1640" s="758">
        <f t="shared" si="170"/>
        <v>20.887499999999999</v>
      </c>
      <c r="J1640" s="563">
        <v>23.7</v>
      </c>
      <c r="K1640" s="564">
        <v>11.1</v>
      </c>
      <c r="L1640" s="564">
        <v>4.7</v>
      </c>
      <c r="M1640" s="574">
        <v>32.5</v>
      </c>
      <c r="N1640" s="574">
        <v>5.9</v>
      </c>
      <c r="O1640" s="574">
        <v>24</v>
      </c>
      <c r="P1640" s="574">
        <v>36.1</v>
      </c>
      <c r="Q1640" s="564">
        <v>29.1</v>
      </c>
      <c r="R1640" s="757">
        <v>1</v>
      </c>
      <c r="S1640" s="55"/>
      <c r="T1640" s="55"/>
      <c r="U1640" s="55"/>
      <c r="V1640" s="55">
        <v>18.3</v>
      </c>
      <c r="W1640" s="572"/>
      <c r="X1640" s="572">
        <v>30</v>
      </c>
      <c r="Y1640" s="55">
        <v>40.1</v>
      </c>
    </row>
    <row r="1641" spans="1:25" x14ac:dyDescent="0.2">
      <c r="A1641" s="20" t="s">
        <v>1489</v>
      </c>
      <c r="B1641" s="401" t="s">
        <v>1567</v>
      </c>
      <c r="C1641" s="20" t="str">
        <f t="shared" si="173"/>
        <v>Tropical WetSouthern Asia</v>
      </c>
      <c r="D1641" s="572">
        <v>4.7</v>
      </c>
      <c r="E1641" s="572">
        <v>4.7</v>
      </c>
      <c r="F1641" s="572">
        <v>4.7</v>
      </c>
      <c r="G1641" s="565">
        <f t="shared" si="174"/>
        <v>7.5670000000000002</v>
      </c>
      <c r="H1641" s="730">
        <v>0</v>
      </c>
      <c r="I1641" s="758">
        <f t="shared" si="170"/>
        <v>20.887499999999999</v>
      </c>
      <c r="J1641" s="563">
        <v>23.7</v>
      </c>
      <c r="K1641" s="564">
        <v>11.1</v>
      </c>
      <c r="L1641" s="564">
        <v>4.7</v>
      </c>
      <c r="M1641" s="574">
        <v>32.5</v>
      </c>
      <c r="N1641" s="574">
        <v>5.9</v>
      </c>
      <c r="O1641" s="574">
        <v>24</v>
      </c>
      <c r="P1641" s="574">
        <v>36.1</v>
      </c>
      <c r="Q1641" s="564">
        <v>29.1</v>
      </c>
      <c r="R1641" s="757">
        <v>1</v>
      </c>
      <c r="S1641" s="55"/>
      <c r="T1641" s="55"/>
      <c r="U1641" s="55"/>
      <c r="V1641" s="55">
        <v>18.3</v>
      </c>
      <c r="W1641" s="572"/>
      <c r="X1641" s="572">
        <v>30</v>
      </c>
      <c r="Y1641" s="55">
        <v>40.1</v>
      </c>
    </row>
    <row r="1642" spans="1:25" x14ac:dyDescent="0.2">
      <c r="A1642" s="20" t="s">
        <v>1489</v>
      </c>
      <c r="B1642" s="401" t="s">
        <v>1571</v>
      </c>
      <c r="C1642" s="20" t="str">
        <f t="shared" si="173"/>
        <v>Tropical WetWestern Asia</v>
      </c>
      <c r="D1642" s="572">
        <v>4.7</v>
      </c>
      <c r="E1642" s="572">
        <v>4.7</v>
      </c>
      <c r="F1642" s="572">
        <v>4.7</v>
      </c>
      <c r="G1642" s="565">
        <f t="shared" si="174"/>
        <v>7.5670000000000002</v>
      </c>
      <c r="H1642" s="730">
        <v>0</v>
      </c>
      <c r="I1642" s="758">
        <f t="shared" si="170"/>
        <v>20.887499999999999</v>
      </c>
      <c r="J1642" s="563">
        <v>23.7</v>
      </c>
      <c r="K1642" s="564">
        <v>11.1</v>
      </c>
      <c r="L1642" s="564">
        <v>4.7</v>
      </c>
      <c r="M1642" s="574">
        <v>32.5</v>
      </c>
      <c r="N1642" s="574">
        <v>5.9</v>
      </c>
      <c r="O1642" s="574">
        <v>24</v>
      </c>
      <c r="P1642" s="574">
        <v>36.1</v>
      </c>
      <c r="Q1642" s="564">
        <v>29.1</v>
      </c>
      <c r="R1642" s="757">
        <v>1</v>
      </c>
      <c r="S1642" s="55"/>
      <c r="T1642" s="55"/>
      <c r="U1642" s="55"/>
      <c r="V1642" s="55">
        <v>18.3</v>
      </c>
      <c r="W1642" s="572"/>
      <c r="X1642" s="572">
        <v>30</v>
      </c>
      <c r="Y1642" s="55">
        <v>40.1</v>
      </c>
    </row>
    <row r="1643" spans="1:25" x14ac:dyDescent="0.2">
      <c r="A1643" s="20" t="s">
        <v>1489</v>
      </c>
      <c r="B1643" s="401" t="s">
        <v>1555</v>
      </c>
      <c r="C1643" s="20" t="str">
        <f t="shared" si="173"/>
        <v>Tropical WetEurope</v>
      </c>
      <c r="D1643" s="572">
        <v>4.7</v>
      </c>
      <c r="E1643" s="572">
        <v>4.7</v>
      </c>
      <c r="F1643" s="572">
        <v>4.7</v>
      </c>
      <c r="G1643" s="565">
        <f t="shared" si="174"/>
        <v>7.5670000000000002</v>
      </c>
      <c r="H1643" s="730">
        <v>0</v>
      </c>
      <c r="I1643" s="758">
        <f t="shared" si="170"/>
        <v>20.887499999999999</v>
      </c>
      <c r="J1643" s="563">
        <v>23.7</v>
      </c>
      <c r="K1643" s="564">
        <v>11.1</v>
      </c>
      <c r="L1643" s="564">
        <v>4.7</v>
      </c>
      <c r="M1643" s="574">
        <v>32.5</v>
      </c>
      <c r="N1643" s="574">
        <v>5.9</v>
      </c>
      <c r="O1643" s="574">
        <v>24</v>
      </c>
      <c r="P1643" s="574">
        <v>36.1</v>
      </c>
      <c r="Q1643" s="564">
        <v>29.1</v>
      </c>
      <c r="R1643" s="757">
        <v>1</v>
      </c>
      <c r="S1643" s="55"/>
      <c r="T1643" s="55"/>
      <c r="U1643" s="55"/>
      <c r="V1643" s="55">
        <v>18.3</v>
      </c>
      <c r="W1643" s="572"/>
      <c r="X1643" s="572">
        <v>30</v>
      </c>
      <c r="Y1643" s="55">
        <v>40.1</v>
      </c>
    </row>
    <row r="1644" spans="1:25" x14ac:dyDescent="0.2">
      <c r="A1644" s="20" t="s">
        <v>1489</v>
      </c>
      <c r="B1644" s="401" t="s">
        <v>1346</v>
      </c>
      <c r="C1644" s="20" t="str">
        <f t="shared" si="173"/>
        <v>Tropical WetOceania</v>
      </c>
      <c r="D1644" s="572">
        <v>4.7</v>
      </c>
      <c r="E1644" s="572">
        <v>4.7</v>
      </c>
      <c r="F1644" s="572">
        <v>4.7</v>
      </c>
      <c r="G1644" s="565">
        <f t="shared" si="174"/>
        <v>7.5670000000000002</v>
      </c>
      <c r="H1644" s="730">
        <v>0</v>
      </c>
      <c r="I1644" s="758">
        <f t="shared" si="170"/>
        <v>20.887499999999999</v>
      </c>
      <c r="J1644" s="563">
        <v>23.7</v>
      </c>
      <c r="K1644" s="564">
        <v>11.1</v>
      </c>
      <c r="L1644" s="564">
        <v>4.7</v>
      </c>
      <c r="M1644" s="574">
        <v>32.5</v>
      </c>
      <c r="N1644" s="574">
        <v>5.9</v>
      </c>
      <c r="O1644" s="574">
        <v>24</v>
      </c>
      <c r="P1644" s="574">
        <v>36.1</v>
      </c>
      <c r="Q1644" s="564">
        <v>29.1</v>
      </c>
      <c r="R1644" s="757">
        <v>1</v>
      </c>
      <c r="S1644" s="55"/>
      <c r="T1644" s="55"/>
      <c r="U1644" s="55"/>
      <c r="V1644" s="55">
        <v>18.3</v>
      </c>
      <c r="W1644" s="572"/>
      <c r="X1644" s="572">
        <v>30</v>
      </c>
      <c r="Y1644" s="55">
        <v>40.1</v>
      </c>
    </row>
    <row r="1645" spans="1:25" x14ac:dyDescent="0.2">
      <c r="A1645" s="20" t="s">
        <v>1489</v>
      </c>
      <c r="B1645" s="401" t="s">
        <v>1343</v>
      </c>
      <c r="C1645" s="20" t="str">
        <f t="shared" si="173"/>
        <v>Tropical WetNorth America</v>
      </c>
      <c r="D1645" s="572">
        <v>4.7</v>
      </c>
      <c r="E1645" s="572">
        <v>4.7</v>
      </c>
      <c r="F1645" s="572">
        <v>4.7</v>
      </c>
      <c r="G1645" s="565">
        <f t="shared" si="174"/>
        <v>7.5670000000000002</v>
      </c>
      <c r="H1645" s="730">
        <v>0</v>
      </c>
      <c r="I1645" s="758">
        <f>AVERAGE(J1645:Q1645)</f>
        <v>20.887499999999999</v>
      </c>
      <c r="J1645" s="563">
        <v>23.7</v>
      </c>
      <c r="K1645" s="564">
        <v>11.1</v>
      </c>
      <c r="L1645" s="564">
        <v>4.7</v>
      </c>
      <c r="M1645" s="574">
        <v>32.5</v>
      </c>
      <c r="N1645" s="574">
        <v>5.9</v>
      </c>
      <c r="O1645" s="574">
        <v>24</v>
      </c>
      <c r="P1645" s="574">
        <v>36.1</v>
      </c>
      <c r="Q1645" s="564">
        <v>29.1</v>
      </c>
      <c r="R1645" s="757">
        <v>1</v>
      </c>
      <c r="S1645" s="55"/>
      <c r="T1645" s="55"/>
      <c r="U1645" s="55"/>
      <c r="V1645" s="55">
        <v>18.3</v>
      </c>
      <c r="W1645" s="572"/>
      <c r="X1645" s="572">
        <v>30</v>
      </c>
      <c r="Y1645" s="55">
        <v>40.1</v>
      </c>
    </row>
    <row r="1646" spans="1:25" x14ac:dyDescent="0.2">
      <c r="A1646" s="20" t="s">
        <v>1489</v>
      </c>
      <c r="B1646" s="401" t="s">
        <v>1349</v>
      </c>
      <c r="C1646" s="20" t="str">
        <f t="shared" si="173"/>
        <v>Tropical WetSouth America</v>
      </c>
      <c r="D1646" s="572">
        <v>4.7</v>
      </c>
      <c r="E1646" s="572">
        <v>4.7</v>
      </c>
      <c r="F1646" s="572">
        <v>4.7</v>
      </c>
      <c r="G1646" s="565">
        <f t="shared" si="174"/>
        <v>7.5670000000000002</v>
      </c>
      <c r="H1646" s="730">
        <v>0</v>
      </c>
      <c r="I1646" s="758">
        <f t="shared" si="170"/>
        <v>20.887499999999999</v>
      </c>
      <c r="J1646" s="563">
        <v>23.7</v>
      </c>
      <c r="K1646" s="564">
        <v>11.1</v>
      </c>
      <c r="L1646" s="564">
        <v>4.7</v>
      </c>
      <c r="M1646" s="574">
        <v>32.5</v>
      </c>
      <c r="N1646" s="574">
        <v>5.9</v>
      </c>
      <c r="O1646" s="574">
        <v>24</v>
      </c>
      <c r="P1646" s="574">
        <v>36.1</v>
      </c>
      <c r="Q1646" s="564">
        <v>29.1</v>
      </c>
      <c r="R1646" s="757">
        <v>1</v>
      </c>
      <c r="S1646" s="55"/>
      <c r="T1646" s="55"/>
      <c r="U1646" s="55"/>
      <c r="V1646" s="55">
        <v>18.3</v>
      </c>
      <c r="W1646" s="572"/>
      <c r="X1646" s="572">
        <v>30</v>
      </c>
      <c r="Y1646" s="55">
        <v>40.1</v>
      </c>
    </row>
    <row r="1647" spans="1:25" x14ac:dyDescent="0.2">
      <c r="A1647" s="20" t="s">
        <v>1489</v>
      </c>
      <c r="B1647" s="401" t="s">
        <v>1333</v>
      </c>
      <c r="C1647" s="20" t="str">
        <f t="shared" si="173"/>
        <v>Tropical WetCentral America</v>
      </c>
      <c r="D1647" s="572">
        <v>4.7</v>
      </c>
      <c r="E1647" s="572">
        <v>4.7</v>
      </c>
      <c r="F1647" s="572">
        <v>4.7</v>
      </c>
      <c r="G1647" s="565">
        <f t="shared" si="174"/>
        <v>7.5670000000000002</v>
      </c>
      <c r="H1647" s="730">
        <v>0</v>
      </c>
      <c r="I1647" s="758">
        <f t="shared" si="170"/>
        <v>20.887499999999999</v>
      </c>
      <c r="J1647" s="563">
        <v>23.7</v>
      </c>
      <c r="K1647" s="564">
        <v>11.1</v>
      </c>
      <c r="L1647" s="564">
        <v>4.7</v>
      </c>
      <c r="M1647" s="574">
        <v>32.5</v>
      </c>
      <c r="N1647" s="574">
        <v>5.9</v>
      </c>
      <c r="O1647" s="574">
        <v>24</v>
      </c>
      <c r="P1647" s="574">
        <v>36.1</v>
      </c>
      <c r="Q1647" s="564">
        <v>29.1</v>
      </c>
      <c r="R1647" s="757">
        <v>1</v>
      </c>
      <c r="S1647" s="55"/>
      <c r="T1647" s="55"/>
      <c r="U1647" s="55"/>
      <c r="V1647" s="55">
        <v>18.3</v>
      </c>
      <c r="W1647" s="572"/>
      <c r="X1647" s="572">
        <v>30</v>
      </c>
      <c r="Y1647" s="55">
        <v>40.1</v>
      </c>
    </row>
    <row r="1648" spans="1:25" x14ac:dyDescent="0.2">
      <c r="A1648" s="37" t="s">
        <v>1489</v>
      </c>
      <c r="B1648" s="402" t="s">
        <v>1547</v>
      </c>
      <c r="C1648" s="37" t="str">
        <f t="shared" si="173"/>
        <v>Tropical WetCaribbean</v>
      </c>
      <c r="D1648" s="420">
        <v>4.7</v>
      </c>
      <c r="E1648" s="420">
        <v>4.7</v>
      </c>
      <c r="F1648" s="420">
        <v>4.7</v>
      </c>
      <c r="G1648" s="565">
        <f t="shared" si="174"/>
        <v>7.5670000000000002</v>
      </c>
      <c r="H1648" s="731">
        <v>0</v>
      </c>
      <c r="I1648" s="760">
        <f t="shared" si="170"/>
        <v>20.887499999999999</v>
      </c>
      <c r="J1648" s="563">
        <v>23.7</v>
      </c>
      <c r="K1648" s="564">
        <v>11.1</v>
      </c>
      <c r="L1648" s="564">
        <v>4.7</v>
      </c>
      <c r="M1648" s="574">
        <v>32.5</v>
      </c>
      <c r="N1648" s="574">
        <v>5.9</v>
      </c>
      <c r="O1648" s="574">
        <v>24</v>
      </c>
      <c r="P1648" s="574">
        <v>36.1</v>
      </c>
      <c r="Q1648" s="577">
        <v>29.1</v>
      </c>
      <c r="R1648" s="763">
        <v>1</v>
      </c>
      <c r="S1648" s="579"/>
      <c r="T1648" s="579"/>
      <c r="U1648" s="579"/>
      <c r="V1648" s="55">
        <v>18.3</v>
      </c>
      <c r="W1648" s="572"/>
      <c r="X1648" s="420">
        <v>30</v>
      </c>
      <c r="Y1648" s="579">
        <v>40.1</v>
      </c>
    </row>
    <row r="1649" spans="1:25" x14ac:dyDescent="0.2">
      <c r="A1649" s="63" t="s">
        <v>1490</v>
      </c>
      <c r="B1649" s="410" t="s">
        <v>1552</v>
      </c>
      <c r="C1649" s="63" t="str">
        <f t="shared" si="173"/>
        <v>Boreal DryEastern Africa</v>
      </c>
      <c r="D1649" s="569">
        <v>4.7</v>
      </c>
      <c r="E1649" s="569">
        <v>4.7</v>
      </c>
      <c r="F1649" s="569">
        <v>4.7</v>
      </c>
      <c r="G1649" s="582">
        <f>8.5*0.47</f>
        <v>3.9949999999999997</v>
      </c>
      <c r="H1649" s="729">
        <v>0</v>
      </c>
      <c r="I1649" s="755">
        <f t="shared" si="170"/>
        <v>20.599999999999998</v>
      </c>
      <c r="J1649" s="570"/>
      <c r="K1649" s="569"/>
      <c r="L1649" s="583">
        <v>13.1</v>
      </c>
      <c r="M1649" s="570"/>
      <c r="N1649" s="567"/>
      <c r="O1649" s="569"/>
      <c r="P1649" s="569">
        <v>13.7</v>
      </c>
      <c r="Q1649" s="583">
        <v>35</v>
      </c>
      <c r="R1649" s="764">
        <v>1</v>
      </c>
      <c r="S1649" s="55">
        <v>6.9</v>
      </c>
      <c r="T1649" s="55">
        <v>6.4</v>
      </c>
      <c r="U1649" s="55">
        <v>6.35</v>
      </c>
      <c r="V1649" s="567">
        <v>18.3</v>
      </c>
      <c r="W1649" s="567">
        <v>2.8</v>
      </c>
      <c r="X1649" s="55"/>
      <c r="Y1649" s="573"/>
    </row>
    <row r="1650" spans="1:25" x14ac:dyDescent="0.2">
      <c r="A1650" s="20" t="s">
        <v>1490</v>
      </c>
      <c r="B1650" s="411" t="s">
        <v>1557</v>
      </c>
      <c r="C1650" s="20" t="str">
        <f t="shared" si="173"/>
        <v>Boreal DryCentral Africa</v>
      </c>
      <c r="D1650" s="572">
        <v>4.7</v>
      </c>
      <c r="E1650" s="572">
        <v>4.7</v>
      </c>
      <c r="F1650" s="572">
        <v>4.7</v>
      </c>
      <c r="G1650" s="565">
        <f>8.5*0.47</f>
        <v>3.9949999999999997</v>
      </c>
      <c r="H1650" s="730">
        <v>0</v>
      </c>
      <c r="I1650" s="758">
        <f t="shared" ref="I1650:I1680" si="175">AVERAGE(J1650:Q1650)</f>
        <v>20.599999999999998</v>
      </c>
      <c r="J1650" s="573"/>
      <c r="K1650" s="572"/>
      <c r="L1650" s="564">
        <v>13.1</v>
      </c>
      <c r="M1650" s="573"/>
      <c r="N1650" s="55"/>
      <c r="O1650" s="572"/>
      <c r="P1650" s="572">
        <v>13.7</v>
      </c>
      <c r="Q1650" s="564">
        <v>35</v>
      </c>
      <c r="R1650" s="765">
        <v>1</v>
      </c>
      <c r="S1650" s="55">
        <v>6.9</v>
      </c>
      <c r="T1650" s="55">
        <v>6.4</v>
      </c>
      <c r="U1650" s="55">
        <v>6.35</v>
      </c>
      <c r="V1650" s="55">
        <v>18.3</v>
      </c>
      <c r="W1650" s="55">
        <v>2.8</v>
      </c>
      <c r="X1650" s="55"/>
      <c r="Y1650" s="573"/>
    </row>
    <row r="1651" spans="1:25" x14ac:dyDescent="0.2">
      <c r="A1651" s="20" t="s">
        <v>1490</v>
      </c>
      <c r="B1651" s="411" t="s">
        <v>1559</v>
      </c>
      <c r="C1651" s="20" t="str">
        <f t="shared" si="173"/>
        <v>Boreal DryNorthern Africa</v>
      </c>
      <c r="D1651" s="572">
        <v>4.7</v>
      </c>
      <c r="E1651" s="572">
        <v>4.7</v>
      </c>
      <c r="F1651" s="572">
        <v>4.7</v>
      </c>
      <c r="G1651" s="565">
        <f t="shared" ref="G1651:G1680" si="176">8.5*0.47</f>
        <v>3.9949999999999997</v>
      </c>
      <c r="H1651" s="730">
        <v>0</v>
      </c>
      <c r="I1651" s="758">
        <f t="shared" si="175"/>
        <v>20.599999999999998</v>
      </c>
      <c r="J1651" s="573"/>
      <c r="K1651" s="572"/>
      <c r="L1651" s="564">
        <v>13.1</v>
      </c>
      <c r="M1651" s="573"/>
      <c r="N1651" s="55"/>
      <c r="O1651" s="572"/>
      <c r="P1651" s="572">
        <v>13.7</v>
      </c>
      <c r="Q1651" s="564">
        <v>35</v>
      </c>
      <c r="R1651" s="765">
        <v>1</v>
      </c>
      <c r="S1651" s="55">
        <v>6.9</v>
      </c>
      <c r="T1651" s="55">
        <v>6.4</v>
      </c>
      <c r="U1651" s="55">
        <v>6.35</v>
      </c>
      <c r="V1651" s="55">
        <v>18.3</v>
      </c>
      <c r="W1651" s="55">
        <v>2.8</v>
      </c>
      <c r="X1651" s="55"/>
      <c r="Y1651" s="573"/>
    </row>
    <row r="1652" spans="1:25" x14ac:dyDescent="0.2">
      <c r="A1652" s="20" t="s">
        <v>1490</v>
      </c>
      <c r="B1652" s="411" t="s">
        <v>1565</v>
      </c>
      <c r="C1652" s="20" t="str">
        <f t="shared" si="173"/>
        <v>Boreal DrySouthern Africa</v>
      </c>
      <c r="D1652" s="572">
        <v>4.7</v>
      </c>
      <c r="E1652" s="572">
        <v>4.7</v>
      </c>
      <c r="F1652" s="572">
        <v>4.7</v>
      </c>
      <c r="G1652" s="565">
        <f t="shared" si="176"/>
        <v>3.9949999999999997</v>
      </c>
      <c r="H1652" s="730">
        <v>0</v>
      </c>
      <c r="I1652" s="758">
        <f t="shared" si="175"/>
        <v>20.599999999999998</v>
      </c>
      <c r="J1652" s="573"/>
      <c r="K1652" s="572"/>
      <c r="L1652" s="564">
        <v>13.1</v>
      </c>
      <c r="M1652" s="573"/>
      <c r="N1652" s="55"/>
      <c r="O1652" s="572"/>
      <c r="P1652" s="572">
        <v>13.7</v>
      </c>
      <c r="Q1652" s="564">
        <v>35</v>
      </c>
      <c r="R1652" s="765">
        <v>1</v>
      </c>
      <c r="S1652" s="55">
        <v>6.9</v>
      </c>
      <c r="T1652" s="55">
        <v>6.4</v>
      </c>
      <c r="U1652" s="55">
        <v>6.35</v>
      </c>
      <c r="V1652" s="55">
        <v>18.3</v>
      </c>
      <c r="W1652" s="55">
        <v>2.8</v>
      </c>
      <c r="X1652" s="55"/>
      <c r="Y1652" s="573"/>
    </row>
    <row r="1653" spans="1:25" x14ac:dyDescent="0.2">
      <c r="A1653" s="20" t="s">
        <v>1490</v>
      </c>
      <c r="B1653" s="411" t="s">
        <v>1569</v>
      </c>
      <c r="C1653" s="20" t="str">
        <f t="shared" si="173"/>
        <v>Boreal DryWestern Africa</v>
      </c>
      <c r="D1653" s="572">
        <v>4.7</v>
      </c>
      <c r="E1653" s="572">
        <v>4.7</v>
      </c>
      <c r="F1653" s="572">
        <v>4.7</v>
      </c>
      <c r="G1653" s="565">
        <f t="shared" si="176"/>
        <v>3.9949999999999997</v>
      </c>
      <c r="H1653" s="730">
        <v>0</v>
      </c>
      <c r="I1653" s="758">
        <f t="shared" si="175"/>
        <v>20.599999999999998</v>
      </c>
      <c r="J1653" s="573"/>
      <c r="K1653" s="572"/>
      <c r="L1653" s="564">
        <v>13.1</v>
      </c>
      <c r="M1653" s="573"/>
      <c r="N1653" s="55"/>
      <c r="O1653" s="572"/>
      <c r="P1653" s="572">
        <v>13.7</v>
      </c>
      <c r="Q1653" s="564">
        <v>35</v>
      </c>
      <c r="R1653" s="765">
        <v>1</v>
      </c>
      <c r="S1653" s="55">
        <v>6.9</v>
      </c>
      <c r="T1653" s="55">
        <v>6.4</v>
      </c>
      <c r="U1653" s="55">
        <v>6.35</v>
      </c>
      <c r="V1653" s="55">
        <v>18.3</v>
      </c>
      <c r="W1653" s="55">
        <v>2.8</v>
      </c>
      <c r="X1653" s="55"/>
      <c r="Y1653" s="573"/>
    </row>
    <row r="1654" spans="1:25" x14ac:dyDescent="0.2">
      <c r="A1654" s="20" t="s">
        <v>1490</v>
      </c>
      <c r="B1654" s="411" t="s">
        <v>1550</v>
      </c>
      <c r="C1654" s="20" t="str">
        <f t="shared" si="173"/>
        <v>Boreal DryCentral Asia</v>
      </c>
      <c r="D1654" s="572">
        <v>4.7</v>
      </c>
      <c r="E1654" s="572">
        <v>4.7</v>
      </c>
      <c r="F1654" s="572">
        <v>4.7</v>
      </c>
      <c r="G1654" s="565">
        <f t="shared" si="176"/>
        <v>3.9949999999999997</v>
      </c>
      <c r="H1654" s="730">
        <v>0</v>
      </c>
      <c r="I1654" s="758">
        <f t="shared" si="175"/>
        <v>20.599999999999998</v>
      </c>
      <c r="J1654" s="573"/>
      <c r="K1654" s="572"/>
      <c r="L1654" s="564">
        <v>13.1</v>
      </c>
      <c r="M1654" s="573"/>
      <c r="N1654" s="55"/>
      <c r="O1654" s="572"/>
      <c r="P1654" s="572">
        <v>13.7</v>
      </c>
      <c r="Q1654" s="564">
        <v>35</v>
      </c>
      <c r="R1654" s="765">
        <v>1</v>
      </c>
      <c r="S1654" s="55">
        <v>6.9</v>
      </c>
      <c r="T1654" s="55">
        <v>6.4</v>
      </c>
      <c r="U1654" s="55">
        <v>6.35</v>
      </c>
      <c r="V1654" s="55">
        <v>18.3</v>
      </c>
      <c r="W1654" s="55">
        <v>2.8</v>
      </c>
      <c r="X1654" s="55"/>
      <c r="Y1654" s="573"/>
    </row>
    <row r="1655" spans="1:25" x14ac:dyDescent="0.2">
      <c r="A1655" s="20" t="s">
        <v>1490</v>
      </c>
      <c r="B1655" s="411" t="s">
        <v>1554</v>
      </c>
      <c r="C1655" s="20" t="str">
        <f t="shared" si="173"/>
        <v>Boreal DryEastern Asia</v>
      </c>
      <c r="D1655" s="572">
        <v>4.7</v>
      </c>
      <c r="E1655" s="572">
        <v>4.7</v>
      </c>
      <c r="F1655" s="572">
        <v>4.7</v>
      </c>
      <c r="G1655" s="565">
        <f t="shared" si="176"/>
        <v>3.9949999999999997</v>
      </c>
      <c r="H1655" s="730">
        <v>0</v>
      </c>
      <c r="I1655" s="758">
        <f t="shared" si="175"/>
        <v>20.599999999999998</v>
      </c>
      <c r="J1655" s="573"/>
      <c r="K1655" s="572"/>
      <c r="L1655" s="564">
        <v>13.1</v>
      </c>
      <c r="M1655" s="573"/>
      <c r="N1655" s="55"/>
      <c r="O1655" s="572"/>
      <c r="P1655" s="572">
        <v>13.7</v>
      </c>
      <c r="Q1655" s="564">
        <v>35</v>
      </c>
      <c r="R1655" s="765">
        <v>1</v>
      </c>
      <c r="S1655" s="55">
        <v>6.9</v>
      </c>
      <c r="T1655" s="55">
        <v>6.4</v>
      </c>
      <c r="U1655" s="55">
        <v>6.35</v>
      </c>
      <c r="V1655" s="55">
        <v>18.3</v>
      </c>
      <c r="W1655" s="55">
        <v>2.8</v>
      </c>
      <c r="X1655" s="55"/>
      <c r="Y1655" s="573"/>
    </row>
    <row r="1656" spans="1:25" x14ac:dyDescent="0.2">
      <c r="A1656" s="20" t="s">
        <v>1490</v>
      </c>
      <c r="B1656" s="411" t="s">
        <v>1563</v>
      </c>
      <c r="C1656" s="20" t="str">
        <f t="shared" si="173"/>
        <v>Boreal DrySouth-eastern Asia</v>
      </c>
      <c r="D1656" s="572">
        <v>4.7</v>
      </c>
      <c r="E1656" s="572">
        <v>4.7</v>
      </c>
      <c r="F1656" s="572">
        <v>4.7</v>
      </c>
      <c r="G1656" s="565">
        <f t="shared" si="176"/>
        <v>3.9949999999999997</v>
      </c>
      <c r="H1656" s="730">
        <v>0</v>
      </c>
      <c r="I1656" s="758">
        <f t="shared" si="175"/>
        <v>20.599999999999998</v>
      </c>
      <c r="J1656" s="573"/>
      <c r="K1656" s="572"/>
      <c r="L1656" s="564">
        <v>13.1</v>
      </c>
      <c r="M1656" s="573"/>
      <c r="N1656" s="55"/>
      <c r="O1656" s="572"/>
      <c r="P1656" s="572">
        <v>13.7</v>
      </c>
      <c r="Q1656" s="564">
        <v>35</v>
      </c>
      <c r="R1656" s="765">
        <v>1</v>
      </c>
      <c r="S1656" s="55">
        <v>6.9</v>
      </c>
      <c r="T1656" s="55">
        <v>6.4</v>
      </c>
      <c r="U1656" s="55">
        <v>6.35</v>
      </c>
      <c r="V1656" s="55">
        <v>18.3</v>
      </c>
      <c r="W1656" s="55">
        <v>2.8</v>
      </c>
      <c r="X1656" s="55"/>
      <c r="Y1656" s="573"/>
    </row>
    <row r="1657" spans="1:25" x14ac:dyDescent="0.2">
      <c r="A1657" s="20" t="s">
        <v>1490</v>
      </c>
      <c r="B1657" s="411" t="s">
        <v>1567</v>
      </c>
      <c r="C1657" s="20" t="str">
        <f t="shared" si="173"/>
        <v>Boreal DrySouthern Asia</v>
      </c>
      <c r="D1657" s="572">
        <v>4.7</v>
      </c>
      <c r="E1657" s="572">
        <v>4.7</v>
      </c>
      <c r="F1657" s="572">
        <v>4.7</v>
      </c>
      <c r="G1657" s="565">
        <f t="shared" si="176"/>
        <v>3.9949999999999997</v>
      </c>
      <c r="H1657" s="730">
        <v>0</v>
      </c>
      <c r="I1657" s="758">
        <f t="shared" si="175"/>
        <v>20.599999999999998</v>
      </c>
      <c r="J1657" s="573"/>
      <c r="K1657" s="572"/>
      <c r="L1657" s="564">
        <v>13.1</v>
      </c>
      <c r="M1657" s="573"/>
      <c r="N1657" s="55"/>
      <c r="O1657" s="572"/>
      <c r="P1657" s="572">
        <v>13.7</v>
      </c>
      <c r="Q1657" s="564">
        <v>35</v>
      </c>
      <c r="R1657" s="765">
        <v>1</v>
      </c>
      <c r="S1657" s="55">
        <v>6.9</v>
      </c>
      <c r="T1657" s="55">
        <v>6.4</v>
      </c>
      <c r="U1657" s="55">
        <v>6.35</v>
      </c>
      <c r="V1657" s="55">
        <v>18.3</v>
      </c>
      <c r="W1657" s="55">
        <v>2.8</v>
      </c>
      <c r="X1657" s="55"/>
      <c r="Y1657" s="573"/>
    </row>
    <row r="1658" spans="1:25" x14ac:dyDescent="0.2">
      <c r="A1658" s="20" t="s">
        <v>1490</v>
      </c>
      <c r="B1658" s="411" t="s">
        <v>1571</v>
      </c>
      <c r="C1658" s="20" t="str">
        <f t="shared" si="173"/>
        <v>Boreal DryWestern Asia</v>
      </c>
      <c r="D1658" s="572">
        <v>4.7</v>
      </c>
      <c r="E1658" s="572">
        <v>4.7</v>
      </c>
      <c r="F1658" s="572">
        <v>4.7</v>
      </c>
      <c r="G1658" s="565">
        <f t="shared" si="176"/>
        <v>3.9949999999999997</v>
      </c>
      <c r="H1658" s="730">
        <v>0</v>
      </c>
      <c r="I1658" s="758">
        <f t="shared" si="175"/>
        <v>20.599999999999998</v>
      </c>
      <c r="J1658" s="573"/>
      <c r="K1658" s="572"/>
      <c r="L1658" s="564">
        <v>13.1</v>
      </c>
      <c r="M1658" s="573"/>
      <c r="N1658" s="55"/>
      <c r="O1658" s="572"/>
      <c r="P1658" s="572">
        <v>13.7</v>
      </c>
      <c r="Q1658" s="564">
        <v>35</v>
      </c>
      <c r="R1658" s="765">
        <v>1</v>
      </c>
      <c r="S1658" s="55">
        <v>6.9</v>
      </c>
      <c r="T1658" s="55">
        <v>6.4</v>
      </c>
      <c r="U1658" s="55">
        <v>6.35</v>
      </c>
      <c r="V1658" s="55">
        <v>18.3</v>
      </c>
      <c r="W1658" s="55">
        <v>2.8</v>
      </c>
      <c r="X1658" s="55"/>
      <c r="Y1658" s="573"/>
    </row>
    <row r="1659" spans="1:25" x14ac:dyDescent="0.2">
      <c r="A1659" s="20" t="s">
        <v>1490</v>
      </c>
      <c r="B1659" s="411" t="s">
        <v>1555</v>
      </c>
      <c r="C1659" s="20" t="str">
        <f t="shared" si="173"/>
        <v>Boreal DryEurope</v>
      </c>
      <c r="D1659" s="572">
        <v>4.7</v>
      </c>
      <c r="E1659" s="572">
        <v>4.7</v>
      </c>
      <c r="F1659" s="572">
        <v>4.7</v>
      </c>
      <c r="G1659" s="565">
        <f t="shared" si="176"/>
        <v>3.9949999999999997</v>
      </c>
      <c r="H1659" s="730">
        <v>0</v>
      </c>
      <c r="I1659" s="758">
        <f t="shared" si="175"/>
        <v>20.599999999999998</v>
      </c>
      <c r="J1659" s="573"/>
      <c r="K1659" s="572"/>
      <c r="L1659" s="564">
        <v>13.1</v>
      </c>
      <c r="M1659" s="573"/>
      <c r="N1659" s="55"/>
      <c r="O1659" s="572"/>
      <c r="P1659" s="572">
        <v>13.7</v>
      </c>
      <c r="Q1659" s="564">
        <v>35</v>
      </c>
      <c r="R1659" s="765">
        <v>1</v>
      </c>
      <c r="S1659" s="55">
        <v>6.9</v>
      </c>
      <c r="T1659" s="55">
        <v>6.4</v>
      </c>
      <c r="U1659" s="55">
        <v>6.35</v>
      </c>
      <c r="V1659" s="55">
        <v>18.3</v>
      </c>
      <c r="W1659" s="55">
        <v>2.8</v>
      </c>
      <c r="X1659" s="55"/>
      <c r="Y1659" s="573"/>
    </row>
    <row r="1660" spans="1:25" x14ac:dyDescent="0.2">
      <c r="A1660" s="20" t="s">
        <v>1490</v>
      </c>
      <c r="B1660" s="411" t="s">
        <v>1346</v>
      </c>
      <c r="C1660" s="20" t="str">
        <f t="shared" si="173"/>
        <v>Boreal DryOceania</v>
      </c>
      <c r="D1660" s="572">
        <v>4.7</v>
      </c>
      <c r="E1660" s="572">
        <v>4.7</v>
      </c>
      <c r="F1660" s="572">
        <v>4.7</v>
      </c>
      <c r="G1660" s="565">
        <f t="shared" si="176"/>
        <v>3.9949999999999997</v>
      </c>
      <c r="H1660" s="730">
        <v>0</v>
      </c>
      <c r="I1660" s="758">
        <f t="shared" si="175"/>
        <v>20.599999999999998</v>
      </c>
      <c r="J1660" s="573"/>
      <c r="K1660" s="572"/>
      <c r="L1660" s="564">
        <v>13.1</v>
      </c>
      <c r="M1660" s="573"/>
      <c r="N1660" s="55"/>
      <c r="O1660" s="572"/>
      <c r="P1660" s="572">
        <v>13.7</v>
      </c>
      <c r="Q1660" s="564">
        <v>35</v>
      </c>
      <c r="R1660" s="765">
        <v>1</v>
      </c>
      <c r="S1660" s="55">
        <v>6.9</v>
      </c>
      <c r="T1660" s="55">
        <v>6.4</v>
      </c>
      <c r="U1660" s="55">
        <v>6.35</v>
      </c>
      <c r="V1660" s="55">
        <v>18.3</v>
      </c>
      <c r="W1660" s="55">
        <v>2.8</v>
      </c>
      <c r="X1660" s="55"/>
      <c r="Y1660" s="573"/>
    </row>
    <row r="1661" spans="1:25" x14ac:dyDescent="0.2">
      <c r="A1661" s="20" t="s">
        <v>1490</v>
      </c>
      <c r="B1661" s="411" t="s">
        <v>1343</v>
      </c>
      <c r="C1661" s="20" t="str">
        <f t="shared" si="173"/>
        <v>Boreal DryNorth America</v>
      </c>
      <c r="D1661" s="572">
        <v>4.7</v>
      </c>
      <c r="E1661" s="572">
        <v>4.7</v>
      </c>
      <c r="F1661" s="572">
        <v>4.7</v>
      </c>
      <c r="G1661" s="565">
        <f t="shared" si="176"/>
        <v>3.9949999999999997</v>
      </c>
      <c r="H1661" s="730">
        <v>0</v>
      </c>
      <c r="I1661" s="758">
        <f t="shared" si="175"/>
        <v>20.599999999999998</v>
      </c>
      <c r="J1661" s="573"/>
      <c r="K1661" s="572"/>
      <c r="L1661" s="564">
        <v>13.1</v>
      </c>
      <c r="M1661" s="573"/>
      <c r="N1661" s="55"/>
      <c r="O1661" s="572"/>
      <c r="P1661" s="572">
        <v>13.7</v>
      </c>
      <c r="Q1661" s="564">
        <v>35</v>
      </c>
      <c r="R1661" s="765">
        <v>1</v>
      </c>
      <c r="S1661" s="55">
        <v>6.9</v>
      </c>
      <c r="T1661" s="55">
        <v>6.4</v>
      </c>
      <c r="U1661" s="55">
        <v>6.35</v>
      </c>
      <c r="V1661" s="55">
        <v>18.3</v>
      </c>
      <c r="W1661" s="55">
        <v>2.8</v>
      </c>
      <c r="X1661" s="55"/>
      <c r="Y1661" s="573"/>
    </row>
    <row r="1662" spans="1:25" x14ac:dyDescent="0.2">
      <c r="A1662" s="20" t="s">
        <v>1490</v>
      </c>
      <c r="B1662" s="411" t="s">
        <v>1349</v>
      </c>
      <c r="C1662" s="20" t="str">
        <f t="shared" si="173"/>
        <v>Boreal DrySouth America</v>
      </c>
      <c r="D1662" s="572">
        <v>4.7</v>
      </c>
      <c r="E1662" s="572">
        <v>4.7</v>
      </c>
      <c r="F1662" s="572">
        <v>4.7</v>
      </c>
      <c r="G1662" s="565">
        <f t="shared" si="176"/>
        <v>3.9949999999999997</v>
      </c>
      <c r="H1662" s="730">
        <v>0</v>
      </c>
      <c r="I1662" s="758">
        <f t="shared" si="175"/>
        <v>20.599999999999998</v>
      </c>
      <c r="J1662" s="573"/>
      <c r="K1662" s="572"/>
      <c r="L1662" s="564">
        <v>13.1</v>
      </c>
      <c r="M1662" s="573"/>
      <c r="N1662" s="55"/>
      <c r="O1662" s="572"/>
      <c r="P1662" s="572">
        <v>13.7</v>
      </c>
      <c r="Q1662" s="564">
        <v>35</v>
      </c>
      <c r="R1662" s="765">
        <v>1</v>
      </c>
      <c r="S1662" s="55">
        <v>6.9</v>
      </c>
      <c r="T1662" s="55">
        <v>6.4</v>
      </c>
      <c r="U1662" s="55">
        <v>6.35</v>
      </c>
      <c r="V1662" s="55">
        <v>18.3</v>
      </c>
      <c r="W1662" s="55">
        <v>2.8</v>
      </c>
      <c r="X1662" s="55"/>
      <c r="Y1662" s="573"/>
    </row>
    <row r="1663" spans="1:25" x14ac:dyDescent="0.2">
      <c r="A1663" s="20" t="s">
        <v>1490</v>
      </c>
      <c r="B1663" s="411" t="s">
        <v>1333</v>
      </c>
      <c r="C1663" s="20" t="str">
        <f t="shared" si="173"/>
        <v>Boreal DryCentral America</v>
      </c>
      <c r="D1663" s="572">
        <v>4.7</v>
      </c>
      <c r="E1663" s="572">
        <v>4.7</v>
      </c>
      <c r="F1663" s="572">
        <v>4.7</v>
      </c>
      <c r="G1663" s="565">
        <f t="shared" si="176"/>
        <v>3.9949999999999997</v>
      </c>
      <c r="H1663" s="730">
        <v>0</v>
      </c>
      <c r="I1663" s="758">
        <f t="shared" si="175"/>
        <v>20.599999999999998</v>
      </c>
      <c r="J1663" s="573"/>
      <c r="K1663" s="572"/>
      <c r="L1663" s="564">
        <v>13.1</v>
      </c>
      <c r="M1663" s="573"/>
      <c r="N1663" s="55"/>
      <c r="O1663" s="572"/>
      <c r="P1663" s="572">
        <v>13.7</v>
      </c>
      <c r="Q1663" s="564">
        <v>35</v>
      </c>
      <c r="R1663" s="765">
        <v>1</v>
      </c>
      <c r="S1663" s="55">
        <v>6.9</v>
      </c>
      <c r="T1663" s="55">
        <v>6.4</v>
      </c>
      <c r="U1663" s="55">
        <v>6.35</v>
      </c>
      <c r="V1663" s="55">
        <v>18.3</v>
      </c>
      <c r="W1663" s="55">
        <v>2.8</v>
      </c>
      <c r="X1663" s="55"/>
      <c r="Y1663" s="573"/>
    </row>
    <row r="1664" spans="1:25" x14ac:dyDescent="0.2">
      <c r="A1664" s="37" t="s">
        <v>1490</v>
      </c>
      <c r="B1664" s="412" t="s">
        <v>1547</v>
      </c>
      <c r="C1664" s="37" t="str">
        <f t="shared" si="173"/>
        <v>Boreal DryCaribbean</v>
      </c>
      <c r="D1664" s="420">
        <v>4.7</v>
      </c>
      <c r="E1664" s="420">
        <v>4.7</v>
      </c>
      <c r="F1664" s="420">
        <v>4.7</v>
      </c>
      <c r="G1664" s="578">
        <f t="shared" si="176"/>
        <v>3.9949999999999997</v>
      </c>
      <c r="H1664" s="731">
        <v>0</v>
      </c>
      <c r="I1664" s="760">
        <f t="shared" si="175"/>
        <v>20.599999999999998</v>
      </c>
      <c r="J1664" s="581"/>
      <c r="K1664" s="420"/>
      <c r="L1664" s="577">
        <v>13.1</v>
      </c>
      <c r="M1664" s="581"/>
      <c r="N1664" s="579"/>
      <c r="O1664" s="420"/>
      <c r="P1664" s="420">
        <v>13.7</v>
      </c>
      <c r="Q1664" s="577">
        <v>35</v>
      </c>
      <c r="R1664" s="766">
        <v>1</v>
      </c>
      <c r="S1664" s="55">
        <v>6.9</v>
      </c>
      <c r="T1664" s="55">
        <v>6.4</v>
      </c>
      <c r="U1664" s="55">
        <v>6.35</v>
      </c>
      <c r="V1664" s="55">
        <v>18.3</v>
      </c>
      <c r="W1664" s="55">
        <v>2.8</v>
      </c>
      <c r="X1664" s="55"/>
      <c r="Y1664" s="573"/>
    </row>
    <row r="1665" spans="1:25" x14ac:dyDescent="0.2">
      <c r="A1665" s="63" t="s">
        <v>1491</v>
      </c>
      <c r="B1665" s="410" t="s">
        <v>1552</v>
      </c>
      <c r="C1665" s="63" t="str">
        <f t="shared" si="173"/>
        <v>Boreal MoistEastern Africa</v>
      </c>
      <c r="D1665" s="569">
        <v>4.7</v>
      </c>
      <c r="E1665" s="569">
        <v>4.7</v>
      </c>
      <c r="F1665" s="569">
        <v>4.7</v>
      </c>
      <c r="G1665" s="582">
        <f t="shared" si="176"/>
        <v>3.9949999999999997</v>
      </c>
      <c r="H1665" s="729">
        <v>0</v>
      </c>
      <c r="I1665" s="755">
        <f t="shared" si="175"/>
        <v>20.599999999999998</v>
      </c>
      <c r="J1665" s="570"/>
      <c r="K1665" s="569"/>
      <c r="L1665" s="583">
        <v>13.1</v>
      </c>
      <c r="M1665" s="570"/>
      <c r="N1665" s="567"/>
      <c r="O1665" s="569"/>
      <c r="P1665" s="569">
        <v>13.7</v>
      </c>
      <c r="Q1665" s="583">
        <v>35</v>
      </c>
      <c r="R1665" s="767">
        <v>1</v>
      </c>
      <c r="S1665" s="569">
        <v>6.9</v>
      </c>
      <c r="T1665" s="569">
        <v>6.4</v>
      </c>
      <c r="U1665" s="569">
        <v>6.35</v>
      </c>
      <c r="V1665" s="569">
        <v>18.3</v>
      </c>
      <c r="W1665" s="569">
        <v>2.8</v>
      </c>
      <c r="X1665" s="569"/>
      <c r="Y1665" s="567"/>
    </row>
    <row r="1666" spans="1:25" x14ac:dyDescent="0.2">
      <c r="A1666" s="20" t="s">
        <v>1491</v>
      </c>
      <c r="B1666" s="411" t="s">
        <v>1557</v>
      </c>
      <c r="C1666" s="20" t="str">
        <f t="shared" si="173"/>
        <v>Boreal MoistCentral Africa</v>
      </c>
      <c r="D1666" s="572">
        <v>4.7</v>
      </c>
      <c r="E1666" s="572">
        <v>4.7</v>
      </c>
      <c r="F1666" s="572">
        <v>4.7</v>
      </c>
      <c r="G1666" s="565">
        <f t="shared" si="176"/>
        <v>3.9949999999999997</v>
      </c>
      <c r="H1666" s="730">
        <v>0</v>
      </c>
      <c r="I1666" s="758">
        <f t="shared" si="175"/>
        <v>20.599999999999998</v>
      </c>
      <c r="J1666" s="573"/>
      <c r="K1666" s="572"/>
      <c r="L1666" s="564">
        <v>13.1</v>
      </c>
      <c r="M1666" s="573"/>
      <c r="N1666" s="55"/>
      <c r="O1666" s="572"/>
      <c r="P1666" s="572">
        <v>13.7</v>
      </c>
      <c r="Q1666" s="564">
        <v>35</v>
      </c>
      <c r="R1666" s="768">
        <v>1</v>
      </c>
      <c r="S1666" s="572">
        <v>6.9</v>
      </c>
      <c r="T1666" s="572">
        <v>6.4</v>
      </c>
      <c r="U1666" s="572">
        <v>6.35</v>
      </c>
      <c r="V1666" s="572">
        <v>18.3</v>
      </c>
      <c r="W1666" s="572">
        <v>2.8</v>
      </c>
      <c r="X1666" s="572"/>
      <c r="Y1666" s="55"/>
    </row>
    <row r="1667" spans="1:25" x14ac:dyDescent="0.2">
      <c r="A1667" s="20" t="s">
        <v>1491</v>
      </c>
      <c r="B1667" s="411" t="s">
        <v>1559</v>
      </c>
      <c r="C1667" s="20" t="str">
        <f t="shared" si="173"/>
        <v>Boreal MoistNorthern Africa</v>
      </c>
      <c r="D1667" s="572">
        <v>4.7</v>
      </c>
      <c r="E1667" s="572">
        <v>4.7</v>
      </c>
      <c r="F1667" s="572">
        <v>4.7</v>
      </c>
      <c r="G1667" s="565">
        <f t="shared" si="176"/>
        <v>3.9949999999999997</v>
      </c>
      <c r="H1667" s="730">
        <v>0</v>
      </c>
      <c r="I1667" s="758">
        <f t="shared" si="175"/>
        <v>20.599999999999998</v>
      </c>
      <c r="J1667" s="573"/>
      <c r="K1667" s="572"/>
      <c r="L1667" s="564">
        <v>13.1</v>
      </c>
      <c r="M1667" s="573"/>
      <c r="N1667" s="55"/>
      <c r="O1667" s="572"/>
      <c r="P1667" s="572">
        <v>13.7</v>
      </c>
      <c r="Q1667" s="564">
        <v>35</v>
      </c>
      <c r="R1667" s="768">
        <v>1</v>
      </c>
      <c r="S1667" s="572">
        <v>6.9</v>
      </c>
      <c r="T1667" s="572">
        <v>6.4</v>
      </c>
      <c r="U1667" s="572">
        <v>6.35</v>
      </c>
      <c r="V1667" s="572">
        <v>18.3</v>
      </c>
      <c r="W1667" s="572">
        <v>2.8</v>
      </c>
      <c r="X1667" s="572"/>
      <c r="Y1667" s="55"/>
    </row>
    <row r="1668" spans="1:25" x14ac:dyDescent="0.2">
      <c r="A1668" s="20" t="s">
        <v>1491</v>
      </c>
      <c r="B1668" s="411" t="s">
        <v>1565</v>
      </c>
      <c r="C1668" s="20" t="str">
        <f t="shared" si="173"/>
        <v>Boreal MoistSouthern Africa</v>
      </c>
      <c r="D1668" s="572">
        <v>4.7</v>
      </c>
      <c r="E1668" s="572">
        <v>4.7</v>
      </c>
      <c r="F1668" s="572">
        <v>4.7</v>
      </c>
      <c r="G1668" s="565">
        <f t="shared" si="176"/>
        <v>3.9949999999999997</v>
      </c>
      <c r="H1668" s="730">
        <v>0</v>
      </c>
      <c r="I1668" s="758">
        <f>AVERAGE(J1668:Q1668)</f>
        <v>20.599999999999998</v>
      </c>
      <c r="J1668" s="573"/>
      <c r="K1668" s="572"/>
      <c r="L1668" s="564">
        <v>13.1</v>
      </c>
      <c r="M1668" s="573"/>
      <c r="N1668" s="55"/>
      <c r="O1668" s="572"/>
      <c r="P1668" s="572">
        <v>13.7</v>
      </c>
      <c r="Q1668" s="564">
        <v>35</v>
      </c>
      <c r="R1668" s="768">
        <v>1</v>
      </c>
      <c r="S1668" s="572">
        <v>6.9</v>
      </c>
      <c r="T1668" s="572">
        <v>6.4</v>
      </c>
      <c r="U1668" s="572">
        <v>6.35</v>
      </c>
      <c r="V1668" s="572">
        <v>18.3</v>
      </c>
      <c r="W1668" s="572">
        <v>2.8</v>
      </c>
      <c r="X1668" s="572"/>
      <c r="Y1668" s="55"/>
    </row>
    <row r="1669" spans="1:25" x14ac:dyDescent="0.2">
      <c r="A1669" s="20" t="s">
        <v>1491</v>
      </c>
      <c r="B1669" s="411" t="s">
        <v>1569</v>
      </c>
      <c r="C1669" s="20" t="str">
        <f t="shared" si="173"/>
        <v>Boreal MoistWestern Africa</v>
      </c>
      <c r="D1669" s="572">
        <v>4.7</v>
      </c>
      <c r="E1669" s="572">
        <v>4.7</v>
      </c>
      <c r="F1669" s="572">
        <v>4.7</v>
      </c>
      <c r="G1669" s="565">
        <f t="shared" si="176"/>
        <v>3.9949999999999997</v>
      </c>
      <c r="H1669" s="730">
        <v>0</v>
      </c>
      <c r="I1669" s="758">
        <f>AVERAGE(J1669:Q1669)</f>
        <v>20.599999999999998</v>
      </c>
      <c r="J1669" s="573"/>
      <c r="K1669" s="572"/>
      <c r="L1669" s="564">
        <v>13.1</v>
      </c>
      <c r="M1669" s="573"/>
      <c r="N1669" s="55"/>
      <c r="O1669" s="572"/>
      <c r="P1669" s="572">
        <v>13.7</v>
      </c>
      <c r="Q1669" s="564">
        <v>35</v>
      </c>
      <c r="R1669" s="768">
        <v>1</v>
      </c>
      <c r="S1669" s="572">
        <v>6.9</v>
      </c>
      <c r="T1669" s="572">
        <v>6.4</v>
      </c>
      <c r="U1669" s="572">
        <v>6.35</v>
      </c>
      <c r="V1669" s="572">
        <v>18.3</v>
      </c>
      <c r="W1669" s="572">
        <v>2.8</v>
      </c>
      <c r="X1669" s="572"/>
      <c r="Y1669" s="55"/>
    </row>
    <row r="1670" spans="1:25" x14ac:dyDescent="0.2">
      <c r="A1670" s="20" t="s">
        <v>1491</v>
      </c>
      <c r="B1670" s="411" t="s">
        <v>1550</v>
      </c>
      <c r="C1670" s="20" t="str">
        <f t="shared" si="173"/>
        <v>Boreal MoistCentral Asia</v>
      </c>
      <c r="D1670" s="572">
        <v>4.7</v>
      </c>
      <c r="E1670" s="572">
        <v>4.7</v>
      </c>
      <c r="F1670" s="572">
        <v>4.7</v>
      </c>
      <c r="G1670" s="565">
        <f t="shared" si="176"/>
        <v>3.9949999999999997</v>
      </c>
      <c r="H1670" s="730">
        <v>0</v>
      </c>
      <c r="I1670" s="758">
        <f t="shared" si="175"/>
        <v>20.599999999999998</v>
      </c>
      <c r="J1670" s="573"/>
      <c r="K1670" s="572"/>
      <c r="L1670" s="564">
        <v>13.1</v>
      </c>
      <c r="M1670" s="573"/>
      <c r="N1670" s="55"/>
      <c r="O1670" s="572"/>
      <c r="P1670" s="572">
        <v>13.7</v>
      </c>
      <c r="Q1670" s="564">
        <v>35</v>
      </c>
      <c r="R1670" s="768">
        <v>1</v>
      </c>
      <c r="S1670" s="572">
        <v>6.9</v>
      </c>
      <c r="T1670" s="572">
        <v>6.4</v>
      </c>
      <c r="U1670" s="572">
        <v>6.35</v>
      </c>
      <c r="V1670" s="572">
        <v>18.3</v>
      </c>
      <c r="W1670" s="572">
        <v>2.8</v>
      </c>
      <c r="X1670" s="572"/>
      <c r="Y1670" s="55"/>
    </row>
    <row r="1671" spans="1:25" x14ac:dyDescent="0.2">
      <c r="A1671" s="20" t="s">
        <v>1491</v>
      </c>
      <c r="B1671" s="411" t="s">
        <v>1554</v>
      </c>
      <c r="C1671" s="20" t="str">
        <f t="shared" si="173"/>
        <v>Boreal MoistEastern Asia</v>
      </c>
      <c r="D1671" s="572">
        <v>4.7</v>
      </c>
      <c r="E1671" s="572">
        <v>4.7</v>
      </c>
      <c r="F1671" s="572">
        <v>4.7</v>
      </c>
      <c r="G1671" s="565">
        <f t="shared" si="176"/>
        <v>3.9949999999999997</v>
      </c>
      <c r="H1671" s="730">
        <v>0</v>
      </c>
      <c r="I1671" s="758">
        <f t="shared" si="175"/>
        <v>20.599999999999998</v>
      </c>
      <c r="J1671" s="573"/>
      <c r="K1671" s="572"/>
      <c r="L1671" s="564">
        <v>13.1</v>
      </c>
      <c r="M1671" s="573"/>
      <c r="N1671" s="55"/>
      <c r="O1671" s="572"/>
      <c r="P1671" s="572">
        <v>13.7</v>
      </c>
      <c r="Q1671" s="564">
        <v>35</v>
      </c>
      <c r="R1671" s="768">
        <v>1</v>
      </c>
      <c r="S1671" s="572">
        <v>6.9</v>
      </c>
      <c r="T1671" s="572">
        <v>6.4</v>
      </c>
      <c r="U1671" s="572">
        <v>6.35</v>
      </c>
      <c r="V1671" s="572">
        <v>18.3</v>
      </c>
      <c r="W1671" s="572">
        <v>2.8</v>
      </c>
      <c r="X1671" s="572"/>
      <c r="Y1671" s="55"/>
    </row>
    <row r="1672" spans="1:25" x14ac:dyDescent="0.2">
      <c r="A1672" s="20" t="s">
        <v>1491</v>
      </c>
      <c r="B1672" s="411" t="s">
        <v>1563</v>
      </c>
      <c r="C1672" s="20" t="str">
        <f t="shared" si="173"/>
        <v>Boreal MoistSouth-eastern Asia</v>
      </c>
      <c r="D1672" s="572">
        <v>4.7</v>
      </c>
      <c r="E1672" s="572">
        <v>4.7</v>
      </c>
      <c r="F1672" s="572">
        <v>4.7</v>
      </c>
      <c r="G1672" s="565">
        <f t="shared" si="176"/>
        <v>3.9949999999999997</v>
      </c>
      <c r="H1672" s="730">
        <v>0</v>
      </c>
      <c r="I1672" s="758">
        <f t="shared" si="175"/>
        <v>20.599999999999998</v>
      </c>
      <c r="J1672" s="573"/>
      <c r="K1672" s="572"/>
      <c r="L1672" s="564">
        <v>13.1</v>
      </c>
      <c r="M1672" s="573"/>
      <c r="N1672" s="55"/>
      <c r="O1672" s="572"/>
      <c r="P1672" s="572">
        <v>13.7</v>
      </c>
      <c r="Q1672" s="564">
        <v>35</v>
      </c>
      <c r="R1672" s="768">
        <v>1</v>
      </c>
      <c r="S1672" s="572">
        <v>6.9</v>
      </c>
      <c r="T1672" s="572">
        <v>6.4</v>
      </c>
      <c r="U1672" s="572">
        <v>6.35</v>
      </c>
      <c r="V1672" s="572">
        <v>18.3</v>
      </c>
      <c r="W1672" s="572">
        <v>2.8</v>
      </c>
      <c r="X1672" s="572"/>
      <c r="Y1672" s="55"/>
    </row>
    <row r="1673" spans="1:25" x14ac:dyDescent="0.2">
      <c r="A1673" s="20" t="s">
        <v>1491</v>
      </c>
      <c r="B1673" s="411" t="s">
        <v>1567</v>
      </c>
      <c r="C1673" s="20" t="str">
        <f t="shared" si="173"/>
        <v>Boreal MoistSouthern Asia</v>
      </c>
      <c r="D1673" s="572">
        <v>4.7</v>
      </c>
      <c r="E1673" s="572">
        <v>4.7</v>
      </c>
      <c r="F1673" s="572">
        <v>4.7</v>
      </c>
      <c r="G1673" s="565">
        <f t="shared" si="176"/>
        <v>3.9949999999999997</v>
      </c>
      <c r="H1673" s="730">
        <v>0</v>
      </c>
      <c r="I1673" s="758">
        <f t="shared" si="175"/>
        <v>20.599999999999998</v>
      </c>
      <c r="J1673" s="573"/>
      <c r="K1673" s="572"/>
      <c r="L1673" s="564">
        <v>13.1</v>
      </c>
      <c r="M1673" s="573"/>
      <c r="N1673" s="55"/>
      <c r="O1673" s="572"/>
      <c r="P1673" s="572">
        <v>13.7</v>
      </c>
      <c r="Q1673" s="564">
        <v>35</v>
      </c>
      <c r="R1673" s="768">
        <v>1</v>
      </c>
      <c r="S1673" s="572">
        <v>6.9</v>
      </c>
      <c r="T1673" s="572">
        <v>6.4</v>
      </c>
      <c r="U1673" s="572">
        <v>6.35</v>
      </c>
      <c r="V1673" s="572">
        <v>18.3</v>
      </c>
      <c r="W1673" s="572">
        <v>2.8</v>
      </c>
      <c r="X1673" s="572"/>
      <c r="Y1673" s="55"/>
    </row>
    <row r="1674" spans="1:25" x14ac:dyDescent="0.2">
      <c r="A1674" s="20" t="s">
        <v>1491</v>
      </c>
      <c r="B1674" s="411" t="s">
        <v>1571</v>
      </c>
      <c r="C1674" s="20" t="str">
        <f t="shared" si="173"/>
        <v>Boreal MoistWestern Asia</v>
      </c>
      <c r="D1674" s="572">
        <v>4.7</v>
      </c>
      <c r="E1674" s="572">
        <v>4.7</v>
      </c>
      <c r="F1674" s="572">
        <v>4.7</v>
      </c>
      <c r="G1674" s="565">
        <f t="shared" si="176"/>
        <v>3.9949999999999997</v>
      </c>
      <c r="H1674" s="730">
        <v>0</v>
      </c>
      <c r="I1674" s="758">
        <f>AVERAGE(J1674:Q1674)</f>
        <v>20.599999999999998</v>
      </c>
      <c r="J1674" s="573"/>
      <c r="K1674" s="572"/>
      <c r="L1674" s="564">
        <v>13.1</v>
      </c>
      <c r="M1674" s="573"/>
      <c r="N1674" s="55"/>
      <c r="O1674" s="572"/>
      <c r="P1674" s="572">
        <v>13.7</v>
      </c>
      <c r="Q1674" s="564">
        <v>35</v>
      </c>
      <c r="R1674" s="768">
        <v>1</v>
      </c>
      <c r="S1674" s="572">
        <v>6.9</v>
      </c>
      <c r="T1674" s="572">
        <v>6.4</v>
      </c>
      <c r="U1674" s="572">
        <v>6.35</v>
      </c>
      <c r="V1674" s="572">
        <v>18.3</v>
      </c>
      <c r="W1674" s="572">
        <v>2.8</v>
      </c>
      <c r="X1674" s="572"/>
      <c r="Y1674" s="55"/>
    </row>
    <row r="1675" spans="1:25" x14ac:dyDescent="0.2">
      <c r="A1675" s="20" t="s">
        <v>1491</v>
      </c>
      <c r="B1675" s="411" t="s">
        <v>1555</v>
      </c>
      <c r="C1675" s="20" t="str">
        <f t="shared" si="173"/>
        <v>Boreal MoistEurope</v>
      </c>
      <c r="D1675" s="572">
        <v>4.7</v>
      </c>
      <c r="E1675" s="572">
        <v>4.7</v>
      </c>
      <c r="F1675" s="572">
        <v>4.7</v>
      </c>
      <c r="G1675" s="565">
        <f t="shared" si="176"/>
        <v>3.9949999999999997</v>
      </c>
      <c r="H1675" s="730">
        <v>0</v>
      </c>
      <c r="I1675" s="758">
        <f t="shared" si="175"/>
        <v>20.599999999999998</v>
      </c>
      <c r="J1675" s="573"/>
      <c r="K1675" s="572"/>
      <c r="L1675" s="564">
        <v>13.1</v>
      </c>
      <c r="M1675" s="573"/>
      <c r="N1675" s="55"/>
      <c r="O1675" s="572"/>
      <c r="P1675" s="572">
        <v>13.7</v>
      </c>
      <c r="Q1675" s="564">
        <v>35</v>
      </c>
      <c r="R1675" s="768">
        <v>1</v>
      </c>
      <c r="S1675" s="572">
        <v>6.9</v>
      </c>
      <c r="T1675" s="572">
        <v>6.4</v>
      </c>
      <c r="U1675" s="572">
        <v>6.35</v>
      </c>
      <c r="V1675" s="572">
        <v>18.3</v>
      </c>
      <c r="W1675" s="572">
        <v>2.8</v>
      </c>
      <c r="X1675" s="572"/>
      <c r="Y1675" s="55"/>
    </row>
    <row r="1676" spans="1:25" x14ac:dyDescent="0.2">
      <c r="A1676" s="20" t="s">
        <v>1491</v>
      </c>
      <c r="B1676" s="411" t="s">
        <v>1346</v>
      </c>
      <c r="C1676" s="20" t="str">
        <f t="shared" si="173"/>
        <v>Boreal MoistOceania</v>
      </c>
      <c r="D1676" s="572">
        <v>4.7</v>
      </c>
      <c r="E1676" s="572">
        <v>4.7</v>
      </c>
      <c r="F1676" s="572">
        <v>4.7</v>
      </c>
      <c r="G1676" s="565">
        <f t="shared" si="176"/>
        <v>3.9949999999999997</v>
      </c>
      <c r="H1676" s="730">
        <v>0</v>
      </c>
      <c r="I1676" s="758">
        <f t="shared" si="175"/>
        <v>20.599999999999998</v>
      </c>
      <c r="J1676" s="573"/>
      <c r="K1676" s="572"/>
      <c r="L1676" s="564">
        <v>13.1</v>
      </c>
      <c r="M1676" s="573"/>
      <c r="N1676" s="55"/>
      <c r="O1676" s="572"/>
      <c r="P1676" s="572">
        <v>13.7</v>
      </c>
      <c r="Q1676" s="564">
        <v>35</v>
      </c>
      <c r="R1676" s="768">
        <v>1</v>
      </c>
      <c r="S1676" s="572">
        <v>6.9</v>
      </c>
      <c r="T1676" s="572">
        <v>6.4</v>
      </c>
      <c r="U1676" s="572">
        <v>6.35</v>
      </c>
      <c r="V1676" s="572">
        <v>18.3</v>
      </c>
      <c r="W1676" s="572">
        <v>2.8</v>
      </c>
      <c r="X1676" s="572"/>
      <c r="Y1676" s="55"/>
    </row>
    <row r="1677" spans="1:25" x14ac:dyDescent="0.2">
      <c r="A1677" s="20" t="s">
        <v>1491</v>
      </c>
      <c r="B1677" s="411" t="s">
        <v>1343</v>
      </c>
      <c r="C1677" s="20" t="str">
        <f t="shared" si="173"/>
        <v>Boreal MoistNorth America</v>
      </c>
      <c r="D1677" s="572">
        <v>4.7</v>
      </c>
      <c r="E1677" s="572">
        <v>4.7</v>
      </c>
      <c r="F1677" s="572">
        <v>4.7</v>
      </c>
      <c r="G1677" s="565">
        <f t="shared" si="176"/>
        <v>3.9949999999999997</v>
      </c>
      <c r="H1677" s="730">
        <v>0</v>
      </c>
      <c r="I1677" s="758">
        <f t="shared" si="175"/>
        <v>20.599999999999998</v>
      </c>
      <c r="J1677" s="573"/>
      <c r="K1677" s="572"/>
      <c r="L1677" s="564">
        <v>13.1</v>
      </c>
      <c r="M1677" s="573"/>
      <c r="N1677" s="55"/>
      <c r="O1677" s="572"/>
      <c r="P1677" s="572">
        <v>13.7</v>
      </c>
      <c r="Q1677" s="564">
        <v>35</v>
      </c>
      <c r="R1677" s="768">
        <v>1</v>
      </c>
      <c r="S1677" s="572">
        <v>6.9</v>
      </c>
      <c r="T1677" s="572">
        <v>6.4</v>
      </c>
      <c r="U1677" s="572">
        <v>6.35</v>
      </c>
      <c r="V1677" s="572">
        <v>18.3</v>
      </c>
      <c r="W1677" s="572">
        <v>2.8</v>
      </c>
      <c r="X1677" s="572"/>
      <c r="Y1677" s="55"/>
    </row>
    <row r="1678" spans="1:25" x14ac:dyDescent="0.2">
      <c r="A1678" s="20" t="s">
        <v>1491</v>
      </c>
      <c r="B1678" s="411" t="s">
        <v>1349</v>
      </c>
      <c r="C1678" s="20" t="str">
        <f t="shared" si="173"/>
        <v>Boreal MoistSouth America</v>
      </c>
      <c r="D1678" s="572">
        <v>4.7</v>
      </c>
      <c r="E1678" s="572">
        <v>4.7</v>
      </c>
      <c r="F1678" s="572">
        <v>4.7</v>
      </c>
      <c r="G1678" s="565">
        <f t="shared" si="176"/>
        <v>3.9949999999999997</v>
      </c>
      <c r="H1678" s="730">
        <v>0</v>
      </c>
      <c r="I1678" s="758">
        <f t="shared" si="175"/>
        <v>20.599999999999998</v>
      </c>
      <c r="J1678" s="573"/>
      <c r="K1678" s="572"/>
      <c r="L1678" s="564">
        <v>13.1</v>
      </c>
      <c r="M1678" s="573"/>
      <c r="N1678" s="55"/>
      <c r="O1678" s="572"/>
      <c r="P1678" s="572">
        <v>13.7</v>
      </c>
      <c r="Q1678" s="564">
        <v>35</v>
      </c>
      <c r="R1678" s="768">
        <v>1</v>
      </c>
      <c r="S1678" s="572">
        <v>6.9</v>
      </c>
      <c r="T1678" s="572">
        <v>6.4</v>
      </c>
      <c r="U1678" s="572">
        <v>6.35</v>
      </c>
      <c r="V1678" s="572">
        <v>18.3</v>
      </c>
      <c r="W1678" s="572">
        <v>2.8</v>
      </c>
      <c r="X1678" s="572"/>
      <c r="Y1678" s="55"/>
    </row>
    <row r="1679" spans="1:25" x14ac:dyDescent="0.2">
      <c r="A1679" s="20" t="s">
        <v>1491</v>
      </c>
      <c r="B1679" s="411" t="s">
        <v>1333</v>
      </c>
      <c r="C1679" s="20" t="str">
        <f t="shared" si="173"/>
        <v>Boreal MoistCentral America</v>
      </c>
      <c r="D1679" s="572">
        <v>4.7</v>
      </c>
      <c r="E1679" s="572">
        <v>4.7</v>
      </c>
      <c r="F1679" s="572">
        <v>4.7</v>
      </c>
      <c r="G1679" s="565">
        <f t="shared" si="176"/>
        <v>3.9949999999999997</v>
      </c>
      <c r="H1679" s="730">
        <v>0</v>
      </c>
      <c r="I1679" s="758">
        <f t="shared" si="175"/>
        <v>20.599999999999998</v>
      </c>
      <c r="J1679" s="573"/>
      <c r="K1679" s="572"/>
      <c r="L1679" s="564">
        <v>13.1</v>
      </c>
      <c r="M1679" s="573"/>
      <c r="N1679" s="55"/>
      <c r="O1679" s="572"/>
      <c r="P1679" s="572">
        <v>13.7</v>
      </c>
      <c r="Q1679" s="564">
        <v>35</v>
      </c>
      <c r="R1679" s="768">
        <v>1</v>
      </c>
      <c r="S1679" s="572">
        <v>6.9</v>
      </c>
      <c r="T1679" s="572">
        <v>6.4</v>
      </c>
      <c r="U1679" s="572">
        <v>6.35</v>
      </c>
      <c r="V1679" s="572">
        <v>18.3</v>
      </c>
      <c r="W1679" s="572">
        <v>2.8</v>
      </c>
      <c r="X1679" s="572"/>
      <c r="Y1679" s="55"/>
    </row>
    <row r="1680" spans="1:25" x14ac:dyDescent="0.2">
      <c r="A1680" s="37" t="s">
        <v>1491</v>
      </c>
      <c r="B1680" s="412" t="s">
        <v>1547</v>
      </c>
      <c r="C1680" s="37" t="str">
        <f t="shared" si="173"/>
        <v>Boreal MoistCaribbean</v>
      </c>
      <c r="D1680" s="420">
        <v>4.7</v>
      </c>
      <c r="E1680" s="420">
        <v>4.7</v>
      </c>
      <c r="F1680" s="420">
        <v>4.7</v>
      </c>
      <c r="G1680" s="578">
        <f t="shared" si="176"/>
        <v>3.9949999999999997</v>
      </c>
      <c r="H1680" s="731">
        <v>0</v>
      </c>
      <c r="I1680" s="760">
        <f t="shared" si="175"/>
        <v>20.599999999999998</v>
      </c>
      <c r="J1680" s="581"/>
      <c r="K1680" s="420"/>
      <c r="L1680" s="577">
        <v>13.1</v>
      </c>
      <c r="M1680" s="581"/>
      <c r="N1680" s="579"/>
      <c r="O1680" s="420"/>
      <c r="P1680" s="420">
        <v>13.7</v>
      </c>
      <c r="Q1680" s="577">
        <v>35</v>
      </c>
      <c r="R1680" s="769">
        <v>1</v>
      </c>
      <c r="S1680" s="420">
        <v>6.9</v>
      </c>
      <c r="T1680" s="420">
        <v>6.4</v>
      </c>
      <c r="U1680" s="420">
        <v>6.35</v>
      </c>
      <c r="V1680" s="420">
        <v>18.3</v>
      </c>
      <c r="W1680" s="420">
        <v>2.8</v>
      </c>
      <c r="X1680" s="420"/>
      <c r="Y1680" s="579"/>
    </row>
    <row r="1681" spans="1:25" x14ac:dyDescent="0.2">
      <c r="A1681" s="527" t="s">
        <v>1933</v>
      </c>
      <c r="B1681" s="291"/>
      <c r="C1681" s="291"/>
      <c r="D1681" s="291"/>
      <c r="E1681" s="291"/>
      <c r="F1681" s="291"/>
      <c r="G1681" s="266"/>
      <c r="H1681" s="63"/>
      <c r="I1681" s="20"/>
      <c r="J1681" s="63"/>
      <c r="K1681" s="63"/>
      <c r="L1681" s="63"/>
      <c r="M1681" s="63"/>
      <c r="N1681" s="63"/>
      <c r="O1681" s="63"/>
      <c r="P1681" s="63"/>
      <c r="Q1681" s="63"/>
      <c r="R1681" s="552"/>
      <c r="S1681" s="20"/>
      <c r="T1681" s="20"/>
      <c r="U1681" s="20"/>
      <c r="V1681" s="20"/>
      <c r="W1681" s="20"/>
      <c r="X1681" s="20"/>
      <c r="Y1681" s="269"/>
    </row>
    <row r="1682" spans="1:25" x14ac:dyDescent="0.2">
      <c r="A1682" s="264" t="s">
        <v>1959</v>
      </c>
      <c r="B1682" s="21"/>
      <c r="C1682" s="21"/>
      <c r="D1682" s="21"/>
      <c r="E1682" s="21"/>
      <c r="F1682" s="21"/>
      <c r="G1682" s="269"/>
      <c r="H1682" s="20"/>
      <c r="I1682" s="20"/>
      <c r="J1682" s="20"/>
      <c r="K1682" s="20"/>
      <c r="L1682" s="20"/>
      <c r="M1682" s="20"/>
      <c r="N1682" s="20"/>
      <c r="O1682" s="20"/>
      <c r="P1682" s="20"/>
      <c r="Q1682" s="20"/>
      <c r="R1682" s="553"/>
      <c r="S1682" s="20"/>
      <c r="T1682" s="20"/>
      <c r="U1682" s="20"/>
      <c r="V1682" s="20"/>
      <c r="W1682" s="20"/>
      <c r="X1682" s="20"/>
      <c r="Y1682" s="269"/>
    </row>
    <row r="1683" spans="1:25" x14ac:dyDescent="0.2">
      <c r="A1683" s="265" t="s">
        <v>1887</v>
      </c>
      <c r="B1683" s="292"/>
      <c r="C1683" s="292"/>
      <c r="D1683" s="292"/>
      <c r="E1683" s="292"/>
      <c r="F1683" s="292"/>
      <c r="G1683" s="272"/>
      <c r="H1683" s="37"/>
      <c r="I1683" s="37"/>
      <c r="J1683" s="37"/>
      <c r="K1683" s="37"/>
      <c r="L1683" s="37"/>
      <c r="M1683" s="37"/>
      <c r="N1683" s="37"/>
      <c r="O1683" s="37"/>
      <c r="P1683" s="37"/>
      <c r="Q1683" s="37"/>
      <c r="R1683" s="554"/>
      <c r="S1683" s="37"/>
      <c r="T1683" s="37"/>
      <c r="U1683" s="37"/>
      <c r="V1683" s="37"/>
      <c r="W1683" s="37"/>
      <c r="X1683" s="20"/>
      <c r="Y1683" s="269"/>
    </row>
    <row r="1685" spans="1:25" s="125" customFormat="1" x14ac:dyDescent="0.2">
      <c r="A1685" s="377" t="s">
        <v>2017</v>
      </c>
    </row>
    <row r="1686" spans="1:25" ht="16.25" customHeight="1" x14ac:dyDescent="0.2">
      <c r="A1686" s="374"/>
      <c r="B1686" s="522" t="s">
        <v>1961</v>
      </c>
      <c r="C1686" s="531" t="s">
        <v>1961</v>
      </c>
      <c r="D1686" s="531" t="s">
        <v>1961</v>
      </c>
      <c r="E1686" s="539" t="s">
        <v>1962</v>
      </c>
      <c r="F1686" s="538"/>
      <c r="G1686" s="531" t="s">
        <v>1961</v>
      </c>
      <c r="H1686" s="531" t="s">
        <v>1961</v>
      </c>
      <c r="I1686" s="531" t="s">
        <v>1961</v>
      </c>
      <c r="J1686" s="531" t="s">
        <v>1961</v>
      </c>
      <c r="K1686" s="531" t="s">
        <v>1961</v>
      </c>
      <c r="L1686" s="531" t="s">
        <v>1961</v>
      </c>
      <c r="M1686" s="531" t="s">
        <v>1961</v>
      </c>
      <c r="N1686" s="531" t="s">
        <v>1961</v>
      </c>
      <c r="O1686" s="531" t="s">
        <v>1961</v>
      </c>
      <c r="P1686" s="555"/>
      <c r="Q1686" s="531" t="s">
        <v>1961</v>
      </c>
      <c r="R1686" s="531" t="s">
        <v>1961</v>
      </c>
      <c r="S1686" s="531" t="s">
        <v>1961</v>
      </c>
      <c r="T1686" s="531" t="s">
        <v>1961</v>
      </c>
      <c r="U1686" s="531" t="s">
        <v>1961</v>
      </c>
      <c r="V1686" s="531" t="s">
        <v>1961</v>
      </c>
      <c r="W1686" s="531" t="s">
        <v>1961</v>
      </c>
    </row>
    <row r="1687" spans="1:25" s="291" customFormat="1" x14ac:dyDescent="0.2">
      <c r="A1687" s="293" t="s">
        <v>1963</v>
      </c>
      <c r="B1687" s="426" t="s">
        <v>1382</v>
      </c>
      <c r="C1687" s="426" t="s">
        <v>1590</v>
      </c>
      <c r="D1687" s="44" t="s">
        <v>1384</v>
      </c>
      <c r="E1687" s="426" t="s">
        <v>1396</v>
      </c>
      <c r="F1687" s="774" t="s">
        <v>1401</v>
      </c>
      <c r="G1687" s="426" t="s">
        <v>1494</v>
      </c>
      <c r="H1687" s="426" t="s">
        <v>1352</v>
      </c>
      <c r="I1687" s="426" t="s">
        <v>1505</v>
      </c>
      <c r="J1687" s="426" t="s">
        <v>1407</v>
      </c>
      <c r="K1687" s="426" t="s">
        <v>1413</v>
      </c>
      <c r="L1687" s="426" t="s">
        <v>1417</v>
      </c>
      <c r="M1687" s="426" t="s">
        <v>1421</v>
      </c>
      <c r="N1687" s="426" t="s">
        <v>1424</v>
      </c>
      <c r="O1687" s="537" t="s">
        <v>1427</v>
      </c>
      <c r="P1687" s="656" t="s">
        <v>1592</v>
      </c>
      <c r="Q1687" s="537" t="s">
        <v>1502</v>
      </c>
      <c r="R1687" s="537" t="s">
        <v>1508</v>
      </c>
      <c r="S1687" s="537" t="s">
        <v>1507</v>
      </c>
      <c r="T1687" s="537" t="s">
        <v>1497</v>
      </c>
      <c r="U1687" s="537" t="s">
        <v>1499</v>
      </c>
      <c r="V1687" s="537" t="s">
        <v>1501</v>
      </c>
      <c r="W1687" s="537" t="s">
        <v>1510</v>
      </c>
    </row>
    <row r="1688" spans="1:25" s="21" customFormat="1" x14ac:dyDescent="0.2">
      <c r="A1688" s="255" t="s">
        <v>57</v>
      </c>
      <c r="B1688" s="426" t="s">
        <v>173</v>
      </c>
      <c r="C1688" s="426" t="s">
        <v>173</v>
      </c>
      <c r="D1688" s="426" t="s">
        <v>173</v>
      </c>
      <c r="E1688" s="426" t="s">
        <v>173</v>
      </c>
      <c r="F1688" s="630" t="s">
        <v>1964</v>
      </c>
      <c r="G1688" s="426" t="s">
        <v>173</v>
      </c>
      <c r="H1688" s="426" t="s">
        <v>173</v>
      </c>
      <c r="I1688" s="426" t="s">
        <v>173</v>
      </c>
      <c r="J1688" s="426" t="s">
        <v>173</v>
      </c>
      <c r="K1688" s="426" t="s">
        <v>173</v>
      </c>
      <c r="L1688" s="426" t="s">
        <v>173</v>
      </c>
      <c r="M1688" s="426" t="s">
        <v>173</v>
      </c>
      <c r="N1688" s="426" t="s">
        <v>173</v>
      </c>
      <c r="O1688" s="426" t="s">
        <v>173</v>
      </c>
      <c r="P1688" s="426" t="s">
        <v>173</v>
      </c>
      <c r="Q1688" s="426" t="s">
        <v>173</v>
      </c>
      <c r="R1688" s="426" t="s">
        <v>173</v>
      </c>
      <c r="S1688" s="426" t="s">
        <v>173</v>
      </c>
      <c r="T1688" s="426" t="s">
        <v>173</v>
      </c>
      <c r="U1688" s="426" t="s">
        <v>173</v>
      </c>
      <c r="V1688" s="426" t="s">
        <v>173</v>
      </c>
      <c r="W1688" s="426" t="s">
        <v>173</v>
      </c>
    </row>
    <row r="1689" spans="1:25" s="21" customFormat="1" x14ac:dyDescent="0.2">
      <c r="A1689" s="20" t="s">
        <v>1490</v>
      </c>
      <c r="B1689" s="41">
        <v>0.77</v>
      </c>
      <c r="C1689" s="44">
        <v>0.93</v>
      </c>
      <c r="D1689" s="451">
        <v>1.35</v>
      </c>
      <c r="E1689" s="491">
        <v>1</v>
      </c>
      <c r="F1689" s="658">
        <v>1</v>
      </c>
      <c r="G1689" s="44">
        <v>0.72</v>
      </c>
      <c r="H1689" s="44">
        <v>0.72</v>
      </c>
      <c r="I1689" s="44">
        <v>0.72</v>
      </c>
      <c r="J1689" s="44">
        <v>0.72</v>
      </c>
      <c r="K1689" s="44">
        <v>0.72</v>
      </c>
      <c r="L1689" s="44">
        <v>0.72</v>
      </c>
      <c r="M1689" s="44">
        <v>0.72</v>
      </c>
      <c r="N1689" s="44">
        <v>0.72</v>
      </c>
      <c r="O1689" s="44">
        <v>0.72</v>
      </c>
      <c r="P1689" s="657">
        <v>0.33</v>
      </c>
      <c r="Q1689" s="44">
        <v>0.72</v>
      </c>
      <c r="R1689" s="44">
        <v>0.72</v>
      </c>
      <c r="S1689" s="44">
        <v>0.72</v>
      </c>
      <c r="T1689" s="44">
        <v>0.72</v>
      </c>
      <c r="U1689" s="44">
        <v>0.72</v>
      </c>
      <c r="V1689" s="44">
        <v>0.72</v>
      </c>
      <c r="W1689" s="44">
        <v>0.72</v>
      </c>
    </row>
    <row r="1690" spans="1:25" s="21" customFormat="1" x14ac:dyDescent="0.2">
      <c r="A1690" s="20" t="s">
        <v>1491</v>
      </c>
      <c r="B1690" s="41">
        <v>0.7</v>
      </c>
      <c r="C1690" s="41">
        <v>0.82</v>
      </c>
      <c r="D1690" s="451">
        <v>1.35</v>
      </c>
      <c r="E1690" s="471">
        <v>1</v>
      </c>
      <c r="F1690" s="659">
        <v>1</v>
      </c>
      <c r="G1690" s="41">
        <v>0.72</v>
      </c>
      <c r="H1690" s="41">
        <v>0.72</v>
      </c>
      <c r="I1690" s="41">
        <v>0.72</v>
      </c>
      <c r="J1690" s="41">
        <v>0.72</v>
      </c>
      <c r="K1690" s="41">
        <v>0.72</v>
      </c>
      <c r="L1690" s="41">
        <v>0.72</v>
      </c>
      <c r="M1690" s="41">
        <v>0.72</v>
      </c>
      <c r="N1690" s="41">
        <v>0.72</v>
      </c>
      <c r="O1690" s="41">
        <v>0.72</v>
      </c>
      <c r="P1690" s="657">
        <v>0.33</v>
      </c>
      <c r="Q1690" s="41">
        <v>0.72</v>
      </c>
      <c r="R1690" s="41">
        <v>0.72</v>
      </c>
      <c r="S1690" s="41">
        <v>0.72</v>
      </c>
      <c r="T1690" s="41">
        <v>0.72</v>
      </c>
      <c r="U1690" s="41">
        <v>0.72</v>
      </c>
      <c r="V1690" s="41">
        <v>0.72</v>
      </c>
      <c r="W1690" s="41">
        <v>0.72</v>
      </c>
    </row>
    <row r="1691" spans="1:25" s="21" customFormat="1" x14ac:dyDescent="0.2">
      <c r="A1691" s="20" t="s">
        <v>1483</v>
      </c>
      <c r="B1691" s="41">
        <v>0.77</v>
      </c>
      <c r="C1691" s="41">
        <v>0.93</v>
      </c>
      <c r="D1691" s="451">
        <v>1.35</v>
      </c>
      <c r="E1691" s="471">
        <v>1</v>
      </c>
      <c r="F1691" s="659">
        <v>1</v>
      </c>
      <c r="G1691" s="41">
        <v>0.72</v>
      </c>
      <c r="H1691" s="41">
        <v>0.72</v>
      </c>
      <c r="I1691" s="41">
        <v>0.72</v>
      </c>
      <c r="J1691" s="41">
        <v>0.72</v>
      </c>
      <c r="K1691" s="41">
        <v>0.72</v>
      </c>
      <c r="L1691" s="41">
        <v>0.72</v>
      </c>
      <c r="M1691" s="41">
        <v>0.72</v>
      </c>
      <c r="N1691" s="41">
        <v>0.72</v>
      </c>
      <c r="O1691" s="41">
        <v>0.72</v>
      </c>
      <c r="P1691" s="657">
        <v>0.33</v>
      </c>
      <c r="Q1691" s="41">
        <v>0.72</v>
      </c>
      <c r="R1691" s="41">
        <v>0.72</v>
      </c>
      <c r="S1691" s="41">
        <v>0.72</v>
      </c>
      <c r="T1691" s="41">
        <v>0.72</v>
      </c>
      <c r="U1691" s="41">
        <v>0.72</v>
      </c>
      <c r="V1691" s="41">
        <v>0.72</v>
      </c>
      <c r="W1691" s="41">
        <v>0.72</v>
      </c>
    </row>
    <row r="1692" spans="1:25" s="21" customFormat="1" x14ac:dyDescent="0.2">
      <c r="A1692" s="20" t="s">
        <v>1484</v>
      </c>
      <c r="B1692" s="41">
        <v>0.7</v>
      </c>
      <c r="C1692" s="41">
        <v>0.82</v>
      </c>
      <c r="D1692" s="451">
        <v>1.35</v>
      </c>
      <c r="E1692" s="471">
        <v>1</v>
      </c>
      <c r="F1692" s="659">
        <v>1</v>
      </c>
      <c r="G1692" s="41">
        <v>0.72</v>
      </c>
      <c r="H1692" s="41">
        <v>0.72</v>
      </c>
      <c r="I1692" s="41">
        <v>0.72</v>
      </c>
      <c r="J1692" s="41">
        <v>0.72</v>
      </c>
      <c r="K1692" s="41">
        <v>0.72</v>
      </c>
      <c r="L1692" s="41">
        <v>0.72</v>
      </c>
      <c r="M1692" s="41">
        <v>0.72</v>
      </c>
      <c r="N1692" s="41">
        <v>0.72</v>
      </c>
      <c r="O1692" s="41">
        <v>0.72</v>
      </c>
      <c r="P1692" s="657">
        <v>0.33</v>
      </c>
      <c r="Q1692" s="41">
        <v>0.72</v>
      </c>
      <c r="R1692" s="41">
        <v>0.72</v>
      </c>
      <c r="S1692" s="41">
        <v>0.72</v>
      </c>
      <c r="T1692" s="41">
        <v>0.72</v>
      </c>
      <c r="U1692" s="41">
        <v>0.72</v>
      </c>
      <c r="V1692" s="41">
        <v>0.72</v>
      </c>
      <c r="W1692" s="41">
        <v>0.72</v>
      </c>
    </row>
    <row r="1693" spans="1:25" s="21" customFormat="1" x14ac:dyDescent="0.2">
      <c r="A1693" s="20" t="s">
        <v>1487</v>
      </c>
      <c r="B1693" s="41">
        <v>0.92</v>
      </c>
      <c r="C1693" s="41">
        <v>0.93</v>
      </c>
      <c r="D1693" s="451">
        <v>1.35</v>
      </c>
      <c r="E1693" s="471">
        <v>1</v>
      </c>
      <c r="F1693" s="659">
        <v>1</v>
      </c>
      <c r="G1693" s="41">
        <v>1.01</v>
      </c>
      <c r="H1693" s="41">
        <v>1.01</v>
      </c>
      <c r="I1693" s="41">
        <v>1.01</v>
      </c>
      <c r="J1693" s="41">
        <v>1.01</v>
      </c>
      <c r="K1693" s="41">
        <v>1.01</v>
      </c>
      <c r="L1693" s="41">
        <v>1.01</v>
      </c>
      <c r="M1693" s="41">
        <v>1.01</v>
      </c>
      <c r="N1693" s="41">
        <v>1.01</v>
      </c>
      <c r="O1693" s="41">
        <v>1.01</v>
      </c>
      <c r="P1693" s="657">
        <v>0.33</v>
      </c>
      <c r="Q1693" s="41">
        <v>1.01</v>
      </c>
      <c r="R1693" s="41">
        <v>1.01</v>
      </c>
      <c r="S1693" s="41">
        <v>1.01</v>
      </c>
      <c r="T1693" s="41">
        <v>1.01</v>
      </c>
      <c r="U1693" s="41">
        <v>1.01</v>
      </c>
      <c r="V1693" s="41">
        <v>1.01</v>
      </c>
      <c r="W1693" s="41">
        <v>1.01</v>
      </c>
    </row>
    <row r="1694" spans="1:25" s="21" customFormat="1" x14ac:dyDescent="0.2">
      <c r="A1694" s="20" t="s">
        <v>1488</v>
      </c>
      <c r="B1694" s="41">
        <v>0.83</v>
      </c>
      <c r="C1694" s="41">
        <v>0.82</v>
      </c>
      <c r="D1694" s="451">
        <v>1.35</v>
      </c>
      <c r="E1694" s="471">
        <v>1</v>
      </c>
      <c r="F1694" s="659">
        <v>1</v>
      </c>
      <c r="G1694" s="41">
        <v>1.01</v>
      </c>
      <c r="H1694" s="41">
        <v>1.01</v>
      </c>
      <c r="I1694" s="41">
        <v>1.01</v>
      </c>
      <c r="J1694" s="41">
        <v>1.01</v>
      </c>
      <c r="K1694" s="41">
        <v>1.01</v>
      </c>
      <c r="L1694" s="41">
        <v>1.01</v>
      </c>
      <c r="M1694" s="41">
        <v>1.01</v>
      </c>
      <c r="N1694" s="41">
        <v>1.01</v>
      </c>
      <c r="O1694" s="41">
        <v>1.01</v>
      </c>
      <c r="P1694" s="657">
        <v>0.33</v>
      </c>
      <c r="Q1694" s="41">
        <v>1.01</v>
      </c>
      <c r="R1694" s="41">
        <v>1.01</v>
      </c>
      <c r="S1694" s="41">
        <v>1.01</v>
      </c>
      <c r="T1694" s="41">
        <v>1.01</v>
      </c>
      <c r="U1694" s="41">
        <v>1.01</v>
      </c>
      <c r="V1694" s="41">
        <v>1.01</v>
      </c>
      <c r="W1694" s="41">
        <v>1.01</v>
      </c>
    </row>
    <row r="1695" spans="1:25" s="21" customFormat="1" x14ac:dyDescent="0.2">
      <c r="A1695" s="20" t="s">
        <v>1489</v>
      </c>
      <c r="B1695" s="41">
        <v>0.83</v>
      </c>
      <c r="C1695" s="41">
        <v>0.82</v>
      </c>
      <c r="D1695" s="451">
        <v>1.35</v>
      </c>
      <c r="E1695" s="471">
        <v>1</v>
      </c>
      <c r="F1695" s="659">
        <v>1</v>
      </c>
      <c r="G1695" s="41">
        <v>1.01</v>
      </c>
      <c r="H1695" s="41">
        <v>1.01</v>
      </c>
      <c r="I1695" s="41">
        <v>1.01</v>
      </c>
      <c r="J1695" s="41">
        <v>1.01</v>
      </c>
      <c r="K1695" s="41">
        <v>1.01</v>
      </c>
      <c r="L1695" s="41">
        <v>1.01</v>
      </c>
      <c r="M1695" s="41">
        <v>1.01</v>
      </c>
      <c r="N1695" s="41">
        <v>1.01</v>
      </c>
      <c r="O1695" s="41">
        <v>1.01</v>
      </c>
      <c r="P1695" s="657">
        <v>0.33</v>
      </c>
      <c r="Q1695" s="41">
        <v>1.01</v>
      </c>
      <c r="R1695" s="41">
        <v>1.01</v>
      </c>
      <c r="S1695" s="41">
        <v>1.01</v>
      </c>
      <c r="T1695" s="41">
        <v>1.01</v>
      </c>
      <c r="U1695" s="41">
        <v>1.01</v>
      </c>
      <c r="V1695" s="41">
        <v>1.01</v>
      </c>
      <c r="W1695" s="41">
        <v>1.01</v>
      </c>
    </row>
    <row r="1696" spans="1:25" s="21" customFormat="1" x14ac:dyDescent="0.2">
      <c r="A1696" s="20" t="s">
        <v>1359</v>
      </c>
      <c r="B1696" s="164">
        <v>0.64</v>
      </c>
      <c r="C1696" s="41">
        <v>0.88</v>
      </c>
      <c r="D1696" s="451">
        <v>1.35</v>
      </c>
      <c r="E1696" s="471">
        <v>1</v>
      </c>
      <c r="F1696" s="659">
        <v>1</v>
      </c>
      <c r="G1696" s="164">
        <v>1</v>
      </c>
      <c r="H1696" s="164">
        <v>1</v>
      </c>
      <c r="I1696" s="164">
        <v>1</v>
      </c>
      <c r="J1696" s="164">
        <v>1</v>
      </c>
      <c r="K1696" s="164">
        <v>1</v>
      </c>
      <c r="L1696" s="164">
        <v>1</v>
      </c>
      <c r="M1696" s="164">
        <v>1</v>
      </c>
      <c r="N1696" s="164">
        <v>1</v>
      </c>
      <c r="O1696" s="164">
        <v>1</v>
      </c>
      <c r="P1696" s="657">
        <v>0.33</v>
      </c>
      <c r="Q1696" s="164">
        <v>1</v>
      </c>
      <c r="R1696" s="164">
        <v>1</v>
      </c>
      <c r="S1696" s="164">
        <v>1</v>
      </c>
      <c r="T1696" s="164">
        <v>1</v>
      </c>
      <c r="U1696" s="164">
        <v>1</v>
      </c>
      <c r="V1696" s="164">
        <v>1</v>
      </c>
      <c r="W1696" s="164">
        <v>1</v>
      </c>
    </row>
    <row r="1697" spans="1:23" s="21" customFormat="1" x14ac:dyDescent="0.2">
      <c r="A1697" s="20" t="s">
        <v>1485</v>
      </c>
      <c r="B1697" s="41">
        <v>0.76</v>
      </c>
      <c r="C1697" s="41">
        <v>0.93</v>
      </c>
      <c r="D1697" s="451">
        <v>1.35</v>
      </c>
      <c r="E1697" s="471">
        <v>1</v>
      </c>
      <c r="F1697" s="659">
        <v>1</v>
      </c>
      <c r="G1697" s="41">
        <v>0.72</v>
      </c>
      <c r="H1697" s="41">
        <v>0.72</v>
      </c>
      <c r="I1697" s="41">
        <v>0.72</v>
      </c>
      <c r="J1697" s="41">
        <v>0.72</v>
      </c>
      <c r="K1697" s="41">
        <v>0.72</v>
      </c>
      <c r="L1697" s="41">
        <v>0.72</v>
      </c>
      <c r="M1697" s="41">
        <v>0.72</v>
      </c>
      <c r="N1697" s="41">
        <v>0.72</v>
      </c>
      <c r="O1697" s="41">
        <v>0.72</v>
      </c>
      <c r="P1697" s="657">
        <v>0.33</v>
      </c>
      <c r="Q1697" s="41">
        <v>0.72</v>
      </c>
      <c r="R1697" s="41">
        <v>0.72</v>
      </c>
      <c r="S1697" s="41">
        <v>0.72</v>
      </c>
      <c r="T1697" s="41">
        <v>0.72</v>
      </c>
      <c r="U1697" s="41">
        <v>0.72</v>
      </c>
      <c r="V1697" s="41">
        <v>0.72</v>
      </c>
      <c r="W1697" s="41">
        <v>0.72</v>
      </c>
    </row>
    <row r="1698" spans="1:23" s="21" customFormat="1" x14ac:dyDescent="0.2">
      <c r="A1698" s="20" t="s">
        <v>1486</v>
      </c>
      <c r="B1698" s="41">
        <v>0.69</v>
      </c>
      <c r="C1698" s="42">
        <v>0.82</v>
      </c>
      <c r="D1698" s="451">
        <v>1.35</v>
      </c>
      <c r="E1698" s="536">
        <v>1</v>
      </c>
      <c r="F1698" s="660">
        <v>1</v>
      </c>
      <c r="G1698" s="42">
        <v>0.72</v>
      </c>
      <c r="H1698" s="42">
        <v>0.72</v>
      </c>
      <c r="I1698" s="42">
        <v>0.72</v>
      </c>
      <c r="J1698" s="42">
        <v>0.72</v>
      </c>
      <c r="K1698" s="42">
        <v>0.72</v>
      </c>
      <c r="L1698" s="42">
        <v>0.72</v>
      </c>
      <c r="M1698" s="42">
        <v>0.72</v>
      </c>
      <c r="N1698" s="42">
        <v>0.72</v>
      </c>
      <c r="O1698" s="42">
        <v>0.72</v>
      </c>
      <c r="P1698" s="657">
        <v>0.33</v>
      </c>
      <c r="Q1698" s="42">
        <v>0.72</v>
      </c>
      <c r="R1698" s="42">
        <v>0.72</v>
      </c>
      <c r="S1698" s="42">
        <v>0.72</v>
      </c>
      <c r="T1698" s="42">
        <v>0.72</v>
      </c>
      <c r="U1698" s="42">
        <v>0.72</v>
      </c>
      <c r="V1698" s="42">
        <v>0.72</v>
      </c>
      <c r="W1698" s="42">
        <v>0.72</v>
      </c>
    </row>
    <row r="1699" spans="1:23" s="535" customFormat="1" x14ac:dyDescent="0.2">
      <c r="A1699" s="518" t="s">
        <v>1933</v>
      </c>
      <c r="E1699" s="292"/>
      <c r="G1699" s="292"/>
    </row>
    <row r="1700" spans="1:23" s="535" customFormat="1" x14ac:dyDescent="0.2">
      <c r="A1700" s="534" t="s">
        <v>1965</v>
      </c>
    </row>
    <row r="1701" spans="1:23" s="535" customFormat="1" x14ac:dyDescent="0.2">
      <c r="A1701" s="534"/>
    </row>
    <row r="1703" spans="1:23" s="125" customFormat="1" x14ac:dyDescent="0.2">
      <c r="A1703" s="377" t="s">
        <v>2018</v>
      </c>
    </row>
    <row r="1704" spans="1:23" s="21" customFormat="1" x14ac:dyDescent="0.2">
      <c r="A1704" s="293" t="s">
        <v>1963</v>
      </c>
      <c r="B1704" s="426" t="s">
        <v>2019</v>
      </c>
      <c r="C1704" s="426" t="s">
        <v>2019</v>
      </c>
    </row>
    <row r="1705" spans="1:23" s="21" customFormat="1" x14ac:dyDescent="0.2">
      <c r="A1705" s="296" t="s">
        <v>57</v>
      </c>
      <c r="B1705" s="426" t="s">
        <v>2020</v>
      </c>
      <c r="C1705" s="426" t="s">
        <v>2021</v>
      </c>
    </row>
    <row r="1706" spans="1:23" s="21" customFormat="1" x14ac:dyDescent="0.2">
      <c r="A1706" s="63" t="s">
        <v>1364</v>
      </c>
      <c r="B1706" s="426">
        <v>5.0000000000000001E-3</v>
      </c>
      <c r="C1706" s="426">
        <v>5.0000000000000001E-3</v>
      </c>
    </row>
    <row r="1707" spans="1:23" s="21" customFormat="1" x14ac:dyDescent="0.2">
      <c r="A1707" s="20" t="s">
        <v>1368</v>
      </c>
      <c r="B1707" s="426">
        <v>1.6E-2</v>
      </c>
      <c r="C1707" s="426">
        <v>6.0000000000000001E-3</v>
      </c>
    </row>
    <row r="1708" spans="1:23" s="21" customFormat="1" x14ac:dyDescent="0.2">
      <c r="A1708" s="20" t="s">
        <v>1366</v>
      </c>
      <c r="B1708" s="1038">
        <f>AVERAGE(B1706:B1707)</f>
        <v>1.0500000000000001E-2</v>
      </c>
      <c r="C1708" s="1038">
        <v>5.4999999999999997E-3</v>
      </c>
    </row>
    <row r="1709" spans="1:23" s="21" customFormat="1" x14ac:dyDescent="0.2">
      <c r="A1709" s="37" t="s">
        <v>1359</v>
      </c>
      <c r="B1709" s="426">
        <f>B1706</f>
        <v>5.0000000000000001E-3</v>
      </c>
      <c r="C1709" s="426">
        <f>C1706</f>
        <v>5.0000000000000001E-3</v>
      </c>
      <c r="D1709" s="265"/>
      <c r="E1709" s="292"/>
      <c r="F1709" s="292"/>
      <c r="G1709" s="292"/>
    </row>
    <row r="1710" spans="1:23" s="535" customFormat="1" x14ac:dyDescent="0.2">
      <c r="A1710" s="518" t="s">
        <v>1933</v>
      </c>
      <c r="D1710" s="292"/>
      <c r="E1710" s="292"/>
      <c r="F1710" s="292"/>
      <c r="G1710" s="292"/>
    </row>
    <row r="1711" spans="1:23" s="535" customFormat="1" x14ac:dyDescent="0.2">
      <c r="A1711" s="534" t="s">
        <v>2022</v>
      </c>
    </row>
    <row r="1712" spans="1:23" s="535" customFormat="1" x14ac:dyDescent="0.2">
      <c r="A1712" s="534"/>
    </row>
    <row r="1714" spans="1:10" s="125" customFormat="1" x14ac:dyDescent="0.2">
      <c r="A1714" s="377" t="s">
        <v>2023</v>
      </c>
    </row>
    <row r="1715" spans="1:10" s="21" customFormat="1" x14ac:dyDescent="0.2">
      <c r="A1715" s="522" t="s">
        <v>2024</v>
      </c>
      <c r="B1715" s="42" t="s">
        <v>2025</v>
      </c>
      <c r="C1715" s="453"/>
    </row>
    <row r="1716" spans="1:10" s="21" customFormat="1" x14ac:dyDescent="0.2">
      <c r="A1716" s="293" t="s">
        <v>57</v>
      </c>
      <c r="B1716" s="426" t="s">
        <v>2026</v>
      </c>
      <c r="C1716" s="453"/>
    </row>
    <row r="1717" spans="1:10" s="21" customFormat="1" x14ac:dyDescent="0.2">
      <c r="A1717" s="20" t="s">
        <v>1522</v>
      </c>
      <c r="B1717" s="426">
        <v>3.0000000000000001E-3</v>
      </c>
      <c r="C1717" s="453"/>
    </row>
    <row r="1718" spans="1:10" s="21" customFormat="1" x14ac:dyDescent="0.2">
      <c r="A1718" s="20" t="s">
        <v>1525</v>
      </c>
      <c r="B1718" s="426">
        <v>5.0000000000000001E-3</v>
      </c>
      <c r="C1718" s="453"/>
    </row>
    <row r="1719" spans="1:10" s="292" customFormat="1" x14ac:dyDescent="0.2">
      <c r="A1719" s="20" t="s">
        <v>1529</v>
      </c>
      <c r="B1719" s="426">
        <v>5.0000000000000001E-3</v>
      </c>
      <c r="C1719" s="1010"/>
    </row>
    <row r="1720" spans="1:10" s="292" customFormat="1" x14ac:dyDescent="0.2">
      <c r="A1720" s="518" t="s">
        <v>1933</v>
      </c>
      <c r="B1720" s="535"/>
    </row>
    <row r="1721" spans="1:10" s="535" customFormat="1" x14ac:dyDescent="0.2">
      <c r="A1721" s="534" t="s">
        <v>1965</v>
      </c>
    </row>
    <row r="1722" spans="1:10" s="535" customFormat="1" x14ac:dyDescent="0.2">
      <c r="A1722" s="534"/>
    </row>
    <row r="1724" spans="1:10" s="125" customFormat="1" x14ac:dyDescent="0.2">
      <c r="A1724" s="377" t="s">
        <v>2027</v>
      </c>
      <c r="C1724" s="125" t="s">
        <v>2028</v>
      </c>
      <c r="H1724" s="125" t="s">
        <v>2029</v>
      </c>
    </row>
    <row r="1725" spans="1:10" s="1011" customFormat="1" x14ac:dyDescent="0.2">
      <c r="C1725" s="1012" t="s">
        <v>2030</v>
      </c>
      <c r="D1725" s="1012" t="s">
        <v>2031</v>
      </c>
      <c r="E1725" s="1012" t="s">
        <v>2031</v>
      </c>
      <c r="F1725" s="1012" t="s">
        <v>2031</v>
      </c>
      <c r="G1725" s="1013"/>
      <c r="H1725" s="1014" t="s">
        <v>2032</v>
      </c>
      <c r="I1725" s="1014" t="s">
        <v>2033</v>
      </c>
      <c r="J1725" s="1014" t="s">
        <v>2033</v>
      </c>
    </row>
    <row r="1726" spans="1:10" s="1011" customFormat="1" x14ac:dyDescent="0.2">
      <c r="A1726" s="1015" t="s">
        <v>2034</v>
      </c>
      <c r="C1726" s="1016" t="s">
        <v>2035</v>
      </c>
      <c r="D1726" s="1017" t="s">
        <v>2036</v>
      </c>
      <c r="E1726" s="1018" t="s">
        <v>2037</v>
      </c>
      <c r="F1726" s="1018" t="s">
        <v>2038</v>
      </c>
      <c r="G1726" s="1013" t="s">
        <v>2039</v>
      </c>
      <c r="H1726" s="1014" t="s">
        <v>2036</v>
      </c>
      <c r="I1726" s="1014" t="s">
        <v>2037</v>
      </c>
      <c r="J1726" s="1014" t="s">
        <v>2038</v>
      </c>
    </row>
    <row r="1727" spans="1:10" s="21" customFormat="1" x14ac:dyDescent="0.2">
      <c r="A1727" s="1019" t="s">
        <v>57</v>
      </c>
      <c r="B1727" s="1020" t="s">
        <v>2040</v>
      </c>
      <c r="C1727" s="1021" t="s">
        <v>2041</v>
      </c>
      <c r="D1727" s="1022" t="s">
        <v>2042</v>
      </c>
      <c r="E1727" s="1022" t="s">
        <v>2043</v>
      </c>
      <c r="F1727" s="1022" t="s">
        <v>2044</v>
      </c>
      <c r="G1727" s="1020" t="s">
        <v>2045</v>
      </c>
      <c r="H1727" s="1022"/>
      <c r="I1727" s="631"/>
      <c r="J1727" s="1023"/>
    </row>
    <row r="1728" spans="1:10" s="21" customFormat="1" x14ac:dyDescent="0.2">
      <c r="A1728" s="1024" t="s">
        <v>2046</v>
      </c>
      <c r="B1728" s="1040">
        <f>(G1728/10^9)*C1728*(D1728+E1728*methane+F1728*Nitrous)</f>
        <v>2.2892733356999995</v>
      </c>
      <c r="C1728" s="1026">
        <v>44.3</v>
      </c>
      <c r="D1728" s="1026">
        <v>69300</v>
      </c>
      <c r="E1728" s="1026">
        <v>10</v>
      </c>
      <c r="F1728" s="1026">
        <v>0.6</v>
      </c>
      <c r="G1728" s="1026">
        <v>741</v>
      </c>
      <c r="H1728" s="1026"/>
      <c r="I1728" s="1026"/>
      <c r="J1728" s="1026"/>
    </row>
    <row r="1729" spans="1:10" s="21" customFormat="1" x14ac:dyDescent="0.2">
      <c r="A1729" s="1024" t="s">
        <v>2047</v>
      </c>
      <c r="B1729" s="1040">
        <f>(G1729/10^9)*C1729*(D1729+E1729*methane+F1729*Nitrous)</f>
        <v>2.6827331490000002</v>
      </c>
      <c r="C1729" s="1027">
        <v>43</v>
      </c>
      <c r="D1729" s="1026">
        <v>74100</v>
      </c>
      <c r="E1729" s="1026">
        <v>10</v>
      </c>
      <c r="F1729" s="1026">
        <v>0.6</v>
      </c>
      <c r="G1729" s="1026">
        <v>837</v>
      </c>
      <c r="H1729" s="1026"/>
      <c r="I1729" s="1026"/>
      <c r="J1729" s="1026"/>
    </row>
    <row r="1730" spans="1:10" s="21" customFormat="1" x14ac:dyDescent="0.2">
      <c r="A1730" s="1024" t="s">
        <v>2048</v>
      </c>
      <c r="B1730" s="1040">
        <f>(G1730/10^9)*C1730*(D1730+E1730*methane+F1730*Nitrous)</f>
        <v>2.8160924100000004</v>
      </c>
      <c r="C1730" s="1027">
        <v>40.200000000000003</v>
      </c>
      <c r="D1730" s="1026">
        <v>73300</v>
      </c>
      <c r="E1730" s="1026">
        <v>10</v>
      </c>
      <c r="F1730" s="1026">
        <v>0.6</v>
      </c>
      <c r="G1730" s="1026">
        <v>950</v>
      </c>
      <c r="H1730" s="1026"/>
      <c r="I1730" s="1026"/>
      <c r="J1730" s="1026"/>
    </row>
    <row r="1731" spans="1:10" s="21" customFormat="1" x14ac:dyDescent="0.2">
      <c r="A1731" s="1024" t="s">
        <v>2049</v>
      </c>
      <c r="B1731" s="1040">
        <f>(G1731/10^9)*C1731*(D1731+E1731*methane+F1731*Nitrous)</f>
        <v>1.59500540485</v>
      </c>
      <c r="C1731" s="1027">
        <v>47.3</v>
      </c>
      <c r="D1731" s="1026">
        <v>63100</v>
      </c>
      <c r="E1731" s="1026">
        <v>5</v>
      </c>
      <c r="F1731" s="1026">
        <v>0.1</v>
      </c>
      <c r="G1731" s="1026">
        <v>533</v>
      </c>
      <c r="H1731" s="1026"/>
      <c r="I1731" s="1026"/>
      <c r="J1731" s="1026"/>
    </row>
    <row r="1732" spans="1:10" s="21" customFormat="1" x14ac:dyDescent="0.2">
      <c r="A1732" s="1024" t="s">
        <v>2050</v>
      </c>
      <c r="B1732" s="1040">
        <f>(G1732/10^9)*C1732*(D1732+E1732*methane+F1732*Nitrous)</f>
        <v>2.0742082560000004E-3</v>
      </c>
      <c r="C1732" s="1026">
        <v>48</v>
      </c>
      <c r="D1732" s="1026">
        <v>56100</v>
      </c>
      <c r="E1732" s="1026">
        <v>5</v>
      </c>
      <c r="F1732" s="1026">
        <v>0.1</v>
      </c>
      <c r="G1732" s="1026">
        <v>0.76800000000000002</v>
      </c>
      <c r="H1732" s="1026"/>
      <c r="I1732" s="1026"/>
      <c r="J1732" s="1026"/>
    </row>
    <row r="1733" spans="1:10" s="21" customFormat="1" x14ac:dyDescent="0.2">
      <c r="A1733" s="1019" t="s">
        <v>2051</v>
      </c>
      <c r="B1733" s="1040">
        <f t="shared" ref="B1733:B1741" si="177">(G1733/10^9)*C1733*(H1733+I1733*methane+J1733*Nitrous)</f>
        <v>2.3330307935999994</v>
      </c>
      <c r="C1733" s="1026">
        <v>44.3</v>
      </c>
      <c r="D1733" s="1023"/>
      <c r="E1733" s="1023"/>
      <c r="F1733" s="1023"/>
      <c r="G1733" s="1026">
        <v>741</v>
      </c>
      <c r="H1733" s="1026">
        <v>69300</v>
      </c>
      <c r="I1733" s="1026">
        <v>33</v>
      </c>
      <c r="J1733" s="1026">
        <v>3.2</v>
      </c>
    </row>
    <row r="1734" spans="1:10" s="21" customFormat="1" x14ac:dyDescent="0.2">
      <c r="A1734" s="1019" t="s">
        <v>2052</v>
      </c>
      <c r="B1734" s="1040">
        <f t="shared" si="177"/>
        <v>2.7080600157000001</v>
      </c>
      <c r="C1734" s="1026">
        <v>43</v>
      </c>
      <c r="D1734" s="1023"/>
      <c r="E1734" s="1023"/>
      <c r="F1734" s="1023"/>
      <c r="G1734" s="1026">
        <v>837</v>
      </c>
      <c r="H1734" s="1026">
        <v>74100</v>
      </c>
      <c r="I1734" s="1026">
        <v>3.9</v>
      </c>
      <c r="J1734" s="1026">
        <v>3.9</v>
      </c>
    </row>
    <row r="1735" spans="1:10" s="21" customFormat="1" x14ac:dyDescent="0.2">
      <c r="A1735" s="1019" t="s">
        <v>2053</v>
      </c>
      <c r="B1735" s="1040">
        <f t="shared" si="177"/>
        <v>2.1923389440000004E-3</v>
      </c>
      <c r="C1735" s="1026">
        <v>48</v>
      </c>
      <c r="D1735" s="1023"/>
      <c r="E1735" s="1023"/>
      <c r="F1735" s="1023"/>
      <c r="G1735" s="1026">
        <v>0.76800000000000002</v>
      </c>
      <c r="H1735" s="1026">
        <v>56100</v>
      </c>
      <c r="I1735" s="1026">
        <v>92</v>
      </c>
      <c r="J1735" s="1026">
        <v>3</v>
      </c>
    </row>
    <row r="1736" spans="1:10" s="21" customFormat="1" x14ac:dyDescent="0.2">
      <c r="A1736" s="1019" t="s">
        <v>2054</v>
      </c>
      <c r="B1736" s="1040">
        <f t="shared" si="177"/>
        <v>1.6359100900999999</v>
      </c>
      <c r="C1736" s="1026">
        <v>47.3</v>
      </c>
      <c r="D1736" s="1023"/>
      <c r="E1736" s="1023"/>
      <c r="F1736" s="1023"/>
      <c r="G1736" s="1026">
        <v>533</v>
      </c>
      <c r="H1736" s="1026">
        <v>63100</v>
      </c>
      <c r="I1736" s="1026">
        <v>62</v>
      </c>
      <c r="J1736" s="1026">
        <v>0.2</v>
      </c>
    </row>
    <row r="1737" spans="1:10" s="21" customFormat="1" x14ac:dyDescent="0.2">
      <c r="A1737" s="1019" t="s">
        <v>2055</v>
      </c>
      <c r="B1737" s="1040">
        <f t="shared" si="177"/>
        <v>4.2807312E-2</v>
      </c>
      <c r="C1737" s="1026">
        <v>27</v>
      </c>
      <c r="D1737" s="1023"/>
      <c r="E1737" s="1023"/>
      <c r="F1737" s="1023"/>
      <c r="G1737" s="1026">
        <v>788</v>
      </c>
      <c r="H1737" s="1026">
        <v>1508</v>
      </c>
      <c r="I1737" s="1026">
        <v>18</v>
      </c>
      <c r="J1737" s="1026"/>
    </row>
    <row r="1738" spans="1:10" s="21" customFormat="1" x14ac:dyDescent="0.2">
      <c r="A1738" s="1019" t="s">
        <v>2056</v>
      </c>
      <c r="B1738" s="1040">
        <f t="shared" si="177"/>
        <v>0.41813722800000003</v>
      </c>
      <c r="C1738" s="1026">
        <v>27</v>
      </c>
      <c r="D1738" s="1023"/>
      <c r="E1738" s="1023"/>
      <c r="F1738" s="1023"/>
      <c r="G1738" s="1026">
        <v>788</v>
      </c>
      <c r="H1738" s="1026">
        <v>1508</v>
      </c>
      <c r="I1738" s="1026">
        <v>260</v>
      </c>
      <c r="J1738" s="1026">
        <v>41</v>
      </c>
    </row>
    <row r="1739" spans="1:10" s="21" customFormat="1" x14ac:dyDescent="0.2">
      <c r="A1739" s="1019" t="s">
        <v>2057</v>
      </c>
      <c r="B1739" s="1040">
        <f t="shared" si="177"/>
        <v>2.9438910431999998</v>
      </c>
      <c r="C1739" s="1026">
        <v>43</v>
      </c>
      <c r="D1739" s="1023"/>
      <c r="E1739" s="1023"/>
      <c r="F1739" s="1023"/>
      <c r="G1739" s="1026">
        <v>837</v>
      </c>
      <c r="H1739" s="1028">
        <v>74100</v>
      </c>
      <c r="I1739" s="1028">
        <v>4.1500000000000004</v>
      </c>
      <c r="J1739" s="1028">
        <v>28.6</v>
      </c>
    </row>
    <row r="1740" spans="1:10" s="21" customFormat="1" x14ac:dyDescent="0.2">
      <c r="A1740" s="1019" t="s">
        <v>2058</v>
      </c>
      <c r="B1740" s="1040">
        <f t="shared" si="177"/>
        <v>2.4070212737999994</v>
      </c>
      <c r="C1740" s="1026">
        <v>44.3</v>
      </c>
      <c r="D1740" s="1023"/>
      <c r="E1740" s="1023"/>
      <c r="F1740" s="1023"/>
      <c r="G1740" s="1026">
        <v>741</v>
      </c>
      <c r="H1740" s="1028">
        <v>69300</v>
      </c>
      <c r="I1740" s="1028">
        <v>140</v>
      </c>
      <c r="J1740" s="1028">
        <v>0.4</v>
      </c>
    </row>
    <row r="1741" spans="1:10" s="21" customFormat="1" x14ac:dyDescent="0.2">
      <c r="A1741" s="1019" t="s">
        <v>2059</v>
      </c>
      <c r="B1741" s="1040">
        <f t="shared" si="177"/>
        <v>2.3657914409999994</v>
      </c>
      <c r="C1741" s="1026">
        <v>44.3</v>
      </c>
      <c r="D1741" s="1023"/>
      <c r="E1741" s="1023"/>
      <c r="F1741" s="1023"/>
      <c r="G1741" s="1026">
        <v>741</v>
      </c>
      <c r="H1741" s="1028">
        <v>69300</v>
      </c>
      <c r="I1741" s="1028">
        <v>80</v>
      </c>
      <c r="J1741" s="1028">
        <v>2</v>
      </c>
    </row>
    <row r="1742" spans="1:10" s="21" customFormat="1" x14ac:dyDescent="0.2">
      <c r="B1742" s="535"/>
      <c r="C1742" s="1029"/>
      <c r="D1742" s="1029"/>
      <c r="E1742" s="1029"/>
      <c r="F1742" s="1029"/>
      <c r="G1742" s="1030"/>
      <c r="H1742" s="1031" t="s">
        <v>2060</v>
      </c>
      <c r="I1742" s="1032" t="s">
        <v>2060</v>
      </c>
      <c r="J1742" s="1033" t="s">
        <v>2060</v>
      </c>
    </row>
    <row r="1743" spans="1:10" s="535" customFormat="1" x14ac:dyDescent="0.2">
      <c r="A1743" s="518" t="s">
        <v>1933</v>
      </c>
      <c r="B1743" s="292"/>
      <c r="C1743" s="292"/>
      <c r="D1743" s="292"/>
      <c r="E1743" s="292"/>
      <c r="F1743" s="292"/>
      <c r="G1743" s="292"/>
      <c r="H1743" s="292"/>
      <c r="I1743" s="292"/>
    </row>
    <row r="1744" spans="1:10" s="535" customFormat="1" x14ac:dyDescent="0.2">
      <c r="A1744" s="534" t="s">
        <v>1965</v>
      </c>
    </row>
    <row r="1745" spans="1:10" s="535" customFormat="1" x14ac:dyDescent="0.2">
      <c r="A1745" s="534"/>
    </row>
    <row r="1747" spans="1:10" s="125" customFormat="1" x14ac:dyDescent="0.2">
      <c r="A1747" s="377" t="s">
        <v>2027</v>
      </c>
      <c r="G1747" s="1034"/>
    </row>
    <row r="1748" spans="1:10" s="1011" customFormat="1" x14ac:dyDescent="0.2">
      <c r="C1748" s="1012" t="s">
        <v>2030</v>
      </c>
      <c r="D1748" s="1012" t="s">
        <v>2031</v>
      </c>
      <c r="E1748" s="1012" t="s">
        <v>2031</v>
      </c>
      <c r="F1748" s="1012" t="s">
        <v>2031</v>
      </c>
      <c r="G1748" s="447"/>
      <c r="H1748" s="447"/>
      <c r="I1748" s="1012"/>
      <c r="J1748" s="1014"/>
    </row>
    <row r="1749" spans="1:10" s="1011" customFormat="1" x14ac:dyDescent="0.2">
      <c r="A1749" s="1015" t="s">
        <v>2034</v>
      </c>
      <c r="C1749" s="1016" t="s">
        <v>2035</v>
      </c>
      <c r="D1749" s="1017" t="s">
        <v>1036</v>
      </c>
      <c r="E1749" s="1018" t="s">
        <v>176</v>
      </c>
      <c r="F1749" s="1018" t="s">
        <v>177</v>
      </c>
      <c r="I1749" s="1017"/>
      <c r="J1749" s="1014"/>
    </row>
    <row r="1750" spans="1:10" s="291" customFormat="1" x14ac:dyDescent="0.2">
      <c r="A1750" s="1019" t="s">
        <v>57</v>
      </c>
      <c r="B1750" s="1020" t="s">
        <v>2061</v>
      </c>
      <c r="C1750" s="1021" t="s">
        <v>2041</v>
      </c>
      <c r="D1750" s="1022" t="s">
        <v>2042</v>
      </c>
      <c r="E1750" s="1022" t="s">
        <v>2043</v>
      </c>
      <c r="F1750" s="1022" t="s">
        <v>2044</v>
      </c>
      <c r="G1750" s="2544"/>
      <c r="H1750" s="2545"/>
      <c r="I1750" s="2546"/>
      <c r="J1750" s="2549"/>
    </row>
    <row r="1751" spans="1:10" s="21" customFormat="1" x14ac:dyDescent="0.2">
      <c r="A1751" s="1024" t="s">
        <v>2062</v>
      </c>
      <c r="B1751" s="1025">
        <f>C1751*(E1751*methane+F1751*Nitrous)/10^6</f>
        <v>0.14757600000000001</v>
      </c>
      <c r="C1751" s="1026">
        <v>15.6</v>
      </c>
      <c r="D1751" s="1026">
        <v>112000</v>
      </c>
      <c r="E1751" s="1026">
        <v>300</v>
      </c>
      <c r="F1751" s="1026">
        <v>4</v>
      </c>
      <c r="G1751" s="2547"/>
      <c r="H1751" s="23"/>
      <c r="I1751" s="1035"/>
      <c r="J1751" s="1035"/>
    </row>
    <row r="1752" spans="1:10" s="21" customFormat="1" x14ac:dyDescent="0.2">
      <c r="A1752" s="1024" t="s">
        <v>2063</v>
      </c>
      <c r="B1752" s="1025">
        <f>C1752*(E1752*methane+F1752*Nitrous)/10^6</f>
        <v>8.5604959999999994E-2</v>
      </c>
      <c r="C1752" s="1027">
        <v>9.76</v>
      </c>
      <c r="D1752" s="1026">
        <v>106000</v>
      </c>
      <c r="E1752" s="1026">
        <v>300</v>
      </c>
      <c r="F1752" s="1026">
        <v>1.4</v>
      </c>
      <c r="G1752" s="2548"/>
      <c r="I1752" s="1035"/>
      <c r="J1752" s="1035"/>
    </row>
    <row r="1753" spans="1:10" s="21" customFormat="1" x14ac:dyDescent="0.2">
      <c r="A1753" s="1024" t="s">
        <v>2064</v>
      </c>
      <c r="B1753" s="1025">
        <f>C1753*(E1753*methane+F1753*Nitrous)/10^6</f>
        <v>0.17301749999999999</v>
      </c>
      <c r="C1753" s="1027">
        <v>29.5</v>
      </c>
      <c r="D1753" s="1026">
        <v>112000</v>
      </c>
      <c r="E1753" s="1026">
        <v>200</v>
      </c>
      <c r="F1753" s="1026">
        <v>1</v>
      </c>
      <c r="G1753" s="1036"/>
      <c r="H1753" s="292"/>
      <c r="I1753" s="292"/>
      <c r="J1753" s="1037"/>
    </row>
    <row r="1754" spans="1:10" s="535" customFormat="1" x14ac:dyDescent="0.2">
      <c r="A1754" s="518" t="s">
        <v>1933</v>
      </c>
      <c r="B1754" s="292"/>
      <c r="C1754" s="292"/>
      <c r="D1754" s="292"/>
      <c r="E1754" s="292"/>
      <c r="F1754" s="292"/>
      <c r="G1754" s="292"/>
      <c r="H1754" s="292"/>
      <c r="I1754" s="292"/>
      <c r="J1754" s="292"/>
    </row>
    <row r="1755" spans="1:10" s="535" customFormat="1" x14ac:dyDescent="0.2">
      <c r="A1755" s="534" t="s">
        <v>1965</v>
      </c>
    </row>
    <row r="1756" spans="1:10" s="535" customFormat="1" x14ac:dyDescent="0.2">
      <c r="A1756" s="534"/>
    </row>
    <row r="1757" spans="1:10" s="284" customFormat="1" x14ac:dyDescent="0.2"/>
    <row r="1758" spans="1:10" s="1086" customFormat="1" ht="24" x14ac:dyDescent="0.2">
      <c r="A1758" s="1086" t="s">
        <v>2065</v>
      </c>
    </row>
    <row r="1759" spans="1:10" s="284" customFormat="1" x14ac:dyDescent="0.2"/>
    <row r="1760" spans="1:10" s="125" customFormat="1" x14ac:dyDescent="0.2">
      <c r="A1760" s="377" t="s">
        <v>2066</v>
      </c>
      <c r="D1760" s="1075"/>
      <c r="E1760" s="1075"/>
      <c r="F1760" s="1075"/>
      <c r="G1760" s="1075"/>
      <c r="H1760" s="1075"/>
      <c r="I1760" s="1075"/>
    </row>
    <row r="1761" spans="1:25" s="773" customFormat="1" ht="16.25" customHeight="1" x14ac:dyDescent="0.2">
      <c r="A1761" s="753" t="s">
        <v>2067</v>
      </c>
      <c r="B1761" s="442" t="s">
        <v>2068</v>
      </c>
      <c r="C1761" s="442" t="s">
        <v>2068</v>
      </c>
      <c r="D1761" s="442" t="s">
        <v>2068</v>
      </c>
      <c r="E1761" s="442" t="s">
        <v>2068</v>
      </c>
      <c r="F1761" s="442" t="s">
        <v>2068</v>
      </c>
      <c r="G1761" s="442" t="s">
        <v>2068</v>
      </c>
      <c r="H1761" s="442" t="s">
        <v>2068</v>
      </c>
      <c r="I1761" s="442" t="s">
        <v>2068</v>
      </c>
      <c r="J1761" s="442" t="s">
        <v>2068</v>
      </c>
      <c r="K1761" s="442" t="s">
        <v>2068</v>
      </c>
      <c r="L1761" s="442"/>
      <c r="M1761" s="442"/>
      <c r="N1761" s="442"/>
      <c r="O1761" s="442"/>
      <c r="P1761" s="532"/>
      <c r="Q1761" s="442"/>
      <c r="R1761" s="442"/>
      <c r="S1761" s="442"/>
      <c r="T1761" s="442"/>
      <c r="U1761" s="442"/>
      <c r="V1761" s="442"/>
      <c r="W1761" s="442"/>
    </row>
    <row r="1762" spans="1:25" s="291" customFormat="1" ht="16" x14ac:dyDescent="0.2">
      <c r="A1762" s="293" t="s">
        <v>1963</v>
      </c>
      <c r="B1762" s="426" t="s">
        <v>2069</v>
      </c>
      <c r="C1762" s="426" t="s">
        <v>2070</v>
      </c>
      <c r="D1762" s="426" t="s">
        <v>2071</v>
      </c>
      <c r="E1762" s="426" t="s">
        <v>2072</v>
      </c>
      <c r="F1762" s="426" t="s">
        <v>1384</v>
      </c>
      <c r="G1762" s="426" t="s">
        <v>1396</v>
      </c>
      <c r="H1762" s="426" t="s">
        <v>2073</v>
      </c>
      <c r="I1762" s="426" t="s">
        <v>2074</v>
      </c>
      <c r="J1762" s="426" t="s">
        <v>1592</v>
      </c>
      <c r="K1762" s="31" t="s">
        <v>2075</v>
      </c>
      <c r="L1762" s="453"/>
      <c r="M1762" s="453"/>
      <c r="N1762" s="453"/>
      <c r="O1762" s="453"/>
      <c r="P1762" s="1616"/>
      <c r="Q1762" s="453"/>
      <c r="R1762" s="453"/>
      <c r="S1762" s="453"/>
      <c r="T1762" s="453"/>
      <c r="U1762" s="453"/>
      <c r="V1762" s="453"/>
      <c r="W1762" s="453"/>
      <c r="X1762" s="21"/>
      <c r="Y1762" s="21"/>
    </row>
    <row r="1763" spans="1:25" s="21" customFormat="1" ht="16" x14ac:dyDescent="0.2">
      <c r="A1763" s="255" t="s">
        <v>57</v>
      </c>
      <c r="B1763" s="426" t="s">
        <v>92</v>
      </c>
      <c r="C1763" s="426" t="s">
        <v>92</v>
      </c>
      <c r="D1763" s="426" t="s">
        <v>92</v>
      </c>
      <c r="E1763" s="426" t="s">
        <v>92</v>
      </c>
      <c r="F1763" s="426" t="s">
        <v>92</v>
      </c>
      <c r="G1763" s="426" t="s">
        <v>92</v>
      </c>
      <c r="H1763" s="426" t="s">
        <v>92</v>
      </c>
      <c r="I1763" s="426" t="s">
        <v>92</v>
      </c>
      <c r="J1763" s="426" t="s">
        <v>92</v>
      </c>
      <c r="K1763" s="31" t="s">
        <v>92</v>
      </c>
      <c r="L1763" s="453"/>
      <c r="M1763" s="453"/>
      <c r="N1763" s="453"/>
      <c r="O1763" s="453"/>
      <c r="P1763" s="453"/>
      <c r="Q1763" s="453"/>
      <c r="R1763" s="453"/>
      <c r="S1763" s="453"/>
      <c r="T1763" s="453"/>
      <c r="U1763" s="453"/>
      <c r="V1763" s="453"/>
      <c r="W1763" s="453"/>
    </row>
    <row r="1764" spans="1:25" s="21" customFormat="1" x14ac:dyDescent="0.2">
      <c r="A1764" s="20" t="s">
        <v>1490</v>
      </c>
      <c r="B1764" s="41">
        <f>AVERAGE(0.37,0.25)</f>
        <v>0.31</v>
      </c>
      <c r="C1764" s="41">
        <f t="shared" ref="C1764:C1769" si="178">B1764</f>
        <v>0.31</v>
      </c>
      <c r="D1764" s="41">
        <v>7.9</v>
      </c>
      <c r="E1764" s="41">
        <v>7.9</v>
      </c>
      <c r="F1764" s="163">
        <v>0</v>
      </c>
      <c r="G1764" s="41">
        <v>5.7</v>
      </c>
      <c r="H1764" s="41"/>
      <c r="I1764" s="41"/>
      <c r="J1764" s="41"/>
      <c r="K1764" s="470">
        <v>2.8</v>
      </c>
      <c r="L1764" s="453"/>
      <c r="M1764" s="453"/>
      <c r="N1764" s="453"/>
      <c r="O1764" s="453"/>
      <c r="P1764" s="1617"/>
      <c r="Q1764" s="453"/>
      <c r="R1764" s="453"/>
      <c r="S1764" s="453"/>
      <c r="T1764" s="453"/>
      <c r="U1764" s="453"/>
      <c r="V1764" s="453"/>
      <c r="W1764" s="453"/>
    </row>
    <row r="1765" spans="1:25" s="21" customFormat="1" x14ac:dyDescent="0.2">
      <c r="A1765" s="20" t="s">
        <v>1491</v>
      </c>
      <c r="B1765" s="41">
        <f>B1764</f>
        <v>0.31</v>
      </c>
      <c r="C1765" s="41">
        <f t="shared" si="178"/>
        <v>0.31</v>
      </c>
      <c r="D1765" s="41">
        <v>7.9</v>
      </c>
      <c r="E1765" s="41">
        <v>7.9</v>
      </c>
      <c r="F1765" s="163">
        <v>0</v>
      </c>
      <c r="G1765" s="41">
        <v>5.7</v>
      </c>
      <c r="H1765" s="41"/>
      <c r="I1765" s="41"/>
      <c r="J1765" s="41"/>
      <c r="K1765" s="467">
        <v>2.8</v>
      </c>
      <c r="L1765" s="453"/>
      <c r="M1765" s="453"/>
      <c r="N1765" s="453"/>
      <c r="O1765" s="453"/>
      <c r="P1765" s="1617"/>
      <c r="Q1765" s="453"/>
      <c r="R1765" s="453"/>
      <c r="S1765" s="453"/>
      <c r="T1765" s="453"/>
      <c r="U1765" s="453"/>
      <c r="V1765" s="453"/>
      <c r="W1765" s="453"/>
    </row>
    <row r="1766" spans="1:25" s="21" customFormat="1" x14ac:dyDescent="0.2">
      <c r="A1766" s="20" t="s">
        <v>1483</v>
      </c>
      <c r="B1766" s="41">
        <v>2.6</v>
      </c>
      <c r="C1766" s="41">
        <f t="shared" si="178"/>
        <v>2.6</v>
      </c>
      <c r="D1766" s="41">
        <v>7.9</v>
      </c>
      <c r="E1766" s="41">
        <v>7.9</v>
      </c>
      <c r="F1766" s="163">
        <v>0</v>
      </c>
      <c r="G1766" s="41">
        <v>5.3</v>
      </c>
      <c r="H1766" s="41"/>
      <c r="I1766" s="41"/>
      <c r="J1766" s="41"/>
      <c r="K1766" s="467">
        <v>2.8</v>
      </c>
      <c r="L1766" s="453"/>
      <c r="M1766" s="453"/>
      <c r="N1766" s="453"/>
      <c r="O1766" s="453"/>
      <c r="P1766" s="1617"/>
      <c r="Q1766" s="453"/>
      <c r="R1766" s="453"/>
      <c r="S1766" s="453"/>
      <c r="T1766" s="453"/>
      <c r="U1766" s="453"/>
      <c r="V1766" s="453"/>
      <c r="W1766" s="453"/>
    </row>
    <row r="1767" spans="1:25" s="21" customFormat="1" x14ac:dyDescent="0.2">
      <c r="A1767" s="20" t="s">
        <v>1484</v>
      </c>
      <c r="B1767" s="41">
        <v>2.6</v>
      </c>
      <c r="C1767" s="41">
        <f t="shared" si="178"/>
        <v>2.6</v>
      </c>
      <c r="D1767" s="41">
        <v>7.9</v>
      </c>
      <c r="E1767" s="41">
        <v>7.9</v>
      </c>
      <c r="F1767" s="163">
        <v>0</v>
      </c>
      <c r="G1767" s="41">
        <v>5.3</v>
      </c>
      <c r="H1767" s="41"/>
      <c r="I1767" s="41"/>
      <c r="J1767" s="41"/>
      <c r="K1767" s="467">
        <v>2.8</v>
      </c>
      <c r="L1767" s="453"/>
      <c r="M1767" s="453"/>
      <c r="N1767" s="453"/>
      <c r="O1767" s="453"/>
      <c r="P1767" s="1617"/>
      <c r="Q1767" s="453"/>
      <c r="R1767" s="453"/>
      <c r="S1767" s="453"/>
      <c r="T1767" s="453"/>
      <c r="U1767" s="453"/>
      <c r="V1767" s="453"/>
      <c r="W1767" s="453"/>
    </row>
    <row r="1768" spans="1:25" s="21" customFormat="1" x14ac:dyDescent="0.2">
      <c r="A1768" s="20" t="s">
        <v>1485</v>
      </c>
      <c r="B1768" s="41">
        <v>2.6</v>
      </c>
      <c r="C1768" s="41">
        <f t="shared" si="178"/>
        <v>2.6</v>
      </c>
      <c r="D1768" s="41">
        <v>7.9</v>
      </c>
      <c r="E1768" s="41">
        <v>7.9</v>
      </c>
      <c r="F1768" s="163">
        <v>0</v>
      </c>
      <c r="G1768" s="41">
        <v>5.3</v>
      </c>
      <c r="H1768" s="41"/>
      <c r="I1768" s="41"/>
      <c r="J1768" s="41"/>
      <c r="K1768" s="467">
        <v>2.8</v>
      </c>
      <c r="L1768" s="453"/>
      <c r="M1768" s="453"/>
      <c r="N1768" s="453"/>
      <c r="O1768" s="453"/>
      <c r="P1768" s="1617"/>
      <c r="Q1768" s="453"/>
      <c r="R1768" s="453"/>
      <c r="S1768" s="453"/>
      <c r="T1768" s="453"/>
      <c r="U1768" s="453"/>
      <c r="V1768" s="453"/>
      <c r="W1768" s="453"/>
    </row>
    <row r="1769" spans="1:25" s="21" customFormat="1" x14ac:dyDescent="0.2">
      <c r="A1769" s="20" t="s">
        <v>1486</v>
      </c>
      <c r="B1769" s="41">
        <v>2.6</v>
      </c>
      <c r="C1769" s="41">
        <f t="shared" si="178"/>
        <v>2.6</v>
      </c>
      <c r="D1769" s="41">
        <v>7.9</v>
      </c>
      <c r="E1769" s="41">
        <v>7.9</v>
      </c>
      <c r="F1769" s="163">
        <v>0</v>
      </c>
      <c r="G1769" s="41">
        <v>5.3</v>
      </c>
      <c r="H1769" s="41"/>
      <c r="I1769" s="41"/>
      <c r="J1769" s="41"/>
      <c r="K1769" s="467">
        <v>2.8</v>
      </c>
      <c r="L1769" s="453"/>
      <c r="M1769" s="453"/>
      <c r="N1769" s="453"/>
      <c r="O1769" s="453"/>
      <c r="P1769" s="1617"/>
      <c r="Q1769" s="453"/>
      <c r="R1769" s="453"/>
      <c r="S1769" s="453"/>
      <c r="T1769" s="453"/>
      <c r="U1769" s="453"/>
      <c r="V1769" s="453"/>
      <c r="W1769" s="453"/>
    </row>
    <row r="1770" spans="1:25" s="21" customFormat="1" x14ac:dyDescent="0.2">
      <c r="A1770" s="20" t="s">
        <v>1487</v>
      </c>
      <c r="B1770" s="41">
        <v>5.3</v>
      </c>
      <c r="C1770" s="471">
        <f>AVERAGE(1.5,20,11)</f>
        <v>10.833333333333334</v>
      </c>
      <c r="D1770" s="471">
        <v>14</v>
      </c>
      <c r="E1770" s="471">
        <v>14</v>
      </c>
      <c r="F1770" s="471">
        <v>9.4</v>
      </c>
      <c r="G1770" s="471">
        <v>9.6</v>
      </c>
      <c r="H1770" s="41"/>
      <c r="I1770" s="41"/>
      <c r="J1770" s="41"/>
      <c r="K1770" s="467">
        <v>2</v>
      </c>
      <c r="L1770" s="453"/>
      <c r="M1770" s="453"/>
      <c r="N1770" s="453"/>
      <c r="O1770" s="453"/>
      <c r="P1770" s="1617"/>
      <c r="Q1770" s="453"/>
      <c r="R1770" s="453"/>
      <c r="S1770" s="453"/>
      <c r="T1770" s="453"/>
      <c r="U1770" s="453"/>
      <c r="V1770" s="453"/>
      <c r="W1770" s="453"/>
    </row>
    <row r="1771" spans="1:25" s="21" customFormat="1" x14ac:dyDescent="0.2">
      <c r="A1771" s="20" t="s">
        <v>1488</v>
      </c>
      <c r="B1771" s="41">
        <v>5.3</v>
      </c>
      <c r="C1771" s="471">
        <f>AVERAGE(1.5,20,11)</f>
        <v>10.833333333333334</v>
      </c>
      <c r="D1771" s="471">
        <v>14</v>
      </c>
      <c r="E1771" s="471">
        <v>14</v>
      </c>
      <c r="F1771" s="471">
        <v>9.4</v>
      </c>
      <c r="G1771" s="471">
        <v>9.6</v>
      </c>
      <c r="H1771" s="41"/>
      <c r="I1771" s="41"/>
      <c r="J1771" s="41"/>
      <c r="K1771" s="467">
        <v>2</v>
      </c>
      <c r="L1771" s="453"/>
      <c r="M1771" s="453"/>
      <c r="N1771" s="453"/>
      <c r="O1771" s="453"/>
      <c r="P1771" s="1617"/>
      <c r="Q1771" s="453"/>
      <c r="R1771" s="453"/>
      <c r="S1771" s="453"/>
      <c r="T1771" s="453"/>
      <c r="U1771" s="453"/>
      <c r="V1771" s="453"/>
      <c r="W1771" s="453"/>
    </row>
    <row r="1772" spans="1:25" s="21" customFormat="1" x14ac:dyDescent="0.2">
      <c r="A1772" s="20" t="s">
        <v>1489</v>
      </c>
      <c r="B1772" s="41">
        <v>5.3</v>
      </c>
      <c r="C1772" s="471">
        <f>AVERAGE(1.5,20,11)</f>
        <v>10.833333333333334</v>
      </c>
      <c r="D1772" s="471">
        <v>14</v>
      </c>
      <c r="E1772" s="471">
        <v>14</v>
      </c>
      <c r="F1772" s="471">
        <v>9.4</v>
      </c>
      <c r="G1772" s="471">
        <v>9.6</v>
      </c>
      <c r="H1772" s="41"/>
      <c r="I1772" s="41"/>
      <c r="J1772" s="41"/>
      <c r="K1772" s="467">
        <v>2</v>
      </c>
      <c r="L1772" s="453"/>
      <c r="M1772" s="453"/>
      <c r="N1772" s="453"/>
      <c r="O1772" s="453"/>
      <c r="P1772" s="1617"/>
      <c r="Q1772" s="453"/>
      <c r="R1772" s="453"/>
      <c r="S1772" s="453"/>
      <c r="T1772" s="453"/>
      <c r="U1772" s="453"/>
      <c r="V1772" s="453"/>
      <c r="W1772" s="453"/>
    </row>
    <row r="1773" spans="1:25" s="292" customFormat="1" x14ac:dyDescent="0.2">
      <c r="A1773" s="37" t="s">
        <v>1359</v>
      </c>
      <c r="B1773" s="42">
        <v>5.3</v>
      </c>
      <c r="C1773" s="536">
        <f>AVERAGE(1.5,20,11)</f>
        <v>10.833333333333334</v>
      </c>
      <c r="D1773" s="536">
        <v>14</v>
      </c>
      <c r="E1773" s="536">
        <v>14</v>
      </c>
      <c r="F1773" s="536">
        <v>9.4</v>
      </c>
      <c r="G1773" s="536">
        <v>9.6</v>
      </c>
      <c r="H1773" s="42"/>
      <c r="I1773" s="42"/>
      <c r="J1773" s="42"/>
      <c r="K1773" s="654">
        <v>2</v>
      </c>
      <c r="L1773" s="1074"/>
      <c r="M1773" s="1074"/>
      <c r="N1773" s="1074"/>
      <c r="O1773" s="1074"/>
      <c r="P1773" s="1618"/>
      <c r="Q1773" s="1074"/>
      <c r="R1773" s="1074"/>
      <c r="S1773" s="1074"/>
      <c r="T1773" s="1074"/>
      <c r="U1773" s="1074"/>
      <c r="V1773" s="1074"/>
      <c r="W1773" s="1074"/>
    </row>
    <row r="1774" spans="1:25" s="292" customFormat="1" x14ac:dyDescent="0.2">
      <c r="A1774" s="1073" t="s">
        <v>2076</v>
      </c>
    </row>
    <row r="1775" spans="1:25" s="535" customFormat="1" x14ac:dyDescent="0.2">
      <c r="A1775" s="516" t="s">
        <v>2077</v>
      </c>
    </row>
    <row r="1776" spans="1:25" s="535" customFormat="1" ht="14.25" customHeight="1" x14ac:dyDescent="0.2">
      <c r="A1776" s="534" t="s">
        <v>2078</v>
      </c>
    </row>
    <row r="1777" spans="1:25" s="535" customFormat="1" ht="14.25" customHeight="1" x14ac:dyDescent="0.2">
      <c r="A1777" s="534" t="s">
        <v>2079</v>
      </c>
    </row>
    <row r="1779" spans="1:25" s="125" customFormat="1" x14ac:dyDescent="0.2">
      <c r="A1779" s="377" t="s">
        <v>2066</v>
      </c>
      <c r="D1779" s="1075"/>
      <c r="E1779" s="1076"/>
      <c r="F1779" s="1076"/>
      <c r="G1779" s="1076"/>
      <c r="H1779" s="1076"/>
      <c r="I1779" s="1076"/>
    </row>
    <row r="1780" spans="1:25" s="773" customFormat="1" ht="16.25" customHeight="1" x14ac:dyDescent="0.2">
      <c r="A1780" s="753" t="s">
        <v>2080</v>
      </c>
      <c r="B1780" s="442" t="s">
        <v>2068</v>
      </c>
      <c r="C1780" s="442" t="s">
        <v>2068</v>
      </c>
      <c r="D1780" s="442" t="s">
        <v>2068</v>
      </c>
      <c r="E1780" s="442" t="s">
        <v>2068</v>
      </c>
      <c r="F1780" s="442" t="s">
        <v>2068</v>
      </c>
      <c r="G1780" s="442" t="s">
        <v>2068</v>
      </c>
      <c r="H1780" s="442" t="s">
        <v>2068</v>
      </c>
      <c r="I1780" s="442" t="s">
        <v>2068</v>
      </c>
      <c r="J1780" s="442" t="s">
        <v>2068</v>
      </c>
      <c r="K1780" s="442" t="s">
        <v>2068</v>
      </c>
      <c r="L1780" s="442"/>
      <c r="M1780" s="442"/>
      <c r="N1780" s="442"/>
      <c r="O1780" s="442"/>
      <c r="P1780" s="532"/>
      <c r="Q1780" s="442"/>
      <c r="R1780" s="442"/>
      <c r="S1780" s="442"/>
      <c r="T1780" s="442"/>
      <c r="U1780" s="442"/>
      <c r="V1780" s="442"/>
      <c r="W1780" s="442"/>
    </row>
    <row r="1781" spans="1:25" s="291" customFormat="1" ht="16" x14ac:dyDescent="0.2">
      <c r="A1781" s="293" t="s">
        <v>1963</v>
      </c>
      <c r="B1781" s="426" t="s">
        <v>2069</v>
      </c>
      <c r="C1781" s="426" t="s">
        <v>2070</v>
      </c>
      <c r="D1781" s="426" t="s">
        <v>2071</v>
      </c>
      <c r="E1781" s="426" t="s">
        <v>2072</v>
      </c>
      <c r="F1781" s="426" t="s">
        <v>1384</v>
      </c>
      <c r="G1781" s="426" t="s">
        <v>1396</v>
      </c>
      <c r="H1781" s="426" t="s">
        <v>2073</v>
      </c>
      <c r="I1781" s="426" t="s">
        <v>2074</v>
      </c>
      <c r="J1781" s="426" t="s">
        <v>1592</v>
      </c>
      <c r="K1781" s="31" t="s">
        <v>2075</v>
      </c>
      <c r="L1781" s="453"/>
      <c r="M1781" s="453"/>
      <c r="N1781" s="453"/>
      <c r="O1781" s="453"/>
      <c r="P1781" s="1616"/>
      <c r="Q1781" s="453"/>
      <c r="R1781" s="453"/>
      <c r="S1781" s="453"/>
      <c r="T1781" s="453"/>
      <c r="U1781" s="453"/>
      <c r="V1781" s="453"/>
      <c r="W1781" s="453"/>
      <c r="X1781" s="21"/>
      <c r="Y1781" s="21"/>
    </row>
    <row r="1782" spans="1:25" s="21" customFormat="1" ht="16" x14ac:dyDescent="0.2">
      <c r="A1782" s="255" t="s">
        <v>57</v>
      </c>
      <c r="B1782" s="426" t="s">
        <v>92</v>
      </c>
      <c r="C1782" s="426" t="s">
        <v>92</v>
      </c>
      <c r="D1782" s="426" t="s">
        <v>92</v>
      </c>
      <c r="E1782" s="426" t="s">
        <v>92</v>
      </c>
      <c r="F1782" s="426" t="s">
        <v>92</v>
      </c>
      <c r="G1782" s="426" t="s">
        <v>92</v>
      </c>
      <c r="H1782" s="426" t="s">
        <v>92</v>
      </c>
      <c r="I1782" s="426" t="s">
        <v>92</v>
      </c>
      <c r="J1782" s="426" t="s">
        <v>92</v>
      </c>
      <c r="K1782" s="31" t="s">
        <v>92</v>
      </c>
      <c r="L1782" s="453"/>
      <c r="M1782" s="453"/>
      <c r="N1782" s="453"/>
      <c r="O1782" s="453"/>
      <c r="P1782" s="453"/>
      <c r="Q1782" s="453"/>
      <c r="R1782" s="453"/>
      <c r="S1782" s="453"/>
      <c r="T1782" s="453"/>
      <c r="U1782" s="453"/>
      <c r="V1782" s="453"/>
      <c r="W1782" s="453"/>
    </row>
    <row r="1783" spans="1:25" s="21" customFormat="1" x14ac:dyDescent="0.2">
      <c r="A1783" s="20" t="s">
        <v>1490</v>
      </c>
      <c r="B1783" s="41">
        <v>0.93</v>
      </c>
      <c r="C1783" s="41">
        <f t="shared" ref="C1783:C1788" si="179">B1783</f>
        <v>0.93</v>
      </c>
      <c r="D1783" s="41">
        <v>7.9</v>
      </c>
      <c r="E1783" s="41">
        <v>7.9</v>
      </c>
      <c r="F1783" s="163">
        <v>0</v>
      </c>
      <c r="G1783" s="41">
        <v>5.7</v>
      </c>
      <c r="H1783" s="41"/>
      <c r="I1783" s="41"/>
      <c r="J1783" s="41"/>
      <c r="K1783" s="470">
        <v>2.8</v>
      </c>
      <c r="L1783" s="453"/>
      <c r="M1783" s="453"/>
      <c r="N1783" s="453"/>
      <c r="O1783" s="453"/>
      <c r="P1783" s="1617"/>
      <c r="Q1783" s="453"/>
      <c r="R1783" s="453"/>
      <c r="S1783" s="453"/>
      <c r="T1783" s="453"/>
      <c r="U1783" s="453"/>
      <c r="V1783" s="453"/>
      <c r="W1783" s="453"/>
    </row>
    <row r="1784" spans="1:25" s="21" customFormat="1" x14ac:dyDescent="0.2">
      <c r="A1784" s="20" t="s">
        <v>1491</v>
      </c>
      <c r="B1784" s="41">
        <v>0.93</v>
      </c>
      <c r="C1784" s="41">
        <f t="shared" si="179"/>
        <v>0.93</v>
      </c>
      <c r="D1784" s="41">
        <v>7.9</v>
      </c>
      <c r="E1784" s="41">
        <v>7.9</v>
      </c>
      <c r="F1784" s="163">
        <v>0</v>
      </c>
      <c r="G1784" s="41">
        <v>5.7</v>
      </c>
      <c r="H1784" s="41"/>
      <c r="I1784" s="41"/>
      <c r="J1784" s="41"/>
      <c r="K1784" s="467">
        <v>2.8</v>
      </c>
      <c r="L1784" s="453"/>
      <c r="M1784" s="453"/>
      <c r="N1784" s="453"/>
      <c r="O1784" s="453"/>
      <c r="P1784" s="1617"/>
      <c r="Q1784" s="453"/>
      <c r="R1784" s="453"/>
      <c r="S1784" s="453"/>
      <c r="T1784" s="453"/>
      <c r="U1784" s="453"/>
      <c r="V1784" s="453"/>
      <c r="W1784" s="453"/>
    </row>
    <row r="1785" spans="1:25" s="21" customFormat="1" x14ac:dyDescent="0.2">
      <c r="A1785" s="20" t="s">
        <v>1483</v>
      </c>
      <c r="B1785" s="41">
        <v>2.6</v>
      </c>
      <c r="C1785" s="41">
        <f t="shared" si="179"/>
        <v>2.6</v>
      </c>
      <c r="D1785" s="41">
        <v>7.9</v>
      </c>
      <c r="E1785" s="41">
        <v>7.9</v>
      </c>
      <c r="F1785" s="163">
        <v>0</v>
      </c>
      <c r="G1785" s="41">
        <f>AVERAGE(6.1,3.6)</f>
        <v>4.8499999999999996</v>
      </c>
      <c r="H1785" s="41"/>
      <c r="I1785" s="41"/>
      <c r="J1785" s="41"/>
      <c r="K1785" s="467">
        <v>2.8</v>
      </c>
      <c r="L1785" s="453"/>
      <c r="M1785" s="453"/>
      <c r="N1785" s="453"/>
      <c r="O1785" s="453"/>
      <c r="P1785" s="1617"/>
      <c r="Q1785" s="453"/>
      <c r="R1785" s="453"/>
      <c r="S1785" s="453"/>
      <c r="T1785" s="453"/>
      <c r="U1785" s="453"/>
      <c r="V1785" s="453"/>
      <c r="W1785" s="453"/>
    </row>
    <row r="1786" spans="1:25" s="21" customFormat="1" x14ac:dyDescent="0.2">
      <c r="A1786" s="20" t="s">
        <v>1484</v>
      </c>
      <c r="B1786" s="41">
        <v>2.6</v>
      </c>
      <c r="C1786" s="41">
        <f t="shared" si="179"/>
        <v>2.6</v>
      </c>
      <c r="D1786" s="41">
        <v>7.9</v>
      </c>
      <c r="E1786" s="41">
        <v>7.9</v>
      </c>
      <c r="F1786" s="163">
        <v>0</v>
      </c>
      <c r="G1786" s="41">
        <f>AVERAGE(6.1,3.6)</f>
        <v>4.8499999999999996</v>
      </c>
      <c r="H1786" s="41"/>
      <c r="I1786" s="41"/>
      <c r="J1786" s="41"/>
      <c r="K1786" s="467">
        <v>2.8</v>
      </c>
      <c r="L1786" s="453"/>
      <c r="M1786" s="453"/>
      <c r="N1786" s="453"/>
      <c r="O1786" s="453"/>
      <c r="P1786" s="1617"/>
      <c r="Q1786" s="453"/>
      <c r="R1786" s="453"/>
      <c r="S1786" s="453"/>
      <c r="T1786" s="453"/>
      <c r="U1786" s="453"/>
      <c r="V1786" s="453"/>
      <c r="W1786" s="453"/>
    </row>
    <row r="1787" spans="1:25" s="21" customFormat="1" x14ac:dyDescent="0.2">
      <c r="A1787" s="20" t="s">
        <v>1485</v>
      </c>
      <c r="B1787" s="41">
        <v>2.6</v>
      </c>
      <c r="C1787" s="41">
        <f t="shared" si="179"/>
        <v>2.6</v>
      </c>
      <c r="D1787" s="41">
        <v>7.9</v>
      </c>
      <c r="E1787" s="41">
        <v>7.9</v>
      </c>
      <c r="F1787" s="163">
        <v>0</v>
      </c>
      <c r="G1787" s="41">
        <f>AVERAGE(6.1,3.6)</f>
        <v>4.8499999999999996</v>
      </c>
      <c r="H1787" s="41"/>
      <c r="I1787" s="41"/>
      <c r="J1787" s="41"/>
      <c r="K1787" s="467">
        <v>2.8</v>
      </c>
      <c r="L1787" s="453"/>
      <c r="M1787" s="453"/>
      <c r="N1787" s="453"/>
      <c r="O1787" s="453"/>
      <c r="P1787" s="1617"/>
      <c r="Q1787" s="453"/>
      <c r="R1787" s="453"/>
      <c r="S1787" s="453"/>
      <c r="T1787" s="453"/>
      <c r="U1787" s="453"/>
      <c r="V1787" s="453"/>
      <c r="W1787" s="453"/>
    </row>
    <row r="1788" spans="1:25" s="21" customFormat="1" x14ac:dyDescent="0.2">
      <c r="A1788" s="20" t="s">
        <v>1486</v>
      </c>
      <c r="B1788" s="41">
        <v>2.6</v>
      </c>
      <c r="C1788" s="41">
        <f t="shared" si="179"/>
        <v>2.6</v>
      </c>
      <c r="D1788" s="41">
        <v>7.9</v>
      </c>
      <c r="E1788" s="41">
        <v>7.9</v>
      </c>
      <c r="F1788" s="163">
        <v>0</v>
      </c>
      <c r="G1788" s="41">
        <f>AVERAGE(6.1,3.6)</f>
        <v>4.8499999999999996</v>
      </c>
      <c r="H1788" s="41"/>
      <c r="I1788" s="41"/>
      <c r="J1788" s="41"/>
      <c r="K1788" s="467">
        <v>2.8</v>
      </c>
      <c r="L1788" s="453"/>
      <c r="M1788" s="453"/>
      <c r="N1788" s="453"/>
      <c r="O1788" s="453"/>
      <c r="P1788" s="1617"/>
      <c r="Q1788" s="453"/>
      <c r="R1788" s="453"/>
      <c r="S1788" s="453"/>
      <c r="T1788" s="453"/>
      <c r="U1788" s="453"/>
      <c r="V1788" s="453"/>
      <c r="W1788" s="453"/>
    </row>
    <row r="1789" spans="1:25" s="21" customFormat="1" x14ac:dyDescent="0.2">
      <c r="A1789" s="20" t="s">
        <v>1487</v>
      </c>
      <c r="B1789" s="41">
        <v>5.3</v>
      </c>
      <c r="C1789" s="471">
        <f>AVERAGE(1.5,20,11)</f>
        <v>10.833333333333334</v>
      </c>
      <c r="D1789" s="471">
        <v>14</v>
      </c>
      <c r="E1789" s="471">
        <v>14</v>
      </c>
      <c r="F1789" s="471">
        <v>9.4</v>
      </c>
      <c r="G1789" s="471">
        <v>9.6</v>
      </c>
      <c r="H1789" s="41"/>
      <c r="I1789" s="41"/>
      <c r="J1789" s="41"/>
      <c r="K1789" s="467">
        <v>2</v>
      </c>
      <c r="L1789" s="453"/>
      <c r="M1789" s="453"/>
      <c r="N1789" s="453"/>
      <c r="O1789" s="453"/>
      <c r="P1789" s="1617"/>
      <c r="Q1789" s="453"/>
      <c r="R1789" s="453"/>
      <c r="S1789" s="453"/>
      <c r="T1789" s="453"/>
      <c r="U1789" s="453"/>
      <c r="V1789" s="453"/>
      <c r="W1789" s="453"/>
    </row>
    <row r="1790" spans="1:25" s="21" customFormat="1" x14ac:dyDescent="0.2">
      <c r="A1790" s="20" t="s">
        <v>1488</v>
      </c>
      <c r="B1790" s="41">
        <v>5.3</v>
      </c>
      <c r="C1790" s="471">
        <f>AVERAGE(1.5,20,11)</f>
        <v>10.833333333333334</v>
      </c>
      <c r="D1790" s="471">
        <v>14</v>
      </c>
      <c r="E1790" s="471">
        <v>14</v>
      </c>
      <c r="F1790" s="471">
        <v>9.4</v>
      </c>
      <c r="G1790" s="471">
        <v>9.6</v>
      </c>
      <c r="H1790" s="41"/>
      <c r="I1790" s="41"/>
      <c r="J1790" s="41"/>
      <c r="K1790" s="467">
        <v>2</v>
      </c>
      <c r="L1790" s="453"/>
      <c r="M1790" s="453"/>
      <c r="N1790" s="453"/>
      <c r="O1790" s="453"/>
      <c r="P1790" s="1617"/>
      <c r="Q1790" s="453"/>
      <c r="R1790" s="453"/>
      <c r="S1790" s="453"/>
      <c r="T1790" s="453"/>
      <c r="U1790" s="453"/>
      <c r="V1790" s="453"/>
      <c r="W1790" s="453"/>
    </row>
    <row r="1791" spans="1:25" s="21" customFormat="1" x14ac:dyDescent="0.2">
      <c r="A1791" s="20" t="s">
        <v>1489</v>
      </c>
      <c r="B1791" s="41">
        <v>5.3</v>
      </c>
      <c r="C1791" s="471">
        <f>AVERAGE(1.5,20,11)</f>
        <v>10.833333333333334</v>
      </c>
      <c r="D1791" s="471">
        <v>14</v>
      </c>
      <c r="E1791" s="471">
        <v>14</v>
      </c>
      <c r="F1791" s="471">
        <v>9.4</v>
      </c>
      <c r="G1791" s="471">
        <v>9.6</v>
      </c>
      <c r="H1791" s="41"/>
      <c r="I1791" s="41"/>
      <c r="J1791" s="41"/>
      <c r="K1791" s="467">
        <v>2</v>
      </c>
      <c r="L1791" s="453"/>
      <c r="M1791" s="453"/>
      <c r="N1791" s="453"/>
      <c r="O1791" s="453"/>
      <c r="P1791" s="1617"/>
      <c r="Q1791" s="453"/>
      <c r="R1791" s="453"/>
      <c r="S1791" s="453"/>
      <c r="T1791" s="453"/>
      <c r="U1791" s="453"/>
      <c r="V1791" s="453"/>
      <c r="W1791" s="453"/>
    </row>
    <row r="1792" spans="1:25" s="292" customFormat="1" x14ac:dyDescent="0.2">
      <c r="A1792" s="37" t="s">
        <v>1359</v>
      </c>
      <c r="B1792" s="42">
        <v>5.3</v>
      </c>
      <c r="C1792" s="536">
        <f>AVERAGE(1.5,20,11)</f>
        <v>10.833333333333334</v>
      </c>
      <c r="D1792" s="536">
        <v>14</v>
      </c>
      <c r="E1792" s="536">
        <v>14</v>
      </c>
      <c r="F1792" s="536">
        <v>9.4</v>
      </c>
      <c r="G1792" s="536">
        <v>9.6</v>
      </c>
      <c r="H1792" s="42"/>
      <c r="I1792" s="42"/>
      <c r="J1792" s="42"/>
      <c r="K1792" s="654">
        <v>2</v>
      </c>
      <c r="L1792" s="1074"/>
      <c r="M1792" s="1074"/>
      <c r="N1792" s="1074"/>
      <c r="O1792" s="1074"/>
      <c r="P1792" s="1618"/>
      <c r="Q1792" s="1074"/>
      <c r="R1792" s="1074"/>
      <c r="S1792" s="1074"/>
      <c r="T1792" s="1074"/>
      <c r="U1792" s="1074"/>
      <c r="V1792" s="1074"/>
      <c r="W1792" s="1074"/>
    </row>
    <row r="1793" spans="1:25" s="292" customFormat="1" x14ac:dyDescent="0.2">
      <c r="A1793" s="1073" t="s">
        <v>2076</v>
      </c>
    </row>
    <row r="1794" spans="1:25" s="535" customFormat="1" x14ac:dyDescent="0.2">
      <c r="A1794" s="534" t="s">
        <v>2081</v>
      </c>
    </row>
    <row r="1795" spans="1:25" s="535" customFormat="1" x14ac:dyDescent="0.2">
      <c r="A1795" s="534" t="s">
        <v>2082</v>
      </c>
    </row>
    <row r="1796" spans="1:25" s="535" customFormat="1" ht="14.25" customHeight="1" x14ac:dyDescent="0.2">
      <c r="A1796" s="534" t="s">
        <v>2079</v>
      </c>
    </row>
    <row r="1798" spans="1:25" s="125" customFormat="1" x14ac:dyDescent="0.2">
      <c r="A1798" s="377" t="s">
        <v>2083</v>
      </c>
      <c r="D1798" s="1075"/>
      <c r="E1798" s="1076"/>
      <c r="F1798" s="1076"/>
      <c r="G1798" s="1076"/>
      <c r="H1798" s="1076"/>
      <c r="I1798" s="1076"/>
    </row>
    <row r="1799" spans="1:25" s="773" customFormat="1" ht="16.25" customHeight="1" x14ac:dyDescent="0.2">
      <c r="A1799" s="377"/>
      <c r="B1799" s="442" t="s">
        <v>2084</v>
      </c>
      <c r="C1799" s="442" t="s">
        <v>2084</v>
      </c>
      <c r="D1799" s="442" t="s">
        <v>2084</v>
      </c>
      <c r="E1799" s="442" t="s">
        <v>2084</v>
      </c>
      <c r="F1799" s="442" t="s">
        <v>2084</v>
      </c>
      <c r="G1799" s="442" t="s">
        <v>2084</v>
      </c>
      <c r="H1799" s="442" t="s">
        <v>2084</v>
      </c>
      <c r="I1799" s="442" t="s">
        <v>2084</v>
      </c>
      <c r="J1799" s="442" t="s">
        <v>2084</v>
      </c>
      <c r="K1799" s="442" t="s">
        <v>2084</v>
      </c>
      <c r="L1799" s="442"/>
      <c r="M1799" s="442"/>
      <c r="N1799" s="442"/>
      <c r="O1799" s="442"/>
      <c r="P1799" s="532"/>
      <c r="Q1799" s="442"/>
      <c r="R1799" s="442"/>
      <c r="S1799" s="442"/>
      <c r="T1799" s="442"/>
      <c r="U1799" s="442"/>
      <c r="V1799" s="442"/>
      <c r="W1799" s="442"/>
    </row>
    <row r="1800" spans="1:25" s="291" customFormat="1" ht="16" x14ac:dyDescent="0.2">
      <c r="A1800" s="293" t="s">
        <v>1963</v>
      </c>
      <c r="B1800" s="426" t="s">
        <v>2069</v>
      </c>
      <c r="C1800" s="426" t="s">
        <v>2070</v>
      </c>
      <c r="D1800" s="426" t="s">
        <v>2071</v>
      </c>
      <c r="E1800" s="426" t="s">
        <v>2072</v>
      </c>
      <c r="F1800" s="426" t="s">
        <v>1384</v>
      </c>
      <c r="G1800" s="426" t="s">
        <v>1396</v>
      </c>
      <c r="H1800" s="426" t="s">
        <v>2073</v>
      </c>
      <c r="I1800" s="426" t="s">
        <v>2074</v>
      </c>
      <c r="J1800" s="426" t="s">
        <v>1592</v>
      </c>
      <c r="K1800" s="31" t="s">
        <v>2075</v>
      </c>
      <c r="L1800" s="453"/>
      <c r="M1800" s="453"/>
      <c r="N1800" s="453"/>
      <c r="O1800" s="453"/>
      <c r="P1800" s="1616"/>
      <c r="Q1800" s="453"/>
      <c r="R1800" s="453"/>
      <c r="S1800" s="453"/>
      <c r="T1800" s="453"/>
      <c r="U1800" s="453"/>
      <c r="V1800" s="453"/>
      <c r="W1800" s="453"/>
      <c r="X1800" s="21"/>
      <c r="Y1800" s="21"/>
    </row>
    <row r="1801" spans="1:25" s="21" customFormat="1" ht="16" x14ac:dyDescent="0.2">
      <c r="A1801" s="255" t="s">
        <v>57</v>
      </c>
      <c r="B1801" s="426" t="s">
        <v>92</v>
      </c>
      <c r="C1801" s="426" t="s">
        <v>92</v>
      </c>
      <c r="D1801" s="426" t="s">
        <v>92</v>
      </c>
      <c r="E1801" s="426" t="s">
        <v>92</v>
      </c>
      <c r="F1801" s="426" t="s">
        <v>92</v>
      </c>
      <c r="G1801" s="426" t="s">
        <v>92</v>
      </c>
      <c r="H1801" s="426" t="s">
        <v>92</v>
      </c>
      <c r="I1801" s="426" t="s">
        <v>92</v>
      </c>
      <c r="J1801" s="426" t="s">
        <v>92</v>
      </c>
      <c r="K1801" s="31" t="s">
        <v>92</v>
      </c>
      <c r="L1801" s="453"/>
      <c r="M1801" s="453"/>
      <c r="N1801" s="453"/>
      <c r="O1801" s="453"/>
      <c r="P1801" s="453"/>
      <c r="Q1801" s="453"/>
      <c r="R1801" s="453"/>
      <c r="S1801" s="453"/>
      <c r="T1801" s="453"/>
      <c r="U1801" s="453"/>
      <c r="V1801" s="453"/>
      <c r="W1801" s="453"/>
    </row>
    <row r="1802" spans="1:25" s="21" customFormat="1" x14ac:dyDescent="0.2">
      <c r="A1802" s="20" t="s">
        <v>1490</v>
      </c>
      <c r="B1802" s="41">
        <v>0.12</v>
      </c>
      <c r="C1802" s="41">
        <v>0.12</v>
      </c>
      <c r="D1802" s="41">
        <v>0.12</v>
      </c>
      <c r="E1802" s="41">
        <v>0.12</v>
      </c>
      <c r="F1802" s="41">
        <v>0.12</v>
      </c>
      <c r="G1802" s="41">
        <v>0.12</v>
      </c>
      <c r="H1802" s="41"/>
      <c r="I1802" s="41"/>
      <c r="J1802" s="41"/>
      <c r="K1802" s="41">
        <v>0.12</v>
      </c>
      <c r="L1802" s="453"/>
      <c r="M1802" s="453"/>
      <c r="N1802" s="453"/>
      <c r="O1802" s="453"/>
      <c r="P1802" s="1617"/>
      <c r="Q1802" s="453"/>
      <c r="R1802" s="453"/>
      <c r="S1802" s="453"/>
      <c r="T1802" s="453"/>
      <c r="U1802" s="453"/>
      <c r="V1802" s="453"/>
      <c r="W1802" s="453"/>
    </row>
    <row r="1803" spans="1:25" s="21" customFormat="1" x14ac:dyDescent="0.2">
      <c r="A1803" s="20" t="s">
        <v>1491</v>
      </c>
      <c r="B1803" s="41">
        <v>0.12</v>
      </c>
      <c r="C1803" s="41">
        <v>0.12</v>
      </c>
      <c r="D1803" s="41">
        <v>0.12</v>
      </c>
      <c r="E1803" s="41">
        <v>0.12</v>
      </c>
      <c r="F1803" s="41">
        <v>0.12</v>
      </c>
      <c r="G1803" s="41">
        <v>0.12</v>
      </c>
      <c r="H1803" s="41"/>
      <c r="I1803" s="41"/>
      <c r="J1803" s="41"/>
      <c r="K1803" s="41">
        <v>0.12</v>
      </c>
      <c r="L1803" s="453"/>
      <c r="M1803" s="453"/>
      <c r="N1803" s="453"/>
      <c r="O1803" s="453"/>
      <c r="P1803" s="1617"/>
      <c r="Q1803" s="453"/>
      <c r="R1803" s="453"/>
      <c r="S1803" s="453"/>
      <c r="T1803" s="453"/>
      <c r="U1803" s="453"/>
      <c r="V1803" s="453"/>
      <c r="W1803" s="453"/>
    </row>
    <row r="1804" spans="1:25" s="21" customFormat="1" x14ac:dyDescent="0.2">
      <c r="A1804" s="20" t="s">
        <v>1483</v>
      </c>
      <c r="B1804" s="41">
        <v>0.31</v>
      </c>
      <c r="C1804" s="41">
        <v>0.31</v>
      </c>
      <c r="D1804" s="41">
        <v>0.31</v>
      </c>
      <c r="E1804" s="41">
        <v>0.31</v>
      </c>
      <c r="F1804" s="41">
        <v>0.31</v>
      </c>
      <c r="G1804" s="41">
        <v>0.31</v>
      </c>
      <c r="H1804" s="41"/>
      <c r="I1804" s="41"/>
      <c r="J1804" s="41"/>
      <c r="K1804" s="41">
        <v>0.31</v>
      </c>
      <c r="L1804" s="453"/>
      <c r="M1804" s="453"/>
      <c r="N1804" s="453"/>
      <c r="O1804" s="453"/>
      <c r="P1804" s="1617"/>
      <c r="Q1804" s="453"/>
      <c r="R1804" s="453"/>
      <c r="S1804" s="453"/>
      <c r="T1804" s="453"/>
      <c r="U1804" s="453"/>
      <c r="V1804" s="453"/>
      <c r="W1804" s="453"/>
    </row>
    <row r="1805" spans="1:25" s="21" customFormat="1" x14ac:dyDescent="0.2">
      <c r="A1805" s="20" t="s">
        <v>1484</v>
      </c>
      <c r="B1805" s="41">
        <v>0.31</v>
      </c>
      <c r="C1805" s="41">
        <v>0.31</v>
      </c>
      <c r="D1805" s="41">
        <v>0.31</v>
      </c>
      <c r="E1805" s="41">
        <v>0.31</v>
      </c>
      <c r="F1805" s="41">
        <v>0.31</v>
      </c>
      <c r="G1805" s="41">
        <v>0.31</v>
      </c>
      <c r="H1805" s="41"/>
      <c r="I1805" s="41"/>
      <c r="J1805" s="41"/>
      <c r="K1805" s="41">
        <v>0.31</v>
      </c>
      <c r="L1805" s="453"/>
      <c r="M1805" s="453"/>
      <c r="N1805" s="453"/>
      <c r="O1805" s="453"/>
      <c r="P1805" s="1617"/>
      <c r="Q1805" s="453"/>
      <c r="R1805" s="453"/>
      <c r="S1805" s="453"/>
      <c r="T1805" s="453"/>
      <c r="U1805" s="453"/>
      <c r="V1805" s="453"/>
      <c r="W1805" s="453"/>
    </row>
    <row r="1806" spans="1:25" s="21" customFormat="1" x14ac:dyDescent="0.2">
      <c r="A1806" s="20" t="s">
        <v>1485</v>
      </c>
      <c r="B1806" s="41">
        <v>0.31</v>
      </c>
      <c r="C1806" s="41">
        <v>0.31</v>
      </c>
      <c r="D1806" s="41">
        <v>0.31</v>
      </c>
      <c r="E1806" s="41">
        <v>0.31</v>
      </c>
      <c r="F1806" s="41">
        <v>0.31</v>
      </c>
      <c r="G1806" s="41">
        <v>0.31</v>
      </c>
      <c r="H1806" s="41"/>
      <c r="I1806" s="41"/>
      <c r="J1806" s="41"/>
      <c r="K1806" s="41">
        <v>0.31</v>
      </c>
      <c r="L1806" s="453"/>
      <c r="M1806" s="453"/>
      <c r="N1806" s="453"/>
      <c r="O1806" s="453"/>
      <c r="P1806" s="1617"/>
      <c r="Q1806" s="453"/>
      <c r="R1806" s="453"/>
      <c r="S1806" s="453"/>
      <c r="T1806" s="453"/>
      <c r="U1806" s="453"/>
      <c r="V1806" s="453"/>
      <c r="W1806" s="453"/>
    </row>
    <row r="1807" spans="1:25" s="21" customFormat="1" x14ac:dyDescent="0.2">
      <c r="A1807" s="20" t="s">
        <v>1486</v>
      </c>
      <c r="B1807" s="41">
        <v>0.31</v>
      </c>
      <c r="C1807" s="41">
        <v>0.31</v>
      </c>
      <c r="D1807" s="41">
        <v>0.31</v>
      </c>
      <c r="E1807" s="41">
        <v>0.31</v>
      </c>
      <c r="F1807" s="41">
        <v>0.31</v>
      </c>
      <c r="G1807" s="41">
        <v>0.31</v>
      </c>
      <c r="H1807" s="41"/>
      <c r="I1807" s="41"/>
      <c r="J1807" s="41"/>
      <c r="K1807" s="41">
        <v>0.31</v>
      </c>
      <c r="L1807" s="453"/>
      <c r="M1807" s="453"/>
      <c r="N1807" s="453"/>
      <c r="O1807" s="453"/>
      <c r="P1807" s="1617"/>
      <c r="Q1807" s="453"/>
      <c r="R1807" s="453"/>
      <c r="S1807" s="453"/>
      <c r="T1807" s="453"/>
      <c r="U1807" s="453"/>
      <c r="V1807" s="453"/>
      <c r="W1807" s="453"/>
    </row>
    <row r="1808" spans="1:25" s="21" customFormat="1" x14ac:dyDescent="0.2">
      <c r="A1808" s="20" t="s">
        <v>1487</v>
      </c>
      <c r="B1808" s="41">
        <v>0.82</v>
      </c>
      <c r="C1808" s="41">
        <v>0.82</v>
      </c>
      <c r="D1808" s="41">
        <v>0.82</v>
      </c>
      <c r="E1808" s="41">
        <v>0.82</v>
      </c>
      <c r="F1808" s="41">
        <v>0.82</v>
      </c>
      <c r="G1808" s="41">
        <v>0.82</v>
      </c>
      <c r="H1808" s="41"/>
      <c r="I1808" s="41"/>
      <c r="J1808" s="41"/>
      <c r="K1808" s="41">
        <v>0.82</v>
      </c>
      <c r="L1808" s="453"/>
      <c r="M1808" s="453"/>
      <c r="N1808" s="453"/>
      <c r="O1808" s="453"/>
      <c r="P1808" s="1617"/>
      <c r="Q1808" s="453"/>
      <c r="R1808" s="453"/>
      <c r="S1808" s="453"/>
      <c r="T1808" s="453"/>
      <c r="U1808" s="453"/>
      <c r="V1808" s="453"/>
      <c r="W1808" s="453"/>
    </row>
    <row r="1809" spans="1:25" s="21" customFormat="1" x14ac:dyDescent="0.2">
      <c r="A1809" s="20" t="s">
        <v>1488</v>
      </c>
      <c r="B1809" s="41">
        <v>0.82</v>
      </c>
      <c r="C1809" s="41">
        <v>0.82</v>
      </c>
      <c r="D1809" s="41">
        <v>0.82</v>
      </c>
      <c r="E1809" s="41">
        <v>0.82</v>
      </c>
      <c r="F1809" s="41">
        <v>0.82</v>
      </c>
      <c r="G1809" s="41">
        <v>0.82</v>
      </c>
      <c r="H1809" s="41"/>
      <c r="I1809" s="41"/>
      <c r="J1809" s="41"/>
      <c r="K1809" s="41">
        <v>0.82</v>
      </c>
      <c r="L1809" s="453"/>
      <c r="M1809" s="453"/>
      <c r="N1809" s="453"/>
      <c r="O1809" s="453"/>
      <c r="P1809" s="1617"/>
      <c r="Q1809" s="453"/>
      <c r="R1809" s="453"/>
      <c r="S1809" s="453"/>
      <c r="T1809" s="453"/>
      <c r="U1809" s="453"/>
      <c r="V1809" s="453"/>
      <c r="W1809" s="453"/>
    </row>
    <row r="1810" spans="1:25" s="21" customFormat="1" x14ac:dyDescent="0.2">
      <c r="A1810" s="20" t="s">
        <v>1489</v>
      </c>
      <c r="B1810" s="41">
        <v>0.82</v>
      </c>
      <c r="C1810" s="41">
        <v>0.82</v>
      </c>
      <c r="D1810" s="41">
        <v>0.82</v>
      </c>
      <c r="E1810" s="41">
        <v>0.82</v>
      </c>
      <c r="F1810" s="41">
        <v>0.82</v>
      </c>
      <c r="G1810" s="41">
        <v>0.82</v>
      </c>
      <c r="H1810" s="41"/>
      <c r="I1810" s="41"/>
      <c r="J1810" s="41"/>
      <c r="K1810" s="41">
        <v>0.82</v>
      </c>
      <c r="L1810" s="453"/>
      <c r="M1810" s="453"/>
      <c r="N1810" s="453"/>
      <c r="O1810" s="453"/>
      <c r="P1810" s="1617"/>
      <c r="Q1810" s="453"/>
      <c r="R1810" s="453"/>
      <c r="S1810" s="453"/>
      <c r="T1810" s="453"/>
      <c r="U1810" s="453"/>
      <c r="V1810" s="453"/>
      <c r="W1810" s="453"/>
    </row>
    <row r="1811" spans="1:25" s="292" customFormat="1" x14ac:dyDescent="0.2">
      <c r="A1811" s="37" t="s">
        <v>1359</v>
      </c>
      <c r="B1811" s="42">
        <v>0.82</v>
      </c>
      <c r="C1811" s="42">
        <v>0.82</v>
      </c>
      <c r="D1811" s="42">
        <v>0.82</v>
      </c>
      <c r="E1811" s="42">
        <v>0.82</v>
      </c>
      <c r="F1811" s="42">
        <v>0.82</v>
      </c>
      <c r="G1811" s="42">
        <v>0.82</v>
      </c>
      <c r="H1811" s="42"/>
      <c r="I1811" s="42"/>
      <c r="J1811" s="42"/>
      <c r="K1811" s="42">
        <v>0.82</v>
      </c>
      <c r="L1811" s="1074"/>
      <c r="M1811" s="1074"/>
      <c r="N1811" s="1074"/>
      <c r="O1811" s="1074"/>
      <c r="P1811" s="1618"/>
      <c r="Q1811" s="1074"/>
      <c r="R1811" s="1074"/>
      <c r="S1811" s="1074"/>
      <c r="T1811" s="1074"/>
      <c r="U1811" s="1074"/>
      <c r="V1811" s="1074"/>
      <c r="W1811" s="1074"/>
    </row>
    <row r="1812" spans="1:25" s="292" customFormat="1" x14ac:dyDescent="0.2">
      <c r="A1812" s="1073" t="s">
        <v>2076</v>
      </c>
    </row>
    <row r="1813" spans="1:25" s="535" customFormat="1" ht="14.25" customHeight="1" x14ac:dyDescent="0.2">
      <c r="A1813" s="534" t="s">
        <v>2079</v>
      </c>
    </row>
    <row r="1814" spans="1:25" s="535" customFormat="1" x14ac:dyDescent="0.2">
      <c r="A1814" s="516"/>
    </row>
    <row r="1816" spans="1:25" s="125" customFormat="1" x14ac:dyDescent="0.2">
      <c r="A1816" s="377" t="s">
        <v>2085</v>
      </c>
      <c r="D1816" s="1075"/>
      <c r="E1816" s="1076"/>
      <c r="F1816" s="1076"/>
      <c r="G1816" s="1076"/>
      <c r="H1816" s="1076"/>
      <c r="I1816" s="1076"/>
    </row>
    <row r="1817" spans="1:25" s="773" customFormat="1" ht="16.25" customHeight="1" x14ac:dyDescent="0.2">
      <c r="A1817" s="753" t="s">
        <v>2067</v>
      </c>
      <c r="B1817" s="442" t="s">
        <v>2086</v>
      </c>
      <c r="C1817" s="442" t="s">
        <v>2086</v>
      </c>
      <c r="D1817" s="442" t="s">
        <v>2086</v>
      </c>
      <c r="E1817" s="442" t="s">
        <v>2086</v>
      </c>
      <c r="F1817" s="442" t="s">
        <v>2086</v>
      </c>
      <c r="G1817" s="442" t="s">
        <v>2086</v>
      </c>
      <c r="H1817" s="442" t="s">
        <v>2086</v>
      </c>
      <c r="I1817" s="442" t="s">
        <v>2086</v>
      </c>
      <c r="J1817" s="442" t="s">
        <v>2086</v>
      </c>
      <c r="K1817" s="442" t="s">
        <v>2086</v>
      </c>
      <c r="L1817" s="442"/>
      <c r="M1817" s="442"/>
      <c r="N1817" s="442"/>
      <c r="O1817" s="442"/>
      <c r="P1817" s="532"/>
      <c r="Q1817" s="442"/>
      <c r="R1817" s="442"/>
      <c r="S1817" s="442"/>
      <c r="T1817" s="442"/>
      <c r="U1817" s="442"/>
      <c r="V1817" s="442"/>
      <c r="W1817" s="442"/>
    </row>
    <row r="1818" spans="1:25" s="291" customFormat="1" ht="16" x14ac:dyDescent="0.2">
      <c r="A1818" s="293" t="s">
        <v>1963</v>
      </c>
      <c r="B1818" s="426" t="s">
        <v>2069</v>
      </c>
      <c r="C1818" s="426" t="s">
        <v>2070</v>
      </c>
      <c r="D1818" s="426" t="s">
        <v>2071</v>
      </c>
      <c r="E1818" s="426" t="s">
        <v>2072</v>
      </c>
      <c r="F1818" s="426" t="s">
        <v>1384</v>
      </c>
      <c r="G1818" s="426" t="s">
        <v>1396</v>
      </c>
      <c r="H1818" s="426" t="s">
        <v>2073</v>
      </c>
      <c r="I1818" s="426" t="s">
        <v>2074</v>
      </c>
      <c r="J1818" s="426" t="s">
        <v>1592</v>
      </c>
      <c r="K1818" s="31" t="s">
        <v>2075</v>
      </c>
      <c r="L1818" s="453"/>
      <c r="M1818" s="453"/>
      <c r="N1818" s="453"/>
      <c r="O1818" s="453"/>
      <c r="P1818" s="1616"/>
      <c r="Q1818" s="453"/>
      <c r="R1818" s="453"/>
      <c r="S1818" s="453"/>
      <c r="T1818" s="453"/>
      <c r="U1818" s="453"/>
      <c r="V1818" s="453"/>
      <c r="W1818" s="453"/>
      <c r="X1818" s="21"/>
      <c r="Y1818" s="21"/>
    </row>
    <row r="1819" spans="1:25" s="21" customFormat="1" x14ac:dyDescent="0.2">
      <c r="A1819" s="255" t="s">
        <v>57</v>
      </c>
      <c r="B1819" s="426" t="s">
        <v>2087</v>
      </c>
      <c r="C1819" s="426" t="s">
        <v>2087</v>
      </c>
      <c r="D1819" s="426" t="s">
        <v>2087</v>
      </c>
      <c r="E1819" s="426" t="s">
        <v>2087</v>
      </c>
      <c r="F1819" s="426" t="s">
        <v>2087</v>
      </c>
      <c r="G1819" s="426" t="s">
        <v>2087</v>
      </c>
      <c r="H1819" s="426" t="s">
        <v>2087</v>
      </c>
      <c r="I1819" s="426" t="s">
        <v>2087</v>
      </c>
      <c r="J1819" s="426" t="s">
        <v>2087</v>
      </c>
      <c r="K1819" s="426" t="s">
        <v>2087</v>
      </c>
      <c r="L1819" s="453"/>
      <c r="M1819" s="453"/>
      <c r="N1819" s="453"/>
      <c r="O1819" s="453"/>
      <c r="P1819" s="453"/>
      <c r="Q1819" s="453"/>
      <c r="R1819" s="453"/>
      <c r="S1819" s="453"/>
      <c r="T1819" s="453"/>
      <c r="U1819" s="453"/>
      <c r="V1819" s="453"/>
      <c r="W1819" s="453"/>
    </row>
    <row r="1820" spans="1:25" s="21" customFormat="1" x14ac:dyDescent="0.2">
      <c r="A1820" s="20" t="s">
        <v>1490</v>
      </c>
      <c r="B1820" s="41">
        <v>7</v>
      </c>
      <c r="C1820" s="41">
        <f t="shared" ref="C1820:C1825" si="180">B1820</f>
        <v>7</v>
      </c>
      <c r="D1820" s="41">
        <v>0</v>
      </c>
      <c r="E1820" s="41">
        <v>0</v>
      </c>
      <c r="F1820" s="41">
        <v>0</v>
      </c>
      <c r="G1820" s="41">
        <v>1.4</v>
      </c>
      <c r="H1820" s="41"/>
      <c r="I1820" s="41"/>
      <c r="J1820" s="41"/>
      <c r="K1820" s="470">
        <v>6.1</v>
      </c>
      <c r="L1820" s="453"/>
      <c r="M1820" s="453"/>
      <c r="N1820" s="453"/>
      <c r="O1820" s="453"/>
      <c r="P1820" s="1617"/>
      <c r="Q1820" s="453"/>
      <c r="R1820" s="453"/>
      <c r="S1820" s="453"/>
      <c r="T1820" s="453"/>
      <c r="U1820" s="453"/>
      <c r="V1820" s="453"/>
      <c r="W1820" s="453"/>
    </row>
    <row r="1821" spans="1:25" s="21" customFormat="1" x14ac:dyDescent="0.2">
      <c r="A1821" s="20" t="s">
        <v>1491</v>
      </c>
      <c r="B1821" s="41">
        <v>7</v>
      </c>
      <c r="C1821" s="41">
        <f t="shared" si="180"/>
        <v>7</v>
      </c>
      <c r="D1821" s="41">
        <v>0</v>
      </c>
      <c r="E1821" s="41">
        <v>0</v>
      </c>
      <c r="F1821" s="41">
        <v>0</v>
      </c>
      <c r="G1821" s="41">
        <v>1.4</v>
      </c>
      <c r="H1821" s="41"/>
      <c r="I1821" s="41"/>
      <c r="J1821" s="41"/>
      <c r="K1821" s="467">
        <v>6.1</v>
      </c>
      <c r="L1821" s="453"/>
      <c r="M1821" s="453"/>
      <c r="N1821" s="453"/>
      <c r="O1821" s="453"/>
      <c r="P1821" s="1617"/>
      <c r="Q1821" s="453"/>
      <c r="R1821" s="453"/>
      <c r="S1821" s="453"/>
      <c r="T1821" s="453"/>
      <c r="U1821" s="453"/>
      <c r="V1821" s="453"/>
      <c r="W1821" s="453"/>
    </row>
    <row r="1822" spans="1:25" s="21" customFormat="1" x14ac:dyDescent="0.2">
      <c r="A1822" s="20" t="s">
        <v>1483</v>
      </c>
      <c r="B1822" s="41">
        <v>2.5</v>
      </c>
      <c r="C1822" s="41">
        <f t="shared" si="180"/>
        <v>2.5</v>
      </c>
      <c r="D1822" s="41">
        <v>0</v>
      </c>
      <c r="E1822" s="41">
        <v>0</v>
      </c>
      <c r="F1822" s="41">
        <v>0</v>
      </c>
      <c r="G1822" s="41">
        <v>1.8</v>
      </c>
      <c r="H1822" s="41"/>
      <c r="I1822" s="41"/>
      <c r="J1822" s="41"/>
      <c r="K1822" s="467">
        <v>6.1</v>
      </c>
      <c r="L1822" s="453"/>
      <c r="M1822" s="453"/>
      <c r="N1822" s="453"/>
      <c r="O1822" s="453"/>
      <c r="P1822" s="1617"/>
      <c r="Q1822" s="453"/>
      <c r="R1822" s="453"/>
      <c r="S1822" s="453"/>
      <c r="T1822" s="453"/>
      <c r="U1822" s="453"/>
      <c r="V1822" s="453"/>
      <c r="W1822" s="453"/>
    </row>
    <row r="1823" spans="1:25" s="21" customFormat="1" x14ac:dyDescent="0.2">
      <c r="A1823" s="20" t="s">
        <v>1484</v>
      </c>
      <c r="B1823" s="41">
        <v>2.5</v>
      </c>
      <c r="C1823" s="41">
        <f t="shared" si="180"/>
        <v>2.5</v>
      </c>
      <c r="D1823" s="41">
        <v>0</v>
      </c>
      <c r="E1823" s="41">
        <v>0</v>
      </c>
      <c r="F1823" s="41">
        <v>0</v>
      </c>
      <c r="G1823" s="41">
        <v>1.8</v>
      </c>
      <c r="H1823" s="41"/>
      <c r="I1823" s="41"/>
      <c r="J1823" s="41"/>
      <c r="K1823" s="467">
        <v>6.1</v>
      </c>
      <c r="L1823" s="453"/>
      <c r="M1823" s="453"/>
      <c r="N1823" s="453"/>
      <c r="O1823" s="453"/>
      <c r="P1823" s="1617"/>
      <c r="Q1823" s="453"/>
      <c r="R1823" s="453"/>
      <c r="S1823" s="453"/>
      <c r="T1823" s="453"/>
      <c r="U1823" s="453"/>
      <c r="V1823" s="453"/>
      <c r="W1823" s="453"/>
    </row>
    <row r="1824" spans="1:25" s="21" customFormat="1" x14ac:dyDescent="0.2">
      <c r="A1824" s="20" t="s">
        <v>1485</v>
      </c>
      <c r="B1824" s="41">
        <v>2.5</v>
      </c>
      <c r="C1824" s="41">
        <f t="shared" si="180"/>
        <v>2.5</v>
      </c>
      <c r="D1824" s="41">
        <v>0</v>
      </c>
      <c r="E1824" s="41">
        <v>0</v>
      </c>
      <c r="F1824" s="41">
        <v>0</v>
      </c>
      <c r="G1824" s="41">
        <v>1.8</v>
      </c>
      <c r="H1824" s="41"/>
      <c r="I1824" s="41"/>
      <c r="J1824" s="41"/>
      <c r="K1824" s="467">
        <v>6.1</v>
      </c>
      <c r="L1824" s="453"/>
      <c r="M1824" s="453"/>
      <c r="N1824" s="453"/>
      <c r="O1824" s="453"/>
      <c r="P1824" s="1617"/>
      <c r="Q1824" s="453"/>
      <c r="R1824" s="453"/>
      <c r="S1824" s="453"/>
      <c r="T1824" s="453"/>
      <c r="U1824" s="453"/>
      <c r="V1824" s="453"/>
      <c r="W1824" s="453"/>
    </row>
    <row r="1825" spans="1:25" s="21" customFormat="1" x14ac:dyDescent="0.2">
      <c r="A1825" s="20" t="s">
        <v>1486</v>
      </c>
      <c r="B1825" s="41">
        <v>2.5</v>
      </c>
      <c r="C1825" s="41">
        <f t="shared" si="180"/>
        <v>2.5</v>
      </c>
      <c r="D1825" s="41">
        <v>0</v>
      </c>
      <c r="E1825" s="41">
        <v>0</v>
      </c>
      <c r="F1825" s="41">
        <v>0</v>
      </c>
      <c r="G1825" s="41">
        <v>1.8</v>
      </c>
      <c r="H1825" s="41"/>
      <c r="I1825" s="41"/>
      <c r="J1825" s="41"/>
      <c r="K1825" s="467">
        <v>6.1</v>
      </c>
      <c r="L1825" s="453"/>
      <c r="M1825" s="453"/>
      <c r="N1825" s="453"/>
      <c r="O1825" s="453"/>
      <c r="P1825" s="1617"/>
      <c r="Q1825" s="453"/>
      <c r="R1825" s="453"/>
      <c r="S1825" s="453"/>
      <c r="T1825" s="453"/>
      <c r="U1825" s="453"/>
      <c r="V1825" s="453"/>
      <c r="W1825" s="453"/>
    </row>
    <row r="1826" spans="1:25" s="21" customFormat="1" x14ac:dyDescent="0.2">
      <c r="A1826" s="20" t="s">
        <v>1487</v>
      </c>
      <c r="B1826" s="41">
        <v>4.9000000000000004</v>
      </c>
      <c r="C1826" s="471">
        <f>AVERAGE(2.7, 0, 26.2)</f>
        <v>9.6333333333333329</v>
      </c>
      <c r="D1826" s="41">
        <v>7</v>
      </c>
      <c r="E1826" s="41">
        <v>7</v>
      </c>
      <c r="F1826" s="41">
        <v>143.5</v>
      </c>
      <c r="G1826" s="41">
        <v>7</v>
      </c>
      <c r="H1826" s="41"/>
      <c r="I1826" s="41"/>
      <c r="J1826" s="41"/>
      <c r="K1826" s="467">
        <v>0</v>
      </c>
      <c r="L1826" s="453"/>
      <c r="M1826" s="453"/>
      <c r="N1826" s="453"/>
      <c r="O1826" s="453"/>
      <c r="P1826" s="1617"/>
      <c r="Q1826" s="453"/>
      <c r="R1826" s="453"/>
      <c r="S1826" s="453"/>
      <c r="T1826" s="453"/>
      <c r="U1826" s="453"/>
      <c r="V1826" s="453"/>
      <c r="W1826" s="453"/>
    </row>
    <row r="1827" spans="1:25" s="21" customFormat="1" x14ac:dyDescent="0.2">
      <c r="A1827" s="20" t="s">
        <v>1488</v>
      </c>
      <c r="B1827" s="41">
        <v>4.9000000000000004</v>
      </c>
      <c r="C1827" s="471">
        <f>AVERAGE(2.7, 0, 26.2)</f>
        <v>9.6333333333333329</v>
      </c>
      <c r="D1827" s="41">
        <v>7</v>
      </c>
      <c r="E1827" s="41">
        <v>7</v>
      </c>
      <c r="F1827" s="41">
        <v>143.5</v>
      </c>
      <c r="G1827" s="41">
        <v>7</v>
      </c>
      <c r="H1827" s="41"/>
      <c r="I1827" s="41"/>
      <c r="J1827" s="41"/>
      <c r="K1827" s="467">
        <v>0</v>
      </c>
      <c r="L1827" s="453"/>
      <c r="M1827" s="453"/>
      <c r="N1827" s="453"/>
      <c r="O1827" s="453"/>
      <c r="P1827" s="1617"/>
      <c r="Q1827" s="453"/>
      <c r="R1827" s="453"/>
      <c r="S1827" s="453"/>
      <c r="T1827" s="453"/>
      <c r="U1827" s="453"/>
      <c r="V1827" s="453"/>
      <c r="W1827" s="453"/>
    </row>
    <row r="1828" spans="1:25" s="21" customFormat="1" x14ac:dyDescent="0.2">
      <c r="A1828" s="20" t="s">
        <v>1489</v>
      </c>
      <c r="B1828" s="41">
        <v>4.9000000000000004</v>
      </c>
      <c r="C1828" s="471">
        <f>AVERAGE(2.7, 0, 26.2)</f>
        <v>9.6333333333333329</v>
      </c>
      <c r="D1828" s="41">
        <v>7</v>
      </c>
      <c r="E1828" s="41">
        <v>7</v>
      </c>
      <c r="F1828" s="41">
        <v>143.5</v>
      </c>
      <c r="G1828" s="41">
        <v>7</v>
      </c>
      <c r="H1828" s="41"/>
      <c r="I1828" s="41"/>
      <c r="J1828" s="41"/>
      <c r="K1828" s="467">
        <v>0</v>
      </c>
      <c r="L1828" s="453"/>
      <c r="M1828" s="453"/>
      <c r="N1828" s="453"/>
      <c r="O1828" s="453"/>
      <c r="P1828" s="1617"/>
      <c r="Q1828" s="453"/>
      <c r="R1828" s="453"/>
      <c r="S1828" s="453"/>
      <c r="T1828" s="453"/>
      <c r="U1828" s="453"/>
      <c r="V1828" s="453"/>
      <c r="W1828" s="453"/>
    </row>
    <row r="1829" spans="1:25" s="292" customFormat="1" x14ac:dyDescent="0.2">
      <c r="A1829" s="37" t="s">
        <v>1359</v>
      </c>
      <c r="B1829" s="42">
        <v>4.9000000000000004</v>
      </c>
      <c r="C1829" s="536">
        <f>AVERAGE(2.7, 0, 26.2)</f>
        <v>9.6333333333333329</v>
      </c>
      <c r="D1829" s="42">
        <v>7</v>
      </c>
      <c r="E1829" s="42">
        <v>7</v>
      </c>
      <c r="F1829" s="42">
        <v>143.5</v>
      </c>
      <c r="G1829" s="42">
        <v>7</v>
      </c>
      <c r="H1829" s="42"/>
      <c r="I1829" s="42"/>
      <c r="J1829" s="42"/>
      <c r="K1829" s="654">
        <v>0</v>
      </c>
      <c r="L1829" s="1074"/>
      <c r="M1829" s="1074"/>
      <c r="N1829" s="1074"/>
      <c r="O1829" s="1074"/>
      <c r="P1829" s="1618"/>
      <c r="Q1829" s="1074"/>
      <c r="R1829" s="1074"/>
      <c r="S1829" s="1074"/>
      <c r="T1829" s="1074"/>
      <c r="U1829" s="1074"/>
      <c r="V1829" s="1074"/>
      <c r="W1829" s="1074"/>
    </row>
    <row r="1830" spans="1:25" s="292" customFormat="1" x14ac:dyDescent="0.2">
      <c r="A1830" s="1073" t="s">
        <v>2076</v>
      </c>
    </row>
    <row r="1831" spans="1:25" s="535" customFormat="1" ht="14.25" customHeight="1" x14ac:dyDescent="0.2">
      <c r="A1831" s="534" t="s">
        <v>2079</v>
      </c>
    </row>
    <row r="1832" spans="1:25" s="535" customFormat="1" x14ac:dyDescent="0.2">
      <c r="A1832" s="516"/>
    </row>
    <row r="1834" spans="1:25" s="125" customFormat="1" x14ac:dyDescent="0.2">
      <c r="A1834" s="377" t="s">
        <v>2085</v>
      </c>
      <c r="D1834" s="1075"/>
      <c r="E1834" s="1076"/>
      <c r="F1834" s="1076"/>
      <c r="G1834" s="1076"/>
      <c r="H1834" s="1076"/>
      <c r="I1834" s="1076"/>
    </row>
    <row r="1835" spans="1:25" s="773" customFormat="1" ht="16.25" customHeight="1" x14ac:dyDescent="0.2">
      <c r="A1835" s="753" t="s">
        <v>2080</v>
      </c>
      <c r="B1835" s="442" t="s">
        <v>2086</v>
      </c>
      <c r="C1835" s="442" t="s">
        <v>2086</v>
      </c>
      <c r="D1835" s="442" t="s">
        <v>2086</v>
      </c>
      <c r="E1835" s="442" t="s">
        <v>2086</v>
      </c>
      <c r="F1835" s="442" t="s">
        <v>2086</v>
      </c>
      <c r="G1835" s="442" t="s">
        <v>2086</v>
      </c>
      <c r="H1835" s="442" t="s">
        <v>2086</v>
      </c>
      <c r="I1835" s="442" t="s">
        <v>2086</v>
      </c>
      <c r="J1835" s="442" t="s">
        <v>2086</v>
      </c>
      <c r="K1835" s="442" t="s">
        <v>2086</v>
      </c>
      <c r="L1835" s="442"/>
      <c r="M1835" s="442"/>
      <c r="N1835" s="442"/>
      <c r="O1835" s="442"/>
      <c r="P1835" s="532"/>
      <c r="Q1835" s="442"/>
      <c r="R1835" s="442"/>
      <c r="S1835" s="442"/>
      <c r="T1835" s="442"/>
      <c r="U1835" s="442"/>
      <c r="V1835" s="442"/>
      <c r="W1835" s="442"/>
    </row>
    <row r="1836" spans="1:25" s="291" customFormat="1" ht="16" x14ac:dyDescent="0.2">
      <c r="A1836" s="293" t="s">
        <v>1963</v>
      </c>
      <c r="B1836" s="426" t="s">
        <v>2069</v>
      </c>
      <c r="C1836" s="426" t="s">
        <v>2070</v>
      </c>
      <c r="D1836" s="426" t="s">
        <v>2071</v>
      </c>
      <c r="E1836" s="426" t="s">
        <v>2072</v>
      </c>
      <c r="F1836" s="426" t="s">
        <v>1384</v>
      </c>
      <c r="G1836" s="426" t="s">
        <v>1396</v>
      </c>
      <c r="H1836" s="426" t="s">
        <v>2073</v>
      </c>
      <c r="I1836" s="426" t="s">
        <v>2074</v>
      </c>
      <c r="J1836" s="426" t="s">
        <v>1592</v>
      </c>
      <c r="K1836" s="31" t="s">
        <v>2075</v>
      </c>
      <c r="L1836" s="453"/>
      <c r="M1836" s="453"/>
      <c r="N1836" s="453"/>
      <c r="O1836" s="453"/>
      <c r="P1836" s="1616"/>
      <c r="Q1836" s="453"/>
      <c r="R1836" s="453"/>
      <c r="S1836" s="453"/>
      <c r="T1836" s="453"/>
      <c r="U1836" s="453"/>
      <c r="V1836" s="453"/>
      <c r="W1836" s="453"/>
      <c r="X1836" s="21"/>
      <c r="Y1836" s="21"/>
    </row>
    <row r="1837" spans="1:25" s="21" customFormat="1" x14ac:dyDescent="0.2">
      <c r="A1837" s="255" t="s">
        <v>57</v>
      </c>
      <c r="B1837" s="426" t="s">
        <v>2087</v>
      </c>
      <c r="C1837" s="426" t="s">
        <v>2087</v>
      </c>
      <c r="D1837" s="426" t="s">
        <v>2087</v>
      </c>
      <c r="E1837" s="426" t="s">
        <v>2087</v>
      </c>
      <c r="F1837" s="426" t="s">
        <v>2087</v>
      </c>
      <c r="G1837" s="426" t="s">
        <v>2087</v>
      </c>
      <c r="H1837" s="426" t="s">
        <v>2087</v>
      </c>
      <c r="I1837" s="426" t="s">
        <v>2087</v>
      </c>
      <c r="J1837" s="426" t="s">
        <v>2087</v>
      </c>
      <c r="K1837" s="426" t="s">
        <v>2087</v>
      </c>
      <c r="L1837" s="453"/>
      <c r="M1837" s="453"/>
      <c r="N1837" s="453"/>
      <c r="O1837" s="453"/>
      <c r="P1837" s="453"/>
      <c r="Q1837" s="453"/>
      <c r="R1837" s="453"/>
      <c r="S1837" s="453"/>
      <c r="T1837" s="453"/>
      <c r="U1837" s="453"/>
      <c r="V1837" s="453"/>
      <c r="W1837" s="453"/>
    </row>
    <row r="1838" spans="1:25" s="21" customFormat="1" x14ac:dyDescent="0.2">
      <c r="A1838" s="20" t="s">
        <v>1490</v>
      </c>
      <c r="B1838" s="41">
        <v>2</v>
      </c>
      <c r="C1838" s="41">
        <f t="shared" ref="C1838:C1843" si="181">B1838</f>
        <v>2</v>
      </c>
      <c r="D1838" s="41">
        <v>0</v>
      </c>
      <c r="E1838" s="41">
        <v>0</v>
      </c>
      <c r="F1838" s="41">
        <v>0</v>
      </c>
      <c r="G1838" s="41">
        <v>1.4</v>
      </c>
      <c r="H1838" s="41"/>
      <c r="I1838" s="41"/>
      <c r="J1838" s="41"/>
      <c r="K1838" s="470">
        <v>6.1</v>
      </c>
      <c r="L1838" s="453"/>
      <c r="M1838" s="453"/>
      <c r="N1838" s="453"/>
      <c r="O1838" s="453"/>
      <c r="P1838" s="1617"/>
      <c r="Q1838" s="453"/>
      <c r="R1838" s="453"/>
      <c r="S1838" s="453"/>
      <c r="T1838" s="453"/>
      <c r="U1838" s="453"/>
      <c r="V1838" s="453"/>
      <c r="W1838" s="453"/>
    </row>
    <row r="1839" spans="1:25" s="21" customFormat="1" x14ac:dyDescent="0.2">
      <c r="A1839" s="20" t="s">
        <v>1491</v>
      </c>
      <c r="B1839" s="41">
        <v>2</v>
      </c>
      <c r="C1839" s="41">
        <f t="shared" si="181"/>
        <v>2</v>
      </c>
      <c r="D1839" s="41">
        <v>0</v>
      </c>
      <c r="E1839" s="41">
        <v>0</v>
      </c>
      <c r="F1839" s="41">
        <v>0</v>
      </c>
      <c r="G1839" s="41">
        <v>1.4</v>
      </c>
      <c r="H1839" s="41"/>
      <c r="I1839" s="41"/>
      <c r="J1839" s="41"/>
      <c r="K1839" s="467">
        <v>6.1</v>
      </c>
      <c r="L1839" s="453"/>
      <c r="M1839" s="453"/>
      <c r="N1839" s="453"/>
      <c r="O1839" s="453"/>
      <c r="P1839" s="1617"/>
      <c r="Q1839" s="453"/>
      <c r="R1839" s="453"/>
      <c r="S1839" s="453"/>
      <c r="T1839" s="453"/>
      <c r="U1839" s="453"/>
      <c r="V1839" s="453"/>
      <c r="W1839" s="453"/>
    </row>
    <row r="1840" spans="1:25" s="21" customFormat="1" x14ac:dyDescent="0.2">
      <c r="A1840" s="20" t="s">
        <v>1483</v>
      </c>
      <c r="B1840" s="41">
        <v>2.5</v>
      </c>
      <c r="C1840" s="41">
        <f t="shared" si="181"/>
        <v>2.5</v>
      </c>
      <c r="D1840" s="41">
        <v>0</v>
      </c>
      <c r="E1840" s="41">
        <v>0</v>
      </c>
      <c r="F1840" s="41">
        <v>0</v>
      </c>
      <c r="G1840" s="41">
        <f>AVERAGE(16,39)</f>
        <v>27.5</v>
      </c>
      <c r="H1840" s="41"/>
      <c r="I1840" s="41"/>
      <c r="J1840" s="41"/>
      <c r="K1840" s="467">
        <v>6.1</v>
      </c>
      <c r="L1840" s="453"/>
      <c r="M1840" s="453"/>
      <c r="N1840" s="453"/>
      <c r="O1840" s="453"/>
      <c r="P1840" s="1617"/>
      <c r="Q1840" s="453"/>
      <c r="R1840" s="453"/>
      <c r="S1840" s="453"/>
      <c r="T1840" s="453"/>
      <c r="U1840" s="453"/>
      <c r="V1840" s="453"/>
      <c r="W1840" s="453"/>
    </row>
    <row r="1841" spans="1:25" s="21" customFormat="1" x14ac:dyDescent="0.2">
      <c r="A1841" s="20" t="s">
        <v>1484</v>
      </c>
      <c r="B1841" s="41">
        <v>2.5</v>
      </c>
      <c r="C1841" s="41">
        <f t="shared" si="181"/>
        <v>2.5</v>
      </c>
      <c r="D1841" s="41">
        <v>0</v>
      </c>
      <c r="E1841" s="41">
        <v>0</v>
      </c>
      <c r="F1841" s="41">
        <v>0</v>
      </c>
      <c r="G1841" s="41">
        <f>AVERAGE(16,39)</f>
        <v>27.5</v>
      </c>
      <c r="H1841" s="41"/>
      <c r="I1841" s="41"/>
      <c r="J1841" s="41"/>
      <c r="K1841" s="467">
        <v>6.1</v>
      </c>
      <c r="L1841" s="453"/>
      <c r="M1841" s="453"/>
      <c r="N1841" s="453"/>
      <c r="O1841" s="453"/>
      <c r="P1841" s="1617"/>
      <c r="Q1841" s="453"/>
      <c r="R1841" s="453"/>
      <c r="S1841" s="453"/>
      <c r="T1841" s="453"/>
      <c r="U1841" s="453"/>
      <c r="V1841" s="453"/>
      <c r="W1841" s="453"/>
    </row>
    <row r="1842" spans="1:25" s="21" customFormat="1" x14ac:dyDescent="0.2">
      <c r="A1842" s="20" t="s">
        <v>1485</v>
      </c>
      <c r="B1842" s="41">
        <v>2.5</v>
      </c>
      <c r="C1842" s="41">
        <f t="shared" si="181"/>
        <v>2.5</v>
      </c>
      <c r="D1842" s="41">
        <v>0</v>
      </c>
      <c r="E1842" s="41">
        <v>0</v>
      </c>
      <c r="F1842" s="41">
        <v>0</v>
      </c>
      <c r="G1842" s="41">
        <f>AVERAGE(16,39)</f>
        <v>27.5</v>
      </c>
      <c r="H1842" s="41"/>
      <c r="I1842" s="41"/>
      <c r="J1842" s="41"/>
      <c r="K1842" s="467">
        <v>6.1</v>
      </c>
      <c r="L1842" s="453"/>
      <c r="M1842" s="453"/>
      <c r="N1842" s="453"/>
      <c r="O1842" s="453"/>
      <c r="P1842" s="1617"/>
      <c r="Q1842" s="453"/>
      <c r="R1842" s="453"/>
      <c r="S1842" s="453"/>
      <c r="T1842" s="453"/>
      <c r="U1842" s="453"/>
      <c r="V1842" s="453"/>
      <c r="W1842" s="453"/>
    </row>
    <row r="1843" spans="1:25" s="21" customFormat="1" x14ac:dyDescent="0.2">
      <c r="A1843" s="20" t="s">
        <v>1486</v>
      </c>
      <c r="B1843" s="41">
        <v>2.5</v>
      </c>
      <c r="C1843" s="41">
        <f t="shared" si="181"/>
        <v>2.5</v>
      </c>
      <c r="D1843" s="41">
        <v>0</v>
      </c>
      <c r="E1843" s="41">
        <v>0</v>
      </c>
      <c r="F1843" s="41">
        <v>0</v>
      </c>
      <c r="G1843" s="41">
        <f>AVERAGE(16,39)</f>
        <v>27.5</v>
      </c>
      <c r="H1843" s="41"/>
      <c r="I1843" s="41"/>
      <c r="J1843" s="41"/>
      <c r="K1843" s="467">
        <v>6.1</v>
      </c>
      <c r="L1843" s="453"/>
      <c r="M1843" s="453"/>
      <c r="N1843" s="453"/>
      <c r="O1843" s="453"/>
      <c r="P1843" s="1617"/>
      <c r="Q1843" s="453"/>
      <c r="R1843" s="453"/>
      <c r="S1843" s="453"/>
      <c r="T1843" s="453"/>
      <c r="U1843" s="453"/>
      <c r="V1843" s="453"/>
      <c r="W1843" s="453"/>
    </row>
    <row r="1844" spans="1:25" s="21" customFormat="1" x14ac:dyDescent="0.2">
      <c r="A1844" s="20" t="s">
        <v>1487</v>
      </c>
      <c r="B1844" s="41">
        <v>4.9000000000000004</v>
      </c>
      <c r="C1844" s="471">
        <f>AVERAGE(2.7, 0, 26.2)</f>
        <v>9.6333333333333329</v>
      </c>
      <c r="D1844" s="41">
        <v>7</v>
      </c>
      <c r="E1844" s="41">
        <v>7</v>
      </c>
      <c r="F1844" s="41">
        <v>143.5</v>
      </c>
      <c r="G1844" s="41">
        <v>7</v>
      </c>
      <c r="H1844" s="41"/>
      <c r="I1844" s="41"/>
      <c r="J1844" s="41"/>
      <c r="K1844" s="467">
        <v>0</v>
      </c>
      <c r="L1844" s="453"/>
      <c r="M1844" s="453"/>
      <c r="N1844" s="453"/>
      <c r="O1844" s="453"/>
      <c r="P1844" s="1617"/>
      <c r="Q1844" s="453"/>
      <c r="R1844" s="453"/>
      <c r="S1844" s="453"/>
      <c r="T1844" s="453"/>
      <c r="U1844" s="453"/>
      <c r="V1844" s="453"/>
      <c r="W1844" s="453"/>
    </row>
    <row r="1845" spans="1:25" s="21" customFormat="1" x14ac:dyDescent="0.2">
      <c r="A1845" s="20" t="s">
        <v>1488</v>
      </c>
      <c r="B1845" s="41">
        <v>4.9000000000000004</v>
      </c>
      <c r="C1845" s="471">
        <f>AVERAGE(2.7, 0, 26.2)</f>
        <v>9.6333333333333329</v>
      </c>
      <c r="D1845" s="41">
        <v>7</v>
      </c>
      <c r="E1845" s="41">
        <v>7</v>
      </c>
      <c r="F1845" s="41">
        <v>143.5</v>
      </c>
      <c r="G1845" s="41">
        <v>7</v>
      </c>
      <c r="H1845" s="41"/>
      <c r="I1845" s="41"/>
      <c r="J1845" s="41"/>
      <c r="K1845" s="467">
        <v>0</v>
      </c>
      <c r="L1845" s="453"/>
      <c r="M1845" s="453"/>
      <c r="N1845" s="453"/>
      <c r="O1845" s="453"/>
      <c r="P1845" s="1617"/>
      <c r="Q1845" s="453"/>
      <c r="R1845" s="453"/>
      <c r="S1845" s="453"/>
      <c r="T1845" s="453"/>
      <c r="U1845" s="453"/>
      <c r="V1845" s="453"/>
      <c r="W1845" s="453"/>
    </row>
    <row r="1846" spans="1:25" s="21" customFormat="1" x14ac:dyDescent="0.2">
      <c r="A1846" s="20" t="s">
        <v>1489</v>
      </c>
      <c r="B1846" s="41">
        <v>4.9000000000000004</v>
      </c>
      <c r="C1846" s="471">
        <f>AVERAGE(2.7, 0, 26.2)</f>
        <v>9.6333333333333329</v>
      </c>
      <c r="D1846" s="41">
        <v>7</v>
      </c>
      <c r="E1846" s="41">
        <v>7</v>
      </c>
      <c r="F1846" s="41">
        <v>143.5</v>
      </c>
      <c r="G1846" s="41">
        <v>7</v>
      </c>
      <c r="H1846" s="41"/>
      <c r="I1846" s="41"/>
      <c r="J1846" s="41"/>
      <c r="K1846" s="467">
        <v>0</v>
      </c>
      <c r="L1846" s="453"/>
      <c r="M1846" s="453"/>
      <c r="N1846" s="453"/>
      <c r="O1846" s="453"/>
      <c r="P1846" s="1617"/>
      <c r="Q1846" s="453"/>
      <c r="R1846" s="453"/>
      <c r="S1846" s="453"/>
      <c r="T1846" s="453"/>
      <c r="U1846" s="453"/>
      <c r="V1846" s="453"/>
      <c r="W1846" s="453"/>
    </row>
    <row r="1847" spans="1:25" s="292" customFormat="1" x14ac:dyDescent="0.2">
      <c r="A1847" s="37" t="s">
        <v>1359</v>
      </c>
      <c r="B1847" s="42">
        <v>4.9000000000000004</v>
      </c>
      <c r="C1847" s="536">
        <f>AVERAGE(2.7, 0, 26.2)</f>
        <v>9.6333333333333329</v>
      </c>
      <c r="D1847" s="42">
        <v>7</v>
      </c>
      <c r="E1847" s="42">
        <v>7</v>
      </c>
      <c r="F1847" s="42">
        <v>143.5</v>
      </c>
      <c r="G1847" s="42">
        <v>7</v>
      </c>
      <c r="H1847" s="42"/>
      <c r="I1847" s="42"/>
      <c r="J1847" s="42"/>
      <c r="K1847" s="654">
        <v>0</v>
      </c>
      <c r="L1847" s="1074"/>
      <c r="M1847" s="1074"/>
      <c r="N1847" s="1074"/>
      <c r="O1847" s="1074"/>
      <c r="P1847" s="1618"/>
      <c r="Q1847" s="1074"/>
      <c r="R1847" s="1074"/>
      <c r="S1847" s="1074"/>
      <c r="T1847" s="1074"/>
      <c r="U1847" s="1074"/>
      <c r="V1847" s="1074"/>
      <c r="W1847" s="1074"/>
    </row>
    <row r="1848" spans="1:25" s="292" customFormat="1" x14ac:dyDescent="0.2">
      <c r="A1848" s="1073" t="s">
        <v>2076</v>
      </c>
    </row>
    <row r="1849" spans="1:25" s="292" customFormat="1" x14ac:dyDescent="0.2">
      <c r="A1849" s="534" t="s">
        <v>2082</v>
      </c>
    </row>
    <row r="1850" spans="1:25" s="535" customFormat="1" ht="14.25" customHeight="1" x14ac:dyDescent="0.2">
      <c r="A1850" s="534" t="s">
        <v>2079</v>
      </c>
    </row>
    <row r="1851" spans="1:25" ht="17.75" customHeight="1" x14ac:dyDescent="0.2"/>
    <row r="1852" spans="1:25" s="125" customFormat="1" x14ac:dyDescent="0.2">
      <c r="A1852" s="377" t="s">
        <v>2088</v>
      </c>
      <c r="D1852" s="1075"/>
      <c r="E1852" s="1076"/>
      <c r="F1852" s="1076"/>
      <c r="G1852" s="1076"/>
      <c r="H1852" s="1076"/>
      <c r="I1852" s="1076"/>
    </row>
    <row r="1853" spans="1:25" s="773" customFormat="1" ht="16.25" customHeight="1" x14ac:dyDescent="0.2">
      <c r="A1853" s="377"/>
      <c r="B1853" s="442" t="s">
        <v>707</v>
      </c>
      <c r="C1853" s="442" t="s">
        <v>707</v>
      </c>
      <c r="D1853" s="442" t="s">
        <v>707</v>
      </c>
      <c r="E1853" s="442" t="s">
        <v>707</v>
      </c>
      <c r="F1853" s="442" t="s">
        <v>707</v>
      </c>
      <c r="G1853" s="442" t="s">
        <v>707</v>
      </c>
      <c r="H1853" s="442" t="s">
        <v>707</v>
      </c>
      <c r="I1853" s="442" t="s">
        <v>707</v>
      </c>
      <c r="J1853" s="442" t="s">
        <v>707</v>
      </c>
      <c r="K1853" s="442" t="s">
        <v>707</v>
      </c>
      <c r="L1853" s="442"/>
      <c r="M1853" s="442"/>
      <c r="N1853" s="442"/>
      <c r="O1853" s="442"/>
      <c r="P1853" s="532"/>
      <c r="Q1853" s="442"/>
      <c r="R1853" s="442"/>
      <c r="S1853" s="442"/>
      <c r="T1853" s="442"/>
      <c r="U1853" s="442"/>
      <c r="V1853" s="442"/>
      <c r="W1853" s="442"/>
    </row>
    <row r="1854" spans="1:25" s="291" customFormat="1" ht="16" x14ac:dyDescent="0.2">
      <c r="A1854" s="293" t="s">
        <v>1963</v>
      </c>
      <c r="B1854" s="426" t="s">
        <v>2069</v>
      </c>
      <c r="C1854" s="426" t="s">
        <v>2070</v>
      </c>
      <c r="D1854" s="426" t="s">
        <v>2071</v>
      </c>
      <c r="E1854" s="426" t="s">
        <v>2072</v>
      </c>
      <c r="F1854" s="426" t="s">
        <v>1384</v>
      </c>
      <c r="G1854" s="426" t="s">
        <v>1396</v>
      </c>
      <c r="H1854" s="426" t="s">
        <v>2073</v>
      </c>
      <c r="I1854" s="426" t="s">
        <v>2074</v>
      </c>
      <c r="J1854" s="426" t="s">
        <v>1592</v>
      </c>
      <c r="K1854" s="31" t="s">
        <v>2075</v>
      </c>
      <c r="L1854" s="453"/>
      <c r="M1854" s="453"/>
      <c r="N1854" s="453"/>
      <c r="O1854" s="453"/>
      <c r="P1854" s="1616"/>
      <c r="Q1854" s="453"/>
      <c r="R1854" s="453"/>
      <c r="S1854" s="453"/>
      <c r="T1854" s="453"/>
      <c r="U1854" s="453"/>
      <c r="V1854" s="453"/>
      <c r="W1854" s="453"/>
      <c r="X1854" s="21"/>
      <c r="Y1854" s="21"/>
    </row>
    <row r="1855" spans="1:25" s="21" customFormat="1" x14ac:dyDescent="0.2">
      <c r="A1855" s="255" t="s">
        <v>57</v>
      </c>
      <c r="B1855" s="426" t="s">
        <v>2087</v>
      </c>
      <c r="C1855" s="426" t="s">
        <v>2087</v>
      </c>
      <c r="D1855" s="426" t="s">
        <v>2087</v>
      </c>
      <c r="E1855" s="426" t="s">
        <v>2087</v>
      </c>
      <c r="F1855" s="426" t="s">
        <v>2087</v>
      </c>
      <c r="G1855" s="426" t="s">
        <v>2087</v>
      </c>
      <c r="H1855" s="426" t="s">
        <v>2087</v>
      </c>
      <c r="I1855" s="426" t="s">
        <v>2087</v>
      </c>
      <c r="J1855" s="426" t="s">
        <v>2087</v>
      </c>
      <c r="K1855" s="426" t="s">
        <v>2087</v>
      </c>
      <c r="L1855" s="453"/>
      <c r="M1855" s="453"/>
      <c r="N1855" s="453"/>
      <c r="O1855" s="453"/>
      <c r="P1855" s="453"/>
      <c r="Q1855" s="453"/>
      <c r="R1855" s="453"/>
      <c r="S1855" s="453"/>
      <c r="T1855" s="453"/>
      <c r="U1855" s="453"/>
      <c r="V1855" s="453"/>
      <c r="W1855" s="453"/>
    </row>
    <row r="1856" spans="1:25" s="21" customFormat="1" x14ac:dyDescent="0.2">
      <c r="A1856" s="20" t="s">
        <v>1490</v>
      </c>
      <c r="B1856" s="41">
        <v>217</v>
      </c>
      <c r="C1856" s="41">
        <f t="shared" ref="C1856:C1861" si="182">B1856</f>
        <v>217</v>
      </c>
      <c r="D1856" s="41">
        <v>1165</v>
      </c>
      <c r="E1856" s="41">
        <v>1165</v>
      </c>
      <c r="F1856" s="41">
        <v>0</v>
      </c>
      <c r="G1856" s="41">
        <v>527</v>
      </c>
      <c r="H1856" s="41"/>
      <c r="I1856" s="41"/>
      <c r="J1856" s="41"/>
      <c r="K1856" s="470">
        <v>542</v>
      </c>
      <c r="L1856" s="453"/>
      <c r="M1856" s="453"/>
      <c r="N1856" s="453"/>
      <c r="O1856" s="453"/>
      <c r="P1856" s="1617"/>
      <c r="Q1856" s="453"/>
      <c r="R1856" s="453"/>
      <c r="S1856" s="453"/>
      <c r="T1856" s="453"/>
      <c r="U1856" s="453"/>
      <c r="V1856" s="453"/>
      <c r="W1856" s="453"/>
    </row>
    <row r="1857" spans="1:25" s="21" customFormat="1" x14ac:dyDescent="0.2">
      <c r="A1857" s="20" t="s">
        <v>1491</v>
      </c>
      <c r="B1857" s="41">
        <v>217</v>
      </c>
      <c r="C1857" s="41">
        <f t="shared" si="182"/>
        <v>217</v>
      </c>
      <c r="D1857" s="41">
        <v>1165</v>
      </c>
      <c r="E1857" s="41">
        <v>1165</v>
      </c>
      <c r="F1857" s="41">
        <v>0</v>
      </c>
      <c r="G1857" s="41">
        <v>527</v>
      </c>
      <c r="H1857" s="41"/>
      <c r="I1857" s="41"/>
      <c r="J1857" s="41"/>
      <c r="K1857" s="467">
        <v>542</v>
      </c>
      <c r="L1857" s="453"/>
      <c r="M1857" s="453"/>
      <c r="N1857" s="453"/>
      <c r="O1857" s="453"/>
      <c r="P1857" s="1617"/>
      <c r="Q1857" s="453"/>
      <c r="R1857" s="453"/>
      <c r="S1857" s="453"/>
      <c r="T1857" s="453"/>
      <c r="U1857" s="453"/>
      <c r="V1857" s="453"/>
      <c r="W1857" s="453"/>
    </row>
    <row r="1858" spans="1:25" s="21" customFormat="1" x14ac:dyDescent="0.2">
      <c r="A1858" s="20" t="s">
        <v>1483</v>
      </c>
      <c r="B1858" s="41">
        <v>217</v>
      </c>
      <c r="C1858" s="41">
        <f t="shared" si="182"/>
        <v>217</v>
      </c>
      <c r="D1858" s="41">
        <v>1165</v>
      </c>
      <c r="E1858" s="41">
        <v>1165</v>
      </c>
      <c r="F1858" s="41">
        <v>0</v>
      </c>
      <c r="G1858" s="41">
        <v>527</v>
      </c>
      <c r="H1858" s="41"/>
      <c r="I1858" s="41"/>
      <c r="J1858" s="41"/>
      <c r="K1858" s="467">
        <v>542</v>
      </c>
      <c r="L1858" s="453"/>
      <c r="M1858" s="453"/>
      <c r="N1858" s="453"/>
      <c r="O1858" s="453"/>
      <c r="P1858" s="1617"/>
      <c r="Q1858" s="453"/>
      <c r="R1858" s="453"/>
      <c r="S1858" s="453"/>
      <c r="T1858" s="453"/>
      <c r="U1858" s="453"/>
      <c r="V1858" s="453"/>
      <c r="W1858" s="453"/>
    </row>
    <row r="1859" spans="1:25" s="21" customFormat="1" x14ac:dyDescent="0.2">
      <c r="A1859" s="20" t="s">
        <v>1484</v>
      </c>
      <c r="B1859" s="41">
        <v>217</v>
      </c>
      <c r="C1859" s="41">
        <f t="shared" si="182"/>
        <v>217</v>
      </c>
      <c r="D1859" s="41">
        <v>1165</v>
      </c>
      <c r="E1859" s="41">
        <v>1165</v>
      </c>
      <c r="F1859" s="41">
        <v>0</v>
      </c>
      <c r="G1859" s="41">
        <v>527</v>
      </c>
      <c r="H1859" s="41"/>
      <c r="I1859" s="41"/>
      <c r="J1859" s="41"/>
      <c r="K1859" s="467">
        <v>542</v>
      </c>
      <c r="L1859" s="453"/>
      <c r="M1859" s="453"/>
      <c r="N1859" s="453"/>
      <c r="O1859" s="453"/>
      <c r="P1859" s="1617"/>
      <c r="Q1859" s="453"/>
      <c r="R1859" s="453"/>
      <c r="S1859" s="453"/>
      <c r="T1859" s="453"/>
      <c r="U1859" s="453"/>
      <c r="V1859" s="453"/>
      <c r="W1859" s="453"/>
    </row>
    <row r="1860" spans="1:25" s="21" customFormat="1" x14ac:dyDescent="0.2">
      <c r="A1860" s="20" t="s">
        <v>1485</v>
      </c>
      <c r="B1860" s="41">
        <v>217</v>
      </c>
      <c r="C1860" s="41">
        <f t="shared" si="182"/>
        <v>217</v>
      </c>
      <c r="D1860" s="41">
        <v>1165</v>
      </c>
      <c r="E1860" s="41">
        <v>1165</v>
      </c>
      <c r="F1860" s="41">
        <v>0</v>
      </c>
      <c r="G1860" s="41">
        <v>527</v>
      </c>
      <c r="H1860" s="41"/>
      <c r="I1860" s="41"/>
      <c r="J1860" s="41"/>
      <c r="K1860" s="467">
        <v>542</v>
      </c>
      <c r="L1860" s="453"/>
      <c r="M1860" s="453"/>
      <c r="N1860" s="453"/>
      <c r="O1860" s="453"/>
      <c r="P1860" s="1617"/>
      <c r="Q1860" s="453"/>
      <c r="R1860" s="453"/>
      <c r="S1860" s="453"/>
      <c r="T1860" s="453"/>
      <c r="U1860" s="453"/>
      <c r="V1860" s="453"/>
      <c r="W1860" s="453"/>
    </row>
    <row r="1861" spans="1:25" s="21" customFormat="1" x14ac:dyDescent="0.2">
      <c r="A1861" s="20" t="s">
        <v>1486</v>
      </c>
      <c r="B1861" s="41">
        <v>217</v>
      </c>
      <c r="C1861" s="41">
        <f t="shared" si="182"/>
        <v>217</v>
      </c>
      <c r="D1861" s="41">
        <v>1165</v>
      </c>
      <c r="E1861" s="41">
        <v>1165</v>
      </c>
      <c r="F1861" s="41">
        <v>0</v>
      </c>
      <c r="G1861" s="41">
        <v>527</v>
      </c>
      <c r="H1861" s="41"/>
      <c r="I1861" s="41"/>
      <c r="J1861" s="41"/>
      <c r="K1861" s="467">
        <v>542</v>
      </c>
      <c r="L1861" s="453"/>
      <c r="M1861" s="453"/>
      <c r="N1861" s="453"/>
      <c r="O1861" s="453"/>
      <c r="P1861" s="1617"/>
      <c r="Q1861" s="453"/>
      <c r="R1861" s="453"/>
      <c r="S1861" s="453"/>
      <c r="T1861" s="453"/>
      <c r="U1861" s="453"/>
      <c r="V1861" s="453"/>
      <c r="W1861" s="453"/>
    </row>
    <row r="1862" spans="1:25" s="21" customFormat="1" x14ac:dyDescent="0.2">
      <c r="A1862" s="20" t="s">
        <v>1487</v>
      </c>
      <c r="B1862" s="41">
        <v>2259</v>
      </c>
      <c r="C1862" s="41">
        <v>2259</v>
      </c>
      <c r="D1862" s="41">
        <v>2259</v>
      </c>
      <c r="E1862" s="41">
        <v>2259</v>
      </c>
      <c r="F1862" s="41">
        <v>2259</v>
      </c>
      <c r="G1862" s="41">
        <v>2259</v>
      </c>
      <c r="H1862" s="41"/>
      <c r="I1862" s="41"/>
      <c r="J1862" s="41"/>
      <c r="K1862" s="467">
        <v>0</v>
      </c>
      <c r="L1862" s="453"/>
      <c r="M1862" s="453"/>
      <c r="N1862" s="453"/>
      <c r="O1862" s="453"/>
      <c r="P1862" s="1617"/>
      <c r="Q1862" s="453"/>
      <c r="R1862" s="453"/>
      <c r="S1862" s="453"/>
      <c r="T1862" s="453"/>
      <c r="U1862" s="453"/>
      <c r="V1862" s="453"/>
      <c r="W1862" s="453"/>
    </row>
    <row r="1863" spans="1:25" s="21" customFormat="1" x14ac:dyDescent="0.2">
      <c r="A1863" s="20" t="s">
        <v>1488</v>
      </c>
      <c r="B1863" s="41">
        <v>2259</v>
      </c>
      <c r="C1863" s="41">
        <v>2259</v>
      </c>
      <c r="D1863" s="41">
        <v>2259</v>
      </c>
      <c r="E1863" s="41">
        <v>2259</v>
      </c>
      <c r="F1863" s="41">
        <v>2259</v>
      </c>
      <c r="G1863" s="41">
        <v>2259</v>
      </c>
      <c r="H1863" s="41"/>
      <c r="I1863" s="41"/>
      <c r="J1863" s="41"/>
      <c r="K1863" s="467">
        <v>0</v>
      </c>
      <c r="L1863" s="453"/>
      <c r="M1863" s="453"/>
      <c r="N1863" s="453"/>
      <c r="O1863" s="453"/>
      <c r="P1863" s="1617"/>
      <c r="Q1863" s="453"/>
      <c r="R1863" s="453"/>
      <c r="S1863" s="453"/>
      <c r="T1863" s="453"/>
      <c r="U1863" s="453"/>
      <c r="V1863" s="453"/>
      <c r="W1863" s="453"/>
    </row>
    <row r="1864" spans="1:25" s="21" customFormat="1" x14ac:dyDescent="0.2">
      <c r="A1864" s="20" t="s">
        <v>1489</v>
      </c>
      <c r="B1864" s="41">
        <v>2259</v>
      </c>
      <c r="C1864" s="41">
        <v>2259</v>
      </c>
      <c r="D1864" s="41">
        <v>2259</v>
      </c>
      <c r="E1864" s="41">
        <v>2259</v>
      </c>
      <c r="F1864" s="41">
        <v>2259</v>
      </c>
      <c r="G1864" s="41">
        <v>2259</v>
      </c>
      <c r="H1864" s="41"/>
      <c r="I1864" s="41"/>
      <c r="J1864" s="41"/>
      <c r="K1864" s="467">
        <v>0</v>
      </c>
      <c r="L1864" s="453"/>
      <c r="M1864" s="453"/>
      <c r="N1864" s="453"/>
      <c r="O1864" s="453"/>
      <c r="P1864" s="1617"/>
      <c r="Q1864" s="453"/>
      <c r="R1864" s="453"/>
      <c r="S1864" s="453"/>
      <c r="T1864" s="453"/>
      <c r="U1864" s="453"/>
      <c r="V1864" s="453"/>
      <c r="W1864" s="453"/>
    </row>
    <row r="1865" spans="1:25" s="292" customFormat="1" x14ac:dyDescent="0.2">
      <c r="A1865" s="37" t="s">
        <v>1359</v>
      </c>
      <c r="B1865" s="42">
        <v>2259</v>
      </c>
      <c r="C1865" s="42">
        <v>2259</v>
      </c>
      <c r="D1865" s="42">
        <v>2259</v>
      </c>
      <c r="E1865" s="42">
        <v>2259</v>
      </c>
      <c r="F1865" s="42">
        <v>2259</v>
      </c>
      <c r="G1865" s="42">
        <v>2259</v>
      </c>
      <c r="H1865" s="42"/>
      <c r="I1865" s="42"/>
      <c r="J1865" s="42"/>
      <c r="K1865" s="654">
        <v>0</v>
      </c>
      <c r="L1865" s="1074"/>
      <c r="M1865" s="1074"/>
      <c r="N1865" s="1074"/>
      <c r="O1865" s="1074"/>
      <c r="P1865" s="1618"/>
      <c r="Q1865" s="1074"/>
      <c r="R1865" s="1074"/>
      <c r="S1865" s="1074"/>
      <c r="T1865" s="1074"/>
      <c r="U1865" s="1074"/>
      <c r="V1865" s="1074"/>
      <c r="W1865" s="1074"/>
    </row>
    <row r="1866" spans="1:25" s="292" customFormat="1" x14ac:dyDescent="0.2">
      <c r="A1866" s="1073" t="s">
        <v>2076</v>
      </c>
    </row>
    <row r="1867" spans="1:25" s="292" customFormat="1" x14ac:dyDescent="0.2"/>
    <row r="1868" spans="1:25" s="535" customFormat="1" x14ac:dyDescent="0.2">
      <c r="A1868" s="516"/>
    </row>
    <row r="1870" spans="1:25" s="125" customFormat="1" x14ac:dyDescent="0.2">
      <c r="A1870" s="377" t="s">
        <v>2089</v>
      </c>
      <c r="D1870" s="1075"/>
      <c r="E1870" s="1075"/>
      <c r="F1870" s="1075"/>
      <c r="G1870" s="1075"/>
      <c r="H1870" s="1075"/>
      <c r="I1870" s="1075"/>
      <c r="J1870" s="1075"/>
    </row>
    <row r="1871" spans="1:25" s="773" customFormat="1" ht="16.25" customHeight="1" x14ac:dyDescent="0.2">
      <c r="A1871" s="753" t="s">
        <v>2090</v>
      </c>
      <c r="B1871" s="442" t="s">
        <v>2031</v>
      </c>
      <c r="C1871" s="442" t="s">
        <v>2031</v>
      </c>
      <c r="D1871" s="442" t="s">
        <v>2031</v>
      </c>
      <c r="E1871" s="442" t="s">
        <v>2031</v>
      </c>
      <c r="F1871" s="442" t="s">
        <v>2031</v>
      </c>
      <c r="G1871" s="442" t="s">
        <v>2031</v>
      </c>
      <c r="H1871" s="442" t="s">
        <v>2031</v>
      </c>
      <c r="I1871" s="442" t="s">
        <v>2031</v>
      </c>
      <c r="J1871" s="442" t="s">
        <v>2031</v>
      </c>
      <c r="K1871" s="442" t="s">
        <v>2031</v>
      </c>
      <c r="L1871" s="442"/>
      <c r="M1871" s="442"/>
      <c r="N1871" s="442"/>
      <c r="O1871" s="442"/>
      <c r="P1871" s="532"/>
      <c r="Q1871" s="442"/>
      <c r="R1871" s="442"/>
      <c r="S1871" s="442"/>
      <c r="T1871" s="442"/>
      <c r="U1871" s="442"/>
      <c r="V1871" s="442"/>
      <c r="W1871" s="442"/>
    </row>
    <row r="1872" spans="1:25" s="291" customFormat="1" ht="16" x14ac:dyDescent="0.2">
      <c r="A1872" s="293" t="s">
        <v>1963</v>
      </c>
      <c r="B1872" s="426" t="s">
        <v>2069</v>
      </c>
      <c r="C1872" s="426" t="s">
        <v>2070</v>
      </c>
      <c r="D1872" s="426" t="s">
        <v>2071</v>
      </c>
      <c r="E1872" s="426" t="s">
        <v>2072</v>
      </c>
      <c r="F1872" s="426" t="s">
        <v>1384</v>
      </c>
      <c r="G1872" s="426" t="s">
        <v>1396</v>
      </c>
      <c r="H1872" s="426" t="s">
        <v>2073</v>
      </c>
      <c r="I1872" s="426" t="s">
        <v>2074</v>
      </c>
      <c r="J1872" s="426" t="s">
        <v>1592</v>
      </c>
      <c r="K1872" s="31" t="s">
        <v>2075</v>
      </c>
      <c r="L1872" s="453"/>
      <c r="M1872" s="453"/>
      <c r="N1872" s="453"/>
      <c r="O1872" s="453"/>
      <c r="P1872" s="1616"/>
      <c r="Q1872" s="453"/>
      <c r="R1872" s="453"/>
      <c r="S1872" s="453"/>
      <c r="T1872" s="453"/>
      <c r="U1872" s="453"/>
      <c r="V1872" s="453"/>
      <c r="W1872" s="453"/>
      <c r="X1872" s="21"/>
      <c r="Y1872" s="21"/>
    </row>
    <row r="1873" spans="1:23" s="21" customFormat="1" x14ac:dyDescent="0.2">
      <c r="A1873" s="255" t="s">
        <v>57</v>
      </c>
      <c r="B1873" s="426" t="s">
        <v>1051</v>
      </c>
      <c r="C1873" s="426" t="s">
        <v>1051</v>
      </c>
      <c r="D1873" s="426" t="s">
        <v>1051</v>
      </c>
      <c r="E1873" s="426" t="s">
        <v>1051</v>
      </c>
      <c r="F1873" s="426" t="s">
        <v>1051</v>
      </c>
      <c r="G1873" s="426" t="s">
        <v>1051</v>
      </c>
      <c r="H1873" s="426" t="s">
        <v>1051</v>
      </c>
      <c r="I1873" s="426" t="s">
        <v>1051</v>
      </c>
      <c r="J1873" s="426" t="s">
        <v>1051</v>
      </c>
      <c r="K1873" s="426" t="s">
        <v>1051</v>
      </c>
      <c r="L1873" s="453"/>
      <c r="M1873" s="453"/>
      <c r="N1873" s="453"/>
      <c r="O1873" s="453"/>
      <c r="P1873" s="453"/>
      <c r="Q1873" s="453"/>
      <c r="R1873" s="453"/>
      <c r="S1873" s="453"/>
      <c r="T1873" s="453"/>
      <c r="U1873" s="453"/>
      <c r="V1873" s="453"/>
      <c r="W1873" s="453"/>
    </row>
    <row r="1874" spans="1:23" s="21" customFormat="1" x14ac:dyDescent="0.2">
      <c r="A1874" s="20" t="s">
        <v>1490</v>
      </c>
      <c r="B1874" s="41">
        <v>0.22</v>
      </c>
      <c r="C1874" s="41">
        <f t="shared" ref="C1874:C1879" si="183">B1874</f>
        <v>0.22</v>
      </c>
      <c r="D1874" s="41">
        <v>13</v>
      </c>
      <c r="E1874" s="41">
        <v>13</v>
      </c>
      <c r="F1874" s="41">
        <v>0</v>
      </c>
      <c r="G1874" s="41">
        <v>9.5</v>
      </c>
      <c r="H1874" s="41"/>
      <c r="I1874" s="41"/>
      <c r="J1874" s="41"/>
      <c r="K1874" s="470">
        <v>0.3</v>
      </c>
      <c r="L1874" s="453"/>
      <c r="M1874" s="453"/>
      <c r="N1874" s="453"/>
      <c r="O1874" s="453"/>
      <c r="P1874" s="1617"/>
      <c r="Q1874" s="453"/>
      <c r="R1874" s="453"/>
      <c r="S1874" s="453"/>
      <c r="T1874" s="453"/>
      <c r="U1874" s="453"/>
      <c r="V1874" s="453"/>
      <c r="W1874" s="453"/>
    </row>
    <row r="1875" spans="1:23" s="21" customFormat="1" x14ac:dyDescent="0.2">
      <c r="A1875" s="20" t="s">
        <v>1491</v>
      </c>
      <c r="B1875" s="41">
        <v>0.22</v>
      </c>
      <c r="C1875" s="41">
        <f t="shared" si="183"/>
        <v>0.22</v>
      </c>
      <c r="D1875" s="41">
        <v>13</v>
      </c>
      <c r="E1875" s="41">
        <v>13</v>
      </c>
      <c r="F1875" s="41">
        <v>0</v>
      </c>
      <c r="G1875" s="41">
        <v>9.5</v>
      </c>
      <c r="H1875" s="41"/>
      <c r="I1875" s="41"/>
      <c r="J1875" s="41"/>
      <c r="K1875" s="467">
        <v>0.3</v>
      </c>
      <c r="L1875" s="453"/>
      <c r="M1875" s="453"/>
      <c r="N1875" s="453"/>
      <c r="O1875" s="453"/>
      <c r="P1875" s="1617"/>
      <c r="Q1875" s="453"/>
      <c r="R1875" s="453"/>
      <c r="S1875" s="453"/>
      <c r="T1875" s="453"/>
      <c r="U1875" s="453"/>
      <c r="V1875" s="453"/>
      <c r="W1875" s="453"/>
    </row>
    <row r="1876" spans="1:23" s="21" customFormat="1" x14ac:dyDescent="0.2">
      <c r="A1876" s="20" t="s">
        <v>1483</v>
      </c>
      <c r="B1876" s="41">
        <v>2.8</v>
      </c>
      <c r="C1876" s="41">
        <f t="shared" si="183"/>
        <v>2.8</v>
      </c>
      <c r="D1876" s="41">
        <v>13</v>
      </c>
      <c r="E1876" s="41">
        <v>13</v>
      </c>
      <c r="F1876" s="41">
        <v>0</v>
      </c>
      <c r="G1876" s="41">
        <v>4.3</v>
      </c>
      <c r="H1876" s="41"/>
      <c r="I1876" s="41"/>
      <c r="J1876" s="41"/>
      <c r="K1876" s="467">
        <v>0.3</v>
      </c>
      <c r="L1876" s="453"/>
      <c r="M1876" s="453"/>
      <c r="N1876" s="453"/>
      <c r="O1876" s="453"/>
      <c r="P1876" s="1617"/>
      <c r="Q1876" s="453"/>
      <c r="R1876" s="453"/>
      <c r="S1876" s="453"/>
      <c r="T1876" s="453"/>
      <c r="U1876" s="453"/>
      <c r="V1876" s="453"/>
      <c r="W1876" s="453"/>
    </row>
    <row r="1877" spans="1:23" s="21" customFormat="1" x14ac:dyDescent="0.2">
      <c r="A1877" s="20" t="s">
        <v>1484</v>
      </c>
      <c r="B1877" s="41">
        <v>2.8</v>
      </c>
      <c r="C1877" s="41">
        <f t="shared" si="183"/>
        <v>2.8</v>
      </c>
      <c r="D1877" s="41">
        <v>13</v>
      </c>
      <c r="E1877" s="41">
        <v>13</v>
      </c>
      <c r="F1877" s="41">
        <v>0</v>
      </c>
      <c r="G1877" s="41">
        <v>4.3</v>
      </c>
      <c r="H1877" s="41"/>
      <c r="I1877" s="41"/>
      <c r="J1877" s="41"/>
      <c r="K1877" s="467">
        <v>0.3</v>
      </c>
      <c r="L1877" s="453"/>
      <c r="M1877" s="453"/>
      <c r="N1877" s="453"/>
      <c r="O1877" s="453"/>
      <c r="P1877" s="1617"/>
      <c r="Q1877" s="453"/>
      <c r="R1877" s="453"/>
      <c r="S1877" s="453"/>
      <c r="T1877" s="453"/>
      <c r="U1877" s="453"/>
      <c r="V1877" s="453"/>
      <c r="W1877" s="453"/>
    </row>
    <row r="1878" spans="1:23" s="21" customFormat="1" x14ac:dyDescent="0.2">
      <c r="A1878" s="20" t="s">
        <v>1485</v>
      </c>
      <c r="B1878" s="41">
        <v>2.8</v>
      </c>
      <c r="C1878" s="41">
        <f t="shared" si="183"/>
        <v>2.8</v>
      </c>
      <c r="D1878" s="41">
        <v>13</v>
      </c>
      <c r="E1878" s="41">
        <v>13</v>
      </c>
      <c r="F1878" s="41">
        <v>0</v>
      </c>
      <c r="G1878" s="41">
        <v>4.3</v>
      </c>
      <c r="H1878" s="41"/>
      <c r="I1878" s="41"/>
      <c r="J1878" s="41"/>
      <c r="K1878" s="467">
        <v>0.3</v>
      </c>
      <c r="L1878" s="453"/>
      <c r="M1878" s="453"/>
      <c r="N1878" s="453"/>
      <c r="O1878" s="453"/>
      <c r="P1878" s="1617"/>
      <c r="Q1878" s="453"/>
      <c r="R1878" s="453"/>
      <c r="S1878" s="453"/>
      <c r="T1878" s="453"/>
      <c r="U1878" s="453"/>
      <c r="V1878" s="453"/>
      <c r="W1878" s="453"/>
    </row>
    <row r="1879" spans="1:23" s="21" customFormat="1" x14ac:dyDescent="0.2">
      <c r="A1879" s="20" t="s">
        <v>1486</v>
      </c>
      <c r="B1879" s="41">
        <v>2.8</v>
      </c>
      <c r="C1879" s="41">
        <f t="shared" si="183"/>
        <v>2.8</v>
      </c>
      <c r="D1879" s="41">
        <v>13</v>
      </c>
      <c r="E1879" s="41">
        <v>13</v>
      </c>
      <c r="F1879" s="41">
        <v>0</v>
      </c>
      <c r="G1879" s="41">
        <v>4.3</v>
      </c>
      <c r="H1879" s="41"/>
      <c r="I1879" s="41"/>
      <c r="J1879" s="41"/>
      <c r="K1879" s="467">
        <v>0.3</v>
      </c>
      <c r="L1879" s="453"/>
      <c r="M1879" s="453"/>
      <c r="N1879" s="453"/>
      <c r="O1879" s="453"/>
      <c r="P1879" s="1617"/>
      <c r="Q1879" s="453"/>
      <c r="R1879" s="453"/>
      <c r="S1879" s="453"/>
      <c r="T1879" s="453"/>
      <c r="U1879" s="453"/>
      <c r="V1879" s="453"/>
      <c r="W1879" s="453"/>
    </row>
    <row r="1880" spans="1:23" s="21" customFormat="1" x14ac:dyDescent="0.2">
      <c r="A1880" s="20" t="s">
        <v>1487</v>
      </c>
      <c r="B1880" s="41">
        <v>2.4</v>
      </c>
      <c r="C1880" s="41">
        <f>AVERAGE(3.3,1.2)</f>
        <v>2.25</v>
      </c>
      <c r="D1880" s="41">
        <v>5</v>
      </c>
      <c r="E1880" s="41">
        <v>5</v>
      </c>
      <c r="F1880" s="41">
        <v>0.4</v>
      </c>
      <c r="G1880" s="41">
        <v>5</v>
      </c>
      <c r="H1880" s="41"/>
      <c r="I1880" s="41"/>
      <c r="J1880" s="41"/>
      <c r="K1880" s="467">
        <v>3.6</v>
      </c>
      <c r="L1880" s="453"/>
      <c r="M1880" s="453"/>
      <c r="N1880" s="453"/>
      <c r="O1880" s="453"/>
      <c r="P1880" s="1617"/>
      <c r="Q1880" s="453"/>
      <c r="R1880" s="453"/>
      <c r="S1880" s="453"/>
      <c r="T1880" s="453"/>
      <c r="U1880" s="453"/>
      <c r="V1880" s="453"/>
      <c r="W1880" s="453"/>
    </row>
    <row r="1881" spans="1:23" s="21" customFormat="1" x14ac:dyDescent="0.2">
      <c r="A1881" s="20" t="s">
        <v>1488</v>
      </c>
      <c r="B1881" s="41">
        <v>2.4</v>
      </c>
      <c r="C1881" s="41">
        <f>AVERAGE(3.3,1.2)</f>
        <v>2.25</v>
      </c>
      <c r="D1881" s="41">
        <v>5</v>
      </c>
      <c r="E1881" s="41">
        <v>5</v>
      </c>
      <c r="F1881" s="41">
        <v>0.4</v>
      </c>
      <c r="G1881" s="41">
        <v>5</v>
      </c>
      <c r="H1881" s="41"/>
      <c r="I1881" s="41"/>
      <c r="J1881" s="41"/>
      <c r="K1881" s="467">
        <v>3.6</v>
      </c>
      <c r="L1881" s="453"/>
      <c r="M1881" s="453"/>
      <c r="N1881" s="453"/>
      <c r="O1881" s="453"/>
      <c r="P1881" s="1617"/>
      <c r="Q1881" s="453"/>
      <c r="R1881" s="453"/>
      <c r="S1881" s="453"/>
      <c r="T1881" s="453"/>
      <c r="U1881" s="453"/>
      <c r="V1881" s="453"/>
      <c r="W1881" s="453"/>
    </row>
    <row r="1882" spans="1:23" s="21" customFormat="1" x14ac:dyDescent="0.2">
      <c r="A1882" s="20" t="s">
        <v>1489</v>
      </c>
      <c r="B1882" s="41">
        <v>2.4</v>
      </c>
      <c r="C1882" s="41">
        <f>AVERAGE(3.3,1.2)</f>
        <v>2.25</v>
      </c>
      <c r="D1882" s="41">
        <v>5</v>
      </c>
      <c r="E1882" s="41">
        <v>5</v>
      </c>
      <c r="F1882" s="41">
        <v>0.4</v>
      </c>
      <c r="G1882" s="41">
        <v>5</v>
      </c>
      <c r="H1882" s="41"/>
      <c r="I1882" s="41"/>
      <c r="J1882" s="41"/>
      <c r="K1882" s="467">
        <v>3.6</v>
      </c>
      <c r="L1882" s="453"/>
      <c r="M1882" s="453"/>
      <c r="N1882" s="453"/>
      <c r="O1882" s="453"/>
      <c r="P1882" s="1617"/>
      <c r="Q1882" s="453"/>
      <c r="R1882" s="453"/>
      <c r="S1882" s="453"/>
      <c r="T1882" s="453"/>
      <c r="U1882" s="453"/>
      <c r="V1882" s="453"/>
      <c r="W1882" s="453"/>
    </row>
    <row r="1883" spans="1:23" s="292" customFormat="1" x14ac:dyDescent="0.2">
      <c r="A1883" s="37" t="s">
        <v>1359</v>
      </c>
      <c r="B1883" s="42">
        <v>2.4</v>
      </c>
      <c r="C1883" s="42">
        <f>AVERAGE(3.3,1.2)</f>
        <v>2.25</v>
      </c>
      <c r="D1883" s="42">
        <v>5</v>
      </c>
      <c r="E1883" s="42">
        <v>5</v>
      </c>
      <c r="F1883" s="42">
        <v>0.4</v>
      </c>
      <c r="G1883" s="42">
        <v>5</v>
      </c>
      <c r="H1883" s="42"/>
      <c r="I1883" s="42"/>
      <c r="J1883" s="42"/>
      <c r="K1883" s="654">
        <v>3.6</v>
      </c>
      <c r="L1883" s="1074"/>
      <c r="M1883" s="1074"/>
      <c r="N1883" s="1074"/>
      <c r="O1883" s="1074"/>
      <c r="P1883" s="1618"/>
      <c r="Q1883" s="1074"/>
      <c r="R1883" s="1074"/>
      <c r="S1883" s="1074"/>
      <c r="T1883" s="1074"/>
      <c r="U1883" s="1074"/>
      <c r="V1883" s="1074"/>
      <c r="W1883" s="1074"/>
    </row>
    <row r="1884" spans="1:23" s="292" customFormat="1" x14ac:dyDescent="0.2">
      <c r="A1884" s="1073" t="s">
        <v>2076</v>
      </c>
    </row>
    <row r="1885" spans="1:23" s="292" customFormat="1" x14ac:dyDescent="0.2"/>
    <row r="1886" spans="1:23" s="535" customFormat="1" x14ac:dyDescent="0.2">
      <c r="A1886" s="516"/>
    </row>
    <row r="1888" spans="1:23" s="125" customFormat="1" x14ac:dyDescent="0.2">
      <c r="A1888" s="377" t="s">
        <v>2089</v>
      </c>
      <c r="D1888" s="1075"/>
      <c r="E1888" s="1076"/>
      <c r="F1888" s="1076"/>
      <c r="G1888" s="1076"/>
      <c r="H1888" s="1076"/>
      <c r="I1888" s="1076"/>
    </row>
    <row r="1889" spans="1:25" s="773" customFormat="1" ht="16.25" customHeight="1" x14ac:dyDescent="0.2">
      <c r="A1889" s="753" t="s">
        <v>2091</v>
      </c>
      <c r="B1889" s="442" t="s">
        <v>2031</v>
      </c>
      <c r="C1889" s="442" t="s">
        <v>2031</v>
      </c>
      <c r="D1889" s="442" t="s">
        <v>2031</v>
      </c>
      <c r="E1889" s="442" t="s">
        <v>2031</v>
      </c>
      <c r="F1889" s="442" t="s">
        <v>2031</v>
      </c>
      <c r="G1889" s="442" t="s">
        <v>2031</v>
      </c>
      <c r="H1889" s="442"/>
      <c r="I1889" s="442"/>
      <c r="J1889" s="442"/>
      <c r="K1889" s="442"/>
      <c r="L1889" s="442"/>
      <c r="M1889" s="442"/>
      <c r="N1889" s="442"/>
      <c r="O1889" s="442"/>
      <c r="P1889" s="532"/>
      <c r="Q1889" s="442"/>
      <c r="R1889" s="442"/>
      <c r="S1889" s="442"/>
      <c r="T1889" s="442"/>
      <c r="U1889" s="442"/>
      <c r="V1889" s="442"/>
      <c r="W1889" s="442"/>
    </row>
    <row r="1890" spans="1:25" s="291" customFormat="1" ht="16" x14ac:dyDescent="0.2">
      <c r="A1890" s="293" t="s">
        <v>1963</v>
      </c>
      <c r="B1890" s="426" t="s">
        <v>2069</v>
      </c>
      <c r="C1890" s="426" t="s">
        <v>2070</v>
      </c>
      <c r="D1890" s="426" t="s">
        <v>2071</v>
      </c>
      <c r="E1890" s="426" t="s">
        <v>2072</v>
      </c>
      <c r="F1890" s="426" t="s">
        <v>1384</v>
      </c>
      <c r="G1890" s="426" t="s">
        <v>1396</v>
      </c>
      <c r="H1890" s="426" t="s">
        <v>2073</v>
      </c>
      <c r="I1890" s="426" t="s">
        <v>2074</v>
      </c>
      <c r="J1890" s="426" t="s">
        <v>1592</v>
      </c>
      <c r="K1890" s="31" t="s">
        <v>2075</v>
      </c>
      <c r="L1890" s="453"/>
      <c r="M1890" s="453"/>
      <c r="N1890" s="453"/>
      <c r="O1890" s="453"/>
      <c r="P1890" s="1616"/>
      <c r="Q1890" s="453"/>
      <c r="R1890" s="453"/>
      <c r="S1890" s="453"/>
      <c r="T1890" s="453"/>
      <c r="U1890" s="453"/>
      <c r="V1890" s="453"/>
      <c r="W1890" s="453"/>
      <c r="X1890" s="21"/>
      <c r="Y1890" s="21"/>
    </row>
    <row r="1891" spans="1:25" s="21" customFormat="1" x14ac:dyDescent="0.2">
      <c r="A1891" s="255" t="s">
        <v>57</v>
      </c>
      <c r="B1891" s="426" t="s">
        <v>1051</v>
      </c>
      <c r="C1891" s="426" t="s">
        <v>1051</v>
      </c>
      <c r="D1891" s="426" t="s">
        <v>1051</v>
      </c>
      <c r="E1891" s="426" t="s">
        <v>1051</v>
      </c>
      <c r="F1891" s="426" t="s">
        <v>1051</v>
      </c>
      <c r="G1891" s="426" t="s">
        <v>1051</v>
      </c>
      <c r="H1891" s="426" t="s">
        <v>1051</v>
      </c>
      <c r="I1891" s="426" t="s">
        <v>1051</v>
      </c>
      <c r="J1891" s="426" t="s">
        <v>1051</v>
      </c>
      <c r="K1891" s="426" t="s">
        <v>1051</v>
      </c>
      <c r="L1891" s="453"/>
      <c r="M1891" s="453"/>
      <c r="N1891" s="453"/>
      <c r="O1891" s="453"/>
      <c r="P1891" s="453"/>
      <c r="Q1891" s="453"/>
      <c r="R1891" s="453"/>
      <c r="S1891" s="453"/>
      <c r="T1891" s="453"/>
      <c r="U1891" s="453"/>
      <c r="V1891" s="453"/>
      <c r="W1891" s="453"/>
    </row>
    <row r="1892" spans="1:25" s="21" customFormat="1" x14ac:dyDescent="0.2">
      <c r="A1892" s="20" t="s">
        <v>1490</v>
      </c>
      <c r="B1892" s="41">
        <v>3.2</v>
      </c>
      <c r="C1892" s="41">
        <f t="shared" ref="C1892:C1897" si="184">B1892</f>
        <v>3.2</v>
      </c>
      <c r="D1892" s="41">
        <v>13</v>
      </c>
      <c r="E1892" s="41">
        <v>13</v>
      </c>
      <c r="F1892" s="41">
        <v>0</v>
      </c>
      <c r="G1892" s="41">
        <v>9.5</v>
      </c>
      <c r="H1892" s="41"/>
      <c r="I1892" s="41"/>
      <c r="J1892" s="41"/>
      <c r="K1892" s="470">
        <v>0.3</v>
      </c>
      <c r="L1892" s="453"/>
      <c r="M1892" s="453"/>
      <c r="N1892" s="453"/>
      <c r="O1892" s="453"/>
      <c r="P1892" s="1617"/>
      <c r="Q1892" s="453"/>
      <c r="R1892" s="453"/>
      <c r="S1892" s="453"/>
      <c r="T1892" s="453"/>
      <c r="U1892" s="453"/>
      <c r="V1892" s="453"/>
      <c r="W1892" s="453"/>
    </row>
    <row r="1893" spans="1:25" s="21" customFormat="1" x14ac:dyDescent="0.2">
      <c r="A1893" s="20" t="s">
        <v>1491</v>
      </c>
      <c r="B1893" s="41">
        <v>3.2</v>
      </c>
      <c r="C1893" s="41">
        <f t="shared" si="184"/>
        <v>3.2</v>
      </c>
      <c r="D1893" s="41">
        <v>13</v>
      </c>
      <c r="E1893" s="41">
        <v>13</v>
      </c>
      <c r="F1893" s="41">
        <v>0</v>
      </c>
      <c r="G1893" s="41">
        <v>9.5</v>
      </c>
      <c r="H1893" s="41"/>
      <c r="I1893" s="41"/>
      <c r="J1893" s="41"/>
      <c r="K1893" s="467">
        <v>0.3</v>
      </c>
      <c r="L1893" s="453"/>
      <c r="M1893" s="453"/>
      <c r="N1893" s="453"/>
      <c r="O1893" s="453"/>
      <c r="P1893" s="1617"/>
      <c r="Q1893" s="453"/>
      <c r="R1893" s="453"/>
      <c r="S1893" s="453"/>
      <c r="T1893" s="453"/>
      <c r="U1893" s="453"/>
      <c r="V1893" s="453"/>
      <c r="W1893" s="453"/>
    </row>
    <row r="1894" spans="1:25" s="21" customFormat="1" x14ac:dyDescent="0.2">
      <c r="A1894" s="20" t="s">
        <v>1483</v>
      </c>
      <c r="B1894" s="41">
        <v>2.8</v>
      </c>
      <c r="C1894" s="41">
        <f t="shared" si="184"/>
        <v>2.8</v>
      </c>
      <c r="D1894" s="41">
        <v>13</v>
      </c>
      <c r="E1894" s="41">
        <v>13</v>
      </c>
      <c r="F1894" s="41">
        <v>0</v>
      </c>
      <c r="G1894" s="41">
        <f>AVERAGE(8.2,1.6)</f>
        <v>4.8999999999999995</v>
      </c>
      <c r="H1894" s="41"/>
      <c r="I1894" s="41"/>
      <c r="J1894" s="41"/>
      <c r="K1894" s="467">
        <v>0.3</v>
      </c>
      <c r="L1894" s="453"/>
      <c r="M1894" s="453"/>
      <c r="N1894" s="453"/>
      <c r="O1894" s="453"/>
      <c r="P1894" s="1617"/>
      <c r="Q1894" s="453"/>
      <c r="R1894" s="453"/>
      <c r="S1894" s="453"/>
      <c r="T1894" s="453"/>
      <c r="U1894" s="453"/>
      <c r="V1894" s="453"/>
      <c r="W1894" s="453"/>
    </row>
    <row r="1895" spans="1:25" s="21" customFormat="1" x14ac:dyDescent="0.2">
      <c r="A1895" s="20" t="s">
        <v>1484</v>
      </c>
      <c r="B1895" s="41">
        <v>2.8</v>
      </c>
      <c r="C1895" s="41">
        <f t="shared" si="184"/>
        <v>2.8</v>
      </c>
      <c r="D1895" s="41">
        <v>13</v>
      </c>
      <c r="E1895" s="41">
        <v>13</v>
      </c>
      <c r="F1895" s="41">
        <v>0</v>
      </c>
      <c r="G1895" s="41">
        <f>AVERAGE(8.2,1.6)</f>
        <v>4.8999999999999995</v>
      </c>
      <c r="H1895" s="41"/>
      <c r="I1895" s="41"/>
      <c r="J1895" s="41"/>
      <c r="K1895" s="467">
        <v>0.3</v>
      </c>
      <c r="L1895" s="453"/>
      <c r="M1895" s="453"/>
      <c r="N1895" s="453"/>
      <c r="O1895" s="453"/>
      <c r="P1895" s="1617"/>
      <c r="Q1895" s="453"/>
      <c r="R1895" s="453"/>
      <c r="S1895" s="453"/>
      <c r="T1895" s="453"/>
      <c r="U1895" s="453"/>
      <c r="V1895" s="453"/>
      <c r="W1895" s="453"/>
    </row>
    <row r="1896" spans="1:25" s="21" customFormat="1" x14ac:dyDescent="0.2">
      <c r="A1896" s="20" t="s">
        <v>1485</v>
      </c>
      <c r="B1896" s="41">
        <v>2.8</v>
      </c>
      <c r="C1896" s="41">
        <f t="shared" si="184"/>
        <v>2.8</v>
      </c>
      <c r="D1896" s="41">
        <v>13</v>
      </c>
      <c r="E1896" s="41">
        <v>13</v>
      </c>
      <c r="F1896" s="41">
        <v>0</v>
      </c>
      <c r="G1896" s="41">
        <f>AVERAGE(8.2,1.6)</f>
        <v>4.8999999999999995</v>
      </c>
      <c r="H1896" s="41"/>
      <c r="I1896" s="41"/>
      <c r="J1896" s="41"/>
      <c r="K1896" s="467">
        <v>0.3</v>
      </c>
      <c r="L1896" s="453"/>
      <c r="M1896" s="453"/>
      <c r="N1896" s="453"/>
      <c r="O1896" s="453"/>
      <c r="P1896" s="1617"/>
      <c r="Q1896" s="453"/>
      <c r="R1896" s="453"/>
      <c r="S1896" s="453"/>
      <c r="T1896" s="453"/>
      <c r="U1896" s="453"/>
      <c r="V1896" s="453"/>
      <c r="W1896" s="453"/>
    </row>
    <row r="1897" spans="1:25" s="21" customFormat="1" x14ac:dyDescent="0.2">
      <c r="A1897" s="20" t="s">
        <v>1486</v>
      </c>
      <c r="B1897" s="41">
        <v>2.8</v>
      </c>
      <c r="C1897" s="41">
        <f t="shared" si="184"/>
        <v>2.8</v>
      </c>
      <c r="D1897" s="41">
        <v>13</v>
      </c>
      <c r="E1897" s="41">
        <v>13</v>
      </c>
      <c r="F1897" s="41">
        <v>0</v>
      </c>
      <c r="G1897" s="41">
        <f>AVERAGE(8.2,1.6)</f>
        <v>4.8999999999999995</v>
      </c>
      <c r="H1897" s="41"/>
      <c r="I1897" s="41"/>
      <c r="J1897" s="41"/>
      <c r="K1897" s="467">
        <v>0.3</v>
      </c>
      <c r="L1897" s="453"/>
      <c r="M1897" s="453"/>
      <c r="N1897" s="453"/>
      <c r="O1897" s="453"/>
      <c r="P1897" s="1617"/>
      <c r="Q1897" s="453"/>
      <c r="R1897" s="453"/>
      <c r="S1897" s="453"/>
      <c r="T1897" s="453"/>
      <c r="U1897" s="453"/>
      <c r="V1897" s="453"/>
      <c r="W1897" s="453"/>
    </row>
    <row r="1898" spans="1:25" s="21" customFormat="1" x14ac:dyDescent="0.2">
      <c r="A1898" s="20" t="s">
        <v>1487</v>
      </c>
      <c r="B1898" s="41">
        <v>2.4</v>
      </c>
      <c r="C1898" s="41">
        <f>AVERAGE(3.3,1.2)</f>
        <v>2.25</v>
      </c>
      <c r="D1898" s="41">
        <v>5</v>
      </c>
      <c r="E1898" s="41">
        <v>5</v>
      </c>
      <c r="F1898" s="41">
        <v>0.4</v>
      </c>
      <c r="G1898" s="41">
        <v>5</v>
      </c>
      <c r="H1898" s="41"/>
      <c r="I1898" s="41"/>
      <c r="J1898" s="41"/>
      <c r="K1898" s="467">
        <v>3.6</v>
      </c>
      <c r="L1898" s="453"/>
      <c r="M1898" s="453"/>
      <c r="N1898" s="453"/>
      <c r="O1898" s="453"/>
      <c r="P1898" s="1617"/>
      <c r="Q1898" s="453"/>
      <c r="R1898" s="453"/>
      <c r="S1898" s="453"/>
      <c r="T1898" s="453"/>
      <c r="U1898" s="453"/>
      <c r="V1898" s="453"/>
      <c r="W1898" s="453"/>
    </row>
    <row r="1899" spans="1:25" s="21" customFormat="1" x14ac:dyDescent="0.2">
      <c r="A1899" s="20" t="s">
        <v>1488</v>
      </c>
      <c r="B1899" s="41">
        <v>2.4</v>
      </c>
      <c r="C1899" s="41">
        <f>AVERAGE(3.3,1.2)</f>
        <v>2.25</v>
      </c>
      <c r="D1899" s="41">
        <v>5</v>
      </c>
      <c r="E1899" s="41">
        <v>5</v>
      </c>
      <c r="F1899" s="41">
        <v>0.4</v>
      </c>
      <c r="G1899" s="41">
        <v>5</v>
      </c>
      <c r="H1899" s="41"/>
      <c r="I1899" s="41"/>
      <c r="J1899" s="41"/>
      <c r="K1899" s="467">
        <v>3.6</v>
      </c>
      <c r="L1899" s="453"/>
      <c r="M1899" s="453"/>
      <c r="N1899" s="453"/>
      <c r="O1899" s="453"/>
      <c r="P1899" s="1617"/>
      <c r="Q1899" s="453"/>
      <c r="R1899" s="453"/>
      <c r="S1899" s="453"/>
      <c r="T1899" s="453"/>
      <c r="U1899" s="453"/>
      <c r="V1899" s="453"/>
      <c r="W1899" s="453"/>
    </row>
    <row r="1900" spans="1:25" s="21" customFormat="1" x14ac:dyDescent="0.2">
      <c r="A1900" s="20" t="s">
        <v>1489</v>
      </c>
      <c r="B1900" s="41">
        <v>2.4</v>
      </c>
      <c r="C1900" s="41">
        <f>AVERAGE(3.3,1.2)</f>
        <v>2.25</v>
      </c>
      <c r="D1900" s="41">
        <v>5</v>
      </c>
      <c r="E1900" s="41">
        <v>5</v>
      </c>
      <c r="F1900" s="41">
        <v>0.4</v>
      </c>
      <c r="G1900" s="41">
        <v>5</v>
      </c>
      <c r="H1900" s="41"/>
      <c r="I1900" s="41"/>
      <c r="J1900" s="41"/>
      <c r="K1900" s="467">
        <v>3.6</v>
      </c>
      <c r="L1900" s="453"/>
      <c r="M1900" s="453"/>
      <c r="N1900" s="453"/>
      <c r="O1900" s="453"/>
      <c r="P1900" s="1617"/>
      <c r="Q1900" s="453"/>
      <c r="R1900" s="453"/>
      <c r="S1900" s="453"/>
      <c r="T1900" s="453"/>
      <c r="U1900" s="453"/>
      <c r="V1900" s="453"/>
      <c r="W1900" s="453"/>
    </row>
    <row r="1901" spans="1:25" s="292" customFormat="1" x14ac:dyDescent="0.2">
      <c r="A1901" s="37" t="s">
        <v>1359</v>
      </c>
      <c r="B1901" s="42">
        <v>2.4</v>
      </c>
      <c r="C1901" s="42">
        <f>AVERAGE(3.3,1.2)</f>
        <v>2.25</v>
      </c>
      <c r="D1901" s="42">
        <v>5</v>
      </c>
      <c r="E1901" s="42">
        <v>5</v>
      </c>
      <c r="F1901" s="42">
        <v>0.4</v>
      </c>
      <c r="G1901" s="42">
        <v>5</v>
      </c>
      <c r="H1901" s="42"/>
      <c r="I1901" s="42"/>
      <c r="J1901" s="42"/>
      <c r="K1901" s="654">
        <v>3.6</v>
      </c>
      <c r="L1901" s="1074"/>
      <c r="M1901" s="1074"/>
      <c r="N1901" s="1074"/>
      <c r="O1901" s="1074"/>
      <c r="P1901" s="1618"/>
      <c r="Q1901" s="1074"/>
      <c r="R1901" s="1074"/>
      <c r="S1901" s="1074"/>
      <c r="T1901" s="1074"/>
      <c r="U1901" s="1074"/>
      <c r="V1901" s="1074"/>
      <c r="W1901" s="1074"/>
    </row>
    <row r="1902" spans="1:25" s="292" customFormat="1" x14ac:dyDescent="0.2">
      <c r="A1902" s="1073" t="s">
        <v>2076</v>
      </c>
    </row>
    <row r="1903" spans="1:25" s="292" customFormat="1" x14ac:dyDescent="0.2">
      <c r="A1903" s="534" t="s">
        <v>2082</v>
      </c>
    </row>
    <row r="1904" spans="1:25" s="535" customFormat="1" x14ac:dyDescent="0.2">
      <c r="A1904" s="516"/>
    </row>
    <row r="1906" spans="1:25" s="1086" customFormat="1" ht="24" x14ac:dyDescent="0.2">
      <c r="A1906" s="1086" t="s">
        <v>2092</v>
      </c>
    </row>
    <row r="1908" spans="1:25" s="125" customFormat="1" x14ac:dyDescent="0.2">
      <c r="A1908" s="377" t="s">
        <v>2093</v>
      </c>
      <c r="D1908" s="1075"/>
      <c r="E1908" s="1075"/>
      <c r="F1908" s="1075"/>
      <c r="G1908" s="1075"/>
      <c r="H1908" s="1075"/>
      <c r="I1908" s="1075"/>
    </row>
    <row r="1909" spans="1:25" s="773" customFormat="1" ht="16.25" customHeight="1" x14ac:dyDescent="0.2">
      <c r="A1909" s="753" t="s">
        <v>2067</v>
      </c>
      <c r="B1909" s="442" t="s">
        <v>2094</v>
      </c>
      <c r="C1909" s="442" t="s">
        <v>2094</v>
      </c>
      <c r="D1909" s="442" t="s">
        <v>2094</v>
      </c>
      <c r="E1909" s="442" t="s">
        <v>2094</v>
      </c>
      <c r="F1909" s="442" t="s">
        <v>2094</v>
      </c>
      <c r="G1909" s="442" t="s">
        <v>2094</v>
      </c>
      <c r="H1909" s="442"/>
      <c r="I1909" s="442"/>
      <c r="J1909" s="442"/>
      <c r="K1909" s="442"/>
      <c r="L1909" s="442"/>
      <c r="M1909" s="442"/>
      <c r="N1909" s="442"/>
      <c r="O1909" s="442"/>
      <c r="P1909" s="532"/>
      <c r="Q1909" s="442"/>
      <c r="R1909" s="442"/>
      <c r="S1909" s="442"/>
      <c r="T1909" s="442"/>
      <c r="U1909" s="442"/>
      <c r="V1909" s="442"/>
      <c r="W1909" s="442"/>
    </row>
    <row r="1910" spans="1:25" s="291" customFormat="1" x14ac:dyDescent="0.2">
      <c r="A1910" s="293" t="s">
        <v>1963</v>
      </c>
      <c r="B1910" s="426" t="s">
        <v>2069</v>
      </c>
      <c r="C1910" s="426" t="s">
        <v>2070</v>
      </c>
      <c r="D1910" s="426" t="s">
        <v>2071</v>
      </c>
      <c r="E1910" s="426" t="s">
        <v>2072</v>
      </c>
      <c r="F1910" s="426" t="s">
        <v>1384</v>
      </c>
      <c r="G1910" s="426" t="s">
        <v>1396</v>
      </c>
      <c r="H1910" s="426" t="s">
        <v>2073</v>
      </c>
      <c r="I1910" s="426" t="s">
        <v>2074</v>
      </c>
      <c r="J1910" s="426" t="s">
        <v>1592</v>
      </c>
      <c r="K1910" s="453"/>
      <c r="L1910" s="453"/>
      <c r="M1910" s="453"/>
      <c r="N1910" s="453"/>
      <c r="O1910" s="453"/>
      <c r="P1910" s="1616"/>
      <c r="Q1910" s="453"/>
      <c r="R1910" s="453"/>
      <c r="S1910" s="453"/>
      <c r="T1910" s="453"/>
      <c r="U1910" s="453"/>
      <c r="V1910" s="453"/>
      <c r="W1910" s="453"/>
      <c r="X1910" s="21"/>
      <c r="Y1910" s="21"/>
    </row>
    <row r="1911" spans="1:25" s="21" customFormat="1" x14ac:dyDescent="0.2">
      <c r="A1911" s="255" t="s">
        <v>57</v>
      </c>
      <c r="B1911" s="426" t="s">
        <v>2095</v>
      </c>
      <c r="C1911" s="426" t="s">
        <v>2095</v>
      </c>
      <c r="D1911" s="426" t="s">
        <v>2095</v>
      </c>
      <c r="E1911" s="426" t="s">
        <v>2095</v>
      </c>
      <c r="F1911" s="426" t="s">
        <v>2095</v>
      </c>
      <c r="G1911" s="426" t="s">
        <v>2095</v>
      </c>
      <c r="H1911" s="426" t="s">
        <v>2095</v>
      </c>
      <c r="I1911" s="426" t="s">
        <v>2095</v>
      </c>
      <c r="J1911" s="426" t="s">
        <v>2095</v>
      </c>
      <c r="K1911" s="453"/>
      <c r="L1911" s="453"/>
      <c r="M1911" s="453"/>
      <c r="N1911" s="453"/>
      <c r="O1911" s="453"/>
      <c r="P1911" s="453"/>
      <c r="Q1911" s="453"/>
      <c r="R1911" s="453"/>
      <c r="S1911" s="453"/>
      <c r="T1911" s="453"/>
      <c r="U1911" s="453"/>
      <c r="V1911" s="453"/>
      <c r="W1911" s="453"/>
    </row>
    <row r="1912" spans="1:25" s="21" customFormat="1" x14ac:dyDescent="0.2">
      <c r="A1912" s="20" t="s">
        <v>1490</v>
      </c>
      <c r="B1912" s="41">
        <v>-0.34</v>
      </c>
      <c r="C1912" s="41">
        <v>-0.34</v>
      </c>
      <c r="D1912" s="41">
        <v>-0.34</v>
      </c>
      <c r="E1912" s="41">
        <v>-0.34</v>
      </c>
      <c r="F1912" s="41">
        <v>-0.34</v>
      </c>
      <c r="G1912" s="41">
        <v>-0.34</v>
      </c>
      <c r="H1912" s="44">
        <v>0</v>
      </c>
      <c r="I1912" s="44">
        <v>0</v>
      </c>
      <c r="J1912" s="44">
        <v>0</v>
      </c>
      <c r="K1912" s="453"/>
      <c r="L1912" s="453"/>
      <c r="M1912" s="453"/>
      <c r="N1912" s="453"/>
      <c r="O1912" s="453"/>
      <c r="P1912" s="1617"/>
      <c r="Q1912" s="453"/>
      <c r="R1912" s="453"/>
      <c r="S1912" s="453"/>
      <c r="T1912" s="453"/>
      <c r="U1912" s="453"/>
      <c r="V1912" s="453"/>
      <c r="W1912" s="453"/>
    </row>
    <row r="1913" spans="1:25" s="21" customFormat="1" x14ac:dyDescent="0.2">
      <c r="A1913" s="20" t="s">
        <v>1491</v>
      </c>
      <c r="B1913" s="41">
        <v>-0.34</v>
      </c>
      <c r="C1913" s="41">
        <v>-0.34</v>
      </c>
      <c r="D1913" s="41">
        <v>-0.34</v>
      </c>
      <c r="E1913" s="41">
        <v>-0.34</v>
      </c>
      <c r="F1913" s="41">
        <v>-0.34</v>
      </c>
      <c r="G1913" s="41">
        <v>-0.34</v>
      </c>
      <c r="H1913" s="41">
        <v>0</v>
      </c>
      <c r="I1913" s="41">
        <v>0</v>
      </c>
      <c r="J1913" s="41">
        <v>0</v>
      </c>
      <c r="K1913" s="453"/>
      <c r="L1913" s="453"/>
      <c r="M1913" s="453"/>
      <c r="N1913" s="453"/>
      <c r="O1913" s="453"/>
      <c r="P1913" s="1617"/>
      <c r="Q1913" s="453"/>
      <c r="R1913" s="453"/>
      <c r="S1913" s="453"/>
      <c r="T1913" s="453"/>
      <c r="U1913" s="453"/>
      <c r="V1913" s="453"/>
      <c r="W1913" s="453"/>
    </row>
    <row r="1914" spans="1:25" s="21" customFormat="1" x14ac:dyDescent="0.2">
      <c r="A1914" s="20" t="s">
        <v>1483</v>
      </c>
      <c r="B1914" s="41">
        <v>-0.23</v>
      </c>
      <c r="C1914" s="41">
        <v>-0.23</v>
      </c>
      <c r="D1914" s="41">
        <v>-0.23</v>
      </c>
      <c r="E1914" s="41">
        <v>-0.23</v>
      </c>
      <c r="F1914" s="41">
        <v>-0.23</v>
      </c>
      <c r="G1914" s="41">
        <v>-0.23</v>
      </c>
      <c r="H1914" s="41">
        <v>0</v>
      </c>
      <c r="I1914" s="41">
        <v>0</v>
      </c>
      <c r="J1914" s="41">
        <v>0</v>
      </c>
      <c r="K1914" s="453"/>
      <c r="L1914" s="453"/>
      <c r="M1914" s="453"/>
      <c r="N1914" s="453"/>
      <c r="O1914" s="453"/>
      <c r="P1914" s="1617"/>
      <c r="Q1914" s="453"/>
      <c r="R1914" s="453"/>
      <c r="S1914" s="453"/>
      <c r="T1914" s="453"/>
      <c r="U1914" s="453"/>
      <c r="V1914" s="453"/>
      <c r="W1914" s="453"/>
    </row>
    <row r="1915" spans="1:25" s="21" customFormat="1" x14ac:dyDescent="0.2">
      <c r="A1915" s="20" t="s">
        <v>1484</v>
      </c>
      <c r="B1915" s="41">
        <v>-0.23</v>
      </c>
      <c r="C1915" s="41">
        <v>-0.23</v>
      </c>
      <c r="D1915" s="41">
        <v>-0.23</v>
      </c>
      <c r="E1915" s="41">
        <v>-0.23</v>
      </c>
      <c r="F1915" s="41">
        <v>-0.23</v>
      </c>
      <c r="G1915" s="41">
        <v>-0.23</v>
      </c>
      <c r="H1915" s="41">
        <v>0</v>
      </c>
      <c r="I1915" s="41">
        <v>0</v>
      </c>
      <c r="J1915" s="41">
        <v>0</v>
      </c>
      <c r="K1915" s="453"/>
      <c r="L1915" s="453"/>
      <c r="M1915" s="453"/>
      <c r="N1915" s="453"/>
      <c r="O1915" s="453"/>
      <c r="P1915" s="1617"/>
      <c r="Q1915" s="453"/>
      <c r="R1915" s="453"/>
      <c r="S1915" s="453"/>
      <c r="T1915" s="453"/>
      <c r="U1915" s="453"/>
      <c r="V1915" s="453"/>
      <c r="W1915" s="453"/>
    </row>
    <row r="1916" spans="1:25" s="21" customFormat="1" x14ac:dyDescent="0.2">
      <c r="A1916" s="20" t="s">
        <v>1485</v>
      </c>
      <c r="B1916" s="41">
        <v>-0.23</v>
      </c>
      <c r="C1916" s="41">
        <v>-0.23</v>
      </c>
      <c r="D1916" s="41">
        <v>-0.23</v>
      </c>
      <c r="E1916" s="41">
        <v>-0.23</v>
      </c>
      <c r="F1916" s="41">
        <v>-0.23</v>
      </c>
      <c r="G1916" s="41">
        <v>-0.23</v>
      </c>
      <c r="H1916" s="41">
        <v>0</v>
      </c>
      <c r="I1916" s="41">
        <v>0</v>
      </c>
      <c r="J1916" s="41">
        <v>0</v>
      </c>
      <c r="K1916" s="453"/>
      <c r="L1916" s="453"/>
      <c r="M1916" s="453"/>
      <c r="N1916" s="453"/>
      <c r="O1916" s="453"/>
      <c r="P1916" s="1617"/>
      <c r="Q1916" s="453"/>
      <c r="R1916" s="453"/>
      <c r="S1916" s="453"/>
      <c r="T1916" s="453"/>
      <c r="U1916" s="453"/>
      <c r="V1916" s="453"/>
      <c r="W1916" s="453"/>
    </row>
    <row r="1917" spans="1:25" s="21" customFormat="1" x14ac:dyDescent="0.2">
      <c r="A1917" s="20" t="s">
        <v>1486</v>
      </c>
      <c r="B1917" s="41">
        <v>-0.23</v>
      </c>
      <c r="C1917" s="41">
        <v>-0.23</v>
      </c>
      <c r="D1917" s="41">
        <v>-0.23</v>
      </c>
      <c r="E1917" s="41">
        <v>-0.23</v>
      </c>
      <c r="F1917" s="41">
        <v>-0.23</v>
      </c>
      <c r="G1917" s="41">
        <v>-0.23</v>
      </c>
      <c r="H1917" s="41">
        <v>0</v>
      </c>
      <c r="I1917" s="41">
        <v>0</v>
      </c>
      <c r="J1917" s="41">
        <v>0</v>
      </c>
      <c r="K1917" s="453"/>
      <c r="L1917" s="453"/>
      <c r="M1917" s="453"/>
      <c r="N1917" s="453"/>
      <c r="O1917" s="453"/>
      <c r="P1917" s="1617"/>
      <c r="Q1917" s="453"/>
      <c r="R1917" s="453"/>
      <c r="S1917" s="453"/>
      <c r="T1917" s="453"/>
      <c r="U1917" s="453"/>
      <c r="V1917" s="453"/>
      <c r="W1917" s="453"/>
    </row>
    <row r="1918" spans="1:25" s="21" customFormat="1" x14ac:dyDescent="0.2">
      <c r="A1918" s="20" t="s">
        <v>1487</v>
      </c>
      <c r="B1918" s="41">
        <v>0</v>
      </c>
      <c r="C1918" s="41">
        <v>0</v>
      </c>
      <c r="D1918" s="41">
        <v>0</v>
      </c>
      <c r="E1918" s="41">
        <v>0</v>
      </c>
      <c r="F1918" s="41">
        <v>0</v>
      </c>
      <c r="G1918" s="41">
        <v>0</v>
      </c>
      <c r="H1918" s="41">
        <v>0</v>
      </c>
      <c r="I1918" s="41">
        <v>0</v>
      </c>
      <c r="J1918" s="41">
        <v>0</v>
      </c>
      <c r="K1918" s="453"/>
      <c r="L1918" s="453"/>
      <c r="M1918" s="453"/>
      <c r="N1918" s="453"/>
      <c r="O1918" s="453"/>
      <c r="P1918" s="1617"/>
      <c r="Q1918" s="453"/>
      <c r="R1918" s="453"/>
      <c r="S1918" s="453"/>
      <c r="T1918" s="453"/>
      <c r="U1918" s="453"/>
      <c r="V1918" s="453"/>
      <c r="W1918" s="453"/>
    </row>
    <row r="1919" spans="1:25" s="21" customFormat="1" x14ac:dyDescent="0.2">
      <c r="A1919" s="20" t="s">
        <v>1488</v>
      </c>
      <c r="B1919" s="41">
        <v>0</v>
      </c>
      <c r="C1919" s="41">
        <v>0</v>
      </c>
      <c r="D1919" s="41">
        <v>0</v>
      </c>
      <c r="E1919" s="41">
        <v>0</v>
      </c>
      <c r="F1919" s="41">
        <v>0</v>
      </c>
      <c r="G1919" s="41">
        <v>0</v>
      </c>
      <c r="H1919" s="41">
        <v>0</v>
      </c>
      <c r="I1919" s="41">
        <v>0</v>
      </c>
      <c r="J1919" s="41">
        <v>0</v>
      </c>
      <c r="K1919" s="453"/>
      <c r="L1919" s="453"/>
      <c r="M1919" s="453"/>
      <c r="N1919" s="453"/>
      <c r="O1919" s="453"/>
      <c r="P1919" s="1617"/>
      <c r="Q1919" s="453"/>
      <c r="R1919" s="453"/>
      <c r="S1919" s="453"/>
      <c r="T1919" s="453"/>
      <c r="U1919" s="453"/>
      <c r="V1919" s="453"/>
      <c r="W1919" s="453"/>
    </row>
    <row r="1920" spans="1:25" s="21" customFormat="1" x14ac:dyDescent="0.2">
      <c r="A1920" s="20" t="s">
        <v>1489</v>
      </c>
      <c r="B1920" s="41">
        <v>0</v>
      </c>
      <c r="C1920" s="41">
        <v>0</v>
      </c>
      <c r="D1920" s="41">
        <v>0</v>
      </c>
      <c r="E1920" s="41">
        <v>0</v>
      </c>
      <c r="F1920" s="41">
        <v>0</v>
      </c>
      <c r="G1920" s="41">
        <v>0</v>
      </c>
      <c r="H1920" s="41">
        <v>0</v>
      </c>
      <c r="I1920" s="41">
        <v>0</v>
      </c>
      <c r="J1920" s="41">
        <v>0</v>
      </c>
      <c r="K1920" s="453"/>
      <c r="L1920" s="453"/>
      <c r="M1920" s="453"/>
      <c r="N1920" s="453"/>
      <c r="O1920" s="453"/>
      <c r="P1920" s="1617"/>
      <c r="Q1920" s="453"/>
      <c r="R1920" s="453"/>
      <c r="S1920" s="453"/>
      <c r="T1920" s="453"/>
      <c r="U1920" s="453"/>
      <c r="V1920" s="453"/>
      <c r="W1920" s="453"/>
    </row>
    <row r="1921" spans="1:25" s="292" customFormat="1" x14ac:dyDescent="0.2">
      <c r="A1921" s="37" t="s">
        <v>1359</v>
      </c>
      <c r="B1921" s="42">
        <v>0</v>
      </c>
      <c r="C1921" s="42">
        <v>0</v>
      </c>
      <c r="D1921" s="42">
        <v>0</v>
      </c>
      <c r="E1921" s="42">
        <v>0</v>
      </c>
      <c r="F1921" s="42">
        <v>0</v>
      </c>
      <c r="G1921" s="42">
        <v>0</v>
      </c>
      <c r="H1921" s="42">
        <v>0</v>
      </c>
      <c r="I1921" s="42">
        <v>0</v>
      </c>
      <c r="J1921" s="42">
        <v>0</v>
      </c>
      <c r="K1921" s="1074"/>
      <c r="L1921" s="1074"/>
      <c r="M1921" s="1074"/>
      <c r="N1921" s="1074"/>
      <c r="O1921" s="1074"/>
      <c r="P1921" s="1618"/>
      <c r="Q1921" s="1074"/>
      <c r="R1921" s="1074"/>
      <c r="S1921" s="1074"/>
      <c r="T1921" s="1074"/>
      <c r="U1921" s="1074"/>
      <c r="V1921" s="1074"/>
      <c r="W1921" s="1074"/>
    </row>
    <row r="1922" spans="1:25" s="292" customFormat="1" x14ac:dyDescent="0.2">
      <c r="A1922" s="1073" t="s">
        <v>2076</v>
      </c>
    </row>
    <row r="1923" spans="1:25" s="292" customFormat="1" x14ac:dyDescent="0.2"/>
    <row r="1924" spans="1:25" s="535" customFormat="1" x14ac:dyDescent="0.2">
      <c r="A1924" s="516"/>
    </row>
    <row r="1926" spans="1:25" s="125" customFormat="1" x14ac:dyDescent="0.2">
      <c r="A1926" s="377" t="s">
        <v>2093</v>
      </c>
      <c r="D1926" s="1075"/>
      <c r="E1926" s="1075"/>
      <c r="F1926" s="1075"/>
      <c r="G1926" s="1075"/>
      <c r="H1926" s="1075"/>
      <c r="I1926" s="1075"/>
    </row>
    <row r="1927" spans="1:25" s="773" customFormat="1" ht="16.25" customHeight="1" x14ac:dyDescent="0.2">
      <c r="A1927" s="753" t="s">
        <v>2080</v>
      </c>
      <c r="B1927" s="442" t="s">
        <v>2094</v>
      </c>
      <c r="C1927" s="442" t="s">
        <v>2094</v>
      </c>
      <c r="D1927" s="442" t="s">
        <v>2094</v>
      </c>
      <c r="E1927" s="442" t="s">
        <v>2094</v>
      </c>
      <c r="F1927" s="442" t="s">
        <v>2094</v>
      </c>
      <c r="G1927" s="442" t="s">
        <v>2094</v>
      </c>
      <c r="H1927" s="442"/>
      <c r="I1927" s="442"/>
      <c r="J1927" s="442"/>
      <c r="K1927" s="442"/>
      <c r="L1927" s="442"/>
      <c r="M1927" s="442"/>
      <c r="N1927" s="442"/>
      <c r="O1927" s="442"/>
      <c r="P1927" s="532"/>
      <c r="Q1927" s="442"/>
      <c r="R1927" s="442"/>
      <c r="S1927" s="442"/>
      <c r="T1927" s="442"/>
      <c r="U1927" s="442"/>
      <c r="V1927" s="442"/>
      <c r="W1927" s="442"/>
    </row>
    <row r="1928" spans="1:25" s="291" customFormat="1" x14ac:dyDescent="0.2">
      <c r="A1928" s="293" t="s">
        <v>1963</v>
      </c>
      <c r="B1928" s="426" t="s">
        <v>2069</v>
      </c>
      <c r="C1928" s="426" t="s">
        <v>2070</v>
      </c>
      <c r="D1928" s="426" t="s">
        <v>2071</v>
      </c>
      <c r="E1928" s="426" t="s">
        <v>2072</v>
      </c>
      <c r="F1928" s="426" t="s">
        <v>1384</v>
      </c>
      <c r="G1928" s="426" t="s">
        <v>1396</v>
      </c>
      <c r="H1928" s="426" t="s">
        <v>2073</v>
      </c>
      <c r="I1928" s="426" t="s">
        <v>2074</v>
      </c>
      <c r="J1928" s="426" t="s">
        <v>1592</v>
      </c>
      <c r="K1928" s="453"/>
      <c r="L1928" s="453"/>
      <c r="M1928" s="453"/>
      <c r="N1928" s="453"/>
      <c r="O1928" s="453"/>
      <c r="P1928" s="1616"/>
      <c r="Q1928" s="453"/>
      <c r="R1928" s="453"/>
      <c r="S1928" s="453"/>
      <c r="T1928" s="453"/>
      <c r="U1928" s="453"/>
      <c r="V1928" s="453"/>
      <c r="W1928" s="453"/>
      <c r="X1928" s="21"/>
      <c r="Y1928" s="21"/>
    </row>
    <row r="1929" spans="1:25" s="21" customFormat="1" x14ac:dyDescent="0.2">
      <c r="A1929" s="255" t="s">
        <v>57</v>
      </c>
      <c r="B1929" s="426" t="s">
        <v>2095</v>
      </c>
      <c r="C1929" s="426" t="s">
        <v>2095</v>
      </c>
      <c r="D1929" s="426" t="s">
        <v>2095</v>
      </c>
      <c r="E1929" s="426" t="s">
        <v>2095</v>
      </c>
      <c r="F1929" s="426" t="s">
        <v>2095</v>
      </c>
      <c r="G1929" s="426" t="s">
        <v>2095</v>
      </c>
      <c r="H1929" s="426" t="s">
        <v>2095</v>
      </c>
      <c r="I1929" s="426" t="s">
        <v>2095</v>
      </c>
      <c r="J1929" s="426" t="s">
        <v>2095</v>
      </c>
      <c r="K1929" s="453"/>
      <c r="L1929" s="453"/>
      <c r="M1929" s="453"/>
      <c r="N1929" s="453"/>
      <c r="O1929" s="453"/>
      <c r="P1929" s="453"/>
      <c r="Q1929" s="453"/>
      <c r="R1929" s="453"/>
      <c r="S1929" s="453"/>
      <c r="T1929" s="453"/>
      <c r="U1929" s="453"/>
      <c r="V1929" s="453"/>
      <c r="W1929" s="453"/>
    </row>
    <row r="1930" spans="1:25" s="21" customFormat="1" x14ac:dyDescent="0.2">
      <c r="A1930" s="20" t="s">
        <v>1490</v>
      </c>
      <c r="B1930" s="41">
        <v>-0.55000000000000004</v>
      </c>
      <c r="C1930" s="41">
        <v>-0.55000000000000004</v>
      </c>
      <c r="D1930" s="41">
        <v>-0.55000000000000004</v>
      </c>
      <c r="E1930" s="41">
        <v>-0.55000000000000004</v>
      </c>
      <c r="F1930" s="41">
        <v>-0.55000000000000004</v>
      </c>
      <c r="G1930" s="41">
        <v>-0.55000000000000004</v>
      </c>
      <c r="H1930" s="44">
        <v>0</v>
      </c>
      <c r="I1930" s="44">
        <v>0</v>
      </c>
      <c r="J1930" s="44">
        <v>0</v>
      </c>
      <c r="K1930" s="453"/>
      <c r="L1930" s="453"/>
      <c r="M1930" s="453"/>
      <c r="N1930" s="453"/>
      <c r="O1930" s="453"/>
      <c r="P1930" s="1617"/>
      <c r="Q1930" s="453"/>
      <c r="R1930" s="453"/>
      <c r="S1930" s="453"/>
      <c r="T1930" s="453"/>
      <c r="U1930" s="453"/>
      <c r="V1930" s="453"/>
      <c r="W1930" s="453"/>
    </row>
    <row r="1931" spans="1:25" s="21" customFormat="1" x14ac:dyDescent="0.2">
      <c r="A1931" s="20" t="s">
        <v>1491</v>
      </c>
      <c r="B1931" s="41">
        <v>-0.55000000000000004</v>
      </c>
      <c r="C1931" s="41">
        <v>-0.55000000000000004</v>
      </c>
      <c r="D1931" s="41">
        <v>-0.55000000000000004</v>
      </c>
      <c r="E1931" s="41">
        <v>-0.55000000000000004</v>
      </c>
      <c r="F1931" s="41">
        <v>-0.55000000000000004</v>
      </c>
      <c r="G1931" s="41">
        <v>-0.55000000000000004</v>
      </c>
      <c r="H1931" s="41">
        <v>0</v>
      </c>
      <c r="I1931" s="41">
        <v>0</v>
      </c>
      <c r="J1931" s="41">
        <v>0</v>
      </c>
      <c r="K1931" s="453"/>
      <c r="L1931" s="453"/>
      <c r="M1931" s="453"/>
      <c r="N1931" s="453"/>
      <c r="O1931" s="453"/>
      <c r="P1931" s="1617"/>
      <c r="Q1931" s="453"/>
      <c r="R1931" s="453"/>
      <c r="S1931" s="453"/>
      <c r="T1931" s="453"/>
      <c r="U1931" s="453"/>
      <c r="V1931" s="453"/>
      <c r="W1931" s="453"/>
    </row>
    <row r="1932" spans="1:25" s="21" customFormat="1" x14ac:dyDescent="0.2">
      <c r="A1932" s="20" t="s">
        <v>1483</v>
      </c>
      <c r="B1932" s="41">
        <v>0.5</v>
      </c>
      <c r="C1932" s="41">
        <v>0.5</v>
      </c>
      <c r="D1932" s="41">
        <v>0.5</v>
      </c>
      <c r="E1932" s="41">
        <v>0.5</v>
      </c>
      <c r="F1932" s="41">
        <v>0.5</v>
      </c>
      <c r="G1932" s="41">
        <v>0.5</v>
      </c>
      <c r="H1932" s="41">
        <v>0</v>
      </c>
      <c r="I1932" s="41">
        <v>0</v>
      </c>
      <c r="J1932" s="41">
        <v>0</v>
      </c>
      <c r="K1932" s="453"/>
      <c r="L1932" s="453"/>
      <c r="M1932" s="453"/>
      <c r="N1932" s="453"/>
      <c r="O1932" s="453"/>
      <c r="P1932" s="1617"/>
      <c r="Q1932" s="453"/>
      <c r="R1932" s="453"/>
      <c r="S1932" s="453"/>
      <c r="T1932" s="453"/>
      <c r="U1932" s="453"/>
      <c r="V1932" s="453"/>
      <c r="W1932" s="453"/>
    </row>
    <row r="1933" spans="1:25" s="21" customFormat="1" x14ac:dyDescent="0.2">
      <c r="A1933" s="20" t="s">
        <v>1484</v>
      </c>
      <c r="B1933" s="41">
        <v>0.5</v>
      </c>
      <c r="C1933" s="41">
        <v>0.5</v>
      </c>
      <c r="D1933" s="41">
        <v>0.5</v>
      </c>
      <c r="E1933" s="41">
        <v>0.5</v>
      </c>
      <c r="F1933" s="41">
        <v>0.5</v>
      </c>
      <c r="G1933" s="41">
        <v>0.5</v>
      </c>
      <c r="H1933" s="41">
        <v>0</v>
      </c>
      <c r="I1933" s="41">
        <v>0</v>
      </c>
      <c r="J1933" s="41">
        <v>0</v>
      </c>
      <c r="K1933" s="453"/>
      <c r="L1933" s="453"/>
      <c r="M1933" s="453"/>
      <c r="N1933" s="453"/>
      <c r="O1933" s="453"/>
      <c r="P1933" s="1617"/>
      <c r="Q1933" s="453"/>
      <c r="R1933" s="453"/>
      <c r="S1933" s="453"/>
      <c r="T1933" s="453"/>
      <c r="U1933" s="453"/>
      <c r="V1933" s="453"/>
      <c r="W1933" s="453"/>
    </row>
    <row r="1934" spans="1:25" s="21" customFormat="1" x14ac:dyDescent="0.2">
      <c r="A1934" s="20" t="s">
        <v>1485</v>
      </c>
      <c r="B1934" s="41">
        <v>0.5</v>
      </c>
      <c r="C1934" s="41">
        <v>0.5</v>
      </c>
      <c r="D1934" s="41">
        <v>0.5</v>
      </c>
      <c r="E1934" s="41">
        <v>0.5</v>
      </c>
      <c r="F1934" s="41">
        <v>0.5</v>
      </c>
      <c r="G1934" s="41">
        <v>0.5</v>
      </c>
      <c r="H1934" s="41">
        <v>0</v>
      </c>
      <c r="I1934" s="41">
        <v>0</v>
      </c>
      <c r="J1934" s="41">
        <v>0</v>
      </c>
      <c r="K1934" s="453"/>
      <c r="L1934" s="453"/>
      <c r="M1934" s="453"/>
      <c r="N1934" s="453"/>
      <c r="O1934" s="453"/>
      <c r="P1934" s="1617"/>
      <c r="Q1934" s="453"/>
      <c r="R1934" s="453"/>
      <c r="S1934" s="453"/>
      <c r="T1934" s="453"/>
      <c r="U1934" s="453"/>
      <c r="V1934" s="453"/>
      <c r="W1934" s="453"/>
    </row>
    <row r="1935" spans="1:25" s="21" customFormat="1" x14ac:dyDescent="0.2">
      <c r="A1935" s="20" t="s">
        <v>1486</v>
      </c>
      <c r="B1935" s="41">
        <v>0.5</v>
      </c>
      <c r="C1935" s="41">
        <v>0.5</v>
      </c>
      <c r="D1935" s="41">
        <v>0.5</v>
      </c>
      <c r="E1935" s="41">
        <v>0.5</v>
      </c>
      <c r="F1935" s="41">
        <v>0.5</v>
      </c>
      <c r="G1935" s="41">
        <v>0.5</v>
      </c>
      <c r="H1935" s="41">
        <v>0</v>
      </c>
      <c r="I1935" s="41">
        <v>0</v>
      </c>
      <c r="J1935" s="41">
        <v>0</v>
      </c>
      <c r="K1935" s="453"/>
      <c r="L1935" s="453"/>
      <c r="M1935" s="453"/>
      <c r="N1935" s="453"/>
      <c r="O1935" s="453"/>
      <c r="P1935" s="1617"/>
      <c r="Q1935" s="453"/>
      <c r="R1935" s="453"/>
      <c r="S1935" s="453"/>
      <c r="T1935" s="453"/>
      <c r="U1935" s="453"/>
      <c r="V1935" s="453"/>
      <c r="W1935" s="453"/>
    </row>
    <row r="1936" spans="1:25" s="21" customFormat="1" x14ac:dyDescent="0.2">
      <c r="A1936" s="20" t="s">
        <v>1487</v>
      </c>
      <c r="B1936" s="41">
        <v>0</v>
      </c>
      <c r="C1936" s="41">
        <v>0</v>
      </c>
      <c r="D1936" s="41">
        <v>0</v>
      </c>
      <c r="E1936" s="41">
        <v>0</v>
      </c>
      <c r="F1936" s="41">
        <v>0</v>
      </c>
      <c r="G1936" s="41">
        <v>0</v>
      </c>
      <c r="H1936" s="41">
        <v>0</v>
      </c>
      <c r="I1936" s="41">
        <v>0</v>
      </c>
      <c r="J1936" s="41">
        <v>0</v>
      </c>
      <c r="K1936" s="453"/>
      <c r="L1936" s="453"/>
      <c r="M1936" s="453"/>
      <c r="N1936" s="453"/>
      <c r="O1936" s="453"/>
      <c r="P1936" s="1617"/>
      <c r="Q1936" s="453"/>
      <c r="R1936" s="453"/>
      <c r="S1936" s="453"/>
      <c r="T1936" s="453"/>
      <c r="U1936" s="453"/>
      <c r="V1936" s="453"/>
      <c r="W1936" s="453"/>
    </row>
    <row r="1937" spans="1:25" s="21" customFormat="1" x14ac:dyDescent="0.2">
      <c r="A1937" s="20" t="s">
        <v>1488</v>
      </c>
      <c r="B1937" s="41">
        <v>0</v>
      </c>
      <c r="C1937" s="41">
        <v>0</v>
      </c>
      <c r="D1937" s="41">
        <v>0</v>
      </c>
      <c r="E1937" s="41">
        <v>0</v>
      </c>
      <c r="F1937" s="41">
        <v>0</v>
      </c>
      <c r="G1937" s="41">
        <v>0</v>
      </c>
      <c r="H1937" s="41">
        <v>0</v>
      </c>
      <c r="I1937" s="41">
        <v>0</v>
      </c>
      <c r="J1937" s="41">
        <v>0</v>
      </c>
      <c r="K1937" s="453"/>
      <c r="L1937" s="453"/>
      <c r="M1937" s="453"/>
      <c r="N1937" s="453"/>
      <c r="O1937" s="453"/>
      <c r="P1937" s="1617"/>
      <c r="Q1937" s="453"/>
      <c r="R1937" s="453"/>
      <c r="S1937" s="453"/>
      <c r="T1937" s="453"/>
      <c r="U1937" s="453"/>
      <c r="V1937" s="453"/>
      <c r="W1937" s="453"/>
    </row>
    <row r="1938" spans="1:25" s="21" customFormat="1" x14ac:dyDescent="0.2">
      <c r="A1938" s="20" t="s">
        <v>1489</v>
      </c>
      <c r="B1938" s="41">
        <v>0</v>
      </c>
      <c r="C1938" s="41">
        <v>0</v>
      </c>
      <c r="D1938" s="41">
        <v>0</v>
      </c>
      <c r="E1938" s="41">
        <v>0</v>
      </c>
      <c r="F1938" s="41">
        <v>0</v>
      </c>
      <c r="G1938" s="41">
        <v>0</v>
      </c>
      <c r="H1938" s="41">
        <v>0</v>
      </c>
      <c r="I1938" s="41">
        <v>0</v>
      </c>
      <c r="J1938" s="41">
        <v>0</v>
      </c>
      <c r="K1938" s="453"/>
      <c r="L1938" s="453"/>
      <c r="M1938" s="453"/>
      <c r="N1938" s="453"/>
      <c r="O1938" s="453"/>
      <c r="P1938" s="1617"/>
      <c r="Q1938" s="453"/>
      <c r="R1938" s="453"/>
      <c r="S1938" s="453"/>
      <c r="T1938" s="453"/>
      <c r="U1938" s="453"/>
      <c r="V1938" s="453"/>
      <c r="W1938" s="453"/>
    </row>
    <row r="1939" spans="1:25" s="292" customFormat="1" x14ac:dyDescent="0.2">
      <c r="A1939" s="37" t="s">
        <v>1359</v>
      </c>
      <c r="B1939" s="42">
        <v>0</v>
      </c>
      <c r="C1939" s="42">
        <v>0</v>
      </c>
      <c r="D1939" s="42">
        <v>0</v>
      </c>
      <c r="E1939" s="42">
        <v>0</v>
      </c>
      <c r="F1939" s="42">
        <v>0</v>
      </c>
      <c r="G1939" s="42">
        <v>0</v>
      </c>
      <c r="H1939" s="42">
        <v>0</v>
      </c>
      <c r="I1939" s="42">
        <v>0</v>
      </c>
      <c r="J1939" s="42">
        <v>0</v>
      </c>
      <c r="K1939" s="1074"/>
      <c r="L1939" s="1074"/>
      <c r="M1939" s="1074"/>
      <c r="N1939" s="1074"/>
      <c r="O1939" s="1074"/>
      <c r="P1939" s="1618"/>
      <c r="Q1939" s="1074"/>
      <c r="R1939" s="1074"/>
      <c r="S1939" s="1074"/>
      <c r="T1939" s="1074"/>
      <c r="U1939" s="1074"/>
      <c r="V1939" s="1074"/>
      <c r="W1939" s="1074"/>
    </row>
    <row r="1940" spans="1:25" s="292" customFormat="1" x14ac:dyDescent="0.2">
      <c r="A1940" s="1073" t="s">
        <v>2076</v>
      </c>
    </row>
    <row r="1941" spans="1:25" s="292" customFormat="1" x14ac:dyDescent="0.2"/>
    <row r="1942" spans="1:25" s="535" customFormat="1" x14ac:dyDescent="0.2">
      <c r="A1942" s="516"/>
    </row>
    <row r="1944" spans="1:25" s="125" customFormat="1" x14ac:dyDescent="0.2">
      <c r="A1944" s="377" t="s">
        <v>2096</v>
      </c>
      <c r="D1944" s="1075"/>
      <c r="E1944" s="1075"/>
      <c r="F1944" s="1075"/>
      <c r="G1944" s="1075"/>
      <c r="H1944" s="1075"/>
      <c r="I1944" s="1075"/>
    </row>
    <row r="1945" spans="1:25" s="773" customFormat="1" ht="16.25" customHeight="1" x14ac:dyDescent="0.2">
      <c r="A1945" s="753"/>
      <c r="B1945" s="442" t="s">
        <v>2097</v>
      </c>
      <c r="C1945" s="442" t="s">
        <v>2097</v>
      </c>
      <c r="D1945" s="442" t="s">
        <v>2097</v>
      </c>
      <c r="E1945" s="442" t="s">
        <v>2097</v>
      </c>
      <c r="F1945" s="442" t="s">
        <v>2097</v>
      </c>
      <c r="G1945" s="442" t="s">
        <v>2097</v>
      </c>
      <c r="H1945" s="442"/>
      <c r="I1945" s="442"/>
      <c r="J1945" s="442"/>
      <c r="K1945" s="442"/>
      <c r="L1945" s="442"/>
      <c r="M1945" s="442"/>
      <c r="N1945" s="442"/>
      <c r="O1945" s="442"/>
      <c r="P1945" s="532"/>
      <c r="Q1945" s="442"/>
      <c r="R1945" s="442"/>
      <c r="S1945" s="442"/>
      <c r="T1945" s="442"/>
      <c r="U1945" s="442"/>
      <c r="V1945" s="442"/>
      <c r="W1945" s="442"/>
    </row>
    <row r="1946" spans="1:25" s="291" customFormat="1" x14ac:dyDescent="0.2">
      <c r="A1946" s="293" t="s">
        <v>1963</v>
      </c>
      <c r="B1946" s="426" t="s">
        <v>2069</v>
      </c>
      <c r="C1946" s="426" t="s">
        <v>2070</v>
      </c>
      <c r="D1946" s="426" t="s">
        <v>2071</v>
      </c>
      <c r="E1946" s="426" t="s">
        <v>2072</v>
      </c>
      <c r="F1946" s="426" t="s">
        <v>1384</v>
      </c>
      <c r="G1946" s="426" t="s">
        <v>1396</v>
      </c>
      <c r="H1946" s="426" t="s">
        <v>2073</v>
      </c>
      <c r="I1946" s="426" t="s">
        <v>2074</v>
      </c>
      <c r="J1946" s="426" t="s">
        <v>1592</v>
      </c>
      <c r="K1946" s="453"/>
      <c r="L1946" s="453"/>
      <c r="M1946" s="453"/>
      <c r="N1946" s="453"/>
      <c r="O1946" s="453"/>
      <c r="P1946" s="1616"/>
      <c r="Q1946" s="453"/>
      <c r="R1946" s="453"/>
      <c r="S1946" s="453"/>
      <c r="T1946" s="453"/>
      <c r="U1946" s="453"/>
      <c r="V1946" s="453"/>
      <c r="W1946" s="453"/>
      <c r="X1946" s="21"/>
      <c r="Y1946" s="21"/>
    </row>
    <row r="1947" spans="1:25" s="21" customFormat="1" x14ac:dyDescent="0.2">
      <c r="A1947" s="255" t="s">
        <v>57</v>
      </c>
      <c r="B1947" s="426" t="s">
        <v>2095</v>
      </c>
      <c r="C1947" s="426" t="s">
        <v>2095</v>
      </c>
      <c r="D1947" s="426" t="s">
        <v>2095</v>
      </c>
      <c r="E1947" s="426" t="s">
        <v>2095</v>
      </c>
      <c r="F1947" s="426" t="s">
        <v>2095</v>
      </c>
      <c r="G1947" s="426" t="s">
        <v>2095</v>
      </c>
      <c r="H1947" s="426" t="s">
        <v>2095</v>
      </c>
      <c r="I1947" s="426" t="s">
        <v>2095</v>
      </c>
      <c r="J1947" s="426" t="s">
        <v>2095</v>
      </c>
      <c r="K1947" s="453"/>
      <c r="L1947" s="453"/>
      <c r="M1947" s="453"/>
      <c r="N1947" s="453"/>
      <c r="O1947" s="453"/>
      <c r="P1947" s="453"/>
      <c r="Q1947" s="453"/>
      <c r="R1947" s="453"/>
      <c r="S1947" s="453"/>
      <c r="T1947" s="453"/>
      <c r="U1947" s="453"/>
      <c r="V1947" s="453"/>
      <c r="W1947" s="453"/>
    </row>
    <row r="1948" spans="1:25" s="21" customFormat="1" x14ac:dyDescent="0.2">
      <c r="A1948" s="20" t="s">
        <v>1490</v>
      </c>
      <c r="B1948" s="41">
        <v>0.08</v>
      </c>
      <c r="C1948" s="41">
        <v>0.08</v>
      </c>
      <c r="D1948" s="41">
        <v>0.08</v>
      </c>
      <c r="E1948" s="41">
        <v>0.08</v>
      </c>
      <c r="F1948" s="41">
        <v>0.08</v>
      </c>
      <c r="G1948" s="41">
        <v>0.08</v>
      </c>
      <c r="H1948" s="44">
        <v>0</v>
      </c>
      <c r="I1948" s="44">
        <v>0</v>
      </c>
      <c r="J1948" s="44">
        <v>0</v>
      </c>
      <c r="K1948" s="453"/>
      <c r="L1948" s="453"/>
      <c r="M1948" s="453"/>
      <c r="N1948" s="453"/>
      <c r="O1948" s="453"/>
      <c r="P1948" s="1617"/>
      <c r="Q1948" s="453"/>
      <c r="R1948" s="453"/>
      <c r="S1948" s="453"/>
      <c r="T1948" s="453"/>
      <c r="U1948" s="453"/>
      <c r="V1948" s="453"/>
      <c r="W1948" s="453"/>
    </row>
    <row r="1949" spans="1:25" s="21" customFormat="1" x14ac:dyDescent="0.2">
      <c r="A1949" s="20" t="s">
        <v>1491</v>
      </c>
      <c r="B1949" s="41">
        <v>0.08</v>
      </c>
      <c r="C1949" s="41">
        <v>0.08</v>
      </c>
      <c r="D1949" s="41">
        <v>0.08</v>
      </c>
      <c r="E1949" s="41">
        <v>0.08</v>
      </c>
      <c r="F1949" s="41">
        <v>0.08</v>
      </c>
      <c r="G1949" s="41">
        <v>0.08</v>
      </c>
      <c r="H1949" s="41">
        <v>0</v>
      </c>
      <c r="I1949" s="41">
        <v>0</v>
      </c>
      <c r="J1949" s="41">
        <v>0</v>
      </c>
      <c r="K1949" s="453"/>
      <c r="L1949" s="453"/>
      <c r="M1949" s="453"/>
      <c r="N1949" s="453"/>
      <c r="O1949" s="453"/>
      <c r="P1949" s="1617"/>
      <c r="Q1949" s="453"/>
      <c r="R1949" s="453"/>
      <c r="S1949" s="453"/>
      <c r="T1949" s="453"/>
      <c r="U1949" s="453"/>
      <c r="V1949" s="453"/>
      <c r="W1949" s="453"/>
    </row>
    <row r="1950" spans="1:25" s="21" customFormat="1" x14ac:dyDescent="0.2">
      <c r="A1950" s="20" t="s">
        <v>1483</v>
      </c>
      <c r="B1950" s="41">
        <v>0.24</v>
      </c>
      <c r="C1950" s="41">
        <v>0.24</v>
      </c>
      <c r="D1950" s="41">
        <v>0.24</v>
      </c>
      <c r="E1950" s="41">
        <v>0.24</v>
      </c>
      <c r="F1950" s="41">
        <v>0.24</v>
      </c>
      <c r="G1950" s="41">
        <v>0.24</v>
      </c>
      <c r="H1950" s="41">
        <v>0</v>
      </c>
      <c r="I1950" s="41">
        <v>0</v>
      </c>
      <c r="J1950" s="41">
        <v>0</v>
      </c>
      <c r="K1950" s="453"/>
      <c r="L1950" s="453"/>
      <c r="M1950" s="453"/>
      <c r="N1950" s="453"/>
      <c r="O1950" s="453"/>
      <c r="P1950" s="1617"/>
      <c r="Q1950" s="453"/>
      <c r="R1950" s="453"/>
      <c r="S1950" s="453"/>
      <c r="T1950" s="453"/>
      <c r="U1950" s="453"/>
      <c r="V1950" s="453"/>
      <c r="W1950" s="453"/>
    </row>
    <row r="1951" spans="1:25" s="21" customFormat="1" x14ac:dyDescent="0.2">
      <c r="A1951" s="20" t="s">
        <v>1484</v>
      </c>
      <c r="B1951" s="41">
        <v>0.24</v>
      </c>
      <c r="C1951" s="41">
        <v>0.24</v>
      </c>
      <c r="D1951" s="41">
        <v>0.24</v>
      </c>
      <c r="E1951" s="41">
        <v>0.24</v>
      </c>
      <c r="F1951" s="41">
        <v>0.24</v>
      </c>
      <c r="G1951" s="41">
        <v>0.24</v>
      </c>
      <c r="H1951" s="41">
        <v>0</v>
      </c>
      <c r="I1951" s="41">
        <v>0</v>
      </c>
      <c r="J1951" s="41">
        <v>0</v>
      </c>
      <c r="K1951" s="453"/>
      <c r="L1951" s="453"/>
      <c r="M1951" s="453"/>
      <c r="N1951" s="453"/>
      <c r="O1951" s="453"/>
      <c r="P1951" s="1617"/>
      <c r="Q1951" s="453"/>
      <c r="R1951" s="453"/>
      <c r="S1951" s="453"/>
      <c r="T1951" s="453"/>
      <c r="U1951" s="453"/>
      <c r="V1951" s="453"/>
      <c r="W1951" s="453"/>
    </row>
    <row r="1952" spans="1:25" s="21" customFormat="1" x14ac:dyDescent="0.2">
      <c r="A1952" s="20" t="s">
        <v>1485</v>
      </c>
      <c r="B1952" s="41">
        <v>0.24</v>
      </c>
      <c r="C1952" s="41">
        <v>0.24</v>
      </c>
      <c r="D1952" s="41">
        <v>0.24</v>
      </c>
      <c r="E1952" s="41">
        <v>0.24</v>
      </c>
      <c r="F1952" s="41">
        <v>0.24</v>
      </c>
      <c r="G1952" s="41">
        <v>0.24</v>
      </c>
      <c r="H1952" s="41">
        <v>0</v>
      </c>
      <c r="I1952" s="41">
        <v>0</v>
      </c>
      <c r="J1952" s="41">
        <v>0</v>
      </c>
      <c r="K1952" s="453"/>
      <c r="L1952" s="453"/>
      <c r="M1952" s="453"/>
      <c r="N1952" s="453"/>
      <c r="O1952" s="453"/>
      <c r="P1952" s="1617"/>
      <c r="Q1952" s="453"/>
      <c r="R1952" s="453"/>
      <c r="S1952" s="453"/>
      <c r="T1952" s="453"/>
      <c r="U1952" s="453"/>
      <c r="V1952" s="453"/>
      <c r="W1952" s="453"/>
    </row>
    <row r="1953" spans="1:25" s="21" customFormat="1" x14ac:dyDescent="0.2">
      <c r="A1953" s="20" t="s">
        <v>1486</v>
      </c>
      <c r="B1953" s="41">
        <v>0.24</v>
      </c>
      <c r="C1953" s="41">
        <v>0.24</v>
      </c>
      <c r="D1953" s="41">
        <v>0.24</v>
      </c>
      <c r="E1953" s="41">
        <v>0.24</v>
      </c>
      <c r="F1953" s="41">
        <v>0.24</v>
      </c>
      <c r="G1953" s="41">
        <v>0.24</v>
      </c>
      <c r="H1953" s="41">
        <v>0</v>
      </c>
      <c r="I1953" s="41">
        <v>0</v>
      </c>
      <c r="J1953" s="41">
        <v>0</v>
      </c>
      <c r="K1953" s="453"/>
      <c r="L1953" s="453"/>
      <c r="M1953" s="453"/>
      <c r="N1953" s="453"/>
      <c r="O1953" s="453"/>
      <c r="P1953" s="1617"/>
      <c r="Q1953" s="453"/>
      <c r="R1953" s="453"/>
      <c r="S1953" s="453"/>
      <c r="T1953" s="453"/>
      <c r="U1953" s="453"/>
      <c r="V1953" s="453"/>
      <c r="W1953" s="453"/>
    </row>
    <row r="1954" spans="1:25" s="21" customFormat="1" x14ac:dyDescent="0.2">
      <c r="A1954" s="20" t="s">
        <v>1487</v>
      </c>
      <c r="B1954" s="41">
        <v>0.51</v>
      </c>
      <c r="C1954" s="41">
        <v>0.51</v>
      </c>
      <c r="D1954" s="41">
        <v>0.51</v>
      </c>
      <c r="E1954" s="41">
        <v>0.51</v>
      </c>
      <c r="F1954" s="41">
        <v>0.51</v>
      </c>
      <c r="G1954" s="41">
        <v>0.51</v>
      </c>
      <c r="H1954" s="41">
        <v>0</v>
      </c>
      <c r="I1954" s="41">
        <v>0</v>
      </c>
      <c r="J1954" s="41">
        <v>0</v>
      </c>
      <c r="K1954" s="453"/>
      <c r="L1954" s="453"/>
      <c r="M1954" s="453"/>
      <c r="N1954" s="453"/>
      <c r="O1954" s="453"/>
      <c r="P1954" s="1617"/>
      <c r="Q1954" s="453"/>
      <c r="R1954" s="453"/>
      <c r="S1954" s="453"/>
      <c r="T1954" s="453"/>
      <c r="U1954" s="453"/>
      <c r="V1954" s="453"/>
      <c r="W1954" s="453"/>
    </row>
    <row r="1955" spans="1:25" s="21" customFormat="1" x14ac:dyDescent="0.2">
      <c r="A1955" s="20" t="s">
        <v>1488</v>
      </c>
      <c r="B1955" s="41">
        <v>0.51</v>
      </c>
      <c r="C1955" s="41">
        <v>0.51</v>
      </c>
      <c r="D1955" s="41">
        <v>0.51</v>
      </c>
      <c r="E1955" s="41">
        <v>0.51</v>
      </c>
      <c r="F1955" s="41">
        <v>0.51</v>
      </c>
      <c r="G1955" s="41">
        <v>0.51</v>
      </c>
      <c r="H1955" s="41">
        <v>0</v>
      </c>
      <c r="I1955" s="41">
        <v>0</v>
      </c>
      <c r="J1955" s="41">
        <v>0</v>
      </c>
      <c r="K1955" s="453"/>
      <c r="L1955" s="453"/>
      <c r="M1955" s="453"/>
      <c r="N1955" s="453"/>
      <c r="O1955" s="453"/>
      <c r="P1955" s="1617"/>
      <c r="Q1955" s="453"/>
      <c r="R1955" s="453"/>
      <c r="S1955" s="453"/>
      <c r="T1955" s="453"/>
      <c r="U1955" s="453"/>
      <c r="V1955" s="453"/>
      <c r="W1955" s="453"/>
    </row>
    <row r="1956" spans="1:25" s="21" customFormat="1" x14ac:dyDescent="0.2">
      <c r="A1956" s="20" t="s">
        <v>1489</v>
      </c>
      <c r="B1956" s="41">
        <v>0.51</v>
      </c>
      <c r="C1956" s="41">
        <v>0.51</v>
      </c>
      <c r="D1956" s="41">
        <v>0.51</v>
      </c>
      <c r="E1956" s="41">
        <v>0.51</v>
      </c>
      <c r="F1956" s="41">
        <v>0.51</v>
      </c>
      <c r="G1956" s="41">
        <v>0.51</v>
      </c>
      <c r="H1956" s="41">
        <v>0</v>
      </c>
      <c r="I1956" s="41">
        <v>0</v>
      </c>
      <c r="J1956" s="41">
        <v>0</v>
      </c>
      <c r="K1956" s="453"/>
      <c r="L1956" s="453"/>
      <c r="M1956" s="453"/>
      <c r="N1956" s="453"/>
      <c r="O1956" s="453"/>
      <c r="P1956" s="1617"/>
      <c r="Q1956" s="453"/>
      <c r="R1956" s="453"/>
      <c r="S1956" s="453"/>
      <c r="T1956" s="453"/>
      <c r="U1956" s="453"/>
      <c r="V1956" s="453"/>
      <c r="W1956" s="453"/>
    </row>
    <row r="1957" spans="1:25" s="292" customFormat="1" x14ac:dyDescent="0.2">
      <c r="A1957" s="37" t="s">
        <v>1359</v>
      </c>
      <c r="B1957" s="42">
        <v>0.51</v>
      </c>
      <c r="C1957" s="42">
        <v>0.51</v>
      </c>
      <c r="D1957" s="42">
        <v>0.51</v>
      </c>
      <c r="E1957" s="42">
        <v>0.51</v>
      </c>
      <c r="F1957" s="42">
        <v>0.51</v>
      </c>
      <c r="G1957" s="42">
        <v>0.51</v>
      </c>
      <c r="H1957" s="42">
        <v>0</v>
      </c>
      <c r="I1957" s="42">
        <v>0</v>
      </c>
      <c r="J1957" s="42">
        <v>0</v>
      </c>
      <c r="K1957" s="1074"/>
      <c r="L1957" s="1074"/>
      <c r="M1957" s="1074"/>
      <c r="N1957" s="1074"/>
      <c r="O1957" s="1074"/>
      <c r="P1957" s="1618"/>
      <c r="Q1957" s="1074"/>
      <c r="R1957" s="1074"/>
      <c r="S1957" s="1074"/>
      <c r="T1957" s="1074"/>
      <c r="U1957" s="1074"/>
      <c r="V1957" s="1074"/>
      <c r="W1957" s="1074"/>
    </row>
    <row r="1958" spans="1:25" s="292" customFormat="1" x14ac:dyDescent="0.2">
      <c r="A1958" s="1073" t="s">
        <v>2076</v>
      </c>
    </row>
    <row r="1959" spans="1:25" s="292" customFormat="1" x14ac:dyDescent="0.2"/>
    <row r="1960" spans="1:25" s="535" customFormat="1" x14ac:dyDescent="0.2">
      <c r="A1960" s="516"/>
    </row>
    <row r="1962" spans="1:25" s="125" customFormat="1" x14ac:dyDescent="0.2">
      <c r="A1962" s="377" t="s">
        <v>2098</v>
      </c>
      <c r="D1962" s="1075"/>
      <c r="E1962" s="1075"/>
      <c r="F1962" s="1075"/>
      <c r="G1962" s="1075"/>
      <c r="H1962" s="1075"/>
      <c r="I1962" s="1075"/>
    </row>
    <row r="1963" spans="1:25" s="773" customFormat="1" ht="16.25" customHeight="1" x14ac:dyDescent="0.2">
      <c r="A1963" s="753" t="s">
        <v>2090</v>
      </c>
      <c r="B1963" s="442" t="s">
        <v>2099</v>
      </c>
      <c r="C1963" s="442" t="s">
        <v>2099</v>
      </c>
      <c r="D1963" s="442" t="s">
        <v>2099</v>
      </c>
      <c r="E1963" s="442" t="s">
        <v>2099</v>
      </c>
      <c r="F1963" s="442" t="s">
        <v>2099</v>
      </c>
      <c r="G1963" s="442" t="s">
        <v>2099</v>
      </c>
      <c r="H1963" s="442"/>
      <c r="I1963" s="442"/>
      <c r="J1963" s="442"/>
      <c r="K1963" s="442"/>
      <c r="L1963" s="442"/>
      <c r="M1963" s="442"/>
      <c r="N1963" s="442"/>
      <c r="O1963" s="442"/>
      <c r="P1963" s="532"/>
      <c r="Q1963" s="442"/>
      <c r="R1963" s="442"/>
      <c r="S1963" s="442"/>
      <c r="T1963" s="442"/>
      <c r="U1963" s="442"/>
      <c r="V1963" s="442"/>
      <c r="W1963" s="442"/>
    </row>
    <row r="1964" spans="1:25" s="291" customFormat="1" x14ac:dyDescent="0.2">
      <c r="A1964" s="293" t="s">
        <v>1963</v>
      </c>
      <c r="B1964" s="426" t="s">
        <v>2069</v>
      </c>
      <c r="C1964" s="426" t="s">
        <v>2070</v>
      </c>
      <c r="D1964" s="426" t="s">
        <v>2071</v>
      </c>
      <c r="E1964" s="426" t="s">
        <v>2072</v>
      </c>
      <c r="F1964" s="426" t="s">
        <v>1384</v>
      </c>
      <c r="G1964" s="426" t="s">
        <v>1396</v>
      </c>
      <c r="H1964" s="426" t="s">
        <v>2073</v>
      </c>
      <c r="I1964" s="426" t="s">
        <v>2074</v>
      </c>
      <c r="J1964" s="426" t="s">
        <v>1592</v>
      </c>
      <c r="K1964" s="453"/>
      <c r="L1964" s="453"/>
      <c r="M1964" s="453"/>
      <c r="N1964" s="453"/>
      <c r="O1964" s="453"/>
      <c r="P1964" s="1616"/>
      <c r="Q1964" s="453"/>
      <c r="R1964" s="453"/>
      <c r="S1964" s="453"/>
      <c r="T1964" s="453"/>
      <c r="U1964" s="453"/>
      <c r="V1964" s="453"/>
      <c r="W1964" s="453"/>
      <c r="X1964" s="21"/>
      <c r="Y1964" s="21"/>
    </row>
    <row r="1965" spans="1:25" s="21" customFormat="1" x14ac:dyDescent="0.2">
      <c r="A1965" s="255" t="s">
        <v>57</v>
      </c>
      <c r="B1965" s="426" t="s">
        <v>1050</v>
      </c>
      <c r="C1965" s="426" t="s">
        <v>1050</v>
      </c>
      <c r="D1965" s="426" t="s">
        <v>1050</v>
      </c>
      <c r="E1965" s="426" t="s">
        <v>1050</v>
      </c>
      <c r="F1965" s="426" t="s">
        <v>1050</v>
      </c>
      <c r="G1965" s="426" t="s">
        <v>1050</v>
      </c>
      <c r="H1965" s="426" t="s">
        <v>1050</v>
      </c>
      <c r="I1965" s="426" t="s">
        <v>1050</v>
      </c>
      <c r="J1965" s="426" t="s">
        <v>1050</v>
      </c>
      <c r="K1965" s="453"/>
      <c r="L1965" s="453"/>
      <c r="M1965" s="453"/>
      <c r="N1965" s="453"/>
      <c r="O1965" s="453"/>
      <c r="P1965" s="453"/>
      <c r="Q1965" s="453"/>
      <c r="R1965" s="453"/>
      <c r="S1965" s="453"/>
      <c r="T1965" s="453"/>
      <c r="U1965" s="453"/>
      <c r="V1965" s="453"/>
      <c r="W1965" s="453"/>
    </row>
    <row r="1966" spans="1:25" s="21" customFormat="1" x14ac:dyDescent="0.2">
      <c r="A1966" s="20" t="s">
        <v>1490</v>
      </c>
      <c r="B1966" s="41">
        <v>41</v>
      </c>
      <c r="C1966" s="41">
        <v>41</v>
      </c>
      <c r="D1966" s="41">
        <v>41</v>
      </c>
      <c r="E1966" s="41">
        <v>41</v>
      </c>
      <c r="F1966" s="41">
        <v>41</v>
      </c>
      <c r="G1966" s="41">
        <v>41</v>
      </c>
      <c r="H1966" s="44">
        <v>0</v>
      </c>
      <c r="I1966" s="44">
        <v>0</v>
      </c>
      <c r="J1966" s="44">
        <v>0</v>
      </c>
      <c r="K1966" s="453"/>
      <c r="L1966" s="453"/>
      <c r="M1966" s="453"/>
      <c r="N1966" s="453"/>
      <c r="O1966" s="453"/>
      <c r="P1966" s="1617"/>
      <c r="Q1966" s="453"/>
      <c r="R1966" s="453"/>
      <c r="S1966" s="453"/>
      <c r="T1966" s="453"/>
      <c r="U1966" s="453"/>
      <c r="V1966" s="453"/>
      <c r="W1966" s="453"/>
    </row>
    <row r="1967" spans="1:25" s="21" customFormat="1" x14ac:dyDescent="0.2">
      <c r="A1967" s="20" t="s">
        <v>1491</v>
      </c>
      <c r="B1967" s="41">
        <v>41</v>
      </c>
      <c r="C1967" s="41">
        <v>41</v>
      </c>
      <c r="D1967" s="41">
        <v>41</v>
      </c>
      <c r="E1967" s="41">
        <v>41</v>
      </c>
      <c r="F1967" s="41">
        <v>41</v>
      </c>
      <c r="G1967" s="41">
        <v>41</v>
      </c>
      <c r="H1967" s="41">
        <v>0</v>
      </c>
      <c r="I1967" s="41">
        <v>0</v>
      </c>
      <c r="J1967" s="41">
        <v>0</v>
      </c>
      <c r="K1967" s="453"/>
      <c r="L1967" s="453"/>
      <c r="M1967" s="453"/>
      <c r="N1967" s="453"/>
      <c r="O1967" s="453"/>
      <c r="P1967" s="1617"/>
      <c r="Q1967" s="453"/>
      <c r="R1967" s="453"/>
      <c r="S1967" s="453"/>
      <c r="T1967" s="453"/>
      <c r="U1967" s="453"/>
      <c r="V1967" s="453"/>
      <c r="W1967" s="453"/>
    </row>
    <row r="1968" spans="1:25" s="21" customFormat="1" x14ac:dyDescent="0.2">
      <c r="A1968" s="20" t="s">
        <v>1483</v>
      </c>
      <c r="B1968" s="41">
        <v>92</v>
      </c>
      <c r="C1968" s="41">
        <v>92</v>
      </c>
      <c r="D1968" s="41">
        <v>92</v>
      </c>
      <c r="E1968" s="41">
        <v>92</v>
      </c>
      <c r="F1968" s="41">
        <v>92</v>
      </c>
      <c r="G1968" s="41">
        <v>92</v>
      </c>
      <c r="H1968" s="41">
        <v>0</v>
      </c>
      <c r="I1968" s="41">
        <v>0</v>
      </c>
      <c r="J1968" s="41">
        <v>0</v>
      </c>
      <c r="K1968" s="453"/>
      <c r="L1968" s="453"/>
      <c r="M1968" s="453"/>
      <c r="N1968" s="453"/>
      <c r="O1968" s="453"/>
      <c r="P1968" s="1617"/>
      <c r="Q1968" s="453"/>
      <c r="R1968" s="453"/>
      <c r="S1968" s="453"/>
      <c r="T1968" s="453"/>
      <c r="U1968" s="453"/>
      <c r="V1968" s="453"/>
      <c r="W1968" s="453"/>
    </row>
    <row r="1969" spans="1:25" s="21" customFormat="1" x14ac:dyDescent="0.2">
      <c r="A1969" s="20" t="s">
        <v>1484</v>
      </c>
      <c r="B1969" s="41">
        <v>92</v>
      </c>
      <c r="C1969" s="41">
        <v>92</v>
      </c>
      <c r="D1969" s="41">
        <v>92</v>
      </c>
      <c r="E1969" s="41">
        <v>92</v>
      </c>
      <c r="F1969" s="41">
        <v>92</v>
      </c>
      <c r="G1969" s="41">
        <v>92</v>
      </c>
      <c r="H1969" s="41">
        <v>0</v>
      </c>
      <c r="I1969" s="41">
        <v>0</v>
      </c>
      <c r="J1969" s="41">
        <v>0</v>
      </c>
      <c r="K1969" s="453"/>
      <c r="L1969" s="453"/>
      <c r="M1969" s="453"/>
      <c r="N1969" s="453"/>
      <c r="O1969" s="453"/>
      <c r="P1969" s="1617"/>
      <c r="Q1969" s="453"/>
      <c r="R1969" s="453"/>
      <c r="S1969" s="453"/>
      <c r="T1969" s="453"/>
      <c r="U1969" s="453"/>
      <c r="V1969" s="453"/>
      <c r="W1969" s="453"/>
    </row>
    <row r="1970" spans="1:25" s="21" customFormat="1" x14ac:dyDescent="0.2">
      <c r="A1970" s="20" t="s">
        <v>1485</v>
      </c>
      <c r="B1970" s="41">
        <v>92</v>
      </c>
      <c r="C1970" s="41">
        <v>92</v>
      </c>
      <c r="D1970" s="41">
        <v>92</v>
      </c>
      <c r="E1970" s="41">
        <v>92</v>
      </c>
      <c r="F1970" s="41">
        <v>92</v>
      </c>
      <c r="G1970" s="41">
        <v>92</v>
      </c>
      <c r="H1970" s="41">
        <v>0</v>
      </c>
      <c r="I1970" s="41">
        <v>0</v>
      </c>
      <c r="J1970" s="41">
        <v>0</v>
      </c>
      <c r="K1970" s="453"/>
      <c r="L1970" s="453"/>
      <c r="M1970" s="453"/>
      <c r="N1970" s="453"/>
      <c r="O1970" s="453"/>
      <c r="P1970" s="1617"/>
      <c r="Q1970" s="453"/>
      <c r="R1970" s="453"/>
      <c r="S1970" s="453"/>
      <c r="T1970" s="453"/>
      <c r="U1970" s="453"/>
      <c r="V1970" s="453"/>
      <c r="W1970" s="453"/>
    </row>
    <row r="1971" spans="1:25" s="21" customFormat="1" x14ac:dyDescent="0.2">
      <c r="A1971" s="20" t="s">
        <v>1486</v>
      </c>
      <c r="B1971" s="41">
        <v>92</v>
      </c>
      <c r="C1971" s="41">
        <v>92</v>
      </c>
      <c r="D1971" s="41">
        <v>92</v>
      </c>
      <c r="E1971" s="41">
        <v>92</v>
      </c>
      <c r="F1971" s="41">
        <v>92</v>
      </c>
      <c r="G1971" s="41">
        <v>92</v>
      </c>
      <c r="H1971" s="41">
        <v>0</v>
      </c>
      <c r="I1971" s="41">
        <v>0</v>
      </c>
      <c r="J1971" s="41">
        <v>0</v>
      </c>
      <c r="K1971" s="453"/>
      <c r="L1971" s="453"/>
      <c r="M1971" s="453"/>
      <c r="N1971" s="453"/>
      <c r="O1971" s="453"/>
      <c r="P1971" s="1617"/>
      <c r="Q1971" s="453"/>
      <c r="R1971" s="453"/>
      <c r="S1971" s="453"/>
      <c r="T1971" s="453"/>
      <c r="U1971" s="453"/>
      <c r="V1971" s="453"/>
      <c r="W1971" s="453"/>
    </row>
    <row r="1972" spans="1:25" s="21" customFormat="1" x14ac:dyDescent="0.2">
      <c r="A1972" s="20" t="s">
        <v>1487</v>
      </c>
      <c r="B1972" s="41">
        <v>41</v>
      </c>
      <c r="C1972" s="41">
        <v>41</v>
      </c>
      <c r="D1972" s="41">
        <v>41</v>
      </c>
      <c r="E1972" s="41">
        <v>41</v>
      </c>
      <c r="F1972" s="41">
        <v>41</v>
      </c>
      <c r="G1972" s="41">
        <v>41</v>
      </c>
      <c r="H1972" s="41">
        <v>0</v>
      </c>
      <c r="I1972" s="41">
        <v>0</v>
      </c>
      <c r="J1972" s="41">
        <v>0</v>
      </c>
      <c r="K1972" s="453"/>
      <c r="L1972" s="453"/>
      <c r="M1972" s="453"/>
      <c r="N1972" s="453"/>
      <c r="O1972" s="453"/>
      <c r="P1972" s="1617"/>
      <c r="Q1972" s="453"/>
      <c r="R1972" s="453"/>
      <c r="S1972" s="453"/>
      <c r="T1972" s="453"/>
      <c r="U1972" s="453"/>
      <c r="V1972" s="453"/>
      <c r="W1972" s="453"/>
    </row>
    <row r="1973" spans="1:25" s="21" customFormat="1" x14ac:dyDescent="0.2">
      <c r="A1973" s="20" t="s">
        <v>1488</v>
      </c>
      <c r="B1973" s="41">
        <v>41</v>
      </c>
      <c r="C1973" s="41">
        <v>41</v>
      </c>
      <c r="D1973" s="41">
        <v>41</v>
      </c>
      <c r="E1973" s="41">
        <v>41</v>
      </c>
      <c r="F1973" s="41">
        <v>41</v>
      </c>
      <c r="G1973" s="41">
        <v>41</v>
      </c>
      <c r="H1973" s="41">
        <v>0</v>
      </c>
      <c r="I1973" s="41">
        <v>0</v>
      </c>
      <c r="J1973" s="41">
        <v>0</v>
      </c>
      <c r="K1973" s="453"/>
      <c r="L1973" s="453"/>
      <c r="M1973" s="453"/>
      <c r="N1973" s="453"/>
      <c r="O1973" s="453"/>
      <c r="P1973" s="1617"/>
      <c r="Q1973" s="453"/>
      <c r="R1973" s="453"/>
      <c r="S1973" s="453"/>
      <c r="T1973" s="453"/>
      <c r="U1973" s="453"/>
      <c r="V1973" s="453"/>
      <c r="W1973" s="453"/>
    </row>
    <row r="1974" spans="1:25" s="21" customFormat="1" x14ac:dyDescent="0.2">
      <c r="A1974" s="20" t="s">
        <v>1489</v>
      </c>
      <c r="B1974" s="41">
        <v>41</v>
      </c>
      <c r="C1974" s="41">
        <v>41</v>
      </c>
      <c r="D1974" s="41">
        <v>41</v>
      </c>
      <c r="E1974" s="41">
        <v>41</v>
      </c>
      <c r="F1974" s="41">
        <v>41</v>
      </c>
      <c r="G1974" s="41">
        <v>41</v>
      </c>
      <c r="H1974" s="41">
        <v>0</v>
      </c>
      <c r="I1974" s="41">
        <v>0</v>
      </c>
      <c r="J1974" s="41">
        <v>0</v>
      </c>
      <c r="K1974" s="453"/>
      <c r="L1974" s="453"/>
      <c r="M1974" s="453"/>
      <c r="N1974" s="453"/>
      <c r="O1974" s="453"/>
      <c r="P1974" s="1617"/>
      <c r="Q1974" s="453"/>
      <c r="R1974" s="453"/>
      <c r="S1974" s="453"/>
      <c r="T1974" s="453"/>
      <c r="U1974" s="453"/>
      <c r="V1974" s="453"/>
      <c r="W1974" s="453"/>
    </row>
    <row r="1975" spans="1:25" s="292" customFormat="1" x14ac:dyDescent="0.2">
      <c r="A1975" s="37" t="s">
        <v>1359</v>
      </c>
      <c r="B1975" s="42">
        <v>41</v>
      </c>
      <c r="C1975" s="42">
        <v>41</v>
      </c>
      <c r="D1975" s="42">
        <v>41</v>
      </c>
      <c r="E1975" s="42">
        <v>41</v>
      </c>
      <c r="F1975" s="42">
        <v>41</v>
      </c>
      <c r="G1975" s="42">
        <v>41</v>
      </c>
      <c r="H1975" s="42">
        <v>0</v>
      </c>
      <c r="I1975" s="42">
        <v>0</v>
      </c>
      <c r="J1975" s="42">
        <v>0</v>
      </c>
      <c r="K1975" s="1074"/>
      <c r="L1975" s="1074"/>
      <c r="M1975" s="1074"/>
      <c r="N1975" s="1074"/>
      <c r="O1975" s="1074"/>
      <c r="P1975" s="1618"/>
      <c r="Q1975" s="1074"/>
      <c r="R1975" s="1074"/>
      <c r="S1975" s="1074"/>
      <c r="T1975" s="1074"/>
      <c r="U1975" s="1074"/>
      <c r="V1975" s="1074"/>
      <c r="W1975" s="1074"/>
    </row>
    <row r="1976" spans="1:25" s="292" customFormat="1" x14ac:dyDescent="0.2">
      <c r="A1976" s="1073" t="s">
        <v>2076</v>
      </c>
    </row>
    <row r="1977" spans="1:25" s="292" customFormat="1" x14ac:dyDescent="0.2"/>
    <row r="1978" spans="1:25" s="535" customFormat="1" x14ac:dyDescent="0.2">
      <c r="A1978" s="516"/>
    </row>
    <row r="1980" spans="1:25" s="125" customFormat="1" x14ac:dyDescent="0.2">
      <c r="A1980" s="377" t="s">
        <v>2098</v>
      </c>
      <c r="D1980" s="1075"/>
      <c r="E1980" s="1075"/>
      <c r="F1980" s="1075"/>
      <c r="G1980" s="1075"/>
      <c r="H1980" s="1075"/>
      <c r="I1980" s="1075"/>
    </row>
    <row r="1981" spans="1:25" s="773" customFormat="1" ht="16.25" customHeight="1" x14ac:dyDescent="0.2">
      <c r="A1981" s="753" t="s">
        <v>2091</v>
      </c>
      <c r="B1981" s="442" t="s">
        <v>2099</v>
      </c>
      <c r="C1981" s="442" t="s">
        <v>2099</v>
      </c>
      <c r="D1981" s="442" t="s">
        <v>2099</v>
      </c>
      <c r="E1981" s="442" t="s">
        <v>2099</v>
      </c>
      <c r="F1981" s="442" t="s">
        <v>2099</v>
      </c>
      <c r="G1981" s="442" t="s">
        <v>2099</v>
      </c>
      <c r="H1981" s="442"/>
      <c r="I1981" s="442"/>
      <c r="J1981" s="442"/>
      <c r="K1981" s="442"/>
      <c r="L1981" s="442"/>
      <c r="M1981" s="442"/>
      <c r="N1981" s="442"/>
      <c r="O1981" s="442"/>
      <c r="P1981" s="532"/>
      <c r="Q1981" s="442"/>
      <c r="R1981" s="442"/>
      <c r="S1981" s="442"/>
      <c r="T1981" s="442"/>
      <c r="U1981" s="442"/>
      <c r="V1981" s="442"/>
      <c r="W1981" s="442"/>
    </row>
    <row r="1982" spans="1:25" s="291" customFormat="1" x14ac:dyDescent="0.2">
      <c r="A1982" s="293" t="s">
        <v>1963</v>
      </c>
      <c r="B1982" s="426" t="s">
        <v>2069</v>
      </c>
      <c r="C1982" s="426" t="s">
        <v>2070</v>
      </c>
      <c r="D1982" s="426" t="s">
        <v>2071</v>
      </c>
      <c r="E1982" s="426" t="s">
        <v>2072</v>
      </c>
      <c r="F1982" s="426" t="s">
        <v>1384</v>
      </c>
      <c r="G1982" s="426" t="s">
        <v>1396</v>
      </c>
      <c r="H1982" s="426" t="s">
        <v>2073</v>
      </c>
      <c r="I1982" s="426" t="s">
        <v>2074</v>
      </c>
      <c r="J1982" s="426" t="s">
        <v>1592</v>
      </c>
      <c r="K1982" s="453"/>
      <c r="L1982" s="453"/>
      <c r="M1982" s="453"/>
      <c r="N1982" s="453"/>
      <c r="O1982" s="453"/>
      <c r="P1982" s="1616"/>
      <c r="Q1982" s="453"/>
      <c r="R1982" s="453"/>
      <c r="S1982" s="453"/>
      <c r="T1982" s="453"/>
      <c r="U1982" s="453"/>
      <c r="V1982" s="453"/>
      <c r="W1982" s="453"/>
      <c r="X1982" s="21"/>
      <c r="Y1982" s="21"/>
    </row>
    <row r="1983" spans="1:25" s="21" customFormat="1" x14ac:dyDescent="0.2">
      <c r="A1983" s="255" t="s">
        <v>57</v>
      </c>
      <c r="B1983" s="426" t="s">
        <v>1050</v>
      </c>
      <c r="C1983" s="426" t="s">
        <v>1050</v>
      </c>
      <c r="D1983" s="426" t="s">
        <v>1050</v>
      </c>
      <c r="E1983" s="426" t="s">
        <v>1050</v>
      </c>
      <c r="F1983" s="426" t="s">
        <v>1050</v>
      </c>
      <c r="G1983" s="426" t="s">
        <v>1050</v>
      </c>
      <c r="H1983" s="426" t="s">
        <v>1050</v>
      </c>
      <c r="I1983" s="426" t="s">
        <v>1050</v>
      </c>
      <c r="J1983" s="426" t="s">
        <v>1050</v>
      </c>
      <c r="K1983" s="453"/>
      <c r="L1983" s="453"/>
      <c r="M1983" s="453"/>
      <c r="N1983" s="453"/>
      <c r="O1983" s="453"/>
      <c r="P1983" s="453"/>
      <c r="Q1983" s="453"/>
      <c r="R1983" s="453"/>
      <c r="S1983" s="453"/>
      <c r="T1983" s="453"/>
      <c r="U1983" s="453"/>
      <c r="V1983" s="453"/>
      <c r="W1983" s="453"/>
    </row>
    <row r="1984" spans="1:25" s="21" customFormat="1" x14ac:dyDescent="0.2">
      <c r="A1984" s="20" t="s">
        <v>1490</v>
      </c>
      <c r="B1984" s="41">
        <v>137</v>
      </c>
      <c r="C1984" s="41">
        <v>137</v>
      </c>
      <c r="D1984" s="41">
        <v>137</v>
      </c>
      <c r="E1984" s="41">
        <v>137</v>
      </c>
      <c r="F1984" s="41">
        <v>137</v>
      </c>
      <c r="G1984" s="41">
        <v>137</v>
      </c>
      <c r="H1984" s="44">
        <v>0</v>
      </c>
      <c r="I1984" s="44">
        <v>0</v>
      </c>
      <c r="J1984" s="44">
        <v>0</v>
      </c>
      <c r="K1984" s="453"/>
      <c r="L1984" s="453"/>
      <c r="M1984" s="453"/>
      <c r="N1984" s="453"/>
      <c r="O1984" s="453"/>
      <c r="P1984" s="1617"/>
      <c r="Q1984" s="453"/>
      <c r="R1984" s="453"/>
      <c r="S1984" s="453"/>
      <c r="T1984" s="453"/>
      <c r="U1984" s="453"/>
      <c r="V1984" s="453"/>
      <c r="W1984" s="453"/>
    </row>
    <row r="1985" spans="1:25" s="21" customFormat="1" x14ac:dyDescent="0.2">
      <c r="A1985" s="20" t="s">
        <v>1491</v>
      </c>
      <c r="B1985" s="41">
        <v>137</v>
      </c>
      <c r="C1985" s="41">
        <v>137</v>
      </c>
      <c r="D1985" s="41">
        <v>137</v>
      </c>
      <c r="E1985" s="41">
        <v>137</v>
      </c>
      <c r="F1985" s="41">
        <v>137</v>
      </c>
      <c r="G1985" s="41">
        <v>137</v>
      </c>
      <c r="H1985" s="41">
        <v>0</v>
      </c>
      <c r="I1985" s="41">
        <v>0</v>
      </c>
      <c r="J1985" s="41">
        <v>0</v>
      </c>
      <c r="K1985" s="453"/>
      <c r="L1985" s="453"/>
      <c r="M1985" s="453"/>
      <c r="N1985" s="453"/>
      <c r="O1985" s="453"/>
      <c r="P1985" s="1617"/>
      <c r="Q1985" s="453"/>
      <c r="R1985" s="453"/>
      <c r="S1985" s="453"/>
      <c r="T1985" s="453"/>
      <c r="U1985" s="453"/>
      <c r="V1985" s="453"/>
      <c r="W1985" s="453"/>
    </row>
    <row r="1986" spans="1:25" s="21" customFormat="1" x14ac:dyDescent="0.2">
      <c r="A1986" s="20" t="s">
        <v>1483</v>
      </c>
      <c r="B1986" s="41">
        <v>216</v>
      </c>
      <c r="C1986" s="41">
        <v>216</v>
      </c>
      <c r="D1986" s="41">
        <v>216</v>
      </c>
      <c r="E1986" s="41">
        <v>216</v>
      </c>
      <c r="F1986" s="41">
        <v>216</v>
      </c>
      <c r="G1986" s="41">
        <v>216</v>
      </c>
      <c r="H1986" s="41">
        <v>0</v>
      </c>
      <c r="I1986" s="41">
        <v>0</v>
      </c>
      <c r="J1986" s="41">
        <v>0</v>
      </c>
      <c r="K1986" s="453"/>
      <c r="L1986" s="453"/>
      <c r="M1986" s="453"/>
      <c r="N1986" s="453"/>
      <c r="O1986" s="453"/>
      <c r="P1986" s="1617"/>
      <c r="Q1986" s="453"/>
      <c r="R1986" s="453"/>
      <c r="S1986" s="453"/>
      <c r="T1986" s="453"/>
      <c r="U1986" s="453"/>
      <c r="V1986" s="453"/>
      <c r="W1986" s="453"/>
    </row>
    <row r="1987" spans="1:25" s="21" customFormat="1" x14ac:dyDescent="0.2">
      <c r="A1987" s="20" t="s">
        <v>1484</v>
      </c>
      <c r="B1987" s="41">
        <v>216</v>
      </c>
      <c r="C1987" s="41">
        <v>216</v>
      </c>
      <c r="D1987" s="41">
        <v>216</v>
      </c>
      <c r="E1987" s="41">
        <v>216</v>
      </c>
      <c r="F1987" s="41">
        <v>216</v>
      </c>
      <c r="G1987" s="41">
        <v>216</v>
      </c>
      <c r="H1987" s="41">
        <v>0</v>
      </c>
      <c r="I1987" s="41">
        <v>0</v>
      </c>
      <c r="J1987" s="41">
        <v>0</v>
      </c>
      <c r="K1987" s="453"/>
      <c r="L1987" s="453"/>
      <c r="M1987" s="453"/>
      <c r="N1987" s="453"/>
      <c r="O1987" s="453"/>
      <c r="P1987" s="1617"/>
      <c r="Q1987" s="453"/>
      <c r="R1987" s="453"/>
      <c r="S1987" s="453"/>
      <c r="T1987" s="453"/>
      <c r="U1987" s="453"/>
      <c r="V1987" s="453"/>
      <c r="W1987" s="453"/>
    </row>
    <row r="1988" spans="1:25" s="21" customFormat="1" x14ac:dyDescent="0.2">
      <c r="A1988" s="20" t="s">
        <v>1485</v>
      </c>
      <c r="B1988" s="41">
        <v>216</v>
      </c>
      <c r="C1988" s="41">
        <v>216</v>
      </c>
      <c r="D1988" s="41">
        <v>216</v>
      </c>
      <c r="E1988" s="41">
        <v>216</v>
      </c>
      <c r="F1988" s="41">
        <v>216</v>
      </c>
      <c r="G1988" s="41">
        <v>216</v>
      </c>
      <c r="H1988" s="41">
        <v>0</v>
      </c>
      <c r="I1988" s="41">
        <v>0</v>
      </c>
      <c r="J1988" s="41">
        <v>0</v>
      </c>
      <c r="K1988" s="453"/>
      <c r="L1988" s="453"/>
      <c r="M1988" s="453"/>
      <c r="N1988" s="453"/>
      <c r="O1988" s="453"/>
      <c r="P1988" s="1617"/>
      <c r="Q1988" s="453"/>
      <c r="R1988" s="453"/>
      <c r="S1988" s="453"/>
      <c r="T1988" s="453"/>
      <c r="U1988" s="453"/>
      <c r="V1988" s="453"/>
      <c r="W1988" s="453"/>
    </row>
    <row r="1989" spans="1:25" s="21" customFormat="1" x14ac:dyDescent="0.2">
      <c r="A1989" s="20" t="s">
        <v>1486</v>
      </c>
      <c r="B1989" s="41">
        <v>216</v>
      </c>
      <c r="C1989" s="41">
        <v>216</v>
      </c>
      <c r="D1989" s="41">
        <v>216</v>
      </c>
      <c r="E1989" s="41">
        <v>216</v>
      </c>
      <c r="F1989" s="41">
        <v>216</v>
      </c>
      <c r="G1989" s="41">
        <v>216</v>
      </c>
      <c r="H1989" s="41">
        <v>0</v>
      </c>
      <c r="I1989" s="41">
        <v>0</v>
      </c>
      <c r="J1989" s="41">
        <v>0</v>
      </c>
      <c r="K1989" s="453"/>
      <c r="L1989" s="453"/>
      <c r="M1989" s="453"/>
      <c r="N1989" s="453"/>
      <c r="O1989" s="453"/>
      <c r="P1989" s="1617"/>
      <c r="Q1989" s="453"/>
      <c r="R1989" s="453"/>
      <c r="S1989" s="453"/>
      <c r="T1989" s="453"/>
      <c r="U1989" s="453"/>
      <c r="V1989" s="453"/>
      <c r="W1989" s="453"/>
    </row>
    <row r="1990" spans="1:25" s="21" customFormat="1" x14ac:dyDescent="0.2">
      <c r="A1990" s="20" t="s">
        <v>1487</v>
      </c>
      <c r="B1990" s="41">
        <v>41</v>
      </c>
      <c r="C1990" s="41">
        <v>41</v>
      </c>
      <c r="D1990" s="41">
        <v>41</v>
      </c>
      <c r="E1990" s="41">
        <v>41</v>
      </c>
      <c r="F1990" s="41">
        <v>41</v>
      </c>
      <c r="G1990" s="41">
        <v>41</v>
      </c>
      <c r="H1990" s="41">
        <v>0</v>
      </c>
      <c r="I1990" s="41">
        <v>0</v>
      </c>
      <c r="J1990" s="41">
        <v>0</v>
      </c>
      <c r="K1990" s="453"/>
      <c r="L1990" s="453"/>
      <c r="M1990" s="453"/>
      <c r="N1990" s="453"/>
      <c r="O1990" s="453"/>
      <c r="P1990" s="1617"/>
      <c r="Q1990" s="453"/>
      <c r="R1990" s="453"/>
      <c r="S1990" s="453"/>
      <c r="T1990" s="453"/>
      <c r="U1990" s="453"/>
      <c r="V1990" s="453"/>
      <c r="W1990" s="453"/>
    </row>
    <row r="1991" spans="1:25" s="21" customFormat="1" x14ac:dyDescent="0.2">
      <c r="A1991" s="20" t="s">
        <v>1488</v>
      </c>
      <c r="B1991" s="41">
        <v>41</v>
      </c>
      <c r="C1991" s="41">
        <v>41</v>
      </c>
      <c r="D1991" s="41">
        <v>41</v>
      </c>
      <c r="E1991" s="41">
        <v>41</v>
      </c>
      <c r="F1991" s="41">
        <v>41</v>
      </c>
      <c r="G1991" s="41">
        <v>41</v>
      </c>
      <c r="H1991" s="41">
        <v>0</v>
      </c>
      <c r="I1991" s="41">
        <v>0</v>
      </c>
      <c r="J1991" s="41">
        <v>0</v>
      </c>
      <c r="K1991" s="453"/>
      <c r="L1991" s="453"/>
      <c r="M1991" s="453"/>
      <c r="N1991" s="453"/>
      <c r="O1991" s="453"/>
      <c r="P1991" s="1617"/>
      <c r="Q1991" s="453"/>
      <c r="R1991" s="453"/>
      <c r="S1991" s="453"/>
      <c r="T1991" s="453"/>
      <c r="U1991" s="453"/>
      <c r="V1991" s="453"/>
      <c r="W1991" s="453"/>
    </row>
    <row r="1992" spans="1:25" s="21" customFormat="1" x14ac:dyDescent="0.2">
      <c r="A1992" s="20" t="s">
        <v>1489</v>
      </c>
      <c r="B1992" s="41">
        <v>41</v>
      </c>
      <c r="C1992" s="41">
        <v>41</v>
      </c>
      <c r="D1992" s="41">
        <v>41</v>
      </c>
      <c r="E1992" s="41">
        <v>41</v>
      </c>
      <c r="F1992" s="41">
        <v>41</v>
      </c>
      <c r="G1992" s="41">
        <v>41</v>
      </c>
      <c r="H1992" s="41">
        <v>0</v>
      </c>
      <c r="I1992" s="41">
        <v>0</v>
      </c>
      <c r="J1992" s="41">
        <v>0</v>
      </c>
      <c r="K1992" s="453"/>
      <c r="L1992" s="453"/>
      <c r="M1992" s="453"/>
      <c r="N1992" s="453"/>
      <c r="O1992" s="453"/>
      <c r="P1992" s="1617"/>
      <c r="Q1992" s="453"/>
      <c r="R1992" s="453"/>
      <c r="S1992" s="453"/>
      <c r="T1992" s="453"/>
      <c r="U1992" s="453"/>
      <c r="V1992" s="453"/>
      <c r="W1992" s="453"/>
    </row>
    <row r="1993" spans="1:25" s="292" customFormat="1" x14ac:dyDescent="0.2">
      <c r="A1993" s="37" t="s">
        <v>1359</v>
      </c>
      <c r="B1993" s="42">
        <v>41</v>
      </c>
      <c r="C1993" s="42">
        <v>41</v>
      </c>
      <c r="D1993" s="42">
        <v>41</v>
      </c>
      <c r="E1993" s="42">
        <v>41</v>
      </c>
      <c r="F1993" s="42">
        <v>41</v>
      </c>
      <c r="G1993" s="42">
        <v>41</v>
      </c>
      <c r="H1993" s="42">
        <v>0</v>
      </c>
      <c r="I1993" s="42">
        <v>0</v>
      </c>
      <c r="J1993" s="42">
        <v>0</v>
      </c>
      <c r="K1993" s="1074"/>
      <c r="L1993" s="1074"/>
      <c r="M1993" s="1074"/>
      <c r="N1993" s="1074"/>
      <c r="O1993" s="1074"/>
      <c r="P1993" s="1618"/>
      <c r="Q1993" s="1074"/>
      <c r="R1993" s="1074"/>
      <c r="S1993" s="1074"/>
      <c r="T1993" s="1074"/>
      <c r="U1993" s="1074"/>
      <c r="V1993" s="1074"/>
      <c r="W1993" s="1074"/>
    </row>
    <row r="1994" spans="1:25" s="292" customFormat="1" x14ac:dyDescent="0.2">
      <c r="A1994" s="1073" t="s">
        <v>2076</v>
      </c>
    </row>
    <row r="1995" spans="1:25" s="292" customFormat="1" x14ac:dyDescent="0.2"/>
    <row r="1996" spans="1:25" s="535" customFormat="1" x14ac:dyDescent="0.2">
      <c r="A1996" s="516"/>
    </row>
    <row r="1998" spans="1:25" s="125" customFormat="1" x14ac:dyDescent="0.2">
      <c r="A1998" s="377" t="s">
        <v>2100</v>
      </c>
      <c r="D1998" s="1075"/>
      <c r="E1998" s="1075"/>
      <c r="F1998" s="1075"/>
      <c r="G1998" s="1075"/>
      <c r="H1998" s="1075"/>
      <c r="I1998" s="1075"/>
    </row>
    <row r="1999" spans="1:25" s="773" customFormat="1" ht="16.25" customHeight="1" x14ac:dyDescent="0.2">
      <c r="A1999" s="753"/>
      <c r="B1999" s="1072" t="s">
        <v>2101</v>
      </c>
      <c r="C1999" s="442"/>
      <c r="D1999" s="442"/>
      <c r="E1999" s="442"/>
      <c r="F1999" s="442"/>
      <c r="G1999" s="442"/>
      <c r="H1999" s="442"/>
      <c r="I1999" s="442"/>
      <c r="J1999" s="442"/>
      <c r="K1999" s="442"/>
      <c r="L1999" s="442"/>
      <c r="M1999" s="442"/>
      <c r="N1999" s="442"/>
      <c r="O1999" s="442"/>
      <c r="P1999" s="532"/>
      <c r="Q1999" s="442"/>
      <c r="R1999" s="442"/>
      <c r="S1999" s="442"/>
      <c r="T1999" s="442"/>
      <c r="U1999" s="442"/>
      <c r="V1999" s="442"/>
      <c r="W1999" s="442"/>
    </row>
    <row r="2000" spans="1:25" s="291" customFormat="1" x14ac:dyDescent="0.2">
      <c r="A2000" s="293" t="s">
        <v>1963</v>
      </c>
      <c r="B2000" s="426" t="s">
        <v>2069</v>
      </c>
      <c r="C2000" s="426" t="s">
        <v>2070</v>
      </c>
      <c r="D2000" s="426" t="s">
        <v>2071</v>
      </c>
      <c r="E2000" s="426" t="s">
        <v>2072</v>
      </c>
      <c r="F2000" s="426" t="s">
        <v>1384</v>
      </c>
      <c r="G2000" s="426" t="s">
        <v>1396</v>
      </c>
      <c r="H2000" s="426" t="s">
        <v>2073</v>
      </c>
      <c r="I2000" s="426" t="s">
        <v>2074</v>
      </c>
      <c r="J2000" s="426" t="s">
        <v>1592</v>
      </c>
      <c r="K2000" s="453"/>
      <c r="L2000" s="453"/>
      <c r="M2000" s="453"/>
      <c r="N2000" s="453"/>
      <c r="O2000" s="453"/>
      <c r="P2000" s="1616"/>
      <c r="Q2000" s="453"/>
      <c r="R2000" s="453"/>
      <c r="S2000" s="453"/>
      <c r="T2000" s="453"/>
      <c r="U2000" s="453"/>
      <c r="V2000" s="453"/>
      <c r="W2000" s="453"/>
      <c r="X2000" s="21"/>
      <c r="Y2000" s="21"/>
    </row>
    <row r="2001" spans="1:23" s="21" customFormat="1" x14ac:dyDescent="0.2">
      <c r="A2001" s="255" t="s">
        <v>57</v>
      </c>
      <c r="B2001" s="426" t="s">
        <v>2102</v>
      </c>
      <c r="C2001" s="426" t="s">
        <v>2102</v>
      </c>
      <c r="D2001" s="426" t="s">
        <v>2102</v>
      </c>
      <c r="E2001" s="426" t="s">
        <v>2102</v>
      </c>
      <c r="F2001" s="426" t="s">
        <v>2102</v>
      </c>
      <c r="G2001" s="426" t="s">
        <v>2102</v>
      </c>
      <c r="H2001" s="426" t="s">
        <v>2102</v>
      </c>
      <c r="I2001" s="426" t="s">
        <v>2102</v>
      </c>
      <c r="J2001" s="426" t="s">
        <v>2102</v>
      </c>
      <c r="K2001" s="453"/>
      <c r="L2001" s="453"/>
      <c r="M2001" s="453"/>
      <c r="N2001" s="453"/>
      <c r="O2001" s="453"/>
      <c r="P2001" s="453"/>
      <c r="Q2001" s="453"/>
      <c r="R2001" s="453"/>
      <c r="S2001" s="453"/>
      <c r="T2001" s="453"/>
      <c r="U2001" s="453"/>
      <c r="V2001" s="453"/>
      <c r="W2001" s="453"/>
    </row>
    <row r="2002" spans="1:23" s="21" customFormat="1" x14ac:dyDescent="0.2">
      <c r="A2002" s="20" t="s">
        <v>1490</v>
      </c>
      <c r="B2002" s="41">
        <v>0</v>
      </c>
      <c r="C2002" s="41">
        <v>0</v>
      </c>
      <c r="D2002" s="41">
        <v>0</v>
      </c>
      <c r="E2002" s="41">
        <v>0</v>
      </c>
      <c r="F2002" s="41">
        <v>0</v>
      </c>
      <c r="G2002" s="41">
        <v>0</v>
      </c>
      <c r="H2002" s="44">
        <v>0</v>
      </c>
      <c r="I2002" s="44">
        <v>0</v>
      </c>
      <c r="J2002" s="44">
        <v>0</v>
      </c>
      <c r="K2002" s="453"/>
      <c r="L2002" s="453"/>
      <c r="M2002" s="453"/>
      <c r="N2002" s="453"/>
      <c r="O2002" s="453"/>
      <c r="P2002" s="1617"/>
      <c r="Q2002" s="453"/>
      <c r="R2002" s="453"/>
      <c r="S2002" s="453"/>
      <c r="T2002" s="453"/>
      <c r="U2002" s="453"/>
      <c r="V2002" s="453"/>
      <c r="W2002" s="453"/>
    </row>
    <row r="2003" spans="1:23" s="21" customFormat="1" x14ac:dyDescent="0.2">
      <c r="A2003" s="20" t="s">
        <v>1491</v>
      </c>
      <c r="B2003" s="41">
        <v>0</v>
      </c>
      <c r="C2003" s="41">
        <v>0</v>
      </c>
      <c r="D2003" s="41">
        <v>0</v>
      </c>
      <c r="E2003" s="41">
        <v>0</v>
      </c>
      <c r="F2003" s="41">
        <v>0</v>
      </c>
      <c r="G2003" s="41">
        <v>0</v>
      </c>
      <c r="H2003" s="41">
        <v>0</v>
      </c>
      <c r="I2003" s="41">
        <v>0</v>
      </c>
      <c r="J2003" s="41">
        <v>0</v>
      </c>
      <c r="K2003" s="453"/>
      <c r="L2003" s="453"/>
      <c r="M2003" s="453"/>
      <c r="N2003" s="453"/>
      <c r="O2003" s="453"/>
      <c r="P2003" s="1617"/>
      <c r="Q2003" s="453"/>
      <c r="R2003" s="453"/>
      <c r="S2003" s="453"/>
      <c r="T2003" s="453"/>
      <c r="U2003" s="453"/>
      <c r="V2003" s="453"/>
      <c r="W2003" s="453"/>
    </row>
    <row r="2004" spans="1:23" s="21" customFormat="1" x14ac:dyDescent="0.2">
      <c r="A2004" s="20" t="s">
        <v>1483</v>
      </c>
      <c r="B2004" s="41">
        <v>0</v>
      </c>
      <c r="C2004" s="41">
        <v>0</v>
      </c>
      <c r="D2004" s="41">
        <v>0</v>
      </c>
      <c r="E2004" s="41">
        <v>0</v>
      </c>
      <c r="F2004" s="41">
        <v>0</v>
      </c>
      <c r="G2004" s="41">
        <v>0</v>
      </c>
      <c r="H2004" s="41">
        <v>0</v>
      </c>
      <c r="I2004" s="41">
        <v>0</v>
      </c>
      <c r="J2004" s="41">
        <v>0</v>
      </c>
      <c r="K2004" s="453"/>
      <c r="L2004" s="453"/>
      <c r="M2004" s="453"/>
      <c r="N2004" s="453"/>
      <c r="O2004" s="453"/>
      <c r="P2004" s="1617"/>
      <c r="Q2004" s="453"/>
      <c r="R2004" s="453"/>
      <c r="S2004" s="453"/>
      <c r="T2004" s="453"/>
      <c r="U2004" s="453"/>
      <c r="V2004" s="453"/>
      <c r="W2004" s="453"/>
    </row>
    <row r="2005" spans="1:23" s="21" customFormat="1" x14ac:dyDescent="0.2">
      <c r="A2005" s="20" t="s">
        <v>1484</v>
      </c>
      <c r="B2005" s="41">
        <v>0</v>
      </c>
      <c r="C2005" s="41">
        <v>0</v>
      </c>
      <c r="D2005" s="41">
        <v>0</v>
      </c>
      <c r="E2005" s="41">
        <v>0</v>
      </c>
      <c r="F2005" s="41">
        <v>0</v>
      </c>
      <c r="G2005" s="41">
        <v>0</v>
      </c>
      <c r="H2005" s="41">
        <v>0</v>
      </c>
      <c r="I2005" s="41">
        <v>0</v>
      </c>
      <c r="J2005" s="41">
        <v>0</v>
      </c>
      <c r="K2005" s="453"/>
      <c r="L2005" s="453"/>
      <c r="M2005" s="453"/>
      <c r="N2005" s="453"/>
      <c r="O2005" s="453"/>
      <c r="P2005" s="1617"/>
      <c r="Q2005" s="453"/>
      <c r="R2005" s="453"/>
      <c r="S2005" s="453"/>
      <c r="T2005" s="453"/>
      <c r="U2005" s="453"/>
      <c r="V2005" s="453"/>
      <c r="W2005" s="453"/>
    </row>
    <row r="2006" spans="1:23" s="21" customFormat="1" x14ac:dyDescent="0.2">
      <c r="A2006" s="20" t="s">
        <v>1485</v>
      </c>
      <c r="B2006" s="41">
        <v>0</v>
      </c>
      <c r="C2006" s="41">
        <v>0</v>
      </c>
      <c r="D2006" s="41">
        <v>0</v>
      </c>
      <c r="E2006" s="41">
        <v>0</v>
      </c>
      <c r="F2006" s="41">
        <v>0</v>
      </c>
      <c r="G2006" s="41">
        <v>0</v>
      </c>
      <c r="H2006" s="41">
        <v>0</v>
      </c>
      <c r="I2006" s="41">
        <v>0</v>
      </c>
      <c r="J2006" s="41">
        <v>0</v>
      </c>
      <c r="K2006" s="453"/>
      <c r="L2006" s="453"/>
      <c r="M2006" s="453"/>
      <c r="N2006" s="453"/>
      <c r="O2006" s="453"/>
      <c r="P2006" s="1617"/>
      <c r="Q2006" s="453"/>
      <c r="R2006" s="453"/>
      <c r="S2006" s="453"/>
      <c r="T2006" s="453"/>
      <c r="U2006" s="453"/>
      <c r="V2006" s="453"/>
      <c r="W2006" s="453"/>
    </row>
    <row r="2007" spans="1:23" s="21" customFormat="1" x14ac:dyDescent="0.2">
      <c r="A2007" s="20" t="s">
        <v>1486</v>
      </c>
      <c r="B2007" s="41">
        <v>0</v>
      </c>
      <c r="C2007" s="41">
        <v>0</v>
      </c>
      <c r="D2007" s="41">
        <v>0</v>
      </c>
      <c r="E2007" s="41">
        <v>0</v>
      </c>
      <c r="F2007" s="41">
        <v>0</v>
      </c>
      <c r="G2007" s="41">
        <v>0</v>
      </c>
      <c r="H2007" s="41">
        <v>0</v>
      </c>
      <c r="I2007" s="41">
        <v>0</v>
      </c>
      <c r="J2007" s="41">
        <v>0</v>
      </c>
      <c r="K2007" s="453"/>
      <c r="L2007" s="453"/>
      <c r="M2007" s="453"/>
      <c r="N2007" s="453"/>
      <c r="O2007" s="453"/>
      <c r="P2007" s="1617"/>
      <c r="Q2007" s="453"/>
      <c r="R2007" s="453"/>
      <c r="S2007" s="453"/>
      <c r="T2007" s="453"/>
      <c r="U2007" s="453"/>
      <c r="V2007" s="453"/>
      <c r="W2007" s="453"/>
    </row>
    <row r="2008" spans="1:23" s="21" customFormat="1" x14ac:dyDescent="0.2">
      <c r="A2008" s="20" t="s">
        <v>1487</v>
      </c>
      <c r="B2008" s="41">
        <v>0</v>
      </c>
      <c r="C2008" s="41">
        <v>0</v>
      </c>
      <c r="D2008" s="41">
        <v>0</v>
      </c>
      <c r="E2008" s="41">
        <v>0</v>
      </c>
      <c r="F2008" s="41">
        <v>0</v>
      </c>
      <c r="G2008" s="41">
        <v>0</v>
      </c>
      <c r="H2008" s="41">
        <v>0</v>
      </c>
      <c r="I2008" s="41">
        <v>0</v>
      </c>
      <c r="J2008" s="41">
        <v>0</v>
      </c>
      <c r="K2008" s="453"/>
      <c r="L2008" s="453"/>
      <c r="M2008" s="453"/>
      <c r="N2008" s="453"/>
      <c r="O2008" s="453"/>
      <c r="P2008" s="1617"/>
      <c r="Q2008" s="453"/>
      <c r="R2008" s="453"/>
      <c r="S2008" s="453"/>
      <c r="T2008" s="453"/>
      <c r="U2008" s="453"/>
      <c r="V2008" s="453"/>
      <c r="W2008" s="453"/>
    </row>
    <row r="2009" spans="1:23" s="21" customFormat="1" x14ac:dyDescent="0.2">
      <c r="A2009" s="20" t="s">
        <v>1488</v>
      </c>
      <c r="B2009" s="41">
        <v>0</v>
      </c>
      <c r="C2009" s="41">
        <v>0</v>
      </c>
      <c r="D2009" s="41">
        <v>0</v>
      </c>
      <c r="E2009" s="41">
        <v>0</v>
      </c>
      <c r="F2009" s="41">
        <v>0</v>
      </c>
      <c r="G2009" s="41">
        <v>0</v>
      </c>
      <c r="H2009" s="41">
        <v>0</v>
      </c>
      <c r="I2009" s="41">
        <v>0</v>
      </c>
      <c r="J2009" s="41">
        <v>0</v>
      </c>
      <c r="K2009" s="453"/>
      <c r="L2009" s="453"/>
      <c r="M2009" s="453"/>
      <c r="N2009" s="453"/>
      <c r="O2009" s="453"/>
      <c r="P2009" s="1617"/>
      <c r="Q2009" s="453"/>
      <c r="R2009" s="453"/>
      <c r="S2009" s="453"/>
      <c r="T2009" s="453"/>
      <c r="U2009" s="453"/>
      <c r="V2009" s="453"/>
      <c r="W2009" s="453"/>
    </row>
    <row r="2010" spans="1:23" s="21" customFormat="1" x14ac:dyDescent="0.2">
      <c r="A2010" s="20" t="s">
        <v>1489</v>
      </c>
      <c r="B2010" s="41">
        <v>0</v>
      </c>
      <c r="C2010" s="41">
        <v>0</v>
      </c>
      <c r="D2010" s="41">
        <v>0</v>
      </c>
      <c r="E2010" s="41">
        <v>0</v>
      </c>
      <c r="F2010" s="41">
        <v>0</v>
      </c>
      <c r="G2010" s="41">
        <v>0</v>
      </c>
      <c r="H2010" s="41">
        <v>0</v>
      </c>
      <c r="I2010" s="41">
        <v>0</v>
      </c>
      <c r="J2010" s="41">
        <v>0</v>
      </c>
      <c r="K2010" s="453"/>
      <c r="L2010" s="453"/>
      <c r="M2010" s="453"/>
      <c r="N2010" s="453"/>
      <c r="O2010" s="453"/>
      <c r="P2010" s="1617"/>
      <c r="Q2010" s="453"/>
      <c r="R2010" s="453"/>
      <c r="S2010" s="453"/>
      <c r="T2010" s="453"/>
      <c r="U2010" s="453"/>
      <c r="V2010" s="453"/>
      <c r="W2010" s="453"/>
    </row>
    <row r="2011" spans="1:23" s="292" customFormat="1" x14ac:dyDescent="0.2">
      <c r="A2011" s="37" t="s">
        <v>1359</v>
      </c>
      <c r="B2011" s="42">
        <v>0</v>
      </c>
      <c r="C2011" s="42">
        <v>0</v>
      </c>
      <c r="D2011" s="42">
        <v>0</v>
      </c>
      <c r="E2011" s="42">
        <v>0</v>
      </c>
      <c r="F2011" s="42">
        <v>0</v>
      </c>
      <c r="G2011" s="42">
        <v>0</v>
      </c>
      <c r="H2011" s="42">
        <v>0</v>
      </c>
      <c r="I2011" s="42">
        <v>0</v>
      </c>
      <c r="J2011" s="42">
        <v>0</v>
      </c>
      <c r="K2011" s="1074"/>
      <c r="L2011" s="1074"/>
      <c r="M2011" s="1074"/>
      <c r="N2011" s="1074"/>
      <c r="O2011" s="1074"/>
      <c r="P2011" s="1618"/>
      <c r="Q2011" s="1074"/>
      <c r="R2011" s="1074"/>
      <c r="S2011" s="1074"/>
      <c r="T2011" s="1074"/>
      <c r="U2011" s="1074"/>
      <c r="V2011" s="1074"/>
      <c r="W2011" s="1074"/>
    </row>
    <row r="2012" spans="1:23" s="292" customFormat="1" x14ac:dyDescent="0.2">
      <c r="A2012" s="1073" t="s">
        <v>2076</v>
      </c>
    </row>
    <row r="2013" spans="1:23" s="292" customFormat="1" x14ac:dyDescent="0.2"/>
    <row r="2014" spans="1:23" s="535" customFormat="1" x14ac:dyDescent="0.2">
      <c r="A2014" s="516"/>
    </row>
    <row r="2016" spans="1:23" s="1086" customFormat="1" ht="24" x14ac:dyDescent="0.2">
      <c r="A2016" s="1086" t="s">
        <v>2103</v>
      </c>
    </row>
    <row r="2018" spans="1:25" s="125" customFormat="1" x14ac:dyDescent="0.2">
      <c r="A2018" s="377" t="s">
        <v>2104</v>
      </c>
      <c r="D2018" s="1075"/>
      <c r="E2018" s="1075"/>
      <c r="F2018" s="1075"/>
      <c r="G2018" s="1075"/>
      <c r="H2018" s="1075"/>
      <c r="I2018" s="1075"/>
    </row>
    <row r="2019" spans="1:25" s="773" customFormat="1" ht="16.25" customHeight="1" x14ac:dyDescent="0.2">
      <c r="A2019" s="753"/>
      <c r="B2019" s="442" t="s">
        <v>2105</v>
      </c>
      <c r="C2019" s="442" t="s">
        <v>2105</v>
      </c>
      <c r="D2019" s="442" t="s">
        <v>2105</v>
      </c>
      <c r="E2019" s="442"/>
      <c r="F2019" s="442"/>
      <c r="G2019" s="442"/>
      <c r="H2019" s="442"/>
      <c r="I2019" s="442"/>
      <c r="J2019" s="442"/>
      <c r="K2019" s="442"/>
      <c r="L2019" s="442"/>
      <c r="M2019" s="442"/>
      <c r="N2019" s="442"/>
      <c r="O2019" s="442"/>
      <c r="P2019" s="532"/>
      <c r="Q2019" s="442"/>
      <c r="R2019" s="442"/>
      <c r="S2019" s="442"/>
      <c r="T2019" s="442"/>
      <c r="U2019" s="442"/>
      <c r="V2019" s="442"/>
      <c r="W2019" s="442"/>
    </row>
    <row r="2020" spans="1:25" s="291" customFormat="1" ht="32" x14ac:dyDescent="0.2">
      <c r="A2020" s="293" t="s">
        <v>1963</v>
      </c>
      <c r="B2020" s="31" t="s">
        <v>1645</v>
      </c>
      <c r="C2020" s="31" t="s">
        <v>1071</v>
      </c>
      <c r="D2020" s="31" t="s">
        <v>1650</v>
      </c>
      <c r="E2020" s="418"/>
      <c r="F2020" s="419"/>
      <c r="G2020" s="419"/>
      <c r="H2020" s="453"/>
      <c r="I2020" s="453"/>
      <c r="J2020" s="453"/>
      <c r="K2020" s="453"/>
      <c r="L2020" s="453"/>
      <c r="M2020" s="453"/>
      <c r="N2020" s="453"/>
      <c r="O2020" s="453"/>
      <c r="P2020" s="1616"/>
      <c r="Q2020" s="453"/>
      <c r="R2020" s="453"/>
      <c r="S2020" s="453"/>
      <c r="T2020" s="453"/>
      <c r="U2020" s="453"/>
      <c r="V2020" s="453"/>
      <c r="W2020" s="453"/>
      <c r="X2020" s="21"/>
      <c r="Y2020" s="21"/>
    </row>
    <row r="2021" spans="1:25" s="21" customFormat="1" x14ac:dyDescent="0.2">
      <c r="A2021" s="255" t="s">
        <v>57</v>
      </c>
      <c r="B2021" s="426" t="s">
        <v>192</v>
      </c>
      <c r="C2021" s="426" t="s">
        <v>192</v>
      </c>
      <c r="D2021" s="426" t="s">
        <v>192</v>
      </c>
      <c r="E2021" s="451"/>
      <c r="F2021" s="453"/>
      <c r="G2021" s="453"/>
      <c r="H2021" s="453"/>
      <c r="I2021" s="453"/>
      <c r="J2021" s="453"/>
      <c r="K2021" s="453"/>
      <c r="L2021" s="453"/>
      <c r="M2021" s="453"/>
      <c r="N2021" s="453"/>
      <c r="O2021" s="453"/>
      <c r="P2021" s="453"/>
      <c r="Q2021" s="453"/>
      <c r="R2021" s="453"/>
      <c r="S2021" s="453"/>
      <c r="T2021" s="453"/>
      <c r="U2021" s="453"/>
      <c r="V2021" s="453"/>
      <c r="W2021" s="453"/>
    </row>
    <row r="2022" spans="1:25" s="21" customFormat="1" x14ac:dyDescent="0.2">
      <c r="A2022" s="20" t="s">
        <v>1490</v>
      </c>
      <c r="B2022" s="41">
        <v>66</v>
      </c>
      <c r="C2022" s="41">
        <v>336</v>
      </c>
      <c r="D2022" s="41">
        <v>0</v>
      </c>
      <c r="E2022" s="451"/>
      <c r="F2022" s="453"/>
      <c r="G2022" s="453"/>
      <c r="H2022" s="453"/>
      <c r="I2022" s="453"/>
      <c r="J2022" s="453"/>
      <c r="K2022" s="453"/>
      <c r="L2022" s="453"/>
      <c r="M2022" s="453"/>
      <c r="N2022" s="453"/>
      <c r="O2022" s="453"/>
      <c r="P2022" s="1617"/>
      <c r="Q2022" s="453"/>
      <c r="R2022" s="453"/>
      <c r="S2022" s="453"/>
      <c r="T2022" s="453"/>
      <c r="U2022" s="453"/>
      <c r="V2022" s="453"/>
      <c r="W2022" s="453"/>
    </row>
    <row r="2023" spans="1:25" s="21" customFormat="1" x14ac:dyDescent="0.2">
      <c r="A2023" s="20" t="s">
        <v>1491</v>
      </c>
      <c r="B2023" s="41">
        <v>66</v>
      </c>
      <c r="C2023" s="41">
        <v>336</v>
      </c>
      <c r="D2023" s="41">
        <v>0</v>
      </c>
      <c r="E2023" s="451"/>
      <c r="F2023" s="453"/>
      <c r="G2023" s="453"/>
      <c r="H2023" s="453"/>
      <c r="I2023" s="453"/>
      <c r="J2023" s="453"/>
      <c r="K2023" s="453"/>
      <c r="L2023" s="453"/>
      <c r="M2023" s="453"/>
      <c r="N2023" s="453"/>
      <c r="O2023" s="453"/>
      <c r="P2023" s="1617"/>
      <c r="Q2023" s="453"/>
      <c r="R2023" s="453"/>
      <c r="S2023" s="453"/>
      <c r="T2023" s="453"/>
      <c r="U2023" s="453"/>
      <c r="V2023" s="453"/>
      <c r="W2023" s="453"/>
    </row>
    <row r="2024" spans="1:25" s="21" customFormat="1" x14ac:dyDescent="0.2">
      <c r="A2024" s="20" t="s">
        <v>1483</v>
      </c>
      <c r="B2024" s="41">
        <v>66</v>
      </c>
      <c r="C2024" s="41">
        <v>336</v>
      </c>
      <c r="D2024" s="41">
        <v>0</v>
      </c>
      <c r="E2024" s="451"/>
      <c r="F2024" s="453"/>
      <c r="G2024" s="453"/>
      <c r="H2024" s="453"/>
      <c r="I2024" s="453"/>
      <c r="J2024" s="453"/>
      <c r="K2024" s="453"/>
      <c r="L2024" s="453"/>
      <c r="M2024" s="453"/>
      <c r="N2024" s="453"/>
      <c r="O2024" s="453"/>
      <c r="P2024" s="1617"/>
      <c r="Q2024" s="453"/>
      <c r="R2024" s="453"/>
      <c r="S2024" s="453"/>
      <c r="T2024" s="453"/>
      <c r="U2024" s="453"/>
      <c r="V2024" s="453"/>
      <c r="W2024" s="453"/>
    </row>
    <row r="2025" spans="1:25" s="21" customFormat="1" x14ac:dyDescent="0.2">
      <c r="A2025" s="20" t="s">
        <v>1484</v>
      </c>
      <c r="B2025" s="41">
        <v>66</v>
      </c>
      <c r="C2025" s="41">
        <v>336</v>
      </c>
      <c r="D2025" s="41">
        <v>0</v>
      </c>
      <c r="E2025" s="451"/>
      <c r="F2025" s="453"/>
      <c r="G2025" s="453"/>
      <c r="H2025" s="453"/>
      <c r="I2025" s="453"/>
      <c r="J2025" s="453"/>
      <c r="K2025" s="453"/>
      <c r="L2025" s="453"/>
      <c r="M2025" s="453"/>
      <c r="N2025" s="453"/>
      <c r="O2025" s="453"/>
      <c r="P2025" s="1617"/>
      <c r="Q2025" s="453"/>
      <c r="R2025" s="453"/>
      <c r="S2025" s="453"/>
      <c r="T2025" s="453"/>
      <c r="U2025" s="453"/>
      <c r="V2025" s="453"/>
      <c r="W2025" s="453"/>
    </row>
    <row r="2026" spans="1:25" s="21" customFormat="1" x14ac:dyDescent="0.2">
      <c r="A2026" s="20" t="s">
        <v>1485</v>
      </c>
      <c r="B2026" s="41">
        <v>66</v>
      </c>
      <c r="C2026" s="41">
        <v>336</v>
      </c>
      <c r="D2026" s="41">
        <v>0</v>
      </c>
      <c r="E2026" s="451"/>
      <c r="F2026" s="453"/>
      <c r="G2026" s="453"/>
      <c r="H2026" s="453"/>
      <c r="I2026" s="453"/>
      <c r="J2026" s="453"/>
      <c r="K2026" s="453"/>
      <c r="L2026" s="453"/>
      <c r="M2026" s="453"/>
      <c r="N2026" s="453"/>
      <c r="O2026" s="453"/>
      <c r="P2026" s="1617"/>
      <c r="Q2026" s="453"/>
      <c r="R2026" s="453"/>
      <c r="S2026" s="453"/>
      <c r="T2026" s="453"/>
      <c r="U2026" s="453"/>
      <c r="V2026" s="453"/>
      <c r="W2026" s="453"/>
    </row>
    <row r="2027" spans="1:25" s="21" customFormat="1" x14ac:dyDescent="0.2">
      <c r="A2027" s="20" t="s">
        <v>1486</v>
      </c>
      <c r="B2027" s="41">
        <v>66</v>
      </c>
      <c r="C2027" s="41">
        <v>336</v>
      </c>
      <c r="D2027" s="41">
        <v>0</v>
      </c>
      <c r="E2027" s="451"/>
      <c r="F2027" s="453"/>
      <c r="G2027" s="453"/>
      <c r="H2027" s="453"/>
      <c r="I2027" s="453"/>
      <c r="J2027" s="453"/>
      <c r="K2027" s="453"/>
      <c r="L2027" s="453"/>
      <c r="M2027" s="453"/>
      <c r="N2027" s="453"/>
      <c r="O2027" s="453"/>
      <c r="P2027" s="1617"/>
      <c r="Q2027" s="453"/>
      <c r="R2027" s="453"/>
      <c r="S2027" s="453"/>
      <c r="T2027" s="453"/>
      <c r="U2027" s="453"/>
      <c r="V2027" s="453"/>
      <c r="W2027" s="453"/>
    </row>
    <row r="2028" spans="1:25" s="21" customFormat="1" x14ac:dyDescent="0.2">
      <c r="A2028" s="20" t="s">
        <v>1487</v>
      </c>
      <c r="B2028" s="41">
        <v>0</v>
      </c>
      <c r="C2028" s="41">
        <v>353</v>
      </c>
      <c r="D2028" s="41">
        <v>155</v>
      </c>
      <c r="E2028" s="451"/>
      <c r="F2028" s="453"/>
      <c r="G2028" s="453"/>
      <c r="H2028" s="453"/>
      <c r="I2028" s="453"/>
      <c r="J2028" s="453"/>
      <c r="K2028" s="453"/>
      <c r="L2028" s="453"/>
      <c r="M2028" s="453"/>
      <c r="N2028" s="453"/>
      <c r="O2028" s="453"/>
      <c r="P2028" s="1617"/>
      <c r="Q2028" s="453"/>
      <c r="R2028" s="453"/>
      <c r="S2028" s="453"/>
      <c r="T2028" s="453"/>
      <c r="U2028" s="453"/>
      <c r="V2028" s="453"/>
      <c r="W2028" s="453"/>
    </row>
    <row r="2029" spans="1:25" s="21" customFormat="1" x14ac:dyDescent="0.2">
      <c r="A2029" s="20" t="s">
        <v>1488</v>
      </c>
      <c r="B2029" s="41">
        <v>0</v>
      </c>
      <c r="C2029" s="41">
        <v>353</v>
      </c>
      <c r="D2029" s="41">
        <v>155</v>
      </c>
      <c r="E2029" s="451"/>
      <c r="F2029" s="453"/>
      <c r="G2029" s="453"/>
      <c r="H2029" s="453"/>
      <c r="I2029" s="453"/>
      <c r="J2029" s="453"/>
      <c r="K2029" s="453"/>
      <c r="L2029" s="453"/>
      <c r="M2029" s="453"/>
      <c r="N2029" s="453"/>
      <c r="O2029" s="453"/>
      <c r="P2029" s="1617"/>
      <c r="Q2029" s="453"/>
      <c r="R2029" s="453"/>
      <c r="S2029" s="453"/>
      <c r="T2029" s="453"/>
      <c r="U2029" s="453"/>
      <c r="V2029" s="453"/>
      <c r="W2029" s="453"/>
    </row>
    <row r="2030" spans="1:25" s="21" customFormat="1" x14ac:dyDescent="0.2">
      <c r="A2030" s="20" t="s">
        <v>1489</v>
      </c>
      <c r="B2030" s="41">
        <v>0</v>
      </c>
      <c r="C2030" s="41">
        <v>353</v>
      </c>
      <c r="D2030" s="41">
        <v>155</v>
      </c>
      <c r="E2030" s="451"/>
      <c r="F2030" s="453"/>
      <c r="G2030" s="453"/>
      <c r="H2030" s="453"/>
      <c r="I2030" s="453"/>
      <c r="J2030" s="453"/>
      <c r="K2030" s="453"/>
      <c r="L2030" s="453"/>
      <c r="M2030" s="453"/>
      <c r="N2030" s="453"/>
      <c r="O2030" s="453"/>
      <c r="P2030" s="1617"/>
      <c r="Q2030" s="453"/>
      <c r="R2030" s="453"/>
      <c r="S2030" s="453"/>
      <c r="T2030" s="453"/>
      <c r="U2030" s="453"/>
      <c r="V2030" s="453"/>
      <c r="W2030" s="453"/>
    </row>
    <row r="2031" spans="1:25" s="292" customFormat="1" x14ac:dyDescent="0.2">
      <c r="A2031" s="37" t="s">
        <v>1359</v>
      </c>
      <c r="B2031" s="42">
        <v>0</v>
      </c>
      <c r="C2031" s="42">
        <v>353</v>
      </c>
      <c r="D2031" s="42">
        <v>155</v>
      </c>
      <c r="E2031" s="460"/>
      <c r="F2031" s="421"/>
      <c r="G2031" s="421"/>
      <c r="H2031" s="1074"/>
      <c r="I2031" s="1074"/>
      <c r="J2031" s="1074"/>
      <c r="K2031" s="1074"/>
      <c r="L2031" s="1074"/>
      <c r="M2031" s="1074"/>
      <c r="N2031" s="1074"/>
      <c r="O2031" s="1074"/>
      <c r="P2031" s="1618"/>
      <c r="Q2031" s="1074"/>
      <c r="R2031" s="1074"/>
      <c r="S2031" s="1074"/>
      <c r="T2031" s="1074"/>
      <c r="U2031" s="1074"/>
      <c r="V2031" s="1074"/>
      <c r="W2031" s="1074"/>
    </row>
    <row r="2032" spans="1:25" s="292" customFormat="1" x14ac:dyDescent="0.2">
      <c r="A2032" s="1073" t="s">
        <v>2076</v>
      </c>
    </row>
    <row r="2033" spans="1:25" s="292" customFormat="1" x14ac:dyDescent="0.2"/>
    <row r="2035" spans="1:25" s="125" customFormat="1" x14ac:dyDescent="0.2">
      <c r="A2035" s="377" t="s">
        <v>2106</v>
      </c>
      <c r="D2035" s="1075"/>
      <c r="E2035" s="1075"/>
      <c r="F2035" s="1075"/>
      <c r="G2035" s="1075"/>
      <c r="H2035" s="1075"/>
      <c r="I2035" s="1075"/>
    </row>
    <row r="2036" spans="1:25" s="773" customFormat="1" ht="16.25" customHeight="1" x14ac:dyDescent="0.2">
      <c r="A2036" s="753"/>
      <c r="B2036" s="442" t="s">
        <v>2107</v>
      </c>
      <c r="C2036" s="442" t="s">
        <v>2107</v>
      </c>
      <c r="D2036" s="442" t="s">
        <v>2107</v>
      </c>
      <c r="E2036" s="442"/>
      <c r="F2036" s="442"/>
      <c r="G2036" s="442"/>
      <c r="H2036" s="442"/>
      <c r="I2036" s="442"/>
      <c r="J2036" s="442"/>
      <c r="K2036" s="442"/>
      <c r="L2036" s="442"/>
      <c r="M2036" s="442"/>
      <c r="N2036" s="442"/>
      <c r="O2036" s="442"/>
      <c r="P2036" s="532"/>
      <c r="Q2036" s="442"/>
      <c r="R2036" s="442"/>
      <c r="S2036" s="442"/>
      <c r="T2036" s="442"/>
      <c r="U2036" s="442"/>
      <c r="V2036" s="442"/>
      <c r="W2036" s="442"/>
    </row>
    <row r="2037" spans="1:25" s="291" customFormat="1" ht="16" x14ac:dyDescent="0.2">
      <c r="A2037" s="293" t="s">
        <v>1963</v>
      </c>
      <c r="B2037" s="31" t="s">
        <v>1036</v>
      </c>
      <c r="C2037" s="31" t="s">
        <v>1038</v>
      </c>
      <c r="D2037" s="31" t="s">
        <v>176</v>
      </c>
      <c r="E2037" s="418"/>
      <c r="F2037" s="419"/>
      <c r="G2037" s="419"/>
      <c r="H2037" s="453"/>
      <c r="I2037" s="453"/>
      <c r="J2037" s="453"/>
      <c r="K2037" s="453"/>
      <c r="L2037" s="453"/>
      <c r="M2037" s="453"/>
      <c r="N2037" s="453"/>
      <c r="O2037" s="453"/>
      <c r="P2037" s="1616"/>
      <c r="Q2037" s="453"/>
      <c r="R2037" s="453"/>
      <c r="S2037" s="453"/>
      <c r="T2037" s="453"/>
      <c r="U2037" s="453"/>
      <c r="V2037" s="453"/>
      <c r="W2037" s="453"/>
      <c r="X2037" s="21"/>
      <c r="Y2037" s="21"/>
    </row>
    <row r="2038" spans="1:25" s="1093" customFormat="1" ht="32" x14ac:dyDescent="0.2">
      <c r="A2038" s="1090" t="s">
        <v>57</v>
      </c>
      <c r="B2038" s="31" t="s">
        <v>2108</v>
      </c>
      <c r="C2038" s="31" t="s">
        <v>2109</v>
      </c>
      <c r="D2038" s="31" t="s">
        <v>2110</v>
      </c>
      <c r="E2038" s="1091"/>
      <c r="F2038" s="1092"/>
      <c r="G2038" s="1092"/>
      <c r="H2038" s="1092"/>
      <c r="I2038" s="1092"/>
      <c r="J2038" s="1092"/>
      <c r="K2038" s="1092"/>
      <c r="L2038" s="1092"/>
      <c r="M2038" s="1092"/>
      <c r="N2038" s="1092"/>
      <c r="O2038" s="1092"/>
      <c r="P2038" s="1092"/>
      <c r="Q2038" s="1092"/>
      <c r="R2038" s="1092"/>
      <c r="S2038" s="1092"/>
      <c r="T2038" s="1092"/>
      <c r="U2038" s="1092"/>
      <c r="V2038" s="1092"/>
      <c r="W2038" s="1092"/>
    </row>
    <row r="2039" spans="1:25" s="21" customFormat="1" x14ac:dyDescent="0.2">
      <c r="A2039" s="20" t="s">
        <v>1490</v>
      </c>
      <c r="B2039" s="41">
        <v>362</v>
      </c>
      <c r="C2039" s="41">
        <v>207</v>
      </c>
      <c r="D2039" s="41">
        <v>9</v>
      </c>
      <c r="E2039" s="451"/>
      <c r="F2039" s="453"/>
      <c r="G2039" s="453"/>
      <c r="H2039" s="453"/>
      <c r="I2039" s="453"/>
      <c r="J2039" s="453"/>
      <c r="K2039" s="453"/>
      <c r="L2039" s="453"/>
      <c r="M2039" s="453"/>
      <c r="N2039" s="453"/>
      <c r="O2039" s="453"/>
      <c r="P2039" s="1617"/>
      <c r="Q2039" s="453"/>
      <c r="R2039" s="453"/>
      <c r="S2039" s="453"/>
      <c r="T2039" s="453"/>
      <c r="U2039" s="453"/>
      <c r="V2039" s="453"/>
      <c r="W2039" s="453"/>
    </row>
    <row r="2040" spans="1:25" s="21" customFormat="1" x14ac:dyDescent="0.2">
      <c r="A2040" s="20" t="s">
        <v>1491</v>
      </c>
      <c r="B2040" s="41">
        <v>362</v>
      </c>
      <c r="C2040" s="41">
        <v>207</v>
      </c>
      <c r="D2040" s="41">
        <v>9</v>
      </c>
      <c r="E2040" s="451"/>
      <c r="F2040" s="453"/>
      <c r="G2040" s="453"/>
      <c r="H2040" s="453"/>
      <c r="I2040" s="453"/>
      <c r="J2040" s="453"/>
      <c r="K2040" s="453"/>
      <c r="L2040" s="453"/>
      <c r="M2040" s="453"/>
      <c r="N2040" s="453"/>
      <c r="O2040" s="453"/>
      <c r="P2040" s="1617"/>
      <c r="Q2040" s="453"/>
      <c r="R2040" s="453"/>
      <c r="S2040" s="453"/>
      <c r="T2040" s="453"/>
      <c r="U2040" s="453"/>
      <c r="V2040" s="453"/>
      <c r="W2040" s="453"/>
    </row>
    <row r="2041" spans="1:25" s="21" customFormat="1" x14ac:dyDescent="0.2">
      <c r="A2041" s="20" t="s">
        <v>1483</v>
      </c>
      <c r="B2041" s="41">
        <v>362</v>
      </c>
      <c r="C2041" s="41">
        <v>207</v>
      </c>
      <c r="D2041" s="41">
        <v>9</v>
      </c>
      <c r="E2041" s="451"/>
      <c r="F2041" s="453"/>
      <c r="G2041" s="453"/>
      <c r="H2041" s="453"/>
      <c r="I2041" s="453"/>
      <c r="J2041" s="453"/>
      <c r="K2041" s="453"/>
      <c r="L2041" s="453"/>
      <c r="M2041" s="453"/>
      <c r="N2041" s="453"/>
      <c r="O2041" s="453"/>
      <c r="P2041" s="1617"/>
      <c r="Q2041" s="453"/>
      <c r="R2041" s="453"/>
      <c r="S2041" s="453"/>
      <c r="T2041" s="453"/>
      <c r="U2041" s="453"/>
      <c r="V2041" s="453"/>
      <c r="W2041" s="453"/>
    </row>
    <row r="2042" spans="1:25" s="21" customFormat="1" x14ac:dyDescent="0.2">
      <c r="A2042" s="20" t="s">
        <v>1484</v>
      </c>
      <c r="B2042" s="41">
        <v>362</v>
      </c>
      <c r="C2042" s="41">
        <v>207</v>
      </c>
      <c r="D2042" s="41">
        <v>9</v>
      </c>
      <c r="E2042" s="451"/>
      <c r="F2042" s="453"/>
      <c r="G2042" s="453"/>
      <c r="H2042" s="453"/>
      <c r="I2042" s="453"/>
      <c r="J2042" s="453"/>
      <c r="K2042" s="453"/>
      <c r="L2042" s="453"/>
      <c r="M2042" s="453"/>
      <c r="N2042" s="453"/>
      <c r="O2042" s="453"/>
      <c r="P2042" s="1617"/>
      <c r="Q2042" s="453"/>
      <c r="R2042" s="453"/>
      <c r="S2042" s="453"/>
      <c r="T2042" s="453"/>
      <c r="U2042" s="453"/>
      <c r="V2042" s="453"/>
      <c r="W2042" s="453"/>
    </row>
    <row r="2043" spans="1:25" s="21" customFormat="1" x14ac:dyDescent="0.2">
      <c r="A2043" s="20" t="s">
        <v>1485</v>
      </c>
      <c r="B2043" s="41">
        <v>362</v>
      </c>
      <c r="C2043" s="41">
        <v>207</v>
      </c>
      <c r="D2043" s="41">
        <v>9</v>
      </c>
      <c r="E2043" s="451"/>
      <c r="F2043" s="453"/>
      <c r="G2043" s="453"/>
      <c r="H2043" s="453"/>
      <c r="I2043" s="453"/>
      <c r="J2043" s="453"/>
      <c r="K2043" s="453"/>
      <c r="L2043" s="453"/>
      <c r="M2043" s="453"/>
      <c r="N2043" s="453"/>
      <c r="O2043" s="453"/>
      <c r="P2043" s="1617"/>
      <c r="Q2043" s="453"/>
      <c r="R2043" s="453"/>
      <c r="S2043" s="453"/>
      <c r="T2043" s="453"/>
      <c r="U2043" s="453"/>
      <c r="V2043" s="453"/>
      <c r="W2043" s="453"/>
    </row>
    <row r="2044" spans="1:25" s="21" customFormat="1" x14ac:dyDescent="0.2">
      <c r="A2044" s="20" t="s">
        <v>1486</v>
      </c>
      <c r="B2044" s="41">
        <v>362</v>
      </c>
      <c r="C2044" s="41">
        <v>207</v>
      </c>
      <c r="D2044" s="41">
        <v>9</v>
      </c>
      <c r="E2044" s="451"/>
      <c r="F2044" s="453"/>
      <c r="G2044" s="453"/>
      <c r="H2044" s="453"/>
      <c r="I2044" s="453"/>
      <c r="J2044" s="453"/>
      <c r="K2044" s="453"/>
      <c r="L2044" s="453"/>
      <c r="M2044" s="453"/>
      <c r="N2044" s="453"/>
      <c r="O2044" s="453"/>
      <c r="P2044" s="1617"/>
      <c r="Q2044" s="453"/>
      <c r="R2044" s="453"/>
      <c r="S2044" s="453"/>
      <c r="T2044" s="453"/>
      <c r="U2044" s="453"/>
      <c r="V2044" s="453"/>
      <c r="W2044" s="453"/>
    </row>
    <row r="2045" spans="1:25" s="21" customFormat="1" x14ac:dyDescent="0.2">
      <c r="A2045" s="20" t="s">
        <v>1487</v>
      </c>
      <c r="B2045" s="41">
        <v>464</v>
      </c>
      <c r="C2045" s="41">
        <v>210</v>
      </c>
      <c r="D2045" s="41">
        <v>21</v>
      </c>
      <c r="E2045" s="451"/>
      <c r="F2045" s="453"/>
      <c r="G2045" s="453"/>
      <c r="H2045" s="453"/>
      <c r="I2045" s="453"/>
      <c r="J2045" s="453"/>
      <c r="K2045" s="453"/>
      <c r="L2045" s="453"/>
      <c r="M2045" s="453"/>
      <c r="N2045" s="453"/>
      <c r="O2045" s="453"/>
      <c r="P2045" s="1617"/>
      <c r="Q2045" s="453"/>
      <c r="R2045" s="453"/>
      <c r="S2045" s="453"/>
      <c r="T2045" s="453"/>
      <c r="U2045" s="453"/>
      <c r="V2045" s="453"/>
      <c r="W2045" s="453"/>
    </row>
    <row r="2046" spans="1:25" s="21" customFormat="1" x14ac:dyDescent="0.2">
      <c r="A2046" s="20" t="s">
        <v>1488</v>
      </c>
      <c r="B2046" s="41">
        <v>464</v>
      </c>
      <c r="C2046" s="41">
        <v>210</v>
      </c>
      <c r="D2046" s="41">
        <v>21</v>
      </c>
      <c r="E2046" s="451"/>
      <c r="F2046" s="453"/>
      <c r="G2046" s="453"/>
      <c r="H2046" s="453"/>
      <c r="I2046" s="453"/>
      <c r="J2046" s="453"/>
      <c r="K2046" s="453"/>
      <c r="L2046" s="453"/>
      <c r="M2046" s="453"/>
      <c r="N2046" s="453"/>
      <c r="O2046" s="453"/>
      <c r="P2046" s="1617"/>
      <c r="Q2046" s="453"/>
      <c r="R2046" s="453"/>
      <c r="S2046" s="453"/>
      <c r="T2046" s="453"/>
      <c r="U2046" s="453"/>
      <c r="V2046" s="453"/>
      <c r="W2046" s="453"/>
    </row>
    <row r="2047" spans="1:25" s="21" customFormat="1" x14ac:dyDescent="0.2">
      <c r="A2047" s="20" t="s">
        <v>1489</v>
      </c>
      <c r="B2047" s="41">
        <v>464</v>
      </c>
      <c r="C2047" s="41">
        <v>210</v>
      </c>
      <c r="D2047" s="41">
        <v>21</v>
      </c>
      <c r="E2047" s="451"/>
      <c r="F2047" s="453"/>
      <c r="G2047" s="453"/>
      <c r="H2047" s="453"/>
      <c r="I2047" s="453"/>
      <c r="J2047" s="453"/>
      <c r="K2047" s="453"/>
      <c r="L2047" s="453"/>
      <c r="M2047" s="453"/>
      <c r="N2047" s="453"/>
      <c r="O2047" s="453"/>
      <c r="P2047" s="1617"/>
      <c r="Q2047" s="453"/>
      <c r="R2047" s="453"/>
      <c r="S2047" s="453"/>
      <c r="T2047" s="453"/>
      <c r="U2047" s="453"/>
      <c r="V2047" s="453"/>
      <c r="W2047" s="453"/>
    </row>
    <row r="2048" spans="1:25" s="292" customFormat="1" x14ac:dyDescent="0.2">
      <c r="A2048" s="37" t="s">
        <v>1359</v>
      </c>
      <c r="B2048" s="42">
        <v>464</v>
      </c>
      <c r="C2048" s="42">
        <v>210</v>
      </c>
      <c r="D2048" s="42">
        <v>21</v>
      </c>
      <c r="E2048" s="460"/>
      <c r="F2048" s="421"/>
      <c r="G2048" s="421"/>
      <c r="H2048" s="1074"/>
      <c r="I2048" s="1074"/>
      <c r="J2048" s="1074"/>
      <c r="K2048" s="1074"/>
      <c r="L2048" s="1074"/>
      <c r="M2048" s="1074"/>
      <c r="N2048" s="1074"/>
      <c r="O2048" s="1074"/>
      <c r="P2048" s="1618"/>
      <c r="Q2048" s="1074"/>
      <c r="R2048" s="1074"/>
      <c r="S2048" s="1074"/>
      <c r="T2048" s="1074"/>
      <c r="U2048" s="1074"/>
      <c r="V2048" s="1074"/>
      <c r="W2048" s="1074"/>
    </row>
    <row r="2049" spans="1:25" s="292" customFormat="1" x14ac:dyDescent="0.2">
      <c r="A2049" s="1073" t="s">
        <v>2076</v>
      </c>
    </row>
    <row r="2050" spans="1:25" s="292" customFormat="1" x14ac:dyDescent="0.2"/>
    <row r="2051" spans="1:25" s="284" customFormat="1" x14ac:dyDescent="0.2"/>
    <row r="2052" spans="1:25" s="1086" customFormat="1" ht="24" x14ac:dyDescent="0.2">
      <c r="A2052" s="1086" t="s">
        <v>2075</v>
      </c>
    </row>
    <row r="2053" spans="1:25" s="284" customFormat="1" x14ac:dyDescent="0.2"/>
    <row r="2054" spans="1:25" s="125" customFormat="1" x14ac:dyDescent="0.2">
      <c r="A2054" s="377" t="s">
        <v>2111</v>
      </c>
      <c r="D2054" s="1075"/>
      <c r="E2054" s="1075"/>
      <c r="F2054" s="1075"/>
      <c r="G2054" s="1075"/>
      <c r="H2054" s="1075"/>
      <c r="I2054" s="1075"/>
    </row>
    <row r="2055" spans="1:25" s="773" customFormat="1" ht="16.25" customHeight="1" x14ac:dyDescent="0.2">
      <c r="A2055" s="753" t="s">
        <v>2112</v>
      </c>
      <c r="B2055" s="442" t="s">
        <v>2113</v>
      </c>
      <c r="C2055" s="442" t="s">
        <v>2113</v>
      </c>
      <c r="D2055" s="442"/>
      <c r="E2055" s="442"/>
      <c r="F2055" s="442"/>
      <c r="G2055" s="442"/>
      <c r="H2055" s="442"/>
      <c r="I2055" s="442"/>
      <c r="J2055" s="442"/>
      <c r="K2055" s="442"/>
      <c r="L2055" s="442"/>
      <c r="M2055" s="442"/>
      <c r="N2055" s="442"/>
      <c r="O2055" s="442"/>
      <c r="P2055" s="532"/>
      <c r="Q2055" s="442"/>
      <c r="R2055" s="442"/>
      <c r="S2055" s="442"/>
      <c r="T2055" s="442"/>
      <c r="U2055" s="442"/>
      <c r="V2055" s="442"/>
      <c r="W2055" s="442"/>
    </row>
    <row r="2056" spans="1:25" s="291" customFormat="1" ht="16" x14ac:dyDescent="0.2">
      <c r="A2056" s="293" t="s">
        <v>1963</v>
      </c>
      <c r="B2056" s="31" t="s">
        <v>2114</v>
      </c>
      <c r="C2056" s="31" t="s">
        <v>2115</v>
      </c>
      <c r="D2056" s="1456"/>
      <c r="E2056" s="419"/>
      <c r="F2056" s="419"/>
      <c r="G2056" s="419"/>
      <c r="H2056" s="453"/>
      <c r="I2056" s="453"/>
      <c r="J2056" s="453"/>
      <c r="K2056" s="453"/>
      <c r="L2056" s="453"/>
      <c r="M2056" s="453"/>
      <c r="N2056" s="453"/>
      <c r="O2056" s="453"/>
      <c r="P2056" s="1616"/>
      <c r="Q2056" s="453"/>
      <c r="R2056" s="453"/>
      <c r="S2056" s="453"/>
      <c r="T2056" s="453"/>
      <c r="U2056" s="453"/>
      <c r="V2056" s="453"/>
      <c r="W2056" s="453"/>
      <c r="X2056" s="21"/>
      <c r="Y2056" s="21"/>
    </row>
    <row r="2057" spans="1:25" s="1093" customFormat="1" ht="16" x14ac:dyDescent="0.2">
      <c r="A2057" s="1090" t="s">
        <v>57</v>
      </c>
      <c r="B2057" s="31" t="s">
        <v>2116</v>
      </c>
      <c r="C2057" s="31" t="s">
        <v>2117</v>
      </c>
      <c r="D2057" s="1092"/>
      <c r="E2057" s="1092"/>
      <c r="F2057" s="1092"/>
      <c r="G2057" s="1092"/>
      <c r="H2057" s="1092"/>
      <c r="I2057" s="1092"/>
      <c r="J2057" s="1092"/>
      <c r="K2057" s="1092"/>
      <c r="L2057" s="1092"/>
      <c r="M2057" s="1092"/>
      <c r="N2057" s="1092"/>
      <c r="O2057" s="1092"/>
      <c r="P2057" s="1092"/>
      <c r="Q2057" s="1092"/>
      <c r="R2057" s="1092"/>
      <c r="S2057" s="1092"/>
      <c r="T2057" s="1092"/>
      <c r="U2057" s="1092"/>
      <c r="V2057" s="1092"/>
      <c r="W2057" s="1092"/>
    </row>
    <row r="2058" spans="1:25" s="21" customFormat="1" x14ac:dyDescent="0.2">
      <c r="A2058" s="20" t="s">
        <v>1490</v>
      </c>
      <c r="B2058" s="464">
        <v>0.45</v>
      </c>
      <c r="C2058" s="464">
        <v>7.0000000000000007E-2</v>
      </c>
      <c r="D2058" s="453"/>
      <c r="E2058" s="453"/>
      <c r="F2058" s="453"/>
      <c r="G2058" s="453"/>
      <c r="H2058" s="453"/>
      <c r="I2058" s="453"/>
      <c r="J2058" s="453"/>
      <c r="K2058" s="453"/>
      <c r="L2058" s="453"/>
      <c r="M2058" s="453"/>
      <c r="N2058" s="453"/>
      <c r="O2058" s="453"/>
      <c r="P2058" s="1617"/>
      <c r="Q2058" s="453"/>
      <c r="R2058" s="453"/>
      <c r="S2058" s="453"/>
      <c r="T2058" s="453"/>
      <c r="U2058" s="453"/>
      <c r="V2058" s="453"/>
      <c r="W2058" s="453"/>
    </row>
    <row r="2059" spans="1:25" s="21" customFormat="1" x14ac:dyDescent="0.2">
      <c r="A2059" s="20" t="s">
        <v>1491</v>
      </c>
      <c r="B2059" s="163">
        <v>0.45</v>
      </c>
      <c r="C2059" s="163">
        <v>7.0000000000000007E-2</v>
      </c>
      <c r="D2059" s="453"/>
      <c r="E2059" s="453"/>
      <c r="F2059" s="453"/>
      <c r="G2059" s="453"/>
      <c r="H2059" s="453"/>
      <c r="I2059" s="453"/>
      <c r="J2059" s="453"/>
      <c r="K2059" s="453"/>
      <c r="L2059" s="453"/>
      <c r="M2059" s="453"/>
      <c r="N2059" s="453"/>
      <c r="O2059" s="453"/>
      <c r="P2059" s="1617"/>
      <c r="Q2059" s="453"/>
      <c r="R2059" s="453"/>
      <c r="S2059" s="453"/>
      <c r="T2059" s="453"/>
      <c r="U2059" s="453"/>
      <c r="V2059" s="453"/>
      <c r="W2059" s="453"/>
    </row>
    <row r="2060" spans="1:25" s="21" customFormat="1" x14ac:dyDescent="0.2">
      <c r="A2060" s="20" t="s">
        <v>1483</v>
      </c>
      <c r="B2060" s="163">
        <v>0.45</v>
      </c>
      <c r="C2060" s="163">
        <v>7.0000000000000007E-2</v>
      </c>
      <c r="D2060" s="453"/>
      <c r="E2060" s="453"/>
      <c r="F2060" s="453"/>
      <c r="G2060" s="453"/>
      <c r="H2060" s="453"/>
      <c r="I2060" s="453"/>
      <c r="J2060" s="453"/>
      <c r="K2060" s="453"/>
      <c r="L2060" s="453"/>
      <c r="M2060" s="453"/>
      <c r="N2060" s="453"/>
      <c r="O2060" s="453"/>
      <c r="P2060" s="1617"/>
      <c r="Q2060" s="453"/>
      <c r="R2060" s="453"/>
      <c r="S2060" s="453"/>
      <c r="T2060" s="453"/>
      <c r="U2060" s="453"/>
      <c r="V2060" s="453"/>
      <c r="W2060" s="453"/>
    </row>
    <row r="2061" spans="1:25" s="21" customFormat="1" x14ac:dyDescent="0.2">
      <c r="A2061" s="20" t="s">
        <v>1484</v>
      </c>
      <c r="B2061" s="163">
        <v>0.45</v>
      </c>
      <c r="C2061" s="163">
        <v>7.0000000000000007E-2</v>
      </c>
      <c r="D2061" s="453"/>
      <c r="E2061" s="453"/>
      <c r="F2061" s="453"/>
      <c r="G2061" s="453"/>
      <c r="H2061" s="453"/>
      <c r="I2061" s="453"/>
      <c r="J2061" s="453"/>
      <c r="K2061" s="453"/>
      <c r="L2061" s="453"/>
      <c r="M2061" s="453"/>
      <c r="N2061" s="453"/>
      <c r="O2061" s="453"/>
      <c r="P2061" s="1617"/>
      <c r="Q2061" s="453"/>
      <c r="R2061" s="453"/>
      <c r="S2061" s="453"/>
      <c r="T2061" s="453"/>
      <c r="U2061" s="453"/>
      <c r="V2061" s="453"/>
      <c r="W2061" s="453"/>
    </row>
    <row r="2062" spans="1:25" s="21" customFormat="1" x14ac:dyDescent="0.2">
      <c r="A2062" s="20" t="s">
        <v>1485</v>
      </c>
      <c r="B2062" s="163">
        <v>0.45</v>
      </c>
      <c r="C2062" s="163">
        <v>7.0000000000000007E-2</v>
      </c>
      <c r="D2062" s="453"/>
      <c r="E2062" s="453"/>
      <c r="F2062" s="453"/>
      <c r="G2062" s="453"/>
      <c r="H2062" s="453"/>
      <c r="I2062" s="453"/>
      <c r="J2062" s="453"/>
      <c r="K2062" s="453"/>
      <c r="L2062" s="453"/>
      <c r="M2062" s="453"/>
      <c r="N2062" s="453"/>
      <c r="O2062" s="453"/>
      <c r="P2062" s="1617"/>
      <c r="Q2062" s="453"/>
      <c r="R2062" s="453"/>
      <c r="S2062" s="453"/>
      <c r="T2062" s="453"/>
      <c r="U2062" s="453"/>
      <c r="V2062" s="453"/>
      <c r="W2062" s="453"/>
    </row>
    <row r="2063" spans="1:25" s="21" customFormat="1" x14ac:dyDescent="0.2">
      <c r="A2063" s="20" t="s">
        <v>1486</v>
      </c>
      <c r="B2063" s="163">
        <v>0.45</v>
      </c>
      <c r="C2063" s="163">
        <v>7.0000000000000007E-2</v>
      </c>
      <c r="D2063" s="453"/>
      <c r="E2063" s="453"/>
      <c r="F2063" s="453"/>
      <c r="G2063" s="453"/>
      <c r="H2063" s="453"/>
      <c r="I2063" s="453"/>
      <c r="J2063" s="453"/>
      <c r="K2063" s="453"/>
      <c r="L2063" s="453"/>
      <c r="M2063" s="453"/>
      <c r="N2063" s="453"/>
      <c r="O2063" s="453"/>
      <c r="P2063" s="1617"/>
      <c r="Q2063" s="453"/>
      <c r="R2063" s="453"/>
      <c r="S2063" s="453"/>
      <c r="T2063" s="453"/>
      <c r="U2063" s="453"/>
      <c r="V2063" s="453"/>
      <c r="W2063" s="453"/>
    </row>
    <row r="2064" spans="1:25" s="21" customFormat="1" x14ac:dyDescent="0.2">
      <c r="A2064" s="20" t="s">
        <v>1487</v>
      </c>
      <c r="B2064" s="163">
        <v>0.34</v>
      </c>
      <c r="C2064" s="163">
        <v>0.26</v>
      </c>
      <c r="D2064" s="453"/>
      <c r="E2064" s="453"/>
      <c r="F2064" s="453"/>
      <c r="G2064" s="453"/>
      <c r="H2064" s="453"/>
      <c r="I2064" s="453"/>
      <c r="J2064" s="453"/>
      <c r="K2064" s="453"/>
      <c r="L2064" s="453"/>
      <c r="M2064" s="453"/>
      <c r="N2064" s="453"/>
      <c r="O2064" s="453"/>
      <c r="P2064" s="1617"/>
      <c r="Q2064" s="453"/>
      <c r="R2064" s="453"/>
      <c r="S2064" s="453"/>
      <c r="T2064" s="453"/>
      <c r="U2064" s="453"/>
      <c r="V2064" s="453"/>
      <c r="W2064" s="453"/>
    </row>
    <row r="2065" spans="1:25" s="21" customFormat="1" x14ac:dyDescent="0.2">
      <c r="A2065" s="20" t="s">
        <v>1488</v>
      </c>
      <c r="B2065" s="163">
        <v>0.34</v>
      </c>
      <c r="C2065" s="163">
        <v>0.26</v>
      </c>
      <c r="D2065" s="453"/>
      <c r="E2065" s="453"/>
      <c r="F2065" s="453"/>
      <c r="G2065" s="453"/>
      <c r="H2065" s="453"/>
      <c r="I2065" s="453"/>
      <c r="J2065" s="453"/>
      <c r="K2065" s="453"/>
      <c r="L2065" s="453"/>
      <c r="M2065" s="453"/>
      <c r="N2065" s="453"/>
      <c r="O2065" s="453"/>
      <c r="P2065" s="1617"/>
      <c r="Q2065" s="453"/>
      <c r="R2065" s="453"/>
      <c r="S2065" s="453"/>
      <c r="T2065" s="453"/>
      <c r="U2065" s="453"/>
      <c r="V2065" s="453"/>
      <c r="W2065" s="453"/>
    </row>
    <row r="2066" spans="1:25" s="21" customFormat="1" x14ac:dyDescent="0.2">
      <c r="A2066" s="20" t="s">
        <v>1489</v>
      </c>
      <c r="B2066" s="163">
        <v>0.34</v>
      </c>
      <c r="C2066" s="163">
        <v>0.26</v>
      </c>
      <c r="D2066" s="453"/>
      <c r="E2066" s="453"/>
      <c r="F2066" s="453"/>
      <c r="G2066" s="453"/>
      <c r="H2066" s="453"/>
      <c r="I2066" s="453"/>
      <c r="J2066" s="453"/>
      <c r="K2066" s="453"/>
      <c r="L2066" s="453"/>
      <c r="M2066" s="453"/>
      <c r="N2066" s="453"/>
      <c r="O2066" s="453"/>
      <c r="P2066" s="1617"/>
      <c r="Q2066" s="453"/>
      <c r="R2066" s="453"/>
      <c r="S2066" s="453"/>
      <c r="T2066" s="453"/>
      <c r="U2066" s="453"/>
      <c r="V2066" s="453"/>
      <c r="W2066" s="453"/>
    </row>
    <row r="2067" spans="1:25" s="292" customFormat="1" x14ac:dyDescent="0.2">
      <c r="A2067" s="37" t="s">
        <v>1359</v>
      </c>
      <c r="B2067" s="466">
        <v>0.34</v>
      </c>
      <c r="C2067" s="466">
        <v>0.26</v>
      </c>
      <c r="D2067" s="421"/>
      <c r="E2067" s="421"/>
      <c r="F2067" s="421"/>
      <c r="G2067" s="421"/>
      <c r="H2067" s="1074"/>
      <c r="I2067" s="1074"/>
      <c r="J2067" s="1074"/>
      <c r="K2067" s="1074"/>
      <c r="L2067" s="1074"/>
      <c r="M2067" s="1074"/>
      <c r="N2067" s="1074"/>
      <c r="O2067" s="1074"/>
      <c r="P2067" s="1618"/>
      <c r="Q2067" s="1074"/>
      <c r="R2067" s="1074"/>
      <c r="S2067" s="1074"/>
      <c r="T2067" s="1074"/>
      <c r="U2067" s="1074"/>
      <c r="V2067" s="1074"/>
      <c r="W2067" s="1074"/>
    </row>
    <row r="2068" spans="1:25" s="292" customFormat="1" x14ac:dyDescent="0.2">
      <c r="A2068" s="1073" t="s">
        <v>2076</v>
      </c>
    </row>
    <row r="2069" spans="1:25" s="292" customFormat="1" x14ac:dyDescent="0.2">
      <c r="A2069" s="292" t="s">
        <v>2118</v>
      </c>
    </row>
    <row r="2070" spans="1:25" s="284" customFormat="1" x14ac:dyDescent="0.2"/>
    <row r="2071" spans="1:25" s="125" customFormat="1" x14ac:dyDescent="0.2">
      <c r="A2071" s="377" t="s">
        <v>2119</v>
      </c>
      <c r="D2071" s="1075"/>
      <c r="E2071" s="1075"/>
      <c r="F2071" s="1075"/>
      <c r="G2071" s="1075"/>
      <c r="H2071" s="1075"/>
      <c r="I2071" s="1075"/>
    </row>
    <row r="2072" spans="1:25" s="773" customFormat="1" ht="16.25" customHeight="1" x14ac:dyDescent="0.2">
      <c r="A2072" s="753" t="s">
        <v>2120</v>
      </c>
      <c r="B2072" s="442" t="s">
        <v>2113</v>
      </c>
      <c r="C2072" s="442" t="s">
        <v>2113</v>
      </c>
      <c r="D2072" s="442"/>
      <c r="E2072" s="442"/>
      <c r="F2072" s="442"/>
      <c r="G2072" s="442"/>
      <c r="H2072" s="442"/>
      <c r="I2072" s="442"/>
      <c r="J2072" s="442"/>
      <c r="K2072" s="442"/>
      <c r="L2072" s="442"/>
      <c r="M2072" s="442"/>
      <c r="N2072" s="442"/>
      <c r="O2072" s="442"/>
      <c r="P2072" s="532"/>
      <c r="Q2072" s="442"/>
      <c r="R2072" s="442"/>
      <c r="S2072" s="442"/>
      <c r="T2072" s="442"/>
      <c r="U2072" s="442"/>
      <c r="V2072" s="442"/>
      <c r="W2072" s="442"/>
    </row>
    <row r="2073" spans="1:25" s="291" customFormat="1" ht="16" x14ac:dyDescent="0.2">
      <c r="A2073" s="293" t="s">
        <v>1963</v>
      </c>
      <c r="B2073" s="31" t="s">
        <v>2114</v>
      </c>
      <c r="C2073" s="31" t="s">
        <v>2115</v>
      </c>
      <c r="D2073" s="1456"/>
      <c r="E2073" s="419"/>
      <c r="F2073" s="419"/>
      <c r="G2073" s="419"/>
      <c r="H2073" s="453"/>
      <c r="I2073" s="453"/>
      <c r="J2073" s="453"/>
      <c r="K2073" s="453"/>
      <c r="L2073" s="453"/>
      <c r="M2073" s="453"/>
      <c r="N2073" s="453"/>
      <c r="O2073" s="453"/>
      <c r="P2073" s="1616"/>
      <c r="Q2073" s="453"/>
      <c r="R2073" s="453"/>
      <c r="S2073" s="453"/>
      <c r="T2073" s="453"/>
      <c r="U2073" s="453"/>
      <c r="V2073" s="453"/>
      <c r="W2073" s="453"/>
      <c r="X2073" s="21"/>
      <c r="Y2073" s="21"/>
    </row>
    <row r="2074" spans="1:25" s="1093" customFormat="1" ht="16" x14ac:dyDescent="0.2">
      <c r="A2074" s="1090" t="s">
        <v>57</v>
      </c>
      <c r="B2074" s="31" t="s">
        <v>2116</v>
      </c>
      <c r="C2074" s="31" t="s">
        <v>2117</v>
      </c>
      <c r="D2074" s="1092"/>
      <c r="E2074" s="1092"/>
      <c r="F2074" s="1092"/>
      <c r="G2074" s="1092"/>
      <c r="H2074" s="1092"/>
      <c r="I2074" s="1092"/>
      <c r="J2074" s="1092"/>
      <c r="K2074" s="1092"/>
      <c r="L2074" s="1092"/>
      <c r="M2074" s="1092"/>
      <c r="N2074" s="1092"/>
      <c r="O2074" s="1092"/>
      <c r="P2074" s="1092"/>
      <c r="Q2074" s="1092"/>
      <c r="R2074" s="1092"/>
      <c r="S2074" s="1092"/>
      <c r="T2074" s="1092"/>
      <c r="U2074" s="1092"/>
      <c r="V2074" s="1092"/>
      <c r="W2074" s="1092"/>
    </row>
    <row r="2075" spans="1:25" s="21" customFormat="1" x14ac:dyDescent="0.2">
      <c r="A2075" s="20" t="s">
        <v>1490</v>
      </c>
      <c r="B2075" s="464">
        <v>0.4</v>
      </c>
      <c r="C2075" s="464">
        <v>0.24</v>
      </c>
      <c r="D2075" s="453"/>
      <c r="E2075" s="453"/>
      <c r="F2075" s="453"/>
      <c r="G2075" s="453"/>
      <c r="H2075" s="453"/>
      <c r="I2075" s="453"/>
      <c r="J2075" s="453"/>
      <c r="K2075" s="453"/>
      <c r="L2075" s="453"/>
      <c r="M2075" s="453"/>
      <c r="N2075" s="453"/>
      <c r="O2075" s="453"/>
      <c r="P2075" s="1617"/>
      <c r="Q2075" s="453"/>
      <c r="R2075" s="453"/>
      <c r="S2075" s="453"/>
      <c r="T2075" s="453"/>
      <c r="U2075" s="453"/>
      <c r="V2075" s="453"/>
      <c r="W2075" s="453"/>
    </row>
    <row r="2076" spans="1:25" s="21" customFormat="1" x14ac:dyDescent="0.2">
      <c r="A2076" s="20" t="s">
        <v>1491</v>
      </c>
      <c r="B2076" s="163">
        <v>0.4</v>
      </c>
      <c r="C2076" s="163">
        <v>0.24</v>
      </c>
      <c r="D2076" s="453"/>
      <c r="E2076" s="453"/>
      <c r="F2076" s="453"/>
      <c r="G2076" s="453"/>
      <c r="H2076" s="453"/>
      <c r="I2076" s="453"/>
      <c r="J2076" s="453"/>
      <c r="K2076" s="453"/>
      <c r="L2076" s="453"/>
      <c r="M2076" s="453"/>
      <c r="N2076" s="453"/>
      <c r="O2076" s="453"/>
      <c r="P2076" s="1617"/>
      <c r="Q2076" s="453"/>
      <c r="R2076" s="453"/>
      <c r="S2076" s="453"/>
      <c r="T2076" s="453"/>
      <c r="U2076" s="453"/>
      <c r="V2076" s="453"/>
      <c r="W2076" s="453"/>
    </row>
    <row r="2077" spans="1:25" s="21" customFormat="1" x14ac:dyDescent="0.2">
      <c r="A2077" s="20" t="s">
        <v>1483</v>
      </c>
      <c r="B2077" s="163">
        <v>0.4</v>
      </c>
      <c r="C2077" s="163">
        <v>0.24</v>
      </c>
      <c r="D2077" s="453"/>
      <c r="E2077" s="453"/>
      <c r="F2077" s="453"/>
      <c r="G2077" s="453"/>
      <c r="H2077" s="453"/>
      <c r="I2077" s="453"/>
      <c r="J2077" s="453"/>
      <c r="K2077" s="453"/>
      <c r="L2077" s="453"/>
      <c r="M2077" s="453"/>
      <c r="N2077" s="453"/>
      <c r="O2077" s="453"/>
      <c r="P2077" s="1617"/>
      <c r="Q2077" s="453"/>
      <c r="R2077" s="453"/>
      <c r="S2077" s="453"/>
      <c r="T2077" s="453"/>
      <c r="U2077" s="453"/>
      <c r="V2077" s="453"/>
      <c r="W2077" s="453"/>
    </row>
    <row r="2078" spans="1:25" s="21" customFormat="1" x14ac:dyDescent="0.2">
      <c r="A2078" s="20" t="s">
        <v>1484</v>
      </c>
      <c r="B2078" s="163">
        <v>0.4</v>
      </c>
      <c r="C2078" s="163">
        <v>0.24</v>
      </c>
      <c r="D2078" s="453"/>
      <c r="E2078" s="453"/>
      <c r="F2078" s="453"/>
      <c r="G2078" s="453"/>
      <c r="H2078" s="453"/>
      <c r="I2078" s="453"/>
      <c r="J2078" s="453"/>
      <c r="K2078" s="453"/>
      <c r="L2078" s="453"/>
      <c r="M2078" s="453"/>
      <c r="N2078" s="453"/>
      <c r="O2078" s="453"/>
      <c r="P2078" s="1617"/>
      <c r="Q2078" s="453"/>
      <c r="R2078" s="453"/>
      <c r="S2078" s="453"/>
      <c r="T2078" s="453"/>
      <c r="U2078" s="453"/>
      <c r="V2078" s="453"/>
      <c r="W2078" s="453"/>
    </row>
    <row r="2079" spans="1:25" s="21" customFormat="1" x14ac:dyDescent="0.2">
      <c r="A2079" s="20" t="s">
        <v>1485</v>
      </c>
      <c r="B2079" s="163">
        <v>0.4</v>
      </c>
      <c r="C2079" s="163">
        <v>0.24</v>
      </c>
      <c r="D2079" s="453"/>
      <c r="E2079" s="453"/>
      <c r="F2079" s="453"/>
      <c r="G2079" s="453"/>
      <c r="H2079" s="453"/>
      <c r="I2079" s="453"/>
      <c r="J2079" s="453"/>
      <c r="K2079" s="453"/>
      <c r="L2079" s="453"/>
      <c r="M2079" s="453"/>
      <c r="N2079" s="453"/>
      <c r="O2079" s="453"/>
      <c r="P2079" s="1617"/>
      <c r="Q2079" s="453"/>
      <c r="R2079" s="453"/>
      <c r="S2079" s="453"/>
      <c r="T2079" s="453"/>
      <c r="U2079" s="453"/>
      <c r="V2079" s="453"/>
      <c r="W2079" s="453"/>
    </row>
    <row r="2080" spans="1:25" s="21" customFormat="1" x14ac:dyDescent="0.2">
      <c r="A2080" s="20" t="s">
        <v>1486</v>
      </c>
      <c r="B2080" s="163">
        <v>0.4</v>
      </c>
      <c r="C2080" s="163">
        <v>0.24</v>
      </c>
      <c r="D2080" s="453"/>
      <c r="E2080" s="453"/>
      <c r="F2080" s="453"/>
      <c r="G2080" s="453"/>
      <c r="H2080" s="453"/>
      <c r="I2080" s="453"/>
      <c r="J2080" s="453"/>
      <c r="K2080" s="453"/>
      <c r="L2080" s="453"/>
      <c r="M2080" s="453"/>
      <c r="N2080" s="453"/>
      <c r="O2080" s="453"/>
      <c r="P2080" s="1617"/>
      <c r="Q2080" s="453"/>
      <c r="R2080" s="453"/>
      <c r="S2080" s="453"/>
      <c r="T2080" s="453"/>
      <c r="U2080" s="453"/>
      <c r="V2080" s="453"/>
      <c r="W2080" s="453"/>
    </row>
    <row r="2081" spans="1:25" s="21" customFormat="1" x14ac:dyDescent="0.2">
      <c r="A2081" s="20" t="s">
        <v>1487</v>
      </c>
      <c r="B2081" s="163">
        <v>0.34</v>
      </c>
      <c r="C2081" s="163">
        <v>0.26</v>
      </c>
      <c r="D2081" s="453"/>
      <c r="E2081" s="453"/>
      <c r="F2081" s="453"/>
      <c r="G2081" s="453"/>
      <c r="H2081" s="453"/>
      <c r="I2081" s="453"/>
      <c r="J2081" s="453"/>
      <c r="K2081" s="453"/>
      <c r="L2081" s="453"/>
      <c r="M2081" s="453"/>
      <c r="N2081" s="453"/>
      <c r="O2081" s="453"/>
      <c r="P2081" s="1617"/>
      <c r="Q2081" s="453"/>
      <c r="R2081" s="453"/>
      <c r="S2081" s="453"/>
      <c r="T2081" s="453"/>
      <c r="U2081" s="453"/>
      <c r="V2081" s="453"/>
      <c r="W2081" s="453"/>
    </row>
    <row r="2082" spans="1:25" s="21" customFormat="1" x14ac:dyDescent="0.2">
      <c r="A2082" s="20" t="s">
        <v>1488</v>
      </c>
      <c r="B2082" s="163">
        <v>0.34</v>
      </c>
      <c r="C2082" s="163">
        <v>0.26</v>
      </c>
      <c r="D2082" s="453"/>
      <c r="E2082" s="453"/>
      <c r="F2082" s="453"/>
      <c r="G2082" s="453"/>
      <c r="H2082" s="453"/>
      <c r="I2082" s="453"/>
      <c r="J2082" s="453"/>
      <c r="K2082" s="453"/>
      <c r="L2082" s="453"/>
      <c r="M2082" s="453"/>
      <c r="N2082" s="453"/>
      <c r="O2082" s="453"/>
      <c r="P2082" s="1617"/>
      <c r="Q2082" s="453"/>
      <c r="R2082" s="453"/>
      <c r="S2082" s="453"/>
      <c r="T2082" s="453"/>
      <c r="U2082" s="453"/>
      <c r="V2082" s="453"/>
      <c r="W2082" s="453"/>
    </row>
    <row r="2083" spans="1:25" s="21" customFormat="1" x14ac:dyDescent="0.2">
      <c r="A2083" s="20" t="s">
        <v>1489</v>
      </c>
      <c r="B2083" s="163">
        <v>0.34</v>
      </c>
      <c r="C2083" s="163">
        <v>0.26</v>
      </c>
      <c r="D2083" s="453"/>
      <c r="E2083" s="453"/>
      <c r="F2083" s="453"/>
      <c r="G2083" s="453"/>
      <c r="H2083" s="453"/>
      <c r="I2083" s="453"/>
      <c r="J2083" s="453"/>
      <c r="K2083" s="453"/>
      <c r="L2083" s="453"/>
      <c r="M2083" s="453"/>
      <c r="N2083" s="453"/>
      <c r="O2083" s="453"/>
      <c r="P2083" s="1617"/>
      <c r="Q2083" s="453"/>
      <c r="R2083" s="453"/>
      <c r="S2083" s="453"/>
      <c r="T2083" s="453"/>
      <c r="U2083" s="453"/>
      <c r="V2083" s="453"/>
      <c r="W2083" s="453"/>
    </row>
    <row r="2084" spans="1:25" s="292" customFormat="1" x14ac:dyDescent="0.2">
      <c r="A2084" s="37" t="s">
        <v>1359</v>
      </c>
      <c r="B2084" s="466">
        <v>0.34</v>
      </c>
      <c r="C2084" s="466">
        <v>0.26</v>
      </c>
      <c r="D2084" s="421"/>
      <c r="E2084" s="421"/>
      <c r="F2084" s="421"/>
      <c r="G2084" s="421"/>
      <c r="H2084" s="1074"/>
      <c r="I2084" s="1074"/>
      <c r="J2084" s="1074"/>
      <c r="K2084" s="1074"/>
      <c r="L2084" s="1074"/>
      <c r="M2084" s="1074"/>
      <c r="N2084" s="1074"/>
      <c r="O2084" s="1074"/>
      <c r="P2084" s="1618"/>
      <c r="Q2084" s="1074"/>
      <c r="R2084" s="1074"/>
      <c r="S2084" s="1074"/>
      <c r="T2084" s="1074"/>
      <c r="U2084" s="1074"/>
      <c r="V2084" s="1074"/>
      <c r="W2084" s="1074"/>
    </row>
    <row r="2085" spans="1:25" s="292" customFormat="1" x14ac:dyDescent="0.2">
      <c r="A2085" s="1073" t="s">
        <v>2076</v>
      </c>
    </row>
    <row r="2086" spans="1:25" s="292" customFormat="1" x14ac:dyDescent="0.2">
      <c r="A2086" s="292" t="s">
        <v>2118</v>
      </c>
    </row>
    <row r="2087" spans="1:25" s="284" customFormat="1" x14ac:dyDescent="0.2"/>
    <row r="2088" spans="1:25" s="284" customFormat="1" x14ac:dyDescent="0.2"/>
    <row r="2089" spans="1:25" s="1086" customFormat="1" ht="24" x14ac:dyDescent="0.2">
      <c r="A2089" s="1086" t="s">
        <v>2121</v>
      </c>
    </row>
    <row r="2090" spans="1:25" s="1677" customFormat="1" ht="24" x14ac:dyDescent="0.2"/>
    <row r="2091" spans="1:25" s="125" customFormat="1" x14ac:dyDescent="0.2">
      <c r="A2091" s="377" t="s">
        <v>2122</v>
      </c>
      <c r="C2091" s="329"/>
      <c r="D2091" s="1075"/>
      <c r="E2091" s="1075"/>
      <c r="F2091" s="1075"/>
      <c r="G2091" s="1075"/>
      <c r="H2091" s="1075"/>
      <c r="I2091" s="1075"/>
    </row>
    <row r="2092" spans="1:25" s="773" customFormat="1" ht="16.25" customHeight="1" x14ac:dyDescent="0.2">
      <c r="A2092" s="753"/>
      <c r="B2092" s="378" t="s">
        <v>2123</v>
      </c>
      <c r="C2092" s="371"/>
      <c r="D2092" s="442"/>
      <c r="E2092" s="442"/>
      <c r="F2092" s="442"/>
      <c r="G2092" s="442"/>
      <c r="H2092" s="442"/>
      <c r="I2092" s="442"/>
      <c r="J2092" s="442"/>
      <c r="K2092" s="442"/>
      <c r="L2092" s="442"/>
      <c r="M2092" s="442"/>
      <c r="N2092" s="442"/>
      <c r="O2092" s="442"/>
      <c r="P2092" s="532"/>
      <c r="Q2092" s="442"/>
      <c r="R2092" s="442"/>
      <c r="S2092" s="442"/>
      <c r="T2092" s="442"/>
      <c r="U2092" s="442"/>
      <c r="V2092" s="442"/>
      <c r="W2092" s="442"/>
    </row>
    <row r="2093" spans="1:25" s="291" customFormat="1" ht="16" x14ac:dyDescent="0.2">
      <c r="A2093" s="293" t="s">
        <v>1963</v>
      </c>
      <c r="B2093" s="31" t="s">
        <v>1684</v>
      </c>
      <c r="C2093" s="31" t="s">
        <v>1689</v>
      </c>
      <c r="D2093" s="31" t="s">
        <v>1693</v>
      </c>
      <c r="E2093" s="419"/>
      <c r="F2093" s="419"/>
      <c r="G2093" s="419"/>
      <c r="H2093" s="453"/>
      <c r="I2093" s="453"/>
      <c r="J2093" s="453"/>
      <c r="K2093" s="453"/>
      <c r="L2093" s="453"/>
      <c r="M2093" s="453"/>
      <c r="N2093" s="453"/>
      <c r="O2093" s="453"/>
      <c r="P2093" s="1616"/>
      <c r="Q2093" s="453"/>
      <c r="R2093" s="453"/>
      <c r="S2093" s="453"/>
      <c r="T2093" s="453"/>
      <c r="U2093" s="453"/>
      <c r="V2093" s="453"/>
      <c r="W2093" s="453"/>
      <c r="X2093" s="21"/>
      <c r="Y2093" s="21"/>
    </row>
    <row r="2094" spans="1:25" s="1093" customFormat="1" ht="16" x14ac:dyDescent="0.2">
      <c r="A2094" s="1090" t="s">
        <v>57</v>
      </c>
      <c r="B2094" s="31" t="s">
        <v>2124</v>
      </c>
      <c r="C2094" s="31" t="s">
        <v>2124</v>
      </c>
      <c r="D2094" s="31" t="s">
        <v>2124</v>
      </c>
      <c r="E2094" s="1092"/>
      <c r="F2094" s="1092"/>
      <c r="G2094" s="1092"/>
      <c r="H2094" s="1092"/>
      <c r="I2094" s="1092"/>
      <c r="J2094" s="1092"/>
      <c r="K2094" s="1092"/>
      <c r="L2094" s="1092"/>
      <c r="M2094" s="1092"/>
      <c r="N2094" s="1092"/>
      <c r="O2094" s="1092"/>
      <c r="P2094" s="1092"/>
      <c r="Q2094" s="1092"/>
      <c r="R2094" s="1092"/>
      <c r="S2094" s="1092"/>
      <c r="T2094" s="1092"/>
      <c r="U2094" s="1092"/>
      <c r="V2094" s="1092"/>
      <c r="W2094" s="1092"/>
    </row>
    <row r="2095" spans="1:25" s="21" customFormat="1" x14ac:dyDescent="0.2">
      <c r="A2095" s="20" t="s">
        <v>1490</v>
      </c>
      <c r="B2095" s="470">
        <v>0</v>
      </c>
      <c r="C2095" s="470">
        <v>0</v>
      </c>
      <c r="D2095" s="470">
        <v>0</v>
      </c>
      <c r="E2095" s="453"/>
      <c r="F2095" s="453"/>
      <c r="G2095" s="453"/>
      <c r="H2095" s="453"/>
      <c r="I2095" s="453"/>
      <c r="J2095" s="453"/>
      <c r="K2095" s="453"/>
      <c r="L2095" s="453"/>
      <c r="M2095" s="453"/>
      <c r="N2095" s="453"/>
      <c r="O2095" s="453"/>
      <c r="P2095" s="1617"/>
      <c r="Q2095" s="453"/>
      <c r="R2095" s="453"/>
      <c r="S2095" s="453"/>
      <c r="T2095" s="453"/>
      <c r="U2095" s="453"/>
      <c r="V2095" s="453"/>
      <c r="W2095" s="453"/>
    </row>
    <row r="2096" spans="1:25" s="21" customFormat="1" x14ac:dyDescent="0.2">
      <c r="A2096" s="20" t="s">
        <v>1491</v>
      </c>
      <c r="B2096" s="467">
        <v>0</v>
      </c>
      <c r="C2096" s="467">
        <v>0</v>
      </c>
      <c r="D2096" s="467">
        <v>0</v>
      </c>
      <c r="E2096" s="453"/>
      <c r="F2096" s="453"/>
      <c r="G2096" s="453"/>
      <c r="H2096" s="453"/>
      <c r="I2096" s="453"/>
      <c r="J2096" s="453"/>
      <c r="K2096" s="453"/>
      <c r="L2096" s="453"/>
      <c r="M2096" s="453"/>
      <c r="N2096" s="453"/>
      <c r="O2096" s="453"/>
      <c r="P2096" s="1617"/>
      <c r="Q2096" s="453"/>
      <c r="R2096" s="453"/>
      <c r="S2096" s="453"/>
      <c r="T2096" s="453"/>
      <c r="U2096" s="453"/>
      <c r="V2096" s="453"/>
      <c r="W2096" s="453"/>
    </row>
    <row r="2097" spans="1:25" s="21" customFormat="1" x14ac:dyDescent="0.2">
      <c r="A2097" s="20" t="s">
        <v>1483</v>
      </c>
      <c r="B2097" s="467">
        <v>0</v>
      </c>
      <c r="C2097" s="467">
        <v>0</v>
      </c>
      <c r="D2097" s="467">
        <v>0</v>
      </c>
      <c r="E2097" s="453"/>
      <c r="F2097" s="453"/>
      <c r="G2097" s="453"/>
      <c r="H2097" s="453"/>
      <c r="I2097" s="453"/>
      <c r="J2097" s="453"/>
      <c r="K2097" s="453"/>
      <c r="L2097" s="453"/>
      <c r="M2097" s="453"/>
      <c r="N2097" s="453"/>
      <c r="O2097" s="453"/>
      <c r="P2097" s="1617"/>
      <c r="Q2097" s="453"/>
      <c r="R2097" s="453"/>
      <c r="S2097" s="453"/>
      <c r="T2097" s="453"/>
      <c r="U2097" s="453"/>
      <c r="V2097" s="453"/>
      <c r="W2097" s="453"/>
    </row>
    <row r="2098" spans="1:25" s="21" customFormat="1" x14ac:dyDescent="0.2">
      <c r="A2098" s="20" t="s">
        <v>1484</v>
      </c>
      <c r="B2098" s="467">
        <v>0</v>
      </c>
      <c r="C2098" s="467">
        <v>0</v>
      </c>
      <c r="D2098" s="467">
        <v>0</v>
      </c>
      <c r="E2098" s="453"/>
      <c r="F2098" s="453"/>
      <c r="G2098" s="453"/>
      <c r="H2098" s="453"/>
      <c r="I2098" s="453"/>
      <c r="J2098" s="453"/>
      <c r="K2098" s="453"/>
      <c r="L2098" s="453"/>
      <c r="M2098" s="453"/>
      <c r="N2098" s="453"/>
      <c r="O2098" s="453"/>
      <c r="P2098" s="1617"/>
      <c r="Q2098" s="453"/>
      <c r="R2098" s="453"/>
      <c r="S2098" s="453"/>
      <c r="T2098" s="453"/>
      <c r="U2098" s="453"/>
      <c r="V2098" s="453"/>
      <c r="W2098" s="453"/>
    </row>
    <row r="2099" spans="1:25" s="21" customFormat="1" x14ac:dyDescent="0.2">
      <c r="A2099" s="20" t="s">
        <v>1485</v>
      </c>
      <c r="B2099" s="467">
        <v>75</v>
      </c>
      <c r="C2099" s="467">
        <v>0</v>
      </c>
      <c r="D2099" s="467">
        <v>0</v>
      </c>
      <c r="E2099" s="453"/>
      <c r="F2099" s="453"/>
      <c r="G2099" s="453"/>
      <c r="H2099" s="453"/>
      <c r="I2099" s="453"/>
      <c r="J2099" s="453"/>
      <c r="K2099" s="453"/>
      <c r="L2099" s="453"/>
      <c r="M2099" s="453"/>
      <c r="N2099" s="453"/>
      <c r="O2099" s="453"/>
      <c r="P2099" s="1617"/>
      <c r="Q2099" s="453"/>
      <c r="R2099" s="453"/>
      <c r="S2099" s="453"/>
      <c r="T2099" s="453"/>
      <c r="U2099" s="453"/>
      <c r="V2099" s="453"/>
      <c r="W2099" s="453"/>
    </row>
    <row r="2100" spans="1:25" s="21" customFormat="1" x14ac:dyDescent="0.2">
      <c r="A2100" s="20" t="s">
        <v>1486</v>
      </c>
      <c r="B2100" s="467">
        <v>75</v>
      </c>
      <c r="C2100" s="467">
        <v>0</v>
      </c>
      <c r="D2100" s="467">
        <v>0</v>
      </c>
      <c r="E2100" s="453"/>
      <c r="F2100" s="453"/>
      <c r="G2100" s="453"/>
      <c r="H2100" s="453"/>
      <c r="I2100" s="453"/>
      <c r="J2100" s="453"/>
      <c r="K2100" s="453"/>
      <c r="L2100" s="453"/>
      <c r="M2100" s="453"/>
      <c r="N2100" s="453"/>
      <c r="O2100" s="453"/>
      <c r="P2100" s="1617"/>
      <c r="Q2100" s="453"/>
      <c r="R2100" s="453"/>
      <c r="S2100" s="453"/>
      <c r="T2100" s="453"/>
      <c r="U2100" s="453"/>
      <c r="V2100" s="453"/>
      <c r="W2100" s="453"/>
    </row>
    <row r="2101" spans="1:25" s="21" customFormat="1" x14ac:dyDescent="0.2">
      <c r="A2101" s="20" t="s">
        <v>1487</v>
      </c>
      <c r="B2101" s="467">
        <v>92</v>
      </c>
      <c r="C2101" s="467">
        <v>0</v>
      </c>
      <c r="D2101" s="467">
        <v>0</v>
      </c>
      <c r="E2101" s="453"/>
      <c r="F2101" s="453"/>
      <c r="G2101" s="453"/>
      <c r="H2101" s="453"/>
      <c r="I2101" s="453"/>
      <c r="J2101" s="453"/>
      <c r="K2101" s="453"/>
      <c r="L2101" s="453"/>
      <c r="M2101" s="453"/>
      <c r="N2101" s="453"/>
      <c r="O2101" s="453"/>
      <c r="P2101" s="1617"/>
      <c r="Q2101" s="453"/>
      <c r="R2101" s="453"/>
      <c r="S2101" s="453"/>
      <c r="T2101" s="453"/>
      <c r="U2101" s="453"/>
      <c r="V2101" s="453"/>
      <c r="W2101" s="453"/>
    </row>
    <row r="2102" spans="1:25" s="21" customFormat="1" x14ac:dyDescent="0.2">
      <c r="A2102" s="20" t="s">
        <v>1488</v>
      </c>
      <c r="B2102" s="467">
        <v>192</v>
      </c>
      <c r="C2102" s="467">
        <v>0</v>
      </c>
      <c r="D2102" s="467">
        <v>0</v>
      </c>
      <c r="E2102" s="453"/>
      <c r="F2102" s="453"/>
      <c r="G2102" s="453"/>
      <c r="H2102" s="453"/>
      <c r="I2102" s="453"/>
      <c r="J2102" s="453"/>
      <c r="K2102" s="453"/>
      <c r="L2102" s="453"/>
      <c r="M2102" s="453"/>
      <c r="N2102" s="453"/>
      <c r="O2102" s="453"/>
      <c r="P2102" s="1617"/>
      <c r="Q2102" s="453"/>
      <c r="R2102" s="453"/>
      <c r="S2102" s="453"/>
      <c r="T2102" s="453"/>
      <c r="U2102" s="453"/>
      <c r="V2102" s="453"/>
      <c r="W2102" s="453"/>
    </row>
    <row r="2103" spans="1:25" s="21" customFormat="1" x14ac:dyDescent="0.2">
      <c r="A2103" s="20" t="s">
        <v>1489</v>
      </c>
      <c r="B2103" s="467">
        <v>192</v>
      </c>
      <c r="C2103" s="467">
        <v>0</v>
      </c>
      <c r="D2103" s="467">
        <v>0</v>
      </c>
      <c r="E2103" s="453"/>
      <c r="F2103" s="453"/>
      <c r="G2103" s="453"/>
      <c r="H2103" s="453"/>
      <c r="I2103" s="453"/>
      <c r="J2103" s="453"/>
      <c r="K2103" s="453"/>
      <c r="L2103" s="453"/>
      <c r="M2103" s="453"/>
      <c r="N2103" s="453"/>
      <c r="O2103" s="453"/>
      <c r="P2103" s="1617"/>
      <c r="Q2103" s="453"/>
      <c r="R2103" s="453"/>
      <c r="S2103" s="453"/>
      <c r="T2103" s="453"/>
      <c r="U2103" s="453"/>
      <c r="V2103" s="453"/>
      <c r="W2103" s="453"/>
    </row>
    <row r="2104" spans="1:25" s="292" customFormat="1" x14ac:dyDescent="0.2">
      <c r="A2104" s="37" t="s">
        <v>1359</v>
      </c>
      <c r="B2104" s="654">
        <v>0</v>
      </c>
      <c r="C2104" s="654">
        <v>0</v>
      </c>
      <c r="D2104" s="654">
        <v>0</v>
      </c>
      <c r="E2104" s="421"/>
      <c r="F2104" s="421"/>
      <c r="G2104" s="421"/>
      <c r="H2104" s="1074"/>
      <c r="I2104" s="1074"/>
      <c r="J2104" s="1074"/>
      <c r="K2104" s="1074"/>
      <c r="L2104" s="1074"/>
      <c r="M2104" s="1074"/>
      <c r="N2104" s="1074"/>
      <c r="O2104" s="1074"/>
      <c r="P2104" s="1618"/>
      <c r="Q2104" s="1074"/>
      <c r="R2104" s="1074"/>
      <c r="S2104" s="1074"/>
      <c r="T2104" s="1074"/>
      <c r="U2104" s="1074"/>
      <c r="V2104" s="1074"/>
      <c r="W2104" s="1074"/>
    </row>
    <row r="2105" spans="1:25" s="292" customFormat="1" x14ac:dyDescent="0.2">
      <c r="A2105" s="1073" t="s">
        <v>2125</v>
      </c>
    </row>
    <row r="2106" spans="1:25" s="292" customFormat="1" x14ac:dyDescent="0.2"/>
    <row r="2107" spans="1:25" s="284" customFormat="1" x14ac:dyDescent="0.2"/>
    <row r="2108" spans="1:25" s="284" customFormat="1" x14ac:dyDescent="0.2"/>
    <row r="2109" spans="1:25" s="125" customFormat="1" x14ac:dyDescent="0.2">
      <c r="A2109" s="377" t="s">
        <v>2126</v>
      </c>
      <c r="D2109" s="1075"/>
      <c r="E2109" s="1075"/>
      <c r="F2109" s="1075"/>
      <c r="G2109" s="1075"/>
      <c r="H2109" s="1075"/>
      <c r="I2109" s="1075"/>
    </row>
    <row r="2110" spans="1:25" s="773" customFormat="1" ht="16.25" customHeight="1" x14ac:dyDescent="0.2">
      <c r="A2110" s="753"/>
      <c r="B2110" s="442" t="s">
        <v>2127</v>
      </c>
      <c r="C2110" s="442" t="s">
        <v>2128</v>
      </c>
      <c r="D2110" s="442" t="s">
        <v>2129</v>
      </c>
      <c r="E2110" s="442" t="s">
        <v>2128</v>
      </c>
      <c r="F2110" s="442"/>
      <c r="G2110" s="442"/>
      <c r="H2110" s="442"/>
      <c r="I2110" s="442"/>
      <c r="J2110" s="442"/>
      <c r="K2110" s="442"/>
      <c r="L2110" s="442"/>
      <c r="M2110" s="442"/>
      <c r="N2110" s="442"/>
      <c r="O2110" s="442"/>
      <c r="P2110" s="532"/>
      <c r="Q2110" s="442"/>
      <c r="R2110" s="442"/>
      <c r="S2110" s="442"/>
      <c r="T2110" s="442"/>
      <c r="U2110" s="442"/>
      <c r="V2110" s="442"/>
      <c r="W2110" s="442"/>
    </row>
    <row r="2111" spans="1:25" s="291" customFormat="1" ht="32" x14ac:dyDescent="0.2">
      <c r="A2111" s="293" t="s">
        <v>1963</v>
      </c>
      <c r="B2111" s="31" t="s">
        <v>1684</v>
      </c>
      <c r="C2111" s="31" t="s">
        <v>1689</v>
      </c>
      <c r="D2111" s="31" t="s">
        <v>1693</v>
      </c>
      <c r="E2111" s="31" t="s">
        <v>2130</v>
      </c>
      <c r="F2111" s="419"/>
      <c r="G2111" s="419"/>
      <c r="H2111" s="453"/>
      <c r="I2111" s="453"/>
      <c r="J2111" s="453"/>
      <c r="K2111" s="453"/>
      <c r="L2111" s="453"/>
      <c r="M2111" s="453"/>
      <c r="N2111" s="453"/>
      <c r="O2111" s="453"/>
      <c r="P2111" s="1616"/>
      <c r="Q2111" s="453"/>
      <c r="R2111" s="453"/>
      <c r="S2111" s="453"/>
      <c r="T2111" s="453"/>
      <c r="U2111" s="453"/>
      <c r="V2111" s="453"/>
      <c r="W2111" s="453"/>
      <c r="X2111" s="21"/>
      <c r="Y2111" s="21"/>
    </row>
    <row r="2112" spans="1:25" s="1093" customFormat="1" ht="16" x14ac:dyDescent="0.2">
      <c r="A2112" s="1090" t="s">
        <v>57</v>
      </c>
      <c r="B2112" s="31" t="s">
        <v>2131</v>
      </c>
      <c r="C2112" s="31" t="s">
        <v>2131</v>
      </c>
      <c r="D2112" s="31" t="s">
        <v>2131</v>
      </c>
      <c r="E2112" s="31" t="s">
        <v>2131</v>
      </c>
      <c r="F2112" s="1092"/>
      <c r="G2112" s="1092"/>
      <c r="H2112" s="1092"/>
      <c r="I2112" s="1092"/>
      <c r="J2112" s="1092"/>
      <c r="K2112" s="1092"/>
      <c r="L2112" s="1092"/>
      <c r="M2112" s="1092"/>
      <c r="N2112" s="1092"/>
      <c r="O2112" s="1092"/>
      <c r="P2112" s="1092"/>
      <c r="Q2112" s="1092"/>
      <c r="R2112" s="1092"/>
      <c r="S2112" s="1092"/>
      <c r="T2112" s="1092"/>
      <c r="U2112" s="1092"/>
      <c r="V2112" s="1092"/>
      <c r="W2112" s="1092"/>
    </row>
    <row r="2113" spans="1:25" s="21" customFormat="1" x14ac:dyDescent="0.2">
      <c r="A2113" s="20" t="s">
        <v>1490</v>
      </c>
      <c r="B2113" s="470">
        <v>0</v>
      </c>
      <c r="C2113" s="470">
        <v>0</v>
      </c>
      <c r="D2113" s="470">
        <v>0</v>
      </c>
      <c r="E2113" s="470">
        <v>0</v>
      </c>
      <c r="F2113" s="453"/>
      <c r="G2113" s="453"/>
      <c r="H2113" s="453"/>
      <c r="I2113" s="453"/>
      <c r="J2113" s="453"/>
      <c r="K2113" s="453"/>
      <c r="L2113" s="453"/>
      <c r="M2113" s="453"/>
      <c r="N2113" s="453"/>
      <c r="O2113" s="453"/>
      <c r="P2113" s="1617"/>
      <c r="Q2113" s="453"/>
      <c r="R2113" s="453"/>
      <c r="S2113" s="453"/>
      <c r="T2113" s="453"/>
      <c r="U2113" s="453"/>
      <c r="V2113" s="453"/>
      <c r="W2113" s="453"/>
    </row>
    <row r="2114" spans="1:25" s="21" customFormat="1" x14ac:dyDescent="0.2">
      <c r="A2114" s="20" t="s">
        <v>1491</v>
      </c>
      <c r="B2114" s="467">
        <v>0</v>
      </c>
      <c r="C2114" s="467">
        <v>0</v>
      </c>
      <c r="D2114" s="467">
        <v>0</v>
      </c>
      <c r="E2114" s="467">
        <v>0</v>
      </c>
      <c r="F2114" s="453"/>
      <c r="G2114" s="453"/>
      <c r="H2114" s="453"/>
      <c r="I2114" s="453"/>
      <c r="J2114" s="453"/>
      <c r="K2114" s="453"/>
      <c r="L2114" s="453"/>
      <c r="M2114" s="453"/>
      <c r="N2114" s="453"/>
      <c r="O2114" s="453"/>
      <c r="P2114" s="1617"/>
      <c r="Q2114" s="453"/>
      <c r="R2114" s="453"/>
      <c r="S2114" s="453"/>
      <c r="T2114" s="453"/>
      <c r="U2114" s="453"/>
      <c r="V2114" s="453"/>
      <c r="W2114" s="453"/>
    </row>
    <row r="2115" spans="1:25" s="21" customFormat="1" x14ac:dyDescent="0.2">
      <c r="A2115" s="20" t="s">
        <v>1483</v>
      </c>
      <c r="B2115" s="467">
        <v>0</v>
      </c>
      <c r="C2115" s="467">
        <v>2.1</v>
      </c>
      <c r="D2115" s="467">
        <v>1.3</v>
      </c>
      <c r="E2115" s="467">
        <v>0</v>
      </c>
      <c r="F2115" s="453"/>
      <c r="G2115" s="453"/>
      <c r="H2115" s="453"/>
      <c r="I2115" s="453"/>
      <c r="J2115" s="453"/>
      <c r="K2115" s="453"/>
      <c r="L2115" s="453"/>
      <c r="M2115" s="453"/>
      <c r="N2115" s="453"/>
      <c r="O2115" s="453"/>
      <c r="P2115" s="1617"/>
      <c r="Q2115" s="453"/>
      <c r="R2115" s="453"/>
      <c r="S2115" s="453"/>
      <c r="T2115" s="453"/>
      <c r="U2115" s="453"/>
      <c r="V2115" s="453"/>
      <c r="W2115" s="453"/>
    </row>
    <row r="2116" spans="1:25" s="21" customFormat="1" x14ac:dyDescent="0.2">
      <c r="A2116" s="20" t="s">
        <v>1484</v>
      </c>
      <c r="B2116" s="467">
        <v>0</v>
      </c>
      <c r="C2116" s="467">
        <v>2.1</v>
      </c>
      <c r="D2116" s="467">
        <v>1.3</v>
      </c>
      <c r="E2116" s="467">
        <v>0</v>
      </c>
      <c r="F2116" s="453"/>
      <c r="G2116" s="453"/>
      <c r="H2116" s="453"/>
      <c r="I2116" s="453"/>
      <c r="J2116" s="453"/>
      <c r="K2116" s="453"/>
      <c r="L2116" s="453"/>
      <c r="M2116" s="453"/>
      <c r="N2116" s="453"/>
      <c r="O2116" s="453"/>
      <c r="P2116" s="1617"/>
      <c r="Q2116" s="453"/>
      <c r="R2116" s="453"/>
      <c r="S2116" s="453"/>
      <c r="T2116" s="453"/>
      <c r="U2116" s="453"/>
      <c r="V2116" s="453"/>
      <c r="W2116" s="453"/>
    </row>
    <row r="2117" spans="1:25" s="21" customFormat="1" x14ac:dyDescent="0.2">
      <c r="A2117" s="20" t="s">
        <v>1485</v>
      </c>
      <c r="B2117" s="467">
        <v>0.96</v>
      </c>
      <c r="C2117" s="467">
        <v>3.65</v>
      </c>
      <c r="D2117" s="467">
        <v>2.4</v>
      </c>
      <c r="E2117" s="467">
        <v>3.63</v>
      </c>
      <c r="F2117" s="453"/>
      <c r="G2117" s="453"/>
      <c r="H2117" s="453"/>
      <c r="I2117" s="453"/>
      <c r="J2117" s="453"/>
      <c r="K2117" s="453"/>
      <c r="L2117" s="453"/>
      <c r="M2117" s="453"/>
      <c r="N2117" s="453"/>
      <c r="O2117" s="453"/>
      <c r="P2117" s="1617"/>
      <c r="Q2117" s="453"/>
      <c r="R2117" s="453"/>
      <c r="S2117" s="453"/>
      <c r="T2117" s="453"/>
      <c r="U2117" s="453"/>
      <c r="V2117" s="453"/>
      <c r="W2117" s="453"/>
    </row>
    <row r="2118" spans="1:25" s="21" customFormat="1" x14ac:dyDescent="0.2">
      <c r="A2118" s="20" t="s">
        <v>1486</v>
      </c>
      <c r="B2118" s="467">
        <v>0.96</v>
      </c>
      <c r="C2118" s="467">
        <v>3.65</v>
      </c>
      <c r="D2118" s="467">
        <v>2.4</v>
      </c>
      <c r="E2118" s="467">
        <v>3.63</v>
      </c>
      <c r="F2118" s="453"/>
      <c r="G2118" s="453"/>
      <c r="H2118" s="453"/>
      <c r="I2118" s="453"/>
      <c r="J2118" s="453"/>
      <c r="K2118" s="453"/>
      <c r="L2118" s="453"/>
      <c r="M2118" s="453"/>
      <c r="N2118" s="453"/>
      <c r="O2118" s="453"/>
      <c r="P2118" s="1617"/>
      <c r="Q2118" s="453"/>
      <c r="R2118" s="453"/>
      <c r="S2118" s="453"/>
      <c r="T2118" s="453"/>
      <c r="U2118" s="453"/>
      <c r="V2118" s="453"/>
      <c r="W2118" s="453"/>
    </row>
    <row r="2119" spans="1:25" s="21" customFormat="1" x14ac:dyDescent="0.2">
      <c r="A2119" s="20" t="s">
        <v>1487</v>
      </c>
      <c r="B2119" s="467">
        <v>0.28999999999999998</v>
      </c>
      <c r="C2119" s="467">
        <v>3.65</v>
      </c>
      <c r="D2119" s="467">
        <v>1.7</v>
      </c>
      <c r="E2119" s="467">
        <v>3.63</v>
      </c>
      <c r="F2119" s="453"/>
      <c r="G2119" s="453"/>
      <c r="H2119" s="453"/>
      <c r="I2119" s="453"/>
      <c r="J2119" s="453"/>
      <c r="K2119" s="453"/>
      <c r="L2119" s="453"/>
      <c r="M2119" s="453"/>
      <c r="N2119" s="453"/>
      <c r="O2119" s="453"/>
      <c r="P2119" s="1617"/>
      <c r="Q2119" s="453"/>
      <c r="R2119" s="453"/>
      <c r="S2119" s="453"/>
      <c r="T2119" s="453"/>
      <c r="U2119" s="453"/>
      <c r="V2119" s="453"/>
      <c r="W2119" s="453"/>
    </row>
    <row r="2120" spans="1:25" s="21" customFormat="1" x14ac:dyDescent="0.2">
      <c r="A2120" s="20" t="s">
        <v>1488</v>
      </c>
      <c r="B2120" s="467">
        <v>0.49</v>
      </c>
      <c r="C2120" s="467">
        <v>3.65</v>
      </c>
      <c r="D2120" s="467">
        <v>1.7</v>
      </c>
      <c r="E2120" s="467">
        <v>0</v>
      </c>
      <c r="F2120" s="453"/>
      <c r="G2120" s="453"/>
      <c r="H2120" s="453"/>
      <c r="I2120" s="453"/>
      <c r="J2120" s="453"/>
      <c r="K2120" s="453"/>
      <c r="L2120" s="453"/>
      <c r="M2120" s="453"/>
      <c r="N2120" s="453"/>
      <c r="O2120" s="453"/>
      <c r="P2120" s="1617"/>
      <c r="Q2120" s="453"/>
      <c r="R2120" s="453"/>
      <c r="S2120" s="453"/>
      <c r="T2120" s="453"/>
      <c r="U2120" s="453"/>
      <c r="V2120" s="453"/>
      <c r="W2120" s="453"/>
    </row>
    <row r="2121" spans="1:25" s="21" customFormat="1" x14ac:dyDescent="0.2">
      <c r="A2121" s="20" t="s">
        <v>1489</v>
      </c>
      <c r="B2121" s="467">
        <v>0.49</v>
      </c>
      <c r="C2121" s="467">
        <v>3.65</v>
      </c>
      <c r="D2121" s="467">
        <v>1.7</v>
      </c>
      <c r="E2121" s="467">
        <v>0</v>
      </c>
      <c r="F2121" s="453"/>
      <c r="G2121" s="453"/>
      <c r="H2121" s="453"/>
      <c r="I2121" s="453"/>
      <c r="J2121" s="453"/>
      <c r="K2121" s="453"/>
      <c r="L2121" s="453"/>
      <c r="M2121" s="453"/>
      <c r="N2121" s="453"/>
      <c r="O2121" s="453"/>
      <c r="P2121" s="1617"/>
      <c r="Q2121" s="453"/>
      <c r="R2121" s="453"/>
      <c r="S2121" s="453"/>
      <c r="T2121" s="453"/>
      <c r="U2121" s="453"/>
      <c r="V2121" s="453"/>
      <c r="W2121" s="453"/>
    </row>
    <row r="2122" spans="1:25" s="292" customFormat="1" x14ac:dyDescent="0.2">
      <c r="A2122" s="37" t="s">
        <v>1359</v>
      </c>
      <c r="B2122" s="654">
        <v>0</v>
      </c>
      <c r="C2122" s="654">
        <v>0</v>
      </c>
      <c r="D2122" s="654">
        <v>0</v>
      </c>
      <c r="E2122" s="654">
        <v>0</v>
      </c>
      <c r="F2122" s="421"/>
      <c r="G2122" s="421"/>
      <c r="H2122" s="1074"/>
      <c r="I2122" s="1074"/>
      <c r="J2122" s="1074"/>
      <c r="K2122" s="1074"/>
      <c r="L2122" s="1074"/>
      <c r="M2122" s="1074"/>
      <c r="N2122" s="1074"/>
      <c r="O2122" s="1074"/>
      <c r="P2122" s="1618"/>
      <c r="Q2122" s="1074"/>
      <c r="R2122" s="1074"/>
      <c r="S2122" s="1074"/>
      <c r="T2122" s="1074"/>
      <c r="U2122" s="1074"/>
      <c r="V2122" s="1074"/>
      <c r="W2122" s="1074"/>
    </row>
    <row r="2123" spans="1:25" s="292" customFormat="1" x14ac:dyDescent="0.2">
      <c r="A2123" s="1073" t="s">
        <v>2132</v>
      </c>
    </row>
    <row r="2124" spans="1:25" s="292" customFormat="1" x14ac:dyDescent="0.2"/>
    <row r="2126" spans="1:25" s="125" customFormat="1" x14ac:dyDescent="0.2">
      <c r="A2126" s="377" t="s">
        <v>2133</v>
      </c>
      <c r="C2126" s="329"/>
      <c r="D2126" s="1075"/>
      <c r="E2126" s="1075"/>
      <c r="F2126" s="1075"/>
      <c r="G2126" s="1075"/>
      <c r="H2126" s="1075"/>
      <c r="I2126" s="1075"/>
    </row>
    <row r="2127" spans="1:25" s="773" customFormat="1" ht="16.25" customHeight="1" x14ac:dyDescent="0.2">
      <c r="A2127" s="753"/>
      <c r="B2127" s="378" t="s">
        <v>2134</v>
      </c>
      <c r="C2127" s="371"/>
      <c r="D2127" s="442"/>
      <c r="E2127" s="442"/>
      <c r="F2127" s="442"/>
      <c r="G2127" s="442"/>
      <c r="H2127" s="442"/>
      <c r="I2127" s="442"/>
      <c r="J2127" s="442"/>
      <c r="K2127" s="442"/>
      <c r="L2127" s="442"/>
      <c r="M2127" s="442"/>
      <c r="N2127" s="442"/>
      <c r="O2127" s="442"/>
      <c r="P2127" s="532"/>
      <c r="Q2127" s="442"/>
      <c r="R2127" s="442"/>
      <c r="S2127" s="442"/>
      <c r="T2127" s="442"/>
      <c r="U2127" s="442"/>
      <c r="V2127" s="442"/>
      <c r="W2127" s="442"/>
    </row>
    <row r="2128" spans="1:25" s="291" customFormat="1" ht="16" x14ac:dyDescent="0.2">
      <c r="A2128" s="293" t="s">
        <v>1963</v>
      </c>
      <c r="B2128" s="31" t="s">
        <v>1684</v>
      </c>
      <c r="C2128" s="31" t="s">
        <v>1689</v>
      </c>
      <c r="D2128" s="31" t="s">
        <v>1693</v>
      </c>
      <c r="E2128" s="419"/>
      <c r="F2128" s="419"/>
      <c r="G2128" s="419"/>
      <c r="H2128" s="453"/>
      <c r="I2128" s="453"/>
      <c r="J2128" s="453"/>
      <c r="K2128" s="453"/>
      <c r="L2128" s="453"/>
      <c r="M2128" s="453"/>
      <c r="N2128" s="453"/>
      <c r="O2128" s="453"/>
      <c r="P2128" s="1616"/>
      <c r="Q2128" s="453"/>
      <c r="R2128" s="453"/>
      <c r="S2128" s="453"/>
      <c r="T2128" s="453"/>
      <c r="U2128" s="453"/>
      <c r="V2128" s="453"/>
      <c r="W2128" s="453"/>
      <c r="X2128" s="21"/>
      <c r="Y2128" s="21"/>
    </row>
    <row r="2129" spans="1:23" s="1093" customFormat="1" ht="16" x14ac:dyDescent="0.2">
      <c r="A2129" s="1090" t="s">
        <v>57</v>
      </c>
      <c r="B2129" s="31" t="s">
        <v>62</v>
      </c>
      <c r="C2129" s="31" t="s">
        <v>62</v>
      </c>
      <c r="D2129" s="31" t="s">
        <v>62</v>
      </c>
      <c r="E2129" s="1092"/>
      <c r="F2129" s="1092"/>
      <c r="G2129" s="1092"/>
      <c r="H2129" s="1092"/>
      <c r="I2129" s="1092"/>
      <c r="J2129" s="1092"/>
      <c r="K2129" s="1092"/>
      <c r="L2129" s="1092"/>
      <c r="M2129" s="1092"/>
      <c r="N2129" s="1092"/>
      <c r="O2129" s="1092"/>
      <c r="P2129" s="1092"/>
      <c r="Q2129" s="1092"/>
      <c r="R2129" s="1092"/>
      <c r="S2129" s="1092"/>
      <c r="T2129" s="1092"/>
      <c r="U2129" s="1092"/>
      <c r="V2129" s="1092"/>
      <c r="W2129" s="1092"/>
    </row>
    <row r="2130" spans="1:23" s="21" customFormat="1" x14ac:dyDescent="0.2">
      <c r="A2130" s="20" t="s">
        <v>1490</v>
      </c>
      <c r="B2130" s="470">
        <v>0</v>
      </c>
      <c r="C2130" s="470">
        <v>0</v>
      </c>
      <c r="D2130" s="470">
        <v>0</v>
      </c>
      <c r="E2130" s="453"/>
      <c r="F2130" s="453"/>
      <c r="G2130" s="453"/>
      <c r="H2130" s="453"/>
      <c r="I2130" s="453"/>
      <c r="J2130" s="453"/>
      <c r="K2130" s="453"/>
      <c r="L2130" s="453"/>
      <c r="M2130" s="453"/>
      <c r="N2130" s="453"/>
      <c r="O2130" s="453"/>
      <c r="P2130" s="1617"/>
      <c r="Q2130" s="453"/>
      <c r="R2130" s="453"/>
      <c r="S2130" s="453"/>
      <c r="T2130" s="453"/>
      <c r="U2130" s="453"/>
      <c r="V2130" s="453"/>
      <c r="W2130" s="453"/>
    </row>
    <row r="2131" spans="1:23" s="21" customFormat="1" x14ac:dyDescent="0.2">
      <c r="A2131" s="20" t="s">
        <v>1491</v>
      </c>
      <c r="B2131" s="467">
        <v>0</v>
      </c>
      <c r="C2131" s="467">
        <v>0</v>
      </c>
      <c r="D2131" s="467">
        <v>0</v>
      </c>
      <c r="E2131" s="453"/>
      <c r="F2131" s="453"/>
      <c r="G2131" s="453"/>
      <c r="H2131" s="453"/>
      <c r="I2131" s="453"/>
      <c r="J2131" s="453"/>
      <c r="K2131" s="453"/>
      <c r="L2131" s="453"/>
      <c r="M2131" s="453"/>
      <c r="N2131" s="453"/>
      <c r="O2131" s="453"/>
      <c r="P2131" s="1617"/>
      <c r="Q2131" s="453"/>
      <c r="R2131" s="453"/>
      <c r="S2131" s="453"/>
      <c r="T2131" s="453"/>
      <c r="U2131" s="453"/>
      <c r="V2131" s="453"/>
      <c r="W2131" s="453"/>
    </row>
    <row r="2132" spans="1:23" s="21" customFormat="1" x14ac:dyDescent="0.2">
      <c r="A2132" s="20" t="s">
        <v>1483</v>
      </c>
      <c r="B2132" s="467">
        <v>0</v>
      </c>
      <c r="C2132" s="467">
        <v>0</v>
      </c>
      <c r="D2132" s="467">
        <v>0</v>
      </c>
      <c r="E2132" s="453"/>
      <c r="F2132" s="453"/>
      <c r="G2132" s="453"/>
      <c r="H2132" s="453"/>
      <c r="I2132" s="453"/>
      <c r="J2132" s="453"/>
      <c r="K2132" s="453"/>
      <c r="L2132" s="453"/>
      <c r="M2132" s="453"/>
      <c r="N2132" s="453"/>
      <c r="O2132" s="453"/>
      <c r="P2132" s="1617"/>
      <c r="Q2132" s="453"/>
      <c r="R2132" s="453"/>
      <c r="S2132" s="453"/>
      <c r="T2132" s="453"/>
      <c r="U2132" s="453"/>
      <c r="V2132" s="453"/>
      <c r="W2132" s="453"/>
    </row>
    <row r="2133" spans="1:23" s="21" customFormat="1" x14ac:dyDescent="0.2">
      <c r="A2133" s="20" t="s">
        <v>1484</v>
      </c>
      <c r="B2133" s="467">
        <v>0</v>
      </c>
      <c r="C2133" s="467">
        <v>0</v>
      </c>
      <c r="D2133" s="467">
        <v>0</v>
      </c>
      <c r="E2133" s="453"/>
      <c r="F2133" s="453"/>
      <c r="G2133" s="453"/>
      <c r="H2133" s="453"/>
      <c r="I2133" s="453"/>
      <c r="J2133" s="453"/>
      <c r="K2133" s="453"/>
      <c r="L2133" s="453"/>
      <c r="M2133" s="453"/>
      <c r="N2133" s="453"/>
      <c r="O2133" s="453"/>
      <c r="P2133" s="1617"/>
      <c r="Q2133" s="453"/>
      <c r="R2133" s="453"/>
      <c r="S2133" s="453"/>
      <c r="T2133" s="453"/>
      <c r="U2133" s="453"/>
      <c r="V2133" s="453"/>
      <c r="W2133" s="453"/>
    </row>
    <row r="2134" spans="1:23" s="21" customFormat="1" x14ac:dyDescent="0.2">
      <c r="A2134" s="20" t="s">
        <v>1485</v>
      </c>
      <c r="B2134" s="467">
        <v>0.7</v>
      </c>
      <c r="C2134" s="467">
        <v>0</v>
      </c>
      <c r="D2134" s="467">
        <v>0</v>
      </c>
      <c r="E2134" s="453"/>
      <c r="F2134" s="453"/>
      <c r="G2134" s="453"/>
      <c r="H2134" s="453"/>
      <c r="I2134" s="453"/>
      <c r="J2134" s="453"/>
      <c r="K2134" s="453"/>
      <c r="L2134" s="453"/>
      <c r="M2134" s="453"/>
      <c r="N2134" s="453"/>
      <c r="O2134" s="453"/>
      <c r="P2134" s="1617"/>
      <c r="Q2134" s="453"/>
      <c r="R2134" s="453"/>
      <c r="S2134" s="453"/>
      <c r="T2134" s="453"/>
      <c r="U2134" s="453"/>
      <c r="V2134" s="453"/>
      <c r="W2134" s="453"/>
    </row>
    <row r="2135" spans="1:23" s="21" customFormat="1" x14ac:dyDescent="0.2">
      <c r="A2135" s="20" t="s">
        <v>1486</v>
      </c>
      <c r="B2135" s="467">
        <v>0.7</v>
      </c>
      <c r="C2135" s="467">
        <v>0</v>
      </c>
      <c r="D2135" s="467">
        <v>0</v>
      </c>
      <c r="E2135" s="453"/>
      <c r="F2135" s="453"/>
      <c r="G2135" s="453"/>
      <c r="H2135" s="453"/>
      <c r="I2135" s="453"/>
      <c r="J2135" s="453"/>
      <c r="K2135" s="453"/>
      <c r="L2135" s="453"/>
      <c r="M2135" s="453"/>
      <c r="N2135" s="453"/>
      <c r="O2135" s="453"/>
      <c r="P2135" s="1617"/>
      <c r="Q2135" s="453"/>
      <c r="R2135" s="453"/>
      <c r="S2135" s="453"/>
      <c r="T2135" s="453"/>
      <c r="U2135" s="453"/>
      <c r="V2135" s="453"/>
      <c r="W2135" s="453"/>
    </row>
    <row r="2136" spans="1:23" s="21" customFormat="1" x14ac:dyDescent="0.2">
      <c r="A2136" s="20" t="s">
        <v>1487</v>
      </c>
      <c r="B2136" s="467">
        <v>0.7</v>
      </c>
      <c r="C2136" s="467">
        <v>0</v>
      </c>
      <c r="D2136" s="467">
        <v>0</v>
      </c>
      <c r="E2136" s="453"/>
      <c r="F2136" s="453"/>
      <c r="G2136" s="453"/>
      <c r="H2136" s="453"/>
      <c r="I2136" s="453"/>
      <c r="J2136" s="453"/>
      <c r="K2136" s="453"/>
      <c r="L2136" s="453"/>
      <c r="M2136" s="453"/>
      <c r="N2136" s="453"/>
      <c r="O2136" s="453"/>
      <c r="P2136" s="1617"/>
      <c r="Q2136" s="453"/>
      <c r="R2136" s="453"/>
      <c r="S2136" s="453"/>
      <c r="T2136" s="453"/>
      <c r="U2136" s="453"/>
      <c r="V2136" s="453"/>
      <c r="W2136" s="453"/>
    </row>
    <row r="2137" spans="1:23" s="21" customFormat="1" x14ac:dyDescent="0.2">
      <c r="A2137" s="20" t="s">
        <v>1488</v>
      </c>
      <c r="B2137" s="467">
        <v>0.7</v>
      </c>
      <c r="C2137" s="467">
        <v>0</v>
      </c>
      <c r="D2137" s="467">
        <v>0</v>
      </c>
      <c r="E2137" s="453"/>
      <c r="F2137" s="453"/>
      <c r="G2137" s="453"/>
      <c r="H2137" s="453"/>
      <c r="I2137" s="453"/>
      <c r="J2137" s="453"/>
      <c r="K2137" s="453"/>
      <c r="L2137" s="453"/>
      <c r="M2137" s="453"/>
      <c r="N2137" s="453"/>
      <c r="O2137" s="453"/>
      <c r="P2137" s="1617"/>
      <c r="Q2137" s="453"/>
      <c r="R2137" s="453"/>
      <c r="S2137" s="453"/>
      <c r="T2137" s="453"/>
      <c r="U2137" s="453"/>
      <c r="V2137" s="453"/>
      <c r="W2137" s="453"/>
    </row>
    <row r="2138" spans="1:23" s="21" customFormat="1" x14ac:dyDescent="0.2">
      <c r="A2138" s="20" t="s">
        <v>1489</v>
      </c>
      <c r="B2138" s="467">
        <v>0.7</v>
      </c>
      <c r="C2138" s="467">
        <v>0</v>
      </c>
      <c r="D2138" s="467">
        <v>0</v>
      </c>
      <c r="E2138" s="453"/>
      <c r="F2138" s="453"/>
      <c r="G2138" s="453"/>
      <c r="H2138" s="453"/>
      <c r="I2138" s="453"/>
      <c r="J2138" s="453"/>
      <c r="K2138" s="453"/>
      <c r="L2138" s="453"/>
      <c r="M2138" s="453"/>
      <c r="N2138" s="453"/>
      <c r="O2138" s="453"/>
      <c r="P2138" s="1617"/>
      <c r="Q2138" s="453"/>
      <c r="R2138" s="453"/>
      <c r="S2138" s="453"/>
      <c r="T2138" s="453"/>
      <c r="U2138" s="453"/>
      <c r="V2138" s="453"/>
      <c r="W2138" s="453"/>
    </row>
    <row r="2139" spans="1:23" s="292" customFormat="1" x14ac:dyDescent="0.2">
      <c r="A2139" s="37" t="s">
        <v>1359</v>
      </c>
      <c r="B2139" s="654">
        <v>0</v>
      </c>
      <c r="C2139" s="654">
        <v>0</v>
      </c>
      <c r="D2139" s="654">
        <v>0</v>
      </c>
      <c r="E2139" s="421"/>
      <c r="F2139" s="421"/>
      <c r="G2139" s="421"/>
      <c r="H2139" s="1074"/>
      <c r="I2139" s="1074"/>
      <c r="J2139" s="1074"/>
      <c r="K2139" s="1074"/>
      <c r="L2139" s="1074"/>
      <c r="M2139" s="1074"/>
      <c r="N2139" s="1074"/>
      <c r="O2139" s="1074"/>
      <c r="P2139" s="1618"/>
      <c r="Q2139" s="1074"/>
      <c r="R2139" s="1074"/>
      <c r="S2139" s="1074"/>
      <c r="T2139" s="1074"/>
      <c r="U2139" s="1074"/>
      <c r="V2139" s="1074"/>
      <c r="W2139" s="1074"/>
    </row>
    <row r="2140" spans="1:23" s="292" customFormat="1" x14ac:dyDescent="0.2">
      <c r="A2140" s="1073" t="s">
        <v>2076</v>
      </c>
    </row>
    <row r="2141" spans="1:23" s="292" customFormat="1" x14ac:dyDescent="0.2"/>
    <row r="2143" spans="1:23" s="125" customFormat="1" x14ac:dyDescent="0.2">
      <c r="A2143" s="377" t="s">
        <v>2135</v>
      </c>
      <c r="C2143" s="329"/>
      <c r="D2143" s="1075"/>
      <c r="E2143" s="1075"/>
      <c r="F2143" s="1075"/>
      <c r="G2143" s="1075"/>
      <c r="H2143" s="1075"/>
      <c r="I2143" s="1075"/>
    </row>
    <row r="2144" spans="1:23" s="773" customFormat="1" ht="16.25" customHeight="1" x14ac:dyDescent="0.2">
      <c r="A2144" s="753"/>
      <c r="B2144" s="378" t="s">
        <v>2134</v>
      </c>
      <c r="C2144" s="371"/>
      <c r="D2144" s="442"/>
      <c r="E2144" s="442"/>
      <c r="F2144" s="442"/>
      <c r="G2144" s="442"/>
      <c r="H2144" s="442"/>
      <c r="I2144" s="442"/>
      <c r="J2144" s="442"/>
      <c r="K2144" s="442"/>
      <c r="L2144" s="442"/>
      <c r="M2144" s="442"/>
      <c r="N2144" s="442"/>
      <c r="O2144" s="442"/>
      <c r="P2144" s="532"/>
      <c r="Q2144" s="442"/>
      <c r="R2144" s="442"/>
      <c r="S2144" s="442"/>
      <c r="T2144" s="442"/>
      <c r="U2144" s="442"/>
      <c r="V2144" s="442"/>
      <c r="W2144" s="442"/>
    </row>
    <row r="2145" spans="1:25" s="291" customFormat="1" ht="16" x14ac:dyDescent="0.2">
      <c r="A2145" s="293" t="s">
        <v>1963</v>
      </c>
      <c r="B2145" s="31" t="s">
        <v>1684</v>
      </c>
      <c r="C2145" s="31" t="s">
        <v>1689</v>
      </c>
      <c r="D2145" s="31" t="s">
        <v>1693</v>
      </c>
      <c r="E2145" s="419"/>
      <c r="F2145" s="419"/>
      <c r="G2145" s="419"/>
      <c r="H2145" s="453"/>
      <c r="I2145" s="453"/>
      <c r="J2145" s="453"/>
      <c r="K2145" s="453"/>
      <c r="L2145" s="453"/>
      <c r="M2145" s="453"/>
      <c r="N2145" s="453"/>
      <c r="O2145" s="453"/>
      <c r="P2145" s="1616"/>
      <c r="Q2145" s="453"/>
      <c r="R2145" s="453"/>
      <c r="S2145" s="453"/>
      <c r="T2145" s="453"/>
      <c r="U2145" s="453"/>
      <c r="V2145" s="453"/>
      <c r="W2145" s="453"/>
      <c r="X2145" s="21"/>
      <c r="Y2145" s="21"/>
    </row>
    <row r="2146" spans="1:25" s="1093" customFormat="1" ht="16" x14ac:dyDescent="0.2">
      <c r="A2146" s="1090" t="s">
        <v>57</v>
      </c>
      <c r="B2146" s="31" t="s">
        <v>62</v>
      </c>
      <c r="C2146" s="31" t="s">
        <v>62</v>
      </c>
      <c r="D2146" s="31" t="s">
        <v>62</v>
      </c>
      <c r="E2146" s="1092"/>
      <c r="F2146" s="1092"/>
      <c r="G2146" s="1092"/>
      <c r="H2146" s="1092"/>
      <c r="I2146" s="1092"/>
      <c r="J2146" s="1092"/>
      <c r="K2146" s="1092"/>
      <c r="L2146" s="1092"/>
      <c r="M2146" s="1092"/>
      <c r="N2146" s="1092"/>
      <c r="O2146" s="1092"/>
      <c r="P2146" s="1092"/>
      <c r="Q2146" s="1092"/>
      <c r="R2146" s="1092"/>
      <c r="S2146" s="1092"/>
      <c r="T2146" s="1092"/>
      <c r="U2146" s="1092"/>
      <c r="V2146" s="1092"/>
      <c r="W2146" s="1092"/>
    </row>
    <row r="2147" spans="1:25" s="21" customFormat="1" x14ac:dyDescent="0.2">
      <c r="A2147" s="20" t="s">
        <v>1490</v>
      </c>
      <c r="B2147" s="470">
        <v>0</v>
      </c>
      <c r="C2147" s="470">
        <v>0</v>
      </c>
      <c r="D2147" s="470">
        <v>0</v>
      </c>
      <c r="E2147" s="453"/>
      <c r="F2147" s="453"/>
      <c r="G2147" s="453"/>
      <c r="H2147" s="453"/>
      <c r="I2147" s="453"/>
      <c r="J2147" s="453"/>
      <c r="K2147" s="453"/>
      <c r="L2147" s="453"/>
      <c r="M2147" s="453"/>
      <c r="N2147" s="453"/>
      <c r="O2147" s="453"/>
      <c r="P2147" s="1617"/>
      <c r="Q2147" s="453"/>
      <c r="R2147" s="453"/>
      <c r="S2147" s="453"/>
      <c r="T2147" s="453"/>
      <c r="U2147" s="453"/>
      <c r="V2147" s="453"/>
      <c r="W2147" s="453"/>
    </row>
    <row r="2148" spans="1:25" s="21" customFormat="1" x14ac:dyDescent="0.2">
      <c r="A2148" s="20" t="s">
        <v>1491</v>
      </c>
      <c r="B2148" s="467">
        <v>0</v>
      </c>
      <c r="C2148" s="467">
        <v>0</v>
      </c>
      <c r="D2148" s="467">
        <v>0</v>
      </c>
      <c r="E2148" s="453"/>
      <c r="F2148" s="453"/>
      <c r="G2148" s="453"/>
      <c r="H2148" s="453"/>
      <c r="I2148" s="453"/>
      <c r="J2148" s="453"/>
      <c r="K2148" s="453"/>
      <c r="L2148" s="453"/>
      <c r="M2148" s="453"/>
      <c r="N2148" s="453"/>
      <c r="O2148" s="453"/>
      <c r="P2148" s="1617"/>
      <c r="Q2148" s="453"/>
      <c r="R2148" s="453"/>
      <c r="S2148" s="453"/>
      <c r="T2148" s="453"/>
      <c r="U2148" s="453"/>
      <c r="V2148" s="453"/>
      <c r="W2148" s="453"/>
    </row>
    <row r="2149" spans="1:25" s="21" customFormat="1" x14ac:dyDescent="0.2">
      <c r="A2149" s="20" t="s">
        <v>1483</v>
      </c>
      <c r="B2149" s="467">
        <v>0</v>
      </c>
      <c r="C2149" s="467">
        <v>0</v>
      </c>
      <c r="D2149" s="467">
        <v>0</v>
      </c>
      <c r="E2149" s="453"/>
      <c r="F2149" s="453"/>
      <c r="G2149" s="453"/>
      <c r="H2149" s="453"/>
      <c r="I2149" s="453"/>
      <c r="J2149" s="453"/>
      <c r="K2149" s="453"/>
      <c r="L2149" s="453"/>
      <c r="M2149" s="453"/>
      <c r="N2149" s="453"/>
      <c r="O2149" s="453"/>
      <c r="P2149" s="1617"/>
      <c r="Q2149" s="453"/>
      <c r="R2149" s="453"/>
      <c r="S2149" s="453"/>
      <c r="T2149" s="453"/>
      <c r="U2149" s="453"/>
      <c r="V2149" s="453"/>
      <c r="W2149" s="453"/>
    </row>
    <row r="2150" spans="1:25" s="21" customFormat="1" x14ac:dyDescent="0.2">
      <c r="A2150" s="20" t="s">
        <v>1484</v>
      </c>
      <c r="B2150" s="467">
        <v>0</v>
      </c>
      <c r="C2150" s="467">
        <v>0</v>
      </c>
      <c r="D2150" s="467">
        <v>0</v>
      </c>
      <c r="E2150" s="453"/>
      <c r="F2150" s="453"/>
      <c r="G2150" s="453"/>
      <c r="H2150" s="453"/>
      <c r="I2150" s="453"/>
      <c r="J2150" s="453"/>
      <c r="K2150" s="453"/>
      <c r="L2150" s="453"/>
      <c r="M2150" s="453"/>
      <c r="N2150" s="453"/>
      <c r="O2150" s="453"/>
      <c r="P2150" s="1617"/>
      <c r="Q2150" s="453"/>
      <c r="R2150" s="453"/>
      <c r="S2150" s="453"/>
      <c r="T2150" s="453"/>
      <c r="U2150" s="453"/>
      <c r="V2150" s="453"/>
      <c r="W2150" s="453"/>
    </row>
    <row r="2151" spans="1:25" s="21" customFormat="1" x14ac:dyDescent="0.2">
      <c r="A2151" s="20" t="s">
        <v>1485</v>
      </c>
      <c r="B2151" s="467">
        <v>10.7</v>
      </c>
      <c r="C2151" s="467">
        <v>0</v>
      </c>
      <c r="D2151" s="467">
        <v>0</v>
      </c>
      <c r="E2151" s="453"/>
      <c r="F2151" s="453"/>
      <c r="G2151" s="453"/>
      <c r="H2151" s="453"/>
      <c r="I2151" s="453"/>
      <c r="J2151" s="453"/>
      <c r="K2151" s="453"/>
      <c r="L2151" s="453"/>
      <c r="M2151" s="453"/>
      <c r="N2151" s="453"/>
      <c r="O2151" s="453"/>
      <c r="P2151" s="1617"/>
      <c r="Q2151" s="453"/>
      <c r="R2151" s="453"/>
      <c r="S2151" s="453"/>
      <c r="T2151" s="453"/>
      <c r="U2151" s="453"/>
      <c r="V2151" s="453"/>
      <c r="W2151" s="453"/>
    </row>
    <row r="2152" spans="1:25" s="21" customFormat="1" x14ac:dyDescent="0.2">
      <c r="A2152" s="20" t="s">
        <v>1486</v>
      </c>
      <c r="B2152" s="467">
        <v>10.7</v>
      </c>
      <c r="C2152" s="467">
        <v>0</v>
      </c>
      <c r="D2152" s="467">
        <v>0</v>
      </c>
      <c r="E2152" s="453"/>
      <c r="F2152" s="453"/>
      <c r="G2152" s="453"/>
      <c r="H2152" s="453"/>
      <c r="I2152" s="453"/>
      <c r="J2152" s="453"/>
      <c r="K2152" s="453"/>
      <c r="L2152" s="453"/>
      <c r="M2152" s="453"/>
      <c r="N2152" s="453"/>
      <c r="O2152" s="453"/>
      <c r="P2152" s="1617"/>
      <c r="Q2152" s="453"/>
      <c r="R2152" s="453"/>
      <c r="S2152" s="453"/>
      <c r="T2152" s="453"/>
      <c r="U2152" s="453"/>
      <c r="V2152" s="453"/>
      <c r="W2152" s="453"/>
    </row>
    <row r="2153" spans="1:25" s="21" customFormat="1" x14ac:dyDescent="0.2">
      <c r="A2153" s="20" t="s">
        <v>1487</v>
      </c>
      <c r="B2153" s="467">
        <v>10.7</v>
      </c>
      <c r="C2153" s="467">
        <v>0</v>
      </c>
      <c r="D2153" s="467">
        <v>0</v>
      </c>
      <c r="E2153" s="453"/>
      <c r="F2153" s="453"/>
      <c r="G2153" s="453"/>
      <c r="H2153" s="453"/>
      <c r="I2153" s="453"/>
      <c r="J2153" s="453"/>
      <c r="K2153" s="453"/>
      <c r="L2153" s="453"/>
      <c r="M2153" s="453"/>
      <c r="N2153" s="453"/>
      <c r="O2153" s="453"/>
      <c r="P2153" s="1617"/>
      <c r="Q2153" s="453"/>
      <c r="R2153" s="453"/>
      <c r="S2153" s="453"/>
      <c r="T2153" s="453"/>
      <c r="U2153" s="453"/>
      <c r="V2153" s="453"/>
      <c r="W2153" s="453"/>
    </row>
    <row r="2154" spans="1:25" s="21" customFormat="1" x14ac:dyDescent="0.2">
      <c r="A2154" s="20" t="s">
        <v>1488</v>
      </c>
      <c r="B2154" s="467">
        <v>10.7</v>
      </c>
      <c r="C2154" s="467">
        <v>0</v>
      </c>
      <c r="D2154" s="467">
        <v>0</v>
      </c>
      <c r="E2154" s="453"/>
      <c r="F2154" s="453"/>
      <c r="G2154" s="453"/>
      <c r="H2154" s="453"/>
      <c r="I2154" s="453"/>
      <c r="J2154" s="453"/>
      <c r="K2154" s="453"/>
      <c r="L2154" s="453"/>
      <c r="M2154" s="453"/>
      <c r="N2154" s="453"/>
      <c r="O2154" s="453"/>
      <c r="P2154" s="1617"/>
      <c r="Q2154" s="453"/>
      <c r="R2154" s="453"/>
      <c r="S2154" s="453"/>
      <c r="T2154" s="453"/>
      <c r="U2154" s="453"/>
      <c r="V2154" s="453"/>
      <c r="W2154" s="453"/>
    </row>
    <row r="2155" spans="1:25" s="21" customFormat="1" x14ac:dyDescent="0.2">
      <c r="A2155" s="20" t="s">
        <v>1489</v>
      </c>
      <c r="B2155" s="467">
        <v>10.7</v>
      </c>
      <c r="C2155" s="467">
        <v>0</v>
      </c>
      <c r="D2155" s="467">
        <v>0</v>
      </c>
      <c r="E2155" s="453"/>
      <c r="F2155" s="453"/>
      <c r="G2155" s="453"/>
      <c r="H2155" s="453"/>
      <c r="I2155" s="453"/>
      <c r="J2155" s="453"/>
      <c r="K2155" s="453"/>
      <c r="L2155" s="453"/>
      <c r="M2155" s="453"/>
      <c r="N2155" s="453"/>
      <c r="O2155" s="453"/>
      <c r="P2155" s="1617"/>
      <c r="Q2155" s="453"/>
      <c r="R2155" s="453"/>
      <c r="S2155" s="453"/>
      <c r="T2155" s="453"/>
      <c r="U2155" s="453"/>
      <c r="V2155" s="453"/>
      <c r="W2155" s="453"/>
    </row>
    <row r="2156" spans="1:25" s="292" customFormat="1" x14ac:dyDescent="0.2">
      <c r="A2156" s="37" t="s">
        <v>1359</v>
      </c>
      <c r="B2156" s="654">
        <v>10.7</v>
      </c>
      <c r="C2156" s="654">
        <v>0</v>
      </c>
      <c r="D2156" s="654">
        <v>0</v>
      </c>
      <c r="E2156" s="421"/>
      <c r="F2156" s="421"/>
      <c r="G2156" s="421"/>
      <c r="H2156" s="1074"/>
      <c r="I2156" s="1074"/>
      <c r="J2156" s="1074"/>
      <c r="K2156" s="1074"/>
      <c r="L2156" s="1074"/>
      <c r="M2156" s="1074"/>
      <c r="N2156" s="1074"/>
      <c r="O2156" s="1074"/>
      <c r="P2156" s="1618"/>
      <c r="Q2156" s="1074"/>
      <c r="R2156" s="1074"/>
      <c r="S2156" s="1074"/>
      <c r="T2156" s="1074"/>
      <c r="U2156" s="1074"/>
      <c r="V2156" s="1074"/>
      <c r="W2156" s="1074"/>
    </row>
    <row r="2157" spans="1:25" s="292" customFormat="1" x14ac:dyDescent="0.2">
      <c r="A2157" s="1073" t="s">
        <v>2076</v>
      </c>
    </row>
    <row r="2158" spans="1:25" s="292" customFormat="1" x14ac:dyDescent="0.2"/>
    <row r="2159" spans="1:25" s="284" customFormat="1" x14ac:dyDescent="0.2"/>
    <row r="2160" spans="1:25" s="125" customFormat="1" x14ac:dyDescent="0.2">
      <c r="A2160" s="377" t="s">
        <v>2136</v>
      </c>
      <c r="D2160" s="1075"/>
      <c r="E2160" s="1075"/>
      <c r="F2160" s="1075"/>
      <c r="G2160" s="1075"/>
      <c r="H2160" s="1075"/>
      <c r="I2160" s="1075"/>
    </row>
    <row r="2161" spans="1:25" s="773" customFormat="1" ht="16.25" customHeight="1" x14ac:dyDescent="0.2">
      <c r="A2161" s="753" t="s">
        <v>361</v>
      </c>
      <c r="B2161" s="442" t="s">
        <v>2137</v>
      </c>
      <c r="C2161" s="442" t="s">
        <v>2137</v>
      </c>
      <c r="D2161" s="442" t="s">
        <v>2137</v>
      </c>
      <c r="E2161" s="442"/>
      <c r="F2161" s="442"/>
      <c r="G2161" s="442"/>
      <c r="H2161" s="442"/>
      <c r="I2161" s="442"/>
      <c r="J2161" s="442"/>
      <c r="K2161" s="442"/>
      <c r="L2161" s="442"/>
      <c r="M2161" s="442"/>
      <c r="N2161" s="442"/>
      <c r="O2161" s="442"/>
      <c r="P2161" s="532"/>
      <c r="Q2161" s="442"/>
      <c r="R2161" s="442"/>
      <c r="S2161" s="442"/>
      <c r="T2161" s="442"/>
      <c r="U2161" s="442"/>
      <c r="V2161" s="442"/>
      <c r="W2161" s="442"/>
    </row>
    <row r="2162" spans="1:25" s="291" customFormat="1" ht="16" x14ac:dyDescent="0.2">
      <c r="A2162" s="293" t="s">
        <v>1963</v>
      </c>
      <c r="B2162" s="31" t="s">
        <v>1689</v>
      </c>
      <c r="C2162" s="31" t="s">
        <v>1693</v>
      </c>
      <c r="D2162" s="31" t="s">
        <v>1684</v>
      </c>
      <c r="E2162" s="419"/>
      <c r="F2162" s="419"/>
      <c r="G2162" s="419"/>
      <c r="H2162" s="453"/>
      <c r="I2162" s="453"/>
      <c r="J2162" s="453"/>
      <c r="K2162" s="453"/>
      <c r="L2162" s="453"/>
      <c r="M2162" s="453"/>
      <c r="N2162" s="453"/>
      <c r="O2162" s="453"/>
      <c r="P2162" s="1616"/>
      <c r="Q2162" s="453"/>
      <c r="R2162" s="453"/>
      <c r="S2162" s="453"/>
      <c r="T2162" s="453"/>
      <c r="U2162" s="453"/>
      <c r="V2162" s="453"/>
      <c r="W2162" s="453"/>
      <c r="X2162" s="21"/>
      <c r="Y2162" s="21"/>
    </row>
    <row r="2163" spans="1:25" s="1093" customFormat="1" ht="16" x14ac:dyDescent="0.2">
      <c r="A2163" s="1090" t="s">
        <v>57</v>
      </c>
      <c r="B2163" s="31" t="s">
        <v>62</v>
      </c>
      <c r="C2163" s="31" t="s">
        <v>62</v>
      </c>
      <c r="D2163" s="31" t="s">
        <v>62</v>
      </c>
      <c r="E2163" s="1092"/>
      <c r="F2163" s="1092"/>
      <c r="G2163" s="1092"/>
      <c r="H2163" s="1092"/>
      <c r="I2163" s="1092"/>
      <c r="J2163" s="1092"/>
      <c r="K2163" s="1092"/>
      <c r="L2163" s="1092"/>
      <c r="M2163" s="1092"/>
      <c r="N2163" s="1092"/>
      <c r="O2163" s="1092"/>
      <c r="P2163" s="1092"/>
      <c r="Q2163" s="1092"/>
      <c r="R2163" s="1092"/>
      <c r="S2163" s="1092"/>
      <c r="T2163" s="1092"/>
      <c r="U2163" s="1092"/>
      <c r="V2163" s="1092"/>
      <c r="W2163" s="1092"/>
    </row>
    <row r="2164" spans="1:25" s="21" customFormat="1" x14ac:dyDescent="0.2">
      <c r="A2164" s="20" t="s">
        <v>1490</v>
      </c>
      <c r="B2164" s="470">
        <v>226</v>
      </c>
      <c r="C2164" s="470">
        <v>108</v>
      </c>
      <c r="D2164" s="470">
        <v>0</v>
      </c>
      <c r="E2164" s="453"/>
      <c r="F2164" s="453"/>
      <c r="G2164" s="453"/>
      <c r="H2164" s="453"/>
      <c r="I2164" s="453"/>
      <c r="J2164" s="453"/>
      <c r="K2164" s="453"/>
      <c r="L2164" s="453"/>
      <c r="M2164" s="453"/>
      <c r="N2164" s="453"/>
      <c r="O2164" s="453"/>
      <c r="P2164" s="1617"/>
      <c r="Q2164" s="453"/>
      <c r="R2164" s="453"/>
      <c r="S2164" s="453"/>
      <c r="T2164" s="453"/>
      <c r="U2164" s="453"/>
      <c r="V2164" s="453"/>
      <c r="W2164" s="453"/>
    </row>
    <row r="2165" spans="1:25" s="21" customFormat="1" x14ac:dyDescent="0.2">
      <c r="A2165" s="20" t="s">
        <v>1491</v>
      </c>
      <c r="B2165" s="467">
        <v>226</v>
      </c>
      <c r="C2165" s="467">
        <v>108</v>
      </c>
      <c r="D2165" s="467">
        <v>0</v>
      </c>
      <c r="E2165" s="453"/>
      <c r="F2165" s="453"/>
      <c r="G2165" s="453"/>
      <c r="H2165" s="453"/>
      <c r="I2165" s="453"/>
      <c r="J2165" s="453"/>
      <c r="K2165" s="453"/>
      <c r="L2165" s="453"/>
      <c r="M2165" s="453"/>
      <c r="N2165" s="453"/>
      <c r="O2165" s="453"/>
      <c r="P2165" s="1617"/>
      <c r="Q2165" s="453"/>
      <c r="R2165" s="453"/>
      <c r="S2165" s="453"/>
      <c r="T2165" s="453"/>
      <c r="U2165" s="453"/>
      <c r="V2165" s="453"/>
      <c r="W2165" s="453"/>
    </row>
    <row r="2166" spans="1:25" s="21" customFormat="1" x14ac:dyDescent="0.2">
      <c r="A2166" s="20" t="s">
        <v>1483</v>
      </c>
      <c r="B2166" s="467">
        <v>226</v>
      </c>
      <c r="C2166" s="467">
        <v>108</v>
      </c>
      <c r="D2166" s="467">
        <v>0</v>
      </c>
      <c r="E2166" s="453"/>
      <c r="F2166" s="453"/>
      <c r="G2166" s="453"/>
      <c r="H2166" s="453"/>
      <c r="I2166" s="453"/>
      <c r="J2166" s="453"/>
      <c r="K2166" s="453"/>
      <c r="L2166" s="453"/>
      <c r="M2166" s="453"/>
      <c r="N2166" s="453"/>
      <c r="O2166" s="453"/>
      <c r="P2166" s="1617"/>
      <c r="Q2166" s="453"/>
      <c r="R2166" s="453"/>
      <c r="S2166" s="453"/>
      <c r="T2166" s="453"/>
      <c r="U2166" s="453"/>
      <c r="V2166" s="453"/>
      <c r="W2166" s="453"/>
    </row>
    <row r="2167" spans="1:25" s="21" customFormat="1" x14ac:dyDescent="0.2">
      <c r="A2167" s="20" t="s">
        <v>1484</v>
      </c>
      <c r="B2167" s="467">
        <v>226</v>
      </c>
      <c r="C2167" s="467">
        <v>108</v>
      </c>
      <c r="D2167" s="467">
        <v>0</v>
      </c>
      <c r="E2167" s="453"/>
      <c r="F2167" s="453"/>
      <c r="G2167" s="453"/>
      <c r="H2167" s="453"/>
      <c r="I2167" s="453"/>
      <c r="J2167" s="453"/>
      <c r="K2167" s="453"/>
      <c r="L2167" s="453"/>
      <c r="M2167" s="453"/>
      <c r="N2167" s="453"/>
      <c r="O2167" s="453"/>
      <c r="P2167" s="1617"/>
      <c r="Q2167" s="453"/>
      <c r="R2167" s="453"/>
      <c r="S2167" s="453"/>
      <c r="T2167" s="453"/>
      <c r="U2167" s="453"/>
      <c r="V2167" s="453"/>
      <c r="W2167" s="453"/>
    </row>
    <row r="2168" spans="1:25" s="21" customFormat="1" x14ac:dyDescent="0.2">
      <c r="A2168" s="20" t="s">
        <v>1485</v>
      </c>
      <c r="B2168" s="467">
        <v>226</v>
      </c>
      <c r="C2168" s="467">
        <v>108</v>
      </c>
      <c r="D2168" s="467">
        <v>286</v>
      </c>
      <c r="E2168" s="453"/>
      <c r="F2168" s="453"/>
      <c r="G2168" s="453"/>
      <c r="H2168" s="453"/>
      <c r="I2168" s="453"/>
      <c r="J2168" s="453"/>
      <c r="K2168" s="453"/>
      <c r="L2168" s="453"/>
      <c r="M2168" s="453"/>
      <c r="N2168" s="453"/>
      <c r="O2168" s="453"/>
      <c r="P2168" s="1617"/>
      <c r="Q2168" s="453"/>
      <c r="R2168" s="453"/>
      <c r="S2168" s="453"/>
      <c r="T2168" s="453"/>
      <c r="U2168" s="453"/>
      <c r="V2168" s="453"/>
      <c r="W2168" s="453"/>
    </row>
    <row r="2169" spans="1:25" s="21" customFormat="1" x14ac:dyDescent="0.2">
      <c r="A2169" s="20" t="s">
        <v>1486</v>
      </c>
      <c r="B2169" s="467">
        <v>226</v>
      </c>
      <c r="C2169" s="467">
        <v>108</v>
      </c>
      <c r="D2169" s="467">
        <v>286</v>
      </c>
      <c r="E2169" s="453"/>
      <c r="F2169" s="453"/>
      <c r="G2169" s="453"/>
      <c r="H2169" s="453"/>
      <c r="I2169" s="453"/>
      <c r="J2169" s="453"/>
      <c r="K2169" s="453"/>
      <c r="L2169" s="453"/>
      <c r="M2169" s="453"/>
      <c r="N2169" s="453"/>
      <c r="O2169" s="453"/>
      <c r="P2169" s="1617"/>
      <c r="Q2169" s="453"/>
      <c r="R2169" s="453"/>
      <c r="S2169" s="453"/>
      <c r="T2169" s="453"/>
      <c r="U2169" s="453"/>
      <c r="V2169" s="453"/>
      <c r="W2169" s="453"/>
    </row>
    <row r="2170" spans="1:25" s="21" customFormat="1" x14ac:dyDescent="0.2">
      <c r="A2170" s="20" t="s">
        <v>1487</v>
      </c>
      <c r="B2170" s="467">
        <v>226</v>
      </c>
      <c r="C2170" s="467">
        <v>108</v>
      </c>
      <c r="D2170" s="467">
        <v>286</v>
      </c>
      <c r="E2170" s="453"/>
      <c r="F2170" s="453"/>
      <c r="G2170" s="453"/>
      <c r="H2170" s="453"/>
      <c r="I2170" s="453"/>
      <c r="J2170" s="453"/>
      <c r="K2170" s="453"/>
      <c r="L2170" s="453"/>
      <c r="M2170" s="453"/>
      <c r="N2170" s="453"/>
      <c r="O2170" s="453"/>
      <c r="P2170" s="1617"/>
      <c r="Q2170" s="453"/>
      <c r="R2170" s="453"/>
      <c r="S2170" s="453"/>
      <c r="T2170" s="453"/>
      <c r="U2170" s="453"/>
      <c r="V2170" s="453"/>
      <c r="W2170" s="453"/>
    </row>
    <row r="2171" spans="1:25" s="21" customFormat="1" x14ac:dyDescent="0.2">
      <c r="A2171" s="20" t="s">
        <v>1488</v>
      </c>
      <c r="B2171" s="467">
        <v>226</v>
      </c>
      <c r="C2171" s="467">
        <v>108</v>
      </c>
      <c r="D2171" s="467">
        <v>286</v>
      </c>
      <c r="E2171" s="453"/>
      <c r="F2171" s="453"/>
      <c r="G2171" s="453"/>
      <c r="H2171" s="453"/>
      <c r="I2171" s="453"/>
      <c r="J2171" s="453"/>
      <c r="K2171" s="453"/>
      <c r="L2171" s="453"/>
      <c r="M2171" s="453"/>
      <c r="N2171" s="453"/>
      <c r="O2171" s="453"/>
      <c r="P2171" s="1617"/>
      <c r="Q2171" s="453"/>
      <c r="R2171" s="453"/>
      <c r="S2171" s="453"/>
      <c r="T2171" s="453"/>
      <c r="U2171" s="453"/>
      <c r="V2171" s="453"/>
      <c r="W2171" s="453"/>
    </row>
    <row r="2172" spans="1:25" s="21" customFormat="1" x14ac:dyDescent="0.2">
      <c r="A2172" s="20" t="s">
        <v>1489</v>
      </c>
      <c r="B2172" s="467">
        <v>226</v>
      </c>
      <c r="C2172" s="467">
        <v>108</v>
      </c>
      <c r="D2172" s="467">
        <v>286</v>
      </c>
      <c r="E2172" s="453"/>
      <c r="F2172" s="453"/>
      <c r="G2172" s="453"/>
      <c r="H2172" s="453"/>
      <c r="I2172" s="453"/>
      <c r="J2172" s="453"/>
      <c r="K2172" s="453"/>
      <c r="L2172" s="453"/>
      <c r="M2172" s="453"/>
      <c r="N2172" s="453"/>
      <c r="O2172" s="453"/>
      <c r="P2172" s="1617"/>
      <c r="Q2172" s="453"/>
      <c r="R2172" s="453"/>
      <c r="S2172" s="453"/>
      <c r="T2172" s="453"/>
      <c r="U2172" s="453"/>
      <c r="V2172" s="453"/>
      <c r="W2172" s="453"/>
    </row>
    <row r="2173" spans="1:25" s="292" customFormat="1" x14ac:dyDescent="0.2">
      <c r="A2173" s="37" t="s">
        <v>1359</v>
      </c>
      <c r="B2173" s="654">
        <v>226</v>
      </c>
      <c r="C2173" s="654">
        <v>108</v>
      </c>
      <c r="D2173" s="654">
        <v>286</v>
      </c>
      <c r="E2173" s="421"/>
      <c r="F2173" s="421"/>
      <c r="G2173" s="421"/>
      <c r="H2173" s="1074"/>
      <c r="I2173" s="1074"/>
      <c r="J2173" s="1074"/>
      <c r="K2173" s="1074"/>
      <c r="L2173" s="1074"/>
      <c r="M2173" s="1074"/>
      <c r="N2173" s="1074"/>
      <c r="O2173" s="1074"/>
      <c r="P2173" s="1618"/>
      <c r="Q2173" s="1074"/>
      <c r="R2173" s="1074"/>
      <c r="S2173" s="1074"/>
      <c r="T2173" s="1074"/>
      <c r="U2173" s="1074"/>
      <c r="V2173" s="1074"/>
      <c r="W2173" s="1074"/>
    </row>
    <row r="2174" spans="1:25" s="292" customFormat="1" x14ac:dyDescent="0.2">
      <c r="A2174" s="1073" t="s">
        <v>2076</v>
      </c>
    </row>
    <row r="2175" spans="1:25" s="292" customFormat="1" x14ac:dyDescent="0.2"/>
    <row r="2176" spans="1:25" s="284" customFormat="1" x14ac:dyDescent="0.2"/>
    <row r="2177" spans="1:25" s="125" customFormat="1" x14ac:dyDescent="0.2">
      <c r="A2177" s="377" t="s">
        <v>2136</v>
      </c>
      <c r="D2177" s="1075"/>
      <c r="E2177" s="1075"/>
      <c r="F2177" s="1075"/>
      <c r="G2177" s="1075"/>
      <c r="H2177" s="1075"/>
      <c r="I2177" s="1075"/>
    </row>
    <row r="2178" spans="1:25" s="773" customFormat="1" ht="16.25" customHeight="1" x14ac:dyDescent="0.2">
      <c r="A2178" s="753" t="s">
        <v>2138</v>
      </c>
      <c r="B2178" s="442" t="s">
        <v>2137</v>
      </c>
      <c r="C2178" s="442" t="s">
        <v>2137</v>
      </c>
      <c r="D2178" s="442" t="s">
        <v>2137</v>
      </c>
      <c r="E2178" s="442"/>
      <c r="F2178" s="442"/>
      <c r="G2178" s="442"/>
      <c r="H2178" s="442"/>
      <c r="I2178" s="442"/>
      <c r="J2178" s="442"/>
      <c r="K2178" s="442"/>
      <c r="L2178" s="442"/>
      <c r="M2178" s="442"/>
      <c r="N2178" s="442"/>
      <c r="O2178" s="442"/>
      <c r="P2178" s="532"/>
      <c r="Q2178" s="442"/>
      <c r="R2178" s="442"/>
      <c r="S2178" s="442"/>
      <c r="T2178" s="442"/>
      <c r="U2178" s="442"/>
      <c r="V2178" s="442"/>
      <c r="W2178" s="442"/>
    </row>
    <row r="2179" spans="1:25" s="291" customFormat="1" ht="16" x14ac:dyDescent="0.2">
      <c r="A2179" s="293" t="s">
        <v>1963</v>
      </c>
      <c r="B2179" s="31" t="s">
        <v>1689</v>
      </c>
      <c r="C2179" s="31" t="s">
        <v>1693</v>
      </c>
      <c r="D2179" s="31" t="s">
        <v>1684</v>
      </c>
      <c r="E2179" s="419"/>
      <c r="F2179" s="419"/>
      <c r="G2179" s="419"/>
      <c r="H2179" s="453"/>
      <c r="I2179" s="453"/>
      <c r="J2179" s="453"/>
      <c r="K2179" s="453"/>
      <c r="L2179" s="453"/>
      <c r="M2179" s="453"/>
      <c r="N2179" s="453"/>
      <c r="O2179" s="453"/>
      <c r="P2179" s="1616"/>
      <c r="Q2179" s="453"/>
      <c r="R2179" s="453"/>
      <c r="S2179" s="453"/>
      <c r="T2179" s="453"/>
      <c r="U2179" s="453"/>
      <c r="V2179" s="453"/>
      <c r="W2179" s="453"/>
      <c r="X2179" s="21"/>
      <c r="Y2179" s="21"/>
    </row>
    <row r="2180" spans="1:25" s="1093" customFormat="1" ht="16" x14ac:dyDescent="0.2">
      <c r="A2180" s="1090" t="s">
        <v>57</v>
      </c>
      <c r="B2180" s="31" t="s">
        <v>62</v>
      </c>
      <c r="C2180" s="31" t="s">
        <v>62</v>
      </c>
      <c r="D2180" s="31" t="s">
        <v>62</v>
      </c>
      <c r="E2180" s="1092"/>
      <c r="F2180" s="1092"/>
      <c r="G2180" s="1092"/>
      <c r="H2180" s="1092"/>
      <c r="I2180" s="1092"/>
      <c r="J2180" s="1092"/>
      <c r="K2180" s="1092"/>
      <c r="L2180" s="1092"/>
      <c r="M2180" s="1092"/>
      <c r="N2180" s="1092"/>
      <c r="O2180" s="1092"/>
      <c r="P2180" s="1092"/>
      <c r="Q2180" s="1092"/>
      <c r="R2180" s="1092"/>
      <c r="S2180" s="1092"/>
      <c r="T2180" s="1092"/>
      <c r="U2180" s="1092"/>
      <c r="V2180" s="1092"/>
      <c r="W2180" s="1092"/>
    </row>
    <row r="2181" spans="1:25" s="21" customFormat="1" x14ac:dyDescent="0.2">
      <c r="A2181" s="20" t="s">
        <v>1490</v>
      </c>
      <c r="B2181" s="470">
        <v>340</v>
      </c>
      <c r="C2181" s="470">
        <v>0</v>
      </c>
      <c r="D2181" s="470">
        <v>0</v>
      </c>
      <c r="E2181" s="453"/>
      <c r="F2181" s="453"/>
      <c r="G2181" s="453"/>
      <c r="H2181" s="453"/>
      <c r="I2181" s="453"/>
      <c r="J2181" s="453"/>
      <c r="K2181" s="453"/>
      <c r="L2181" s="453"/>
      <c r="M2181" s="453"/>
      <c r="N2181" s="453"/>
      <c r="O2181" s="453"/>
      <c r="P2181" s="1617"/>
      <c r="Q2181" s="453"/>
      <c r="R2181" s="453"/>
      <c r="S2181" s="453"/>
      <c r="T2181" s="453"/>
      <c r="U2181" s="453"/>
      <c r="V2181" s="453"/>
      <c r="W2181" s="453"/>
    </row>
    <row r="2182" spans="1:25" s="21" customFormat="1" x14ac:dyDescent="0.2">
      <c r="A2182" s="20" t="s">
        <v>1491</v>
      </c>
      <c r="B2182" s="467">
        <v>340</v>
      </c>
      <c r="C2182" s="467">
        <v>0</v>
      </c>
      <c r="D2182" s="467">
        <v>0</v>
      </c>
      <c r="E2182" s="453"/>
      <c r="F2182" s="453"/>
      <c r="G2182" s="453"/>
      <c r="H2182" s="453"/>
      <c r="I2182" s="453"/>
      <c r="J2182" s="453"/>
      <c r="K2182" s="453"/>
      <c r="L2182" s="453"/>
      <c r="M2182" s="453"/>
      <c r="N2182" s="453"/>
      <c r="O2182" s="453"/>
      <c r="P2182" s="1617"/>
      <c r="Q2182" s="453"/>
      <c r="R2182" s="453"/>
      <c r="S2182" s="453"/>
      <c r="T2182" s="453"/>
      <c r="U2182" s="453"/>
      <c r="V2182" s="453"/>
      <c r="W2182" s="453"/>
    </row>
    <row r="2183" spans="1:25" s="21" customFormat="1" x14ac:dyDescent="0.2">
      <c r="A2183" s="20" t="s">
        <v>1483</v>
      </c>
      <c r="B2183" s="467">
        <v>340</v>
      </c>
      <c r="C2183" s="467">
        <v>0</v>
      </c>
      <c r="D2183" s="467">
        <v>0</v>
      </c>
      <c r="E2183" s="453"/>
      <c r="F2183" s="453"/>
      <c r="G2183" s="453"/>
      <c r="H2183" s="453"/>
      <c r="I2183" s="453"/>
      <c r="J2183" s="453"/>
      <c r="K2183" s="453"/>
      <c r="L2183" s="453"/>
      <c r="M2183" s="453"/>
      <c r="N2183" s="453"/>
      <c r="O2183" s="453"/>
      <c r="P2183" s="1617"/>
      <c r="Q2183" s="453"/>
      <c r="R2183" s="453"/>
      <c r="S2183" s="453"/>
      <c r="T2183" s="453"/>
      <c r="U2183" s="453"/>
      <c r="V2183" s="453"/>
      <c r="W2183" s="453"/>
    </row>
    <row r="2184" spans="1:25" s="21" customFormat="1" x14ac:dyDescent="0.2">
      <c r="A2184" s="20" t="s">
        <v>1484</v>
      </c>
      <c r="B2184" s="467">
        <v>340</v>
      </c>
      <c r="C2184" s="467">
        <v>0</v>
      </c>
      <c r="D2184" s="467">
        <v>0</v>
      </c>
      <c r="E2184" s="453"/>
      <c r="F2184" s="453"/>
      <c r="G2184" s="453"/>
      <c r="H2184" s="453"/>
      <c r="I2184" s="453"/>
      <c r="J2184" s="453"/>
      <c r="K2184" s="453"/>
      <c r="L2184" s="453"/>
      <c r="M2184" s="453"/>
      <c r="N2184" s="453"/>
      <c r="O2184" s="453"/>
      <c r="P2184" s="1617"/>
      <c r="Q2184" s="453"/>
      <c r="R2184" s="453"/>
      <c r="S2184" s="453"/>
      <c r="T2184" s="453"/>
      <c r="U2184" s="453"/>
      <c r="V2184" s="453"/>
      <c r="W2184" s="453"/>
    </row>
    <row r="2185" spans="1:25" s="21" customFormat="1" x14ac:dyDescent="0.2">
      <c r="A2185" s="20" t="s">
        <v>1485</v>
      </c>
      <c r="B2185" s="467">
        <v>340</v>
      </c>
      <c r="C2185" s="467">
        <v>0</v>
      </c>
      <c r="D2185" s="467">
        <v>471</v>
      </c>
      <c r="E2185" s="453"/>
      <c r="F2185" s="453"/>
      <c r="G2185" s="453"/>
      <c r="H2185" s="453"/>
      <c r="I2185" s="453"/>
      <c r="J2185" s="453"/>
      <c r="K2185" s="453"/>
      <c r="L2185" s="453"/>
      <c r="M2185" s="453"/>
      <c r="N2185" s="453"/>
      <c r="O2185" s="453"/>
      <c r="P2185" s="1617"/>
      <c r="Q2185" s="453"/>
      <c r="R2185" s="453"/>
      <c r="S2185" s="453"/>
      <c r="T2185" s="453"/>
      <c r="U2185" s="453"/>
      <c r="V2185" s="453"/>
      <c r="W2185" s="453"/>
    </row>
    <row r="2186" spans="1:25" s="21" customFormat="1" x14ac:dyDescent="0.2">
      <c r="A2186" s="20" t="s">
        <v>1486</v>
      </c>
      <c r="B2186" s="467">
        <v>340</v>
      </c>
      <c r="C2186" s="467">
        <v>0</v>
      </c>
      <c r="D2186" s="467">
        <v>471</v>
      </c>
      <c r="E2186" s="453"/>
      <c r="F2186" s="453"/>
      <c r="G2186" s="453"/>
      <c r="H2186" s="453"/>
      <c r="I2186" s="453"/>
      <c r="J2186" s="453"/>
      <c r="K2186" s="453"/>
      <c r="L2186" s="453"/>
      <c r="M2186" s="453"/>
      <c r="N2186" s="453"/>
      <c r="O2186" s="453"/>
      <c r="P2186" s="1617"/>
      <c r="Q2186" s="453"/>
      <c r="R2186" s="453"/>
      <c r="S2186" s="453"/>
      <c r="T2186" s="453"/>
      <c r="U2186" s="453"/>
      <c r="V2186" s="453"/>
      <c r="W2186" s="453"/>
    </row>
    <row r="2187" spans="1:25" s="21" customFormat="1" x14ac:dyDescent="0.2">
      <c r="A2187" s="20" t="s">
        <v>1487</v>
      </c>
      <c r="B2187" s="467">
        <v>340</v>
      </c>
      <c r="C2187" s="467">
        <v>0</v>
      </c>
      <c r="D2187" s="467">
        <v>471</v>
      </c>
      <c r="E2187" s="453"/>
      <c r="F2187" s="453"/>
      <c r="G2187" s="453"/>
      <c r="H2187" s="453"/>
      <c r="I2187" s="453"/>
      <c r="J2187" s="453"/>
      <c r="K2187" s="453"/>
      <c r="L2187" s="453"/>
      <c r="M2187" s="453"/>
      <c r="N2187" s="453"/>
      <c r="O2187" s="453"/>
      <c r="P2187" s="1617"/>
      <c r="Q2187" s="453"/>
      <c r="R2187" s="453"/>
      <c r="S2187" s="453"/>
      <c r="T2187" s="453"/>
      <c r="U2187" s="453"/>
      <c r="V2187" s="453"/>
      <c r="W2187" s="453"/>
    </row>
    <row r="2188" spans="1:25" s="21" customFormat="1" x14ac:dyDescent="0.2">
      <c r="A2188" s="20" t="s">
        <v>1488</v>
      </c>
      <c r="B2188" s="467">
        <v>340</v>
      </c>
      <c r="C2188" s="467">
        <v>0</v>
      </c>
      <c r="D2188" s="467">
        <v>471</v>
      </c>
      <c r="E2188" s="453"/>
      <c r="F2188" s="453"/>
      <c r="G2188" s="453"/>
      <c r="H2188" s="453"/>
      <c r="I2188" s="453"/>
      <c r="J2188" s="453"/>
      <c r="K2188" s="453"/>
      <c r="L2188" s="453"/>
      <c r="M2188" s="453"/>
      <c r="N2188" s="453"/>
      <c r="O2188" s="453"/>
      <c r="P2188" s="1617"/>
      <c r="Q2188" s="453"/>
      <c r="R2188" s="453"/>
      <c r="S2188" s="453"/>
      <c r="T2188" s="453"/>
      <c r="U2188" s="453"/>
      <c r="V2188" s="453"/>
      <c r="W2188" s="453"/>
    </row>
    <row r="2189" spans="1:25" s="21" customFormat="1" x14ac:dyDescent="0.2">
      <c r="A2189" s="20" t="s">
        <v>1489</v>
      </c>
      <c r="B2189" s="467">
        <v>340</v>
      </c>
      <c r="C2189" s="467">
        <v>0</v>
      </c>
      <c r="D2189" s="467">
        <v>471</v>
      </c>
      <c r="E2189" s="453"/>
      <c r="F2189" s="453"/>
      <c r="G2189" s="453"/>
      <c r="H2189" s="453"/>
      <c r="I2189" s="453"/>
      <c r="J2189" s="453"/>
      <c r="K2189" s="453"/>
      <c r="L2189" s="453"/>
      <c r="M2189" s="453"/>
      <c r="N2189" s="453"/>
      <c r="O2189" s="453"/>
      <c r="P2189" s="1617"/>
      <c r="Q2189" s="453"/>
      <c r="R2189" s="453"/>
      <c r="S2189" s="453"/>
      <c r="T2189" s="453"/>
      <c r="U2189" s="453"/>
      <c r="V2189" s="453"/>
      <c r="W2189" s="453"/>
    </row>
    <row r="2190" spans="1:25" s="292" customFormat="1" x14ac:dyDescent="0.2">
      <c r="A2190" s="37" t="s">
        <v>1359</v>
      </c>
      <c r="B2190" s="654">
        <v>340</v>
      </c>
      <c r="C2190" s="654">
        <v>0</v>
      </c>
      <c r="D2190" s="654">
        <v>471</v>
      </c>
      <c r="E2190" s="421"/>
      <c r="F2190" s="421"/>
      <c r="G2190" s="421"/>
      <c r="H2190" s="1074"/>
      <c r="I2190" s="1074"/>
      <c r="J2190" s="1074"/>
      <c r="K2190" s="1074"/>
      <c r="L2190" s="1074"/>
      <c r="M2190" s="1074"/>
      <c r="N2190" s="1074"/>
      <c r="O2190" s="1074"/>
      <c r="P2190" s="1618"/>
      <c r="Q2190" s="1074"/>
      <c r="R2190" s="1074"/>
      <c r="S2190" s="1074"/>
      <c r="T2190" s="1074"/>
      <c r="U2190" s="1074"/>
      <c r="V2190" s="1074"/>
      <c r="W2190" s="1074"/>
    </row>
    <row r="2191" spans="1:25" s="292" customFormat="1" x14ac:dyDescent="0.2">
      <c r="A2191" s="1073" t="s">
        <v>2076</v>
      </c>
    </row>
    <row r="2192" spans="1:25" s="292" customFormat="1" x14ac:dyDescent="0.2"/>
    <row r="2193" spans="1:25" s="284" customFormat="1" x14ac:dyDescent="0.2"/>
    <row r="2194" spans="1:25" s="125" customFormat="1" x14ac:dyDescent="0.2">
      <c r="A2194" s="377" t="s">
        <v>2136</v>
      </c>
      <c r="D2194" s="1075"/>
      <c r="E2194" s="1075"/>
      <c r="F2194" s="1075"/>
      <c r="G2194" s="1075"/>
      <c r="H2194" s="1075"/>
      <c r="I2194" s="1075"/>
    </row>
    <row r="2195" spans="1:25" s="773" customFormat="1" ht="16.25" customHeight="1" x14ac:dyDescent="0.2">
      <c r="A2195" s="753" t="s">
        <v>2139</v>
      </c>
      <c r="B2195" s="442" t="s">
        <v>2137</v>
      </c>
      <c r="C2195" s="442" t="s">
        <v>2137</v>
      </c>
      <c r="D2195" s="442" t="s">
        <v>2137</v>
      </c>
      <c r="E2195" s="442"/>
      <c r="F2195" s="442"/>
      <c r="G2195" s="442"/>
      <c r="H2195" s="442"/>
      <c r="I2195" s="442"/>
      <c r="J2195" s="442"/>
      <c r="K2195" s="442"/>
      <c r="L2195" s="442"/>
      <c r="M2195" s="442"/>
      <c r="N2195" s="442"/>
      <c r="O2195" s="442"/>
      <c r="P2195" s="532"/>
      <c r="Q2195" s="442"/>
      <c r="R2195" s="442"/>
      <c r="S2195" s="442"/>
      <c r="T2195" s="442"/>
      <c r="U2195" s="442"/>
      <c r="V2195" s="442"/>
      <c r="W2195" s="442"/>
    </row>
    <row r="2196" spans="1:25" s="291" customFormat="1" ht="16" x14ac:dyDescent="0.2">
      <c r="A2196" s="293" t="s">
        <v>1963</v>
      </c>
      <c r="B2196" s="31" t="s">
        <v>1689</v>
      </c>
      <c r="C2196" s="31" t="s">
        <v>1693</v>
      </c>
      <c r="D2196" s="31" t="s">
        <v>1684</v>
      </c>
      <c r="E2196" s="419"/>
      <c r="F2196" s="419"/>
      <c r="G2196" s="419"/>
      <c r="H2196" s="453"/>
      <c r="I2196" s="453"/>
      <c r="J2196" s="453"/>
      <c r="K2196" s="453"/>
      <c r="L2196" s="453"/>
      <c r="M2196" s="453"/>
      <c r="N2196" s="453"/>
      <c r="O2196" s="453"/>
      <c r="P2196" s="1616"/>
      <c r="Q2196" s="453"/>
      <c r="R2196" s="453"/>
      <c r="S2196" s="453"/>
      <c r="T2196" s="453"/>
      <c r="U2196" s="453"/>
      <c r="V2196" s="453"/>
      <c r="W2196" s="453"/>
      <c r="X2196" s="21"/>
      <c r="Y2196" s="21"/>
    </row>
    <row r="2197" spans="1:25" s="1093" customFormat="1" ht="16" x14ac:dyDescent="0.2">
      <c r="A2197" s="1090" t="s">
        <v>57</v>
      </c>
      <c r="B2197" s="31" t="s">
        <v>62</v>
      </c>
      <c r="C2197" s="31" t="s">
        <v>62</v>
      </c>
      <c r="D2197" s="31" t="s">
        <v>62</v>
      </c>
      <c r="E2197" s="1092"/>
      <c r="F2197" s="1092"/>
      <c r="G2197" s="1092"/>
      <c r="H2197" s="1092"/>
      <c r="I2197" s="1092"/>
      <c r="J2197" s="1092"/>
      <c r="K2197" s="1092"/>
      <c r="L2197" s="1092"/>
      <c r="M2197" s="1092"/>
      <c r="N2197" s="1092"/>
      <c r="O2197" s="1092"/>
      <c r="P2197" s="1092"/>
      <c r="Q2197" s="1092"/>
      <c r="R2197" s="1092"/>
      <c r="S2197" s="1092"/>
      <c r="T2197" s="1092"/>
      <c r="U2197" s="1092"/>
      <c r="V2197" s="1092"/>
      <c r="W2197" s="1092"/>
    </row>
    <row r="2198" spans="1:25" s="21" customFormat="1" x14ac:dyDescent="0.2">
      <c r="A2198" s="20" t="s">
        <v>1490</v>
      </c>
      <c r="B2198" s="470">
        <v>255</v>
      </c>
      <c r="C2198" s="470">
        <v>0</v>
      </c>
      <c r="D2198" s="470">
        <v>0</v>
      </c>
      <c r="E2198" s="453"/>
      <c r="F2198" s="453"/>
      <c r="G2198" s="453"/>
      <c r="H2198" s="453"/>
      <c r="I2198" s="453"/>
      <c r="J2198" s="453"/>
      <c r="K2198" s="453"/>
      <c r="L2198" s="453"/>
      <c r="M2198" s="453"/>
      <c r="N2198" s="453"/>
      <c r="O2198" s="453"/>
      <c r="P2198" s="1617"/>
      <c r="Q2198" s="453"/>
      <c r="R2198" s="453"/>
      <c r="S2198" s="453"/>
      <c r="T2198" s="453"/>
      <c r="U2198" s="453"/>
      <c r="V2198" s="453"/>
      <c r="W2198" s="453"/>
    </row>
    <row r="2199" spans="1:25" s="21" customFormat="1" x14ac:dyDescent="0.2">
      <c r="A2199" s="20" t="s">
        <v>1491</v>
      </c>
      <c r="B2199" s="467">
        <v>255</v>
      </c>
      <c r="C2199" s="467">
        <v>0</v>
      </c>
      <c r="D2199" s="467">
        <v>0</v>
      </c>
      <c r="E2199" s="453"/>
      <c r="F2199" s="453"/>
      <c r="G2199" s="453"/>
      <c r="H2199" s="453"/>
      <c r="I2199" s="453"/>
      <c r="J2199" s="453"/>
      <c r="K2199" s="453"/>
      <c r="L2199" s="453"/>
      <c r="M2199" s="453"/>
      <c r="N2199" s="453"/>
      <c r="O2199" s="453"/>
      <c r="P2199" s="1617"/>
      <c r="Q2199" s="453"/>
      <c r="R2199" s="453"/>
      <c r="S2199" s="453"/>
      <c r="T2199" s="453"/>
      <c r="U2199" s="453"/>
      <c r="V2199" s="453"/>
      <c r="W2199" s="453"/>
    </row>
    <row r="2200" spans="1:25" s="21" customFormat="1" x14ac:dyDescent="0.2">
      <c r="A2200" s="20" t="s">
        <v>1483</v>
      </c>
      <c r="B2200" s="467">
        <v>255</v>
      </c>
      <c r="C2200" s="467">
        <v>0</v>
      </c>
      <c r="D2200" s="467">
        <v>0</v>
      </c>
      <c r="E2200" s="453"/>
      <c r="F2200" s="453"/>
      <c r="G2200" s="453"/>
      <c r="H2200" s="453"/>
      <c r="I2200" s="453"/>
      <c r="J2200" s="453"/>
      <c r="K2200" s="453"/>
      <c r="L2200" s="453"/>
      <c r="M2200" s="453"/>
      <c r="N2200" s="453"/>
      <c r="O2200" s="453"/>
      <c r="P2200" s="1617"/>
      <c r="Q2200" s="453"/>
      <c r="R2200" s="453"/>
      <c r="S2200" s="453"/>
      <c r="T2200" s="453"/>
      <c r="U2200" s="453"/>
      <c r="V2200" s="453"/>
      <c r="W2200" s="453"/>
    </row>
    <row r="2201" spans="1:25" s="21" customFormat="1" x14ac:dyDescent="0.2">
      <c r="A2201" s="20" t="s">
        <v>1484</v>
      </c>
      <c r="B2201" s="467">
        <v>255</v>
      </c>
      <c r="C2201" s="467">
        <v>0</v>
      </c>
      <c r="D2201" s="467">
        <v>0</v>
      </c>
      <c r="E2201" s="453"/>
      <c r="F2201" s="453"/>
      <c r="G2201" s="453"/>
      <c r="H2201" s="453"/>
      <c r="I2201" s="453"/>
      <c r="J2201" s="453"/>
      <c r="K2201" s="453"/>
      <c r="L2201" s="453"/>
      <c r="M2201" s="453"/>
      <c r="N2201" s="453"/>
      <c r="O2201" s="453"/>
      <c r="P2201" s="1617"/>
      <c r="Q2201" s="453"/>
      <c r="R2201" s="453"/>
      <c r="S2201" s="453"/>
      <c r="T2201" s="453"/>
      <c r="U2201" s="453"/>
      <c r="V2201" s="453"/>
      <c r="W2201" s="453"/>
    </row>
    <row r="2202" spans="1:25" s="21" customFormat="1" x14ac:dyDescent="0.2">
      <c r="A2202" s="20" t="s">
        <v>1485</v>
      </c>
      <c r="B2202" s="467">
        <v>255</v>
      </c>
      <c r="C2202" s="467">
        <v>0</v>
      </c>
      <c r="D2202" s="467">
        <v>386</v>
      </c>
      <c r="E2202" s="453"/>
      <c r="F2202" s="453"/>
      <c r="G2202" s="453"/>
      <c r="H2202" s="453"/>
      <c r="I2202" s="453"/>
      <c r="J2202" s="453"/>
      <c r="K2202" s="453"/>
      <c r="L2202" s="453"/>
      <c r="M2202" s="453"/>
      <c r="N2202" s="453"/>
      <c r="O2202" s="453"/>
      <c r="P2202" s="1617"/>
      <c r="Q2202" s="453"/>
      <c r="R2202" s="453"/>
      <c r="S2202" s="453"/>
      <c r="T2202" s="453"/>
      <c r="U2202" s="453"/>
      <c r="V2202" s="453"/>
      <c r="W2202" s="453"/>
    </row>
    <row r="2203" spans="1:25" s="21" customFormat="1" x14ac:dyDescent="0.2">
      <c r="A2203" s="20" t="s">
        <v>1486</v>
      </c>
      <c r="B2203" s="467">
        <v>255</v>
      </c>
      <c r="C2203" s="467">
        <v>0</v>
      </c>
      <c r="D2203" s="467">
        <v>386</v>
      </c>
      <c r="E2203" s="453"/>
      <c r="F2203" s="453"/>
      <c r="G2203" s="453"/>
      <c r="H2203" s="453"/>
      <c r="I2203" s="453"/>
      <c r="J2203" s="453"/>
      <c r="K2203" s="453"/>
      <c r="L2203" s="453"/>
      <c r="M2203" s="453"/>
      <c r="N2203" s="453"/>
      <c r="O2203" s="453"/>
      <c r="P2203" s="1617"/>
      <c r="Q2203" s="453"/>
      <c r="R2203" s="453"/>
      <c r="S2203" s="453"/>
      <c r="T2203" s="453"/>
      <c r="U2203" s="453"/>
      <c r="V2203" s="453"/>
      <c r="W2203" s="453"/>
    </row>
    <row r="2204" spans="1:25" s="21" customFormat="1" x14ac:dyDescent="0.2">
      <c r="A2204" s="20" t="s">
        <v>1487</v>
      </c>
      <c r="B2204" s="467">
        <v>255</v>
      </c>
      <c r="C2204" s="467">
        <v>0</v>
      </c>
      <c r="D2204" s="467">
        <v>386</v>
      </c>
      <c r="E2204" s="453"/>
      <c r="F2204" s="453"/>
      <c r="G2204" s="453"/>
      <c r="H2204" s="453"/>
      <c r="I2204" s="453"/>
      <c r="J2204" s="453"/>
      <c r="K2204" s="453"/>
      <c r="L2204" s="453"/>
      <c r="M2204" s="453"/>
      <c r="N2204" s="453"/>
      <c r="O2204" s="453"/>
      <c r="P2204" s="1617"/>
      <c r="Q2204" s="453"/>
      <c r="R2204" s="453"/>
      <c r="S2204" s="453"/>
      <c r="T2204" s="453"/>
      <c r="U2204" s="453"/>
      <c r="V2204" s="453"/>
      <c r="W2204" s="453"/>
    </row>
    <row r="2205" spans="1:25" s="21" customFormat="1" x14ac:dyDescent="0.2">
      <c r="A2205" s="20" t="s">
        <v>1488</v>
      </c>
      <c r="B2205" s="467">
        <v>255</v>
      </c>
      <c r="C2205" s="467">
        <v>0</v>
      </c>
      <c r="D2205" s="467">
        <v>386</v>
      </c>
      <c r="E2205" s="453"/>
      <c r="F2205" s="453"/>
      <c r="G2205" s="453"/>
      <c r="H2205" s="453"/>
      <c r="I2205" s="453"/>
      <c r="J2205" s="453"/>
      <c r="K2205" s="453"/>
      <c r="L2205" s="453"/>
      <c r="M2205" s="453"/>
      <c r="N2205" s="453"/>
      <c r="O2205" s="453"/>
      <c r="P2205" s="1617"/>
      <c r="Q2205" s="453"/>
      <c r="R2205" s="453"/>
      <c r="S2205" s="453"/>
      <c r="T2205" s="453"/>
      <c r="U2205" s="453"/>
      <c r="V2205" s="453"/>
      <c r="W2205" s="453"/>
    </row>
    <row r="2206" spans="1:25" s="21" customFormat="1" x14ac:dyDescent="0.2">
      <c r="A2206" s="20" t="s">
        <v>1489</v>
      </c>
      <c r="B2206" s="467">
        <v>255</v>
      </c>
      <c r="C2206" s="467">
        <v>0</v>
      </c>
      <c r="D2206" s="467">
        <v>386</v>
      </c>
      <c r="E2206" s="453"/>
      <c r="F2206" s="453"/>
      <c r="G2206" s="453"/>
      <c r="H2206" s="453"/>
      <c r="I2206" s="453"/>
      <c r="J2206" s="453"/>
      <c r="K2206" s="453"/>
      <c r="L2206" s="453"/>
      <c r="M2206" s="453"/>
      <c r="N2206" s="453"/>
      <c r="O2206" s="453"/>
      <c r="P2206" s="1617"/>
      <c r="Q2206" s="453"/>
      <c r="R2206" s="453"/>
      <c r="S2206" s="453"/>
      <c r="T2206" s="453"/>
      <c r="U2206" s="453"/>
      <c r="V2206" s="453"/>
      <c r="W2206" s="453"/>
    </row>
    <row r="2207" spans="1:25" s="292" customFormat="1" x14ac:dyDescent="0.2">
      <c r="A2207" s="37" t="s">
        <v>1359</v>
      </c>
      <c r="B2207" s="654">
        <v>255</v>
      </c>
      <c r="C2207" s="654">
        <v>0</v>
      </c>
      <c r="D2207" s="654">
        <v>386</v>
      </c>
      <c r="E2207" s="421"/>
      <c r="F2207" s="421"/>
      <c r="G2207" s="421"/>
      <c r="H2207" s="1074"/>
      <c r="I2207" s="1074"/>
      <c r="J2207" s="1074"/>
      <c r="K2207" s="1074"/>
      <c r="L2207" s="1074"/>
      <c r="M2207" s="1074"/>
      <c r="N2207" s="1074"/>
      <c r="O2207" s="1074"/>
      <c r="P2207" s="1618"/>
      <c r="Q2207" s="1074"/>
      <c r="R2207" s="1074"/>
      <c r="S2207" s="1074"/>
      <c r="T2207" s="1074"/>
      <c r="U2207" s="1074"/>
      <c r="V2207" s="1074"/>
      <c r="W2207" s="1074"/>
    </row>
    <row r="2208" spans="1:25" s="292" customFormat="1" x14ac:dyDescent="0.2">
      <c r="A2208" s="1073" t="s">
        <v>2076</v>
      </c>
    </row>
    <row r="2209" spans="1:25" s="292" customFormat="1" x14ac:dyDescent="0.2"/>
    <row r="2210" spans="1:25" s="284" customFormat="1" x14ac:dyDescent="0.2"/>
    <row r="2211" spans="1:25" s="125" customFormat="1" x14ac:dyDescent="0.2">
      <c r="A2211" s="377" t="s">
        <v>2140</v>
      </c>
      <c r="D2211" s="1075"/>
      <c r="E2211" s="1075"/>
      <c r="F2211" s="1075"/>
      <c r="G2211" s="1075"/>
      <c r="H2211" s="1075"/>
      <c r="I2211" s="1075"/>
    </row>
    <row r="2212" spans="1:25" s="773" customFormat="1" ht="16.25" customHeight="1" x14ac:dyDescent="0.2">
      <c r="A2212" s="753" t="s">
        <v>2141</v>
      </c>
      <c r="B2212" s="442" t="s">
        <v>2142</v>
      </c>
      <c r="C2212" s="442" t="s">
        <v>2142</v>
      </c>
      <c r="D2212" s="442" t="s">
        <v>2142</v>
      </c>
      <c r="E2212" s="442"/>
      <c r="F2212" s="442"/>
      <c r="G2212" s="442"/>
      <c r="H2212" s="442"/>
      <c r="I2212" s="442"/>
      <c r="J2212" s="442"/>
      <c r="K2212" s="442"/>
      <c r="L2212" s="442"/>
      <c r="M2212" s="442"/>
      <c r="N2212" s="442"/>
      <c r="O2212" s="442"/>
      <c r="P2212" s="532"/>
      <c r="Q2212" s="442"/>
      <c r="R2212" s="442"/>
      <c r="S2212" s="442"/>
      <c r="T2212" s="442"/>
      <c r="U2212" s="442"/>
      <c r="V2212" s="442"/>
      <c r="W2212" s="442"/>
    </row>
    <row r="2213" spans="1:25" s="291" customFormat="1" ht="16" x14ac:dyDescent="0.2">
      <c r="A2213" s="293" t="s">
        <v>1963</v>
      </c>
      <c r="B2213" s="31" t="s">
        <v>1689</v>
      </c>
      <c r="C2213" s="31" t="s">
        <v>1693</v>
      </c>
      <c r="D2213" s="31" t="s">
        <v>1684</v>
      </c>
      <c r="E2213" s="419"/>
      <c r="F2213" s="419"/>
      <c r="G2213" s="419"/>
      <c r="H2213" s="453"/>
      <c r="I2213" s="453"/>
      <c r="J2213" s="453"/>
      <c r="K2213" s="453"/>
      <c r="L2213" s="453"/>
      <c r="M2213" s="453"/>
      <c r="N2213" s="453"/>
      <c r="O2213" s="453"/>
      <c r="P2213" s="1616"/>
      <c r="Q2213" s="453"/>
      <c r="R2213" s="453"/>
      <c r="S2213" s="453"/>
      <c r="T2213" s="453"/>
      <c r="U2213" s="453"/>
      <c r="V2213" s="453"/>
      <c r="W2213" s="453"/>
      <c r="X2213" s="21"/>
      <c r="Y2213" s="21"/>
    </row>
    <row r="2214" spans="1:25" s="1093" customFormat="1" ht="16" x14ac:dyDescent="0.2">
      <c r="A2214" s="1090" t="s">
        <v>57</v>
      </c>
      <c r="B2214" s="31" t="s">
        <v>92</v>
      </c>
      <c r="C2214" s="31" t="s">
        <v>92</v>
      </c>
      <c r="D2214" s="31" t="s">
        <v>92</v>
      </c>
      <c r="E2214" s="1092"/>
      <c r="F2214" s="1092"/>
      <c r="G2214" s="1092"/>
      <c r="H2214" s="1092"/>
      <c r="I2214" s="1092"/>
      <c r="J2214" s="1092"/>
      <c r="K2214" s="1092"/>
      <c r="L2214" s="1092"/>
      <c r="M2214" s="1092"/>
      <c r="N2214" s="1092"/>
      <c r="O2214" s="1092"/>
      <c r="P2214" s="1092"/>
      <c r="Q2214" s="1092"/>
      <c r="R2214" s="1092"/>
      <c r="S2214" s="1092"/>
      <c r="T2214" s="1092"/>
      <c r="U2214" s="1092"/>
      <c r="V2214" s="1092"/>
      <c r="W2214" s="1092"/>
    </row>
    <row r="2215" spans="1:25" s="21" customFormat="1" x14ac:dyDescent="0.2">
      <c r="A2215" s="20" t="s">
        <v>1490</v>
      </c>
      <c r="B2215" s="470">
        <v>7.9</v>
      </c>
      <c r="C2215" s="470">
        <v>7.9</v>
      </c>
      <c r="D2215" s="470">
        <v>7.9</v>
      </c>
      <c r="E2215" s="453"/>
      <c r="F2215" s="453"/>
      <c r="G2215" s="453"/>
      <c r="H2215" s="453"/>
      <c r="I2215" s="453"/>
      <c r="J2215" s="453"/>
      <c r="K2215" s="453"/>
      <c r="L2215" s="453"/>
      <c r="M2215" s="453"/>
      <c r="N2215" s="453"/>
      <c r="O2215" s="453"/>
      <c r="P2215" s="1617"/>
      <c r="Q2215" s="453"/>
      <c r="R2215" s="453"/>
      <c r="S2215" s="453"/>
      <c r="T2215" s="453"/>
      <c r="U2215" s="453"/>
      <c r="V2215" s="453"/>
      <c r="W2215" s="453"/>
    </row>
    <row r="2216" spans="1:25" s="21" customFormat="1" x14ac:dyDescent="0.2">
      <c r="A2216" s="20" t="s">
        <v>1491</v>
      </c>
      <c r="B2216" s="467">
        <v>7.9</v>
      </c>
      <c r="C2216" s="467">
        <v>7.9</v>
      </c>
      <c r="D2216" s="467">
        <v>7.9</v>
      </c>
      <c r="E2216" s="453"/>
      <c r="F2216" s="453"/>
      <c r="G2216" s="453"/>
      <c r="H2216" s="453"/>
      <c r="I2216" s="453"/>
      <c r="J2216" s="453"/>
      <c r="K2216" s="453"/>
      <c r="L2216" s="453"/>
      <c r="M2216" s="453"/>
      <c r="N2216" s="453"/>
      <c r="O2216" s="453"/>
      <c r="P2216" s="1617"/>
      <c r="Q2216" s="453"/>
      <c r="R2216" s="453"/>
      <c r="S2216" s="453"/>
      <c r="T2216" s="453"/>
      <c r="U2216" s="453"/>
      <c r="V2216" s="453"/>
      <c r="W2216" s="453"/>
    </row>
    <row r="2217" spans="1:25" s="21" customFormat="1" x14ac:dyDescent="0.2">
      <c r="A2217" s="20" t="s">
        <v>1483</v>
      </c>
      <c r="B2217" s="467">
        <v>7.9</v>
      </c>
      <c r="C2217" s="467">
        <v>7.9</v>
      </c>
      <c r="D2217" s="467">
        <v>7.9</v>
      </c>
      <c r="E2217" s="453"/>
      <c r="F2217" s="453"/>
      <c r="G2217" s="453"/>
      <c r="H2217" s="453"/>
      <c r="I2217" s="453"/>
      <c r="J2217" s="453"/>
      <c r="K2217" s="453"/>
      <c r="L2217" s="453"/>
      <c r="M2217" s="453"/>
      <c r="N2217" s="453"/>
      <c r="O2217" s="453"/>
      <c r="P2217" s="1617"/>
      <c r="Q2217" s="453"/>
      <c r="R2217" s="453"/>
      <c r="S2217" s="453"/>
      <c r="T2217" s="453"/>
      <c r="U2217" s="453"/>
      <c r="V2217" s="453"/>
      <c r="W2217" s="453"/>
    </row>
    <row r="2218" spans="1:25" s="21" customFormat="1" x14ac:dyDescent="0.2">
      <c r="A2218" s="20" t="s">
        <v>1484</v>
      </c>
      <c r="B2218" s="467">
        <v>7.9</v>
      </c>
      <c r="C2218" s="467">
        <v>7.9</v>
      </c>
      <c r="D2218" s="467">
        <v>7.9</v>
      </c>
      <c r="E2218" s="453"/>
      <c r="F2218" s="453"/>
      <c r="G2218" s="453"/>
      <c r="H2218" s="453"/>
      <c r="I2218" s="453"/>
      <c r="J2218" s="453"/>
      <c r="K2218" s="453"/>
      <c r="L2218" s="453"/>
      <c r="M2218" s="453"/>
      <c r="N2218" s="453"/>
      <c r="O2218" s="453"/>
      <c r="P2218" s="1617"/>
      <c r="Q2218" s="453"/>
      <c r="R2218" s="453"/>
      <c r="S2218" s="453"/>
      <c r="T2218" s="453"/>
      <c r="U2218" s="453"/>
      <c r="V2218" s="453"/>
      <c r="W2218" s="453"/>
    </row>
    <row r="2219" spans="1:25" s="21" customFormat="1" x14ac:dyDescent="0.2">
      <c r="A2219" s="20" t="s">
        <v>1485</v>
      </c>
      <c r="B2219" s="467">
        <v>7.9</v>
      </c>
      <c r="C2219" s="467">
        <v>7.9</v>
      </c>
      <c r="D2219" s="467">
        <v>7.9</v>
      </c>
      <c r="E2219" s="453"/>
      <c r="F2219" s="453"/>
      <c r="G2219" s="453"/>
      <c r="H2219" s="453"/>
      <c r="I2219" s="453"/>
      <c r="J2219" s="453"/>
      <c r="K2219" s="453"/>
      <c r="L2219" s="453"/>
      <c r="M2219" s="453"/>
      <c r="N2219" s="453"/>
      <c r="O2219" s="453"/>
      <c r="P2219" s="1617"/>
      <c r="Q2219" s="453"/>
      <c r="R2219" s="453"/>
      <c r="S2219" s="453"/>
      <c r="T2219" s="453"/>
      <c r="U2219" s="453"/>
      <c r="V2219" s="453"/>
      <c r="W2219" s="453"/>
    </row>
    <row r="2220" spans="1:25" s="21" customFormat="1" x14ac:dyDescent="0.2">
      <c r="A2220" s="20" t="s">
        <v>1486</v>
      </c>
      <c r="B2220" s="467">
        <v>7.9</v>
      </c>
      <c r="C2220" s="467">
        <v>7.9</v>
      </c>
      <c r="D2220" s="467">
        <v>7.9</v>
      </c>
      <c r="E2220" s="453"/>
      <c r="F2220" s="453"/>
      <c r="G2220" s="453"/>
      <c r="H2220" s="453"/>
      <c r="I2220" s="453"/>
      <c r="J2220" s="453"/>
      <c r="K2220" s="453"/>
      <c r="L2220" s="453"/>
      <c r="M2220" s="453"/>
      <c r="N2220" s="453"/>
      <c r="O2220" s="453"/>
      <c r="P2220" s="1617"/>
      <c r="Q2220" s="453"/>
      <c r="R2220" s="453"/>
      <c r="S2220" s="453"/>
      <c r="T2220" s="453"/>
      <c r="U2220" s="453"/>
      <c r="V2220" s="453"/>
      <c r="W2220" s="453"/>
    </row>
    <row r="2221" spans="1:25" s="21" customFormat="1" x14ac:dyDescent="0.2">
      <c r="A2221" s="20" t="s">
        <v>1487</v>
      </c>
      <c r="B2221" s="467">
        <v>7.9</v>
      </c>
      <c r="C2221" s="467">
        <v>7.9</v>
      </c>
      <c r="D2221" s="467">
        <v>7.9</v>
      </c>
      <c r="E2221" s="453"/>
      <c r="F2221" s="453"/>
      <c r="G2221" s="453"/>
      <c r="H2221" s="453"/>
      <c r="I2221" s="453"/>
      <c r="J2221" s="453"/>
      <c r="K2221" s="453"/>
      <c r="L2221" s="453"/>
      <c r="M2221" s="453"/>
      <c r="N2221" s="453"/>
      <c r="O2221" s="453"/>
      <c r="P2221" s="1617"/>
      <c r="Q2221" s="453"/>
      <c r="R2221" s="453"/>
      <c r="S2221" s="453"/>
      <c r="T2221" s="453"/>
      <c r="U2221" s="453"/>
      <c r="V2221" s="453"/>
      <c r="W2221" s="453"/>
    </row>
    <row r="2222" spans="1:25" s="21" customFormat="1" x14ac:dyDescent="0.2">
      <c r="A2222" s="20" t="s">
        <v>1488</v>
      </c>
      <c r="B2222" s="467">
        <v>7.9</v>
      </c>
      <c r="C2222" s="467">
        <v>7.9</v>
      </c>
      <c r="D2222" s="467">
        <v>7.9</v>
      </c>
      <c r="E2222" s="453"/>
      <c r="F2222" s="453"/>
      <c r="G2222" s="453"/>
      <c r="H2222" s="453"/>
      <c r="I2222" s="453"/>
      <c r="J2222" s="453"/>
      <c r="K2222" s="453"/>
      <c r="L2222" s="453"/>
      <c r="M2222" s="453"/>
      <c r="N2222" s="453"/>
      <c r="O2222" s="453"/>
      <c r="P2222" s="1617"/>
      <c r="Q2222" s="453"/>
      <c r="R2222" s="453"/>
      <c r="S2222" s="453"/>
      <c r="T2222" s="453"/>
      <c r="U2222" s="453"/>
      <c r="V2222" s="453"/>
      <c r="W2222" s="453"/>
    </row>
    <row r="2223" spans="1:25" s="21" customFormat="1" x14ac:dyDescent="0.2">
      <c r="A2223" s="20" t="s">
        <v>1489</v>
      </c>
      <c r="B2223" s="467">
        <v>7.9</v>
      </c>
      <c r="C2223" s="467">
        <v>7.9</v>
      </c>
      <c r="D2223" s="467">
        <v>7.9</v>
      </c>
      <c r="E2223" s="453"/>
      <c r="F2223" s="453"/>
      <c r="G2223" s="453"/>
      <c r="H2223" s="453"/>
      <c r="I2223" s="453"/>
      <c r="J2223" s="453"/>
      <c r="K2223" s="453"/>
      <c r="L2223" s="453"/>
      <c r="M2223" s="453"/>
      <c r="N2223" s="453"/>
      <c r="O2223" s="453"/>
      <c r="P2223" s="1617"/>
      <c r="Q2223" s="453"/>
      <c r="R2223" s="453"/>
      <c r="S2223" s="453"/>
      <c r="T2223" s="453"/>
      <c r="U2223" s="453"/>
      <c r="V2223" s="453"/>
      <c r="W2223" s="453"/>
    </row>
    <row r="2224" spans="1:25" s="292" customFormat="1" x14ac:dyDescent="0.2">
      <c r="A2224" s="37" t="s">
        <v>1359</v>
      </c>
      <c r="B2224" s="654">
        <v>7.9</v>
      </c>
      <c r="C2224" s="654">
        <v>7.9</v>
      </c>
      <c r="D2224" s="654">
        <v>7.9</v>
      </c>
      <c r="E2224" s="421"/>
      <c r="F2224" s="421"/>
      <c r="G2224" s="421"/>
      <c r="H2224" s="1074"/>
      <c r="I2224" s="1074"/>
      <c r="J2224" s="1074"/>
      <c r="K2224" s="1074"/>
      <c r="L2224" s="1074"/>
      <c r="M2224" s="1074"/>
      <c r="N2224" s="1074"/>
      <c r="O2224" s="1074"/>
      <c r="P2224" s="1618"/>
      <c r="Q2224" s="1074"/>
      <c r="R2224" s="1074"/>
      <c r="S2224" s="1074"/>
      <c r="T2224" s="1074"/>
      <c r="U2224" s="1074"/>
      <c r="V2224" s="1074"/>
      <c r="W2224" s="1074"/>
    </row>
    <row r="2225" spans="1:25" s="292" customFormat="1" x14ac:dyDescent="0.2">
      <c r="A2225" s="1073" t="s">
        <v>2076</v>
      </c>
    </row>
    <row r="2226" spans="1:25" s="292" customFormat="1" x14ac:dyDescent="0.2"/>
    <row r="2228" spans="1:25" s="125" customFormat="1" x14ac:dyDescent="0.2">
      <c r="A2228" s="377" t="s">
        <v>2143</v>
      </c>
      <c r="D2228" s="1075"/>
      <c r="E2228" s="1075"/>
      <c r="F2228" s="1075"/>
      <c r="G2228" s="1075"/>
      <c r="H2228" s="1075"/>
      <c r="I2228" s="1075"/>
    </row>
    <row r="2229" spans="1:25" s="773" customFormat="1" ht="16.25" customHeight="1" x14ac:dyDescent="0.2">
      <c r="A2229" s="753" t="s">
        <v>2141</v>
      </c>
      <c r="B2229" s="442" t="s">
        <v>2144</v>
      </c>
      <c r="C2229" s="442" t="s">
        <v>2144</v>
      </c>
      <c r="D2229" s="442" t="s">
        <v>2144</v>
      </c>
      <c r="E2229" s="442"/>
      <c r="F2229" s="442"/>
      <c r="G2229" s="442"/>
      <c r="H2229" s="442"/>
      <c r="I2229" s="442"/>
      <c r="J2229" s="442"/>
      <c r="K2229" s="442"/>
      <c r="L2229" s="442"/>
      <c r="M2229" s="442"/>
      <c r="N2229" s="442"/>
      <c r="O2229" s="442"/>
      <c r="P2229" s="532"/>
      <c r="Q2229" s="442"/>
      <c r="R2229" s="442"/>
      <c r="S2229" s="442"/>
      <c r="T2229" s="442"/>
      <c r="U2229" s="442"/>
      <c r="V2229" s="442"/>
      <c r="W2229" s="442"/>
    </row>
    <row r="2230" spans="1:25" s="291" customFormat="1" ht="16" x14ac:dyDescent="0.2">
      <c r="A2230" s="293" t="s">
        <v>1963</v>
      </c>
      <c r="B2230" s="31" t="s">
        <v>1689</v>
      </c>
      <c r="C2230" s="31" t="s">
        <v>1693</v>
      </c>
      <c r="D2230" s="31" t="s">
        <v>1684</v>
      </c>
      <c r="E2230" s="419"/>
      <c r="F2230" s="419"/>
      <c r="G2230" s="419"/>
      <c r="H2230" s="453"/>
      <c r="I2230" s="453"/>
      <c r="J2230" s="453"/>
      <c r="K2230" s="453"/>
      <c r="L2230" s="453"/>
      <c r="M2230" s="453"/>
      <c r="N2230" s="453"/>
      <c r="O2230" s="453"/>
      <c r="P2230" s="1616"/>
      <c r="Q2230" s="453"/>
      <c r="R2230" s="453"/>
      <c r="S2230" s="453"/>
      <c r="T2230" s="453"/>
      <c r="U2230" s="453"/>
      <c r="V2230" s="453"/>
      <c r="W2230" s="453"/>
      <c r="X2230" s="21"/>
      <c r="Y2230" s="21"/>
    </row>
    <row r="2231" spans="1:25" s="1093" customFormat="1" ht="16" x14ac:dyDescent="0.2">
      <c r="A2231" s="1090" t="s">
        <v>57</v>
      </c>
      <c r="B2231" s="31" t="s">
        <v>92</v>
      </c>
      <c r="C2231" s="31" t="s">
        <v>92</v>
      </c>
      <c r="D2231" s="31" t="s">
        <v>92</v>
      </c>
      <c r="E2231" s="1092"/>
      <c r="F2231" s="1092"/>
      <c r="G2231" s="1092"/>
      <c r="H2231" s="1092"/>
      <c r="I2231" s="1092"/>
      <c r="J2231" s="1092"/>
      <c r="K2231" s="1092"/>
      <c r="L2231" s="1092"/>
      <c r="M2231" s="1092"/>
      <c r="N2231" s="1092"/>
      <c r="O2231" s="1092"/>
      <c r="P2231" s="1092"/>
      <c r="Q2231" s="1092"/>
      <c r="R2231" s="1092"/>
      <c r="S2231" s="1092"/>
      <c r="T2231" s="1092"/>
      <c r="U2231" s="1092"/>
      <c r="V2231" s="1092"/>
      <c r="W2231" s="1092"/>
    </row>
    <row r="2232" spans="1:25" s="21" customFormat="1" x14ac:dyDescent="0.2">
      <c r="A2232" s="20" t="s">
        <v>1490</v>
      </c>
      <c r="B2232" s="470">
        <v>-0.91</v>
      </c>
      <c r="C2232" s="470">
        <v>-0.43</v>
      </c>
      <c r="D2232" s="470">
        <v>0</v>
      </c>
      <c r="E2232" s="453"/>
      <c r="F2232" s="453"/>
      <c r="G2232" s="453"/>
      <c r="H2232" s="453"/>
      <c r="I2232" s="453"/>
      <c r="J2232" s="453"/>
      <c r="K2232" s="453"/>
      <c r="L2232" s="453"/>
      <c r="M2232" s="453"/>
      <c r="N2232" s="453"/>
      <c r="O2232" s="453"/>
      <c r="P2232" s="1617"/>
      <c r="Q2232" s="453"/>
      <c r="R2232" s="453"/>
      <c r="S2232" s="453"/>
      <c r="T2232" s="453"/>
      <c r="U2232" s="453"/>
      <c r="V2232" s="453"/>
      <c r="W2232" s="453"/>
    </row>
    <row r="2233" spans="1:25" s="21" customFormat="1" x14ac:dyDescent="0.2">
      <c r="A2233" s="20" t="s">
        <v>1491</v>
      </c>
      <c r="B2233" s="467">
        <v>-0.91</v>
      </c>
      <c r="C2233" s="467">
        <v>-0.43</v>
      </c>
      <c r="D2233" s="467">
        <v>0</v>
      </c>
      <c r="E2233" s="453"/>
      <c r="F2233" s="453"/>
      <c r="G2233" s="453"/>
      <c r="H2233" s="453"/>
      <c r="I2233" s="453"/>
      <c r="J2233" s="453"/>
      <c r="K2233" s="453"/>
      <c r="L2233" s="453"/>
      <c r="M2233" s="453"/>
      <c r="N2233" s="453"/>
      <c r="O2233" s="453"/>
      <c r="P2233" s="1617"/>
      <c r="Q2233" s="453"/>
      <c r="R2233" s="453"/>
      <c r="S2233" s="453"/>
      <c r="T2233" s="453"/>
      <c r="U2233" s="453"/>
      <c r="V2233" s="453"/>
      <c r="W2233" s="453"/>
    </row>
    <row r="2234" spans="1:25" s="21" customFormat="1" x14ac:dyDescent="0.2">
      <c r="A2234" s="20" t="s">
        <v>1483</v>
      </c>
      <c r="B2234" s="467">
        <v>-0.91</v>
      </c>
      <c r="C2234" s="467">
        <v>-0.43</v>
      </c>
      <c r="D2234" s="467">
        <v>0</v>
      </c>
      <c r="E2234" s="453"/>
      <c r="F2234" s="453"/>
      <c r="G2234" s="453"/>
      <c r="H2234" s="453"/>
      <c r="I2234" s="453"/>
      <c r="J2234" s="453"/>
      <c r="K2234" s="453"/>
      <c r="L2234" s="453"/>
      <c r="M2234" s="453"/>
      <c r="N2234" s="453"/>
      <c r="O2234" s="453"/>
      <c r="P2234" s="1617"/>
      <c r="Q2234" s="453"/>
      <c r="R2234" s="453"/>
      <c r="S2234" s="453"/>
      <c r="T2234" s="453"/>
      <c r="U2234" s="453"/>
      <c r="V2234" s="453"/>
      <c r="W2234" s="453"/>
    </row>
    <row r="2235" spans="1:25" s="21" customFormat="1" x14ac:dyDescent="0.2">
      <c r="A2235" s="20" t="s">
        <v>1484</v>
      </c>
      <c r="B2235" s="467">
        <v>-0.91</v>
      </c>
      <c r="C2235" s="467">
        <v>-0.43</v>
      </c>
      <c r="D2235" s="467">
        <v>0</v>
      </c>
      <c r="E2235" s="453"/>
      <c r="F2235" s="453"/>
      <c r="G2235" s="453"/>
      <c r="H2235" s="453"/>
      <c r="I2235" s="453"/>
      <c r="J2235" s="453"/>
      <c r="K2235" s="453"/>
      <c r="L2235" s="453"/>
      <c r="M2235" s="453"/>
      <c r="N2235" s="453"/>
      <c r="O2235" s="453"/>
      <c r="P2235" s="1617"/>
      <c r="Q2235" s="453"/>
      <c r="R2235" s="453"/>
      <c r="S2235" s="453"/>
      <c r="T2235" s="453"/>
      <c r="U2235" s="453"/>
      <c r="V2235" s="453"/>
      <c r="W2235" s="453"/>
    </row>
    <row r="2236" spans="1:25" s="21" customFormat="1" x14ac:dyDescent="0.2">
      <c r="A2236" s="20" t="s">
        <v>1485</v>
      </c>
      <c r="B2236" s="467">
        <v>-0.91</v>
      </c>
      <c r="C2236" s="467">
        <v>-0.43</v>
      </c>
      <c r="D2236" s="467">
        <v>-1.62</v>
      </c>
      <c r="E2236" s="453"/>
      <c r="F2236" s="453"/>
      <c r="G2236" s="453"/>
      <c r="H2236" s="453"/>
      <c r="I2236" s="453"/>
      <c r="J2236" s="453"/>
      <c r="K2236" s="453"/>
      <c r="L2236" s="453"/>
      <c r="M2236" s="453"/>
      <c r="N2236" s="453"/>
      <c r="O2236" s="453"/>
      <c r="P2236" s="1617"/>
      <c r="Q2236" s="453"/>
      <c r="R2236" s="453"/>
      <c r="S2236" s="453"/>
      <c r="T2236" s="453"/>
      <c r="U2236" s="453"/>
      <c r="V2236" s="453"/>
      <c r="W2236" s="453"/>
    </row>
    <row r="2237" spans="1:25" s="21" customFormat="1" x14ac:dyDescent="0.2">
      <c r="A2237" s="20" t="s">
        <v>1486</v>
      </c>
      <c r="B2237" s="467">
        <v>-0.91</v>
      </c>
      <c r="C2237" s="467">
        <v>-0.43</v>
      </c>
      <c r="D2237" s="467">
        <v>-1.62</v>
      </c>
      <c r="E2237" s="453"/>
      <c r="F2237" s="453"/>
      <c r="G2237" s="453"/>
      <c r="H2237" s="453"/>
      <c r="I2237" s="453"/>
      <c r="J2237" s="453"/>
      <c r="K2237" s="453"/>
      <c r="L2237" s="453"/>
      <c r="M2237" s="453"/>
      <c r="N2237" s="453"/>
      <c r="O2237" s="453"/>
      <c r="P2237" s="1617"/>
      <c r="Q2237" s="453"/>
      <c r="R2237" s="453"/>
      <c r="S2237" s="453"/>
      <c r="T2237" s="453"/>
      <c r="U2237" s="453"/>
      <c r="V2237" s="453"/>
      <c r="W2237" s="453"/>
    </row>
    <row r="2238" spans="1:25" s="21" customFormat="1" x14ac:dyDescent="0.2">
      <c r="A2238" s="20" t="s">
        <v>1487</v>
      </c>
      <c r="B2238" s="467">
        <v>-0.91</v>
      </c>
      <c r="C2238" s="467">
        <v>-0.43</v>
      </c>
      <c r="D2238" s="467">
        <v>-1.62</v>
      </c>
      <c r="E2238" s="453"/>
      <c r="F2238" s="453"/>
      <c r="G2238" s="453"/>
      <c r="H2238" s="453"/>
      <c r="I2238" s="453"/>
      <c r="J2238" s="453"/>
      <c r="K2238" s="453"/>
      <c r="L2238" s="453"/>
      <c r="M2238" s="453"/>
      <c r="N2238" s="453"/>
      <c r="O2238" s="453"/>
      <c r="P2238" s="1617"/>
      <c r="Q2238" s="453"/>
      <c r="R2238" s="453"/>
      <c r="S2238" s="453"/>
      <c r="T2238" s="453"/>
      <c r="U2238" s="453"/>
      <c r="V2238" s="453"/>
      <c r="W2238" s="453"/>
    </row>
    <row r="2239" spans="1:25" s="21" customFormat="1" x14ac:dyDescent="0.2">
      <c r="A2239" s="20" t="s">
        <v>1488</v>
      </c>
      <c r="B2239" s="467">
        <v>-0.91</v>
      </c>
      <c r="C2239" s="467">
        <v>-0.43</v>
      </c>
      <c r="D2239" s="467">
        <v>-1.62</v>
      </c>
      <c r="E2239" s="453"/>
      <c r="F2239" s="453"/>
      <c r="G2239" s="453"/>
      <c r="H2239" s="453"/>
      <c r="I2239" s="453"/>
      <c r="J2239" s="453"/>
      <c r="K2239" s="453"/>
      <c r="L2239" s="453"/>
      <c r="M2239" s="453"/>
      <c r="N2239" s="453"/>
      <c r="O2239" s="453"/>
      <c r="P2239" s="1617"/>
      <c r="Q2239" s="453"/>
      <c r="R2239" s="453"/>
      <c r="S2239" s="453"/>
      <c r="T2239" s="453"/>
      <c r="U2239" s="453"/>
      <c r="V2239" s="453"/>
      <c r="W2239" s="453"/>
    </row>
    <row r="2240" spans="1:25" s="21" customFormat="1" x14ac:dyDescent="0.2">
      <c r="A2240" s="20" t="s">
        <v>1489</v>
      </c>
      <c r="B2240" s="467">
        <v>-0.91</v>
      </c>
      <c r="C2240" s="467">
        <v>-0.43</v>
      </c>
      <c r="D2240" s="467">
        <v>-1.62</v>
      </c>
      <c r="E2240" s="453"/>
      <c r="F2240" s="453"/>
      <c r="G2240" s="453"/>
      <c r="H2240" s="453"/>
      <c r="I2240" s="453"/>
      <c r="J2240" s="453"/>
      <c r="K2240" s="453"/>
      <c r="L2240" s="453"/>
      <c r="M2240" s="453"/>
      <c r="N2240" s="453"/>
      <c r="O2240" s="453"/>
      <c r="P2240" s="1617"/>
      <c r="Q2240" s="453"/>
      <c r="R2240" s="453"/>
      <c r="S2240" s="453"/>
      <c r="T2240" s="453"/>
      <c r="U2240" s="453"/>
      <c r="V2240" s="453"/>
      <c r="W2240" s="453"/>
    </row>
    <row r="2241" spans="1:25" s="292" customFormat="1" x14ac:dyDescent="0.2">
      <c r="A2241" s="37" t="s">
        <v>1359</v>
      </c>
      <c r="B2241" s="654">
        <v>-0.91</v>
      </c>
      <c r="C2241" s="654">
        <v>-0.43</v>
      </c>
      <c r="D2241" s="654">
        <v>-1.62</v>
      </c>
      <c r="E2241" s="421"/>
      <c r="F2241" s="421"/>
      <c r="G2241" s="421"/>
      <c r="H2241" s="1074"/>
      <c r="I2241" s="1074"/>
      <c r="J2241" s="1074"/>
      <c r="K2241" s="1074"/>
      <c r="L2241" s="1074"/>
      <c r="M2241" s="1074"/>
      <c r="N2241" s="1074"/>
      <c r="O2241" s="1074"/>
      <c r="P2241" s="1618"/>
      <c r="Q2241" s="1074"/>
      <c r="R2241" s="1074"/>
      <c r="S2241" s="1074"/>
      <c r="T2241" s="1074"/>
      <c r="U2241" s="1074"/>
      <c r="V2241" s="1074"/>
      <c r="W2241" s="1074"/>
    </row>
    <row r="2242" spans="1:25" s="292" customFormat="1" x14ac:dyDescent="0.2">
      <c r="A2242" s="1073" t="s">
        <v>2076</v>
      </c>
    </row>
    <row r="2243" spans="1:25" s="292" customFormat="1" x14ac:dyDescent="0.2"/>
    <row r="2244" spans="1:25" s="284" customFormat="1" x14ac:dyDescent="0.2"/>
    <row r="2245" spans="1:25" s="125" customFormat="1" x14ac:dyDescent="0.2">
      <c r="A2245" s="377" t="s">
        <v>2145</v>
      </c>
      <c r="D2245" s="1075"/>
      <c r="E2245" s="1075"/>
      <c r="F2245" s="1075"/>
      <c r="G2245" s="1075"/>
      <c r="H2245" s="1075"/>
      <c r="I2245" s="1075"/>
    </row>
    <row r="2246" spans="1:25" s="773" customFormat="1" ht="16.25" customHeight="1" x14ac:dyDescent="0.2">
      <c r="A2246" s="753" t="s">
        <v>2146</v>
      </c>
      <c r="B2246" s="442" t="s">
        <v>2147</v>
      </c>
      <c r="C2246" s="442" t="s">
        <v>2147</v>
      </c>
      <c r="D2246" s="442" t="s">
        <v>2147</v>
      </c>
      <c r="E2246" s="442"/>
      <c r="F2246" s="442"/>
      <c r="G2246" s="442"/>
      <c r="H2246" s="442"/>
      <c r="I2246" s="442"/>
      <c r="J2246" s="442"/>
      <c r="K2246" s="442"/>
      <c r="L2246" s="442"/>
      <c r="M2246" s="442"/>
      <c r="N2246" s="442"/>
      <c r="O2246" s="442"/>
      <c r="P2246" s="532"/>
      <c r="Q2246" s="442"/>
      <c r="R2246" s="442"/>
      <c r="S2246" s="442"/>
      <c r="T2246" s="442"/>
      <c r="U2246" s="442"/>
      <c r="V2246" s="442"/>
      <c r="W2246" s="442"/>
    </row>
    <row r="2247" spans="1:25" s="291" customFormat="1" ht="16" x14ac:dyDescent="0.2">
      <c r="A2247" s="293" t="s">
        <v>1963</v>
      </c>
      <c r="B2247" s="31" t="s">
        <v>1689</v>
      </c>
      <c r="C2247" s="31" t="s">
        <v>1693</v>
      </c>
      <c r="D2247" s="31" t="s">
        <v>1684</v>
      </c>
      <c r="E2247" s="419"/>
      <c r="F2247" s="419"/>
      <c r="G2247" s="419"/>
      <c r="H2247" s="453"/>
      <c r="I2247" s="453"/>
      <c r="J2247" s="453"/>
      <c r="K2247" s="453"/>
      <c r="L2247" s="453"/>
      <c r="M2247" s="453"/>
      <c r="N2247" s="453"/>
      <c r="O2247" s="453"/>
      <c r="P2247" s="1616"/>
      <c r="Q2247" s="453"/>
      <c r="R2247" s="453"/>
      <c r="S2247" s="453"/>
      <c r="T2247" s="453"/>
      <c r="U2247" s="453"/>
      <c r="V2247" s="453"/>
      <c r="W2247" s="453"/>
      <c r="X2247" s="21"/>
      <c r="Y2247" s="21"/>
    </row>
    <row r="2248" spans="1:25" s="1093" customFormat="1" ht="16" x14ac:dyDescent="0.2">
      <c r="A2248" s="1090" t="s">
        <v>57</v>
      </c>
      <c r="B2248" s="31" t="s">
        <v>1044</v>
      </c>
      <c r="C2248" s="31" t="s">
        <v>1044</v>
      </c>
      <c r="D2248" s="31" t="s">
        <v>1044</v>
      </c>
      <c r="E2248" s="1092"/>
      <c r="F2248" s="1092"/>
      <c r="G2248" s="1092"/>
      <c r="H2248" s="1092"/>
      <c r="I2248" s="1092"/>
      <c r="J2248" s="1092"/>
      <c r="K2248" s="1092"/>
      <c r="L2248" s="1092"/>
      <c r="M2248" s="1092"/>
      <c r="N2248" s="1092"/>
      <c r="O2248" s="1092"/>
      <c r="P2248" s="1092"/>
      <c r="Q2248" s="1092"/>
      <c r="R2248" s="1092"/>
      <c r="S2248" s="1092"/>
      <c r="T2248" s="1092"/>
      <c r="U2248" s="1092"/>
      <c r="V2248" s="1092"/>
      <c r="W2248" s="1092"/>
    </row>
    <row r="2249" spans="1:25" s="21" customFormat="1" x14ac:dyDescent="0.2">
      <c r="A2249" s="20" t="s">
        <v>1490</v>
      </c>
      <c r="B2249" s="470">
        <v>193.7</v>
      </c>
      <c r="C2249" s="470">
        <v>0</v>
      </c>
      <c r="D2249" s="470">
        <v>0</v>
      </c>
      <c r="E2249" s="453"/>
      <c r="F2249" s="453"/>
      <c r="G2249" s="453"/>
      <c r="H2249" s="453"/>
      <c r="I2249" s="453"/>
      <c r="J2249" s="453"/>
      <c r="K2249" s="453"/>
      <c r="L2249" s="453"/>
      <c r="M2249" s="453"/>
      <c r="N2249" s="453"/>
      <c r="O2249" s="453"/>
      <c r="P2249" s="1617"/>
      <c r="Q2249" s="453"/>
      <c r="R2249" s="453"/>
      <c r="S2249" s="453"/>
      <c r="T2249" s="453"/>
      <c r="U2249" s="453"/>
      <c r="V2249" s="453"/>
      <c r="W2249" s="453"/>
    </row>
    <row r="2250" spans="1:25" s="21" customFormat="1" x14ac:dyDescent="0.2">
      <c r="A2250" s="20" t="s">
        <v>1491</v>
      </c>
      <c r="B2250" s="467">
        <v>193.7</v>
      </c>
      <c r="C2250" s="467">
        <v>0</v>
      </c>
      <c r="D2250" s="467">
        <v>0</v>
      </c>
      <c r="E2250" s="453"/>
      <c r="F2250" s="453"/>
      <c r="G2250" s="453"/>
      <c r="H2250" s="453"/>
      <c r="I2250" s="453"/>
      <c r="J2250" s="453"/>
      <c r="K2250" s="453"/>
      <c r="L2250" s="453"/>
      <c r="M2250" s="453"/>
      <c r="N2250" s="453"/>
      <c r="O2250" s="453"/>
      <c r="P2250" s="1617"/>
      <c r="Q2250" s="453"/>
      <c r="R2250" s="453"/>
      <c r="S2250" s="453"/>
      <c r="T2250" s="453"/>
      <c r="U2250" s="453"/>
      <c r="V2250" s="453"/>
      <c r="W2250" s="453"/>
    </row>
    <row r="2251" spans="1:25" s="21" customFormat="1" x14ac:dyDescent="0.2">
      <c r="A2251" s="20" t="s">
        <v>1483</v>
      </c>
      <c r="B2251" s="467">
        <v>193.7</v>
      </c>
      <c r="C2251" s="467">
        <v>0</v>
      </c>
      <c r="D2251" s="467">
        <v>0</v>
      </c>
      <c r="E2251" s="453"/>
      <c r="F2251" s="453"/>
      <c r="G2251" s="453"/>
      <c r="H2251" s="453"/>
      <c r="I2251" s="453"/>
      <c r="J2251" s="453"/>
      <c r="K2251" s="453"/>
      <c r="L2251" s="453"/>
      <c r="M2251" s="453"/>
      <c r="N2251" s="453"/>
      <c r="O2251" s="453"/>
      <c r="P2251" s="1617"/>
      <c r="Q2251" s="453"/>
      <c r="R2251" s="453"/>
      <c r="S2251" s="453"/>
      <c r="T2251" s="453"/>
      <c r="U2251" s="453"/>
      <c r="V2251" s="453"/>
      <c r="W2251" s="453"/>
    </row>
    <row r="2252" spans="1:25" s="21" customFormat="1" x14ac:dyDescent="0.2">
      <c r="A2252" s="20" t="s">
        <v>1484</v>
      </c>
      <c r="B2252" s="467">
        <v>193.7</v>
      </c>
      <c r="C2252" s="467">
        <v>0</v>
      </c>
      <c r="D2252" s="467">
        <v>0</v>
      </c>
      <c r="E2252" s="453"/>
      <c r="F2252" s="453"/>
      <c r="G2252" s="453"/>
      <c r="H2252" s="453"/>
      <c r="I2252" s="453"/>
      <c r="J2252" s="453"/>
      <c r="K2252" s="453"/>
      <c r="L2252" s="453"/>
      <c r="M2252" s="453"/>
      <c r="N2252" s="453"/>
      <c r="O2252" s="453"/>
      <c r="P2252" s="1617"/>
      <c r="Q2252" s="453"/>
      <c r="R2252" s="453"/>
      <c r="S2252" s="453"/>
      <c r="T2252" s="453"/>
      <c r="U2252" s="453"/>
      <c r="V2252" s="453"/>
      <c r="W2252" s="453"/>
    </row>
    <row r="2253" spans="1:25" s="21" customFormat="1" x14ac:dyDescent="0.2">
      <c r="A2253" s="20" t="s">
        <v>1485</v>
      </c>
      <c r="B2253" s="467">
        <v>193.7</v>
      </c>
      <c r="C2253" s="467">
        <v>0</v>
      </c>
      <c r="D2253" s="467">
        <v>193.7</v>
      </c>
      <c r="E2253" s="453"/>
      <c r="F2253" s="453"/>
      <c r="G2253" s="453"/>
      <c r="H2253" s="453"/>
      <c r="I2253" s="453"/>
      <c r="J2253" s="453"/>
      <c r="K2253" s="453"/>
      <c r="L2253" s="453"/>
      <c r="M2253" s="453"/>
      <c r="N2253" s="453"/>
      <c r="O2253" s="453"/>
      <c r="P2253" s="1617"/>
      <c r="Q2253" s="453"/>
      <c r="R2253" s="453"/>
      <c r="S2253" s="453"/>
      <c r="T2253" s="453"/>
      <c r="U2253" s="453"/>
      <c r="V2253" s="453"/>
      <c r="W2253" s="453"/>
    </row>
    <row r="2254" spans="1:25" s="21" customFormat="1" x14ac:dyDescent="0.2">
      <c r="A2254" s="20" t="s">
        <v>1486</v>
      </c>
      <c r="B2254" s="467">
        <v>193.7</v>
      </c>
      <c r="C2254" s="467">
        <v>0</v>
      </c>
      <c r="D2254" s="467">
        <v>193.7</v>
      </c>
      <c r="E2254" s="453"/>
      <c r="F2254" s="453"/>
      <c r="G2254" s="453"/>
      <c r="H2254" s="453"/>
      <c r="I2254" s="453"/>
      <c r="J2254" s="453"/>
      <c r="K2254" s="453"/>
      <c r="L2254" s="453"/>
      <c r="M2254" s="453"/>
      <c r="N2254" s="453"/>
      <c r="O2254" s="453"/>
      <c r="P2254" s="1617"/>
      <c r="Q2254" s="453"/>
      <c r="R2254" s="453"/>
      <c r="S2254" s="453"/>
      <c r="T2254" s="453"/>
      <c r="U2254" s="453"/>
      <c r="V2254" s="453"/>
      <c r="W2254" s="453"/>
    </row>
    <row r="2255" spans="1:25" s="21" customFormat="1" x14ac:dyDescent="0.2">
      <c r="A2255" s="20" t="s">
        <v>1487</v>
      </c>
      <c r="B2255" s="467">
        <v>193.7</v>
      </c>
      <c r="C2255" s="467">
        <v>0</v>
      </c>
      <c r="D2255" s="467">
        <v>193.7</v>
      </c>
      <c r="E2255" s="453"/>
      <c r="F2255" s="453"/>
      <c r="G2255" s="453"/>
      <c r="H2255" s="453"/>
      <c r="I2255" s="453"/>
      <c r="J2255" s="453"/>
      <c r="K2255" s="453"/>
      <c r="L2255" s="453"/>
      <c r="M2255" s="453"/>
      <c r="N2255" s="453"/>
      <c r="O2255" s="453"/>
      <c r="P2255" s="1617"/>
      <c r="Q2255" s="453"/>
      <c r="R2255" s="453"/>
      <c r="S2255" s="453"/>
      <c r="T2255" s="453"/>
      <c r="U2255" s="453"/>
      <c r="V2255" s="453"/>
      <c r="W2255" s="453"/>
    </row>
    <row r="2256" spans="1:25" s="21" customFormat="1" x14ac:dyDescent="0.2">
      <c r="A2256" s="20" t="s">
        <v>1488</v>
      </c>
      <c r="B2256" s="467">
        <v>193.7</v>
      </c>
      <c r="C2256" s="467">
        <v>0</v>
      </c>
      <c r="D2256" s="467">
        <v>193.7</v>
      </c>
      <c r="E2256" s="453"/>
      <c r="F2256" s="453"/>
      <c r="G2256" s="453"/>
      <c r="H2256" s="453"/>
      <c r="I2256" s="453"/>
      <c r="J2256" s="453"/>
      <c r="K2256" s="453"/>
      <c r="L2256" s="453"/>
      <c r="M2256" s="453"/>
      <c r="N2256" s="453"/>
      <c r="O2256" s="453"/>
      <c r="P2256" s="1617"/>
      <c r="Q2256" s="453"/>
      <c r="R2256" s="453"/>
      <c r="S2256" s="453"/>
      <c r="T2256" s="453"/>
      <c r="U2256" s="453"/>
      <c r="V2256" s="453"/>
      <c r="W2256" s="453"/>
    </row>
    <row r="2257" spans="1:27" s="21" customFormat="1" x14ac:dyDescent="0.2">
      <c r="A2257" s="20" t="s">
        <v>1489</v>
      </c>
      <c r="B2257" s="467">
        <v>193.7</v>
      </c>
      <c r="C2257" s="467">
        <v>0</v>
      </c>
      <c r="D2257" s="467">
        <v>193.7</v>
      </c>
      <c r="E2257" s="453"/>
      <c r="F2257" s="453"/>
      <c r="G2257" s="453"/>
      <c r="H2257" s="453"/>
      <c r="I2257" s="453"/>
      <c r="J2257" s="453"/>
      <c r="K2257" s="453"/>
      <c r="L2257" s="453"/>
      <c r="M2257" s="453"/>
      <c r="N2257" s="453"/>
      <c r="O2257" s="453"/>
      <c r="P2257" s="1617"/>
      <c r="Q2257" s="453"/>
      <c r="R2257" s="453"/>
      <c r="S2257" s="453"/>
      <c r="T2257" s="453"/>
      <c r="U2257" s="453"/>
      <c r="V2257" s="453"/>
      <c r="W2257" s="453"/>
    </row>
    <row r="2258" spans="1:27" s="292" customFormat="1" x14ac:dyDescent="0.2">
      <c r="A2258" s="37" t="s">
        <v>1359</v>
      </c>
      <c r="B2258" s="654">
        <v>193.7</v>
      </c>
      <c r="C2258" s="654">
        <v>0</v>
      </c>
      <c r="D2258" s="654">
        <v>193.7</v>
      </c>
      <c r="E2258" s="421"/>
      <c r="F2258" s="421"/>
      <c r="G2258" s="421"/>
      <c r="H2258" s="1074"/>
      <c r="I2258" s="1074"/>
      <c r="J2258" s="1074"/>
      <c r="K2258" s="1074"/>
      <c r="L2258" s="1074"/>
      <c r="M2258" s="1074"/>
      <c r="N2258" s="1074"/>
      <c r="O2258" s="1074"/>
      <c r="P2258" s="1618"/>
      <c r="Q2258" s="1074"/>
      <c r="R2258" s="1074"/>
      <c r="S2258" s="1074"/>
      <c r="T2258" s="1074"/>
      <c r="U2258" s="1074"/>
      <c r="V2258" s="1074"/>
      <c r="W2258" s="1074"/>
    </row>
    <row r="2259" spans="1:27" s="292" customFormat="1" x14ac:dyDescent="0.2">
      <c r="A2259" s="1073" t="s">
        <v>2076</v>
      </c>
    </row>
    <row r="2260" spans="1:27" s="292" customFormat="1" x14ac:dyDescent="0.2"/>
    <row r="2262" spans="1:27" s="1086" customFormat="1" ht="24" x14ac:dyDescent="0.2">
      <c r="A2262" s="1086" t="s">
        <v>2148</v>
      </c>
    </row>
    <row r="2264" spans="1:27" s="125" customFormat="1" x14ac:dyDescent="0.2">
      <c r="A2264" s="377" t="s">
        <v>2149</v>
      </c>
      <c r="D2264" s="1075"/>
      <c r="E2264" s="1075"/>
      <c r="F2264" s="1075"/>
      <c r="G2264" s="1075"/>
      <c r="H2264" s="1075"/>
      <c r="I2264" s="1075"/>
    </row>
    <row r="2265" spans="1:27" s="773" customFormat="1" ht="16.25" customHeight="1" x14ac:dyDescent="0.2">
      <c r="A2265" s="753" t="s">
        <v>5285</v>
      </c>
      <c r="B2265" s="442" t="s">
        <v>2150</v>
      </c>
      <c r="C2265" s="442" t="s">
        <v>2150</v>
      </c>
      <c r="D2265" s="442" t="s">
        <v>2150</v>
      </c>
      <c r="E2265" s="442" t="s">
        <v>2151</v>
      </c>
      <c r="F2265" s="442" t="s">
        <v>2151</v>
      </c>
      <c r="G2265" s="442" t="s">
        <v>2151</v>
      </c>
      <c r="H2265" s="442" t="s">
        <v>2151</v>
      </c>
      <c r="I2265" s="442" t="s">
        <v>2151</v>
      </c>
      <c r="J2265" s="442" t="s">
        <v>2151</v>
      </c>
      <c r="K2265" s="442" t="s">
        <v>2151</v>
      </c>
      <c r="L2265" s="442" t="s">
        <v>2151</v>
      </c>
      <c r="M2265" s="442" t="s">
        <v>2151</v>
      </c>
      <c r="N2265" s="442" t="s">
        <v>2151</v>
      </c>
      <c r="O2265" s="442" t="s">
        <v>2151</v>
      </c>
      <c r="P2265" s="442" t="s">
        <v>2152</v>
      </c>
      <c r="Q2265" s="442" t="s">
        <v>2152</v>
      </c>
      <c r="R2265" s="442" t="s">
        <v>2151</v>
      </c>
      <c r="S2265" s="442"/>
      <c r="T2265" s="442"/>
      <c r="U2265" s="442"/>
      <c r="V2265" s="442"/>
      <c r="W2265" s="442"/>
    </row>
    <row r="2266" spans="1:27" s="291" customFormat="1" ht="16" x14ac:dyDescent="0.2">
      <c r="A2266" s="1632" t="s">
        <v>57</v>
      </c>
      <c r="B2266" s="1633" t="s">
        <v>5278</v>
      </c>
      <c r="C2266" s="1633" t="s">
        <v>5279</v>
      </c>
      <c r="D2266" s="1633" t="s">
        <v>5280</v>
      </c>
      <c r="E2266" s="1633" t="s">
        <v>5281</v>
      </c>
      <c r="F2266" s="291" t="s">
        <v>5282</v>
      </c>
      <c r="G2266" s="1633" t="s">
        <v>895</v>
      </c>
      <c r="H2266" s="291" t="s">
        <v>5283</v>
      </c>
      <c r="I2266" s="1633" t="s">
        <v>5284</v>
      </c>
      <c r="J2266" s="1633" t="s">
        <v>904</v>
      </c>
      <c r="K2266" s="1633" t="s">
        <v>908</v>
      </c>
      <c r="L2266" s="1633" t="s">
        <v>912</v>
      </c>
      <c r="M2266" s="1633" t="s">
        <v>915</v>
      </c>
      <c r="N2266" s="1633" t="s">
        <v>918</v>
      </c>
      <c r="O2266" s="1633" t="s">
        <v>921</v>
      </c>
      <c r="P2266" s="1633" t="s">
        <v>923</v>
      </c>
      <c r="Q2266" s="1633" t="s">
        <v>927</v>
      </c>
      <c r="R2266" s="1633" t="s">
        <v>930</v>
      </c>
      <c r="S2266" s="1634" t="s">
        <v>931</v>
      </c>
      <c r="T2266" s="453"/>
      <c r="U2266" s="453"/>
      <c r="V2266" s="453"/>
      <c r="W2266" s="453"/>
      <c r="X2266" s="453"/>
      <c r="Y2266" s="453"/>
      <c r="Z2266" s="21"/>
      <c r="AA2266" s="21"/>
    </row>
    <row r="2267" spans="1:27" s="1093" customFormat="1" ht="16" x14ac:dyDescent="0.2">
      <c r="A2267" s="533" t="s">
        <v>2153</v>
      </c>
      <c r="B2267" s="31" t="s">
        <v>2154</v>
      </c>
      <c r="C2267" s="31" t="s">
        <v>2154</v>
      </c>
      <c r="D2267" s="31" t="s">
        <v>2154</v>
      </c>
      <c r="E2267" s="31" t="s">
        <v>2154</v>
      </c>
      <c r="F2267" s="31" t="s">
        <v>2154</v>
      </c>
      <c r="G2267" s="31" t="s">
        <v>2154</v>
      </c>
      <c r="H2267" s="31" t="s">
        <v>2154</v>
      </c>
      <c r="I2267" s="31" t="s">
        <v>2154</v>
      </c>
      <c r="J2267" s="31" t="s">
        <v>2154</v>
      </c>
      <c r="K2267" s="31" t="s">
        <v>2154</v>
      </c>
      <c r="L2267" s="31" t="s">
        <v>2154</v>
      </c>
      <c r="M2267" s="31" t="s">
        <v>2154</v>
      </c>
      <c r="N2267" s="31" t="s">
        <v>2154</v>
      </c>
      <c r="O2267" s="31" t="s">
        <v>2154</v>
      </c>
      <c r="P2267" s="31" t="s">
        <v>2154</v>
      </c>
      <c r="Q2267" s="31" t="s">
        <v>2154</v>
      </c>
      <c r="R2267" s="31" t="s">
        <v>2154</v>
      </c>
      <c r="S2267" s="31" t="s">
        <v>2154</v>
      </c>
      <c r="T2267" s="1092"/>
      <c r="U2267" s="1092"/>
      <c r="V2267" s="1092"/>
      <c r="W2267" s="1092"/>
      <c r="X2267" s="1092"/>
      <c r="Y2267" s="1092"/>
    </row>
    <row r="2268" spans="1:27" s="21" customFormat="1" x14ac:dyDescent="0.2">
      <c r="A2268" s="407" t="s">
        <v>2155</v>
      </c>
      <c r="B2268" s="470">
        <v>86</v>
      </c>
      <c r="C2268" s="470">
        <v>60</v>
      </c>
      <c r="D2268" s="470">
        <v>81</v>
      </c>
      <c r="E2268" s="470">
        <v>81</v>
      </c>
      <c r="F2268" s="44">
        <v>9</v>
      </c>
      <c r="G2268" s="44">
        <v>9</v>
      </c>
      <c r="H2268" s="44">
        <v>1.5</v>
      </c>
      <c r="I2268" s="44">
        <v>1.5</v>
      </c>
      <c r="J2268" s="44">
        <v>9</v>
      </c>
      <c r="K2268" s="44">
        <v>18</v>
      </c>
      <c r="L2268" s="44">
        <v>46</v>
      </c>
      <c r="M2268" s="44">
        <v>10</v>
      </c>
      <c r="N2268" s="44">
        <v>20</v>
      </c>
      <c r="O2268" s="44">
        <v>5</v>
      </c>
      <c r="P2268" s="4239">
        <f t="shared" ref="P2268:Q2277" si="185">(3.034*10^6+14.727*10^6)/(191202000+173627000)/1000</f>
        <v>4.8683081662916055E-5</v>
      </c>
      <c r="Q2268" s="4239">
        <f t="shared" si="185"/>
        <v>4.8683081662916055E-5</v>
      </c>
      <c r="R2268" s="41">
        <v>8</v>
      </c>
      <c r="S2268" s="418"/>
      <c r="T2268" s="453"/>
      <c r="U2268" s="453"/>
      <c r="V2268" s="453"/>
      <c r="W2268" s="453"/>
      <c r="X2268" s="453"/>
      <c r="Y2268" s="453"/>
    </row>
    <row r="2269" spans="1:27" s="21" customFormat="1" x14ac:dyDescent="0.2">
      <c r="A2269" s="411" t="s">
        <v>2156</v>
      </c>
      <c r="B2269" s="467">
        <v>96</v>
      </c>
      <c r="C2269" s="467">
        <v>43</v>
      </c>
      <c r="D2269" s="467">
        <v>76</v>
      </c>
      <c r="E2269" s="467">
        <v>76</v>
      </c>
      <c r="F2269" s="41">
        <v>9</v>
      </c>
      <c r="G2269" s="41">
        <v>9</v>
      </c>
      <c r="H2269" s="41">
        <v>1.5</v>
      </c>
      <c r="I2269" s="41">
        <v>1.5</v>
      </c>
      <c r="J2269" s="41">
        <v>9</v>
      </c>
      <c r="K2269" s="41">
        <v>18</v>
      </c>
      <c r="L2269" s="41">
        <v>46</v>
      </c>
      <c r="M2269" s="41">
        <v>10</v>
      </c>
      <c r="N2269" s="41">
        <v>20</v>
      </c>
      <c r="O2269" s="41">
        <v>5</v>
      </c>
      <c r="P2269" s="4239">
        <f t="shared" si="185"/>
        <v>4.8683081662916055E-5</v>
      </c>
      <c r="Q2269" s="4239">
        <f t="shared" si="185"/>
        <v>4.8683081662916055E-5</v>
      </c>
      <c r="R2269" s="41">
        <v>8</v>
      </c>
      <c r="S2269" s="451"/>
      <c r="T2269" s="453"/>
      <c r="U2269" s="453"/>
      <c r="V2269" s="453"/>
      <c r="W2269" s="453"/>
      <c r="X2269" s="453"/>
      <c r="Y2269" s="453"/>
    </row>
    <row r="2270" spans="1:27" s="21" customFormat="1" x14ac:dyDescent="0.2">
      <c r="A2270" s="411" t="s">
        <v>1343</v>
      </c>
      <c r="B2270" s="467">
        <v>138</v>
      </c>
      <c r="C2270" s="467">
        <v>64</v>
      </c>
      <c r="D2270" s="467">
        <v>0</v>
      </c>
      <c r="E2270" s="467">
        <v>0</v>
      </c>
      <c r="F2270" s="41">
        <v>9</v>
      </c>
      <c r="G2270" s="41">
        <v>9</v>
      </c>
      <c r="H2270" s="41">
        <v>1.5</v>
      </c>
      <c r="I2270" s="41">
        <v>1.5</v>
      </c>
      <c r="J2270" s="41">
        <v>9</v>
      </c>
      <c r="K2270" s="41">
        <v>18</v>
      </c>
      <c r="L2270" s="41">
        <v>46</v>
      </c>
      <c r="M2270" s="41">
        <v>10</v>
      </c>
      <c r="N2270" s="41">
        <v>20</v>
      </c>
      <c r="O2270" s="41">
        <v>5</v>
      </c>
      <c r="P2270" s="4239">
        <f t="shared" si="185"/>
        <v>4.8683081662916055E-5</v>
      </c>
      <c r="Q2270" s="4239">
        <f t="shared" si="185"/>
        <v>4.8683081662916055E-5</v>
      </c>
      <c r="R2270" s="41">
        <v>8</v>
      </c>
      <c r="S2270" s="451"/>
      <c r="T2270" s="453"/>
      <c r="U2270" s="453"/>
      <c r="V2270" s="453"/>
      <c r="W2270" s="453"/>
      <c r="X2270" s="453"/>
      <c r="Y2270" s="453"/>
    </row>
    <row r="2271" spans="1:27" s="21" customFormat="1" x14ac:dyDescent="0.2">
      <c r="A2271" s="411" t="s">
        <v>2157</v>
      </c>
      <c r="B2271" s="41">
        <v>103</v>
      </c>
      <c r="C2271" s="41">
        <v>55</v>
      </c>
      <c r="D2271" s="41">
        <v>68</v>
      </c>
      <c r="E2271" s="41">
        <v>68</v>
      </c>
      <c r="F2271" s="41">
        <v>9</v>
      </c>
      <c r="G2271" s="41">
        <v>9</v>
      </c>
      <c r="H2271" s="41">
        <v>1.5</v>
      </c>
      <c r="I2271" s="41">
        <v>1.5</v>
      </c>
      <c r="J2271" s="41">
        <v>9</v>
      </c>
      <c r="K2271" s="41">
        <v>18</v>
      </c>
      <c r="L2271" s="41">
        <v>46</v>
      </c>
      <c r="M2271" s="41">
        <v>10</v>
      </c>
      <c r="N2271" s="41">
        <v>20</v>
      </c>
      <c r="O2271" s="41">
        <v>5</v>
      </c>
      <c r="P2271" s="4239">
        <f t="shared" si="185"/>
        <v>4.8683081662916055E-5</v>
      </c>
      <c r="Q2271" s="4239">
        <f t="shared" si="185"/>
        <v>4.8683081662916055E-5</v>
      </c>
      <c r="R2271" s="41">
        <v>8</v>
      </c>
      <c r="S2271" s="451"/>
      <c r="T2271" s="453"/>
      <c r="U2271" s="453"/>
      <c r="V2271" s="453"/>
      <c r="W2271" s="453"/>
      <c r="X2271" s="453"/>
      <c r="Y2271" s="453"/>
    </row>
    <row r="2272" spans="1:27" s="21" customFormat="1" x14ac:dyDescent="0.2">
      <c r="A2272" s="411" t="s">
        <v>1351</v>
      </c>
      <c r="B2272" s="467">
        <v>126</v>
      </c>
      <c r="C2272" s="467">
        <v>52</v>
      </c>
      <c r="D2272" s="467">
        <v>78</v>
      </c>
      <c r="E2272" s="467">
        <v>78</v>
      </c>
      <c r="F2272" s="41">
        <v>9</v>
      </c>
      <c r="G2272" s="41">
        <v>9</v>
      </c>
      <c r="H2272" s="41">
        <v>1.5</v>
      </c>
      <c r="I2272" s="41">
        <v>1.5</v>
      </c>
      <c r="J2272" s="41">
        <v>9</v>
      </c>
      <c r="K2272" s="41">
        <v>18</v>
      </c>
      <c r="L2272" s="41">
        <v>46</v>
      </c>
      <c r="M2272" s="41">
        <v>10</v>
      </c>
      <c r="N2272" s="41">
        <v>20</v>
      </c>
      <c r="O2272" s="41">
        <v>5</v>
      </c>
      <c r="P2272" s="4239">
        <f t="shared" si="185"/>
        <v>4.8683081662916055E-5</v>
      </c>
      <c r="Q2272" s="4239">
        <f t="shared" si="185"/>
        <v>4.8683081662916055E-5</v>
      </c>
      <c r="R2272" s="41">
        <v>8</v>
      </c>
      <c r="S2272" s="451"/>
      <c r="T2272" s="453"/>
      <c r="U2272" s="4238"/>
      <c r="V2272" s="453"/>
      <c r="W2272" s="453"/>
      <c r="X2272" s="453"/>
      <c r="Y2272" s="453"/>
    </row>
    <row r="2273" spans="1:27" s="21" customFormat="1" x14ac:dyDescent="0.2">
      <c r="A2273" s="411" t="s">
        <v>1337</v>
      </c>
      <c r="B2273" s="41">
        <v>93</v>
      </c>
      <c r="C2273" s="41">
        <v>58</v>
      </c>
      <c r="D2273" s="41">
        <v>68</v>
      </c>
      <c r="E2273" s="41">
        <v>68</v>
      </c>
      <c r="F2273" s="41">
        <v>9</v>
      </c>
      <c r="G2273" s="41">
        <v>9</v>
      </c>
      <c r="H2273" s="41">
        <v>1.5</v>
      </c>
      <c r="I2273" s="41">
        <v>1.5</v>
      </c>
      <c r="J2273" s="41">
        <v>9</v>
      </c>
      <c r="K2273" s="41">
        <v>18</v>
      </c>
      <c r="L2273" s="41">
        <v>46</v>
      </c>
      <c r="M2273" s="41">
        <v>10</v>
      </c>
      <c r="N2273" s="41">
        <v>20</v>
      </c>
      <c r="O2273" s="41">
        <v>5</v>
      </c>
      <c r="P2273" s="4239">
        <f t="shared" si="185"/>
        <v>4.8683081662916055E-5</v>
      </c>
      <c r="Q2273" s="4239">
        <f t="shared" si="185"/>
        <v>4.8683081662916055E-5</v>
      </c>
      <c r="R2273" s="41">
        <v>8</v>
      </c>
      <c r="S2273" s="451"/>
      <c r="T2273" s="453"/>
      <c r="U2273" s="4238"/>
      <c r="V2273" s="453"/>
      <c r="W2273" s="453"/>
      <c r="X2273" s="453"/>
      <c r="Y2273" s="453"/>
    </row>
    <row r="2274" spans="1:27" s="21" customFormat="1" x14ac:dyDescent="0.2">
      <c r="A2274" s="411" t="s">
        <v>2158</v>
      </c>
      <c r="B2274" s="41">
        <v>93</v>
      </c>
      <c r="C2274" s="41">
        <v>58</v>
      </c>
      <c r="D2274" s="41">
        <v>68</v>
      </c>
      <c r="E2274" s="41">
        <v>68</v>
      </c>
      <c r="F2274" s="41">
        <v>9</v>
      </c>
      <c r="G2274" s="41">
        <v>9</v>
      </c>
      <c r="H2274" s="41">
        <v>1.5</v>
      </c>
      <c r="I2274" s="41">
        <v>1.5</v>
      </c>
      <c r="J2274" s="41">
        <v>9</v>
      </c>
      <c r="K2274" s="41">
        <v>18</v>
      </c>
      <c r="L2274" s="41">
        <v>46</v>
      </c>
      <c r="M2274" s="41">
        <v>10</v>
      </c>
      <c r="N2274" s="41">
        <v>20</v>
      </c>
      <c r="O2274" s="41">
        <v>5</v>
      </c>
      <c r="P2274" s="4239">
        <f t="shared" si="185"/>
        <v>4.8683081662916055E-5</v>
      </c>
      <c r="Q2274" s="4239">
        <f t="shared" si="185"/>
        <v>4.8683081662916055E-5</v>
      </c>
      <c r="R2274" s="41">
        <v>8</v>
      </c>
      <c r="S2274" s="451"/>
      <c r="T2274" s="453"/>
      <c r="U2274" s="453"/>
      <c r="V2274" s="453"/>
      <c r="W2274" s="453"/>
      <c r="X2274" s="453"/>
      <c r="Y2274" s="453"/>
    </row>
    <row r="2275" spans="1:27" s="21" customFormat="1" x14ac:dyDescent="0.2">
      <c r="A2275" s="411" t="s">
        <v>1346</v>
      </c>
      <c r="B2275" s="41">
        <v>93</v>
      </c>
      <c r="C2275" s="41">
        <v>63</v>
      </c>
      <c r="D2275" s="41">
        <v>0</v>
      </c>
      <c r="E2275" s="41">
        <v>0</v>
      </c>
      <c r="F2275" s="41">
        <v>9</v>
      </c>
      <c r="G2275" s="41">
        <v>9</v>
      </c>
      <c r="H2275" s="41">
        <v>1.5</v>
      </c>
      <c r="I2275" s="41">
        <v>1.5</v>
      </c>
      <c r="J2275" s="41">
        <v>9</v>
      </c>
      <c r="K2275" s="41">
        <v>18</v>
      </c>
      <c r="L2275" s="41">
        <v>46</v>
      </c>
      <c r="M2275" s="41">
        <v>10</v>
      </c>
      <c r="N2275" s="41">
        <v>20</v>
      </c>
      <c r="O2275" s="41">
        <v>5</v>
      </c>
      <c r="P2275" s="4239">
        <f t="shared" si="185"/>
        <v>4.8683081662916055E-5</v>
      </c>
      <c r="Q2275" s="4239">
        <f t="shared" si="185"/>
        <v>4.8683081662916055E-5</v>
      </c>
      <c r="R2275" s="41">
        <v>8</v>
      </c>
      <c r="S2275" s="451"/>
    </row>
    <row r="2276" spans="1:27" s="453" customFormat="1" x14ac:dyDescent="0.2">
      <c r="A2276" s="411" t="s">
        <v>2159</v>
      </c>
      <c r="B2276" s="41">
        <v>94</v>
      </c>
      <c r="C2276" s="41">
        <v>61</v>
      </c>
      <c r="D2276" s="41">
        <v>67</v>
      </c>
      <c r="E2276" s="41">
        <v>67</v>
      </c>
      <c r="F2276" s="41">
        <v>9</v>
      </c>
      <c r="G2276" s="41">
        <v>9</v>
      </c>
      <c r="H2276" s="41">
        <v>1.5</v>
      </c>
      <c r="I2276" s="41">
        <v>1.5</v>
      </c>
      <c r="J2276" s="41">
        <v>9</v>
      </c>
      <c r="K2276" s="41">
        <v>18</v>
      </c>
      <c r="L2276" s="41">
        <v>46</v>
      </c>
      <c r="M2276" s="41">
        <v>10</v>
      </c>
      <c r="N2276" s="41">
        <v>20</v>
      </c>
      <c r="O2276" s="41">
        <v>5</v>
      </c>
      <c r="P2276" s="4239">
        <f t="shared" si="185"/>
        <v>4.8683081662916055E-5</v>
      </c>
      <c r="Q2276" s="4239">
        <f t="shared" si="185"/>
        <v>4.8683081662916055E-5</v>
      </c>
      <c r="R2276" s="41">
        <v>8</v>
      </c>
      <c r="S2276" s="451"/>
    </row>
    <row r="2277" spans="1:27" s="453" customFormat="1" x14ac:dyDescent="0.2">
      <c r="A2277" s="411" t="s">
        <v>2160</v>
      </c>
      <c r="B2277" s="42">
        <v>70</v>
      </c>
      <c r="C2277" s="42">
        <v>41</v>
      </c>
      <c r="D2277" s="42">
        <v>85</v>
      </c>
      <c r="E2277" s="42">
        <v>85</v>
      </c>
      <c r="F2277" s="42">
        <v>9</v>
      </c>
      <c r="G2277" s="42">
        <v>9</v>
      </c>
      <c r="H2277" s="42">
        <v>1.5</v>
      </c>
      <c r="I2277" s="42">
        <v>1.5</v>
      </c>
      <c r="J2277" s="42">
        <v>9</v>
      </c>
      <c r="K2277" s="42">
        <v>18</v>
      </c>
      <c r="L2277" s="42">
        <v>46</v>
      </c>
      <c r="M2277" s="42">
        <v>10</v>
      </c>
      <c r="N2277" s="42">
        <v>20</v>
      </c>
      <c r="O2277" s="42">
        <v>5</v>
      </c>
      <c r="P2277" s="4239">
        <f t="shared" si="185"/>
        <v>4.8683081662916055E-5</v>
      </c>
      <c r="Q2277" s="4239">
        <f t="shared" si="185"/>
        <v>4.8683081662916055E-5</v>
      </c>
      <c r="R2277" s="41">
        <v>8</v>
      </c>
      <c r="S2277" s="460"/>
    </row>
    <row r="2278" spans="1:27" s="535" customFormat="1" x14ac:dyDescent="0.2">
      <c r="A2278" s="1073" t="s">
        <v>2076</v>
      </c>
      <c r="B2278" s="292"/>
      <c r="C2278" s="292"/>
      <c r="D2278" s="292"/>
      <c r="E2278" s="421"/>
      <c r="F2278" s="421"/>
      <c r="G2278" s="421"/>
      <c r="H2278" s="421"/>
      <c r="I2278" s="421"/>
      <c r="J2278" s="421"/>
      <c r="K2278" s="421"/>
      <c r="L2278" s="421"/>
      <c r="M2278" s="421"/>
      <c r="N2278" s="421"/>
      <c r="O2278" s="292"/>
    </row>
    <row r="2279" spans="1:27" s="292" customFormat="1" x14ac:dyDescent="0.2"/>
    <row r="2281" spans="1:27" s="125" customFormat="1" x14ac:dyDescent="0.2">
      <c r="A2281" s="377" t="s">
        <v>2149</v>
      </c>
      <c r="D2281" s="1075"/>
      <c r="E2281" s="1075"/>
      <c r="F2281" s="1075"/>
      <c r="G2281" s="1075"/>
      <c r="H2281" s="1075"/>
      <c r="I2281" s="1075"/>
    </row>
    <row r="2282" spans="1:27" s="773" customFormat="1" ht="16.25" customHeight="1" x14ac:dyDescent="0.2">
      <c r="A2282" s="753" t="s">
        <v>5286</v>
      </c>
      <c r="B2282" s="442" t="s">
        <v>2150</v>
      </c>
      <c r="C2282" s="442" t="s">
        <v>2150</v>
      </c>
      <c r="D2282" s="442" t="s">
        <v>2150</v>
      </c>
      <c r="E2282" s="442" t="s">
        <v>2151</v>
      </c>
      <c r="F2282" s="442" t="s">
        <v>2151</v>
      </c>
      <c r="G2282" s="442" t="s">
        <v>2151</v>
      </c>
      <c r="H2282" s="442" t="s">
        <v>2151</v>
      </c>
      <c r="I2282" s="442" t="s">
        <v>2151</v>
      </c>
      <c r="J2282" s="442" t="s">
        <v>2151</v>
      </c>
      <c r="K2282" s="442" t="s">
        <v>2151</v>
      </c>
      <c r="L2282" s="442" t="s">
        <v>2151</v>
      </c>
      <c r="M2282" s="442" t="s">
        <v>2151</v>
      </c>
      <c r="N2282" s="442" t="s">
        <v>2151</v>
      </c>
      <c r="O2282" s="442" t="s">
        <v>2151</v>
      </c>
      <c r="P2282" s="442" t="s">
        <v>2152</v>
      </c>
      <c r="Q2282" s="442" t="s">
        <v>2152</v>
      </c>
      <c r="R2282" s="442" t="s">
        <v>2151</v>
      </c>
      <c r="S2282" s="442"/>
      <c r="T2282" s="442"/>
      <c r="U2282" s="442"/>
      <c r="V2282" s="442"/>
      <c r="W2282" s="442"/>
    </row>
    <row r="2283" spans="1:27" s="291" customFormat="1" ht="16" x14ac:dyDescent="0.2">
      <c r="A2283" s="526" t="s">
        <v>2153</v>
      </c>
      <c r="B2283" s="1633" t="s">
        <v>5278</v>
      </c>
      <c r="C2283" s="1633" t="s">
        <v>5279</v>
      </c>
      <c r="D2283" s="1633" t="s">
        <v>5280</v>
      </c>
      <c r="E2283" s="1633" t="s">
        <v>5281</v>
      </c>
      <c r="F2283" s="291" t="s">
        <v>5282</v>
      </c>
      <c r="G2283" s="1633" t="s">
        <v>2161</v>
      </c>
      <c r="H2283" s="291" t="s">
        <v>5283</v>
      </c>
      <c r="I2283" s="1633" t="s">
        <v>5284</v>
      </c>
      <c r="J2283" s="1633" t="s">
        <v>904</v>
      </c>
      <c r="K2283" s="1633" t="s">
        <v>908</v>
      </c>
      <c r="L2283" s="1633" t="s">
        <v>912</v>
      </c>
      <c r="M2283" s="1633" t="s">
        <v>915</v>
      </c>
      <c r="N2283" s="1633" t="s">
        <v>918</v>
      </c>
      <c r="O2283" s="1633" t="s">
        <v>921</v>
      </c>
      <c r="P2283" s="1633" t="s">
        <v>923</v>
      </c>
      <c r="Q2283" s="1633" t="s">
        <v>927</v>
      </c>
      <c r="R2283" s="1633" t="s">
        <v>930</v>
      </c>
      <c r="S2283" s="1633" t="s">
        <v>2162</v>
      </c>
      <c r="T2283" s="453"/>
      <c r="U2283" s="453"/>
      <c r="V2283" s="453"/>
      <c r="W2283" s="453"/>
      <c r="X2283" s="453"/>
      <c r="Y2283" s="453"/>
      <c r="Z2283" s="21"/>
      <c r="AA2283" s="21"/>
    </row>
    <row r="2284" spans="1:27" s="1093" customFormat="1" ht="16" x14ac:dyDescent="0.2">
      <c r="A2284" s="1630" t="s">
        <v>57</v>
      </c>
      <c r="B2284" s="31" t="s">
        <v>2154</v>
      </c>
      <c r="C2284" s="31" t="s">
        <v>2154</v>
      </c>
      <c r="D2284" s="31" t="s">
        <v>2154</v>
      </c>
      <c r="E2284" s="31" t="s">
        <v>2154</v>
      </c>
      <c r="F2284" s="31" t="s">
        <v>2154</v>
      </c>
      <c r="G2284" s="31" t="s">
        <v>2154</v>
      </c>
      <c r="H2284" s="31" t="s">
        <v>2154</v>
      </c>
      <c r="I2284" s="31" t="s">
        <v>2154</v>
      </c>
      <c r="J2284" s="31" t="s">
        <v>2154</v>
      </c>
      <c r="K2284" s="31" t="s">
        <v>2154</v>
      </c>
      <c r="L2284" s="31" t="s">
        <v>2154</v>
      </c>
      <c r="M2284" s="31" t="s">
        <v>2154</v>
      </c>
      <c r="N2284" s="31" t="s">
        <v>2154</v>
      </c>
      <c r="O2284" s="31" t="s">
        <v>2154</v>
      </c>
      <c r="P2284" s="31" t="s">
        <v>2154</v>
      </c>
      <c r="Q2284" s="31" t="s">
        <v>2154</v>
      </c>
      <c r="R2284" s="31" t="s">
        <v>2154</v>
      </c>
      <c r="S2284" s="31" t="s">
        <v>2154</v>
      </c>
      <c r="T2284" s="1092"/>
      <c r="U2284" s="1092"/>
      <c r="V2284" s="1092"/>
      <c r="W2284" s="1092"/>
      <c r="X2284" s="1092"/>
      <c r="Y2284" s="1092"/>
    </row>
    <row r="2285" spans="1:27" s="21" customFormat="1" x14ac:dyDescent="0.2">
      <c r="A2285" s="407" t="s">
        <v>2155</v>
      </c>
      <c r="B2285" s="470">
        <v>66</v>
      </c>
      <c r="C2285" s="467">
        <v>48</v>
      </c>
      <c r="D2285" s="467">
        <v>81</v>
      </c>
      <c r="E2285" s="467">
        <v>81</v>
      </c>
      <c r="F2285" s="41">
        <v>5</v>
      </c>
      <c r="G2285" s="41">
        <v>5</v>
      </c>
      <c r="H2285" s="41">
        <v>1</v>
      </c>
      <c r="I2285" s="41">
        <v>1</v>
      </c>
      <c r="J2285" s="41">
        <v>5</v>
      </c>
      <c r="K2285" s="41">
        <v>18</v>
      </c>
      <c r="L2285" s="41">
        <v>46</v>
      </c>
      <c r="M2285" s="41">
        <v>10</v>
      </c>
      <c r="N2285" s="41">
        <v>20</v>
      </c>
      <c r="O2285" s="41">
        <v>5</v>
      </c>
      <c r="P2285" s="4239">
        <f t="shared" ref="P2285:Q2294" si="186">(3.034*10^6+14.727*10^6)/(191202000+173627000)/1000</f>
        <v>4.8683081662916055E-5</v>
      </c>
      <c r="Q2285" s="4239">
        <f t="shared" si="186"/>
        <v>4.8683081662916055E-5</v>
      </c>
      <c r="R2285" s="41">
        <v>8</v>
      </c>
      <c r="S2285" s="41"/>
      <c r="T2285" s="453"/>
      <c r="U2285" s="453"/>
      <c r="V2285" s="453"/>
      <c r="W2285" s="453"/>
      <c r="X2285" s="453"/>
      <c r="Y2285" s="453"/>
    </row>
    <row r="2286" spans="1:27" s="21" customFormat="1" x14ac:dyDescent="0.2">
      <c r="A2286" s="411" t="s">
        <v>2156</v>
      </c>
      <c r="B2286" s="467">
        <v>71</v>
      </c>
      <c r="C2286" s="467">
        <v>56</v>
      </c>
      <c r="D2286" s="467">
        <v>76</v>
      </c>
      <c r="E2286" s="467">
        <v>76</v>
      </c>
      <c r="F2286" s="41">
        <v>5</v>
      </c>
      <c r="G2286" s="41">
        <v>5</v>
      </c>
      <c r="H2286" s="41">
        <v>1</v>
      </c>
      <c r="I2286" s="41">
        <v>1</v>
      </c>
      <c r="J2286" s="41">
        <v>5</v>
      </c>
      <c r="K2286" s="41">
        <v>18</v>
      </c>
      <c r="L2286" s="41">
        <v>46</v>
      </c>
      <c r="M2286" s="41">
        <v>10</v>
      </c>
      <c r="N2286" s="41">
        <v>20</v>
      </c>
      <c r="O2286" s="41">
        <v>5</v>
      </c>
      <c r="P2286" s="4239">
        <f t="shared" si="186"/>
        <v>4.8683081662916055E-5</v>
      </c>
      <c r="Q2286" s="4239">
        <f t="shared" si="186"/>
        <v>4.8683081662916055E-5</v>
      </c>
      <c r="R2286" s="41">
        <v>8</v>
      </c>
      <c r="S2286" s="41"/>
      <c r="T2286" s="453"/>
      <c r="U2286" s="453"/>
      <c r="V2286" s="453"/>
      <c r="W2286" s="453"/>
      <c r="X2286" s="453"/>
      <c r="Y2286" s="453"/>
    </row>
    <row r="2287" spans="1:27" s="21" customFormat="1" x14ac:dyDescent="0.2">
      <c r="A2287" s="411" t="s">
        <v>1343</v>
      </c>
      <c r="B2287" s="467">
        <v>138</v>
      </c>
      <c r="C2287" s="467">
        <v>64</v>
      </c>
      <c r="D2287" s="467">
        <v>0</v>
      </c>
      <c r="E2287" s="467">
        <v>0</v>
      </c>
      <c r="F2287" s="41">
        <v>5</v>
      </c>
      <c r="G2287" s="41">
        <v>5</v>
      </c>
      <c r="H2287" s="41">
        <v>1</v>
      </c>
      <c r="I2287" s="41">
        <v>1</v>
      </c>
      <c r="J2287" s="41">
        <v>5</v>
      </c>
      <c r="K2287" s="41">
        <v>18</v>
      </c>
      <c r="L2287" s="41">
        <v>46</v>
      </c>
      <c r="M2287" s="41">
        <v>10</v>
      </c>
      <c r="N2287" s="41">
        <v>20</v>
      </c>
      <c r="O2287" s="41">
        <v>5</v>
      </c>
      <c r="P2287" s="4239">
        <f t="shared" si="186"/>
        <v>4.8683081662916055E-5</v>
      </c>
      <c r="Q2287" s="4239">
        <f t="shared" si="186"/>
        <v>4.8683081662916055E-5</v>
      </c>
      <c r="R2287" s="41">
        <v>8</v>
      </c>
      <c r="S2287" s="41"/>
      <c r="T2287" s="453"/>
      <c r="U2287" s="453"/>
      <c r="V2287" s="453"/>
      <c r="W2287" s="453"/>
      <c r="X2287" s="453"/>
      <c r="Y2287" s="453"/>
    </row>
    <row r="2288" spans="1:27" s="21" customFormat="1" x14ac:dyDescent="0.2">
      <c r="A2288" s="411" t="s">
        <v>2157</v>
      </c>
      <c r="B2288" s="41">
        <v>78</v>
      </c>
      <c r="C2288" s="41">
        <v>58</v>
      </c>
      <c r="D2288" s="41">
        <v>68</v>
      </c>
      <c r="E2288" s="41">
        <v>68</v>
      </c>
      <c r="F2288" s="41">
        <v>5</v>
      </c>
      <c r="G2288" s="41">
        <v>5</v>
      </c>
      <c r="H2288" s="41">
        <v>1</v>
      </c>
      <c r="I2288" s="41">
        <v>1</v>
      </c>
      <c r="J2288" s="41">
        <v>5</v>
      </c>
      <c r="K2288" s="41">
        <v>18</v>
      </c>
      <c r="L2288" s="41">
        <v>46</v>
      </c>
      <c r="M2288" s="41">
        <v>10</v>
      </c>
      <c r="N2288" s="41">
        <v>20</v>
      </c>
      <c r="O2288" s="41">
        <v>5</v>
      </c>
      <c r="P2288" s="4239">
        <f t="shared" si="186"/>
        <v>4.8683081662916055E-5</v>
      </c>
      <c r="Q2288" s="4239">
        <f t="shared" si="186"/>
        <v>4.8683081662916055E-5</v>
      </c>
      <c r="R2288" s="41">
        <v>8</v>
      </c>
      <c r="S2288" s="41"/>
      <c r="T2288" s="453"/>
      <c r="U2288" s="453"/>
      <c r="V2288" s="453"/>
      <c r="W2288" s="453"/>
      <c r="X2288" s="453"/>
      <c r="Y2288" s="453"/>
    </row>
    <row r="2289" spans="1:26" s="21" customFormat="1" x14ac:dyDescent="0.2">
      <c r="A2289" s="411" t="s">
        <v>1351</v>
      </c>
      <c r="B2289" s="467">
        <v>126</v>
      </c>
      <c r="C2289" s="467">
        <v>52</v>
      </c>
      <c r="D2289" s="467">
        <v>78</v>
      </c>
      <c r="E2289" s="467">
        <v>78</v>
      </c>
      <c r="F2289" s="41">
        <v>5</v>
      </c>
      <c r="G2289" s="41">
        <v>5</v>
      </c>
      <c r="H2289" s="41">
        <v>1</v>
      </c>
      <c r="I2289" s="41">
        <v>1</v>
      </c>
      <c r="J2289" s="41">
        <v>5</v>
      </c>
      <c r="K2289" s="41">
        <v>18</v>
      </c>
      <c r="L2289" s="41">
        <v>46</v>
      </c>
      <c r="M2289" s="41">
        <v>10</v>
      </c>
      <c r="N2289" s="41">
        <v>20</v>
      </c>
      <c r="O2289" s="41">
        <v>5</v>
      </c>
      <c r="P2289" s="4239">
        <f t="shared" si="186"/>
        <v>4.8683081662916055E-5</v>
      </c>
      <c r="Q2289" s="4239">
        <f t="shared" si="186"/>
        <v>4.8683081662916055E-5</v>
      </c>
      <c r="R2289" s="41">
        <v>8</v>
      </c>
      <c r="S2289" s="41"/>
      <c r="T2289" s="453"/>
      <c r="U2289" s="453"/>
      <c r="V2289" s="453"/>
      <c r="W2289" s="453"/>
      <c r="X2289" s="453"/>
      <c r="Y2289" s="453"/>
    </row>
    <row r="2290" spans="1:26" s="21" customFormat="1" x14ac:dyDescent="0.2">
      <c r="A2290" s="411" t="s">
        <v>1337</v>
      </c>
      <c r="B2290" s="41">
        <v>93</v>
      </c>
      <c r="C2290" s="41">
        <v>58</v>
      </c>
      <c r="D2290" s="41">
        <v>68</v>
      </c>
      <c r="E2290" s="41">
        <v>68</v>
      </c>
      <c r="F2290" s="41">
        <v>5</v>
      </c>
      <c r="G2290" s="41">
        <v>5</v>
      </c>
      <c r="H2290" s="41">
        <v>1</v>
      </c>
      <c r="I2290" s="41">
        <v>1</v>
      </c>
      <c r="J2290" s="41">
        <v>5</v>
      </c>
      <c r="K2290" s="41">
        <v>18</v>
      </c>
      <c r="L2290" s="41">
        <v>46</v>
      </c>
      <c r="M2290" s="41">
        <v>10</v>
      </c>
      <c r="N2290" s="41">
        <v>20</v>
      </c>
      <c r="O2290" s="41">
        <v>5</v>
      </c>
      <c r="P2290" s="4239">
        <f t="shared" si="186"/>
        <v>4.8683081662916055E-5</v>
      </c>
      <c r="Q2290" s="4239">
        <f t="shared" si="186"/>
        <v>4.8683081662916055E-5</v>
      </c>
      <c r="R2290" s="41">
        <v>8</v>
      </c>
      <c r="S2290" s="41"/>
      <c r="T2290" s="453"/>
      <c r="U2290" s="453"/>
      <c r="V2290" s="453"/>
      <c r="W2290" s="453"/>
      <c r="X2290" s="453"/>
      <c r="Y2290" s="453"/>
    </row>
    <row r="2291" spans="1:26" s="21" customFormat="1" x14ac:dyDescent="0.2">
      <c r="A2291" s="411" t="s">
        <v>2158</v>
      </c>
      <c r="B2291" s="41">
        <v>93</v>
      </c>
      <c r="C2291" s="41">
        <v>58</v>
      </c>
      <c r="D2291" s="41">
        <v>68</v>
      </c>
      <c r="E2291" s="41">
        <v>68</v>
      </c>
      <c r="F2291" s="41">
        <v>5</v>
      </c>
      <c r="G2291" s="41">
        <v>5</v>
      </c>
      <c r="H2291" s="41">
        <v>1</v>
      </c>
      <c r="I2291" s="41">
        <v>1</v>
      </c>
      <c r="J2291" s="41">
        <v>5</v>
      </c>
      <c r="K2291" s="41">
        <v>18</v>
      </c>
      <c r="L2291" s="41">
        <v>46</v>
      </c>
      <c r="M2291" s="41">
        <v>10</v>
      </c>
      <c r="N2291" s="41">
        <v>20</v>
      </c>
      <c r="O2291" s="41">
        <v>5</v>
      </c>
      <c r="P2291" s="4239">
        <f t="shared" si="186"/>
        <v>4.8683081662916055E-5</v>
      </c>
      <c r="Q2291" s="4239">
        <f t="shared" si="186"/>
        <v>4.8683081662916055E-5</v>
      </c>
      <c r="R2291" s="41">
        <v>8</v>
      </c>
      <c r="S2291" s="41"/>
      <c r="T2291" s="453"/>
      <c r="U2291" s="453"/>
      <c r="V2291" s="453"/>
      <c r="W2291" s="453"/>
      <c r="X2291" s="453"/>
      <c r="Y2291" s="453"/>
    </row>
    <row r="2292" spans="1:26" s="21" customFormat="1" x14ac:dyDescent="0.2">
      <c r="A2292" s="411" t="s">
        <v>1346</v>
      </c>
      <c r="B2292" s="41">
        <v>93</v>
      </c>
      <c r="C2292" s="41">
        <v>63</v>
      </c>
      <c r="D2292" s="41">
        <v>0</v>
      </c>
      <c r="E2292" s="41">
        <v>0</v>
      </c>
      <c r="F2292" s="41">
        <v>5</v>
      </c>
      <c r="G2292" s="41">
        <v>5</v>
      </c>
      <c r="H2292" s="41">
        <v>1</v>
      </c>
      <c r="I2292" s="41">
        <v>1</v>
      </c>
      <c r="J2292" s="41">
        <v>5</v>
      </c>
      <c r="K2292" s="41">
        <v>18</v>
      </c>
      <c r="L2292" s="41">
        <v>46</v>
      </c>
      <c r="M2292" s="41">
        <v>10</v>
      </c>
      <c r="N2292" s="41">
        <v>20</v>
      </c>
      <c r="O2292" s="41">
        <v>5</v>
      </c>
      <c r="P2292" s="4239">
        <f t="shared" si="186"/>
        <v>4.8683081662916055E-5</v>
      </c>
      <c r="Q2292" s="4239">
        <f t="shared" si="186"/>
        <v>4.8683081662916055E-5</v>
      </c>
      <c r="R2292" s="41">
        <v>8</v>
      </c>
      <c r="S2292" s="41"/>
    </row>
    <row r="2293" spans="1:26" s="453" customFormat="1" x14ac:dyDescent="0.2">
      <c r="A2293" s="411" t="s">
        <v>2159</v>
      </c>
      <c r="B2293" s="41">
        <v>62</v>
      </c>
      <c r="C2293" s="41">
        <v>55</v>
      </c>
      <c r="D2293" s="41">
        <v>67</v>
      </c>
      <c r="E2293" s="41">
        <v>67</v>
      </c>
      <c r="F2293" s="41">
        <v>5</v>
      </c>
      <c r="G2293" s="41">
        <v>5</v>
      </c>
      <c r="H2293" s="41">
        <v>1</v>
      </c>
      <c r="I2293" s="41">
        <v>1</v>
      </c>
      <c r="J2293" s="41">
        <v>5</v>
      </c>
      <c r="K2293" s="41">
        <v>18</v>
      </c>
      <c r="L2293" s="41">
        <v>46</v>
      </c>
      <c r="M2293" s="41">
        <v>10</v>
      </c>
      <c r="N2293" s="41">
        <v>20</v>
      </c>
      <c r="O2293" s="41">
        <v>5</v>
      </c>
      <c r="P2293" s="4239">
        <f t="shared" si="186"/>
        <v>4.8683081662916055E-5</v>
      </c>
      <c r="Q2293" s="4239">
        <f t="shared" si="186"/>
        <v>4.8683081662916055E-5</v>
      </c>
      <c r="R2293" s="41">
        <v>8</v>
      </c>
      <c r="S2293" s="41"/>
    </row>
    <row r="2294" spans="1:26" s="453" customFormat="1" x14ac:dyDescent="0.2">
      <c r="A2294" s="411" t="s">
        <v>2160</v>
      </c>
      <c r="B2294" s="1637">
        <v>74</v>
      </c>
      <c r="C2294" s="1637">
        <v>47</v>
      </c>
      <c r="D2294" s="1637">
        <v>85</v>
      </c>
      <c r="E2294" s="42">
        <v>85</v>
      </c>
      <c r="F2294" s="41">
        <v>5</v>
      </c>
      <c r="G2294" s="41">
        <v>5</v>
      </c>
      <c r="H2294" s="41">
        <v>1</v>
      </c>
      <c r="I2294" s="41">
        <v>1</v>
      </c>
      <c r="J2294" s="41">
        <v>5</v>
      </c>
      <c r="K2294" s="41">
        <v>18</v>
      </c>
      <c r="L2294" s="41">
        <v>46</v>
      </c>
      <c r="M2294" s="41">
        <v>10</v>
      </c>
      <c r="N2294" s="41">
        <v>20</v>
      </c>
      <c r="O2294" s="41">
        <v>5</v>
      </c>
      <c r="P2294" s="4239">
        <f t="shared" si="186"/>
        <v>4.8683081662916055E-5</v>
      </c>
      <c r="Q2294" s="4239">
        <f t="shared" si="186"/>
        <v>4.8683081662916055E-5</v>
      </c>
      <c r="R2294" s="41">
        <v>8</v>
      </c>
      <c r="S2294" s="41"/>
    </row>
    <row r="2295" spans="1:26" s="535" customFormat="1" x14ac:dyDescent="0.2">
      <c r="A2295" s="1073" t="s">
        <v>2076</v>
      </c>
      <c r="B2295" s="292"/>
      <c r="C2295" s="292"/>
      <c r="D2295" s="292"/>
      <c r="E2295" s="421"/>
      <c r="F2295" s="421"/>
      <c r="G2295" s="421"/>
      <c r="H2295" s="421"/>
      <c r="I2295" s="421"/>
      <c r="J2295" s="421"/>
      <c r="K2295" s="421"/>
      <c r="L2295" s="421"/>
      <c r="M2295" s="421"/>
      <c r="N2295" s="421"/>
      <c r="O2295" s="292"/>
    </row>
    <row r="2296" spans="1:26" s="292" customFormat="1" x14ac:dyDescent="0.2"/>
    <row r="2298" spans="1:26" s="125" customFormat="1" x14ac:dyDescent="0.2">
      <c r="A2298" s="377" t="s">
        <v>2149</v>
      </c>
      <c r="D2298" s="1075"/>
      <c r="E2298" s="1075"/>
      <c r="F2298" s="1075"/>
      <c r="G2298" s="1075"/>
      <c r="H2298" s="1075"/>
      <c r="I2298" s="1075"/>
    </row>
    <row r="2299" spans="1:26" s="773" customFormat="1" ht="16.25" customHeight="1" x14ac:dyDescent="0.2">
      <c r="A2299" s="753" t="s">
        <v>65</v>
      </c>
      <c r="B2299" s="442" t="s">
        <v>2150</v>
      </c>
      <c r="C2299" s="442" t="s">
        <v>2150</v>
      </c>
      <c r="D2299" s="442" t="s">
        <v>2150</v>
      </c>
      <c r="E2299" s="442" t="s">
        <v>2151</v>
      </c>
      <c r="F2299" s="442" t="s">
        <v>2151</v>
      </c>
      <c r="G2299" s="442" t="s">
        <v>2151</v>
      </c>
      <c r="H2299" s="442" t="s">
        <v>2151</v>
      </c>
      <c r="I2299" s="442" t="s">
        <v>2151</v>
      </c>
      <c r="J2299" s="442" t="s">
        <v>2151</v>
      </c>
      <c r="K2299" s="442" t="s">
        <v>2151</v>
      </c>
      <c r="L2299" s="442" t="s">
        <v>2151</v>
      </c>
      <c r="M2299" s="442" t="s">
        <v>2151</v>
      </c>
      <c r="N2299" s="442" t="s">
        <v>2151</v>
      </c>
      <c r="O2299" s="442" t="s">
        <v>2151</v>
      </c>
      <c r="P2299" s="442" t="s">
        <v>2152</v>
      </c>
      <c r="Q2299" s="442" t="s">
        <v>2152</v>
      </c>
      <c r="R2299" s="532"/>
      <c r="S2299" s="442"/>
      <c r="T2299" s="442"/>
      <c r="U2299" s="442"/>
      <c r="V2299" s="442"/>
      <c r="W2299" s="442"/>
    </row>
    <row r="2300" spans="1:26" s="291" customFormat="1" ht="16" x14ac:dyDescent="0.2">
      <c r="A2300" s="526" t="s">
        <v>2153</v>
      </c>
      <c r="B2300" s="1633" t="s">
        <v>5278</v>
      </c>
      <c r="C2300" s="1633" t="s">
        <v>5279</v>
      </c>
      <c r="D2300" s="1633" t="s">
        <v>5280</v>
      </c>
      <c r="E2300" s="1633" t="s">
        <v>5281</v>
      </c>
      <c r="F2300" s="291" t="s">
        <v>5282</v>
      </c>
      <c r="G2300" s="1633" t="s">
        <v>2161</v>
      </c>
      <c r="H2300" s="291" t="s">
        <v>5283</v>
      </c>
      <c r="I2300" s="1633" t="s">
        <v>5284</v>
      </c>
      <c r="J2300" s="1633" t="s">
        <v>904</v>
      </c>
      <c r="K2300" s="1633" t="s">
        <v>908</v>
      </c>
      <c r="L2300" s="1633" t="s">
        <v>912</v>
      </c>
      <c r="M2300" s="1633" t="s">
        <v>915</v>
      </c>
      <c r="N2300" s="1633" t="s">
        <v>918</v>
      </c>
      <c r="O2300" s="1633" t="s">
        <v>921</v>
      </c>
      <c r="P2300" s="1633" t="s">
        <v>923</v>
      </c>
      <c r="Q2300" s="1633" t="s">
        <v>927</v>
      </c>
      <c r="R2300" s="1633" t="s">
        <v>930</v>
      </c>
      <c r="S2300" s="1633" t="s">
        <v>2162</v>
      </c>
      <c r="T2300" s="453"/>
      <c r="U2300" s="453"/>
      <c r="V2300" s="453"/>
      <c r="W2300" s="453"/>
      <c r="X2300" s="453"/>
      <c r="Y2300" s="21"/>
      <c r="Z2300" s="21"/>
    </row>
    <row r="2301" spans="1:26" s="1093" customFormat="1" ht="16" x14ac:dyDescent="0.2">
      <c r="A2301" s="1630" t="s">
        <v>57</v>
      </c>
      <c r="B2301" s="31" t="s">
        <v>2154</v>
      </c>
      <c r="C2301" s="31" t="s">
        <v>2154</v>
      </c>
      <c r="D2301" s="31" t="s">
        <v>2154</v>
      </c>
      <c r="E2301" s="31" t="s">
        <v>2154</v>
      </c>
      <c r="F2301" s="31" t="s">
        <v>2154</v>
      </c>
      <c r="G2301" s="31" t="s">
        <v>2154</v>
      </c>
      <c r="H2301" s="31" t="s">
        <v>2154</v>
      </c>
      <c r="I2301" s="31" t="s">
        <v>2154</v>
      </c>
      <c r="J2301" s="31" t="s">
        <v>2154</v>
      </c>
      <c r="K2301" s="31" t="s">
        <v>2154</v>
      </c>
      <c r="L2301" s="31" t="s">
        <v>2154</v>
      </c>
      <c r="M2301" s="31" t="s">
        <v>2154</v>
      </c>
      <c r="N2301" s="31" t="s">
        <v>2154</v>
      </c>
      <c r="O2301" s="31" t="s">
        <v>2154</v>
      </c>
      <c r="P2301" s="31" t="s">
        <v>2154</v>
      </c>
      <c r="Q2301" s="31" t="s">
        <v>2154</v>
      </c>
      <c r="R2301" s="31" t="s">
        <v>2154</v>
      </c>
      <c r="S2301" s="31" t="s">
        <v>2154</v>
      </c>
      <c r="T2301" s="1092"/>
      <c r="U2301" s="1092"/>
      <c r="V2301" s="1092"/>
      <c r="W2301" s="1092"/>
      <c r="X2301" s="1092"/>
    </row>
    <row r="2302" spans="1:26" s="21" customFormat="1" x14ac:dyDescent="0.2">
      <c r="A2302" s="407" t="s">
        <v>2155</v>
      </c>
      <c r="B2302" s="470">
        <v>76</v>
      </c>
      <c r="C2302" s="470">
        <v>52</v>
      </c>
      <c r="D2302" s="470">
        <v>81</v>
      </c>
      <c r="E2302" s="470">
        <v>81</v>
      </c>
      <c r="F2302" s="44">
        <v>5</v>
      </c>
      <c r="G2302" s="44">
        <v>5</v>
      </c>
      <c r="H2302" s="44">
        <v>1</v>
      </c>
      <c r="I2302" s="44">
        <v>1</v>
      </c>
      <c r="J2302" s="44">
        <v>5</v>
      </c>
      <c r="K2302" s="44">
        <v>18</v>
      </c>
      <c r="L2302" s="44">
        <v>46</v>
      </c>
      <c r="M2302" s="44">
        <v>10</v>
      </c>
      <c r="N2302" s="44">
        <v>20</v>
      </c>
      <c r="O2302" s="44">
        <v>5</v>
      </c>
      <c r="P2302" s="4239">
        <f t="shared" ref="P2302:Q2311" si="187">(3.034*10^6+14.727*10^6)/(191202000+173627000)/1000</f>
        <v>4.8683081662916055E-5</v>
      </c>
      <c r="Q2302" s="4239">
        <f t="shared" si="187"/>
        <v>4.8683081662916055E-5</v>
      </c>
      <c r="R2302" s="41">
        <v>8</v>
      </c>
      <c r="S2302" s="41"/>
      <c r="T2302" s="453"/>
      <c r="U2302" s="453"/>
      <c r="V2302" s="453"/>
      <c r="W2302" s="453"/>
      <c r="X2302" s="453"/>
    </row>
    <row r="2303" spans="1:26" s="21" customFormat="1" x14ac:dyDescent="0.2">
      <c r="A2303" s="411" t="s">
        <v>2156</v>
      </c>
      <c r="B2303" s="467">
        <v>78</v>
      </c>
      <c r="C2303" s="467">
        <v>54</v>
      </c>
      <c r="D2303" s="467">
        <v>76</v>
      </c>
      <c r="E2303" s="467">
        <v>76</v>
      </c>
      <c r="F2303" s="41">
        <v>5</v>
      </c>
      <c r="G2303" s="41">
        <v>5</v>
      </c>
      <c r="H2303" s="41">
        <v>1</v>
      </c>
      <c r="I2303" s="41">
        <v>1</v>
      </c>
      <c r="J2303" s="41">
        <v>5</v>
      </c>
      <c r="K2303" s="41">
        <v>18</v>
      </c>
      <c r="L2303" s="41">
        <v>46</v>
      </c>
      <c r="M2303" s="41">
        <v>10</v>
      </c>
      <c r="N2303" s="41">
        <v>20</v>
      </c>
      <c r="O2303" s="41">
        <v>5</v>
      </c>
      <c r="P2303" s="4239">
        <f t="shared" si="187"/>
        <v>4.8683081662916055E-5</v>
      </c>
      <c r="Q2303" s="4239">
        <f t="shared" si="187"/>
        <v>4.8683081662916055E-5</v>
      </c>
      <c r="R2303" s="41">
        <v>8</v>
      </c>
      <c r="S2303" s="41"/>
      <c r="T2303" s="453"/>
      <c r="U2303" s="453"/>
      <c r="V2303" s="453"/>
      <c r="W2303" s="453"/>
      <c r="X2303" s="453"/>
    </row>
    <row r="2304" spans="1:26" s="21" customFormat="1" x14ac:dyDescent="0.2">
      <c r="A2304" s="411" t="s">
        <v>1343</v>
      </c>
      <c r="B2304" s="467">
        <v>138</v>
      </c>
      <c r="C2304" s="467">
        <v>64</v>
      </c>
      <c r="D2304" s="467">
        <v>0</v>
      </c>
      <c r="E2304" s="467">
        <v>0</v>
      </c>
      <c r="F2304" s="41">
        <v>5</v>
      </c>
      <c r="G2304" s="41">
        <v>5</v>
      </c>
      <c r="H2304" s="41">
        <v>1</v>
      </c>
      <c r="I2304" s="41">
        <v>1</v>
      </c>
      <c r="J2304" s="41">
        <v>5</v>
      </c>
      <c r="K2304" s="41">
        <v>18</v>
      </c>
      <c r="L2304" s="41">
        <v>46</v>
      </c>
      <c r="M2304" s="41">
        <v>10</v>
      </c>
      <c r="N2304" s="41">
        <v>20</v>
      </c>
      <c r="O2304" s="41">
        <v>5</v>
      </c>
      <c r="P2304" s="4239">
        <f t="shared" si="187"/>
        <v>4.8683081662916055E-5</v>
      </c>
      <c r="Q2304" s="4239">
        <f t="shared" si="187"/>
        <v>4.8683081662916055E-5</v>
      </c>
      <c r="R2304" s="41">
        <v>8</v>
      </c>
      <c r="S2304" s="41"/>
      <c r="T2304" s="453"/>
      <c r="U2304" s="453"/>
      <c r="V2304" s="453"/>
      <c r="W2304" s="453"/>
      <c r="X2304" s="453"/>
    </row>
    <row r="2305" spans="1:27" s="21" customFormat="1" x14ac:dyDescent="0.2">
      <c r="A2305" s="411" t="s">
        <v>2157</v>
      </c>
      <c r="B2305" s="41">
        <v>87</v>
      </c>
      <c r="C2305" s="41">
        <v>56</v>
      </c>
      <c r="D2305" s="41">
        <v>68</v>
      </c>
      <c r="E2305" s="41">
        <v>68</v>
      </c>
      <c r="F2305" s="41">
        <v>5</v>
      </c>
      <c r="G2305" s="41">
        <v>5</v>
      </c>
      <c r="H2305" s="41">
        <v>1</v>
      </c>
      <c r="I2305" s="41">
        <v>1</v>
      </c>
      <c r="J2305" s="41">
        <v>5</v>
      </c>
      <c r="K2305" s="41">
        <v>18</v>
      </c>
      <c r="L2305" s="41">
        <v>46</v>
      </c>
      <c r="M2305" s="41">
        <v>10</v>
      </c>
      <c r="N2305" s="41">
        <v>20</v>
      </c>
      <c r="O2305" s="41">
        <v>5</v>
      </c>
      <c r="P2305" s="4239">
        <f t="shared" si="187"/>
        <v>4.8683081662916055E-5</v>
      </c>
      <c r="Q2305" s="4239">
        <f t="shared" si="187"/>
        <v>4.8683081662916055E-5</v>
      </c>
      <c r="R2305" s="41">
        <v>8</v>
      </c>
      <c r="S2305" s="41"/>
      <c r="T2305" s="453"/>
      <c r="U2305" s="453"/>
      <c r="V2305" s="453"/>
      <c r="W2305" s="453"/>
      <c r="X2305" s="453"/>
    </row>
    <row r="2306" spans="1:27" s="21" customFormat="1" x14ac:dyDescent="0.2">
      <c r="A2306" s="411" t="s">
        <v>1351</v>
      </c>
      <c r="B2306" s="467">
        <v>126</v>
      </c>
      <c r="C2306" s="467">
        <v>52</v>
      </c>
      <c r="D2306" s="467">
        <v>78</v>
      </c>
      <c r="E2306" s="467">
        <v>78</v>
      </c>
      <c r="F2306" s="41">
        <v>5</v>
      </c>
      <c r="G2306" s="41">
        <v>5</v>
      </c>
      <c r="H2306" s="41">
        <v>1</v>
      </c>
      <c r="I2306" s="41">
        <v>1</v>
      </c>
      <c r="J2306" s="41">
        <v>5</v>
      </c>
      <c r="K2306" s="41">
        <v>18</v>
      </c>
      <c r="L2306" s="41">
        <v>46</v>
      </c>
      <c r="M2306" s="41">
        <v>10</v>
      </c>
      <c r="N2306" s="41">
        <v>20</v>
      </c>
      <c r="O2306" s="41">
        <v>5</v>
      </c>
      <c r="P2306" s="4239">
        <f t="shared" si="187"/>
        <v>4.8683081662916055E-5</v>
      </c>
      <c r="Q2306" s="4239">
        <f t="shared" si="187"/>
        <v>4.8683081662916055E-5</v>
      </c>
      <c r="R2306" s="41">
        <v>8</v>
      </c>
      <c r="S2306" s="41"/>
      <c r="T2306" s="453"/>
      <c r="U2306" s="453"/>
      <c r="V2306" s="453"/>
      <c r="W2306" s="453"/>
      <c r="X2306" s="453"/>
    </row>
    <row r="2307" spans="1:27" s="21" customFormat="1" x14ac:dyDescent="0.2">
      <c r="A2307" s="411" t="s">
        <v>1337</v>
      </c>
      <c r="B2307" s="41">
        <v>93</v>
      </c>
      <c r="C2307" s="41">
        <v>58</v>
      </c>
      <c r="D2307" s="41">
        <v>68</v>
      </c>
      <c r="E2307" s="41">
        <v>68</v>
      </c>
      <c r="F2307" s="41">
        <v>5</v>
      </c>
      <c r="G2307" s="41">
        <v>5</v>
      </c>
      <c r="H2307" s="41">
        <v>1</v>
      </c>
      <c r="I2307" s="41">
        <v>1</v>
      </c>
      <c r="J2307" s="41">
        <v>5</v>
      </c>
      <c r="K2307" s="41">
        <v>18</v>
      </c>
      <c r="L2307" s="41">
        <v>46</v>
      </c>
      <c r="M2307" s="41">
        <v>10</v>
      </c>
      <c r="N2307" s="41">
        <v>20</v>
      </c>
      <c r="O2307" s="41">
        <v>5</v>
      </c>
      <c r="P2307" s="4239">
        <f t="shared" si="187"/>
        <v>4.8683081662916055E-5</v>
      </c>
      <c r="Q2307" s="4239">
        <f t="shared" si="187"/>
        <v>4.8683081662916055E-5</v>
      </c>
      <c r="R2307" s="41">
        <v>8</v>
      </c>
      <c r="S2307" s="41"/>
      <c r="T2307" s="453"/>
      <c r="U2307" s="453"/>
      <c r="V2307" s="453"/>
      <c r="W2307" s="453"/>
      <c r="X2307" s="453"/>
    </row>
    <row r="2308" spans="1:27" s="21" customFormat="1" x14ac:dyDescent="0.2">
      <c r="A2308" s="411" t="s">
        <v>2158</v>
      </c>
      <c r="B2308" s="41">
        <v>93</v>
      </c>
      <c r="C2308" s="41">
        <v>58</v>
      </c>
      <c r="D2308" s="41">
        <v>68</v>
      </c>
      <c r="E2308" s="41">
        <v>68</v>
      </c>
      <c r="F2308" s="41">
        <v>5</v>
      </c>
      <c r="G2308" s="41">
        <v>5</v>
      </c>
      <c r="H2308" s="41">
        <v>1</v>
      </c>
      <c r="I2308" s="41">
        <v>1</v>
      </c>
      <c r="J2308" s="41">
        <v>5</v>
      </c>
      <c r="K2308" s="41">
        <v>18</v>
      </c>
      <c r="L2308" s="41">
        <v>46</v>
      </c>
      <c r="M2308" s="41">
        <v>10</v>
      </c>
      <c r="N2308" s="41">
        <v>20</v>
      </c>
      <c r="O2308" s="41">
        <v>5</v>
      </c>
      <c r="P2308" s="4239">
        <f t="shared" si="187"/>
        <v>4.8683081662916055E-5</v>
      </c>
      <c r="Q2308" s="4239">
        <f t="shared" si="187"/>
        <v>4.8683081662916055E-5</v>
      </c>
      <c r="R2308" s="41">
        <v>8</v>
      </c>
      <c r="S2308" s="41"/>
      <c r="T2308" s="453"/>
      <c r="U2308" s="453"/>
      <c r="V2308" s="453"/>
      <c r="W2308" s="453"/>
      <c r="X2308" s="453"/>
    </row>
    <row r="2309" spans="1:27" s="21" customFormat="1" x14ac:dyDescent="0.2">
      <c r="A2309" s="411" t="s">
        <v>1346</v>
      </c>
      <c r="B2309" s="41">
        <v>93</v>
      </c>
      <c r="C2309" s="41">
        <v>63</v>
      </c>
      <c r="D2309" s="41">
        <v>0</v>
      </c>
      <c r="E2309" s="41">
        <v>0</v>
      </c>
      <c r="F2309" s="41">
        <v>5</v>
      </c>
      <c r="G2309" s="41">
        <v>5</v>
      </c>
      <c r="H2309" s="41">
        <v>1</v>
      </c>
      <c r="I2309" s="41">
        <v>1</v>
      </c>
      <c r="J2309" s="41">
        <v>5</v>
      </c>
      <c r="K2309" s="41">
        <v>18</v>
      </c>
      <c r="L2309" s="41">
        <v>46</v>
      </c>
      <c r="M2309" s="41">
        <v>10</v>
      </c>
      <c r="N2309" s="41">
        <v>20</v>
      </c>
      <c r="O2309" s="41">
        <v>5</v>
      </c>
      <c r="P2309" s="4239">
        <f t="shared" si="187"/>
        <v>4.8683081662916055E-5</v>
      </c>
      <c r="Q2309" s="4239">
        <f t="shared" si="187"/>
        <v>4.8683081662916055E-5</v>
      </c>
      <c r="R2309" s="41">
        <v>8</v>
      </c>
      <c r="S2309" s="41"/>
    </row>
    <row r="2310" spans="1:27" s="453" customFormat="1" x14ac:dyDescent="0.2">
      <c r="A2310" s="411" t="s">
        <v>2159</v>
      </c>
      <c r="B2310" s="41">
        <v>76</v>
      </c>
      <c r="C2310" s="41">
        <v>60</v>
      </c>
      <c r="D2310" s="41">
        <v>67</v>
      </c>
      <c r="E2310" s="41">
        <v>67</v>
      </c>
      <c r="F2310" s="41">
        <v>5</v>
      </c>
      <c r="G2310" s="41">
        <v>5</v>
      </c>
      <c r="H2310" s="41">
        <v>1</v>
      </c>
      <c r="I2310" s="41">
        <v>1</v>
      </c>
      <c r="J2310" s="41">
        <v>5</v>
      </c>
      <c r="K2310" s="41">
        <v>18</v>
      </c>
      <c r="L2310" s="41">
        <v>46</v>
      </c>
      <c r="M2310" s="41">
        <v>10</v>
      </c>
      <c r="N2310" s="41">
        <v>20</v>
      </c>
      <c r="O2310" s="41">
        <v>5</v>
      </c>
      <c r="P2310" s="4239">
        <f t="shared" si="187"/>
        <v>4.8683081662916055E-5</v>
      </c>
      <c r="Q2310" s="4239">
        <f t="shared" si="187"/>
        <v>4.8683081662916055E-5</v>
      </c>
      <c r="R2310" s="41">
        <v>8</v>
      </c>
      <c r="S2310" s="41"/>
    </row>
    <row r="2311" spans="1:27" s="453" customFormat="1" x14ac:dyDescent="0.2">
      <c r="A2311" s="411" t="s">
        <v>2160</v>
      </c>
      <c r="B2311" s="42">
        <v>73</v>
      </c>
      <c r="C2311" s="42">
        <v>46</v>
      </c>
      <c r="D2311" s="42">
        <v>85</v>
      </c>
      <c r="E2311" s="42">
        <v>85</v>
      </c>
      <c r="F2311" s="42">
        <v>5</v>
      </c>
      <c r="G2311" s="42">
        <v>5</v>
      </c>
      <c r="H2311" s="42">
        <v>1</v>
      </c>
      <c r="I2311" s="42">
        <v>1</v>
      </c>
      <c r="J2311" s="42">
        <v>5</v>
      </c>
      <c r="K2311" s="42">
        <v>18</v>
      </c>
      <c r="L2311" s="42">
        <v>46</v>
      </c>
      <c r="M2311" s="42">
        <v>10</v>
      </c>
      <c r="N2311" s="42">
        <v>20</v>
      </c>
      <c r="O2311" s="42">
        <v>5</v>
      </c>
      <c r="P2311" s="4239">
        <f t="shared" si="187"/>
        <v>4.8683081662916055E-5</v>
      </c>
      <c r="Q2311" s="4239">
        <f t="shared" si="187"/>
        <v>4.8683081662916055E-5</v>
      </c>
      <c r="R2311" s="41">
        <v>8</v>
      </c>
      <c r="S2311" s="41"/>
    </row>
    <row r="2312" spans="1:27" s="535" customFormat="1" x14ac:dyDescent="0.2">
      <c r="A2312" s="1073" t="s">
        <v>2163</v>
      </c>
      <c r="B2312" s="292"/>
      <c r="C2312" s="292"/>
      <c r="D2312" s="292"/>
      <c r="E2312" s="421"/>
      <c r="F2312" s="421"/>
      <c r="G2312" s="421"/>
      <c r="H2312" s="421"/>
      <c r="I2312" s="421"/>
      <c r="J2312" s="421"/>
      <c r="K2312" s="421"/>
      <c r="L2312" s="421"/>
      <c r="M2312" s="421"/>
      <c r="N2312" s="421"/>
      <c r="O2312" s="292"/>
    </row>
    <row r="2313" spans="1:27" s="292" customFormat="1" x14ac:dyDescent="0.2"/>
    <row r="2315" spans="1:27" s="125" customFormat="1" x14ac:dyDescent="0.2">
      <c r="A2315" s="377" t="s">
        <v>934</v>
      </c>
      <c r="D2315" s="1075"/>
      <c r="E2315" s="1075"/>
      <c r="F2315" s="1075"/>
      <c r="G2315" s="1075"/>
      <c r="H2315" s="1075"/>
      <c r="I2315" s="1075"/>
      <c r="J2315" s="1075"/>
    </row>
    <row r="2316" spans="1:27" s="773" customFormat="1" ht="16.25" customHeight="1" x14ac:dyDescent="0.2">
      <c r="A2316" s="753" t="s">
        <v>5285</v>
      </c>
      <c r="B2316" s="442" t="s">
        <v>2164</v>
      </c>
      <c r="C2316" s="442" t="s">
        <v>2164</v>
      </c>
      <c r="D2316" s="442" t="s">
        <v>2164</v>
      </c>
      <c r="E2316" s="442" t="s">
        <v>2164</v>
      </c>
      <c r="F2316" s="442" t="s">
        <v>2164</v>
      </c>
      <c r="G2316" s="442" t="s">
        <v>2164</v>
      </c>
      <c r="H2316" s="442" t="s">
        <v>2164</v>
      </c>
      <c r="I2316" s="442" t="s">
        <v>2164</v>
      </c>
      <c r="J2316" s="442" t="s">
        <v>2164</v>
      </c>
      <c r="K2316" s="442" t="s">
        <v>2164</v>
      </c>
      <c r="L2316" s="442" t="s">
        <v>2164</v>
      </c>
      <c r="M2316" s="442" t="s">
        <v>2164</v>
      </c>
      <c r="N2316" s="442" t="s">
        <v>2151</v>
      </c>
      <c r="O2316" s="442" t="s">
        <v>2164</v>
      </c>
      <c r="P2316" s="442" t="s">
        <v>2164</v>
      </c>
      <c r="Q2316" s="442" t="s">
        <v>2164</v>
      </c>
      <c r="R2316" s="442" t="s">
        <v>2151</v>
      </c>
      <c r="S2316" s="442"/>
      <c r="T2316" s="442"/>
      <c r="U2316" s="442"/>
      <c r="V2316" s="442"/>
      <c r="W2316" s="442"/>
      <c r="X2316" s="442"/>
    </row>
    <row r="2317" spans="1:27" s="291" customFormat="1" ht="16" x14ac:dyDescent="0.2">
      <c r="A2317" s="1632" t="s">
        <v>57</v>
      </c>
      <c r="B2317" s="1633" t="s">
        <v>5278</v>
      </c>
      <c r="C2317" s="1633" t="s">
        <v>5279</v>
      </c>
      <c r="D2317" s="1633" t="s">
        <v>5280</v>
      </c>
      <c r="E2317" s="1633" t="s">
        <v>5281</v>
      </c>
      <c r="F2317" s="419" t="s">
        <v>5282</v>
      </c>
      <c r="G2317" s="1633" t="s">
        <v>2161</v>
      </c>
      <c r="H2317" s="291" t="s">
        <v>5283</v>
      </c>
      <c r="I2317" s="1633" t="s">
        <v>5284</v>
      </c>
      <c r="J2317" s="1633" t="s">
        <v>904</v>
      </c>
      <c r="K2317" s="1633" t="s">
        <v>908</v>
      </c>
      <c r="L2317" s="1633" t="s">
        <v>912</v>
      </c>
      <c r="M2317" s="1633" t="s">
        <v>915</v>
      </c>
      <c r="N2317" s="1633" t="s">
        <v>918</v>
      </c>
      <c r="O2317" s="1633" t="s">
        <v>921</v>
      </c>
      <c r="P2317" s="1633" t="s">
        <v>923</v>
      </c>
      <c r="Q2317" s="1633" t="s">
        <v>927</v>
      </c>
      <c r="R2317" s="1633" t="s">
        <v>930</v>
      </c>
      <c r="S2317" s="1634" t="s">
        <v>2162</v>
      </c>
      <c r="T2317" s="453"/>
      <c r="U2317" s="453"/>
      <c r="V2317" s="453"/>
      <c r="W2317" s="453"/>
      <c r="X2317" s="453"/>
      <c r="Y2317" s="453"/>
      <c r="Z2317" s="21"/>
      <c r="AA2317" s="21"/>
    </row>
    <row r="2318" spans="1:27" s="1093" customFormat="1" ht="16" x14ac:dyDescent="0.2">
      <c r="A2318" s="533" t="s">
        <v>2153</v>
      </c>
      <c r="B2318" s="31" t="s">
        <v>196</v>
      </c>
      <c r="C2318" s="31" t="s">
        <v>196</v>
      </c>
      <c r="D2318" s="31" t="s">
        <v>196</v>
      </c>
      <c r="E2318" s="31" t="s">
        <v>196</v>
      </c>
      <c r="F2318" s="31" t="s">
        <v>196</v>
      </c>
      <c r="G2318" s="31" t="s">
        <v>196</v>
      </c>
      <c r="H2318" s="31" t="s">
        <v>196</v>
      </c>
      <c r="I2318" s="31" t="s">
        <v>196</v>
      </c>
      <c r="J2318" s="31" t="s">
        <v>196</v>
      </c>
      <c r="K2318" s="31" t="s">
        <v>196</v>
      </c>
      <c r="L2318" s="31" t="s">
        <v>196</v>
      </c>
      <c r="M2318" s="31" t="s">
        <v>196</v>
      </c>
      <c r="N2318" s="31" t="s">
        <v>196</v>
      </c>
      <c r="O2318" s="31" t="s">
        <v>196</v>
      </c>
      <c r="P2318" s="31" t="s">
        <v>196</v>
      </c>
      <c r="Q2318" s="31" t="s">
        <v>196</v>
      </c>
      <c r="R2318" s="426" t="s">
        <v>196</v>
      </c>
      <c r="S2318" s="1631" t="s">
        <v>196</v>
      </c>
      <c r="T2318" s="1092"/>
      <c r="U2318" s="1092"/>
      <c r="V2318" s="1092"/>
      <c r="W2318" s="1092"/>
      <c r="X2318" s="1092"/>
      <c r="Y2318" s="1092"/>
    </row>
    <row r="2319" spans="1:27" s="21" customFormat="1" ht="19" x14ac:dyDescent="0.25">
      <c r="A2319" s="407" t="s">
        <v>2155</v>
      </c>
      <c r="B2319" s="1628">
        <v>250</v>
      </c>
      <c r="C2319" s="470">
        <v>302</v>
      </c>
      <c r="D2319" s="470">
        <v>339</v>
      </c>
      <c r="E2319" s="470">
        <v>339</v>
      </c>
      <c r="F2319" s="44">
        <v>31</v>
      </c>
      <c r="G2319" s="44">
        <v>31</v>
      </c>
      <c r="H2319" s="453">
        <v>54</v>
      </c>
      <c r="I2319" s="44">
        <v>200</v>
      </c>
      <c r="J2319" s="44">
        <v>24</v>
      </c>
      <c r="K2319" s="44">
        <v>238</v>
      </c>
      <c r="L2319" s="44">
        <v>217</v>
      </c>
      <c r="M2319" s="44">
        <v>130</v>
      </c>
      <c r="N2319" s="44">
        <v>120</v>
      </c>
      <c r="O2319" s="44">
        <v>120</v>
      </c>
      <c r="P2319" s="44">
        <v>1</v>
      </c>
      <c r="Q2319" s="44">
        <v>0.8</v>
      </c>
      <c r="R2319" s="41">
        <v>65</v>
      </c>
      <c r="S2319" s="418"/>
      <c r="T2319" s="453"/>
      <c r="U2319" s="453"/>
      <c r="V2319" s="453"/>
      <c r="W2319" s="453"/>
      <c r="X2319" s="453"/>
      <c r="Y2319" s="453"/>
    </row>
    <row r="2320" spans="1:27" s="21" customFormat="1" x14ac:dyDescent="0.2">
      <c r="A2320" s="411" t="s">
        <v>2156</v>
      </c>
      <c r="B2320" s="467">
        <v>485</v>
      </c>
      <c r="C2320" s="467">
        <v>310</v>
      </c>
      <c r="D2320" s="467">
        <v>336</v>
      </c>
      <c r="E2320" s="467">
        <v>336</v>
      </c>
      <c r="F2320" s="41">
        <v>31</v>
      </c>
      <c r="G2320" s="41">
        <v>31</v>
      </c>
      <c r="H2320" s="453">
        <v>56</v>
      </c>
      <c r="I2320" s="41">
        <v>160</v>
      </c>
      <c r="J2320" s="41">
        <v>24</v>
      </c>
      <c r="K2320" s="41">
        <v>238</v>
      </c>
      <c r="L2320" s="41">
        <v>217</v>
      </c>
      <c r="M2320" s="41">
        <v>130</v>
      </c>
      <c r="N2320" s="41">
        <v>120</v>
      </c>
      <c r="O2320" s="41">
        <v>120</v>
      </c>
      <c r="P2320" s="41">
        <v>1.4</v>
      </c>
      <c r="Q2320" s="41">
        <v>1</v>
      </c>
      <c r="R2320" s="41">
        <v>65</v>
      </c>
      <c r="S2320" s="451"/>
      <c r="T2320" s="453"/>
      <c r="U2320" s="453"/>
      <c r="V2320" s="453"/>
      <c r="W2320" s="453"/>
      <c r="X2320" s="453"/>
      <c r="Y2320" s="453"/>
    </row>
    <row r="2321" spans="1:25" s="21" customFormat="1" x14ac:dyDescent="0.2">
      <c r="A2321" s="411" t="s">
        <v>1343</v>
      </c>
      <c r="B2321" s="467">
        <v>650</v>
      </c>
      <c r="C2321" s="467">
        <v>407</v>
      </c>
      <c r="D2321" s="467">
        <v>0</v>
      </c>
      <c r="E2321" s="467">
        <v>0</v>
      </c>
      <c r="F2321" s="41">
        <v>40</v>
      </c>
      <c r="G2321" s="41">
        <v>40</v>
      </c>
      <c r="H2321" s="453">
        <v>61</v>
      </c>
      <c r="I2321" s="41">
        <v>184</v>
      </c>
      <c r="J2321" s="41">
        <v>41</v>
      </c>
      <c r="K2321" s="41">
        <v>377</v>
      </c>
      <c r="L2321" s="41">
        <v>217</v>
      </c>
      <c r="M2321" s="41">
        <v>130</v>
      </c>
      <c r="N2321" s="41">
        <v>120</v>
      </c>
      <c r="O2321" s="41">
        <v>120</v>
      </c>
      <c r="P2321" s="41">
        <v>1.4</v>
      </c>
      <c r="Q2321" s="41">
        <v>1.4</v>
      </c>
      <c r="R2321" s="41">
        <v>65</v>
      </c>
      <c r="S2321" s="451"/>
      <c r="T2321" s="453"/>
      <c r="U2321" s="453"/>
      <c r="V2321" s="453"/>
      <c r="W2321" s="453"/>
      <c r="X2321" s="453"/>
      <c r="Y2321" s="453"/>
    </row>
    <row r="2322" spans="1:25" s="21" customFormat="1" x14ac:dyDescent="0.2">
      <c r="A2322" s="411" t="s">
        <v>2157</v>
      </c>
      <c r="B2322" s="41">
        <v>520</v>
      </c>
      <c r="C2322" s="41">
        <v>329</v>
      </c>
      <c r="D2322" s="41">
        <v>315</v>
      </c>
      <c r="E2322" s="41">
        <v>315</v>
      </c>
      <c r="F2322" s="41">
        <v>31</v>
      </c>
      <c r="G2322" s="41">
        <v>31</v>
      </c>
      <c r="H2322" s="453">
        <v>59</v>
      </c>
      <c r="I2322" s="41">
        <v>205</v>
      </c>
      <c r="J2322" s="41">
        <v>24</v>
      </c>
      <c r="K2322" s="41">
        <v>238</v>
      </c>
      <c r="L2322" s="41">
        <v>217</v>
      </c>
      <c r="M2322" s="41">
        <v>130</v>
      </c>
      <c r="N2322" s="41">
        <v>120</v>
      </c>
      <c r="O2322" s="41">
        <v>120</v>
      </c>
      <c r="P2322" s="41">
        <v>1.3</v>
      </c>
      <c r="Q2322" s="41">
        <v>1.2</v>
      </c>
      <c r="R2322" s="41">
        <v>65</v>
      </c>
      <c r="S2322" s="451"/>
      <c r="T2322" s="453"/>
      <c r="U2322" s="453"/>
      <c r="V2322" s="453"/>
      <c r="W2322" s="453"/>
      <c r="X2322" s="453"/>
      <c r="Y2322" s="453"/>
    </row>
    <row r="2323" spans="1:25" s="21" customFormat="1" x14ac:dyDescent="0.2">
      <c r="A2323" s="411" t="s">
        <v>1351</v>
      </c>
      <c r="B2323" s="467">
        <v>600</v>
      </c>
      <c r="C2323" s="467">
        <v>405</v>
      </c>
      <c r="D2323" s="467">
        <v>509</v>
      </c>
      <c r="E2323" s="467">
        <v>509</v>
      </c>
      <c r="F2323" s="41">
        <v>40</v>
      </c>
      <c r="G2323" s="41">
        <v>40</v>
      </c>
      <c r="H2323" s="453">
        <v>61</v>
      </c>
      <c r="I2323" s="41">
        <v>190</v>
      </c>
      <c r="J2323" s="41">
        <v>40</v>
      </c>
      <c r="K2323" s="41">
        <v>377</v>
      </c>
      <c r="L2323" s="41">
        <v>217</v>
      </c>
      <c r="M2323" s="41">
        <v>130</v>
      </c>
      <c r="N2323" s="41">
        <v>120</v>
      </c>
      <c r="O2323" s="41">
        <v>120</v>
      </c>
      <c r="P2323" s="41">
        <v>1.4</v>
      </c>
      <c r="Q2323" s="41">
        <v>1.2</v>
      </c>
      <c r="R2323" s="41">
        <v>65</v>
      </c>
      <c r="S2323" s="451"/>
      <c r="T2323" s="453"/>
      <c r="U2323" s="453"/>
      <c r="V2323" s="453"/>
      <c r="W2323" s="453"/>
      <c r="X2323" s="453"/>
      <c r="Y2323" s="453"/>
    </row>
    <row r="2324" spans="1:25" s="21" customFormat="1" x14ac:dyDescent="0.2">
      <c r="A2324" s="411" t="s">
        <v>1337</v>
      </c>
      <c r="B2324" s="41">
        <v>550</v>
      </c>
      <c r="C2324" s="41">
        <v>389</v>
      </c>
      <c r="D2324" s="41">
        <v>467</v>
      </c>
      <c r="E2324" s="41">
        <v>467</v>
      </c>
      <c r="F2324" s="41">
        <v>40</v>
      </c>
      <c r="G2324" s="41">
        <v>40</v>
      </c>
      <c r="H2324" s="453">
        <v>59</v>
      </c>
      <c r="I2324" s="41">
        <v>204</v>
      </c>
      <c r="J2324" s="41">
        <v>36</v>
      </c>
      <c r="K2324" s="41">
        <v>377</v>
      </c>
      <c r="L2324" s="41">
        <v>217</v>
      </c>
      <c r="M2324" s="41">
        <v>130</v>
      </c>
      <c r="N2324" s="41">
        <v>120</v>
      </c>
      <c r="O2324" s="41">
        <v>120</v>
      </c>
      <c r="P2324" s="41">
        <v>1.3</v>
      </c>
      <c r="Q2324" s="41">
        <v>1.1000000000000001</v>
      </c>
      <c r="R2324" s="41">
        <v>65</v>
      </c>
      <c r="S2324" s="451"/>
      <c r="T2324" s="453"/>
      <c r="U2324" s="453"/>
      <c r="V2324" s="453"/>
      <c r="W2324" s="453"/>
      <c r="X2324" s="453"/>
      <c r="Y2324" s="453"/>
    </row>
    <row r="2325" spans="1:25" s="21" customFormat="1" x14ac:dyDescent="0.2">
      <c r="A2325" s="411" t="s">
        <v>2158</v>
      </c>
      <c r="B2325" s="41">
        <v>550</v>
      </c>
      <c r="C2325" s="41">
        <v>389</v>
      </c>
      <c r="D2325" s="41">
        <v>467</v>
      </c>
      <c r="E2325" s="41">
        <v>467</v>
      </c>
      <c r="F2325" s="41">
        <v>40</v>
      </c>
      <c r="G2325" s="41">
        <v>40</v>
      </c>
      <c r="H2325" s="453">
        <v>59</v>
      </c>
      <c r="I2325" s="41">
        <v>204</v>
      </c>
      <c r="J2325" s="41">
        <v>36</v>
      </c>
      <c r="K2325" s="41">
        <v>377</v>
      </c>
      <c r="L2325" s="41">
        <v>217</v>
      </c>
      <c r="M2325" s="41">
        <v>130</v>
      </c>
      <c r="N2325" s="41">
        <v>120</v>
      </c>
      <c r="O2325" s="41">
        <v>120</v>
      </c>
      <c r="P2325" s="41">
        <v>1.3</v>
      </c>
      <c r="Q2325" s="41">
        <v>1.1000000000000001</v>
      </c>
      <c r="R2325" s="41">
        <v>65</v>
      </c>
      <c r="S2325" s="451"/>
      <c r="T2325" s="453"/>
      <c r="U2325" s="453"/>
      <c r="V2325" s="453"/>
      <c r="W2325" s="453"/>
      <c r="X2325" s="453"/>
      <c r="Y2325" s="453"/>
    </row>
    <row r="2326" spans="1:25" s="21" customFormat="1" x14ac:dyDescent="0.2">
      <c r="A2326" s="411" t="s">
        <v>1346</v>
      </c>
      <c r="B2326" s="41">
        <v>488</v>
      </c>
      <c r="C2326" s="41">
        <v>359</v>
      </c>
      <c r="D2326" s="41">
        <v>0</v>
      </c>
      <c r="E2326" s="41">
        <v>0</v>
      </c>
      <c r="F2326" s="41">
        <v>40</v>
      </c>
      <c r="G2326" s="41">
        <v>40</v>
      </c>
      <c r="H2326" s="453">
        <v>41</v>
      </c>
      <c r="I2326" s="41">
        <v>163</v>
      </c>
      <c r="J2326" s="41">
        <v>33</v>
      </c>
      <c r="K2326" s="41">
        <v>377</v>
      </c>
      <c r="L2326" s="41">
        <v>217</v>
      </c>
      <c r="M2326" s="41">
        <v>130</v>
      </c>
      <c r="N2326" s="41">
        <v>120</v>
      </c>
      <c r="O2326" s="41">
        <v>120</v>
      </c>
      <c r="P2326" s="41">
        <v>1.3</v>
      </c>
      <c r="Q2326" s="41">
        <v>1.2</v>
      </c>
      <c r="R2326" s="41">
        <v>65</v>
      </c>
      <c r="S2326" s="451"/>
    </row>
    <row r="2327" spans="1:25" s="453" customFormat="1" x14ac:dyDescent="0.2">
      <c r="A2327" s="411" t="s">
        <v>2159</v>
      </c>
      <c r="B2327" s="41">
        <v>510</v>
      </c>
      <c r="C2327" s="41">
        <v>362</v>
      </c>
      <c r="D2327" s="41">
        <v>381</v>
      </c>
      <c r="E2327" s="41">
        <v>381</v>
      </c>
      <c r="F2327" s="41">
        <v>31</v>
      </c>
      <c r="G2327" s="41">
        <v>31</v>
      </c>
      <c r="H2327" s="453">
        <v>60</v>
      </c>
      <c r="I2327" s="41">
        <v>157</v>
      </c>
      <c r="J2327" s="41">
        <v>24</v>
      </c>
      <c r="K2327" s="41">
        <v>238</v>
      </c>
      <c r="L2327" s="41">
        <v>217</v>
      </c>
      <c r="M2327" s="41">
        <v>130</v>
      </c>
      <c r="N2327" s="41">
        <v>120</v>
      </c>
      <c r="O2327" s="41">
        <v>120</v>
      </c>
      <c r="P2327" s="41">
        <v>1.2</v>
      </c>
      <c r="Q2327" s="41">
        <v>1</v>
      </c>
      <c r="R2327" s="41">
        <v>65</v>
      </c>
      <c r="S2327" s="451"/>
    </row>
    <row r="2328" spans="1:25" s="453" customFormat="1" ht="19" x14ac:dyDescent="0.25">
      <c r="A2328" s="411" t="s">
        <v>2160</v>
      </c>
      <c r="B2328" s="41">
        <v>350</v>
      </c>
      <c r="C2328" s="1638">
        <v>167</v>
      </c>
      <c r="D2328" s="41">
        <v>321</v>
      </c>
      <c r="E2328" s="41">
        <v>321</v>
      </c>
      <c r="F2328" s="42">
        <v>31</v>
      </c>
      <c r="G2328" s="42">
        <v>31</v>
      </c>
      <c r="H2328" s="453">
        <v>55</v>
      </c>
      <c r="I2328" s="42">
        <v>162</v>
      </c>
      <c r="J2328" s="42">
        <v>24</v>
      </c>
      <c r="K2328" s="42">
        <v>238</v>
      </c>
      <c r="L2328" s="42">
        <v>217</v>
      </c>
      <c r="M2328" s="42">
        <v>130</v>
      </c>
      <c r="N2328" s="42">
        <v>120</v>
      </c>
      <c r="O2328" s="42">
        <v>120</v>
      </c>
      <c r="P2328" s="42">
        <v>1.2</v>
      </c>
      <c r="Q2328" s="42">
        <v>1</v>
      </c>
      <c r="R2328" s="41">
        <v>65</v>
      </c>
      <c r="S2328" s="460"/>
    </row>
    <row r="2329" spans="1:25" s="535" customFormat="1" x14ac:dyDescent="0.2">
      <c r="A2329" s="518" t="s">
        <v>2076</v>
      </c>
      <c r="F2329" s="1624"/>
      <c r="G2329" s="1624"/>
      <c r="H2329" s="1624"/>
      <c r="I2329" s="1624"/>
      <c r="J2329" s="1624"/>
      <c r="K2329" s="1624"/>
      <c r="L2329" s="1624"/>
      <c r="M2329" s="1624"/>
      <c r="N2329" s="1624"/>
      <c r="O2329" s="1624"/>
    </row>
    <row r="2330" spans="1:25" s="292" customFormat="1" x14ac:dyDescent="0.2"/>
    <row r="2332" spans="1:25" s="125" customFormat="1" x14ac:dyDescent="0.2">
      <c r="A2332" s="377" t="s">
        <v>934</v>
      </c>
      <c r="D2332" s="1075"/>
      <c r="E2332" s="1075"/>
      <c r="F2332" s="1075"/>
      <c r="G2332" s="1075"/>
      <c r="H2332" s="1075"/>
      <c r="I2332" s="1075"/>
      <c r="J2332" s="1075"/>
    </row>
    <row r="2333" spans="1:25" s="773" customFormat="1" ht="16.25" customHeight="1" x14ac:dyDescent="0.2">
      <c r="A2333" s="753" t="s">
        <v>5286</v>
      </c>
      <c r="B2333" s="442" t="s">
        <v>2164</v>
      </c>
      <c r="C2333" s="442" t="s">
        <v>2164</v>
      </c>
      <c r="D2333" s="442" t="s">
        <v>2164</v>
      </c>
      <c r="E2333" s="442" t="s">
        <v>2164</v>
      </c>
      <c r="F2333" s="442" t="s">
        <v>2164</v>
      </c>
      <c r="G2333" s="442" t="s">
        <v>2164</v>
      </c>
      <c r="H2333" s="442" t="s">
        <v>2164</v>
      </c>
      <c r="I2333" s="442" t="s">
        <v>2164</v>
      </c>
      <c r="J2333" s="442" t="s">
        <v>2164</v>
      </c>
      <c r="K2333" s="442" t="s">
        <v>2164</v>
      </c>
      <c r="L2333" s="442" t="s">
        <v>2164</v>
      </c>
      <c r="M2333" s="442" t="s">
        <v>2164</v>
      </c>
      <c r="N2333" s="442" t="s">
        <v>2151</v>
      </c>
      <c r="O2333" s="442" t="s">
        <v>2164</v>
      </c>
      <c r="P2333" s="442" t="s">
        <v>2164</v>
      </c>
      <c r="Q2333" s="442" t="s">
        <v>2164</v>
      </c>
      <c r="R2333" s="442" t="s">
        <v>2151</v>
      </c>
      <c r="S2333" s="442"/>
      <c r="T2333" s="442"/>
      <c r="U2333" s="442"/>
      <c r="V2333" s="442"/>
      <c r="W2333" s="442"/>
    </row>
    <row r="2334" spans="1:25" s="291" customFormat="1" ht="16" x14ac:dyDescent="0.2">
      <c r="A2334" s="1632" t="s">
        <v>57</v>
      </c>
      <c r="B2334" s="1633" t="s">
        <v>5278</v>
      </c>
      <c r="C2334" s="1633" t="s">
        <v>5279</v>
      </c>
      <c r="D2334" s="1633" t="s">
        <v>5280</v>
      </c>
      <c r="E2334" s="1633" t="s">
        <v>5281</v>
      </c>
      <c r="F2334" s="419" t="s">
        <v>5282</v>
      </c>
      <c r="G2334" s="1633" t="s">
        <v>2161</v>
      </c>
      <c r="H2334" s="291" t="s">
        <v>5283</v>
      </c>
      <c r="I2334" s="1633" t="s">
        <v>5284</v>
      </c>
      <c r="J2334" s="1633" t="s">
        <v>904</v>
      </c>
      <c r="K2334" s="1633" t="s">
        <v>908</v>
      </c>
      <c r="L2334" s="1633" t="s">
        <v>912</v>
      </c>
      <c r="M2334" s="1633" t="s">
        <v>915</v>
      </c>
      <c r="N2334" s="1633" t="s">
        <v>918</v>
      </c>
      <c r="O2334" s="1633" t="s">
        <v>921</v>
      </c>
      <c r="P2334" s="1633" t="s">
        <v>923</v>
      </c>
      <c r="Q2334" s="1633" t="s">
        <v>927</v>
      </c>
      <c r="R2334" s="1633" t="s">
        <v>930</v>
      </c>
      <c r="S2334" s="1633" t="s">
        <v>2162</v>
      </c>
      <c r="T2334" s="453"/>
      <c r="U2334" s="453"/>
      <c r="V2334" s="453"/>
      <c r="W2334" s="453"/>
      <c r="X2334" s="21"/>
      <c r="Y2334" s="21"/>
    </row>
    <row r="2335" spans="1:25" s="1093" customFormat="1" ht="16" x14ac:dyDescent="0.2">
      <c r="A2335" s="533" t="s">
        <v>2153</v>
      </c>
      <c r="B2335" s="31" t="s">
        <v>196</v>
      </c>
      <c r="C2335" s="31" t="s">
        <v>196</v>
      </c>
      <c r="D2335" s="31" t="s">
        <v>196</v>
      </c>
      <c r="E2335" s="31" t="s">
        <v>196</v>
      </c>
      <c r="F2335" s="31" t="s">
        <v>196</v>
      </c>
      <c r="G2335" s="31" t="s">
        <v>196</v>
      </c>
      <c r="H2335" s="31" t="s">
        <v>196</v>
      </c>
      <c r="I2335" s="31" t="s">
        <v>196</v>
      </c>
      <c r="J2335" s="31" t="s">
        <v>196</v>
      </c>
      <c r="K2335" s="31" t="s">
        <v>196</v>
      </c>
      <c r="L2335" s="31" t="s">
        <v>196</v>
      </c>
      <c r="M2335" s="31" t="s">
        <v>196</v>
      </c>
      <c r="N2335" s="31" t="s">
        <v>196</v>
      </c>
      <c r="O2335" s="31" t="s">
        <v>196</v>
      </c>
      <c r="P2335" s="31" t="s">
        <v>196</v>
      </c>
      <c r="Q2335" s="31" t="s">
        <v>196</v>
      </c>
      <c r="R2335" s="426" t="s">
        <v>196</v>
      </c>
      <c r="S2335" s="41" t="s">
        <v>196</v>
      </c>
      <c r="T2335" s="1092"/>
      <c r="U2335" s="1092"/>
      <c r="V2335" s="1092"/>
      <c r="W2335" s="1092"/>
    </row>
    <row r="2336" spans="1:25" s="21" customFormat="1" ht="19" x14ac:dyDescent="0.25">
      <c r="A2336" s="407" t="s">
        <v>2155</v>
      </c>
      <c r="B2336" s="1628">
        <v>270</v>
      </c>
      <c r="C2336" s="470">
        <v>208</v>
      </c>
      <c r="D2336" s="470">
        <v>339</v>
      </c>
      <c r="E2336" s="470">
        <v>339</v>
      </c>
      <c r="F2336" s="44">
        <v>31</v>
      </c>
      <c r="G2336" s="44">
        <v>31</v>
      </c>
      <c r="H2336" s="453">
        <v>33</v>
      </c>
      <c r="I2336" s="44">
        <v>61</v>
      </c>
      <c r="J2336" s="44">
        <v>24</v>
      </c>
      <c r="K2336" s="44">
        <v>238</v>
      </c>
      <c r="L2336" s="44">
        <v>217</v>
      </c>
      <c r="M2336" s="44">
        <v>130</v>
      </c>
      <c r="N2336" s="44">
        <v>120</v>
      </c>
      <c r="O2336" s="44">
        <v>120</v>
      </c>
      <c r="P2336" s="44">
        <v>0.8</v>
      </c>
      <c r="Q2336" s="44">
        <v>0.7</v>
      </c>
      <c r="R2336" s="41">
        <v>65</v>
      </c>
      <c r="S2336" s="41"/>
      <c r="T2336" s="453"/>
      <c r="U2336" s="453"/>
      <c r="V2336" s="453"/>
      <c r="W2336" s="453"/>
    </row>
    <row r="2337" spans="1:27" s="21" customFormat="1" x14ac:dyDescent="0.2">
      <c r="A2337" s="411" t="s">
        <v>2156</v>
      </c>
      <c r="B2337" s="467">
        <v>355</v>
      </c>
      <c r="C2337" s="467">
        <v>296</v>
      </c>
      <c r="D2337" s="467">
        <v>336</v>
      </c>
      <c r="E2337" s="467">
        <v>336</v>
      </c>
      <c r="F2337" s="41">
        <v>31</v>
      </c>
      <c r="G2337" s="41">
        <v>31</v>
      </c>
      <c r="H2337" s="453">
        <v>44</v>
      </c>
      <c r="I2337" s="41">
        <v>102</v>
      </c>
      <c r="J2337" s="41">
        <v>24</v>
      </c>
      <c r="K2337" s="41">
        <v>238</v>
      </c>
      <c r="L2337" s="41">
        <v>217</v>
      </c>
      <c r="M2337" s="41">
        <v>130</v>
      </c>
      <c r="N2337" s="41">
        <v>120</v>
      </c>
      <c r="O2337" s="41">
        <v>120</v>
      </c>
      <c r="P2337" s="41">
        <v>1</v>
      </c>
      <c r="Q2337" s="41">
        <v>0.7</v>
      </c>
      <c r="R2337" s="41">
        <v>65</v>
      </c>
      <c r="S2337" s="41"/>
      <c r="T2337" s="453"/>
      <c r="U2337" s="453"/>
      <c r="V2337" s="453"/>
      <c r="W2337" s="453"/>
    </row>
    <row r="2338" spans="1:27" s="21" customFormat="1" x14ac:dyDescent="0.2">
      <c r="A2338" s="411" t="s">
        <v>1343</v>
      </c>
      <c r="B2338" s="467">
        <v>650</v>
      </c>
      <c r="C2338" s="467">
        <v>407</v>
      </c>
      <c r="D2338" s="467">
        <v>0</v>
      </c>
      <c r="E2338" s="467">
        <v>0</v>
      </c>
      <c r="F2338" s="41">
        <v>40</v>
      </c>
      <c r="G2338" s="41">
        <v>40</v>
      </c>
      <c r="H2338" s="453">
        <v>61</v>
      </c>
      <c r="I2338" s="41">
        <v>184</v>
      </c>
      <c r="J2338" s="41">
        <v>41</v>
      </c>
      <c r="K2338" s="41">
        <v>377</v>
      </c>
      <c r="L2338" s="41">
        <v>217</v>
      </c>
      <c r="M2338" s="41">
        <v>130</v>
      </c>
      <c r="N2338" s="41">
        <v>120</v>
      </c>
      <c r="O2338" s="41">
        <v>120</v>
      </c>
      <c r="P2338" s="41">
        <v>1.4</v>
      </c>
      <c r="Q2338" s="41">
        <v>1.4</v>
      </c>
      <c r="R2338" s="41">
        <v>65</v>
      </c>
      <c r="S2338" s="41"/>
      <c r="T2338" s="453"/>
      <c r="U2338" s="453"/>
      <c r="V2338" s="453"/>
      <c r="W2338" s="453"/>
    </row>
    <row r="2339" spans="1:27" s="21" customFormat="1" x14ac:dyDescent="0.2">
      <c r="A2339" s="411" t="s">
        <v>2157</v>
      </c>
      <c r="B2339" s="41">
        <v>500</v>
      </c>
      <c r="C2339" s="41">
        <v>295</v>
      </c>
      <c r="D2339" s="41">
        <v>315</v>
      </c>
      <c r="E2339" s="41">
        <v>315</v>
      </c>
      <c r="F2339" s="41">
        <v>31</v>
      </c>
      <c r="G2339" s="41">
        <v>31</v>
      </c>
      <c r="H2339" s="453">
        <v>47</v>
      </c>
      <c r="I2339" s="41">
        <v>121</v>
      </c>
      <c r="J2339" s="41">
        <v>24</v>
      </c>
      <c r="K2339" s="41">
        <v>238</v>
      </c>
      <c r="L2339" s="41">
        <v>217</v>
      </c>
      <c r="M2339" s="41">
        <v>130</v>
      </c>
      <c r="N2339" s="41">
        <v>120</v>
      </c>
      <c r="O2339" s="41">
        <v>120</v>
      </c>
      <c r="P2339" s="41">
        <v>0.9</v>
      </c>
      <c r="Q2339" s="41">
        <v>0.7</v>
      </c>
      <c r="R2339" s="41">
        <v>65</v>
      </c>
      <c r="S2339" s="41"/>
      <c r="T2339" s="453"/>
      <c r="U2339" s="453"/>
      <c r="V2339" s="453"/>
      <c r="W2339" s="453"/>
    </row>
    <row r="2340" spans="1:27" s="21" customFormat="1" x14ac:dyDescent="0.2">
      <c r="A2340" s="411" t="s">
        <v>1351</v>
      </c>
      <c r="B2340" s="467">
        <v>600</v>
      </c>
      <c r="C2340" s="467">
        <v>405</v>
      </c>
      <c r="D2340" s="467">
        <v>509</v>
      </c>
      <c r="E2340" s="467">
        <v>509</v>
      </c>
      <c r="F2340" s="41">
        <v>40</v>
      </c>
      <c r="G2340" s="41">
        <v>40</v>
      </c>
      <c r="H2340" s="453">
        <v>61</v>
      </c>
      <c r="I2340" s="41">
        <v>190</v>
      </c>
      <c r="J2340" s="41">
        <v>40</v>
      </c>
      <c r="K2340" s="41">
        <v>377</v>
      </c>
      <c r="L2340" s="41">
        <v>217</v>
      </c>
      <c r="M2340" s="41">
        <v>130</v>
      </c>
      <c r="N2340" s="41">
        <v>120</v>
      </c>
      <c r="O2340" s="41">
        <v>120</v>
      </c>
      <c r="P2340" s="41">
        <v>1.4</v>
      </c>
      <c r="Q2340" s="41">
        <v>1.2</v>
      </c>
      <c r="R2340" s="41">
        <v>65</v>
      </c>
      <c r="S2340" s="41"/>
      <c r="T2340" s="453"/>
      <c r="U2340" s="453"/>
      <c r="V2340" s="453"/>
      <c r="W2340" s="453"/>
    </row>
    <row r="2341" spans="1:27" s="21" customFormat="1" x14ac:dyDescent="0.2">
      <c r="A2341" s="411" t="s">
        <v>1337</v>
      </c>
      <c r="B2341" s="41">
        <v>550</v>
      </c>
      <c r="C2341" s="41">
        <v>389</v>
      </c>
      <c r="D2341" s="41">
        <v>467</v>
      </c>
      <c r="E2341" s="41">
        <v>467</v>
      </c>
      <c r="F2341" s="41">
        <v>40</v>
      </c>
      <c r="G2341" s="41">
        <v>40</v>
      </c>
      <c r="H2341" s="453">
        <v>59</v>
      </c>
      <c r="I2341" s="41">
        <v>204</v>
      </c>
      <c r="J2341" s="41">
        <v>36</v>
      </c>
      <c r="K2341" s="41">
        <v>377</v>
      </c>
      <c r="L2341" s="41">
        <v>217</v>
      </c>
      <c r="M2341" s="41">
        <v>130</v>
      </c>
      <c r="N2341" s="41">
        <v>120</v>
      </c>
      <c r="O2341" s="41">
        <v>120</v>
      </c>
      <c r="P2341" s="41">
        <v>1.3</v>
      </c>
      <c r="Q2341" s="41">
        <v>1.1000000000000001</v>
      </c>
      <c r="R2341" s="41">
        <v>65</v>
      </c>
      <c r="S2341" s="41"/>
      <c r="T2341" s="453"/>
      <c r="U2341" s="453"/>
      <c r="V2341" s="453"/>
      <c r="W2341" s="453"/>
    </row>
    <row r="2342" spans="1:27" s="21" customFormat="1" x14ac:dyDescent="0.2">
      <c r="A2342" s="411" t="s">
        <v>2158</v>
      </c>
      <c r="B2342" s="41">
        <v>550</v>
      </c>
      <c r="C2342" s="41">
        <v>389</v>
      </c>
      <c r="D2342" s="41">
        <v>467</v>
      </c>
      <c r="E2342" s="41">
        <v>467</v>
      </c>
      <c r="F2342" s="41">
        <v>40</v>
      </c>
      <c r="G2342" s="41">
        <v>40</v>
      </c>
      <c r="H2342" s="453">
        <v>59</v>
      </c>
      <c r="I2342" s="41">
        <v>204</v>
      </c>
      <c r="J2342" s="41">
        <v>36</v>
      </c>
      <c r="K2342" s="41">
        <v>377</v>
      </c>
      <c r="L2342" s="41">
        <v>217</v>
      </c>
      <c r="M2342" s="41">
        <v>130</v>
      </c>
      <c r="N2342" s="41">
        <v>120</v>
      </c>
      <c r="O2342" s="41">
        <v>120</v>
      </c>
      <c r="P2342" s="41">
        <v>1.3</v>
      </c>
      <c r="Q2342" s="41">
        <v>1.1000000000000001</v>
      </c>
      <c r="R2342" s="41">
        <v>65</v>
      </c>
      <c r="S2342" s="41"/>
      <c r="T2342" s="453"/>
      <c r="U2342" s="453"/>
      <c r="V2342" s="453"/>
      <c r="W2342" s="453"/>
    </row>
    <row r="2343" spans="1:27" s="21" customFormat="1" x14ac:dyDescent="0.2">
      <c r="A2343" s="411" t="s">
        <v>1346</v>
      </c>
      <c r="B2343" s="41">
        <v>488</v>
      </c>
      <c r="C2343" s="41">
        <v>359</v>
      </c>
      <c r="D2343" s="41">
        <v>0</v>
      </c>
      <c r="E2343" s="41">
        <v>0</v>
      </c>
      <c r="F2343" s="41">
        <v>40</v>
      </c>
      <c r="G2343" s="41">
        <v>40</v>
      </c>
      <c r="H2343" s="453">
        <v>41</v>
      </c>
      <c r="I2343" s="41">
        <v>163</v>
      </c>
      <c r="J2343" s="41">
        <v>33</v>
      </c>
      <c r="K2343" s="41">
        <v>377</v>
      </c>
      <c r="L2343" s="41">
        <v>217</v>
      </c>
      <c r="M2343" s="41">
        <v>130</v>
      </c>
      <c r="N2343" s="41">
        <v>120</v>
      </c>
      <c r="O2343" s="41">
        <v>120</v>
      </c>
      <c r="P2343" s="41">
        <v>1.3</v>
      </c>
      <c r="Q2343" s="41">
        <v>1.2</v>
      </c>
      <c r="R2343" s="41">
        <v>65</v>
      </c>
      <c r="S2343" s="41"/>
    </row>
    <row r="2344" spans="1:27" s="453" customFormat="1" x14ac:dyDescent="0.2">
      <c r="A2344" s="411" t="s">
        <v>2159</v>
      </c>
      <c r="B2344" s="41">
        <v>270</v>
      </c>
      <c r="C2344" s="41">
        <v>232</v>
      </c>
      <c r="D2344" s="41">
        <v>381</v>
      </c>
      <c r="E2344" s="41">
        <v>381</v>
      </c>
      <c r="F2344" s="41">
        <v>31</v>
      </c>
      <c r="G2344" s="41">
        <v>31</v>
      </c>
      <c r="H2344" s="453">
        <v>48</v>
      </c>
      <c r="I2344" s="41">
        <v>99</v>
      </c>
      <c r="J2344" s="41">
        <v>24</v>
      </c>
      <c r="K2344" s="41">
        <v>238</v>
      </c>
      <c r="L2344" s="41">
        <v>217</v>
      </c>
      <c r="M2344" s="41">
        <v>130</v>
      </c>
      <c r="N2344" s="41">
        <v>120</v>
      </c>
      <c r="O2344" s="41">
        <v>120</v>
      </c>
      <c r="P2344" s="41">
        <v>0.7</v>
      </c>
      <c r="Q2344" s="41">
        <v>0.5</v>
      </c>
      <c r="R2344" s="41">
        <v>65</v>
      </c>
      <c r="S2344" s="41"/>
    </row>
    <row r="2345" spans="1:27" s="453" customFormat="1" ht="19" x14ac:dyDescent="0.25">
      <c r="A2345" s="411" t="s">
        <v>2160</v>
      </c>
      <c r="B2345" s="41">
        <v>265</v>
      </c>
      <c r="C2345" s="1638">
        <v>236</v>
      </c>
      <c r="D2345" s="41">
        <v>321</v>
      </c>
      <c r="E2345" s="41">
        <v>321</v>
      </c>
      <c r="F2345" s="42">
        <v>31</v>
      </c>
      <c r="G2345" s="42">
        <v>31</v>
      </c>
      <c r="H2345" s="453">
        <v>48</v>
      </c>
      <c r="I2345" s="41">
        <v>99</v>
      </c>
      <c r="J2345" s="42">
        <v>24</v>
      </c>
      <c r="K2345" s="42">
        <v>238</v>
      </c>
      <c r="L2345" s="42">
        <v>217</v>
      </c>
      <c r="M2345" s="42">
        <v>130</v>
      </c>
      <c r="N2345" s="41">
        <v>120</v>
      </c>
      <c r="O2345" s="41">
        <v>120</v>
      </c>
      <c r="P2345" s="41">
        <v>0.8</v>
      </c>
      <c r="Q2345" s="42">
        <v>0.6</v>
      </c>
      <c r="R2345" s="41">
        <v>65</v>
      </c>
      <c r="S2345" s="41"/>
    </row>
    <row r="2346" spans="1:27" s="535" customFormat="1" x14ac:dyDescent="0.2">
      <c r="A2346" s="518" t="s">
        <v>2076</v>
      </c>
      <c r="F2346" s="1624"/>
      <c r="G2346" s="1624"/>
      <c r="H2346" s="1624"/>
      <c r="I2346" s="1624"/>
      <c r="J2346" s="1624"/>
      <c r="K2346" s="1624"/>
      <c r="L2346" s="1624"/>
      <c r="M2346" s="1624"/>
      <c r="N2346" s="1624"/>
      <c r="O2346" s="1624"/>
    </row>
    <row r="2347" spans="1:27" s="292" customFormat="1" x14ac:dyDescent="0.2"/>
    <row r="2349" spans="1:27" s="125" customFormat="1" x14ac:dyDescent="0.2">
      <c r="A2349" s="377" t="s">
        <v>934</v>
      </c>
      <c r="D2349" s="1075"/>
      <c r="E2349" s="1075"/>
      <c r="F2349" s="1075"/>
      <c r="G2349" s="1075"/>
      <c r="H2349" s="1075"/>
      <c r="I2349" s="1075"/>
      <c r="J2349" s="1075"/>
    </row>
    <row r="2350" spans="1:27" s="773" customFormat="1" ht="16.25" customHeight="1" x14ac:dyDescent="0.2">
      <c r="A2350" s="753" t="s">
        <v>65</v>
      </c>
      <c r="B2350" s="442" t="s">
        <v>2164</v>
      </c>
      <c r="C2350" s="442" t="s">
        <v>2164</v>
      </c>
      <c r="D2350" s="442" t="s">
        <v>2164</v>
      </c>
      <c r="E2350" s="442" t="s">
        <v>2164</v>
      </c>
      <c r="F2350" s="442" t="s">
        <v>2151</v>
      </c>
      <c r="G2350" s="442" t="s">
        <v>2151</v>
      </c>
      <c r="H2350" s="442" t="s">
        <v>2164</v>
      </c>
      <c r="I2350" s="442" t="s">
        <v>2164</v>
      </c>
      <c r="J2350" s="442" t="s">
        <v>2151</v>
      </c>
      <c r="K2350" s="442" t="s">
        <v>2151</v>
      </c>
      <c r="L2350" s="442" t="s">
        <v>2151</v>
      </c>
      <c r="M2350" s="442" t="s">
        <v>2151</v>
      </c>
      <c r="N2350" s="442" t="s">
        <v>2151</v>
      </c>
      <c r="O2350" s="442" t="s">
        <v>2164</v>
      </c>
      <c r="P2350" s="442" t="s">
        <v>2164</v>
      </c>
      <c r="Q2350" s="442" t="s">
        <v>2164</v>
      </c>
      <c r="R2350" s="442" t="s">
        <v>2151</v>
      </c>
      <c r="S2350" s="442"/>
      <c r="T2350" s="442"/>
      <c r="U2350" s="442"/>
      <c r="V2350" s="442"/>
      <c r="W2350" s="442"/>
      <c r="X2350" s="442"/>
    </row>
    <row r="2351" spans="1:27" s="291" customFormat="1" ht="16" x14ac:dyDescent="0.2">
      <c r="A2351" s="1632" t="s">
        <v>57</v>
      </c>
      <c r="B2351" s="1633" t="s">
        <v>5278</v>
      </c>
      <c r="C2351" s="1633" t="s">
        <v>5279</v>
      </c>
      <c r="D2351" s="1633" t="s">
        <v>5280</v>
      </c>
      <c r="E2351" s="1633" t="s">
        <v>5281</v>
      </c>
      <c r="F2351" s="419" t="s">
        <v>5282</v>
      </c>
      <c r="G2351" s="1633" t="s">
        <v>2161</v>
      </c>
      <c r="H2351" s="291" t="s">
        <v>5283</v>
      </c>
      <c r="I2351" s="1633" t="s">
        <v>5284</v>
      </c>
      <c r="J2351" s="1633" t="s">
        <v>904</v>
      </c>
      <c r="K2351" s="1633" t="s">
        <v>908</v>
      </c>
      <c r="L2351" s="1633" t="s">
        <v>912</v>
      </c>
      <c r="M2351" s="1633" t="s">
        <v>915</v>
      </c>
      <c r="N2351" s="1633" t="s">
        <v>918</v>
      </c>
      <c r="O2351" s="1633" t="s">
        <v>921</v>
      </c>
      <c r="P2351" s="1633" t="s">
        <v>923</v>
      </c>
      <c r="Q2351" s="1633" t="s">
        <v>927</v>
      </c>
      <c r="R2351" s="1633" t="s">
        <v>930</v>
      </c>
      <c r="S2351" s="31" t="s">
        <v>2162</v>
      </c>
      <c r="T2351" s="453"/>
      <c r="U2351" s="453"/>
      <c r="V2351" s="453"/>
      <c r="W2351" s="453"/>
      <c r="X2351" s="453"/>
      <c r="Y2351" s="453"/>
      <c r="Z2351" s="21"/>
      <c r="AA2351" s="21"/>
    </row>
    <row r="2352" spans="1:27" s="1093" customFormat="1" ht="16" x14ac:dyDescent="0.2">
      <c r="A2352" s="533" t="s">
        <v>2153</v>
      </c>
      <c r="B2352" s="31" t="s">
        <v>196</v>
      </c>
      <c r="C2352" s="31" t="s">
        <v>196</v>
      </c>
      <c r="D2352" s="31" t="s">
        <v>196</v>
      </c>
      <c r="E2352" s="31" t="s">
        <v>196</v>
      </c>
      <c r="F2352" s="31" t="s">
        <v>196</v>
      </c>
      <c r="G2352" s="31" t="s">
        <v>196</v>
      </c>
      <c r="H2352" s="31" t="s">
        <v>196</v>
      </c>
      <c r="I2352" s="31" t="s">
        <v>196</v>
      </c>
      <c r="J2352" s="31" t="s">
        <v>196</v>
      </c>
      <c r="K2352" s="31" t="s">
        <v>196</v>
      </c>
      <c r="L2352" s="31" t="s">
        <v>196</v>
      </c>
      <c r="M2352" s="31" t="s">
        <v>196</v>
      </c>
      <c r="N2352" s="31" t="s">
        <v>196</v>
      </c>
      <c r="O2352" s="31" t="s">
        <v>196</v>
      </c>
      <c r="P2352" s="31" t="s">
        <v>196</v>
      </c>
      <c r="Q2352" s="31" t="s">
        <v>196</v>
      </c>
      <c r="R2352" s="426" t="s">
        <v>196</v>
      </c>
      <c r="S2352" s="31" t="s">
        <v>196</v>
      </c>
      <c r="T2352" s="1092"/>
      <c r="U2352" s="1092"/>
      <c r="V2352" s="1092"/>
      <c r="W2352" s="1092"/>
      <c r="X2352" s="1092"/>
      <c r="Y2352" s="1092"/>
    </row>
    <row r="2353" spans="1:26" s="21" customFormat="1" x14ac:dyDescent="0.2">
      <c r="A2353" s="407" t="s">
        <v>2155</v>
      </c>
      <c r="B2353" s="467">
        <v>260</v>
      </c>
      <c r="C2353" s="470">
        <v>236</v>
      </c>
      <c r="D2353" s="470">
        <v>339</v>
      </c>
      <c r="E2353" s="470">
        <v>339</v>
      </c>
      <c r="F2353" s="44">
        <v>31</v>
      </c>
      <c r="G2353" s="44">
        <v>31</v>
      </c>
      <c r="H2353" s="453">
        <v>33</v>
      </c>
      <c r="I2353" s="44">
        <v>61</v>
      </c>
      <c r="J2353" s="44">
        <v>24</v>
      </c>
      <c r="K2353" s="44">
        <v>238</v>
      </c>
      <c r="L2353" s="44">
        <v>217</v>
      </c>
      <c r="M2353" s="44">
        <v>130</v>
      </c>
      <c r="N2353" s="44">
        <v>120</v>
      </c>
      <c r="O2353" s="44">
        <v>120</v>
      </c>
      <c r="P2353" s="44">
        <v>0.9</v>
      </c>
      <c r="Q2353" s="44">
        <v>0.8</v>
      </c>
      <c r="R2353" s="41">
        <v>65</v>
      </c>
      <c r="S2353" s="44"/>
      <c r="T2353" s="453"/>
      <c r="U2353" s="453"/>
      <c r="V2353" s="453"/>
      <c r="W2353" s="453"/>
      <c r="X2353" s="453"/>
      <c r="Y2353" s="453"/>
    </row>
    <row r="2354" spans="1:26" s="21" customFormat="1" x14ac:dyDescent="0.2">
      <c r="A2354" s="411" t="s">
        <v>2156</v>
      </c>
      <c r="B2354" s="467">
        <v>386</v>
      </c>
      <c r="C2354" s="467">
        <v>299</v>
      </c>
      <c r="D2354" s="467">
        <v>336</v>
      </c>
      <c r="E2354" s="467">
        <v>336</v>
      </c>
      <c r="F2354" s="41">
        <v>31</v>
      </c>
      <c r="G2354" s="41">
        <v>31</v>
      </c>
      <c r="H2354" s="453">
        <v>44</v>
      </c>
      <c r="I2354" s="41">
        <v>102</v>
      </c>
      <c r="J2354" s="41">
        <v>24</v>
      </c>
      <c r="K2354" s="41">
        <v>238</v>
      </c>
      <c r="L2354" s="41">
        <v>217</v>
      </c>
      <c r="M2354" s="41">
        <v>130</v>
      </c>
      <c r="N2354" s="41">
        <v>120</v>
      </c>
      <c r="O2354" s="41">
        <v>120</v>
      </c>
      <c r="P2354" s="41">
        <v>1.2</v>
      </c>
      <c r="Q2354" s="41">
        <v>0.8</v>
      </c>
      <c r="R2354" s="41">
        <v>65</v>
      </c>
      <c r="S2354" s="41"/>
      <c r="T2354" s="453"/>
      <c r="U2354" s="453"/>
      <c r="V2354" s="453"/>
      <c r="W2354" s="453"/>
      <c r="X2354" s="453"/>
      <c r="Y2354" s="453"/>
    </row>
    <row r="2355" spans="1:26" s="21" customFormat="1" x14ac:dyDescent="0.2">
      <c r="A2355" s="411" t="s">
        <v>1343</v>
      </c>
      <c r="B2355" s="467">
        <v>650</v>
      </c>
      <c r="C2355" s="467">
        <v>407</v>
      </c>
      <c r="D2355" s="467">
        <v>0</v>
      </c>
      <c r="E2355" s="467">
        <v>0</v>
      </c>
      <c r="F2355" s="41">
        <v>40</v>
      </c>
      <c r="G2355" s="41">
        <v>40</v>
      </c>
      <c r="H2355" s="453">
        <v>61</v>
      </c>
      <c r="I2355" s="41">
        <v>184</v>
      </c>
      <c r="J2355" s="41">
        <v>41</v>
      </c>
      <c r="K2355" s="41">
        <v>377</v>
      </c>
      <c r="L2355" s="41">
        <v>217</v>
      </c>
      <c r="M2355" s="41">
        <v>130</v>
      </c>
      <c r="N2355" s="41">
        <v>120</v>
      </c>
      <c r="O2355" s="41">
        <v>120</v>
      </c>
      <c r="P2355" s="41">
        <v>1.4</v>
      </c>
      <c r="Q2355" s="41">
        <v>1.4</v>
      </c>
      <c r="R2355" s="41">
        <v>65</v>
      </c>
      <c r="S2355" s="41"/>
      <c r="T2355" s="453"/>
      <c r="U2355" s="453"/>
      <c r="V2355" s="453"/>
      <c r="W2355" s="453"/>
      <c r="X2355" s="453"/>
      <c r="Y2355" s="453"/>
    </row>
    <row r="2356" spans="1:26" s="21" customFormat="1" x14ac:dyDescent="0.2">
      <c r="A2356" s="411" t="s">
        <v>2157</v>
      </c>
      <c r="B2356" s="41">
        <v>508</v>
      </c>
      <c r="C2356" s="41">
        <v>303</v>
      </c>
      <c r="D2356" s="41">
        <v>315</v>
      </c>
      <c r="E2356" s="41">
        <v>315</v>
      </c>
      <c r="F2356" s="41">
        <v>31</v>
      </c>
      <c r="G2356" s="41">
        <v>31</v>
      </c>
      <c r="H2356" s="453">
        <v>47</v>
      </c>
      <c r="I2356" s="41">
        <v>121</v>
      </c>
      <c r="J2356" s="41">
        <v>24</v>
      </c>
      <c r="K2356" s="41">
        <v>238</v>
      </c>
      <c r="L2356" s="41">
        <v>217</v>
      </c>
      <c r="M2356" s="41">
        <v>130</v>
      </c>
      <c r="N2356" s="41">
        <v>120</v>
      </c>
      <c r="O2356" s="41">
        <v>120</v>
      </c>
      <c r="P2356" s="41">
        <v>1.1000000000000001</v>
      </c>
      <c r="Q2356" s="41">
        <v>0.9</v>
      </c>
      <c r="R2356" s="41">
        <v>65</v>
      </c>
      <c r="S2356" s="41"/>
      <c r="T2356" s="453"/>
      <c r="U2356" s="453"/>
      <c r="V2356" s="453"/>
      <c r="W2356" s="453"/>
      <c r="X2356" s="453"/>
      <c r="Y2356" s="453"/>
    </row>
    <row r="2357" spans="1:26" s="21" customFormat="1" x14ac:dyDescent="0.2">
      <c r="A2357" s="411" t="s">
        <v>1351</v>
      </c>
      <c r="B2357" s="467">
        <v>600</v>
      </c>
      <c r="C2357" s="467">
        <v>405</v>
      </c>
      <c r="D2357" s="467">
        <v>509</v>
      </c>
      <c r="E2357" s="467">
        <v>509</v>
      </c>
      <c r="F2357" s="41">
        <v>40</v>
      </c>
      <c r="G2357" s="41">
        <v>40</v>
      </c>
      <c r="H2357" s="453">
        <v>61</v>
      </c>
      <c r="I2357" s="41">
        <v>190</v>
      </c>
      <c r="J2357" s="41">
        <v>40</v>
      </c>
      <c r="K2357" s="41">
        <v>377</v>
      </c>
      <c r="L2357" s="41">
        <v>217</v>
      </c>
      <c r="M2357" s="41">
        <v>130</v>
      </c>
      <c r="N2357" s="41">
        <v>120</v>
      </c>
      <c r="O2357" s="41">
        <v>120</v>
      </c>
      <c r="P2357" s="41">
        <v>1.4</v>
      </c>
      <c r="Q2357" s="41">
        <v>1.2</v>
      </c>
      <c r="R2357" s="41">
        <v>65</v>
      </c>
      <c r="S2357" s="41"/>
      <c r="T2357" s="453"/>
      <c r="U2357" s="453"/>
      <c r="V2357" s="453"/>
      <c r="W2357" s="453"/>
      <c r="X2357" s="453"/>
      <c r="Y2357" s="453"/>
    </row>
    <row r="2358" spans="1:26" s="21" customFormat="1" x14ac:dyDescent="0.2">
      <c r="A2358" s="411" t="s">
        <v>1337</v>
      </c>
      <c r="B2358" s="41">
        <v>550</v>
      </c>
      <c r="C2358" s="41">
        <v>389</v>
      </c>
      <c r="D2358" s="41">
        <v>467</v>
      </c>
      <c r="E2358" s="41">
        <v>467</v>
      </c>
      <c r="F2358" s="41">
        <v>40</v>
      </c>
      <c r="G2358" s="41">
        <v>40</v>
      </c>
      <c r="H2358" s="453">
        <v>59</v>
      </c>
      <c r="I2358" s="41">
        <v>204</v>
      </c>
      <c r="J2358" s="41">
        <v>36</v>
      </c>
      <c r="K2358" s="41">
        <v>377</v>
      </c>
      <c r="L2358" s="41">
        <v>217</v>
      </c>
      <c r="M2358" s="41">
        <v>130</v>
      </c>
      <c r="N2358" s="41">
        <v>120</v>
      </c>
      <c r="O2358" s="41">
        <v>120</v>
      </c>
      <c r="P2358" s="41">
        <v>1.3</v>
      </c>
      <c r="Q2358" s="41">
        <v>1.1000000000000001</v>
      </c>
      <c r="R2358" s="41">
        <v>65</v>
      </c>
      <c r="S2358" s="41"/>
      <c r="T2358" s="453"/>
      <c r="U2358" s="453"/>
      <c r="V2358" s="453"/>
      <c r="W2358" s="453"/>
      <c r="X2358" s="453"/>
      <c r="Y2358" s="453"/>
    </row>
    <row r="2359" spans="1:26" s="21" customFormat="1" x14ac:dyDescent="0.2">
      <c r="A2359" s="411" t="s">
        <v>2158</v>
      </c>
      <c r="B2359" s="41">
        <v>550</v>
      </c>
      <c r="C2359" s="41">
        <v>389</v>
      </c>
      <c r="D2359" s="41">
        <v>467</v>
      </c>
      <c r="E2359" s="41">
        <v>467</v>
      </c>
      <c r="F2359" s="41">
        <v>40</v>
      </c>
      <c r="G2359" s="41">
        <v>40</v>
      </c>
      <c r="H2359" s="453">
        <v>59</v>
      </c>
      <c r="I2359" s="41">
        <v>204</v>
      </c>
      <c r="J2359" s="41">
        <v>36</v>
      </c>
      <c r="K2359" s="41">
        <v>377</v>
      </c>
      <c r="L2359" s="41">
        <v>217</v>
      </c>
      <c r="M2359" s="41">
        <v>130</v>
      </c>
      <c r="N2359" s="41">
        <v>120</v>
      </c>
      <c r="O2359" s="41">
        <v>120</v>
      </c>
      <c r="P2359" s="41">
        <v>1.3</v>
      </c>
      <c r="Q2359" s="41">
        <v>1.1000000000000001</v>
      </c>
      <c r="R2359" s="41">
        <v>65</v>
      </c>
      <c r="S2359" s="41"/>
      <c r="T2359" s="453"/>
      <c r="U2359" s="453"/>
      <c r="V2359" s="453"/>
      <c r="W2359" s="453"/>
      <c r="X2359" s="453"/>
      <c r="Y2359" s="453"/>
    </row>
    <row r="2360" spans="1:26" s="21" customFormat="1" x14ac:dyDescent="0.2">
      <c r="A2360" s="411" t="s">
        <v>1346</v>
      </c>
      <c r="B2360" s="41">
        <v>488</v>
      </c>
      <c r="C2360" s="41">
        <v>359</v>
      </c>
      <c r="D2360" s="41">
        <v>0</v>
      </c>
      <c r="E2360" s="41">
        <v>0</v>
      </c>
      <c r="F2360" s="41">
        <v>40</v>
      </c>
      <c r="G2360" s="41">
        <v>40</v>
      </c>
      <c r="H2360" s="453">
        <v>41</v>
      </c>
      <c r="I2360" s="41">
        <v>163</v>
      </c>
      <c r="J2360" s="41">
        <v>33</v>
      </c>
      <c r="K2360" s="41">
        <v>377</v>
      </c>
      <c r="L2360" s="41">
        <v>217</v>
      </c>
      <c r="M2360" s="41">
        <v>130</v>
      </c>
      <c r="N2360" s="41">
        <v>120</v>
      </c>
      <c r="O2360" s="41">
        <v>120</v>
      </c>
      <c r="P2360" s="41">
        <v>1.3</v>
      </c>
      <c r="Q2360" s="41">
        <v>1.2</v>
      </c>
      <c r="R2360" s="41">
        <v>65</v>
      </c>
      <c r="S2360" s="41"/>
    </row>
    <row r="2361" spans="1:26" s="453" customFormat="1" x14ac:dyDescent="0.2">
      <c r="A2361" s="411" t="s">
        <v>2159</v>
      </c>
      <c r="B2361" s="41">
        <v>349</v>
      </c>
      <c r="C2361" s="41">
        <v>275</v>
      </c>
      <c r="D2361" s="41">
        <v>381</v>
      </c>
      <c r="E2361" s="41">
        <v>381</v>
      </c>
      <c r="F2361" s="41">
        <v>31</v>
      </c>
      <c r="G2361" s="41">
        <v>31</v>
      </c>
      <c r="H2361" s="453">
        <v>48</v>
      </c>
      <c r="I2361" s="41">
        <v>99</v>
      </c>
      <c r="J2361" s="41">
        <v>24</v>
      </c>
      <c r="K2361" s="41">
        <v>238</v>
      </c>
      <c r="L2361" s="41">
        <v>217</v>
      </c>
      <c r="M2361" s="41">
        <v>130</v>
      </c>
      <c r="N2361" s="41">
        <v>120</v>
      </c>
      <c r="O2361" s="41">
        <v>120</v>
      </c>
      <c r="P2361" s="41">
        <v>0.9</v>
      </c>
      <c r="Q2361" s="41">
        <v>0.7</v>
      </c>
      <c r="R2361" s="41">
        <v>65</v>
      </c>
      <c r="S2361" s="41"/>
    </row>
    <row r="2362" spans="1:26" s="453" customFormat="1" x14ac:dyDescent="0.2">
      <c r="A2362" s="411" t="s">
        <v>2160</v>
      </c>
      <c r="B2362" s="41">
        <v>285</v>
      </c>
      <c r="C2362" s="41">
        <v>226</v>
      </c>
      <c r="D2362" s="41">
        <v>321</v>
      </c>
      <c r="E2362" s="41">
        <v>321</v>
      </c>
      <c r="F2362" s="42">
        <v>31</v>
      </c>
      <c r="G2362" s="42">
        <v>31</v>
      </c>
      <c r="H2362" s="453">
        <v>48</v>
      </c>
      <c r="I2362" s="41">
        <v>99</v>
      </c>
      <c r="J2362" s="42">
        <v>24</v>
      </c>
      <c r="K2362" s="42">
        <v>238</v>
      </c>
      <c r="L2362" s="42">
        <v>217</v>
      </c>
      <c r="M2362" s="42">
        <v>130</v>
      </c>
      <c r="N2362" s="41">
        <v>120</v>
      </c>
      <c r="O2362" s="41">
        <v>120</v>
      </c>
      <c r="P2362" s="41">
        <v>1</v>
      </c>
      <c r="Q2362" s="42">
        <v>0.8</v>
      </c>
      <c r="R2362" s="41">
        <v>65</v>
      </c>
      <c r="S2362" s="42"/>
    </row>
    <row r="2363" spans="1:26" s="535" customFormat="1" x14ac:dyDescent="0.2">
      <c r="A2363" s="518" t="s">
        <v>2165</v>
      </c>
      <c r="F2363" s="1624"/>
      <c r="G2363" s="1624"/>
      <c r="H2363" s="1624"/>
      <c r="I2363" s="1624"/>
      <c r="J2363" s="1624"/>
      <c r="K2363" s="1624"/>
      <c r="L2363" s="1624"/>
      <c r="M2363" s="1624"/>
      <c r="N2363" s="1624"/>
      <c r="O2363" s="1624"/>
    </row>
    <row r="2364" spans="1:26" s="292" customFormat="1" x14ac:dyDescent="0.2"/>
    <row r="2366" spans="1:26" s="125" customFormat="1" x14ac:dyDescent="0.2">
      <c r="A2366" s="377" t="s">
        <v>2166</v>
      </c>
      <c r="D2366" s="1075"/>
      <c r="E2366" s="1075"/>
      <c r="F2366" s="1075"/>
      <c r="G2366" s="1075"/>
      <c r="H2366" s="1075"/>
      <c r="I2366" s="1075"/>
      <c r="J2366" s="1075"/>
    </row>
    <row r="2367" spans="1:26" s="773" customFormat="1" ht="16.25" customHeight="1" x14ac:dyDescent="0.2">
      <c r="A2367" s="753" t="s">
        <v>65</v>
      </c>
      <c r="B2367" s="442" t="s">
        <v>2167</v>
      </c>
      <c r="C2367" s="442" t="s">
        <v>2167</v>
      </c>
      <c r="D2367" s="442" t="s">
        <v>2167</v>
      </c>
      <c r="E2367" s="442" t="s">
        <v>2167</v>
      </c>
      <c r="F2367" s="442" t="s">
        <v>2167</v>
      </c>
      <c r="G2367" s="442" t="s">
        <v>2167</v>
      </c>
      <c r="H2367" s="442" t="s">
        <v>2167</v>
      </c>
      <c r="I2367" s="442" t="s">
        <v>2167</v>
      </c>
      <c r="J2367" s="442" t="s">
        <v>2167</v>
      </c>
      <c r="K2367" s="442" t="s">
        <v>2167</v>
      </c>
      <c r="L2367" s="442" t="s">
        <v>2167</v>
      </c>
      <c r="M2367" s="442" t="s">
        <v>2167</v>
      </c>
      <c r="N2367" s="442" t="s">
        <v>919</v>
      </c>
      <c r="O2367" s="442" t="s">
        <v>919</v>
      </c>
      <c r="P2367" s="442" t="s">
        <v>2167</v>
      </c>
      <c r="Q2367" s="442" t="s">
        <v>2167</v>
      </c>
      <c r="R2367" s="442" t="s">
        <v>2167</v>
      </c>
      <c r="S2367" s="442"/>
      <c r="T2367" s="442"/>
      <c r="U2367" s="442"/>
      <c r="V2367" s="442"/>
      <c r="W2367" s="442"/>
    </row>
    <row r="2368" spans="1:26" s="291" customFormat="1" ht="16" x14ac:dyDescent="0.2">
      <c r="A2368" s="1641" t="s">
        <v>57</v>
      </c>
      <c r="B2368" s="1642" t="s">
        <v>5278</v>
      </c>
      <c r="C2368" s="1642" t="s">
        <v>5279</v>
      </c>
      <c r="D2368" s="1642" t="s">
        <v>5280</v>
      </c>
      <c r="E2368" s="1642" t="s">
        <v>5281</v>
      </c>
      <c r="F2368" s="426" t="s">
        <v>5282</v>
      </c>
      <c r="G2368" s="1633" t="s">
        <v>2161</v>
      </c>
      <c r="H2368" s="419" t="s">
        <v>5283</v>
      </c>
      <c r="I2368" s="1633" t="s">
        <v>5284</v>
      </c>
      <c r="J2368" s="1642" t="s">
        <v>904</v>
      </c>
      <c r="K2368" s="1642" t="s">
        <v>908</v>
      </c>
      <c r="L2368" s="1642" t="s">
        <v>912</v>
      </c>
      <c r="M2368" s="1642" t="s">
        <v>915</v>
      </c>
      <c r="N2368" s="1642" t="s">
        <v>918</v>
      </c>
      <c r="O2368" s="1642" t="s">
        <v>921</v>
      </c>
      <c r="P2368" s="1633" t="s">
        <v>923</v>
      </c>
      <c r="Q2368" s="1633" t="s">
        <v>927</v>
      </c>
      <c r="R2368" s="1642" t="s">
        <v>930</v>
      </c>
      <c r="S2368" s="1656" t="s">
        <v>2162</v>
      </c>
      <c r="T2368" s="453"/>
      <c r="U2368" s="453"/>
      <c r="V2368" s="453"/>
      <c r="W2368" s="453"/>
      <c r="X2368" s="453"/>
      <c r="Y2368" s="21"/>
      <c r="Z2368" s="21"/>
    </row>
    <row r="2369" spans="1:24" s="1093" customFormat="1" ht="16" x14ac:dyDescent="0.2">
      <c r="A2369" s="523" t="s">
        <v>2153</v>
      </c>
      <c r="B2369" s="1636" t="s">
        <v>940</v>
      </c>
      <c r="C2369" s="1636" t="s">
        <v>940</v>
      </c>
      <c r="D2369" s="1636" t="s">
        <v>940</v>
      </c>
      <c r="E2369" s="1636" t="s">
        <v>940</v>
      </c>
      <c r="F2369" s="1631" t="s">
        <v>940</v>
      </c>
      <c r="G2369" s="1631" t="s">
        <v>940</v>
      </c>
      <c r="H2369" s="1631" t="s">
        <v>940</v>
      </c>
      <c r="I2369" s="1631" t="s">
        <v>940</v>
      </c>
      <c r="J2369" s="1631" t="s">
        <v>940</v>
      </c>
      <c r="K2369" s="1631" t="s">
        <v>940</v>
      </c>
      <c r="L2369" s="1631" t="s">
        <v>940</v>
      </c>
      <c r="M2369" s="31" t="s">
        <v>940</v>
      </c>
      <c r="N2369" s="31" t="s">
        <v>2168</v>
      </c>
      <c r="O2369" s="31" t="s">
        <v>2168</v>
      </c>
      <c r="P2369" s="1636" t="s">
        <v>940</v>
      </c>
      <c r="Q2369" s="1636" t="s">
        <v>940</v>
      </c>
      <c r="R2369" s="42" t="s">
        <v>940</v>
      </c>
      <c r="S2369" s="1635" t="s">
        <v>940</v>
      </c>
      <c r="T2369" s="1092"/>
      <c r="U2369" s="1092"/>
      <c r="V2369" s="1092"/>
      <c r="W2369" s="1092"/>
      <c r="X2369" s="1092"/>
    </row>
    <row r="2370" spans="1:24" s="21" customFormat="1" x14ac:dyDescent="0.2">
      <c r="A2370" s="407" t="s">
        <v>2155</v>
      </c>
      <c r="B2370" s="1640">
        <v>18.2</v>
      </c>
      <c r="C2370" s="1640">
        <v>12</v>
      </c>
      <c r="D2370" s="1640">
        <v>12.9</v>
      </c>
      <c r="E2370" s="1640">
        <v>12.9</v>
      </c>
      <c r="F2370" s="451">
        <v>8.3000000000000007</v>
      </c>
      <c r="G2370" s="451">
        <v>8.3000000000000007</v>
      </c>
      <c r="H2370" s="41">
        <v>8.1999999999999993</v>
      </c>
      <c r="I2370" s="451">
        <v>4.4000000000000004</v>
      </c>
      <c r="J2370" s="451">
        <v>10.4</v>
      </c>
      <c r="K2370" s="451">
        <v>7.2</v>
      </c>
      <c r="L2370" s="451">
        <v>11.5</v>
      </c>
      <c r="M2370" s="451">
        <v>7.2</v>
      </c>
      <c r="N2370" s="418"/>
      <c r="O2370" s="418"/>
      <c r="P2370" s="418">
        <v>12.6</v>
      </c>
      <c r="Q2370" s="418">
        <v>15.9</v>
      </c>
      <c r="R2370" s="1655"/>
      <c r="S2370" s="44"/>
      <c r="T2370" s="453"/>
      <c r="U2370" s="453"/>
      <c r="V2370" s="453"/>
      <c r="W2370" s="453"/>
      <c r="X2370" s="453"/>
    </row>
    <row r="2371" spans="1:24" s="21" customFormat="1" x14ac:dyDescent="0.2">
      <c r="A2371" s="405" t="s">
        <v>2156</v>
      </c>
      <c r="B2371" s="468">
        <v>9</v>
      </c>
      <c r="C2371" s="468">
        <v>9.8000000000000007</v>
      </c>
      <c r="D2371" s="468">
        <v>13.5</v>
      </c>
      <c r="E2371" s="468">
        <v>13.5</v>
      </c>
      <c r="F2371" s="451">
        <v>8.3000000000000007</v>
      </c>
      <c r="G2371" s="451">
        <v>8.3000000000000007</v>
      </c>
      <c r="H2371" s="41">
        <v>6.8</v>
      </c>
      <c r="I2371" s="451">
        <v>3.4</v>
      </c>
      <c r="J2371" s="451">
        <v>10.4</v>
      </c>
      <c r="K2371" s="451">
        <v>7.2</v>
      </c>
      <c r="L2371" s="451">
        <v>11.5</v>
      </c>
      <c r="M2371" s="451">
        <v>7.2</v>
      </c>
      <c r="N2371" s="451"/>
      <c r="O2371" s="451"/>
      <c r="P2371" s="451">
        <v>11.2</v>
      </c>
      <c r="Q2371" s="451">
        <v>15.7</v>
      </c>
      <c r="R2371" s="1655"/>
      <c r="S2371" s="41"/>
      <c r="T2371" s="453"/>
      <c r="U2371" s="453"/>
      <c r="V2371" s="453"/>
      <c r="W2371" s="453"/>
      <c r="X2371" s="453"/>
    </row>
    <row r="2372" spans="1:24" s="21" customFormat="1" x14ac:dyDescent="0.2">
      <c r="A2372" s="405" t="s">
        <v>1343</v>
      </c>
      <c r="B2372" s="468">
        <v>9.3000000000000007</v>
      </c>
      <c r="C2372" s="468">
        <v>7.6</v>
      </c>
      <c r="D2372" s="468">
        <v>0</v>
      </c>
      <c r="E2372" s="468">
        <v>0</v>
      </c>
      <c r="F2372" s="451">
        <v>8.1999999999999993</v>
      </c>
      <c r="G2372" s="451">
        <v>8.1999999999999993</v>
      </c>
      <c r="H2372" s="41">
        <v>3.9</v>
      </c>
      <c r="I2372" s="451">
        <v>1.8</v>
      </c>
      <c r="J2372" s="451">
        <v>9</v>
      </c>
      <c r="K2372" s="451">
        <v>5.65</v>
      </c>
      <c r="L2372" s="451">
        <v>11.5</v>
      </c>
      <c r="M2372" s="451">
        <v>7.2</v>
      </c>
      <c r="N2372" s="451"/>
      <c r="O2372" s="451"/>
      <c r="P2372" s="451">
        <v>14.5</v>
      </c>
      <c r="Q2372" s="451">
        <v>16.8</v>
      </c>
      <c r="R2372" s="1655"/>
      <c r="S2372" s="41"/>
      <c r="T2372" s="453"/>
      <c r="U2372" s="453"/>
      <c r="V2372" s="453"/>
      <c r="W2372" s="453"/>
      <c r="X2372" s="453"/>
    </row>
    <row r="2373" spans="1:24" s="21" customFormat="1" x14ac:dyDescent="0.2">
      <c r="A2373" s="405" t="s">
        <v>2157</v>
      </c>
      <c r="B2373" s="451">
        <v>7.9</v>
      </c>
      <c r="C2373" s="451">
        <v>8.5</v>
      </c>
      <c r="D2373" s="451">
        <v>11.2</v>
      </c>
      <c r="E2373" s="451">
        <v>11.2</v>
      </c>
      <c r="F2373" s="451">
        <v>8.3000000000000007</v>
      </c>
      <c r="G2373" s="451">
        <v>8.3000000000000007</v>
      </c>
      <c r="H2373" s="41">
        <v>6.4</v>
      </c>
      <c r="I2373" s="451">
        <v>2.7</v>
      </c>
      <c r="J2373" s="451">
        <v>10.4</v>
      </c>
      <c r="K2373" s="451">
        <v>7.2</v>
      </c>
      <c r="L2373" s="451">
        <v>11.5</v>
      </c>
      <c r="M2373" s="451">
        <v>7.2</v>
      </c>
      <c r="N2373" s="451"/>
      <c r="O2373" s="451"/>
      <c r="P2373" s="451">
        <v>13.5</v>
      </c>
      <c r="Q2373" s="451">
        <v>15.6</v>
      </c>
      <c r="R2373" s="1655"/>
      <c r="S2373" s="41"/>
      <c r="T2373" s="453"/>
      <c r="U2373" s="453"/>
      <c r="V2373" s="453"/>
      <c r="W2373" s="453"/>
      <c r="X2373" s="453"/>
    </row>
    <row r="2374" spans="1:24" s="21" customFormat="1" x14ac:dyDescent="0.2">
      <c r="A2374" s="405" t="s">
        <v>1351</v>
      </c>
      <c r="B2374" s="468">
        <v>7.5</v>
      </c>
      <c r="C2374" s="468">
        <v>5.7</v>
      </c>
      <c r="D2374" s="468">
        <v>7.7</v>
      </c>
      <c r="E2374" s="468">
        <v>7.7</v>
      </c>
      <c r="F2374" s="451">
        <v>8.1999999999999993</v>
      </c>
      <c r="G2374" s="451">
        <v>8.1999999999999993</v>
      </c>
      <c r="H2374" s="41">
        <v>5.3</v>
      </c>
      <c r="I2374" s="451">
        <v>2.4</v>
      </c>
      <c r="J2374" s="451">
        <v>9</v>
      </c>
      <c r="K2374" s="451">
        <v>5.65</v>
      </c>
      <c r="L2374" s="451">
        <v>11.5</v>
      </c>
      <c r="M2374" s="451">
        <v>7.2</v>
      </c>
      <c r="N2374" s="451"/>
      <c r="O2374" s="451"/>
      <c r="P2374" s="451">
        <v>12.3</v>
      </c>
      <c r="Q2374" s="451">
        <v>16.100000000000001</v>
      </c>
      <c r="R2374" s="1655"/>
      <c r="S2374" s="41"/>
      <c r="T2374" s="453"/>
      <c r="U2374" s="453"/>
      <c r="V2374" s="453"/>
      <c r="W2374" s="453"/>
      <c r="X2374" s="453"/>
    </row>
    <row r="2375" spans="1:24" s="21" customFormat="1" x14ac:dyDescent="0.2">
      <c r="A2375" s="405" t="s">
        <v>1337</v>
      </c>
      <c r="B2375" s="451">
        <v>6.7</v>
      </c>
      <c r="C2375" s="451">
        <v>7.6</v>
      </c>
      <c r="D2375" s="451">
        <v>6.2</v>
      </c>
      <c r="E2375" s="451">
        <v>6.2</v>
      </c>
      <c r="F2375" s="451">
        <v>8.1999999999999993</v>
      </c>
      <c r="G2375" s="451">
        <v>8.1999999999999993</v>
      </c>
      <c r="H2375" s="41">
        <v>4.9000000000000004</v>
      </c>
      <c r="I2375" s="451">
        <v>2</v>
      </c>
      <c r="J2375" s="451">
        <v>9</v>
      </c>
      <c r="K2375" s="451">
        <v>5.65</v>
      </c>
      <c r="L2375" s="451">
        <v>11.5</v>
      </c>
      <c r="M2375" s="451">
        <v>7.2</v>
      </c>
      <c r="N2375" s="451"/>
      <c r="O2375" s="451"/>
      <c r="P2375" s="451">
        <v>12.6</v>
      </c>
      <c r="Q2375" s="451">
        <v>16</v>
      </c>
      <c r="R2375" s="1655"/>
      <c r="S2375" s="41"/>
      <c r="T2375" s="453"/>
      <c r="U2375" s="453"/>
      <c r="V2375" s="453"/>
      <c r="W2375" s="453"/>
      <c r="X2375" s="453"/>
    </row>
    <row r="2376" spans="1:24" s="21" customFormat="1" x14ac:dyDescent="0.2">
      <c r="A2376" s="405" t="s">
        <v>2158</v>
      </c>
      <c r="B2376" s="451">
        <v>6.7</v>
      </c>
      <c r="C2376" s="451">
        <v>7.6</v>
      </c>
      <c r="D2376" s="451">
        <v>6.2</v>
      </c>
      <c r="E2376" s="451">
        <v>6.2</v>
      </c>
      <c r="F2376" s="451">
        <v>8.1999999999999993</v>
      </c>
      <c r="G2376" s="451">
        <v>8.1999999999999993</v>
      </c>
      <c r="H2376" s="41">
        <v>4.9000000000000004</v>
      </c>
      <c r="I2376" s="451">
        <v>2</v>
      </c>
      <c r="J2376" s="451">
        <v>9</v>
      </c>
      <c r="K2376" s="451">
        <v>5.65</v>
      </c>
      <c r="L2376" s="451">
        <v>11.5</v>
      </c>
      <c r="M2376" s="451">
        <v>7.2</v>
      </c>
      <c r="N2376" s="451"/>
      <c r="O2376" s="451"/>
      <c r="P2376" s="451">
        <v>12.6</v>
      </c>
      <c r="Q2376" s="451">
        <v>16</v>
      </c>
      <c r="R2376" s="1655"/>
      <c r="S2376" s="41"/>
      <c r="T2376" s="453"/>
      <c r="U2376" s="453"/>
      <c r="V2376" s="453"/>
      <c r="W2376" s="453"/>
      <c r="X2376" s="453"/>
    </row>
    <row r="2377" spans="1:24" s="21" customFormat="1" x14ac:dyDescent="0.2">
      <c r="A2377" s="405" t="s">
        <v>1346</v>
      </c>
      <c r="B2377" s="451">
        <v>6</v>
      </c>
      <c r="C2377" s="451">
        <v>8.6999999999999993</v>
      </c>
      <c r="D2377" s="451">
        <v>0</v>
      </c>
      <c r="E2377" s="451">
        <v>0</v>
      </c>
      <c r="F2377" s="451">
        <v>8.1999999999999993</v>
      </c>
      <c r="G2377" s="451">
        <v>8.1999999999999993</v>
      </c>
      <c r="H2377" s="41">
        <v>5.6</v>
      </c>
      <c r="I2377" s="451">
        <v>2.1</v>
      </c>
      <c r="J2377" s="451">
        <v>9</v>
      </c>
      <c r="K2377" s="451">
        <v>5.65</v>
      </c>
      <c r="L2377" s="451">
        <v>11.5</v>
      </c>
      <c r="M2377" s="451">
        <v>7.2</v>
      </c>
      <c r="N2377" s="451"/>
      <c r="O2377" s="451"/>
      <c r="P2377" s="451">
        <v>15.4</v>
      </c>
      <c r="Q2377" s="451">
        <v>18.3</v>
      </c>
      <c r="R2377" s="1655"/>
      <c r="S2377" s="41"/>
    </row>
    <row r="2378" spans="1:24" s="453" customFormat="1" x14ac:dyDescent="0.2">
      <c r="A2378" s="405" t="s">
        <v>2159</v>
      </c>
      <c r="B2378" s="451">
        <v>10.7</v>
      </c>
      <c r="C2378" s="451">
        <v>14.1</v>
      </c>
      <c r="D2378" s="451">
        <v>9.8000000000000007</v>
      </c>
      <c r="E2378" s="451">
        <v>9.8000000000000007</v>
      </c>
      <c r="F2378" s="451">
        <v>8.3000000000000007</v>
      </c>
      <c r="G2378" s="451">
        <v>8.3000000000000007</v>
      </c>
      <c r="H2378" s="41">
        <v>4.9000000000000004</v>
      </c>
      <c r="I2378" s="451">
        <v>2.5</v>
      </c>
      <c r="J2378" s="451">
        <v>10.4</v>
      </c>
      <c r="K2378" s="451">
        <v>7.2</v>
      </c>
      <c r="L2378" s="451">
        <v>11.5</v>
      </c>
      <c r="M2378" s="451">
        <v>7.2</v>
      </c>
      <c r="N2378" s="451"/>
      <c r="O2378" s="451"/>
      <c r="P2378" s="451">
        <v>14.2</v>
      </c>
      <c r="Q2378" s="451">
        <v>17.7</v>
      </c>
      <c r="R2378" s="1655"/>
      <c r="S2378" s="41"/>
    </row>
    <row r="2379" spans="1:24" s="453" customFormat="1" x14ac:dyDescent="0.2">
      <c r="A2379" s="405" t="s">
        <v>2160</v>
      </c>
      <c r="B2379" s="451">
        <v>14.1</v>
      </c>
      <c r="C2379" s="451">
        <v>12.2</v>
      </c>
      <c r="D2379" s="451">
        <v>0</v>
      </c>
      <c r="E2379" s="451">
        <v>0</v>
      </c>
      <c r="F2379" s="451">
        <v>8.3000000000000007</v>
      </c>
      <c r="G2379" s="451">
        <v>8.3000000000000007</v>
      </c>
      <c r="H2379" s="42">
        <v>8.6</v>
      </c>
      <c r="I2379" s="451">
        <v>4.5999999999999996</v>
      </c>
      <c r="J2379" s="451">
        <v>10.4</v>
      </c>
      <c r="K2379" s="451">
        <v>7.2</v>
      </c>
      <c r="L2379" s="451">
        <v>11.5</v>
      </c>
      <c r="M2379" s="451">
        <v>7.2</v>
      </c>
      <c r="N2379" s="451"/>
      <c r="O2379" s="451"/>
      <c r="P2379" s="451">
        <v>14.9</v>
      </c>
      <c r="Q2379" s="451">
        <v>17.7</v>
      </c>
      <c r="R2379" s="1655"/>
      <c r="S2379" s="42"/>
    </row>
    <row r="2380" spans="1:24" s="535" customFormat="1" x14ac:dyDescent="0.2">
      <c r="A2380" s="518" t="s">
        <v>2169</v>
      </c>
      <c r="F2380" s="1624"/>
      <c r="G2380" s="1624"/>
      <c r="H2380" s="1624"/>
      <c r="I2380" s="1624"/>
      <c r="J2380" s="1624"/>
      <c r="K2380" s="1624"/>
      <c r="L2380" s="1624"/>
      <c r="M2380" s="1624"/>
      <c r="N2380" s="1624"/>
      <c r="O2380" s="1624"/>
    </row>
    <row r="2381" spans="1:24" s="292" customFormat="1" x14ac:dyDescent="0.2"/>
    <row r="2383" spans="1:24" s="125" customFormat="1" x14ac:dyDescent="0.2">
      <c r="A2383" s="377" t="s">
        <v>2166</v>
      </c>
      <c r="D2383" s="1075"/>
      <c r="E2383" s="1075"/>
      <c r="F2383" s="1075"/>
      <c r="G2383" s="1075"/>
      <c r="H2383" s="1075"/>
      <c r="I2383" s="1075"/>
      <c r="J2383" s="1075"/>
    </row>
    <row r="2384" spans="1:24" s="773" customFormat="1" ht="16.25" customHeight="1" x14ac:dyDescent="0.2">
      <c r="A2384" s="753" t="s">
        <v>5285</v>
      </c>
      <c r="B2384" s="442" t="s">
        <v>2167</v>
      </c>
      <c r="C2384" s="442" t="s">
        <v>2167</v>
      </c>
      <c r="D2384" s="442" t="s">
        <v>2167</v>
      </c>
      <c r="E2384" s="442" t="s">
        <v>2167</v>
      </c>
      <c r="F2384" s="442" t="s">
        <v>2167</v>
      </c>
      <c r="G2384" s="442" t="s">
        <v>2167</v>
      </c>
      <c r="H2384" s="442" t="s">
        <v>2167</v>
      </c>
      <c r="I2384" s="442" t="s">
        <v>2167</v>
      </c>
      <c r="J2384" s="442" t="s">
        <v>2167</v>
      </c>
      <c r="K2384" s="442" t="s">
        <v>2167</v>
      </c>
      <c r="L2384" s="442" t="s">
        <v>2167</v>
      </c>
      <c r="M2384" s="442" t="s">
        <v>2167</v>
      </c>
      <c r="N2384" s="442" t="s">
        <v>919</v>
      </c>
      <c r="O2384" s="442" t="s">
        <v>919</v>
      </c>
      <c r="P2384" s="442" t="s">
        <v>2167</v>
      </c>
      <c r="Q2384" s="442" t="s">
        <v>2167</v>
      </c>
      <c r="R2384" s="442" t="s">
        <v>2167</v>
      </c>
      <c r="S2384" s="442"/>
      <c r="T2384" s="442"/>
      <c r="U2384" s="442"/>
      <c r="V2384" s="442"/>
      <c r="W2384" s="442"/>
    </row>
    <row r="2385" spans="1:25" s="291" customFormat="1" ht="16" x14ac:dyDescent="0.2">
      <c r="A2385" s="1641" t="s">
        <v>57</v>
      </c>
      <c r="B2385" s="1642" t="s">
        <v>5278</v>
      </c>
      <c r="C2385" s="1642" t="s">
        <v>5279</v>
      </c>
      <c r="D2385" s="1642" t="s">
        <v>5280</v>
      </c>
      <c r="E2385" s="1642" t="s">
        <v>5281</v>
      </c>
      <c r="F2385" s="426" t="s">
        <v>5282</v>
      </c>
      <c r="G2385" s="1633" t="s">
        <v>2161</v>
      </c>
      <c r="H2385" s="419" t="s">
        <v>5283</v>
      </c>
      <c r="I2385" s="1633" t="s">
        <v>5284</v>
      </c>
      <c r="J2385" s="1642" t="s">
        <v>904</v>
      </c>
      <c r="K2385" s="1642" t="s">
        <v>908</v>
      </c>
      <c r="L2385" s="1642" t="s">
        <v>912</v>
      </c>
      <c r="M2385" s="1642" t="s">
        <v>915</v>
      </c>
      <c r="N2385" s="1642" t="s">
        <v>918</v>
      </c>
      <c r="O2385" s="1642" t="s">
        <v>921</v>
      </c>
      <c r="P2385" s="1633" t="s">
        <v>923</v>
      </c>
      <c r="Q2385" s="1633" t="s">
        <v>927</v>
      </c>
      <c r="R2385" s="1642" t="s">
        <v>930</v>
      </c>
      <c r="S2385" s="1658" t="s">
        <v>2162</v>
      </c>
      <c r="T2385" s="453"/>
      <c r="U2385" s="453"/>
      <c r="V2385" s="453"/>
      <c r="W2385" s="453"/>
      <c r="X2385" s="21"/>
      <c r="Y2385" s="21"/>
    </row>
    <row r="2386" spans="1:25" s="1093" customFormat="1" ht="16" x14ac:dyDescent="0.2">
      <c r="A2386" s="523" t="s">
        <v>2153</v>
      </c>
      <c r="B2386" s="1636" t="s">
        <v>940</v>
      </c>
      <c r="C2386" s="1636" t="s">
        <v>940</v>
      </c>
      <c r="D2386" s="1636" t="s">
        <v>940</v>
      </c>
      <c r="E2386" s="1636" t="s">
        <v>940</v>
      </c>
      <c r="F2386" s="1636" t="s">
        <v>940</v>
      </c>
      <c r="G2386" s="1636" t="s">
        <v>940</v>
      </c>
      <c r="H2386" s="1636" t="s">
        <v>940</v>
      </c>
      <c r="I2386" s="1636" t="s">
        <v>940</v>
      </c>
      <c r="J2386" s="1636" t="s">
        <v>940</v>
      </c>
      <c r="K2386" s="1631" t="s">
        <v>940</v>
      </c>
      <c r="L2386" s="1631" t="s">
        <v>940</v>
      </c>
      <c r="M2386" s="1631" t="s">
        <v>940</v>
      </c>
      <c r="N2386" s="31"/>
      <c r="O2386" s="1636"/>
      <c r="P2386" s="1636" t="s">
        <v>940</v>
      </c>
      <c r="Q2386" s="1636" t="s">
        <v>940</v>
      </c>
      <c r="R2386" s="42" t="s">
        <v>940</v>
      </c>
      <c r="S2386" s="42" t="s">
        <v>940</v>
      </c>
      <c r="T2386" s="1092"/>
      <c r="U2386" s="1092"/>
      <c r="V2386" s="1092"/>
      <c r="W2386" s="1092"/>
    </row>
    <row r="2387" spans="1:25" s="21" customFormat="1" x14ac:dyDescent="0.2">
      <c r="A2387" s="407" t="s">
        <v>2155</v>
      </c>
      <c r="B2387" s="1640">
        <v>21.7</v>
      </c>
      <c r="C2387" s="1640">
        <v>10.199999999999999</v>
      </c>
      <c r="D2387" s="1640">
        <v>12.9</v>
      </c>
      <c r="E2387" s="1640">
        <v>12.9</v>
      </c>
      <c r="F2387" s="418">
        <v>8.3000000000000007</v>
      </c>
      <c r="G2387" s="418">
        <v>8.3000000000000007</v>
      </c>
      <c r="H2387" s="44">
        <v>5.3</v>
      </c>
      <c r="I2387" s="418">
        <v>2.4</v>
      </c>
      <c r="J2387" s="418">
        <v>10.4</v>
      </c>
      <c r="K2387" s="451">
        <v>7.2</v>
      </c>
      <c r="L2387" s="451">
        <v>11.5</v>
      </c>
      <c r="M2387" s="451">
        <v>7.2</v>
      </c>
      <c r="N2387" s="451"/>
      <c r="O2387" s="418"/>
      <c r="P2387" s="418">
        <v>12.3</v>
      </c>
      <c r="Q2387" s="418">
        <v>16</v>
      </c>
      <c r="R2387" s="1655"/>
      <c r="S2387" s="41"/>
      <c r="T2387" s="453"/>
      <c r="U2387" s="453"/>
      <c r="V2387" s="453"/>
      <c r="W2387" s="453"/>
    </row>
    <row r="2388" spans="1:25" s="21" customFormat="1" x14ac:dyDescent="0.2">
      <c r="A2388" s="405" t="s">
        <v>2156</v>
      </c>
      <c r="B2388" s="468">
        <v>8.1</v>
      </c>
      <c r="C2388" s="468">
        <v>6.8</v>
      </c>
      <c r="D2388" s="468">
        <v>13.5</v>
      </c>
      <c r="E2388" s="468">
        <v>13.5</v>
      </c>
      <c r="F2388" s="451">
        <v>8.3000000000000007</v>
      </c>
      <c r="G2388" s="451">
        <v>8.3000000000000007</v>
      </c>
      <c r="H2388" s="41">
        <v>5.0999999999999996</v>
      </c>
      <c r="I2388" s="451">
        <v>2.2999999999999998</v>
      </c>
      <c r="J2388" s="451">
        <v>10.4</v>
      </c>
      <c r="K2388" s="451">
        <v>7.2</v>
      </c>
      <c r="L2388" s="451">
        <v>11.5</v>
      </c>
      <c r="M2388" s="451">
        <v>7.2</v>
      </c>
      <c r="N2388" s="451"/>
      <c r="O2388" s="451"/>
      <c r="P2388" s="451">
        <v>10.6</v>
      </c>
      <c r="Q2388" s="451">
        <v>15.6</v>
      </c>
      <c r="R2388" s="1655"/>
      <c r="S2388" s="41"/>
      <c r="T2388" s="453"/>
      <c r="U2388" s="453"/>
      <c r="V2388" s="453"/>
      <c r="W2388" s="453"/>
    </row>
    <row r="2389" spans="1:25" s="21" customFormat="1" x14ac:dyDescent="0.2">
      <c r="A2389" s="405" t="s">
        <v>1343</v>
      </c>
      <c r="B2389" s="468">
        <v>9.3000000000000007</v>
      </c>
      <c r="C2389" s="468">
        <v>7.6</v>
      </c>
      <c r="D2389" s="468">
        <v>0</v>
      </c>
      <c r="E2389" s="468">
        <v>0</v>
      </c>
      <c r="F2389" s="451">
        <v>8.1999999999999993</v>
      </c>
      <c r="G2389" s="451">
        <v>8.1999999999999993</v>
      </c>
      <c r="H2389" s="41">
        <v>3.9</v>
      </c>
      <c r="I2389" s="451">
        <v>1.8</v>
      </c>
      <c r="J2389" s="451">
        <v>9</v>
      </c>
      <c r="K2389" s="451">
        <v>5.65</v>
      </c>
      <c r="L2389" s="451">
        <v>11.5</v>
      </c>
      <c r="M2389" s="451">
        <v>7.2</v>
      </c>
      <c r="N2389" s="451"/>
      <c r="O2389" s="451"/>
      <c r="P2389" s="451">
        <v>14.5</v>
      </c>
      <c r="Q2389" s="451">
        <v>16.8</v>
      </c>
      <c r="R2389" s="1655"/>
      <c r="S2389" s="41"/>
      <c r="T2389" s="453"/>
      <c r="U2389" s="453"/>
      <c r="V2389" s="453"/>
      <c r="W2389" s="453"/>
    </row>
    <row r="2390" spans="1:25" s="21" customFormat="1" x14ac:dyDescent="0.2">
      <c r="A2390" s="405" t="s">
        <v>2157</v>
      </c>
      <c r="B2390" s="451">
        <v>9</v>
      </c>
      <c r="C2390" s="451">
        <v>8.1</v>
      </c>
      <c r="D2390" s="451">
        <v>11.2</v>
      </c>
      <c r="E2390" s="451">
        <v>11.2</v>
      </c>
      <c r="F2390" s="451">
        <v>8.3000000000000007</v>
      </c>
      <c r="G2390" s="451">
        <v>8.3000000000000007</v>
      </c>
      <c r="H2390" s="41">
        <v>4.3</v>
      </c>
      <c r="I2390" s="451">
        <v>1.7</v>
      </c>
      <c r="J2390" s="451">
        <v>10.4</v>
      </c>
      <c r="K2390" s="451">
        <v>7.2</v>
      </c>
      <c r="L2390" s="451">
        <v>11.5</v>
      </c>
      <c r="M2390" s="451">
        <v>7.2</v>
      </c>
      <c r="N2390" s="451"/>
      <c r="O2390" s="451"/>
      <c r="P2390" s="451">
        <v>13.3</v>
      </c>
      <c r="Q2390" s="451">
        <v>15.5</v>
      </c>
      <c r="R2390" s="1655"/>
      <c r="S2390" s="41"/>
      <c r="T2390" s="453"/>
      <c r="U2390" s="453"/>
      <c r="V2390" s="453"/>
      <c r="W2390" s="453"/>
    </row>
    <row r="2391" spans="1:25" s="21" customFormat="1" x14ac:dyDescent="0.2">
      <c r="A2391" s="405" t="s">
        <v>1351</v>
      </c>
      <c r="B2391" s="468">
        <v>7.5</v>
      </c>
      <c r="C2391" s="468">
        <v>5.7</v>
      </c>
      <c r="D2391" s="468">
        <v>7.7</v>
      </c>
      <c r="E2391" s="468">
        <v>7.7</v>
      </c>
      <c r="F2391" s="451">
        <v>8.1999999999999993</v>
      </c>
      <c r="G2391" s="451">
        <v>8.1999999999999993</v>
      </c>
      <c r="H2391" s="41">
        <v>5.3</v>
      </c>
      <c r="I2391" s="451">
        <v>2.4</v>
      </c>
      <c r="J2391" s="451">
        <v>9</v>
      </c>
      <c r="K2391" s="451">
        <v>5.65</v>
      </c>
      <c r="L2391" s="451">
        <v>11.5</v>
      </c>
      <c r="M2391" s="451">
        <v>7.2</v>
      </c>
      <c r="N2391" s="451"/>
      <c r="O2391" s="451"/>
      <c r="P2391" s="451">
        <v>12.3</v>
      </c>
      <c r="Q2391" s="451">
        <v>16.100000000000001</v>
      </c>
      <c r="R2391" s="1655"/>
      <c r="S2391" s="41"/>
      <c r="T2391" s="453"/>
      <c r="U2391" s="453"/>
      <c r="V2391" s="453"/>
      <c r="W2391" s="453"/>
    </row>
    <row r="2392" spans="1:25" s="21" customFormat="1" x14ac:dyDescent="0.2">
      <c r="A2392" s="405" t="s">
        <v>1337</v>
      </c>
      <c r="B2392" s="451">
        <v>6.7</v>
      </c>
      <c r="C2392" s="451">
        <v>7.6</v>
      </c>
      <c r="D2392" s="451">
        <v>6.2</v>
      </c>
      <c r="E2392" s="451">
        <v>6.2</v>
      </c>
      <c r="F2392" s="451">
        <v>8.1999999999999993</v>
      </c>
      <c r="G2392" s="451">
        <v>8.1999999999999993</v>
      </c>
      <c r="H2392" s="41">
        <v>4.9000000000000004</v>
      </c>
      <c r="I2392" s="451">
        <v>2</v>
      </c>
      <c r="J2392" s="451">
        <v>9</v>
      </c>
      <c r="K2392" s="451">
        <v>5.65</v>
      </c>
      <c r="L2392" s="451">
        <v>11.5</v>
      </c>
      <c r="M2392" s="451">
        <v>7.2</v>
      </c>
      <c r="N2392" s="451"/>
      <c r="O2392" s="451"/>
      <c r="P2392" s="451">
        <v>12.6</v>
      </c>
      <c r="Q2392" s="451">
        <v>16</v>
      </c>
      <c r="R2392" s="1655"/>
      <c r="S2392" s="41"/>
      <c r="T2392" s="453"/>
      <c r="U2392" s="453"/>
      <c r="V2392" s="453"/>
      <c r="W2392" s="453"/>
    </row>
    <row r="2393" spans="1:25" s="21" customFormat="1" x14ac:dyDescent="0.2">
      <c r="A2393" s="405" t="s">
        <v>2158</v>
      </c>
      <c r="B2393" s="451">
        <v>6.7</v>
      </c>
      <c r="C2393" s="451">
        <v>7.6</v>
      </c>
      <c r="D2393" s="451">
        <v>6.2</v>
      </c>
      <c r="E2393" s="451">
        <v>6.2</v>
      </c>
      <c r="F2393" s="451">
        <v>8.1999999999999993</v>
      </c>
      <c r="G2393" s="451">
        <v>8.1999999999999993</v>
      </c>
      <c r="H2393" s="41">
        <v>4.9000000000000004</v>
      </c>
      <c r="I2393" s="451">
        <v>2</v>
      </c>
      <c r="J2393" s="451">
        <v>9</v>
      </c>
      <c r="K2393" s="451">
        <v>5.65</v>
      </c>
      <c r="L2393" s="451">
        <v>11.5</v>
      </c>
      <c r="M2393" s="451">
        <v>7.2</v>
      </c>
      <c r="N2393" s="451"/>
      <c r="O2393" s="451"/>
      <c r="P2393" s="451">
        <v>12.6</v>
      </c>
      <c r="Q2393" s="451">
        <v>16</v>
      </c>
      <c r="R2393" s="1655"/>
      <c r="S2393" s="41"/>
      <c r="T2393" s="453"/>
      <c r="U2393" s="453"/>
      <c r="V2393" s="453"/>
      <c r="W2393" s="453"/>
    </row>
    <row r="2394" spans="1:25" s="21" customFormat="1" x14ac:dyDescent="0.2">
      <c r="A2394" s="405" t="s">
        <v>1346</v>
      </c>
      <c r="B2394" s="451">
        <v>6</v>
      </c>
      <c r="C2394" s="451">
        <v>8.6999999999999993</v>
      </c>
      <c r="D2394" s="451">
        <v>0</v>
      </c>
      <c r="E2394" s="451">
        <v>0</v>
      </c>
      <c r="F2394" s="451">
        <v>8.1999999999999993</v>
      </c>
      <c r="G2394" s="451">
        <v>8.1999999999999993</v>
      </c>
      <c r="H2394" s="41">
        <v>5.6</v>
      </c>
      <c r="I2394" s="451">
        <v>2.1</v>
      </c>
      <c r="J2394" s="451">
        <v>9</v>
      </c>
      <c r="K2394" s="451">
        <v>5.65</v>
      </c>
      <c r="L2394" s="451">
        <v>11.5</v>
      </c>
      <c r="M2394" s="451">
        <v>7.2</v>
      </c>
      <c r="N2394" s="451"/>
      <c r="O2394" s="451"/>
      <c r="P2394" s="451">
        <v>15.4</v>
      </c>
      <c r="Q2394" s="451">
        <v>18.3</v>
      </c>
      <c r="R2394" s="1655"/>
      <c r="S2394" s="41"/>
    </row>
    <row r="2395" spans="1:25" s="453" customFormat="1" x14ac:dyDescent="0.2">
      <c r="A2395" s="405" t="s">
        <v>2159</v>
      </c>
      <c r="B2395" s="451">
        <v>8.4</v>
      </c>
      <c r="C2395" s="451">
        <v>10.5</v>
      </c>
      <c r="D2395" s="451">
        <v>9.8000000000000007</v>
      </c>
      <c r="E2395" s="451">
        <v>9.8000000000000007</v>
      </c>
      <c r="F2395" s="451">
        <v>8.3000000000000007</v>
      </c>
      <c r="G2395" s="451">
        <v>8.3000000000000007</v>
      </c>
      <c r="H2395" s="41">
        <v>4.4000000000000004</v>
      </c>
      <c r="I2395" s="451">
        <v>2.2999999999999998</v>
      </c>
      <c r="J2395" s="451">
        <v>10.4</v>
      </c>
      <c r="K2395" s="451">
        <v>7.2</v>
      </c>
      <c r="L2395" s="451">
        <v>11.5</v>
      </c>
      <c r="M2395" s="451">
        <v>7.2</v>
      </c>
      <c r="N2395" s="451"/>
      <c r="O2395" s="451"/>
      <c r="P2395" s="451">
        <v>14.1</v>
      </c>
      <c r="Q2395" s="451">
        <v>17.7</v>
      </c>
      <c r="R2395" s="1655"/>
      <c r="S2395" s="41"/>
    </row>
    <row r="2396" spans="1:25" s="453" customFormat="1" x14ac:dyDescent="0.2">
      <c r="A2396" s="405" t="s">
        <v>2160</v>
      </c>
      <c r="B2396" s="451">
        <v>9.1</v>
      </c>
      <c r="C2396" s="451">
        <v>13.5</v>
      </c>
      <c r="D2396" s="451">
        <v>0</v>
      </c>
      <c r="E2396" s="451">
        <v>0</v>
      </c>
      <c r="F2396" s="451">
        <v>8.3000000000000007</v>
      </c>
      <c r="G2396" s="451">
        <v>8.3000000000000007</v>
      </c>
      <c r="H2396" s="42">
        <v>6.5</v>
      </c>
      <c r="I2396" s="451">
        <v>3</v>
      </c>
      <c r="J2396" s="451">
        <v>10.4</v>
      </c>
      <c r="K2396" s="451">
        <v>7.2</v>
      </c>
      <c r="L2396" s="451">
        <v>11.5</v>
      </c>
      <c r="M2396" s="451">
        <v>7.2</v>
      </c>
      <c r="N2396" s="451"/>
      <c r="O2396" s="451"/>
      <c r="P2396" s="451">
        <v>14.3</v>
      </c>
      <c r="Q2396" s="451">
        <v>17.600000000000001</v>
      </c>
      <c r="R2396" s="1655"/>
      <c r="S2396" s="42"/>
    </row>
    <row r="2397" spans="1:25" s="535" customFormat="1" x14ac:dyDescent="0.2">
      <c r="A2397" s="518" t="s">
        <v>2170</v>
      </c>
      <c r="F2397" s="1624"/>
      <c r="G2397" s="1624"/>
      <c r="H2397" s="1624"/>
      <c r="I2397" s="1624"/>
      <c r="J2397" s="1624"/>
      <c r="K2397" s="1624"/>
      <c r="L2397" s="1624"/>
      <c r="M2397" s="1624"/>
      <c r="N2397" s="1624"/>
      <c r="O2397" s="1624"/>
    </row>
    <row r="2398" spans="1:25" s="292" customFormat="1" x14ac:dyDescent="0.2"/>
    <row r="2400" spans="1:25" s="125" customFormat="1" x14ac:dyDescent="0.2">
      <c r="A2400" s="377" t="s">
        <v>2166</v>
      </c>
      <c r="D2400" s="1075"/>
      <c r="E2400" s="1075"/>
      <c r="F2400" s="1075"/>
      <c r="G2400" s="1075"/>
      <c r="H2400" s="1075"/>
      <c r="I2400" s="1075"/>
      <c r="J2400" s="1075"/>
    </row>
    <row r="2401" spans="1:25" s="773" customFormat="1" ht="16.25" customHeight="1" x14ac:dyDescent="0.2">
      <c r="A2401" s="753" t="s">
        <v>5286</v>
      </c>
      <c r="B2401" s="442" t="s">
        <v>2167</v>
      </c>
      <c r="C2401" s="442" t="s">
        <v>2167</v>
      </c>
      <c r="D2401" s="442" t="s">
        <v>2167</v>
      </c>
      <c r="E2401" s="442" t="s">
        <v>2167</v>
      </c>
      <c r="F2401" s="442" t="s">
        <v>2167</v>
      </c>
      <c r="G2401" s="442" t="s">
        <v>2167</v>
      </c>
      <c r="H2401" s="442" t="s">
        <v>2167</v>
      </c>
      <c r="I2401" s="442" t="s">
        <v>2167</v>
      </c>
      <c r="J2401" s="442" t="s">
        <v>2167</v>
      </c>
      <c r="K2401" s="442" t="s">
        <v>2167</v>
      </c>
      <c r="L2401" s="442" t="s">
        <v>2167</v>
      </c>
      <c r="M2401" s="442" t="s">
        <v>2167</v>
      </c>
      <c r="N2401" s="442" t="s">
        <v>919</v>
      </c>
      <c r="O2401" s="442" t="s">
        <v>919</v>
      </c>
      <c r="P2401" s="442" t="s">
        <v>2167</v>
      </c>
      <c r="Q2401" s="442" t="s">
        <v>2167</v>
      </c>
      <c r="R2401" s="442" t="s">
        <v>2167</v>
      </c>
      <c r="S2401" s="442"/>
      <c r="T2401" s="442"/>
      <c r="U2401" s="442"/>
      <c r="V2401" s="442"/>
      <c r="W2401" s="442"/>
    </row>
    <row r="2402" spans="1:25" s="291" customFormat="1" ht="16" x14ac:dyDescent="0.2">
      <c r="A2402" s="1641" t="s">
        <v>57</v>
      </c>
      <c r="B2402" s="1642" t="s">
        <v>5278</v>
      </c>
      <c r="C2402" s="1642" t="s">
        <v>5279</v>
      </c>
      <c r="D2402" s="1642" t="s">
        <v>5280</v>
      </c>
      <c r="E2402" s="1642" t="s">
        <v>5281</v>
      </c>
      <c r="F2402" s="426" t="s">
        <v>5282</v>
      </c>
      <c r="G2402" s="1633" t="s">
        <v>2161</v>
      </c>
      <c r="H2402" s="419" t="s">
        <v>5283</v>
      </c>
      <c r="I2402" s="1633" t="s">
        <v>5284</v>
      </c>
      <c r="J2402" s="1642" t="s">
        <v>904</v>
      </c>
      <c r="K2402" s="1642" t="s">
        <v>908</v>
      </c>
      <c r="L2402" s="1642" t="s">
        <v>912</v>
      </c>
      <c r="M2402" s="1642" t="s">
        <v>915</v>
      </c>
      <c r="N2402" s="1642" t="s">
        <v>918</v>
      </c>
      <c r="O2402" s="1642" t="s">
        <v>921</v>
      </c>
      <c r="P2402" s="1633" t="s">
        <v>923</v>
      </c>
      <c r="Q2402" s="1633" t="s">
        <v>927</v>
      </c>
      <c r="R2402" s="1642" t="s">
        <v>930</v>
      </c>
      <c r="S2402" s="1658" t="s">
        <v>2162</v>
      </c>
      <c r="T2402" s="453"/>
      <c r="U2402" s="453"/>
      <c r="V2402" s="453"/>
      <c r="W2402" s="453"/>
      <c r="X2402" s="21"/>
      <c r="Y2402" s="21"/>
    </row>
    <row r="2403" spans="1:25" s="1093" customFormat="1" ht="16" x14ac:dyDescent="0.2">
      <c r="A2403" s="523" t="s">
        <v>2153</v>
      </c>
      <c r="B2403" s="1636" t="s">
        <v>940</v>
      </c>
      <c r="C2403" s="1636" t="s">
        <v>940</v>
      </c>
      <c r="D2403" s="1636" t="s">
        <v>940</v>
      </c>
      <c r="E2403" s="1636" t="s">
        <v>940</v>
      </c>
      <c r="F2403" s="1636" t="s">
        <v>940</v>
      </c>
      <c r="G2403" s="1636" t="s">
        <v>940</v>
      </c>
      <c r="H2403" s="31" t="s">
        <v>940</v>
      </c>
      <c r="I2403" s="1636" t="s">
        <v>940</v>
      </c>
      <c r="J2403" s="1636" t="s">
        <v>940</v>
      </c>
      <c r="K2403" s="1631" t="s">
        <v>940</v>
      </c>
      <c r="L2403" s="1631" t="s">
        <v>940</v>
      </c>
      <c r="M2403" s="1631" t="s">
        <v>940</v>
      </c>
      <c r="N2403" s="31"/>
      <c r="O2403" s="1636"/>
      <c r="P2403" s="1636" t="s">
        <v>940</v>
      </c>
      <c r="Q2403" s="1636" t="s">
        <v>940</v>
      </c>
      <c r="R2403" s="42" t="s">
        <v>940</v>
      </c>
      <c r="S2403" s="42" t="s">
        <v>940</v>
      </c>
      <c r="T2403" s="1092"/>
      <c r="U2403" s="1092"/>
      <c r="V2403" s="1092"/>
      <c r="W2403" s="1092"/>
    </row>
    <row r="2404" spans="1:25" s="21" customFormat="1" x14ac:dyDescent="0.2">
      <c r="A2404" s="407" t="s">
        <v>2155</v>
      </c>
      <c r="B2404" s="1640">
        <v>15.2</v>
      </c>
      <c r="C2404" s="1640">
        <v>12.7</v>
      </c>
      <c r="D2404" s="1640">
        <v>12.9</v>
      </c>
      <c r="E2404" s="1640">
        <v>12.9</v>
      </c>
      <c r="F2404" s="418">
        <v>8.3000000000000007</v>
      </c>
      <c r="G2404" s="418">
        <v>8.3000000000000007</v>
      </c>
      <c r="H2404" s="41">
        <v>9.4</v>
      </c>
      <c r="I2404" s="418">
        <v>6</v>
      </c>
      <c r="J2404" s="418">
        <v>10.4</v>
      </c>
      <c r="K2404" s="451">
        <v>7.2</v>
      </c>
      <c r="L2404" s="451">
        <v>11.5</v>
      </c>
      <c r="M2404" s="451">
        <v>7.2</v>
      </c>
      <c r="N2404" s="451"/>
      <c r="O2404" s="418"/>
      <c r="P2404" s="418">
        <v>13</v>
      </c>
      <c r="Q2404" s="418">
        <v>15.4</v>
      </c>
      <c r="R2404" s="451"/>
      <c r="S2404" s="41"/>
      <c r="T2404" s="453"/>
      <c r="U2404" s="453"/>
      <c r="V2404" s="453"/>
      <c r="W2404" s="453"/>
    </row>
    <row r="2405" spans="1:25" s="21" customFormat="1" x14ac:dyDescent="0.2">
      <c r="A2405" s="405" t="s">
        <v>2156</v>
      </c>
      <c r="B2405" s="468">
        <v>9.1999999999999993</v>
      </c>
      <c r="C2405" s="468">
        <v>10.8</v>
      </c>
      <c r="D2405" s="468">
        <v>13.5</v>
      </c>
      <c r="E2405" s="468">
        <v>13.5</v>
      </c>
      <c r="F2405" s="451">
        <v>8.3000000000000007</v>
      </c>
      <c r="G2405" s="451">
        <v>8.3000000000000007</v>
      </c>
      <c r="H2405" s="41">
        <v>8.1</v>
      </c>
      <c r="I2405" s="451">
        <v>4.3</v>
      </c>
      <c r="J2405" s="451">
        <v>10.4</v>
      </c>
      <c r="K2405" s="451">
        <v>7.2</v>
      </c>
      <c r="L2405" s="451">
        <v>11.5</v>
      </c>
      <c r="M2405" s="451">
        <v>7.2</v>
      </c>
      <c r="N2405" s="451"/>
      <c r="O2405" s="451"/>
      <c r="P2405" s="451">
        <v>14.3</v>
      </c>
      <c r="Q2405" s="451">
        <v>17.100000000000001</v>
      </c>
      <c r="R2405" s="451"/>
      <c r="S2405" s="41"/>
      <c r="T2405" s="453"/>
      <c r="U2405" s="453"/>
      <c r="V2405" s="453"/>
      <c r="W2405" s="453"/>
    </row>
    <row r="2406" spans="1:25" s="21" customFormat="1" x14ac:dyDescent="0.2">
      <c r="A2406" s="405" t="s">
        <v>1343</v>
      </c>
      <c r="B2406" s="468">
        <v>9.3000000000000007</v>
      </c>
      <c r="C2406" s="468">
        <v>7.6</v>
      </c>
      <c r="D2406" s="468">
        <v>0</v>
      </c>
      <c r="E2406" s="468">
        <v>0</v>
      </c>
      <c r="F2406" s="451">
        <v>8.1999999999999993</v>
      </c>
      <c r="G2406" s="451">
        <v>8.1999999999999993</v>
      </c>
      <c r="H2406" s="41">
        <v>3.9</v>
      </c>
      <c r="I2406" s="451">
        <v>1.8</v>
      </c>
      <c r="J2406" s="451">
        <v>9</v>
      </c>
      <c r="K2406" s="451">
        <v>5.65</v>
      </c>
      <c r="L2406" s="451">
        <v>11.5</v>
      </c>
      <c r="M2406" s="451">
        <v>7.2</v>
      </c>
      <c r="N2406" s="451"/>
      <c r="O2406" s="451"/>
      <c r="P2406" s="451">
        <v>14.5</v>
      </c>
      <c r="Q2406" s="451">
        <v>16.8</v>
      </c>
      <c r="R2406" s="451"/>
      <c r="S2406" s="41"/>
      <c r="T2406" s="453"/>
      <c r="U2406" s="453"/>
      <c r="V2406" s="453"/>
      <c r="W2406" s="453"/>
    </row>
    <row r="2407" spans="1:25" s="21" customFormat="1" x14ac:dyDescent="0.2">
      <c r="A2407" s="405" t="s">
        <v>2157</v>
      </c>
      <c r="B2407" s="451">
        <v>7.1</v>
      </c>
      <c r="C2407" s="451">
        <v>8.6</v>
      </c>
      <c r="D2407" s="451">
        <v>11.2</v>
      </c>
      <c r="E2407" s="451">
        <v>11.2</v>
      </c>
      <c r="F2407" s="451">
        <v>8.3000000000000007</v>
      </c>
      <c r="G2407" s="451">
        <v>8.3000000000000007</v>
      </c>
      <c r="H2407" s="41">
        <v>10</v>
      </c>
      <c r="I2407" s="451">
        <v>4.8</v>
      </c>
      <c r="J2407" s="451">
        <v>10.4</v>
      </c>
      <c r="K2407" s="451">
        <v>7.2</v>
      </c>
      <c r="L2407" s="451">
        <v>11.5</v>
      </c>
      <c r="M2407" s="451">
        <v>7.2</v>
      </c>
      <c r="N2407" s="451"/>
      <c r="O2407" s="451"/>
      <c r="P2407" s="451">
        <v>15.7</v>
      </c>
      <c r="Q2407" s="451">
        <v>17.8</v>
      </c>
      <c r="R2407" s="451"/>
      <c r="S2407" s="41"/>
      <c r="T2407" s="453"/>
      <c r="U2407" s="453"/>
      <c r="V2407" s="453"/>
      <c r="W2407" s="453"/>
    </row>
    <row r="2408" spans="1:25" s="21" customFormat="1" x14ac:dyDescent="0.2">
      <c r="A2408" s="405" t="s">
        <v>1351</v>
      </c>
      <c r="B2408" s="468">
        <v>7.5</v>
      </c>
      <c r="C2408" s="468">
        <v>5.7</v>
      </c>
      <c r="D2408" s="468">
        <v>7.7</v>
      </c>
      <c r="E2408" s="468">
        <v>7.7</v>
      </c>
      <c r="F2408" s="451">
        <v>8.1999999999999993</v>
      </c>
      <c r="G2408" s="451">
        <v>8.1999999999999993</v>
      </c>
      <c r="H2408" s="41">
        <v>5.3</v>
      </c>
      <c r="I2408" s="451">
        <v>2.4</v>
      </c>
      <c r="J2408" s="451">
        <v>9</v>
      </c>
      <c r="K2408" s="451">
        <v>5.65</v>
      </c>
      <c r="L2408" s="451">
        <v>11.5</v>
      </c>
      <c r="M2408" s="451">
        <v>7.2</v>
      </c>
      <c r="N2408" s="451"/>
      <c r="O2408" s="451"/>
      <c r="P2408" s="451">
        <v>12.3</v>
      </c>
      <c r="Q2408" s="451">
        <v>16.100000000000001</v>
      </c>
      <c r="R2408" s="451"/>
      <c r="S2408" s="41"/>
      <c r="T2408" s="453"/>
      <c r="U2408" s="453"/>
      <c r="V2408" s="453"/>
      <c r="W2408" s="453"/>
    </row>
    <row r="2409" spans="1:25" s="21" customFormat="1" x14ac:dyDescent="0.2">
      <c r="A2409" s="405" t="s">
        <v>1337</v>
      </c>
      <c r="B2409" s="451">
        <v>6.7</v>
      </c>
      <c r="C2409" s="451">
        <v>7.6</v>
      </c>
      <c r="D2409" s="451">
        <v>6.2</v>
      </c>
      <c r="E2409" s="451">
        <v>6.2</v>
      </c>
      <c r="F2409" s="451">
        <v>8.1999999999999993</v>
      </c>
      <c r="G2409" s="451">
        <v>8.1999999999999993</v>
      </c>
      <c r="H2409" s="41">
        <v>4.9000000000000004</v>
      </c>
      <c r="I2409" s="451">
        <v>2</v>
      </c>
      <c r="J2409" s="451">
        <v>9</v>
      </c>
      <c r="K2409" s="451">
        <v>5.65</v>
      </c>
      <c r="L2409" s="451">
        <v>11.5</v>
      </c>
      <c r="M2409" s="451">
        <v>7.2</v>
      </c>
      <c r="N2409" s="451"/>
      <c r="O2409" s="451"/>
      <c r="P2409" s="451">
        <v>12.6</v>
      </c>
      <c r="Q2409" s="451">
        <v>16</v>
      </c>
      <c r="R2409" s="451"/>
      <c r="S2409" s="41"/>
      <c r="T2409" s="453"/>
      <c r="U2409" s="453"/>
      <c r="V2409" s="453"/>
      <c r="W2409" s="453"/>
    </row>
    <row r="2410" spans="1:25" s="21" customFormat="1" x14ac:dyDescent="0.2">
      <c r="A2410" s="405" t="s">
        <v>2158</v>
      </c>
      <c r="B2410" s="451">
        <v>6.7</v>
      </c>
      <c r="C2410" s="451">
        <v>7.6</v>
      </c>
      <c r="D2410" s="451">
        <v>6.2</v>
      </c>
      <c r="E2410" s="451">
        <v>6.2</v>
      </c>
      <c r="F2410" s="451">
        <v>8.1999999999999993</v>
      </c>
      <c r="G2410" s="451">
        <v>8.1999999999999993</v>
      </c>
      <c r="H2410" s="41">
        <v>4.9000000000000004</v>
      </c>
      <c r="I2410" s="451">
        <v>2</v>
      </c>
      <c r="J2410" s="451">
        <v>9</v>
      </c>
      <c r="K2410" s="451">
        <v>5.65</v>
      </c>
      <c r="L2410" s="451">
        <v>11.5</v>
      </c>
      <c r="M2410" s="451">
        <v>7.2</v>
      </c>
      <c r="N2410" s="451"/>
      <c r="O2410" s="451"/>
      <c r="P2410" s="451">
        <v>12.6</v>
      </c>
      <c r="Q2410" s="451">
        <v>16</v>
      </c>
      <c r="R2410" s="451"/>
      <c r="S2410" s="41"/>
      <c r="T2410" s="453"/>
      <c r="U2410" s="453"/>
      <c r="V2410" s="453"/>
      <c r="W2410" s="453"/>
    </row>
    <row r="2411" spans="1:25" s="21" customFormat="1" x14ac:dyDescent="0.2">
      <c r="A2411" s="405" t="s">
        <v>1346</v>
      </c>
      <c r="B2411" s="451">
        <v>6</v>
      </c>
      <c r="C2411" s="451">
        <v>8.6999999999999993</v>
      </c>
      <c r="D2411" s="451">
        <v>0</v>
      </c>
      <c r="E2411" s="451">
        <v>0</v>
      </c>
      <c r="F2411" s="451">
        <v>8.1999999999999993</v>
      </c>
      <c r="G2411" s="451">
        <v>8.1999999999999993</v>
      </c>
      <c r="H2411" s="41">
        <v>5.6</v>
      </c>
      <c r="I2411" s="451">
        <v>2.1</v>
      </c>
      <c r="J2411" s="451">
        <v>9</v>
      </c>
      <c r="K2411" s="451">
        <v>5.65</v>
      </c>
      <c r="L2411" s="451">
        <v>11.5</v>
      </c>
      <c r="M2411" s="451">
        <v>7.2</v>
      </c>
      <c r="N2411" s="451"/>
      <c r="O2411" s="451"/>
      <c r="P2411" s="451">
        <v>15.4</v>
      </c>
      <c r="Q2411" s="451">
        <v>15.4</v>
      </c>
      <c r="R2411" s="451"/>
      <c r="S2411" s="41"/>
    </row>
    <row r="2412" spans="1:25" s="453" customFormat="1" x14ac:dyDescent="0.2">
      <c r="A2412" s="405" t="s">
        <v>2159</v>
      </c>
      <c r="B2412" s="451">
        <v>11.8</v>
      </c>
      <c r="C2412" s="451">
        <v>16.8</v>
      </c>
      <c r="D2412" s="451">
        <v>9.8000000000000007</v>
      </c>
      <c r="E2412" s="451">
        <v>9.8000000000000007</v>
      </c>
      <c r="F2412" s="451">
        <v>8.3000000000000007</v>
      </c>
      <c r="G2412" s="451">
        <v>8.3000000000000007</v>
      </c>
      <c r="H2412" s="41">
        <v>7.8</v>
      </c>
      <c r="I2412" s="451">
        <v>4.5999999999999996</v>
      </c>
      <c r="J2412" s="451">
        <v>10.4</v>
      </c>
      <c r="K2412" s="451">
        <v>7.2</v>
      </c>
      <c r="L2412" s="451">
        <v>11.5</v>
      </c>
      <c r="M2412" s="451">
        <v>7.2</v>
      </c>
      <c r="N2412" s="451"/>
      <c r="O2412" s="451"/>
      <c r="P2412" s="451">
        <v>16.5</v>
      </c>
      <c r="Q2412" s="451">
        <v>17.899999999999999</v>
      </c>
      <c r="R2412" s="451"/>
      <c r="S2412" s="41"/>
    </row>
    <row r="2413" spans="1:25" s="453" customFormat="1" x14ac:dyDescent="0.2">
      <c r="A2413" s="405" t="s">
        <v>2160</v>
      </c>
      <c r="B2413" s="451">
        <v>16.100000000000001</v>
      </c>
      <c r="C2413" s="451">
        <v>12</v>
      </c>
      <c r="D2413" s="451">
        <v>0</v>
      </c>
      <c r="E2413" s="451">
        <v>0</v>
      </c>
      <c r="F2413" s="451">
        <v>8.3000000000000007</v>
      </c>
      <c r="G2413" s="451">
        <v>8.3000000000000007</v>
      </c>
      <c r="H2413" s="42">
        <v>9.5</v>
      </c>
      <c r="I2413" s="451">
        <v>5.5</v>
      </c>
      <c r="J2413" s="451">
        <v>10.4</v>
      </c>
      <c r="K2413" s="451">
        <v>7.2</v>
      </c>
      <c r="L2413" s="451">
        <v>11.5</v>
      </c>
      <c r="M2413" s="451">
        <v>7.2</v>
      </c>
      <c r="N2413" s="451"/>
      <c r="O2413" s="451"/>
      <c r="P2413" s="451">
        <v>15.7</v>
      </c>
      <c r="Q2413" s="451">
        <v>18.2</v>
      </c>
      <c r="R2413" s="451"/>
      <c r="S2413" s="42"/>
    </row>
    <row r="2414" spans="1:25" s="535" customFormat="1" x14ac:dyDescent="0.2">
      <c r="A2414" s="518" t="s">
        <v>2170</v>
      </c>
      <c r="F2414" s="1624"/>
      <c r="G2414" s="1624"/>
      <c r="H2414" s="1624"/>
      <c r="I2414" s="1624"/>
      <c r="J2414" s="1624"/>
      <c r="K2414" s="1624"/>
      <c r="L2414" s="1624"/>
      <c r="M2414" s="1624"/>
      <c r="N2414" s="1624"/>
      <c r="O2414" s="1624"/>
    </row>
    <row r="2415" spans="1:25" s="292" customFormat="1" x14ac:dyDescent="0.2"/>
    <row r="2417" spans="1:25" s="125" customFormat="1" x14ac:dyDescent="0.2">
      <c r="A2417" s="377" t="s">
        <v>2171</v>
      </c>
      <c r="D2417" s="1075"/>
      <c r="E2417" s="1075"/>
      <c r="F2417" s="1075"/>
      <c r="G2417" s="1075"/>
      <c r="H2417" s="1075"/>
      <c r="I2417" s="1075"/>
      <c r="J2417" s="1075"/>
    </row>
    <row r="2418" spans="1:25" s="773" customFormat="1" ht="16.25" customHeight="1" x14ac:dyDescent="0.2">
      <c r="A2418" s="753" t="s">
        <v>5278</v>
      </c>
      <c r="B2418" s="442" t="s">
        <v>2172</v>
      </c>
      <c r="C2418" s="442" t="s">
        <v>2172</v>
      </c>
      <c r="D2418" s="442" t="s">
        <v>2172</v>
      </c>
      <c r="E2418" s="442" t="s">
        <v>2172</v>
      </c>
      <c r="F2418" s="442" t="s">
        <v>2172</v>
      </c>
      <c r="G2418" s="442" t="s">
        <v>2172</v>
      </c>
      <c r="H2418" s="442" t="s">
        <v>2172</v>
      </c>
      <c r="I2418" s="442" t="s">
        <v>2172</v>
      </c>
      <c r="J2418" s="442" t="s">
        <v>2173</v>
      </c>
      <c r="K2418" s="442" t="s">
        <v>2173</v>
      </c>
      <c r="L2418" s="442" t="s">
        <v>2172</v>
      </c>
      <c r="M2418" s="442" t="s">
        <v>2172</v>
      </c>
      <c r="N2418" s="442" t="s">
        <v>2172</v>
      </c>
      <c r="O2418" s="442" t="s">
        <v>2172</v>
      </c>
      <c r="P2418" s="442"/>
      <c r="Q2418" s="442"/>
      <c r="R2418" s="442"/>
      <c r="S2418" s="442"/>
      <c r="T2418" s="442"/>
      <c r="U2418" s="442"/>
      <c r="V2418" s="442"/>
    </row>
    <row r="2419" spans="1:25" s="291" customFormat="1" ht="16" x14ac:dyDescent="0.2">
      <c r="A2419" s="1641" t="s">
        <v>57</v>
      </c>
      <c r="B2419" s="1642" t="s">
        <v>1664</v>
      </c>
      <c r="C2419" s="1642" t="s">
        <v>1665</v>
      </c>
      <c r="D2419" s="1642" t="s">
        <v>1666</v>
      </c>
      <c r="E2419" s="1642" t="s">
        <v>1667</v>
      </c>
      <c r="F2419" s="1642" t="s">
        <v>2174</v>
      </c>
      <c r="G2419" s="1642" t="s">
        <v>1668</v>
      </c>
      <c r="H2419" s="1642" t="s">
        <v>1669</v>
      </c>
      <c r="I2419" s="1639" t="s">
        <v>1670</v>
      </c>
      <c r="J2419" s="1639" t="s">
        <v>1671</v>
      </c>
      <c r="K2419" s="1639" t="s">
        <v>1672</v>
      </c>
      <c r="L2419" s="1642" t="s">
        <v>1673</v>
      </c>
      <c r="M2419" s="291" t="s">
        <v>1674</v>
      </c>
      <c r="N2419" s="2152" t="s">
        <v>1675</v>
      </c>
      <c r="O2419" s="2152" t="s">
        <v>1676</v>
      </c>
      <c r="P2419" s="1658" t="s">
        <v>2175</v>
      </c>
      <c r="Q2419" s="453"/>
      <c r="R2419" s="453"/>
      <c r="S2419" s="453"/>
      <c r="T2419" s="453"/>
      <c r="U2419" s="453"/>
      <c r="V2419" s="453"/>
      <c r="W2419" s="453"/>
      <c r="X2419" s="21"/>
      <c r="Y2419" s="21"/>
    </row>
    <row r="2420" spans="1:25" s="1093" customFormat="1" ht="16" x14ac:dyDescent="0.2">
      <c r="A2420" s="523" t="s">
        <v>2153</v>
      </c>
      <c r="B2420" s="1636" t="s">
        <v>309</v>
      </c>
      <c r="C2420" s="1636" t="s">
        <v>309</v>
      </c>
      <c r="D2420" s="1636" t="s">
        <v>309</v>
      </c>
      <c r="E2420" s="1636" t="s">
        <v>309</v>
      </c>
      <c r="F2420" s="1636" t="s">
        <v>309</v>
      </c>
      <c r="G2420" s="1636" t="s">
        <v>309</v>
      </c>
      <c r="H2420" s="1636" t="s">
        <v>309</v>
      </c>
      <c r="I2420" s="1636" t="s">
        <v>309</v>
      </c>
      <c r="J2420" s="1636" t="s">
        <v>309</v>
      </c>
      <c r="K2420" s="1635" t="s">
        <v>309</v>
      </c>
      <c r="L2420" s="1636" t="s">
        <v>309</v>
      </c>
      <c r="M2420" s="1657" t="s">
        <v>309</v>
      </c>
      <c r="N2420" s="31" t="s">
        <v>309</v>
      </c>
      <c r="O2420" s="31" t="s">
        <v>309</v>
      </c>
      <c r="P2420" s="31" t="s">
        <v>309</v>
      </c>
      <c r="Q2420" s="1092"/>
      <c r="R2420" s="1092"/>
      <c r="S2420" s="1092"/>
      <c r="T2420" s="1092"/>
      <c r="U2420" s="1092"/>
      <c r="V2420" s="1092"/>
      <c r="W2420" s="1092"/>
    </row>
    <row r="2421" spans="1:25" s="21" customFormat="1" x14ac:dyDescent="0.2">
      <c r="A2421" s="407" t="s">
        <v>2155</v>
      </c>
      <c r="B2421" s="1640">
        <v>0</v>
      </c>
      <c r="C2421" s="1640">
        <v>0</v>
      </c>
      <c r="D2421" s="1640">
        <v>20</v>
      </c>
      <c r="E2421" s="1640">
        <v>29</v>
      </c>
      <c r="F2421" s="418">
        <v>45</v>
      </c>
      <c r="G2421" s="418">
        <v>0</v>
      </c>
      <c r="H2421" s="418">
        <v>0</v>
      </c>
      <c r="I2421" s="418">
        <v>6</v>
      </c>
      <c r="J2421" s="418">
        <v>0</v>
      </c>
      <c r="K2421" s="44">
        <v>0</v>
      </c>
      <c r="L2421" s="418">
        <v>0</v>
      </c>
      <c r="M2421" s="451">
        <v>0</v>
      </c>
      <c r="N2421" s="467">
        <v>0</v>
      </c>
      <c r="O2421" s="467">
        <v>0</v>
      </c>
      <c r="P2421" s="467"/>
      <c r="Q2421" s="453"/>
      <c r="R2421" s="453"/>
      <c r="S2421" s="453"/>
      <c r="T2421" s="453"/>
      <c r="U2421" s="453"/>
      <c r="V2421" s="453"/>
      <c r="W2421" s="453"/>
    </row>
    <row r="2422" spans="1:25" s="21" customFormat="1" x14ac:dyDescent="0.2">
      <c r="A2422" s="405" t="s">
        <v>2156</v>
      </c>
      <c r="B2422" s="468">
        <v>0</v>
      </c>
      <c r="C2422" s="468">
        <v>1</v>
      </c>
      <c r="D2422" s="468">
        <v>21</v>
      </c>
      <c r="E2422" s="468">
        <v>29</v>
      </c>
      <c r="F2422" s="451">
        <v>38</v>
      </c>
      <c r="G2422" s="451">
        <v>0</v>
      </c>
      <c r="H2422" s="451">
        <v>0</v>
      </c>
      <c r="I2422" s="451">
        <v>11</v>
      </c>
      <c r="J2422" s="451">
        <v>0</v>
      </c>
      <c r="K2422" s="41">
        <v>0</v>
      </c>
      <c r="L2422" s="451">
        <v>0</v>
      </c>
      <c r="M2422" s="451">
        <v>0</v>
      </c>
      <c r="N2422" s="467">
        <v>0</v>
      </c>
      <c r="O2422" s="467">
        <v>0</v>
      </c>
      <c r="P2422" s="467"/>
      <c r="Q2422" s="453"/>
      <c r="R2422" s="453"/>
      <c r="S2422" s="453"/>
      <c r="T2422" s="453"/>
      <c r="U2422" s="453"/>
      <c r="V2422" s="453"/>
      <c r="W2422" s="453"/>
    </row>
    <row r="2423" spans="1:25" s="21" customFormat="1" x14ac:dyDescent="0.2">
      <c r="A2423" s="405" t="s">
        <v>1343</v>
      </c>
      <c r="B2423" s="468">
        <v>26</v>
      </c>
      <c r="C2423" s="468">
        <v>24</v>
      </c>
      <c r="D2423" s="468">
        <v>24</v>
      </c>
      <c r="E2423" s="468">
        <v>0</v>
      </c>
      <c r="F2423" s="451">
        <v>15</v>
      </c>
      <c r="G2423" s="451">
        <v>11</v>
      </c>
      <c r="H2423" s="451">
        <v>0</v>
      </c>
      <c r="I2423" s="451">
        <v>0</v>
      </c>
      <c r="J2423" s="451">
        <v>0</v>
      </c>
      <c r="K2423" s="41">
        <v>0</v>
      </c>
      <c r="L2423" s="451">
        <v>0</v>
      </c>
      <c r="M2423" s="451">
        <v>0</v>
      </c>
      <c r="N2423" s="467">
        <v>0</v>
      </c>
      <c r="O2423" s="467">
        <v>0</v>
      </c>
      <c r="P2423" s="467"/>
      <c r="Q2423" s="453"/>
      <c r="R2423" s="453"/>
      <c r="S2423" s="453"/>
      <c r="T2423" s="453"/>
      <c r="U2423" s="453"/>
      <c r="V2423" s="453"/>
      <c r="W2423" s="453"/>
    </row>
    <row r="2424" spans="1:25" s="21" customFormat="1" x14ac:dyDescent="0.2">
      <c r="A2424" s="405" t="s">
        <v>2157</v>
      </c>
      <c r="B2424" s="451">
        <v>0</v>
      </c>
      <c r="C2424" s="451">
        <v>0</v>
      </c>
      <c r="D2424" s="451">
        <v>5</v>
      </c>
      <c r="E2424" s="451">
        <v>38</v>
      </c>
      <c r="F2424" s="451">
        <v>57</v>
      </c>
      <c r="G2424" s="451">
        <v>0</v>
      </c>
      <c r="H2424" s="451">
        <v>0</v>
      </c>
      <c r="I2424" s="451">
        <v>0</v>
      </c>
      <c r="J2424" s="451">
        <v>0</v>
      </c>
      <c r="K2424" s="41">
        <v>0</v>
      </c>
      <c r="L2424" s="451">
        <v>0</v>
      </c>
      <c r="M2424" s="451">
        <v>0</v>
      </c>
      <c r="N2424" s="467">
        <v>0</v>
      </c>
      <c r="O2424" s="467">
        <v>0</v>
      </c>
      <c r="P2424" s="467"/>
      <c r="Q2424" s="453"/>
      <c r="R2424" s="453"/>
      <c r="S2424" s="453"/>
      <c r="T2424" s="453"/>
      <c r="U2424" s="453"/>
      <c r="V2424" s="453"/>
      <c r="W2424" s="453"/>
    </row>
    <row r="2425" spans="1:25" s="21" customFormat="1" x14ac:dyDescent="0.2">
      <c r="A2425" s="405" t="s">
        <v>1351</v>
      </c>
      <c r="B2425" s="468">
        <v>0</v>
      </c>
      <c r="C2425" s="468">
        <v>43</v>
      </c>
      <c r="D2425" s="468">
        <v>29</v>
      </c>
      <c r="E2425" s="468">
        <v>0</v>
      </c>
      <c r="F2425" s="451">
        <v>26</v>
      </c>
      <c r="G2425" s="451">
        <v>2</v>
      </c>
      <c r="H2425" s="451">
        <v>0</v>
      </c>
      <c r="I2425" s="451">
        <v>0</v>
      </c>
      <c r="J2425" s="451">
        <v>0</v>
      </c>
      <c r="K2425" s="41">
        <v>0</v>
      </c>
      <c r="L2425" s="451">
        <v>0</v>
      </c>
      <c r="M2425" s="451">
        <v>0</v>
      </c>
      <c r="N2425" s="467">
        <v>0</v>
      </c>
      <c r="O2425" s="467">
        <v>0</v>
      </c>
      <c r="P2425" s="467"/>
      <c r="Q2425" s="453"/>
      <c r="R2425" s="453"/>
      <c r="S2425" s="453"/>
      <c r="T2425" s="453"/>
      <c r="U2425" s="453"/>
      <c r="V2425" s="453"/>
      <c r="W2425" s="453"/>
    </row>
    <row r="2426" spans="1:25" s="21" customFormat="1" x14ac:dyDescent="0.2">
      <c r="A2426" s="405" t="s">
        <v>1337</v>
      </c>
      <c r="B2426" s="451">
        <v>0</v>
      </c>
      <c r="C2426" s="451">
        <v>5</v>
      </c>
      <c r="D2426" s="451">
        <v>74</v>
      </c>
      <c r="E2426" s="451">
        <v>0</v>
      </c>
      <c r="F2426" s="451">
        <v>20</v>
      </c>
      <c r="G2426" s="451">
        <v>1</v>
      </c>
      <c r="H2426" s="451">
        <v>0</v>
      </c>
      <c r="I2426" s="451">
        <v>0</v>
      </c>
      <c r="J2426" s="451">
        <v>0</v>
      </c>
      <c r="K2426" s="41">
        <v>0</v>
      </c>
      <c r="L2426" s="451">
        <v>0</v>
      </c>
      <c r="M2426" s="451">
        <v>0</v>
      </c>
      <c r="N2426" s="467">
        <v>0</v>
      </c>
      <c r="O2426" s="467">
        <v>0</v>
      </c>
      <c r="P2426" s="467"/>
      <c r="Q2426" s="453"/>
      <c r="R2426" s="453"/>
      <c r="S2426" s="453"/>
      <c r="T2426" s="453"/>
      <c r="U2426" s="453"/>
      <c r="V2426" s="453"/>
      <c r="W2426" s="453"/>
    </row>
    <row r="2427" spans="1:25" s="21" customFormat="1" x14ac:dyDescent="0.2">
      <c r="A2427" s="405" t="s">
        <v>2158</v>
      </c>
      <c r="B2427" s="451">
        <v>0</v>
      </c>
      <c r="C2427" s="451">
        <v>5</v>
      </c>
      <c r="D2427" s="451">
        <v>74</v>
      </c>
      <c r="E2427" s="451">
        <v>0</v>
      </c>
      <c r="F2427" s="451">
        <v>20</v>
      </c>
      <c r="G2427" s="451">
        <v>1</v>
      </c>
      <c r="H2427" s="451">
        <v>0</v>
      </c>
      <c r="I2427" s="451">
        <v>0</v>
      </c>
      <c r="J2427" s="451">
        <v>0</v>
      </c>
      <c r="K2427" s="41">
        <v>0</v>
      </c>
      <c r="L2427" s="451">
        <v>0</v>
      </c>
      <c r="M2427" s="451">
        <v>0</v>
      </c>
      <c r="N2427" s="467">
        <v>0</v>
      </c>
      <c r="O2427" s="467">
        <v>0</v>
      </c>
      <c r="P2427" s="467"/>
      <c r="Q2427" s="453"/>
      <c r="R2427" s="453"/>
      <c r="S2427" s="453"/>
      <c r="T2427" s="453"/>
      <c r="U2427" s="453"/>
      <c r="V2427" s="453"/>
      <c r="W2427" s="453"/>
    </row>
    <row r="2428" spans="1:25" s="21" customFormat="1" x14ac:dyDescent="0.2">
      <c r="A2428" s="405" t="s">
        <v>1346</v>
      </c>
      <c r="B2428" s="451">
        <v>5</v>
      </c>
      <c r="C2428" s="451">
        <v>0</v>
      </c>
      <c r="D2428" s="451">
        <v>0</v>
      </c>
      <c r="E2428" s="451">
        <v>0</v>
      </c>
      <c r="F2428" s="451">
        <v>94</v>
      </c>
      <c r="G2428" s="451">
        <v>1</v>
      </c>
      <c r="H2428" s="451">
        <v>0</v>
      </c>
      <c r="I2428" s="451">
        <v>0</v>
      </c>
      <c r="J2428" s="451">
        <v>0</v>
      </c>
      <c r="K2428" s="41">
        <v>0</v>
      </c>
      <c r="L2428" s="451">
        <v>0</v>
      </c>
      <c r="M2428" s="451">
        <v>0</v>
      </c>
      <c r="N2428" s="467">
        <v>0</v>
      </c>
      <c r="O2428" s="467">
        <v>0</v>
      </c>
      <c r="P2428" s="467"/>
    </row>
    <row r="2429" spans="1:25" s="453" customFormat="1" x14ac:dyDescent="0.2">
      <c r="A2429" s="405" t="s">
        <v>2159</v>
      </c>
      <c r="B2429" s="451">
        <v>0</v>
      </c>
      <c r="C2429" s="451">
        <v>0</v>
      </c>
      <c r="D2429" s="451">
        <v>14</v>
      </c>
      <c r="E2429" s="451">
        <v>35</v>
      </c>
      <c r="F2429" s="451">
        <v>46</v>
      </c>
      <c r="G2429" s="451">
        <v>0</v>
      </c>
      <c r="H2429" s="451">
        <v>0</v>
      </c>
      <c r="I2429" s="451">
        <v>5</v>
      </c>
      <c r="J2429" s="451">
        <v>0</v>
      </c>
      <c r="K2429" s="41">
        <v>0</v>
      </c>
      <c r="L2429" s="451">
        <v>0</v>
      </c>
      <c r="M2429" s="451">
        <v>0</v>
      </c>
      <c r="N2429" s="467">
        <v>0</v>
      </c>
      <c r="O2429" s="467">
        <v>0</v>
      </c>
      <c r="P2429" s="467"/>
    </row>
    <row r="2430" spans="1:25" s="453" customFormat="1" x14ac:dyDescent="0.2">
      <c r="A2430" s="405" t="s">
        <v>2160</v>
      </c>
      <c r="B2430" s="451">
        <v>0</v>
      </c>
      <c r="C2430" s="451">
        <v>0</v>
      </c>
      <c r="D2430" s="451">
        <v>1</v>
      </c>
      <c r="E2430" s="451">
        <v>49</v>
      </c>
      <c r="F2430" s="451">
        <v>30</v>
      </c>
      <c r="G2430" s="451">
        <v>0</v>
      </c>
      <c r="H2430" s="451">
        <v>0</v>
      </c>
      <c r="I2430" s="451">
        <v>20</v>
      </c>
      <c r="J2430" s="451">
        <v>0</v>
      </c>
      <c r="K2430" s="41">
        <v>0</v>
      </c>
      <c r="L2430" s="451">
        <v>0</v>
      </c>
      <c r="M2430" s="451">
        <v>0</v>
      </c>
      <c r="N2430" s="467">
        <v>0</v>
      </c>
      <c r="O2430" s="467">
        <v>0</v>
      </c>
      <c r="P2430" s="467"/>
    </row>
    <row r="2431" spans="1:25" s="535" customFormat="1" x14ac:dyDescent="0.2">
      <c r="A2431" s="518" t="s">
        <v>2176</v>
      </c>
      <c r="F2431" s="1624"/>
      <c r="G2431" s="1624"/>
      <c r="H2431" s="1624"/>
      <c r="I2431" s="1624"/>
      <c r="J2431" s="1624"/>
      <c r="K2431" s="1624"/>
      <c r="L2431" s="1624"/>
      <c r="M2431" s="1624"/>
      <c r="N2431" s="1624"/>
    </row>
    <row r="2432" spans="1:25" s="292" customFormat="1" x14ac:dyDescent="0.2"/>
    <row r="2434" spans="1:24" s="125" customFormat="1" x14ac:dyDescent="0.2">
      <c r="A2434" s="377" t="s">
        <v>2171</v>
      </c>
      <c r="D2434" s="1075"/>
      <c r="E2434" s="1075"/>
      <c r="F2434" s="1075"/>
      <c r="G2434" s="1075"/>
      <c r="H2434" s="1075"/>
      <c r="I2434" s="1075"/>
      <c r="L2434" s="1075"/>
    </row>
    <row r="2435" spans="1:24" s="773" customFormat="1" ht="16.25" customHeight="1" x14ac:dyDescent="0.2">
      <c r="A2435" s="753" t="s">
        <v>5279</v>
      </c>
      <c r="B2435" s="442" t="s">
        <v>2172</v>
      </c>
      <c r="C2435" s="442" t="s">
        <v>2172</v>
      </c>
      <c r="D2435" s="442" t="s">
        <v>2172</v>
      </c>
      <c r="E2435" s="442" t="s">
        <v>2172</v>
      </c>
      <c r="F2435" s="442" t="s">
        <v>2172</v>
      </c>
      <c r="G2435" s="442" t="s">
        <v>2172</v>
      </c>
      <c r="H2435" s="442" t="s">
        <v>2172</v>
      </c>
      <c r="I2435" s="442" t="s">
        <v>2172</v>
      </c>
      <c r="J2435" s="442" t="s">
        <v>2173</v>
      </c>
      <c r="K2435" s="442" t="s">
        <v>2173</v>
      </c>
      <c r="L2435" s="442" t="s">
        <v>2172</v>
      </c>
      <c r="M2435" s="442" t="s">
        <v>2172</v>
      </c>
      <c r="N2435" s="442" t="s">
        <v>2172</v>
      </c>
      <c r="O2435" s="442" t="s">
        <v>2172</v>
      </c>
      <c r="P2435" s="442"/>
      <c r="Q2435" s="442"/>
      <c r="R2435" s="442"/>
      <c r="S2435" s="442"/>
      <c r="T2435" s="442"/>
      <c r="U2435" s="442"/>
      <c r="V2435" s="442"/>
    </row>
    <row r="2436" spans="1:24" s="291" customFormat="1" ht="16" x14ac:dyDescent="0.2">
      <c r="A2436" s="1641" t="s">
        <v>57</v>
      </c>
      <c r="B2436" s="1642" t="s">
        <v>1664</v>
      </c>
      <c r="C2436" s="1642" t="s">
        <v>1665</v>
      </c>
      <c r="D2436" s="1642" t="s">
        <v>1666</v>
      </c>
      <c r="E2436" s="1642" t="s">
        <v>1667</v>
      </c>
      <c r="F2436" s="1642" t="s">
        <v>2174</v>
      </c>
      <c r="G2436" s="1642" t="s">
        <v>1668</v>
      </c>
      <c r="H2436" s="1642" t="s">
        <v>1669</v>
      </c>
      <c r="I2436" s="1639" t="s">
        <v>1670</v>
      </c>
      <c r="J2436" s="1639" t="s">
        <v>1671</v>
      </c>
      <c r="K2436" s="1639" t="s">
        <v>1672</v>
      </c>
      <c r="L2436" s="1642" t="s">
        <v>1673</v>
      </c>
      <c r="M2436" s="291" t="s">
        <v>1674</v>
      </c>
      <c r="N2436" s="2152" t="s">
        <v>1675</v>
      </c>
      <c r="O2436" s="2152" t="s">
        <v>1676</v>
      </c>
      <c r="P2436" s="1658" t="s">
        <v>2175</v>
      </c>
      <c r="Q2436" s="453"/>
      <c r="R2436" s="453"/>
      <c r="S2436" s="453"/>
      <c r="T2436" s="453"/>
      <c r="U2436" s="453"/>
      <c r="V2436" s="453"/>
      <c r="W2436" s="21"/>
      <c r="X2436" s="21"/>
    </row>
    <row r="2437" spans="1:24" s="1093" customFormat="1" ht="16" x14ac:dyDescent="0.2">
      <c r="A2437" s="523" t="s">
        <v>2153</v>
      </c>
      <c r="B2437" s="1636" t="s">
        <v>309</v>
      </c>
      <c r="C2437" s="1636" t="s">
        <v>309</v>
      </c>
      <c r="D2437" s="1636" t="s">
        <v>309</v>
      </c>
      <c r="E2437" s="1636" t="s">
        <v>309</v>
      </c>
      <c r="F2437" s="1636" t="s">
        <v>309</v>
      </c>
      <c r="G2437" s="1636" t="s">
        <v>309</v>
      </c>
      <c r="H2437" s="1636" t="s">
        <v>309</v>
      </c>
      <c r="I2437" s="1636" t="s">
        <v>309</v>
      </c>
      <c r="J2437" s="1636" t="s">
        <v>309</v>
      </c>
      <c r="K2437" s="1635" t="s">
        <v>309</v>
      </c>
      <c r="L2437" s="1636" t="s">
        <v>309</v>
      </c>
      <c r="M2437" s="1657" t="s">
        <v>309</v>
      </c>
      <c r="N2437" s="31" t="s">
        <v>309</v>
      </c>
      <c r="O2437" s="31" t="s">
        <v>309</v>
      </c>
      <c r="P2437" s="31" t="s">
        <v>309</v>
      </c>
      <c r="Q2437" s="1092"/>
      <c r="R2437" s="1092"/>
      <c r="S2437" s="1092"/>
      <c r="T2437" s="1092"/>
      <c r="U2437" s="1092"/>
      <c r="V2437" s="1092"/>
    </row>
    <row r="2438" spans="1:24" s="21" customFormat="1" x14ac:dyDescent="0.2">
      <c r="A2438" s="407" t="s">
        <v>2155</v>
      </c>
      <c r="B2438" s="1640">
        <v>0</v>
      </c>
      <c r="C2438" s="1640">
        <v>0</v>
      </c>
      <c r="D2438" s="1640">
        <v>15</v>
      </c>
      <c r="E2438" s="1640">
        <v>30</v>
      </c>
      <c r="F2438" s="418">
        <v>50</v>
      </c>
      <c r="G2438" s="418">
        <v>0</v>
      </c>
      <c r="H2438" s="418">
        <v>0</v>
      </c>
      <c r="I2438" s="418">
        <v>5</v>
      </c>
      <c r="J2438" s="418">
        <v>0</v>
      </c>
      <c r="K2438" s="44">
        <v>0</v>
      </c>
      <c r="L2438" s="1640">
        <v>0</v>
      </c>
      <c r="M2438" s="451">
        <v>0</v>
      </c>
      <c r="N2438" s="467">
        <v>0</v>
      </c>
      <c r="O2438" s="467">
        <v>0</v>
      </c>
      <c r="P2438" s="467"/>
      <c r="Q2438" s="453"/>
      <c r="R2438" s="453"/>
      <c r="S2438" s="453"/>
      <c r="T2438" s="453"/>
      <c r="U2438" s="453"/>
      <c r="V2438" s="453"/>
    </row>
    <row r="2439" spans="1:24" s="21" customFormat="1" x14ac:dyDescent="0.2">
      <c r="A2439" s="405" t="s">
        <v>2156</v>
      </c>
      <c r="B2439" s="468">
        <v>0</v>
      </c>
      <c r="C2439" s="468">
        <v>0</v>
      </c>
      <c r="D2439" s="468">
        <v>29</v>
      </c>
      <c r="E2439" s="468">
        <v>28</v>
      </c>
      <c r="F2439" s="451">
        <v>36</v>
      </c>
      <c r="G2439" s="451">
        <v>0</v>
      </c>
      <c r="H2439" s="451">
        <v>0</v>
      </c>
      <c r="I2439" s="451">
        <v>7</v>
      </c>
      <c r="J2439" s="451">
        <v>0</v>
      </c>
      <c r="K2439" s="41">
        <v>0</v>
      </c>
      <c r="L2439" s="451">
        <v>0</v>
      </c>
      <c r="M2439" s="451">
        <v>0</v>
      </c>
      <c r="N2439" s="467">
        <v>0</v>
      </c>
      <c r="O2439" s="467">
        <v>0</v>
      </c>
      <c r="P2439" s="467"/>
      <c r="Q2439" s="453"/>
      <c r="R2439" s="453"/>
      <c r="S2439" s="453"/>
      <c r="T2439" s="453"/>
      <c r="U2439" s="453"/>
      <c r="V2439" s="453"/>
    </row>
    <row r="2440" spans="1:24" s="21" customFormat="1" x14ac:dyDescent="0.2">
      <c r="A2440" s="405" t="s">
        <v>1343</v>
      </c>
      <c r="B2440" s="468">
        <v>0</v>
      </c>
      <c r="C2440" s="468">
        <v>1</v>
      </c>
      <c r="D2440" s="468">
        <v>43</v>
      </c>
      <c r="E2440" s="468">
        <v>14</v>
      </c>
      <c r="F2440" s="451">
        <v>42</v>
      </c>
      <c r="G2440" s="451">
        <v>0</v>
      </c>
      <c r="H2440" s="451">
        <v>0</v>
      </c>
      <c r="I2440" s="451">
        <v>0</v>
      </c>
      <c r="J2440" s="451">
        <v>0</v>
      </c>
      <c r="K2440" s="41">
        <v>0</v>
      </c>
      <c r="L2440" s="468">
        <v>0</v>
      </c>
      <c r="M2440" s="451">
        <v>0</v>
      </c>
      <c r="N2440" s="467">
        <v>0</v>
      </c>
      <c r="O2440" s="467">
        <v>0</v>
      </c>
      <c r="P2440" s="467"/>
      <c r="Q2440" s="453"/>
      <c r="R2440" s="453"/>
      <c r="S2440" s="453"/>
      <c r="T2440" s="453"/>
      <c r="U2440" s="453"/>
      <c r="V2440" s="453"/>
    </row>
    <row r="2441" spans="1:24" s="21" customFormat="1" x14ac:dyDescent="0.2">
      <c r="A2441" s="405" t="s">
        <v>2157</v>
      </c>
      <c r="B2441" s="451">
        <v>0</v>
      </c>
      <c r="C2441" s="451">
        <v>0</v>
      </c>
      <c r="D2441" s="451">
        <v>3</v>
      </c>
      <c r="E2441" s="451">
        <v>5</v>
      </c>
      <c r="F2441" s="451">
        <v>92</v>
      </c>
      <c r="G2441" s="451">
        <v>0</v>
      </c>
      <c r="H2441" s="451">
        <v>0</v>
      </c>
      <c r="I2441" s="451">
        <v>0</v>
      </c>
      <c r="J2441" s="451">
        <v>0</v>
      </c>
      <c r="K2441" s="41">
        <v>0</v>
      </c>
      <c r="L2441" s="451">
        <v>0</v>
      </c>
      <c r="M2441" s="451">
        <v>0</v>
      </c>
      <c r="N2441" s="467">
        <v>0</v>
      </c>
      <c r="O2441" s="467">
        <v>0</v>
      </c>
      <c r="P2441" s="467"/>
      <c r="Q2441" s="453"/>
      <c r="R2441" s="453"/>
      <c r="S2441" s="453"/>
      <c r="T2441" s="453"/>
      <c r="U2441" s="453"/>
      <c r="V2441" s="453"/>
    </row>
    <row r="2442" spans="1:24" s="21" customFormat="1" x14ac:dyDescent="0.2">
      <c r="A2442" s="405" t="s">
        <v>1351</v>
      </c>
      <c r="B2442" s="468">
        <v>0</v>
      </c>
      <c r="C2442" s="468">
        <v>22</v>
      </c>
      <c r="D2442" s="468">
        <v>26</v>
      </c>
      <c r="E2442" s="468">
        <v>0</v>
      </c>
      <c r="F2442" s="451">
        <v>48</v>
      </c>
      <c r="G2442" s="451">
        <v>4</v>
      </c>
      <c r="H2442" s="451">
        <v>0</v>
      </c>
      <c r="I2442" s="451">
        <v>0</v>
      </c>
      <c r="J2442" s="451">
        <v>0</v>
      </c>
      <c r="K2442" s="41">
        <v>0</v>
      </c>
      <c r="L2442" s="451">
        <v>0</v>
      </c>
      <c r="M2442" s="451">
        <v>0</v>
      </c>
      <c r="N2442" s="467">
        <v>0</v>
      </c>
      <c r="O2442" s="467">
        <v>0</v>
      </c>
      <c r="P2442" s="467"/>
      <c r="Q2442" s="453"/>
      <c r="R2442" s="453"/>
      <c r="S2442" s="453"/>
      <c r="T2442" s="453"/>
      <c r="U2442" s="453"/>
      <c r="V2442" s="453"/>
    </row>
    <row r="2443" spans="1:24" s="21" customFormat="1" x14ac:dyDescent="0.2">
      <c r="A2443" s="405" t="s">
        <v>1337</v>
      </c>
      <c r="B2443" s="451">
        <v>0</v>
      </c>
      <c r="C2443" s="451">
        <v>64</v>
      </c>
      <c r="D2443" s="451">
        <v>5</v>
      </c>
      <c r="E2443" s="451">
        <v>0</v>
      </c>
      <c r="F2443" s="451">
        <v>31</v>
      </c>
      <c r="G2443" s="451">
        <v>0</v>
      </c>
      <c r="H2443" s="451">
        <v>0</v>
      </c>
      <c r="I2443" s="451">
        <v>0</v>
      </c>
      <c r="J2443" s="451">
        <v>0</v>
      </c>
      <c r="K2443" s="41">
        <v>0</v>
      </c>
      <c r="L2443" s="451">
        <v>0</v>
      </c>
      <c r="M2443" s="451">
        <v>0</v>
      </c>
      <c r="N2443" s="467">
        <v>0</v>
      </c>
      <c r="O2443" s="467">
        <v>0</v>
      </c>
      <c r="P2443" s="467"/>
      <c r="Q2443" s="453"/>
      <c r="R2443" s="453"/>
      <c r="S2443" s="453"/>
      <c r="T2443" s="453"/>
      <c r="U2443" s="453"/>
      <c r="V2443" s="453"/>
    </row>
    <row r="2444" spans="1:24" s="21" customFormat="1" x14ac:dyDescent="0.2">
      <c r="A2444" s="405" t="s">
        <v>2158</v>
      </c>
      <c r="B2444" s="451">
        <v>0</v>
      </c>
      <c r="C2444" s="451">
        <v>64</v>
      </c>
      <c r="D2444" s="451">
        <v>5</v>
      </c>
      <c r="E2444" s="451">
        <v>0</v>
      </c>
      <c r="F2444" s="451">
        <v>31</v>
      </c>
      <c r="G2444" s="451">
        <v>0</v>
      </c>
      <c r="H2444" s="451">
        <v>0</v>
      </c>
      <c r="I2444" s="451">
        <v>0</v>
      </c>
      <c r="J2444" s="451">
        <v>0</v>
      </c>
      <c r="K2444" s="41">
        <v>0</v>
      </c>
      <c r="L2444" s="451">
        <v>0</v>
      </c>
      <c r="M2444" s="451">
        <v>0</v>
      </c>
      <c r="N2444" s="467">
        <v>0</v>
      </c>
      <c r="O2444" s="467">
        <v>0</v>
      </c>
      <c r="P2444" s="467"/>
      <c r="Q2444" s="453"/>
      <c r="R2444" s="453"/>
      <c r="S2444" s="453"/>
      <c r="T2444" s="453"/>
      <c r="U2444" s="453"/>
      <c r="V2444" s="453"/>
    </row>
    <row r="2445" spans="1:24" s="21" customFormat="1" x14ac:dyDescent="0.2">
      <c r="A2445" s="405" t="s">
        <v>1346</v>
      </c>
      <c r="B2445" s="451">
        <v>0</v>
      </c>
      <c r="C2445" s="451">
        <v>0</v>
      </c>
      <c r="D2445" s="451">
        <v>0</v>
      </c>
      <c r="E2445" s="451">
        <v>0</v>
      </c>
      <c r="F2445" s="451">
        <v>100</v>
      </c>
      <c r="G2445" s="451">
        <v>0</v>
      </c>
      <c r="H2445" s="451">
        <v>0</v>
      </c>
      <c r="I2445" s="451">
        <v>0</v>
      </c>
      <c r="J2445" s="451">
        <v>0</v>
      </c>
      <c r="K2445" s="41">
        <v>0</v>
      </c>
      <c r="L2445" s="468">
        <v>0</v>
      </c>
      <c r="M2445" s="451">
        <v>0</v>
      </c>
      <c r="N2445" s="467">
        <v>0</v>
      </c>
      <c r="O2445" s="467">
        <v>0</v>
      </c>
      <c r="P2445" s="467"/>
    </row>
    <row r="2446" spans="1:24" s="453" customFormat="1" x14ac:dyDescent="0.2">
      <c r="A2446" s="405" t="s">
        <v>2159</v>
      </c>
      <c r="B2446" s="451">
        <v>0</v>
      </c>
      <c r="C2446" s="451">
        <v>0</v>
      </c>
      <c r="D2446" s="451">
        <v>5</v>
      </c>
      <c r="E2446" s="451">
        <v>46</v>
      </c>
      <c r="F2446" s="451">
        <v>42</v>
      </c>
      <c r="G2446" s="451">
        <v>0</v>
      </c>
      <c r="H2446" s="451">
        <v>0</v>
      </c>
      <c r="I2446" s="451">
        <v>7</v>
      </c>
      <c r="J2446" s="451">
        <v>0</v>
      </c>
      <c r="K2446" s="41">
        <v>0</v>
      </c>
      <c r="L2446" s="451">
        <v>0</v>
      </c>
      <c r="M2446" s="451">
        <v>0</v>
      </c>
      <c r="N2446" s="467">
        <v>0</v>
      </c>
      <c r="O2446" s="467">
        <v>0</v>
      </c>
      <c r="P2446" s="467"/>
    </row>
    <row r="2447" spans="1:24" s="453" customFormat="1" x14ac:dyDescent="0.2">
      <c r="A2447" s="405" t="s">
        <v>2160</v>
      </c>
      <c r="B2447" s="451">
        <v>0</v>
      </c>
      <c r="C2447" s="451">
        <v>0</v>
      </c>
      <c r="D2447" s="451">
        <v>1</v>
      </c>
      <c r="E2447" s="451">
        <v>49</v>
      </c>
      <c r="F2447" s="451">
        <v>30</v>
      </c>
      <c r="G2447" s="451">
        <v>0</v>
      </c>
      <c r="H2447" s="451">
        <v>0</v>
      </c>
      <c r="I2447" s="451">
        <v>20</v>
      </c>
      <c r="J2447" s="451">
        <v>0</v>
      </c>
      <c r="K2447" s="41">
        <v>0</v>
      </c>
      <c r="L2447" s="468">
        <v>0</v>
      </c>
      <c r="M2447" s="451">
        <v>0</v>
      </c>
      <c r="N2447" s="467">
        <v>0</v>
      </c>
      <c r="O2447" s="467">
        <v>0</v>
      </c>
      <c r="P2447" s="467"/>
    </row>
    <row r="2448" spans="1:24" s="535" customFormat="1" x14ac:dyDescent="0.2">
      <c r="A2448" s="518" t="s">
        <v>2176</v>
      </c>
      <c r="F2448" s="1624"/>
      <c r="G2448" s="1624"/>
      <c r="H2448" s="1624"/>
      <c r="I2448" s="1624"/>
      <c r="J2448" s="1624"/>
      <c r="K2448" s="1624"/>
      <c r="L2448" s="1624"/>
      <c r="M2448" s="1624"/>
      <c r="N2448" s="1624"/>
    </row>
    <row r="2449" spans="1:24" s="292" customFormat="1" x14ac:dyDescent="0.2"/>
    <row r="2451" spans="1:24" s="125" customFormat="1" x14ac:dyDescent="0.2">
      <c r="A2451" s="377" t="s">
        <v>2171</v>
      </c>
      <c r="D2451" s="1075"/>
      <c r="E2451" s="1075"/>
      <c r="F2451" s="1075"/>
      <c r="G2451" s="1075"/>
      <c r="H2451" s="1075"/>
      <c r="I2451" s="1075"/>
      <c r="L2451" s="1075"/>
    </row>
    <row r="2452" spans="1:24" s="773" customFormat="1" ht="16.25" customHeight="1" x14ac:dyDescent="0.2">
      <c r="A2452" s="753" t="s">
        <v>5280</v>
      </c>
      <c r="B2452" s="442" t="s">
        <v>2172</v>
      </c>
      <c r="C2452" s="442" t="s">
        <v>2172</v>
      </c>
      <c r="D2452" s="442" t="s">
        <v>2172</v>
      </c>
      <c r="E2452" s="442" t="s">
        <v>2172</v>
      </c>
      <c r="F2452" s="442" t="s">
        <v>2172</v>
      </c>
      <c r="G2452" s="442" t="s">
        <v>2172</v>
      </c>
      <c r="H2452" s="442" t="s">
        <v>2172</v>
      </c>
      <c r="I2452" s="442" t="s">
        <v>2172</v>
      </c>
      <c r="J2452" s="442" t="s">
        <v>2173</v>
      </c>
      <c r="K2452" s="442" t="s">
        <v>2173</v>
      </c>
      <c r="L2452" s="442" t="s">
        <v>2172</v>
      </c>
      <c r="M2452" s="442" t="s">
        <v>2172</v>
      </c>
      <c r="N2452" s="442" t="s">
        <v>2172</v>
      </c>
      <c r="O2452" s="442" t="s">
        <v>2172</v>
      </c>
      <c r="P2452" s="442"/>
      <c r="Q2452" s="442"/>
      <c r="R2452" s="442"/>
      <c r="S2452" s="442"/>
      <c r="T2452" s="442"/>
      <c r="U2452" s="442"/>
      <c r="V2452" s="442"/>
    </row>
    <row r="2453" spans="1:24" s="291" customFormat="1" ht="16" x14ac:dyDescent="0.2">
      <c r="A2453" s="1641" t="s">
        <v>57</v>
      </c>
      <c r="B2453" s="1642" t="s">
        <v>1664</v>
      </c>
      <c r="C2453" s="1642" t="s">
        <v>1665</v>
      </c>
      <c r="D2453" s="1642" t="s">
        <v>1666</v>
      </c>
      <c r="E2453" s="1642" t="s">
        <v>1667</v>
      </c>
      <c r="F2453" s="1642" t="s">
        <v>2174</v>
      </c>
      <c r="G2453" s="1642" t="s">
        <v>1668</v>
      </c>
      <c r="H2453" s="1642" t="s">
        <v>1669</v>
      </c>
      <c r="I2453" s="1639" t="s">
        <v>1670</v>
      </c>
      <c r="J2453" s="1639" t="s">
        <v>1671</v>
      </c>
      <c r="K2453" s="1639" t="s">
        <v>1672</v>
      </c>
      <c r="L2453" s="1642" t="s">
        <v>1673</v>
      </c>
      <c r="M2453" s="291" t="s">
        <v>1674</v>
      </c>
      <c r="N2453" s="2152" t="s">
        <v>1675</v>
      </c>
      <c r="O2453" s="2152" t="s">
        <v>1676</v>
      </c>
      <c r="P2453" s="1658" t="s">
        <v>2175</v>
      </c>
      <c r="Q2453" s="453"/>
      <c r="R2453" s="453"/>
      <c r="S2453" s="453"/>
      <c r="T2453" s="453"/>
      <c r="U2453" s="453"/>
      <c r="V2453" s="453"/>
      <c r="W2453" s="21"/>
      <c r="X2453" s="21"/>
    </row>
    <row r="2454" spans="1:24" s="1093" customFormat="1" ht="16" x14ac:dyDescent="0.2">
      <c r="A2454" s="523" t="s">
        <v>2153</v>
      </c>
      <c r="B2454" s="1636" t="s">
        <v>309</v>
      </c>
      <c r="C2454" s="1636" t="s">
        <v>309</v>
      </c>
      <c r="D2454" s="1636" t="s">
        <v>309</v>
      </c>
      <c r="E2454" s="1636" t="s">
        <v>309</v>
      </c>
      <c r="F2454" s="1636" t="s">
        <v>309</v>
      </c>
      <c r="G2454" s="1636" t="s">
        <v>309</v>
      </c>
      <c r="H2454" s="1636" t="s">
        <v>309</v>
      </c>
      <c r="I2454" s="1636" t="s">
        <v>309</v>
      </c>
      <c r="J2454" s="1636" t="s">
        <v>309</v>
      </c>
      <c r="K2454" s="1635" t="s">
        <v>309</v>
      </c>
      <c r="L2454" s="1636" t="s">
        <v>309</v>
      </c>
      <c r="M2454" s="1657" t="s">
        <v>309</v>
      </c>
      <c r="N2454" s="31" t="s">
        <v>309</v>
      </c>
      <c r="O2454" s="31" t="s">
        <v>309</v>
      </c>
      <c r="P2454" s="31" t="s">
        <v>309</v>
      </c>
      <c r="Q2454" s="1092"/>
      <c r="R2454" s="1092"/>
      <c r="S2454" s="1092"/>
      <c r="T2454" s="1092"/>
      <c r="U2454" s="1092"/>
      <c r="V2454" s="1092"/>
    </row>
    <row r="2455" spans="1:24" s="21" customFormat="1" x14ac:dyDescent="0.2">
      <c r="A2455" s="407" t="s">
        <v>2155</v>
      </c>
      <c r="B2455" s="1640">
        <v>0</v>
      </c>
      <c r="C2455" s="1640">
        <v>0</v>
      </c>
      <c r="D2455" s="1640">
        <v>0</v>
      </c>
      <c r="E2455" s="1640">
        <v>0</v>
      </c>
      <c r="F2455" s="1640">
        <v>0</v>
      </c>
      <c r="G2455" s="1640">
        <v>0</v>
      </c>
      <c r="H2455" s="1640">
        <v>0</v>
      </c>
      <c r="I2455" s="1640">
        <v>0</v>
      </c>
      <c r="J2455" s="418">
        <v>0</v>
      </c>
      <c r="K2455" s="44">
        <v>0</v>
      </c>
      <c r="L2455" s="1640">
        <v>0</v>
      </c>
      <c r="M2455" s="451">
        <v>0</v>
      </c>
      <c r="N2455" s="467">
        <v>0</v>
      </c>
      <c r="O2455" s="467">
        <v>0</v>
      </c>
      <c r="P2455" s="467"/>
      <c r="Q2455" s="453"/>
      <c r="R2455" s="453"/>
      <c r="S2455" s="453"/>
      <c r="T2455" s="453"/>
      <c r="U2455" s="453"/>
      <c r="V2455" s="453"/>
    </row>
    <row r="2456" spans="1:24" s="21" customFormat="1" x14ac:dyDescent="0.2">
      <c r="A2456" s="405" t="s">
        <v>2156</v>
      </c>
      <c r="B2456" s="468">
        <v>0</v>
      </c>
      <c r="C2456" s="468">
        <v>0</v>
      </c>
      <c r="D2456" s="468">
        <v>10</v>
      </c>
      <c r="E2456" s="468">
        <v>58</v>
      </c>
      <c r="F2456" s="451">
        <v>29</v>
      </c>
      <c r="G2456" s="451">
        <v>0</v>
      </c>
      <c r="H2456" s="451">
        <v>0</v>
      </c>
      <c r="I2456" s="451">
        <v>3</v>
      </c>
      <c r="J2456" s="451">
        <v>0</v>
      </c>
      <c r="K2456" s="41">
        <v>0</v>
      </c>
      <c r="L2456" s="451">
        <v>0</v>
      </c>
      <c r="M2456" s="451">
        <v>0</v>
      </c>
      <c r="N2456" s="467">
        <v>0</v>
      </c>
      <c r="O2456" s="467">
        <v>0</v>
      </c>
      <c r="P2456" s="467"/>
      <c r="Q2456" s="453"/>
      <c r="R2456" s="453"/>
      <c r="S2456" s="453"/>
      <c r="T2456" s="453"/>
      <c r="U2456" s="453"/>
      <c r="V2456" s="453"/>
    </row>
    <row r="2457" spans="1:24" s="21" customFormat="1" x14ac:dyDescent="0.2">
      <c r="A2457" s="405" t="s">
        <v>1343</v>
      </c>
      <c r="B2457" s="468">
        <v>0</v>
      </c>
      <c r="C2457" s="468">
        <v>43</v>
      </c>
      <c r="D2457" s="468">
        <v>40</v>
      </c>
      <c r="E2457" s="468">
        <v>0</v>
      </c>
      <c r="F2457" s="451">
        <v>17</v>
      </c>
      <c r="G2457" s="451">
        <v>0</v>
      </c>
      <c r="H2457" s="451">
        <v>0</v>
      </c>
      <c r="I2457" s="451">
        <v>0</v>
      </c>
      <c r="J2457" s="451">
        <v>0</v>
      </c>
      <c r="K2457" s="41">
        <v>0</v>
      </c>
      <c r="L2457" s="468">
        <v>0</v>
      </c>
      <c r="M2457" s="451">
        <v>0</v>
      </c>
      <c r="N2457" s="467">
        <v>0</v>
      </c>
      <c r="O2457" s="467">
        <v>0</v>
      </c>
      <c r="P2457" s="467"/>
      <c r="Q2457" s="453"/>
      <c r="R2457" s="453"/>
      <c r="S2457" s="453"/>
      <c r="T2457" s="453"/>
      <c r="U2457" s="453"/>
      <c r="V2457" s="453"/>
    </row>
    <row r="2458" spans="1:24" s="21" customFormat="1" x14ac:dyDescent="0.2">
      <c r="A2458" s="405" t="s">
        <v>2157</v>
      </c>
      <c r="B2458" s="451">
        <v>0</v>
      </c>
      <c r="C2458" s="451">
        <v>0</v>
      </c>
      <c r="D2458" s="451">
        <v>2</v>
      </c>
      <c r="E2458" s="451">
        <v>48</v>
      </c>
      <c r="F2458" s="451">
        <v>50</v>
      </c>
      <c r="G2458" s="451">
        <v>0</v>
      </c>
      <c r="H2458" s="451">
        <v>0</v>
      </c>
      <c r="I2458" s="451">
        <v>0</v>
      </c>
      <c r="J2458" s="451">
        <v>0</v>
      </c>
      <c r="K2458" s="41">
        <v>0</v>
      </c>
      <c r="L2458" s="451">
        <v>0</v>
      </c>
      <c r="M2458" s="451">
        <v>0</v>
      </c>
      <c r="N2458" s="467">
        <v>0</v>
      </c>
      <c r="O2458" s="467">
        <v>0</v>
      </c>
      <c r="P2458" s="467"/>
      <c r="Q2458" s="453"/>
      <c r="R2458" s="453"/>
      <c r="S2458" s="453"/>
      <c r="T2458" s="453"/>
      <c r="U2458" s="453"/>
      <c r="V2458" s="453"/>
    </row>
    <row r="2459" spans="1:24" s="21" customFormat="1" x14ac:dyDescent="0.2">
      <c r="A2459" s="405" t="s">
        <v>1351</v>
      </c>
      <c r="B2459" s="468">
        <v>0</v>
      </c>
      <c r="C2459" s="468">
        <v>34</v>
      </c>
      <c r="D2459" s="468">
        <v>63</v>
      </c>
      <c r="E2459" s="468">
        <v>0</v>
      </c>
      <c r="F2459" s="451">
        <v>3</v>
      </c>
      <c r="G2459" s="451">
        <v>0</v>
      </c>
      <c r="H2459" s="451">
        <v>0</v>
      </c>
      <c r="I2459" s="451">
        <v>0</v>
      </c>
      <c r="J2459" s="451">
        <v>0</v>
      </c>
      <c r="K2459" s="41">
        <v>0</v>
      </c>
      <c r="L2459" s="451">
        <v>0</v>
      </c>
      <c r="M2459" s="451">
        <v>0</v>
      </c>
      <c r="N2459" s="467">
        <v>0</v>
      </c>
      <c r="O2459" s="467">
        <v>0</v>
      </c>
      <c r="P2459" s="467"/>
      <c r="Q2459" s="453"/>
      <c r="R2459" s="453"/>
      <c r="S2459" s="453"/>
      <c r="T2459" s="453"/>
      <c r="U2459" s="453"/>
      <c r="V2459" s="453"/>
    </row>
    <row r="2460" spans="1:24" s="21" customFormat="1" x14ac:dyDescent="0.2">
      <c r="A2460" s="405" t="s">
        <v>1337</v>
      </c>
      <c r="B2460" s="451">
        <v>0</v>
      </c>
      <c r="C2460" s="451">
        <v>18</v>
      </c>
      <c r="D2460" s="451">
        <v>68</v>
      </c>
      <c r="E2460" s="451">
        <v>0</v>
      </c>
      <c r="F2460" s="451">
        <v>13</v>
      </c>
      <c r="G2460" s="451">
        <v>1</v>
      </c>
      <c r="H2460" s="451">
        <v>0</v>
      </c>
      <c r="I2460" s="451">
        <v>0</v>
      </c>
      <c r="J2460" s="451">
        <v>0</v>
      </c>
      <c r="K2460" s="41">
        <v>0</v>
      </c>
      <c r="L2460" s="451">
        <v>0</v>
      </c>
      <c r="M2460" s="451">
        <v>0</v>
      </c>
      <c r="N2460" s="467">
        <v>0</v>
      </c>
      <c r="O2460" s="467">
        <v>0</v>
      </c>
      <c r="P2460" s="467"/>
      <c r="Q2460" s="453"/>
      <c r="R2460" s="453"/>
      <c r="S2460" s="453"/>
      <c r="T2460" s="453"/>
      <c r="U2460" s="453"/>
      <c r="V2460" s="453"/>
    </row>
    <row r="2461" spans="1:24" s="21" customFormat="1" x14ac:dyDescent="0.2">
      <c r="A2461" s="405" t="s">
        <v>2158</v>
      </c>
      <c r="B2461" s="451">
        <v>0</v>
      </c>
      <c r="C2461" s="451">
        <v>18</v>
      </c>
      <c r="D2461" s="451">
        <v>68</v>
      </c>
      <c r="E2461" s="451">
        <v>0</v>
      </c>
      <c r="F2461" s="451">
        <v>13</v>
      </c>
      <c r="G2461" s="451">
        <v>1</v>
      </c>
      <c r="H2461" s="451">
        <v>0</v>
      </c>
      <c r="I2461" s="451">
        <v>0</v>
      </c>
      <c r="J2461" s="451">
        <v>0</v>
      </c>
      <c r="K2461" s="41">
        <v>0</v>
      </c>
      <c r="L2461" s="451">
        <v>0</v>
      </c>
      <c r="M2461" s="451">
        <v>0</v>
      </c>
      <c r="N2461" s="467">
        <v>0</v>
      </c>
      <c r="O2461" s="467">
        <v>0</v>
      </c>
      <c r="P2461" s="467"/>
      <c r="Q2461" s="453"/>
      <c r="R2461" s="453"/>
      <c r="S2461" s="453"/>
      <c r="T2461" s="453"/>
      <c r="U2461" s="453"/>
      <c r="V2461" s="453"/>
    </row>
    <row r="2462" spans="1:24" s="21" customFormat="1" x14ac:dyDescent="0.2">
      <c r="A2462" s="405" t="s">
        <v>1346</v>
      </c>
      <c r="B2462" s="451">
        <v>0</v>
      </c>
      <c r="C2462" s="451">
        <v>0</v>
      </c>
      <c r="D2462" s="451">
        <v>0</v>
      </c>
      <c r="E2462" s="451">
        <v>0</v>
      </c>
      <c r="F2462" s="451">
        <v>0</v>
      </c>
      <c r="G2462" s="451">
        <v>0</v>
      </c>
      <c r="H2462" s="451">
        <v>0</v>
      </c>
      <c r="I2462" s="451">
        <v>0</v>
      </c>
      <c r="J2462" s="451">
        <v>0</v>
      </c>
      <c r="K2462" s="41">
        <v>0</v>
      </c>
      <c r="L2462" s="468">
        <v>0</v>
      </c>
      <c r="M2462" s="451">
        <v>0</v>
      </c>
      <c r="N2462" s="467">
        <v>0</v>
      </c>
      <c r="O2462" s="467">
        <v>0</v>
      </c>
      <c r="P2462" s="467"/>
    </row>
    <row r="2463" spans="1:24" s="453" customFormat="1" x14ac:dyDescent="0.2">
      <c r="A2463" s="405" t="s">
        <v>2159</v>
      </c>
      <c r="B2463" s="451">
        <v>0</v>
      </c>
      <c r="C2463" s="451">
        <v>0</v>
      </c>
      <c r="D2463" s="451">
        <v>18</v>
      </c>
      <c r="E2463" s="451">
        <v>35</v>
      </c>
      <c r="F2463" s="451">
        <v>46</v>
      </c>
      <c r="G2463" s="451">
        <v>0</v>
      </c>
      <c r="H2463" s="451">
        <v>0</v>
      </c>
      <c r="I2463" s="451">
        <v>1</v>
      </c>
      <c r="J2463" s="451">
        <v>0</v>
      </c>
      <c r="K2463" s="41">
        <v>0</v>
      </c>
      <c r="L2463" s="451">
        <v>0</v>
      </c>
      <c r="M2463" s="451">
        <v>0</v>
      </c>
      <c r="N2463" s="467">
        <v>0</v>
      </c>
      <c r="O2463" s="467">
        <v>0</v>
      </c>
      <c r="P2463" s="467"/>
    </row>
    <row r="2464" spans="1:24" s="453" customFormat="1" x14ac:dyDescent="0.2">
      <c r="A2464" s="405" t="s">
        <v>2160</v>
      </c>
      <c r="B2464" s="451">
        <v>0</v>
      </c>
      <c r="C2464" s="451">
        <v>0</v>
      </c>
      <c r="D2464" s="451">
        <v>1</v>
      </c>
      <c r="E2464" s="451">
        <v>41</v>
      </c>
      <c r="F2464" s="451">
        <v>38</v>
      </c>
      <c r="G2464" s="451">
        <v>0</v>
      </c>
      <c r="H2464" s="451">
        <v>0</v>
      </c>
      <c r="I2464" s="451">
        <v>20</v>
      </c>
      <c r="J2464" s="451">
        <v>0</v>
      </c>
      <c r="K2464" s="41">
        <v>0</v>
      </c>
      <c r="L2464" s="468">
        <v>0</v>
      </c>
      <c r="M2464" s="451">
        <v>0</v>
      </c>
      <c r="N2464" s="467">
        <v>0</v>
      </c>
      <c r="O2464" s="467">
        <v>0</v>
      </c>
      <c r="P2464" s="467"/>
    </row>
    <row r="2465" spans="1:24" s="535" customFormat="1" x14ac:dyDescent="0.2">
      <c r="A2465" s="518" t="s">
        <v>2176</v>
      </c>
      <c r="F2465" s="1624"/>
      <c r="G2465" s="1624"/>
      <c r="H2465" s="1624"/>
      <c r="I2465" s="1624"/>
      <c r="J2465" s="1624"/>
      <c r="K2465" s="1624"/>
      <c r="L2465" s="1624"/>
      <c r="M2465" s="1624"/>
      <c r="N2465" s="1624"/>
    </row>
    <row r="2466" spans="1:24" s="292" customFormat="1" x14ac:dyDescent="0.2"/>
    <row r="2468" spans="1:24" s="125" customFormat="1" x14ac:dyDescent="0.2">
      <c r="A2468" s="377" t="s">
        <v>2171</v>
      </c>
      <c r="D2468" s="1075"/>
      <c r="E2468" s="1075"/>
      <c r="F2468" s="1075"/>
      <c r="G2468" s="1075"/>
      <c r="H2468" s="1075"/>
      <c r="I2468" s="1075"/>
      <c r="L2468" s="1075"/>
    </row>
    <row r="2469" spans="1:24" s="773" customFormat="1" ht="16.25" customHeight="1" x14ac:dyDescent="0.2">
      <c r="A2469" s="753" t="s">
        <v>5281</v>
      </c>
      <c r="B2469" s="442" t="s">
        <v>2172</v>
      </c>
      <c r="C2469" s="442" t="s">
        <v>2172</v>
      </c>
      <c r="D2469" s="442" t="s">
        <v>2172</v>
      </c>
      <c r="E2469" s="442" t="s">
        <v>2172</v>
      </c>
      <c r="F2469" s="442" t="s">
        <v>2172</v>
      </c>
      <c r="G2469" s="442" t="s">
        <v>2172</v>
      </c>
      <c r="H2469" s="442" t="s">
        <v>2172</v>
      </c>
      <c r="I2469" s="442" t="s">
        <v>2172</v>
      </c>
      <c r="J2469" s="442" t="s">
        <v>2173</v>
      </c>
      <c r="K2469" s="442" t="s">
        <v>2173</v>
      </c>
      <c r="L2469" s="442" t="s">
        <v>2172</v>
      </c>
      <c r="M2469" s="442" t="s">
        <v>2172</v>
      </c>
      <c r="N2469" s="442" t="s">
        <v>2172</v>
      </c>
      <c r="O2469" s="442" t="s">
        <v>2172</v>
      </c>
      <c r="P2469" s="442"/>
      <c r="Q2469" s="442"/>
      <c r="R2469" s="442"/>
      <c r="S2469" s="442"/>
      <c r="T2469" s="442"/>
      <c r="U2469" s="442"/>
      <c r="V2469" s="442"/>
    </row>
    <row r="2470" spans="1:24" s="291" customFormat="1" ht="16" x14ac:dyDescent="0.2">
      <c r="A2470" s="1641" t="s">
        <v>57</v>
      </c>
      <c r="B2470" s="1642" t="s">
        <v>1664</v>
      </c>
      <c r="C2470" s="1642" t="s">
        <v>1665</v>
      </c>
      <c r="D2470" s="1642" t="s">
        <v>1666</v>
      </c>
      <c r="E2470" s="1642" t="s">
        <v>1667</v>
      </c>
      <c r="F2470" s="1642" t="s">
        <v>2174</v>
      </c>
      <c r="G2470" s="1642" t="s">
        <v>1668</v>
      </c>
      <c r="H2470" s="1642" t="s">
        <v>1669</v>
      </c>
      <c r="I2470" s="1639" t="s">
        <v>1670</v>
      </c>
      <c r="J2470" s="1639" t="s">
        <v>1671</v>
      </c>
      <c r="K2470" s="1639" t="s">
        <v>1672</v>
      </c>
      <c r="L2470" s="1642" t="s">
        <v>1673</v>
      </c>
      <c r="M2470" s="291" t="s">
        <v>1674</v>
      </c>
      <c r="N2470" s="2152" t="s">
        <v>1675</v>
      </c>
      <c r="O2470" s="2152" t="s">
        <v>1676</v>
      </c>
      <c r="P2470" s="1658" t="s">
        <v>2175</v>
      </c>
      <c r="Q2470" s="453"/>
      <c r="R2470" s="453"/>
      <c r="S2470" s="453"/>
      <c r="T2470" s="453"/>
      <c r="U2470" s="453"/>
      <c r="V2470" s="453"/>
      <c r="W2470" s="21"/>
      <c r="X2470" s="21"/>
    </row>
    <row r="2471" spans="1:24" s="1093" customFormat="1" ht="16" x14ac:dyDescent="0.2">
      <c r="A2471" s="523" t="s">
        <v>2153</v>
      </c>
      <c r="B2471" s="1636" t="s">
        <v>309</v>
      </c>
      <c r="C2471" s="1636" t="s">
        <v>309</v>
      </c>
      <c r="D2471" s="1636" t="s">
        <v>309</v>
      </c>
      <c r="E2471" s="1636" t="s">
        <v>309</v>
      </c>
      <c r="F2471" s="1636" t="s">
        <v>309</v>
      </c>
      <c r="G2471" s="1636" t="s">
        <v>309</v>
      </c>
      <c r="H2471" s="1636" t="s">
        <v>309</v>
      </c>
      <c r="I2471" s="1636" t="s">
        <v>309</v>
      </c>
      <c r="J2471" s="1636" t="s">
        <v>309</v>
      </c>
      <c r="K2471" s="1635" t="s">
        <v>309</v>
      </c>
      <c r="L2471" s="1636" t="s">
        <v>309</v>
      </c>
      <c r="M2471" s="1657" t="s">
        <v>309</v>
      </c>
      <c r="N2471" s="31" t="s">
        <v>309</v>
      </c>
      <c r="O2471" s="31" t="s">
        <v>309</v>
      </c>
      <c r="P2471" s="31" t="s">
        <v>309</v>
      </c>
      <c r="Q2471" s="1092"/>
      <c r="R2471" s="1092"/>
      <c r="S2471" s="1092"/>
      <c r="T2471" s="1092"/>
      <c r="U2471" s="1092"/>
      <c r="V2471" s="1092"/>
    </row>
    <row r="2472" spans="1:24" s="21" customFormat="1" x14ac:dyDescent="0.2">
      <c r="A2472" s="407" t="s">
        <v>2155</v>
      </c>
      <c r="B2472" s="1640">
        <v>0</v>
      </c>
      <c r="C2472" s="1640">
        <v>0</v>
      </c>
      <c r="D2472" s="1640">
        <v>0</v>
      </c>
      <c r="E2472" s="1640">
        <v>0</v>
      </c>
      <c r="F2472" s="1640">
        <v>0</v>
      </c>
      <c r="G2472" s="1640">
        <v>0</v>
      </c>
      <c r="H2472" s="1640">
        <v>0</v>
      </c>
      <c r="I2472" s="1640">
        <v>0</v>
      </c>
      <c r="J2472" s="418">
        <v>0</v>
      </c>
      <c r="K2472" s="44">
        <v>0</v>
      </c>
      <c r="L2472" s="1640">
        <v>0</v>
      </c>
      <c r="M2472" s="451">
        <v>0</v>
      </c>
      <c r="N2472" s="467">
        <v>0</v>
      </c>
      <c r="O2472" s="467">
        <v>0</v>
      </c>
      <c r="P2472" s="467"/>
      <c r="Q2472" s="453"/>
      <c r="R2472" s="453"/>
      <c r="S2472" s="453"/>
      <c r="T2472" s="453"/>
      <c r="U2472" s="453"/>
      <c r="V2472" s="453"/>
    </row>
    <row r="2473" spans="1:24" s="21" customFormat="1" x14ac:dyDescent="0.2">
      <c r="A2473" s="405" t="s">
        <v>2156</v>
      </c>
      <c r="B2473" s="468">
        <v>0</v>
      </c>
      <c r="C2473" s="468">
        <v>0</v>
      </c>
      <c r="D2473" s="468">
        <v>6</v>
      </c>
      <c r="E2473" s="468">
        <v>64</v>
      </c>
      <c r="F2473" s="451">
        <v>28</v>
      </c>
      <c r="G2473" s="451">
        <v>0</v>
      </c>
      <c r="H2473" s="451">
        <v>0</v>
      </c>
      <c r="I2473" s="451">
        <v>2</v>
      </c>
      <c r="J2473" s="451">
        <v>0</v>
      </c>
      <c r="K2473" s="41">
        <v>0</v>
      </c>
      <c r="L2473" s="451">
        <v>0</v>
      </c>
      <c r="M2473" s="451">
        <v>0</v>
      </c>
      <c r="N2473" s="467">
        <v>0</v>
      </c>
      <c r="O2473" s="467">
        <v>0</v>
      </c>
      <c r="P2473" s="467"/>
      <c r="Q2473" s="453"/>
      <c r="R2473" s="453"/>
      <c r="S2473" s="453"/>
      <c r="T2473" s="453"/>
      <c r="U2473" s="453"/>
      <c r="V2473" s="453"/>
    </row>
    <row r="2474" spans="1:24" s="21" customFormat="1" x14ac:dyDescent="0.2">
      <c r="A2474" s="405" t="s">
        <v>1343</v>
      </c>
      <c r="B2474" s="468">
        <v>0</v>
      </c>
      <c r="C2474" s="468">
        <v>0</v>
      </c>
      <c r="D2474" s="468">
        <v>0</v>
      </c>
      <c r="E2474" s="468">
        <v>0</v>
      </c>
      <c r="F2474" s="468">
        <v>0</v>
      </c>
      <c r="G2474" s="468">
        <v>0</v>
      </c>
      <c r="H2474" s="468">
        <v>0</v>
      </c>
      <c r="I2474" s="468">
        <v>0</v>
      </c>
      <c r="J2474" s="451">
        <v>0</v>
      </c>
      <c r="K2474" s="41">
        <v>0</v>
      </c>
      <c r="L2474" s="468">
        <v>0</v>
      </c>
      <c r="M2474" s="451">
        <v>0</v>
      </c>
      <c r="N2474" s="467">
        <v>0</v>
      </c>
      <c r="O2474" s="467">
        <v>0</v>
      </c>
      <c r="P2474" s="467"/>
      <c r="Q2474" s="453"/>
      <c r="R2474" s="453"/>
      <c r="S2474" s="453"/>
      <c r="T2474" s="453"/>
      <c r="U2474" s="453"/>
      <c r="V2474" s="453"/>
    </row>
    <row r="2475" spans="1:24" s="21" customFormat="1" x14ac:dyDescent="0.2">
      <c r="A2475" s="405" t="s">
        <v>2157</v>
      </c>
      <c r="B2475" s="451">
        <v>0</v>
      </c>
      <c r="C2475" s="451">
        <v>0</v>
      </c>
      <c r="D2475" s="451">
        <v>2</v>
      </c>
      <c r="E2475" s="451">
        <v>5</v>
      </c>
      <c r="F2475" s="451">
        <v>93</v>
      </c>
      <c r="G2475" s="451">
        <v>0</v>
      </c>
      <c r="H2475" s="451">
        <v>0</v>
      </c>
      <c r="I2475" s="451">
        <v>0</v>
      </c>
      <c r="J2475" s="451">
        <v>0</v>
      </c>
      <c r="K2475" s="41">
        <v>0</v>
      </c>
      <c r="L2475" s="451">
        <v>0</v>
      </c>
      <c r="M2475" s="451">
        <v>0</v>
      </c>
      <c r="N2475" s="467">
        <v>0</v>
      </c>
      <c r="O2475" s="467">
        <v>0</v>
      </c>
      <c r="P2475" s="467"/>
      <c r="Q2475" s="453"/>
      <c r="R2475" s="453"/>
      <c r="S2475" s="453"/>
      <c r="T2475" s="453"/>
      <c r="U2475" s="453"/>
      <c r="V2475" s="453"/>
    </row>
    <row r="2476" spans="1:24" s="21" customFormat="1" x14ac:dyDescent="0.2">
      <c r="A2476" s="405" t="s">
        <v>1351</v>
      </c>
      <c r="B2476" s="468">
        <v>0</v>
      </c>
      <c r="C2476" s="468">
        <v>0</v>
      </c>
      <c r="D2476" s="468">
        <v>0</v>
      </c>
      <c r="E2476" s="468">
        <v>0</v>
      </c>
      <c r="F2476" s="468">
        <v>0</v>
      </c>
      <c r="G2476" s="468">
        <v>0</v>
      </c>
      <c r="H2476" s="468">
        <v>0</v>
      </c>
      <c r="I2476" s="468">
        <v>0</v>
      </c>
      <c r="J2476" s="451">
        <v>0</v>
      </c>
      <c r="K2476" s="41">
        <v>0</v>
      </c>
      <c r="L2476" s="451">
        <v>0</v>
      </c>
      <c r="M2476" s="451">
        <v>0</v>
      </c>
      <c r="N2476" s="467">
        <v>0</v>
      </c>
      <c r="O2476" s="467">
        <v>0</v>
      </c>
      <c r="P2476" s="467"/>
      <c r="Q2476" s="453"/>
      <c r="R2476" s="453"/>
      <c r="S2476" s="453"/>
      <c r="T2476" s="453"/>
      <c r="U2476" s="453"/>
      <c r="V2476" s="453"/>
    </row>
    <row r="2477" spans="1:24" s="21" customFormat="1" x14ac:dyDescent="0.2">
      <c r="A2477" s="405" t="s">
        <v>1337</v>
      </c>
      <c r="B2477" s="451">
        <v>0</v>
      </c>
      <c r="C2477" s="451">
        <v>9</v>
      </c>
      <c r="D2477" s="451">
        <v>64</v>
      </c>
      <c r="E2477" s="451">
        <v>0</v>
      </c>
      <c r="F2477" s="451">
        <v>27</v>
      </c>
      <c r="G2477" s="451">
        <v>0</v>
      </c>
      <c r="H2477" s="451">
        <v>0</v>
      </c>
      <c r="I2477" s="451">
        <v>0</v>
      </c>
      <c r="J2477" s="451">
        <v>0</v>
      </c>
      <c r="K2477" s="41">
        <v>0</v>
      </c>
      <c r="L2477" s="451">
        <v>0</v>
      </c>
      <c r="M2477" s="451">
        <v>0</v>
      </c>
      <c r="N2477" s="467">
        <v>0</v>
      </c>
      <c r="O2477" s="467">
        <v>0</v>
      </c>
      <c r="P2477" s="467"/>
      <c r="Q2477" s="453"/>
      <c r="R2477" s="453"/>
      <c r="S2477" s="453"/>
      <c r="T2477" s="453"/>
      <c r="U2477" s="453"/>
      <c r="V2477" s="453"/>
    </row>
    <row r="2478" spans="1:24" s="21" customFormat="1" x14ac:dyDescent="0.2">
      <c r="A2478" s="405" t="s">
        <v>2158</v>
      </c>
      <c r="B2478" s="451">
        <v>0</v>
      </c>
      <c r="C2478" s="451">
        <v>9</v>
      </c>
      <c r="D2478" s="451">
        <v>64</v>
      </c>
      <c r="E2478" s="451">
        <v>0</v>
      </c>
      <c r="F2478" s="451">
        <v>27</v>
      </c>
      <c r="G2478" s="451">
        <v>0</v>
      </c>
      <c r="H2478" s="451">
        <v>0</v>
      </c>
      <c r="I2478" s="451">
        <v>0</v>
      </c>
      <c r="J2478" s="451">
        <v>0</v>
      </c>
      <c r="K2478" s="41">
        <v>0</v>
      </c>
      <c r="L2478" s="451">
        <v>0</v>
      </c>
      <c r="M2478" s="451">
        <v>0</v>
      </c>
      <c r="N2478" s="467">
        <v>0</v>
      </c>
      <c r="O2478" s="467">
        <v>0</v>
      </c>
      <c r="P2478" s="467"/>
      <c r="Q2478" s="453"/>
      <c r="R2478" s="453"/>
      <c r="S2478" s="453"/>
      <c r="T2478" s="453"/>
      <c r="U2478" s="453"/>
      <c r="V2478" s="453"/>
    </row>
    <row r="2479" spans="1:24" s="21" customFormat="1" x14ac:dyDescent="0.2">
      <c r="A2479" s="405" t="s">
        <v>1346</v>
      </c>
      <c r="B2479" s="468">
        <v>0</v>
      </c>
      <c r="C2479" s="468">
        <v>0</v>
      </c>
      <c r="D2479" s="468">
        <v>0</v>
      </c>
      <c r="E2479" s="468">
        <v>0</v>
      </c>
      <c r="F2479" s="468">
        <v>0</v>
      </c>
      <c r="G2479" s="468">
        <v>0</v>
      </c>
      <c r="H2479" s="468">
        <v>0</v>
      </c>
      <c r="I2479" s="468">
        <v>0</v>
      </c>
      <c r="J2479" s="451">
        <v>0</v>
      </c>
      <c r="K2479" s="41">
        <v>0</v>
      </c>
      <c r="L2479" s="468">
        <v>0</v>
      </c>
      <c r="M2479" s="451">
        <v>0</v>
      </c>
      <c r="N2479" s="467">
        <v>0</v>
      </c>
      <c r="O2479" s="467">
        <v>0</v>
      </c>
      <c r="P2479" s="467"/>
    </row>
    <row r="2480" spans="1:24" s="453" customFormat="1" x14ac:dyDescent="0.2">
      <c r="A2480" s="405" t="s">
        <v>2159</v>
      </c>
      <c r="B2480" s="451">
        <v>0</v>
      </c>
      <c r="C2480" s="451">
        <v>0</v>
      </c>
      <c r="D2480" s="451">
        <v>16</v>
      </c>
      <c r="E2480" s="451">
        <v>12</v>
      </c>
      <c r="F2480" s="451">
        <v>57</v>
      </c>
      <c r="G2480" s="451">
        <v>0</v>
      </c>
      <c r="H2480" s="451">
        <v>0</v>
      </c>
      <c r="I2480" s="451">
        <v>15</v>
      </c>
      <c r="J2480" s="451">
        <v>0</v>
      </c>
      <c r="K2480" s="41">
        <v>0</v>
      </c>
      <c r="L2480" s="451">
        <v>0</v>
      </c>
      <c r="M2480" s="451">
        <v>0</v>
      </c>
      <c r="N2480" s="467">
        <v>0</v>
      </c>
      <c r="O2480" s="467">
        <v>0</v>
      </c>
      <c r="P2480" s="467"/>
    </row>
    <row r="2481" spans="1:24" s="453" customFormat="1" x14ac:dyDescent="0.2">
      <c r="A2481" s="405" t="s">
        <v>2160</v>
      </c>
      <c r="B2481" s="468">
        <v>0</v>
      </c>
      <c r="C2481" s="468">
        <v>0</v>
      </c>
      <c r="D2481" s="468">
        <v>1</v>
      </c>
      <c r="E2481" s="468">
        <v>40</v>
      </c>
      <c r="F2481" s="468">
        <v>39</v>
      </c>
      <c r="G2481" s="468">
        <v>0</v>
      </c>
      <c r="H2481" s="468">
        <v>0</v>
      </c>
      <c r="I2481" s="468">
        <v>20</v>
      </c>
      <c r="J2481" s="451">
        <v>0</v>
      </c>
      <c r="K2481" s="41">
        <v>0</v>
      </c>
      <c r="L2481" s="468">
        <v>0</v>
      </c>
      <c r="M2481" s="451">
        <v>0</v>
      </c>
      <c r="N2481" s="467">
        <v>0</v>
      </c>
      <c r="O2481" s="467">
        <v>0</v>
      </c>
      <c r="P2481" s="467"/>
    </row>
    <row r="2482" spans="1:24" s="535" customFormat="1" x14ac:dyDescent="0.2">
      <c r="A2482" s="518" t="s">
        <v>2176</v>
      </c>
      <c r="F2482" s="1624"/>
      <c r="G2482" s="1624"/>
      <c r="H2482" s="1624"/>
      <c r="I2482" s="1624"/>
      <c r="J2482" s="1624"/>
      <c r="K2482" s="1624"/>
      <c r="L2482" s="1624"/>
      <c r="M2482" s="1624"/>
      <c r="N2482" s="1624"/>
    </row>
    <row r="2483" spans="1:24" s="292" customFormat="1" x14ac:dyDescent="0.2"/>
    <row r="2485" spans="1:24" s="125" customFormat="1" ht="14.25" customHeight="1" x14ac:dyDescent="0.2">
      <c r="A2485" s="377" t="s">
        <v>2171</v>
      </c>
      <c r="D2485" s="1075"/>
      <c r="E2485" s="1075"/>
      <c r="F2485" s="1075"/>
      <c r="G2485" s="1075"/>
      <c r="H2485" s="1075"/>
      <c r="I2485" s="1075"/>
      <c r="L2485" s="1075"/>
    </row>
    <row r="2486" spans="1:24" s="773" customFormat="1" ht="16.25" customHeight="1" x14ac:dyDescent="0.2">
      <c r="A2486" s="753" t="s">
        <v>2177</v>
      </c>
      <c r="B2486" s="442" t="s">
        <v>2173</v>
      </c>
      <c r="C2486" s="442" t="s">
        <v>2173</v>
      </c>
      <c r="D2486" s="442" t="s">
        <v>2173</v>
      </c>
      <c r="E2486" s="442" t="s">
        <v>2173</v>
      </c>
      <c r="F2486" s="442" t="s">
        <v>2173</v>
      </c>
      <c r="G2486" s="442" t="s">
        <v>2173</v>
      </c>
      <c r="H2486" s="442" t="s">
        <v>2173</v>
      </c>
      <c r="I2486" s="442" t="s">
        <v>2173</v>
      </c>
      <c r="J2486" s="442" t="s">
        <v>2173</v>
      </c>
      <c r="K2486" s="442" t="s">
        <v>2173</v>
      </c>
      <c r="L2486" s="442" t="s">
        <v>2173</v>
      </c>
      <c r="M2486" s="442" t="s">
        <v>2173</v>
      </c>
      <c r="N2486" s="442" t="s">
        <v>2173</v>
      </c>
      <c r="O2486" s="442" t="s">
        <v>2173</v>
      </c>
      <c r="P2486" s="442"/>
      <c r="Q2486" s="442"/>
      <c r="R2486" s="442"/>
      <c r="S2486" s="442"/>
      <c r="T2486" s="442"/>
      <c r="U2486" s="442"/>
      <c r="V2486" s="442"/>
    </row>
    <row r="2487" spans="1:24" s="291" customFormat="1" ht="16" x14ac:dyDescent="0.2">
      <c r="A2487" s="1641" t="s">
        <v>57</v>
      </c>
      <c r="B2487" s="1642" t="s">
        <v>1664</v>
      </c>
      <c r="C2487" s="1642" t="s">
        <v>1665</v>
      </c>
      <c r="D2487" s="1642" t="s">
        <v>1666</v>
      </c>
      <c r="E2487" s="1642" t="s">
        <v>1667</v>
      </c>
      <c r="F2487" s="1642" t="s">
        <v>2174</v>
      </c>
      <c r="G2487" s="1642" t="s">
        <v>1668</v>
      </c>
      <c r="H2487" s="1642" t="s">
        <v>1669</v>
      </c>
      <c r="I2487" s="1639" t="s">
        <v>1670</v>
      </c>
      <c r="J2487" s="1639" t="s">
        <v>1671</v>
      </c>
      <c r="K2487" s="1639" t="s">
        <v>1672</v>
      </c>
      <c r="L2487" s="1642" t="s">
        <v>1673</v>
      </c>
      <c r="M2487" s="291" t="s">
        <v>1674</v>
      </c>
      <c r="N2487" s="2152" t="s">
        <v>1675</v>
      </c>
      <c r="O2487" s="2152" t="s">
        <v>1676</v>
      </c>
      <c r="P2487" s="1658" t="s">
        <v>2175</v>
      </c>
      <c r="Q2487" s="453"/>
      <c r="R2487" s="453"/>
      <c r="S2487" s="453"/>
      <c r="T2487" s="453"/>
      <c r="U2487" s="453"/>
      <c r="V2487" s="453"/>
      <c r="W2487" s="21"/>
      <c r="X2487" s="21"/>
    </row>
    <row r="2488" spans="1:24" s="1093" customFormat="1" ht="16" x14ac:dyDescent="0.2">
      <c r="A2488" s="523" t="s">
        <v>2153</v>
      </c>
      <c r="B2488" s="1636" t="s">
        <v>309</v>
      </c>
      <c r="C2488" s="1636" t="s">
        <v>309</v>
      </c>
      <c r="D2488" s="1636" t="s">
        <v>309</v>
      </c>
      <c r="E2488" s="1636" t="s">
        <v>309</v>
      </c>
      <c r="F2488" s="1636" t="s">
        <v>309</v>
      </c>
      <c r="G2488" s="1636" t="s">
        <v>309</v>
      </c>
      <c r="H2488" s="1636" t="s">
        <v>309</v>
      </c>
      <c r="I2488" s="1636" t="s">
        <v>309</v>
      </c>
      <c r="J2488" s="31" t="s">
        <v>309</v>
      </c>
      <c r="K2488" s="31" t="s">
        <v>309</v>
      </c>
      <c r="L2488" s="1636" t="s">
        <v>309</v>
      </c>
      <c r="M2488" s="1657" t="s">
        <v>309</v>
      </c>
      <c r="N2488" s="31" t="s">
        <v>309</v>
      </c>
      <c r="O2488" s="31" t="s">
        <v>309</v>
      </c>
      <c r="P2488" s="31" t="s">
        <v>309</v>
      </c>
      <c r="Q2488" s="1092"/>
      <c r="R2488" s="1092"/>
      <c r="S2488" s="1092"/>
      <c r="T2488" s="1092"/>
      <c r="U2488" s="1092"/>
      <c r="V2488" s="1092"/>
    </row>
    <row r="2489" spans="1:24" s="21" customFormat="1" x14ac:dyDescent="0.2">
      <c r="A2489" s="407" t="s">
        <v>2155</v>
      </c>
      <c r="B2489" s="1640">
        <v>0</v>
      </c>
      <c r="C2489" s="1640">
        <v>7</v>
      </c>
      <c r="D2489" s="1640">
        <v>6</v>
      </c>
      <c r="E2489" s="1640">
        <v>86</v>
      </c>
      <c r="F2489" s="1640">
        <v>0</v>
      </c>
      <c r="G2489" s="1640">
        <v>0</v>
      </c>
      <c r="H2489" s="1640">
        <v>0</v>
      </c>
      <c r="I2489" s="1640">
        <v>0</v>
      </c>
      <c r="J2489" s="41">
        <v>1</v>
      </c>
      <c r="K2489" s="41">
        <v>0</v>
      </c>
      <c r="L2489" s="1640">
        <v>0</v>
      </c>
      <c r="M2489" s="451">
        <v>0</v>
      </c>
      <c r="N2489" s="467">
        <v>0</v>
      </c>
      <c r="O2489" s="467">
        <v>0</v>
      </c>
      <c r="P2489" s="467"/>
      <c r="Q2489" s="453"/>
      <c r="R2489" s="453"/>
      <c r="S2489" s="453"/>
      <c r="T2489" s="453"/>
      <c r="U2489" s="453"/>
      <c r="V2489" s="453"/>
    </row>
    <row r="2490" spans="1:24" s="21" customFormat="1" x14ac:dyDescent="0.2">
      <c r="A2490" s="405" t="s">
        <v>2156</v>
      </c>
      <c r="B2490" s="468">
        <v>35</v>
      </c>
      <c r="C2490" s="468">
        <v>21</v>
      </c>
      <c r="D2490" s="468">
        <v>0</v>
      </c>
      <c r="E2490" s="468">
        <v>2</v>
      </c>
      <c r="F2490" s="451">
        <v>0</v>
      </c>
      <c r="G2490" s="451">
        <v>0</v>
      </c>
      <c r="H2490" s="451">
        <v>7</v>
      </c>
      <c r="I2490" s="451">
        <v>0</v>
      </c>
      <c r="J2490" s="41">
        <v>35</v>
      </c>
      <c r="K2490" s="41">
        <v>0</v>
      </c>
      <c r="L2490" s="451">
        <v>0</v>
      </c>
      <c r="M2490" s="451">
        <v>0</v>
      </c>
      <c r="N2490" s="467">
        <v>0</v>
      </c>
      <c r="O2490" s="467">
        <v>0</v>
      </c>
      <c r="P2490" s="467"/>
      <c r="Q2490" s="453"/>
      <c r="R2490" s="453"/>
      <c r="S2490" s="453"/>
      <c r="T2490" s="453"/>
      <c r="U2490" s="453"/>
      <c r="V2490" s="453"/>
    </row>
    <row r="2491" spans="1:24" s="21" customFormat="1" x14ac:dyDescent="0.2">
      <c r="A2491" s="405" t="s">
        <v>1343</v>
      </c>
      <c r="B2491" s="468">
        <v>28</v>
      </c>
      <c r="C2491" s="468">
        <v>31</v>
      </c>
      <c r="D2491" s="468">
        <v>4</v>
      </c>
      <c r="E2491" s="468">
        <v>3</v>
      </c>
      <c r="F2491" s="468">
        <v>0</v>
      </c>
      <c r="G2491" s="468">
        <v>0</v>
      </c>
      <c r="H2491" s="468">
        <v>0</v>
      </c>
      <c r="I2491" s="468">
        <v>0</v>
      </c>
      <c r="J2491" s="41">
        <v>0</v>
      </c>
      <c r="K2491" s="41">
        <v>34</v>
      </c>
      <c r="L2491" s="468">
        <v>0</v>
      </c>
      <c r="M2491" s="451">
        <v>0</v>
      </c>
      <c r="N2491" s="467">
        <v>0</v>
      </c>
      <c r="O2491" s="467">
        <v>0</v>
      </c>
      <c r="P2491" s="467"/>
      <c r="Q2491" s="453"/>
      <c r="R2491" s="453"/>
      <c r="S2491" s="453"/>
      <c r="T2491" s="453"/>
      <c r="U2491" s="453"/>
      <c r="V2491" s="453"/>
    </row>
    <row r="2492" spans="1:24" s="21" customFormat="1" x14ac:dyDescent="0.2">
      <c r="A2492" s="405" t="s">
        <v>2157</v>
      </c>
      <c r="B2492" s="451">
        <v>11</v>
      </c>
      <c r="C2492" s="451">
        <v>34</v>
      </c>
      <c r="D2492" s="451">
        <v>12</v>
      </c>
      <c r="E2492" s="451">
        <v>41</v>
      </c>
      <c r="F2492" s="451">
        <v>0</v>
      </c>
      <c r="G2492" s="451">
        <v>2</v>
      </c>
      <c r="H2492" s="451">
        <v>0</v>
      </c>
      <c r="I2492" s="451">
        <v>0</v>
      </c>
      <c r="J2492" s="41">
        <v>0</v>
      </c>
      <c r="K2492" s="41">
        <v>0</v>
      </c>
      <c r="L2492" s="451">
        <v>0</v>
      </c>
      <c r="M2492" s="451">
        <v>0</v>
      </c>
      <c r="N2492" s="467">
        <v>0</v>
      </c>
      <c r="O2492" s="467">
        <v>0</v>
      </c>
      <c r="P2492" s="467"/>
      <c r="Q2492" s="453"/>
      <c r="R2492" s="453"/>
      <c r="S2492" s="453"/>
      <c r="T2492" s="453"/>
      <c r="U2492" s="453"/>
      <c r="V2492" s="453"/>
    </row>
    <row r="2493" spans="1:24" s="21" customFormat="1" x14ac:dyDescent="0.2">
      <c r="A2493" s="405" t="s">
        <v>1351</v>
      </c>
      <c r="B2493" s="451">
        <v>6</v>
      </c>
      <c r="C2493" s="451">
        <v>51</v>
      </c>
      <c r="D2493" s="451">
        <v>15</v>
      </c>
      <c r="E2493" s="451">
        <v>0</v>
      </c>
      <c r="F2493" s="451">
        <v>0</v>
      </c>
      <c r="G2493" s="451">
        <v>1</v>
      </c>
      <c r="H2493" s="451">
        <v>0</v>
      </c>
      <c r="I2493" s="451">
        <v>0</v>
      </c>
      <c r="J2493" s="41">
        <v>2</v>
      </c>
      <c r="K2493" s="41">
        <v>25</v>
      </c>
      <c r="L2493" s="451">
        <v>0</v>
      </c>
      <c r="M2493" s="451">
        <v>0</v>
      </c>
      <c r="N2493" s="467">
        <v>0</v>
      </c>
      <c r="O2493" s="467">
        <v>0</v>
      </c>
      <c r="P2493" s="467"/>
      <c r="Q2493" s="453"/>
      <c r="R2493" s="453"/>
      <c r="S2493" s="453"/>
      <c r="T2493" s="453"/>
      <c r="U2493" s="453"/>
      <c r="V2493" s="453"/>
    </row>
    <row r="2494" spans="1:24" s="21" customFormat="1" x14ac:dyDescent="0.2">
      <c r="A2494" s="405" t="s">
        <v>1337</v>
      </c>
      <c r="B2494" s="451">
        <v>5</v>
      </c>
      <c r="C2494" s="451">
        <v>31</v>
      </c>
      <c r="D2494" s="451">
        <v>55</v>
      </c>
      <c r="E2494" s="451">
        <v>1</v>
      </c>
      <c r="F2494" s="451">
        <v>0</v>
      </c>
      <c r="G2494" s="451">
        <v>0</v>
      </c>
      <c r="H2494" s="451">
        <v>0</v>
      </c>
      <c r="I2494" s="451">
        <v>0</v>
      </c>
      <c r="J2494" s="41">
        <v>4</v>
      </c>
      <c r="K2494" s="41">
        <v>4</v>
      </c>
      <c r="L2494" s="451">
        <v>0</v>
      </c>
      <c r="M2494" s="451">
        <v>0</v>
      </c>
      <c r="N2494" s="467">
        <v>0</v>
      </c>
      <c r="O2494" s="467">
        <v>0</v>
      </c>
      <c r="P2494" s="467"/>
      <c r="Q2494" s="453"/>
      <c r="R2494" s="453"/>
      <c r="S2494" s="453"/>
      <c r="T2494" s="453"/>
      <c r="U2494" s="453"/>
      <c r="V2494" s="453"/>
    </row>
    <row r="2495" spans="1:24" s="21" customFormat="1" x14ac:dyDescent="0.2">
      <c r="A2495" s="405" t="s">
        <v>2158</v>
      </c>
      <c r="B2495" s="451">
        <v>0</v>
      </c>
      <c r="C2495" s="451">
        <v>24</v>
      </c>
      <c r="D2495" s="451">
        <v>76</v>
      </c>
      <c r="E2495" s="451">
        <v>0</v>
      </c>
      <c r="F2495" s="451">
        <v>0</v>
      </c>
      <c r="G2495" s="451">
        <v>0</v>
      </c>
      <c r="H2495" s="451">
        <v>0</v>
      </c>
      <c r="I2495" s="451">
        <v>0</v>
      </c>
      <c r="J2495" s="41">
        <v>0</v>
      </c>
      <c r="K2495" s="41">
        <v>0</v>
      </c>
      <c r="L2495" s="451">
        <v>0</v>
      </c>
      <c r="M2495" s="451">
        <v>0</v>
      </c>
      <c r="N2495" s="467">
        <v>0</v>
      </c>
      <c r="O2495" s="467">
        <v>0</v>
      </c>
      <c r="P2495" s="467"/>
      <c r="Q2495" s="453"/>
      <c r="R2495" s="453"/>
      <c r="S2495" s="453"/>
      <c r="T2495" s="453"/>
      <c r="U2495" s="453"/>
      <c r="V2495" s="453"/>
    </row>
    <row r="2496" spans="1:24" s="21" customFormat="1" x14ac:dyDescent="0.2">
      <c r="A2496" s="405" t="s">
        <v>1346</v>
      </c>
      <c r="B2496" s="468">
        <v>91</v>
      </c>
      <c r="C2496" s="468">
        <v>0</v>
      </c>
      <c r="D2496" s="468">
        <v>1</v>
      </c>
      <c r="E2496" s="468">
        <v>8</v>
      </c>
      <c r="F2496" s="468">
        <v>0</v>
      </c>
      <c r="G2496" s="468">
        <v>0</v>
      </c>
      <c r="H2496" s="468">
        <v>0</v>
      </c>
      <c r="I2496" s="468">
        <v>0</v>
      </c>
      <c r="J2496" s="467">
        <v>0</v>
      </c>
      <c r="K2496" s="467">
        <v>0</v>
      </c>
      <c r="L2496" s="468">
        <v>0</v>
      </c>
      <c r="M2496" s="451">
        <v>0</v>
      </c>
      <c r="N2496" s="467">
        <v>0</v>
      </c>
      <c r="O2496" s="467">
        <v>0</v>
      </c>
      <c r="P2496" s="467"/>
    </row>
    <row r="2497" spans="1:24" s="453" customFormat="1" x14ac:dyDescent="0.2">
      <c r="A2497" s="405" t="s">
        <v>2159</v>
      </c>
      <c r="B2497" s="451">
        <v>10</v>
      </c>
      <c r="C2497" s="451">
        <v>29</v>
      </c>
      <c r="D2497" s="451">
        <v>0</v>
      </c>
      <c r="E2497" s="451">
        <v>54</v>
      </c>
      <c r="F2497" s="451">
        <v>0</v>
      </c>
      <c r="G2497" s="451">
        <v>0</v>
      </c>
      <c r="H2497" s="451">
        <v>7</v>
      </c>
      <c r="I2497" s="451">
        <v>0</v>
      </c>
      <c r="J2497" s="41">
        <v>0</v>
      </c>
      <c r="K2497" s="41">
        <v>0</v>
      </c>
      <c r="L2497" s="451">
        <v>0</v>
      </c>
      <c r="M2497" s="451">
        <v>0</v>
      </c>
      <c r="N2497" s="467">
        <v>0</v>
      </c>
      <c r="O2497" s="467">
        <v>0</v>
      </c>
      <c r="P2497" s="467"/>
    </row>
    <row r="2498" spans="1:24" s="453" customFormat="1" x14ac:dyDescent="0.2">
      <c r="A2498" s="405" t="s">
        <v>2160</v>
      </c>
      <c r="B2498" s="468">
        <v>12</v>
      </c>
      <c r="C2498" s="468">
        <v>23</v>
      </c>
      <c r="D2498" s="468">
        <v>14</v>
      </c>
      <c r="E2498" s="468">
        <v>32</v>
      </c>
      <c r="F2498" s="468">
        <v>0</v>
      </c>
      <c r="G2498" s="468">
        <v>8</v>
      </c>
      <c r="H2498" s="468">
        <v>8</v>
      </c>
      <c r="I2498" s="468">
        <v>0</v>
      </c>
      <c r="J2498" s="41">
        <v>3</v>
      </c>
      <c r="K2498" s="41">
        <v>0</v>
      </c>
      <c r="L2498" s="468">
        <v>0</v>
      </c>
      <c r="M2498" s="451">
        <v>0</v>
      </c>
      <c r="N2498" s="467">
        <v>0</v>
      </c>
      <c r="O2498" s="467">
        <v>0</v>
      </c>
      <c r="P2498" s="467"/>
    </row>
    <row r="2499" spans="1:24" s="535" customFormat="1" x14ac:dyDescent="0.2">
      <c r="A2499" s="518" t="s">
        <v>2176</v>
      </c>
      <c r="F2499" s="1624"/>
      <c r="G2499" s="1624"/>
      <c r="H2499" s="1624"/>
      <c r="I2499" s="1624"/>
      <c r="J2499" s="1624"/>
      <c r="K2499" s="1624"/>
      <c r="L2499" s="1624"/>
      <c r="M2499" s="1624"/>
      <c r="N2499" s="1624"/>
    </row>
    <row r="2500" spans="1:24" s="292" customFormat="1" x14ac:dyDescent="0.2"/>
    <row r="2502" spans="1:24" s="125" customFormat="1" ht="14.25" customHeight="1" x14ac:dyDescent="0.2">
      <c r="A2502" s="377" t="s">
        <v>2171</v>
      </c>
      <c r="D2502" s="1075"/>
      <c r="E2502" s="1075"/>
      <c r="F2502" s="1075"/>
      <c r="G2502" s="1075"/>
      <c r="H2502" s="1075"/>
      <c r="I2502" s="1075"/>
      <c r="L2502" s="1075"/>
    </row>
    <row r="2503" spans="1:24" s="773" customFormat="1" ht="16.25" customHeight="1" x14ac:dyDescent="0.2">
      <c r="A2503" s="753" t="s">
        <v>2178</v>
      </c>
      <c r="B2503" s="442" t="s">
        <v>2173</v>
      </c>
      <c r="C2503" s="442" t="s">
        <v>2173</v>
      </c>
      <c r="D2503" s="442" t="s">
        <v>2173</v>
      </c>
      <c r="E2503" s="442" t="s">
        <v>2173</v>
      </c>
      <c r="F2503" s="442" t="s">
        <v>2173</v>
      </c>
      <c r="G2503" s="442" t="s">
        <v>2173</v>
      </c>
      <c r="H2503" s="442" t="s">
        <v>2173</v>
      </c>
      <c r="I2503" s="442" t="s">
        <v>2173</v>
      </c>
      <c r="J2503" s="442" t="s">
        <v>2173</v>
      </c>
      <c r="K2503" s="442" t="s">
        <v>2173</v>
      </c>
      <c r="L2503" s="442" t="s">
        <v>2173</v>
      </c>
      <c r="M2503" s="442" t="s">
        <v>2173</v>
      </c>
      <c r="N2503" s="442" t="s">
        <v>2173</v>
      </c>
      <c r="O2503" s="442" t="s">
        <v>2173</v>
      </c>
      <c r="P2503" s="442"/>
      <c r="Q2503" s="442"/>
      <c r="R2503" s="442"/>
      <c r="S2503" s="442"/>
      <c r="T2503" s="442"/>
      <c r="U2503" s="442"/>
      <c r="V2503" s="442"/>
    </row>
    <row r="2504" spans="1:24" s="291" customFormat="1" ht="16" x14ac:dyDescent="0.2">
      <c r="A2504" s="1641" t="s">
        <v>57</v>
      </c>
      <c r="B2504" s="1642" t="s">
        <v>1664</v>
      </c>
      <c r="C2504" s="1642" t="s">
        <v>1665</v>
      </c>
      <c r="D2504" s="1642" t="s">
        <v>1666</v>
      </c>
      <c r="E2504" s="1642" t="s">
        <v>1667</v>
      </c>
      <c r="F2504" s="1642" t="s">
        <v>2174</v>
      </c>
      <c r="G2504" s="1642" t="s">
        <v>1668</v>
      </c>
      <c r="H2504" s="1642" t="s">
        <v>1669</v>
      </c>
      <c r="I2504" s="1639" t="s">
        <v>1670</v>
      </c>
      <c r="J2504" s="1639" t="s">
        <v>1671</v>
      </c>
      <c r="K2504" s="1639" t="s">
        <v>1672</v>
      </c>
      <c r="L2504" s="1642" t="s">
        <v>1673</v>
      </c>
      <c r="M2504" s="291" t="s">
        <v>1674</v>
      </c>
      <c r="N2504" s="2152" t="s">
        <v>1675</v>
      </c>
      <c r="O2504" s="2152" t="s">
        <v>1676</v>
      </c>
      <c r="P2504" s="1658" t="s">
        <v>2175</v>
      </c>
      <c r="Q2504" s="453"/>
      <c r="R2504" s="453"/>
      <c r="S2504" s="453"/>
      <c r="T2504" s="453"/>
      <c r="U2504" s="453"/>
      <c r="V2504" s="453"/>
      <c r="W2504" s="21"/>
      <c r="X2504" s="21"/>
    </row>
    <row r="2505" spans="1:24" s="1093" customFormat="1" ht="16" x14ac:dyDescent="0.2">
      <c r="A2505" s="523" t="s">
        <v>2153</v>
      </c>
      <c r="B2505" s="1636" t="s">
        <v>309</v>
      </c>
      <c r="C2505" s="1636" t="s">
        <v>309</v>
      </c>
      <c r="D2505" s="1636" t="s">
        <v>309</v>
      </c>
      <c r="E2505" s="1636" t="s">
        <v>309</v>
      </c>
      <c r="F2505" s="1636" t="s">
        <v>309</v>
      </c>
      <c r="G2505" s="1636" t="s">
        <v>309</v>
      </c>
      <c r="H2505" s="1636" t="s">
        <v>309</v>
      </c>
      <c r="I2505" s="1636" t="s">
        <v>309</v>
      </c>
      <c r="J2505" s="31" t="s">
        <v>309</v>
      </c>
      <c r="K2505" s="31" t="s">
        <v>309</v>
      </c>
      <c r="L2505" s="1636" t="s">
        <v>309</v>
      </c>
      <c r="M2505" s="31" t="s">
        <v>309</v>
      </c>
      <c r="N2505" s="31" t="s">
        <v>309</v>
      </c>
      <c r="O2505" s="31" t="s">
        <v>309</v>
      </c>
      <c r="P2505" s="31" t="s">
        <v>309</v>
      </c>
      <c r="Q2505" s="1092"/>
      <c r="R2505" s="1092"/>
      <c r="S2505" s="1092"/>
      <c r="T2505" s="1092"/>
      <c r="U2505" s="1092"/>
      <c r="V2505" s="1092"/>
    </row>
    <row r="2506" spans="1:24" s="21" customFormat="1" x14ac:dyDescent="0.2">
      <c r="A2506" s="407" t="s">
        <v>2155</v>
      </c>
      <c r="B2506" s="1640">
        <v>5</v>
      </c>
      <c r="C2506" s="1640">
        <v>30</v>
      </c>
      <c r="D2506" s="1640">
        <v>15</v>
      </c>
      <c r="E2506" s="1640">
        <v>15</v>
      </c>
      <c r="F2506" s="1640">
        <v>5</v>
      </c>
      <c r="G2506" s="1640">
        <v>5</v>
      </c>
      <c r="H2506" s="1640">
        <v>5</v>
      </c>
      <c r="I2506" s="1640">
        <v>0</v>
      </c>
      <c r="J2506" s="41">
        <v>15</v>
      </c>
      <c r="K2506" s="41">
        <v>5</v>
      </c>
      <c r="L2506" s="1640">
        <v>0</v>
      </c>
      <c r="M2506" s="451">
        <v>0</v>
      </c>
      <c r="N2506" s="467">
        <v>0</v>
      </c>
      <c r="O2506" s="467">
        <v>0</v>
      </c>
      <c r="P2506" s="467"/>
      <c r="Q2506" s="453"/>
      <c r="R2506" s="453"/>
      <c r="S2506" s="453"/>
      <c r="T2506" s="453"/>
      <c r="U2506" s="453"/>
      <c r="V2506" s="453"/>
    </row>
    <row r="2507" spans="1:24" s="21" customFormat="1" x14ac:dyDescent="0.2">
      <c r="A2507" s="405" t="s">
        <v>2156</v>
      </c>
      <c r="B2507" s="468">
        <v>4</v>
      </c>
      <c r="C2507" s="468">
        <v>28</v>
      </c>
      <c r="D2507" s="468">
        <v>22</v>
      </c>
      <c r="E2507" s="468">
        <v>13</v>
      </c>
      <c r="F2507" s="451">
        <v>6</v>
      </c>
      <c r="G2507" s="451">
        <v>6</v>
      </c>
      <c r="H2507" s="451">
        <v>4</v>
      </c>
      <c r="I2507" s="451">
        <v>0</v>
      </c>
      <c r="J2507" s="41">
        <v>13</v>
      </c>
      <c r="K2507" s="41">
        <v>4</v>
      </c>
      <c r="L2507" s="451">
        <v>0</v>
      </c>
      <c r="M2507" s="451">
        <v>0</v>
      </c>
      <c r="N2507" s="467">
        <v>0</v>
      </c>
      <c r="O2507" s="467">
        <v>0</v>
      </c>
      <c r="P2507" s="467"/>
      <c r="Q2507" s="453"/>
      <c r="R2507" s="453"/>
      <c r="S2507" s="453"/>
      <c r="T2507" s="453"/>
      <c r="U2507" s="453"/>
      <c r="V2507" s="453"/>
    </row>
    <row r="2508" spans="1:24" s="21" customFormat="1" x14ac:dyDescent="0.2">
      <c r="A2508" s="405" t="s">
        <v>1343</v>
      </c>
      <c r="B2508" s="468">
        <v>0</v>
      </c>
      <c r="C2508" s="468">
        <v>0</v>
      </c>
      <c r="D2508" s="468">
        <v>0</v>
      </c>
      <c r="E2508" s="468">
        <v>0</v>
      </c>
      <c r="F2508" s="468">
        <v>0</v>
      </c>
      <c r="G2508" s="468">
        <v>0</v>
      </c>
      <c r="H2508" s="468">
        <v>0</v>
      </c>
      <c r="I2508" s="468">
        <v>0</v>
      </c>
      <c r="J2508" s="41">
        <v>0</v>
      </c>
      <c r="K2508" s="41">
        <v>0</v>
      </c>
      <c r="L2508" s="468">
        <v>0</v>
      </c>
      <c r="M2508" s="451">
        <v>0</v>
      </c>
      <c r="N2508" s="467">
        <v>0</v>
      </c>
      <c r="O2508" s="467">
        <v>0</v>
      </c>
      <c r="P2508" s="467"/>
      <c r="Q2508" s="453"/>
      <c r="R2508" s="453"/>
      <c r="S2508" s="453"/>
      <c r="T2508" s="453"/>
      <c r="U2508" s="453"/>
      <c r="V2508" s="453"/>
    </row>
    <row r="2509" spans="1:24" s="21" customFormat="1" x14ac:dyDescent="0.2">
      <c r="A2509" s="405" t="s">
        <v>2157</v>
      </c>
      <c r="B2509" s="451">
        <v>5</v>
      </c>
      <c r="C2509" s="451">
        <v>30</v>
      </c>
      <c r="D2509" s="451">
        <v>15</v>
      </c>
      <c r="E2509" s="451">
        <v>15</v>
      </c>
      <c r="F2509" s="451">
        <v>5</v>
      </c>
      <c r="G2509" s="451">
        <v>5</v>
      </c>
      <c r="H2509" s="451">
        <v>5</v>
      </c>
      <c r="I2509" s="451">
        <v>0</v>
      </c>
      <c r="J2509" s="41">
        <v>15</v>
      </c>
      <c r="K2509" s="41">
        <v>5</v>
      </c>
      <c r="L2509" s="451">
        <v>0</v>
      </c>
      <c r="M2509" s="451">
        <v>0</v>
      </c>
      <c r="N2509" s="467">
        <v>0</v>
      </c>
      <c r="O2509" s="467">
        <v>0</v>
      </c>
      <c r="P2509" s="467"/>
      <c r="Q2509" s="453"/>
      <c r="R2509" s="453"/>
      <c r="S2509" s="453"/>
      <c r="T2509" s="453"/>
      <c r="U2509" s="453"/>
      <c r="V2509" s="453"/>
    </row>
    <row r="2510" spans="1:24" s="21" customFormat="1" x14ac:dyDescent="0.2">
      <c r="A2510" s="405" t="s">
        <v>1351</v>
      </c>
      <c r="B2510" s="451">
        <v>0</v>
      </c>
      <c r="C2510" s="451">
        <v>0</v>
      </c>
      <c r="D2510" s="451">
        <v>0</v>
      </c>
      <c r="E2510" s="451">
        <v>0</v>
      </c>
      <c r="F2510" s="451">
        <v>0</v>
      </c>
      <c r="G2510" s="451">
        <v>0</v>
      </c>
      <c r="H2510" s="451">
        <v>0</v>
      </c>
      <c r="I2510" s="451">
        <v>0</v>
      </c>
      <c r="J2510" s="41">
        <v>0</v>
      </c>
      <c r="K2510" s="41">
        <v>0</v>
      </c>
      <c r="L2510" s="451">
        <v>0</v>
      </c>
      <c r="M2510" s="451">
        <v>0</v>
      </c>
      <c r="N2510" s="467">
        <v>0</v>
      </c>
      <c r="O2510" s="467">
        <v>0</v>
      </c>
      <c r="P2510" s="467"/>
      <c r="Q2510" s="453"/>
      <c r="R2510" s="453"/>
      <c r="S2510" s="453"/>
      <c r="T2510" s="453"/>
      <c r="U2510" s="453"/>
      <c r="V2510" s="453"/>
    </row>
    <row r="2511" spans="1:24" s="21" customFormat="1" x14ac:dyDescent="0.2">
      <c r="A2511" s="405" t="s">
        <v>1337</v>
      </c>
      <c r="B2511" s="451">
        <v>0</v>
      </c>
      <c r="C2511" s="451">
        <v>0</v>
      </c>
      <c r="D2511" s="451">
        <v>0</v>
      </c>
      <c r="E2511" s="451">
        <v>0</v>
      </c>
      <c r="F2511" s="451">
        <v>0</v>
      </c>
      <c r="G2511" s="451">
        <v>0</v>
      </c>
      <c r="H2511" s="451">
        <v>0</v>
      </c>
      <c r="I2511" s="451">
        <v>0</v>
      </c>
      <c r="J2511" s="41">
        <v>0</v>
      </c>
      <c r="K2511" s="41">
        <v>0</v>
      </c>
      <c r="L2511" s="451">
        <v>0</v>
      </c>
      <c r="M2511" s="451">
        <v>0</v>
      </c>
      <c r="N2511" s="467">
        <v>0</v>
      </c>
      <c r="O2511" s="467">
        <v>0</v>
      </c>
      <c r="P2511" s="467"/>
      <c r="Q2511" s="453"/>
      <c r="R2511" s="453"/>
      <c r="S2511" s="453"/>
      <c r="T2511" s="453"/>
      <c r="U2511" s="453"/>
      <c r="V2511" s="453"/>
    </row>
    <row r="2512" spans="1:24" s="21" customFormat="1" x14ac:dyDescent="0.2">
      <c r="A2512" s="405" t="s">
        <v>2158</v>
      </c>
      <c r="B2512" s="451">
        <v>0</v>
      </c>
      <c r="C2512" s="451">
        <v>0</v>
      </c>
      <c r="D2512" s="451">
        <v>0</v>
      </c>
      <c r="E2512" s="451">
        <v>0</v>
      </c>
      <c r="F2512" s="451">
        <v>0</v>
      </c>
      <c r="G2512" s="451">
        <v>0</v>
      </c>
      <c r="H2512" s="451">
        <v>0</v>
      </c>
      <c r="I2512" s="451">
        <v>0</v>
      </c>
      <c r="J2512" s="41">
        <v>0</v>
      </c>
      <c r="K2512" s="41">
        <v>0</v>
      </c>
      <c r="L2512" s="451">
        <v>0</v>
      </c>
      <c r="M2512" s="451">
        <v>0</v>
      </c>
      <c r="N2512" s="467">
        <v>0</v>
      </c>
      <c r="O2512" s="467">
        <v>0</v>
      </c>
      <c r="P2512" s="467"/>
      <c r="Q2512" s="453"/>
      <c r="R2512" s="453"/>
      <c r="S2512" s="453"/>
      <c r="T2512" s="453"/>
      <c r="U2512" s="453"/>
      <c r="V2512" s="453"/>
    </row>
    <row r="2513" spans="1:24" s="21" customFormat="1" x14ac:dyDescent="0.2">
      <c r="A2513" s="405" t="s">
        <v>1346</v>
      </c>
      <c r="B2513" s="468">
        <v>0</v>
      </c>
      <c r="C2513" s="468">
        <v>0</v>
      </c>
      <c r="D2513" s="468">
        <v>0</v>
      </c>
      <c r="E2513" s="468">
        <v>0</v>
      </c>
      <c r="F2513" s="468">
        <v>0</v>
      </c>
      <c r="G2513" s="468">
        <v>0</v>
      </c>
      <c r="H2513" s="468">
        <v>0</v>
      </c>
      <c r="I2513" s="468">
        <v>0</v>
      </c>
      <c r="J2513" s="467">
        <v>0</v>
      </c>
      <c r="K2513" s="467">
        <v>0</v>
      </c>
      <c r="L2513" s="468">
        <v>0</v>
      </c>
      <c r="M2513" s="451">
        <v>0</v>
      </c>
      <c r="N2513" s="467">
        <v>0</v>
      </c>
      <c r="O2513" s="467">
        <v>0</v>
      </c>
      <c r="P2513" s="467"/>
    </row>
    <row r="2514" spans="1:24" s="453" customFormat="1" x14ac:dyDescent="0.2">
      <c r="A2514" s="405" t="s">
        <v>2159</v>
      </c>
      <c r="B2514" s="451">
        <v>5</v>
      </c>
      <c r="C2514" s="451">
        <v>30</v>
      </c>
      <c r="D2514" s="451">
        <v>15</v>
      </c>
      <c r="E2514" s="451">
        <v>15</v>
      </c>
      <c r="F2514" s="451">
        <v>5</v>
      </c>
      <c r="G2514" s="451">
        <v>5</v>
      </c>
      <c r="H2514" s="451">
        <v>5</v>
      </c>
      <c r="I2514" s="451">
        <v>0</v>
      </c>
      <c r="J2514" s="41">
        <v>15</v>
      </c>
      <c r="K2514" s="41">
        <v>5</v>
      </c>
      <c r="L2514" s="451">
        <v>0</v>
      </c>
      <c r="M2514" s="451">
        <v>0</v>
      </c>
      <c r="N2514" s="467">
        <v>0</v>
      </c>
      <c r="O2514" s="467">
        <v>0</v>
      </c>
      <c r="P2514" s="467"/>
    </row>
    <row r="2515" spans="1:24" s="453" customFormat="1" x14ac:dyDescent="0.2">
      <c r="A2515" s="405" t="s">
        <v>2160</v>
      </c>
      <c r="B2515" s="468">
        <v>5</v>
      </c>
      <c r="C2515" s="468">
        <v>30</v>
      </c>
      <c r="D2515" s="468">
        <v>15</v>
      </c>
      <c r="E2515" s="468">
        <v>15</v>
      </c>
      <c r="F2515" s="468">
        <v>5</v>
      </c>
      <c r="G2515" s="468">
        <v>5</v>
      </c>
      <c r="H2515" s="468">
        <v>5</v>
      </c>
      <c r="I2515" s="468">
        <v>0</v>
      </c>
      <c r="J2515" s="41">
        <v>15</v>
      </c>
      <c r="K2515" s="41">
        <v>5</v>
      </c>
      <c r="L2515" s="468">
        <v>0</v>
      </c>
      <c r="M2515" s="451">
        <v>0</v>
      </c>
      <c r="N2515" s="467">
        <v>0</v>
      </c>
      <c r="O2515" s="467">
        <v>0</v>
      </c>
      <c r="P2515" s="467"/>
    </row>
    <row r="2516" spans="1:24" s="535" customFormat="1" x14ac:dyDescent="0.2">
      <c r="A2516" s="405" t="s">
        <v>2179</v>
      </c>
      <c r="B2516" s="4264"/>
      <c r="C2516" s="4264"/>
      <c r="D2516" s="4264"/>
      <c r="E2516" s="4264"/>
      <c r="F2516" s="4264"/>
      <c r="G2516" s="4264"/>
      <c r="H2516" s="4264"/>
      <c r="I2516" s="4264"/>
      <c r="J2516" s="4265"/>
      <c r="K2516" s="4265"/>
      <c r="L2516" s="4264"/>
      <c r="M2516" s="4264"/>
      <c r="N2516" s="467"/>
      <c r="O2516" s="467"/>
    </row>
    <row r="2517" spans="1:24" s="292" customFormat="1" x14ac:dyDescent="0.2"/>
    <row r="2519" spans="1:24" s="125" customFormat="1" ht="14.25" customHeight="1" x14ac:dyDescent="0.2">
      <c r="A2519" s="377" t="s">
        <v>2171</v>
      </c>
      <c r="D2519" s="1075"/>
      <c r="E2519" s="1075"/>
      <c r="F2519" s="1075"/>
      <c r="G2519" s="1075"/>
      <c r="H2519" s="1075"/>
      <c r="I2519" s="1075"/>
      <c r="L2519" s="1075"/>
    </row>
    <row r="2520" spans="1:24" s="773" customFormat="1" ht="16.25" customHeight="1" x14ac:dyDescent="0.2">
      <c r="A2520" s="753" t="s">
        <v>2180</v>
      </c>
      <c r="B2520" s="442" t="s">
        <v>2173</v>
      </c>
      <c r="C2520" s="442" t="s">
        <v>2173</v>
      </c>
      <c r="D2520" s="442" t="s">
        <v>2173</v>
      </c>
      <c r="E2520" s="442" t="s">
        <v>2173</v>
      </c>
      <c r="F2520" s="442" t="s">
        <v>2173</v>
      </c>
      <c r="G2520" s="442" t="s">
        <v>2173</v>
      </c>
      <c r="H2520" s="442" t="s">
        <v>2173</v>
      </c>
      <c r="I2520" s="442" t="s">
        <v>2173</v>
      </c>
      <c r="J2520" s="442" t="s">
        <v>2173</v>
      </c>
      <c r="K2520" s="442" t="s">
        <v>2173</v>
      </c>
      <c r="L2520" s="442" t="s">
        <v>2173</v>
      </c>
      <c r="M2520" s="442" t="s">
        <v>2173</v>
      </c>
      <c r="N2520" s="442" t="s">
        <v>2173</v>
      </c>
      <c r="O2520" s="442" t="s">
        <v>2173</v>
      </c>
      <c r="P2520" s="442"/>
      <c r="Q2520" s="442"/>
      <c r="R2520" s="442"/>
      <c r="S2520" s="442"/>
      <c r="T2520" s="442"/>
      <c r="U2520" s="442"/>
      <c r="V2520" s="442"/>
    </row>
    <row r="2521" spans="1:24" s="291" customFormat="1" ht="16" x14ac:dyDescent="0.2">
      <c r="A2521" s="1641" t="s">
        <v>57</v>
      </c>
      <c r="B2521" s="1642" t="s">
        <v>1664</v>
      </c>
      <c r="C2521" s="1642" t="s">
        <v>1665</v>
      </c>
      <c r="D2521" s="1642" t="s">
        <v>1666</v>
      </c>
      <c r="E2521" s="1642" t="s">
        <v>1667</v>
      </c>
      <c r="F2521" s="1642" t="s">
        <v>2174</v>
      </c>
      <c r="G2521" s="1642" t="s">
        <v>1668</v>
      </c>
      <c r="H2521" s="1642" t="s">
        <v>1669</v>
      </c>
      <c r="I2521" s="1639" t="s">
        <v>1670</v>
      </c>
      <c r="J2521" s="1639" t="s">
        <v>1671</v>
      </c>
      <c r="K2521" s="1639" t="s">
        <v>1672</v>
      </c>
      <c r="L2521" s="1642" t="s">
        <v>1673</v>
      </c>
      <c r="M2521" s="291" t="s">
        <v>1674</v>
      </c>
      <c r="N2521" s="2152" t="s">
        <v>1675</v>
      </c>
      <c r="O2521" s="2152" t="s">
        <v>1676</v>
      </c>
      <c r="P2521" s="1658" t="s">
        <v>2175</v>
      </c>
      <c r="Q2521" s="453"/>
      <c r="R2521" s="453"/>
      <c r="S2521" s="453"/>
      <c r="T2521" s="453"/>
      <c r="U2521" s="453"/>
      <c r="V2521" s="453"/>
      <c r="W2521" s="21"/>
      <c r="X2521" s="21"/>
    </row>
    <row r="2522" spans="1:24" s="1093" customFormat="1" ht="16" x14ac:dyDescent="0.2">
      <c r="A2522" s="523" t="s">
        <v>2153</v>
      </c>
      <c r="B2522" s="1636" t="s">
        <v>309</v>
      </c>
      <c r="C2522" s="1636" t="s">
        <v>309</v>
      </c>
      <c r="D2522" s="1636" t="s">
        <v>309</v>
      </c>
      <c r="E2522" s="1636" t="s">
        <v>309</v>
      </c>
      <c r="F2522" s="1636" t="s">
        <v>309</v>
      </c>
      <c r="G2522" s="1636" t="s">
        <v>309</v>
      </c>
      <c r="H2522" s="1636" t="s">
        <v>309</v>
      </c>
      <c r="I2522" s="1636" t="s">
        <v>309</v>
      </c>
      <c r="J2522" s="31" t="s">
        <v>309</v>
      </c>
      <c r="K2522" s="31" t="s">
        <v>309</v>
      </c>
      <c r="L2522" s="1636" t="s">
        <v>309</v>
      </c>
      <c r="M2522" s="31" t="s">
        <v>309</v>
      </c>
      <c r="N2522" s="31" t="s">
        <v>309</v>
      </c>
      <c r="O2522" s="31" t="s">
        <v>309</v>
      </c>
      <c r="P2522" s="31" t="s">
        <v>309</v>
      </c>
      <c r="Q2522" s="1092"/>
      <c r="R2522" s="1092"/>
      <c r="S2522" s="1092"/>
      <c r="T2522" s="1092"/>
      <c r="U2522" s="1092"/>
      <c r="V2522" s="1092"/>
    </row>
    <row r="2523" spans="1:24" s="21" customFormat="1" x14ac:dyDescent="0.2">
      <c r="A2523" s="407" t="s">
        <v>2155</v>
      </c>
      <c r="B2523" s="1640">
        <v>0</v>
      </c>
      <c r="C2523" s="1640">
        <v>7</v>
      </c>
      <c r="D2523" s="1640">
        <v>6</v>
      </c>
      <c r="E2523" s="1640">
        <v>86</v>
      </c>
      <c r="F2523" s="1640">
        <v>0</v>
      </c>
      <c r="G2523" s="1640">
        <v>0</v>
      </c>
      <c r="H2523" s="1640">
        <v>0</v>
      </c>
      <c r="I2523" s="1640">
        <v>0</v>
      </c>
      <c r="J2523" s="41">
        <v>1</v>
      </c>
      <c r="K2523" s="41">
        <v>0</v>
      </c>
      <c r="L2523" s="1640">
        <v>0</v>
      </c>
      <c r="M2523" s="451">
        <v>0</v>
      </c>
      <c r="N2523" s="467">
        <v>0</v>
      </c>
      <c r="O2523" s="467">
        <v>0</v>
      </c>
      <c r="P2523" s="467"/>
      <c r="Q2523" s="453"/>
      <c r="R2523" s="453"/>
      <c r="S2523" s="453"/>
      <c r="T2523" s="453"/>
      <c r="U2523" s="453"/>
      <c r="V2523" s="453"/>
    </row>
    <row r="2524" spans="1:24" s="21" customFormat="1" x14ac:dyDescent="0.2">
      <c r="A2524" s="405" t="s">
        <v>2156</v>
      </c>
      <c r="B2524" s="468">
        <v>35</v>
      </c>
      <c r="C2524" s="468">
        <v>21</v>
      </c>
      <c r="D2524" s="468">
        <v>0</v>
      </c>
      <c r="E2524" s="468">
        <v>2</v>
      </c>
      <c r="F2524" s="451">
        <v>0</v>
      </c>
      <c r="G2524" s="451">
        <v>0</v>
      </c>
      <c r="H2524" s="451">
        <v>7</v>
      </c>
      <c r="I2524" s="451">
        <v>0</v>
      </c>
      <c r="J2524" s="41">
        <v>35</v>
      </c>
      <c r="K2524" s="41">
        <v>0</v>
      </c>
      <c r="L2524" s="451">
        <v>0</v>
      </c>
      <c r="M2524" s="451">
        <v>0</v>
      </c>
      <c r="N2524" s="467">
        <v>0</v>
      </c>
      <c r="O2524" s="467">
        <v>0</v>
      </c>
      <c r="P2524" s="467"/>
      <c r="Q2524" s="453"/>
      <c r="R2524" s="453"/>
      <c r="S2524" s="453"/>
      <c r="T2524" s="453"/>
      <c r="U2524" s="453"/>
      <c r="V2524" s="453"/>
    </row>
    <row r="2525" spans="1:24" s="21" customFormat="1" x14ac:dyDescent="0.2">
      <c r="A2525" s="405" t="s">
        <v>1343</v>
      </c>
      <c r="B2525" s="468">
        <v>28</v>
      </c>
      <c r="C2525" s="468">
        <v>31</v>
      </c>
      <c r="D2525" s="468">
        <v>4</v>
      </c>
      <c r="E2525" s="468">
        <v>3</v>
      </c>
      <c r="F2525" s="468">
        <v>0</v>
      </c>
      <c r="G2525" s="468">
        <v>0</v>
      </c>
      <c r="H2525" s="468">
        <v>0</v>
      </c>
      <c r="I2525" s="468">
        <v>0</v>
      </c>
      <c r="J2525" s="41">
        <v>0</v>
      </c>
      <c r="K2525" s="41">
        <v>34</v>
      </c>
      <c r="L2525" s="468">
        <v>0</v>
      </c>
      <c r="M2525" s="451">
        <v>0</v>
      </c>
      <c r="N2525" s="467">
        <v>0</v>
      </c>
      <c r="O2525" s="467">
        <v>0</v>
      </c>
      <c r="P2525" s="467"/>
      <c r="Q2525" s="453"/>
      <c r="R2525" s="453"/>
      <c r="S2525" s="453"/>
      <c r="T2525" s="453"/>
      <c r="U2525" s="453"/>
      <c r="V2525" s="453"/>
    </row>
    <row r="2526" spans="1:24" s="21" customFormat="1" x14ac:dyDescent="0.2">
      <c r="A2526" s="405" t="s">
        <v>2157</v>
      </c>
      <c r="B2526" s="451">
        <v>11</v>
      </c>
      <c r="C2526" s="451">
        <v>34</v>
      </c>
      <c r="D2526" s="451">
        <v>12</v>
      </c>
      <c r="E2526" s="451">
        <v>41</v>
      </c>
      <c r="F2526" s="451">
        <v>0</v>
      </c>
      <c r="G2526" s="451">
        <v>2</v>
      </c>
      <c r="H2526" s="451">
        <v>0</v>
      </c>
      <c r="I2526" s="451">
        <v>0</v>
      </c>
      <c r="J2526" s="41">
        <v>0</v>
      </c>
      <c r="K2526" s="41">
        <v>0</v>
      </c>
      <c r="L2526" s="451">
        <v>0</v>
      </c>
      <c r="M2526" s="451">
        <v>0</v>
      </c>
      <c r="N2526" s="467">
        <v>0</v>
      </c>
      <c r="O2526" s="467">
        <v>0</v>
      </c>
      <c r="P2526" s="467"/>
      <c r="Q2526" s="453"/>
      <c r="R2526" s="453"/>
      <c r="S2526" s="453"/>
      <c r="T2526" s="453"/>
      <c r="U2526" s="453"/>
      <c r="V2526" s="453"/>
    </row>
    <row r="2527" spans="1:24" s="21" customFormat="1" x14ac:dyDescent="0.2">
      <c r="A2527" s="405" t="s">
        <v>1351</v>
      </c>
      <c r="B2527" s="451">
        <v>6</v>
      </c>
      <c r="C2527" s="451">
        <v>51</v>
      </c>
      <c r="D2527" s="451">
        <v>14</v>
      </c>
      <c r="E2527" s="451">
        <v>0</v>
      </c>
      <c r="F2527" s="451">
        <v>0</v>
      </c>
      <c r="G2527" s="451">
        <v>1</v>
      </c>
      <c r="H2527" s="451">
        <v>0</v>
      </c>
      <c r="I2527" s="451">
        <v>0</v>
      </c>
      <c r="J2527" s="41">
        <v>2</v>
      </c>
      <c r="K2527" s="41">
        <v>26</v>
      </c>
      <c r="L2527" s="451">
        <v>0</v>
      </c>
      <c r="M2527" s="451">
        <v>0</v>
      </c>
      <c r="N2527" s="467">
        <v>0</v>
      </c>
      <c r="O2527" s="467">
        <v>0</v>
      </c>
      <c r="P2527" s="467"/>
      <c r="Q2527" s="453"/>
      <c r="R2527" s="453"/>
      <c r="S2527" s="453"/>
      <c r="T2527" s="453"/>
      <c r="U2527" s="453"/>
      <c r="V2527" s="453"/>
    </row>
    <row r="2528" spans="1:24" s="21" customFormat="1" x14ac:dyDescent="0.2">
      <c r="A2528" s="405" t="s">
        <v>1337</v>
      </c>
      <c r="B2528" s="451">
        <v>5</v>
      </c>
      <c r="C2528" s="451">
        <v>31</v>
      </c>
      <c r="D2528" s="451">
        <v>55</v>
      </c>
      <c r="E2528" s="451">
        <v>1</v>
      </c>
      <c r="F2528" s="451">
        <v>0</v>
      </c>
      <c r="G2528" s="451">
        <v>0</v>
      </c>
      <c r="H2528" s="451">
        <v>0</v>
      </c>
      <c r="I2528" s="451">
        <v>0</v>
      </c>
      <c r="J2528" s="41">
        <v>4</v>
      </c>
      <c r="K2528" s="41">
        <v>4</v>
      </c>
      <c r="L2528" s="451">
        <v>0</v>
      </c>
      <c r="M2528" s="451">
        <v>0</v>
      </c>
      <c r="N2528" s="467">
        <v>0</v>
      </c>
      <c r="O2528" s="467">
        <v>0</v>
      </c>
      <c r="P2528" s="467"/>
      <c r="Q2528" s="453"/>
      <c r="R2528" s="453"/>
      <c r="S2528" s="453"/>
      <c r="T2528" s="453"/>
      <c r="U2528" s="453"/>
      <c r="V2528" s="453"/>
    </row>
    <row r="2529" spans="1:24" s="21" customFormat="1" x14ac:dyDescent="0.2">
      <c r="A2529" s="405" t="s">
        <v>2158</v>
      </c>
      <c r="B2529" s="451">
        <v>0</v>
      </c>
      <c r="C2529" s="451">
        <v>24</v>
      </c>
      <c r="D2529" s="451">
        <v>76</v>
      </c>
      <c r="E2529" s="451">
        <v>0</v>
      </c>
      <c r="F2529" s="451">
        <v>0</v>
      </c>
      <c r="G2529" s="451">
        <v>0</v>
      </c>
      <c r="H2529" s="451">
        <v>0</v>
      </c>
      <c r="I2529" s="451">
        <v>0</v>
      </c>
      <c r="J2529" s="41">
        <v>0</v>
      </c>
      <c r="K2529" s="41">
        <v>0</v>
      </c>
      <c r="L2529" s="451">
        <v>0</v>
      </c>
      <c r="M2529" s="451">
        <v>0</v>
      </c>
      <c r="N2529" s="467">
        <v>0</v>
      </c>
      <c r="O2529" s="467">
        <v>0</v>
      </c>
      <c r="P2529" s="467"/>
      <c r="Q2529" s="453"/>
      <c r="R2529" s="453"/>
      <c r="S2529" s="453"/>
      <c r="T2529" s="453"/>
      <c r="U2529" s="453"/>
      <c r="V2529" s="453"/>
    </row>
    <row r="2530" spans="1:24" s="21" customFormat="1" x14ac:dyDescent="0.2">
      <c r="A2530" s="405" t="s">
        <v>1346</v>
      </c>
      <c r="B2530" s="468">
        <v>91</v>
      </c>
      <c r="C2530" s="468">
        <v>0</v>
      </c>
      <c r="D2530" s="468">
        <v>1</v>
      </c>
      <c r="E2530" s="468">
        <v>8</v>
      </c>
      <c r="F2530" s="468">
        <v>0</v>
      </c>
      <c r="G2530" s="468">
        <v>0</v>
      </c>
      <c r="H2530" s="468">
        <v>0</v>
      </c>
      <c r="I2530" s="468">
        <v>0</v>
      </c>
      <c r="J2530" s="467">
        <v>0</v>
      </c>
      <c r="K2530" s="467">
        <v>0</v>
      </c>
      <c r="L2530" s="468">
        <v>0</v>
      </c>
      <c r="M2530" s="451">
        <v>0</v>
      </c>
      <c r="N2530" s="467">
        <v>0</v>
      </c>
      <c r="O2530" s="467">
        <v>0</v>
      </c>
      <c r="P2530" s="467"/>
    </row>
    <row r="2531" spans="1:24" s="453" customFormat="1" x14ac:dyDescent="0.2">
      <c r="A2531" s="405" t="s">
        <v>2159</v>
      </c>
      <c r="B2531" s="451">
        <v>10</v>
      </c>
      <c r="C2531" s="451">
        <v>29</v>
      </c>
      <c r="D2531" s="451">
        <v>0</v>
      </c>
      <c r="E2531" s="451">
        <v>54</v>
      </c>
      <c r="F2531" s="451">
        <v>0</v>
      </c>
      <c r="G2531" s="451">
        <v>0</v>
      </c>
      <c r="H2531" s="451">
        <v>7</v>
      </c>
      <c r="I2531" s="451">
        <v>0</v>
      </c>
      <c r="J2531" s="41">
        <v>0</v>
      </c>
      <c r="K2531" s="41">
        <v>0</v>
      </c>
      <c r="L2531" s="451">
        <v>0</v>
      </c>
      <c r="M2531" s="451">
        <v>0</v>
      </c>
      <c r="N2531" s="467">
        <v>0</v>
      </c>
      <c r="O2531" s="467">
        <v>0</v>
      </c>
      <c r="P2531" s="467"/>
    </row>
    <row r="2532" spans="1:24" s="453" customFormat="1" x14ac:dyDescent="0.2">
      <c r="A2532" s="405" t="s">
        <v>2160</v>
      </c>
      <c r="B2532" s="468">
        <v>12</v>
      </c>
      <c r="C2532" s="468">
        <v>23</v>
      </c>
      <c r="D2532" s="468">
        <v>13</v>
      </c>
      <c r="E2532" s="468">
        <v>35</v>
      </c>
      <c r="F2532" s="468">
        <v>0</v>
      </c>
      <c r="G2532" s="468">
        <v>7</v>
      </c>
      <c r="H2532" s="468">
        <v>8</v>
      </c>
      <c r="I2532" s="468">
        <v>2</v>
      </c>
      <c r="J2532" s="41">
        <v>2</v>
      </c>
      <c r="K2532" s="41">
        <v>0</v>
      </c>
      <c r="L2532" s="468">
        <v>0</v>
      </c>
      <c r="M2532" s="451">
        <v>0</v>
      </c>
      <c r="N2532" s="467">
        <v>0</v>
      </c>
      <c r="O2532" s="467">
        <v>0</v>
      </c>
      <c r="P2532" s="467"/>
    </row>
    <row r="2533" spans="1:24" s="535" customFormat="1" x14ac:dyDescent="0.2">
      <c r="A2533" s="518" t="s">
        <v>2176</v>
      </c>
      <c r="F2533" s="1624"/>
      <c r="G2533" s="1624"/>
      <c r="H2533" s="1624"/>
      <c r="I2533" s="1624"/>
      <c r="J2533" s="1624"/>
      <c r="K2533" s="1624"/>
      <c r="L2533" s="1624"/>
      <c r="M2533" s="1624"/>
      <c r="N2533" s="1624"/>
    </row>
    <row r="2534" spans="1:24" s="292" customFormat="1" x14ac:dyDescent="0.2"/>
    <row r="2536" spans="1:24" s="125" customFormat="1" ht="14.25" customHeight="1" x14ac:dyDescent="0.2">
      <c r="A2536" s="377" t="s">
        <v>2171</v>
      </c>
      <c r="D2536" s="1075"/>
      <c r="E2536" s="1075"/>
      <c r="F2536" s="1075"/>
      <c r="G2536" s="1075"/>
      <c r="H2536" s="1075"/>
      <c r="I2536" s="1075"/>
      <c r="L2536" s="1075"/>
    </row>
    <row r="2537" spans="1:24" s="773" customFormat="1" ht="16.25" customHeight="1" x14ac:dyDescent="0.2">
      <c r="A2537" s="753" t="s">
        <v>2181</v>
      </c>
      <c r="B2537" s="442" t="s">
        <v>2173</v>
      </c>
      <c r="C2537" s="442" t="s">
        <v>2173</v>
      </c>
      <c r="D2537" s="442" t="s">
        <v>2173</v>
      </c>
      <c r="E2537" s="442" t="s">
        <v>2173</v>
      </c>
      <c r="F2537" s="442" t="s">
        <v>2173</v>
      </c>
      <c r="G2537" s="442" t="s">
        <v>2173</v>
      </c>
      <c r="H2537" s="442" t="s">
        <v>2173</v>
      </c>
      <c r="I2537" s="442" t="s">
        <v>2173</v>
      </c>
      <c r="J2537" s="442" t="s">
        <v>2173</v>
      </c>
      <c r="K2537" s="442" t="s">
        <v>2173</v>
      </c>
      <c r="L2537" s="442" t="s">
        <v>2173</v>
      </c>
      <c r="M2537" s="442" t="s">
        <v>2173</v>
      </c>
      <c r="N2537" s="442" t="s">
        <v>2173</v>
      </c>
      <c r="O2537" s="442" t="s">
        <v>2173</v>
      </c>
      <c r="P2537" s="442"/>
      <c r="Q2537" s="442"/>
      <c r="R2537" s="442"/>
      <c r="S2537" s="442"/>
      <c r="T2537" s="442"/>
      <c r="U2537" s="442"/>
      <c r="V2537" s="442"/>
    </row>
    <row r="2538" spans="1:24" s="291" customFormat="1" ht="16" x14ac:dyDescent="0.2">
      <c r="A2538" s="1641" t="s">
        <v>57</v>
      </c>
      <c r="B2538" s="1642" t="s">
        <v>1664</v>
      </c>
      <c r="C2538" s="1642" t="s">
        <v>1665</v>
      </c>
      <c r="D2538" s="1642" t="s">
        <v>1666</v>
      </c>
      <c r="E2538" s="1642" t="s">
        <v>1667</v>
      </c>
      <c r="F2538" s="1642" t="s">
        <v>2174</v>
      </c>
      <c r="G2538" s="1642" t="s">
        <v>1668</v>
      </c>
      <c r="H2538" s="1642" t="s">
        <v>1669</v>
      </c>
      <c r="I2538" s="1639" t="s">
        <v>1670</v>
      </c>
      <c r="J2538" s="1639" t="s">
        <v>1671</v>
      </c>
      <c r="K2538" s="1639" t="s">
        <v>1672</v>
      </c>
      <c r="L2538" s="1642" t="s">
        <v>1673</v>
      </c>
      <c r="M2538" s="291" t="s">
        <v>1674</v>
      </c>
      <c r="N2538" s="2152" t="s">
        <v>1675</v>
      </c>
      <c r="O2538" s="2152" t="s">
        <v>1676</v>
      </c>
      <c r="P2538" s="1658" t="s">
        <v>2175</v>
      </c>
      <c r="Q2538" s="453"/>
      <c r="R2538" s="453"/>
      <c r="S2538" s="453"/>
      <c r="T2538" s="453"/>
      <c r="U2538" s="453"/>
      <c r="V2538" s="453"/>
      <c r="W2538" s="21"/>
      <c r="X2538" s="21"/>
    </row>
    <row r="2539" spans="1:24" s="1093" customFormat="1" ht="16" x14ac:dyDescent="0.2">
      <c r="A2539" s="523" t="s">
        <v>2153</v>
      </c>
      <c r="B2539" s="1631" t="s">
        <v>309</v>
      </c>
      <c r="C2539" s="1631" t="s">
        <v>309</v>
      </c>
      <c r="D2539" s="1631" t="s">
        <v>309</v>
      </c>
      <c r="E2539" s="1631" t="s">
        <v>309</v>
      </c>
      <c r="F2539" s="1631" t="s">
        <v>309</v>
      </c>
      <c r="G2539" s="1631" t="s">
        <v>309</v>
      </c>
      <c r="H2539" s="1631" t="s">
        <v>309</v>
      </c>
      <c r="I2539" s="1631" t="s">
        <v>309</v>
      </c>
      <c r="J2539" s="31" t="s">
        <v>309</v>
      </c>
      <c r="K2539" s="31" t="s">
        <v>309</v>
      </c>
      <c r="L2539" s="1636" t="s">
        <v>309</v>
      </c>
      <c r="M2539" s="31" t="s">
        <v>309</v>
      </c>
      <c r="N2539" s="31" t="s">
        <v>309</v>
      </c>
      <c r="O2539" s="31" t="s">
        <v>309</v>
      </c>
      <c r="P2539" s="31" t="s">
        <v>309</v>
      </c>
      <c r="Q2539" s="1092"/>
      <c r="R2539" s="1092"/>
      <c r="S2539" s="1092"/>
      <c r="T2539" s="1092"/>
      <c r="U2539" s="1092"/>
      <c r="V2539" s="1092"/>
    </row>
    <row r="2540" spans="1:24" s="21" customFormat="1" x14ac:dyDescent="0.2">
      <c r="A2540" s="407" t="s">
        <v>2155</v>
      </c>
      <c r="B2540" s="468">
        <v>5</v>
      </c>
      <c r="C2540" s="468">
        <v>30</v>
      </c>
      <c r="D2540" s="468">
        <v>15</v>
      </c>
      <c r="E2540" s="468">
        <v>15</v>
      </c>
      <c r="F2540" s="468">
        <v>5</v>
      </c>
      <c r="G2540" s="468">
        <v>5</v>
      </c>
      <c r="H2540" s="468">
        <v>5</v>
      </c>
      <c r="I2540" s="468">
        <v>0</v>
      </c>
      <c r="J2540" s="41">
        <v>15</v>
      </c>
      <c r="K2540" s="41">
        <v>5</v>
      </c>
      <c r="L2540" s="1640">
        <v>0</v>
      </c>
      <c r="M2540" s="451">
        <v>0</v>
      </c>
      <c r="N2540" s="467">
        <v>0</v>
      </c>
      <c r="O2540" s="467">
        <v>0</v>
      </c>
      <c r="P2540" s="467"/>
      <c r="Q2540" s="453"/>
      <c r="R2540" s="453"/>
      <c r="S2540" s="453"/>
      <c r="T2540" s="453"/>
      <c r="U2540" s="453"/>
      <c r="V2540" s="453"/>
    </row>
    <row r="2541" spans="1:24" s="21" customFormat="1" x14ac:dyDescent="0.2">
      <c r="A2541" s="405" t="s">
        <v>2156</v>
      </c>
      <c r="B2541" s="468">
        <v>5</v>
      </c>
      <c r="C2541" s="468">
        <v>27</v>
      </c>
      <c r="D2541" s="468">
        <v>18</v>
      </c>
      <c r="E2541" s="468">
        <v>14</v>
      </c>
      <c r="F2541" s="451">
        <v>6</v>
      </c>
      <c r="G2541" s="451">
        <v>6</v>
      </c>
      <c r="H2541" s="451">
        <v>5</v>
      </c>
      <c r="I2541" s="451">
        <v>0</v>
      </c>
      <c r="J2541" s="41">
        <v>14</v>
      </c>
      <c r="K2541" s="41">
        <v>5</v>
      </c>
      <c r="L2541" s="451">
        <v>0</v>
      </c>
      <c r="M2541" s="451">
        <v>0</v>
      </c>
      <c r="N2541" s="467">
        <v>0</v>
      </c>
      <c r="O2541" s="467">
        <v>0</v>
      </c>
      <c r="P2541" s="467"/>
      <c r="Q2541" s="453"/>
      <c r="R2541" s="453"/>
      <c r="S2541" s="453"/>
      <c r="T2541" s="453"/>
      <c r="U2541" s="453"/>
      <c r="V2541" s="453"/>
    </row>
    <row r="2542" spans="1:24" s="21" customFormat="1" x14ac:dyDescent="0.2">
      <c r="A2542" s="405" t="s">
        <v>1343</v>
      </c>
      <c r="B2542" s="468">
        <v>0</v>
      </c>
      <c r="C2542" s="468">
        <v>0</v>
      </c>
      <c r="D2542" s="468">
        <v>0</v>
      </c>
      <c r="E2542" s="468">
        <v>0</v>
      </c>
      <c r="F2542" s="468">
        <v>0</v>
      </c>
      <c r="G2542" s="468">
        <v>0</v>
      </c>
      <c r="H2542" s="468">
        <v>0</v>
      </c>
      <c r="I2542" s="468">
        <v>0</v>
      </c>
      <c r="J2542" s="468">
        <v>0</v>
      </c>
      <c r="K2542" s="468">
        <v>0</v>
      </c>
      <c r="L2542" s="468">
        <v>0</v>
      </c>
      <c r="M2542" s="451">
        <v>0</v>
      </c>
      <c r="N2542" s="467">
        <v>0</v>
      </c>
      <c r="O2542" s="467">
        <v>0</v>
      </c>
      <c r="P2542" s="467"/>
      <c r="Q2542" s="453"/>
      <c r="R2542" s="453"/>
      <c r="S2542" s="453"/>
      <c r="T2542" s="453"/>
      <c r="U2542" s="453"/>
      <c r="V2542" s="453"/>
    </row>
    <row r="2543" spans="1:24" s="21" customFormat="1" x14ac:dyDescent="0.2">
      <c r="A2543" s="405" t="s">
        <v>2157</v>
      </c>
      <c r="B2543" s="468">
        <v>5</v>
      </c>
      <c r="C2543" s="468">
        <v>30</v>
      </c>
      <c r="D2543" s="468">
        <v>15</v>
      </c>
      <c r="E2543" s="468">
        <v>15</v>
      </c>
      <c r="F2543" s="468">
        <v>5</v>
      </c>
      <c r="G2543" s="468">
        <v>5</v>
      </c>
      <c r="H2543" s="468">
        <v>5</v>
      </c>
      <c r="I2543" s="468">
        <v>0</v>
      </c>
      <c r="J2543" s="41">
        <v>15</v>
      </c>
      <c r="K2543" s="41">
        <v>5</v>
      </c>
      <c r="L2543" s="451">
        <v>0</v>
      </c>
      <c r="M2543" s="451">
        <v>0</v>
      </c>
      <c r="N2543" s="467">
        <v>0</v>
      </c>
      <c r="O2543" s="467">
        <v>0</v>
      </c>
      <c r="P2543" s="467"/>
      <c r="Q2543" s="453"/>
      <c r="R2543" s="453"/>
      <c r="S2543" s="453"/>
      <c r="T2543" s="453"/>
      <c r="U2543" s="453"/>
      <c r="V2543" s="453"/>
    </row>
    <row r="2544" spans="1:24" s="21" customFormat="1" x14ac:dyDescent="0.2">
      <c r="A2544" s="405" t="s">
        <v>1351</v>
      </c>
      <c r="B2544" s="468">
        <v>0</v>
      </c>
      <c r="C2544" s="468">
        <v>0</v>
      </c>
      <c r="D2544" s="468">
        <v>0</v>
      </c>
      <c r="E2544" s="468">
        <v>0</v>
      </c>
      <c r="F2544" s="468">
        <v>0</v>
      </c>
      <c r="G2544" s="468">
        <v>0</v>
      </c>
      <c r="H2544" s="468">
        <v>0</v>
      </c>
      <c r="I2544" s="468">
        <v>0</v>
      </c>
      <c r="J2544" s="468">
        <v>0</v>
      </c>
      <c r="K2544" s="468">
        <v>0</v>
      </c>
      <c r="L2544" s="451">
        <v>0</v>
      </c>
      <c r="M2544" s="451">
        <v>0</v>
      </c>
      <c r="N2544" s="467">
        <v>0</v>
      </c>
      <c r="O2544" s="467">
        <v>0</v>
      </c>
      <c r="P2544" s="467"/>
      <c r="Q2544" s="453"/>
      <c r="R2544" s="453"/>
      <c r="S2544" s="453"/>
      <c r="T2544" s="453"/>
      <c r="U2544" s="453"/>
      <c r="V2544" s="453"/>
    </row>
    <row r="2545" spans="1:24" s="21" customFormat="1" x14ac:dyDescent="0.2">
      <c r="A2545" s="405" t="s">
        <v>1337</v>
      </c>
      <c r="B2545" s="468">
        <v>0</v>
      </c>
      <c r="C2545" s="468">
        <v>0</v>
      </c>
      <c r="D2545" s="468">
        <v>0</v>
      </c>
      <c r="E2545" s="468">
        <v>0</v>
      </c>
      <c r="F2545" s="468">
        <v>0</v>
      </c>
      <c r="G2545" s="468">
        <v>0</v>
      </c>
      <c r="H2545" s="468">
        <v>0</v>
      </c>
      <c r="I2545" s="468">
        <v>0</v>
      </c>
      <c r="J2545" s="468">
        <v>0</v>
      </c>
      <c r="K2545" s="468">
        <v>0</v>
      </c>
      <c r="L2545" s="451">
        <v>0</v>
      </c>
      <c r="M2545" s="451">
        <v>0</v>
      </c>
      <c r="N2545" s="467">
        <v>0</v>
      </c>
      <c r="O2545" s="467">
        <v>0</v>
      </c>
      <c r="P2545" s="467"/>
      <c r="Q2545" s="453"/>
      <c r="R2545" s="453"/>
      <c r="S2545" s="453"/>
      <c r="T2545" s="453"/>
      <c r="U2545" s="453"/>
      <c r="V2545" s="453"/>
    </row>
    <row r="2546" spans="1:24" s="21" customFormat="1" x14ac:dyDescent="0.2">
      <c r="A2546" s="405" t="s">
        <v>2158</v>
      </c>
      <c r="B2546" s="468">
        <v>0</v>
      </c>
      <c r="C2546" s="468">
        <v>0</v>
      </c>
      <c r="D2546" s="468">
        <v>0</v>
      </c>
      <c r="E2546" s="468">
        <v>0</v>
      </c>
      <c r="F2546" s="468">
        <v>0</v>
      </c>
      <c r="G2546" s="468">
        <v>0</v>
      </c>
      <c r="H2546" s="468">
        <v>0</v>
      </c>
      <c r="I2546" s="468">
        <v>0</v>
      </c>
      <c r="J2546" s="468">
        <v>0</v>
      </c>
      <c r="K2546" s="468">
        <v>0</v>
      </c>
      <c r="L2546" s="451">
        <v>0</v>
      </c>
      <c r="M2546" s="451">
        <v>0</v>
      </c>
      <c r="N2546" s="467">
        <v>0</v>
      </c>
      <c r="O2546" s="467">
        <v>0</v>
      </c>
      <c r="P2546" s="467"/>
      <c r="Q2546" s="453"/>
      <c r="R2546" s="453"/>
      <c r="S2546" s="453"/>
      <c r="T2546" s="453"/>
      <c r="U2546" s="453"/>
      <c r="V2546" s="453"/>
    </row>
    <row r="2547" spans="1:24" s="21" customFormat="1" x14ac:dyDescent="0.2">
      <c r="A2547" s="405" t="s">
        <v>1346</v>
      </c>
      <c r="B2547" s="468">
        <v>0</v>
      </c>
      <c r="C2547" s="468">
        <v>0</v>
      </c>
      <c r="D2547" s="468">
        <v>0</v>
      </c>
      <c r="E2547" s="468">
        <v>0</v>
      </c>
      <c r="F2547" s="468">
        <v>0</v>
      </c>
      <c r="G2547" s="468">
        <v>0</v>
      </c>
      <c r="H2547" s="468">
        <v>0</v>
      </c>
      <c r="I2547" s="468">
        <v>0</v>
      </c>
      <c r="J2547" s="468">
        <v>0</v>
      </c>
      <c r="K2547" s="468">
        <v>0</v>
      </c>
      <c r="L2547" s="468">
        <v>0</v>
      </c>
      <c r="M2547" s="451">
        <v>0</v>
      </c>
      <c r="N2547" s="467">
        <v>0</v>
      </c>
      <c r="O2547" s="467">
        <v>0</v>
      </c>
      <c r="P2547" s="467"/>
    </row>
    <row r="2548" spans="1:24" s="453" customFormat="1" x14ac:dyDescent="0.2">
      <c r="A2548" s="405" t="s">
        <v>2159</v>
      </c>
      <c r="B2548" s="468">
        <v>5</v>
      </c>
      <c r="C2548" s="468">
        <v>30</v>
      </c>
      <c r="D2548" s="468">
        <v>15</v>
      </c>
      <c r="E2548" s="468">
        <v>15</v>
      </c>
      <c r="F2548" s="468">
        <v>5</v>
      </c>
      <c r="G2548" s="468">
        <v>5</v>
      </c>
      <c r="H2548" s="468">
        <v>5</v>
      </c>
      <c r="I2548" s="468">
        <v>0</v>
      </c>
      <c r="J2548" s="41">
        <v>15</v>
      </c>
      <c r="K2548" s="41">
        <v>5</v>
      </c>
      <c r="L2548" s="451">
        <v>0</v>
      </c>
      <c r="M2548" s="451">
        <v>0</v>
      </c>
      <c r="N2548" s="467">
        <v>0</v>
      </c>
      <c r="O2548" s="467">
        <v>0</v>
      </c>
      <c r="P2548" s="467"/>
    </row>
    <row r="2549" spans="1:24" s="453" customFormat="1" x14ac:dyDescent="0.2">
      <c r="A2549" s="405" t="s">
        <v>2160</v>
      </c>
      <c r="B2549" s="468">
        <v>5</v>
      </c>
      <c r="C2549" s="468">
        <v>30</v>
      </c>
      <c r="D2549" s="468">
        <v>15</v>
      </c>
      <c r="E2549" s="468">
        <v>15</v>
      </c>
      <c r="F2549" s="468">
        <v>5</v>
      </c>
      <c r="G2549" s="468">
        <v>5</v>
      </c>
      <c r="H2549" s="468">
        <v>5</v>
      </c>
      <c r="I2549" s="468">
        <v>0</v>
      </c>
      <c r="J2549" s="41">
        <v>15</v>
      </c>
      <c r="K2549" s="41">
        <v>5</v>
      </c>
      <c r="L2549" s="468">
        <v>0</v>
      </c>
      <c r="M2549" s="451">
        <v>0</v>
      </c>
      <c r="N2549" s="467">
        <v>0</v>
      </c>
      <c r="O2549" s="467">
        <v>0</v>
      </c>
      <c r="P2549" s="467"/>
    </row>
    <row r="2550" spans="1:24" s="535" customFormat="1" x14ac:dyDescent="0.2">
      <c r="A2550" s="518" t="s">
        <v>2182</v>
      </c>
      <c r="F2550" s="1624"/>
      <c r="G2550" s="1624"/>
      <c r="H2550" s="1624"/>
      <c r="I2550" s="1624"/>
      <c r="J2550" s="1624"/>
      <c r="K2550" s="1624"/>
      <c r="L2550" s="1624"/>
      <c r="M2550" s="1624"/>
      <c r="N2550" s="1624"/>
    </row>
    <row r="2551" spans="1:24" s="292" customFormat="1" x14ac:dyDescent="0.2"/>
    <row r="2553" spans="1:24" s="125" customFormat="1" ht="14.25" customHeight="1" x14ac:dyDescent="0.2">
      <c r="A2553" s="377" t="s">
        <v>2171</v>
      </c>
      <c r="D2553" s="1075"/>
      <c r="E2553" s="1075"/>
      <c r="F2553" s="1075"/>
      <c r="G2553" s="1075"/>
      <c r="H2553" s="1075"/>
      <c r="I2553" s="1075"/>
      <c r="L2553" s="1075"/>
    </row>
    <row r="2554" spans="1:24" s="773" customFormat="1" ht="16.25" customHeight="1" x14ac:dyDescent="0.2">
      <c r="A2554" s="753" t="s">
        <v>2161</v>
      </c>
      <c r="B2554" s="442" t="s">
        <v>2183</v>
      </c>
      <c r="C2554" s="442" t="s">
        <v>2183</v>
      </c>
      <c r="D2554" s="442" t="s">
        <v>2183</v>
      </c>
      <c r="E2554" s="442" t="s">
        <v>2183</v>
      </c>
      <c r="F2554" s="442" t="s">
        <v>2183</v>
      </c>
      <c r="G2554" s="442" t="s">
        <v>2183</v>
      </c>
      <c r="H2554" s="442" t="s">
        <v>2183</v>
      </c>
      <c r="I2554" s="442" t="s">
        <v>2183</v>
      </c>
      <c r="J2554" s="442" t="s">
        <v>2183</v>
      </c>
      <c r="K2554" s="442" t="s">
        <v>2183</v>
      </c>
      <c r="L2554" s="442" t="s">
        <v>2183</v>
      </c>
      <c r="M2554" s="442" t="s">
        <v>2183</v>
      </c>
      <c r="N2554" s="442" t="s">
        <v>2183</v>
      </c>
      <c r="O2554" s="442" t="s">
        <v>2183</v>
      </c>
      <c r="P2554" s="442"/>
      <c r="Q2554" s="442"/>
      <c r="R2554" s="442"/>
      <c r="S2554" s="442"/>
      <c r="T2554" s="442"/>
      <c r="U2554" s="442"/>
      <c r="V2554" s="442"/>
    </row>
    <row r="2555" spans="1:24" s="291" customFormat="1" ht="16" x14ac:dyDescent="0.2">
      <c r="A2555" s="1641" t="s">
        <v>57</v>
      </c>
      <c r="B2555" s="1642" t="s">
        <v>1664</v>
      </c>
      <c r="C2555" s="1642" t="s">
        <v>1665</v>
      </c>
      <c r="D2555" s="1642" t="s">
        <v>1666</v>
      </c>
      <c r="E2555" s="1642" t="s">
        <v>1667</v>
      </c>
      <c r="F2555" s="1642" t="s">
        <v>2174</v>
      </c>
      <c r="G2555" s="1642" t="s">
        <v>1668</v>
      </c>
      <c r="H2555" s="1642" t="s">
        <v>1669</v>
      </c>
      <c r="I2555" s="1639" t="s">
        <v>1670</v>
      </c>
      <c r="J2555" s="1639" t="s">
        <v>1671</v>
      </c>
      <c r="K2555" s="1639" t="s">
        <v>1672</v>
      </c>
      <c r="L2555" s="1642" t="s">
        <v>1673</v>
      </c>
      <c r="M2555" s="291" t="s">
        <v>1674</v>
      </c>
      <c r="N2555" s="2152" t="s">
        <v>1675</v>
      </c>
      <c r="O2555" s="2152" t="s">
        <v>1676</v>
      </c>
      <c r="P2555" s="1658" t="s">
        <v>2175</v>
      </c>
      <c r="Q2555" s="453"/>
      <c r="R2555" s="453"/>
      <c r="S2555" s="453"/>
      <c r="T2555" s="453"/>
      <c r="U2555" s="453"/>
      <c r="V2555" s="453"/>
      <c r="W2555" s="21"/>
      <c r="X2555" s="21"/>
    </row>
    <row r="2556" spans="1:24" s="1093" customFormat="1" ht="16" x14ac:dyDescent="0.2">
      <c r="A2556" s="523" t="s">
        <v>2153</v>
      </c>
      <c r="B2556" s="1636" t="s">
        <v>309</v>
      </c>
      <c r="C2556" s="1636" t="s">
        <v>309</v>
      </c>
      <c r="D2556" s="1636" t="s">
        <v>309</v>
      </c>
      <c r="E2556" s="1636" t="s">
        <v>309</v>
      </c>
      <c r="F2556" s="1636" t="s">
        <v>309</v>
      </c>
      <c r="G2556" s="1636" t="s">
        <v>309</v>
      </c>
      <c r="H2556" s="1636" t="s">
        <v>309</v>
      </c>
      <c r="I2556" s="1636" t="s">
        <v>309</v>
      </c>
      <c r="J2556" s="1635" t="s">
        <v>309</v>
      </c>
      <c r="K2556" s="1635" t="s">
        <v>309</v>
      </c>
      <c r="L2556" s="1636" t="s">
        <v>309</v>
      </c>
      <c r="M2556" s="31" t="s">
        <v>309</v>
      </c>
      <c r="N2556" s="31" t="s">
        <v>309</v>
      </c>
      <c r="O2556" s="31" t="s">
        <v>309</v>
      </c>
      <c r="P2556" s="31" t="s">
        <v>309</v>
      </c>
      <c r="Q2556" s="1092"/>
      <c r="R2556" s="1092"/>
      <c r="S2556" s="1092"/>
      <c r="T2556" s="1092"/>
      <c r="U2556" s="1092"/>
      <c r="V2556" s="1092"/>
    </row>
    <row r="2557" spans="1:24" s="21" customFormat="1" x14ac:dyDescent="0.2">
      <c r="A2557" s="407" t="s">
        <v>2155</v>
      </c>
      <c r="B2557" s="470">
        <v>0</v>
      </c>
      <c r="C2557" s="470">
        <v>0</v>
      </c>
      <c r="D2557" s="470">
        <v>17</v>
      </c>
      <c r="E2557" s="470">
        <v>3</v>
      </c>
      <c r="F2557" s="470">
        <v>80</v>
      </c>
      <c r="G2557" s="470">
        <v>0</v>
      </c>
      <c r="H2557" s="470">
        <v>0</v>
      </c>
      <c r="I2557" s="470">
        <v>0</v>
      </c>
      <c r="J2557" s="44">
        <v>0</v>
      </c>
      <c r="K2557" s="44">
        <v>0</v>
      </c>
      <c r="L2557" s="1640">
        <v>0</v>
      </c>
      <c r="M2557" s="451">
        <v>0</v>
      </c>
      <c r="N2557" s="467">
        <v>0</v>
      </c>
      <c r="O2557" s="467">
        <v>0</v>
      </c>
      <c r="P2557" s="467"/>
      <c r="Q2557" s="453"/>
      <c r="R2557" s="453"/>
      <c r="S2557" s="453"/>
      <c r="T2557" s="453"/>
      <c r="U2557" s="453"/>
      <c r="V2557" s="453"/>
    </row>
    <row r="2558" spans="1:24" s="21" customFormat="1" x14ac:dyDescent="0.2">
      <c r="A2558" s="405" t="s">
        <v>2156</v>
      </c>
      <c r="B2558" s="467">
        <v>0</v>
      </c>
      <c r="C2558" s="467">
        <v>0</v>
      </c>
      <c r="D2558" s="467">
        <v>17</v>
      </c>
      <c r="E2558" s="467">
        <v>3</v>
      </c>
      <c r="F2558" s="467">
        <v>80</v>
      </c>
      <c r="G2558" s="467">
        <v>0</v>
      </c>
      <c r="H2558" s="467">
        <v>0</v>
      </c>
      <c r="I2558" s="41">
        <v>0</v>
      </c>
      <c r="J2558" s="41">
        <v>0</v>
      </c>
      <c r="K2558" s="41">
        <v>0</v>
      </c>
      <c r="L2558" s="451">
        <v>0</v>
      </c>
      <c r="M2558" s="451">
        <v>0</v>
      </c>
      <c r="N2558" s="467">
        <v>0</v>
      </c>
      <c r="O2558" s="467">
        <v>0</v>
      </c>
      <c r="P2558" s="467"/>
      <c r="Q2558" s="453"/>
      <c r="R2558" s="453"/>
      <c r="S2558" s="453"/>
      <c r="T2558" s="453"/>
      <c r="U2558" s="453"/>
      <c r="V2558" s="453"/>
    </row>
    <row r="2559" spans="1:24" s="21" customFormat="1" x14ac:dyDescent="0.2">
      <c r="A2559" s="405" t="s">
        <v>1343</v>
      </c>
      <c r="B2559" s="467">
        <v>0</v>
      </c>
      <c r="C2559" s="467">
        <v>0</v>
      </c>
      <c r="D2559" s="467">
        <v>54</v>
      </c>
      <c r="E2559" s="467">
        <v>0</v>
      </c>
      <c r="F2559" s="467">
        <v>46</v>
      </c>
      <c r="G2559" s="467">
        <v>0</v>
      </c>
      <c r="H2559" s="467">
        <v>0</v>
      </c>
      <c r="I2559" s="467">
        <v>0</v>
      </c>
      <c r="J2559" s="41">
        <v>0</v>
      </c>
      <c r="K2559" s="41">
        <v>0</v>
      </c>
      <c r="L2559" s="468">
        <v>0</v>
      </c>
      <c r="M2559" s="451">
        <v>0</v>
      </c>
      <c r="N2559" s="467">
        <v>0</v>
      </c>
      <c r="O2559" s="467">
        <v>0</v>
      </c>
      <c r="P2559" s="467"/>
      <c r="Q2559" s="453"/>
      <c r="R2559" s="453"/>
      <c r="S2559" s="453"/>
      <c r="T2559" s="453"/>
      <c r="U2559" s="453"/>
      <c r="V2559" s="453"/>
    </row>
    <row r="2560" spans="1:24" s="21" customFormat="1" x14ac:dyDescent="0.2">
      <c r="A2560" s="405" t="s">
        <v>2157</v>
      </c>
      <c r="B2560" s="467">
        <v>0</v>
      </c>
      <c r="C2560" s="467">
        <v>0</v>
      </c>
      <c r="D2560" s="467">
        <v>17</v>
      </c>
      <c r="E2560" s="467">
        <v>3</v>
      </c>
      <c r="F2560" s="467">
        <v>80</v>
      </c>
      <c r="G2560" s="467">
        <v>0</v>
      </c>
      <c r="H2560" s="467">
        <v>0</v>
      </c>
      <c r="I2560" s="41">
        <v>0</v>
      </c>
      <c r="J2560" s="41">
        <v>0</v>
      </c>
      <c r="K2560" s="41">
        <v>0</v>
      </c>
      <c r="L2560" s="451">
        <v>0</v>
      </c>
      <c r="M2560" s="451">
        <v>0</v>
      </c>
      <c r="N2560" s="467">
        <v>0</v>
      </c>
      <c r="O2560" s="467">
        <v>0</v>
      </c>
      <c r="P2560" s="467"/>
      <c r="Q2560" s="453"/>
      <c r="R2560" s="453"/>
      <c r="S2560" s="453"/>
      <c r="T2560" s="453"/>
      <c r="U2560" s="453"/>
      <c r="V2560" s="453"/>
    </row>
    <row r="2561" spans="1:24" s="21" customFormat="1" x14ac:dyDescent="0.2">
      <c r="A2561" s="405" t="s">
        <v>1351</v>
      </c>
      <c r="B2561" s="41">
        <v>0</v>
      </c>
      <c r="C2561" s="41">
        <v>0</v>
      </c>
      <c r="D2561" s="41">
        <v>13</v>
      </c>
      <c r="E2561" s="41">
        <v>0</v>
      </c>
      <c r="F2561" s="41">
        <v>87</v>
      </c>
      <c r="G2561" s="41">
        <v>0</v>
      </c>
      <c r="H2561" s="41">
        <v>0</v>
      </c>
      <c r="I2561" s="41">
        <v>0</v>
      </c>
      <c r="J2561" s="41">
        <v>0</v>
      </c>
      <c r="K2561" s="41">
        <v>0</v>
      </c>
      <c r="L2561" s="451">
        <v>0</v>
      </c>
      <c r="M2561" s="451">
        <v>0</v>
      </c>
      <c r="N2561" s="467">
        <v>0</v>
      </c>
      <c r="O2561" s="467">
        <v>0</v>
      </c>
      <c r="P2561" s="467"/>
      <c r="Q2561" s="453"/>
      <c r="R2561" s="453"/>
      <c r="S2561" s="453"/>
      <c r="T2561" s="453"/>
      <c r="U2561" s="453"/>
      <c r="V2561" s="453"/>
    </row>
    <row r="2562" spans="1:24" s="21" customFormat="1" x14ac:dyDescent="0.2">
      <c r="A2562" s="405" t="s">
        <v>1337</v>
      </c>
      <c r="B2562" s="41">
        <v>0</v>
      </c>
      <c r="C2562" s="41">
        <v>0</v>
      </c>
      <c r="D2562" s="41">
        <v>54</v>
      </c>
      <c r="E2562" s="41">
        <v>0</v>
      </c>
      <c r="F2562" s="41">
        <v>46</v>
      </c>
      <c r="G2562" s="41">
        <v>0</v>
      </c>
      <c r="H2562" s="41">
        <v>0</v>
      </c>
      <c r="I2562" s="41">
        <v>0</v>
      </c>
      <c r="J2562" s="41">
        <v>0</v>
      </c>
      <c r="K2562" s="41">
        <v>0</v>
      </c>
      <c r="L2562" s="451">
        <v>0</v>
      </c>
      <c r="M2562" s="451">
        <v>0</v>
      </c>
      <c r="N2562" s="467">
        <v>0</v>
      </c>
      <c r="O2562" s="467">
        <v>0</v>
      </c>
      <c r="P2562" s="467"/>
      <c r="Q2562" s="453"/>
      <c r="R2562" s="453"/>
      <c r="S2562" s="453"/>
      <c r="T2562" s="453"/>
      <c r="U2562" s="453"/>
      <c r="V2562" s="453"/>
    </row>
    <row r="2563" spans="1:24" s="21" customFormat="1" x14ac:dyDescent="0.2">
      <c r="A2563" s="405" t="s">
        <v>2158</v>
      </c>
      <c r="B2563" s="41">
        <v>0</v>
      </c>
      <c r="C2563" s="41">
        <v>0</v>
      </c>
      <c r="D2563" s="41">
        <v>54</v>
      </c>
      <c r="E2563" s="41">
        <v>0</v>
      </c>
      <c r="F2563" s="41">
        <v>46</v>
      </c>
      <c r="G2563" s="41">
        <v>0</v>
      </c>
      <c r="H2563" s="41">
        <v>0</v>
      </c>
      <c r="I2563" s="41">
        <v>0</v>
      </c>
      <c r="J2563" s="41">
        <v>0</v>
      </c>
      <c r="K2563" s="41">
        <v>0</v>
      </c>
      <c r="L2563" s="451">
        <v>0</v>
      </c>
      <c r="M2563" s="451">
        <v>0</v>
      </c>
      <c r="N2563" s="467">
        <v>0</v>
      </c>
      <c r="O2563" s="467">
        <v>0</v>
      </c>
      <c r="P2563" s="467"/>
      <c r="Q2563" s="453"/>
      <c r="R2563" s="453"/>
      <c r="S2563" s="453"/>
      <c r="T2563" s="453"/>
      <c r="U2563" s="453"/>
      <c r="V2563" s="453"/>
    </row>
    <row r="2564" spans="1:24" s="21" customFormat="1" x14ac:dyDescent="0.2">
      <c r="A2564" s="405" t="s">
        <v>1346</v>
      </c>
      <c r="B2564" s="467">
        <v>0</v>
      </c>
      <c r="C2564" s="467">
        <v>0</v>
      </c>
      <c r="D2564" s="467">
        <v>0</v>
      </c>
      <c r="E2564" s="467">
        <v>0</v>
      </c>
      <c r="F2564" s="467">
        <v>100</v>
      </c>
      <c r="G2564" s="467">
        <v>0</v>
      </c>
      <c r="H2564" s="467">
        <v>0</v>
      </c>
      <c r="I2564" s="467">
        <v>0</v>
      </c>
      <c r="J2564" s="41">
        <v>0</v>
      </c>
      <c r="K2564" s="41">
        <v>0</v>
      </c>
      <c r="L2564" s="468">
        <v>0</v>
      </c>
      <c r="M2564" s="451">
        <v>0</v>
      </c>
      <c r="N2564" s="467">
        <v>0</v>
      </c>
      <c r="O2564" s="467">
        <v>0</v>
      </c>
      <c r="P2564" s="467"/>
    </row>
    <row r="2565" spans="1:24" s="453" customFormat="1" x14ac:dyDescent="0.2">
      <c r="A2565" s="405" t="s">
        <v>2159</v>
      </c>
      <c r="B2565" s="41">
        <v>0</v>
      </c>
      <c r="C2565" s="41">
        <v>0</v>
      </c>
      <c r="D2565" s="41">
        <v>0</v>
      </c>
      <c r="E2565" s="41">
        <v>50</v>
      </c>
      <c r="F2565" s="41">
        <v>50</v>
      </c>
      <c r="G2565" s="41">
        <v>0</v>
      </c>
      <c r="H2565" s="41">
        <v>0</v>
      </c>
      <c r="I2565" s="41">
        <v>0</v>
      </c>
      <c r="J2565" s="41">
        <v>0</v>
      </c>
      <c r="K2565" s="41">
        <v>0</v>
      </c>
      <c r="L2565" s="451">
        <v>0</v>
      </c>
      <c r="M2565" s="451">
        <v>0</v>
      </c>
      <c r="N2565" s="467">
        <v>0</v>
      </c>
      <c r="O2565" s="467">
        <v>0</v>
      </c>
      <c r="P2565" s="467"/>
    </row>
    <row r="2566" spans="1:24" s="453" customFormat="1" x14ac:dyDescent="0.2">
      <c r="A2566" s="405" t="s">
        <v>2160</v>
      </c>
      <c r="B2566" s="467">
        <v>0</v>
      </c>
      <c r="C2566" s="467">
        <v>0</v>
      </c>
      <c r="D2566" s="467">
        <v>17</v>
      </c>
      <c r="E2566" s="467">
        <v>3</v>
      </c>
      <c r="F2566" s="467">
        <v>80</v>
      </c>
      <c r="G2566" s="467">
        <v>0</v>
      </c>
      <c r="H2566" s="467">
        <v>0</v>
      </c>
      <c r="I2566" s="467">
        <v>0</v>
      </c>
      <c r="J2566" s="41">
        <v>0</v>
      </c>
      <c r="K2566" s="41">
        <v>0</v>
      </c>
      <c r="L2566" s="468">
        <v>0</v>
      </c>
      <c r="M2566" s="451">
        <v>0</v>
      </c>
      <c r="N2566" s="467">
        <v>0</v>
      </c>
      <c r="O2566" s="467">
        <v>0</v>
      </c>
      <c r="P2566" s="467"/>
    </row>
    <row r="2567" spans="1:24" s="535" customFormat="1" x14ac:dyDescent="0.2">
      <c r="A2567" s="518" t="s">
        <v>2184</v>
      </c>
      <c r="F2567" s="1624"/>
      <c r="G2567" s="1624"/>
      <c r="H2567" s="1624"/>
      <c r="I2567" s="1624"/>
      <c r="J2567" s="1624"/>
      <c r="K2567" s="1624"/>
      <c r="L2567" s="1624"/>
      <c r="M2567" s="1624"/>
      <c r="N2567" s="1624"/>
    </row>
    <row r="2568" spans="1:24" s="292" customFormat="1" x14ac:dyDescent="0.2"/>
    <row r="2570" spans="1:24" s="125" customFormat="1" ht="14.25" customHeight="1" x14ac:dyDescent="0.2">
      <c r="A2570" s="377" t="s">
        <v>2171</v>
      </c>
      <c r="D2570" s="1075"/>
      <c r="E2570" s="1075"/>
      <c r="F2570" s="1075"/>
      <c r="G2570" s="1075"/>
      <c r="H2570" s="1075"/>
      <c r="I2570" s="1075"/>
      <c r="L2570" s="1075"/>
    </row>
    <row r="2571" spans="1:24" s="773" customFormat="1" ht="16.25" customHeight="1" x14ac:dyDescent="0.2">
      <c r="A2571" s="753" t="s">
        <v>5282</v>
      </c>
      <c r="B2571" s="442" t="s">
        <v>2183</v>
      </c>
      <c r="C2571" s="442" t="s">
        <v>2183</v>
      </c>
      <c r="D2571" s="442" t="s">
        <v>2183</v>
      </c>
      <c r="E2571" s="442" t="s">
        <v>2183</v>
      </c>
      <c r="F2571" s="442" t="s">
        <v>2183</v>
      </c>
      <c r="G2571" s="442" t="s">
        <v>2183</v>
      </c>
      <c r="H2571" s="442" t="s">
        <v>2183</v>
      </c>
      <c r="I2571" s="442" t="s">
        <v>2183</v>
      </c>
      <c r="J2571" s="442" t="s">
        <v>2183</v>
      </c>
      <c r="K2571" s="442" t="s">
        <v>2183</v>
      </c>
      <c r="L2571" s="442" t="s">
        <v>2183</v>
      </c>
      <c r="M2571" s="442" t="s">
        <v>2183</v>
      </c>
      <c r="N2571" s="442" t="s">
        <v>2183</v>
      </c>
      <c r="O2571" s="442" t="s">
        <v>2183</v>
      </c>
      <c r="P2571" s="442"/>
      <c r="Q2571" s="442"/>
      <c r="R2571" s="442"/>
      <c r="S2571" s="442"/>
      <c r="T2571" s="442"/>
      <c r="U2571" s="442"/>
      <c r="V2571" s="442"/>
    </row>
    <row r="2572" spans="1:24" s="291" customFormat="1" ht="16" x14ac:dyDescent="0.2">
      <c r="A2572" s="1641" t="s">
        <v>57</v>
      </c>
      <c r="B2572" s="1642" t="s">
        <v>1664</v>
      </c>
      <c r="C2572" s="1642" t="s">
        <v>1665</v>
      </c>
      <c r="D2572" s="1642" t="s">
        <v>1666</v>
      </c>
      <c r="E2572" s="1642" t="s">
        <v>1667</v>
      </c>
      <c r="F2572" s="1642" t="s">
        <v>2174</v>
      </c>
      <c r="G2572" s="1642" t="s">
        <v>1668</v>
      </c>
      <c r="H2572" s="1642" t="s">
        <v>1669</v>
      </c>
      <c r="I2572" s="1639" t="s">
        <v>1670</v>
      </c>
      <c r="J2572" s="1639" t="s">
        <v>1671</v>
      </c>
      <c r="K2572" s="1639" t="s">
        <v>1672</v>
      </c>
      <c r="L2572" s="1642" t="s">
        <v>1673</v>
      </c>
      <c r="M2572" s="291" t="s">
        <v>1674</v>
      </c>
      <c r="N2572" s="2152" t="s">
        <v>1675</v>
      </c>
      <c r="O2572" s="2152" t="s">
        <v>1676</v>
      </c>
      <c r="P2572" s="1658" t="s">
        <v>2175</v>
      </c>
      <c r="Q2572" s="453"/>
      <c r="R2572" s="453"/>
      <c r="S2572" s="453"/>
      <c r="T2572" s="453"/>
      <c r="U2572" s="453"/>
      <c r="V2572" s="453"/>
      <c r="W2572" s="21"/>
      <c r="X2572" s="21"/>
    </row>
    <row r="2573" spans="1:24" s="1093" customFormat="1" ht="16" x14ac:dyDescent="0.2">
      <c r="A2573" s="523" t="s">
        <v>2153</v>
      </c>
      <c r="B2573" s="1636" t="s">
        <v>309</v>
      </c>
      <c r="C2573" s="1636" t="s">
        <v>309</v>
      </c>
      <c r="D2573" s="1636" t="s">
        <v>309</v>
      </c>
      <c r="E2573" s="1636" t="s">
        <v>309</v>
      </c>
      <c r="F2573" s="1636" t="s">
        <v>309</v>
      </c>
      <c r="G2573" s="1636" t="s">
        <v>309</v>
      </c>
      <c r="H2573" s="1636" t="s">
        <v>309</v>
      </c>
      <c r="I2573" s="1636" t="s">
        <v>309</v>
      </c>
      <c r="J2573" s="1635" t="s">
        <v>309</v>
      </c>
      <c r="K2573" s="1635" t="s">
        <v>309</v>
      </c>
      <c r="L2573" s="1636" t="s">
        <v>309</v>
      </c>
      <c r="M2573" s="31" t="s">
        <v>309</v>
      </c>
      <c r="N2573" s="31" t="s">
        <v>309</v>
      </c>
      <c r="O2573" s="31" t="s">
        <v>309</v>
      </c>
      <c r="P2573" s="31" t="s">
        <v>309</v>
      </c>
      <c r="Q2573" s="1092"/>
      <c r="R2573" s="1092"/>
      <c r="S2573" s="1092"/>
      <c r="T2573" s="1092"/>
      <c r="U2573" s="1092"/>
      <c r="V2573" s="1092"/>
    </row>
    <row r="2574" spans="1:24" s="21" customFormat="1" x14ac:dyDescent="0.2">
      <c r="A2574" s="407" t="s">
        <v>2155</v>
      </c>
      <c r="B2574" s="470">
        <v>0</v>
      </c>
      <c r="C2574" s="470">
        <v>0</v>
      </c>
      <c r="D2574" s="470">
        <v>17</v>
      </c>
      <c r="E2574" s="470">
        <v>3</v>
      </c>
      <c r="F2574" s="470">
        <v>80</v>
      </c>
      <c r="G2574" s="470">
        <v>0</v>
      </c>
      <c r="H2574" s="470">
        <v>0</v>
      </c>
      <c r="I2574" s="470">
        <v>0</v>
      </c>
      <c r="J2574" s="44">
        <v>0</v>
      </c>
      <c r="K2574" s="44">
        <v>0</v>
      </c>
      <c r="L2574" s="1640">
        <v>0</v>
      </c>
      <c r="M2574" s="451">
        <v>0</v>
      </c>
      <c r="N2574" s="467">
        <v>0</v>
      </c>
      <c r="O2574" s="467">
        <v>0</v>
      </c>
      <c r="P2574" s="467"/>
      <c r="Q2574" s="453"/>
      <c r="R2574" s="453"/>
      <c r="S2574" s="453"/>
      <c r="T2574" s="453"/>
      <c r="U2574" s="453"/>
      <c r="V2574" s="453"/>
    </row>
    <row r="2575" spans="1:24" s="21" customFormat="1" x14ac:dyDescent="0.2">
      <c r="A2575" s="405" t="s">
        <v>2156</v>
      </c>
      <c r="B2575" s="467">
        <v>0</v>
      </c>
      <c r="C2575" s="467">
        <v>0</v>
      </c>
      <c r="D2575" s="467">
        <v>17</v>
      </c>
      <c r="E2575" s="467">
        <v>3</v>
      </c>
      <c r="F2575" s="467">
        <v>80</v>
      </c>
      <c r="G2575" s="467">
        <v>0</v>
      </c>
      <c r="H2575" s="467">
        <v>0</v>
      </c>
      <c r="I2575" s="467">
        <v>0</v>
      </c>
      <c r="J2575" s="41">
        <v>0</v>
      </c>
      <c r="K2575" s="41">
        <v>0</v>
      </c>
      <c r="L2575" s="451">
        <v>0</v>
      </c>
      <c r="M2575" s="451">
        <v>0</v>
      </c>
      <c r="N2575" s="467">
        <v>0</v>
      </c>
      <c r="O2575" s="467">
        <v>0</v>
      </c>
      <c r="P2575" s="467"/>
      <c r="Q2575" s="453"/>
      <c r="R2575" s="453"/>
      <c r="S2575" s="453"/>
      <c r="T2575" s="453"/>
      <c r="U2575" s="453"/>
      <c r="V2575" s="453"/>
    </row>
    <row r="2576" spans="1:24" s="21" customFormat="1" x14ac:dyDescent="0.2">
      <c r="A2576" s="405" t="s">
        <v>1343</v>
      </c>
      <c r="B2576" s="467">
        <v>0</v>
      </c>
      <c r="C2576" s="467">
        <v>0</v>
      </c>
      <c r="D2576" s="467">
        <v>0</v>
      </c>
      <c r="E2576" s="467">
        <v>0</v>
      </c>
      <c r="F2576" s="467">
        <v>0</v>
      </c>
      <c r="G2576" s="467">
        <v>0</v>
      </c>
      <c r="H2576" s="467">
        <v>0</v>
      </c>
      <c r="I2576" s="467">
        <v>0</v>
      </c>
      <c r="J2576" s="41">
        <v>0</v>
      </c>
      <c r="K2576" s="41">
        <v>0</v>
      </c>
      <c r="L2576" s="468">
        <v>0</v>
      </c>
      <c r="M2576" s="451">
        <v>0</v>
      </c>
      <c r="N2576" s="467">
        <v>0</v>
      </c>
      <c r="O2576" s="467">
        <v>0</v>
      </c>
      <c r="P2576" s="467"/>
      <c r="Q2576" s="453"/>
      <c r="R2576" s="453"/>
      <c r="S2576" s="453"/>
      <c r="T2576" s="453"/>
      <c r="U2576" s="453"/>
      <c r="V2576" s="453"/>
    </row>
    <row r="2577" spans="1:24" s="21" customFormat="1" x14ac:dyDescent="0.2">
      <c r="A2577" s="405" t="s">
        <v>2157</v>
      </c>
      <c r="B2577" s="467">
        <v>0</v>
      </c>
      <c r="C2577" s="467">
        <v>0</v>
      </c>
      <c r="D2577" s="467">
        <v>17</v>
      </c>
      <c r="E2577" s="467">
        <v>3</v>
      </c>
      <c r="F2577" s="467">
        <v>80</v>
      </c>
      <c r="G2577" s="467">
        <v>0</v>
      </c>
      <c r="H2577" s="467">
        <v>0</v>
      </c>
      <c r="I2577" s="467">
        <v>0</v>
      </c>
      <c r="J2577" s="41">
        <v>0</v>
      </c>
      <c r="K2577" s="41">
        <v>0</v>
      </c>
      <c r="L2577" s="451">
        <v>0</v>
      </c>
      <c r="M2577" s="451">
        <v>0</v>
      </c>
      <c r="N2577" s="467">
        <v>0</v>
      </c>
      <c r="O2577" s="467">
        <v>0</v>
      </c>
      <c r="P2577" s="467"/>
      <c r="Q2577" s="453"/>
      <c r="R2577" s="453"/>
      <c r="S2577" s="453"/>
      <c r="T2577" s="453"/>
      <c r="U2577" s="453"/>
      <c r="V2577" s="453"/>
    </row>
    <row r="2578" spans="1:24" s="21" customFormat="1" x14ac:dyDescent="0.2">
      <c r="A2578" s="405" t="s">
        <v>1351</v>
      </c>
      <c r="B2578" s="467">
        <v>0</v>
      </c>
      <c r="C2578" s="467">
        <v>0</v>
      </c>
      <c r="D2578" s="467">
        <v>21</v>
      </c>
      <c r="E2578" s="467">
        <v>0</v>
      </c>
      <c r="F2578" s="467">
        <v>78</v>
      </c>
      <c r="G2578" s="467">
        <v>0</v>
      </c>
      <c r="H2578" s="467">
        <v>0</v>
      </c>
      <c r="I2578" s="467">
        <v>0</v>
      </c>
      <c r="J2578" s="41">
        <v>0</v>
      </c>
      <c r="K2578" s="41">
        <v>0</v>
      </c>
      <c r="L2578" s="451">
        <v>0</v>
      </c>
      <c r="M2578" s="451">
        <v>0</v>
      </c>
      <c r="N2578" s="467">
        <v>0</v>
      </c>
      <c r="O2578" s="467">
        <v>0</v>
      </c>
      <c r="P2578" s="467"/>
      <c r="Q2578" s="453"/>
      <c r="R2578" s="453"/>
      <c r="S2578" s="453"/>
      <c r="T2578" s="453"/>
      <c r="U2578" s="453"/>
      <c r="V2578" s="453"/>
    </row>
    <row r="2579" spans="1:24" s="21" customFormat="1" x14ac:dyDescent="0.2">
      <c r="A2579" s="405" t="s">
        <v>1337</v>
      </c>
      <c r="B2579" s="467">
        <v>0</v>
      </c>
      <c r="C2579" s="467">
        <v>0</v>
      </c>
      <c r="D2579" s="467">
        <v>42</v>
      </c>
      <c r="E2579" s="467">
        <v>0</v>
      </c>
      <c r="F2579" s="467">
        <v>58</v>
      </c>
      <c r="G2579" s="467">
        <v>0</v>
      </c>
      <c r="H2579" s="467">
        <v>0</v>
      </c>
      <c r="I2579" s="467">
        <v>0</v>
      </c>
      <c r="J2579" s="41">
        <v>0</v>
      </c>
      <c r="K2579" s="41">
        <v>0</v>
      </c>
      <c r="L2579" s="451">
        <v>0</v>
      </c>
      <c r="M2579" s="451">
        <v>0</v>
      </c>
      <c r="N2579" s="467">
        <v>0</v>
      </c>
      <c r="O2579" s="467">
        <v>0</v>
      </c>
      <c r="P2579" s="467"/>
      <c r="Q2579" s="453"/>
      <c r="R2579" s="453"/>
      <c r="S2579" s="453"/>
      <c r="T2579" s="453"/>
      <c r="U2579" s="453"/>
      <c r="V2579" s="453"/>
    </row>
    <row r="2580" spans="1:24" s="21" customFormat="1" x14ac:dyDescent="0.2">
      <c r="A2580" s="405" t="s">
        <v>2158</v>
      </c>
      <c r="B2580" s="467">
        <v>0</v>
      </c>
      <c r="C2580" s="467">
        <v>0</v>
      </c>
      <c r="D2580" s="467">
        <v>42</v>
      </c>
      <c r="E2580" s="467">
        <v>0</v>
      </c>
      <c r="F2580" s="467">
        <v>58</v>
      </c>
      <c r="G2580" s="467">
        <v>0</v>
      </c>
      <c r="H2580" s="467">
        <v>0</v>
      </c>
      <c r="I2580" s="467">
        <v>0</v>
      </c>
      <c r="J2580" s="41">
        <v>0</v>
      </c>
      <c r="K2580" s="41">
        <v>0</v>
      </c>
      <c r="L2580" s="451">
        <v>0</v>
      </c>
      <c r="M2580" s="451">
        <v>0</v>
      </c>
      <c r="N2580" s="467">
        <v>0</v>
      </c>
      <c r="O2580" s="467">
        <v>0</v>
      </c>
      <c r="P2580" s="467"/>
      <c r="Q2580" s="453"/>
      <c r="R2580" s="453"/>
      <c r="S2580" s="453"/>
      <c r="T2580" s="453"/>
      <c r="U2580" s="453"/>
      <c r="V2580" s="453"/>
    </row>
    <row r="2581" spans="1:24" s="21" customFormat="1" x14ac:dyDescent="0.2">
      <c r="A2581" s="405" t="s">
        <v>1346</v>
      </c>
      <c r="B2581" s="467">
        <v>0</v>
      </c>
      <c r="C2581" s="467">
        <v>0</v>
      </c>
      <c r="D2581" s="467">
        <v>0</v>
      </c>
      <c r="E2581" s="467">
        <v>0</v>
      </c>
      <c r="F2581" s="467">
        <v>0</v>
      </c>
      <c r="G2581" s="467">
        <v>0</v>
      </c>
      <c r="H2581" s="467">
        <v>0</v>
      </c>
      <c r="I2581" s="467">
        <v>0</v>
      </c>
      <c r="J2581" s="41">
        <v>0</v>
      </c>
      <c r="K2581" s="41">
        <v>0</v>
      </c>
      <c r="L2581" s="468">
        <v>0</v>
      </c>
      <c r="M2581" s="451">
        <v>0</v>
      </c>
      <c r="N2581" s="467">
        <v>0</v>
      </c>
      <c r="O2581" s="467">
        <v>0</v>
      </c>
      <c r="P2581" s="467"/>
    </row>
    <row r="2582" spans="1:24" s="453" customFormat="1" x14ac:dyDescent="0.2">
      <c r="A2582" s="405" t="s">
        <v>2159</v>
      </c>
      <c r="B2582" s="41">
        <v>0</v>
      </c>
      <c r="C2582" s="41">
        <v>0</v>
      </c>
      <c r="D2582" s="41">
        <v>0</v>
      </c>
      <c r="E2582" s="41">
        <v>50</v>
      </c>
      <c r="F2582" s="41">
        <v>50</v>
      </c>
      <c r="G2582" s="41">
        <v>0</v>
      </c>
      <c r="H2582" s="41">
        <v>0</v>
      </c>
      <c r="I2582" s="467">
        <v>0</v>
      </c>
      <c r="J2582" s="41">
        <v>0</v>
      </c>
      <c r="K2582" s="41">
        <v>0</v>
      </c>
      <c r="L2582" s="451">
        <v>0</v>
      </c>
      <c r="M2582" s="451">
        <v>0</v>
      </c>
      <c r="N2582" s="467">
        <v>0</v>
      </c>
      <c r="O2582" s="467">
        <v>0</v>
      </c>
      <c r="P2582" s="467"/>
    </row>
    <row r="2583" spans="1:24" s="453" customFormat="1" x14ac:dyDescent="0.2">
      <c r="A2583" s="405" t="s">
        <v>2160</v>
      </c>
      <c r="B2583" s="467">
        <v>0</v>
      </c>
      <c r="C2583" s="467">
        <v>0</v>
      </c>
      <c r="D2583" s="467">
        <v>17</v>
      </c>
      <c r="E2583" s="467">
        <v>3</v>
      </c>
      <c r="F2583" s="467">
        <v>80</v>
      </c>
      <c r="G2583" s="467">
        <v>0</v>
      </c>
      <c r="H2583" s="467">
        <v>0</v>
      </c>
      <c r="I2583" s="467">
        <v>0</v>
      </c>
      <c r="J2583" s="41">
        <v>0</v>
      </c>
      <c r="K2583" s="41">
        <v>0</v>
      </c>
      <c r="L2583" s="468">
        <v>0</v>
      </c>
      <c r="M2583" s="451">
        <v>0</v>
      </c>
      <c r="N2583" s="467">
        <v>0</v>
      </c>
      <c r="O2583" s="467">
        <v>0</v>
      </c>
      <c r="P2583" s="467"/>
    </row>
    <row r="2584" spans="1:24" s="535" customFormat="1" x14ac:dyDescent="0.2">
      <c r="A2584" s="518" t="s">
        <v>2184</v>
      </c>
      <c r="F2584" s="1624"/>
      <c r="G2584" s="1624"/>
      <c r="H2584" s="1624"/>
      <c r="I2584" s="1624"/>
      <c r="J2584" s="1624"/>
      <c r="K2584" s="1624"/>
      <c r="L2584" s="1624"/>
      <c r="M2584" s="1624"/>
      <c r="N2584" s="1624"/>
    </row>
    <row r="2585" spans="1:24" s="292" customFormat="1" x14ac:dyDescent="0.2"/>
    <row r="2587" spans="1:24" s="125" customFormat="1" ht="14.25" customHeight="1" x14ac:dyDescent="0.2">
      <c r="A2587" s="377" t="s">
        <v>2171</v>
      </c>
      <c r="D2587" s="1075"/>
      <c r="E2587" s="1075"/>
      <c r="F2587" s="1075"/>
      <c r="G2587" s="1075"/>
      <c r="H2587" s="1075"/>
      <c r="I2587" s="1075"/>
      <c r="L2587" s="1075"/>
    </row>
    <row r="2588" spans="1:24" s="773" customFormat="1" ht="16.25" customHeight="1" x14ac:dyDescent="0.2">
      <c r="A2588" s="753" t="s">
        <v>2185</v>
      </c>
      <c r="B2588" s="442" t="s">
        <v>2183</v>
      </c>
      <c r="C2588" s="442" t="s">
        <v>2183</v>
      </c>
      <c r="D2588" s="442" t="s">
        <v>2183</v>
      </c>
      <c r="E2588" s="442" t="s">
        <v>2183</v>
      </c>
      <c r="F2588" s="442" t="s">
        <v>2183</v>
      </c>
      <c r="G2588" s="442" t="s">
        <v>2183</v>
      </c>
      <c r="H2588" s="442" t="s">
        <v>2183</v>
      </c>
      <c r="I2588" s="442" t="s">
        <v>2183</v>
      </c>
      <c r="J2588" s="442" t="s">
        <v>2183</v>
      </c>
      <c r="K2588" s="442" t="s">
        <v>2183</v>
      </c>
      <c r="L2588" s="442" t="s">
        <v>2183</v>
      </c>
      <c r="M2588" s="442" t="s">
        <v>2186</v>
      </c>
      <c r="N2588" s="442" t="s">
        <v>2186</v>
      </c>
      <c r="O2588" s="442" t="s">
        <v>2186</v>
      </c>
      <c r="P2588" s="442"/>
      <c r="Q2588" s="442"/>
      <c r="R2588" s="442"/>
      <c r="S2588" s="442"/>
      <c r="T2588" s="442"/>
      <c r="U2588" s="442"/>
      <c r="V2588" s="442"/>
    </row>
    <row r="2589" spans="1:24" s="291" customFormat="1" ht="16" x14ac:dyDescent="0.2">
      <c r="A2589" s="1641" t="s">
        <v>57</v>
      </c>
      <c r="B2589" s="1642" t="s">
        <v>1664</v>
      </c>
      <c r="C2589" s="1642" t="s">
        <v>1665</v>
      </c>
      <c r="D2589" s="1642" t="s">
        <v>1666</v>
      </c>
      <c r="E2589" s="1642" t="s">
        <v>1667</v>
      </c>
      <c r="F2589" s="1642" t="s">
        <v>2174</v>
      </c>
      <c r="G2589" s="1642" t="s">
        <v>1668</v>
      </c>
      <c r="H2589" s="1642" t="s">
        <v>1669</v>
      </c>
      <c r="I2589" s="1639" t="s">
        <v>1670</v>
      </c>
      <c r="J2589" s="1639" t="s">
        <v>1671</v>
      </c>
      <c r="K2589" s="1639" t="s">
        <v>1672</v>
      </c>
      <c r="L2589" s="1642" t="s">
        <v>1673</v>
      </c>
      <c r="M2589" s="291" t="s">
        <v>1674</v>
      </c>
      <c r="N2589" s="2152" t="s">
        <v>1675</v>
      </c>
      <c r="O2589" s="2152" t="s">
        <v>1676</v>
      </c>
      <c r="P2589" s="1658" t="s">
        <v>2175</v>
      </c>
      <c r="Q2589" s="453"/>
      <c r="R2589" s="453"/>
      <c r="S2589" s="453"/>
      <c r="T2589" s="453"/>
      <c r="U2589" s="453"/>
      <c r="V2589" s="453"/>
      <c r="W2589" s="21"/>
      <c r="X2589" s="21"/>
    </row>
    <row r="2590" spans="1:24" s="1093" customFormat="1" ht="16" x14ac:dyDescent="0.2">
      <c r="A2590" s="523" t="s">
        <v>2153</v>
      </c>
      <c r="B2590" s="1636" t="s">
        <v>309</v>
      </c>
      <c r="C2590" s="1636" t="s">
        <v>309</v>
      </c>
      <c r="D2590" s="1636" t="s">
        <v>309</v>
      </c>
      <c r="E2590" s="1636" t="s">
        <v>309</v>
      </c>
      <c r="F2590" s="1636" t="s">
        <v>309</v>
      </c>
      <c r="G2590" s="1636" t="s">
        <v>309</v>
      </c>
      <c r="H2590" s="1636" t="s">
        <v>309</v>
      </c>
      <c r="I2590" s="1636" t="s">
        <v>309</v>
      </c>
      <c r="J2590" s="1635" t="s">
        <v>309</v>
      </c>
      <c r="K2590" s="1635" t="s">
        <v>309</v>
      </c>
      <c r="L2590" s="1636" t="s">
        <v>309</v>
      </c>
      <c r="M2590" s="31" t="s">
        <v>309</v>
      </c>
      <c r="N2590" s="31" t="s">
        <v>309</v>
      </c>
      <c r="O2590" s="31" t="s">
        <v>309</v>
      </c>
      <c r="P2590" s="31" t="s">
        <v>309</v>
      </c>
      <c r="Q2590" s="1092"/>
      <c r="R2590" s="1092"/>
      <c r="S2590" s="1092"/>
      <c r="T2590" s="1092"/>
      <c r="U2590" s="1092"/>
      <c r="V2590" s="1092"/>
    </row>
    <row r="2591" spans="1:24" s="21" customFormat="1" x14ac:dyDescent="0.2">
      <c r="A2591" s="407" t="s">
        <v>2155</v>
      </c>
      <c r="B2591" s="470">
        <v>0</v>
      </c>
      <c r="C2591" s="470">
        <v>0</v>
      </c>
      <c r="D2591" s="470">
        <v>17</v>
      </c>
      <c r="E2591" s="470">
        <v>3</v>
      </c>
      <c r="F2591" s="470">
        <v>80</v>
      </c>
      <c r="G2591" s="470">
        <v>0</v>
      </c>
      <c r="H2591" s="470">
        <v>0</v>
      </c>
      <c r="I2591" s="470">
        <v>0</v>
      </c>
      <c r="J2591" s="44">
        <v>0</v>
      </c>
      <c r="K2591" s="44">
        <v>0</v>
      </c>
      <c r="L2591" s="1640">
        <v>0</v>
      </c>
      <c r="M2591" s="451">
        <v>0</v>
      </c>
      <c r="N2591" s="467">
        <v>0</v>
      </c>
      <c r="O2591" s="467">
        <v>0</v>
      </c>
      <c r="P2591" s="467"/>
      <c r="Q2591" s="453"/>
      <c r="R2591" s="453"/>
      <c r="S2591" s="453"/>
      <c r="T2591" s="453"/>
      <c r="U2591" s="453"/>
      <c r="V2591" s="453"/>
    </row>
    <row r="2592" spans="1:24" s="21" customFormat="1" x14ac:dyDescent="0.2">
      <c r="A2592" s="405" t="s">
        <v>2156</v>
      </c>
      <c r="B2592" s="467">
        <v>0</v>
      </c>
      <c r="C2592" s="467">
        <v>0</v>
      </c>
      <c r="D2592" s="467">
        <v>50</v>
      </c>
      <c r="E2592" s="467">
        <v>0</v>
      </c>
      <c r="F2592" s="467">
        <v>50</v>
      </c>
      <c r="G2592" s="467">
        <v>0</v>
      </c>
      <c r="H2592" s="467">
        <v>0</v>
      </c>
      <c r="I2592" s="467">
        <v>0</v>
      </c>
      <c r="J2592" s="41">
        <v>0</v>
      </c>
      <c r="K2592" s="41">
        <v>0</v>
      </c>
      <c r="L2592" s="451">
        <v>0</v>
      </c>
      <c r="M2592" s="451">
        <v>0</v>
      </c>
      <c r="N2592" s="467">
        <v>0</v>
      </c>
      <c r="O2592" s="467">
        <v>0</v>
      </c>
      <c r="P2592" s="467"/>
      <c r="Q2592" s="453"/>
      <c r="R2592" s="453"/>
      <c r="S2592" s="453"/>
      <c r="T2592" s="453"/>
      <c r="U2592" s="453"/>
      <c r="V2592" s="453"/>
    </row>
    <row r="2593" spans="1:24" s="21" customFormat="1" x14ac:dyDescent="0.2">
      <c r="A2593" s="405" t="s">
        <v>1343</v>
      </c>
      <c r="B2593" s="467">
        <v>0</v>
      </c>
      <c r="C2593" s="467">
        <v>0</v>
      </c>
      <c r="D2593" s="467">
        <v>50</v>
      </c>
      <c r="E2593" s="467">
        <v>0</v>
      </c>
      <c r="F2593" s="467">
        <v>50</v>
      </c>
      <c r="G2593" s="467">
        <v>0</v>
      </c>
      <c r="H2593" s="467">
        <v>0</v>
      </c>
      <c r="I2593" s="467">
        <v>0</v>
      </c>
      <c r="J2593" s="41">
        <v>0</v>
      </c>
      <c r="K2593" s="41">
        <v>0</v>
      </c>
      <c r="L2593" s="468">
        <v>0</v>
      </c>
      <c r="M2593" s="451">
        <v>0</v>
      </c>
      <c r="N2593" s="467">
        <v>0</v>
      </c>
      <c r="O2593" s="467">
        <v>0</v>
      </c>
      <c r="P2593" s="467"/>
      <c r="Q2593" s="453"/>
      <c r="R2593" s="453"/>
      <c r="S2593" s="453"/>
      <c r="T2593" s="453"/>
      <c r="U2593" s="453"/>
      <c r="V2593" s="453"/>
    </row>
    <row r="2594" spans="1:24" s="21" customFormat="1" x14ac:dyDescent="0.2">
      <c r="A2594" s="405" t="s">
        <v>2157</v>
      </c>
      <c r="B2594" s="467">
        <v>0</v>
      </c>
      <c r="C2594" s="467">
        <v>0</v>
      </c>
      <c r="D2594" s="467">
        <v>17</v>
      </c>
      <c r="E2594" s="467">
        <v>3</v>
      </c>
      <c r="F2594" s="467">
        <v>80</v>
      </c>
      <c r="G2594" s="467">
        <v>0</v>
      </c>
      <c r="H2594" s="467">
        <v>0</v>
      </c>
      <c r="I2594" s="467">
        <v>0</v>
      </c>
      <c r="J2594" s="41">
        <v>0</v>
      </c>
      <c r="K2594" s="41">
        <v>0</v>
      </c>
      <c r="L2594" s="451">
        <v>0</v>
      </c>
      <c r="M2594" s="451">
        <v>0</v>
      </c>
      <c r="N2594" s="467">
        <v>0</v>
      </c>
      <c r="O2594" s="467">
        <v>0</v>
      </c>
      <c r="P2594" s="467"/>
      <c r="Q2594" s="453"/>
      <c r="R2594" s="453"/>
      <c r="S2594" s="453"/>
      <c r="T2594" s="453"/>
      <c r="U2594" s="453"/>
      <c r="V2594" s="453"/>
    </row>
    <row r="2595" spans="1:24" s="21" customFormat="1" x14ac:dyDescent="0.2">
      <c r="A2595" s="405" t="s">
        <v>1351</v>
      </c>
      <c r="B2595" s="467">
        <v>0</v>
      </c>
      <c r="C2595" s="467">
        <v>0</v>
      </c>
      <c r="D2595" s="467">
        <v>28</v>
      </c>
      <c r="E2595" s="467">
        <v>0</v>
      </c>
      <c r="F2595" s="467">
        <v>72</v>
      </c>
      <c r="G2595" s="467">
        <v>0</v>
      </c>
      <c r="H2595" s="467">
        <v>0</v>
      </c>
      <c r="I2595" s="467">
        <v>0</v>
      </c>
      <c r="J2595" s="41">
        <v>0</v>
      </c>
      <c r="K2595" s="41">
        <v>0</v>
      </c>
      <c r="L2595" s="451">
        <v>0</v>
      </c>
      <c r="M2595" s="451">
        <v>0</v>
      </c>
      <c r="N2595" s="467">
        <v>0</v>
      </c>
      <c r="O2595" s="467">
        <v>0</v>
      </c>
      <c r="P2595" s="467"/>
      <c r="Q2595" s="453"/>
      <c r="R2595" s="453"/>
      <c r="S2595" s="453"/>
      <c r="T2595" s="453"/>
      <c r="U2595" s="453"/>
      <c r="V2595" s="453"/>
    </row>
    <row r="2596" spans="1:24" s="21" customFormat="1" x14ac:dyDescent="0.2">
      <c r="A2596" s="405" t="s">
        <v>1337</v>
      </c>
      <c r="B2596" s="467">
        <v>0</v>
      </c>
      <c r="C2596" s="467">
        <v>0</v>
      </c>
      <c r="D2596" s="467">
        <v>9</v>
      </c>
      <c r="E2596" s="467">
        <v>0</v>
      </c>
      <c r="F2596" s="467">
        <v>91</v>
      </c>
      <c r="G2596" s="467">
        <v>0</v>
      </c>
      <c r="H2596" s="467">
        <v>0</v>
      </c>
      <c r="I2596" s="467">
        <v>0</v>
      </c>
      <c r="J2596" s="41">
        <v>0</v>
      </c>
      <c r="K2596" s="41">
        <v>0</v>
      </c>
      <c r="L2596" s="451">
        <v>0</v>
      </c>
      <c r="M2596" s="451">
        <v>0</v>
      </c>
      <c r="N2596" s="467">
        <v>0</v>
      </c>
      <c r="O2596" s="467">
        <v>0</v>
      </c>
      <c r="P2596" s="467"/>
      <c r="Q2596" s="453"/>
      <c r="R2596" s="453"/>
      <c r="S2596" s="453"/>
      <c r="T2596" s="453"/>
      <c r="U2596" s="453"/>
      <c r="V2596" s="453"/>
    </row>
    <row r="2597" spans="1:24" s="21" customFormat="1" x14ac:dyDescent="0.2">
      <c r="A2597" s="405" t="s">
        <v>2158</v>
      </c>
      <c r="B2597" s="467">
        <v>0</v>
      </c>
      <c r="C2597" s="467">
        <v>0</v>
      </c>
      <c r="D2597" s="467">
        <v>82</v>
      </c>
      <c r="E2597" s="467">
        <v>0</v>
      </c>
      <c r="F2597" s="467">
        <v>18</v>
      </c>
      <c r="G2597" s="467">
        <v>0</v>
      </c>
      <c r="H2597" s="467">
        <v>0</v>
      </c>
      <c r="I2597" s="467">
        <v>0</v>
      </c>
      <c r="J2597" s="41">
        <v>0</v>
      </c>
      <c r="K2597" s="41">
        <v>0</v>
      </c>
      <c r="L2597" s="451">
        <v>0</v>
      </c>
      <c r="M2597" s="451">
        <v>0</v>
      </c>
      <c r="N2597" s="467">
        <v>0</v>
      </c>
      <c r="O2597" s="467">
        <v>0</v>
      </c>
      <c r="P2597" s="467"/>
      <c r="Q2597" s="453"/>
      <c r="R2597" s="453"/>
      <c r="S2597" s="453"/>
      <c r="T2597" s="453"/>
      <c r="U2597" s="453"/>
      <c r="V2597" s="453"/>
    </row>
    <row r="2598" spans="1:24" s="21" customFormat="1" x14ac:dyDescent="0.2">
      <c r="A2598" s="405" t="s">
        <v>1346</v>
      </c>
      <c r="B2598" s="467">
        <v>0</v>
      </c>
      <c r="C2598" s="467">
        <v>0</v>
      </c>
      <c r="D2598" s="467">
        <v>0</v>
      </c>
      <c r="E2598" s="467">
        <v>0</v>
      </c>
      <c r="F2598" s="467">
        <v>100</v>
      </c>
      <c r="G2598" s="467">
        <v>0</v>
      </c>
      <c r="H2598" s="467">
        <v>0</v>
      </c>
      <c r="I2598" s="467">
        <v>0</v>
      </c>
      <c r="J2598" s="41">
        <v>0</v>
      </c>
      <c r="K2598" s="41">
        <v>0</v>
      </c>
      <c r="L2598" s="468">
        <v>0</v>
      </c>
      <c r="M2598" s="451">
        <v>0</v>
      </c>
      <c r="N2598" s="467">
        <v>0</v>
      </c>
      <c r="O2598" s="467">
        <v>0</v>
      </c>
      <c r="P2598" s="467"/>
    </row>
    <row r="2599" spans="1:24" s="453" customFormat="1" x14ac:dyDescent="0.2">
      <c r="A2599" s="405" t="s">
        <v>2159</v>
      </c>
      <c r="B2599" s="41">
        <v>0</v>
      </c>
      <c r="C2599" s="41">
        <v>0</v>
      </c>
      <c r="D2599" s="41">
        <v>0</v>
      </c>
      <c r="E2599" s="41">
        <v>50</v>
      </c>
      <c r="F2599" s="41">
        <v>50</v>
      </c>
      <c r="G2599" s="41">
        <v>0</v>
      </c>
      <c r="H2599" s="41">
        <v>0</v>
      </c>
      <c r="I2599" s="467">
        <v>0</v>
      </c>
      <c r="J2599" s="41">
        <v>0</v>
      </c>
      <c r="K2599" s="41">
        <v>0</v>
      </c>
      <c r="L2599" s="451">
        <v>0</v>
      </c>
      <c r="M2599" s="451">
        <v>0</v>
      </c>
      <c r="N2599" s="467">
        <v>0</v>
      </c>
      <c r="O2599" s="467">
        <v>0</v>
      </c>
      <c r="P2599" s="467"/>
    </row>
    <row r="2600" spans="1:24" s="453" customFormat="1" x14ac:dyDescent="0.2">
      <c r="A2600" s="405" t="s">
        <v>2160</v>
      </c>
      <c r="B2600" s="467">
        <v>0</v>
      </c>
      <c r="C2600" s="467">
        <v>0</v>
      </c>
      <c r="D2600" s="467">
        <v>50</v>
      </c>
      <c r="E2600" s="467">
        <v>0</v>
      </c>
      <c r="F2600" s="467">
        <v>50</v>
      </c>
      <c r="G2600" s="467">
        <v>0</v>
      </c>
      <c r="H2600" s="467">
        <v>0</v>
      </c>
      <c r="I2600" s="467">
        <v>0</v>
      </c>
      <c r="J2600" s="41">
        <v>0</v>
      </c>
      <c r="K2600" s="41">
        <v>0</v>
      </c>
      <c r="L2600" s="468">
        <v>0</v>
      </c>
      <c r="M2600" s="451">
        <v>0</v>
      </c>
      <c r="N2600" s="467">
        <v>0</v>
      </c>
      <c r="O2600" s="467">
        <v>0</v>
      </c>
      <c r="P2600" s="467"/>
    </row>
    <row r="2601" spans="1:24" s="535" customFormat="1" x14ac:dyDescent="0.2">
      <c r="A2601" s="518" t="s">
        <v>2169</v>
      </c>
      <c r="F2601" s="1624"/>
      <c r="G2601" s="1624"/>
      <c r="H2601" s="1624"/>
      <c r="I2601" s="1624"/>
      <c r="J2601" s="1624"/>
      <c r="K2601" s="1624"/>
      <c r="L2601" s="1624"/>
      <c r="M2601" s="1624"/>
      <c r="N2601" s="1624"/>
    </row>
    <row r="2602" spans="1:24" s="292" customFormat="1" x14ac:dyDescent="0.2"/>
    <row r="2604" spans="1:24" s="125" customFormat="1" ht="14.25" customHeight="1" x14ac:dyDescent="0.2">
      <c r="A2604" s="377" t="s">
        <v>2171</v>
      </c>
      <c r="D2604" s="1075"/>
      <c r="E2604" s="1075"/>
      <c r="F2604" s="1075"/>
      <c r="G2604" s="1075"/>
      <c r="H2604" s="1075"/>
      <c r="I2604" s="1075"/>
      <c r="L2604" s="1075"/>
    </row>
    <row r="2605" spans="1:24" s="773" customFormat="1" ht="16.25" customHeight="1" x14ac:dyDescent="0.2">
      <c r="A2605" s="753" t="s">
        <v>2187</v>
      </c>
      <c r="B2605" s="442" t="s">
        <v>2186</v>
      </c>
      <c r="C2605" s="442" t="s">
        <v>2186</v>
      </c>
      <c r="D2605" s="442" t="s">
        <v>2186</v>
      </c>
      <c r="E2605" s="442" t="s">
        <v>2186</v>
      </c>
      <c r="F2605" s="442" t="s">
        <v>2186</v>
      </c>
      <c r="G2605" s="442" t="s">
        <v>2186</v>
      </c>
      <c r="H2605" s="442" t="s">
        <v>2186</v>
      </c>
      <c r="I2605" s="442" t="s">
        <v>2186</v>
      </c>
      <c r="J2605" s="442" t="s">
        <v>2186</v>
      </c>
      <c r="K2605" s="442" t="s">
        <v>2186</v>
      </c>
      <c r="L2605" s="442" t="s">
        <v>2186</v>
      </c>
      <c r="M2605" s="442" t="s">
        <v>2186</v>
      </c>
      <c r="N2605" s="442" t="s">
        <v>2186</v>
      </c>
      <c r="O2605" s="442" t="s">
        <v>2186</v>
      </c>
      <c r="P2605" s="442"/>
      <c r="Q2605" s="442"/>
      <c r="R2605" s="442"/>
      <c r="S2605" s="442"/>
      <c r="T2605" s="442"/>
      <c r="U2605" s="442"/>
      <c r="V2605" s="442"/>
    </row>
    <row r="2606" spans="1:24" s="291" customFormat="1" ht="16" x14ac:dyDescent="0.2">
      <c r="A2606" s="1641" t="s">
        <v>57</v>
      </c>
      <c r="B2606" s="1642" t="s">
        <v>1664</v>
      </c>
      <c r="C2606" s="1642" t="s">
        <v>1665</v>
      </c>
      <c r="D2606" s="1642" t="s">
        <v>1666</v>
      </c>
      <c r="E2606" s="1642" t="s">
        <v>1667</v>
      </c>
      <c r="F2606" s="1642" t="s">
        <v>2174</v>
      </c>
      <c r="G2606" s="1642" t="s">
        <v>1668</v>
      </c>
      <c r="H2606" s="1642" t="s">
        <v>1669</v>
      </c>
      <c r="I2606" s="1639" t="s">
        <v>1670</v>
      </c>
      <c r="J2606" s="1639" t="s">
        <v>1671</v>
      </c>
      <c r="K2606" s="1639" t="s">
        <v>1672</v>
      </c>
      <c r="L2606" s="1642" t="s">
        <v>1673</v>
      </c>
      <c r="M2606" s="291" t="s">
        <v>1674</v>
      </c>
      <c r="N2606" s="2152" t="s">
        <v>1675</v>
      </c>
      <c r="O2606" s="2152" t="s">
        <v>1676</v>
      </c>
      <c r="P2606" s="1658" t="s">
        <v>2175</v>
      </c>
      <c r="Q2606" s="453"/>
      <c r="R2606" s="453"/>
      <c r="S2606" s="453"/>
      <c r="T2606" s="453"/>
      <c r="U2606" s="453"/>
      <c r="V2606" s="453"/>
      <c r="W2606" s="21"/>
      <c r="X2606" s="21"/>
    </row>
    <row r="2607" spans="1:24" s="1093" customFormat="1" ht="16" x14ac:dyDescent="0.2">
      <c r="A2607" s="523" t="s">
        <v>2153</v>
      </c>
      <c r="B2607" s="1636" t="s">
        <v>309</v>
      </c>
      <c r="C2607" s="1636" t="s">
        <v>309</v>
      </c>
      <c r="D2607" s="1636" t="s">
        <v>309</v>
      </c>
      <c r="E2607" s="1636" t="s">
        <v>309</v>
      </c>
      <c r="F2607" s="1636" t="s">
        <v>309</v>
      </c>
      <c r="G2607" s="1636" t="s">
        <v>309</v>
      </c>
      <c r="H2607" s="1636" t="s">
        <v>309</v>
      </c>
      <c r="I2607" s="1636" t="s">
        <v>309</v>
      </c>
      <c r="J2607" s="1635" t="s">
        <v>309</v>
      </c>
      <c r="K2607" s="1635" t="s">
        <v>309</v>
      </c>
      <c r="L2607" s="1635" t="s">
        <v>309</v>
      </c>
      <c r="M2607" s="31" t="s">
        <v>309</v>
      </c>
      <c r="N2607" s="31" t="s">
        <v>309</v>
      </c>
      <c r="O2607" s="31" t="s">
        <v>309</v>
      </c>
      <c r="P2607" s="31" t="s">
        <v>309</v>
      </c>
      <c r="Q2607" s="1092"/>
      <c r="R2607" s="1092"/>
      <c r="S2607" s="1092"/>
      <c r="T2607" s="1092"/>
      <c r="U2607" s="1092"/>
      <c r="V2607" s="1092"/>
    </row>
    <row r="2608" spans="1:24" s="21" customFormat="1" x14ac:dyDescent="0.2">
      <c r="A2608" s="407" t="s">
        <v>2155</v>
      </c>
      <c r="B2608" s="470">
        <v>0</v>
      </c>
      <c r="C2608" s="470">
        <v>0</v>
      </c>
      <c r="D2608" s="470">
        <v>0</v>
      </c>
      <c r="E2608" s="470">
        <v>0</v>
      </c>
      <c r="F2608" s="470">
        <v>0</v>
      </c>
      <c r="G2608" s="470">
        <v>0</v>
      </c>
      <c r="H2608" s="470">
        <v>0</v>
      </c>
      <c r="I2608" s="470">
        <v>0</v>
      </c>
      <c r="J2608" s="44">
        <v>0</v>
      </c>
      <c r="K2608" s="44">
        <v>90</v>
      </c>
      <c r="L2608" s="1640">
        <v>10</v>
      </c>
      <c r="M2608" s="451">
        <v>0</v>
      </c>
      <c r="N2608" s="467">
        <v>0</v>
      </c>
      <c r="O2608" s="467">
        <v>0</v>
      </c>
      <c r="P2608" s="467"/>
      <c r="Q2608" s="453"/>
      <c r="R2608" s="453"/>
      <c r="S2608" s="453"/>
      <c r="T2608" s="453"/>
      <c r="U2608" s="453"/>
      <c r="V2608" s="453"/>
    </row>
    <row r="2609" spans="1:24" s="21" customFormat="1" x14ac:dyDescent="0.2">
      <c r="A2609" s="405" t="s">
        <v>2156</v>
      </c>
      <c r="B2609" s="467">
        <v>0</v>
      </c>
      <c r="C2609" s="467">
        <v>4</v>
      </c>
      <c r="D2609" s="467">
        <v>0</v>
      </c>
      <c r="E2609" s="467">
        <v>0</v>
      </c>
      <c r="F2609" s="467">
        <v>1</v>
      </c>
      <c r="G2609" s="467">
        <v>1</v>
      </c>
      <c r="H2609" s="467">
        <v>0</v>
      </c>
      <c r="I2609" s="467">
        <v>0</v>
      </c>
      <c r="J2609" s="41">
        <v>0</v>
      </c>
      <c r="K2609" s="41">
        <v>94</v>
      </c>
      <c r="L2609" s="451">
        <v>0</v>
      </c>
      <c r="M2609" s="451">
        <v>0</v>
      </c>
      <c r="N2609" s="467">
        <v>0</v>
      </c>
      <c r="O2609" s="467">
        <v>0</v>
      </c>
      <c r="P2609" s="467"/>
      <c r="Q2609" s="453"/>
      <c r="R2609" s="453"/>
      <c r="S2609" s="453"/>
      <c r="T2609" s="453"/>
      <c r="U2609" s="453"/>
      <c r="V2609" s="453"/>
    </row>
    <row r="2610" spans="1:24" s="21" customFormat="1" x14ac:dyDescent="0.2">
      <c r="A2610" s="405" t="s">
        <v>1343</v>
      </c>
      <c r="B2610" s="467">
        <v>1</v>
      </c>
      <c r="C2610" s="467">
        <v>29</v>
      </c>
      <c r="D2610" s="467">
        <v>70</v>
      </c>
      <c r="E2610" s="467">
        <v>0</v>
      </c>
      <c r="F2610" s="467">
        <v>0</v>
      </c>
      <c r="G2610" s="467">
        <v>0</v>
      </c>
      <c r="H2610" s="467">
        <v>0</v>
      </c>
      <c r="I2610" s="467">
        <v>0</v>
      </c>
      <c r="J2610" s="41">
        <v>0</v>
      </c>
      <c r="K2610" s="41">
        <v>0</v>
      </c>
      <c r="L2610" s="468">
        <v>0</v>
      </c>
      <c r="M2610" s="451">
        <v>0</v>
      </c>
      <c r="N2610" s="467">
        <v>0</v>
      </c>
      <c r="O2610" s="467">
        <v>0</v>
      </c>
      <c r="P2610" s="467"/>
      <c r="Q2610" s="453"/>
      <c r="R2610" s="453"/>
      <c r="S2610" s="453"/>
      <c r="T2610" s="453"/>
      <c r="U2610" s="453"/>
      <c r="V2610" s="453"/>
    </row>
    <row r="2611" spans="1:24" s="21" customFormat="1" x14ac:dyDescent="0.2">
      <c r="A2611" s="405" t="s">
        <v>2157</v>
      </c>
      <c r="B2611" s="467">
        <v>0</v>
      </c>
      <c r="C2611" s="467">
        <v>58</v>
      </c>
      <c r="D2611" s="467">
        <v>42</v>
      </c>
      <c r="E2611" s="467">
        <v>0</v>
      </c>
      <c r="F2611" s="467">
        <v>0</v>
      </c>
      <c r="G2611" s="467">
        <v>0</v>
      </c>
      <c r="H2611" s="467">
        <v>0</v>
      </c>
      <c r="I2611" s="467">
        <v>0</v>
      </c>
      <c r="J2611" s="41">
        <v>0</v>
      </c>
      <c r="K2611" s="41">
        <v>0</v>
      </c>
      <c r="L2611" s="451">
        <v>0</v>
      </c>
      <c r="M2611" s="451">
        <v>0</v>
      </c>
      <c r="N2611" s="467">
        <v>0</v>
      </c>
      <c r="O2611" s="467">
        <v>0</v>
      </c>
      <c r="P2611" s="467"/>
      <c r="Q2611" s="453"/>
      <c r="R2611" s="453"/>
      <c r="S2611" s="453"/>
      <c r="T2611" s="453"/>
      <c r="U2611" s="453"/>
      <c r="V2611" s="453"/>
    </row>
    <row r="2612" spans="1:24" s="21" customFormat="1" x14ac:dyDescent="0.2">
      <c r="A2612" s="405" t="s">
        <v>1351</v>
      </c>
      <c r="B2612" s="467">
        <v>0</v>
      </c>
      <c r="C2612" s="467">
        <v>1</v>
      </c>
      <c r="D2612" s="467">
        <v>20</v>
      </c>
      <c r="E2612" s="467">
        <v>21</v>
      </c>
      <c r="F2612" s="467">
        <v>0</v>
      </c>
      <c r="G2612" s="467">
        <v>1</v>
      </c>
      <c r="H2612" s="467">
        <v>0</v>
      </c>
      <c r="I2612" s="467">
        <v>0</v>
      </c>
      <c r="J2612" s="41">
        <v>0</v>
      </c>
      <c r="K2612" s="41">
        <v>43</v>
      </c>
      <c r="L2612" s="451">
        <v>14</v>
      </c>
      <c r="M2612" s="451">
        <v>0</v>
      </c>
      <c r="N2612" s="467">
        <v>0</v>
      </c>
      <c r="O2612" s="467">
        <v>0</v>
      </c>
      <c r="P2612" s="467"/>
      <c r="Q2612" s="453"/>
      <c r="R2612" s="453"/>
      <c r="S2612" s="453"/>
      <c r="T2612" s="453"/>
      <c r="U2612" s="453"/>
      <c r="V2612" s="453"/>
    </row>
    <row r="2613" spans="1:24" s="21" customFormat="1" x14ac:dyDescent="0.2">
      <c r="A2613" s="405" t="s">
        <v>1337</v>
      </c>
      <c r="B2613" s="467">
        <v>0</v>
      </c>
      <c r="C2613" s="467">
        <v>0</v>
      </c>
      <c r="D2613" s="467">
        <v>0</v>
      </c>
      <c r="E2613" s="467">
        <v>47</v>
      </c>
      <c r="F2613" s="467">
        <v>0</v>
      </c>
      <c r="G2613" s="467">
        <v>0</v>
      </c>
      <c r="H2613" s="467">
        <v>0</v>
      </c>
      <c r="I2613" s="467">
        <v>0</v>
      </c>
      <c r="J2613" s="41">
        <v>0</v>
      </c>
      <c r="K2613" s="41">
        <v>34</v>
      </c>
      <c r="L2613" s="451">
        <v>19</v>
      </c>
      <c r="M2613" s="451">
        <v>0</v>
      </c>
      <c r="N2613" s="467">
        <v>0</v>
      </c>
      <c r="O2613" s="467">
        <v>0</v>
      </c>
      <c r="P2613" s="467"/>
      <c r="Q2613" s="453"/>
      <c r="R2613" s="453"/>
      <c r="S2613" s="453"/>
      <c r="T2613" s="453"/>
      <c r="U2613" s="453"/>
      <c r="V2613" s="453"/>
    </row>
    <row r="2614" spans="1:24" s="21" customFormat="1" x14ac:dyDescent="0.2">
      <c r="A2614" s="405" t="s">
        <v>2158</v>
      </c>
      <c r="B2614" s="41">
        <v>0</v>
      </c>
      <c r="C2614" s="41">
        <v>0</v>
      </c>
      <c r="D2614" s="41">
        <v>0</v>
      </c>
      <c r="E2614" s="41">
        <v>0</v>
      </c>
      <c r="F2614" s="41">
        <v>0</v>
      </c>
      <c r="G2614" s="41">
        <v>0</v>
      </c>
      <c r="H2614" s="41">
        <v>0</v>
      </c>
      <c r="I2614" s="41">
        <v>0</v>
      </c>
      <c r="J2614" s="41">
        <v>0</v>
      </c>
      <c r="K2614" s="41">
        <v>100</v>
      </c>
      <c r="L2614" s="451">
        <v>0</v>
      </c>
      <c r="M2614" s="451">
        <v>0</v>
      </c>
      <c r="N2614" s="467">
        <v>0</v>
      </c>
      <c r="O2614" s="467">
        <v>0</v>
      </c>
      <c r="P2614" s="467"/>
      <c r="Q2614" s="453"/>
      <c r="R2614" s="453"/>
      <c r="S2614" s="453"/>
      <c r="T2614" s="453"/>
      <c r="U2614" s="453"/>
      <c r="V2614" s="453"/>
    </row>
    <row r="2615" spans="1:24" s="21" customFormat="1" x14ac:dyDescent="0.2">
      <c r="A2615" s="405" t="s">
        <v>1346</v>
      </c>
      <c r="B2615" s="467">
        <v>0</v>
      </c>
      <c r="C2615" s="467">
        <v>0</v>
      </c>
      <c r="D2615" s="467">
        <v>0</v>
      </c>
      <c r="E2615" s="467">
        <v>0</v>
      </c>
      <c r="F2615" s="467">
        <v>23</v>
      </c>
      <c r="G2615" s="467">
        <v>0</v>
      </c>
      <c r="H2615" s="467">
        <v>0</v>
      </c>
      <c r="I2615" s="467">
        <v>0</v>
      </c>
      <c r="J2615" s="41">
        <v>0</v>
      </c>
      <c r="K2615" s="41">
        <v>77</v>
      </c>
      <c r="L2615" s="468">
        <v>0</v>
      </c>
      <c r="M2615" s="451">
        <v>0</v>
      </c>
      <c r="N2615" s="467">
        <v>0</v>
      </c>
      <c r="O2615" s="467">
        <v>0</v>
      </c>
      <c r="P2615" s="467"/>
    </row>
    <row r="2616" spans="1:24" s="453" customFormat="1" x14ac:dyDescent="0.2">
      <c r="A2616" s="405" t="s">
        <v>2159</v>
      </c>
      <c r="B2616" s="41">
        <v>11</v>
      </c>
      <c r="C2616" s="41">
        <v>7</v>
      </c>
      <c r="D2616" s="41">
        <v>11</v>
      </c>
      <c r="E2616" s="41">
        <v>0</v>
      </c>
      <c r="F2616" s="41">
        <v>0</v>
      </c>
      <c r="G2616" s="41">
        <v>0</v>
      </c>
      <c r="H2616" s="41">
        <v>0</v>
      </c>
      <c r="I2616" s="467">
        <v>0</v>
      </c>
      <c r="J2616" s="41">
        <v>0</v>
      </c>
      <c r="K2616" s="41">
        <v>67</v>
      </c>
      <c r="L2616" s="451">
        <v>4</v>
      </c>
      <c r="M2616" s="451">
        <v>0</v>
      </c>
      <c r="N2616" s="467">
        <v>0</v>
      </c>
      <c r="O2616" s="467">
        <v>0</v>
      </c>
      <c r="P2616" s="467"/>
    </row>
    <row r="2617" spans="1:24" s="453" customFormat="1" x14ac:dyDescent="0.2">
      <c r="A2617" s="405" t="s">
        <v>2160</v>
      </c>
      <c r="B2617" s="467">
        <v>0</v>
      </c>
      <c r="C2617" s="467">
        <v>0</v>
      </c>
      <c r="D2617" s="467">
        <v>100</v>
      </c>
      <c r="E2617" s="467">
        <v>0</v>
      </c>
      <c r="F2617" s="467">
        <v>0</v>
      </c>
      <c r="G2617" s="467">
        <v>0</v>
      </c>
      <c r="H2617" s="467">
        <v>0</v>
      </c>
      <c r="I2617" s="467">
        <v>0</v>
      </c>
      <c r="J2617" s="41">
        <v>0</v>
      </c>
      <c r="K2617" s="41">
        <v>0</v>
      </c>
      <c r="L2617" s="468">
        <v>0</v>
      </c>
      <c r="M2617" s="451">
        <v>0</v>
      </c>
      <c r="N2617" s="467">
        <v>0</v>
      </c>
      <c r="O2617" s="467">
        <v>0</v>
      </c>
      <c r="P2617" s="467"/>
    </row>
    <row r="2618" spans="1:24" s="535" customFormat="1" x14ac:dyDescent="0.2">
      <c r="A2618" s="518" t="s">
        <v>2169</v>
      </c>
      <c r="F2618" s="1624"/>
      <c r="G2618" s="1624"/>
      <c r="H2618" s="1624"/>
      <c r="I2618" s="1624"/>
      <c r="J2618" s="1624"/>
      <c r="K2618" s="1624"/>
      <c r="L2618" s="1624"/>
      <c r="M2618" s="1624"/>
      <c r="N2618" s="1624"/>
    </row>
    <row r="2619" spans="1:24" s="292" customFormat="1" x14ac:dyDescent="0.2"/>
    <row r="2621" spans="1:24" s="125" customFormat="1" ht="14.25" customHeight="1" x14ac:dyDescent="0.2">
      <c r="A2621" s="377" t="s">
        <v>2171</v>
      </c>
      <c r="D2621" s="1075"/>
      <c r="E2621" s="1075"/>
      <c r="F2621" s="1075"/>
      <c r="G2621" s="1075"/>
      <c r="H2621" s="1075"/>
      <c r="I2621" s="1075"/>
      <c r="L2621" s="1075"/>
    </row>
    <row r="2622" spans="1:24" s="773" customFormat="1" ht="16.25" customHeight="1" x14ac:dyDescent="0.2">
      <c r="A2622" s="753" t="s">
        <v>2188</v>
      </c>
      <c r="B2622" s="442" t="s">
        <v>2186</v>
      </c>
      <c r="C2622" s="442" t="s">
        <v>2186</v>
      </c>
      <c r="D2622" s="442" t="s">
        <v>2186</v>
      </c>
      <c r="E2622" s="442" t="s">
        <v>2186</v>
      </c>
      <c r="F2622" s="442" t="s">
        <v>2186</v>
      </c>
      <c r="G2622" s="442" t="s">
        <v>2186</v>
      </c>
      <c r="H2622" s="442" t="s">
        <v>2186</v>
      </c>
      <c r="I2622" s="442" t="s">
        <v>2186</v>
      </c>
      <c r="J2622" s="442" t="s">
        <v>2186</v>
      </c>
      <c r="K2622" s="442" t="s">
        <v>2186</v>
      </c>
      <c r="L2622" s="442" t="s">
        <v>2186</v>
      </c>
      <c r="M2622" s="442" t="s">
        <v>2186</v>
      </c>
      <c r="N2622" s="442" t="s">
        <v>2186</v>
      </c>
      <c r="O2622" s="442" t="s">
        <v>2186</v>
      </c>
      <c r="P2622" s="442"/>
      <c r="Q2622" s="442"/>
      <c r="R2622" s="442"/>
      <c r="S2622" s="442"/>
      <c r="T2622" s="442"/>
      <c r="U2622" s="442"/>
      <c r="V2622" s="442"/>
    </row>
    <row r="2623" spans="1:24" s="291" customFormat="1" ht="16" x14ac:dyDescent="0.2">
      <c r="A2623" s="1641" t="s">
        <v>57</v>
      </c>
      <c r="B2623" s="1642" t="s">
        <v>1664</v>
      </c>
      <c r="C2623" s="1642" t="s">
        <v>1665</v>
      </c>
      <c r="D2623" s="1642" t="s">
        <v>1666</v>
      </c>
      <c r="E2623" s="1642" t="s">
        <v>1667</v>
      </c>
      <c r="F2623" s="1642" t="s">
        <v>2174</v>
      </c>
      <c r="G2623" s="1642" t="s">
        <v>1668</v>
      </c>
      <c r="H2623" s="1642" t="s">
        <v>1669</v>
      </c>
      <c r="I2623" s="1639" t="s">
        <v>1670</v>
      </c>
      <c r="J2623" s="1639" t="s">
        <v>1671</v>
      </c>
      <c r="K2623" s="1639" t="s">
        <v>1672</v>
      </c>
      <c r="L2623" s="1642" t="s">
        <v>1673</v>
      </c>
      <c r="M2623" s="291" t="s">
        <v>1674</v>
      </c>
      <c r="N2623" s="2152" t="s">
        <v>1675</v>
      </c>
      <c r="O2623" s="2152" t="s">
        <v>1676</v>
      </c>
      <c r="P2623" s="1658" t="s">
        <v>2175</v>
      </c>
      <c r="Q2623" s="453"/>
      <c r="R2623" s="453"/>
      <c r="S2623" s="453"/>
      <c r="T2623" s="453"/>
      <c r="U2623" s="453"/>
      <c r="V2623" s="453"/>
      <c r="W2623" s="21"/>
      <c r="X2623" s="21"/>
    </row>
    <row r="2624" spans="1:24" s="1093" customFormat="1" ht="16" x14ac:dyDescent="0.2">
      <c r="A2624" s="523" t="s">
        <v>2153</v>
      </c>
      <c r="B2624" s="1636" t="s">
        <v>309</v>
      </c>
      <c r="C2624" s="1636" t="s">
        <v>309</v>
      </c>
      <c r="D2624" s="1636" t="s">
        <v>309</v>
      </c>
      <c r="E2624" s="1636" t="s">
        <v>309</v>
      </c>
      <c r="F2624" s="1636" t="s">
        <v>309</v>
      </c>
      <c r="G2624" s="1636" t="s">
        <v>309</v>
      </c>
      <c r="H2624" s="1636" t="s">
        <v>309</v>
      </c>
      <c r="I2624" s="1636" t="s">
        <v>309</v>
      </c>
      <c r="J2624" s="1635" t="s">
        <v>309</v>
      </c>
      <c r="K2624" s="1635" t="s">
        <v>309</v>
      </c>
      <c r="L2624" s="1635" t="s">
        <v>309</v>
      </c>
      <c r="M2624" s="31" t="s">
        <v>309</v>
      </c>
      <c r="N2624" s="31" t="s">
        <v>309</v>
      </c>
      <c r="O2624" s="31" t="s">
        <v>309</v>
      </c>
      <c r="P2624" s="31" t="s">
        <v>309</v>
      </c>
      <c r="Q2624" s="1092"/>
      <c r="R2624" s="1092"/>
      <c r="S2624" s="1092"/>
      <c r="T2624" s="1092"/>
      <c r="U2624" s="1092"/>
      <c r="V2624" s="1092"/>
    </row>
    <row r="2625" spans="1:24" s="21" customFormat="1" x14ac:dyDescent="0.2">
      <c r="A2625" s="407" t="s">
        <v>2155</v>
      </c>
      <c r="B2625" s="470">
        <v>0</v>
      </c>
      <c r="C2625" s="470">
        <v>0</v>
      </c>
      <c r="D2625" s="470">
        <v>0</v>
      </c>
      <c r="E2625" s="470">
        <v>0</v>
      </c>
      <c r="F2625" s="470">
        <v>0</v>
      </c>
      <c r="G2625" s="470">
        <v>0</v>
      </c>
      <c r="H2625" s="470">
        <v>0</v>
      </c>
      <c r="I2625" s="470">
        <v>0</v>
      </c>
      <c r="J2625" s="44">
        <v>0</v>
      </c>
      <c r="K2625" s="44">
        <v>0</v>
      </c>
      <c r="L2625" s="1640">
        <v>100</v>
      </c>
      <c r="M2625" s="451">
        <v>0</v>
      </c>
      <c r="N2625" s="467">
        <v>0</v>
      </c>
      <c r="O2625" s="467">
        <v>0</v>
      </c>
      <c r="P2625" s="467"/>
      <c r="Q2625" s="453"/>
      <c r="R2625" s="453"/>
      <c r="S2625" s="453"/>
      <c r="T2625" s="453"/>
      <c r="U2625" s="453"/>
      <c r="V2625" s="453"/>
    </row>
    <row r="2626" spans="1:24" s="21" customFormat="1" x14ac:dyDescent="0.2">
      <c r="A2626" s="405" t="s">
        <v>2156</v>
      </c>
      <c r="B2626" s="467">
        <v>0</v>
      </c>
      <c r="C2626" s="467">
        <v>0</v>
      </c>
      <c r="D2626" s="467">
        <v>0</v>
      </c>
      <c r="E2626" s="467">
        <v>0</v>
      </c>
      <c r="F2626" s="467">
        <v>0</v>
      </c>
      <c r="G2626" s="467">
        <v>0</v>
      </c>
      <c r="H2626" s="467">
        <v>0</v>
      </c>
      <c r="I2626" s="467">
        <v>0</v>
      </c>
      <c r="J2626" s="41">
        <v>0</v>
      </c>
      <c r="K2626" s="41">
        <v>0</v>
      </c>
      <c r="L2626" s="451">
        <v>100</v>
      </c>
      <c r="M2626" s="451">
        <v>0</v>
      </c>
      <c r="N2626" s="467">
        <v>0</v>
      </c>
      <c r="O2626" s="467">
        <v>0</v>
      </c>
      <c r="P2626" s="467"/>
      <c r="Q2626" s="453"/>
      <c r="R2626" s="453"/>
      <c r="S2626" s="453"/>
      <c r="T2626" s="453"/>
      <c r="U2626" s="453"/>
      <c r="V2626" s="453"/>
    </row>
    <row r="2627" spans="1:24" s="21" customFormat="1" x14ac:dyDescent="0.2">
      <c r="A2627" s="405" t="s">
        <v>1343</v>
      </c>
      <c r="B2627" s="467">
        <v>0</v>
      </c>
      <c r="C2627" s="467">
        <v>0</v>
      </c>
      <c r="D2627" s="467">
        <v>0</v>
      </c>
      <c r="E2627" s="467">
        <v>0</v>
      </c>
      <c r="F2627" s="467">
        <v>0</v>
      </c>
      <c r="G2627" s="467">
        <v>0</v>
      </c>
      <c r="H2627" s="467">
        <v>0</v>
      </c>
      <c r="I2627" s="467">
        <v>0</v>
      </c>
      <c r="J2627" s="41">
        <v>0</v>
      </c>
      <c r="K2627" s="41">
        <v>0</v>
      </c>
      <c r="L2627" s="451">
        <v>100</v>
      </c>
      <c r="M2627" s="451">
        <v>0</v>
      </c>
      <c r="N2627" s="467">
        <v>0</v>
      </c>
      <c r="O2627" s="467">
        <v>0</v>
      </c>
      <c r="P2627" s="467"/>
      <c r="Q2627" s="453"/>
      <c r="R2627" s="453"/>
      <c r="S2627" s="453"/>
      <c r="T2627" s="453"/>
      <c r="U2627" s="453"/>
      <c r="V2627" s="453"/>
    </row>
    <row r="2628" spans="1:24" s="21" customFormat="1" x14ac:dyDescent="0.2">
      <c r="A2628" s="405" t="s">
        <v>2157</v>
      </c>
      <c r="B2628" s="467">
        <v>0</v>
      </c>
      <c r="C2628" s="467">
        <v>0</v>
      </c>
      <c r="D2628" s="467">
        <v>0</v>
      </c>
      <c r="E2628" s="467">
        <v>0</v>
      </c>
      <c r="F2628" s="467">
        <v>0</v>
      </c>
      <c r="G2628" s="467">
        <v>0</v>
      </c>
      <c r="H2628" s="467">
        <v>0</v>
      </c>
      <c r="I2628" s="467">
        <v>0</v>
      </c>
      <c r="J2628" s="41">
        <v>0</v>
      </c>
      <c r="K2628" s="41">
        <v>0</v>
      </c>
      <c r="L2628" s="451">
        <v>100</v>
      </c>
      <c r="M2628" s="451">
        <v>0</v>
      </c>
      <c r="N2628" s="467">
        <v>0</v>
      </c>
      <c r="O2628" s="467">
        <v>0</v>
      </c>
      <c r="P2628" s="467"/>
      <c r="Q2628" s="453"/>
      <c r="R2628" s="453"/>
      <c r="S2628" s="453"/>
      <c r="T2628" s="453"/>
      <c r="U2628" s="453"/>
      <c r="V2628" s="453"/>
    </row>
    <row r="2629" spans="1:24" s="21" customFormat="1" x14ac:dyDescent="0.2">
      <c r="A2629" s="405" t="s">
        <v>1351</v>
      </c>
      <c r="B2629" s="467">
        <v>0</v>
      </c>
      <c r="C2629" s="467">
        <v>0</v>
      </c>
      <c r="D2629" s="467">
        <v>0</v>
      </c>
      <c r="E2629" s="467">
        <v>0</v>
      </c>
      <c r="F2629" s="467">
        <v>0</v>
      </c>
      <c r="G2629" s="467">
        <v>0</v>
      </c>
      <c r="H2629" s="467">
        <v>0</v>
      </c>
      <c r="I2629" s="467">
        <v>0</v>
      </c>
      <c r="J2629" s="41">
        <v>0</v>
      </c>
      <c r="K2629" s="41">
        <v>0</v>
      </c>
      <c r="L2629" s="451">
        <v>100</v>
      </c>
      <c r="M2629" s="451">
        <v>0</v>
      </c>
      <c r="N2629" s="467">
        <v>0</v>
      </c>
      <c r="O2629" s="467">
        <v>0</v>
      </c>
      <c r="P2629" s="467"/>
      <c r="Q2629" s="453"/>
      <c r="R2629" s="453"/>
      <c r="S2629" s="453"/>
      <c r="T2629" s="453"/>
      <c r="U2629" s="453"/>
      <c r="V2629" s="453"/>
    </row>
    <row r="2630" spans="1:24" s="21" customFormat="1" x14ac:dyDescent="0.2">
      <c r="A2630" s="405" t="s">
        <v>1337</v>
      </c>
      <c r="B2630" s="467">
        <v>0</v>
      </c>
      <c r="C2630" s="467">
        <v>0</v>
      </c>
      <c r="D2630" s="467">
        <v>0</v>
      </c>
      <c r="E2630" s="467">
        <v>0</v>
      </c>
      <c r="F2630" s="467">
        <v>0</v>
      </c>
      <c r="G2630" s="467">
        <v>0</v>
      </c>
      <c r="H2630" s="467">
        <v>0</v>
      </c>
      <c r="I2630" s="467">
        <v>0</v>
      </c>
      <c r="J2630" s="41">
        <v>0</v>
      </c>
      <c r="K2630" s="41">
        <v>0</v>
      </c>
      <c r="L2630" s="451">
        <v>100</v>
      </c>
      <c r="M2630" s="451">
        <v>0</v>
      </c>
      <c r="N2630" s="467">
        <v>0</v>
      </c>
      <c r="O2630" s="467">
        <v>0</v>
      </c>
      <c r="P2630" s="467"/>
      <c r="Q2630" s="453"/>
      <c r="R2630" s="453"/>
      <c r="S2630" s="453"/>
      <c r="T2630" s="453"/>
      <c r="U2630" s="453"/>
      <c r="V2630" s="453"/>
    </row>
    <row r="2631" spans="1:24" s="21" customFormat="1" x14ac:dyDescent="0.2">
      <c r="A2631" s="405" t="s">
        <v>2158</v>
      </c>
      <c r="B2631" s="41">
        <v>0</v>
      </c>
      <c r="C2631" s="41">
        <v>0</v>
      </c>
      <c r="D2631" s="41">
        <v>0</v>
      </c>
      <c r="E2631" s="41">
        <v>0</v>
      </c>
      <c r="F2631" s="41">
        <v>0</v>
      </c>
      <c r="G2631" s="41">
        <v>0</v>
      </c>
      <c r="H2631" s="41">
        <v>0</v>
      </c>
      <c r="I2631" s="41">
        <v>0</v>
      </c>
      <c r="J2631" s="41">
        <v>0</v>
      </c>
      <c r="K2631" s="41">
        <v>0</v>
      </c>
      <c r="L2631" s="451">
        <v>100</v>
      </c>
      <c r="M2631" s="451">
        <v>0</v>
      </c>
      <c r="N2631" s="467">
        <v>0</v>
      </c>
      <c r="O2631" s="467">
        <v>0</v>
      </c>
      <c r="P2631" s="467"/>
      <c r="Q2631" s="453"/>
      <c r="R2631" s="453"/>
      <c r="S2631" s="453"/>
      <c r="T2631" s="453"/>
      <c r="U2631" s="453"/>
      <c r="V2631" s="453"/>
    </row>
    <row r="2632" spans="1:24" s="21" customFormat="1" x14ac:dyDescent="0.2">
      <c r="A2632" s="405" t="s">
        <v>1346</v>
      </c>
      <c r="B2632" s="467">
        <v>0</v>
      </c>
      <c r="C2632" s="467">
        <v>0</v>
      </c>
      <c r="D2632" s="467">
        <v>0</v>
      </c>
      <c r="E2632" s="467">
        <v>0</v>
      </c>
      <c r="F2632" s="467">
        <v>0</v>
      </c>
      <c r="G2632" s="467">
        <v>0</v>
      </c>
      <c r="H2632" s="467">
        <v>0</v>
      </c>
      <c r="I2632" s="467">
        <v>0</v>
      </c>
      <c r="J2632" s="41">
        <v>0</v>
      </c>
      <c r="K2632" s="41">
        <v>0</v>
      </c>
      <c r="L2632" s="451">
        <v>100</v>
      </c>
      <c r="M2632" s="451">
        <v>0</v>
      </c>
      <c r="N2632" s="467">
        <v>0</v>
      </c>
      <c r="O2632" s="467">
        <v>0</v>
      </c>
      <c r="P2632" s="467"/>
    </row>
    <row r="2633" spans="1:24" s="453" customFormat="1" x14ac:dyDescent="0.2">
      <c r="A2633" s="405" t="s">
        <v>2159</v>
      </c>
      <c r="B2633" s="467">
        <v>0</v>
      </c>
      <c r="C2633" s="467">
        <v>0</v>
      </c>
      <c r="D2633" s="467">
        <v>0</v>
      </c>
      <c r="E2633" s="467">
        <v>0</v>
      </c>
      <c r="F2633" s="467">
        <v>0</v>
      </c>
      <c r="G2633" s="467">
        <v>0</v>
      </c>
      <c r="H2633" s="467">
        <v>0</v>
      </c>
      <c r="I2633" s="467">
        <v>0</v>
      </c>
      <c r="J2633" s="41">
        <v>0</v>
      </c>
      <c r="K2633" s="41">
        <v>0</v>
      </c>
      <c r="L2633" s="451">
        <v>100</v>
      </c>
      <c r="M2633" s="451">
        <v>0</v>
      </c>
      <c r="N2633" s="467">
        <v>0</v>
      </c>
      <c r="O2633" s="467">
        <v>0</v>
      </c>
      <c r="P2633" s="467"/>
    </row>
    <row r="2634" spans="1:24" s="453" customFormat="1" x14ac:dyDescent="0.2">
      <c r="A2634" s="405" t="s">
        <v>2160</v>
      </c>
      <c r="B2634" s="467">
        <v>0</v>
      </c>
      <c r="C2634" s="467">
        <v>0</v>
      </c>
      <c r="D2634" s="467">
        <v>0</v>
      </c>
      <c r="E2634" s="467">
        <v>0</v>
      </c>
      <c r="F2634" s="467">
        <v>0</v>
      </c>
      <c r="G2634" s="467">
        <v>0</v>
      </c>
      <c r="H2634" s="467">
        <v>0</v>
      </c>
      <c r="I2634" s="467">
        <v>0</v>
      </c>
      <c r="J2634" s="41">
        <v>0</v>
      </c>
      <c r="K2634" s="41">
        <v>0</v>
      </c>
      <c r="L2634" s="451">
        <v>100</v>
      </c>
      <c r="M2634" s="451">
        <v>0</v>
      </c>
      <c r="N2634" s="467">
        <v>0</v>
      </c>
      <c r="O2634" s="467">
        <v>0</v>
      </c>
      <c r="P2634" s="467"/>
    </row>
    <row r="2635" spans="1:24" s="535" customFormat="1" x14ac:dyDescent="0.2">
      <c r="A2635" s="518" t="s">
        <v>2169</v>
      </c>
      <c r="F2635" s="1624"/>
      <c r="G2635" s="1624"/>
      <c r="H2635" s="1624"/>
      <c r="I2635" s="1624"/>
      <c r="J2635" s="1624"/>
      <c r="K2635" s="1624"/>
      <c r="L2635" s="1624"/>
      <c r="M2635" s="1624"/>
      <c r="N2635" s="1624"/>
    </row>
    <row r="2636" spans="1:24" s="292" customFormat="1" x14ac:dyDescent="0.2"/>
    <row r="2638" spans="1:24" s="125" customFormat="1" ht="14.25" customHeight="1" x14ac:dyDescent="0.2">
      <c r="A2638" s="377" t="s">
        <v>2171</v>
      </c>
      <c r="D2638" s="1075"/>
      <c r="E2638" s="1075"/>
      <c r="F2638" s="1075"/>
      <c r="G2638" s="1075"/>
      <c r="H2638" s="1075"/>
      <c r="I2638" s="1075"/>
      <c r="L2638" s="1075"/>
    </row>
    <row r="2639" spans="1:24" s="773" customFormat="1" ht="16.25" customHeight="1" x14ac:dyDescent="0.2">
      <c r="A2639" s="753" t="s">
        <v>2189</v>
      </c>
      <c r="B2639" s="442" t="s">
        <v>2186</v>
      </c>
      <c r="C2639" s="442" t="s">
        <v>2186</v>
      </c>
      <c r="D2639" s="442" t="s">
        <v>2186</v>
      </c>
      <c r="E2639" s="442" t="s">
        <v>2186</v>
      </c>
      <c r="F2639" s="442" t="s">
        <v>2186</v>
      </c>
      <c r="G2639" s="442" t="s">
        <v>2186</v>
      </c>
      <c r="H2639" s="442" t="s">
        <v>2186</v>
      </c>
      <c r="I2639" s="442" t="s">
        <v>2186</v>
      </c>
      <c r="J2639" s="442" t="s">
        <v>2186</v>
      </c>
      <c r="K2639" s="442" t="s">
        <v>2186</v>
      </c>
      <c r="L2639" s="442" t="s">
        <v>2186</v>
      </c>
      <c r="M2639" s="442" t="s">
        <v>2186</v>
      </c>
      <c r="N2639" s="442" t="s">
        <v>2186</v>
      </c>
      <c r="O2639" s="442" t="s">
        <v>2186</v>
      </c>
      <c r="P2639" s="442"/>
      <c r="Q2639" s="442"/>
      <c r="R2639" s="442"/>
      <c r="S2639" s="442"/>
      <c r="T2639" s="442"/>
      <c r="U2639" s="442"/>
      <c r="V2639" s="442"/>
    </row>
    <row r="2640" spans="1:24" s="291" customFormat="1" ht="16" x14ac:dyDescent="0.2">
      <c r="A2640" s="1641" t="s">
        <v>57</v>
      </c>
      <c r="B2640" s="1642" t="s">
        <v>1664</v>
      </c>
      <c r="C2640" s="1642" t="s">
        <v>1665</v>
      </c>
      <c r="D2640" s="1642" t="s">
        <v>1666</v>
      </c>
      <c r="E2640" s="1642" t="s">
        <v>1667</v>
      </c>
      <c r="F2640" s="1642" t="s">
        <v>2174</v>
      </c>
      <c r="G2640" s="1642" t="s">
        <v>1668</v>
      </c>
      <c r="H2640" s="1642" t="s">
        <v>1669</v>
      </c>
      <c r="I2640" s="1639" t="s">
        <v>1670</v>
      </c>
      <c r="J2640" s="1639" t="s">
        <v>1671</v>
      </c>
      <c r="K2640" s="1639" t="s">
        <v>1672</v>
      </c>
      <c r="L2640" s="1642" t="s">
        <v>1673</v>
      </c>
      <c r="M2640" s="291" t="s">
        <v>1674</v>
      </c>
      <c r="N2640" s="2152" t="s">
        <v>1675</v>
      </c>
      <c r="O2640" s="2152" t="s">
        <v>1676</v>
      </c>
      <c r="P2640" s="1658" t="s">
        <v>2175</v>
      </c>
      <c r="Q2640" s="453"/>
      <c r="R2640" s="453"/>
      <c r="S2640" s="453"/>
      <c r="T2640" s="453"/>
      <c r="U2640" s="453"/>
      <c r="V2640" s="453"/>
      <c r="W2640" s="21"/>
      <c r="X2640" s="21"/>
    </row>
    <row r="2641" spans="1:22" s="1093" customFormat="1" ht="16" x14ac:dyDescent="0.2">
      <c r="A2641" s="523" t="s">
        <v>2153</v>
      </c>
      <c r="B2641" s="1636" t="s">
        <v>309</v>
      </c>
      <c r="C2641" s="1636" t="s">
        <v>309</v>
      </c>
      <c r="D2641" s="1636" t="s">
        <v>309</v>
      </c>
      <c r="E2641" s="1636" t="s">
        <v>309</v>
      </c>
      <c r="F2641" s="1636" t="s">
        <v>309</v>
      </c>
      <c r="G2641" s="1636" t="s">
        <v>309</v>
      </c>
      <c r="H2641" s="1636" t="s">
        <v>309</v>
      </c>
      <c r="I2641" s="1636" t="s">
        <v>309</v>
      </c>
      <c r="J2641" s="1635" t="s">
        <v>309</v>
      </c>
      <c r="K2641" s="1635" t="s">
        <v>309</v>
      </c>
      <c r="L2641" s="1635" t="s">
        <v>309</v>
      </c>
      <c r="M2641" s="31" t="s">
        <v>309</v>
      </c>
      <c r="N2641" s="31" t="s">
        <v>309</v>
      </c>
      <c r="O2641" s="31" t="s">
        <v>309</v>
      </c>
      <c r="P2641" s="31" t="s">
        <v>309</v>
      </c>
      <c r="Q2641" s="1092"/>
      <c r="R2641" s="1092"/>
      <c r="S2641" s="1092"/>
      <c r="T2641" s="1092"/>
      <c r="U2641" s="1092"/>
      <c r="V2641" s="1092"/>
    </row>
    <row r="2642" spans="1:22" s="21" customFormat="1" x14ac:dyDescent="0.2">
      <c r="A2642" s="407" t="s">
        <v>2155</v>
      </c>
      <c r="B2642" s="470">
        <v>0</v>
      </c>
      <c r="C2642" s="470">
        <v>0</v>
      </c>
      <c r="D2642" s="470">
        <v>0</v>
      </c>
      <c r="E2642" s="470">
        <v>0</v>
      </c>
      <c r="F2642" s="470">
        <v>50</v>
      </c>
      <c r="G2642" s="470">
        <v>50</v>
      </c>
      <c r="H2642" s="470">
        <v>0</v>
      </c>
      <c r="I2642" s="470">
        <v>0</v>
      </c>
      <c r="J2642" s="44">
        <v>0</v>
      </c>
      <c r="K2642" s="44">
        <v>0</v>
      </c>
      <c r="L2642" s="1640">
        <v>0</v>
      </c>
      <c r="M2642" s="451">
        <v>0</v>
      </c>
      <c r="N2642" s="467">
        <v>0</v>
      </c>
      <c r="O2642" s="467">
        <v>0</v>
      </c>
      <c r="P2642" s="467"/>
      <c r="Q2642" s="453"/>
      <c r="R2642" s="453"/>
      <c r="S2642" s="453"/>
      <c r="T2642" s="453"/>
      <c r="U2642" s="453"/>
      <c r="V2642" s="453"/>
    </row>
    <row r="2643" spans="1:22" s="21" customFormat="1" x14ac:dyDescent="0.2">
      <c r="A2643" s="405" t="s">
        <v>2156</v>
      </c>
      <c r="B2643" s="467">
        <v>0</v>
      </c>
      <c r="C2643" s="467">
        <v>0</v>
      </c>
      <c r="D2643" s="467">
        <v>0</v>
      </c>
      <c r="E2643" s="467">
        <v>0</v>
      </c>
      <c r="F2643" s="467">
        <v>50</v>
      </c>
      <c r="G2643" s="467">
        <v>50</v>
      </c>
      <c r="H2643" s="467">
        <v>0</v>
      </c>
      <c r="I2643" s="467">
        <v>0</v>
      </c>
      <c r="J2643" s="41">
        <v>0</v>
      </c>
      <c r="K2643" s="41">
        <v>0</v>
      </c>
      <c r="L2643" s="468">
        <v>0</v>
      </c>
      <c r="M2643" s="451">
        <v>0</v>
      </c>
      <c r="N2643" s="467">
        <v>0</v>
      </c>
      <c r="O2643" s="467">
        <v>0</v>
      </c>
      <c r="P2643" s="467"/>
      <c r="Q2643" s="453"/>
      <c r="R2643" s="453"/>
      <c r="S2643" s="453"/>
      <c r="T2643" s="453"/>
      <c r="U2643" s="453"/>
      <c r="V2643" s="453"/>
    </row>
    <row r="2644" spans="1:22" s="21" customFormat="1" x14ac:dyDescent="0.2">
      <c r="A2644" s="405" t="s">
        <v>1343</v>
      </c>
      <c r="B2644" s="467">
        <v>0</v>
      </c>
      <c r="C2644" s="467">
        <v>0</v>
      </c>
      <c r="D2644" s="467">
        <v>0</v>
      </c>
      <c r="E2644" s="467">
        <v>0</v>
      </c>
      <c r="F2644" s="467">
        <v>50</v>
      </c>
      <c r="G2644" s="467">
        <v>50</v>
      </c>
      <c r="H2644" s="467">
        <v>0</v>
      </c>
      <c r="I2644" s="467">
        <v>0</v>
      </c>
      <c r="J2644" s="41">
        <v>0</v>
      </c>
      <c r="K2644" s="41">
        <v>0</v>
      </c>
      <c r="L2644" s="468">
        <v>0</v>
      </c>
      <c r="M2644" s="451">
        <v>0</v>
      </c>
      <c r="N2644" s="467">
        <v>0</v>
      </c>
      <c r="O2644" s="467">
        <v>0</v>
      </c>
      <c r="P2644" s="467"/>
      <c r="Q2644" s="453"/>
      <c r="R2644" s="453"/>
      <c r="S2644" s="453"/>
      <c r="T2644" s="453"/>
      <c r="U2644" s="453"/>
      <c r="V2644" s="453"/>
    </row>
    <row r="2645" spans="1:22" s="21" customFormat="1" x14ac:dyDescent="0.2">
      <c r="A2645" s="405" t="s">
        <v>2157</v>
      </c>
      <c r="B2645" s="467">
        <v>0</v>
      </c>
      <c r="C2645" s="467">
        <v>0</v>
      </c>
      <c r="D2645" s="467">
        <v>0</v>
      </c>
      <c r="E2645" s="467">
        <v>0</v>
      </c>
      <c r="F2645" s="467">
        <v>50</v>
      </c>
      <c r="G2645" s="467">
        <v>50</v>
      </c>
      <c r="H2645" s="467">
        <v>0</v>
      </c>
      <c r="I2645" s="467">
        <v>0</v>
      </c>
      <c r="J2645" s="41">
        <v>0</v>
      </c>
      <c r="K2645" s="41">
        <v>0</v>
      </c>
      <c r="L2645" s="468">
        <v>0</v>
      </c>
      <c r="M2645" s="451">
        <v>0</v>
      </c>
      <c r="N2645" s="467">
        <v>0</v>
      </c>
      <c r="O2645" s="467">
        <v>0</v>
      </c>
      <c r="P2645" s="467"/>
      <c r="Q2645" s="453"/>
      <c r="R2645" s="453"/>
      <c r="S2645" s="453"/>
      <c r="T2645" s="453"/>
      <c r="U2645" s="453"/>
      <c r="V2645" s="453"/>
    </row>
    <row r="2646" spans="1:22" s="21" customFormat="1" x14ac:dyDescent="0.2">
      <c r="A2646" s="405" t="s">
        <v>1351</v>
      </c>
      <c r="B2646" s="467">
        <v>0</v>
      </c>
      <c r="C2646" s="467">
        <v>0</v>
      </c>
      <c r="D2646" s="467">
        <v>0</v>
      </c>
      <c r="E2646" s="467">
        <v>0</v>
      </c>
      <c r="F2646" s="467">
        <v>50</v>
      </c>
      <c r="G2646" s="467">
        <v>50</v>
      </c>
      <c r="H2646" s="467">
        <v>0</v>
      </c>
      <c r="I2646" s="467">
        <v>0</v>
      </c>
      <c r="J2646" s="41">
        <v>0</v>
      </c>
      <c r="K2646" s="41">
        <v>0</v>
      </c>
      <c r="L2646" s="468">
        <v>0</v>
      </c>
      <c r="M2646" s="451">
        <v>0</v>
      </c>
      <c r="N2646" s="467">
        <v>0</v>
      </c>
      <c r="O2646" s="467">
        <v>0</v>
      </c>
      <c r="P2646" s="467"/>
      <c r="Q2646" s="453"/>
      <c r="R2646" s="453"/>
      <c r="S2646" s="453"/>
      <c r="T2646" s="453"/>
      <c r="U2646" s="453"/>
      <c r="V2646" s="453"/>
    </row>
    <row r="2647" spans="1:22" s="21" customFormat="1" x14ac:dyDescent="0.2">
      <c r="A2647" s="405" t="s">
        <v>1337</v>
      </c>
      <c r="B2647" s="467">
        <v>0</v>
      </c>
      <c r="C2647" s="467">
        <v>0</v>
      </c>
      <c r="D2647" s="467">
        <v>0</v>
      </c>
      <c r="E2647" s="467">
        <v>0</v>
      </c>
      <c r="F2647" s="467">
        <v>50</v>
      </c>
      <c r="G2647" s="467">
        <v>50</v>
      </c>
      <c r="H2647" s="467">
        <v>0</v>
      </c>
      <c r="I2647" s="467">
        <v>0</v>
      </c>
      <c r="J2647" s="41">
        <v>0</v>
      </c>
      <c r="K2647" s="41">
        <v>0</v>
      </c>
      <c r="L2647" s="468">
        <v>0</v>
      </c>
      <c r="M2647" s="451">
        <v>0</v>
      </c>
      <c r="N2647" s="467">
        <v>0</v>
      </c>
      <c r="O2647" s="467">
        <v>0</v>
      </c>
      <c r="P2647" s="467"/>
      <c r="Q2647" s="453"/>
      <c r="R2647" s="453"/>
      <c r="S2647" s="453"/>
      <c r="T2647" s="453"/>
      <c r="U2647" s="453"/>
      <c r="V2647" s="453"/>
    </row>
    <row r="2648" spans="1:22" s="21" customFormat="1" x14ac:dyDescent="0.2">
      <c r="A2648" s="405" t="s">
        <v>2158</v>
      </c>
      <c r="B2648" s="41">
        <v>0</v>
      </c>
      <c r="C2648" s="41">
        <v>0</v>
      </c>
      <c r="D2648" s="41">
        <v>0</v>
      </c>
      <c r="E2648" s="41">
        <v>0</v>
      </c>
      <c r="F2648" s="467">
        <v>50</v>
      </c>
      <c r="G2648" s="467">
        <v>50</v>
      </c>
      <c r="H2648" s="41">
        <v>0</v>
      </c>
      <c r="I2648" s="41">
        <v>0</v>
      </c>
      <c r="J2648" s="41">
        <v>0</v>
      </c>
      <c r="K2648" s="41">
        <v>0</v>
      </c>
      <c r="L2648" s="468">
        <v>0</v>
      </c>
      <c r="M2648" s="451">
        <v>0</v>
      </c>
      <c r="N2648" s="467">
        <v>0</v>
      </c>
      <c r="O2648" s="467">
        <v>0</v>
      </c>
      <c r="P2648" s="467"/>
      <c r="Q2648" s="453"/>
      <c r="R2648" s="453"/>
      <c r="S2648" s="453"/>
      <c r="T2648" s="453"/>
      <c r="U2648" s="453"/>
      <c r="V2648" s="453"/>
    </row>
    <row r="2649" spans="1:22" s="21" customFormat="1" x14ac:dyDescent="0.2">
      <c r="A2649" s="405" t="s">
        <v>1346</v>
      </c>
      <c r="B2649" s="467">
        <v>0</v>
      </c>
      <c r="C2649" s="467">
        <v>0</v>
      </c>
      <c r="D2649" s="467">
        <v>0</v>
      </c>
      <c r="E2649" s="467">
        <v>0</v>
      </c>
      <c r="F2649" s="467">
        <v>50</v>
      </c>
      <c r="G2649" s="467">
        <v>50</v>
      </c>
      <c r="H2649" s="467">
        <v>0</v>
      </c>
      <c r="I2649" s="467">
        <v>0</v>
      </c>
      <c r="J2649" s="41">
        <v>0</v>
      </c>
      <c r="K2649" s="41">
        <v>0</v>
      </c>
      <c r="L2649" s="468">
        <v>0</v>
      </c>
      <c r="M2649" s="451">
        <v>0</v>
      </c>
      <c r="N2649" s="467">
        <v>0</v>
      </c>
      <c r="O2649" s="467">
        <v>0</v>
      </c>
      <c r="P2649" s="467"/>
    </row>
    <row r="2650" spans="1:22" s="453" customFormat="1" x14ac:dyDescent="0.2">
      <c r="A2650" s="405" t="s">
        <v>2159</v>
      </c>
      <c r="B2650" s="467">
        <v>0</v>
      </c>
      <c r="C2650" s="467">
        <v>0</v>
      </c>
      <c r="D2650" s="467">
        <v>0</v>
      </c>
      <c r="E2650" s="467">
        <v>0</v>
      </c>
      <c r="F2650" s="467">
        <v>50</v>
      </c>
      <c r="G2650" s="467">
        <v>50</v>
      </c>
      <c r="H2650" s="467">
        <v>0</v>
      </c>
      <c r="I2650" s="467">
        <v>0</v>
      </c>
      <c r="J2650" s="41">
        <v>0</v>
      </c>
      <c r="K2650" s="41">
        <v>0</v>
      </c>
      <c r="L2650" s="468">
        <v>0</v>
      </c>
      <c r="M2650" s="451">
        <v>0</v>
      </c>
      <c r="N2650" s="467">
        <v>0</v>
      </c>
      <c r="O2650" s="467">
        <v>0</v>
      </c>
      <c r="P2650" s="467"/>
    </row>
    <row r="2651" spans="1:22" s="453" customFormat="1" x14ac:dyDescent="0.2">
      <c r="A2651" s="405" t="s">
        <v>2160</v>
      </c>
      <c r="B2651" s="467">
        <v>0</v>
      </c>
      <c r="C2651" s="467">
        <v>0</v>
      </c>
      <c r="D2651" s="467">
        <v>0</v>
      </c>
      <c r="E2651" s="467">
        <v>0</v>
      </c>
      <c r="F2651" s="467">
        <v>50</v>
      </c>
      <c r="G2651" s="467">
        <v>50</v>
      </c>
      <c r="H2651" s="467">
        <v>0</v>
      </c>
      <c r="I2651" s="467">
        <v>0</v>
      </c>
      <c r="J2651" s="41">
        <v>0</v>
      </c>
      <c r="K2651" s="41">
        <v>0</v>
      </c>
      <c r="L2651" s="468">
        <v>0</v>
      </c>
      <c r="M2651" s="451">
        <v>0</v>
      </c>
      <c r="N2651" s="467">
        <v>0</v>
      </c>
      <c r="O2651" s="467">
        <v>0</v>
      </c>
      <c r="P2651" s="467"/>
    </row>
    <row r="2652" spans="1:22" s="535" customFormat="1" x14ac:dyDescent="0.2">
      <c r="A2652" s="518" t="s">
        <v>2169</v>
      </c>
      <c r="F2652" s="1624"/>
      <c r="G2652" s="1624"/>
      <c r="H2652" s="1624"/>
      <c r="I2652" s="1624"/>
      <c r="J2652" s="1624"/>
      <c r="K2652" s="1624"/>
      <c r="L2652" s="1624"/>
      <c r="M2652" s="1624"/>
      <c r="N2652" s="1624"/>
    </row>
    <row r="2653" spans="1:22" s="292" customFormat="1" x14ac:dyDescent="0.2"/>
    <row r="2655" spans="1:22" s="125" customFormat="1" ht="14.25" customHeight="1" x14ac:dyDescent="0.2">
      <c r="A2655" s="377" t="s">
        <v>2171</v>
      </c>
      <c r="D2655" s="1075"/>
      <c r="E2655" s="1075"/>
      <c r="F2655" s="1075"/>
      <c r="G2655" s="1075"/>
      <c r="H2655" s="1075"/>
      <c r="I2655" s="1075"/>
      <c r="L2655" s="1075"/>
    </row>
    <row r="2656" spans="1:22" s="773" customFormat="1" ht="16.25" customHeight="1" x14ac:dyDescent="0.2">
      <c r="A2656" s="753" t="s">
        <v>2190</v>
      </c>
      <c r="B2656" s="442" t="s">
        <v>2183</v>
      </c>
      <c r="C2656" s="442" t="s">
        <v>2183</v>
      </c>
      <c r="D2656" s="442" t="s">
        <v>2183</v>
      </c>
      <c r="E2656" s="442" t="s">
        <v>2183</v>
      </c>
      <c r="F2656" s="442" t="s">
        <v>2183</v>
      </c>
      <c r="G2656" s="442" t="s">
        <v>2183</v>
      </c>
      <c r="H2656" s="442" t="s">
        <v>2183</v>
      </c>
      <c r="I2656" s="442" t="s">
        <v>2183</v>
      </c>
      <c r="J2656" s="442" t="s">
        <v>2183</v>
      </c>
      <c r="K2656" s="442" t="s">
        <v>2183</v>
      </c>
      <c r="L2656" s="442" t="s">
        <v>2183</v>
      </c>
      <c r="M2656" s="442" t="s">
        <v>2183</v>
      </c>
      <c r="N2656" s="442" t="s">
        <v>2183</v>
      </c>
      <c r="O2656" s="442" t="s">
        <v>2183</v>
      </c>
      <c r="P2656" s="442"/>
      <c r="Q2656" s="442"/>
      <c r="R2656" s="442"/>
      <c r="S2656" s="442"/>
      <c r="T2656" s="442"/>
      <c r="U2656" s="442"/>
      <c r="V2656" s="442"/>
    </row>
    <row r="2657" spans="1:24" s="291" customFormat="1" ht="16" x14ac:dyDescent="0.2">
      <c r="A2657" s="1641" t="s">
        <v>57</v>
      </c>
      <c r="B2657" s="1642" t="s">
        <v>1664</v>
      </c>
      <c r="C2657" s="1642" t="s">
        <v>1665</v>
      </c>
      <c r="D2657" s="1642" t="s">
        <v>1666</v>
      </c>
      <c r="E2657" s="1642" t="s">
        <v>1667</v>
      </c>
      <c r="F2657" s="1642" t="s">
        <v>2174</v>
      </c>
      <c r="G2657" s="1642" t="s">
        <v>1668</v>
      </c>
      <c r="H2657" s="1642" t="s">
        <v>1669</v>
      </c>
      <c r="I2657" s="1639" t="s">
        <v>1670</v>
      </c>
      <c r="J2657" s="1639" t="s">
        <v>1671</v>
      </c>
      <c r="K2657" s="1639" t="s">
        <v>1672</v>
      </c>
      <c r="L2657" s="1642" t="s">
        <v>1673</v>
      </c>
      <c r="M2657" s="291" t="s">
        <v>1674</v>
      </c>
      <c r="N2657" s="2152" t="s">
        <v>1675</v>
      </c>
      <c r="O2657" s="2152" t="s">
        <v>1676</v>
      </c>
      <c r="P2657" s="1658" t="s">
        <v>2175</v>
      </c>
      <c r="Q2657" s="453"/>
      <c r="R2657" s="453"/>
      <c r="S2657" s="453"/>
      <c r="T2657" s="453"/>
      <c r="U2657" s="453"/>
      <c r="V2657" s="453"/>
      <c r="W2657" s="21"/>
      <c r="X2657" s="21"/>
    </row>
    <row r="2658" spans="1:24" s="1093" customFormat="1" ht="16" x14ac:dyDescent="0.2">
      <c r="A2658" s="523" t="s">
        <v>2153</v>
      </c>
      <c r="B2658" s="1636" t="s">
        <v>309</v>
      </c>
      <c r="C2658" s="1636" t="s">
        <v>309</v>
      </c>
      <c r="D2658" s="1636" t="s">
        <v>309</v>
      </c>
      <c r="E2658" s="1636" t="s">
        <v>309</v>
      </c>
      <c r="F2658" s="1636" t="s">
        <v>309</v>
      </c>
      <c r="G2658" s="1636" t="s">
        <v>309</v>
      </c>
      <c r="H2658" s="1636" t="s">
        <v>309</v>
      </c>
      <c r="I2658" s="1636" t="s">
        <v>309</v>
      </c>
      <c r="J2658" s="1635" t="s">
        <v>309</v>
      </c>
      <c r="K2658" s="1635" t="s">
        <v>309</v>
      </c>
      <c r="L2658" s="1635" t="s">
        <v>309</v>
      </c>
      <c r="M2658" s="31" t="s">
        <v>309</v>
      </c>
      <c r="N2658" s="31" t="s">
        <v>309</v>
      </c>
      <c r="O2658" s="31" t="s">
        <v>309</v>
      </c>
      <c r="P2658" s="31" t="s">
        <v>309</v>
      </c>
      <c r="Q2658" s="1092"/>
      <c r="R2658" s="1092"/>
      <c r="S2658" s="1092"/>
      <c r="T2658" s="1092"/>
      <c r="U2658" s="1092"/>
      <c r="V2658" s="1092"/>
    </row>
    <row r="2659" spans="1:24" s="21" customFormat="1" x14ac:dyDescent="0.2">
      <c r="A2659" s="407" t="s">
        <v>2155</v>
      </c>
      <c r="B2659" s="470">
        <v>0</v>
      </c>
      <c r="C2659" s="470">
        <v>0</v>
      </c>
      <c r="D2659" s="470">
        <v>17</v>
      </c>
      <c r="E2659" s="470">
        <v>3</v>
      </c>
      <c r="F2659" s="470">
        <v>80</v>
      </c>
      <c r="G2659" s="470">
        <v>0</v>
      </c>
      <c r="H2659" s="470">
        <v>0</v>
      </c>
      <c r="I2659" s="470">
        <v>0</v>
      </c>
      <c r="J2659" s="44">
        <v>0</v>
      </c>
      <c r="K2659" s="44">
        <v>0</v>
      </c>
      <c r="L2659" s="1640">
        <v>0</v>
      </c>
      <c r="M2659" s="451">
        <v>0</v>
      </c>
      <c r="N2659" s="467">
        <v>0</v>
      </c>
      <c r="O2659" s="467">
        <v>0</v>
      </c>
      <c r="P2659" s="467"/>
      <c r="Q2659" s="453"/>
      <c r="R2659" s="453"/>
      <c r="S2659" s="453"/>
      <c r="T2659" s="453"/>
      <c r="U2659" s="453"/>
      <c r="V2659" s="453"/>
    </row>
    <row r="2660" spans="1:24" s="21" customFormat="1" x14ac:dyDescent="0.2">
      <c r="A2660" s="405" t="s">
        <v>2156</v>
      </c>
      <c r="B2660" s="467">
        <v>0</v>
      </c>
      <c r="C2660" s="467">
        <v>0</v>
      </c>
      <c r="D2660" s="467">
        <v>50</v>
      </c>
      <c r="E2660" s="467">
        <v>0</v>
      </c>
      <c r="F2660" s="467">
        <v>50</v>
      </c>
      <c r="G2660" s="467">
        <v>0</v>
      </c>
      <c r="H2660" s="467">
        <v>0</v>
      </c>
      <c r="I2660" s="467">
        <v>0</v>
      </c>
      <c r="J2660" s="41">
        <v>0</v>
      </c>
      <c r="K2660" s="41">
        <v>0</v>
      </c>
      <c r="L2660" s="451">
        <v>0</v>
      </c>
      <c r="M2660" s="451">
        <v>0</v>
      </c>
      <c r="N2660" s="467">
        <v>0</v>
      </c>
      <c r="O2660" s="467">
        <v>0</v>
      </c>
      <c r="P2660" s="467"/>
      <c r="Q2660" s="453"/>
      <c r="R2660" s="453"/>
      <c r="S2660" s="453"/>
      <c r="T2660" s="453"/>
      <c r="U2660" s="453"/>
      <c r="V2660" s="453"/>
    </row>
    <row r="2661" spans="1:24" s="21" customFormat="1" x14ac:dyDescent="0.2">
      <c r="A2661" s="405" t="s">
        <v>1343</v>
      </c>
      <c r="B2661" s="467">
        <v>0</v>
      </c>
      <c r="C2661" s="467">
        <v>0</v>
      </c>
      <c r="D2661" s="467">
        <v>50</v>
      </c>
      <c r="E2661" s="467">
        <v>0</v>
      </c>
      <c r="F2661" s="467">
        <v>50</v>
      </c>
      <c r="G2661" s="467">
        <v>0</v>
      </c>
      <c r="H2661" s="467">
        <v>0</v>
      </c>
      <c r="I2661" s="467">
        <v>0</v>
      </c>
      <c r="J2661" s="41">
        <v>0</v>
      </c>
      <c r="K2661" s="41">
        <v>0</v>
      </c>
      <c r="L2661" s="468">
        <v>0</v>
      </c>
      <c r="M2661" s="451">
        <v>0</v>
      </c>
      <c r="N2661" s="467">
        <v>0</v>
      </c>
      <c r="O2661" s="467">
        <v>0</v>
      </c>
      <c r="P2661" s="467"/>
      <c r="Q2661" s="453"/>
      <c r="R2661" s="453"/>
      <c r="S2661" s="453"/>
      <c r="T2661" s="453"/>
      <c r="U2661" s="453"/>
      <c r="V2661" s="453"/>
    </row>
    <row r="2662" spans="1:24" s="21" customFormat="1" x14ac:dyDescent="0.2">
      <c r="A2662" s="405" t="s">
        <v>2157</v>
      </c>
      <c r="B2662" s="467">
        <v>0</v>
      </c>
      <c r="C2662" s="467">
        <v>0</v>
      </c>
      <c r="D2662" s="467">
        <v>17</v>
      </c>
      <c r="E2662" s="467">
        <v>3</v>
      </c>
      <c r="F2662" s="467">
        <v>80</v>
      </c>
      <c r="G2662" s="467">
        <v>0</v>
      </c>
      <c r="H2662" s="467">
        <v>0</v>
      </c>
      <c r="I2662" s="467">
        <v>0</v>
      </c>
      <c r="J2662" s="41">
        <v>0</v>
      </c>
      <c r="K2662" s="41">
        <v>0</v>
      </c>
      <c r="L2662" s="451">
        <v>0</v>
      </c>
      <c r="M2662" s="451">
        <v>0</v>
      </c>
      <c r="N2662" s="467">
        <v>0</v>
      </c>
      <c r="O2662" s="467">
        <v>0</v>
      </c>
      <c r="P2662" s="467"/>
      <c r="Q2662" s="453"/>
      <c r="R2662" s="453"/>
      <c r="S2662" s="453"/>
      <c r="T2662" s="453"/>
      <c r="U2662" s="453"/>
      <c r="V2662" s="453"/>
    </row>
    <row r="2663" spans="1:24" s="21" customFormat="1" x14ac:dyDescent="0.2">
      <c r="A2663" s="405" t="s">
        <v>1351</v>
      </c>
      <c r="B2663" s="467">
        <v>0</v>
      </c>
      <c r="C2663" s="467">
        <v>0</v>
      </c>
      <c r="D2663" s="467">
        <v>28</v>
      </c>
      <c r="E2663" s="467">
        <v>0</v>
      </c>
      <c r="F2663" s="467">
        <v>72</v>
      </c>
      <c r="G2663" s="467">
        <v>0</v>
      </c>
      <c r="H2663" s="467">
        <v>0</v>
      </c>
      <c r="I2663" s="467">
        <v>0</v>
      </c>
      <c r="J2663" s="41">
        <v>0</v>
      </c>
      <c r="K2663" s="41">
        <v>0</v>
      </c>
      <c r="L2663" s="451">
        <v>0</v>
      </c>
      <c r="M2663" s="451">
        <v>0</v>
      </c>
      <c r="N2663" s="467">
        <v>0</v>
      </c>
      <c r="O2663" s="467">
        <v>0</v>
      </c>
      <c r="P2663" s="467"/>
      <c r="Q2663" s="453"/>
      <c r="R2663" s="453"/>
      <c r="S2663" s="453"/>
      <c r="T2663" s="453"/>
      <c r="U2663" s="453"/>
      <c r="V2663" s="453"/>
    </row>
    <row r="2664" spans="1:24" s="21" customFormat="1" x14ac:dyDescent="0.2">
      <c r="A2664" s="405" t="s">
        <v>1337</v>
      </c>
      <c r="B2664" s="467">
        <v>0</v>
      </c>
      <c r="C2664" s="467">
        <v>0</v>
      </c>
      <c r="D2664" s="467">
        <v>9</v>
      </c>
      <c r="E2664" s="467">
        <v>0</v>
      </c>
      <c r="F2664" s="467">
        <v>91</v>
      </c>
      <c r="G2664" s="467">
        <v>0</v>
      </c>
      <c r="H2664" s="467">
        <v>0</v>
      </c>
      <c r="I2664" s="467">
        <v>0</v>
      </c>
      <c r="J2664" s="41">
        <v>0</v>
      </c>
      <c r="K2664" s="41">
        <v>0</v>
      </c>
      <c r="L2664" s="451">
        <v>0</v>
      </c>
      <c r="M2664" s="451">
        <v>0</v>
      </c>
      <c r="N2664" s="467">
        <v>0</v>
      </c>
      <c r="O2664" s="467">
        <v>0</v>
      </c>
      <c r="P2664" s="467"/>
      <c r="Q2664" s="453"/>
      <c r="R2664" s="453"/>
      <c r="S2664" s="453"/>
      <c r="T2664" s="453"/>
      <c r="U2664" s="453"/>
      <c r="V2664" s="453"/>
    </row>
    <row r="2665" spans="1:24" s="21" customFormat="1" x14ac:dyDescent="0.2">
      <c r="A2665" s="405" t="s">
        <v>2158</v>
      </c>
      <c r="B2665" s="41">
        <v>0</v>
      </c>
      <c r="C2665" s="467">
        <v>0</v>
      </c>
      <c r="D2665" s="467">
        <v>82</v>
      </c>
      <c r="E2665" s="467">
        <v>0</v>
      </c>
      <c r="F2665" s="467">
        <v>18</v>
      </c>
      <c r="G2665" s="467">
        <v>0</v>
      </c>
      <c r="H2665" s="467">
        <v>0</v>
      </c>
      <c r="I2665" s="467">
        <v>0</v>
      </c>
      <c r="J2665" s="41">
        <v>0</v>
      </c>
      <c r="K2665" s="41">
        <v>0</v>
      </c>
      <c r="L2665" s="451">
        <v>0</v>
      </c>
      <c r="M2665" s="451">
        <v>0</v>
      </c>
      <c r="N2665" s="467">
        <v>0</v>
      </c>
      <c r="O2665" s="467">
        <v>0</v>
      </c>
      <c r="P2665" s="467"/>
      <c r="Q2665" s="453"/>
      <c r="R2665" s="453"/>
      <c r="S2665" s="453"/>
      <c r="T2665" s="453"/>
      <c r="U2665" s="453"/>
      <c r="V2665" s="453"/>
    </row>
    <row r="2666" spans="1:24" s="21" customFormat="1" x14ac:dyDescent="0.2">
      <c r="A2666" s="405" t="s">
        <v>1346</v>
      </c>
      <c r="B2666" s="467">
        <v>0</v>
      </c>
      <c r="C2666" s="467">
        <v>0</v>
      </c>
      <c r="D2666" s="467">
        <v>0</v>
      </c>
      <c r="E2666" s="467">
        <v>0</v>
      </c>
      <c r="F2666" s="467">
        <v>100</v>
      </c>
      <c r="G2666" s="467">
        <v>0</v>
      </c>
      <c r="H2666" s="467">
        <v>0</v>
      </c>
      <c r="I2666" s="467">
        <v>0</v>
      </c>
      <c r="J2666" s="41">
        <v>0</v>
      </c>
      <c r="K2666" s="41">
        <v>0</v>
      </c>
      <c r="L2666" s="468">
        <v>0</v>
      </c>
      <c r="M2666" s="451">
        <v>0</v>
      </c>
      <c r="N2666" s="467">
        <v>0</v>
      </c>
      <c r="O2666" s="467">
        <v>0</v>
      </c>
      <c r="P2666" s="467"/>
    </row>
    <row r="2667" spans="1:24" s="453" customFormat="1" x14ac:dyDescent="0.2">
      <c r="A2667" s="405" t="s">
        <v>2159</v>
      </c>
      <c r="B2667" s="467">
        <v>0</v>
      </c>
      <c r="C2667" s="41">
        <v>0</v>
      </c>
      <c r="D2667" s="41">
        <v>0</v>
      </c>
      <c r="E2667" s="41">
        <v>50</v>
      </c>
      <c r="F2667" s="41">
        <v>50</v>
      </c>
      <c r="G2667" s="41">
        <v>0</v>
      </c>
      <c r="H2667" s="41">
        <v>0</v>
      </c>
      <c r="I2667" s="467">
        <v>0</v>
      </c>
      <c r="J2667" s="41">
        <v>0</v>
      </c>
      <c r="K2667" s="41">
        <v>0</v>
      </c>
      <c r="L2667" s="451">
        <v>0</v>
      </c>
      <c r="M2667" s="451">
        <v>0</v>
      </c>
      <c r="N2667" s="467">
        <v>0</v>
      </c>
      <c r="O2667" s="467">
        <v>0</v>
      </c>
      <c r="P2667" s="467"/>
    </row>
    <row r="2668" spans="1:24" s="453" customFormat="1" x14ac:dyDescent="0.2">
      <c r="A2668" s="405" t="s">
        <v>2160</v>
      </c>
      <c r="B2668" s="467">
        <v>0</v>
      </c>
      <c r="C2668" s="467">
        <v>0</v>
      </c>
      <c r="D2668" s="467">
        <v>50</v>
      </c>
      <c r="E2668" s="467">
        <v>0</v>
      </c>
      <c r="F2668" s="467">
        <v>50</v>
      </c>
      <c r="G2668" s="467">
        <v>0</v>
      </c>
      <c r="H2668" s="467">
        <v>0</v>
      </c>
      <c r="I2668" s="467">
        <v>0</v>
      </c>
      <c r="J2668" s="41">
        <v>0</v>
      </c>
      <c r="K2668" s="41">
        <v>0</v>
      </c>
      <c r="L2668" s="468">
        <v>0</v>
      </c>
      <c r="M2668" s="451">
        <v>0</v>
      </c>
      <c r="N2668" s="467">
        <v>0</v>
      </c>
      <c r="O2668" s="467">
        <v>0</v>
      </c>
      <c r="P2668" s="467"/>
    </row>
    <row r="2669" spans="1:24" s="535" customFormat="1" x14ac:dyDescent="0.2">
      <c r="A2669" s="518" t="s">
        <v>2191</v>
      </c>
      <c r="F2669" s="1624"/>
      <c r="G2669" s="1624"/>
      <c r="H2669" s="1624"/>
      <c r="I2669" s="1624"/>
      <c r="J2669" s="1624"/>
      <c r="K2669" s="1624"/>
      <c r="L2669" s="1624"/>
      <c r="M2669" s="1624"/>
      <c r="N2669" s="1624"/>
    </row>
    <row r="2670" spans="1:24" s="292" customFormat="1" x14ac:dyDescent="0.2"/>
    <row r="2672" spans="1:24" s="125" customFormat="1" ht="14.25" customHeight="1" x14ac:dyDescent="0.2">
      <c r="A2672" s="377" t="s">
        <v>2171</v>
      </c>
      <c r="D2672" s="1075"/>
      <c r="E2672" s="1075"/>
      <c r="F2672" s="1075"/>
      <c r="G2672" s="1075"/>
      <c r="H2672" s="1075"/>
      <c r="I2672" s="1075"/>
      <c r="L2672" s="1075"/>
    </row>
    <row r="2673" spans="1:24" s="773" customFormat="1" ht="16.25" customHeight="1" x14ac:dyDescent="0.2">
      <c r="A2673" s="753" t="s">
        <v>921</v>
      </c>
      <c r="B2673" s="442" t="s">
        <v>2186</v>
      </c>
      <c r="C2673" s="442" t="s">
        <v>2186</v>
      </c>
      <c r="D2673" s="442" t="s">
        <v>2186</v>
      </c>
      <c r="E2673" s="442" t="s">
        <v>2186</v>
      </c>
      <c r="F2673" s="442" t="s">
        <v>2186</v>
      </c>
      <c r="G2673" s="442" t="s">
        <v>2186</v>
      </c>
      <c r="H2673" s="442" t="s">
        <v>2186</v>
      </c>
      <c r="I2673" s="442" t="s">
        <v>2186</v>
      </c>
      <c r="J2673" s="442" t="s">
        <v>2186</v>
      </c>
      <c r="K2673" s="442" t="s">
        <v>2186</v>
      </c>
      <c r="L2673" s="442" t="s">
        <v>2186</v>
      </c>
      <c r="M2673" s="442" t="s">
        <v>2186</v>
      </c>
      <c r="N2673" s="442" t="s">
        <v>2186</v>
      </c>
      <c r="O2673" s="442" t="s">
        <v>2186</v>
      </c>
      <c r="P2673" s="442"/>
      <c r="Q2673" s="442"/>
      <c r="R2673" s="442"/>
      <c r="S2673" s="442"/>
      <c r="T2673" s="442"/>
      <c r="U2673" s="442"/>
      <c r="V2673" s="442"/>
    </row>
    <row r="2674" spans="1:24" s="291" customFormat="1" ht="16" x14ac:dyDescent="0.2">
      <c r="A2674" s="1641" t="s">
        <v>57</v>
      </c>
      <c r="B2674" s="1642" t="s">
        <v>1664</v>
      </c>
      <c r="C2674" s="1642" t="s">
        <v>1665</v>
      </c>
      <c r="D2674" s="1642" t="s">
        <v>1666</v>
      </c>
      <c r="E2674" s="1642" t="s">
        <v>1667</v>
      </c>
      <c r="F2674" s="1642" t="s">
        <v>2174</v>
      </c>
      <c r="G2674" s="1642" t="s">
        <v>1668</v>
      </c>
      <c r="H2674" s="1642" t="s">
        <v>1669</v>
      </c>
      <c r="I2674" s="1639" t="s">
        <v>1670</v>
      </c>
      <c r="J2674" s="1639" t="s">
        <v>1671</v>
      </c>
      <c r="K2674" s="1639" t="s">
        <v>1672</v>
      </c>
      <c r="L2674" s="1642" t="s">
        <v>1673</v>
      </c>
      <c r="M2674" s="291" t="s">
        <v>1674</v>
      </c>
      <c r="N2674" s="2152" t="s">
        <v>1675</v>
      </c>
      <c r="O2674" s="2152" t="s">
        <v>1676</v>
      </c>
      <c r="P2674" s="1658" t="s">
        <v>2175</v>
      </c>
      <c r="Q2674" s="453"/>
      <c r="R2674" s="453"/>
      <c r="S2674" s="453"/>
      <c r="T2674" s="453"/>
      <c r="U2674" s="453"/>
      <c r="V2674" s="453"/>
      <c r="W2674" s="21"/>
      <c r="X2674" s="21"/>
    </row>
    <row r="2675" spans="1:24" s="1093" customFormat="1" ht="16" x14ac:dyDescent="0.2">
      <c r="A2675" s="523" t="s">
        <v>2153</v>
      </c>
      <c r="B2675" s="1636" t="s">
        <v>309</v>
      </c>
      <c r="C2675" s="1636" t="s">
        <v>309</v>
      </c>
      <c r="D2675" s="1636" t="s">
        <v>309</v>
      </c>
      <c r="E2675" s="1636" t="s">
        <v>309</v>
      </c>
      <c r="F2675" s="1636" t="s">
        <v>309</v>
      </c>
      <c r="G2675" s="1636" t="s">
        <v>309</v>
      </c>
      <c r="H2675" s="1636" t="s">
        <v>309</v>
      </c>
      <c r="I2675" s="1636" t="s">
        <v>309</v>
      </c>
      <c r="J2675" s="1635" t="s">
        <v>309</v>
      </c>
      <c r="K2675" s="1635" t="s">
        <v>309</v>
      </c>
      <c r="L2675" s="1635" t="s">
        <v>309</v>
      </c>
      <c r="M2675" s="31" t="s">
        <v>309</v>
      </c>
      <c r="N2675" s="31" t="s">
        <v>309</v>
      </c>
      <c r="O2675" s="31" t="s">
        <v>309</v>
      </c>
      <c r="P2675" s="31" t="s">
        <v>309</v>
      </c>
      <c r="Q2675" s="1092"/>
      <c r="R2675" s="1092"/>
      <c r="S2675" s="1092"/>
      <c r="T2675" s="1092"/>
      <c r="U2675" s="1092"/>
      <c r="V2675" s="1092"/>
    </row>
    <row r="2676" spans="1:24" s="21" customFormat="1" x14ac:dyDescent="0.2">
      <c r="A2676" s="407" t="s">
        <v>2155</v>
      </c>
      <c r="B2676" s="470">
        <v>0</v>
      </c>
      <c r="C2676" s="470">
        <v>0</v>
      </c>
      <c r="D2676" s="470">
        <v>20</v>
      </c>
      <c r="E2676" s="470">
        <v>0</v>
      </c>
      <c r="F2676" s="470">
        <v>80</v>
      </c>
      <c r="G2676" s="470">
        <v>0</v>
      </c>
      <c r="H2676" s="470">
        <v>0</v>
      </c>
      <c r="I2676" s="470">
        <v>0</v>
      </c>
      <c r="J2676" s="44">
        <v>0</v>
      </c>
      <c r="K2676" s="44">
        <v>0</v>
      </c>
      <c r="L2676" s="1640">
        <v>0</v>
      </c>
      <c r="M2676" s="451">
        <v>0</v>
      </c>
      <c r="N2676" s="467">
        <v>0</v>
      </c>
      <c r="O2676" s="467">
        <v>0</v>
      </c>
      <c r="P2676" s="467"/>
      <c r="Q2676" s="453"/>
      <c r="R2676" s="453"/>
      <c r="S2676" s="453"/>
      <c r="T2676" s="453"/>
      <c r="U2676" s="453"/>
      <c r="V2676" s="453"/>
    </row>
    <row r="2677" spans="1:24" s="21" customFormat="1" x14ac:dyDescent="0.2">
      <c r="A2677" s="405" t="s">
        <v>2156</v>
      </c>
      <c r="B2677" s="467">
        <v>0</v>
      </c>
      <c r="C2677" s="467">
        <v>0</v>
      </c>
      <c r="D2677" s="467">
        <v>20</v>
      </c>
      <c r="E2677" s="467">
        <v>0</v>
      </c>
      <c r="F2677" s="467">
        <v>80</v>
      </c>
      <c r="G2677" s="467">
        <v>0</v>
      </c>
      <c r="H2677" s="467">
        <v>0</v>
      </c>
      <c r="I2677" s="467">
        <v>0</v>
      </c>
      <c r="J2677" s="41">
        <v>0</v>
      </c>
      <c r="K2677" s="41">
        <v>0</v>
      </c>
      <c r="L2677" s="451">
        <v>0</v>
      </c>
      <c r="M2677" s="451">
        <v>0</v>
      </c>
      <c r="N2677" s="467">
        <v>0</v>
      </c>
      <c r="O2677" s="467">
        <v>0</v>
      </c>
      <c r="P2677" s="467"/>
      <c r="Q2677" s="453"/>
      <c r="R2677" s="453"/>
      <c r="S2677" s="453"/>
      <c r="T2677" s="453"/>
      <c r="U2677" s="453"/>
      <c r="V2677" s="453"/>
    </row>
    <row r="2678" spans="1:24" s="21" customFormat="1" x14ac:dyDescent="0.2">
      <c r="A2678" s="405" t="s">
        <v>1343</v>
      </c>
      <c r="B2678" s="467">
        <v>0</v>
      </c>
      <c r="C2678" s="467">
        <v>0</v>
      </c>
      <c r="D2678" s="467">
        <v>20</v>
      </c>
      <c r="E2678" s="467">
        <v>0</v>
      </c>
      <c r="F2678" s="467">
        <v>80</v>
      </c>
      <c r="G2678" s="467">
        <v>0</v>
      </c>
      <c r="H2678" s="467">
        <v>0</v>
      </c>
      <c r="I2678" s="467">
        <v>0</v>
      </c>
      <c r="J2678" s="41">
        <v>0</v>
      </c>
      <c r="K2678" s="41">
        <v>0</v>
      </c>
      <c r="L2678" s="468">
        <v>0</v>
      </c>
      <c r="M2678" s="451">
        <v>0</v>
      </c>
      <c r="N2678" s="467">
        <v>0</v>
      </c>
      <c r="O2678" s="467">
        <v>0</v>
      </c>
      <c r="P2678" s="467"/>
      <c r="Q2678" s="453"/>
      <c r="R2678" s="453"/>
      <c r="S2678" s="453"/>
      <c r="T2678" s="453"/>
      <c r="U2678" s="453"/>
      <c r="V2678" s="453"/>
    </row>
    <row r="2679" spans="1:24" s="21" customFormat="1" x14ac:dyDescent="0.2">
      <c r="A2679" s="405" t="s">
        <v>2157</v>
      </c>
      <c r="B2679" s="467">
        <v>0</v>
      </c>
      <c r="C2679" s="467">
        <v>0</v>
      </c>
      <c r="D2679" s="467">
        <v>20</v>
      </c>
      <c r="E2679" s="467">
        <v>0</v>
      </c>
      <c r="F2679" s="467">
        <v>80</v>
      </c>
      <c r="G2679" s="467">
        <v>0</v>
      </c>
      <c r="H2679" s="467">
        <v>0</v>
      </c>
      <c r="I2679" s="467">
        <v>0</v>
      </c>
      <c r="J2679" s="41">
        <v>0</v>
      </c>
      <c r="K2679" s="41">
        <v>0</v>
      </c>
      <c r="L2679" s="451">
        <v>0</v>
      </c>
      <c r="M2679" s="451">
        <v>0</v>
      </c>
      <c r="N2679" s="467">
        <v>0</v>
      </c>
      <c r="O2679" s="467">
        <v>0</v>
      </c>
      <c r="P2679" s="467"/>
      <c r="Q2679" s="453"/>
      <c r="R2679" s="453"/>
      <c r="S2679" s="453"/>
      <c r="T2679" s="453"/>
      <c r="U2679" s="453"/>
      <c r="V2679" s="453"/>
    </row>
    <row r="2680" spans="1:24" s="21" customFormat="1" x14ac:dyDescent="0.2">
      <c r="A2680" s="405" t="s">
        <v>1351</v>
      </c>
      <c r="B2680" s="467">
        <v>0</v>
      </c>
      <c r="C2680" s="467">
        <v>0</v>
      </c>
      <c r="D2680" s="467">
        <v>20</v>
      </c>
      <c r="E2680" s="467">
        <v>0</v>
      </c>
      <c r="F2680" s="467">
        <v>80</v>
      </c>
      <c r="G2680" s="467">
        <v>0</v>
      </c>
      <c r="H2680" s="467">
        <v>0</v>
      </c>
      <c r="I2680" s="467">
        <v>0</v>
      </c>
      <c r="J2680" s="41">
        <v>0</v>
      </c>
      <c r="K2680" s="41">
        <v>0</v>
      </c>
      <c r="L2680" s="451">
        <v>0</v>
      </c>
      <c r="M2680" s="451">
        <v>0</v>
      </c>
      <c r="N2680" s="467">
        <v>0</v>
      </c>
      <c r="O2680" s="467">
        <v>0</v>
      </c>
      <c r="P2680" s="467"/>
      <c r="Q2680" s="453"/>
      <c r="R2680" s="453"/>
      <c r="S2680" s="453"/>
      <c r="T2680" s="453"/>
      <c r="U2680" s="453"/>
      <c r="V2680" s="453"/>
    </row>
    <row r="2681" spans="1:24" s="21" customFormat="1" x14ac:dyDescent="0.2">
      <c r="A2681" s="405" t="s">
        <v>1337</v>
      </c>
      <c r="B2681" s="467">
        <v>0</v>
      </c>
      <c r="C2681" s="467">
        <v>0</v>
      </c>
      <c r="D2681" s="467">
        <v>20</v>
      </c>
      <c r="E2681" s="467">
        <v>0</v>
      </c>
      <c r="F2681" s="467">
        <v>80</v>
      </c>
      <c r="G2681" s="467">
        <v>0</v>
      </c>
      <c r="H2681" s="467">
        <v>0</v>
      </c>
      <c r="I2681" s="467">
        <v>0</v>
      </c>
      <c r="J2681" s="41">
        <v>0</v>
      </c>
      <c r="K2681" s="41">
        <v>0</v>
      </c>
      <c r="L2681" s="451">
        <v>0</v>
      </c>
      <c r="M2681" s="451">
        <v>0</v>
      </c>
      <c r="N2681" s="467">
        <v>0</v>
      </c>
      <c r="O2681" s="467">
        <v>0</v>
      </c>
      <c r="P2681" s="467"/>
      <c r="Q2681" s="453"/>
      <c r="R2681" s="453"/>
      <c r="S2681" s="453"/>
      <c r="T2681" s="453"/>
      <c r="U2681" s="453"/>
      <c r="V2681" s="453"/>
    </row>
    <row r="2682" spans="1:24" s="21" customFormat="1" x14ac:dyDescent="0.2">
      <c r="A2682" s="405" t="s">
        <v>2158</v>
      </c>
      <c r="B2682" s="41">
        <v>0</v>
      </c>
      <c r="C2682" s="467">
        <v>0</v>
      </c>
      <c r="D2682" s="467">
        <v>20</v>
      </c>
      <c r="E2682" s="467">
        <v>0</v>
      </c>
      <c r="F2682" s="467">
        <v>80</v>
      </c>
      <c r="G2682" s="467">
        <v>0</v>
      </c>
      <c r="H2682" s="467">
        <v>0</v>
      </c>
      <c r="I2682" s="467">
        <v>0</v>
      </c>
      <c r="J2682" s="41">
        <v>0</v>
      </c>
      <c r="K2682" s="41">
        <v>0</v>
      </c>
      <c r="L2682" s="451">
        <v>0</v>
      </c>
      <c r="M2682" s="451">
        <v>0</v>
      </c>
      <c r="N2682" s="467">
        <v>0</v>
      </c>
      <c r="O2682" s="467">
        <v>0</v>
      </c>
      <c r="P2682" s="467"/>
      <c r="Q2682" s="453"/>
      <c r="R2682" s="453"/>
      <c r="S2682" s="453"/>
      <c r="T2682" s="453"/>
      <c r="U2682" s="453"/>
      <c r="V2682" s="453"/>
    </row>
    <row r="2683" spans="1:24" s="21" customFormat="1" x14ac:dyDescent="0.2">
      <c r="A2683" s="405" t="s">
        <v>1346</v>
      </c>
      <c r="B2683" s="467">
        <v>0</v>
      </c>
      <c r="C2683" s="467">
        <v>0</v>
      </c>
      <c r="D2683" s="467">
        <v>20</v>
      </c>
      <c r="E2683" s="467">
        <v>0</v>
      </c>
      <c r="F2683" s="467">
        <v>80</v>
      </c>
      <c r="G2683" s="467">
        <v>0</v>
      </c>
      <c r="H2683" s="467">
        <v>0</v>
      </c>
      <c r="I2683" s="467">
        <v>0</v>
      </c>
      <c r="J2683" s="41">
        <v>0</v>
      </c>
      <c r="K2683" s="41">
        <v>0</v>
      </c>
      <c r="L2683" s="468">
        <v>0</v>
      </c>
      <c r="M2683" s="451">
        <v>0</v>
      </c>
      <c r="N2683" s="467">
        <v>0</v>
      </c>
      <c r="O2683" s="467">
        <v>0</v>
      </c>
      <c r="P2683" s="467"/>
    </row>
    <row r="2684" spans="1:24" s="453" customFormat="1" x14ac:dyDescent="0.2">
      <c r="A2684" s="405" t="s">
        <v>2159</v>
      </c>
      <c r="B2684" s="467">
        <v>0</v>
      </c>
      <c r="C2684" s="41">
        <v>0</v>
      </c>
      <c r="D2684" s="467">
        <v>20</v>
      </c>
      <c r="E2684" s="467">
        <v>0</v>
      </c>
      <c r="F2684" s="467">
        <v>80</v>
      </c>
      <c r="G2684" s="41">
        <v>0</v>
      </c>
      <c r="H2684" s="41">
        <v>0</v>
      </c>
      <c r="I2684" s="467">
        <v>0</v>
      </c>
      <c r="J2684" s="41">
        <v>0</v>
      </c>
      <c r="K2684" s="41">
        <v>0</v>
      </c>
      <c r="L2684" s="451">
        <v>0</v>
      </c>
      <c r="M2684" s="451">
        <v>0</v>
      </c>
      <c r="N2684" s="467">
        <v>0</v>
      </c>
      <c r="O2684" s="467">
        <v>0</v>
      </c>
      <c r="P2684" s="467"/>
    </row>
    <row r="2685" spans="1:24" s="453" customFormat="1" x14ac:dyDescent="0.2">
      <c r="A2685" s="405" t="s">
        <v>2160</v>
      </c>
      <c r="B2685" s="467">
        <v>0</v>
      </c>
      <c r="C2685" s="467">
        <v>0</v>
      </c>
      <c r="D2685" s="467">
        <v>20</v>
      </c>
      <c r="E2685" s="467">
        <v>0</v>
      </c>
      <c r="F2685" s="467">
        <v>80</v>
      </c>
      <c r="G2685" s="467">
        <v>0</v>
      </c>
      <c r="H2685" s="467">
        <v>0</v>
      </c>
      <c r="I2685" s="467">
        <v>0</v>
      </c>
      <c r="J2685" s="41">
        <v>0</v>
      </c>
      <c r="K2685" s="41">
        <v>0</v>
      </c>
      <c r="L2685" s="468">
        <v>0</v>
      </c>
      <c r="M2685" s="451">
        <v>0</v>
      </c>
      <c r="N2685" s="467">
        <v>0</v>
      </c>
      <c r="O2685" s="467">
        <v>0</v>
      </c>
      <c r="P2685" s="467"/>
    </row>
    <row r="2686" spans="1:24" s="535" customFormat="1" x14ac:dyDescent="0.2">
      <c r="A2686" s="518" t="s">
        <v>2192</v>
      </c>
      <c r="F2686" s="1624"/>
      <c r="G2686" s="1624"/>
      <c r="H2686" s="1624"/>
      <c r="I2686" s="1624"/>
      <c r="J2686" s="1624"/>
      <c r="K2686" s="1624"/>
      <c r="L2686" s="1624"/>
      <c r="M2686" s="1624"/>
      <c r="N2686" s="1624"/>
    </row>
    <row r="2687" spans="1:24" s="292" customFormat="1" x14ac:dyDescent="0.2"/>
    <row r="2689" spans="1:24" s="125" customFormat="1" ht="14.25" customHeight="1" x14ac:dyDescent="0.2">
      <c r="A2689" s="377" t="s">
        <v>2171</v>
      </c>
      <c r="D2689" s="1075"/>
      <c r="E2689" s="1075"/>
      <c r="F2689" s="1075"/>
      <c r="G2689" s="1075"/>
      <c r="H2689" s="1075"/>
      <c r="I2689" s="1075"/>
      <c r="L2689" s="1075"/>
    </row>
    <row r="2690" spans="1:24" s="773" customFormat="1" ht="16.25" customHeight="1" x14ac:dyDescent="0.2">
      <c r="A2690" s="753" t="s">
        <v>918</v>
      </c>
      <c r="B2690" s="442" t="s">
        <v>2186</v>
      </c>
      <c r="C2690" s="442" t="s">
        <v>2186</v>
      </c>
      <c r="D2690" s="442" t="s">
        <v>2186</v>
      </c>
      <c r="E2690" s="442" t="s">
        <v>2186</v>
      </c>
      <c r="F2690" s="442" t="s">
        <v>2186</v>
      </c>
      <c r="G2690" s="442" t="s">
        <v>2186</v>
      </c>
      <c r="H2690" s="442" t="s">
        <v>2186</v>
      </c>
      <c r="I2690" s="442" t="s">
        <v>2186</v>
      </c>
      <c r="J2690" s="442" t="s">
        <v>2186</v>
      </c>
      <c r="K2690" s="442" t="s">
        <v>2186</v>
      </c>
      <c r="L2690" s="442" t="s">
        <v>2186</v>
      </c>
      <c r="M2690" s="442" t="s">
        <v>2186</v>
      </c>
      <c r="N2690" s="442" t="s">
        <v>2186</v>
      </c>
      <c r="O2690" s="442" t="s">
        <v>2186</v>
      </c>
      <c r="P2690" s="442"/>
      <c r="Q2690" s="442"/>
      <c r="R2690" s="442"/>
      <c r="S2690" s="442"/>
      <c r="T2690" s="442"/>
      <c r="U2690" s="442"/>
      <c r="V2690" s="442"/>
    </row>
    <row r="2691" spans="1:24" s="291" customFormat="1" ht="16" x14ac:dyDescent="0.2">
      <c r="A2691" s="1641" t="s">
        <v>57</v>
      </c>
      <c r="B2691" s="1642" t="s">
        <v>1664</v>
      </c>
      <c r="C2691" s="1642" t="s">
        <v>1665</v>
      </c>
      <c r="D2691" s="1642" t="s">
        <v>1666</v>
      </c>
      <c r="E2691" s="1642" t="s">
        <v>1667</v>
      </c>
      <c r="F2691" s="1642" t="s">
        <v>2174</v>
      </c>
      <c r="G2691" s="1642" t="s">
        <v>1668</v>
      </c>
      <c r="H2691" s="1642" t="s">
        <v>1669</v>
      </c>
      <c r="I2691" s="1639" t="s">
        <v>1670</v>
      </c>
      <c r="J2691" s="1639" t="s">
        <v>1671</v>
      </c>
      <c r="K2691" s="1639" t="s">
        <v>1672</v>
      </c>
      <c r="L2691" s="1642" t="s">
        <v>1673</v>
      </c>
      <c r="M2691" s="291" t="s">
        <v>1674</v>
      </c>
      <c r="N2691" s="2152" t="s">
        <v>1675</v>
      </c>
      <c r="O2691" s="2152" t="s">
        <v>1676</v>
      </c>
      <c r="P2691" s="1658" t="s">
        <v>2175</v>
      </c>
      <c r="Q2691" s="453"/>
      <c r="R2691" s="453"/>
      <c r="S2691" s="453"/>
      <c r="T2691" s="453"/>
      <c r="U2691" s="453"/>
      <c r="V2691" s="453"/>
      <c r="W2691" s="21"/>
      <c r="X2691" s="21"/>
    </row>
    <row r="2692" spans="1:24" s="1093" customFormat="1" ht="16" x14ac:dyDescent="0.2">
      <c r="A2692" s="523" t="s">
        <v>2153</v>
      </c>
      <c r="B2692" s="1636" t="s">
        <v>309</v>
      </c>
      <c r="C2692" s="1636" t="s">
        <v>309</v>
      </c>
      <c r="D2692" s="1636" t="s">
        <v>309</v>
      </c>
      <c r="E2692" s="1636" t="s">
        <v>309</v>
      </c>
      <c r="F2692" s="1636" t="s">
        <v>309</v>
      </c>
      <c r="G2692" s="1636" t="s">
        <v>309</v>
      </c>
      <c r="H2692" s="1636" t="s">
        <v>309</v>
      </c>
      <c r="I2692" s="1636" t="s">
        <v>309</v>
      </c>
      <c r="J2692" s="1635" t="s">
        <v>309</v>
      </c>
      <c r="K2692" s="1635" t="s">
        <v>309</v>
      </c>
      <c r="L2692" s="1635" t="s">
        <v>309</v>
      </c>
      <c r="M2692" s="31" t="s">
        <v>309</v>
      </c>
      <c r="N2692" s="31" t="s">
        <v>309</v>
      </c>
      <c r="O2692" s="31" t="s">
        <v>309</v>
      </c>
      <c r="P2692" s="31" t="s">
        <v>309</v>
      </c>
      <c r="Q2692" s="1092"/>
      <c r="R2692" s="1092"/>
      <c r="S2692" s="1092"/>
      <c r="T2692" s="1092"/>
      <c r="U2692" s="1092"/>
      <c r="V2692" s="1092"/>
    </row>
    <row r="2693" spans="1:24" s="21" customFormat="1" x14ac:dyDescent="0.2">
      <c r="A2693" s="407" t="s">
        <v>2155</v>
      </c>
      <c r="B2693" s="470">
        <v>0</v>
      </c>
      <c r="C2693" s="470">
        <v>0</v>
      </c>
      <c r="D2693" s="470">
        <v>0</v>
      </c>
      <c r="E2693" s="470">
        <v>0</v>
      </c>
      <c r="F2693" s="470">
        <v>100</v>
      </c>
      <c r="G2693" s="470">
        <v>0</v>
      </c>
      <c r="H2693" s="470">
        <v>0</v>
      </c>
      <c r="I2693" s="470">
        <v>0</v>
      </c>
      <c r="J2693" s="44">
        <v>0</v>
      </c>
      <c r="K2693" s="44">
        <v>0</v>
      </c>
      <c r="L2693" s="1640">
        <v>0</v>
      </c>
      <c r="M2693" s="451">
        <v>0</v>
      </c>
      <c r="N2693" s="467">
        <v>0</v>
      </c>
      <c r="O2693" s="467">
        <v>0</v>
      </c>
      <c r="P2693" s="467"/>
      <c r="Q2693" s="453"/>
      <c r="R2693" s="453"/>
      <c r="S2693" s="453"/>
      <c r="T2693" s="453"/>
      <c r="U2693" s="453"/>
      <c r="V2693" s="453"/>
    </row>
    <row r="2694" spans="1:24" s="21" customFormat="1" x14ac:dyDescent="0.2">
      <c r="A2694" s="405" t="s">
        <v>2156</v>
      </c>
      <c r="B2694" s="467">
        <v>0</v>
      </c>
      <c r="C2694" s="467">
        <v>0</v>
      </c>
      <c r="D2694" s="467">
        <v>0</v>
      </c>
      <c r="E2694" s="467">
        <v>0</v>
      </c>
      <c r="F2694" s="467">
        <v>100</v>
      </c>
      <c r="G2694" s="467">
        <v>0</v>
      </c>
      <c r="H2694" s="467">
        <v>0</v>
      </c>
      <c r="I2694" s="467">
        <v>0</v>
      </c>
      <c r="J2694" s="41">
        <v>0</v>
      </c>
      <c r="K2694" s="41">
        <v>0</v>
      </c>
      <c r="L2694" s="451">
        <v>0</v>
      </c>
      <c r="M2694" s="451">
        <v>0</v>
      </c>
      <c r="N2694" s="467">
        <v>0</v>
      </c>
      <c r="O2694" s="467">
        <v>0</v>
      </c>
      <c r="P2694" s="467"/>
      <c r="Q2694" s="453"/>
      <c r="R2694" s="453"/>
      <c r="S2694" s="453"/>
      <c r="T2694" s="453"/>
      <c r="U2694" s="453"/>
      <c r="V2694" s="453"/>
    </row>
    <row r="2695" spans="1:24" s="21" customFormat="1" x14ac:dyDescent="0.2">
      <c r="A2695" s="405" t="s">
        <v>1343</v>
      </c>
      <c r="B2695" s="467">
        <v>0</v>
      </c>
      <c r="C2695" s="467">
        <v>0</v>
      </c>
      <c r="D2695" s="467">
        <v>0</v>
      </c>
      <c r="E2695" s="467">
        <v>0</v>
      </c>
      <c r="F2695" s="467">
        <v>100</v>
      </c>
      <c r="G2695" s="467">
        <v>0</v>
      </c>
      <c r="H2695" s="467">
        <v>0</v>
      </c>
      <c r="I2695" s="467">
        <v>0</v>
      </c>
      <c r="J2695" s="41">
        <v>0</v>
      </c>
      <c r="K2695" s="41">
        <v>0</v>
      </c>
      <c r="L2695" s="468">
        <v>0</v>
      </c>
      <c r="M2695" s="451">
        <v>0</v>
      </c>
      <c r="N2695" s="467">
        <v>0</v>
      </c>
      <c r="O2695" s="467">
        <v>0</v>
      </c>
      <c r="P2695" s="467"/>
      <c r="Q2695" s="453"/>
      <c r="R2695" s="453"/>
      <c r="S2695" s="453"/>
      <c r="T2695" s="453"/>
      <c r="U2695" s="453"/>
      <c r="V2695" s="453"/>
    </row>
    <row r="2696" spans="1:24" s="21" customFormat="1" x14ac:dyDescent="0.2">
      <c r="A2696" s="405" t="s">
        <v>2157</v>
      </c>
      <c r="B2696" s="467">
        <v>0</v>
      </c>
      <c r="C2696" s="467">
        <v>0</v>
      </c>
      <c r="D2696" s="467">
        <v>0</v>
      </c>
      <c r="E2696" s="467">
        <v>0</v>
      </c>
      <c r="F2696" s="467">
        <v>100</v>
      </c>
      <c r="G2696" s="467">
        <v>0</v>
      </c>
      <c r="H2696" s="467">
        <v>0</v>
      </c>
      <c r="I2696" s="467">
        <v>0</v>
      </c>
      <c r="J2696" s="41">
        <v>0</v>
      </c>
      <c r="K2696" s="41">
        <v>0</v>
      </c>
      <c r="L2696" s="451">
        <v>0</v>
      </c>
      <c r="M2696" s="451">
        <v>0</v>
      </c>
      <c r="N2696" s="467">
        <v>0</v>
      </c>
      <c r="O2696" s="467">
        <v>0</v>
      </c>
      <c r="P2696" s="467"/>
      <c r="Q2696" s="453"/>
      <c r="R2696" s="453"/>
      <c r="S2696" s="453"/>
      <c r="T2696" s="453"/>
      <c r="U2696" s="453"/>
      <c r="V2696" s="453"/>
    </row>
    <row r="2697" spans="1:24" s="21" customFormat="1" x14ac:dyDescent="0.2">
      <c r="A2697" s="405" t="s">
        <v>1351</v>
      </c>
      <c r="B2697" s="467">
        <v>0</v>
      </c>
      <c r="C2697" s="467">
        <v>0</v>
      </c>
      <c r="D2697" s="467">
        <v>0</v>
      </c>
      <c r="E2697" s="467">
        <v>0</v>
      </c>
      <c r="F2697" s="467">
        <v>100</v>
      </c>
      <c r="G2697" s="467">
        <v>0</v>
      </c>
      <c r="H2697" s="467">
        <v>0</v>
      </c>
      <c r="I2697" s="467">
        <v>0</v>
      </c>
      <c r="J2697" s="41">
        <v>0</v>
      </c>
      <c r="K2697" s="41">
        <v>0</v>
      </c>
      <c r="L2697" s="451">
        <v>0</v>
      </c>
      <c r="M2697" s="451">
        <v>0</v>
      </c>
      <c r="N2697" s="467">
        <v>0</v>
      </c>
      <c r="O2697" s="467">
        <v>0</v>
      </c>
      <c r="P2697" s="467"/>
      <c r="Q2697" s="453"/>
      <c r="R2697" s="453"/>
      <c r="S2697" s="453"/>
      <c r="T2697" s="453"/>
      <c r="U2697" s="453"/>
      <c r="V2697" s="453"/>
    </row>
    <row r="2698" spans="1:24" s="21" customFormat="1" x14ac:dyDescent="0.2">
      <c r="A2698" s="405" t="s">
        <v>1337</v>
      </c>
      <c r="B2698" s="467">
        <v>0</v>
      </c>
      <c r="C2698" s="467">
        <v>0</v>
      </c>
      <c r="D2698" s="467">
        <v>0</v>
      </c>
      <c r="E2698" s="467">
        <v>0</v>
      </c>
      <c r="F2698" s="467">
        <v>100</v>
      </c>
      <c r="G2698" s="467">
        <v>0</v>
      </c>
      <c r="H2698" s="467">
        <v>0</v>
      </c>
      <c r="I2698" s="467">
        <v>0</v>
      </c>
      <c r="J2698" s="41">
        <v>0</v>
      </c>
      <c r="K2698" s="41">
        <v>0</v>
      </c>
      <c r="L2698" s="451">
        <v>0</v>
      </c>
      <c r="M2698" s="451">
        <v>0</v>
      </c>
      <c r="N2698" s="467">
        <v>0</v>
      </c>
      <c r="O2698" s="467">
        <v>0</v>
      </c>
      <c r="P2698" s="467"/>
      <c r="Q2698" s="453"/>
      <c r="R2698" s="453"/>
      <c r="S2698" s="453"/>
      <c r="T2698" s="453"/>
      <c r="U2698" s="453"/>
      <c r="V2698" s="453"/>
    </row>
    <row r="2699" spans="1:24" s="21" customFormat="1" x14ac:dyDescent="0.2">
      <c r="A2699" s="405" t="s">
        <v>2158</v>
      </c>
      <c r="B2699" s="41">
        <v>0</v>
      </c>
      <c r="C2699" s="467">
        <v>0</v>
      </c>
      <c r="D2699" s="467">
        <v>0</v>
      </c>
      <c r="E2699" s="467">
        <v>0</v>
      </c>
      <c r="F2699" s="467">
        <v>100</v>
      </c>
      <c r="G2699" s="467">
        <v>0</v>
      </c>
      <c r="H2699" s="467">
        <v>0</v>
      </c>
      <c r="I2699" s="467">
        <v>0</v>
      </c>
      <c r="J2699" s="41">
        <v>0</v>
      </c>
      <c r="K2699" s="41">
        <v>0</v>
      </c>
      <c r="L2699" s="451">
        <v>0</v>
      </c>
      <c r="M2699" s="451">
        <v>0</v>
      </c>
      <c r="N2699" s="467">
        <v>0</v>
      </c>
      <c r="O2699" s="467">
        <v>0</v>
      </c>
      <c r="P2699" s="467"/>
      <c r="Q2699" s="453"/>
      <c r="R2699" s="453"/>
      <c r="S2699" s="453"/>
      <c r="T2699" s="453"/>
      <c r="U2699" s="453"/>
      <c r="V2699" s="453"/>
    </row>
    <row r="2700" spans="1:24" s="21" customFormat="1" x14ac:dyDescent="0.2">
      <c r="A2700" s="405" t="s">
        <v>1346</v>
      </c>
      <c r="B2700" s="467">
        <v>0</v>
      </c>
      <c r="C2700" s="467">
        <v>0</v>
      </c>
      <c r="D2700" s="467">
        <v>0</v>
      </c>
      <c r="E2700" s="467">
        <v>0</v>
      </c>
      <c r="F2700" s="467">
        <v>100</v>
      </c>
      <c r="G2700" s="467">
        <v>0</v>
      </c>
      <c r="H2700" s="467">
        <v>0</v>
      </c>
      <c r="I2700" s="467">
        <v>0</v>
      </c>
      <c r="J2700" s="41">
        <v>0</v>
      </c>
      <c r="K2700" s="41">
        <v>0</v>
      </c>
      <c r="L2700" s="468">
        <v>0</v>
      </c>
      <c r="M2700" s="451">
        <v>0</v>
      </c>
      <c r="N2700" s="467">
        <v>0</v>
      </c>
      <c r="O2700" s="467">
        <v>0</v>
      </c>
      <c r="P2700" s="467"/>
    </row>
    <row r="2701" spans="1:24" s="453" customFormat="1" x14ac:dyDescent="0.2">
      <c r="A2701" s="405" t="s">
        <v>2159</v>
      </c>
      <c r="B2701" s="467">
        <v>0</v>
      </c>
      <c r="C2701" s="41">
        <v>0</v>
      </c>
      <c r="D2701" s="467">
        <v>0</v>
      </c>
      <c r="E2701" s="467">
        <v>0</v>
      </c>
      <c r="F2701" s="467">
        <v>100</v>
      </c>
      <c r="G2701" s="41">
        <v>0</v>
      </c>
      <c r="H2701" s="41">
        <v>0</v>
      </c>
      <c r="I2701" s="467">
        <v>0</v>
      </c>
      <c r="J2701" s="41">
        <v>0</v>
      </c>
      <c r="K2701" s="41">
        <v>0</v>
      </c>
      <c r="L2701" s="451">
        <v>0</v>
      </c>
      <c r="M2701" s="451">
        <v>0</v>
      </c>
      <c r="N2701" s="467">
        <v>0</v>
      </c>
      <c r="O2701" s="467">
        <v>0</v>
      </c>
      <c r="P2701" s="467"/>
    </row>
    <row r="2702" spans="1:24" s="453" customFormat="1" x14ac:dyDescent="0.2">
      <c r="A2702" s="405" t="s">
        <v>2160</v>
      </c>
      <c r="B2702" s="467">
        <v>0</v>
      </c>
      <c r="C2702" s="467">
        <v>0</v>
      </c>
      <c r="D2702" s="654">
        <v>0</v>
      </c>
      <c r="E2702" s="654">
        <v>0</v>
      </c>
      <c r="F2702" s="654">
        <v>100</v>
      </c>
      <c r="G2702" s="467">
        <v>0</v>
      </c>
      <c r="H2702" s="467">
        <v>0</v>
      </c>
      <c r="I2702" s="467">
        <v>0</v>
      </c>
      <c r="J2702" s="41">
        <v>0</v>
      </c>
      <c r="K2702" s="41">
        <v>0</v>
      </c>
      <c r="L2702" s="468">
        <v>0</v>
      </c>
      <c r="M2702" s="451">
        <v>0</v>
      </c>
      <c r="N2702" s="467">
        <v>0</v>
      </c>
      <c r="O2702" s="467">
        <v>0</v>
      </c>
      <c r="P2702" s="467"/>
    </row>
    <row r="2703" spans="1:24" s="535" customFormat="1" x14ac:dyDescent="0.2">
      <c r="A2703" s="518" t="s">
        <v>2192</v>
      </c>
      <c r="F2703" s="1624"/>
      <c r="G2703" s="1624"/>
      <c r="H2703" s="1624"/>
      <c r="I2703" s="1624"/>
      <c r="J2703" s="1624"/>
      <c r="K2703" s="1624"/>
      <c r="L2703" s="1624"/>
      <c r="M2703" s="1624"/>
      <c r="N2703" s="1624"/>
    </row>
    <row r="2704" spans="1:24" s="292" customFormat="1" x14ac:dyDescent="0.2"/>
    <row r="2706" spans="1:24" s="125" customFormat="1" ht="14.25" customHeight="1" x14ac:dyDescent="0.2">
      <c r="A2706" s="377" t="s">
        <v>2193</v>
      </c>
      <c r="D2706" s="1075"/>
      <c r="E2706" s="1075"/>
      <c r="F2706" s="1075"/>
      <c r="G2706" s="1075"/>
      <c r="H2706" s="1075"/>
      <c r="I2706" s="1075"/>
      <c r="L2706" s="1075"/>
    </row>
    <row r="2707" spans="1:24" s="773" customFormat="1" ht="16.25" customHeight="1" x14ac:dyDescent="0.2">
      <c r="A2707" s="753" t="s">
        <v>2194</v>
      </c>
      <c r="B2707" s="442" t="s">
        <v>2195</v>
      </c>
      <c r="C2707" s="442" t="s">
        <v>2195</v>
      </c>
      <c r="D2707" s="442" t="s">
        <v>2195</v>
      </c>
      <c r="E2707" s="442" t="s">
        <v>2195</v>
      </c>
      <c r="F2707" s="442" t="s">
        <v>2195</v>
      </c>
      <c r="G2707" s="442" t="s">
        <v>2195</v>
      </c>
      <c r="H2707" s="442" t="s">
        <v>2195</v>
      </c>
      <c r="I2707" s="442" t="s">
        <v>2195</v>
      </c>
      <c r="J2707" s="442" t="s">
        <v>2195</v>
      </c>
      <c r="K2707" s="442" t="s">
        <v>2195</v>
      </c>
      <c r="L2707" s="442" t="s">
        <v>2195</v>
      </c>
      <c r="M2707" s="442" t="s">
        <v>2195</v>
      </c>
      <c r="N2707" s="442" t="s">
        <v>2195</v>
      </c>
      <c r="O2707" s="442" t="s">
        <v>2195</v>
      </c>
      <c r="P2707" s="442"/>
      <c r="Q2707" s="442"/>
      <c r="R2707" s="442"/>
      <c r="S2707" s="442"/>
      <c r="T2707" s="442"/>
      <c r="U2707" s="442"/>
      <c r="V2707" s="442"/>
    </row>
    <row r="2708" spans="1:24" s="291" customFormat="1" ht="16" x14ac:dyDescent="0.2">
      <c r="A2708" s="1641" t="s">
        <v>57</v>
      </c>
      <c r="B2708" s="1642" t="s">
        <v>1664</v>
      </c>
      <c r="C2708" s="1642" t="s">
        <v>1665</v>
      </c>
      <c r="D2708" s="1642" t="s">
        <v>1666</v>
      </c>
      <c r="E2708" s="1642" t="s">
        <v>1667</v>
      </c>
      <c r="F2708" s="1642" t="s">
        <v>2174</v>
      </c>
      <c r="G2708" s="1642" t="s">
        <v>1668</v>
      </c>
      <c r="H2708" s="1642" t="s">
        <v>1669</v>
      </c>
      <c r="I2708" s="1642" t="s">
        <v>1670</v>
      </c>
      <c r="J2708" s="1642" t="s">
        <v>1671</v>
      </c>
      <c r="K2708" s="1642" t="s">
        <v>1672</v>
      </c>
      <c r="L2708" s="1642" t="s">
        <v>1673</v>
      </c>
      <c r="M2708" s="291" t="s">
        <v>1674</v>
      </c>
      <c r="N2708" s="2152" t="s">
        <v>1675</v>
      </c>
      <c r="O2708" s="2152" t="s">
        <v>1676</v>
      </c>
      <c r="P2708" s="1658" t="s">
        <v>2175</v>
      </c>
      <c r="Q2708" s="453"/>
      <c r="R2708" s="453"/>
      <c r="S2708" s="453"/>
      <c r="T2708" s="453"/>
      <c r="U2708" s="453"/>
      <c r="V2708" s="453"/>
      <c r="W2708" s="21"/>
      <c r="X2708" s="21"/>
    </row>
    <row r="2709" spans="1:24" s="1093" customFormat="1" ht="16" x14ac:dyDescent="0.2">
      <c r="A2709" s="523" t="s">
        <v>2196</v>
      </c>
      <c r="B2709" s="1636" t="s">
        <v>2197</v>
      </c>
      <c r="C2709" s="1636" t="s">
        <v>2197</v>
      </c>
      <c r="D2709" s="1636" t="s">
        <v>2197</v>
      </c>
      <c r="E2709" s="1636" t="s">
        <v>2197</v>
      </c>
      <c r="F2709" s="1636" t="s">
        <v>2197</v>
      </c>
      <c r="G2709" s="1636" t="s">
        <v>2197</v>
      </c>
      <c r="H2709" s="1636" t="s">
        <v>2197</v>
      </c>
      <c r="I2709" s="1636" t="s">
        <v>2197</v>
      </c>
      <c r="J2709" s="1636" t="s">
        <v>2197</v>
      </c>
      <c r="K2709" s="1636" t="s">
        <v>2197</v>
      </c>
      <c r="L2709" s="1631" t="s">
        <v>2197</v>
      </c>
      <c r="M2709" s="1631" t="s">
        <v>2197</v>
      </c>
      <c r="N2709" s="732" t="s">
        <v>2197</v>
      </c>
      <c r="O2709" s="732" t="s">
        <v>2197</v>
      </c>
      <c r="P2709" s="732"/>
      <c r="Q2709" s="1092"/>
      <c r="R2709" s="1092"/>
      <c r="S2709" s="1092"/>
      <c r="T2709" s="1092"/>
      <c r="U2709" s="1092"/>
      <c r="V2709" s="1092"/>
    </row>
    <row r="2710" spans="1:24" s="21" customFormat="1" x14ac:dyDescent="0.2">
      <c r="A2710" s="407" t="s">
        <v>1484</v>
      </c>
      <c r="B2710" s="470">
        <v>96.5</v>
      </c>
      <c r="C2710" s="470">
        <v>33.799999999999997</v>
      </c>
      <c r="D2710" s="470">
        <v>3.2</v>
      </c>
      <c r="E2710" s="470">
        <v>1.6</v>
      </c>
      <c r="F2710" s="470">
        <v>0.6</v>
      </c>
      <c r="G2710" s="470">
        <v>0.2</v>
      </c>
      <c r="H2710" s="470">
        <v>3.2</v>
      </c>
      <c r="I2710" s="470">
        <v>16.100000000000001</v>
      </c>
      <c r="J2710" s="44">
        <v>0</v>
      </c>
      <c r="K2710" s="470">
        <v>33.799999999999997</v>
      </c>
      <c r="L2710" s="1640">
        <v>0</v>
      </c>
      <c r="M2710" s="451">
        <v>0</v>
      </c>
      <c r="N2710" s="467">
        <v>0</v>
      </c>
      <c r="O2710" s="467">
        <v>0</v>
      </c>
      <c r="P2710" s="467"/>
      <c r="Q2710" s="453"/>
      <c r="R2710" s="453"/>
      <c r="S2710" s="453"/>
      <c r="T2710" s="453"/>
      <c r="U2710" s="453"/>
      <c r="V2710" s="453"/>
    </row>
    <row r="2711" spans="1:24" s="21" customFormat="1" x14ac:dyDescent="0.2">
      <c r="A2711" s="405" t="s">
        <v>1483</v>
      </c>
      <c r="B2711" s="467">
        <v>107.07</v>
      </c>
      <c r="C2711" s="467">
        <v>41.8</v>
      </c>
      <c r="D2711" s="467">
        <v>3.2</v>
      </c>
      <c r="E2711" s="467">
        <v>1.6</v>
      </c>
      <c r="F2711" s="467">
        <v>0.6</v>
      </c>
      <c r="G2711" s="467">
        <v>0.2</v>
      </c>
      <c r="H2711" s="467">
        <v>3.2</v>
      </c>
      <c r="I2711" s="467">
        <v>16.100000000000001</v>
      </c>
      <c r="J2711" s="41">
        <v>0</v>
      </c>
      <c r="K2711" s="467">
        <v>41.8</v>
      </c>
      <c r="L2711" s="451">
        <v>0</v>
      </c>
      <c r="M2711" s="451">
        <v>0</v>
      </c>
      <c r="N2711" s="467">
        <v>0</v>
      </c>
      <c r="O2711" s="467">
        <v>0</v>
      </c>
      <c r="P2711" s="467"/>
      <c r="Q2711" s="453"/>
      <c r="R2711" s="453"/>
      <c r="S2711" s="453"/>
      <c r="T2711" s="453"/>
      <c r="U2711" s="453"/>
      <c r="V2711" s="453"/>
    </row>
    <row r="2712" spans="1:24" s="21" customFormat="1" x14ac:dyDescent="0.2">
      <c r="A2712" s="405" t="s">
        <v>1491</v>
      </c>
      <c r="B2712" s="467">
        <v>80.400000000000006</v>
      </c>
      <c r="C2712" s="467">
        <v>22.5</v>
      </c>
      <c r="D2712" s="467">
        <v>3.2</v>
      </c>
      <c r="E2712" s="467">
        <v>1.6</v>
      </c>
      <c r="F2712" s="467">
        <v>0.6</v>
      </c>
      <c r="G2712" s="467">
        <v>0.2</v>
      </c>
      <c r="H2712" s="467">
        <v>3.2</v>
      </c>
      <c r="I2712" s="467">
        <v>16.100000000000001</v>
      </c>
      <c r="J2712" s="41">
        <v>0</v>
      </c>
      <c r="K2712" s="467">
        <v>22.5</v>
      </c>
      <c r="L2712" s="468">
        <v>0</v>
      </c>
      <c r="M2712" s="451">
        <v>0</v>
      </c>
      <c r="N2712" s="467">
        <v>0</v>
      </c>
      <c r="O2712" s="467">
        <v>0</v>
      </c>
      <c r="P2712" s="467"/>
      <c r="Q2712" s="453"/>
      <c r="R2712" s="453"/>
      <c r="S2712" s="453"/>
      <c r="T2712" s="453"/>
      <c r="U2712" s="453"/>
      <c r="V2712" s="453"/>
    </row>
    <row r="2713" spans="1:24" s="21" customFormat="1" x14ac:dyDescent="0.2">
      <c r="A2713" s="405" t="s">
        <v>1490</v>
      </c>
      <c r="B2713" s="41">
        <v>78.8</v>
      </c>
      <c r="C2713" s="467">
        <v>22.5</v>
      </c>
      <c r="D2713" s="467">
        <v>3.2</v>
      </c>
      <c r="E2713" s="467">
        <v>1.6</v>
      </c>
      <c r="F2713" s="467">
        <v>0.6</v>
      </c>
      <c r="G2713" s="467">
        <v>0.2</v>
      </c>
      <c r="H2713" s="467">
        <v>3.2</v>
      </c>
      <c r="I2713" s="467">
        <v>16.100000000000001</v>
      </c>
      <c r="J2713" s="41">
        <v>0</v>
      </c>
      <c r="K2713" s="467">
        <v>22.5</v>
      </c>
      <c r="L2713" s="451">
        <v>0</v>
      </c>
      <c r="M2713" s="451">
        <v>0</v>
      </c>
      <c r="N2713" s="467">
        <v>0</v>
      </c>
      <c r="O2713" s="467">
        <v>0</v>
      </c>
      <c r="P2713" s="467"/>
      <c r="Q2713" s="453"/>
      <c r="R2713" s="453"/>
      <c r="S2713" s="453"/>
      <c r="T2713" s="453"/>
      <c r="U2713" s="453"/>
      <c r="V2713" s="453"/>
    </row>
    <row r="2714" spans="1:24" s="21" customFormat="1" x14ac:dyDescent="0.2">
      <c r="A2714" s="405" t="s">
        <v>1486</v>
      </c>
      <c r="B2714" s="467">
        <v>117.4</v>
      </c>
      <c r="C2714" s="467">
        <v>59.5</v>
      </c>
      <c r="D2714" s="467">
        <v>6.4</v>
      </c>
      <c r="E2714" s="467">
        <v>2.4</v>
      </c>
      <c r="F2714" s="467">
        <v>0.6</v>
      </c>
      <c r="G2714" s="467">
        <v>0.8</v>
      </c>
      <c r="H2714" s="467">
        <v>3.7</v>
      </c>
      <c r="I2714" s="467">
        <v>16.100000000000001</v>
      </c>
      <c r="J2714" s="41">
        <v>0</v>
      </c>
      <c r="K2714" s="467">
        <v>59.5</v>
      </c>
      <c r="L2714" s="451">
        <v>0</v>
      </c>
      <c r="M2714" s="451">
        <v>0</v>
      </c>
      <c r="N2714" s="467">
        <v>0</v>
      </c>
      <c r="O2714" s="467">
        <v>0</v>
      </c>
      <c r="P2714" s="467"/>
      <c r="Q2714" s="453"/>
      <c r="R2714" s="453"/>
      <c r="S2714" s="453"/>
      <c r="T2714" s="453"/>
      <c r="U2714" s="453"/>
      <c r="V2714" s="453"/>
    </row>
    <row r="2715" spans="1:24" s="21" customFormat="1" x14ac:dyDescent="0.2">
      <c r="A2715" s="405" t="s">
        <v>1485</v>
      </c>
      <c r="B2715" s="467">
        <v>122.2</v>
      </c>
      <c r="C2715" s="467">
        <v>65.900000000000006</v>
      </c>
      <c r="D2715" s="467">
        <v>6.4</v>
      </c>
      <c r="E2715" s="467">
        <v>2.4</v>
      </c>
      <c r="F2715" s="467">
        <v>0.6</v>
      </c>
      <c r="G2715" s="467">
        <v>0.8</v>
      </c>
      <c r="H2715" s="467">
        <v>3.7</v>
      </c>
      <c r="I2715" s="467">
        <v>16.100000000000001</v>
      </c>
      <c r="J2715" s="41">
        <v>0</v>
      </c>
      <c r="K2715" s="467">
        <v>65.900000000000006</v>
      </c>
      <c r="L2715" s="451">
        <v>0</v>
      </c>
      <c r="M2715" s="451">
        <v>0</v>
      </c>
      <c r="N2715" s="467">
        <v>0</v>
      </c>
      <c r="O2715" s="467">
        <v>0</v>
      </c>
      <c r="P2715" s="467"/>
      <c r="Q2715" s="453"/>
      <c r="R2715" s="453"/>
      <c r="S2715" s="453"/>
      <c r="T2715" s="453"/>
      <c r="U2715" s="453"/>
      <c r="V2715" s="453"/>
    </row>
    <row r="2716" spans="1:24" s="21" customFormat="1" x14ac:dyDescent="0.2">
      <c r="A2716" s="405" t="s">
        <v>1359</v>
      </c>
      <c r="B2716" s="467">
        <v>122.2</v>
      </c>
      <c r="C2716" s="467">
        <v>94.9</v>
      </c>
      <c r="D2716" s="467">
        <v>8</v>
      </c>
      <c r="E2716" s="467">
        <v>3.2</v>
      </c>
      <c r="F2716" s="467">
        <v>0.6</v>
      </c>
      <c r="G2716" s="467">
        <v>1.6</v>
      </c>
      <c r="H2716" s="467">
        <v>3.7</v>
      </c>
      <c r="I2716" s="467">
        <v>16.100000000000001</v>
      </c>
      <c r="J2716" s="41">
        <v>0</v>
      </c>
      <c r="K2716" s="467">
        <v>94.9</v>
      </c>
      <c r="L2716" s="451">
        <v>0</v>
      </c>
      <c r="M2716" s="451">
        <v>0</v>
      </c>
      <c r="N2716" s="467">
        <v>0</v>
      </c>
      <c r="O2716" s="467">
        <v>0</v>
      </c>
      <c r="P2716" s="467"/>
      <c r="Q2716" s="453"/>
      <c r="R2716" s="453"/>
      <c r="S2716" s="453"/>
      <c r="T2716" s="453"/>
      <c r="U2716" s="453"/>
      <c r="V2716" s="453"/>
    </row>
    <row r="2717" spans="1:24" s="21" customFormat="1" x14ac:dyDescent="0.2">
      <c r="A2717" s="405" t="s">
        <v>1489</v>
      </c>
      <c r="B2717" s="41">
        <v>128.6</v>
      </c>
      <c r="C2717" s="467">
        <v>122.2</v>
      </c>
      <c r="D2717" s="467">
        <v>8</v>
      </c>
      <c r="E2717" s="467">
        <v>3.2</v>
      </c>
      <c r="F2717" s="467">
        <v>0.6</v>
      </c>
      <c r="G2717" s="467">
        <v>1.6</v>
      </c>
      <c r="H2717" s="467">
        <v>3.7</v>
      </c>
      <c r="I2717" s="467">
        <v>16.100000000000001</v>
      </c>
      <c r="J2717" s="41">
        <v>0</v>
      </c>
      <c r="K2717" s="467">
        <v>122.2</v>
      </c>
      <c r="L2717" s="468">
        <v>0</v>
      </c>
      <c r="M2717" s="451">
        <v>0</v>
      </c>
      <c r="N2717" s="467">
        <v>0</v>
      </c>
      <c r="O2717" s="467">
        <v>0</v>
      </c>
      <c r="P2717" s="467"/>
    </row>
    <row r="2718" spans="1:24" s="453" customFormat="1" x14ac:dyDescent="0.2">
      <c r="A2718" s="405" t="s">
        <v>1488</v>
      </c>
      <c r="B2718" s="41">
        <v>128.6</v>
      </c>
      <c r="C2718" s="41">
        <v>117.4</v>
      </c>
      <c r="D2718" s="467">
        <v>8</v>
      </c>
      <c r="E2718" s="467">
        <v>3.2</v>
      </c>
      <c r="F2718" s="467">
        <v>0.6</v>
      </c>
      <c r="G2718" s="467">
        <v>1.6</v>
      </c>
      <c r="H2718" s="467">
        <v>3.7</v>
      </c>
      <c r="I2718" s="467">
        <v>16.100000000000001</v>
      </c>
      <c r="J2718" s="41">
        <v>0</v>
      </c>
      <c r="K2718" s="41">
        <v>117.4</v>
      </c>
      <c r="L2718" s="451">
        <v>0</v>
      </c>
      <c r="M2718" s="451">
        <v>0</v>
      </c>
      <c r="N2718" s="467">
        <v>0</v>
      </c>
      <c r="O2718" s="467">
        <v>0</v>
      </c>
      <c r="P2718" s="467"/>
    </row>
    <row r="2719" spans="1:24" s="453" customFormat="1" x14ac:dyDescent="0.2">
      <c r="A2719" s="405" t="s">
        <v>1487</v>
      </c>
      <c r="B2719" s="41">
        <v>128.6</v>
      </c>
      <c r="C2719" s="467">
        <v>119</v>
      </c>
      <c r="D2719" s="467">
        <v>8</v>
      </c>
      <c r="E2719" s="467">
        <v>3.2</v>
      </c>
      <c r="F2719" s="467">
        <v>0.6</v>
      </c>
      <c r="G2719" s="467">
        <v>1.6</v>
      </c>
      <c r="H2719" s="467">
        <v>3.7</v>
      </c>
      <c r="I2719" s="467">
        <v>16.100000000000001</v>
      </c>
      <c r="J2719" s="41">
        <v>0</v>
      </c>
      <c r="K2719" s="467">
        <v>119</v>
      </c>
      <c r="L2719" s="468">
        <v>0</v>
      </c>
      <c r="M2719" s="451">
        <v>0</v>
      </c>
      <c r="N2719" s="467">
        <v>0</v>
      </c>
      <c r="O2719" s="467">
        <v>0</v>
      </c>
      <c r="P2719" s="467"/>
    </row>
    <row r="2720" spans="1:24" s="535" customFormat="1" x14ac:dyDescent="0.2">
      <c r="A2720" s="518" t="s">
        <v>2198</v>
      </c>
      <c r="F2720" s="1624"/>
      <c r="G2720" s="1624"/>
      <c r="H2720" s="1624"/>
      <c r="I2720" s="1624"/>
      <c r="J2720" s="1624"/>
      <c r="K2720" s="1624"/>
      <c r="L2720" s="1624"/>
      <c r="M2720" s="1624"/>
      <c r="N2720" s="1624"/>
    </row>
    <row r="2721" spans="1:24" s="292" customFormat="1" x14ac:dyDescent="0.2"/>
    <row r="2723" spans="1:24" s="125" customFormat="1" ht="14.25" customHeight="1" x14ac:dyDescent="0.2">
      <c r="A2723" s="377" t="s">
        <v>2193</v>
      </c>
      <c r="D2723" s="1075"/>
      <c r="E2723" s="1075"/>
      <c r="F2723" s="1075"/>
      <c r="G2723" s="1075"/>
      <c r="H2723" s="1075"/>
      <c r="I2723" s="1075"/>
      <c r="L2723" s="1075"/>
    </row>
    <row r="2724" spans="1:24" s="773" customFormat="1" ht="16.25" customHeight="1" x14ac:dyDescent="0.2">
      <c r="A2724" s="753" t="s">
        <v>2199</v>
      </c>
      <c r="B2724" s="442" t="s">
        <v>2195</v>
      </c>
      <c r="C2724" s="442" t="s">
        <v>2195</v>
      </c>
      <c r="D2724" s="442" t="s">
        <v>2195</v>
      </c>
      <c r="E2724" s="442" t="s">
        <v>2195</v>
      </c>
      <c r="F2724" s="442" t="s">
        <v>2195</v>
      </c>
      <c r="G2724" s="442" t="s">
        <v>2195</v>
      </c>
      <c r="H2724" s="442" t="s">
        <v>2195</v>
      </c>
      <c r="I2724" s="442" t="s">
        <v>2195</v>
      </c>
      <c r="J2724" s="442" t="s">
        <v>2195</v>
      </c>
      <c r="K2724" s="442" t="s">
        <v>2195</v>
      </c>
      <c r="L2724" s="442" t="s">
        <v>2195</v>
      </c>
      <c r="M2724" s="442" t="s">
        <v>2195</v>
      </c>
      <c r="N2724" s="442" t="s">
        <v>2195</v>
      </c>
      <c r="O2724" s="442" t="s">
        <v>2195</v>
      </c>
      <c r="P2724" s="442"/>
      <c r="Q2724" s="442"/>
      <c r="R2724" s="442"/>
      <c r="S2724" s="442"/>
      <c r="T2724" s="442"/>
      <c r="U2724" s="442"/>
      <c r="V2724" s="442"/>
    </row>
    <row r="2725" spans="1:24" s="291" customFormat="1" ht="16" x14ac:dyDescent="0.2">
      <c r="A2725" s="1641" t="s">
        <v>57</v>
      </c>
      <c r="B2725" s="1642" t="s">
        <v>1664</v>
      </c>
      <c r="C2725" s="1642" t="s">
        <v>1665</v>
      </c>
      <c r="D2725" s="1642" t="s">
        <v>1666</v>
      </c>
      <c r="E2725" s="1642" t="s">
        <v>1667</v>
      </c>
      <c r="F2725" s="1642" t="s">
        <v>2174</v>
      </c>
      <c r="G2725" s="1642" t="s">
        <v>1668</v>
      </c>
      <c r="H2725" s="1642" t="s">
        <v>1669</v>
      </c>
      <c r="I2725" s="1642" t="s">
        <v>1670</v>
      </c>
      <c r="J2725" s="1642" t="s">
        <v>1671</v>
      </c>
      <c r="K2725" s="1642" t="s">
        <v>1672</v>
      </c>
      <c r="L2725" s="1642" t="s">
        <v>1673</v>
      </c>
      <c r="M2725" s="291" t="s">
        <v>1674</v>
      </c>
      <c r="N2725" s="2152" t="s">
        <v>1675</v>
      </c>
      <c r="O2725" s="2152" t="s">
        <v>1676</v>
      </c>
      <c r="P2725" s="1658" t="s">
        <v>2175</v>
      </c>
      <c r="Q2725" s="453"/>
      <c r="R2725" s="453"/>
      <c r="S2725" s="453"/>
      <c r="T2725" s="453"/>
      <c r="U2725" s="453"/>
      <c r="V2725" s="453"/>
      <c r="W2725" s="21"/>
      <c r="X2725" s="21"/>
    </row>
    <row r="2726" spans="1:24" s="1093" customFormat="1" ht="16" x14ac:dyDescent="0.2">
      <c r="A2726" s="523" t="s">
        <v>2196</v>
      </c>
      <c r="B2726" s="1636" t="s">
        <v>2197</v>
      </c>
      <c r="C2726" s="1636" t="s">
        <v>2197</v>
      </c>
      <c r="D2726" s="1636" t="s">
        <v>2197</v>
      </c>
      <c r="E2726" s="1636" t="s">
        <v>2197</v>
      </c>
      <c r="F2726" s="1636" t="s">
        <v>2197</v>
      </c>
      <c r="G2726" s="1636" t="s">
        <v>2197</v>
      </c>
      <c r="H2726" s="1636" t="s">
        <v>2197</v>
      </c>
      <c r="I2726" s="1636" t="s">
        <v>2197</v>
      </c>
      <c r="J2726" s="1636" t="s">
        <v>2197</v>
      </c>
      <c r="K2726" s="1636" t="s">
        <v>2197</v>
      </c>
      <c r="L2726" s="1631" t="s">
        <v>2197</v>
      </c>
      <c r="M2726" s="1631" t="s">
        <v>2197</v>
      </c>
      <c r="N2726" s="732" t="s">
        <v>2197</v>
      </c>
      <c r="O2726" s="732" t="s">
        <v>2197</v>
      </c>
      <c r="P2726" s="732"/>
      <c r="Q2726" s="1092"/>
      <c r="R2726" s="1092"/>
      <c r="S2726" s="1092"/>
      <c r="T2726" s="1092"/>
      <c r="U2726" s="1092"/>
      <c r="V2726" s="1092"/>
    </row>
    <row r="2727" spans="1:24" s="21" customFormat="1" x14ac:dyDescent="0.2">
      <c r="A2727" s="407" t="s">
        <v>1484</v>
      </c>
      <c r="B2727" s="470">
        <v>52.3</v>
      </c>
      <c r="C2727" s="470">
        <v>18.3</v>
      </c>
      <c r="D2727" s="470">
        <v>1.7</v>
      </c>
      <c r="E2727" s="470">
        <v>0.9</v>
      </c>
      <c r="F2727" s="470">
        <v>0.6</v>
      </c>
      <c r="G2727" s="470">
        <v>0.1</v>
      </c>
      <c r="H2727" s="470">
        <v>9.1999999999999993</v>
      </c>
      <c r="I2727" s="470">
        <v>8.6999999999999993</v>
      </c>
      <c r="J2727" s="44">
        <v>0</v>
      </c>
      <c r="K2727" s="470">
        <v>18.3</v>
      </c>
      <c r="L2727" s="1640">
        <v>0</v>
      </c>
      <c r="M2727" s="451">
        <v>0</v>
      </c>
      <c r="N2727" s="467">
        <v>0</v>
      </c>
      <c r="O2727" s="467">
        <v>0</v>
      </c>
      <c r="P2727" s="467"/>
      <c r="Q2727" s="453"/>
      <c r="R2727" s="453"/>
      <c r="S2727" s="453"/>
      <c r="T2727" s="453"/>
      <c r="U2727" s="453"/>
      <c r="V2727" s="453"/>
    </row>
    <row r="2728" spans="1:24" s="21" customFormat="1" x14ac:dyDescent="0.2">
      <c r="A2728" s="405" t="s">
        <v>1483</v>
      </c>
      <c r="B2728" s="467">
        <v>58.4</v>
      </c>
      <c r="C2728" s="467">
        <v>22.6</v>
      </c>
      <c r="D2728" s="467">
        <v>1.7</v>
      </c>
      <c r="E2728" s="467">
        <v>0.9</v>
      </c>
      <c r="F2728" s="467">
        <v>0.6</v>
      </c>
      <c r="G2728" s="467">
        <v>0.1</v>
      </c>
      <c r="H2728" s="467">
        <v>9.1999999999999993</v>
      </c>
      <c r="I2728" s="467">
        <v>8.6999999999999993</v>
      </c>
      <c r="J2728" s="41">
        <v>0</v>
      </c>
      <c r="K2728" s="467">
        <v>22.6</v>
      </c>
      <c r="L2728" s="451">
        <v>0</v>
      </c>
      <c r="M2728" s="451">
        <v>0</v>
      </c>
      <c r="N2728" s="467">
        <v>0</v>
      </c>
      <c r="O2728" s="467">
        <v>0</v>
      </c>
      <c r="P2728" s="467"/>
      <c r="Q2728" s="453"/>
      <c r="R2728" s="453"/>
      <c r="S2728" s="453"/>
      <c r="T2728" s="453"/>
      <c r="U2728" s="453"/>
      <c r="V2728" s="453"/>
    </row>
    <row r="2729" spans="1:24" s="21" customFormat="1" x14ac:dyDescent="0.2">
      <c r="A2729" s="405" t="s">
        <v>1491</v>
      </c>
      <c r="B2729" s="467">
        <v>43.6</v>
      </c>
      <c r="C2729" s="467">
        <v>12.2</v>
      </c>
      <c r="D2729" s="467">
        <v>1.7</v>
      </c>
      <c r="E2729" s="467">
        <v>0.9</v>
      </c>
      <c r="F2729" s="467">
        <v>0.6</v>
      </c>
      <c r="G2729" s="467">
        <v>0.1</v>
      </c>
      <c r="H2729" s="467">
        <v>9.1999999999999993</v>
      </c>
      <c r="I2729" s="467">
        <v>8.6999999999999993</v>
      </c>
      <c r="J2729" s="41">
        <v>0</v>
      </c>
      <c r="K2729" s="467">
        <v>12.2</v>
      </c>
      <c r="L2729" s="468">
        <v>0</v>
      </c>
      <c r="M2729" s="451">
        <v>0</v>
      </c>
      <c r="N2729" s="467">
        <v>0</v>
      </c>
      <c r="O2729" s="467">
        <v>0</v>
      </c>
      <c r="P2729" s="467"/>
      <c r="Q2729" s="453"/>
      <c r="R2729" s="453"/>
      <c r="S2729" s="453"/>
      <c r="T2729" s="453"/>
      <c r="U2729" s="453"/>
      <c r="V2729" s="453"/>
    </row>
    <row r="2730" spans="1:24" s="21" customFormat="1" x14ac:dyDescent="0.2">
      <c r="A2730" s="405" t="s">
        <v>1490</v>
      </c>
      <c r="B2730" s="41">
        <v>42.7</v>
      </c>
      <c r="C2730" s="467">
        <v>12.2</v>
      </c>
      <c r="D2730" s="467">
        <v>1.7</v>
      </c>
      <c r="E2730" s="467">
        <v>0.9</v>
      </c>
      <c r="F2730" s="467">
        <v>0.6</v>
      </c>
      <c r="G2730" s="467">
        <v>0.1</v>
      </c>
      <c r="H2730" s="467">
        <v>9.1999999999999993</v>
      </c>
      <c r="I2730" s="467">
        <v>8.6999999999999993</v>
      </c>
      <c r="J2730" s="41">
        <v>0</v>
      </c>
      <c r="K2730" s="467">
        <v>12.2</v>
      </c>
      <c r="L2730" s="451">
        <v>0</v>
      </c>
      <c r="M2730" s="451">
        <v>0</v>
      </c>
      <c r="N2730" s="467">
        <v>0</v>
      </c>
      <c r="O2730" s="467">
        <v>0</v>
      </c>
      <c r="P2730" s="467"/>
      <c r="Q2730" s="453"/>
      <c r="R2730" s="453"/>
      <c r="S2730" s="453"/>
      <c r="T2730" s="453"/>
      <c r="U2730" s="453"/>
      <c r="V2730" s="453"/>
    </row>
    <row r="2731" spans="1:24" s="21" customFormat="1" x14ac:dyDescent="0.2">
      <c r="A2731" s="405" t="s">
        <v>1486</v>
      </c>
      <c r="B2731" s="467">
        <v>63.6</v>
      </c>
      <c r="C2731" s="467">
        <v>32.200000000000003</v>
      </c>
      <c r="D2731" s="467">
        <v>3.5</v>
      </c>
      <c r="E2731" s="467">
        <v>1.3</v>
      </c>
      <c r="F2731" s="467">
        <v>0.6</v>
      </c>
      <c r="G2731" s="467">
        <v>0.4</v>
      </c>
      <c r="H2731" s="467">
        <v>9.5</v>
      </c>
      <c r="I2731" s="467">
        <v>8.6999999999999993</v>
      </c>
      <c r="J2731" s="41">
        <v>0</v>
      </c>
      <c r="K2731" s="467">
        <v>32.200000000000003</v>
      </c>
      <c r="L2731" s="451">
        <v>0</v>
      </c>
      <c r="M2731" s="451">
        <v>0</v>
      </c>
      <c r="N2731" s="467">
        <v>0</v>
      </c>
      <c r="O2731" s="467">
        <v>0</v>
      </c>
      <c r="P2731" s="467"/>
      <c r="Q2731" s="453"/>
      <c r="R2731" s="453"/>
      <c r="S2731" s="453"/>
      <c r="T2731" s="453"/>
      <c r="U2731" s="453"/>
      <c r="V2731" s="453"/>
    </row>
    <row r="2732" spans="1:24" s="21" customFormat="1" x14ac:dyDescent="0.2">
      <c r="A2732" s="405" t="s">
        <v>1485</v>
      </c>
      <c r="B2732" s="467">
        <v>66.2</v>
      </c>
      <c r="C2732" s="467">
        <v>35.700000000000003</v>
      </c>
      <c r="D2732" s="467">
        <v>3.5</v>
      </c>
      <c r="E2732" s="467">
        <v>1.3</v>
      </c>
      <c r="F2732" s="467">
        <v>0.6</v>
      </c>
      <c r="G2732" s="467">
        <v>0.4</v>
      </c>
      <c r="H2732" s="467">
        <v>9.5</v>
      </c>
      <c r="I2732" s="467">
        <v>8.6999999999999993</v>
      </c>
      <c r="J2732" s="41">
        <v>0</v>
      </c>
      <c r="K2732" s="467">
        <v>35.700000000000003</v>
      </c>
      <c r="L2732" s="451">
        <v>0</v>
      </c>
      <c r="M2732" s="451">
        <v>0</v>
      </c>
      <c r="N2732" s="467">
        <v>0</v>
      </c>
      <c r="O2732" s="467">
        <v>0</v>
      </c>
      <c r="P2732" s="467"/>
      <c r="Q2732" s="453"/>
      <c r="R2732" s="453"/>
      <c r="S2732" s="453"/>
      <c r="T2732" s="453"/>
      <c r="U2732" s="453"/>
      <c r="V2732" s="453"/>
    </row>
    <row r="2733" spans="1:24" s="21" customFormat="1" x14ac:dyDescent="0.2">
      <c r="A2733" s="405" t="s">
        <v>1359</v>
      </c>
      <c r="B2733" s="467">
        <v>66.2</v>
      </c>
      <c r="C2733" s="467">
        <v>51.4</v>
      </c>
      <c r="D2733" s="467">
        <v>4.4000000000000004</v>
      </c>
      <c r="E2733" s="467">
        <v>1.7</v>
      </c>
      <c r="F2733" s="467">
        <v>0.6</v>
      </c>
      <c r="G2733" s="467">
        <v>0.9</v>
      </c>
      <c r="H2733" s="467">
        <v>9.5</v>
      </c>
      <c r="I2733" s="467">
        <v>8.6999999999999993</v>
      </c>
      <c r="J2733" s="41">
        <v>0</v>
      </c>
      <c r="K2733" s="467">
        <v>51.4</v>
      </c>
      <c r="L2733" s="451">
        <v>0</v>
      </c>
      <c r="M2733" s="451">
        <v>0</v>
      </c>
      <c r="N2733" s="467">
        <v>0</v>
      </c>
      <c r="O2733" s="467">
        <v>0</v>
      </c>
      <c r="P2733" s="467"/>
      <c r="Q2733" s="453"/>
      <c r="R2733" s="453"/>
      <c r="S2733" s="453"/>
      <c r="T2733" s="453"/>
      <c r="U2733" s="453"/>
      <c r="V2733" s="453"/>
    </row>
    <row r="2734" spans="1:24" s="21" customFormat="1" x14ac:dyDescent="0.2">
      <c r="A2734" s="405" t="s">
        <v>1489</v>
      </c>
      <c r="B2734" s="41">
        <v>69.7</v>
      </c>
      <c r="C2734" s="467">
        <v>66.2</v>
      </c>
      <c r="D2734" s="467">
        <v>4.4000000000000004</v>
      </c>
      <c r="E2734" s="467">
        <v>1.7</v>
      </c>
      <c r="F2734" s="467">
        <v>0.6</v>
      </c>
      <c r="G2734" s="467">
        <v>0.9</v>
      </c>
      <c r="H2734" s="467">
        <v>9.5</v>
      </c>
      <c r="I2734" s="467">
        <v>8.6999999999999993</v>
      </c>
      <c r="J2734" s="41">
        <v>0</v>
      </c>
      <c r="K2734" s="467">
        <v>66.2</v>
      </c>
      <c r="L2734" s="468">
        <v>0</v>
      </c>
      <c r="M2734" s="451">
        <v>0</v>
      </c>
      <c r="N2734" s="467">
        <v>0</v>
      </c>
      <c r="O2734" s="467">
        <v>0</v>
      </c>
      <c r="P2734" s="467"/>
    </row>
    <row r="2735" spans="1:24" s="453" customFormat="1" x14ac:dyDescent="0.2">
      <c r="A2735" s="405" t="s">
        <v>1488</v>
      </c>
      <c r="B2735" s="41">
        <v>69.7</v>
      </c>
      <c r="C2735" s="41">
        <v>63.6</v>
      </c>
      <c r="D2735" s="467">
        <v>4.4000000000000004</v>
      </c>
      <c r="E2735" s="467">
        <v>1.7</v>
      </c>
      <c r="F2735" s="467">
        <v>0.6</v>
      </c>
      <c r="G2735" s="467">
        <v>0.9</v>
      </c>
      <c r="H2735" s="467">
        <v>9.5</v>
      </c>
      <c r="I2735" s="467">
        <v>8.6999999999999993</v>
      </c>
      <c r="J2735" s="41">
        <v>0</v>
      </c>
      <c r="K2735" s="41">
        <v>63.6</v>
      </c>
      <c r="L2735" s="451">
        <v>0</v>
      </c>
      <c r="M2735" s="451">
        <v>0</v>
      </c>
      <c r="N2735" s="467">
        <v>0</v>
      </c>
      <c r="O2735" s="467">
        <v>0</v>
      </c>
      <c r="P2735" s="467"/>
    </row>
    <row r="2736" spans="1:24" s="453" customFormat="1" x14ac:dyDescent="0.2">
      <c r="A2736" s="405" t="s">
        <v>1487</v>
      </c>
      <c r="B2736" s="41">
        <v>69.7</v>
      </c>
      <c r="C2736" s="467">
        <v>64.5</v>
      </c>
      <c r="D2736" s="467">
        <v>4.4000000000000004</v>
      </c>
      <c r="E2736" s="467">
        <v>1.7</v>
      </c>
      <c r="F2736" s="467">
        <v>0.6</v>
      </c>
      <c r="G2736" s="467">
        <v>0.9</v>
      </c>
      <c r="H2736" s="467">
        <v>9.5</v>
      </c>
      <c r="I2736" s="467">
        <v>8.6999999999999993</v>
      </c>
      <c r="J2736" s="41">
        <v>0</v>
      </c>
      <c r="K2736" s="467">
        <v>64.5</v>
      </c>
      <c r="L2736" s="468">
        <v>0</v>
      </c>
      <c r="M2736" s="451">
        <v>0</v>
      </c>
      <c r="N2736" s="467">
        <v>0</v>
      </c>
      <c r="O2736" s="467">
        <v>0</v>
      </c>
      <c r="P2736" s="467"/>
    </row>
    <row r="2737" spans="1:24" s="535" customFormat="1" x14ac:dyDescent="0.2">
      <c r="A2737" s="518" t="s">
        <v>2198</v>
      </c>
      <c r="F2737" s="1624"/>
      <c r="G2737" s="1624"/>
      <c r="H2737" s="1624"/>
      <c r="I2737" s="1624"/>
      <c r="J2737" s="1624"/>
      <c r="K2737" s="1624"/>
      <c r="L2737" s="1624"/>
      <c r="M2737" s="1624"/>
      <c r="N2737" s="1624"/>
    </row>
    <row r="2738" spans="1:24" s="292" customFormat="1" x14ac:dyDescent="0.2"/>
    <row r="2740" spans="1:24" s="125" customFormat="1" ht="14.25" customHeight="1" x14ac:dyDescent="0.2">
      <c r="A2740" s="377" t="s">
        <v>2193</v>
      </c>
      <c r="D2740" s="1075"/>
      <c r="E2740" s="1075"/>
      <c r="F2740" s="1075"/>
      <c r="G2740" s="1075"/>
      <c r="H2740" s="1075"/>
      <c r="I2740" s="1075"/>
      <c r="L2740" s="1075"/>
    </row>
    <row r="2741" spans="1:24" s="773" customFormat="1" ht="16.25" customHeight="1" x14ac:dyDescent="0.2">
      <c r="A2741" s="753" t="s">
        <v>2200</v>
      </c>
      <c r="B2741" s="442" t="s">
        <v>2195</v>
      </c>
      <c r="C2741" s="442" t="s">
        <v>2195</v>
      </c>
      <c r="D2741" s="442" t="s">
        <v>2195</v>
      </c>
      <c r="E2741" s="442" t="s">
        <v>2195</v>
      </c>
      <c r="F2741" s="442" t="s">
        <v>2195</v>
      </c>
      <c r="G2741" s="442" t="s">
        <v>2195</v>
      </c>
      <c r="H2741" s="442" t="s">
        <v>2195</v>
      </c>
      <c r="I2741" s="442" t="s">
        <v>2195</v>
      </c>
      <c r="J2741" s="442" t="s">
        <v>2195</v>
      </c>
      <c r="K2741" s="442" t="s">
        <v>2195</v>
      </c>
      <c r="L2741" s="442" t="s">
        <v>2195</v>
      </c>
      <c r="M2741" s="442" t="s">
        <v>2195</v>
      </c>
      <c r="N2741" s="442" t="s">
        <v>2195</v>
      </c>
      <c r="O2741" s="442" t="s">
        <v>2195</v>
      </c>
      <c r="P2741" s="442"/>
      <c r="Q2741" s="442"/>
      <c r="R2741" s="442"/>
      <c r="S2741" s="442"/>
      <c r="T2741" s="442"/>
      <c r="U2741" s="442"/>
      <c r="V2741" s="442"/>
    </row>
    <row r="2742" spans="1:24" s="291" customFormat="1" ht="16" x14ac:dyDescent="0.2">
      <c r="A2742" s="1641" t="s">
        <v>57</v>
      </c>
      <c r="B2742" s="1642" t="s">
        <v>1664</v>
      </c>
      <c r="C2742" s="1642" t="s">
        <v>1665</v>
      </c>
      <c r="D2742" s="1642" t="s">
        <v>1666</v>
      </c>
      <c r="E2742" s="1642" t="s">
        <v>1667</v>
      </c>
      <c r="F2742" s="1642" t="s">
        <v>2174</v>
      </c>
      <c r="G2742" s="1642" t="s">
        <v>1668</v>
      </c>
      <c r="H2742" s="1642" t="s">
        <v>1669</v>
      </c>
      <c r="I2742" s="1642" t="s">
        <v>1670</v>
      </c>
      <c r="J2742" s="1642" t="s">
        <v>1671</v>
      </c>
      <c r="K2742" s="1642" t="s">
        <v>1672</v>
      </c>
      <c r="L2742" s="1642" t="s">
        <v>1673</v>
      </c>
      <c r="M2742" s="291" t="s">
        <v>1674</v>
      </c>
      <c r="N2742" s="2152" t="s">
        <v>1675</v>
      </c>
      <c r="O2742" s="2152" t="s">
        <v>1676</v>
      </c>
      <c r="P2742" s="1658" t="s">
        <v>2175</v>
      </c>
      <c r="Q2742" s="453"/>
      <c r="R2742" s="453"/>
      <c r="S2742" s="453"/>
      <c r="T2742" s="453"/>
      <c r="U2742" s="453"/>
      <c r="V2742" s="453"/>
      <c r="W2742" s="21"/>
      <c r="X2742" s="21"/>
    </row>
    <row r="2743" spans="1:24" s="1093" customFormat="1" ht="16" x14ac:dyDescent="0.2">
      <c r="A2743" s="523" t="s">
        <v>2196</v>
      </c>
      <c r="B2743" s="1636" t="s">
        <v>2197</v>
      </c>
      <c r="C2743" s="1636" t="s">
        <v>2197</v>
      </c>
      <c r="D2743" s="1636" t="s">
        <v>2197</v>
      </c>
      <c r="E2743" s="1636" t="s">
        <v>2197</v>
      </c>
      <c r="F2743" s="1636" t="s">
        <v>2197</v>
      </c>
      <c r="G2743" s="1636" t="s">
        <v>2197</v>
      </c>
      <c r="H2743" s="1636" t="s">
        <v>2197</v>
      </c>
      <c r="I2743" s="1636" t="s">
        <v>2197</v>
      </c>
      <c r="J2743" s="1636" t="s">
        <v>2197</v>
      </c>
      <c r="K2743" s="1636" t="s">
        <v>2197</v>
      </c>
      <c r="L2743" s="1631" t="s">
        <v>2197</v>
      </c>
      <c r="M2743" s="1631" t="s">
        <v>2197</v>
      </c>
      <c r="N2743" s="732" t="s">
        <v>2197</v>
      </c>
      <c r="O2743" s="732" t="s">
        <v>2197</v>
      </c>
      <c r="P2743" s="732"/>
      <c r="Q2743" s="1092"/>
      <c r="R2743" s="1092"/>
      <c r="S2743" s="1092"/>
      <c r="T2743" s="1092"/>
      <c r="U2743" s="1092"/>
      <c r="V2743" s="1092"/>
    </row>
    <row r="2744" spans="1:24" s="21" customFormat="1" x14ac:dyDescent="0.2">
      <c r="A2744" s="407" t="s">
        <v>1484</v>
      </c>
      <c r="B2744" s="470">
        <v>72.400000000000006</v>
      </c>
      <c r="C2744" s="470">
        <v>25.3</v>
      </c>
      <c r="D2744" s="470">
        <v>2.4</v>
      </c>
      <c r="E2744" s="470">
        <v>1.2</v>
      </c>
      <c r="F2744" s="470">
        <v>0.6</v>
      </c>
      <c r="G2744" s="470">
        <v>0.1</v>
      </c>
      <c r="H2744" s="470">
        <v>2.4</v>
      </c>
      <c r="I2744" s="470">
        <v>12.1</v>
      </c>
      <c r="J2744" s="44">
        <v>0</v>
      </c>
      <c r="K2744" s="470">
        <v>25.3</v>
      </c>
      <c r="L2744" s="1640">
        <v>0</v>
      </c>
      <c r="M2744" s="451">
        <v>0</v>
      </c>
      <c r="N2744" s="467">
        <v>0</v>
      </c>
      <c r="O2744" s="467">
        <v>0</v>
      </c>
      <c r="P2744" s="467"/>
      <c r="Q2744" s="453"/>
      <c r="R2744" s="453"/>
      <c r="S2744" s="453"/>
      <c r="T2744" s="453"/>
      <c r="U2744" s="453"/>
      <c r="V2744" s="453"/>
    </row>
    <row r="2745" spans="1:24" s="21" customFormat="1" x14ac:dyDescent="0.2">
      <c r="A2745" s="405" t="s">
        <v>1483</v>
      </c>
      <c r="B2745" s="467">
        <v>80.8</v>
      </c>
      <c r="C2745" s="467">
        <v>31.4</v>
      </c>
      <c r="D2745" s="467">
        <v>2.4</v>
      </c>
      <c r="E2745" s="467">
        <v>1.2</v>
      </c>
      <c r="F2745" s="467">
        <v>0.6</v>
      </c>
      <c r="G2745" s="467">
        <v>0.1</v>
      </c>
      <c r="H2745" s="467">
        <v>2.4</v>
      </c>
      <c r="I2745" s="467">
        <v>12.1</v>
      </c>
      <c r="J2745" s="41">
        <v>0</v>
      </c>
      <c r="K2745" s="467">
        <v>31.4</v>
      </c>
      <c r="L2745" s="451">
        <v>0</v>
      </c>
      <c r="M2745" s="451">
        <v>0</v>
      </c>
      <c r="N2745" s="467">
        <v>0</v>
      </c>
      <c r="O2745" s="467">
        <v>0</v>
      </c>
      <c r="P2745" s="467"/>
      <c r="Q2745" s="453"/>
      <c r="R2745" s="453"/>
      <c r="S2745" s="453"/>
      <c r="T2745" s="453"/>
      <c r="U2745" s="453"/>
      <c r="V2745" s="453"/>
    </row>
    <row r="2746" spans="1:24" s="21" customFormat="1" x14ac:dyDescent="0.2">
      <c r="A2746" s="405" t="s">
        <v>1491</v>
      </c>
      <c r="B2746" s="467">
        <v>60.3</v>
      </c>
      <c r="C2746" s="467">
        <v>16.899999999999999</v>
      </c>
      <c r="D2746" s="467">
        <v>2.4</v>
      </c>
      <c r="E2746" s="467">
        <v>1.2</v>
      </c>
      <c r="F2746" s="467">
        <v>0.6</v>
      </c>
      <c r="G2746" s="467">
        <v>0.1</v>
      </c>
      <c r="H2746" s="467">
        <v>2.4</v>
      </c>
      <c r="I2746" s="467">
        <v>12.1</v>
      </c>
      <c r="J2746" s="41">
        <v>0</v>
      </c>
      <c r="K2746" s="467">
        <v>16.899999999999999</v>
      </c>
      <c r="L2746" s="468">
        <v>0</v>
      </c>
      <c r="M2746" s="451">
        <v>0</v>
      </c>
      <c r="N2746" s="467">
        <v>0</v>
      </c>
      <c r="O2746" s="467">
        <v>0</v>
      </c>
      <c r="P2746" s="467"/>
      <c r="Q2746" s="453"/>
      <c r="R2746" s="453"/>
      <c r="S2746" s="453"/>
      <c r="T2746" s="453"/>
      <c r="U2746" s="453"/>
      <c r="V2746" s="453"/>
    </row>
    <row r="2747" spans="1:24" s="21" customFormat="1" x14ac:dyDescent="0.2">
      <c r="A2747" s="405" t="s">
        <v>1490</v>
      </c>
      <c r="B2747" s="41">
        <v>59.1</v>
      </c>
      <c r="C2747" s="467">
        <v>16.899999999999999</v>
      </c>
      <c r="D2747" s="467">
        <v>2.4</v>
      </c>
      <c r="E2747" s="467">
        <v>1.2</v>
      </c>
      <c r="F2747" s="467">
        <v>0.6</v>
      </c>
      <c r="G2747" s="467">
        <v>0.1</v>
      </c>
      <c r="H2747" s="467">
        <v>2.4</v>
      </c>
      <c r="I2747" s="467">
        <v>12.1</v>
      </c>
      <c r="J2747" s="41">
        <v>0</v>
      </c>
      <c r="K2747" s="467">
        <v>16.899999999999999</v>
      </c>
      <c r="L2747" s="451">
        <v>0</v>
      </c>
      <c r="M2747" s="451">
        <v>0</v>
      </c>
      <c r="N2747" s="467">
        <v>0</v>
      </c>
      <c r="O2747" s="467">
        <v>0</v>
      </c>
      <c r="P2747" s="467"/>
      <c r="Q2747" s="453"/>
      <c r="R2747" s="453"/>
      <c r="S2747" s="453"/>
      <c r="T2747" s="453"/>
      <c r="U2747" s="453"/>
      <c r="V2747" s="453"/>
    </row>
    <row r="2748" spans="1:24" s="21" customFormat="1" x14ac:dyDescent="0.2">
      <c r="A2748" s="405" t="s">
        <v>1486</v>
      </c>
      <c r="B2748" s="467">
        <v>88</v>
      </c>
      <c r="C2748" s="467">
        <v>44.6</v>
      </c>
      <c r="D2748" s="467">
        <v>4.8</v>
      </c>
      <c r="E2748" s="467">
        <v>1.8</v>
      </c>
      <c r="F2748" s="467">
        <v>0.6</v>
      </c>
      <c r="G2748" s="467">
        <v>0.6</v>
      </c>
      <c r="H2748" s="467">
        <v>2.7</v>
      </c>
      <c r="I2748" s="467">
        <v>12.1</v>
      </c>
      <c r="J2748" s="41">
        <v>0</v>
      </c>
      <c r="K2748" s="467">
        <v>44.6</v>
      </c>
      <c r="L2748" s="451">
        <v>0</v>
      </c>
      <c r="M2748" s="451">
        <v>0</v>
      </c>
      <c r="N2748" s="467">
        <v>0</v>
      </c>
      <c r="O2748" s="467">
        <v>0</v>
      </c>
      <c r="P2748" s="467"/>
      <c r="Q2748" s="453"/>
      <c r="R2748" s="453"/>
      <c r="S2748" s="453"/>
      <c r="T2748" s="453"/>
      <c r="U2748" s="453"/>
      <c r="V2748" s="453"/>
    </row>
    <row r="2749" spans="1:24" s="21" customFormat="1" x14ac:dyDescent="0.2">
      <c r="A2749" s="405" t="s">
        <v>1485</v>
      </c>
      <c r="B2749" s="467">
        <v>91.7</v>
      </c>
      <c r="C2749" s="467">
        <v>49.4</v>
      </c>
      <c r="D2749" s="467">
        <v>4.8</v>
      </c>
      <c r="E2749" s="467">
        <v>1.8</v>
      </c>
      <c r="F2749" s="467">
        <v>0.6</v>
      </c>
      <c r="G2749" s="467">
        <v>0.6</v>
      </c>
      <c r="H2749" s="467">
        <v>2.7</v>
      </c>
      <c r="I2749" s="467">
        <v>12.1</v>
      </c>
      <c r="J2749" s="41">
        <v>0</v>
      </c>
      <c r="K2749" s="467">
        <v>49.4</v>
      </c>
      <c r="L2749" s="451">
        <v>0</v>
      </c>
      <c r="M2749" s="451">
        <v>0</v>
      </c>
      <c r="N2749" s="467">
        <v>0</v>
      </c>
      <c r="O2749" s="467">
        <v>0</v>
      </c>
      <c r="P2749" s="467"/>
      <c r="Q2749" s="453"/>
      <c r="R2749" s="453"/>
      <c r="S2749" s="453"/>
      <c r="T2749" s="453"/>
      <c r="U2749" s="453"/>
      <c r="V2749" s="453"/>
    </row>
    <row r="2750" spans="1:24" s="21" customFormat="1" x14ac:dyDescent="0.2">
      <c r="A2750" s="405" t="s">
        <v>1359</v>
      </c>
      <c r="B2750" s="467">
        <v>91.7</v>
      </c>
      <c r="C2750" s="467">
        <v>71.2</v>
      </c>
      <c r="D2750" s="467">
        <v>6</v>
      </c>
      <c r="E2750" s="467">
        <v>2.4</v>
      </c>
      <c r="F2750" s="467">
        <v>0.6</v>
      </c>
      <c r="G2750" s="467">
        <v>1.2</v>
      </c>
      <c r="H2750" s="467">
        <v>2.8</v>
      </c>
      <c r="I2750" s="467">
        <v>12.1</v>
      </c>
      <c r="J2750" s="41">
        <v>0</v>
      </c>
      <c r="K2750" s="467">
        <v>71.2</v>
      </c>
      <c r="L2750" s="451">
        <v>0</v>
      </c>
      <c r="M2750" s="451">
        <v>0</v>
      </c>
      <c r="N2750" s="467">
        <v>0</v>
      </c>
      <c r="O2750" s="467">
        <v>0</v>
      </c>
      <c r="P2750" s="467"/>
      <c r="Q2750" s="453"/>
      <c r="R2750" s="453"/>
      <c r="S2750" s="453"/>
      <c r="T2750" s="453"/>
      <c r="U2750" s="453"/>
      <c r="V2750" s="453"/>
    </row>
    <row r="2751" spans="1:24" s="21" customFormat="1" x14ac:dyDescent="0.2">
      <c r="A2751" s="405" t="s">
        <v>1489</v>
      </c>
      <c r="B2751" s="41">
        <v>96.5</v>
      </c>
      <c r="C2751" s="467">
        <v>91.7</v>
      </c>
      <c r="D2751" s="467">
        <v>6</v>
      </c>
      <c r="E2751" s="467">
        <v>2.4</v>
      </c>
      <c r="F2751" s="467">
        <v>0.6</v>
      </c>
      <c r="G2751" s="467">
        <v>1.2</v>
      </c>
      <c r="H2751" s="467">
        <v>2.8</v>
      </c>
      <c r="I2751" s="467">
        <v>12.1</v>
      </c>
      <c r="J2751" s="41">
        <v>0</v>
      </c>
      <c r="K2751" s="467">
        <v>91.7</v>
      </c>
      <c r="L2751" s="468">
        <v>0</v>
      </c>
      <c r="M2751" s="451">
        <v>0</v>
      </c>
      <c r="N2751" s="467">
        <v>0</v>
      </c>
      <c r="O2751" s="467">
        <v>0</v>
      </c>
      <c r="P2751" s="467"/>
    </row>
    <row r="2752" spans="1:24" s="453" customFormat="1" x14ac:dyDescent="0.2">
      <c r="A2752" s="405" t="s">
        <v>1488</v>
      </c>
      <c r="B2752" s="41">
        <v>96.5</v>
      </c>
      <c r="C2752" s="41">
        <v>88</v>
      </c>
      <c r="D2752" s="467">
        <v>6</v>
      </c>
      <c r="E2752" s="467">
        <v>2.4</v>
      </c>
      <c r="F2752" s="467">
        <v>0.6</v>
      </c>
      <c r="G2752" s="467">
        <v>1.2</v>
      </c>
      <c r="H2752" s="467">
        <v>2.8</v>
      </c>
      <c r="I2752" s="467">
        <v>12.1</v>
      </c>
      <c r="J2752" s="41">
        <v>0</v>
      </c>
      <c r="K2752" s="41">
        <v>88</v>
      </c>
      <c r="L2752" s="451">
        <v>0</v>
      </c>
      <c r="M2752" s="451">
        <v>0</v>
      </c>
      <c r="N2752" s="467">
        <v>0</v>
      </c>
      <c r="O2752" s="467">
        <v>0</v>
      </c>
      <c r="P2752" s="467"/>
    </row>
    <row r="2753" spans="1:24" s="453" customFormat="1" x14ac:dyDescent="0.2">
      <c r="A2753" s="405" t="s">
        <v>1487</v>
      </c>
      <c r="B2753" s="41">
        <v>96.5</v>
      </c>
      <c r="C2753" s="467">
        <v>89.2</v>
      </c>
      <c r="D2753" s="467">
        <v>6</v>
      </c>
      <c r="E2753" s="467">
        <v>2.4</v>
      </c>
      <c r="F2753" s="467">
        <v>0.6</v>
      </c>
      <c r="G2753" s="467">
        <v>1.2</v>
      </c>
      <c r="H2753" s="467">
        <v>2.8</v>
      </c>
      <c r="I2753" s="467">
        <v>12.1</v>
      </c>
      <c r="J2753" s="41">
        <v>0</v>
      </c>
      <c r="K2753" s="467">
        <v>89.2</v>
      </c>
      <c r="L2753" s="468">
        <v>0</v>
      </c>
      <c r="M2753" s="451">
        <v>0</v>
      </c>
      <c r="N2753" s="467">
        <v>0</v>
      </c>
      <c r="O2753" s="467">
        <v>0</v>
      </c>
      <c r="P2753" s="467"/>
    </row>
    <row r="2754" spans="1:24" s="535" customFormat="1" x14ac:dyDescent="0.2">
      <c r="A2754" s="518" t="s">
        <v>2198</v>
      </c>
      <c r="F2754" s="1624"/>
      <c r="G2754" s="1624"/>
      <c r="H2754" s="1624"/>
      <c r="I2754" s="1624"/>
      <c r="J2754" s="1624"/>
      <c r="K2754" s="1624"/>
      <c r="L2754" s="1624"/>
      <c r="M2754" s="1624"/>
      <c r="N2754" s="1624"/>
    </row>
    <row r="2755" spans="1:24" s="292" customFormat="1" x14ac:dyDescent="0.2"/>
    <row r="2757" spans="1:24" s="125" customFormat="1" ht="14.25" customHeight="1" x14ac:dyDescent="0.2">
      <c r="A2757" s="377" t="s">
        <v>2193</v>
      </c>
      <c r="D2757" s="1075"/>
      <c r="E2757" s="1075"/>
      <c r="F2757" s="1075"/>
      <c r="G2757" s="1075"/>
      <c r="H2757" s="1075"/>
      <c r="I2757" s="1075"/>
      <c r="L2757" s="1075"/>
    </row>
    <row r="2758" spans="1:24" s="773" customFormat="1" ht="16.25" customHeight="1" x14ac:dyDescent="0.2">
      <c r="A2758" s="753" t="s">
        <v>2201</v>
      </c>
      <c r="B2758" s="442" t="s">
        <v>2195</v>
      </c>
      <c r="C2758" s="442" t="s">
        <v>2195</v>
      </c>
      <c r="D2758" s="442" t="s">
        <v>2195</v>
      </c>
      <c r="E2758" s="442" t="s">
        <v>2195</v>
      </c>
      <c r="F2758" s="442" t="s">
        <v>2195</v>
      </c>
      <c r="G2758" s="442" t="s">
        <v>2195</v>
      </c>
      <c r="H2758" s="442" t="s">
        <v>2195</v>
      </c>
      <c r="I2758" s="442" t="s">
        <v>2195</v>
      </c>
      <c r="J2758" s="442" t="s">
        <v>2195</v>
      </c>
      <c r="K2758" s="442" t="s">
        <v>2195</v>
      </c>
      <c r="L2758" s="442" t="s">
        <v>2195</v>
      </c>
      <c r="M2758" s="442" t="s">
        <v>2195</v>
      </c>
      <c r="N2758" s="442" t="s">
        <v>2195</v>
      </c>
      <c r="O2758" s="442" t="s">
        <v>2195</v>
      </c>
      <c r="P2758" s="442"/>
      <c r="Q2758" s="442"/>
      <c r="R2758" s="442"/>
      <c r="S2758" s="442"/>
      <c r="T2758" s="442"/>
      <c r="U2758" s="442"/>
      <c r="V2758" s="442"/>
    </row>
    <row r="2759" spans="1:24" s="291" customFormat="1" ht="16" x14ac:dyDescent="0.2">
      <c r="A2759" s="1641" t="s">
        <v>57</v>
      </c>
      <c r="B2759" s="1642" t="s">
        <v>1664</v>
      </c>
      <c r="C2759" s="1642" t="s">
        <v>1665</v>
      </c>
      <c r="D2759" s="1642" t="s">
        <v>1666</v>
      </c>
      <c r="E2759" s="1642" t="s">
        <v>1667</v>
      </c>
      <c r="F2759" s="1642" t="s">
        <v>2174</v>
      </c>
      <c r="G2759" s="1642" t="s">
        <v>1668</v>
      </c>
      <c r="H2759" s="1642" t="s">
        <v>1669</v>
      </c>
      <c r="I2759" s="1642" t="s">
        <v>1670</v>
      </c>
      <c r="J2759" s="1642" t="s">
        <v>1671</v>
      </c>
      <c r="K2759" s="1642" t="s">
        <v>1672</v>
      </c>
      <c r="L2759" s="1642" t="s">
        <v>1673</v>
      </c>
      <c r="M2759" s="291" t="s">
        <v>1674</v>
      </c>
      <c r="N2759" s="2152" t="s">
        <v>1675</v>
      </c>
      <c r="O2759" s="2152" t="s">
        <v>1676</v>
      </c>
      <c r="P2759" s="1658" t="s">
        <v>2175</v>
      </c>
      <c r="Q2759" s="453"/>
      <c r="R2759" s="453"/>
      <c r="S2759" s="453"/>
      <c r="T2759" s="453"/>
      <c r="U2759" s="453"/>
      <c r="V2759" s="453"/>
      <c r="W2759" s="21"/>
      <c r="X2759" s="21"/>
    </row>
    <row r="2760" spans="1:24" s="1093" customFormat="1" ht="16" x14ac:dyDescent="0.2">
      <c r="A2760" s="523" t="s">
        <v>2196</v>
      </c>
      <c r="B2760" s="1636" t="s">
        <v>2197</v>
      </c>
      <c r="C2760" s="1636" t="s">
        <v>2197</v>
      </c>
      <c r="D2760" s="1636" t="s">
        <v>2197</v>
      </c>
      <c r="E2760" s="1636" t="s">
        <v>2197</v>
      </c>
      <c r="F2760" s="1636" t="s">
        <v>2197</v>
      </c>
      <c r="G2760" s="1636" t="s">
        <v>2197</v>
      </c>
      <c r="H2760" s="1636" t="s">
        <v>2197</v>
      </c>
      <c r="I2760" s="1636" t="s">
        <v>2197</v>
      </c>
      <c r="J2760" s="1636" t="s">
        <v>2197</v>
      </c>
      <c r="K2760" s="1636" t="s">
        <v>2197</v>
      </c>
      <c r="L2760" s="1631" t="s">
        <v>2197</v>
      </c>
      <c r="M2760" s="1631" t="s">
        <v>2197</v>
      </c>
      <c r="N2760" s="732" t="s">
        <v>2197</v>
      </c>
      <c r="O2760" s="732" t="s">
        <v>2197</v>
      </c>
      <c r="P2760" s="732"/>
      <c r="Q2760" s="1092"/>
      <c r="R2760" s="1092"/>
      <c r="S2760" s="1092"/>
      <c r="T2760" s="1092"/>
      <c r="U2760" s="1092"/>
      <c r="V2760" s="1092"/>
    </row>
    <row r="2761" spans="1:24" s="21" customFormat="1" x14ac:dyDescent="0.2">
      <c r="A2761" s="407" t="s">
        <v>1484</v>
      </c>
      <c r="B2761" s="470">
        <v>52.3</v>
      </c>
      <c r="C2761" s="470">
        <v>18.3</v>
      </c>
      <c r="D2761" s="470">
        <v>1.7</v>
      </c>
      <c r="E2761" s="470">
        <v>0.9</v>
      </c>
      <c r="F2761" s="470">
        <v>0.6</v>
      </c>
      <c r="G2761" s="470">
        <v>0.1</v>
      </c>
      <c r="H2761" s="470">
        <v>9.1999999999999993</v>
      </c>
      <c r="I2761" s="470">
        <v>8.6999999999999993</v>
      </c>
      <c r="J2761" s="44">
        <v>0</v>
      </c>
      <c r="K2761" s="470">
        <v>18.3</v>
      </c>
      <c r="L2761" s="1640">
        <v>0</v>
      </c>
      <c r="M2761" s="451">
        <v>0</v>
      </c>
      <c r="N2761" s="467">
        <v>0</v>
      </c>
      <c r="O2761" s="467">
        <v>0</v>
      </c>
      <c r="P2761" s="467"/>
      <c r="Q2761" s="453"/>
      <c r="R2761" s="453"/>
      <c r="S2761" s="453"/>
      <c r="T2761" s="453"/>
      <c r="U2761" s="453"/>
      <c r="V2761" s="453"/>
    </row>
    <row r="2762" spans="1:24" s="21" customFormat="1" x14ac:dyDescent="0.2">
      <c r="A2762" s="405" t="s">
        <v>1483</v>
      </c>
      <c r="B2762" s="467">
        <v>58.4</v>
      </c>
      <c r="C2762" s="467">
        <v>22.6</v>
      </c>
      <c r="D2762" s="467">
        <v>1.7</v>
      </c>
      <c r="E2762" s="467">
        <v>0.9</v>
      </c>
      <c r="F2762" s="467">
        <v>0.6</v>
      </c>
      <c r="G2762" s="467">
        <v>0.1</v>
      </c>
      <c r="H2762" s="467">
        <v>9.1999999999999993</v>
      </c>
      <c r="I2762" s="467">
        <v>8.6999999999999993</v>
      </c>
      <c r="J2762" s="41">
        <v>0</v>
      </c>
      <c r="K2762" s="467">
        <v>22.6</v>
      </c>
      <c r="L2762" s="451">
        <v>0</v>
      </c>
      <c r="M2762" s="451">
        <v>0</v>
      </c>
      <c r="N2762" s="467">
        <v>0</v>
      </c>
      <c r="O2762" s="467">
        <v>0</v>
      </c>
      <c r="P2762" s="467"/>
      <c r="Q2762" s="453"/>
      <c r="R2762" s="453"/>
      <c r="S2762" s="453"/>
      <c r="T2762" s="453"/>
      <c r="U2762" s="453"/>
      <c r="V2762" s="453"/>
    </row>
    <row r="2763" spans="1:24" s="21" customFormat="1" x14ac:dyDescent="0.2">
      <c r="A2763" s="405" t="s">
        <v>1491</v>
      </c>
      <c r="B2763" s="467">
        <v>43.6</v>
      </c>
      <c r="C2763" s="467">
        <v>12.2</v>
      </c>
      <c r="D2763" s="467">
        <v>1.7</v>
      </c>
      <c r="E2763" s="467">
        <v>0.9</v>
      </c>
      <c r="F2763" s="467">
        <v>0.6</v>
      </c>
      <c r="G2763" s="467">
        <v>0.1</v>
      </c>
      <c r="H2763" s="467">
        <v>9.1999999999999993</v>
      </c>
      <c r="I2763" s="467">
        <v>8.6999999999999993</v>
      </c>
      <c r="J2763" s="41">
        <v>0</v>
      </c>
      <c r="K2763" s="467">
        <v>12.2</v>
      </c>
      <c r="L2763" s="468">
        <v>0</v>
      </c>
      <c r="M2763" s="451">
        <v>0</v>
      </c>
      <c r="N2763" s="467">
        <v>0</v>
      </c>
      <c r="O2763" s="467">
        <v>0</v>
      </c>
      <c r="P2763" s="467"/>
      <c r="Q2763" s="453"/>
      <c r="R2763" s="453"/>
      <c r="S2763" s="453"/>
      <c r="T2763" s="453"/>
      <c r="U2763" s="453"/>
      <c r="V2763" s="453"/>
    </row>
    <row r="2764" spans="1:24" s="21" customFormat="1" x14ac:dyDescent="0.2">
      <c r="A2764" s="405" t="s">
        <v>1490</v>
      </c>
      <c r="B2764" s="41">
        <v>42.7</v>
      </c>
      <c r="C2764" s="467">
        <v>12.2</v>
      </c>
      <c r="D2764" s="467">
        <v>1.7</v>
      </c>
      <c r="E2764" s="467">
        <v>0.9</v>
      </c>
      <c r="F2764" s="467">
        <v>0.6</v>
      </c>
      <c r="G2764" s="467">
        <v>0.1</v>
      </c>
      <c r="H2764" s="467">
        <v>9.1999999999999993</v>
      </c>
      <c r="I2764" s="467">
        <v>8.6999999999999993</v>
      </c>
      <c r="J2764" s="41">
        <v>0</v>
      </c>
      <c r="K2764" s="467">
        <v>12.2</v>
      </c>
      <c r="L2764" s="451">
        <v>0</v>
      </c>
      <c r="M2764" s="451">
        <v>0</v>
      </c>
      <c r="N2764" s="467">
        <v>0</v>
      </c>
      <c r="O2764" s="467">
        <v>0</v>
      </c>
      <c r="P2764" s="467"/>
      <c r="Q2764" s="453"/>
      <c r="R2764" s="453"/>
      <c r="S2764" s="453"/>
      <c r="T2764" s="453"/>
      <c r="U2764" s="453"/>
      <c r="V2764" s="453"/>
    </row>
    <row r="2765" spans="1:24" s="21" customFormat="1" x14ac:dyDescent="0.2">
      <c r="A2765" s="405" t="s">
        <v>1486</v>
      </c>
      <c r="B2765" s="467">
        <v>63.6</v>
      </c>
      <c r="C2765" s="467">
        <v>32.200000000000003</v>
      </c>
      <c r="D2765" s="467">
        <v>3.5</v>
      </c>
      <c r="E2765" s="467">
        <v>1.3</v>
      </c>
      <c r="F2765" s="467">
        <v>0.6</v>
      </c>
      <c r="G2765" s="467">
        <v>0.4</v>
      </c>
      <c r="H2765" s="467">
        <v>9.5</v>
      </c>
      <c r="I2765" s="467">
        <v>8.6999999999999993</v>
      </c>
      <c r="J2765" s="41">
        <v>0</v>
      </c>
      <c r="K2765" s="467">
        <v>32.200000000000003</v>
      </c>
      <c r="L2765" s="451">
        <v>0</v>
      </c>
      <c r="M2765" s="451">
        <v>0</v>
      </c>
      <c r="N2765" s="467">
        <v>0</v>
      </c>
      <c r="O2765" s="467">
        <v>0</v>
      </c>
      <c r="P2765" s="467"/>
      <c r="Q2765" s="453"/>
      <c r="R2765" s="453"/>
      <c r="S2765" s="453"/>
      <c r="T2765" s="453"/>
      <c r="U2765" s="453"/>
      <c r="V2765" s="453"/>
    </row>
    <row r="2766" spans="1:24" s="21" customFormat="1" x14ac:dyDescent="0.2">
      <c r="A2766" s="405" t="s">
        <v>1485</v>
      </c>
      <c r="B2766" s="467">
        <v>66.2</v>
      </c>
      <c r="C2766" s="467">
        <v>35.700000000000003</v>
      </c>
      <c r="D2766" s="467">
        <v>3.5</v>
      </c>
      <c r="E2766" s="467">
        <v>1.3</v>
      </c>
      <c r="F2766" s="467">
        <v>0.6</v>
      </c>
      <c r="G2766" s="467">
        <v>0.4</v>
      </c>
      <c r="H2766" s="467">
        <v>9.5</v>
      </c>
      <c r="I2766" s="467">
        <v>8.6999999999999993</v>
      </c>
      <c r="J2766" s="41">
        <v>0</v>
      </c>
      <c r="K2766" s="467">
        <v>35.700000000000003</v>
      </c>
      <c r="L2766" s="451">
        <v>0</v>
      </c>
      <c r="M2766" s="451">
        <v>0</v>
      </c>
      <c r="N2766" s="467">
        <v>0</v>
      </c>
      <c r="O2766" s="467">
        <v>0</v>
      </c>
      <c r="P2766" s="467"/>
      <c r="Q2766" s="453"/>
      <c r="R2766" s="453"/>
      <c r="S2766" s="453"/>
      <c r="T2766" s="453"/>
      <c r="U2766" s="453"/>
      <c r="V2766" s="453"/>
    </row>
    <row r="2767" spans="1:24" s="21" customFormat="1" x14ac:dyDescent="0.2">
      <c r="A2767" s="405" t="s">
        <v>1359</v>
      </c>
      <c r="B2767" s="467">
        <v>66.2</v>
      </c>
      <c r="C2767" s="467">
        <v>51.4</v>
      </c>
      <c r="D2767" s="467">
        <v>4.4000000000000004</v>
      </c>
      <c r="E2767" s="467">
        <v>1.7</v>
      </c>
      <c r="F2767" s="467">
        <v>0.6</v>
      </c>
      <c r="G2767" s="467">
        <v>0.9</v>
      </c>
      <c r="H2767" s="467">
        <v>9.5</v>
      </c>
      <c r="I2767" s="467">
        <v>8.6999999999999993</v>
      </c>
      <c r="J2767" s="41">
        <v>0</v>
      </c>
      <c r="K2767" s="467">
        <v>51.4</v>
      </c>
      <c r="L2767" s="451">
        <v>0</v>
      </c>
      <c r="M2767" s="451">
        <v>0</v>
      </c>
      <c r="N2767" s="467">
        <v>0</v>
      </c>
      <c r="O2767" s="467">
        <v>0</v>
      </c>
      <c r="P2767" s="467"/>
      <c r="Q2767" s="453"/>
      <c r="R2767" s="453"/>
      <c r="S2767" s="453"/>
      <c r="T2767" s="453"/>
      <c r="U2767" s="453"/>
      <c r="V2767" s="453"/>
    </row>
    <row r="2768" spans="1:24" s="21" customFormat="1" x14ac:dyDescent="0.2">
      <c r="A2768" s="405" t="s">
        <v>1489</v>
      </c>
      <c r="B2768" s="41">
        <v>69.7</v>
      </c>
      <c r="C2768" s="467">
        <v>66.2</v>
      </c>
      <c r="D2768" s="467">
        <v>4.4000000000000004</v>
      </c>
      <c r="E2768" s="467">
        <v>1.7</v>
      </c>
      <c r="F2768" s="467">
        <v>0.6</v>
      </c>
      <c r="G2768" s="467">
        <v>0.9</v>
      </c>
      <c r="H2768" s="467">
        <v>9.5</v>
      </c>
      <c r="I2768" s="467">
        <v>8.6999999999999993</v>
      </c>
      <c r="J2768" s="41">
        <v>0</v>
      </c>
      <c r="K2768" s="467">
        <v>66.2</v>
      </c>
      <c r="L2768" s="468">
        <v>0</v>
      </c>
      <c r="M2768" s="451">
        <v>0</v>
      </c>
      <c r="N2768" s="467">
        <v>0</v>
      </c>
      <c r="O2768" s="467">
        <v>0</v>
      </c>
      <c r="P2768" s="467"/>
    </row>
    <row r="2769" spans="1:24" s="453" customFormat="1" x14ac:dyDescent="0.2">
      <c r="A2769" s="405" t="s">
        <v>1488</v>
      </c>
      <c r="B2769" s="41">
        <v>69.7</v>
      </c>
      <c r="C2769" s="41">
        <v>63.6</v>
      </c>
      <c r="D2769" s="467">
        <v>4.4000000000000004</v>
      </c>
      <c r="E2769" s="467">
        <v>1.7</v>
      </c>
      <c r="F2769" s="467">
        <v>0.6</v>
      </c>
      <c r="G2769" s="467">
        <v>0.9</v>
      </c>
      <c r="H2769" s="467">
        <v>9.5</v>
      </c>
      <c r="I2769" s="467">
        <v>8.6999999999999993</v>
      </c>
      <c r="J2769" s="41">
        <v>0</v>
      </c>
      <c r="K2769" s="41">
        <v>63.6</v>
      </c>
      <c r="L2769" s="451">
        <v>0</v>
      </c>
      <c r="M2769" s="451">
        <v>0</v>
      </c>
      <c r="N2769" s="467">
        <v>0</v>
      </c>
      <c r="O2769" s="467">
        <v>0</v>
      </c>
      <c r="P2769" s="467"/>
    </row>
    <row r="2770" spans="1:24" s="453" customFormat="1" x14ac:dyDescent="0.2">
      <c r="A2770" s="405" t="s">
        <v>1487</v>
      </c>
      <c r="B2770" s="41">
        <v>69.7</v>
      </c>
      <c r="C2770" s="467">
        <v>64.5</v>
      </c>
      <c r="D2770" s="467">
        <v>4.4000000000000004</v>
      </c>
      <c r="E2770" s="467">
        <v>1.7</v>
      </c>
      <c r="F2770" s="467">
        <v>0.6</v>
      </c>
      <c r="G2770" s="467">
        <v>0.9</v>
      </c>
      <c r="H2770" s="467">
        <v>9.5</v>
      </c>
      <c r="I2770" s="467">
        <v>8.6999999999999993</v>
      </c>
      <c r="J2770" s="41">
        <v>0</v>
      </c>
      <c r="K2770" s="467">
        <v>64.5</v>
      </c>
      <c r="L2770" s="468">
        <v>0</v>
      </c>
      <c r="M2770" s="451">
        <v>0</v>
      </c>
      <c r="N2770" s="467">
        <v>0</v>
      </c>
      <c r="O2770" s="467">
        <v>0</v>
      </c>
      <c r="P2770" s="467"/>
    </row>
    <row r="2771" spans="1:24" s="535" customFormat="1" x14ac:dyDescent="0.2">
      <c r="A2771" s="518" t="s">
        <v>2198</v>
      </c>
      <c r="F2771" s="1624"/>
      <c r="G2771" s="1624"/>
      <c r="H2771" s="1624"/>
      <c r="I2771" s="1624"/>
      <c r="J2771" s="1624"/>
      <c r="K2771" s="1624"/>
      <c r="L2771" s="1624"/>
      <c r="M2771" s="1624"/>
      <c r="N2771" s="1624"/>
    </row>
    <row r="2772" spans="1:24" s="292" customFormat="1" x14ac:dyDescent="0.2"/>
    <row r="2774" spans="1:24" s="125" customFormat="1" ht="14.25" customHeight="1" x14ac:dyDescent="0.2">
      <c r="A2774" s="377" t="s">
        <v>2193</v>
      </c>
      <c r="D2774" s="1075"/>
      <c r="E2774" s="1075"/>
      <c r="F2774" s="1075"/>
      <c r="G2774" s="1075"/>
      <c r="H2774" s="1075"/>
      <c r="I2774" s="1075"/>
      <c r="L2774" s="1075"/>
    </row>
    <row r="2775" spans="1:24" s="773" customFormat="1" ht="16.25" customHeight="1" x14ac:dyDescent="0.2">
      <c r="A2775" s="753" t="s">
        <v>2202</v>
      </c>
      <c r="B2775" s="442" t="s">
        <v>2195</v>
      </c>
      <c r="C2775" s="442" t="s">
        <v>2195</v>
      </c>
      <c r="D2775" s="442" t="s">
        <v>2195</v>
      </c>
      <c r="E2775" s="442" t="s">
        <v>2195</v>
      </c>
      <c r="F2775" s="442" t="s">
        <v>2195</v>
      </c>
      <c r="G2775" s="442" t="s">
        <v>2195</v>
      </c>
      <c r="H2775" s="442" t="s">
        <v>2195</v>
      </c>
      <c r="I2775" s="442" t="s">
        <v>2195</v>
      </c>
      <c r="J2775" s="442" t="s">
        <v>2195</v>
      </c>
      <c r="K2775" s="442" t="s">
        <v>2195</v>
      </c>
      <c r="L2775" s="442" t="s">
        <v>2195</v>
      </c>
      <c r="M2775" s="442" t="s">
        <v>2195</v>
      </c>
      <c r="N2775" s="442" t="s">
        <v>2195</v>
      </c>
      <c r="O2775" s="442" t="s">
        <v>2195</v>
      </c>
      <c r="P2775" s="442"/>
      <c r="Q2775" s="442"/>
      <c r="R2775" s="442"/>
      <c r="S2775" s="442"/>
      <c r="T2775" s="442"/>
      <c r="U2775" s="442"/>
      <c r="V2775" s="442"/>
    </row>
    <row r="2776" spans="1:24" s="291" customFormat="1" ht="16" x14ac:dyDescent="0.2">
      <c r="A2776" s="1641" t="s">
        <v>57</v>
      </c>
      <c r="B2776" s="1642" t="s">
        <v>1664</v>
      </c>
      <c r="C2776" s="1642" t="s">
        <v>1665</v>
      </c>
      <c r="D2776" s="1642" t="s">
        <v>1666</v>
      </c>
      <c r="E2776" s="1642" t="s">
        <v>1667</v>
      </c>
      <c r="F2776" s="1642" t="s">
        <v>2174</v>
      </c>
      <c r="G2776" s="1642" t="s">
        <v>1668</v>
      </c>
      <c r="H2776" s="1642" t="s">
        <v>1669</v>
      </c>
      <c r="I2776" s="1642" t="s">
        <v>1670</v>
      </c>
      <c r="J2776" s="1642" t="s">
        <v>1671</v>
      </c>
      <c r="K2776" s="1642" t="s">
        <v>1672</v>
      </c>
      <c r="L2776" s="1642" t="s">
        <v>1673</v>
      </c>
      <c r="M2776" s="291" t="s">
        <v>1674</v>
      </c>
      <c r="N2776" s="2152" t="s">
        <v>1675</v>
      </c>
      <c r="O2776" s="2152" t="s">
        <v>1676</v>
      </c>
      <c r="P2776" s="1658" t="s">
        <v>2175</v>
      </c>
      <c r="Q2776" s="453"/>
      <c r="R2776" s="453"/>
      <c r="S2776" s="453"/>
      <c r="T2776" s="453"/>
      <c r="U2776" s="453"/>
      <c r="V2776" s="453"/>
      <c r="W2776" s="21"/>
      <c r="X2776" s="21"/>
    </row>
    <row r="2777" spans="1:24" s="1093" customFormat="1" ht="16" x14ac:dyDescent="0.2">
      <c r="A2777" s="523" t="s">
        <v>2196</v>
      </c>
      <c r="B2777" s="1636" t="s">
        <v>2197</v>
      </c>
      <c r="C2777" s="1636" t="s">
        <v>2197</v>
      </c>
      <c r="D2777" s="1636" t="s">
        <v>2197</v>
      </c>
      <c r="E2777" s="1636" t="s">
        <v>2197</v>
      </c>
      <c r="F2777" s="1636" t="s">
        <v>2197</v>
      </c>
      <c r="G2777" s="1636" t="s">
        <v>2197</v>
      </c>
      <c r="H2777" s="1636" t="s">
        <v>2197</v>
      </c>
      <c r="I2777" s="1636" t="s">
        <v>2197</v>
      </c>
      <c r="J2777" s="1636" t="s">
        <v>2197</v>
      </c>
      <c r="K2777" s="1636" t="s">
        <v>2197</v>
      </c>
      <c r="L2777" s="1631" t="s">
        <v>2197</v>
      </c>
      <c r="M2777" s="1631" t="s">
        <v>2197</v>
      </c>
      <c r="N2777" s="732" t="s">
        <v>2197</v>
      </c>
      <c r="O2777" s="732" t="s">
        <v>2197</v>
      </c>
      <c r="P2777" s="732"/>
      <c r="Q2777" s="1092"/>
      <c r="R2777" s="1092"/>
      <c r="S2777" s="1092"/>
      <c r="T2777" s="1092"/>
      <c r="U2777" s="1092"/>
      <c r="V2777" s="1092"/>
    </row>
    <row r="2778" spans="1:24" s="21" customFormat="1" x14ac:dyDescent="0.2">
      <c r="A2778" s="410" t="s">
        <v>1484</v>
      </c>
      <c r="B2778" s="470">
        <v>180.9</v>
      </c>
      <c r="C2778" s="470">
        <v>63.3</v>
      </c>
      <c r="D2778" s="470">
        <v>6</v>
      </c>
      <c r="E2778" s="470">
        <v>3</v>
      </c>
      <c r="F2778" s="470">
        <v>0.6</v>
      </c>
      <c r="G2778" s="470">
        <v>0.3</v>
      </c>
      <c r="H2778" s="470">
        <v>6</v>
      </c>
      <c r="I2778" s="470">
        <v>30.2</v>
      </c>
      <c r="J2778" s="44">
        <v>18.100000000000001</v>
      </c>
      <c r="K2778" s="470">
        <v>63.3</v>
      </c>
      <c r="L2778" s="1640">
        <v>0</v>
      </c>
      <c r="M2778" s="451">
        <v>0</v>
      </c>
      <c r="N2778" s="467">
        <v>0</v>
      </c>
      <c r="O2778" s="467">
        <v>0</v>
      </c>
      <c r="P2778" s="467"/>
      <c r="Q2778" s="453"/>
      <c r="R2778" s="453"/>
      <c r="S2778" s="453"/>
      <c r="T2778" s="453"/>
      <c r="U2778" s="453"/>
      <c r="V2778" s="453"/>
    </row>
    <row r="2779" spans="1:24" s="21" customFormat="1" x14ac:dyDescent="0.2">
      <c r="A2779" s="411" t="s">
        <v>1483</v>
      </c>
      <c r="B2779" s="467">
        <v>202</v>
      </c>
      <c r="C2779" s="467">
        <v>78.400000000000006</v>
      </c>
      <c r="D2779" s="467">
        <v>6</v>
      </c>
      <c r="E2779" s="467">
        <v>3</v>
      </c>
      <c r="F2779" s="467">
        <v>0.6</v>
      </c>
      <c r="G2779" s="467">
        <v>0.3</v>
      </c>
      <c r="H2779" s="467">
        <v>6</v>
      </c>
      <c r="I2779" s="467">
        <v>30.2</v>
      </c>
      <c r="J2779" s="41">
        <v>24.1</v>
      </c>
      <c r="K2779" s="467">
        <v>78.400000000000006</v>
      </c>
      <c r="L2779" s="451">
        <v>0</v>
      </c>
      <c r="M2779" s="451">
        <v>0</v>
      </c>
      <c r="N2779" s="467">
        <v>0</v>
      </c>
      <c r="O2779" s="467">
        <v>0</v>
      </c>
      <c r="P2779" s="467"/>
      <c r="Q2779" s="453"/>
      <c r="R2779" s="453"/>
      <c r="S2779" s="453"/>
      <c r="T2779" s="453"/>
      <c r="U2779" s="453"/>
      <c r="V2779" s="453"/>
    </row>
    <row r="2780" spans="1:24" s="21" customFormat="1" x14ac:dyDescent="0.2">
      <c r="A2780" s="411" t="s">
        <v>1491</v>
      </c>
      <c r="B2780" s="467">
        <v>150.80000000000001</v>
      </c>
      <c r="C2780" s="467">
        <v>42.2</v>
      </c>
      <c r="D2780" s="467">
        <v>6</v>
      </c>
      <c r="E2780" s="467">
        <v>3</v>
      </c>
      <c r="F2780" s="467">
        <v>0.6</v>
      </c>
      <c r="G2780" s="467">
        <v>0.3</v>
      </c>
      <c r="H2780" s="467">
        <v>6</v>
      </c>
      <c r="I2780" s="467">
        <v>30.2</v>
      </c>
      <c r="J2780" s="41">
        <v>12.1</v>
      </c>
      <c r="K2780" s="467">
        <v>42.2</v>
      </c>
      <c r="L2780" s="468">
        <v>0</v>
      </c>
      <c r="M2780" s="451">
        <v>0</v>
      </c>
      <c r="N2780" s="467">
        <v>0</v>
      </c>
      <c r="O2780" s="467">
        <v>0</v>
      </c>
      <c r="P2780" s="467"/>
      <c r="Q2780" s="453"/>
      <c r="R2780" s="453"/>
      <c r="S2780" s="453"/>
      <c r="T2780" s="453"/>
      <c r="U2780" s="453"/>
      <c r="V2780" s="453"/>
    </row>
    <row r="2781" spans="1:24" s="21" customFormat="1" x14ac:dyDescent="0.2">
      <c r="A2781" s="411" t="s">
        <v>1490</v>
      </c>
      <c r="B2781" s="41">
        <v>147.69999999999999</v>
      </c>
      <c r="C2781" s="467">
        <v>42.2</v>
      </c>
      <c r="D2781" s="467">
        <v>6</v>
      </c>
      <c r="E2781" s="467">
        <v>3</v>
      </c>
      <c r="F2781" s="467">
        <v>0.6</v>
      </c>
      <c r="G2781" s="467">
        <v>0.3</v>
      </c>
      <c r="H2781" s="467">
        <v>6</v>
      </c>
      <c r="I2781" s="467">
        <v>30.2</v>
      </c>
      <c r="J2781" s="41">
        <v>12.1</v>
      </c>
      <c r="K2781" s="467">
        <v>42.2</v>
      </c>
      <c r="L2781" s="451">
        <v>0</v>
      </c>
      <c r="M2781" s="451">
        <v>0</v>
      </c>
      <c r="N2781" s="467">
        <v>0</v>
      </c>
      <c r="O2781" s="467">
        <v>0</v>
      </c>
      <c r="P2781" s="467"/>
      <c r="Q2781" s="453"/>
      <c r="R2781" s="453"/>
      <c r="S2781" s="453"/>
      <c r="T2781" s="453"/>
      <c r="U2781" s="453"/>
      <c r="V2781" s="453"/>
    </row>
    <row r="2782" spans="1:24" s="21" customFormat="1" x14ac:dyDescent="0.2">
      <c r="A2782" s="411" t="s">
        <v>1486</v>
      </c>
      <c r="B2782" s="467">
        <v>220.1</v>
      </c>
      <c r="C2782" s="467">
        <v>111.6</v>
      </c>
      <c r="D2782" s="467">
        <v>12.1</v>
      </c>
      <c r="E2782" s="467">
        <v>4.5</v>
      </c>
      <c r="F2782" s="467">
        <v>0.6</v>
      </c>
      <c r="G2782" s="467">
        <v>1.5</v>
      </c>
      <c r="H2782" s="467">
        <v>6.8</v>
      </c>
      <c r="I2782" s="467">
        <v>30.2</v>
      </c>
      <c r="J2782" s="41">
        <v>39.200000000000003</v>
      </c>
      <c r="K2782" s="467">
        <v>111.6</v>
      </c>
      <c r="L2782" s="451">
        <v>0</v>
      </c>
      <c r="M2782" s="451">
        <v>0</v>
      </c>
      <c r="N2782" s="467">
        <v>0</v>
      </c>
      <c r="O2782" s="467">
        <v>0</v>
      </c>
      <c r="P2782" s="467"/>
      <c r="Q2782" s="453"/>
      <c r="R2782" s="453"/>
      <c r="S2782" s="453"/>
      <c r="T2782" s="453"/>
      <c r="U2782" s="453"/>
      <c r="V2782" s="453"/>
    </row>
    <row r="2783" spans="1:24" s="21" customFormat="1" x14ac:dyDescent="0.2">
      <c r="A2783" s="411" t="s">
        <v>1485</v>
      </c>
      <c r="B2783" s="467">
        <v>229.1</v>
      </c>
      <c r="C2783" s="467">
        <v>123.6</v>
      </c>
      <c r="D2783" s="467">
        <v>12.1</v>
      </c>
      <c r="E2783" s="467">
        <v>4.5</v>
      </c>
      <c r="F2783" s="467">
        <v>0.6</v>
      </c>
      <c r="G2783" s="467">
        <v>1.5</v>
      </c>
      <c r="H2783" s="467">
        <v>6.8</v>
      </c>
      <c r="I2783" s="467">
        <v>30.2</v>
      </c>
      <c r="J2783" s="41">
        <v>45.2</v>
      </c>
      <c r="K2783" s="467">
        <v>123.6</v>
      </c>
      <c r="L2783" s="451">
        <v>0</v>
      </c>
      <c r="M2783" s="451">
        <v>0</v>
      </c>
      <c r="N2783" s="467">
        <v>0</v>
      </c>
      <c r="O2783" s="467">
        <v>0</v>
      </c>
      <c r="P2783" s="467"/>
      <c r="Q2783" s="453"/>
      <c r="R2783" s="453"/>
      <c r="S2783" s="453"/>
      <c r="T2783" s="453"/>
      <c r="U2783" s="453"/>
      <c r="V2783" s="453"/>
    </row>
    <row r="2784" spans="1:24" s="21" customFormat="1" x14ac:dyDescent="0.2">
      <c r="A2784" s="411" t="s">
        <v>1359</v>
      </c>
      <c r="B2784" s="467">
        <v>229.1</v>
      </c>
      <c r="C2784" s="467">
        <v>177.9</v>
      </c>
      <c r="D2784" s="467">
        <v>15.1</v>
      </c>
      <c r="E2784" s="467">
        <v>6</v>
      </c>
      <c r="F2784" s="467">
        <v>0.6</v>
      </c>
      <c r="G2784" s="467">
        <v>3</v>
      </c>
      <c r="H2784" s="467">
        <v>7</v>
      </c>
      <c r="I2784" s="467">
        <v>30.2</v>
      </c>
      <c r="J2784" s="41">
        <v>75.400000000000006</v>
      </c>
      <c r="K2784" s="467">
        <v>177.9</v>
      </c>
      <c r="L2784" s="451">
        <v>0</v>
      </c>
      <c r="M2784" s="451">
        <v>0</v>
      </c>
      <c r="N2784" s="467">
        <v>0</v>
      </c>
      <c r="O2784" s="467">
        <v>0</v>
      </c>
      <c r="P2784" s="467"/>
      <c r="Q2784" s="453"/>
      <c r="R2784" s="453"/>
      <c r="S2784" s="453"/>
      <c r="T2784" s="453"/>
      <c r="U2784" s="453"/>
      <c r="V2784" s="453"/>
    </row>
    <row r="2785" spans="1:24" s="21" customFormat="1" x14ac:dyDescent="0.2">
      <c r="A2785" s="411" t="s">
        <v>1489</v>
      </c>
      <c r="B2785" s="41">
        <v>241.2</v>
      </c>
      <c r="C2785" s="467">
        <v>229.1</v>
      </c>
      <c r="D2785" s="467">
        <v>15.1</v>
      </c>
      <c r="E2785" s="467">
        <v>6</v>
      </c>
      <c r="F2785" s="467">
        <v>0.6</v>
      </c>
      <c r="G2785" s="467">
        <v>3</v>
      </c>
      <c r="H2785" s="467">
        <v>7</v>
      </c>
      <c r="I2785" s="467">
        <v>30.2</v>
      </c>
      <c r="J2785" s="41">
        <v>114.6</v>
      </c>
      <c r="K2785" s="467">
        <v>229.1</v>
      </c>
      <c r="L2785" s="468">
        <v>0</v>
      </c>
      <c r="M2785" s="451">
        <v>0</v>
      </c>
      <c r="N2785" s="467">
        <v>0</v>
      </c>
      <c r="O2785" s="467">
        <v>0</v>
      </c>
      <c r="P2785" s="467"/>
    </row>
    <row r="2786" spans="1:24" s="453" customFormat="1" x14ac:dyDescent="0.2">
      <c r="A2786" s="411" t="s">
        <v>1488</v>
      </c>
      <c r="B2786" s="41">
        <v>241.2</v>
      </c>
      <c r="C2786" s="41">
        <v>220.1</v>
      </c>
      <c r="D2786" s="467">
        <v>15.1</v>
      </c>
      <c r="E2786" s="467">
        <v>6</v>
      </c>
      <c r="F2786" s="467">
        <v>0.6</v>
      </c>
      <c r="G2786" s="467">
        <v>3</v>
      </c>
      <c r="H2786" s="467">
        <v>7</v>
      </c>
      <c r="I2786" s="467">
        <v>30.2</v>
      </c>
      <c r="J2786" s="41">
        <v>108.5</v>
      </c>
      <c r="K2786" s="41">
        <v>220.1</v>
      </c>
      <c r="L2786" s="451">
        <v>0</v>
      </c>
      <c r="M2786" s="451">
        <v>0</v>
      </c>
      <c r="N2786" s="467">
        <v>0</v>
      </c>
      <c r="O2786" s="467">
        <v>0</v>
      </c>
      <c r="P2786" s="467"/>
    </row>
    <row r="2787" spans="1:24" s="453" customFormat="1" x14ac:dyDescent="0.2">
      <c r="A2787" s="411" t="s">
        <v>1487</v>
      </c>
      <c r="B2787" s="41">
        <v>241.2</v>
      </c>
      <c r="C2787" s="467">
        <v>223.1</v>
      </c>
      <c r="D2787" s="467">
        <v>15.1</v>
      </c>
      <c r="E2787" s="467">
        <v>6</v>
      </c>
      <c r="F2787" s="467">
        <v>0.6</v>
      </c>
      <c r="G2787" s="467">
        <v>3</v>
      </c>
      <c r="H2787" s="467">
        <v>7</v>
      </c>
      <c r="I2787" s="467">
        <v>30.2</v>
      </c>
      <c r="J2787" s="41">
        <v>126.6</v>
      </c>
      <c r="K2787" s="467">
        <v>223.1</v>
      </c>
      <c r="L2787" s="468">
        <v>0</v>
      </c>
      <c r="M2787" s="451">
        <v>0</v>
      </c>
      <c r="N2787" s="467">
        <v>0</v>
      </c>
      <c r="O2787" s="467">
        <v>0</v>
      </c>
      <c r="P2787" s="467"/>
    </row>
    <row r="2788" spans="1:24" s="535" customFormat="1" x14ac:dyDescent="0.2">
      <c r="A2788" s="518" t="s">
        <v>2203</v>
      </c>
      <c r="F2788" s="1624"/>
      <c r="G2788" s="1624"/>
      <c r="H2788" s="1624"/>
      <c r="I2788" s="1624"/>
      <c r="J2788" s="1624"/>
      <c r="K2788" s="1624"/>
      <c r="L2788" s="1624"/>
      <c r="M2788" s="1624"/>
      <c r="N2788" s="1624"/>
    </row>
    <row r="2789" spans="1:24" s="292" customFormat="1" x14ac:dyDescent="0.2"/>
    <row r="2791" spans="1:24" s="125" customFormat="1" ht="14.25" customHeight="1" x14ac:dyDescent="0.2">
      <c r="A2791" s="377" t="s">
        <v>2193</v>
      </c>
      <c r="D2791" s="1075"/>
      <c r="E2791" s="1075"/>
      <c r="F2791" s="1075"/>
      <c r="G2791" s="1075"/>
      <c r="H2791" s="1075"/>
      <c r="I2791" s="1075"/>
      <c r="L2791" s="1075"/>
    </row>
    <row r="2792" spans="1:24" s="773" customFormat="1" ht="16.25" customHeight="1" x14ac:dyDescent="0.2">
      <c r="A2792" s="753" t="s">
        <v>2204</v>
      </c>
      <c r="B2792" s="442" t="s">
        <v>2195</v>
      </c>
      <c r="C2792" s="442" t="s">
        <v>2195</v>
      </c>
      <c r="D2792" s="442" t="s">
        <v>2195</v>
      </c>
      <c r="E2792" s="442" t="s">
        <v>2195</v>
      </c>
      <c r="F2792" s="442" t="s">
        <v>2195</v>
      </c>
      <c r="G2792" s="442" t="s">
        <v>2195</v>
      </c>
      <c r="H2792" s="442" t="s">
        <v>2195</v>
      </c>
      <c r="I2792" s="442" t="s">
        <v>2195</v>
      </c>
      <c r="J2792" s="442" t="s">
        <v>2195</v>
      </c>
      <c r="K2792" s="442" t="s">
        <v>2195</v>
      </c>
      <c r="L2792" s="442" t="s">
        <v>2195</v>
      </c>
      <c r="M2792" s="442" t="s">
        <v>2195</v>
      </c>
      <c r="N2792" s="442" t="s">
        <v>2195</v>
      </c>
      <c r="O2792" s="442" t="s">
        <v>2195</v>
      </c>
      <c r="P2792" s="442"/>
      <c r="Q2792" s="442"/>
      <c r="R2792" s="442"/>
      <c r="S2792" s="442"/>
      <c r="T2792" s="442"/>
      <c r="U2792" s="442"/>
      <c r="V2792" s="442"/>
    </row>
    <row r="2793" spans="1:24" s="291" customFormat="1" ht="16" x14ac:dyDescent="0.2">
      <c r="A2793" s="1641" t="s">
        <v>57</v>
      </c>
      <c r="B2793" s="1642" t="s">
        <v>1664</v>
      </c>
      <c r="C2793" s="1642" t="s">
        <v>1665</v>
      </c>
      <c r="D2793" s="1642" t="s">
        <v>1666</v>
      </c>
      <c r="E2793" s="1642" t="s">
        <v>1667</v>
      </c>
      <c r="F2793" s="1642" t="s">
        <v>2174</v>
      </c>
      <c r="G2793" s="1642" t="s">
        <v>1668</v>
      </c>
      <c r="H2793" s="1642" t="s">
        <v>1669</v>
      </c>
      <c r="I2793" s="1642" t="s">
        <v>1670</v>
      </c>
      <c r="J2793" s="1642" t="s">
        <v>1671</v>
      </c>
      <c r="K2793" s="1642" t="s">
        <v>1672</v>
      </c>
      <c r="L2793" s="1642" t="s">
        <v>1673</v>
      </c>
      <c r="M2793" s="291" t="s">
        <v>1674</v>
      </c>
      <c r="N2793" s="2152" t="s">
        <v>1675</v>
      </c>
      <c r="O2793" s="2152" t="s">
        <v>1676</v>
      </c>
      <c r="P2793" s="1658" t="s">
        <v>2175</v>
      </c>
      <c r="Q2793" s="453"/>
      <c r="R2793" s="453"/>
      <c r="S2793" s="453"/>
      <c r="T2793" s="453"/>
      <c r="U2793" s="453"/>
      <c r="V2793" s="453"/>
      <c r="W2793" s="21"/>
      <c r="X2793" s="21"/>
    </row>
    <row r="2794" spans="1:24" s="1093" customFormat="1" ht="16" x14ac:dyDescent="0.2">
      <c r="A2794" s="523" t="s">
        <v>2196</v>
      </c>
      <c r="B2794" s="1636" t="s">
        <v>2197</v>
      </c>
      <c r="C2794" s="1636" t="s">
        <v>2197</v>
      </c>
      <c r="D2794" s="1636" t="s">
        <v>2197</v>
      </c>
      <c r="E2794" s="1636" t="s">
        <v>2197</v>
      </c>
      <c r="F2794" s="1636" t="s">
        <v>2197</v>
      </c>
      <c r="G2794" s="1636" t="s">
        <v>2197</v>
      </c>
      <c r="H2794" s="1636" t="s">
        <v>2197</v>
      </c>
      <c r="I2794" s="1636" t="s">
        <v>2197</v>
      </c>
      <c r="J2794" s="1636" t="s">
        <v>2197</v>
      </c>
      <c r="K2794" s="1636" t="s">
        <v>2197</v>
      </c>
      <c r="L2794" s="1631" t="s">
        <v>2197</v>
      </c>
      <c r="M2794" s="1631" t="s">
        <v>2197</v>
      </c>
      <c r="N2794" s="732" t="s">
        <v>2197</v>
      </c>
      <c r="O2794" s="732" t="s">
        <v>2197</v>
      </c>
      <c r="P2794" s="732"/>
      <c r="Q2794" s="1092"/>
      <c r="R2794" s="1092"/>
      <c r="S2794" s="1092"/>
      <c r="T2794" s="1092"/>
      <c r="U2794" s="1092"/>
      <c r="V2794" s="1092"/>
    </row>
    <row r="2795" spans="1:24" s="21" customFormat="1" x14ac:dyDescent="0.2">
      <c r="A2795" s="410" t="s">
        <v>1484</v>
      </c>
      <c r="B2795" s="470">
        <v>116.6</v>
      </c>
      <c r="C2795" s="470">
        <v>40.799999999999997</v>
      </c>
      <c r="D2795" s="470">
        <v>3.9</v>
      </c>
      <c r="E2795" s="470">
        <v>1.9</v>
      </c>
      <c r="F2795" s="470">
        <v>0.6</v>
      </c>
      <c r="G2795" s="470">
        <v>0.2</v>
      </c>
      <c r="H2795" s="470">
        <v>20.6</v>
      </c>
      <c r="I2795" s="470">
        <v>19.399999999999999</v>
      </c>
      <c r="J2795" s="470">
        <v>11.7</v>
      </c>
      <c r="K2795" s="470">
        <v>40.799999999999997</v>
      </c>
      <c r="L2795" s="1640">
        <v>0</v>
      </c>
      <c r="M2795" s="451">
        <v>0</v>
      </c>
      <c r="N2795" s="467">
        <v>0</v>
      </c>
      <c r="O2795" s="467">
        <v>0</v>
      </c>
      <c r="P2795" s="467"/>
      <c r="Q2795" s="453"/>
      <c r="R2795" s="453"/>
      <c r="S2795" s="453"/>
      <c r="T2795" s="453"/>
      <c r="U2795" s="453"/>
      <c r="V2795" s="453"/>
    </row>
    <row r="2796" spans="1:24" s="21" customFormat="1" x14ac:dyDescent="0.2">
      <c r="A2796" s="411" t="s">
        <v>1483</v>
      </c>
      <c r="B2796" s="467">
        <v>130.19999999999999</v>
      </c>
      <c r="C2796" s="467">
        <v>50.5</v>
      </c>
      <c r="D2796" s="467">
        <v>3.9</v>
      </c>
      <c r="E2796" s="467">
        <v>1.9</v>
      </c>
      <c r="F2796" s="467">
        <v>0.6</v>
      </c>
      <c r="G2796" s="467">
        <v>0.2</v>
      </c>
      <c r="H2796" s="467">
        <v>20.6</v>
      </c>
      <c r="I2796" s="467">
        <v>19.399999999999999</v>
      </c>
      <c r="J2796" s="467">
        <v>15.5</v>
      </c>
      <c r="K2796" s="467">
        <v>50.5</v>
      </c>
      <c r="L2796" s="451">
        <v>0</v>
      </c>
      <c r="M2796" s="451">
        <v>0</v>
      </c>
      <c r="N2796" s="467">
        <v>0</v>
      </c>
      <c r="O2796" s="467">
        <v>0</v>
      </c>
      <c r="P2796" s="467"/>
      <c r="Q2796" s="453"/>
      <c r="R2796" s="453"/>
      <c r="S2796" s="453"/>
      <c r="T2796" s="453"/>
      <c r="U2796" s="453"/>
      <c r="V2796" s="453"/>
    </row>
    <row r="2797" spans="1:24" s="21" customFormat="1" x14ac:dyDescent="0.2">
      <c r="A2797" s="411" t="s">
        <v>1491</v>
      </c>
      <c r="B2797" s="467">
        <v>97.2</v>
      </c>
      <c r="C2797" s="467">
        <v>27.2</v>
      </c>
      <c r="D2797" s="467">
        <v>3.9</v>
      </c>
      <c r="E2797" s="467">
        <v>1.9</v>
      </c>
      <c r="F2797" s="467">
        <v>0.6</v>
      </c>
      <c r="G2797" s="467">
        <v>0.2</v>
      </c>
      <c r="H2797" s="467">
        <v>20.6</v>
      </c>
      <c r="I2797" s="467">
        <v>19.399999999999999</v>
      </c>
      <c r="J2797" s="467">
        <v>7.8</v>
      </c>
      <c r="K2797" s="467">
        <v>27.2</v>
      </c>
      <c r="L2797" s="468">
        <v>0</v>
      </c>
      <c r="M2797" s="451">
        <v>0</v>
      </c>
      <c r="N2797" s="467">
        <v>0</v>
      </c>
      <c r="O2797" s="467">
        <v>0</v>
      </c>
      <c r="P2797" s="467"/>
      <c r="Q2797" s="453"/>
      <c r="R2797" s="453"/>
      <c r="S2797" s="453"/>
      <c r="T2797" s="453"/>
      <c r="U2797" s="453"/>
      <c r="V2797" s="453"/>
    </row>
    <row r="2798" spans="1:24" s="21" customFormat="1" x14ac:dyDescent="0.2">
      <c r="A2798" s="411" t="s">
        <v>1490</v>
      </c>
      <c r="B2798" s="41">
        <v>95.2</v>
      </c>
      <c r="C2798" s="467">
        <v>27.2</v>
      </c>
      <c r="D2798" s="467">
        <v>3.9</v>
      </c>
      <c r="E2798" s="467">
        <v>1.9</v>
      </c>
      <c r="F2798" s="467">
        <v>0.6</v>
      </c>
      <c r="G2798" s="467">
        <v>0.2</v>
      </c>
      <c r="H2798" s="467">
        <v>20.6</v>
      </c>
      <c r="I2798" s="467">
        <v>19.399999999999999</v>
      </c>
      <c r="J2798" s="467">
        <v>7.8</v>
      </c>
      <c r="K2798" s="467">
        <v>27.2</v>
      </c>
      <c r="L2798" s="451">
        <v>0</v>
      </c>
      <c r="M2798" s="451">
        <v>0</v>
      </c>
      <c r="N2798" s="467">
        <v>0</v>
      </c>
      <c r="O2798" s="467">
        <v>0</v>
      </c>
      <c r="P2798" s="467"/>
      <c r="Q2798" s="453"/>
      <c r="R2798" s="453"/>
      <c r="S2798" s="453"/>
      <c r="T2798" s="453"/>
      <c r="U2798" s="453"/>
      <c r="V2798" s="453"/>
    </row>
    <row r="2799" spans="1:24" s="21" customFormat="1" x14ac:dyDescent="0.2">
      <c r="A2799" s="411" t="s">
        <v>1486</v>
      </c>
      <c r="B2799" s="467">
        <v>141.80000000000001</v>
      </c>
      <c r="C2799" s="467">
        <v>71.900000000000006</v>
      </c>
      <c r="D2799" s="467">
        <v>7.8</v>
      </c>
      <c r="E2799" s="467">
        <v>2.9</v>
      </c>
      <c r="F2799" s="467">
        <v>0.6</v>
      </c>
      <c r="G2799" s="467">
        <v>1</v>
      </c>
      <c r="H2799" s="467">
        <v>21.1</v>
      </c>
      <c r="I2799" s="467">
        <v>19.399999999999999</v>
      </c>
      <c r="J2799" s="467">
        <v>25.3</v>
      </c>
      <c r="K2799" s="467">
        <v>71.900000000000006</v>
      </c>
      <c r="L2799" s="451">
        <v>0</v>
      </c>
      <c r="M2799" s="451">
        <v>0</v>
      </c>
      <c r="N2799" s="467">
        <v>0</v>
      </c>
      <c r="O2799" s="467">
        <v>0</v>
      </c>
      <c r="P2799" s="467"/>
      <c r="Q2799" s="453"/>
      <c r="R2799" s="453"/>
      <c r="S2799" s="453"/>
      <c r="T2799" s="453"/>
      <c r="U2799" s="453"/>
      <c r="V2799" s="453"/>
    </row>
    <row r="2800" spans="1:24" s="21" customFormat="1" x14ac:dyDescent="0.2">
      <c r="A2800" s="411" t="s">
        <v>1485</v>
      </c>
      <c r="B2800" s="467">
        <v>147.69999999999999</v>
      </c>
      <c r="C2800" s="467">
        <v>79.7</v>
      </c>
      <c r="D2800" s="467">
        <v>7.8</v>
      </c>
      <c r="E2800" s="467">
        <v>2.9</v>
      </c>
      <c r="F2800" s="467">
        <v>0.6</v>
      </c>
      <c r="G2800" s="467">
        <v>1</v>
      </c>
      <c r="H2800" s="467">
        <v>21.1</v>
      </c>
      <c r="I2800" s="467">
        <v>19.399999999999999</v>
      </c>
      <c r="J2800" s="467">
        <v>29.1</v>
      </c>
      <c r="K2800" s="467">
        <v>79.7</v>
      </c>
      <c r="L2800" s="451">
        <v>0</v>
      </c>
      <c r="M2800" s="451">
        <v>0</v>
      </c>
      <c r="N2800" s="467">
        <v>0</v>
      </c>
      <c r="O2800" s="467">
        <v>0</v>
      </c>
      <c r="P2800" s="467"/>
      <c r="Q2800" s="453"/>
      <c r="R2800" s="453"/>
      <c r="S2800" s="453"/>
      <c r="T2800" s="453"/>
      <c r="U2800" s="453"/>
      <c r="V2800" s="453"/>
    </row>
    <row r="2801" spans="1:24" s="21" customFormat="1" x14ac:dyDescent="0.2">
      <c r="A2801" s="411" t="s">
        <v>1359</v>
      </c>
      <c r="B2801" s="467">
        <v>147.69999999999999</v>
      </c>
      <c r="C2801" s="467">
        <v>114.6</v>
      </c>
      <c r="D2801" s="467">
        <v>9.6999999999999993</v>
      </c>
      <c r="E2801" s="467">
        <v>3.9</v>
      </c>
      <c r="F2801" s="467">
        <v>0.6</v>
      </c>
      <c r="G2801" s="467">
        <v>1.9</v>
      </c>
      <c r="H2801" s="467">
        <v>21.2</v>
      </c>
      <c r="I2801" s="467">
        <v>19.399999999999999</v>
      </c>
      <c r="J2801" s="467">
        <v>48.6</v>
      </c>
      <c r="K2801" s="467">
        <v>114.6</v>
      </c>
      <c r="L2801" s="451">
        <v>0</v>
      </c>
      <c r="M2801" s="451">
        <v>0</v>
      </c>
      <c r="N2801" s="467">
        <v>0</v>
      </c>
      <c r="O2801" s="467">
        <v>0</v>
      </c>
      <c r="P2801" s="467"/>
      <c r="Q2801" s="453"/>
      <c r="R2801" s="453"/>
      <c r="S2801" s="453"/>
      <c r="T2801" s="453"/>
      <c r="U2801" s="453"/>
      <c r="V2801" s="453"/>
    </row>
    <row r="2802" spans="1:24" s="21" customFormat="1" x14ac:dyDescent="0.2">
      <c r="A2802" s="411" t="s">
        <v>1489</v>
      </c>
      <c r="B2802" s="41">
        <v>155.4</v>
      </c>
      <c r="C2802" s="467">
        <v>147.69999999999999</v>
      </c>
      <c r="D2802" s="467">
        <v>9.6999999999999993</v>
      </c>
      <c r="E2802" s="467">
        <v>3.9</v>
      </c>
      <c r="F2802" s="467">
        <v>0.6</v>
      </c>
      <c r="G2802" s="467">
        <v>1.9</v>
      </c>
      <c r="H2802" s="467">
        <v>21.2</v>
      </c>
      <c r="I2802" s="467">
        <v>19.399999999999999</v>
      </c>
      <c r="J2802" s="467">
        <v>73.8</v>
      </c>
      <c r="K2802" s="467">
        <v>147.69999999999999</v>
      </c>
      <c r="L2802" s="468">
        <v>0</v>
      </c>
      <c r="M2802" s="451">
        <v>0</v>
      </c>
      <c r="N2802" s="467">
        <v>0</v>
      </c>
      <c r="O2802" s="467">
        <v>0</v>
      </c>
      <c r="P2802" s="467"/>
    </row>
    <row r="2803" spans="1:24" s="453" customFormat="1" x14ac:dyDescent="0.2">
      <c r="A2803" s="411" t="s">
        <v>1488</v>
      </c>
      <c r="B2803" s="41">
        <v>155.4</v>
      </c>
      <c r="C2803" s="41">
        <v>141.80000000000001</v>
      </c>
      <c r="D2803" s="467">
        <v>9.6999999999999993</v>
      </c>
      <c r="E2803" s="467">
        <v>3.9</v>
      </c>
      <c r="F2803" s="467">
        <v>0.6</v>
      </c>
      <c r="G2803" s="467">
        <v>1.9</v>
      </c>
      <c r="H2803" s="467">
        <v>21.2</v>
      </c>
      <c r="I2803" s="467">
        <v>19.399999999999999</v>
      </c>
      <c r="J2803" s="467">
        <v>69.900000000000006</v>
      </c>
      <c r="K2803" s="41">
        <v>141.80000000000001</v>
      </c>
      <c r="L2803" s="451">
        <v>0</v>
      </c>
      <c r="M2803" s="451">
        <v>0</v>
      </c>
      <c r="N2803" s="467">
        <v>0</v>
      </c>
      <c r="O2803" s="467">
        <v>0</v>
      </c>
      <c r="P2803" s="467"/>
    </row>
    <row r="2804" spans="1:24" s="453" customFormat="1" x14ac:dyDescent="0.2">
      <c r="A2804" s="411" t="s">
        <v>1487</v>
      </c>
      <c r="B2804" s="41">
        <v>155.4</v>
      </c>
      <c r="C2804" s="467">
        <v>143.80000000000001</v>
      </c>
      <c r="D2804" s="467">
        <v>9.6999999999999993</v>
      </c>
      <c r="E2804" s="467">
        <v>3.9</v>
      </c>
      <c r="F2804" s="467">
        <v>0.6</v>
      </c>
      <c r="G2804" s="467">
        <v>1.9</v>
      </c>
      <c r="H2804" s="467">
        <v>21.2</v>
      </c>
      <c r="I2804" s="467">
        <v>19.399999999999999</v>
      </c>
      <c r="J2804" s="467">
        <v>81.599999999999994</v>
      </c>
      <c r="K2804" s="467">
        <v>143.80000000000001</v>
      </c>
      <c r="L2804" s="468">
        <v>0</v>
      </c>
      <c r="M2804" s="451">
        <v>0</v>
      </c>
      <c r="N2804" s="467">
        <v>0</v>
      </c>
      <c r="O2804" s="467">
        <v>0</v>
      </c>
      <c r="P2804" s="467"/>
    </row>
    <row r="2805" spans="1:24" s="535" customFormat="1" x14ac:dyDescent="0.2">
      <c r="A2805" s="518" t="s">
        <v>2203</v>
      </c>
      <c r="F2805" s="1624"/>
      <c r="G2805" s="1624"/>
      <c r="H2805" s="1624"/>
      <c r="I2805" s="1624"/>
      <c r="J2805" s="1624"/>
      <c r="K2805" s="1624"/>
      <c r="L2805" s="1624"/>
      <c r="M2805" s="1624"/>
      <c r="N2805" s="1624"/>
    </row>
    <row r="2806" spans="1:24" s="292" customFormat="1" x14ac:dyDescent="0.2"/>
    <row r="2808" spans="1:24" s="125" customFormat="1" ht="14.25" customHeight="1" x14ac:dyDescent="0.2">
      <c r="A2808" s="377" t="s">
        <v>2193</v>
      </c>
      <c r="D2808" s="1075"/>
      <c r="E2808" s="1075"/>
      <c r="F2808" s="1075"/>
      <c r="G2808" s="1075"/>
      <c r="H2808" s="1075"/>
      <c r="I2808" s="1075"/>
      <c r="L2808" s="1075"/>
    </row>
    <row r="2809" spans="1:24" s="773" customFormat="1" ht="16.25" customHeight="1" x14ac:dyDescent="0.2">
      <c r="A2809" s="753" t="s">
        <v>2205</v>
      </c>
      <c r="B2809" s="442" t="s">
        <v>2195</v>
      </c>
      <c r="C2809" s="442" t="s">
        <v>2195</v>
      </c>
      <c r="D2809" s="442" t="s">
        <v>2195</v>
      </c>
      <c r="E2809" s="442" t="s">
        <v>2195</v>
      </c>
      <c r="F2809" s="442" t="s">
        <v>2195</v>
      </c>
      <c r="G2809" s="442" t="s">
        <v>2195</v>
      </c>
      <c r="H2809" s="442" t="s">
        <v>2195</v>
      </c>
      <c r="I2809" s="442" t="s">
        <v>2195</v>
      </c>
      <c r="J2809" s="442" t="s">
        <v>2195</v>
      </c>
      <c r="K2809" s="442" t="s">
        <v>2195</v>
      </c>
      <c r="L2809" s="442" t="s">
        <v>2195</v>
      </c>
      <c r="M2809" s="442" t="s">
        <v>2195</v>
      </c>
      <c r="N2809" s="442" t="s">
        <v>2195</v>
      </c>
      <c r="O2809" s="442" t="s">
        <v>2195</v>
      </c>
      <c r="P2809" s="442"/>
      <c r="Q2809" s="442"/>
      <c r="R2809" s="442"/>
      <c r="S2809" s="442"/>
      <c r="T2809" s="442"/>
      <c r="U2809" s="442"/>
      <c r="V2809" s="442"/>
    </row>
    <row r="2810" spans="1:24" s="291" customFormat="1" ht="16" x14ac:dyDescent="0.2">
      <c r="A2810" s="1641" t="s">
        <v>57</v>
      </c>
      <c r="B2810" s="1642" t="s">
        <v>1664</v>
      </c>
      <c r="C2810" s="1642" t="s">
        <v>1665</v>
      </c>
      <c r="D2810" s="1642" t="s">
        <v>1666</v>
      </c>
      <c r="E2810" s="1642" t="s">
        <v>1667</v>
      </c>
      <c r="F2810" s="1642" t="s">
        <v>2174</v>
      </c>
      <c r="G2810" s="1642" t="s">
        <v>1668</v>
      </c>
      <c r="H2810" s="1642" t="s">
        <v>1669</v>
      </c>
      <c r="I2810" s="1642" t="s">
        <v>1670</v>
      </c>
      <c r="J2810" s="1642" t="s">
        <v>1671</v>
      </c>
      <c r="K2810" s="1642" t="s">
        <v>1672</v>
      </c>
      <c r="L2810" s="1642" t="s">
        <v>1673</v>
      </c>
      <c r="M2810" s="291" t="s">
        <v>1674</v>
      </c>
      <c r="N2810" s="2152" t="s">
        <v>1675</v>
      </c>
      <c r="O2810" s="2152" t="s">
        <v>1676</v>
      </c>
      <c r="P2810" s="1658" t="s">
        <v>2175</v>
      </c>
      <c r="Q2810" s="453"/>
      <c r="R2810" s="453"/>
      <c r="S2810" s="453"/>
      <c r="T2810" s="453"/>
      <c r="U2810" s="453"/>
      <c r="V2810" s="453"/>
      <c r="W2810" s="21"/>
      <c r="X2810" s="21"/>
    </row>
    <row r="2811" spans="1:24" s="1093" customFormat="1" ht="16" x14ac:dyDescent="0.2">
      <c r="A2811" s="523" t="s">
        <v>2196</v>
      </c>
      <c r="B2811" s="1636" t="s">
        <v>2197</v>
      </c>
      <c r="C2811" s="1636" t="s">
        <v>2197</v>
      </c>
      <c r="D2811" s="1636" t="s">
        <v>2197</v>
      </c>
      <c r="E2811" s="1636" t="s">
        <v>2197</v>
      </c>
      <c r="F2811" s="1636" t="s">
        <v>2197</v>
      </c>
      <c r="G2811" s="1636" t="s">
        <v>2197</v>
      </c>
      <c r="H2811" s="1636" t="s">
        <v>2197</v>
      </c>
      <c r="I2811" s="1636" t="s">
        <v>2197</v>
      </c>
      <c r="J2811" s="1636" t="s">
        <v>2197</v>
      </c>
      <c r="K2811" s="1636" t="s">
        <v>2197</v>
      </c>
      <c r="L2811" s="1631" t="s">
        <v>2197</v>
      </c>
      <c r="M2811" s="1631" t="s">
        <v>2197</v>
      </c>
      <c r="N2811" s="732" t="s">
        <v>2197</v>
      </c>
      <c r="O2811" s="732" t="s">
        <v>2197</v>
      </c>
      <c r="P2811" s="732"/>
      <c r="Q2811" s="1092"/>
      <c r="R2811" s="1092"/>
      <c r="S2811" s="1092"/>
      <c r="T2811" s="1092"/>
      <c r="U2811" s="1092"/>
      <c r="V2811" s="1092"/>
    </row>
    <row r="2812" spans="1:24" s="21" customFormat="1" x14ac:dyDescent="0.2">
      <c r="A2812" s="410" t="s">
        <v>1484</v>
      </c>
      <c r="B2812" s="470">
        <v>156.80000000000001</v>
      </c>
      <c r="C2812" s="470">
        <v>54.9</v>
      </c>
      <c r="D2812" s="470">
        <v>5.2</v>
      </c>
      <c r="E2812" s="470">
        <v>2.6</v>
      </c>
      <c r="F2812" s="470">
        <v>0.6</v>
      </c>
      <c r="G2812" s="470">
        <v>0</v>
      </c>
      <c r="H2812" s="470">
        <v>5.2</v>
      </c>
      <c r="I2812" s="470">
        <v>2.6</v>
      </c>
      <c r="J2812" s="470">
        <v>0</v>
      </c>
      <c r="K2812" s="470">
        <v>54.9</v>
      </c>
      <c r="L2812" s="1640">
        <v>0</v>
      </c>
      <c r="M2812" s="451">
        <v>0</v>
      </c>
      <c r="N2812" s="467">
        <v>0</v>
      </c>
      <c r="O2812" s="467">
        <v>0</v>
      </c>
      <c r="P2812" s="467"/>
      <c r="Q2812" s="453"/>
      <c r="R2812" s="453"/>
      <c r="S2812" s="453"/>
      <c r="T2812" s="453"/>
      <c r="U2812" s="453"/>
      <c r="V2812" s="453"/>
    </row>
    <row r="2813" spans="1:24" s="21" customFormat="1" x14ac:dyDescent="0.2">
      <c r="A2813" s="411" t="s">
        <v>1483</v>
      </c>
      <c r="B2813" s="467">
        <v>175.1</v>
      </c>
      <c r="C2813" s="467">
        <v>67.900000000000006</v>
      </c>
      <c r="D2813" s="467">
        <v>5.2</v>
      </c>
      <c r="E2813" s="467">
        <v>2.6</v>
      </c>
      <c r="F2813" s="467">
        <v>0.6</v>
      </c>
      <c r="G2813" s="467">
        <v>0</v>
      </c>
      <c r="H2813" s="467">
        <v>5.2</v>
      </c>
      <c r="I2813" s="467">
        <v>2.6</v>
      </c>
      <c r="J2813" s="467">
        <v>0</v>
      </c>
      <c r="K2813" s="467">
        <v>67.900000000000006</v>
      </c>
      <c r="L2813" s="451">
        <v>0</v>
      </c>
      <c r="M2813" s="451">
        <v>0</v>
      </c>
      <c r="N2813" s="467">
        <v>0</v>
      </c>
      <c r="O2813" s="467">
        <v>0</v>
      </c>
      <c r="P2813" s="467"/>
      <c r="Q2813" s="453"/>
      <c r="R2813" s="453"/>
      <c r="S2813" s="453"/>
      <c r="T2813" s="453"/>
      <c r="U2813" s="453"/>
      <c r="V2813" s="453"/>
    </row>
    <row r="2814" spans="1:24" s="21" customFormat="1" x14ac:dyDescent="0.2">
      <c r="A2814" s="411" t="s">
        <v>1491</v>
      </c>
      <c r="B2814" s="467">
        <v>130.69999999999999</v>
      </c>
      <c r="C2814" s="467">
        <v>36.6</v>
      </c>
      <c r="D2814" s="467">
        <v>5.2</v>
      </c>
      <c r="E2814" s="467">
        <v>2.6</v>
      </c>
      <c r="F2814" s="467">
        <v>0.6</v>
      </c>
      <c r="G2814" s="467">
        <v>0</v>
      </c>
      <c r="H2814" s="467">
        <v>5.2</v>
      </c>
      <c r="I2814" s="467">
        <v>2.6</v>
      </c>
      <c r="J2814" s="467">
        <v>0</v>
      </c>
      <c r="K2814" s="467">
        <v>36.6</v>
      </c>
      <c r="L2814" s="468">
        <v>0</v>
      </c>
      <c r="M2814" s="451">
        <v>0</v>
      </c>
      <c r="N2814" s="467">
        <v>0</v>
      </c>
      <c r="O2814" s="467">
        <v>0</v>
      </c>
      <c r="P2814" s="467"/>
      <c r="Q2814" s="453"/>
      <c r="R2814" s="453"/>
      <c r="S2814" s="453"/>
      <c r="T2814" s="453"/>
      <c r="U2814" s="453"/>
      <c r="V2814" s="453"/>
    </row>
    <row r="2815" spans="1:24" s="21" customFormat="1" x14ac:dyDescent="0.2">
      <c r="A2815" s="411" t="s">
        <v>1490</v>
      </c>
      <c r="B2815" s="41">
        <v>128</v>
      </c>
      <c r="C2815" s="467">
        <v>36.6</v>
      </c>
      <c r="D2815" s="467">
        <v>5.2</v>
      </c>
      <c r="E2815" s="467">
        <v>2.6</v>
      </c>
      <c r="F2815" s="467">
        <v>0.6</v>
      </c>
      <c r="G2815" s="467">
        <v>0</v>
      </c>
      <c r="H2815" s="467">
        <v>5.2</v>
      </c>
      <c r="I2815" s="467">
        <v>2.6</v>
      </c>
      <c r="J2815" s="467">
        <v>0</v>
      </c>
      <c r="K2815" s="467">
        <v>36.6</v>
      </c>
      <c r="L2815" s="451">
        <v>0</v>
      </c>
      <c r="M2815" s="451">
        <v>0</v>
      </c>
      <c r="N2815" s="467">
        <v>0</v>
      </c>
      <c r="O2815" s="467">
        <v>0</v>
      </c>
      <c r="P2815" s="467"/>
      <c r="Q2815" s="453"/>
      <c r="R2815" s="453"/>
      <c r="S2815" s="453"/>
      <c r="T2815" s="453"/>
      <c r="U2815" s="453"/>
      <c r="V2815" s="453"/>
    </row>
    <row r="2816" spans="1:24" s="21" customFormat="1" x14ac:dyDescent="0.2">
      <c r="A2816" s="411" t="s">
        <v>1486</v>
      </c>
      <c r="B2816" s="467">
        <v>190.7</v>
      </c>
      <c r="C2816" s="467">
        <v>96.7</v>
      </c>
      <c r="D2816" s="467">
        <v>10.5</v>
      </c>
      <c r="E2816" s="467">
        <v>3.9</v>
      </c>
      <c r="F2816" s="467">
        <v>0.6</v>
      </c>
      <c r="G2816" s="467">
        <v>0</v>
      </c>
      <c r="H2816" s="467">
        <v>10.5</v>
      </c>
      <c r="I2816" s="467">
        <v>2.6</v>
      </c>
      <c r="J2816" s="467">
        <v>0</v>
      </c>
      <c r="K2816" s="467">
        <v>96.7</v>
      </c>
      <c r="L2816" s="451">
        <v>0</v>
      </c>
      <c r="M2816" s="451">
        <v>0</v>
      </c>
      <c r="N2816" s="467">
        <v>0</v>
      </c>
      <c r="O2816" s="467">
        <v>0</v>
      </c>
      <c r="P2816" s="467"/>
      <c r="Q2816" s="453"/>
      <c r="R2816" s="453"/>
      <c r="S2816" s="453"/>
      <c r="T2816" s="453"/>
      <c r="U2816" s="453"/>
      <c r="V2816" s="453"/>
    </row>
    <row r="2817" spans="1:24" s="21" customFormat="1" x14ac:dyDescent="0.2">
      <c r="A2817" s="411" t="s">
        <v>1485</v>
      </c>
      <c r="B2817" s="467">
        <v>198.6</v>
      </c>
      <c r="C2817" s="467">
        <v>107.1</v>
      </c>
      <c r="D2817" s="467">
        <v>10.5</v>
      </c>
      <c r="E2817" s="467">
        <v>3.9</v>
      </c>
      <c r="F2817" s="467">
        <v>0.6</v>
      </c>
      <c r="G2817" s="467">
        <v>0</v>
      </c>
      <c r="H2817" s="467">
        <v>10.5</v>
      </c>
      <c r="I2817" s="467">
        <v>2.6</v>
      </c>
      <c r="J2817" s="467">
        <v>0</v>
      </c>
      <c r="K2817" s="467">
        <v>107.1</v>
      </c>
      <c r="L2817" s="451">
        <v>0</v>
      </c>
      <c r="M2817" s="451">
        <v>0</v>
      </c>
      <c r="N2817" s="467">
        <v>0</v>
      </c>
      <c r="O2817" s="467">
        <v>0</v>
      </c>
      <c r="P2817" s="467"/>
      <c r="Q2817" s="453"/>
      <c r="R2817" s="453"/>
      <c r="S2817" s="453"/>
      <c r="T2817" s="453"/>
      <c r="U2817" s="453"/>
      <c r="V2817" s="453"/>
    </row>
    <row r="2818" spans="1:24" s="21" customFormat="1" x14ac:dyDescent="0.2">
      <c r="A2818" s="411" t="s">
        <v>1359</v>
      </c>
      <c r="B2818" s="467">
        <v>198.6</v>
      </c>
      <c r="C2818" s="467">
        <v>154.19999999999999</v>
      </c>
      <c r="D2818" s="467">
        <v>13.1</v>
      </c>
      <c r="E2818" s="467">
        <v>5.2</v>
      </c>
      <c r="F2818" s="467">
        <v>0.6</v>
      </c>
      <c r="G2818" s="467">
        <v>0</v>
      </c>
      <c r="H2818" s="467">
        <v>13.1</v>
      </c>
      <c r="I2818" s="467">
        <v>2.6</v>
      </c>
      <c r="J2818" s="467">
        <v>0</v>
      </c>
      <c r="K2818" s="467">
        <v>154.19999999999999</v>
      </c>
      <c r="L2818" s="451">
        <v>0</v>
      </c>
      <c r="M2818" s="451">
        <v>0</v>
      </c>
      <c r="N2818" s="467">
        <v>0</v>
      </c>
      <c r="O2818" s="467">
        <v>0</v>
      </c>
      <c r="P2818" s="467"/>
      <c r="Q2818" s="453"/>
      <c r="R2818" s="453"/>
      <c r="S2818" s="453"/>
      <c r="T2818" s="453"/>
      <c r="U2818" s="453"/>
      <c r="V2818" s="453"/>
    </row>
    <row r="2819" spans="1:24" s="21" customFormat="1" x14ac:dyDescent="0.2">
      <c r="A2819" s="411" t="s">
        <v>1489</v>
      </c>
      <c r="B2819" s="41">
        <v>209</v>
      </c>
      <c r="C2819" s="467">
        <v>198.6</v>
      </c>
      <c r="D2819" s="467">
        <v>13.1</v>
      </c>
      <c r="E2819" s="467">
        <v>5.2</v>
      </c>
      <c r="F2819" s="467">
        <v>0.6</v>
      </c>
      <c r="G2819" s="467">
        <v>0</v>
      </c>
      <c r="H2819" s="467">
        <v>13.1</v>
      </c>
      <c r="I2819" s="467">
        <v>2.6</v>
      </c>
      <c r="J2819" s="467">
        <v>0</v>
      </c>
      <c r="K2819" s="467">
        <v>198.6</v>
      </c>
      <c r="L2819" s="468">
        <v>0</v>
      </c>
      <c r="M2819" s="451">
        <v>0</v>
      </c>
      <c r="N2819" s="467">
        <v>0</v>
      </c>
      <c r="O2819" s="467">
        <v>0</v>
      </c>
      <c r="P2819" s="467"/>
    </row>
    <row r="2820" spans="1:24" s="453" customFormat="1" x14ac:dyDescent="0.2">
      <c r="A2820" s="411" t="s">
        <v>1488</v>
      </c>
      <c r="B2820" s="41">
        <v>209</v>
      </c>
      <c r="C2820" s="41">
        <v>190.7</v>
      </c>
      <c r="D2820" s="467">
        <v>13.1</v>
      </c>
      <c r="E2820" s="467">
        <v>5.2</v>
      </c>
      <c r="F2820" s="467">
        <v>0.6</v>
      </c>
      <c r="G2820" s="467">
        <v>0</v>
      </c>
      <c r="H2820" s="467">
        <v>13.1</v>
      </c>
      <c r="I2820" s="467">
        <v>2.6</v>
      </c>
      <c r="J2820" s="467">
        <v>0</v>
      </c>
      <c r="K2820" s="41">
        <v>190.7</v>
      </c>
      <c r="L2820" s="451">
        <v>0</v>
      </c>
      <c r="M2820" s="451">
        <v>0</v>
      </c>
      <c r="N2820" s="467">
        <v>0</v>
      </c>
      <c r="O2820" s="467">
        <v>0</v>
      </c>
      <c r="P2820" s="467"/>
    </row>
    <row r="2821" spans="1:24" s="453" customFormat="1" x14ac:dyDescent="0.2">
      <c r="A2821" s="411" t="s">
        <v>1487</v>
      </c>
      <c r="B2821" s="41">
        <v>209</v>
      </c>
      <c r="C2821" s="467">
        <v>193.4</v>
      </c>
      <c r="D2821" s="467">
        <v>13.1</v>
      </c>
      <c r="E2821" s="467">
        <v>5.2</v>
      </c>
      <c r="F2821" s="467">
        <v>0.6</v>
      </c>
      <c r="G2821" s="467">
        <v>0</v>
      </c>
      <c r="H2821" s="467">
        <v>13.1</v>
      </c>
      <c r="I2821" s="467">
        <v>2.6</v>
      </c>
      <c r="J2821" s="467">
        <v>0</v>
      </c>
      <c r="K2821" s="467">
        <v>193.4</v>
      </c>
      <c r="L2821" s="468">
        <v>0</v>
      </c>
      <c r="M2821" s="451">
        <v>0</v>
      </c>
      <c r="N2821" s="467">
        <v>0</v>
      </c>
      <c r="O2821" s="467">
        <v>0</v>
      </c>
      <c r="P2821" s="467"/>
    </row>
    <row r="2822" spans="1:24" s="535" customFormat="1" x14ac:dyDescent="0.2">
      <c r="A2822" s="518" t="s">
        <v>2203</v>
      </c>
      <c r="F2822" s="1624"/>
      <c r="G2822" s="1624"/>
      <c r="H2822" s="1624"/>
      <c r="I2822" s="1624"/>
      <c r="J2822" s="1624"/>
      <c r="K2822" s="1624"/>
      <c r="L2822" s="1624"/>
      <c r="M2822" s="1624"/>
      <c r="N2822" s="1624"/>
    </row>
    <row r="2823" spans="1:24" s="292" customFormat="1" x14ac:dyDescent="0.2"/>
    <row r="2825" spans="1:24" s="125" customFormat="1" ht="14.25" customHeight="1" x14ac:dyDescent="0.2">
      <c r="A2825" s="377" t="s">
        <v>2193</v>
      </c>
      <c r="D2825" s="1075"/>
      <c r="E2825" s="1075"/>
      <c r="F2825" s="1075"/>
      <c r="G2825" s="1075"/>
      <c r="H2825" s="1075"/>
      <c r="I2825" s="1075"/>
      <c r="L2825" s="1075"/>
    </row>
    <row r="2826" spans="1:24" s="773" customFormat="1" ht="16.25" customHeight="1" x14ac:dyDescent="0.2">
      <c r="A2826" s="753" t="s">
        <v>2206</v>
      </c>
      <c r="B2826" s="442" t="s">
        <v>2195</v>
      </c>
      <c r="C2826" s="442" t="s">
        <v>2195</v>
      </c>
      <c r="D2826" s="442" t="s">
        <v>2195</v>
      </c>
      <c r="E2826" s="442" t="s">
        <v>2195</v>
      </c>
      <c r="F2826" s="442" t="s">
        <v>2195</v>
      </c>
      <c r="G2826" s="442" t="s">
        <v>2195</v>
      </c>
      <c r="H2826" s="442" t="s">
        <v>2195</v>
      </c>
      <c r="I2826" s="442" t="s">
        <v>2195</v>
      </c>
      <c r="J2826" s="442" t="s">
        <v>2195</v>
      </c>
      <c r="K2826" s="442" t="s">
        <v>2195</v>
      </c>
      <c r="L2826" s="442" t="s">
        <v>2195</v>
      </c>
      <c r="M2826" s="442" t="s">
        <v>2195</v>
      </c>
      <c r="N2826" s="442" t="s">
        <v>2195</v>
      </c>
      <c r="O2826" s="442" t="s">
        <v>2195</v>
      </c>
      <c r="P2826" s="442"/>
      <c r="Q2826" s="442"/>
      <c r="R2826" s="442"/>
      <c r="S2826" s="442"/>
      <c r="T2826" s="442"/>
      <c r="U2826" s="442"/>
      <c r="V2826" s="442"/>
    </row>
    <row r="2827" spans="1:24" s="291" customFormat="1" ht="16" x14ac:dyDescent="0.2">
      <c r="A2827" s="1641" t="s">
        <v>57</v>
      </c>
      <c r="B2827" s="1642" t="s">
        <v>1664</v>
      </c>
      <c r="C2827" s="1642" t="s">
        <v>1665</v>
      </c>
      <c r="D2827" s="1642" t="s">
        <v>1666</v>
      </c>
      <c r="E2827" s="1642" t="s">
        <v>1667</v>
      </c>
      <c r="F2827" s="1642" t="s">
        <v>2174</v>
      </c>
      <c r="G2827" s="1642" t="s">
        <v>1668</v>
      </c>
      <c r="H2827" s="1642" t="s">
        <v>1669</v>
      </c>
      <c r="I2827" s="1642" t="s">
        <v>1670</v>
      </c>
      <c r="J2827" s="1642" t="s">
        <v>1671</v>
      </c>
      <c r="K2827" s="1642" t="s">
        <v>1672</v>
      </c>
      <c r="L2827" s="1642" t="s">
        <v>1673</v>
      </c>
      <c r="M2827" s="291" t="s">
        <v>1674</v>
      </c>
      <c r="N2827" s="2152" t="s">
        <v>1675</v>
      </c>
      <c r="O2827" s="2152" t="s">
        <v>1676</v>
      </c>
      <c r="P2827" s="1658" t="s">
        <v>2175</v>
      </c>
      <c r="Q2827" s="453"/>
      <c r="R2827" s="453"/>
      <c r="S2827" s="453"/>
      <c r="T2827" s="453"/>
      <c r="U2827" s="453"/>
      <c r="V2827" s="453"/>
      <c r="W2827" s="21"/>
      <c r="X2827" s="21"/>
    </row>
    <row r="2828" spans="1:24" s="1093" customFormat="1" ht="16" x14ac:dyDescent="0.2">
      <c r="A2828" s="523" t="s">
        <v>2196</v>
      </c>
      <c r="B2828" s="1636" t="s">
        <v>2197</v>
      </c>
      <c r="C2828" s="1636" t="s">
        <v>2197</v>
      </c>
      <c r="D2828" s="1636" t="s">
        <v>2197</v>
      </c>
      <c r="E2828" s="1636" t="s">
        <v>2197</v>
      </c>
      <c r="F2828" s="1636" t="s">
        <v>2197</v>
      </c>
      <c r="G2828" s="1636" t="s">
        <v>2197</v>
      </c>
      <c r="H2828" s="1636" t="s">
        <v>2197</v>
      </c>
      <c r="I2828" s="1636" t="s">
        <v>2197</v>
      </c>
      <c r="J2828" s="1636" t="s">
        <v>2197</v>
      </c>
      <c r="K2828" s="1636" t="s">
        <v>2197</v>
      </c>
      <c r="L2828" s="1631" t="s">
        <v>2197</v>
      </c>
      <c r="M2828" s="1631" t="s">
        <v>2197</v>
      </c>
      <c r="N2828" s="732" t="s">
        <v>2197</v>
      </c>
      <c r="O2828" s="732" t="s">
        <v>2197</v>
      </c>
      <c r="P2828" s="732"/>
      <c r="Q2828" s="1092"/>
      <c r="R2828" s="1092"/>
      <c r="S2828" s="1092"/>
      <c r="T2828" s="1092"/>
      <c r="U2828" s="1092"/>
      <c r="V2828" s="1092"/>
    </row>
    <row r="2829" spans="1:24" s="21" customFormat="1" x14ac:dyDescent="0.2">
      <c r="A2829" s="410" t="s">
        <v>1484</v>
      </c>
      <c r="B2829" s="470">
        <v>2.4</v>
      </c>
      <c r="C2829" s="470">
        <v>2.4</v>
      </c>
      <c r="D2829" s="470">
        <v>2.4</v>
      </c>
      <c r="E2829" s="470">
        <v>2.4</v>
      </c>
      <c r="F2829" s="470">
        <v>0.6</v>
      </c>
      <c r="G2829" s="470">
        <v>2.4</v>
      </c>
      <c r="H2829" s="470">
        <v>2.4</v>
      </c>
      <c r="I2829" s="470">
        <v>2.4</v>
      </c>
      <c r="J2829" s="470">
        <v>2.4</v>
      </c>
      <c r="K2829" s="470">
        <v>2.4</v>
      </c>
      <c r="L2829" s="470">
        <v>2.4</v>
      </c>
      <c r="M2829" s="470">
        <v>0</v>
      </c>
      <c r="N2829" s="470">
        <v>0</v>
      </c>
      <c r="O2829" s="470">
        <v>0</v>
      </c>
      <c r="P2829" s="467"/>
      <c r="Q2829" s="453"/>
      <c r="R2829" s="453"/>
      <c r="S2829" s="453"/>
      <c r="T2829" s="453"/>
      <c r="U2829" s="453"/>
      <c r="V2829" s="453"/>
    </row>
    <row r="2830" spans="1:24" s="21" customFormat="1" x14ac:dyDescent="0.2">
      <c r="A2830" s="411" t="s">
        <v>1483</v>
      </c>
      <c r="B2830" s="467">
        <v>2.4</v>
      </c>
      <c r="C2830" s="467">
        <v>2.4</v>
      </c>
      <c r="D2830" s="467">
        <v>2.4</v>
      </c>
      <c r="E2830" s="467">
        <v>2.4</v>
      </c>
      <c r="F2830" s="467">
        <v>0.6</v>
      </c>
      <c r="G2830" s="467">
        <v>2.4</v>
      </c>
      <c r="H2830" s="467">
        <v>2.4</v>
      </c>
      <c r="I2830" s="467">
        <v>2.4</v>
      </c>
      <c r="J2830" s="467">
        <v>2.4</v>
      </c>
      <c r="K2830" s="467">
        <v>2.4</v>
      </c>
      <c r="L2830" s="467">
        <v>2.4</v>
      </c>
      <c r="M2830" s="467">
        <v>0</v>
      </c>
      <c r="N2830" s="467">
        <v>0</v>
      </c>
      <c r="O2830" s="467">
        <v>0</v>
      </c>
      <c r="P2830" s="467"/>
      <c r="Q2830" s="453"/>
      <c r="R2830" s="453"/>
      <c r="S2830" s="453"/>
      <c r="T2830" s="453"/>
      <c r="U2830" s="453"/>
      <c r="V2830" s="453"/>
    </row>
    <row r="2831" spans="1:24" s="21" customFormat="1" x14ac:dyDescent="0.2">
      <c r="A2831" s="411" t="s">
        <v>1491</v>
      </c>
      <c r="B2831" s="467">
        <v>2.4</v>
      </c>
      <c r="C2831" s="467">
        <v>2.4</v>
      </c>
      <c r="D2831" s="467">
        <v>2.4</v>
      </c>
      <c r="E2831" s="467">
        <v>2.4</v>
      </c>
      <c r="F2831" s="467">
        <v>0.6</v>
      </c>
      <c r="G2831" s="467">
        <v>2.4</v>
      </c>
      <c r="H2831" s="467">
        <v>2.4</v>
      </c>
      <c r="I2831" s="467">
        <v>2.4</v>
      </c>
      <c r="J2831" s="467">
        <v>2.4</v>
      </c>
      <c r="K2831" s="467">
        <v>2.4</v>
      </c>
      <c r="L2831" s="467">
        <v>2.4</v>
      </c>
      <c r="M2831" s="467">
        <v>0</v>
      </c>
      <c r="N2831" s="467">
        <v>0</v>
      </c>
      <c r="O2831" s="467">
        <v>0</v>
      </c>
      <c r="P2831" s="467"/>
      <c r="Q2831" s="453"/>
      <c r="R2831" s="453"/>
      <c r="S2831" s="453"/>
      <c r="T2831" s="453"/>
      <c r="U2831" s="453"/>
      <c r="V2831" s="453"/>
    </row>
    <row r="2832" spans="1:24" s="21" customFormat="1" x14ac:dyDescent="0.2">
      <c r="A2832" s="411" t="s">
        <v>1490</v>
      </c>
      <c r="B2832" s="467">
        <v>2.4</v>
      </c>
      <c r="C2832" s="467">
        <v>2.4</v>
      </c>
      <c r="D2832" s="467">
        <v>2.4</v>
      </c>
      <c r="E2832" s="467">
        <v>2.4</v>
      </c>
      <c r="F2832" s="467">
        <v>0.6</v>
      </c>
      <c r="G2832" s="467">
        <v>2.4</v>
      </c>
      <c r="H2832" s="467">
        <v>2.4</v>
      </c>
      <c r="I2832" s="467">
        <v>2.4</v>
      </c>
      <c r="J2832" s="467">
        <v>2.4</v>
      </c>
      <c r="K2832" s="467">
        <v>2.4</v>
      </c>
      <c r="L2832" s="467">
        <v>2.4</v>
      </c>
      <c r="M2832" s="467">
        <v>0</v>
      </c>
      <c r="N2832" s="467">
        <v>0</v>
      </c>
      <c r="O2832" s="467">
        <v>0</v>
      </c>
      <c r="P2832" s="467"/>
      <c r="Q2832" s="453"/>
      <c r="R2832" s="453"/>
      <c r="S2832" s="453"/>
      <c r="T2832" s="453"/>
      <c r="U2832" s="453"/>
      <c r="V2832" s="453"/>
    </row>
    <row r="2833" spans="1:24" s="21" customFormat="1" x14ac:dyDescent="0.2">
      <c r="A2833" s="411" t="s">
        <v>1486</v>
      </c>
      <c r="B2833" s="467">
        <v>2.4</v>
      </c>
      <c r="C2833" s="467">
        <v>2.4</v>
      </c>
      <c r="D2833" s="467">
        <v>2.4</v>
      </c>
      <c r="E2833" s="467">
        <v>2.4</v>
      </c>
      <c r="F2833" s="467">
        <v>0.6</v>
      </c>
      <c r="G2833" s="467">
        <v>2.4</v>
      </c>
      <c r="H2833" s="467">
        <v>2.4</v>
      </c>
      <c r="I2833" s="467">
        <v>2.4</v>
      </c>
      <c r="J2833" s="467">
        <v>2.4</v>
      </c>
      <c r="K2833" s="467">
        <v>2.4</v>
      </c>
      <c r="L2833" s="467">
        <v>2.4</v>
      </c>
      <c r="M2833" s="467">
        <v>0</v>
      </c>
      <c r="N2833" s="467">
        <v>0</v>
      </c>
      <c r="O2833" s="467">
        <v>0</v>
      </c>
      <c r="P2833" s="467"/>
      <c r="Q2833" s="453"/>
      <c r="R2833" s="453"/>
      <c r="S2833" s="453"/>
      <c r="T2833" s="453"/>
      <c r="U2833" s="453"/>
      <c r="V2833" s="453"/>
    </row>
    <row r="2834" spans="1:24" s="21" customFormat="1" x14ac:dyDescent="0.2">
      <c r="A2834" s="411" t="s">
        <v>1485</v>
      </c>
      <c r="B2834" s="467">
        <v>2.4</v>
      </c>
      <c r="C2834" s="467">
        <v>2.4</v>
      </c>
      <c r="D2834" s="467">
        <v>2.4</v>
      </c>
      <c r="E2834" s="467">
        <v>2.4</v>
      </c>
      <c r="F2834" s="467">
        <v>0.6</v>
      </c>
      <c r="G2834" s="467">
        <v>2.4</v>
      </c>
      <c r="H2834" s="467">
        <v>2.4</v>
      </c>
      <c r="I2834" s="467">
        <v>2.4</v>
      </c>
      <c r="J2834" s="467">
        <v>2.4</v>
      </c>
      <c r="K2834" s="467">
        <v>2.4</v>
      </c>
      <c r="L2834" s="467">
        <v>2.4</v>
      </c>
      <c r="M2834" s="467">
        <v>0</v>
      </c>
      <c r="N2834" s="467">
        <v>0</v>
      </c>
      <c r="O2834" s="467">
        <v>0</v>
      </c>
      <c r="P2834" s="467"/>
      <c r="Q2834" s="453"/>
      <c r="R2834" s="453"/>
      <c r="S2834" s="453"/>
      <c r="T2834" s="453"/>
      <c r="U2834" s="453"/>
      <c r="V2834" s="453"/>
    </row>
    <row r="2835" spans="1:24" s="21" customFormat="1" x14ac:dyDescent="0.2">
      <c r="A2835" s="411" t="s">
        <v>1359</v>
      </c>
      <c r="B2835" s="467">
        <v>2.4</v>
      </c>
      <c r="C2835" s="467">
        <v>2.4</v>
      </c>
      <c r="D2835" s="467">
        <v>2.4</v>
      </c>
      <c r="E2835" s="467">
        <v>2.4</v>
      </c>
      <c r="F2835" s="467">
        <v>0.6</v>
      </c>
      <c r="G2835" s="467">
        <v>2.4</v>
      </c>
      <c r="H2835" s="467">
        <v>2.4</v>
      </c>
      <c r="I2835" s="467">
        <v>2.4</v>
      </c>
      <c r="J2835" s="467">
        <v>2.4</v>
      </c>
      <c r="K2835" s="467">
        <v>2.4</v>
      </c>
      <c r="L2835" s="467">
        <v>2.4</v>
      </c>
      <c r="M2835" s="467">
        <v>0</v>
      </c>
      <c r="N2835" s="467">
        <v>0</v>
      </c>
      <c r="O2835" s="467">
        <v>0</v>
      </c>
      <c r="P2835" s="467"/>
      <c r="Q2835" s="453"/>
      <c r="R2835" s="453"/>
      <c r="S2835" s="453"/>
      <c r="T2835" s="453"/>
      <c r="U2835" s="453"/>
      <c r="V2835" s="453"/>
    </row>
    <row r="2836" spans="1:24" s="21" customFormat="1" x14ac:dyDescent="0.2">
      <c r="A2836" s="411" t="s">
        <v>1489</v>
      </c>
      <c r="B2836" s="467">
        <v>2.4</v>
      </c>
      <c r="C2836" s="467">
        <v>2.4</v>
      </c>
      <c r="D2836" s="467">
        <v>2.4</v>
      </c>
      <c r="E2836" s="467">
        <v>2.4</v>
      </c>
      <c r="F2836" s="467">
        <v>0.6</v>
      </c>
      <c r="G2836" s="467">
        <v>2.4</v>
      </c>
      <c r="H2836" s="467">
        <v>2.4</v>
      </c>
      <c r="I2836" s="467">
        <v>2.4</v>
      </c>
      <c r="J2836" s="467">
        <v>2.4</v>
      </c>
      <c r="K2836" s="467">
        <v>2.4</v>
      </c>
      <c r="L2836" s="467">
        <v>2.4</v>
      </c>
      <c r="M2836" s="467">
        <v>0</v>
      </c>
      <c r="N2836" s="467">
        <v>0</v>
      </c>
      <c r="O2836" s="467">
        <v>0</v>
      </c>
      <c r="P2836" s="467"/>
    </row>
    <row r="2837" spans="1:24" s="453" customFormat="1" x14ac:dyDescent="0.2">
      <c r="A2837" s="411" t="s">
        <v>1488</v>
      </c>
      <c r="B2837" s="467">
        <v>2.4</v>
      </c>
      <c r="C2837" s="467">
        <v>2.4</v>
      </c>
      <c r="D2837" s="467">
        <v>2.4</v>
      </c>
      <c r="E2837" s="467">
        <v>2.4</v>
      </c>
      <c r="F2837" s="467">
        <v>0.6</v>
      </c>
      <c r="G2837" s="467">
        <v>2.4</v>
      </c>
      <c r="H2837" s="467">
        <v>2.4</v>
      </c>
      <c r="I2837" s="467">
        <v>2.4</v>
      </c>
      <c r="J2837" s="467">
        <v>2.4</v>
      </c>
      <c r="K2837" s="467">
        <v>2.4</v>
      </c>
      <c r="L2837" s="467">
        <v>2.4</v>
      </c>
      <c r="M2837" s="467">
        <v>0</v>
      </c>
      <c r="N2837" s="467">
        <v>0</v>
      </c>
      <c r="O2837" s="467">
        <v>0</v>
      </c>
      <c r="P2837" s="467"/>
    </row>
    <row r="2838" spans="1:24" s="453" customFormat="1" x14ac:dyDescent="0.2">
      <c r="A2838" s="411" t="s">
        <v>1487</v>
      </c>
      <c r="B2838" s="467">
        <v>2.4</v>
      </c>
      <c r="C2838" s="467">
        <v>2.4</v>
      </c>
      <c r="D2838" s="467">
        <v>2.4</v>
      </c>
      <c r="E2838" s="467">
        <v>2.4</v>
      </c>
      <c r="F2838" s="467">
        <v>0.6</v>
      </c>
      <c r="G2838" s="467">
        <v>2.4</v>
      </c>
      <c r="H2838" s="467">
        <v>2.4</v>
      </c>
      <c r="I2838" s="467">
        <v>2.4</v>
      </c>
      <c r="J2838" s="467">
        <v>2.4</v>
      </c>
      <c r="K2838" s="467">
        <v>2.4</v>
      </c>
      <c r="L2838" s="467">
        <v>2.4</v>
      </c>
      <c r="M2838" s="654">
        <v>0</v>
      </c>
      <c r="N2838" s="654">
        <v>0</v>
      </c>
      <c r="O2838" s="654">
        <v>0</v>
      </c>
      <c r="P2838" s="467"/>
    </row>
    <row r="2839" spans="1:24" s="535" customFormat="1" x14ac:dyDescent="0.2">
      <c r="A2839" s="518" t="s">
        <v>2203</v>
      </c>
      <c r="F2839" s="1624"/>
      <c r="G2839" s="1624"/>
      <c r="H2839" s="1624"/>
      <c r="I2839" s="1624"/>
      <c r="J2839" s="1624"/>
      <c r="K2839" s="1624"/>
      <c r="L2839" s="1624"/>
      <c r="M2839" s="1624"/>
      <c r="N2839" s="1624"/>
    </row>
    <row r="2840" spans="1:24" s="292" customFormat="1" x14ac:dyDescent="0.2"/>
    <row r="2842" spans="1:24" s="125" customFormat="1" ht="14.25" customHeight="1" x14ac:dyDescent="0.2">
      <c r="A2842" s="377" t="s">
        <v>2193</v>
      </c>
      <c r="D2842" s="1075"/>
      <c r="E2842" s="1075"/>
      <c r="F2842" s="1075"/>
      <c r="G2842" s="1075"/>
      <c r="H2842" s="1075"/>
      <c r="I2842" s="1075"/>
      <c r="L2842" s="1075"/>
    </row>
    <row r="2843" spans="1:24" s="773" customFormat="1" ht="16.25" customHeight="1" x14ac:dyDescent="0.2">
      <c r="A2843" s="753" t="s">
        <v>2207</v>
      </c>
      <c r="B2843" s="442" t="s">
        <v>2195</v>
      </c>
      <c r="C2843" s="442" t="s">
        <v>2195</v>
      </c>
      <c r="D2843" s="442" t="s">
        <v>2195</v>
      </c>
      <c r="E2843" s="442" t="s">
        <v>2195</v>
      </c>
      <c r="F2843" s="442" t="s">
        <v>2195</v>
      </c>
      <c r="G2843" s="442" t="s">
        <v>2195</v>
      </c>
      <c r="H2843" s="442" t="s">
        <v>2195</v>
      </c>
      <c r="I2843" s="442" t="s">
        <v>2195</v>
      </c>
      <c r="J2843" s="442" t="s">
        <v>2195</v>
      </c>
      <c r="K2843" s="442" t="s">
        <v>2195</v>
      </c>
      <c r="L2843" s="442" t="s">
        <v>2195</v>
      </c>
      <c r="M2843" s="442" t="s">
        <v>2195</v>
      </c>
      <c r="N2843" s="442" t="s">
        <v>2195</v>
      </c>
      <c r="O2843" s="442" t="s">
        <v>2195</v>
      </c>
      <c r="P2843" s="442"/>
      <c r="Q2843" s="442"/>
      <c r="R2843" s="442"/>
      <c r="S2843" s="442"/>
      <c r="T2843" s="442"/>
      <c r="U2843" s="442"/>
      <c r="V2843" s="442"/>
    </row>
    <row r="2844" spans="1:24" s="291" customFormat="1" ht="16" x14ac:dyDescent="0.2">
      <c r="A2844" s="1641" t="s">
        <v>57</v>
      </c>
      <c r="B2844" s="1642" t="s">
        <v>1664</v>
      </c>
      <c r="C2844" s="1642" t="s">
        <v>1665</v>
      </c>
      <c r="D2844" s="1642" t="s">
        <v>1666</v>
      </c>
      <c r="E2844" s="1642" t="s">
        <v>1667</v>
      </c>
      <c r="F2844" s="1642" t="s">
        <v>2174</v>
      </c>
      <c r="G2844" s="1642" t="s">
        <v>1668</v>
      </c>
      <c r="H2844" s="1642" t="s">
        <v>1669</v>
      </c>
      <c r="I2844" s="1642" t="s">
        <v>1670</v>
      </c>
      <c r="J2844" s="1642" t="s">
        <v>1671</v>
      </c>
      <c r="K2844" s="1642" t="s">
        <v>1672</v>
      </c>
      <c r="L2844" s="1642" t="s">
        <v>1673</v>
      </c>
      <c r="M2844" s="291" t="s">
        <v>1674</v>
      </c>
      <c r="N2844" s="2152" t="s">
        <v>1675</v>
      </c>
      <c r="O2844" s="2152" t="s">
        <v>1676</v>
      </c>
      <c r="P2844" s="1658" t="s">
        <v>2175</v>
      </c>
      <c r="Q2844" s="453"/>
      <c r="R2844" s="453"/>
      <c r="S2844" s="453"/>
      <c r="T2844" s="453"/>
      <c r="U2844" s="453"/>
      <c r="V2844" s="453"/>
      <c r="W2844" s="21"/>
      <c r="X2844" s="21"/>
    </row>
    <row r="2845" spans="1:24" s="1093" customFormat="1" ht="16" x14ac:dyDescent="0.2">
      <c r="A2845" s="523" t="s">
        <v>2196</v>
      </c>
      <c r="B2845" s="1636" t="s">
        <v>2197</v>
      </c>
      <c r="C2845" s="1636" t="s">
        <v>2197</v>
      </c>
      <c r="D2845" s="1636" t="s">
        <v>2197</v>
      </c>
      <c r="E2845" s="1636" t="s">
        <v>2197</v>
      </c>
      <c r="F2845" s="1636" t="s">
        <v>2197</v>
      </c>
      <c r="G2845" s="1636" t="s">
        <v>2197</v>
      </c>
      <c r="H2845" s="1636" t="s">
        <v>2197</v>
      </c>
      <c r="I2845" s="1636" t="s">
        <v>2197</v>
      </c>
      <c r="J2845" s="1636" t="s">
        <v>2197</v>
      </c>
      <c r="K2845" s="1636" t="s">
        <v>2197</v>
      </c>
      <c r="L2845" s="1631" t="s">
        <v>2197</v>
      </c>
      <c r="M2845" s="1631" t="s">
        <v>2197</v>
      </c>
      <c r="N2845" s="732" t="s">
        <v>2197</v>
      </c>
      <c r="O2845" s="732" t="s">
        <v>2197</v>
      </c>
      <c r="P2845" s="732"/>
      <c r="Q2845" s="1092"/>
      <c r="R2845" s="1092"/>
      <c r="S2845" s="1092"/>
      <c r="T2845" s="1092"/>
      <c r="U2845" s="1092"/>
      <c r="V2845" s="1092"/>
    </row>
    <row r="2846" spans="1:24" s="21" customFormat="1" x14ac:dyDescent="0.2">
      <c r="A2846" s="410" t="s">
        <v>1484</v>
      </c>
      <c r="B2846" s="470">
        <v>0</v>
      </c>
      <c r="C2846" s="470">
        <v>0</v>
      </c>
      <c r="D2846" s="470">
        <v>2.5</v>
      </c>
      <c r="E2846" s="470">
        <v>1.3</v>
      </c>
      <c r="F2846" s="470">
        <v>0.6</v>
      </c>
      <c r="G2846" s="470">
        <v>0</v>
      </c>
      <c r="H2846" s="470">
        <v>0</v>
      </c>
      <c r="I2846" s="470">
        <v>0</v>
      </c>
      <c r="J2846" s="470">
        <v>0</v>
      </c>
      <c r="K2846" s="470">
        <v>0</v>
      </c>
      <c r="L2846" s="1640">
        <v>0</v>
      </c>
      <c r="M2846" s="451">
        <v>0</v>
      </c>
      <c r="N2846" s="467">
        <v>0</v>
      </c>
      <c r="O2846" s="467">
        <v>0</v>
      </c>
      <c r="P2846" s="467"/>
      <c r="Q2846" s="453"/>
      <c r="R2846" s="453"/>
      <c r="S2846" s="453"/>
      <c r="T2846" s="453"/>
      <c r="U2846" s="453"/>
      <c r="V2846" s="453"/>
    </row>
    <row r="2847" spans="1:24" s="21" customFormat="1" x14ac:dyDescent="0.2">
      <c r="A2847" s="411" t="s">
        <v>1483</v>
      </c>
      <c r="B2847" s="467">
        <v>0</v>
      </c>
      <c r="C2847" s="467">
        <v>0</v>
      </c>
      <c r="D2847" s="467">
        <v>2.5</v>
      </c>
      <c r="E2847" s="467">
        <v>1.3</v>
      </c>
      <c r="F2847" s="467">
        <v>0.6</v>
      </c>
      <c r="G2847" s="467">
        <v>0</v>
      </c>
      <c r="H2847" s="467">
        <v>0</v>
      </c>
      <c r="I2847" s="467">
        <v>0</v>
      </c>
      <c r="J2847" s="467">
        <v>0</v>
      </c>
      <c r="K2847" s="467">
        <v>0</v>
      </c>
      <c r="L2847" s="451">
        <v>0</v>
      </c>
      <c r="M2847" s="451">
        <v>0</v>
      </c>
      <c r="N2847" s="467">
        <v>0</v>
      </c>
      <c r="O2847" s="467">
        <v>0</v>
      </c>
      <c r="P2847" s="467"/>
      <c r="Q2847" s="453"/>
      <c r="R2847" s="453"/>
      <c r="S2847" s="453"/>
      <c r="T2847" s="453"/>
      <c r="U2847" s="453"/>
      <c r="V2847" s="453"/>
    </row>
    <row r="2848" spans="1:24" s="21" customFormat="1" x14ac:dyDescent="0.2">
      <c r="A2848" s="411" t="s">
        <v>1491</v>
      </c>
      <c r="B2848" s="467">
        <v>0</v>
      </c>
      <c r="C2848" s="467">
        <v>0</v>
      </c>
      <c r="D2848" s="467">
        <v>2.5</v>
      </c>
      <c r="E2848" s="467">
        <v>1.3</v>
      </c>
      <c r="F2848" s="467">
        <v>0.6</v>
      </c>
      <c r="G2848" s="467">
        <v>0</v>
      </c>
      <c r="H2848" s="467">
        <v>0</v>
      </c>
      <c r="I2848" s="467">
        <v>0</v>
      </c>
      <c r="J2848" s="467">
        <v>0</v>
      </c>
      <c r="K2848" s="467">
        <v>0</v>
      </c>
      <c r="L2848" s="468">
        <v>0</v>
      </c>
      <c r="M2848" s="451">
        <v>0</v>
      </c>
      <c r="N2848" s="467">
        <v>0</v>
      </c>
      <c r="O2848" s="467">
        <v>0</v>
      </c>
      <c r="P2848" s="467"/>
      <c r="Q2848" s="453"/>
      <c r="R2848" s="453"/>
      <c r="S2848" s="453"/>
      <c r="T2848" s="453"/>
      <c r="U2848" s="453"/>
      <c r="V2848" s="453"/>
    </row>
    <row r="2849" spans="1:24" s="21" customFormat="1" x14ac:dyDescent="0.2">
      <c r="A2849" s="411" t="s">
        <v>1490</v>
      </c>
      <c r="B2849" s="467">
        <v>0</v>
      </c>
      <c r="C2849" s="467">
        <v>0</v>
      </c>
      <c r="D2849" s="467">
        <v>2.5</v>
      </c>
      <c r="E2849" s="467">
        <v>1.3</v>
      </c>
      <c r="F2849" s="467">
        <v>0.6</v>
      </c>
      <c r="G2849" s="467">
        <v>0</v>
      </c>
      <c r="H2849" s="467">
        <v>0</v>
      </c>
      <c r="I2849" s="467">
        <v>0</v>
      </c>
      <c r="J2849" s="467">
        <v>0</v>
      </c>
      <c r="K2849" s="467">
        <v>0</v>
      </c>
      <c r="L2849" s="451">
        <v>0</v>
      </c>
      <c r="M2849" s="451">
        <v>0</v>
      </c>
      <c r="N2849" s="467">
        <v>0</v>
      </c>
      <c r="O2849" s="467">
        <v>0</v>
      </c>
      <c r="P2849" s="467"/>
      <c r="Q2849" s="453"/>
      <c r="R2849" s="453"/>
      <c r="S2849" s="453"/>
      <c r="T2849" s="453"/>
      <c r="U2849" s="453"/>
      <c r="V2849" s="453"/>
    </row>
    <row r="2850" spans="1:24" s="21" customFormat="1" x14ac:dyDescent="0.2">
      <c r="A2850" s="411" t="s">
        <v>1486</v>
      </c>
      <c r="B2850" s="467">
        <v>0</v>
      </c>
      <c r="C2850" s="467">
        <v>0</v>
      </c>
      <c r="D2850" s="467">
        <v>5.0999999999999996</v>
      </c>
      <c r="E2850" s="467">
        <v>1.9</v>
      </c>
      <c r="F2850" s="467">
        <v>0.6</v>
      </c>
      <c r="G2850" s="467">
        <v>0</v>
      </c>
      <c r="H2850" s="467">
        <v>0</v>
      </c>
      <c r="I2850" s="467">
        <v>0</v>
      </c>
      <c r="J2850" s="467">
        <v>0</v>
      </c>
      <c r="K2850" s="467">
        <v>0</v>
      </c>
      <c r="L2850" s="451">
        <v>0</v>
      </c>
      <c r="M2850" s="451">
        <v>0</v>
      </c>
      <c r="N2850" s="467">
        <v>0</v>
      </c>
      <c r="O2850" s="467">
        <v>0</v>
      </c>
      <c r="P2850" s="467"/>
      <c r="Q2850" s="453"/>
      <c r="R2850" s="453"/>
      <c r="S2850" s="453"/>
      <c r="T2850" s="453"/>
      <c r="U2850" s="453"/>
      <c r="V2850" s="453"/>
    </row>
    <row r="2851" spans="1:24" s="21" customFormat="1" x14ac:dyDescent="0.2">
      <c r="A2851" s="411" t="s">
        <v>1485</v>
      </c>
      <c r="B2851" s="467">
        <v>0</v>
      </c>
      <c r="C2851" s="467">
        <v>0</v>
      </c>
      <c r="D2851" s="467">
        <v>5.0999999999999996</v>
      </c>
      <c r="E2851" s="467">
        <v>1.9</v>
      </c>
      <c r="F2851" s="467">
        <v>0.6</v>
      </c>
      <c r="G2851" s="467">
        <v>0</v>
      </c>
      <c r="H2851" s="467">
        <v>0</v>
      </c>
      <c r="I2851" s="467">
        <v>0</v>
      </c>
      <c r="J2851" s="467">
        <v>0</v>
      </c>
      <c r="K2851" s="467">
        <v>0</v>
      </c>
      <c r="L2851" s="451">
        <v>0</v>
      </c>
      <c r="M2851" s="451">
        <v>0</v>
      </c>
      <c r="N2851" s="467">
        <v>0</v>
      </c>
      <c r="O2851" s="467">
        <v>0</v>
      </c>
      <c r="P2851" s="467"/>
      <c r="Q2851" s="453"/>
      <c r="R2851" s="453"/>
      <c r="S2851" s="453"/>
      <c r="T2851" s="453"/>
      <c r="U2851" s="453"/>
      <c r="V2851" s="453"/>
    </row>
    <row r="2852" spans="1:24" s="21" customFormat="1" x14ac:dyDescent="0.2">
      <c r="A2852" s="411" t="s">
        <v>1359</v>
      </c>
      <c r="B2852" s="467">
        <v>0</v>
      </c>
      <c r="C2852" s="467">
        <v>0</v>
      </c>
      <c r="D2852" s="467">
        <v>6.4</v>
      </c>
      <c r="E2852" s="467">
        <v>2.5</v>
      </c>
      <c r="F2852" s="467">
        <v>0.6</v>
      </c>
      <c r="G2852" s="467">
        <v>0</v>
      </c>
      <c r="H2852" s="467">
        <v>0</v>
      </c>
      <c r="I2852" s="467">
        <v>0</v>
      </c>
      <c r="J2852" s="467">
        <v>0</v>
      </c>
      <c r="K2852" s="467">
        <v>0</v>
      </c>
      <c r="L2852" s="451">
        <v>0</v>
      </c>
      <c r="M2852" s="451">
        <v>0</v>
      </c>
      <c r="N2852" s="467">
        <v>0</v>
      </c>
      <c r="O2852" s="467">
        <v>0</v>
      </c>
      <c r="P2852" s="467"/>
      <c r="Q2852" s="453"/>
      <c r="R2852" s="453"/>
      <c r="S2852" s="453"/>
      <c r="T2852" s="453"/>
      <c r="U2852" s="453"/>
      <c r="V2852" s="453"/>
    </row>
    <row r="2853" spans="1:24" s="21" customFormat="1" x14ac:dyDescent="0.2">
      <c r="A2853" s="411" t="s">
        <v>1489</v>
      </c>
      <c r="B2853" s="467">
        <v>0</v>
      </c>
      <c r="C2853" s="467">
        <v>0</v>
      </c>
      <c r="D2853" s="467">
        <v>6.4</v>
      </c>
      <c r="E2853" s="467">
        <v>2.5</v>
      </c>
      <c r="F2853" s="467">
        <v>0.6</v>
      </c>
      <c r="G2853" s="467">
        <v>0</v>
      </c>
      <c r="H2853" s="467">
        <v>0</v>
      </c>
      <c r="I2853" s="467">
        <v>0</v>
      </c>
      <c r="J2853" s="467">
        <v>0</v>
      </c>
      <c r="K2853" s="467">
        <v>0</v>
      </c>
      <c r="L2853" s="468">
        <v>0</v>
      </c>
      <c r="M2853" s="451">
        <v>0</v>
      </c>
      <c r="N2853" s="467">
        <v>0</v>
      </c>
      <c r="O2853" s="467">
        <v>0</v>
      </c>
      <c r="P2853" s="467"/>
    </row>
    <row r="2854" spans="1:24" s="453" customFormat="1" x14ac:dyDescent="0.2">
      <c r="A2854" s="411" t="s">
        <v>1488</v>
      </c>
      <c r="B2854" s="467">
        <v>0</v>
      </c>
      <c r="C2854" s="467">
        <v>0</v>
      </c>
      <c r="D2854" s="467">
        <v>6.4</v>
      </c>
      <c r="E2854" s="467">
        <v>2.5</v>
      </c>
      <c r="F2854" s="467">
        <v>0.6</v>
      </c>
      <c r="G2854" s="467">
        <v>0</v>
      </c>
      <c r="H2854" s="467">
        <v>0</v>
      </c>
      <c r="I2854" s="467">
        <v>0</v>
      </c>
      <c r="J2854" s="467">
        <v>0</v>
      </c>
      <c r="K2854" s="467">
        <v>0</v>
      </c>
      <c r="L2854" s="451">
        <v>0</v>
      </c>
      <c r="M2854" s="451">
        <v>0</v>
      </c>
      <c r="N2854" s="467">
        <v>0</v>
      </c>
      <c r="O2854" s="467">
        <v>0</v>
      </c>
      <c r="P2854" s="467"/>
    </row>
    <row r="2855" spans="1:24" s="453" customFormat="1" x14ac:dyDescent="0.2">
      <c r="A2855" s="411" t="s">
        <v>1487</v>
      </c>
      <c r="B2855" s="467">
        <v>0</v>
      </c>
      <c r="C2855" s="467">
        <v>0</v>
      </c>
      <c r="D2855" s="467">
        <v>6.4</v>
      </c>
      <c r="E2855" s="467">
        <v>2.5</v>
      </c>
      <c r="F2855" s="467">
        <v>0.6</v>
      </c>
      <c r="G2855" s="467">
        <v>0</v>
      </c>
      <c r="H2855" s="467">
        <v>0</v>
      </c>
      <c r="I2855" s="467">
        <v>0</v>
      </c>
      <c r="J2855" s="467">
        <v>0</v>
      </c>
      <c r="K2855" s="467">
        <v>0</v>
      </c>
      <c r="L2855" s="468">
        <v>0</v>
      </c>
      <c r="M2855" s="451">
        <v>0</v>
      </c>
      <c r="N2855" s="467">
        <v>0</v>
      </c>
      <c r="O2855" s="467">
        <v>0</v>
      </c>
      <c r="P2855" s="467"/>
    </row>
    <row r="2856" spans="1:24" s="535" customFormat="1" x14ac:dyDescent="0.2">
      <c r="A2856" s="518" t="s">
        <v>2198</v>
      </c>
      <c r="F2856" s="1624"/>
      <c r="G2856" s="1624"/>
      <c r="H2856" s="1624"/>
      <c r="I2856" s="1624"/>
      <c r="J2856" s="1624"/>
      <c r="K2856" s="1624"/>
      <c r="L2856" s="1624"/>
      <c r="M2856" s="1624"/>
      <c r="N2856" s="1624"/>
    </row>
    <row r="2857" spans="1:24" s="292" customFormat="1" x14ac:dyDescent="0.2"/>
    <row r="2859" spans="1:24" s="125" customFormat="1" ht="14.25" customHeight="1" x14ac:dyDescent="0.2">
      <c r="A2859" s="377" t="s">
        <v>2193</v>
      </c>
      <c r="D2859" s="1075"/>
      <c r="E2859" s="1075"/>
      <c r="F2859" s="1075"/>
      <c r="G2859" s="1075"/>
      <c r="H2859" s="1075"/>
      <c r="I2859" s="1075"/>
      <c r="L2859" s="1075"/>
    </row>
    <row r="2860" spans="1:24" s="773" customFormat="1" ht="16.25" customHeight="1" x14ac:dyDescent="0.2">
      <c r="A2860" s="753" t="s">
        <v>2208</v>
      </c>
      <c r="B2860" s="442" t="s">
        <v>2195</v>
      </c>
      <c r="C2860" s="442" t="s">
        <v>2195</v>
      </c>
      <c r="D2860" s="442" t="s">
        <v>2195</v>
      </c>
      <c r="E2860" s="442" t="s">
        <v>2195</v>
      </c>
      <c r="F2860" s="442" t="s">
        <v>2195</v>
      </c>
      <c r="G2860" s="442" t="s">
        <v>2195</v>
      </c>
      <c r="H2860" s="442" t="s">
        <v>2195</v>
      </c>
      <c r="I2860" s="442" t="s">
        <v>2195</v>
      </c>
      <c r="J2860" s="442" t="s">
        <v>2195</v>
      </c>
      <c r="K2860" s="442" t="s">
        <v>2195</v>
      </c>
      <c r="L2860" s="442" t="s">
        <v>2195</v>
      </c>
      <c r="M2860" s="442" t="s">
        <v>2195</v>
      </c>
      <c r="N2860" s="442" t="s">
        <v>2195</v>
      </c>
      <c r="O2860" s="442" t="s">
        <v>2195</v>
      </c>
      <c r="P2860" s="442"/>
      <c r="Q2860" s="442"/>
      <c r="R2860" s="442"/>
      <c r="S2860" s="442"/>
      <c r="T2860" s="442"/>
      <c r="U2860" s="442"/>
      <c r="V2860" s="442"/>
    </row>
    <row r="2861" spans="1:24" s="291" customFormat="1" ht="16" x14ac:dyDescent="0.2">
      <c r="A2861" s="1641" t="s">
        <v>57</v>
      </c>
      <c r="B2861" s="1642" t="s">
        <v>1664</v>
      </c>
      <c r="C2861" s="1642" t="s">
        <v>1665</v>
      </c>
      <c r="D2861" s="1642" t="s">
        <v>1666</v>
      </c>
      <c r="E2861" s="1642" t="s">
        <v>1667</v>
      </c>
      <c r="F2861" s="1642" t="s">
        <v>2174</v>
      </c>
      <c r="G2861" s="1642" t="s">
        <v>1668</v>
      </c>
      <c r="H2861" s="1642" t="s">
        <v>1669</v>
      </c>
      <c r="I2861" s="1642" t="s">
        <v>1670</v>
      </c>
      <c r="J2861" s="1642" t="s">
        <v>1671</v>
      </c>
      <c r="K2861" s="1642" t="s">
        <v>1672</v>
      </c>
      <c r="L2861" s="1642" t="s">
        <v>1673</v>
      </c>
      <c r="M2861" s="291" t="s">
        <v>1674</v>
      </c>
      <c r="N2861" s="2152" t="s">
        <v>1675</v>
      </c>
      <c r="O2861" s="2152" t="s">
        <v>1676</v>
      </c>
      <c r="P2861" s="1658" t="s">
        <v>2175</v>
      </c>
      <c r="Q2861" s="453"/>
      <c r="R2861" s="453"/>
      <c r="S2861" s="453"/>
      <c r="T2861" s="453"/>
      <c r="U2861" s="453"/>
      <c r="V2861" s="453"/>
      <c r="W2861" s="21"/>
      <c r="X2861" s="21"/>
    </row>
    <row r="2862" spans="1:24" s="1093" customFormat="1" ht="16" x14ac:dyDescent="0.2">
      <c r="A2862" s="523" t="s">
        <v>2196</v>
      </c>
      <c r="B2862" s="1636" t="s">
        <v>2197</v>
      </c>
      <c r="C2862" s="1636" t="s">
        <v>2197</v>
      </c>
      <c r="D2862" s="1636" t="s">
        <v>2197</v>
      </c>
      <c r="E2862" s="1636" t="s">
        <v>2197</v>
      </c>
      <c r="F2862" s="1636" t="s">
        <v>2197</v>
      </c>
      <c r="G2862" s="1636" t="s">
        <v>2197</v>
      </c>
      <c r="H2862" s="1636" t="s">
        <v>2197</v>
      </c>
      <c r="I2862" s="1636" t="s">
        <v>2197</v>
      </c>
      <c r="J2862" s="1636" t="s">
        <v>2197</v>
      </c>
      <c r="K2862" s="1636" t="s">
        <v>2197</v>
      </c>
      <c r="L2862" s="1631" t="s">
        <v>2197</v>
      </c>
      <c r="M2862" s="1631" t="s">
        <v>2197</v>
      </c>
      <c r="N2862" s="732" t="s">
        <v>2197</v>
      </c>
      <c r="O2862" s="732" t="s">
        <v>2197</v>
      </c>
      <c r="P2862" s="732"/>
      <c r="Q2862" s="1092"/>
      <c r="R2862" s="1092"/>
      <c r="S2862" s="1092"/>
      <c r="T2862" s="1092"/>
      <c r="U2862" s="1092"/>
      <c r="V2862" s="1092"/>
    </row>
    <row r="2863" spans="1:24" s="21" customFormat="1" x14ac:dyDescent="0.2">
      <c r="A2863" s="410" t="s">
        <v>1484</v>
      </c>
      <c r="B2863" s="470">
        <v>0</v>
      </c>
      <c r="C2863" s="470">
        <v>0</v>
      </c>
      <c r="D2863" s="470">
        <v>1.7</v>
      </c>
      <c r="E2863" s="470">
        <v>0.9</v>
      </c>
      <c r="F2863" s="470">
        <v>0.6</v>
      </c>
      <c r="G2863" s="470">
        <v>0</v>
      </c>
      <c r="H2863" s="470">
        <v>0</v>
      </c>
      <c r="I2863" s="470">
        <v>0</v>
      </c>
      <c r="J2863" s="470">
        <v>0</v>
      </c>
      <c r="K2863" s="470">
        <v>0</v>
      </c>
      <c r="L2863" s="1640">
        <v>0</v>
      </c>
      <c r="M2863" s="451">
        <v>0</v>
      </c>
      <c r="N2863" s="467">
        <v>0</v>
      </c>
      <c r="O2863" s="467">
        <v>0</v>
      </c>
      <c r="P2863" s="467"/>
      <c r="Q2863" s="453"/>
      <c r="R2863" s="453"/>
      <c r="S2863" s="453"/>
      <c r="T2863" s="453"/>
      <c r="U2863" s="453"/>
      <c r="V2863" s="453"/>
    </row>
    <row r="2864" spans="1:24" s="21" customFormat="1" x14ac:dyDescent="0.2">
      <c r="A2864" s="411" t="s">
        <v>1483</v>
      </c>
      <c r="B2864" s="467">
        <v>0</v>
      </c>
      <c r="C2864" s="467">
        <v>0</v>
      </c>
      <c r="D2864" s="467">
        <v>1.7</v>
      </c>
      <c r="E2864" s="467">
        <v>0.9</v>
      </c>
      <c r="F2864" s="467">
        <v>0.6</v>
      </c>
      <c r="G2864" s="467">
        <v>0</v>
      </c>
      <c r="H2864" s="467">
        <v>0</v>
      </c>
      <c r="I2864" s="467">
        <v>0</v>
      </c>
      <c r="J2864" s="467">
        <v>0</v>
      </c>
      <c r="K2864" s="467">
        <v>0</v>
      </c>
      <c r="L2864" s="451">
        <v>0</v>
      </c>
      <c r="M2864" s="451">
        <v>0</v>
      </c>
      <c r="N2864" s="467">
        <v>0</v>
      </c>
      <c r="O2864" s="467">
        <v>0</v>
      </c>
      <c r="P2864" s="467"/>
      <c r="Q2864" s="453"/>
      <c r="R2864" s="453"/>
      <c r="S2864" s="453"/>
      <c r="T2864" s="453"/>
      <c r="U2864" s="453"/>
      <c r="V2864" s="453"/>
    </row>
    <row r="2865" spans="1:24" s="21" customFormat="1" x14ac:dyDescent="0.2">
      <c r="A2865" s="411" t="s">
        <v>1491</v>
      </c>
      <c r="B2865" s="467">
        <v>0</v>
      </c>
      <c r="C2865" s="467">
        <v>0</v>
      </c>
      <c r="D2865" s="467">
        <v>1.7</v>
      </c>
      <c r="E2865" s="467">
        <v>0.9</v>
      </c>
      <c r="F2865" s="467">
        <v>0.6</v>
      </c>
      <c r="G2865" s="467">
        <v>0</v>
      </c>
      <c r="H2865" s="467">
        <v>0</v>
      </c>
      <c r="I2865" s="467">
        <v>0</v>
      </c>
      <c r="J2865" s="467">
        <v>0</v>
      </c>
      <c r="K2865" s="467">
        <v>0</v>
      </c>
      <c r="L2865" s="468">
        <v>0</v>
      </c>
      <c r="M2865" s="451">
        <v>0</v>
      </c>
      <c r="N2865" s="467">
        <v>0</v>
      </c>
      <c r="O2865" s="467">
        <v>0</v>
      </c>
      <c r="P2865" s="467"/>
      <c r="Q2865" s="453"/>
      <c r="R2865" s="453"/>
      <c r="S2865" s="453"/>
      <c r="T2865" s="453"/>
      <c r="U2865" s="453"/>
      <c r="V2865" s="453"/>
    </row>
    <row r="2866" spans="1:24" s="21" customFormat="1" x14ac:dyDescent="0.2">
      <c r="A2866" s="411" t="s">
        <v>1490</v>
      </c>
      <c r="B2866" s="467">
        <v>0</v>
      </c>
      <c r="C2866" s="467">
        <v>0</v>
      </c>
      <c r="D2866" s="467">
        <v>1.7</v>
      </c>
      <c r="E2866" s="467">
        <v>0.9</v>
      </c>
      <c r="F2866" s="467">
        <v>0.6</v>
      </c>
      <c r="G2866" s="467">
        <v>0</v>
      </c>
      <c r="H2866" s="467">
        <v>0</v>
      </c>
      <c r="I2866" s="467">
        <v>0</v>
      </c>
      <c r="J2866" s="467">
        <v>0</v>
      </c>
      <c r="K2866" s="467">
        <v>0</v>
      </c>
      <c r="L2866" s="451">
        <v>0</v>
      </c>
      <c r="M2866" s="451">
        <v>0</v>
      </c>
      <c r="N2866" s="467">
        <v>0</v>
      </c>
      <c r="O2866" s="467">
        <v>0</v>
      </c>
      <c r="P2866" s="467"/>
      <c r="Q2866" s="453"/>
      <c r="R2866" s="453"/>
      <c r="S2866" s="453"/>
      <c r="T2866" s="453"/>
      <c r="U2866" s="453"/>
      <c r="V2866" s="453"/>
    </row>
    <row r="2867" spans="1:24" s="21" customFormat="1" x14ac:dyDescent="0.2">
      <c r="A2867" s="411" t="s">
        <v>1486</v>
      </c>
      <c r="B2867" s="467">
        <v>0</v>
      </c>
      <c r="C2867" s="467">
        <v>0</v>
      </c>
      <c r="D2867" s="467">
        <v>3.5</v>
      </c>
      <c r="E2867" s="467">
        <v>1.3</v>
      </c>
      <c r="F2867" s="467">
        <v>0.6</v>
      </c>
      <c r="G2867" s="467">
        <v>0</v>
      </c>
      <c r="H2867" s="467">
        <v>0</v>
      </c>
      <c r="I2867" s="467">
        <v>0</v>
      </c>
      <c r="J2867" s="467">
        <v>0</v>
      </c>
      <c r="K2867" s="467">
        <v>0</v>
      </c>
      <c r="L2867" s="451">
        <v>0</v>
      </c>
      <c r="M2867" s="451">
        <v>0</v>
      </c>
      <c r="N2867" s="467">
        <v>0</v>
      </c>
      <c r="O2867" s="467">
        <v>0</v>
      </c>
      <c r="P2867" s="467"/>
      <c r="Q2867" s="453"/>
      <c r="R2867" s="453"/>
      <c r="S2867" s="453"/>
      <c r="T2867" s="453"/>
      <c r="U2867" s="453"/>
      <c r="V2867" s="453"/>
    </row>
    <row r="2868" spans="1:24" s="21" customFormat="1" x14ac:dyDescent="0.2">
      <c r="A2868" s="411" t="s">
        <v>1485</v>
      </c>
      <c r="B2868" s="467">
        <v>0</v>
      </c>
      <c r="C2868" s="467">
        <v>0</v>
      </c>
      <c r="D2868" s="467">
        <v>3.5</v>
      </c>
      <c r="E2868" s="467">
        <v>1.3</v>
      </c>
      <c r="F2868" s="467">
        <v>0.6</v>
      </c>
      <c r="G2868" s="467">
        <v>0</v>
      </c>
      <c r="H2868" s="467">
        <v>0</v>
      </c>
      <c r="I2868" s="467">
        <v>0</v>
      </c>
      <c r="J2868" s="467">
        <v>0</v>
      </c>
      <c r="K2868" s="467">
        <v>0</v>
      </c>
      <c r="L2868" s="451">
        <v>0</v>
      </c>
      <c r="M2868" s="451">
        <v>0</v>
      </c>
      <c r="N2868" s="467">
        <v>0</v>
      </c>
      <c r="O2868" s="467">
        <v>0</v>
      </c>
      <c r="P2868" s="467"/>
      <c r="Q2868" s="453"/>
      <c r="R2868" s="453"/>
      <c r="S2868" s="453"/>
      <c r="T2868" s="453"/>
      <c r="U2868" s="453"/>
      <c r="V2868" s="453"/>
    </row>
    <row r="2869" spans="1:24" s="21" customFormat="1" x14ac:dyDescent="0.2">
      <c r="A2869" s="411" t="s">
        <v>1359</v>
      </c>
      <c r="B2869" s="467">
        <v>0</v>
      </c>
      <c r="C2869" s="467">
        <v>0</v>
      </c>
      <c r="D2869" s="467">
        <v>4.4000000000000004</v>
      </c>
      <c r="E2869" s="467">
        <v>1.7</v>
      </c>
      <c r="F2869" s="467">
        <v>0.6</v>
      </c>
      <c r="G2869" s="467">
        <v>0</v>
      </c>
      <c r="H2869" s="467">
        <v>0</v>
      </c>
      <c r="I2869" s="467">
        <v>0</v>
      </c>
      <c r="J2869" s="467">
        <v>0</v>
      </c>
      <c r="K2869" s="467">
        <v>0</v>
      </c>
      <c r="L2869" s="451">
        <v>0</v>
      </c>
      <c r="M2869" s="451">
        <v>0</v>
      </c>
      <c r="N2869" s="467">
        <v>0</v>
      </c>
      <c r="O2869" s="467">
        <v>0</v>
      </c>
      <c r="P2869" s="467"/>
      <c r="Q2869" s="453"/>
      <c r="R2869" s="453"/>
      <c r="S2869" s="453"/>
      <c r="T2869" s="453"/>
      <c r="U2869" s="453"/>
      <c r="V2869" s="453"/>
    </row>
    <row r="2870" spans="1:24" s="21" customFormat="1" x14ac:dyDescent="0.2">
      <c r="A2870" s="411" t="s">
        <v>1489</v>
      </c>
      <c r="B2870" s="467">
        <v>0</v>
      </c>
      <c r="C2870" s="467">
        <v>0</v>
      </c>
      <c r="D2870" s="467">
        <v>4.4000000000000004</v>
      </c>
      <c r="E2870" s="467">
        <v>1.7</v>
      </c>
      <c r="F2870" s="467">
        <v>0.6</v>
      </c>
      <c r="G2870" s="467">
        <v>0</v>
      </c>
      <c r="H2870" s="467">
        <v>0</v>
      </c>
      <c r="I2870" s="467">
        <v>0</v>
      </c>
      <c r="J2870" s="467">
        <v>0</v>
      </c>
      <c r="K2870" s="467">
        <v>0</v>
      </c>
      <c r="L2870" s="468">
        <v>0</v>
      </c>
      <c r="M2870" s="451">
        <v>0</v>
      </c>
      <c r="N2870" s="467">
        <v>0</v>
      </c>
      <c r="O2870" s="467">
        <v>0</v>
      </c>
      <c r="P2870" s="467"/>
    </row>
    <row r="2871" spans="1:24" s="453" customFormat="1" x14ac:dyDescent="0.2">
      <c r="A2871" s="411" t="s">
        <v>1488</v>
      </c>
      <c r="B2871" s="467">
        <v>0</v>
      </c>
      <c r="C2871" s="467">
        <v>0</v>
      </c>
      <c r="D2871" s="467">
        <v>4.4000000000000004</v>
      </c>
      <c r="E2871" s="467">
        <v>1.7</v>
      </c>
      <c r="F2871" s="467">
        <v>0.6</v>
      </c>
      <c r="G2871" s="467">
        <v>0</v>
      </c>
      <c r="H2871" s="467">
        <v>0</v>
      </c>
      <c r="I2871" s="467">
        <v>0</v>
      </c>
      <c r="J2871" s="467">
        <v>0</v>
      </c>
      <c r="K2871" s="467">
        <v>0</v>
      </c>
      <c r="L2871" s="451">
        <v>0</v>
      </c>
      <c r="M2871" s="451">
        <v>0</v>
      </c>
      <c r="N2871" s="467">
        <v>0</v>
      </c>
      <c r="O2871" s="467">
        <v>0</v>
      </c>
      <c r="P2871" s="467"/>
    </row>
    <row r="2872" spans="1:24" s="453" customFormat="1" x14ac:dyDescent="0.2">
      <c r="A2872" s="411" t="s">
        <v>1487</v>
      </c>
      <c r="B2872" s="467">
        <v>0</v>
      </c>
      <c r="C2872" s="467">
        <v>0</v>
      </c>
      <c r="D2872" s="467">
        <v>4.4000000000000004</v>
      </c>
      <c r="E2872" s="467">
        <v>1.7</v>
      </c>
      <c r="F2872" s="467">
        <v>0.6</v>
      </c>
      <c r="G2872" s="467">
        <v>0</v>
      </c>
      <c r="H2872" s="467">
        <v>0</v>
      </c>
      <c r="I2872" s="467">
        <v>0</v>
      </c>
      <c r="J2872" s="467">
        <v>0</v>
      </c>
      <c r="K2872" s="467">
        <v>0</v>
      </c>
      <c r="L2872" s="468">
        <v>0</v>
      </c>
      <c r="M2872" s="451">
        <v>0</v>
      </c>
      <c r="N2872" s="467">
        <v>0</v>
      </c>
      <c r="O2872" s="467">
        <v>0</v>
      </c>
      <c r="P2872" s="467"/>
    </row>
    <row r="2873" spans="1:24" s="535" customFormat="1" x14ac:dyDescent="0.2">
      <c r="A2873" s="518" t="s">
        <v>2198</v>
      </c>
      <c r="F2873" s="1624"/>
      <c r="G2873" s="1624"/>
      <c r="H2873" s="1624"/>
      <c r="I2873" s="1624"/>
      <c r="J2873" s="1624"/>
      <c r="K2873" s="1624"/>
      <c r="L2873" s="1624"/>
      <c r="M2873" s="1624"/>
      <c r="N2873" s="1624"/>
    </row>
    <row r="2874" spans="1:24" s="292" customFormat="1" x14ac:dyDescent="0.2"/>
    <row r="2876" spans="1:24" s="125" customFormat="1" ht="14.25" customHeight="1" x14ac:dyDescent="0.2">
      <c r="A2876" s="377" t="s">
        <v>2193</v>
      </c>
      <c r="D2876" s="1075"/>
      <c r="E2876" s="1075"/>
      <c r="F2876" s="1075"/>
      <c r="G2876" s="1075"/>
      <c r="H2876" s="1075"/>
      <c r="I2876" s="1075"/>
      <c r="L2876" s="1075"/>
    </row>
    <row r="2877" spans="1:24" s="773" customFormat="1" ht="16.25" customHeight="1" x14ac:dyDescent="0.2">
      <c r="A2877" s="753" t="s">
        <v>2209</v>
      </c>
      <c r="B2877" s="442" t="s">
        <v>2195</v>
      </c>
      <c r="C2877" s="442" t="s">
        <v>2195</v>
      </c>
      <c r="D2877" s="442" t="s">
        <v>2195</v>
      </c>
      <c r="E2877" s="442" t="s">
        <v>2195</v>
      </c>
      <c r="F2877" s="442" t="s">
        <v>2195</v>
      </c>
      <c r="G2877" s="442" t="s">
        <v>2195</v>
      </c>
      <c r="H2877" s="442" t="s">
        <v>2195</v>
      </c>
      <c r="I2877" s="442" t="s">
        <v>2195</v>
      </c>
      <c r="J2877" s="442" t="s">
        <v>2195</v>
      </c>
      <c r="K2877" s="442" t="s">
        <v>2195</v>
      </c>
      <c r="L2877" s="442" t="s">
        <v>2195</v>
      </c>
      <c r="M2877" s="442" t="s">
        <v>2195</v>
      </c>
      <c r="N2877" s="442" t="s">
        <v>2195</v>
      </c>
      <c r="O2877" s="442" t="s">
        <v>2195</v>
      </c>
      <c r="P2877" s="442"/>
      <c r="Q2877" s="442"/>
      <c r="R2877" s="442"/>
      <c r="S2877" s="442"/>
      <c r="T2877" s="442"/>
      <c r="U2877" s="442"/>
      <c r="V2877" s="442"/>
    </row>
    <row r="2878" spans="1:24" s="291" customFormat="1" ht="16" x14ac:dyDescent="0.2">
      <c r="A2878" s="1641" t="s">
        <v>57</v>
      </c>
      <c r="B2878" s="1642" t="s">
        <v>1664</v>
      </c>
      <c r="C2878" s="1642" t="s">
        <v>1665</v>
      </c>
      <c r="D2878" s="1642" t="s">
        <v>1666</v>
      </c>
      <c r="E2878" s="1642" t="s">
        <v>1667</v>
      </c>
      <c r="F2878" s="1642" t="s">
        <v>2174</v>
      </c>
      <c r="G2878" s="1642" t="s">
        <v>1668</v>
      </c>
      <c r="H2878" s="1642" t="s">
        <v>1669</v>
      </c>
      <c r="I2878" s="1642" t="s">
        <v>1670</v>
      </c>
      <c r="J2878" s="1642" t="s">
        <v>1671</v>
      </c>
      <c r="K2878" s="1642" t="s">
        <v>1672</v>
      </c>
      <c r="L2878" s="1642" t="s">
        <v>1673</v>
      </c>
      <c r="M2878" s="291" t="s">
        <v>1674</v>
      </c>
      <c r="N2878" s="2152" t="s">
        <v>1675</v>
      </c>
      <c r="O2878" s="2152" t="s">
        <v>1676</v>
      </c>
      <c r="P2878" s="1658" t="s">
        <v>2175</v>
      </c>
      <c r="Q2878" s="453"/>
      <c r="R2878" s="453"/>
      <c r="S2878" s="453"/>
      <c r="T2878" s="453"/>
      <c r="U2878" s="453"/>
      <c r="V2878" s="453"/>
      <c r="W2878" s="21"/>
      <c r="X2878" s="21"/>
    </row>
    <row r="2879" spans="1:24" s="1093" customFormat="1" ht="16" x14ac:dyDescent="0.2">
      <c r="A2879" s="523" t="s">
        <v>2196</v>
      </c>
      <c r="B2879" s="1636" t="s">
        <v>2197</v>
      </c>
      <c r="C2879" s="1636" t="s">
        <v>2197</v>
      </c>
      <c r="D2879" s="1636" t="s">
        <v>2197</v>
      </c>
      <c r="E2879" s="1636" t="s">
        <v>2197</v>
      </c>
      <c r="F2879" s="1636" t="s">
        <v>2197</v>
      </c>
      <c r="G2879" s="1636" t="s">
        <v>2197</v>
      </c>
      <c r="H2879" s="1636" t="s">
        <v>2197</v>
      </c>
      <c r="I2879" s="1636" t="s">
        <v>2197</v>
      </c>
      <c r="J2879" s="1636" t="s">
        <v>2197</v>
      </c>
      <c r="K2879" s="1636" t="s">
        <v>2197</v>
      </c>
      <c r="L2879" s="1631" t="s">
        <v>2197</v>
      </c>
      <c r="M2879" s="1631" t="s">
        <v>2197</v>
      </c>
      <c r="N2879" s="732" t="s">
        <v>2197</v>
      </c>
      <c r="O2879" s="732" t="s">
        <v>2197</v>
      </c>
      <c r="P2879" s="732"/>
      <c r="Q2879" s="1092"/>
      <c r="R2879" s="1092"/>
      <c r="S2879" s="1092"/>
      <c r="T2879" s="1092"/>
      <c r="U2879" s="1092"/>
      <c r="V2879" s="1092"/>
    </row>
    <row r="2880" spans="1:24" s="21" customFormat="1" x14ac:dyDescent="0.2">
      <c r="A2880" s="410" t="s">
        <v>1484</v>
      </c>
      <c r="B2880" s="470">
        <v>0</v>
      </c>
      <c r="C2880" s="470">
        <v>0</v>
      </c>
      <c r="D2880" s="470">
        <v>2.4</v>
      </c>
      <c r="E2880" s="470">
        <v>1.2</v>
      </c>
      <c r="F2880" s="470">
        <v>0.6</v>
      </c>
      <c r="G2880" s="470">
        <v>0</v>
      </c>
      <c r="H2880" s="470">
        <v>0</v>
      </c>
      <c r="I2880" s="470">
        <v>0</v>
      </c>
      <c r="J2880" s="470">
        <v>0</v>
      </c>
      <c r="K2880" s="470">
        <v>0</v>
      </c>
      <c r="L2880" s="1640">
        <v>0</v>
      </c>
      <c r="M2880" s="451">
        <v>0</v>
      </c>
      <c r="N2880" s="467">
        <v>0</v>
      </c>
      <c r="O2880" s="467">
        <v>0</v>
      </c>
      <c r="P2880" s="467"/>
      <c r="Q2880" s="453"/>
      <c r="R2880" s="453"/>
      <c r="S2880" s="453"/>
      <c r="T2880" s="453"/>
      <c r="U2880" s="453"/>
      <c r="V2880" s="453"/>
    </row>
    <row r="2881" spans="1:24" s="21" customFormat="1" x14ac:dyDescent="0.2">
      <c r="A2881" s="411" t="s">
        <v>1483</v>
      </c>
      <c r="B2881" s="467">
        <v>0</v>
      </c>
      <c r="C2881" s="467">
        <v>0</v>
      </c>
      <c r="D2881" s="467">
        <v>2.4</v>
      </c>
      <c r="E2881" s="467">
        <v>1.2</v>
      </c>
      <c r="F2881" s="467">
        <v>0.6</v>
      </c>
      <c r="G2881" s="467">
        <v>0</v>
      </c>
      <c r="H2881" s="467">
        <v>0</v>
      </c>
      <c r="I2881" s="467">
        <v>0</v>
      </c>
      <c r="J2881" s="467">
        <v>0</v>
      </c>
      <c r="K2881" s="467">
        <v>0</v>
      </c>
      <c r="L2881" s="451">
        <v>0</v>
      </c>
      <c r="M2881" s="451">
        <v>0</v>
      </c>
      <c r="N2881" s="467">
        <v>0</v>
      </c>
      <c r="O2881" s="467">
        <v>0</v>
      </c>
      <c r="P2881" s="467"/>
      <c r="Q2881" s="453"/>
      <c r="R2881" s="453"/>
      <c r="S2881" s="453"/>
      <c r="T2881" s="453"/>
      <c r="U2881" s="453"/>
      <c r="V2881" s="453"/>
    </row>
    <row r="2882" spans="1:24" s="21" customFormat="1" x14ac:dyDescent="0.2">
      <c r="A2882" s="411" t="s">
        <v>1491</v>
      </c>
      <c r="B2882" s="467">
        <v>0</v>
      </c>
      <c r="C2882" s="467">
        <v>0</v>
      </c>
      <c r="D2882" s="467">
        <v>2.4</v>
      </c>
      <c r="E2882" s="467">
        <v>1.2</v>
      </c>
      <c r="F2882" s="467">
        <v>0.6</v>
      </c>
      <c r="G2882" s="467">
        <v>0</v>
      </c>
      <c r="H2882" s="467">
        <v>0</v>
      </c>
      <c r="I2882" s="467">
        <v>0</v>
      </c>
      <c r="J2882" s="467">
        <v>0</v>
      </c>
      <c r="K2882" s="467">
        <v>0</v>
      </c>
      <c r="L2882" s="468">
        <v>0</v>
      </c>
      <c r="M2882" s="451">
        <v>0</v>
      </c>
      <c r="N2882" s="467">
        <v>0</v>
      </c>
      <c r="O2882" s="467">
        <v>0</v>
      </c>
      <c r="P2882" s="467"/>
      <c r="Q2882" s="453"/>
      <c r="R2882" s="453"/>
      <c r="S2882" s="453"/>
      <c r="T2882" s="453"/>
      <c r="U2882" s="453"/>
      <c r="V2882" s="453"/>
    </row>
    <row r="2883" spans="1:24" s="21" customFormat="1" x14ac:dyDescent="0.2">
      <c r="A2883" s="411" t="s">
        <v>1490</v>
      </c>
      <c r="B2883" s="467">
        <v>0</v>
      </c>
      <c r="C2883" s="467">
        <v>0</v>
      </c>
      <c r="D2883" s="467">
        <v>2.4</v>
      </c>
      <c r="E2883" s="467">
        <v>1.2</v>
      </c>
      <c r="F2883" s="467">
        <v>0.6</v>
      </c>
      <c r="G2883" s="467">
        <v>0</v>
      </c>
      <c r="H2883" s="467">
        <v>0</v>
      </c>
      <c r="I2883" s="467">
        <v>0</v>
      </c>
      <c r="J2883" s="467">
        <v>0</v>
      </c>
      <c r="K2883" s="467">
        <v>0</v>
      </c>
      <c r="L2883" s="451">
        <v>0</v>
      </c>
      <c r="M2883" s="451">
        <v>0</v>
      </c>
      <c r="N2883" s="467">
        <v>0</v>
      </c>
      <c r="O2883" s="467">
        <v>0</v>
      </c>
      <c r="P2883" s="467"/>
      <c r="Q2883" s="453"/>
      <c r="R2883" s="453"/>
      <c r="S2883" s="453"/>
      <c r="T2883" s="453"/>
      <c r="U2883" s="453"/>
      <c r="V2883" s="453"/>
    </row>
    <row r="2884" spans="1:24" s="21" customFormat="1" x14ac:dyDescent="0.2">
      <c r="A2884" s="411" t="s">
        <v>1486</v>
      </c>
      <c r="B2884" s="467">
        <v>0</v>
      </c>
      <c r="C2884" s="467">
        <v>0</v>
      </c>
      <c r="D2884" s="467">
        <v>4.8</v>
      </c>
      <c r="E2884" s="467">
        <v>1.8</v>
      </c>
      <c r="F2884" s="467">
        <v>0.6</v>
      </c>
      <c r="G2884" s="467">
        <v>0</v>
      </c>
      <c r="H2884" s="467">
        <v>0</v>
      </c>
      <c r="I2884" s="467">
        <v>0</v>
      </c>
      <c r="J2884" s="467">
        <v>0</v>
      </c>
      <c r="K2884" s="467">
        <v>0</v>
      </c>
      <c r="L2884" s="451">
        <v>0</v>
      </c>
      <c r="M2884" s="451">
        <v>0</v>
      </c>
      <c r="N2884" s="467">
        <v>0</v>
      </c>
      <c r="O2884" s="467">
        <v>0</v>
      </c>
      <c r="P2884" s="467"/>
      <c r="Q2884" s="453"/>
      <c r="R2884" s="453"/>
      <c r="S2884" s="453"/>
      <c r="T2884" s="453"/>
      <c r="U2884" s="453"/>
      <c r="V2884" s="453"/>
    </row>
    <row r="2885" spans="1:24" s="21" customFormat="1" x14ac:dyDescent="0.2">
      <c r="A2885" s="411" t="s">
        <v>1485</v>
      </c>
      <c r="B2885" s="467">
        <v>0</v>
      </c>
      <c r="C2885" s="467">
        <v>0</v>
      </c>
      <c r="D2885" s="467">
        <v>4.8</v>
      </c>
      <c r="E2885" s="467">
        <v>1.8</v>
      </c>
      <c r="F2885" s="467">
        <v>0.6</v>
      </c>
      <c r="G2885" s="467">
        <v>0</v>
      </c>
      <c r="H2885" s="467">
        <v>0</v>
      </c>
      <c r="I2885" s="467">
        <v>0</v>
      </c>
      <c r="J2885" s="467">
        <v>0</v>
      </c>
      <c r="K2885" s="467">
        <v>0</v>
      </c>
      <c r="L2885" s="451">
        <v>0</v>
      </c>
      <c r="M2885" s="451">
        <v>0</v>
      </c>
      <c r="N2885" s="467">
        <v>0</v>
      </c>
      <c r="O2885" s="467">
        <v>0</v>
      </c>
      <c r="P2885" s="467"/>
      <c r="Q2885" s="453"/>
      <c r="R2885" s="453"/>
      <c r="S2885" s="453"/>
      <c r="T2885" s="453"/>
      <c r="U2885" s="453"/>
      <c r="V2885" s="453"/>
    </row>
    <row r="2886" spans="1:24" s="21" customFormat="1" x14ac:dyDescent="0.2">
      <c r="A2886" s="411" t="s">
        <v>1359</v>
      </c>
      <c r="B2886" s="467">
        <v>0</v>
      </c>
      <c r="C2886" s="467">
        <v>0</v>
      </c>
      <c r="D2886" s="467">
        <v>6</v>
      </c>
      <c r="E2886" s="467">
        <v>2.4</v>
      </c>
      <c r="F2886" s="467">
        <v>0.6</v>
      </c>
      <c r="G2886" s="467">
        <v>0</v>
      </c>
      <c r="H2886" s="467">
        <v>0</v>
      </c>
      <c r="I2886" s="467">
        <v>0</v>
      </c>
      <c r="J2886" s="467">
        <v>0</v>
      </c>
      <c r="K2886" s="467">
        <v>0</v>
      </c>
      <c r="L2886" s="451">
        <v>0</v>
      </c>
      <c r="M2886" s="451">
        <v>0</v>
      </c>
      <c r="N2886" s="467">
        <v>0</v>
      </c>
      <c r="O2886" s="467">
        <v>0</v>
      </c>
      <c r="P2886" s="467"/>
      <c r="Q2886" s="453"/>
      <c r="R2886" s="453"/>
      <c r="S2886" s="453"/>
      <c r="T2886" s="453"/>
      <c r="U2886" s="453"/>
      <c r="V2886" s="453"/>
    </row>
    <row r="2887" spans="1:24" s="21" customFormat="1" x14ac:dyDescent="0.2">
      <c r="A2887" s="411" t="s">
        <v>1489</v>
      </c>
      <c r="B2887" s="467">
        <v>0</v>
      </c>
      <c r="C2887" s="467">
        <v>0</v>
      </c>
      <c r="D2887" s="467">
        <v>6</v>
      </c>
      <c r="E2887" s="467">
        <v>2.4</v>
      </c>
      <c r="F2887" s="467">
        <v>0.6</v>
      </c>
      <c r="G2887" s="467">
        <v>0</v>
      </c>
      <c r="H2887" s="467">
        <v>0</v>
      </c>
      <c r="I2887" s="467">
        <v>0</v>
      </c>
      <c r="J2887" s="467">
        <v>0</v>
      </c>
      <c r="K2887" s="467">
        <v>0</v>
      </c>
      <c r="L2887" s="468">
        <v>0</v>
      </c>
      <c r="M2887" s="451">
        <v>0</v>
      </c>
      <c r="N2887" s="467">
        <v>0</v>
      </c>
      <c r="O2887" s="467">
        <v>0</v>
      </c>
      <c r="P2887" s="467"/>
    </row>
    <row r="2888" spans="1:24" s="453" customFormat="1" x14ac:dyDescent="0.2">
      <c r="A2888" s="411" t="s">
        <v>1488</v>
      </c>
      <c r="B2888" s="467">
        <v>0</v>
      </c>
      <c r="C2888" s="467">
        <v>0</v>
      </c>
      <c r="D2888" s="467">
        <v>6</v>
      </c>
      <c r="E2888" s="467">
        <v>2.4</v>
      </c>
      <c r="F2888" s="467">
        <v>0.6</v>
      </c>
      <c r="G2888" s="467">
        <v>0</v>
      </c>
      <c r="H2888" s="467">
        <v>0</v>
      </c>
      <c r="I2888" s="467">
        <v>0</v>
      </c>
      <c r="J2888" s="467">
        <v>0</v>
      </c>
      <c r="K2888" s="467">
        <v>0</v>
      </c>
      <c r="L2888" s="451">
        <v>0</v>
      </c>
      <c r="M2888" s="451">
        <v>0</v>
      </c>
      <c r="N2888" s="467">
        <v>0</v>
      </c>
      <c r="O2888" s="467">
        <v>0</v>
      </c>
      <c r="P2888" s="467"/>
    </row>
    <row r="2889" spans="1:24" s="453" customFormat="1" x14ac:dyDescent="0.2">
      <c r="A2889" s="411" t="s">
        <v>1487</v>
      </c>
      <c r="B2889" s="467">
        <v>0</v>
      </c>
      <c r="C2889" s="467">
        <v>0</v>
      </c>
      <c r="D2889" s="467">
        <v>6</v>
      </c>
      <c r="E2889" s="467">
        <v>2.4</v>
      </c>
      <c r="F2889" s="467">
        <v>0.6</v>
      </c>
      <c r="G2889" s="467">
        <v>0</v>
      </c>
      <c r="H2889" s="467">
        <v>0</v>
      </c>
      <c r="I2889" s="467">
        <v>0</v>
      </c>
      <c r="J2889" s="467">
        <v>0</v>
      </c>
      <c r="K2889" s="467">
        <v>0</v>
      </c>
      <c r="L2889" s="468">
        <v>0</v>
      </c>
      <c r="M2889" s="451">
        <v>0</v>
      </c>
      <c r="N2889" s="467">
        <v>0</v>
      </c>
      <c r="O2889" s="467">
        <v>0</v>
      </c>
      <c r="P2889" s="467"/>
    </row>
    <row r="2890" spans="1:24" s="535" customFormat="1" x14ac:dyDescent="0.2">
      <c r="A2890" s="518" t="s">
        <v>2198</v>
      </c>
      <c r="F2890" s="1624"/>
      <c r="G2890" s="1624"/>
      <c r="H2890" s="1624"/>
      <c r="I2890" s="1624"/>
      <c r="J2890" s="1624"/>
      <c r="K2890" s="1624"/>
      <c r="L2890" s="1624"/>
      <c r="M2890" s="1624"/>
      <c r="N2890" s="1624"/>
    </row>
    <row r="2891" spans="1:24" s="292" customFormat="1" x14ac:dyDescent="0.2"/>
    <row r="2893" spans="1:24" s="125" customFormat="1" ht="14.25" customHeight="1" x14ac:dyDescent="0.2">
      <c r="A2893" s="377" t="s">
        <v>2193</v>
      </c>
      <c r="D2893" s="1075"/>
      <c r="E2893" s="1075"/>
      <c r="F2893" s="1075"/>
      <c r="G2893" s="1075"/>
      <c r="H2893" s="1075"/>
      <c r="I2893" s="1075"/>
      <c r="L2893" s="1075"/>
    </row>
    <row r="2894" spans="1:24" s="773" customFormat="1" ht="16.25" customHeight="1" x14ac:dyDescent="0.2">
      <c r="A2894" s="753" t="s">
        <v>2210</v>
      </c>
      <c r="B2894" s="442" t="s">
        <v>2195</v>
      </c>
      <c r="C2894" s="442" t="s">
        <v>2195</v>
      </c>
      <c r="D2894" s="442" t="s">
        <v>2195</v>
      </c>
      <c r="E2894" s="442" t="s">
        <v>2195</v>
      </c>
      <c r="F2894" s="442" t="s">
        <v>2195</v>
      </c>
      <c r="G2894" s="442" t="s">
        <v>2195</v>
      </c>
      <c r="H2894" s="442" t="s">
        <v>2195</v>
      </c>
      <c r="I2894" s="442" t="s">
        <v>2195</v>
      </c>
      <c r="J2894" s="442" t="s">
        <v>2195</v>
      </c>
      <c r="K2894" s="442" t="s">
        <v>2195</v>
      </c>
      <c r="L2894" s="442" t="s">
        <v>2195</v>
      </c>
      <c r="M2894" s="442" t="s">
        <v>2195</v>
      </c>
      <c r="N2894" s="442" t="s">
        <v>2195</v>
      </c>
      <c r="O2894" s="442" t="s">
        <v>2195</v>
      </c>
      <c r="P2894" s="442"/>
      <c r="Q2894" s="442"/>
      <c r="R2894" s="442"/>
      <c r="S2894" s="442"/>
      <c r="T2894" s="442"/>
      <c r="U2894" s="442"/>
      <c r="V2894" s="442"/>
    </row>
    <row r="2895" spans="1:24" s="291" customFormat="1" ht="16" x14ac:dyDescent="0.2">
      <c r="A2895" s="1641" t="s">
        <v>57</v>
      </c>
      <c r="B2895" s="1642" t="s">
        <v>1664</v>
      </c>
      <c r="C2895" s="1642" t="s">
        <v>1665</v>
      </c>
      <c r="D2895" s="1642" t="s">
        <v>1666</v>
      </c>
      <c r="E2895" s="1642" t="s">
        <v>1667</v>
      </c>
      <c r="F2895" s="1642" t="s">
        <v>2174</v>
      </c>
      <c r="G2895" s="1642" t="s">
        <v>1668</v>
      </c>
      <c r="H2895" s="1642" t="s">
        <v>1669</v>
      </c>
      <c r="I2895" s="1642" t="s">
        <v>1670</v>
      </c>
      <c r="J2895" s="1642" t="s">
        <v>1671</v>
      </c>
      <c r="K2895" s="1642" t="s">
        <v>1672</v>
      </c>
      <c r="L2895" s="1642" t="s">
        <v>1673</v>
      </c>
      <c r="M2895" s="291" t="s">
        <v>1674</v>
      </c>
      <c r="N2895" s="2152" t="s">
        <v>1675</v>
      </c>
      <c r="O2895" s="2152" t="s">
        <v>1676</v>
      </c>
      <c r="P2895" s="1658" t="s">
        <v>2175</v>
      </c>
      <c r="Q2895" s="453"/>
      <c r="R2895" s="453"/>
      <c r="S2895" s="453"/>
      <c r="T2895" s="453"/>
      <c r="U2895" s="453"/>
      <c r="V2895" s="453"/>
      <c r="W2895" s="21"/>
      <c r="X2895" s="21"/>
    </row>
    <row r="2896" spans="1:24" s="1093" customFormat="1" ht="16" x14ac:dyDescent="0.2">
      <c r="A2896" s="523" t="s">
        <v>2196</v>
      </c>
      <c r="B2896" s="1636" t="s">
        <v>2197</v>
      </c>
      <c r="C2896" s="1636" t="s">
        <v>2197</v>
      </c>
      <c r="D2896" s="1636" t="s">
        <v>2197</v>
      </c>
      <c r="E2896" s="1636" t="s">
        <v>2197</v>
      </c>
      <c r="F2896" s="1636" t="s">
        <v>2197</v>
      </c>
      <c r="G2896" s="1636" t="s">
        <v>2197</v>
      </c>
      <c r="H2896" s="1636" t="s">
        <v>2197</v>
      </c>
      <c r="I2896" s="1636" t="s">
        <v>2197</v>
      </c>
      <c r="J2896" s="1636" t="s">
        <v>2197</v>
      </c>
      <c r="K2896" s="1636" t="s">
        <v>2197</v>
      </c>
      <c r="L2896" s="1631" t="s">
        <v>2197</v>
      </c>
      <c r="M2896" s="1631" t="s">
        <v>2197</v>
      </c>
      <c r="N2896" s="732" t="s">
        <v>2197</v>
      </c>
      <c r="O2896" s="732" t="s">
        <v>2197</v>
      </c>
      <c r="P2896" s="732"/>
      <c r="Q2896" s="1092"/>
      <c r="R2896" s="1092"/>
      <c r="S2896" s="1092"/>
      <c r="T2896" s="1092"/>
      <c r="U2896" s="1092"/>
      <c r="V2896" s="1092"/>
    </row>
    <row r="2897" spans="1:24" s="21" customFormat="1" x14ac:dyDescent="0.2">
      <c r="A2897" s="410" t="s">
        <v>1484</v>
      </c>
      <c r="B2897" s="470">
        <v>0</v>
      </c>
      <c r="C2897" s="470">
        <v>0</v>
      </c>
      <c r="D2897" s="470">
        <v>1.7</v>
      </c>
      <c r="E2897" s="470">
        <v>0.9</v>
      </c>
      <c r="F2897" s="470">
        <v>0.6</v>
      </c>
      <c r="G2897" s="470">
        <v>0</v>
      </c>
      <c r="H2897" s="470">
        <v>0</v>
      </c>
      <c r="I2897" s="470">
        <v>0</v>
      </c>
      <c r="J2897" s="470">
        <v>0</v>
      </c>
      <c r="K2897" s="470">
        <v>0</v>
      </c>
      <c r="L2897" s="1640">
        <v>0</v>
      </c>
      <c r="M2897" s="451">
        <v>0</v>
      </c>
      <c r="N2897" s="467">
        <v>0</v>
      </c>
      <c r="O2897" s="467">
        <v>0</v>
      </c>
      <c r="P2897" s="467"/>
      <c r="Q2897" s="453"/>
      <c r="R2897" s="453"/>
      <c r="S2897" s="453"/>
      <c r="T2897" s="453"/>
      <c r="U2897" s="453"/>
      <c r="V2897" s="453"/>
    </row>
    <row r="2898" spans="1:24" s="21" customFormat="1" x14ac:dyDescent="0.2">
      <c r="A2898" s="411" t="s">
        <v>1483</v>
      </c>
      <c r="B2898" s="467">
        <v>0</v>
      </c>
      <c r="C2898" s="467">
        <v>0</v>
      </c>
      <c r="D2898" s="467">
        <v>1.7</v>
      </c>
      <c r="E2898" s="467">
        <v>0.9</v>
      </c>
      <c r="F2898" s="467">
        <v>0.6</v>
      </c>
      <c r="G2898" s="467">
        <v>0</v>
      </c>
      <c r="H2898" s="467">
        <v>0</v>
      </c>
      <c r="I2898" s="467">
        <v>0</v>
      </c>
      <c r="J2898" s="467">
        <v>0</v>
      </c>
      <c r="K2898" s="467">
        <v>0</v>
      </c>
      <c r="L2898" s="451">
        <v>0</v>
      </c>
      <c r="M2898" s="451">
        <v>0</v>
      </c>
      <c r="N2898" s="467">
        <v>0</v>
      </c>
      <c r="O2898" s="467">
        <v>0</v>
      </c>
      <c r="P2898" s="467"/>
      <c r="Q2898" s="453"/>
      <c r="R2898" s="453"/>
      <c r="S2898" s="453"/>
      <c r="T2898" s="453"/>
      <c r="U2898" s="453"/>
      <c r="V2898" s="453"/>
    </row>
    <row r="2899" spans="1:24" s="21" customFormat="1" x14ac:dyDescent="0.2">
      <c r="A2899" s="411" t="s">
        <v>1491</v>
      </c>
      <c r="B2899" s="467">
        <v>0</v>
      </c>
      <c r="C2899" s="467">
        <v>0</v>
      </c>
      <c r="D2899" s="467">
        <v>1.7</v>
      </c>
      <c r="E2899" s="467">
        <v>0.9</v>
      </c>
      <c r="F2899" s="467">
        <v>0.6</v>
      </c>
      <c r="G2899" s="467">
        <v>0</v>
      </c>
      <c r="H2899" s="467">
        <v>0</v>
      </c>
      <c r="I2899" s="467">
        <v>0</v>
      </c>
      <c r="J2899" s="467">
        <v>0</v>
      </c>
      <c r="K2899" s="467">
        <v>0</v>
      </c>
      <c r="L2899" s="468">
        <v>0</v>
      </c>
      <c r="M2899" s="451">
        <v>0</v>
      </c>
      <c r="N2899" s="467">
        <v>0</v>
      </c>
      <c r="O2899" s="467">
        <v>0</v>
      </c>
      <c r="P2899" s="467"/>
      <c r="Q2899" s="453"/>
      <c r="R2899" s="453"/>
      <c r="S2899" s="453"/>
      <c r="T2899" s="453"/>
      <c r="U2899" s="453"/>
      <c r="V2899" s="453"/>
    </row>
    <row r="2900" spans="1:24" s="21" customFormat="1" x14ac:dyDescent="0.2">
      <c r="A2900" s="411" t="s">
        <v>1490</v>
      </c>
      <c r="B2900" s="467">
        <v>0</v>
      </c>
      <c r="C2900" s="467">
        <v>0</v>
      </c>
      <c r="D2900" s="467">
        <v>1.7</v>
      </c>
      <c r="E2900" s="467">
        <v>0.9</v>
      </c>
      <c r="F2900" s="467">
        <v>0.6</v>
      </c>
      <c r="G2900" s="467">
        <v>0</v>
      </c>
      <c r="H2900" s="467">
        <v>0</v>
      </c>
      <c r="I2900" s="467">
        <v>0</v>
      </c>
      <c r="J2900" s="467">
        <v>0</v>
      </c>
      <c r="K2900" s="467">
        <v>0</v>
      </c>
      <c r="L2900" s="451">
        <v>0</v>
      </c>
      <c r="M2900" s="451">
        <v>0</v>
      </c>
      <c r="N2900" s="467">
        <v>0</v>
      </c>
      <c r="O2900" s="467">
        <v>0</v>
      </c>
      <c r="P2900" s="467"/>
      <c r="Q2900" s="453"/>
      <c r="R2900" s="453"/>
      <c r="S2900" s="453"/>
      <c r="T2900" s="453"/>
      <c r="U2900" s="453"/>
      <c r="V2900" s="453"/>
    </row>
    <row r="2901" spans="1:24" s="21" customFormat="1" x14ac:dyDescent="0.2">
      <c r="A2901" s="411" t="s">
        <v>1486</v>
      </c>
      <c r="B2901" s="467">
        <v>0</v>
      </c>
      <c r="C2901" s="467">
        <v>0</v>
      </c>
      <c r="D2901" s="467">
        <v>3.5</v>
      </c>
      <c r="E2901" s="467">
        <v>1.3</v>
      </c>
      <c r="F2901" s="467">
        <v>0.6</v>
      </c>
      <c r="G2901" s="467">
        <v>0</v>
      </c>
      <c r="H2901" s="467">
        <v>0</v>
      </c>
      <c r="I2901" s="467">
        <v>0</v>
      </c>
      <c r="J2901" s="467">
        <v>0</v>
      </c>
      <c r="K2901" s="467">
        <v>0</v>
      </c>
      <c r="L2901" s="451">
        <v>0</v>
      </c>
      <c r="M2901" s="451">
        <v>0</v>
      </c>
      <c r="N2901" s="467">
        <v>0</v>
      </c>
      <c r="O2901" s="467">
        <v>0</v>
      </c>
      <c r="P2901" s="467"/>
      <c r="Q2901" s="453"/>
      <c r="R2901" s="453"/>
      <c r="S2901" s="453"/>
      <c r="T2901" s="453"/>
      <c r="U2901" s="453"/>
      <c r="V2901" s="453"/>
    </row>
    <row r="2902" spans="1:24" s="21" customFormat="1" x14ac:dyDescent="0.2">
      <c r="A2902" s="411" t="s">
        <v>1485</v>
      </c>
      <c r="B2902" s="467">
        <v>0</v>
      </c>
      <c r="C2902" s="467">
        <v>0</v>
      </c>
      <c r="D2902" s="467">
        <v>3.5</v>
      </c>
      <c r="E2902" s="467">
        <v>1.3</v>
      </c>
      <c r="F2902" s="467">
        <v>0.6</v>
      </c>
      <c r="G2902" s="467">
        <v>0</v>
      </c>
      <c r="H2902" s="467">
        <v>0</v>
      </c>
      <c r="I2902" s="467">
        <v>0</v>
      </c>
      <c r="J2902" s="467">
        <v>0</v>
      </c>
      <c r="K2902" s="467">
        <v>0</v>
      </c>
      <c r="L2902" s="451">
        <v>0</v>
      </c>
      <c r="M2902" s="451">
        <v>0</v>
      </c>
      <c r="N2902" s="467">
        <v>0</v>
      </c>
      <c r="O2902" s="467">
        <v>0</v>
      </c>
      <c r="P2902" s="467"/>
      <c r="Q2902" s="453"/>
      <c r="R2902" s="453"/>
      <c r="S2902" s="453"/>
      <c r="T2902" s="453"/>
      <c r="U2902" s="453"/>
      <c r="V2902" s="453"/>
    </row>
    <row r="2903" spans="1:24" s="21" customFormat="1" x14ac:dyDescent="0.2">
      <c r="A2903" s="411" t="s">
        <v>1359</v>
      </c>
      <c r="B2903" s="467">
        <v>0</v>
      </c>
      <c r="C2903" s="467">
        <v>0</v>
      </c>
      <c r="D2903" s="467">
        <v>4.4000000000000004</v>
      </c>
      <c r="E2903" s="467">
        <v>1.7</v>
      </c>
      <c r="F2903" s="467">
        <v>0.6</v>
      </c>
      <c r="G2903" s="467">
        <v>0</v>
      </c>
      <c r="H2903" s="467">
        <v>0</v>
      </c>
      <c r="I2903" s="467">
        <v>0</v>
      </c>
      <c r="J2903" s="467">
        <v>0</v>
      </c>
      <c r="K2903" s="467">
        <v>0</v>
      </c>
      <c r="L2903" s="451">
        <v>0</v>
      </c>
      <c r="M2903" s="451">
        <v>0</v>
      </c>
      <c r="N2903" s="467">
        <v>0</v>
      </c>
      <c r="O2903" s="467">
        <v>0</v>
      </c>
      <c r="P2903" s="467"/>
      <c r="Q2903" s="453"/>
      <c r="R2903" s="453"/>
      <c r="S2903" s="453"/>
      <c r="T2903" s="453"/>
      <c r="U2903" s="453"/>
      <c r="V2903" s="453"/>
    </row>
    <row r="2904" spans="1:24" s="21" customFormat="1" x14ac:dyDescent="0.2">
      <c r="A2904" s="411" t="s">
        <v>1489</v>
      </c>
      <c r="B2904" s="467">
        <v>0</v>
      </c>
      <c r="C2904" s="467">
        <v>0</v>
      </c>
      <c r="D2904" s="467">
        <v>4.4000000000000004</v>
      </c>
      <c r="E2904" s="467">
        <v>1.7</v>
      </c>
      <c r="F2904" s="467">
        <v>0.6</v>
      </c>
      <c r="G2904" s="467">
        <v>0</v>
      </c>
      <c r="H2904" s="467">
        <v>0</v>
      </c>
      <c r="I2904" s="467">
        <v>0</v>
      </c>
      <c r="J2904" s="467">
        <v>0</v>
      </c>
      <c r="K2904" s="467">
        <v>0</v>
      </c>
      <c r="L2904" s="468">
        <v>0</v>
      </c>
      <c r="M2904" s="451">
        <v>0</v>
      </c>
      <c r="N2904" s="467">
        <v>0</v>
      </c>
      <c r="O2904" s="467">
        <v>0</v>
      </c>
      <c r="P2904" s="467"/>
    </row>
    <row r="2905" spans="1:24" s="453" customFormat="1" x14ac:dyDescent="0.2">
      <c r="A2905" s="411" t="s">
        <v>1488</v>
      </c>
      <c r="B2905" s="467">
        <v>0</v>
      </c>
      <c r="C2905" s="467">
        <v>0</v>
      </c>
      <c r="D2905" s="467">
        <v>4.4000000000000004</v>
      </c>
      <c r="E2905" s="467">
        <v>1.7</v>
      </c>
      <c r="F2905" s="467">
        <v>0.6</v>
      </c>
      <c r="G2905" s="467">
        <v>0</v>
      </c>
      <c r="H2905" s="467">
        <v>0</v>
      </c>
      <c r="I2905" s="467">
        <v>0</v>
      </c>
      <c r="J2905" s="467">
        <v>0</v>
      </c>
      <c r="K2905" s="467">
        <v>0</v>
      </c>
      <c r="L2905" s="451">
        <v>0</v>
      </c>
      <c r="M2905" s="451">
        <v>0</v>
      </c>
      <c r="N2905" s="467">
        <v>0</v>
      </c>
      <c r="O2905" s="467">
        <v>0</v>
      </c>
      <c r="P2905" s="467"/>
    </row>
    <row r="2906" spans="1:24" s="453" customFormat="1" x14ac:dyDescent="0.2">
      <c r="A2906" s="411" t="s">
        <v>1487</v>
      </c>
      <c r="B2906" s="467">
        <v>0</v>
      </c>
      <c r="C2906" s="467">
        <v>0</v>
      </c>
      <c r="D2906" s="467">
        <v>4.4000000000000004</v>
      </c>
      <c r="E2906" s="467">
        <v>1.7</v>
      </c>
      <c r="F2906" s="467">
        <v>0.6</v>
      </c>
      <c r="G2906" s="467">
        <v>0</v>
      </c>
      <c r="H2906" s="467">
        <v>0</v>
      </c>
      <c r="I2906" s="467">
        <v>0</v>
      </c>
      <c r="J2906" s="467">
        <v>0</v>
      </c>
      <c r="K2906" s="467">
        <v>0</v>
      </c>
      <c r="L2906" s="468">
        <v>0</v>
      </c>
      <c r="M2906" s="451">
        <v>0</v>
      </c>
      <c r="N2906" s="467">
        <v>0</v>
      </c>
      <c r="O2906" s="467">
        <v>0</v>
      </c>
      <c r="P2906" s="467"/>
    </row>
    <row r="2907" spans="1:24" s="535" customFormat="1" x14ac:dyDescent="0.2">
      <c r="A2907" s="518" t="s">
        <v>2198</v>
      </c>
      <c r="F2907" s="1624"/>
      <c r="G2907" s="1624"/>
      <c r="H2907" s="1624"/>
      <c r="I2907" s="1624"/>
      <c r="J2907" s="1624"/>
      <c r="K2907" s="1624"/>
      <c r="L2907" s="1624"/>
      <c r="M2907" s="1624"/>
      <c r="N2907" s="1624"/>
    </row>
    <row r="2908" spans="1:24" s="292" customFormat="1" x14ac:dyDescent="0.2"/>
    <row r="2910" spans="1:24" s="125" customFormat="1" ht="14.25" customHeight="1" x14ac:dyDescent="0.2">
      <c r="A2910" s="377" t="s">
        <v>2193</v>
      </c>
      <c r="D2910" s="1075"/>
      <c r="E2910" s="1075"/>
      <c r="F2910" s="1075"/>
      <c r="G2910" s="1075"/>
      <c r="H2910" s="1075"/>
      <c r="I2910" s="1075"/>
      <c r="L2910" s="1075"/>
    </row>
    <row r="2911" spans="1:24" s="773" customFormat="1" ht="16.25" customHeight="1" x14ac:dyDescent="0.2">
      <c r="A2911" s="753" t="s">
        <v>2211</v>
      </c>
      <c r="B2911" s="442" t="s">
        <v>2195</v>
      </c>
      <c r="C2911" s="442" t="s">
        <v>2195</v>
      </c>
      <c r="D2911" s="442" t="s">
        <v>2195</v>
      </c>
      <c r="E2911" s="442" t="s">
        <v>2195</v>
      </c>
      <c r="F2911" s="442" t="s">
        <v>2195</v>
      </c>
      <c r="G2911" s="442" t="s">
        <v>2195</v>
      </c>
      <c r="H2911" s="442" t="s">
        <v>2195</v>
      </c>
      <c r="I2911" s="442" t="s">
        <v>2195</v>
      </c>
      <c r="J2911" s="442" t="s">
        <v>2195</v>
      </c>
      <c r="K2911" s="442" t="s">
        <v>2195</v>
      </c>
      <c r="L2911" s="442" t="s">
        <v>2195</v>
      </c>
      <c r="M2911" s="442" t="s">
        <v>2195</v>
      </c>
      <c r="N2911" s="442" t="s">
        <v>2195</v>
      </c>
      <c r="O2911" s="442" t="s">
        <v>2195</v>
      </c>
      <c r="P2911" s="442"/>
      <c r="Q2911" s="442"/>
      <c r="R2911" s="442"/>
      <c r="S2911" s="442"/>
      <c r="T2911" s="442"/>
      <c r="U2911" s="442"/>
      <c r="V2911" s="442"/>
    </row>
    <row r="2912" spans="1:24" s="291" customFormat="1" ht="16" x14ac:dyDescent="0.2">
      <c r="A2912" s="1641" t="s">
        <v>57</v>
      </c>
      <c r="B2912" s="1642" t="s">
        <v>1664</v>
      </c>
      <c r="C2912" s="1642" t="s">
        <v>1665</v>
      </c>
      <c r="D2912" s="1642" t="s">
        <v>1666</v>
      </c>
      <c r="E2912" s="1642" t="s">
        <v>1667</v>
      </c>
      <c r="F2912" s="1642" t="s">
        <v>2174</v>
      </c>
      <c r="G2912" s="1642" t="s">
        <v>1668</v>
      </c>
      <c r="H2912" s="1642" t="s">
        <v>1669</v>
      </c>
      <c r="I2912" s="1642" t="s">
        <v>1670</v>
      </c>
      <c r="J2912" s="1642" t="s">
        <v>1671</v>
      </c>
      <c r="K2912" s="1642" t="s">
        <v>1672</v>
      </c>
      <c r="L2912" s="1642" t="s">
        <v>1673</v>
      </c>
      <c r="M2912" s="291" t="s">
        <v>1674</v>
      </c>
      <c r="N2912" s="2152" t="s">
        <v>1675</v>
      </c>
      <c r="O2912" s="2152" t="s">
        <v>1676</v>
      </c>
      <c r="P2912" s="1658" t="s">
        <v>2175</v>
      </c>
      <c r="Q2912" s="453"/>
      <c r="R2912" s="453"/>
      <c r="S2912" s="453"/>
      <c r="T2912" s="453"/>
      <c r="U2912" s="453"/>
      <c r="V2912" s="453"/>
      <c r="W2912" s="21"/>
      <c r="X2912" s="21"/>
    </row>
    <row r="2913" spans="1:22" s="1093" customFormat="1" ht="16" x14ac:dyDescent="0.2">
      <c r="A2913" s="523" t="s">
        <v>2196</v>
      </c>
      <c r="B2913" s="1636" t="s">
        <v>2197</v>
      </c>
      <c r="C2913" s="1636" t="s">
        <v>2197</v>
      </c>
      <c r="D2913" s="1636" t="s">
        <v>2197</v>
      </c>
      <c r="E2913" s="1636" t="s">
        <v>2197</v>
      </c>
      <c r="F2913" s="1636" t="s">
        <v>2197</v>
      </c>
      <c r="G2913" s="1636" t="s">
        <v>2197</v>
      </c>
      <c r="H2913" s="1636" t="s">
        <v>2197</v>
      </c>
      <c r="I2913" s="1636" t="s">
        <v>2197</v>
      </c>
      <c r="J2913" s="1636" t="s">
        <v>2197</v>
      </c>
      <c r="K2913" s="1636" t="s">
        <v>2197</v>
      </c>
      <c r="L2913" s="1631" t="s">
        <v>2197</v>
      </c>
      <c r="M2913" s="1631" t="s">
        <v>2197</v>
      </c>
      <c r="N2913" s="732" t="s">
        <v>2197</v>
      </c>
      <c r="O2913" s="732" t="s">
        <v>2197</v>
      </c>
      <c r="P2913" s="732"/>
      <c r="Q2913" s="1092"/>
      <c r="R2913" s="1092"/>
      <c r="S2913" s="1092"/>
      <c r="T2913" s="1092"/>
      <c r="U2913" s="1092"/>
      <c r="V2913" s="1092"/>
    </row>
    <row r="2914" spans="1:22" s="21" customFormat="1" x14ac:dyDescent="0.2">
      <c r="A2914" s="410" t="s">
        <v>1484</v>
      </c>
      <c r="B2914" s="470">
        <v>0</v>
      </c>
      <c r="C2914" s="470">
        <v>0</v>
      </c>
      <c r="D2914" s="470">
        <v>3.5</v>
      </c>
      <c r="E2914" s="470">
        <v>1.7</v>
      </c>
      <c r="F2914" s="470">
        <v>0.6</v>
      </c>
      <c r="G2914" s="470">
        <v>0</v>
      </c>
      <c r="H2914" s="470">
        <v>0</v>
      </c>
      <c r="I2914" s="470">
        <v>0</v>
      </c>
      <c r="J2914" s="470">
        <v>0</v>
      </c>
      <c r="K2914" s="470">
        <v>0</v>
      </c>
      <c r="L2914" s="1640">
        <v>0</v>
      </c>
      <c r="M2914" s="451">
        <v>0</v>
      </c>
      <c r="N2914" s="467">
        <v>0</v>
      </c>
      <c r="O2914" s="467">
        <v>0</v>
      </c>
      <c r="P2914" s="467"/>
      <c r="Q2914" s="453"/>
      <c r="R2914" s="453"/>
      <c r="S2914" s="453"/>
      <c r="T2914" s="453"/>
      <c r="U2914" s="453"/>
      <c r="V2914" s="453"/>
    </row>
    <row r="2915" spans="1:22" s="21" customFormat="1" x14ac:dyDescent="0.2">
      <c r="A2915" s="411" t="s">
        <v>1483</v>
      </c>
      <c r="B2915" s="467">
        <v>0</v>
      </c>
      <c r="C2915" s="467">
        <v>0</v>
      </c>
      <c r="D2915" s="467">
        <v>3.5</v>
      </c>
      <c r="E2915" s="467">
        <v>1.7</v>
      </c>
      <c r="F2915" s="467">
        <v>0.6</v>
      </c>
      <c r="G2915" s="467">
        <v>0</v>
      </c>
      <c r="H2915" s="467">
        <v>0</v>
      </c>
      <c r="I2915" s="467">
        <v>0</v>
      </c>
      <c r="J2915" s="467">
        <v>0</v>
      </c>
      <c r="K2915" s="467">
        <v>0</v>
      </c>
      <c r="L2915" s="451">
        <v>0</v>
      </c>
      <c r="M2915" s="451">
        <v>0</v>
      </c>
      <c r="N2915" s="467">
        <v>0</v>
      </c>
      <c r="O2915" s="467">
        <v>0</v>
      </c>
      <c r="P2915" s="467"/>
      <c r="Q2915" s="453"/>
      <c r="R2915" s="453"/>
      <c r="S2915" s="453"/>
      <c r="T2915" s="453"/>
      <c r="U2915" s="453"/>
      <c r="V2915" s="453"/>
    </row>
    <row r="2916" spans="1:22" s="21" customFormat="1" x14ac:dyDescent="0.2">
      <c r="A2916" s="411" t="s">
        <v>1491</v>
      </c>
      <c r="B2916" s="467">
        <v>0</v>
      </c>
      <c r="C2916" s="467">
        <v>0</v>
      </c>
      <c r="D2916" s="467">
        <v>3.5</v>
      </c>
      <c r="E2916" s="467">
        <v>1.7</v>
      </c>
      <c r="F2916" s="467">
        <v>0.6</v>
      </c>
      <c r="G2916" s="467">
        <v>0</v>
      </c>
      <c r="H2916" s="467">
        <v>0</v>
      </c>
      <c r="I2916" s="467">
        <v>0</v>
      </c>
      <c r="J2916" s="467">
        <v>0</v>
      </c>
      <c r="K2916" s="467">
        <v>0</v>
      </c>
      <c r="L2916" s="468">
        <v>0</v>
      </c>
      <c r="M2916" s="451">
        <v>0</v>
      </c>
      <c r="N2916" s="467">
        <v>0</v>
      </c>
      <c r="O2916" s="467">
        <v>0</v>
      </c>
      <c r="P2916" s="467"/>
      <c r="Q2916" s="453"/>
      <c r="R2916" s="453"/>
      <c r="S2916" s="453"/>
      <c r="T2916" s="453"/>
      <c r="U2916" s="453"/>
      <c r="V2916" s="453"/>
    </row>
    <row r="2917" spans="1:22" s="21" customFormat="1" x14ac:dyDescent="0.2">
      <c r="A2917" s="411" t="s">
        <v>1490</v>
      </c>
      <c r="B2917" s="467">
        <v>0</v>
      </c>
      <c r="C2917" s="467">
        <v>0</v>
      </c>
      <c r="D2917" s="467">
        <v>3.5</v>
      </c>
      <c r="E2917" s="467">
        <v>1.7</v>
      </c>
      <c r="F2917" s="467">
        <v>0.6</v>
      </c>
      <c r="G2917" s="467">
        <v>0</v>
      </c>
      <c r="H2917" s="467">
        <v>0</v>
      </c>
      <c r="I2917" s="467">
        <v>0</v>
      </c>
      <c r="J2917" s="467">
        <v>0</v>
      </c>
      <c r="K2917" s="467">
        <v>0</v>
      </c>
      <c r="L2917" s="451">
        <v>0</v>
      </c>
      <c r="M2917" s="451">
        <v>0</v>
      </c>
      <c r="N2917" s="467">
        <v>0</v>
      </c>
      <c r="O2917" s="467">
        <v>0</v>
      </c>
      <c r="P2917" s="467"/>
      <c r="Q2917" s="453"/>
      <c r="R2917" s="453"/>
      <c r="S2917" s="453"/>
      <c r="T2917" s="453"/>
      <c r="U2917" s="453"/>
      <c r="V2917" s="453"/>
    </row>
    <row r="2918" spans="1:22" s="21" customFormat="1" x14ac:dyDescent="0.2">
      <c r="A2918" s="411" t="s">
        <v>1486</v>
      </c>
      <c r="B2918" s="467">
        <v>0</v>
      </c>
      <c r="C2918" s="467">
        <v>0</v>
      </c>
      <c r="D2918" s="467">
        <v>7</v>
      </c>
      <c r="E2918" s="467">
        <v>2.6</v>
      </c>
      <c r="F2918" s="467">
        <v>0.6</v>
      </c>
      <c r="G2918" s="467">
        <v>0</v>
      </c>
      <c r="H2918" s="467">
        <v>0</v>
      </c>
      <c r="I2918" s="467">
        <v>0</v>
      </c>
      <c r="J2918" s="467">
        <v>0</v>
      </c>
      <c r="K2918" s="467">
        <v>0</v>
      </c>
      <c r="L2918" s="451">
        <v>0</v>
      </c>
      <c r="M2918" s="451">
        <v>0</v>
      </c>
      <c r="N2918" s="467">
        <v>0</v>
      </c>
      <c r="O2918" s="467">
        <v>0</v>
      </c>
      <c r="P2918" s="467"/>
      <c r="Q2918" s="453"/>
      <c r="R2918" s="453"/>
      <c r="S2918" s="453"/>
      <c r="T2918" s="453"/>
      <c r="U2918" s="453"/>
      <c r="V2918" s="453"/>
    </row>
    <row r="2919" spans="1:22" s="21" customFormat="1" x14ac:dyDescent="0.2">
      <c r="A2919" s="411" t="s">
        <v>1485</v>
      </c>
      <c r="B2919" s="467">
        <v>0</v>
      </c>
      <c r="C2919" s="467">
        <v>0</v>
      </c>
      <c r="D2919" s="467">
        <v>7</v>
      </c>
      <c r="E2919" s="467">
        <v>2.6</v>
      </c>
      <c r="F2919" s="467">
        <v>0.6</v>
      </c>
      <c r="G2919" s="467">
        <v>0</v>
      </c>
      <c r="H2919" s="467">
        <v>0</v>
      </c>
      <c r="I2919" s="467">
        <v>0</v>
      </c>
      <c r="J2919" s="467">
        <v>0</v>
      </c>
      <c r="K2919" s="467">
        <v>0</v>
      </c>
      <c r="L2919" s="451">
        <v>0</v>
      </c>
      <c r="M2919" s="451">
        <v>0</v>
      </c>
      <c r="N2919" s="467">
        <v>0</v>
      </c>
      <c r="O2919" s="467">
        <v>0</v>
      </c>
      <c r="P2919" s="467"/>
      <c r="Q2919" s="453"/>
      <c r="R2919" s="453"/>
      <c r="S2919" s="453"/>
      <c r="T2919" s="453"/>
      <c r="U2919" s="453"/>
      <c r="V2919" s="453"/>
    </row>
    <row r="2920" spans="1:22" s="21" customFormat="1" x14ac:dyDescent="0.2">
      <c r="A2920" s="411" t="s">
        <v>1359</v>
      </c>
      <c r="B2920" s="467">
        <v>0</v>
      </c>
      <c r="C2920" s="467">
        <v>0</v>
      </c>
      <c r="D2920" s="467">
        <v>8.6999999999999993</v>
      </c>
      <c r="E2920" s="467">
        <v>0</v>
      </c>
      <c r="F2920" s="467">
        <v>0.6</v>
      </c>
      <c r="G2920" s="467">
        <v>0</v>
      </c>
      <c r="H2920" s="467">
        <v>0</v>
      </c>
      <c r="I2920" s="467">
        <v>0</v>
      </c>
      <c r="J2920" s="467">
        <v>0</v>
      </c>
      <c r="K2920" s="467">
        <v>0</v>
      </c>
      <c r="L2920" s="451">
        <v>0</v>
      </c>
      <c r="M2920" s="451">
        <v>0</v>
      </c>
      <c r="N2920" s="467">
        <v>0</v>
      </c>
      <c r="O2920" s="467">
        <v>0</v>
      </c>
      <c r="P2920" s="467"/>
      <c r="Q2920" s="453"/>
      <c r="R2920" s="453"/>
      <c r="S2920" s="453"/>
      <c r="T2920" s="453"/>
      <c r="U2920" s="453"/>
      <c r="V2920" s="453"/>
    </row>
    <row r="2921" spans="1:22" s="21" customFormat="1" x14ac:dyDescent="0.2">
      <c r="A2921" s="411" t="s">
        <v>1489</v>
      </c>
      <c r="B2921" s="467">
        <v>0</v>
      </c>
      <c r="C2921" s="467">
        <v>0</v>
      </c>
      <c r="D2921" s="467">
        <v>8.6999999999999993</v>
      </c>
      <c r="E2921" s="467">
        <v>0</v>
      </c>
      <c r="F2921" s="467">
        <v>0.6</v>
      </c>
      <c r="G2921" s="467">
        <v>0</v>
      </c>
      <c r="H2921" s="467">
        <v>0</v>
      </c>
      <c r="I2921" s="467">
        <v>0</v>
      </c>
      <c r="J2921" s="467">
        <v>0</v>
      </c>
      <c r="K2921" s="467">
        <v>0</v>
      </c>
      <c r="L2921" s="468">
        <v>0</v>
      </c>
      <c r="M2921" s="451">
        <v>0</v>
      </c>
      <c r="N2921" s="467">
        <v>0</v>
      </c>
      <c r="O2921" s="467">
        <v>0</v>
      </c>
      <c r="P2921" s="467"/>
    </row>
    <row r="2922" spans="1:22" s="453" customFormat="1" x14ac:dyDescent="0.2">
      <c r="A2922" s="411" t="s">
        <v>1488</v>
      </c>
      <c r="B2922" s="467">
        <v>0</v>
      </c>
      <c r="C2922" s="467">
        <v>0</v>
      </c>
      <c r="D2922" s="467">
        <v>8.6999999999999993</v>
      </c>
      <c r="E2922" s="467">
        <v>0</v>
      </c>
      <c r="F2922" s="467">
        <v>0.6</v>
      </c>
      <c r="G2922" s="467">
        <v>0</v>
      </c>
      <c r="H2922" s="467">
        <v>0</v>
      </c>
      <c r="I2922" s="467">
        <v>0</v>
      </c>
      <c r="J2922" s="467">
        <v>0</v>
      </c>
      <c r="K2922" s="467">
        <v>0</v>
      </c>
      <c r="L2922" s="451">
        <v>0</v>
      </c>
      <c r="M2922" s="451">
        <v>0</v>
      </c>
      <c r="N2922" s="467">
        <v>0</v>
      </c>
      <c r="O2922" s="467">
        <v>0</v>
      </c>
      <c r="P2922" s="467"/>
    </row>
    <row r="2923" spans="1:22" s="453" customFormat="1" x14ac:dyDescent="0.2">
      <c r="A2923" s="411" t="s">
        <v>1487</v>
      </c>
      <c r="B2923" s="467">
        <v>0</v>
      </c>
      <c r="C2923" s="467">
        <v>0</v>
      </c>
      <c r="D2923" s="467">
        <v>8.6999999999999993</v>
      </c>
      <c r="E2923" s="467">
        <v>0</v>
      </c>
      <c r="F2923" s="467">
        <v>0.6</v>
      </c>
      <c r="G2923" s="467">
        <v>0</v>
      </c>
      <c r="H2923" s="467">
        <v>0</v>
      </c>
      <c r="I2923" s="467">
        <v>0</v>
      </c>
      <c r="J2923" s="467">
        <v>0</v>
      </c>
      <c r="K2923" s="467">
        <v>0</v>
      </c>
      <c r="L2923" s="468">
        <v>0</v>
      </c>
      <c r="M2923" s="451">
        <v>0</v>
      </c>
      <c r="N2923" s="467">
        <v>0</v>
      </c>
      <c r="O2923" s="467">
        <v>0</v>
      </c>
      <c r="P2923" s="467"/>
    </row>
    <row r="2924" spans="1:22" s="535" customFormat="1" x14ac:dyDescent="0.2">
      <c r="A2924" s="518" t="s">
        <v>2198</v>
      </c>
      <c r="F2924" s="1624"/>
      <c r="G2924" s="1624"/>
      <c r="H2924" s="1624"/>
      <c r="I2924" s="1624"/>
      <c r="J2924" s="1624"/>
      <c r="K2924" s="1624"/>
      <c r="L2924" s="1624"/>
      <c r="M2924" s="1624"/>
      <c r="N2924" s="1624"/>
    </row>
    <row r="2925" spans="1:22" s="292" customFormat="1" x14ac:dyDescent="0.2"/>
    <row r="2927" spans="1:22" s="125" customFormat="1" ht="14.25" customHeight="1" x14ac:dyDescent="0.2">
      <c r="A2927" s="377" t="s">
        <v>2193</v>
      </c>
      <c r="D2927" s="1075"/>
      <c r="E2927" s="1075"/>
      <c r="F2927" s="1075"/>
      <c r="G2927" s="1075"/>
      <c r="H2927" s="1075"/>
      <c r="I2927" s="1075"/>
      <c r="L2927" s="1075"/>
    </row>
    <row r="2928" spans="1:22" s="773" customFormat="1" ht="16.25" customHeight="1" x14ac:dyDescent="0.2">
      <c r="A2928" s="753" t="s">
        <v>2212</v>
      </c>
      <c r="B2928" s="442" t="s">
        <v>2195</v>
      </c>
      <c r="C2928" s="442" t="s">
        <v>2195</v>
      </c>
      <c r="D2928" s="442" t="s">
        <v>2195</v>
      </c>
      <c r="E2928" s="442" t="s">
        <v>2195</v>
      </c>
      <c r="F2928" s="442" t="s">
        <v>2195</v>
      </c>
      <c r="G2928" s="442" t="s">
        <v>2195</v>
      </c>
      <c r="H2928" s="442" t="s">
        <v>2195</v>
      </c>
      <c r="I2928" s="442" t="s">
        <v>2195</v>
      </c>
      <c r="J2928" s="442" t="s">
        <v>2195</v>
      </c>
      <c r="K2928" s="442" t="s">
        <v>2195</v>
      </c>
      <c r="L2928" s="442" t="s">
        <v>2195</v>
      </c>
      <c r="M2928" s="442" t="s">
        <v>2195</v>
      </c>
      <c r="N2928" s="442" t="s">
        <v>2195</v>
      </c>
      <c r="O2928" s="442" t="s">
        <v>2195</v>
      </c>
      <c r="P2928" s="442"/>
      <c r="Q2928" s="442"/>
      <c r="R2928" s="442"/>
      <c r="S2928" s="442"/>
      <c r="T2928" s="442"/>
      <c r="U2928" s="442"/>
      <c r="V2928" s="442"/>
    </row>
    <row r="2929" spans="1:24" s="291" customFormat="1" ht="16" x14ac:dyDescent="0.2">
      <c r="A2929" s="1641" t="s">
        <v>57</v>
      </c>
      <c r="B2929" s="1642" t="s">
        <v>1664</v>
      </c>
      <c r="C2929" s="1642" t="s">
        <v>1665</v>
      </c>
      <c r="D2929" s="1642" t="s">
        <v>1666</v>
      </c>
      <c r="E2929" s="1642" t="s">
        <v>1667</v>
      </c>
      <c r="F2929" s="1642" t="s">
        <v>2174</v>
      </c>
      <c r="G2929" s="1642" t="s">
        <v>1668</v>
      </c>
      <c r="H2929" s="1642" t="s">
        <v>1669</v>
      </c>
      <c r="I2929" s="1642" t="s">
        <v>1670</v>
      </c>
      <c r="J2929" s="1642" t="s">
        <v>1671</v>
      </c>
      <c r="K2929" s="1642" t="s">
        <v>1672</v>
      </c>
      <c r="L2929" s="1642" t="s">
        <v>1673</v>
      </c>
      <c r="M2929" s="291" t="s">
        <v>1674</v>
      </c>
      <c r="N2929" s="2152" t="s">
        <v>1675</v>
      </c>
      <c r="O2929" s="2152" t="s">
        <v>1676</v>
      </c>
      <c r="P2929" s="1658" t="s">
        <v>2175</v>
      </c>
      <c r="Q2929" s="453"/>
      <c r="R2929" s="453"/>
      <c r="S2929" s="453"/>
      <c r="T2929" s="453"/>
      <c r="U2929" s="453"/>
      <c r="V2929" s="453"/>
      <c r="W2929" s="21"/>
      <c r="X2929" s="21"/>
    </row>
    <row r="2930" spans="1:24" s="1093" customFormat="1" ht="16" x14ac:dyDescent="0.2">
      <c r="A2930" s="523" t="s">
        <v>2196</v>
      </c>
      <c r="B2930" s="1636" t="s">
        <v>2197</v>
      </c>
      <c r="C2930" s="1636" t="s">
        <v>2197</v>
      </c>
      <c r="D2930" s="1636" t="s">
        <v>2197</v>
      </c>
      <c r="E2930" s="1636" t="s">
        <v>2197</v>
      </c>
      <c r="F2930" s="1636" t="s">
        <v>2197</v>
      </c>
      <c r="G2930" s="1636" t="s">
        <v>2197</v>
      </c>
      <c r="H2930" s="1636" t="s">
        <v>2197</v>
      </c>
      <c r="I2930" s="1636" t="s">
        <v>2197</v>
      </c>
      <c r="J2930" s="1636" t="s">
        <v>2197</v>
      </c>
      <c r="K2930" s="1636" t="s">
        <v>2197</v>
      </c>
      <c r="L2930" s="1631" t="s">
        <v>2197</v>
      </c>
      <c r="M2930" s="1631" t="s">
        <v>2197</v>
      </c>
      <c r="N2930" s="732" t="s">
        <v>2197</v>
      </c>
      <c r="O2930" s="732" t="s">
        <v>2197</v>
      </c>
      <c r="P2930" s="732"/>
      <c r="Q2930" s="1092"/>
      <c r="R2930" s="1092"/>
      <c r="S2930" s="1092"/>
      <c r="T2930" s="1092"/>
      <c r="U2930" s="1092"/>
      <c r="V2930" s="1092"/>
    </row>
    <row r="2931" spans="1:24" s="21" customFormat="1" x14ac:dyDescent="0.2">
      <c r="A2931" s="410" t="s">
        <v>1484</v>
      </c>
      <c r="B2931" s="470">
        <v>0</v>
      </c>
      <c r="C2931" s="470">
        <v>0</v>
      </c>
      <c r="D2931" s="470">
        <v>2.8</v>
      </c>
      <c r="E2931" s="470">
        <v>1.4</v>
      </c>
      <c r="F2931" s="470">
        <v>0.6</v>
      </c>
      <c r="G2931" s="470">
        <v>0</v>
      </c>
      <c r="H2931" s="470">
        <v>0</v>
      </c>
      <c r="I2931" s="470">
        <v>0</v>
      </c>
      <c r="J2931" s="470">
        <v>0</v>
      </c>
      <c r="K2931" s="470">
        <v>0</v>
      </c>
      <c r="L2931" s="1640">
        <v>0</v>
      </c>
      <c r="M2931" s="451">
        <v>0</v>
      </c>
      <c r="N2931" s="467">
        <v>0</v>
      </c>
      <c r="O2931" s="467">
        <v>0</v>
      </c>
      <c r="P2931" s="467"/>
      <c r="Q2931" s="453"/>
      <c r="R2931" s="453"/>
      <c r="S2931" s="453"/>
      <c r="T2931" s="453"/>
      <c r="U2931" s="453"/>
      <c r="V2931" s="453"/>
    </row>
    <row r="2932" spans="1:24" s="21" customFormat="1" x14ac:dyDescent="0.2">
      <c r="A2932" s="411" t="s">
        <v>1483</v>
      </c>
      <c r="B2932" s="467">
        <v>0</v>
      </c>
      <c r="C2932" s="467">
        <v>0</v>
      </c>
      <c r="D2932" s="467">
        <v>2.8</v>
      </c>
      <c r="E2932" s="467">
        <v>1.4</v>
      </c>
      <c r="F2932" s="467">
        <v>0.6</v>
      </c>
      <c r="G2932" s="467">
        <v>0</v>
      </c>
      <c r="H2932" s="467">
        <v>0</v>
      </c>
      <c r="I2932" s="467">
        <v>0</v>
      </c>
      <c r="J2932" s="467">
        <v>0</v>
      </c>
      <c r="K2932" s="467">
        <v>0</v>
      </c>
      <c r="L2932" s="451">
        <v>0</v>
      </c>
      <c r="M2932" s="451">
        <v>0</v>
      </c>
      <c r="N2932" s="467">
        <v>0</v>
      </c>
      <c r="O2932" s="467">
        <v>0</v>
      </c>
      <c r="P2932" s="467"/>
      <c r="Q2932" s="453"/>
      <c r="R2932" s="453"/>
      <c r="S2932" s="453"/>
      <c r="T2932" s="453"/>
      <c r="U2932" s="453"/>
      <c r="V2932" s="453"/>
    </row>
    <row r="2933" spans="1:24" s="21" customFormat="1" x14ac:dyDescent="0.2">
      <c r="A2933" s="411" t="s">
        <v>1491</v>
      </c>
      <c r="B2933" s="467">
        <v>0</v>
      </c>
      <c r="C2933" s="467">
        <v>0</v>
      </c>
      <c r="D2933" s="467">
        <v>2.8</v>
      </c>
      <c r="E2933" s="467">
        <v>1.4</v>
      </c>
      <c r="F2933" s="467">
        <v>0.6</v>
      </c>
      <c r="G2933" s="467">
        <v>0</v>
      </c>
      <c r="H2933" s="467">
        <v>0</v>
      </c>
      <c r="I2933" s="467">
        <v>0</v>
      </c>
      <c r="J2933" s="467">
        <v>0</v>
      </c>
      <c r="K2933" s="467">
        <v>0</v>
      </c>
      <c r="L2933" s="468">
        <v>0</v>
      </c>
      <c r="M2933" s="451">
        <v>0</v>
      </c>
      <c r="N2933" s="467">
        <v>0</v>
      </c>
      <c r="O2933" s="467">
        <v>0</v>
      </c>
      <c r="P2933" s="467"/>
      <c r="Q2933" s="453"/>
      <c r="R2933" s="453"/>
      <c r="S2933" s="453"/>
      <c r="T2933" s="453"/>
      <c r="U2933" s="453"/>
      <c r="V2933" s="453"/>
    </row>
    <row r="2934" spans="1:24" s="21" customFormat="1" x14ac:dyDescent="0.2">
      <c r="A2934" s="411" t="s">
        <v>1490</v>
      </c>
      <c r="B2934" s="467">
        <v>0</v>
      </c>
      <c r="C2934" s="467">
        <v>0</v>
      </c>
      <c r="D2934" s="467">
        <v>2.8</v>
      </c>
      <c r="E2934" s="467">
        <v>1.4</v>
      </c>
      <c r="F2934" s="467">
        <v>0.6</v>
      </c>
      <c r="G2934" s="467">
        <v>0</v>
      </c>
      <c r="H2934" s="467">
        <v>0</v>
      </c>
      <c r="I2934" s="467">
        <v>0</v>
      </c>
      <c r="J2934" s="467">
        <v>0</v>
      </c>
      <c r="K2934" s="467">
        <v>0</v>
      </c>
      <c r="L2934" s="451">
        <v>0</v>
      </c>
      <c r="M2934" s="451">
        <v>0</v>
      </c>
      <c r="N2934" s="467">
        <v>0</v>
      </c>
      <c r="O2934" s="467">
        <v>0</v>
      </c>
      <c r="P2934" s="467"/>
      <c r="Q2934" s="453"/>
      <c r="R2934" s="453"/>
      <c r="S2934" s="453"/>
      <c r="T2934" s="453"/>
      <c r="U2934" s="453"/>
      <c r="V2934" s="453"/>
    </row>
    <row r="2935" spans="1:24" s="21" customFormat="1" x14ac:dyDescent="0.2">
      <c r="A2935" s="411" t="s">
        <v>1486</v>
      </c>
      <c r="B2935" s="467">
        <v>0</v>
      </c>
      <c r="C2935" s="467">
        <v>0</v>
      </c>
      <c r="D2935" s="467">
        <v>5.6</v>
      </c>
      <c r="E2935" s="467">
        <v>2.1</v>
      </c>
      <c r="F2935" s="467">
        <v>0.6</v>
      </c>
      <c r="G2935" s="467">
        <v>0</v>
      </c>
      <c r="H2935" s="467">
        <v>0</v>
      </c>
      <c r="I2935" s="467">
        <v>0</v>
      </c>
      <c r="J2935" s="467">
        <v>0</v>
      </c>
      <c r="K2935" s="467">
        <v>0</v>
      </c>
      <c r="L2935" s="451">
        <v>0</v>
      </c>
      <c r="M2935" s="451">
        <v>0</v>
      </c>
      <c r="N2935" s="467">
        <v>0</v>
      </c>
      <c r="O2935" s="467">
        <v>0</v>
      </c>
      <c r="P2935" s="467"/>
      <c r="Q2935" s="453"/>
      <c r="R2935" s="453"/>
      <c r="S2935" s="453"/>
      <c r="T2935" s="453"/>
      <c r="U2935" s="453"/>
      <c r="V2935" s="453"/>
    </row>
    <row r="2936" spans="1:24" s="21" customFormat="1" x14ac:dyDescent="0.2">
      <c r="A2936" s="411" t="s">
        <v>1485</v>
      </c>
      <c r="B2936" s="467">
        <v>0</v>
      </c>
      <c r="C2936" s="467">
        <v>0</v>
      </c>
      <c r="D2936" s="467">
        <v>5.6</v>
      </c>
      <c r="E2936" s="467">
        <v>2.1</v>
      </c>
      <c r="F2936" s="467">
        <v>0.6</v>
      </c>
      <c r="G2936" s="467">
        <v>0</v>
      </c>
      <c r="H2936" s="467">
        <v>0</v>
      </c>
      <c r="I2936" s="467">
        <v>0</v>
      </c>
      <c r="J2936" s="467">
        <v>0</v>
      </c>
      <c r="K2936" s="467">
        <v>0</v>
      </c>
      <c r="L2936" s="451">
        <v>0</v>
      </c>
      <c r="M2936" s="451">
        <v>0</v>
      </c>
      <c r="N2936" s="467">
        <v>0</v>
      </c>
      <c r="O2936" s="467">
        <v>0</v>
      </c>
      <c r="P2936" s="467"/>
      <c r="Q2936" s="453"/>
      <c r="R2936" s="453"/>
      <c r="S2936" s="453"/>
      <c r="T2936" s="453"/>
      <c r="U2936" s="453"/>
      <c r="V2936" s="453"/>
    </row>
    <row r="2937" spans="1:24" s="21" customFormat="1" x14ac:dyDescent="0.2">
      <c r="A2937" s="411" t="s">
        <v>1359</v>
      </c>
      <c r="B2937" s="467">
        <v>0</v>
      </c>
      <c r="C2937" s="467">
        <v>0</v>
      </c>
      <c r="D2937" s="467">
        <v>7</v>
      </c>
      <c r="E2937" s="467">
        <v>2.8</v>
      </c>
      <c r="F2937" s="467">
        <v>0.6</v>
      </c>
      <c r="G2937" s="467">
        <v>0</v>
      </c>
      <c r="H2937" s="467">
        <v>0</v>
      </c>
      <c r="I2937" s="467">
        <v>0</v>
      </c>
      <c r="J2937" s="467">
        <v>0</v>
      </c>
      <c r="K2937" s="467">
        <v>0</v>
      </c>
      <c r="L2937" s="451">
        <v>0</v>
      </c>
      <c r="M2937" s="451">
        <v>0</v>
      </c>
      <c r="N2937" s="467">
        <v>0</v>
      </c>
      <c r="O2937" s="467">
        <v>0</v>
      </c>
      <c r="P2937" s="467"/>
      <c r="Q2937" s="453"/>
      <c r="R2937" s="453"/>
      <c r="S2937" s="453"/>
      <c r="T2937" s="453"/>
      <c r="U2937" s="453"/>
      <c r="V2937" s="453"/>
    </row>
    <row r="2938" spans="1:24" s="21" customFormat="1" x14ac:dyDescent="0.2">
      <c r="A2938" s="411" t="s">
        <v>1489</v>
      </c>
      <c r="B2938" s="467">
        <v>0</v>
      </c>
      <c r="C2938" s="467">
        <v>0</v>
      </c>
      <c r="D2938" s="467">
        <v>7</v>
      </c>
      <c r="E2938" s="467">
        <v>2.8</v>
      </c>
      <c r="F2938" s="467">
        <v>0.6</v>
      </c>
      <c r="G2938" s="467">
        <v>0</v>
      </c>
      <c r="H2938" s="467">
        <v>0</v>
      </c>
      <c r="I2938" s="467">
        <v>0</v>
      </c>
      <c r="J2938" s="467">
        <v>0</v>
      </c>
      <c r="K2938" s="467">
        <v>0</v>
      </c>
      <c r="L2938" s="468">
        <v>0</v>
      </c>
      <c r="M2938" s="451">
        <v>0</v>
      </c>
      <c r="N2938" s="467">
        <v>0</v>
      </c>
      <c r="O2938" s="467">
        <v>0</v>
      </c>
      <c r="P2938" s="467"/>
    </row>
    <row r="2939" spans="1:24" s="453" customFormat="1" x14ac:dyDescent="0.2">
      <c r="A2939" s="411" t="s">
        <v>1488</v>
      </c>
      <c r="B2939" s="467">
        <v>0</v>
      </c>
      <c r="C2939" s="467">
        <v>0</v>
      </c>
      <c r="D2939" s="467">
        <v>7</v>
      </c>
      <c r="E2939" s="467">
        <v>2.8</v>
      </c>
      <c r="F2939" s="467">
        <v>0.6</v>
      </c>
      <c r="G2939" s="467">
        <v>0</v>
      </c>
      <c r="H2939" s="467">
        <v>0</v>
      </c>
      <c r="I2939" s="467">
        <v>0</v>
      </c>
      <c r="J2939" s="467">
        <v>0</v>
      </c>
      <c r="K2939" s="467">
        <v>0</v>
      </c>
      <c r="L2939" s="451">
        <v>0</v>
      </c>
      <c r="M2939" s="451">
        <v>0</v>
      </c>
      <c r="N2939" s="467">
        <v>0</v>
      </c>
      <c r="O2939" s="467">
        <v>0</v>
      </c>
      <c r="P2939" s="467"/>
    </row>
    <row r="2940" spans="1:24" s="453" customFormat="1" x14ac:dyDescent="0.2">
      <c r="A2940" s="411" t="s">
        <v>1487</v>
      </c>
      <c r="B2940" s="467">
        <v>0</v>
      </c>
      <c r="C2940" s="467">
        <v>0</v>
      </c>
      <c r="D2940" s="467">
        <v>7</v>
      </c>
      <c r="E2940" s="467">
        <v>2.8</v>
      </c>
      <c r="F2940" s="467">
        <v>0.6</v>
      </c>
      <c r="G2940" s="467">
        <v>0</v>
      </c>
      <c r="H2940" s="467">
        <v>0</v>
      </c>
      <c r="I2940" s="467">
        <v>0</v>
      </c>
      <c r="J2940" s="467">
        <v>0</v>
      </c>
      <c r="K2940" s="467">
        <v>0</v>
      </c>
      <c r="L2940" s="468">
        <v>0</v>
      </c>
      <c r="M2940" s="451">
        <v>0</v>
      </c>
      <c r="N2940" s="467">
        <v>0</v>
      </c>
      <c r="O2940" s="467">
        <v>0</v>
      </c>
      <c r="P2940" s="467"/>
    </row>
    <row r="2941" spans="1:24" s="535" customFormat="1" x14ac:dyDescent="0.2">
      <c r="A2941" s="518" t="s">
        <v>2198</v>
      </c>
      <c r="F2941" s="1624"/>
      <c r="G2941" s="1624"/>
      <c r="H2941" s="1624"/>
      <c r="I2941" s="1624"/>
      <c r="J2941" s="1624"/>
      <c r="K2941" s="1624"/>
      <c r="L2941" s="1624"/>
      <c r="M2941" s="1624"/>
      <c r="N2941" s="1624"/>
    </row>
    <row r="2942" spans="1:24" s="292" customFormat="1" x14ac:dyDescent="0.2"/>
    <row r="2944" spans="1:24" s="125" customFormat="1" ht="14.25" customHeight="1" x14ac:dyDescent="0.2">
      <c r="A2944" s="377" t="s">
        <v>2193</v>
      </c>
      <c r="D2944" s="1075"/>
      <c r="E2944" s="1075"/>
      <c r="F2944" s="1075"/>
      <c r="G2944" s="1075"/>
      <c r="H2944" s="1075"/>
      <c r="I2944" s="1075"/>
      <c r="L2944" s="1075"/>
    </row>
    <row r="2945" spans="1:24" s="773" customFormat="1" ht="16.25" customHeight="1" x14ac:dyDescent="0.2">
      <c r="A2945" s="753" t="s">
        <v>2213</v>
      </c>
      <c r="B2945" s="442" t="s">
        <v>2195</v>
      </c>
      <c r="C2945" s="442" t="s">
        <v>2195</v>
      </c>
      <c r="D2945" s="442" t="s">
        <v>2195</v>
      </c>
      <c r="E2945" s="442" t="s">
        <v>2195</v>
      </c>
      <c r="F2945" s="442" t="s">
        <v>2195</v>
      </c>
      <c r="G2945" s="442" t="s">
        <v>2195</v>
      </c>
      <c r="H2945" s="442" t="s">
        <v>2195</v>
      </c>
      <c r="I2945" s="442" t="s">
        <v>2195</v>
      </c>
      <c r="J2945" s="442" t="s">
        <v>2195</v>
      </c>
      <c r="K2945" s="442" t="s">
        <v>2195</v>
      </c>
      <c r="L2945" s="442" t="s">
        <v>2195</v>
      </c>
      <c r="M2945" s="442" t="s">
        <v>2195</v>
      </c>
      <c r="N2945" s="442" t="s">
        <v>2195</v>
      </c>
      <c r="O2945" s="442" t="s">
        <v>2195</v>
      </c>
      <c r="P2945" s="442"/>
      <c r="Q2945" s="442"/>
      <c r="R2945" s="442"/>
      <c r="S2945" s="442"/>
      <c r="T2945" s="442"/>
      <c r="U2945" s="442"/>
      <c r="V2945" s="442"/>
    </row>
    <row r="2946" spans="1:24" s="291" customFormat="1" ht="16" x14ac:dyDescent="0.2">
      <c r="A2946" s="1641" t="s">
        <v>57</v>
      </c>
      <c r="B2946" s="1642" t="s">
        <v>1664</v>
      </c>
      <c r="C2946" s="1642" t="s">
        <v>1665</v>
      </c>
      <c r="D2946" s="1642" t="s">
        <v>1666</v>
      </c>
      <c r="E2946" s="1642" t="s">
        <v>1667</v>
      </c>
      <c r="F2946" s="1642" t="s">
        <v>2174</v>
      </c>
      <c r="G2946" s="1642" t="s">
        <v>1668</v>
      </c>
      <c r="H2946" s="1642" t="s">
        <v>1669</v>
      </c>
      <c r="I2946" s="1642" t="s">
        <v>1670</v>
      </c>
      <c r="J2946" s="1642" t="s">
        <v>1671</v>
      </c>
      <c r="K2946" s="1642" t="s">
        <v>1672</v>
      </c>
      <c r="L2946" s="1642" t="s">
        <v>1673</v>
      </c>
      <c r="M2946" s="291" t="s">
        <v>1674</v>
      </c>
      <c r="N2946" s="2152" t="s">
        <v>1675</v>
      </c>
      <c r="O2946" s="2152" t="s">
        <v>1676</v>
      </c>
      <c r="P2946" s="1658" t="s">
        <v>2175</v>
      </c>
      <c r="Q2946" s="453"/>
      <c r="R2946" s="453"/>
      <c r="S2946" s="453"/>
      <c r="T2946" s="453"/>
      <c r="U2946" s="453"/>
      <c r="V2946" s="453"/>
      <c r="W2946" s="21"/>
      <c r="X2946" s="21"/>
    </row>
    <row r="2947" spans="1:24" s="1093" customFormat="1" ht="16" x14ac:dyDescent="0.2">
      <c r="A2947" s="523" t="s">
        <v>2196</v>
      </c>
      <c r="B2947" s="1636" t="s">
        <v>2197</v>
      </c>
      <c r="C2947" s="1636" t="s">
        <v>2197</v>
      </c>
      <c r="D2947" s="1636" t="s">
        <v>2197</v>
      </c>
      <c r="E2947" s="1636" t="s">
        <v>2197</v>
      </c>
      <c r="F2947" s="1636" t="s">
        <v>2197</v>
      </c>
      <c r="G2947" s="1636" t="s">
        <v>2197</v>
      </c>
      <c r="H2947" s="1636" t="s">
        <v>2197</v>
      </c>
      <c r="I2947" s="1636" t="s">
        <v>2197</v>
      </c>
      <c r="J2947" s="1636" t="s">
        <v>2197</v>
      </c>
      <c r="K2947" s="1636" t="s">
        <v>2197</v>
      </c>
      <c r="L2947" s="1631" t="s">
        <v>2197</v>
      </c>
      <c r="M2947" s="1631" t="s">
        <v>2197</v>
      </c>
      <c r="N2947" s="732" t="s">
        <v>2197</v>
      </c>
      <c r="O2947" s="732" t="s">
        <v>2197</v>
      </c>
      <c r="P2947" s="732"/>
      <c r="Q2947" s="1092"/>
      <c r="R2947" s="1092"/>
      <c r="S2947" s="1092"/>
      <c r="T2947" s="1092"/>
      <c r="U2947" s="1092"/>
      <c r="V2947" s="1092"/>
    </row>
    <row r="2948" spans="1:24" s="21" customFormat="1" x14ac:dyDescent="0.2">
      <c r="A2948" s="410" t="s">
        <v>1484</v>
      </c>
      <c r="B2948" s="470">
        <v>0</v>
      </c>
      <c r="C2948" s="470">
        <v>0</v>
      </c>
      <c r="D2948" s="470">
        <v>4</v>
      </c>
      <c r="E2948" s="470">
        <v>2</v>
      </c>
      <c r="F2948" s="470">
        <v>0.6</v>
      </c>
      <c r="G2948" s="470">
        <v>0</v>
      </c>
      <c r="H2948" s="470">
        <v>0</v>
      </c>
      <c r="I2948" s="470">
        <v>0</v>
      </c>
      <c r="J2948" s="470">
        <v>0</v>
      </c>
      <c r="K2948" s="470">
        <v>0</v>
      </c>
      <c r="L2948" s="1640">
        <v>0</v>
      </c>
      <c r="M2948" s="451">
        <v>0</v>
      </c>
      <c r="N2948" s="467">
        <v>0</v>
      </c>
      <c r="O2948" s="467">
        <v>0</v>
      </c>
      <c r="P2948" s="467"/>
      <c r="Q2948" s="453"/>
      <c r="R2948" s="453"/>
      <c r="S2948" s="453"/>
      <c r="T2948" s="453"/>
      <c r="U2948" s="453"/>
      <c r="V2948" s="453"/>
    </row>
    <row r="2949" spans="1:24" s="21" customFormat="1" x14ac:dyDescent="0.2">
      <c r="A2949" s="411" t="s">
        <v>1483</v>
      </c>
      <c r="B2949" s="467">
        <v>0</v>
      </c>
      <c r="C2949" s="467">
        <v>0</v>
      </c>
      <c r="D2949" s="467">
        <v>4</v>
      </c>
      <c r="E2949" s="467">
        <v>2</v>
      </c>
      <c r="F2949" s="467">
        <v>0.6</v>
      </c>
      <c r="G2949" s="467">
        <v>0</v>
      </c>
      <c r="H2949" s="467">
        <v>0</v>
      </c>
      <c r="I2949" s="467">
        <v>0</v>
      </c>
      <c r="J2949" s="467">
        <v>0</v>
      </c>
      <c r="K2949" s="467">
        <v>0</v>
      </c>
      <c r="L2949" s="451">
        <v>0</v>
      </c>
      <c r="M2949" s="451">
        <v>0</v>
      </c>
      <c r="N2949" s="467">
        <v>0</v>
      </c>
      <c r="O2949" s="467">
        <v>0</v>
      </c>
      <c r="P2949" s="467"/>
      <c r="Q2949" s="453"/>
      <c r="R2949" s="453"/>
      <c r="S2949" s="453"/>
      <c r="T2949" s="453"/>
      <c r="U2949" s="453"/>
      <c r="V2949" s="453"/>
    </row>
    <row r="2950" spans="1:24" s="21" customFormat="1" x14ac:dyDescent="0.2">
      <c r="A2950" s="411" t="s">
        <v>1491</v>
      </c>
      <c r="B2950" s="467">
        <v>0</v>
      </c>
      <c r="C2950" s="467">
        <v>0</v>
      </c>
      <c r="D2950" s="467">
        <v>4</v>
      </c>
      <c r="E2950" s="467">
        <v>2</v>
      </c>
      <c r="F2950" s="467">
        <v>0.6</v>
      </c>
      <c r="G2950" s="467">
        <v>0</v>
      </c>
      <c r="H2950" s="467">
        <v>0</v>
      </c>
      <c r="I2950" s="467">
        <v>0</v>
      </c>
      <c r="J2950" s="467">
        <v>0</v>
      </c>
      <c r="K2950" s="467">
        <v>0</v>
      </c>
      <c r="L2950" s="468">
        <v>0</v>
      </c>
      <c r="M2950" s="451">
        <v>0</v>
      </c>
      <c r="N2950" s="467">
        <v>0</v>
      </c>
      <c r="O2950" s="467">
        <v>0</v>
      </c>
      <c r="P2950" s="467"/>
      <c r="Q2950" s="453"/>
      <c r="R2950" s="453"/>
      <c r="S2950" s="453"/>
      <c r="T2950" s="453"/>
      <c r="U2950" s="453"/>
      <c r="V2950" s="453"/>
    </row>
    <row r="2951" spans="1:24" s="21" customFormat="1" x14ac:dyDescent="0.2">
      <c r="A2951" s="411" t="s">
        <v>1490</v>
      </c>
      <c r="B2951" s="467">
        <v>0</v>
      </c>
      <c r="C2951" s="467">
        <v>0</v>
      </c>
      <c r="D2951" s="467">
        <v>4</v>
      </c>
      <c r="E2951" s="467">
        <v>2</v>
      </c>
      <c r="F2951" s="467">
        <v>0.6</v>
      </c>
      <c r="G2951" s="467">
        <v>0</v>
      </c>
      <c r="H2951" s="467">
        <v>0</v>
      </c>
      <c r="I2951" s="467">
        <v>0</v>
      </c>
      <c r="J2951" s="467">
        <v>0</v>
      </c>
      <c r="K2951" s="467">
        <v>0</v>
      </c>
      <c r="L2951" s="451">
        <v>0</v>
      </c>
      <c r="M2951" s="451">
        <v>0</v>
      </c>
      <c r="N2951" s="467">
        <v>0</v>
      </c>
      <c r="O2951" s="467">
        <v>0</v>
      </c>
      <c r="P2951" s="467"/>
      <c r="Q2951" s="453"/>
      <c r="R2951" s="453"/>
      <c r="S2951" s="453"/>
      <c r="T2951" s="453"/>
      <c r="U2951" s="453"/>
      <c r="V2951" s="453"/>
    </row>
    <row r="2952" spans="1:24" s="21" customFormat="1" x14ac:dyDescent="0.2">
      <c r="A2952" s="411" t="s">
        <v>1486</v>
      </c>
      <c r="B2952" s="467">
        <v>0</v>
      </c>
      <c r="C2952" s="467">
        <v>0</v>
      </c>
      <c r="D2952" s="467">
        <v>8</v>
      </c>
      <c r="E2952" s="467">
        <v>3</v>
      </c>
      <c r="F2952" s="467">
        <v>0.6</v>
      </c>
      <c r="G2952" s="467">
        <v>0</v>
      </c>
      <c r="H2952" s="467">
        <v>0</v>
      </c>
      <c r="I2952" s="467">
        <v>0</v>
      </c>
      <c r="J2952" s="467">
        <v>0</v>
      </c>
      <c r="K2952" s="467">
        <v>0</v>
      </c>
      <c r="L2952" s="451">
        <v>0</v>
      </c>
      <c r="M2952" s="451">
        <v>0</v>
      </c>
      <c r="N2952" s="467">
        <v>0</v>
      </c>
      <c r="O2952" s="467">
        <v>0</v>
      </c>
      <c r="P2952" s="467"/>
      <c r="Q2952" s="453"/>
      <c r="R2952" s="453"/>
      <c r="S2952" s="453"/>
      <c r="T2952" s="453"/>
      <c r="U2952" s="453"/>
      <c r="V2952" s="453"/>
    </row>
    <row r="2953" spans="1:24" s="21" customFormat="1" x14ac:dyDescent="0.2">
      <c r="A2953" s="411" t="s">
        <v>1485</v>
      </c>
      <c r="B2953" s="467">
        <v>0</v>
      </c>
      <c r="C2953" s="467">
        <v>0</v>
      </c>
      <c r="D2953" s="467">
        <v>8</v>
      </c>
      <c r="E2953" s="467">
        <v>3</v>
      </c>
      <c r="F2953" s="467">
        <v>0.6</v>
      </c>
      <c r="G2953" s="467">
        <v>0</v>
      </c>
      <c r="H2953" s="467">
        <v>0</v>
      </c>
      <c r="I2953" s="467">
        <v>0</v>
      </c>
      <c r="J2953" s="467">
        <v>0</v>
      </c>
      <c r="K2953" s="467">
        <v>0</v>
      </c>
      <c r="L2953" s="451">
        <v>0</v>
      </c>
      <c r="M2953" s="451">
        <v>0</v>
      </c>
      <c r="N2953" s="467">
        <v>0</v>
      </c>
      <c r="O2953" s="467">
        <v>0</v>
      </c>
      <c r="P2953" s="467"/>
      <c r="Q2953" s="453"/>
      <c r="R2953" s="453"/>
      <c r="S2953" s="453"/>
      <c r="T2953" s="453"/>
      <c r="U2953" s="453"/>
      <c r="V2953" s="453"/>
    </row>
    <row r="2954" spans="1:24" s="21" customFormat="1" x14ac:dyDescent="0.2">
      <c r="A2954" s="411" t="s">
        <v>1359</v>
      </c>
      <c r="B2954" s="467">
        <v>0</v>
      </c>
      <c r="C2954" s="467">
        <v>0</v>
      </c>
      <c r="D2954" s="467">
        <v>10.1</v>
      </c>
      <c r="E2954" s="467">
        <v>4</v>
      </c>
      <c r="F2954" s="467">
        <v>0.6</v>
      </c>
      <c r="G2954" s="467">
        <v>0</v>
      </c>
      <c r="H2954" s="467">
        <v>0</v>
      </c>
      <c r="I2954" s="467">
        <v>0</v>
      </c>
      <c r="J2954" s="467">
        <v>0</v>
      </c>
      <c r="K2954" s="467">
        <v>0</v>
      </c>
      <c r="L2954" s="451">
        <v>0</v>
      </c>
      <c r="M2954" s="451">
        <v>0</v>
      </c>
      <c r="N2954" s="467">
        <v>0</v>
      </c>
      <c r="O2954" s="467">
        <v>0</v>
      </c>
      <c r="P2954" s="467"/>
      <c r="Q2954" s="453"/>
      <c r="R2954" s="453"/>
      <c r="S2954" s="453"/>
      <c r="T2954" s="453"/>
      <c r="U2954" s="453"/>
      <c r="V2954" s="453"/>
    </row>
    <row r="2955" spans="1:24" s="21" customFormat="1" x14ac:dyDescent="0.2">
      <c r="A2955" s="411" t="s">
        <v>1489</v>
      </c>
      <c r="B2955" s="467">
        <v>0</v>
      </c>
      <c r="C2955" s="467">
        <v>0</v>
      </c>
      <c r="D2955" s="467">
        <v>10.1</v>
      </c>
      <c r="E2955" s="467">
        <v>4</v>
      </c>
      <c r="F2955" s="467">
        <v>0.6</v>
      </c>
      <c r="G2955" s="467">
        <v>0</v>
      </c>
      <c r="H2955" s="467">
        <v>0</v>
      </c>
      <c r="I2955" s="467">
        <v>0</v>
      </c>
      <c r="J2955" s="467">
        <v>0</v>
      </c>
      <c r="K2955" s="467">
        <v>0</v>
      </c>
      <c r="L2955" s="468">
        <v>0</v>
      </c>
      <c r="M2955" s="451">
        <v>0</v>
      </c>
      <c r="N2955" s="467">
        <v>0</v>
      </c>
      <c r="O2955" s="467">
        <v>0</v>
      </c>
      <c r="P2955" s="467"/>
    </row>
    <row r="2956" spans="1:24" s="453" customFormat="1" x14ac:dyDescent="0.2">
      <c r="A2956" s="411" t="s">
        <v>1488</v>
      </c>
      <c r="B2956" s="467">
        <v>0</v>
      </c>
      <c r="C2956" s="467">
        <v>0</v>
      </c>
      <c r="D2956" s="467">
        <v>10.1</v>
      </c>
      <c r="E2956" s="467">
        <v>4</v>
      </c>
      <c r="F2956" s="467">
        <v>0.6</v>
      </c>
      <c r="G2956" s="467">
        <v>0</v>
      </c>
      <c r="H2956" s="467">
        <v>0</v>
      </c>
      <c r="I2956" s="467">
        <v>0</v>
      </c>
      <c r="J2956" s="467">
        <v>0</v>
      </c>
      <c r="K2956" s="467">
        <v>0</v>
      </c>
      <c r="L2956" s="451">
        <v>0</v>
      </c>
      <c r="M2956" s="451">
        <v>0</v>
      </c>
      <c r="N2956" s="467">
        <v>0</v>
      </c>
      <c r="O2956" s="467">
        <v>0</v>
      </c>
      <c r="P2956" s="467"/>
    </row>
    <row r="2957" spans="1:24" s="453" customFormat="1" x14ac:dyDescent="0.2">
      <c r="A2957" s="1648" t="s">
        <v>1487</v>
      </c>
      <c r="B2957" s="654">
        <v>0</v>
      </c>
      <c r="C2957" s="654">
        <v>0</v>
      </c>
      <c r="D2957" s="467">
        <v>10.1</v>
      </c>
      <c r="E2957" s="654">
        <v>4</v>
      </c>
      <c r="F2957" s="654">
        <v>0.6</v>
      </c>
      <c r="G2957" s="654">
        <v>0</v>
      </c>
      <c r="H2957" s="654">
        <v>0</v>
      </c>
      <c r="I2957" s="654">
        <v>0</v>
      </c>
      <c r="J2957" s="654">
        <v>0</v>
      </c>
      <c r="K2957" s="654">
        <v>0</v>
      </c>
      <c r="L2957" s="1646">
        <v>0</v>
      </c>
      <c r="M2957" s="451">
        <v>0</v>
      </c>
      <c r="N2957" s="467">
        <v>0</v>
      </c>
      <c r="O2957" s="467">
        <v>0</v>
      </c>
      <c r="P2957" s="467"/>
    </row>
    <row r="2958" spans="1:24" s="535" customFormat="1" x14ac:dyDescent="0.2">
      <c r="A2958" s="1073" t="s">
        <v>2198</v>
      </c>
      <c r="B2958" s="292"/>
      <c r="C2958" s="292"/>
      <c r="D2958" s="292"/>
      <c r="E2958" s="292"/>
      <c r="F2958" s="421"/>
      <c r="G2958" s="421"/>
      <c r="H2958" s="421"/>
      <c r="I2958" s="421"/>
      <c r="J2958" s="421"/>
      <c r="K2958" s="421"/>
      <c r="L2958" s="421"/>
      <c r="M2958" s="1624"/>
      <c r="N2958" s="1624"/>
    </row>
    <row r="2959" spans="1:24" s="292" customFormat="1" x14ac:dyDescent="0.2"/>
    <row r="2961" spans="1:24" s="125" customFormat="1" ht="14.25" customHeight="1" x14ac:dyDescent="0.2">
      <c r="A2961" s="377" t="s">
        <v>2193</v>
      </c>
      <c r="D2961" s="1075"/>
      <c r="E2961" s="1075"/>
      <c r="F2961" s="1075"/>
      <c r="G2961" s="1075"/>
      <c r="H2961" s="1075"/>
      <c r="I2961" s="1075"/>
      <c r="L2961" s="1075"/>
    </row>
    <row r="2962" spans="1:24" s="773" customFormat="1" ht="16.25" customHeight="1" x14ac:dyDescent="0.2">
      <c r="A2962" s="753" t="s">
        <v>2214</v>
      </c>
      <c r="B2962" s="442" t="s">
        <v>2195</v>
      </c>
      <c r="C2962" s="442" t="s">
        <v>2195</v>
      </c>
      <c r="D2962" s="442" t="s">
        <v>2195</v>
      </c>
      <c r="E2962" s="442" t="s">
        <v>2195</v>
      </c>
      <c r="F2962" s="442" t="s">
        <v>2195</v>
      </c>
      <c r="G2962" s="442" t="s">
        <v>2195</v>
      </c>
      <c r="H2962" s="442" t="s">
        <v>2195</v>
      </c>
      <c r="I2962" s="442" t="s">
        <v>2195</v>
      </c>
      <c r="J2962" s="442" t="s">
        <v>2195</v>
      </c>
      <c r="K2962" s="442" t="s">
        <v>2195</v>
      </c>
      <c r="L2962" s="442" t="s">
        <v>2195</v>
      </c>
      <c r="M2962" s="442" t="s">
        <v>2195</v>
      </c>
      <c r="N2962" s="442" t="s">
        <v>2195</v>
      </c>
      <c r="O2962" s="442" t="s">
        <v>2195</v>
      </c>
      <c r="P2962" s="442"/>
      <c r="Q2962" s="442"/>
      <c r="R2962" s="442"/>
      <c r="S2962" s="442"/>
      <c r="T2962" s="442"/>
      <c r="U2962" s="442"/>
      <c r="V2962" s="442"/>
    </row>
    <row r="2963" spans="1:24" s="291" customFormat="1" ht="16" x14ac:dyDescent="0.2">
      <c r="A2963" s="1641" t="s">
        <v>57</v>
      </c>
      <c r="B2963" s="1642" t="s">
        <v>1664</v>
      </c>
      <c r="C2963" s="1642" t="s">
        <v>1665</v>
      </c>
      <c r="D2963" s="1642" t="s">
        <v>1666</v>
      </c>
      <c r="E2963" s="1642" t="s">
        <v>1667</v>
      </c>
      <c r="F2963" s="1642" t="s">
        <v>2174</v>
      </c>
      <c r="G2963" s="1642" t="s">
        <v>1668</v>
      </c>
      <c r="H2963" s="1642" t="s">
        <v>1669</v>
      </c>
      <c r="I2963" s="1642" t="s">
        <v>1670</v>
      </c>
      <c r="J2963" s="1642" t="s">
        <v>1671</v>
      </c>
      <c r="K2963" s="1642" t="s">
        <v>1672</v>
      </c>
      <c r="L2963" s="1642" t="s">
        <v>1673</v>
      </c>
      <c r="M2963" s="291" t="s">
        <v>1674</v>
      </c>
      <c r="N2963" s="2152" t="s">
        <v>1675</v>
      </c>
      <c r="O2963" s="2152" t="s">
        <v>1676</v>
      </c>
      <c r="P2963" s="1658" t="s">
        <v>2175</v>
      </c>
      <c r="Q2963" s="453"/>
      <c r="R2963" s="453"/>
      <c r="S2963" s="453"/>
      <c r="T2963" s="453"/>
      <c r="U2963" s="453"/>
      <c r="V2963" s="453"/>
      <c r="W2963" s="21"/>
      <c r="X2963" s="21"/>
    </row>
    <row r="2964" spans="1:24" s="1093" customFormat="1" ht="16" x14ac:dyDescent="0.2">
      <c r="A2964" s="523" t="s">
        <v>2196</v>
      </c>
      <c r="B2964" s="1636" t="s">
        <v>2197</v>
      </c>
      <c r="C2964" s="1636" t="s">
        <v>2197</v>
      </c>
      <c r="D2964" s="1636" t="s">
        <v>2197</v>
      </c>
      <c r="E2964" s="1636" t="s">
        <v>2197</v>
      </c>
      <c r="F2964" s="1636" t="s">
        <v>2197</v>
      </c>
      <c r="G2964" s="1636" t="s">
        <v>2197</v>
      </c>
      <c r="H2964" s="1636" t="s">
        <v>2197</v>
      </c>
      <c r="I2964" s="1636" t="s">
        <v>2197</v>
      </c>
      <c r="J2964" s="1636" t="s">
        <v>2197</v>
      </c>
      <c r="K2964" s="1636" t="s">
        <v>2197</v>
      </c>
      <c r="L2964" s="1631" t="s">
        <v>2197</v>
      </c>
      <c r="M2964" s="1631" t="s">
        <v>2197</v>
      </c>
      <c r="N2964" s="732" t="s">
        <v>2197</v>
      </c>
      <c r="O2964" s="732" t="s">
        <v>2197</v>
      </c>
      <c r="P2964" s="732"/>
      <c r="Q2964" s="1092"/>
      <c r="R2964" s="1092"/>
      <c r="S2964" s="1092"/>
      <c r="T2964" s="1092"/>
      <c r="U2964" s="1092"/>
      <c r="V2964" s="1092"/>
    </row>
    <row r="2965" spans="1:24" s="21" customFormat="1" x14ac:dyDescent="0.2">
      <c r="A2965" s="410" t="s">
        <v>1484</v>
      </c>
      <c r="B2965" s="470">
        <v>0</v>
      </c>
      <c r="C2965" s="470">
        <v>0</v>
      </c>
      <c r="D2965" s="470">
        <v>3.5</v>
      </c>
      <c r="E2965" s="470">
        <v>1.7</v>
      </c>
      <c r="F2965" s="470">
        <v>0.6</v>
      </c>
      <c r="G2965" s="470">
        <v>0</v>
      </c>
      <c r="H2965" s="470">
        <v>0</v>
      </c>
      <c r="I2965" s="470">
        <v>0</v>
      </c>
      <c r="J2965" s="470">
        <v>0</v>
      </c>
      <c r="K2965" s="470">
        <v>0</v>
      </c>
      <c r="L2965" s="1640">
        <v>0</v>
      </c>
      <c r="M2965" s="451">
        <v>0</v>
      </c>
      <c r="N2965" s="467">
        <v>0</v>
      </c>
      <c r="O2965" s="467">
        <v>0</v>
      </c>
      <c r="P2965" s="467"/>
      <c r="Q2965" s="453"/>
      <c r="R2965" s="453"/>
      <c r="S2965" s="453"/>
      <c r="T2965" s="453"/>
      <c r="U2965" s="453"/>
      <c r="V2965" s="453"/>
    </row>
    <row r="2966" spans="1:24" s="21" customFormat="1" x14ac:dyDescent="0.2">
      <c r="A2966" s="411" t="s">
        <v>1483</v>
      </c>
      <c r="B2966" s="467">
        <v>0</v>
      </c>
      <c r="C2966" s="467">
        <v>0</v>
      </c>
      <c r="D2966" s="467">
        <v>3.5</v>
      </c>
      <c r="E2966" s="467">
        <v>1.7</v>
      </c>
      <c r="F2966" s="467">
        <v>0.6</v>
      </c>
      <c r="G2966" s="467">
        <v>0</v>
      </c>
      <c r="H2966" s="467">
        <v>0</v>
      </c>
      <c r="I2966" s="467">
        <v>0</v>
      </c>
      <c r="J2966" s="467">
        <v>0</v>
      </c>
      <c r="K2966" s="467">
        <v>0</v>
      </c>
      <c r="L2966" s="451">
        <v>0</v>
      </c>
      <c r="M2966" s="451">
        <v>0</v>
      </c>
      <c r="N2966" s="467">
        <v>0</v>
      </c>
      <c r="O2966" s="467">
        <v>0</v>
      </c>
      <c r="P2966" s="467"/>
      <c r="Q2966" s="453"/>
      <c r="R2966" s="453"/>
      <c r="S2966" s="453"/>
      <c r="T2966" s="453"/>
      <c r="U2966" s="453"/>
      <c r="V2966" s="453"/>
    </row>
    <row r="2967" spans="1:24" s="21" customFormat="1" x14ac:dyDescent="0.2">
      <c r="A2967" s="411" t="s">
        <v>1491</v>
      </c>
      <c r="B2967" s="467">
        <v>0</v>
      </c>
      <c r="C2967" s="467">
        <v>0</v>
      </c>
      <c r="D2967" s="467">
        <v>3.5</v>
      </c>
      <c r="E2967" s="467">
        <v>1.7</v>
      </c>
      <c r="F2967" s="467">
        <v>0.6</v>
      </c>
      <c r="G2967" s="467">
        <v>0</v>
      </c>
      <c r="H2967" s="467">
        <v>0</v>
      </c>
      <c r="I2967" s="467">
        <v>0</v>
      </c>
      <c r="J2967" s="467">
        <v>0</v>
      </c>
      <c r="K2967" s="467">
        <v>0</v>
      </c>
      <c r="L2967" s="468">
        <v>0</v>
      </c>
      <c r="M2967" s="451">
        <v>0</v>
      </c>
      <c r="N2967" s="467">
        <v>0</v>
      </c>
      <c r="O2967" s="467">
        <v>0</v>
      </c>
      <c r="P2967" s="467"/>
      <c r="Q2967" s="453"/>
      <c r="R2967" s="453"/>
      <c r="S2967" s="453"/>
      <c r="T2967" s="453"/>
      <c r="U2967" s="453"/>
      <c r="V2967" s="453"/>
    </row>
    <row r="2968" spans="1:24" s="21" customFormat="1" x14ac:dyDescent="0.2">
      <c r="A2968" s="411" t="s">
        <v>1490</v>
      </c>
      <c r="B2968" s="467">
        <v>0</v>
      </c>
      <c r="C2968" s="467">
        <v>0</v>
      </c>
      <c r="D2968" s="467">
        <v>3.5</v>
      </c>
      <c r="E2968" s="467">
        <v>1.7</v>
      </c>
      <c r="F2968" s="467">
        <v>0.6</v>
      </c>
      <c r="G2968" s="467">
        <v>0</v>
      </c>
      <c r="H2968" s="467">
        <v>0</v>
      </c>
      <c r="I2968" s="467">
        <v>0</v>
      </c>
      <c r="J2968" s="467">
        <v>0</v>
      </c>
      <c r="K2968" s="467">
        <v>0</v>
      </c>
      <c r="L2968" s="451">
        <v>0</v>
      </c>
      <c r="M2968" s="451">
        <v>0</v>
      </c>
      <c r="N2968" s="467">
        <v>0</v>
      </c>
      <c r="O2968" s="467">
        <v>0</v>
      </c>
      <c r="P2968" s="467"/>
      <c r="Q2968" s="453"/>
      <c r="R2968" s="453"/>
      <c r="S2968" s="453"/>
      <c r="T2968" s="453"/>
      <c r="U2968" s="453"/>
      <c r="V2968" s="453"/>
    </row>
    <row r="2969" spans="1:24" s="21" customFormat="1" x14ac:dyDescent="0.2">
      <c r="A2969" s="411" t="s">
        <v>1486</v>
      </c>
      <c r="B2969" s="467">
        <v>0</v>
      </c>
      <c r="C2969" s="467">
        <v>0</v>
      </c>
      <c r="D2969" s="467">
        <v>7</v>
      </c>
      <c r="E2969" s="467">
        <v>2.6</v>
      </c>
      <c r="F2969" s="467">
        <v>0.6</v>
      </c>
      <c r="G2969" s="467">
        <v>0</v>
      </c>
      <c r="H2969" s="467">
        <v>0</v>
      </c>
      <c r="I2969" s="467">
        <v>0</v>
      </c>
      <c r="J2969" s="467">
        <v>0</v>
      </c>
      <c r="K2969" s="467">
        <v>0</v>
      </c>
      <c r="L2969" s="451">
        <v>0</v>
      </c>
      <c r="M2969" s="451">
        <v>0</v>
      </c>
      <c r="N2969" s="467">
        <v>0</v>
      </c>
      <c r="O2969" s="467">
        <v>0</v>
      </c>
      <c r="P2969" s="467"/>
      <c r="Q2969" s="453"/>
      <c r="R2969" s="453"/>
      <c r="S2969" s="453"/>
      <c r="T2969" s="453"/>
      <c r="U2969" s="453"/>
      <c r="V2969" s="453"/>
    </row>
    <row r="2970" spans="1:24" s="21" customFormat="1" x14ac:dyDescent="0.2">
      <c r="A2970" s="411" t="s">
        <v>1485</v>
      </c>
      <c r="B2970" s="467">
        <v>0</v>
      </c>
      <c r="C2970" s="467">
        <v>0</v>
      </c>
      <c r="D2970" s="467">
        <v>7</v>
      </c>
      <c r="E2970" s="467">
        <v>2.6</v>
      </c>
      <c r="F2970" s="467">
        <v>0.6</v>
      </c>
      <c r="G2970" s="467">
        <v>0</v>
      </c>
      <c r="H2970" s="467">
        <v>0</v>
      </c>
      <c r="I2970" s="467">
        <v>0</v>
      </c>
      <c r="J2970" s="467">
        <v>0</v>
      </c>
      <c r="K2970" s="467">
        <v>0</v>
      </c>
      <c r="L2970" s="451">
        <v>0</v>
      </c>
      <c r="M2970" s="451">
        <v>0</v>
      </c>
      <c r="N2970" s="467">
        <v>0</v>
      </c>
      <c r="O2970" s="467">
        <v>0</v>
      </c>
      <c r="P2970" s="467"/>
      <c r="Q2970" s="453"/>
      <c r="R2970" s="453"/>
      <c r="S2970" s="453"/>
      <c r="T2970" s="453"/>
      <c r="U2970" s="453"/>
      <c r="V2970" s="453"/>
    </row>
    <row r="2971" spans="1:24" s="21" customFormat="1" x14ac:dyDescent="0.2">
      <c r="A2971" s="411" t="s">
        <v>1359</v>
      </c>
      <c r="B2971" s="467">
        <v>0</v>
      </c>
      <c r="C2971" s="467">
        <v>0</v>
      </c>
      <c r="D2971" s="467">
        <v>8.6999999999999993</v>
      </c>
      <c r="E2971" s="467">
        <v>3.5</v>
      </c>
      <c r="F2971" s="467">
        <v>0.6</v>
      </c>
      <c r="G2971" s="467">
        <v>0</v>
      </c>
      <c r="H2971" s="467">
        <v>0</v>
      </c>
      <c r="I2971" s="467">
        <v>0</v>
      </c>
      <c r="J2971" s="467">
        <v>0</v>
      </c>
      <c r="K2971" s="467">
        <v>0</v>
      </c>
      <c r="L2971" s="451">
        <v>0</v>
      </c>
      <c r="M2971" s="451">
        <v>0</v>
      </c>
      <c r="N2971" s="467">
        <v>0</v>
      </c>
      <c r="O2971" s="467">
        <v>0</v>
      </c>
      <c r="P2971" s="467"/>
      <c r="Q2971" s="453"/>
      <c r="R2971" s="453"/>
      <c r="S2971" s="453"/>
      <c r="T2971" s="453"/>
      <c r="U2971" s="453"/>
      <c r="V2971" s="453"/>
    </row>
    <row r="2972" spans="1:24" s="21" customFormat="1" x14ac:dyDescent="0.2">
      <c r="A2972" s="411" t="s">
        <v>1489</v>
      </c>
      <c r="B2972" s="467">
        <v>0</v>
      </c>
      <c r="C2972" s="467">
        <v>0</v>
      </c>
      <c r="D2972" s="467">
        <v>8.6999999999999993</v>
      </c>
      <c r="E2972" s="467">
        <v>3.5</v>
      </c>
      <c r="F2972" s="467">
        <v>0.6</v>
      </c>
      <c r="G2972" s="467">
        <v>0</v>
      </c>
      <c r="H2972" s="467">
        <v>0</v>
      </c>
      <c r="I2972" s="467">
        <v>0</v>
      </c>
      <c r="J2972" s="467">
        <v>0</v>
      </c>
      <c r="K2972" s="467">
        <v>0</v>
      </c>
      <c r="L2972" s="468">
        <v>0</v>
      </c>
      <c r="M2972" s="451">
        <v>0</v>
      </c>
      <c r="N2972" s="467">
        <v>0</v>
      </c>
      <c r="O2972" s="467">
        <v>0</v>
      </c>
      <c r="P2972" s="467"/>
    </row>
    <row r="2973" spans="1:24" s="453" customFormat="1" x14ac:dyDescent="0.2">
      <c r="A2973" s="411" t="s">
        <v>1488</v>
      </c>
      <c r="B2973" s="467">
        <v>0</v>
      </c>
      <c r="C2973" s="467">
        <v>0</v>
      </c>
      <c r="D2973" s="467">
        <v>8.6999999999999993</v>
      </c>
      <c r="E2973" s="467">
        <v>3.5</v>
      </c>
      <c r="F2973" s="467">
        <v>0.6</v>
      </c>
      <c r="G2973" s="467">
        <v>0</v>
      </c>
      <c r="H2973" s="467">
        <v>0</v>
      </c>
      <c r="I2973" s="467">
        <v>0</v>
      </c>
      <c r="J2973" s="467">
        <v>0</v>
      </c>
      <c r="K2973" s="467">
        <v>0</v>
      </c>
      <c r="L2973" s="451">
        <v>0</v>
      </c>
      <c r="M2973" s="451">
        <v>0</v>
      </c>
      <c r="N2973" s="467">
        <v>0</v>
      </c>
      <c r="O2973" s="467">
        <v>0</v>
      </c>
      <c r="P2973" s="467"/>
    </row>
    <row r="2974" spans="1:24" s="453" customFormat="1" x14ac:dyDescent="0.2">
      <c r="A2974" s="411" t="s">
        <v>1487</v>
      </c>
      <c r="B2974" s="467">
        <v>0</v>
      </c>
      <c r="C2974" s="467">
        <v>0</v>
      </c>
      <c r="D2974" s="467">
        <v>8.6999999999999993</v>
      </c>
      <c r="E2974" s="467">
        <v>3.5</v>
      </c>
      <c r="F2974" s="467">
        <v>0.6</v>
      </c>
      <c r="G2974" s="467">
        <v>0</v>
      </c>
      <c r="H2974" s="467">
        <v>0</v>
      </c>
      <c r="I2974" s="467">
        <v>0</v>
      </c>
      <c r="J2974" s="467">
        <v>0</v>
      </c>
      <c r="K2974" s="467">
        <v>0</v>
      </c>
      <c r="L2974" s="468">
        <v>0</v>
      </c>
      <c r="M2974" s="451">
        <v>0</v>
      </c>
      <c r="N2974" s="467">
        <v>0</v>
      </c>
      <c r="O2974" s="467">
        <v>0</v>
      </c>
      <c r="P2974" s="467"/>
    </row>
    <row r="2975" spans="1:24" s="535" customFormat="1" x14ac:dyDescent="0.2">
      <c r="A2975" s="518" t="s">
        <v>2198</v>
      </c>
      <c r="F2975" s="1624"/>
      <c r="G2975" s="1624"/>
      <c r="H2975" s="1624"/>
      <c r="I2975" s="1624"/>
      <c r="J2975" s="1624"/>
      <c r="K2975" s="1624"/>
      <c r="L2975" s="1624"/>
      <c r="M2975" s="1624"/>
      <c r="N2975" s="1624"/>
    </row>
    <row r="2976" spans="1:24" s="292" customFormat="1" x14ac:dyDescent="0.2"/>
    <row r="2978" spans="1:24" s="125" customFormat="1" ht="14.25" customHeight="1" x14ac:dyDescent="0.2">
      <c r="A2978" s="377" t="s">
        <v>2193</v>
      </c>
      <c r="D2978" s="1075"/>
      <c r="E2978" s="1075"/>
      <c r="F2978" s="1075"/>
      <c r="G2978" s="1075"/>
      <c r="H2978" s="1075"/>
      <c r="I2978" s="1075"/>
      <c r="L2978" s="1075"/>
    </row>
    <row r="2979" spans="1:24" s="773" customFormat="1" ht="16.25" customHeight="1" x14ac:dyDescent="0.2">
      <c r="A2979" s="753" t="s">
        <v>2215</v>
      </c>
      <c r="B2979" s="442" t="s">
        <v>2195</v>
      </c>
      <c r="C2979" s="442" t="s">
        <v>2195</v>
      </c>
      <c r="D2979" s="442" t="s">
        <v>2195</v>
      </c>
      <c r="E2979" s="442" t="s">
        <v>2195</v>
      </c>
      <c r="F2979" s="442" t="s">
        <v>2195</v>
      </c>
      <c r="G2979" s="442" t="s">
        <v>2195</v>
      </c>
      <c r="H2979" s="442" t="s">
        <v>2195</v>
      </c>
      <c r="I2979" s="442" t="s">
        <v>2195</v>
      </c>
      <c r="J2979" s="442" t="s">
        <v>2195</v>
      </c>
      <c r="K2979" s="442" t="s">
        <v>2195</v>
      </c>
      <c r="L2979" s="442" t="s">
        <v>2195</v>
      </c>
      <c r="M2979" s="442" t="s">
        <v>2195</v>
      </c>
      <c r="N2979" s="442" t="s">
        <v>2195</v>
      </c>
      <c r="O2979" s="442" t="s">
        <v>2195</v>
      </c>
      <c r="P2979" s="442"/>
      <c r="Q2979" s="442"/>
      <c r="R2979" s="442"/>
      <c r="S2979" s="442"/>
      <c r="T2979" s="442"/>
      <c r="U2979" s="442"/>
      <c r="V2979" s="442"/>
    </row>
    <row r="2980" spans="1:24" s="291" customFormat="1" ht="16" x14ac:dyDescent="0.2">
      <c r="A2980" s="1641" t="s">
        <v>57</v>
      </c>
      <c r="B2980" s="1642" t="s">
        <v>1664</v>
      </c>
      <c r="C2980" s="1642" t="s">
        <v>1665</v>
      </c>
      <c r="D2980" s="1642" t="s">
        <v>1666</v>
      </c>
      <c r="E2980" s="1642" t="s">
        <v>1667</v>
      </c>
      <c r="F2980" s="1642" t="s">
        <v>2174</v>
      </c>
      <c r="G2980" s="1642" t="s">
        <v>1668</v>
      </c>
      <c r="H2980" s="1642" t="s">
        <v>1669</v>
      </c>
      <c r="I2980" s="1642" t="s">
        <v>1670</v>
      </c>
      <c r="J2980" s="1642" t="s">
        <v>1671</v>
      </c>
      <c r="K2980" s="1642" t="s">
        <v>1672</v>
      </c>
      <c r="L2980" s="1642" t="s">
        <v>1673</v>
      </c>
      <c r="M2980" s="291" t="s">
        <v>1674</v>
      </c>
      <c r="N2980" s="2152" t="s">
        <v>1675</v>
      </c>
      <c r="O2980" s="2152" t="s">
        <v>1676</v>
      </c>
      <c r="P2980" s="1658" t="s">
        <v>2175</v>
      </c>
      <c r="Q2980" s="453"/>
      <c r="R2980" s="453"/>
      <c r="S2980" s="453"/>
      <c r="T2980" s="453"/>
      <c r="U2980" s="453"/>
      <c r="V2980" s="453"/>
      <c r="W2980" s="21"/>
      <c r="X2980" s="21"/>
    </row>
    <row r="2981" spans="1:24" s="1093" customFormat="1" ht="16" x14ac:dyDescent="0.2">
      <c r="A2981" s="523" t="s">
        <v>2196</v>
      </c>
      <c r="B2981" s="1636" t="s">
        <v>2197</v>
      </c>
      <c r="C2981" s="1636" t="s">
        <v>2197</v>
      </c>
      <c r="D2981" s="1636" t="s">
        <v>2197</v>
      </c>
      <c r="E2981" s="1636" t="s">
        <v>2197</v>
      </c>
      <c r="F2981" s="1636" t="s">
        <v>2197</v>
      </c>
      <c r="G2981" s="1636" t="s">
        <v>2197</v>
      </c>
      <c r="H2981" s="1636" t="s">
        <v>2197</v>
      </c>
      <c r="I2981" s="1636" t="s">
        <v>2197</v>
      </c>
      <c r="J2981" s="1636" t="s">
        <v>2197</v>
      </c>
      <c r="K2981" s="1636" t="s">
        <v>2197</v>
      </c>
      <c r="L2981" s="1631" t="s">
        <v>2197</v>
      </c>
      <c r="M2981" s="1631" t="s">
        <v>2197</v>
      </c>
      <c r="N2981" s="732" t="s">
        <v>2197</v>
      </c>
      <c r="O2981" s="732" t="s">
        <v>2197</v>
      </c>
      <c r="P2981" s="732"/>
      <c r="Q2981" s="1092"/>
      <c r="R2981" s="1092"/>
      <c r="S2981" s="1092"/>
      <c r="T2981" s="1092"/>
      <c r="U2981" s="1092"/>
      <c r="V2981" s="1092"/>
    </row>
    <row r="2982" spans="1:24" s="21" customFormat="1" x14ac:dyDescent="0.2">
      <c r="A2982" s="410" t="s">
        <v>1484</v>
      </c>
      <c r="B2982" s="470">
        <v>0</v>
      </c>
      <c r="C2982" s="470">
        <v>0</v>
      </c>
      <c r="D2982" s="470">
        <v>4.4000000000000004</v>
      </c>
      <c r="E2982" s="470">
        <v>2.2000000000000002</v>
      </c>
      <c r="F2982" s="470">
        <v>0.6</v>
      </c>
      <c r="G2982" s="470">
        <v>0</v>
      </c>
      <c r="H2982" s="470">
        <v>0</v>
      </c>
      <c r="I2982" s="470">
        <v>0</v>
      </c>
      <c r="J2982" s="470">
        <v>0</v>
      </c>
      <c r="K2982" s="470">
        <v>0</v>
      </c>
      <c r="L2982" s="1640">
        <v>0</v>
      </c>
      <c r="M2982" s="451">
        <v>0</v>
      </c>
      <c r="N2982" s="467">
        <v>0</v>
      </c>
      <c r="O2982" s="467">
        <v>0</v>
      </c>
      <c r="P2982" s="467"/>
      <c r="Q2982" s="453"/>
      <c r="R2982" s="453"/>
      <c r="S2982" s="453"/>
      <c r="T2982" s="453"/>
      <c r="U2982" s="453"/>
      <c r="V2982" s="453"/>
    </row>
    <row r="2983" spans="1:24" s="21" customFormat="1" x14ac:dyDescent="0.2">
      <c r="A2983" s="411" t="s">
        <v>1483</v>
      </c>
      <c r="B2983" s="467">
        <v>0</v>
      </c>
      <c r="C2983" s="467">
        <v>0</v>
      </c>
      <c r="D2983" s="467">
        <v>4.4000000000000004</v>
      </c>
      <c r="E2983" s="467">
        <v>2.2000000000000002</v>
      </c>
      <c r="F2983" s="467">
        <v>0.6</v>
      </c>
      <c r="G2983" s="467">
        <v>0</v>
      </c>
      <c r="H2983" s="467">
        <v>0</v>
      </c>
      <c r="I2983" s="467">
        <v>0</v>
      </c>
      <c r="J2983" s="467">
        <v>0</v>
      </c>
      <c r="K2983" s="467">
        <v>0</v>
      </c>
      <c r="L2983" s="451">
        <v>0</v>
      </c>
      <c r="M2983" s="451">
        <v>0</v>
      </c>
      <c r="N2983" s="467">
        <v>0</v>
      </c>
      <c r="O2983" s="467">
        <v>0</v>
      </c>
      <c r="P2983" s="467"/>
      <c r="Q2983" s="453"/>
      <c r="R2983" s="453"/>
      <c r="S2983" s="453"/>
      <c r="T2983" s="453"/>
      <c r="U2983" s="453"/>
      <c r="V2983" s="453"/>
    </row>
    <row r="2984" spans="1:24" s="21" customFormat="1" x14ac:dyDescent="0.2">
      <c r="A2984" s="411" t="s">
        <v>1491</v>
      </c>
      <c r="B2984" s="467">
        <v>0</v>
      </c>
      <c r="C2984" s="467">
        <v>0</v>
      </c>
      <c r="D2984" s="467">
        <v>4.4000000000000004</v>
      </c>
      <c r="E2984" s="467">
        <v>2.2000000000000002</v>
      </c>
      <c r="F2984" s="467">
        <v>0.6</v>
      </c>
      <c r="G2984" s="467">
        <v>0</v>
      </c>
      <c r="H2984" s="467">
        <v>0</v>
      </c>
      <c r="I2984" s="467">
        <v>0</v>
      </c>
      <c r="J2984" s="467">
        <v>0</v>
      </c>
      <c r="K2984" s="467">
        <v>0</v>
      </c>
      <c r="L2984" s="468">
        <v>0</v>
      </c>
      <c r="M2984" s="451">
        <v>0</v>
      </c>
      <c r="N2984" s="467">
        <v>0</v>
      </c>
      <c r="O2984" s="467">
        <v>0</v>
      </c>
      <c r="P2984" s="467"/>
      <c r="Q2984" s="453"/>
      <c r="R2984" s="453"/>
      <c r="S2984" s="453"/>
      <c r="T2984" s="453"/>
      <c r="U2984" s="453"/>
      <c r="V2984" s="453"/>
    </row>
    <row r="2985" spans="1:24" s="21" customFormat="1" x14ac:dyDescent="0.2">
      <c r="A2985" s="411" t="s">
        <v>1490</v>
      </c>
      <c r="B2985" s="467">
        <v>0</v>
      </c>
      <c r="C2985" s="467">
        <v>0</v>
      </c>
      <c r="D2985" s="467">
        <v>4.4000000000000004</v>
      </c>
      <c r="E2985" s="467">
        <v>2.2000000000000002</v>
      </c>
      <c r="F2985" s="467">
        <v>0.6</v>
      </c>
      <c r="G2985" s="467">
        <v>0</v>
      </c>
      <c r="H2985" s="467">
        <v>0</v>
      </c>
      <c r="I2985" s="467">
        <v>0</v>
      </c>
      <c r="J2985" s="467">
        <v>0</v>
      </c>
      <c r="K2985" s="467">
        <v>0</v>
      </c>
      <c r="L2985" s="451">
        <v>0</v>
      </c>
      <c r="M2985" s="451">
        <v>0</v>
      </c>
      <c r="N2985" s="467">
        <v>0</v>
      </c>
      <c r="O2985" s="467">
        <v>0</v>
      </c>
      <c r="P2985" s="467"/>
      <c r="Q2985" s="453"/>
      <c r="R2985" s="453"/>
      <c r="S2985" s="453"/>
      <c r="T2985" s="453"/>
      <c r="U2985" s="453"/>
      <c r="V2985" s="453"/>
    </row>
    <row r="2986" spans="1:24" s="21" customFormat="1" x14ac:dyDescent="0.2">
      <c r="A2986" s="411" t="s">
        <v>1486</v>
      </c>
      <c r="B2986" s="467">
        <v>0</v>
      </c>
      <c r="C2986" s="467">
        <v>0</v>
      </c>
      <c r="D2986" s="467">
        <v>8.8000000000000007</v>
      </c>
      <c r="E2986" s="467">
        <v>3.3</v>
      </c>
      <c r="F2986" s="467">
        <v>0.6</v>
      </c>
      <c r="G2986" s="467">
        <v>0</v>
      </c>
      <c r="H2986" s="467">
        <v>0</v>
      </c>
      <c r="I2986" s="467">
        <v>0</v>
      </c>
      <c r="J2986" s="467">
        <v>0</v>
      </c>
      <c r="K2986" s="467">
        <v>0</v>
      </c>
      <c r="L2986" s="451">
        <v>0</v>
      </c>
      <c r="M2986" s="451">
        <v>0</v>
      </c>
      <c r="N2986" s="467">
        <v>0</v>
      </c>
      <c r="O2986" s="467">
        <v>0</v>
      </c>
      <c r="P2986" s="467"/>
      <c r="Q2986" s="453"/>
      <c r="R2986" s="453"/>
      <c r="S2986" s="453"/>
      <c r="T2986" s="453"/>
      <c r="U2986" s="453"/>
      <c r="V2986" s="453"/>
    </row>
    <row r="2987" spans="1:24" s="21" customFormat="1" x14ac:dyDescent="0.2">
      <c r="A2987" s="411" t="s">
        <v>1485</v>
      </c>
      <c r="B2987" s="467">
        <v>0</v>
      </c>
      <c r="C2987" s="467">
        <v>0</v>
      </c>
      <c r="D2987" s="467">
        <v>8.8000000000000007</v>
      </c>
      <c r="E2987" s="467">
        <v>3.3</v>
      </c>
      <c r="F2987" s="467">
        <v>0.6</v>
      </c>
      <c r="G2987" s="467">
        <v>0</v>
      </c>
      <c r="H2987" s="467">
        <v>0</v>
      </c>
      <c r="I2987" s="467">
        <v>0</v>
      </c>
      <c r="J2987" s="467">
        <v>0</v>
      </c>
      <c r="K2987" s="467">
        <v>0</v>
      </c>
      <c r="L2987" s="451">
        <v>0</v>
      </c>
      <c r="M2987" s="451">
        <v>0</v>
      </c>
      <c r="N2987" s="467">
        <v>0</v>
      </c>
      <c r="O2987" s="467">
        <v>0</v>
      </c>
      <c r="P2987" s="467"/>
      <c r="Q2987" s="453"/>
      <c r="R2987" s="453"/>
      <c r="S2987" s="453"/>
      <c r="T2987" s="453"/>
      <c r="U2987" s="453"/>
      <c r="V2987" s="453"/>
    </row>
    <row r="2988" spans="1:24" s="21" customFormat="1" x14ac:dyDescent="0.2">
      <c r="A2988" s="411" t="s">
        <v>1359</v>
      </c>
      <c r="B2988" s="467">
        <v>0</v>
      </c>
      <c r="C2988" s="467">
        <v>0</v>
      </c>
      <c r="D2988" s="467">
        <v>11.1</v>
      </c>
      <c r="E2988" s="467">
        <v>4.4000000000000004</v>
      </c>
      <c r="F2988" s="467">
        <v>0.6</v>
      </c>
      <c r="G2988" s="467">
        <v>0</v>
      </c>
      <c r="H2988" s="467">
        <v>0</v>
      </c>
      <c r="I2988" s="467">
        <v>0</v>
      </c>
      <c r="J2988" s="467">
        <v>0</v>
      </c>
      <c r="K2988" s="467">
        <v>0</v>
      </c>
      <c r="L2988" s="451">
        <v>0</v>
      </c>
      <c r="M2988" s="451">
        <v>0</v>
      </c>
      <c r="N2988" s="467">
        <v>0</v>
      </c>
      <c r="O2988" s="467">
        <v>0</v>
      </c>
      <c r="P2988" s="467"/>
      <c r="Q2988" s="453"/>
      <c r="R2988" s="453"/>
      <c r="S2988" s="453"/>
      <c r="T2988" s="453"/>
      <c r="U2988" s="453"/>
      <c r="V2988" s="453"/>
    </row>
    <row r="2989" spans="1:24" s="21" customFormat="1" x14ac:dyDescent="0.2">
      <c r="A2989" s="411" t="s">
        <v>1489</v>
      </c>
      <c r="B2989" s="467">
        <v>0</v>
      </c>
      <c r="C2989" s="467">
        <v>0</v>
      </c>
      <c r="D2989" s="467">
        <v>11.1</v>
      </c>
      <c r="E2989" s="467">
        <v>4.4000000000000004</v>
      </c>
      <c r="F2989" s="467">
        <v>0.6</v>
      </c>
      <c r="G2989" s="467">
        <v>0</v>
      </c>
      <c r="H2989" s="467">
        <v>0</v>
      </c>
      <c r="I2989" s="467">
        <v>0</v>
      </c>
      <c r="J2989" s="467">
        <v>0</v>
      </c>
      <c r="K2989" s="467">
        <v>0</v>
      </c>
      <c r="L2989" s="468">
        <v>0</v>
      </c>
      <c r="M2989" s="451">
        <v>0</v>
      </c>
      <c r="N2989" s="467">
        <v>0</v>
      </c>
      <c r="O2989" s="467">
        <v>0</v>
      </c>
      <c r="P2989" s="467"/>
    </row>
    <row r="2990" spans="1:24" s="453" customFormat="1" x14ac:dyDescent="0.2">
      <c r="A2990" s="411" t="s">
        <v>1488</v>
      </c>
      <c r="B2990" s="467">
        <v>0</v>
      </c>
      <c r="C2990" s="467">
        <v>0</v>
      </c>
      <c r="D2990" s="467">
        <v>11.1</v>
      </c>
      <c r="E2990" s="467">
        <v>4.4000000000000004</v>
      </c>
      <c r="F2990" s="467">
        <v>0.6</v>
      </c>
      <c r="G2990" s="467">
        <v>0</v>
      </c>
      <c r="H2990" s="467">
        <v>0</v>
      </c>
      <c r="I2990" s="467">
        <v>0</v>
      </c>
      <c r="J2990" s="467">
        <v>0</v>
      </c>
      <c r="K2990" s="467">
        <v>0</v>
      </c>
      <c r="L2990" s="451">
        <v>0</v>
      </c>
      <c r="M2990" s="451">
        <v>0</v>
      </c>
      <c r="N2990" s="467">
        <v>0</v>
      </c>
      <c r="O2990" s="467">
        <v>0</v>
      </c>
      <c r="P2990" s="467"/>
    </row>
    <row r="2991" spans="1:24" s="453" customFormat="1" x14ac:dyDescent="0.2">
      <c r="A2991" s="411" t="s">
        <v>1487</v>
      </c>
      <c r="B2991" s="467">
        <v>0</v>
      </c>
      <c r="C2991" s="467">
        <v>0</v>
      </c>
      <c r="D2991" s="467">
        <v>11.1</v>
      </c>
      <c r="E2991" s="467">
        <v>4.4000000000000004</v>
      </c>
      <c r="F2991" s="467">
        <v>0.6</v>
      </c>
      <c r="G2991" s="467">
        <v>0</v>
      </c>
      <c r="H2991" s="467">
        <v>0</v>
      </c>
      <c r="I2991" s="467">
        <v>0</v>
      </c>
      <c r="J2991" s="467">
        <v>0</v>
      </c>
      <c r="K2991" s="467">
        <v>0</v>
      </c>
      <c r="L2991" s="468">
        <v>0</v>
      </c>
      <c r="M2991" s="451">
        <v>0</v>
      </c>
      <c r="N2991" s="467">
        <v>0</v>
      </c>
      <c r="O2991" s="467">
        <v>0</v>
      </c>
      <c r="P2991" s="467"/>
    </row>
    <row r="2992" spans="1:24" s="535" customFormat="1" x14ac:dyDescent="0.2">
      <c r="A2992" s="518" t="s">
        <v>2198</v>
      </c>
      <c r="F2992" s="1624"/>
      <c r="G2992" s="1624"/>
      <c r="H2992" s="1624"/>
      <c r="I2992" s="1624"/>
      <c r="J2992" s="1624"/>
      <c r="K2992" s="1624"/>
      <c r="L2992" s="1624"/>
      <c r="M2992" s="1624"/>
      <c r="N2992" s="1624"/>
    </row>
    <row r="2993" spans="1:24" s="292" customFormat="1" x14ac:dyDescent="0.2"/>
    <row r="2995" spans="1:24" s="125" customFormat="1" ht="14.25" customHeight="1" x14ac:dyDescent="0.2">
      <c r="A2995" s="377" t="s">
        <v>2193</v>
      </c>
      <c r="D2995" s="1075"/>
      <c r="E2995" s="1075"/>
      <c r="F2995" s="1075"/>
      <c r="G2995" s="1075"/>
      <c r="H2995" s="1075"/>
      <c r="I2995" s="1075"/>
      <c r="L2995" s="1075"/>
    </row>
    <row r="2996" spans="1:24" s="773" customFormat="1" ht="16.25" customHeight="1" x14ac:dyDescent="0.2">
      <c r="A2996" s="753" t="s">
        <v>2216</v>
      </c>
      <c r="B2996" s="442" t="s">
        <v>2195</v>
      </c>
      <c r="C2996" s="442" t="s">
        <v>2195</v>
      </c>
      <c r="D2996" s="442" t="s">
        <v>2195</v>
      </c>
      <c r="E2996" s="442" t="s">
        <v>2195</v>
      </c>
      <c r="F2996" s="442" t="s">
        <v>2195</v>
      </c>
      <c r="G2996" s="442" t="s">
        <v>2195</v>
      </c>
      <c r="H2996" s="442" t="s">
        <v>2195</v>
      </c>
      <c r="I2996" s="442" t="s">
        <v>2195</v>
      </c>
      <c r="J2996" s="442" t="s">
        <v>2195</v>
      </c>
      <c r="K2996" s="442" t="s">
        <v>2195</v>
      </c>
      <c r="L2996" s="442" t="s">
        <v>2195</v>
      </c>
      <c r="M2996" s="442" t="s">
        <v>2195</v>
      </c>
      <c r="N2996" s="442" t="s">
        <v>2195</v>
      </c>
      <c r="O2996" s="442" t="s">
        <v>2195</v>
      </c>
      <c r="P2996" s="442"/>
      <c r="Q2996" s="442"/>
      <c r="R2996" s="442"/>
      <c r="S2996" s="442"/>
      <c r="T2996" s="442"/>
      <c r="U2996" s="442"/>
      <c r="V2996" s="442"/>
    </row>
    <row r="2997" spans="1:24" s="291" customFormat="1" ht="16" x14ac:dyDescent="0.2">
      <c r="A2997" s="1641" t="s">
        <v>57</v>
      </c>
      <c r="B2997" s="1642" t="s">
        <v>1664</v>
      </c>
      <c r="C2997" s="1642" t="s">
        <v>1665</v>
      </c>
      <c r="D2997" s="1642" t="s">
        <v>1666</v>
      </c>
      <c r="E2997" s="1642" t="s">
        <v>1667</v>
      </c>
      <c r="F2997" s="1642" t="s">
        <v>2174</v>
      </c>
      <c r="G2997" s="1642" t="s">
        <v>1668</v>
      </c>
      <c r="H2997" s="1642" t="s">
        <v>1669</v>
      </c>
      <c r="I2997" s="1642" t="s">
        <v>1670</v>
      </c>
      <c r="J2997" s="1642" t="s">
        <v>1671</v>
      </c>
      <c r="K2997" s="1642" t="s">
        <v>1672</v>
      </c>
      <c r="L2997" s="1642" t="s">
        <v>1673</v>
      </c>
      <c r="M2997" s="291" t="s">
        <v>1674</v>
      </c>
      <c r="N2997" s="2152" t="s">
        <v>1675</v>
      </c>
      <c r="O2997" s="2152" t="s">
        <v>1676</v>
      </c>
      <c r="P2997" s="1658" t="s">
        <v>2175</v>
      </c>
      <c r="Q2997" s="453"/>
      <c r="R2997" s="453"/>
      <c r="S2997" s="453"/>
      <c r="T2997" s="453"/>
      <c r="U2997" s="453"/>
      <c r="V2997" s="453"/>
      <c r="W2997" s="21"/>
      <c r="X2997" s="21"/>
    </row>
    <row r="2998" spans="1:24" s="1093" customFormat="1" ht="16" x14ac:dyDescent="0.2">
      <c r="A2998" s="523" t="s">
        <v>2196</v>
      </c>
      <c r="B2998" s="1636" t="s">
        <v>2197</v>
      </c>
      <c r="C2998" s="1636" t="s">
        <v>2197</v>
      </c>
      <c r="D2998" s="1636" t="s">
        <v>2197</v>
      </c>
      <c r="E2998" s="1636" t="s">
        <v>2197</v>
      </c>
      <c r="F2998" s="1636" t="s">
        <v>2197</v>
      </c>
      <c r="G2998" s="1636" t="s">
        <v>2197</v>
      </c>
      <c r="H2998" s="1636" t="s">
        <v>2197</v>
      </c>
      <c r="I2998" s="1636" t="s">
        <v>2197</v>
      </c>
      <c r="J2998" s="1636" t="s">
        <v>2197</v>
      </c>
      <c r="K2998" s="1636" t="s">
        <v>2197</v>
      </c>
      <c r="L2998" s="1631" t="s">
        <v>2197</v>
      </c>
      <c r="M2998" s="1631" t="s">
        <v>2197</v>
      </c>
      <c r="N2998" s="732" t="s">
        <v>2197</v>
      </c>
      <c r="O2998" s="732" t="s">
        <v>2197</v>
      </c>
      <c r="P2998" s="732"/>
      <c r="Q2998" s="1092"/>
      <c r="R2998" s="1092"/>
      <c r="S2998" s="1092"/>
      <c r="T2998" s="1092"/>
      <c r="U2998" s="1092"/>
      <c r="V2998" s="1092"/>
    </row>
    <row r="2999" spans="1:24" s="21" customFormat="1" x14ac:dyDescent="0.2">
      <c r="A2999" s="410" t="s">
        <v>1484</v>
      </c>
      <c r="B2999" s="470">
        <v>0</v>
      </c>
      <c r="C2999" s="470">
        <v>0</v>
      </c>
      <c r="D2999" s="470">
        <v>3.5</v>
      </c>
      <c r="E2999" s="470">
        <v>1.7</v>
      </c>
      <c r="F2999" s="470">
        <v>0.6</v>
      </c>
      <c r="G2999" s="470">
        <v>0</v>
      </c>
      <c r="H2999" s="470">
        <v>0</v>
      </c>
      <c r="I2999" s="470">
        <v>0</v>
      </c>
      <c r="J2999" s="470">
        <v>0</v>
      </c>
      <c r="K2999" s="470">
        <v>0</v>
      </c>
      <c r="L2999" s="1640">
        <v>0</v>
      </c>
      <c r="M2999" s="451">
        <v>0</v>
      </c>
      <c r="N2999" s="467">
        <v>0</v>
      </c>
      <c r="O2999" s="467">
        <v>0</v>
      </c>
      <c r="P2999" s="467"/>
      <c r="Q2999" s="453"/>
      <c r="R2999" s="453"/>
      <c r="S2999" s="453"/>
      <c r="T2999" s="453"/>
      <c r="U2999" s="453"/>
      <c r="V2999" s="453"/>
    </row>
    <row r="3000" spans="1:24" s="21" customFormat="1" x14ac:dyDescent="0.2">
      <c r="A3000" s="411" t="s">
        <v>1483</v>
      </c>
      <c r="B3000" s="467">
        <v>0</v>
      </c>
      <c r="C3000" s="467">
        <v>0</v>
      </c>
      <c r="D3000" s="467">
        <v>3.5</v>
      </c>
      <c r="E3000" s="467">
        <v>1.7</v>
      </c>
      <c r="F3000" s="467">
        <v>0.6</v>
      </c>
      <c r="G3000" s="467">
        <v>0</v>
      </c>
      <c r="H3000" s="467">
        <v>0</v>
      </c>
      <c r="I3000" s="467">
        <v>0</v>
      </c>
      <c r="J3000" s="467">
        <v>0</v>
      </c>
      <c r="K3000" s="467">
        <v>0</v>
      </c>
      <c r="L3000" s="451">
        <v>0</v>
      </c>
      <c r="M3000" s="451">
        <v>0</v>
      </c>
      <c r="N3000" s="467">
        <v>0</v>
      </c>
      <c r="O3000" s="467">
        <v>0</v>
      </c>
      <c r="P3000" s="467"/>
      <c r="Q3000" s="453"/>
      <c r="R3000" s="453"/>
      <c r="S3000" s="453"/>
      <c r="T3000" s="453"/>
      <c r="U3000" s="453"/>
      <c r="V3000" s="453"/>
    </row>
    <row r="3001" spans="1:24" s="21" customFormat="1" x14ac:dyDescent="0.2">
      <c r="A3001" s="411" t="s">
        <v>1491</v>
      </c>
      <c r="B3001" s="467">
        <v>0</v>
      </c>
      <c r="C3001" s="467">
        <v>0</v>
      </c>
      <c r="D3001" s="467">
        <v>3.5</v>
      </c>
      <c r="E3001" s="467">
        <v>1.7</v>
      </c>
      <c r="F3001" s="467">
        <v>0.6</v>
      </c>
      <c r="G3001" s="467">
        <v>0</v>
      </c>
      <c r="H3001" s="467">
        <v>0</v>
      </c>
      <c r="I3001" s="467">
        <v>0</v>
      </c>
      <c r="J3001" s="467">
        <v>0</v>
      </c>
      <c r="K3001" s="467">
        <v>0</v>
      </c>
      <c r="L3001" s="468">
        <v>0</v>
      </c>
      <c r="M3001" s="451">
        <v>0</v>
      </c>
      <c r="N3001" s="467">
        <v>0</v>
      </c>
      <c r="O3001" s="467">
        <v>0</v>
      </c>
      <c r="P3001" s="467"/>
      <c r="Q3001" s="453"/>
      <c r="R3001" s="453"/>
      <c r="S3001" s="453"/>
      <c r="T3001" s="453"/>
      <c r="U3001" s="453"/>
      <c r="V3001" s="453"/>
    </row>
    <row r="3002" spans="1:24" s="21" customFormat="1" x14ac:dyDescent="0.2">
      <c r="A3002" s="411" t="s">
        <v>1490</v>
      </c>
      <c r="B3002" s="467">
        <v>0</v>
      </c>
      <c r="C3002" s="467">
        <v>0</v>
      </c>
      <c r="D3002" s="467">
        <v>3.5</v>
      </c>
      <c r="E3002" s="467">
        <v>1.7</v>
      </c>
      <c r="F3002" s="467">
        <v>0.6</v>
      </c>
      <c r="G3002" s="467">
        <v>0</v>
      </c>
      <c r="H3002" s="467">
        <v>0</v>
      </c>
      <c r="I3002" s="467">
        <v>0</v>
      </c>
      <c r="J3002" s="467">
        <v>0</v>
      </c>
      <c r="K3002" s="467">
        <v>0</v>
      </c>
      <c r="L3002" s="451">
        <v>0</v>
      </c>
      <c r="M3002" s="451">
        <v>0</v>
      </c>
      <c r="N3002" s="467">
        <v>0</v>
      </c>
      <c r="O3002" s="467">
        <v>0</v>
      </c>
      <c r="P3002" s="467"/>
      <c r="Q3002" s="453"/>
      <c r="R3002" s="453"/>
      <c r="S3002" s="453"/>
      <c r="T3002" s="453"/>
      <c r="U3002" s="453"/>
      <c r="V3002" s="453"/>
    </row>
    <row r="3003" spans="1:24" s="21" customFormat="1" x14ac:dyDescent="0.2">
      <c r="A3003" s="411" t="s">
        <v>1486</v>
      </c>
      <c r="B3003" s="467">
        <v>0</v>
      </c>
      <c r="C3003" s="467">
        <v>0</v>
      </c>
      <c r="D3003" s="467">
        <v>7</v>
      </c>
      <c r="E3003" s="467">
        <v>2.6</v>
      </c>
      <c r="F3003" s="467">
        <v>0.6</v>
      </c>
      <c r="G3003" s="467">
        <v>0</v>
      </c>
      <c r="H3003" s="467">
        <v>0</v>
      </c>
      <c r="I3003" s="467">
        <v>0</v>
      </c>
      <c r="J3003" s="467">
        <v>0</v>
      </c>
      <c r="K3003" s="467">
        <v>0</v>
      </c>
      <c r="L3003" s="451">
        <v>0</v>
      </c>
      <c r="M3003" s="451">
        <v>0</v>
      </c>
      <c r="N3003" s="467">
        <v>0</v>
      </c>
      <c r="O3003" s="467">
        <v>0</v>
      </c>
      <c r="P3003" s="467"/>
      <c r="Q3003" s="453"/>
      <c r="R3003" s="453"/>
      <c r="S3003" s="453"/>
      <c r="T3003" s="453"/>
      <c r="U3003" s="453"/>
      <c r="V3003" s="453"/>
    </row>
    <row r="3004" spans="1:24" s="21" customFormat="1" x14ac:dyDescent="0.2">
      <c r="A3004" s="411" t="s">
        <v>1485</v>
      </c>
      <c r="B3004" s="467">
        <v>0</v>
      </c>
      <c r="C3004" s="467">
        <v>0</v>
      </c>
      <c r="D3004" s="467">
        <v>7</v>
      </c>
      <c r="E3004" s="467">
        <v>2.6</v>
      </c>
      <c r="F3004" s="467">
        <v>0.6</v>
      </c>
      <c r="G3004" s="467">
        <v>0</v>
      </c>
      <c r="H3004" s="467">
        <v>0</v>
      </c>
      <c r="I3004" s="467">
        <v>0</v>
      </c>
      <c r="J3004" s="467">
        <v>0</v>
      </c>
      <c r="K3004" s="467">
        <v>0</v>
      </c>
      <c r="L3004" s="451">
        <v>0</v>
      </c>
      <c r="M3004" s="451">
        <v>0</v>
      </c>
      <c r="N3004" s="467">
        <v>0</v>
      </c>
      <c r="O3004" s="467">
        <v>0</v>
      </c>
      <c r="P3004" s="467"/>
      <c r="Q3004" s="453"/>
      <c r="R3004" s="453"/>
      <c r="S3004" s="453"/>
      <c r="T3004" s="453"/>
      <c r="U3004" s="453"/>
      <c r="V3004" s="453"/>
    </row>
    <row r="3005" spans="1:24" s="21" customFormat="1" x14ac:dyDescent="0.2">
      <c r="A3005" s="411" t="s">
        <v>1359</v>
      </c>
      <c r="B3005" s="467">
        <v>0</v>
      </c>
      <c r="C3005" s="467">
        <v>0</v>
      </c>
      <c r="D3005" s="467">
        <v>8.6999999999999993</v>
      </c>
      <c r="E3005" s="467">
        <v>3.5</v>
      </c>
      <c r="F3005" s="467">
        <v>0.6</v>
      </c>
      <c r="G3005" s="467">
        <v>0</v>
      </c>
      <c r="H3005" s="467">
        <v>0</v>
      </c>
      <c r="I3005" s="467">
        <v>0</v>
      </c>
      <c r="J3005" s="467">
        <v>0</v>
      </c>
      <c r="K3005" s="467">
        <v>0</v>
      </c>
      <c r="L3005" s="451">
        <v>0</v>
      </c>
      <c r="M3005" s="451">
        <v>0</v>
      </c>
      <c r="N3005" s="467">
        <v>0</v>
      </c>
      <c r="O3005" s="467">
        <v>0</v>
      </c>
      <c r="P3005" s="467"/>
      <c r="Q3005" s="453"/>
      <c r="R3005" s="453"/>
      <c r="S3005" s="453"/>
      <c r="T3005" s="453"/>
      <c r="U3005" s="453"/>
      <c r="V3005" s="453"/>
    </row>
    <row r="3006" spans="1:24" s="21" customFormat="1" x14ac:dyDescent="0.2">
      <c r="A3006" s="411" t="s">
        <v>1489</v>
      </c>
      <c r="B3006" s="467">
        <v>0</v>
      </c>
      <c r="C3006" s="467">
        <v>0</v>
      </c>
      <c r="D3006" s="467">
        <v>8.6999999999999993</v>
      </c>
      <c r="E3006" s="467">
        <v>3.5</v>
      </c>
      <c r="F3006" s="467">
        <v>0.6</v>
      </c>
      <c r="G3006" s="467">
        <v>0</v>
      </c>
      <c r="H3006" s="467">
        <v>0</v>
      </c>
      <c r="I3006" s="467">
        <v>0</v>
      </c>
      <c r="J3006" s="467">
        <v>0</v>
      </c>
      <c r="K3006" s="467">
        <v>0</v>
      </c>
      <c r="L3006" s="468">
        <v>0</v>
      </c>
      <c r="M3006" s="451">
        <v>0</v>
      </c>
      <c r="N3006" s="467">
        <v>0</v>
      </c>
      <c r="O3006" s="467">
        <v>0</v>
      </c>
      <c r="P3006" s="467"/>
    </row>
    <row r="3007" spans="1:24" s="453" customFormat="1" x14ac:dyDescent="0.2">
      <c r="A3007" s="411" t="s">
        <v>1488</v>
      </c>
      <c r="B3007" s="467">
        <v>0</v>
      </c>
      <c r="C3007" s="467">
        <v>0</v>
      </c>
      <c r="D3007" s="467">
        <v>8.6999999999999993</v>
      </c>
      <c r="E3007" s="467">
        <v>3.5</v>
      </c>
      <c r="F3007" s="467">
        <v>0.6</v>
      </c>
      <c r="G3007" s="467">
        <v>0</v>
      </c>
      <c r="H3007" s="467">
        <v>0</v>
      </c>
      <c r="I3007" s="467">
        <v>0</v>
      </c>
      <c r="J3007" s="467">
        <v>0</v>
      </c>
      <c r="K3007" s="467">
        <v>0</v>
      </c>
      <c r="L3007" s="451">
        <v>0</v>
      </c>
      <c r="M3007" s="451">
        <v>0</v>
      </c>
      <c r="N3007" s="467">
        <v>0</v>
      </c>
      <c r="O3007" s="467">
        <v>0</v>
      </c>
      <c r="P3007" s="467"/>
    </row>
    <row r="3008" spans="1:24" s="453" customFormat="1" x14ac:dyDescent="0.2">
      <c r="A3008" s="411" t="s">
        <v>1487</v>
      </c>
      <c r="B3008" s="467">
        <v>0</v>
      </c>
      <c r="C3008" s="467">
        <v>0</v>
      </c>
      <c r="D3008" s="467">
        <v>8.6999999999999993</v>
      </c>
      <c r="E3008" s="467">
        <v>3.5</v>
      </c>
      <c r="F3008" s="467">
        <v>0.6</v>
      </c>
      <c r="G3008" s="467">
        <v>0</v>
      </c>
      <c r="H3008" s="467">
        <v>0</v>
      </c>
      <c r="I3008" s="467">
        <v>0</v>
      </c>
      <c r="J3008" s="467">
        <v>0</v>
      </c>
      <c r="K3008" s="467">
        <v>0</v>
      </c>
      <c r="L3008" s="468">
        <v>0</v>
      </c>
      <c r="M3008" s="451">
        <v>0</v>
      </c>
      <c r="N3008" s="467">
        <v>0</v>
      </c>
      <c r="O3008" s="467">
        <v>0</v>
      </c>
      <c r="P3008" s="467"/>
    </row>
    <row r="3009" spans="1:26" s="535" customFormat="1" x14ac:dyDescent="0.2">
      <c r="A3009" s="518" t="s">
        <v>2198</v>
      </c>
      <c r="F3009" s="1624"/>
      <c r="G3009" s="1624"/>
      <c r="H3009" s="1624"/>
      <c r="I3009" s="1624"/>
      <c r="J3009" s="1624"/>
      <c r="K3009" s="1624"/>
      <c r="L3009" s="1624"/>
      <c r="M3009" s="1624"/>
      <c r="N3009" s="1624"/>
    </row>
    <row r="3010" spans="1:26" s="292" customFormat="1" x14ac:dyDescent="0.2"/>
    <row r="3011" spans="1:26" ht="18" customHeight="1" x14ac:dyDescent="0.2"/>
    <row r="3012" spans="1:26" s="125" customFormat="1" x14ac:dyDescent="0.2">
      <c r="A3012" s="377" t="s">
        <v>2217</v>
      </c>
      <c r="D3012" s="1075"/>
      <c r="E3012" s="1075"/>
      <c r="F3012" s="1075"/>
      <c r="G3012" s="1075"/>
      <c r="H3012" s="1075"/>
      <c r="I3012" s="1075"/>
      <c r="J3012" s="1075"/>
    </row>
    <row r="3013" spans="1:26" s="773" customFormat="1" ht="16.25" customHeight="1" x14ac:dyDescent="0.2">
      <c r="A3013" s="753" t="s">
        <v>65</v>
      </c>
      <c r="B3013" s="442" t="s">
        <v>2218</v>
      </c>
      <c r="C3013" s="442" t="s">
        <v>2218</v>
      </c>
      <c r="D3013" s="442" t="s">
        <v>2218</v>
      </c>
      <c r="E3013" s="442" t="s">
        <v>2218</v>
      </c>
      <c r="F3013" s="442" t="s">
        <v>2218</v>
      </c>
      <c r="G3013" s="442" t="s">
        <v>2218</v>
      </c>
      <c r="H3013" s="442" t="s">
        <v>2218</v>
      </c>
      <c r="I3013" s="442" t="s">
        <v>2218</v>
      </c>
      <c r="J3013" s="442" t="s">
        <v>2218</v>
      </c>
      <c r="K3013" s="442" t="s">
        <v>2218</v>
      </c>
      <c r="L3013" s="442" t="s">
        <v>2218</v>
      </c>
      <c r="M3013" s="442" t="s">
        <v>2218</v>
      </c>
      <c r="N3013" s="442" t="s">
        <v>2218</v>
      </c>
      <c r="O3013" s="442" t="s">
        <v>2218</v>
      </c>
      <c r="P3013" s="442" t="s">
        <v>2218</v>
      </c>
      <c r="Q3013" s="442" t="s">
        <v>2218</v>
      </c>
      <c r="R3013" s="442" t="s">
        <v>2218</v>
      </c>
      <c r="S3013" s="442"/>
      <c r="T3013" s="442"/>
      <c r="U3013" s="442"/>
      <c r="V3013" s="442"/>
      <c r="W3013" s="442"/>
      <c r="X3013" s="442"/>
    </row>
    <row r="3014" spans="1:26" s="291" customFormat="1" ht="16" x14ac:dyDescent="0.2">
      <c r="A3014" s="1632" t="s">
        <v>57</v>
      </c>
      <c r="B3014" s="1633" t="s">
        <v>5278</v>
      </c>
      <c r="C3014" s="1633" t="s">
        <v>5279</v>
      </c>
      <c r="D3014" s="1633" t="s">
        <v>5280</v>
      </c>
      <c r="E3014" s="1633" t="s">
        <v>5281</v>
      </c>
      <c r="F3014" s="419" t="s">
        <v>5282</v>
      </c>
      <c r="G3014" s="1633" t="s">
        <v>2161</v>
      </c>
      <c r="H3014" s="419" t="s">
        <v>5283</v>
      </c>
      <c r="I3014" s="1633" t="s">
        <v>5284</v>
      </c>
      <c r="J3014" s="1633" t="s">
        <v>904</v>
      </c>
      <c r="K3014" s="1633" t="s">
        <v>908</v>
      </c>
      <c r="L3014" s="1633" t="s">
        <v>912</v>
      </c>
      <c r="M3014" s="1633" t="s">
        <v>915</v>
      </c>
      <c r="N3014" s="1633" t="s">
        <v>918</v>
      </c>
      <c r="O3014" s="1633" t="s">
        <v>921</v>
      </c>
      <c r="P3014" s="1633" t="s">
        <v>923</v>
      </c>
      <c r="Q3014" s="1633" t="s">
        <v>927</v>
      </c>
      <c r="R3014" s="1633" t="s">
        <v>930</v>
      </c>
      <c r="S3014" s="1633" t="s">
        <v>2162</v>
      </c>
      <c r="T3014" s="453"/>
      <c r="U3014" s="453"/>
      <c r="V3014" s="453"/>
      <c r="W3014" s="453"/>
      <c r="X3014" s="453"/>
      <c r="Y3014" s="21"/>
      <c r="Z3014" s="21"/>
    </row>
    <row r="3015" spans="1:26" s="1093" customFormat="1" ht="16" x14ac:dyDescent="0.2">
      <c r="A3015" s="533" t="s">
        <v>2153</v>
      </c>
      <c r="B3015" s="31" t="s">
        <v>2219</v>
      </c>
      <c r="C3015" s="31" t="s">
        <v>2219</v>
      </c>
      <c r="D3015" s="31" t="s">
        <v>2219</v>
      </c>
      <c r="E3015" s="31" t="s">
        <v>2219</v>
      </c>
      <c r="F3015" s="31" t="s">
        <v>2219</v>
      </c>
      <c r="G3015" s="31" t="s">
        <v>2219</v>
      </c>
      <c r="H3015" s="31" t="s">
        <v>2219</v>
      </c>
      <c r="I3015" s="31" t="s">
        <v>2219</v>
      </c>
      <c r="J3015" s="31" t="s">
        <v>2219</v>
      </c>
      <c r="K3015" s="31" t="s">
        <v>2219</v>
      </c>
      <c r="L3015" s="31" t="s">
        <v>2219</v>
      </c>
      <c r="M3015" s="31" t="s">
        <v>2219</v>
      </c>
      <c r="N3015" s="31" t="s">
        <v>2219</v>
      </c>
      <c r="O3015" s="31" t="s">
        <v>2219</v>
      </c>
      <c r="P3015" s="31" t="s">
        <v>2219</v>
      </c>
      <c r="Q3015" s="31" t="s">
        <v>2219</v>
      </c>
      <c r="R3015" s="426" t="s">
        <v>2219</v>
      </c>
      <c r="S3015" s="426" t="s">
        <v>2219</v>
      </c>
      <c r="T3015" s="1092"/>
      <c r="U3015" s="1092"/>
      <c r="V3015" s="1092"/>
      <c r="W3015" s="1092"/>
      <c r="X3015" s="1092"/>
    </row>
    <row r="3016" spans="1:26" s="21" customFormat="1" x14ac:dyDescent="0.2">
      <c r="A3016" s="407" t="s">
        <v>2155</v>
      </c>
      <c r="B3016" s="467">
        <v>0.44</v>
      </c>
      <c r="C3016" s="470">
        <v>0.44</v>
      </c>
      <c r="D3016" s="470">
        <v>0.41</v>
      </c>
      <c r="E3016" s="470">
        <v>0.41</v>
      </c>
      <c r="F3016" s="41">
        <v>0.32</v>
      </c>
      <c r="G3016" s="41">
        <v>0.32</v>
      </c>
      <c r="H3016" s="453">
        <v>0.49</v>
      </c>
      <c r="I3016" s="44">
        <v>0.28999999999999998</v>
      </c>
      <c r="J3016" s="41">
        <v>0.34</v>
      </c>
      <c r="K3016" s="41">
        <v>0.46</v>
      </c>
      <c r="L3016" s="41">
        <v>0.46</v>
      </c>
      <c r="M3016" s="41">
        <v>0.46</v>
      </c>
      <c r="N3016" s="44">
        <v>0.67</v>
      </c>
      <c r="O3016" s="44">
        <v>0.34</v>
      </c>
      <c r="P3016" s="44">
        <v>1.29</v>
      </c>
      <c r="Q3016" s="44">
        <v>1.4</v>
      </c>
      <c r="R3016" s="501"/>
      <c r="S3016" s="41"/>
      <c r="T3016" s="453"/>
      <c r="U3016" s="453"/>
      <c r="V3016" s="453"/>
      <c r="W3016" s="453"/>
      <c r="X3016" s="453"/>
    </row>
    <row r="3017" spans="1:26" s="21" customFormat="1" x14ac:dyDescent="0.2">
      <c r="A3017" s="411" t="s">
        <v>2156</v>
      </c>
      <c r="B3017" s="467">
        <v>0.44</v>
      </c>
      <c r="C3017" s="467">
        <v>0.38</v>
      </c>
      <c r="D3017" s="467">
        <v>0.44</v>
      </c>
      <c r="E3017" s="467">
        <v>0.44</v>
      </c>
      <c r="F3017" s="41">
        <v>0.32</v>
      </c>
      <c r="G3017" s="41">
        <v>0.32</v>
      </c>
      <c r="H3017" s="453">
        <v>0.7</v>
      </c>
      <c r="I3017" s="41">
        <v>0.37</v>
      </c>
      <c r="J3017" s="41">
        <v>0.34</v>
      </c>
      <c r="K3017" s="41">
        <v>0.46</v>
      </c>
      <c r="L3017" s="41">
        <v>0.46</v>
      </c>
      <c r="M3017" s="41">
        <v>0.46</v>
      </c>
      <c r="N3017" s="41">
        <v>0.67</v>
      </c>
      <c r="O3017" s="41">
        <v>0.34</v>
      </c>
      <c r="P3017" s="41">
        <v>1.1000000000000001</v>
      </c>
      <c r="Q3017" s="41">
        <v>1.35</v>
      </c>
      <c r="R3017" s="501"/>
      <c r="S3017" s="41"/>
      <c r="T3017" s="453"/>
      <c r="U3017" s="453"/>
      <c r="V3017" s="453"/>
      <c r="W3017" s="453"/>
      <c r="X3017" s="453"/>
    </row>
    <row r="3018" spans="1:26" s="21" customFormat="1" x14ac:dyDescent="0.2">
      <c r="A3018" s="411" t="s">
        <v>1343</v>
      </c>
      <c r="B3018" s="467">
        <v>0.6</v>
      </c>
      <c r="C3018" s="467">
        <v>0.4</v>
      </c>
      <c r="D3018" s="467">
        <v>0</v>
      </c>
      <c r="E3018" s="467">
        <v>0</v>
      </c>
      <c r="F3018" s="41">
        <v>0.35</v>
      </c>
      <c r="G3018" s="41">
        <v>0.35</v>
      </c>
      <c r="H3018" s="453">
        <v>0.46</v>
      </c>
      <c r="I3018" s="41">
        <v>0.24</v>
      </c>
      <c r="J3018" s="41">
        <v>0.46</v>
      </c>
      <c r="K3018" s="41">
        <v>0.3</v>
      </c>
      <c r="L3018" s="41">
        <v>0.38</v>
      </c>
      <c r="M3018" s="41">
        <v>0.3</v>
      </c>
      <c r="N3018" s="41">
        <v>0.67</v>
      </c>
      <c r="O3018" s="41">
        <v>0.34</v>
      </c>
      <c r="P3018" s="41">
        <v>1.45</v>
      </c>
      <c r="Q3018" s="41">
        <v>1.59</v>
      </c>
      <c r="R3018" s="501"/>
      <c r="S3018" s="41"/>
      <c r="T3018" s="453"/>
      <c r="U3018" s="453"/>
      <c r="V3018" s="453"/>
      <c r="W3018" s="453"/>
      <c r="X3018" s="453"/>
    </row>
    <row r="3019" spans="1:26" s="21" customFormat="1" x14ac:dyDescent="0.2">
      <c r="A3019" s="411" t="s">
        <v>2157</v>
      </c>
      <c r="B3019" s="41">
        <v>0.39</v>
      </c>
      <c r="C3019" s="41">
        <v>0.31</v>
      </c>
      <c r="D3019" s="41">
        <v>0.41</v>
      </c>
      <c r="E3019" s="41">
        <v>0.41</v>
      </c>
      <c r="F3019" s="41">
        <v>0.32</v>
      </c>
      <c r="G3019" s="41">
        <v>0.32</v>
      </c>
      <c r="H3019" s="453">
        <v>0.73</v>
      </c>
      <c r="I3019" s="41">
        <v>0.35</v>
      </c>
      <c r="J3019" s="41">
        <v>0.34</v>
      </c>
      <c r="K3019" s="41">
        <v>0.46</v>
      </c>
      <c r="L3019" s="41">
        <v>0.46</v>
      </c>
      <c r="M3019" s="41">
        <v>0.46</v>
      </c>
      <c r="N3019" s="41">
        <v>0.67</v>
      </c>
      <c r="O3019" s="41">
        <v>0.34</v>
      </c>
      <c r="P3019" s="41">
        <v>1.2</v>
      </c>
      <c r="Q3019" s="41">
        <v>1.23</v>
      </c>
      <c r="R3019" s="501"/>
      <c r="S3019" s="41"/>
      <c r="T3019" s="453"/>
      <c r="U3019" s="453"/>
      <c r="V3019" s="453"/>
      <c r="W3019" s="453"/>
      <c r="X3019" s="453"/>
    </row>
    <row r="3020" spans="1:26" s="21" customFormat="1" x14ac:dyDescent="0.2">
      <c r="A3020" s="411" t="s">
        <v>1351</v>
      </c>
      <c r="B3020" s="467">
        <v>0.5</v>
      </c>
      <c r="C3020" s="467">
        <v>0.42</v>
      </c>
      <c r="D3020" s="467">
        <v>0.45</v>
      </c>
      <c r="E3020" s="467">
        <v>0.45</v>
      </c>
      <c r="F3020" s="41">
        <v>0.36</v>
      </c>
      <c r="G3020" s="41">
        <v>0.36</v>
      </c>
      <c r="H3020" s="453">
        <v>0.76</v>
      </c>
      <c r="I3020" s="41">
        <v>0.38</v>
      </c>
      <c r="J3020" s="41">
        <v>0.46</v>
      </c>
      <c r="K3020" s="41">
        <v>0.26</v>
      </c>
      <c r="L3020" s="41">
        <v>0.38</v>
      </c>
      <c r="M3020" s="41">
        <v>0.26</v>
      </c>
      <c r="N3020" s="41">
        <v>0.67</v>
      </c>
      <c r="O3020" s="41">
        <v>0.34</v>
      </c>
      <c r="P3020" s="41">
        <v>0.99</v>
      </c>
      <c r="Q3020" s="41">
        <v>1.1399999999999999</v>
      </c>
      <c r="R3020" s="501"/>
      <c r="S3020" s="41"/>
      <c r="T3020" s="453"/>
      <c r="U3020" s="453"/>
      <c r="V3020" s="453"/>
      <c r="W3020" s="453"/>
      <c r="X3020" s="453"/>
    </row>
    <row r="3021" spans="1:26" s="21" customFormat="1" x14ac:dyDescent="0.2">
      <c r="A3021" s="411" t="s">
        <v>1337</v>
      </c>
      <c r="B3021" s="41">
        <v>0.42</v>
      </c>
      <c r="C3021" s="41">
        <v>0.47</v>
      </c>
      <c r="D3021" s="41">
        <v>0.35</v>
      </c>
      <c r="E3021" s="41">
        <v>0.35</v>
      </c>
      <c r="F3021" s="41">
        <v>0.36</v>
      </c>
      <c r="G3021" s="41">
        <v>0.36</v>
      </c>
      <c r="H3021" s="453">
        <v>0.77</v>
      </c>
      <c r="I3021" s="41">
        <v>0.36</v>
      </c>
      <c r="J3021" s="41">
        <v>0.44</v>
      </c>
      <c r="K3021" s="41">
        <v>0.3</v>
      </c>
      <c r="L3021" s="41">
        <v>0.38</v>
      </c>
      <c r="M3021" s="41">
        <v>0.3</v>
      </c>
      <c r="N3021" s="41">
        <v>0.67</v>
      </c>
      <c r="O3021" s="41">
        <v>0.34</v>
      </c>
      <c r="P3021" s="41">
        <v>0.96</v>
      </c>
      <c r="Q3021" s="41">
        <v>1.1200000000000001</v>
      </c>
      <c r="R3021" s="501"/>
      <c r="S3021" s="41"/>
      <c r="T3021" s="453"/>
      <c r="U3021" s="453"/>
      <c r="V3021" s="453"/>
      <c r="W3021" s="453"/>
      <c r="X3021" s="453"/>
    </row>
    <row r="3022" spans="1:26" s="21" customFormat="1" x14ac:dyDescent="0.2">
      <c r="A3022" s="411" t="s">
        <v>2158</v>
      </c>
      <c r="B3022" s="41">
        <v>0.42</v>
      </c>
      <c r="C3022" s="41">
        <v>0.47</v>
      </c>
      <c r="D3022" s="41">
        <v>0.35</v>
      </c>
      <c r="E3022" s="41">
        <v>0.35</v>
      </c>
      <c r="F3022" s="41">
        <v>0.36</v>
      </c>
      <c r="G3022" s="41">
        <v>0.36</v>
      </c>
      <c r="H3022" s="453">
        <v>0.77</v>
      </c>
      <c r="I3022" s="41">
        <v>0.36</v>
      </c>
      <c r="J3022" s="41">
        <v>0.44</v>
      </c>
      <c r="K3022" s="41">
        <v>0.3</v>
      </c>
      <c r="L3022" s="41">
        <v>0.38</v>
      </c>
      <c r="M3022" s="41">
        <v>0.3</v>
      </c>
      <c r="N3022" s="41">
        <v>0.67</v>
      </c>
      <c r="O3022" s="41">
        <v>0.34</v>
      </c>
      <c r="P3022" s="41">
        <v>0.96</v>
      </c>
      <c r="Q3022" s="41">
        <v>1.1200000000000001</v>
      </c>
      <c r="R3022" s="501"/>
      <c r="S3022" s="41"/>
      <c r="T3022" s="453"/>
      <c r="U3022" s="453"/>
      <c r="V3022" s="453"/>
      <c r="W3022" s="453"/>
      <c r="X3022" s="453"/>
    </row>
    <row r="3023" spans="1:26" s="21" customFormat="1" x14ac:dyDescent="0.2">
      <c r="A3023" s="411" t="s">
        <v>1346</v>
      </c>
      <c r="B3023" s="41">
        <v>0.72</v>
      </c>
      <c r="C3023" s="41">
        <v>0.46</v>
      </c>
      <c r="D3023" s="41">
        <v>0</v>
      </c>
      <c r="E3023" s="41">
        <v>0</v>
      </c>
      <c r="F3023" s="41">
        <v>0.43</v>
      </c>
      <c r="G3023" s="41">
        <v>0.43</v>
      </c>
      <c r="H3023" s="453">
        <v>0.72</v>
      </c>
      <c r="I3023" s="41">
        <v>0.31</v>
      </c>
      <c r="J3023" s="41">
        <v>0.42</v>
      </c>
      <c r="K3023" s="41">
        <v>0.3</v>
      </c>
      <c r="L3023" s="41">
        <v>0.38</v>
      </c>
      <c r="M3023" s="41">
        <v>0.3</v>
      </c>
      <c r="N3023" s="41">
        <v>0.67</v>
      </c>
      <c r="O3023" s="41">
        <v>0.34</v>
      </c>
      <c r="P3023" s="41">
        <v>1.42</v>
      </c>
      <c r="Q3023" s="41">
        <v>1.59</v>
      </c>
      <c r="R3023" s="501"/>
      <c r="S3023" s="41"/>
    </row>
    <row r="3024" spans="1:26" s="453" customFormat="1" x14ac:dyDescent="0.2">
      <c r="A3024" s="411" t="s">
        <v>2159</v>
      </c>
      <c r="B3024" s="41">
        <v>0.5</v>
      </c>
      <c r="C3024" s="41">
        <v>0.55000000000000004</v>
      </c>
      <c r="D3024" s="41">
        <v>0.39</v>
      </c>
      <c r="E3024" s="41">
        <v>0.39</v>
      </c>
      <c r="F3024" s="41">
        <v>0.32</v>
      </c>
      <c r="G3024" s="41">
        <v>0.32</v>
      </c>
      <c r="H3024" s="453">
        <v>0.73</v>
      </c>
      <c r="I3024" s="41">
        <v>0.4</v>
      </c>
      <c r="J3024" s="41">
        <v>0.34</v>
      </c>
      <c r="K3024" s="41">
        <v>0.46</v>
      </c>
      <c r="L3024" s="41">
        <v>0.46</v>
      </c>
      <c r="M3024" s="41">
        <v>0.46</v>
      </c>
      <c r="N3024" s="41">
        <v>0.67</v>
      </c>
      <c r="O3024" s="41">
        <v>0.34</v>
      </c>
      <c r="P3024" s="41">
        <v>1.29</v>
      </c>
      <c r="Q3024" s="41">
        <v>1.43</v>
      </c>
      <c r="R3024" s="501"/>
      <c r="S3024" s="41"/>
    </row>
    <row r="3025" spans="1:26" s="453" customFormat="1" x14ac:dyDescent="0.2">
      <c r="A3025" s="411" t="s">
        <v>2160</v>
      </c>
      <c r="B3025" s="41">
        <v>0.65</v>
      </c>
      <c r="C3025" s="41">
        <v>0.44</v>
      </c>
      <c r="D3025" s="41">
        <v>0.56999999999999995</v>
      </c>
      <c r="E3025" s="41">
        <v>0.56999999999999995</v>
      </c>
      <c r="F3025" s="41">
        <v>0.32</v>
      </c>
      <c r="G3025" s="41">
        <v>0.32</v>
      </c>
      <c r="H3025" s="453">
        <v>0.76</v>
      </c>
      <c r="I3025" s="41">
        <v>0.43</v>
      </c>
      <c r="J3025" s="41">
        <v>0.34</v>
      </c>
      <c r="K3025" s="41">
        <v>0.46</v>
      </c>
      <c r="L3025" s="41">
        <v>0.46</v>
      </c>
      <c r="M3025" s="41">
        <v>0.46</v>
      </c>
      <c r="N3025" s="42">
        <v>0.67</v>
      </c>
      <c r="O3025" s="42">
        <v>0.34</v>
      </c>
      <c r="P3025" s="41">
        <v>1.62</v>
      </c>
      <c r="Q3025" s="41">
        <v>1.58</v>
      </c>
      <c r="R3025" s="501"/>
      <c r="S3025" s="41"/>
    </row>
    <row r="3026" spans="1:26" s="535" customFormat="1" x14ac:dyDescent="0.2">
      <c r="A3026" s="518" t="s">
        <v>2220</v>
      </c>
      <c r="F3026" s="1624"/>
      <c r="G3026" s="1624"/>
      <c r="H3026" s="1624"/>
      <c r="I3026" s="1624"/>
      <c r="J3026" s="1624"/>
      <c r="K3026" s="1624"/>
      <c r="L3026" s="1624"/>
      <c r="M3026" s="1624"/>
      <c r="N3026" s="1624"/>
    </row>
    <row r="3027" spans="1:26" s="292" customFormat="1" x14ac:dyDescent="0.2">
      <c r="A3027" s="292" t="s">
        <v>2221</v>
      </c>
    </row>
    <row r="3029" spans="1:26" s="125" customFormat="1" x14ac:dyDescent="0.2">
      <c r="A3029" s="377" t="s">
        <v>2217</v>
      </c>
      <c r="D3029" s="1075"/>
      <c r="E3029" s="1075"/>
      <c r="F3029" s="1075"/>
      <c r="G3029" s="1075"/>
      <c r="H3029" s="1075"/>
      <c r="I3029" s="1075"/>
      <c r="J3029" s="1075"/>
    </row>
    <row r="3030" spans="1:26" s="773" customFormat="1" ht="16.25" customHeight="1" x14ac:dyDescent="0.2">
      <c r="A3030" s="753" t="s">
        <v>5286</v>
      </c>
      <c r="B3030" s="442" t="s">
        <v>2218</v>
      </c>
      <c r="C3030" s="442" t="s">
        <v>2218</v>
      </c>
      <c r="D3030" s="442" t="s">
        <v>2218</v>
      </c>
      <c r="E3030" s="442" t="s">
        <v>2218</v>
      </c>
      <c r="F3030" s="442" t="s">
        <v>2218</v>
      </c>
      <c r="G3030" s="442" t="s">
        <v>2218</v>
      </c>
      <c r="H3030" s="442" t="s">
        <v>2218</v>
      </c>
      <c r="I3030" s="442" t="s">
        <v>2218</v>
      </c>
      <c r="J3030" s="442" t="s">
        <v>2218</v>
      </c>
      <c r="K3030" s="442" t="s">
        <v>2218</v>
      </c>
      <c r="L3030" s="442" t="s">
        <v>2218</v>
      </c>
      <c r="M3030" s="442" t="s">
        <v>2218</v>
      </c>
      <c r="N3030" s="442" t="s">
        <v>2218</v>
      </c>
      <c r="O3030" s="442" t="s">
        <v>2218</v>
      </c>
      <c r="P3030" s="442" t="s">
        <v>2218</v>
      </c>
      <c r="Q3030" s="442" t="s">
        <v>2218</v>
      </c>
      <c r="R3030" s="442" t="s">
        <v>2218</v>
      </c>
      <c r="S3030" s="442"/>
      <c r="T3030" s="442"/>
      <c r="U3030" s="442"/>
      <c r="V3030" s="442"/>
      <c r="W3030" s="442"/>
      <c r="X3030" s="442"/>
    </row>
    <row r="3031" spans="1:26" s="291" customFormat="1" ht="16" x14ac:dyDescent="0.2">
      <c r="A3031" s="1632" t="s">
        <v>57</v>
      </c>
      <c r="B3031" s="1633" t="s">
        <v>5278</v>
      </c>
      <c r="C3031" s="1633" t="s">
        <v>5279</v>
      </c>
      <c r="D3031" s="1633" t="s">
        <v>5280</v>
      </c>
      <c r="E3031" s="1633" t="s">
        <v>5281</v>
      </c>
      <c r="F3031" s="419" t="s">
        <v>5282</v>
      </c>
      <c r="G3031" s="1633" t="s">
        <v>2161</v>
      </c>
      <c r="H3031" s="419" t="s">
        <v>5283</v>
      </c>
      <c r="I3031" s="1633" t="s">
        <v>5284</v>
      </c>
      <c r="J3031" s="1633" t="s">
        <v>904</v>
      </c>
      <c r="K3031" s="1633" t="s">
        <v>908</v>
      </c>
      <c r="L3031" s="1633" t="s">
        <v>912</v>
      </c>
      <c r="M3031" s="1633" t="s">
        <v>915</v>
      </c>
      <c r="N3031" s="1633" t="s">
        <v>918</v>
      </c>
      <c r="O3031" s="1633" t="s">
        <v>921</v>
      </c>
      <c r="P3031" s="1633" t="s">
        <v>923</v>
      </c>
      <c r="Q3031" s="1633" t="s">
        <v>927</v>
      </c>
      <c r="R3031" s="1633" t="s">
        <v>930</v>
      </c>
      <c r="S3031" s="1633" t="s">
        <v>2162</v>
      </c>
      <c r="T3031" s="453"/>
      <c r="U3031" s="453"/>
      <c r="V3031" s="453"/>
      <c r="W3031" s="453"/>
      <c r="X3031" s="453"/>
      <c r="Y3031" s="21"/>
      <c r="Z3031" s="21"/>
    </row>
    <row r="3032" spans="1:26" s="1093" customFormat="1" ht="16" x14ac:dyDescent="0.2">
      <c r="A3032" s="533" t="s">
        <v>2153</v>
      </c>
      <c r="B3032" s="31" t="s">
        <v>2219</v>
      </c>
      <c r="C3032" s="31" t="s">
        <v>2219</v>
      </c>
      <c r="D3032" s="31" t="s">
        <v>2219</v>
      </c>
      <c r="E3032" s="31" t="s">
        <v>2219</v>
      </c>
      <c r="F3032" s="31" t="s">
        <v>2219</v>
      </c>
      <c r="G3032" s="31" t="s">
        <v>2219</v>
      </c>
      <c r="H3032" s="31" t="s">
        <v>2219</v>
      </c>
      <c r="I3032" s="31" t="s">
        <v>2219</v>
      </c>
      <c r="J3032" s="31" t="s">
        <v>2219</v>
      </c>
      <c r="K3032" s="31" t="s">
        <v>2219</v>
      </c>
      <c r="L3032" s="31" t="s">
        <v>2219</v>
      </c>
      <c r="M3032" s="31" t="s">
        <v>2219</v>
      </c>
      <c r="N3032" s="31" t="s">
        <v>2219</v>
      </c>
      <c r="O3032" s="31" t="s">
        <v>2219</v>
      </c>
      <c r="P3032" s="31" t="s">
        <v>2219</v>
      </c>
      <c r="Q3032" s="31" t="s">
        <v>2219</v>
      </c>
      <c r="R3032" s="426" t="s">
        <v>2219</v>
      </c>
      <c r="S3032" s="426" t="s">
        <v>2219</v>
      </c>
      <c r="T3032" s="1092"/>
      <c r="U3032" s="1092"/>
      <c r="V3032" s="1092"/>
      <c r="W3032" s="1092"/>
      <c r="X3032" s="1092"/>
    </row>
    <row r="3033" spans="1:26" s="21" customFormat="1" x14ac:dyDescent="0.2">
      <c r="A3033" s="407" t="s">
        <v>2155</v>
      </c>
      <c r="B3033" s="467">
        <v>0.45</v>
      </c>
      <c r="C3033" s="470">
        <v>0.45</v>
      </c>
      <c r="D3033" s="470">
        <v>0.41</v>
      </c>
      <c r="E3033" s="470">
        <v>0.41</v>
      </c>
      <c r="F3033" s="41">
        <v>0.32</v>
      </c>
      <c r="G3033" s="41">
        <v>0.32</v>
      </c>
      <c r="H3033" s="453">
        <v>0.54</v>
      </c>
      <c r="I3033" s="44">
        <v>0.35</v>
      </c>
      <c r="J3033" s="41">
        <v>0.34</v>
      </c>
      <c r="K3033" s="41">
        <v>0.46</v>
      </c>
      <c r="L3033" s="41">
        <v>0.46</v>
      </c>
      <c r="M3033" s="41">
        <v>0.46</v>
      </c>
      <c r="N3033" s="44">
        <v>0.67</v>
      </c>
      <c r="O3033" s="44">
        <v>0.34</v>
      </c>
      <c r="P3033" s="44">
        <v>1.44</v>
      </c>
      <c r="Q3033" s="44">
        <v>1.58</v>
      </c>
      <c r="R3033" s="501"/>
      <c r="S3033" s="41"/>
      <c r="T3033" s="453"/>
      <c r="U3033" s="453"/>
      <c r="V3033" s="453"/>
      <c r="W3033" s="453"/>
      <c r="X3033" s="453"/>
    </row>
    <row r="3034" spans="1:26" s="21" customFormat="1" x14ac:dyDescent="0.2">
      <c r="A3034" s="411" t="s">
        <v>2156</v>
      </c>
      <c r="B3034" s="467">
        <v>0.41</v>
      </c>
      <c r="C3034" s="467">
        <v>0.38</v>
      </c>
      <c r="D3034" s="467">
        <v>0.44</v>
      </c>
      <c r="E3034" s="467">
        <v>0.44</v>
      </c>
      <c r="F3034" s="41">
        <v>0.32</v>
      </c>
      <c r="G3034" s="41">
        <v>0.32</v>
      </c>
      <c r="H3034" s="453">
        <v>0.76</v>
      </c>
      <c r="I3034" s="41">
        <v>0.43</v>
      </c>
      <c r="J3034" s="41">
        <v>0.34</v>
      </c>
      <c r="K3034" s="41">
        <v>0.46</v>
      </c>
      <c r="L3034" s="41">
        <v>0.46</v>
      </c>
      <c r="M3034" s="41">
        <v>0.46</v>
      </c>
      <c r="N3034" s="41">
        <v>0.67</v>
      </c>
      <c r="O3034" s="41">
        <v>0.34</v>
      </c>
      <c r="P3034" s="41">
        <v>1.62</v>
      </c>
      <c r="Q3034" s="41">
        <v>1.84</v>
      </c>
      <c r="R3034" s="501"/>
      <c r="S3034" s="41"/>
      <c r="T3034" s="453"/>
      <c r="U3034" s="453"/>
      <c r="V3034" s="453"/>
      <c r="W3034" s="453"/>
      <c r="X3034" s="453"/>
    </row>
    <row r="3035" spans="1:26" s="21" customFormat="1" x14ac:dyDescent="0.2">
      <c r="A3035" s="411" t="s">
        <v>1343</v>
      </c>
      <c r="B3035" s="467">
        <v>0.6</v>
      </c>
      <c r="C3035" s="467">
        <v>0.4</v>
      </c>
      <c r="D3035" s="467">
        <v>0</v>
      </c>
      <c r="E3035" s="467">
        <v>0</v>
      </c>
      <c r="F3035" s="41">
        <v>0.35</v>
      </c>
      <c r="G3035" s="41">
        <v>0.35</v>
      </c>
      <c r="H3035" s="453">
        <v>0.46</v>
      </c>
      <c r="I3035" s="41">
        <v>0.24</v>
      </c>
      <c r="J3035" s="41">
        <v>0.46</v>
      </c>
      <c r="K3035" s="41">
        <v>0.3</v>
      </c>
      <c r="L3035" s="41">
        <v>0.38</v>
      </c>
      <c r="M3035" s="41">
        <v>0.3</v>
      </c>
      <c r="N3035" s="41">
        <v>0.67</v>
      </c>
      <c r="O3035" s="41">
        <v>0.34</v>
      </c>
      <c r="P3035" s="41">
        <v>1.45</v>
      </c>
      <c r="Q3035" s="41">
        <v>1.59</v>
      </c>
      <c r="R3035" s="501"/>
      <c r="S3035" s="41"/>
      <c r="T3035" s="453"/>
      <c r="U3035" s="453"/>
      <c r="V3035" s="453"/>
      <c r="W3035" s="453"/>
      <c r="X3035" s="453"/>
    </row>
    <row r="3036" spans="1:26" s="21" customFormat="1" x14ac:dyDescent="0.2">
      <c r="A3036" s="411" t="s">
        <v>2157</v>
      </c>
      <c r="B3036" s="41">
        <v>0.28000000000000003</v>
      </c>
      <c r="C3036" s="41">
        <v>0.28999999999999998</v>
      </c>
      <c r="D3036" s="41">
        <v>0.41</v>
      </c>
      <c r="E3036" s="41">
        <v>0.41</v>
      </c>
      <c r="F3036" s="41">
        <v>0.32</v>
      </c>
      <c r="G3036" s="41">
        <v>0.32</v>
      </c>
      <c r="H3036" s="451">
        <v>0.8</v>
      </c>
      <c r="I3036" s="41">
        <v>0.43</v>
      </c>
      <c r="J3036" s="41">
        <v>0.34</v>
      </c>
      <c r="K3036" s="41">
        <v>0.46</v>
      </c>
      <c r="L3036" s="41">
        <v>0.46</v>
      </c>
      <c r="M3036" s="41">
        <v>0.46</v>
      </c>
      <c r="N3036" s="41">
        <v>0.67</v>
      </c>
      <c r="O3036" s="41">
        <v>0.34</v>
      </c>
      <c r="P3036" s="451">
        <v>2.14</v>
      </c>
      <c r="Q3036" s="41">
        <v>2.39</v>
      </c>
      <c r="R3036" s="501"/>
      <c r="S3036" s="41"/>
      <c r="T3036" s="453"/>
      <c r="U3036" s="453"/>
      <c r="V3036" s="453"/>
      <c r="W3036" s="453"/>
      <c r="X3036" s="453"/>
    </row>
    <row r="3037" spans="1:26" s="21" customFormat="1" x14ac:dyDescent="0.2">
      <c r="A3037" s="411" t="s">
        <v>1351</v>
      </c>
      <c r="B3037" s="467">
        <v>0.5</v>
      </c>
      <c r="C3037" s="467">
        <v>0.42</v>
      </c>
      <c r="D3037" s="467">
        <v>0.45</v>
      </c>
      <c r="E3037" s="467">
        <v>0.45</v>
      </c>
      <c r="F3037" s="41">
        <v>0.36</v>
      </c>
      <c r="G3037" s="41">
        <v>0.36</v>
      </c>
      <c r="H3037" s="451">
        <v>0.76</v>
      </c>
      <c r="I3037" s="41">
        <v>0.38</v>
      </c>
      <c r="J3037" s="41">
        <v>0.46</v>
      </c>
      <c r="K3037" s="41">
        <v>0.26</v>
      </c>
      <c r="L3037" s="41">
        <v>0.38</v>
      </c>
      <c r="M3037" s="41">
        <v>0.26</v>
      </c>
      <c r="N3037" s="41">
        <v>0.67</v>
      </c>
      <c r="O3037" s="41">
        <v>0.34</v>
      </c>
      <c r="P3037" s="451">
        <v>0.99</v>
      </c>
      <c r="Q3037" s="41">
        <v>1.1399999999999999</v>
      </c>
      <c r="R3037" s="501"/>
      <c r="S3037" s="41"/>
      <c r="T3037" s="453"/>
      <c r="U3037" s="453"/>
      <c r="V3037" s="453"/>
      <c r="W3037" s="453"/>
      <c r="X3037" s="453"/>
    </row>
    <row r="3038" spans="1:26" s="21" customFormat="1" x14ac:dyDescent="0.2">
      <c r="A3038" s="411" t="s">
        <v>1337</v>
      </c>
      <c r="B3038" s="41">
        <v>0.42</v>
      </c>
      <c r="C3038" s="41">
        <v>0.47</v>
      </c>
      <c r="D3038" s="41">
        <v>0.35</v>
      </c>
      <c r="E3038" s="41">
        <v>0.35</v>
      </c>
      <c r="F3038" s="41">
        <v>0.36</v>
      </c>
      <c r="G3038" s="41">
        <v>0.36</v>
      </c>
      <c r="H3038" s="451">
        <v>0.77</v>
      </c>
      <c r="I3038" s="41">
        <v>0.36</v>
      </c>
      <c r="J3038" s="41">
        <v>0.44</v>
      </c>
      <c r="K3038" s="41">
        <v>0.3</v>
      </c>
      <c r="L3038" s="41">
        <v>0.38</v>
      </c>
      <c r="M3038" s="41">
        <v>0.3</v>
      </c>
      <c r="N3038" s="41">
        <v>0.67</v>
      </c>
      <c r="O3038" s="41">
        <v>0.34</v>
      </c>
      <c r="P3038" s="451">
        <v>0.96</v>
      </c>
      <c r="Q3038" s="41">
        <v>1.1200000000000001</v>
      </c>
      <c r="R3038" s="501"/>
      <c r="S3038" s="41"/>
      <c r="T3038" s="453"/>
      <c r="U3038" s="453"/>
      <c r="V3038" s="453"/>
      <c r="W3038" s="453"/>
      <c r="X3038" s="453"/>
    </row>
    <row r="3039" spans="1:26" s="21" customFormat="1" x14ac:dyDescent="0.2">
      <c r="A3039" s="411" t="s">
        <v>2158</v>
      </c>
      <c r="B3039" s="41">
        <v>0.42</v>
      </c>
      <c r="C3039" s="41">
        <v>0.47</v>
      </c>
      <c r="D3039" s="41">
        <v>0.35</v>
      </c>
      <c r="E3039" s="41">
        <v>0.35</v>
      </c>
      <c r="F3039" s="41">
        <v>0.36</v>
      </c>
      <c r="G3039" s="41">
        <v>0.36</v>
      </c>
      <c r="H3039" s="451">
        <v>0.77</v>
      </c>
      <c r="I3039" s="41">
        <v>0.36</v>
      </c>
      <c r="J3039" s="41">
        <v>0.44</v>
      </c>
      <c r="K3039" s="41">
        <v>0.3</v>
      </c>
      <c r="L3039" s="41">
        <v>0.38</v>
      </c>
      <c r="M3039" s="41">
        <v>0.3</v>
      </c>
      <c r="N3039" s="41">
        <v>0.67</v>
      </c>
      <c r="O3039" s="41">
        <v>0.34</v>
      </c>
      <c r="P3039" s="451">
        <v>0.96</v>
      </c>
      <c r="Q3039" s="41">
        <v>1.1200000000000001</v>
      </c>
      <c r="R3039" s="501"/>
      <c r="S3039" s="41"/>
      <c r="T3039" s="453"/>
      <c r="U3039" s="453"/>
      <c r="V3039" s="453"/>
      <c r="W3039" s="453"/>
      <c r="X3039" s="453"/>
    </row>
    <row r="3040" spans="1:26" s="21" customFormat="1" x14ac:dyDescent="0.2">
      <c r="A3040" s="411" t="s">
        <v>1346</v>
      </c>
      <c r="B3040" s="41">
        <v>0.72</v>
      </c>
      <c r="C3040" s="41">
        <v>0.46</v>
      </c>
      <c r="D3040" s="41">
        <v>0</v>
      </c>
      <c r="E3040" s="41">
        <v>0</v>
      </c>
      <c r="F3040" s="41">
        <v>0.43</v>
      </c>
      <c r="G3040" s="41">
        <v>0.43</v>
      </c>
      <c r="H3040" s="453">
        <v>0.72</v>
      </c>
      <c r="I3040" s="41">
        <v>0.31</v>
      </c>
      <c r="J3040" s="41">
        <v>0.42</v>
      </c>
      <c r="K3040" s="41">
        <v>0.3</v>
      </c>
      <c r="L3040" s="41">
        <v>0.38</v>
      </c>
      <c r="M3040" s="41">
        <v>0.3</v>
      </c>
      <c r="N3040" s="41">
        <v>0.67</v>
      </c>
      <c r="O3040" s="41">
        <v>0.34</v>
      </c>
      <c r="P3040" s="41">
        <v>1.42</v>
      </c>
      <c r="Q3040" s="41">
        <v>1.59</v>
      </c>
      <c r="R3040" s="501"/>
      <c r="S3040" s="41"/>
    </row>
    <row r="3041" spans="1:26" s="453" customFormat="1" x14ac:dyDescent="0.2">
      <c r="A3041" s="411" t="s">
        <v>2159</v>
      </c>
      <c r="B3041" s="41">
        <v>0.51</v>
      </c>
      <c r="C3041" s="41">
        <v>0.57999999999999996</v>
      </c>
      <c r="D3041" s="41">
        <v>0.39</v>
      </c>
      <c r="E3041" s="41">
        <v>0.39</v>
      </c>
      <c r="F3041" s="41">
        <v>0.32</v>
      </c>
      <c r="G3041" s="41">
        <v>0.32</v>
      </c>
      <c r="H3041" s="453">
        <v>0.6</v>
      </c>
      <c r="I3041" s="41">
        <v>0.37</v>
      </c>
      <c r="J3041" s="41">
        <v>0.34</v>
      </c>
      <c r="K3041" s="41">
        <v>0.46</v>
      </c>
      <c r="L3041" s="41">
        <v>0.46</v>
      </c>
      <c r="M3041" s="41">
        <v>0.46</v>
      </c>
      <c r="N3041" s="41">
        <v>0.67</v>
      </c>
      <c r="O3041" s="41">
        <v>0.34</v>
      </c>
      <c r="P3041" s="41">
        <v>1.79</v>
      </c>
      <c r="Q3041" s="41">
        <v>1.95</v>
      </c>
      <c r="R3041" s="501"/>
      <c r="S3041" s="41"/>
    </row>
    <row r="3042" spans="1:26" s="453" customFormat="1" x14ac:dyDescent="0.2">
      <c r="A3042" s="411" t="s">
        <v>2160</v>
      </c>
      <c r="B3042" s="41">
        <v>0.7</v>
      </c>
      <c r="C3042" s="41">
        <v>0.4</v>
      </c>
      <c r="D3042" s="41">
        <v>0.56999999999999995</v>
      </c>
      <c r="E3042" s="41">
        <v>0.56999999999999995</v>
      </c>
      <c r="F3042" s="41">
        <v>0.32</v>
      </c>
      <c r="G3042" s="41">
        <v>0.32</v>
      </c>
      <c r="H3042" s="453">
        <v>0.76</v>
      </c>
      <c r="I3042" s="41">
        <v>0.47</v>
      </c>
      <c r="J3042" s="41">
        <v>0.34</v>
      </c>
      <c r="K3042" s="41">
        <v>0.46</v>
      </c>
      <c r="L3042" s="41">
        <v>0.46</v>
      </c>
      <c r="M3042" s="41">
        <v>0.46</v>
      </c>
      <c r="N3042" s="42">
        <v>0.67</v>
      </c>
      <c r="O3042" s="42">
        <v>0.34</v>
      </c>
      <c r="P3042" s="41">
        <v>1.83</v>
      </c>
      <c r="Q3042" s="41">
        <v>2.11</v>
      </c>
      <c r="R3042" s="501"/>
      <c r="S3042" s="41"/>
    </row>
    <row r="3043" spans="1:26" s="535" customFormat="1" x14ac:dyDescent="0.2">
      <c r="A3043" s="518" t="s">
        <v>2220</v>
      </c>
      <c r="F3043" s="1624"/>
      <c r="G3043" s="1624"/>
      <c r="H3043" s="1624"/>
      <c r="I3043" s="1624"/>
      <c r="J3043" s="1624"/>
      <c r="K3043" s="1624"/>
      <c r="L3043" s="1624"/>
      <c r="M3043" s="1624"/>
      <c r="N3043" s="1624"/>
    </row>
    <row r="3044" spans="1:26" s="292" customFormat="1" x14ac:dyDescent="0.2">
      <c r="A3044" s="292" t="s">
        <v>2221</v>
      </c>
    </row>
    <row r="3046" spans="1:26" s="125" customFormat="1" x14ac:dyDescent="0.2">
      <c r="A3046" s="377" t="s">
        <v>2217</v>
      </c>
      <c r="D3046" s="1075"/>
      <c r="E3046" s="1075"/>
      <c r="F3046" s="1075"/>
      <c r="G3046" s="1075"/>
      <c r="H3046" s="1075"/>
      <c r="I3046" s="1075"/>
      <c r="J3046" s="1075"/>
    </row>
    <row r="3047" spans="1:26" s="773" customFormat="1" ht="16.25" customHeight="1" x14ac:dyDescent="0.2">
      <c r="A3047" s="753" t="s">
        <v>5285</v>
      </c>
      <c r="B3047" s="442" t="s">
        <v>2218</v>
      </c>
      <c r="C3047" s="442" t="s">
        <v>2218</v>
      </c>
      <c r="D3047" s="442" t="s">
        <v>2218</v>
      </c>
      <c r="E3047" s="442" t="s">
        <v>2218</v>
      </c>
      <c r="F3047" s="442" t="s">
        <v>2218</v>
      </c>
      <c r="G3047" s="442" t="s">
        <v>2218</v>
      </c>
      <c r="H3047" s="442" t="s">
        <v>2218</v>
      </c>
      <c r="I3047" s="442" t="s">
        <v>2218</v>
      </c>
      <c r="J3047" s="442" t="s">
        <v>2218</v>
      </c>
      <c r="K3047" s="442" t="s">
        <v>2218</v>
      </c>
      <c r="L3047" s="442" t="s">
        <v>2218</v>
      </c>
      <c r="M3047" s="442" t="s">
        <v>2218</v>
      </c>
      <c r="N3047" s="442" t="s">
        <v>2218</v>
      </c>
      <c r="O3047" s="442" t="s">
        <v>2218</v>
      </c>
      <c r="P3047" s="442" t="s">
        <v>2218</v>
      </c>
      <c r="Q3047" s="442" t="s">
        <v>2218</v>
      </c>
      <c r="R3047" s="442" t="s">
        <v>2218</v>
      </c>
      <c r="S3047" s="442"/>
      <c r="T3047" s="442"/>
      <c r="U3047" s="442"/>
      <c r="V3047" s="442"/>
      <c r="W3047" s="442"/>
      <c r="X3047" s="442"/>
    </row>
    <row r="3048" spans="1:26" s="291" customFormat="1" ht="16" x14ac:dyDescent="0.2">
      <c r="A3048" s="1632" t="s">
        <v>57</v>
      </c>
      <c r="B3048" s="1633" t="s">
        <v>5278</v>
      </c>
      <c r="C3048" s="1633" t="s">
        <v>5279</v>
      </c>
      <c r="D3048" s="1633" t="s">
        <v>5280</v>
      </c>
      <c r="E3048" s="1633" t="s">
        <v>5281</v>
      </c>
      <c r="F3048" s="419" t="s">
        <v>5282</v>
      </c>
      <c r="G3048" s="1633" t="s">
        <v>2161</v>
      </c>
      <c r="H3048" s="419" t="s">
        <v>5283</v>
      </c>
      <c r="I3048" s="1633" t="s">
        <v>5284</v>
      </c>
      <c r="J3048" s="1633" t="s">
        <v>904</v>
      </c>
      <c r="K3048" s="1633" t="s">
        <v>908</v>
      </c>
      <c r="L3048" s="1633" t="s">
        <v>912</v>
      </c>
      <c r="M3048" s="1633" t="s">
        <v>915</v>
      </c>
      <c r="N3048" s="1633" t="s">
        <v>918</v>
      </c>
      <c r="O3048" s="1633" t="s">
        <v>921</v>
      </c>
      <c r="P3048" s="1633" t="s">
        <v>923</v>
      </c>
      <c r="Q3048" s="1633" t="s">
        <v>927</v>
      </c>
      <c r="R3048" s="1633" t="s">
        <v>930</v>
      </c>
      <c r="S3048" s="1633" t="s">
        <v>2162</v>
      </c>
      <c r="T3048" s="453"/>
      <c r="U3048" s="453"/>
      <c r="V3048" s="453"/>
      <c r="W3048" s="453"/>
      <c r="X3048" s="453"/>
      <c r="Y3048" s="21"/>
      <c r="Z3048" s="21"/>
    </row>
    <row r="3049" spans="1:26" s="1093" customFormat="1" ht="16" x14ac:dyDescent="0.2">
      <c r="A3049" s="533" t="s">
        <v>2153</v>
      </c>
      <c r="B3049" s="31" t="s">
        <v>2219</v>
      </c>
      <c r="C3049" s="31" t="s">
        <v>2219</v>
      </c>
      <c r="D3049" s="31" t="s">
        <v>2219</v>
      </c>
      <c r="E3049" s="31" t="s">
        <v>2219</v>
      </c>
      <c r="F3049" s="31" t="s">
        <v>2219</v>
      </c>
      <c r="G3049" s="31" t="s">
        <v>2219</v>
      </c>
      <c r="H3049" s="31" t="s">
        <v>2219</v>
      </c>
      <c r="I3049" s="31" t="s">
        <v>2219</v>
      </c>
      <c r="J3049" s="31" t="s">
        <v>2219</v>
      </c>
      <c r="K3049" s="31" t="s">
        <v>2219</v>
      </c>
      <c r="L3049" s="31" t="s">
        <v>2219</v>
      </c>
      <c r="M3049" s="31" t="s">
        <v>2219</v>
      </c>
      <c r="N3049" s="31" t="s">
        <v>2219</v>
      </c>
      <c r="O3049" s="31" t="s">
        <v>2219</v>
      </c>
      <c r="P3049" s="31" t="s">
        <v>2219</v>
      </c>
      <c r="Q3049" s="31" t="s">
        <v>2219</v>
      </c>
      <c r="R3049" s="426" t="s">
        <v>2219</v>
      </c>
      <c r="S3049" s="426" t="s">
        <v>2219</v>
      </c>
      <c r="T3049" s="1092"/>
      <c r="U3049" s="1092"/>
      <c r="V3049" s="1092"/>
      <c r="W3049" s="1092"/>
      <c r="X3049" s="1092"/>
    </row>
    <row r="3050" spans="1:26" s="21" customFormat="1" x14ac:dyDescent="0.2">
      <c r="A3050" s="407" t="s">
        <v>2155</v>
      </c>
      <c r="B3050" s="467">
        <v>0.41</v>
      </c>
      <c r="C3050" s="470">
        <v>0.42</v>
      </c>
      <c r="D3050" s="470">
        <v>0.41</v>
      </c>
      <c r="E3050" s="470">
        <v>0.41</v>
      </c>
      <c r="F3050" s="41">
        <v>0.32</v>
      </c>
      <c r="G3050" s="41">
        <v>0.32</v>
      </c>
      <c r="H3050" s="453">
        <v>0.39</v>
      </c>
      <c r="I3050" s="44">
        <v>0.21</v>
      </c>
      <c r="J3050" s="41">
        <v>0.34</v>
      </c>
      <c r="K3050" s="41">
        <v>0.46</v>
      </c>
      <c r="L3050" s="41">
        <v>0.46</v>
      </c>
      <c r="M3050" s="41">
        <v>0.46</v>
      </c>
      <c r="N3050" s="44">
        <v>0.67</v>
      </c>
      <c r="O3050" s="44">
        <v>0.34</v>
      </c>
      <c r="P3050" s="44">
        <v>1.1599999999999999</v>
      </c>
      <c r="Q3050" s="44">
        <v>1.34</v>
      </c>
      <c r="R3050" s="501"/>
      <c r="S3050" s="41"/>
      <c r="T3050" s="453"/>
      <c r="U3050" s="453"/>
      <c r="V3050" s="453"/>
      <c r="W3050" s="453"/>
      <c r="X3050" s="453"/>
    </row>
    <row r="3051" spans="1:26" s="21" customFormat="1" x14ac:dyDescent="0.2">
      <c r="A3051" s="411" t="s">
        <v>2156</v>
      </c>
      <c r="B3051" s="467">
        <v>0.55000000000000004</v>
      </c>
      <c r="C3051" s="467">
        <v>0.36</v>
      </c>
      <c r="D3051" s="467">
        <v>0.44</v>
      </c>
      <c r="E3051" s="467">
        <v>0.44</v>
      </c>
      <c r="F3051" s="41">
        <v>0.32</v>
      </c>
      <c r="G3051" s="41">
        <v>0.32</v>
      </c>
      <c r="H3051" s="41">
        <v>0.63</v>
      </c>
      <c r="I3051" s="169">
        <v>0.32</v>
      </c>
      <c r="J3051" s="41">
        <v>0.34</v>
      </c>
      <c r="K3051" s="41">
        <v>0.46</v>
      </c>
      <c r="L3051" s="41">
        <v>0.46</v>
      </c>
      <c r="M3051" s="41">
        <v>0.46</v>
      </c>
      <c r="N3051" s="41">
        <v>0.67</v>
      </c>
      <c r="O3051" s="41">
        <v>0.34</v>
      </c>
      <c r="P3051" s="41">
        <v>1</v>
      </c>
      <c r="Q3051" s="41">
        <v>1.31</v>
      </c>
      <c r="R3051" s="501"/>
      <c r="S3051" s="41"/>
      <c r="T3051" s="453"/>
      <c r="U3051" s="453"/>
      <c r="V3051" s="453"/>
      <c r="W3051" s="453"/>
      <c r="X3051" s="453"/>
    </row>
    <row r="3052" spans="1:26" s="21" customFormat="1" x14ac:dyDescent="0.2">
      <c r="A3052" s="411" t="s">
        <v>1343</v>
      </c>
      <c r="B3052" s="467">
        <v>0.6</v>
      </c>
      <c r="C3052" s="467">
        <v>0.4</v>
      </c>
      <c r="D3052" s="467">
        <v>0</v>
      </c>
      <c r="E3052" s="467">
        <v>0</v>
      </c>
      <c r="F3052" s="41">
        <v>0.35</v>
      </c>
      <c r="G3052" s="41">
        <v>0.35</v>
      </c>
      <c r="H3052" s="41">
        <v>0.46</v>
      </c>
      <c r="I3052" s="453">
        <v>0.24</v>
      </c>
      <c r="J3052" s="41">
        <v>0.46</v>
      </c>
      <c r="K3052" s="41">
        <v>0.3</v>
      </c>
      <c r="L3052" s="41">
        <v>0.38</v>
      </c>
      <c r="M3052" s="41">
        <v>0.3</v>
      </c>
      <c r="N3052" s="41">
        <v>0.67</v>
      </c>
      <c r="O3052" s="41">
        <v>0.34</v>
      </c>
      <c r="P3052" s="41">
        <v>1.45</v>
      </c>
      <c r="Q3052" s="41">
        <v>1.59</v>
      </c>
      <c r="R3052" s="501"/>
      <c r="S3052" s="41"/>
      <c r="T3052" s="453"/>
      <c r="U3052" s="453"/>
      <c r="V3052" s="453"/>
      <c r="W3052" s="453"/>
      <c r="X3052" s="453"/>
    </row>
    <row r="3053" spans="1:26" s="21" customFormat="1" x14ac:dyDescent="0.2">
      <c r="A3053" s="411" t="s">
        <v>2157</v>
      </c>
      <c r="B3053" s="41">
        <v>0.6</v>
      </c>
      <c r="C3053" s="41">
        <v>0.36</v>
      </c>
      <c r="D3053" s="41">
        <v>0.41</v>
      </c>
      <c r="E3053" s="41">
        <v>0.41</v>
      </c>
      <c r="F3053" s="41">
        <v>0.32</v>
      </c>
      <c r="G3053" s="41">
        <v>0.32</v>
      </c>
      <c r="H3053" s="41">
        <v>0.69</v>
      </c>
      <c r="I3053" s="169">
        <v>0.32</v>
      </c>
      <c r="J3053" s="41">
        <v>0.34</v>
      </c>
      <c r="K3053" s="41">
        <v>0.46</v>
      </c>
      <c r="L3053" s="41">
        <v>0.46</v>
      </c>
      <c r="M3053" s="41">
        <v>0.46</v>
      </c>
      <c r="N3053" s="41">
        <v>0.67</v>
      </c>
      <c r="O3053" s="41">
        <v>0.34</v>
      </c>
      <c r="P3053" s="451">
        <v>1.1299999999999999</v>
      </c>
      <c r="Q3053" s="41">
        <v>1.21</v>
      </c>
      <c r="R3053" s="501"/>
      <c r="S3053" s="41"/>
      <c r="T3053" s="453"/>
      <c r="U3053" s="453"/>
      <c r="V3053" s="453"/>
      <c r="W3053" s="453"/>
      <c r="X3053" s="453"/>
    </row>
    <row r="3054" spans="1:26" s="21" customFormat="1" x14ac:dyDescent="0.2">
      <c r="A3054" s="411" t="s">
        <v>1351</v>
      </c>
      <c r="B3054" s="467">
        <v>0.5</v>
      </c>
      <c r="C3054" s="467">
        <v>0.42</v>
      </c>
      <c r="D3054" s="467">
        <v>0.45</v>
      </c>
      <c r="E3054" s="467">
        <v>0.45</v>
      </c>
      <c r="F3054" s="41">
        <v>0.36</v>
      </c>
      <c r="G3054" s="41">
        <v>0.36</v>
      </c>
      <c r="H3054" s="41">
        <v>0.76</v>
      </c>
      <c r="I3054" s="169">
        <v>0.38</v>
      </c>
      <c r="J3054" s="41">
        <v>0.46</v>
      </c>
      <c r="K3054" s="41">
        <v>0.26</v>
      </c>
      <c r="L3054" s="41">
        <v>0.38</v>
      </c>
      <c r="M3054" s="41">
        <v>0.26</v>
      </c>
      <c r="N3054" s="41">
        <v>0.67</v>
      </c>
      <c r="O3054" s="41">
        <v>0.34</v>
      </c>
      <c r="P3054" s="451">
        <v>0.99</v>
      </c>
      <c r="Q3054" s="41">
        <v>1.1399999999999999</v>
      </c>
      <c r="R3054" s="501"/>
      <c r="S3054" s="41"/>
      <c r="T3054" s="453"/>
      <c r="U3054" s="453"/>
      <c r="V3054" s="453"/>
      <c r="W3054" s="453"/>
      <c r="X3054" s="453"/>
    </row>
    <row r="3055" spans="1:26" s="21" customFormat="1" x14ac:dyDescent="0.2">
      <c r="A3055" s="411" t="s">
        <v>1337</v>
      </c>
      <c r="B3055" s="41">
        <v>0.42</v>
      </c>
      <c r="C3055" s="41">
        <v>0.47</v>
      </c>
      <c r="D3055" s="41">
        <v>0.35</v>
      </c>
      <c r="E3055" s="41">
        <v>0.35</v>
      </c>
      <c r="F3055" s="41">
        <v>0.36</v>
      </c>
      <c r="G3055" s="41">
        <v>0.36</v>
      </c>
      <c r="H3055" s="41">
        <v>0.77</v>
      </c>
      <c r="I3055" s="169">
        <v>0.36</v>
      </c>
      <c r="J3055" s="41">
        <v>0.44</v>
      </c>
      <c r="K3055" s="41">
        <v>0.3</v>
      </c>
      <c r="L3055" s="41">
        <v>0.38</v>
      </c>
      <c r="M3055" s="41">
        <v>0.3</v>
      </c>
      <c r="N3055" s="41">
        <v>0.67</v>
      </c>
      <c r="O3055" s="41">
        <v>0.34</v>
      </c>
      <c r="P3055" s="451">
        <v>0.96</v>
      </c>
      <c r="Q3055" s="41">
        <v>1.1200000000000001</v>
      </c>
      <c r="R3055" s="501"/>
      <c r="S3055" s="41"/>
      <c r="T3055" s="453"/>
      <c r="U3055" s="453"/>
      <c r="V3055" s="453"/>
      <c r="W3055" s="453"/>
      <c r="X3055" s="453"/>
    </row>
    <row r="3056" spans="1:26" s="21" customFormat="1" x14ac:dyDescent="0.2">
      <c r="A3056" s="411" t="s">
        <v>2158</v>
      </c>
      <c r="B3056" s="41">
        <v>0.42</v>
      </c>
      <c r="C3056" s="41">
        <v>0.47</v>
      </c>
      <c r="D3056" s="41">
        <v>0.35</v>
      </c>
      <c r="E3056" s="41">
        <v>0.35</v>
      </c>
      <c r="F3056" s="41">
        <v>0.36</v>
      </c>
      <c r="G3056" s="41">
        <v>0.36</v>
      </c>
      <c r="H3056" s="41">
        <v>0.77</v>
      </c>
      <c r="I3056" s="169">
        <v>0.36</v>
      </c>
      <c r="J3056" s="41">
        <v>0.44</v>
      </c>
      <c r="K3056" s="41">
        <v>0.3</v>
      </c>
      <c r="L3056" s="41">
        <v>0.38</v>
      </c>
      <c r="M3056" s="41">
        <v>0.3</v>
      </c>
      <c r="N3056" s="41">
        <v>0.67</v>
      </c>
      <c r="O3056" s="41">
        <v>0.34</v>
      </c>
      <c r="P3056" s="451">
        <v>0.96</v>
      </c>
      <c r="Q3056" s="41">
        <v>1.1200000000000001</v>
      </c>
      <c r="R3056" s="501"/>
      <c r="S3056" s="41"/>
      <c r="T3056" s="453"/>
      <c r="U3056" s="453"/>
      <c r="V3056" s="453"/>
      <c r="W3056" s="453"/>
      <c r="X3056" s="453"/>
    </row>
    <row r="3057" spans="1:24" s="21" customFormat="1" x14ac:dyDescent="0.2">
      <c r="A3057" s="411" t="s">
        <v>1346</v>
      </c>
      <c r="B3057" s="41">
        <v>0.72</v>
      </c>
      <c r="C3057" s="41">
        <v>0.46</v>
      </c>
      <c r="D3057" s="41">
        <v>0</v>
      </c>
      <c r="E3057" s="41">
        <v>0</v>
      </c>
      <c r="F3057" s="41">
        <v>0.43</v>
      </c>
      <c r="G3057" s="41">
        <v>0.43</v>
      </c>
      <c r="H3057" s="41">
        <v>0.72</v>
      </c>
      <c r="I3057" s="453">
        <v>0.31</v>
      </c>
      <c r="J3057" s="41">
        <v>0.42</v>
      </c>
      <c r="K3057" s="41">
        <v>0.3</v>
      </c>
      <c r="L3057" s="41">
        <v>0.38</v>
      </c>
      <c r="M3057" s="41">
        <v>0.3</v>
      </c>
      <c r="N3057" s="41">
        <v>0.67</v>
      </c>
      <c r="O3057" s="41">
        <v>0.34</v>
      </c>
      <c r="P3057" s="41">
        <v>1.42</v>
      </c>
      <c r="Q3057" s="41">
        <v>1.59</v>
      </c>
      <c r="R3057" s="501"/>
      <c r="S3057" s="41"/>
    </row>
    <row r="3058" spans="1:24" s="453" customFormat="1" x14ac:dyDescent="0.2">
      <c r="A3058" s="411" t="s">
        <v>2159</v>
      </c>
      <c r="B3058" s="41">
        <v>0.49</v>
      </c>
      <c r="C3058" s="41">
        <v>0.51</v>
      </c>
      <c r="D3058" s="41">
        <v>0.39</v>
      </c>
      <c r="E3058" s="41">
        <v>0.39</v>
      </c>
      <c r="F3058" s="41">
        <v>0.32</v>
      </c>
      <c r="G3058" s="41">
        <v>0.32</v>
      </c>
      <c r="H3058" s="41">
        <v>0.75</v>
      </c>
      <c r="I3058" s="169">
        <v>0.41</v>
      </c>
      <c r="J3058" s="41">
        <v>0.34</v>
      </c>
      <c r="K3058" s="41">
        <v>0.46</v>
      </c>
      <c r="L3058" s="41">
        <v>0.46</v>
      </c>
      <c r="M3058" s="41">
        <v>0.46</v>
      </c>
      <c r="N3058" s="41">
        <v>0.67</v>
      </c>
      <c r="O3058" s="41">
        <v>0.34</v>
      </c>
      <c r="P3058" s="41">
        <v>1.27</v>
      </c>
      <c r="Q3058" s="41">
        <v>1.42</v>
      </c>
      <c r="R3058" s="501"/>
      <c r="S3058" s="41"/>
    </row>
    <row r="3059" spans="1:24" s="453" customFormat="1" x14ac:dyDescent="0.2">
      <c r="A3059" s="411" t="s">
        <v>2160</v>
      </c>
      <c r="B3059" s="41">
        <v>0.51</v>
      </c>
      <c r="C3059" s="41">
        <v>0.63</v>
      </c>
      <c r="D3059" s="41">
        <v>0.56999999999999995</v>
      </c>
      <c r="E3059" s="41">
        <v>0.56999999999999995</v>
      </c>
      <c r="F3059" s="41">
        <v>0.32</v>
      </c>
      <c r="G3059" s="41">
        <v>0.32</v>
      </c>
      <c r="H3059" s="453">
        <v>0.74</v>
      </c>
      <c r="I3059" s="41">
        <v>0.37</v>
      </c>
      <c r="J3059" s="41">
        <v>0.34</v>
      </c>
      <c r="K3059" s="41">
        <v>0.46</v>
      </c>
      <c r="L3059" s="41">
        <v>0.46</v>
      </c>
      <c r="M3059" s="41">
        <v>0.46</v>
      </c>
      <c r="N3059" s="42">
        <v>0.67</v>
      </c>
      <c r="O3059" s="42">
        <v>0.34</v>
      </c>
      <c r="P3059" s="41">
        <v>1.48</v>
      </c>
      <c r="Q3059" s="41">
        <v>1.47</v>
      </c>
      <c r="R3059" s="501"/>
      <c r="S3059" s="41"/>
    </row>
    <row r="3060" spans="1:24" s="535" customFormat="1" x14ac:dyDescent="0.2">
      <c r="A3060" s="518" t="s">
        <v>2220</v>
      </c>
      <c r="F3060" s="1624"/>
      <c r="G3060" s="1624"/>
      <c r="H3060" s="1624"/>
      <c r="I3060" s="1624"/>
      <c r="J3060" s="1624"/>
      <c r="K3060" s="1624"/>
      <c r="L3060" s="1624"/>
      <c r="M3060" s="1624"/>
      <c r="N3060" s="1624"/>
    </row>
    <row r="3061" spans="1:24" s="292" customFormat="1" x14ac:dyDescent="0.2">
      <c r="A3061" s="292" t="s">
        <v>2221</v>
      </c>
    </row>
    <row r="3063" spans="1:24" s="125" customFormat="1" x14ac:dyDescent="0.2">
      <c r="A3063" s="377" t="s">
        <v>2222</v>
      </c>
      <c r="D3063" s="1075"/>
      <c r="E3063" s="1075"/>
      <c r="F3063" s="1075"/>
      <c r="G3063" s="1075"/>
      <c r="H3063" s="1075"/>
      <c r="I3063" s="1075"/>
      <c r="J3063" s="1075"/>
    </row>
    <row r="3064" spans="1:24" s="442" customFormat="1" ht="16.25" customHeight="1" x14ac:dyDescent="0.15">
      <c r="A3064" s="753" t="s">
        <v>2223</v>
      </c>
      <c r="B3064" s="442" t="s">
        <v>2224</v>
      </c>
      <c r="C3064" s="442" t="s">
        <v>2224</v>
      </c>
      <c r="D3064" s="442" t="s">
        <v>2224</v>
      </c>
      <c r="E3064" s="442" t="s">
        <v>2224</v>
      </c>
      <c r="F3064" s="442" t="s">
        <v>2225</v>
      </c>
      <c r="G3064" s="442" t="s">
        <v>2224</v>
      </c>
      <c r="H3064" s="442" t="s">
        <v>2224</v>
      </c>
      <c r="I3064" s="442" t="s">
        <v>2224</v>
      </c>
      <c r="J3064" s="442" t="s">
        <v>2224</v>
      </c>
      <c r="K3064" s="442" t="s">
        <v>2224</v>
      </c>
      <c r="L3064" s="442" t="s">
        <v>2224</v>
      </c>
      <c r="M3064" s="442" t="s">
        <v>2224</v>
      </c>
      <c r="N3064" s="442" t="s">
        <v>2224</v>
      </c>
      <c r="O3064" s="442" t="s">
        <v>2224</v>
      </c>
    </row>
    <row r="3065" spans="1:24" s="291" customFormat="1" ht="16" x14ac:dyDescent="0.2">
      <c r="A3065" s="1641" t="s">
        <v>57</v>
      </c>
      <c r="B3065" s="1642" t="s">
        <v>1664</v>
      </c>
      <c r="C3065" s="1642" t="s">
        <v>1665</v>
      </c>
      <c r="D3065" s="1642" t="s">
        <v>1666</v>
      </c>
      <c r="E3065" s="1642" t="s">
        <v>1667</v>
      </c>
      <c r="F3065" s="1642" t="s">
        <v>2174</v>
      </c>
      <c r="G3065" s="1642" t="s">
        <v>1668</v>
      </c>
      <c r="H3065" s="1642" t="s">
        <v>1669</v>
      </c>
      <c r="I3065" s="1642" t="s">
        <v>1670</v>
      </c>
      <c r="J3065" s="1642" t="s">
        <v>1671</v>
      </c>
      <c r="K3065" s="1642" t="s">
        <v>1672</v>
      </c>
      <c r="L3065" s="1642" t="s">
        <v>1673</v>
      </c>
      <c r="M3065" s="291" t="s">
        <v>1674</v>
      </c>
      <c r="N3065" s="2152" t="s">
        <v>1675</v>
      </c>
      <c r="O3065" s="2152" t="s">
        <v>1676</v>
      </c>
      <c r="P3065" s="2153" t="s">
        <v>2175</v>
      </c>
      <c r="Q3065" s="453"/>
      <c r="R3065" s="453"/>
      <c r="S3065" s="453"/>
      <c r="T3065" s="453"/>
      <c r="U3065" s="453"/>
      <c r="V3065" s="453"/>
      <c r="W3065" s="21"/>
      <c r="X3065" s="21"/>
    </row>
    <row r="3066" spans="1:24" s="21" customFormat="1" ht="16" x14ac:dyDescent="0.2">
      <c r="A3066" s="523" t="s">
        <v>2196</v>
      </c>
      <c r="B3066" s="1636" t="s">
        <v>2226</v>
      </c>
      <c r="C3066" s="1636" t="s">
        <v>2226</v>
      </c>
      <c r="D3066" s="1636" t="s">
        <v>2226</v>
      </c>
      <c r="E3066" s="1636" t="s">
        <v>2226</v>
      </c>
      <c r="F3066" s="1636" t="s">
        <v>2226</v>
      </c>
      <c r="G3066" s="1636" t="s">
        <v>2226</v>
      </c>
      <c r="H3066" s="1636" t="s">
        <v>2226</v>
      </c>
      <c r="I3066" s="1636" t="s">
        <v>2226</v>
      </c>
      <c r="J3066" s="1636" t="s">
        <v>2226</v>
      </c>
      <c r="K3066" s="1636" t="s">
        <v>2226</v>
      </c>
      <c r="L3066" s="1636" t="s">
        <v>2226</v>
      </c>
      <c r="M3066" s="1631" t="s">
        <v>2226</v>
      </c>
      <c r="N3066" s="1631" t="s">
        <v>2226</v>
      </c>
      <c r="O3066" s="732" t="s">
        <v>2226</v>
      </c>
      <c r="P3066" s="732"/>
    </row>
    <row r="3067" spans="1:24" s="21" customFormat="1" x14ac:dyDescent="0.2">
      <c r="A3067" s="410" t="s">
        <v>1484</v>
      </c>
      <c r="B3067" s="470">
        <v>0</v>
      </c>
      <c r="C3067" s="495">
        <f>AVERAGE(0.005,0,0.005)</f>
        <v>3.3333333333333335E-3</v>
      </c>
      <c r="D3067" s="470">
        <f>AVERAGE(0.01,0.01,0.005,0.005)</f>
        <v>7.5000000000000006E-3</v>
      </c>
      <c r="E3067" s="1640">
        <v>0.02</v>
      </c>
      <c r="F3067" s="470">
        <v>4.0000000000000001E-3</v>
      </c>
      <c r="G3067" s="474">
        <v>0</v>
      </c>
      <c r="H3067" s="470">
        <v>5.9999999999999995E-4</v>
      </c>
      <c r="I3067" s="470"/>
      <c r="J3067" s="470">
        <v>2E-3</v>
      </c>
      <c r="K3067" s="470">
        <v>2E-3</v>
      </c>
      <c r="L3067" s="470">
        <v>1E-3</v>
      </c>
      <c r="M3067" s="451">
        <f>AVERAGE(0.01,0.07)</f>
        <v>0.04</v>
      </c>
      <c r="N3067" s="467">
        <f>AVERAGE(0.006,0.01,0.005,0.005)</f>
        <v>6.5000000000000006E-3</v>
      </c>
      <c r="O3067" s="467">
        <f>AVERAGE(0.01,0.005)</f>
        <v>7.4999999999999997E-3</v>
      </c>
      <c r="P3067" s="467"/>
    </row>
    <row r="3068" spans="1:24" s="21" customFormat="1" x14ac:dyDescent="0.2">
      <c r="A3068" s="411" t="s">
        <v>1483</v>
      </c>
      <c r="B3068" s="467">
        <v>0</v>
      </c>
      <c r="C3068" s="475">
        <f t="shared" ref="C3068:C3076" si="188">AVERAGE(0.005,0,0.005)</f>
        <v>3.3333333333333335E-3</v>
      </c>
      <c r="D3068" s="467">
        <f t="shared" ref="D3068:D3076" si="189">AVERAGE(0.01,0.01,0.005,0.005)</f>
        <v>7.5000000000000006E-3</v>
      </c>
      <c r="E3068" s="468">
        <v>0.02</v>
      </c>
      <c r="F3068" s="467">
        <v>2E-3</v>
      </c>
      <c r="G3068" s="469">
        <v>0</v>
      </c>
      <c r="H3068" s="467">
        <v>5.9999999999999995E-4</v>
      </c>
      <c r="I3068" s="467"/>
      <c r="J3068" s="467">
        <v>2E-3</v>
      </c>
      <c r="K3068" s="467">
        <v>2E-3</v>
      </c>
      <c r="L3068" s="467">
        <v>1E-3</v>
      </c>
      <c r="M3068" s="451">
        <f t="shared" ref="M3068:M3076" si="190">AVERAGE(0.01,0.07)</f>
        <v>0.04</v>
      </c>
      <c r="N3068" s="467">
        <f t="shared" ref="N3068:N3076" si="191">AVERAGE(0.006,0.01,0.005,0.005)</f>
        <v>6.5000000000000006E-3</v>
      </c>
      <c r="O3068" s="467">
        <f t="shared" ref="O3068:O3076" si="192">AVERAGE(0.01,0.005)</f>
        <v>7.4999999999999997E-3</v>
      </c>
      <c r="P3068" s="467"/>
    </row>
    <row r="3069" spans="1:24" s="21" customFormat="1" x14ac:dyDescent="0.2">
      <c r="A3069" s="411" t="s">
        <v>1491</v>
      </c>
      <c r="B3069" s="467">
        <v>0</v>
      </c>
      <c r="C3069" s="475">
        <f t="shared" si="188"/>
        <v>3.3333333333333335E-3</v>
      </c>
      <c r="D3069" s="467">
        <f t="shared" si="189"/>
        <v>7.5000000000000006E-3</v>
      </c>
      <c r="E3069" s="468">
        <v>0.02</v>
      </c>
      <c r="F3069" s="467">
        <v>4.0000000000000001E-3</v>
      </c>
      <c r="G3069" s="469">
        <v>0</v>
      </c>
      <c r="H3069" s="467">
        <v>5.9999999999999995E-4</v>
      </c>
      <c r="I3069" s="467"/>
      <c r="J3069" s="467">
        <v>2E-3</v>
      </c>
      <c r="K3069" s="467">
        <v>2E-3</v>
      </c>
      <c r="L3069" s="467">
        <v>1E-3</v>
      </c>
      <c r="M3069" s="451">
        <f t="shared" si="190"/>
        <v>0.04</v>
      </c>
      <c r="N3069" s="467">
        <f t="shared" si="191"/>
        <v>6.5000000000000006E-3</v>
      </c>
      <c r="O3069" s="467">
        <f t="shared" si="192"/>
        <v>7.4999999999999997E-3</v>
      </c>
      <c r="P3069" s="467"/>
    </row>
    <row r="3070" spans="1:24" s="21" customFormat="1" x14ac:dyDescent="0.2">
      <c r="A3070" s="411" t="s">
        <v>1490</v>
      </c>
      <c r="B3070" s="467">
        <v>0</v>
      </c>
      <c r="C3070" s="475">
        <f t="shared" si="188"/>
        <v>3.3333333333333335E-3</v>
      </c>
      <c r="D3070" s="467">
        <f t="shared" si="189"/>
        <v>7.5000000000000006E-3</v>
      </c>
      <c r="E3070" s="468">
        <v>0.02</v>
      </c>
      <c r="F3070" s="467">
        <v>2E-3</v>
      </c>
      <c r="G3070" s="469">
        <v>0</v>
      </c>
      <c r="H3070" s="467">
        <v>5.9999999999999995E-4</v>
      </c>
      <c r="I3070" s="467"/>
      <c r="J3070" s="467">
        <v>2E-3</v>
      </c>
      <c r="K3070" s="467">
        <v>2E-3</v>
      </c>
      <c r="L3070" s="467">
        <v>1E-3</v>
      </c>
      <c r="M3070" s="451">
        <f t="shared" si="190"/>
        <v>0.04</v>
      </c>
      <c r="N3070" s="467">
        <f t="shared" si="191"/>
        <v>6.5000000000000006E-3</v>
      </c>
      <c r="O3070" s="467">
        <f t="shared" si="192"/>
        <v>7.4999999999999997E-3</v>
      </c>
      <c r="P3070" s="467"/>
    </row>
    <row r="3071" spans="1:24" s="21" customFormat="1" x14ac:dyDescent="0.2">
      <c r="A3071" s="411" t="s">
        <v>1486</v>
      </c>
      <c r="B3071" s="467">
        <v>0</v>
      </c>
      <c r="C3071" s="475">
        <f t="shared" si="188"/>
        <v>3.3333333333333335E-3</v>
      </c>
      <c r="D3071" s="467">
        <f t="shared" si="189"/>
        <v>7.5000000000000006E-3</v>
      </c>
      <c r="E3071" s="468">
        <v>0.02</v>
      </c>
      <c r="F3071" s="467">
        <v>4.0000000000000001E-3</v>
      </c>
      <c r="G3071" s="469">
        <v>0</v>
      </c>
      <c r="H3071" s="467">
        <v>5.9999999999999995E-4</v>
      </c>
      <c r="I3071" s="467"/>
      <c r="J3071" s="467">
        <v>2E-3</v>
      </c>
      <c r="K3071" s="467">
        <v>2E-3</v>
      </c>
      <c r="L3071" s="467">
        <v>1E-3</v>
      </c>
      <c r="M3071" s="451">
        <f t="shared" si="190"/>
        <v>0.04</v>
      </c>
      <c r="N3071" s="467">
        <f t="shared" si="191"/>
        <v>6.5000000000000006E-3</v>
      </c>
      <c r="O3071" s="467">
        <f t="shared" si="192"/>
        <v>7.4999999999999997E-3</v>
      </c>
      <c r="P3071" s="467"/>
    </row>
    <row r="3072" spans="1:24" s="21" customFormat="1" x14ac:dyDescent="0.2">
      <c r="A3072" s="411" t="s">
        <v>1485</v>
      </c>
      <c r="B3072" s="467">
        <v>0</v>
      </c>
      <c r="C3072" s="475">
        <f t="shared" si="188"/>
        <v>3.3333333333333335E-3</v>
      </c>
      <c r="D3072" s="467">
        <f t="shared" si="189"/>
        <v>7.5000000000000006E-3</v>
      </c>
      <c r="E3072" s="468">
        <v>0.02</v>
      </c>
      <c r="F3072" s="467">
        <v>2E-3</v>
      </c>
      <c r="G3072" s="469">
        <v>0</v>
      </c>
      <c r="H3072" s="467">
        <v>5.9999999999999995E-4</v>
      </c>
      <c r="I3072" s="467"/>
      <c r="J3072" s="467">
        <v>2E-3</v>
      </c>
      <c r="K3072" s="467">
        <v>2E-3</v>
      </c>
      <c r="L3072" s="467">
        <v>1E-3</v>
      </c>
      <c r="M3072" s="451">
        <f t="shared" si="190"/>
        <v>0.04</v>
      </c>
      <c r="N3072" s="467">
        <f t="shared" si="191"/>
        <v>6.5000000000000006E-3</v>
      </c>
      <c r="O3072" s="467">
        <f t="shared" si="192"/>
        <v>7.4999999999999997E-3</v>
      </c>
      <c r="P3072" s="467"/>
    </row>
    <row r="3073" spans="1:24" s="21" customFormat="1" x14ac:dyDescent="0.2">
      <c r="A3073" s="411" t="s">
        <v>1359</v>
      </c>
      <c r="B3073" s="467">
        <v>0</v>
      </c>
      <c r="C3073" s="475">
        <f t="shared" si="188"/>
        <v>3.3333333333333335E-3</v>
      </c>
      <c r="D3073" s="467">
        <f t="shared" si="189"/>
        <v>7.5000000000000006E-3</v>
      </c>
      <c r="E3073" s="468">
        <v>0.02</v>
      </c>
      <c r="F3073" s="467">
        <v>2E-3</v>
      </c>
      <c r="G3073" s="469">
        <v>0</v>
      </c>
      <c r="H3073" s="467">
        <v>5.9999999999999995E-4</v>
      </c>
      <c r="I3073" s="467"/>
      <c r="J3073" s="467">
        <v>2E-3</v>
      </c>
      <c r="K3073" s="467">
        <v>2E-3</v>
      </c>
      <c r="L3073" s="467">
        <v>1E-3</v>
      </c>
      <c r="M3073" s="451">
        <f t="shared" si="190"/>
        <v>0.04</v>
      </c>
      <c r="N3073" s="467">
        <f t="shared" si="191"/>
        <v>6.5000000000000006E-3</v>
      </c>
      <c r="O3073" s="467">
        <f t="shared" si="192"/>
        <v>7.4999999999999997E-3</v>
      </c>
      <c r="P3073" s="467"/>
    </row>
    <row r="3074" spans="1:24" s="21" customFormat="1" x14ac:dyDescent="0.2">
      <c r="A3074" s="411" t="s">
        <v>1489</v>
      </c>
      <c r="B3074" s="467">
        <v>0</v>
      </c>
      <c r="C3074" s="475">
        <f t="shared" si="188"/>
        <v>3.3333333333333335E-3</v>
      </c>
      <c r="D3074" s="467">
        <f t="shared" si="189"/>
        <v>7.5000000000000006E-3</v>
      </c>
      <c r="E3074" s="468">
        <v>0.02</v>
      </c>
      <c r="F3074" s="467">
        <v>6.0000000000000001E-3</v>
      </c>
      <c r="G3074" s="469">
        <v>0</v>
      </c>
      <c r="H3074" s="467">
        <v>5.9999999999999995E-4</v>
      </c>
      <c r="I3074" s="467"/>
      <c r="J3074" s="467">
        <v>2E-3</v>
      </c>
      <c r="K3074" s="467">
        <v>2E-3</v>
      </c>
      <c r="L3074" s="467">
        <v>1E-3</v>
      </c>
      <c r="M3074" s="451">
        <f t="shared" si="190"/>
        <v>0.04</v>
      </c>
      <c r="N3074" s="467">
        <f t="shared" si="191"/>
        <v>6.5000000000000006E-3</v>
      </c>
      <c r="O3074" s="467">
        <f t="shared" si="192"/>
        <v>7.4999999999999997E-3</v>
      </c>
      <c r="P3074" s="467"/>
    </row>
    <row r="3075" spans="1:24" s="21" customFormat="1" x14ac:dyDescent="0.2">
      <c r="A3075" s="411" t="s">
        <v>1488</v>
      </c>
      <c r="B3075" s="467">
        <v>0</v>
      </c>
      <c r="C3075" s="475">
        <f t="shared" si="188"/>
        <v>3.3333333333333335E-3</v>
      </c>
      <c r="D3075" s="467">
        <f t="shared" si="189"/>
        <v>7.5000000000000006E-3</v>
      </c>
      <c r="E3075" s="468">
        <v>0.02</v>
      </c>
      <c r="F3075" s="467">
        <v>4.0000000000000001E-3</v>
      </c>
      <c r="G3075" s="469">
        <v>0</v>
      </c>
      <c r="H3075" s="467">
        <v>5.9999999999999995E-4</v>
      </c>
      <c r="I3075" s="467"/>
      <c r="J3075" s="467">
        <v>2E-3</v>
      </c>
      <c r="K3075" s="467">
        <v>2E-3</v>
      </c>
      <c r="L3075" s="467">
        <v>1E-3</v>
      </c>
      <c r="M3075" s="451">
        <f t="shared" si="190"/>
        <v>0.04</v>
      </c>
      <c r="N3075" s="467">
        <f t="shared" si="191"/>
        <v>6.5000000000000006E-3</v>
      </c>
      <c r="O3075" s="467">
        <f t="shared" si="192"/>
        <v>7.4999999999999997E-3</v>
      </c>
      <c r="P3075" s="467"/>
    </row>
    <row r="3076" spans="1:24" s="21" customFormat="1" x14ac:dyDescent="0.2">
      <c r="A3076" s="411" t="s">
        <v>1487</v>
      </c>
      <c r="B3076" s="654">
        <v>0</v>
      </c>
      <c r="C3076" s="2281">
        <f t="shared" si="188"/>
        <v>3.3333333333333335E-3</v>
      </c>
      <c r="D3076" s="654">
        <f t="shared" si="189"/>
        <v>7.5000000000000006E-3</v>
      </c>
      <c r="E3076" s="1646">
        <v>0.02</v>
      </c>
      <c r="F3076" s="467">
        <v>2E-3</v>
      </c>
      <c r="G3076" s="653">
        <v>0</v>
      </c>
      <c r="H3076" s="654">
        <v>5.9999999999999995E-4</v>
      </c>
      <c r="I3076" s="654"/>
      <c r="J3076" s="654">
        <v>2E-3</v>
      </c>
      <c r="K3076" s="654">
        <v>2E-3</v>
      </c>
      <c r="L3076" s="654">
        <v>1E-3</v>
      </c>
      <c r="M3076" s="451">
        <f t="shared" si="190"/>
        <v>0.04</v>
      </c>
      <c r="N3076" s="467">
        <f t="shared" si="191"/>
        <v>6.5000000000000006E-3</v>
      </c>
      <c r="O3076" s="467">
        <f t="shared" si="192"/>
        <v>7.4999999999999997E-3</v>
      </c>
      <c r="P3076" s="467"/>
    </row>
    <row r="3077" spans="1:24" s="535" customFormat="1" x14ac:dyDescent="0.2">
      <c r="A3077" s="518" t="s">
        <v>2198</v>
      </c>
      <c r="F3077" s="421"/>
      <c r="G3077" s="1624"/>
      <c r="H3077" s="1624"/>
      <c r="I3077" s="1624"/>
      <c r="J3077" s="1624"/>
      <c r="K3077" s="1624"/>
      <c r="L3077" s="1624"/>
      <c r="M3077" s="1624"/>
      <c r="N3077" s="1624"/>
    </row>
    <row r="3078" spans="1:24" s="292" customFormat="1" x14ac:dyDescent="0.2"/>
    <row r="3080" spans="1:24" s="125" customFormat="1" x14ac:dyDescent="0.2">
      <c r="A3080" s="377" t="s">
        <v>2222</v>
      </c>
      <c r="D3080" s="1075"/>
      <c r="E3080" s="1075"/>
      <c r="F3080" s="1075"/>
      <c r="G3080" s="1075"/>
      <c r="H3080" s="1075"/>
      <c r="I3080" s="1075"/>
      <c r="J3080" s="1075"/>
    </row>
    <row r="3081" spans="1:24" s="442" customFormat="1" ht="16.25" customHeight="1" x14ac:dyDescent="0.15">
      <c r="A3081" s="753" t="s">
        <v>2227</v>
      </c>
      <c r="B3081" s="442" t="s">
        <v>2224</v>
      </c>
      <c r="C3081" s="442" t="s">
        <v>2224</v>
      </c>
      <c r="D3081" s="442" t="s">
        <v>2224</v>
      </c>
      <c r="E3081" s="442" t="s">
        <v>2224</v>
      </c>
      <c r="F3081" s="442" t="s">
        <v>2225</v>
      </c>
      <c r="G3081" s="442" t="s">
        <v>2224</v>
      </c>
      <c r="H3081" s="442" t="s">
        <v>2224</v>
      </c>
      <c r="I3081" s="442" t="s">
        <v>2224</v>
      </c>
      <c r="J3081" s="442" t="s">
        <v>2224</v>
      </c>
      <c r="K3081" s="442" t="s">
        <v>2224</v>
      </c>
      <c r="L3081" s="442" t="s">
        <v>2224</v>
      </c>
      <c r="M3081" s="442" t="s">
        <v>2224</v>
      </c>
      <c r="N3081" s="442" t="s">
        <v>2224</v>
      </c>
      <c r="O3081" s="442" t="s">
        <v>2224</v>
      </c>
    </row>
    <row r="3082" spans="1:24" s="291" customFormat="1" ht="16" x14ac:dyDescent="0.2">
      <c r="A3082" s="1641" t="s">
        <v>57</v>
      </c>
      <c r="B3082" s="1642" t="s">
        <v>1664</v>
      </c>
      <c r="C3082" s="1642" t="s">
        <v>1665</v>
      </c>
      <c r="D3082" s="1642" t="s">
        <v>1666</v>
      </c>
      <c r="E3082" s="1642" t="s">
        <v>1667</v>
      </c>
      <c r="F3082" s="1642" t="s">
        <v>2174</v>
      </c>
      <c r="G3082" s="1642" t="s">
        <v>1668</v>
      </c>
      <c r="H3082" s="1642" t="s">
        <v>1669</v>
      </c>
      <c r="I3082" s="1642" t="s">
        <v>1670</v>
      </c>
      <c r="J3082" s="1642" t="s">
        <v>1671</v>
      </c>
      <c r="K3082" s="1642" t="s">
        <v>1672</v>
      </c>
      <c r="L3082" s="1642" t="s">
        <v>1673</v>
      </c>
      <c r="M3082" s="291" t="s">
        <v>1674</v>
      </c>
      <c r="N3082" s="2152" t="s">
        <v>1675</v>
      </c>
      <c r="O3082" s="2152" t="s">
        <v>1676</v>
      </c>
      <c r="P3082" s="2153" t="s">
        <v>2175</v>
      </c>
      <c r="Q3082" s="453"/>
      <c r="R3082" s="453"/>
      <c r="S3082" s="453"/>
      <c r="T3082" s="453"/>
      <c r="U3082" s="453"/>
      <c r="V3082" s="453"/>
      <c r="W3082" s="21"/>
      <c r="X3082" s="21"/>
    </row>
    <row r="3083" spans="1:24" s="21" customFormat="1" ht="16" x14ac:dyDescent="0.2">
      <c r="A3083" s="523" t="s">
        <v>2196</v>
      </c>
      <c r="B3083" s="1636" t="s">
        <v>2226</v>
      </c>
      <c r="C3083" s="1636" t="s">
        <v>2226</v>
      </c>
      <c r="D3083" s="1636" t="s">
        <v>2226</v>
      </c>
      <c r="E3083" s="1636" t="s">
        <v>2226</v>
      </c>
      <c r="F3083" s="1636" t="s">
        <v>2226</v>
      </c>
      <c r="G3083" s="1636" t="s">
        <v>2226</v>
      </c>
      <c r="H3083" s="1636" t="s">
        <v>2226</v>
      </c>
      <c r="I3083" s="1636" t="s">
        <v>2226</v>
      </c>
      <c r="J3083" s="1636" t="s">
        <v>2226</v>
      </c>
      <c r="K3083" s="1636" t="s">
        <v>2226</v>
      </c>
      <c r="L3083" s="1636" t="s">
        <v>2226</v>
      </c>
      <c r="M3083" s="1631" t="s">
        <v>2226</v>
      </c>
      <c r="N3083" s="732" t="s">
        <v>2226</v>
      </c>
      <c r="O3083" s="732" t="s">
        <v>2226</v>
      </c>
      <c r="P3083" s="732"/>
    </row>
    <row r="3084" spans="1:24" s="21" customFormat="1" x14ac:dyDescent="0.2">
      <c r="A3084" s="410" t="s">
        <v>1484</v>
      </c>
      <c r="B3084" s="470">
        <v>0</v>
      </c>
      <c r="C3084" s="495">
        <f>AVERAGE(0.005,0,0.005)</f>
        <v>3.3333333333333335E-3</v>
      </c>
      <c r="D3084" s="470">
        <v>0.01</v>
      </c>
      <c r="E3084" s="470">
        <v>0.02</v>
      </c>
      <c r="F3084" s="470">
        <v>3.0000000000000001E-3</v>
      </c>
      <c r="G3084" s="470">
        <v>0</v>
      </c>
      <c r="H3084" s="470">
        <v>5.9999999999999995E-4</v>
      </c>
      <c r="I3084" s="470"/>
      <c r="J3084" s="470">
        <v>2E-3</v>
      </c>
      <c r="K3084" s="470">
        <v>2E-3</v>
      </c>
      <c r="L3084" s="470">
        <v>1E-3</v>
      </c>
      <c r="M3084" s="451">
        <f>AVERAGE(0.01,0.07)</f>
        <v>0.04</v>
      </c>
      <c r="N3084" s="467">
        <f>AVERAGE(0.006,0.01,0.005,0.005)</f>
        <v>6.5000000000000006E-3</v>
      </c>
      <c r="O3084" s="467">
        <f>AVERAGE(0.01,0.05)</f>
        <v>3.0000000000000002E-2</v>
      </c>
      <c r="P3084" s="467"/>
    </row>
    <row r="3085" spans="1:24" s="21" customFormat="1" x14ac:dyDescent="0.2">
      <c r="A3085" s="411" t="s">
        <v>1483</v>
      </c>
      <c r="B3085" s="467">
        <v>0</v>
      </c>
      <c r="C3085" s="475">
        <f t="shared" ref="C3085:C3093" si="193">AVERAGE(0.005,0,0.005)</f>
        <v>3.3333333333333335E-3</v>
      </c>
      <c r="D3085" s="467">
        <v>0.01</v>
      </c>
      <c r="E3085" s="467">
        <v>0.02</v>
      </c>
      <c r="F3085" s="467">
        <v>3.0000000000000001E-3</v>
      </c>
      <c r="G3085" s="467">
        <v>0</v>
      </c>
      <c r="H3085" s="467">
        <v>5.9999999999999995E-4</v>
      </c>
      <c r="I3085" s="467"/>
      <c r="J3085" s="467">
        <v>2E-3</v>
      </c>
      <c r="K3085" s="467">
        <v>2E-3</v>
      </c>
      <c r="L3085" s="467">
        <v>1E-3</v>
      </c>
      <c r="M3085" s="451">
        <f t="shared" ref="M3085:M3093" si="194">AVERAGE(0.01,0.07)</f>
        <v>0.04</v>
      </c>
      <c r="N3085" s="467">
        <f t="shared" ref="N3085:N3093" si="195">AVERAGE(0.006,0.01,0.005,0.005)</f>
        <v>6.5000000000000006E-3</v>
      </c>
      <c r="O3085" s="467">
        <f t="shared" ref="O3085:O3093" si="196">AVERAGE(0.01,0.05)</f>
        <v>3.0000000000000002E-2</v>
      </c>
      <c r="P3085" s="467"/>
    </row>
    <row r="3086" spans="1:24" s="21" customFormat="1" x14ac:dyDescent="0.2">
      <c r="A3086" s="411" t="s">
        <v>1491</v>
      </c>
      <c r="B3086" s="467">
        <v>0</v>
      </c>
      <c r="C3086" s="475">
        <f t="shared" si="193"/>
        <v>3.3333333333333335E-3</v>
      </c>
      <c r="D3086" s="467">
        <v>0.01</v>
      </c>
      <c r="E3086" s="467">
        <v>0.02</v>
      </c>
      <c r="F3086" s="467">
        <v>3.0000000000000001E-3</v>
      </c>
      <c r="G3086" s="467">
        <v>0</v>
      </c>
      <c r="H3086" s="467">
        <v>5.9999999999999995E-4</v>
      </c>
      <c r="I3086" s="467"/>
      <c r="J3086" s="467">
        <v>2E-3</v>
      </c>
      <c r="K3086" s="467">
        <v>2E-3</v>
      </c>
      <c r="L3086" s="467">
        <v>1E-3</v>
      </c>
      <c r="M3086" s="451">
        <f t="shared" si="194"/>
        <v>0.04</v>
      </c>
      <c r="N3086" s="467">
        <f t="shared" si="195"/>
        <v>6.5000000000000006E-3</v>
      </c>
      <c r="O3086" s="467">
        <f t="shared" si="196"/>
        <v>3.0000000000000002E-2</v>
      </c>
      <c r="P3086" s="467"/>
    </row>
    <row r="3087" spans="1:24" s="21" customFormat="1" x14ac:dyDescent="0.2">
      <c r="A3087" s="411" t="s">
        <v>1490</v>
      </c>
      <c r="B3087" s="467">
        <v>0</v>
      </c>
      <c r="C3087" s="475">
        <f t="shared" si="193"/>
        <v>3.3333333333333335E-3</v>
      </c>
      <c r="D3087" s="467">
        <v>0.01</v>
      </c>
      <c r="E3087" s="467">
        <v>0.02</v>
      </c>
      <c r="F3087" s="467">
        <v>3.0000000000000001E-3</v>
      </c>
      <c r="G3087" s="467">
        <v>0</v>
      </c>
      <c r="H3087" s="467">
        <v>5.9999999999999995E-4</v>
      </c>
      <c r="I3087" s="467"/>
      <c r="J3087" s="467">
        <v>2E-3</v>
      </c>
      <c r="K3087" s="467">
        <v>2E-3</v>
      </c>
      <c r="L3087" s="467">
        <v>1E-3</v>
      </c>
      <c r="M3087" s="451">
        <f t="shared" si="194"/>
        <v>0.04</v>
      </c>
      <c r="N3087" s="467">
        <f t="shared" si="195"/>
        <v>6.5000000000000006E-3</v>
      </c>
      <c r="O3087" s="467">
        <f t="shared" si="196"/>
        <v>3.0000000000000002E-2</v>
      </c>
      <c r="P3087" s="467"/>
    </row>
    <row r="3088" spans="1:24" s="21" customFormat="1" x14ac:dyDescent="0.2">
      <c r="A3088" s="411" t="s">
        <v>1486</v>
      </c>
      <c r="B3088" s="467">
        <v>0</v>
      </c>
      <c r="C3088" s="475">
        <f t="shared" si="193"/>
        <v>3.3333333333333335E-3</v>
      </c>
      <c r="D3088" s="467">
        <v>0.01</v>
      </c>
      <c r="E3088" s="467">
        <v>0.02</v>
      </c>
      <c r="F3088" s="467">
        <v>3.0000000000000001E-3</v>
      </c>
      <c r="G3088" s="467">
        <v>0</v>
      </c>
      <c r="H3088" s="467">
        <v>5.9999999999999995E-4</v>
      </c>
      <c r="I3088" s="467"/>
      <c r="J3088" s="467">
        <v>2E-3</v>
      </c>
      <c r="K3088" s="467">
        <v>2E-3</v>
      </c>
      <c r="L3088" s="467">
        <v>1E-3</v>
      </c>
      <c r="M3088" s="451">
        <f t="shared" si="194"/>
        <v>0.04</v>
      </c>
      <c r="N3088" s="467">
        <f t="shared" si="195"/>
        <v>6.5000000000000006E-3</v>
      </c>
      <c r="O3088" s="467">
        <f t="shared" si="196"/>
        <v>3.0000000000000002E-2</v>
      </c>
      <c r="P3088" s="467"/>
    </row>
    <row r="3089" spans="1:24" s="21" customFormat="1" x14ac:dyDescent="0.2">
      <c r="A3089" s="411" t="s">
        <v>1485</v>
      </c>
      <c r="B3089" s="467">
        <v>0</v>
      </c>
      <c r="C3089" s="475">
        <f t="shared" si="193"/>
        <v>3.3333333333333335E-3</v>
      </c>
      <c r="D3089" s="467">
        <v>0.01</v>
      </c>
      <c r="E3089" s="467">
        <v>0.02</v>
      </c>
      <c r="F3089" s="467">
        <v>3.0000000000000001E-3</v>
      </c>
      <c r="G3089" s="467">
        <v>0</v>
      </c>
      <c r="H3089" s="467">
        <v>5.9999999999999995E-4</v>
      </c>
      <c r="I3089" s="467"/>
      <c r="J3089" s="467">
        <v>2E-3</v>
      </c>
      <c r="K3089" s="467">
        <v>2E-3</v>
      </c>
      <c r="L3089" s="467">
        <v>1E-3</v>
      </c>
      <c r="M3089" s="451">
        <f t="shared" si="194"/>
        <v>0.04</v>
      </c>
      <c r="N3089" s="467">
        <f t="shared" si="195"/>
        <v>6.5000000000000006E-3</v>
      </c>
      <c r="O3089" s="467">
        <f t="shared" si="196"/>
        <v>3.0000000000000002E-2</v>
      </c>
      <c r="P3089" s="467"/>
    </row>
    <row r="3090" spans="1:24" s="21" customFormat="1" x14ac:dyDescent="0.2">
      <c r="A3090" s="411" t="s">
        <v>1359</v>
      </c>
      <c r="B3090" s="467">
        <v>0</v>
      </c>
      <c r="C3090" s="475">
        <f t="shared" si="193"/>
        <v>3.3333333333333335E-3</v>
      </c>
      <c r="D3090" s="467">
        <v>0.01</v>
      </c>
      <c r="E3090" s="467">
        <v>0.02</v>
      </c>
      <c r="F3090" s="467">
        <v>3.0000000000000001E-3</v>
      </c>
      <c r="G3090" s="467">
        <v>0</v>
      </c>
      <c r="H3090" s="467">
        <v>5.9999999999999995E-4</v>
      </c>
      <c r="I3090" s="467"/>
      <c r="J3090" s="467">
        <v>2E-3</v>
      </c>
      <c r="K3090" s="467">
        <v>2E-3</v>
      </c>
      <c r="L3090" s="467">
        <v>1E-3</v>
      </c>
      <c r="M3090" s="451">
        <f t="shared" si="194"/>
        <v>0.04</v>
      </c>
      <c r="N3090" s="467">
        <f t="shared" si="195"/>
        <v>6.5000000000000006E-3</v>
      </c>
      <c r="O3090" s="467">
        <f t="shared" si="196"/>
        <v>3.0000000000000002E-2</v>
      </c>
      <c r="P3090" s="467"/>
    </row>
    <row r="3091" spans="1:24" s="21" customFormat="1" x14ac:dyDescent="0.2">
      <c r="A3091" s="411" t="s">
        <v>1489</v>
      </c>
      <c r="B3091" s="467">
        <v>0</v>
      </c>
      <c r="C3091" s="475">
        <f t="shared" si="193"/>
        <v>3.3333333333333335E-3</v>
      </c>
      <c r="D3091" s="467">
        <v>0.01</v>
      </c>
      <c r="E3091" s="467">
        <v>0.02</v>
      </c>
      <c r="F3091" s="467">
        <v>3.0000000000000001E-3</v>
      </c>
      <c r="G3091" s="467">
        <v>0</v>
      </c>
      <c r="H3091" s="467">
        <v>5.9999999999999995E-4</v>
      </c>
      <c r="I3091" s="467"/>
      <c r="J3091" s="467">
        <v>2E-3</v>
      </c>
      <c r="K3091" s="467">
        <v>2E-3</v>
      </c>
      <c r="L3091" s="467">
        <v>1E-3</v>
      </c>
      <c r="M3091" s="451">
        <f t="shared" si="194"/>
        <v>0.04</v>
      </c>
      <c r="N3091" s="467">
        <f t="shared" si="195"/>
        <v>6.5000000000000006E-3</v>
      </c>
      <c r="O3091" s="467">
        <f t="shared" si="196"/>
        <v>3.0000000000000002E-2</v>
      </c>
      <c r="P3091" s="467"/>
    </row>
    <row r="3092" spans="1:24" s="21" customFormat="1" x14ac:dyDescent="0.2">
      <c r="A3092" s="411" t="s">
        <v>1488</v>
      </c>
      <c r="B3092" s="467">
        <v>0</v>
      </c>
      <c r="C3092" s="475">
        <f t="shared" si="193"/>
        <v>3.3333333333333335E-3</v>
      </c>
      <c r="D3092" s="467">
        <v>0.01</v>
      </c>
      <c r="E3092" s="467">
        <v>0.02</v>
      </c>
      <c r="F3092" s="467">
        <v>3.0000000000000001E-3</v>
      </c>
      <c r="G3092" s="467">
        <v>0</v>
      </c>
      <c r="H3092" s="467">
        <v>5.9999999999999995E-4</v>
      </c>
      <c r="I3092" s="467"/>
      <c r="J3092" s="467">
        <v>2E-3</v>
      </c>
      <c r="K3092" s="467">
        <v>2E-3</v>
      </c>
      <c r="L3092" s="467">
        <v>1E-3</v>
      </c>
      <c r="M3092" s="451">
        <f t="shared" si="194"/>
        <v>0.04</v>
      </c>
      <c r="N3092" s="467">
        <f t="shared" si="195"/>
        <v>6.5000000000000006E-3</v>
      </c>
      <c r="O3092" s="467">
        <f t="shared" si="196"/>
        <v>3.0000000000000002E-2</v>
      </c>
      <c r="P3092" s="467"/>
    </row>
    <row r="3093" spans="1:24" s="21" customFormat="1" x14ac:dyDescent="0.2">
      <c r="A3093" s="411" t="s">
        <v>1487</v>
      </c>
      <c r="B3093" s="654">
        <v>0</v>
      </c>
      <c r="C3093" s="2281">
        <f t="shared" si="193"/>
        <v>3.3333333333333335E-3</v>
      </c>
      <c r="D3093" s="654">
        <v>0.01</v>
      </c>
      <c r="E3093" s="654">
        <v>0.02</v>
      </c>
      <c r="F3093" s="467">
        <v>3.0000000000000001E-3</v>
      </c>
      <c r="G3093" s="654">
        <v>0</v>
      </c>
      <c r="H3093" s="654">
        <v>5.9999999999999995E-4</v>
      </c>
      <c r="I3093" s="654"/>
      <c r="J3093" s="654">
        <v>2E-3</v>
      </c>
      <c r="K3093" s="654">
        <v>2E-3</v>
      </c>
      <c r="L3093" s="654">
        <v>1E-3</v>
      </c>
      <c r="M3093" s="451">
        <f t="shared" si="194"/>
        <v>0.04</v>
      </c>
      <c r="N3093" s="467">
        <f t="shared" si="195"/>
        <v>6.5000000000000006E-3</v>
      </c>
      <c r="O3093" s="467">
        <f t="shared" si="196"/>
        <v>3.0000000000000002E-2</v>
      </c>
      <c r="P3093" s="467"/>
    </row>
    <row r="3094" spans="1:24" s="535" customFormat="1" x14ac:dyDescent="0.2">
      <c r="A3094" s="518" t="s">
        <v>2198</v>
      </c>
      <c r="F3094" s="1624"/>
      <c r="G3094" s="1624"/>
      <c r="H3094" s="1624"/>
      <c r="I3094" s="1624"/>
      <c r="J3094" s="1624"/>
      <c r="K3094" s="1624"/>
      <c r="L3094" s="1624"/>
      <c r="M3094" s="1624"/>
      <c r="N3094" s="1624"/>
    </row>
    <row r="3095" spans="1:24" s="292" customFormat="1" x14ac:dyDescent="0.2"/>
    <row r="3097" spans="1:24" s="125" customFormat="1" ht="14.25" customHeight="1" x14ac:dyDescent="0.2">
      <c r="A3097" s="377" t="s">
        <v>2228</v>
      </c>
      <c r="D3097" s="1075"/>
      <c r="E3097" s="1075"/>
      <c r="F3097" s="1075"/>
      <c r="G3097" s="1075"/>
      <c r="H3097" s="1075"/>
      <c r="I3097" s="1075"/>
      <c r="L3097" s="1075"/>
    </row>
    <row r="3098" spans="1:24" s="773" customFormat="1" ht="16.25" customHeight="1" x14ac:dyDescent="0.2">
      <c r="A3098" s="753" t="s">
        <v>2229</v>
      </c>
      <c r="B3098" s="442" t="s">
        <v>2230</v>
      </c>
      <c r="C3098" s="442" t="s">
        <v>2230</v>
      </c>
      <c r="D3098" s="442" t="s">
        <v>2230</v>
      </c>
      <c r="E3098" s="442" t="s">
        <v>2230</v>
      </c>
      <c r="F3098" s="442" t="s">
        <v>2231</v>
      </c>
      <c r="G3098" s="442" t="s">
        <v>2230</v>
      </c>
      <c r="H3098" s="442" t="s">
        <v>2230</v>
      </c>
      <c r="I3098" s="442" t="s">
        <v>2230</v>
      </c>
      <c r="J3098" s="442" t="s">
        <v>2230</v>
      </c>
      <c r="K3098" s="442" t="s">
        <v>2230</v>
      </c>
      <c r="L3098" s="442" t="s">
        <v>2230</v>
      </c>
      <c r="M3098" s="442" t="s">
        <v>2230</v>
      </c>
      <c r="N3098" s="442" t="s">
        <v>2230</v>
      </c>
      <c r="O3098" s="442" t="s">
        <v>2230</v>
      </c>
      <c r="P3098" s="442"/>
      <c r="Q3098" s="442"/>
      <c r="R3098" s="442"/>
      <c r="S3098" s="442"/>
      <c r="T3098" s="442"/>
      <c r="U3098" s="442"/>
      <c r="V3098" s="442"/>
    </row>
    <row r="3099" spans="1:24" s="291" customFormat="1" ht="16" x14ac:dyDescent="0.2">
      <c r="A3099" s="1641" t="s">
        <v>57</v>
      </c>
      <c r="B3099" s="1642" t="s">
        <v>1664</v>
      </c>
      <c r="C3099" s="1642" t="s">
        <v>1665</v>
      </c>
      <c r="D3099" s="1642" t="s">
        <v>1666</v>
      </c>
      <c r="E3099" s="1642" t="s">
        <v>1667</v>
      </c>
      <c r="F3099" s="1642" t="s">
        <v>2174</v>
      </c>
      <c r="G3099" s="1642" t="s">
        <v>1668</v>
      </c>
      <c r="H3099" s="1642" t="s">
        <v>1669</v>
      </c>
      <c r="I3099" s="1642" t="s">
        <v>1670</v>
      </c>
      <c r="J3099" s="1642" t="s">
        <v>1671</v>
      </c>
      <c r="K3099" s="1642" t="s">
        <v>1672</v>
      </c>
      <c r="L3099" s="1642" t="s">
        <v>1673</v>
      </c>
      <c r="M3099" s="291" t="s">
        <v>1674</v>
      </c>
      <c r="N3099" s="2152" t="s">
        <v>1675</v>
      </c>
      <c r="O3099" s="2152" t="s">
        <v>1676</v>
      </c>
      <c r="P3099" s="2153" t="s">
        <v>2175</v>
      </c>
      <c r="Q3099" s="453"/>
      <c r="R3099" s="453"/>
      <c r="S3099" s="453"/>
      <c r="T3099" s="453"/>
      <c r="U3099" s="453"/>
      <c r="V3099" s="453"/>
      <c r="W3099" s="21"/>
      <c r="X3099" s="21"/>
    </row>
    <row r="3100" spans="1:24" s="1093" customFormat="1" ht="16" x14ac:dyDescent="0.2">
      <c r="A3100" s="523" t="s">
        <v>2196</v>
      </c>
      <c r="B3100" s="1636" t="s">
        <v>2232</v>
      </c>
      <c r="C3100" s="1636" t="s">
        <v>2232</v>
      </c>
      <c r="D3100" s="1636" t="s">
        <v>2232</v>
      </c>
      <c r="E3100" s="1636" t="s">
        <v>2232</v>
      </c>
      <c r="F3100" s="1636" t="s">
        <v>2232</v>
      </c>
      <c r="G3100" s="1636" t="s">
        <v>2232</v>
      </c>
      <c r="H3100" s="1636" t="s">
        <v>2232</v>
      </c>
      <c r="I3100" s="1636" t="s">
        <v>2232</v>
      </c>
      <c r="J3100" s="1636" t="s">
        <v>2232</v>
      </c>
      <c r="K3100" s="1636" t="s">
        <v>2232</v>
      </c>
      <c r="L3100" s="1636" t="s">
        <v>2232</v>
      </c>
      <c r="M3100" s="1631" t="s">
        <v>2232</v>
      </c>
      <c r="N3100" s="1631" t="s">
        <v>2232</v>
      </c>
      <c r="O3100" s="732" t="s">
        <v>2232</v>
      </c>
      <c r="P3100" s="732"/>
      <c r="Q3100" s="1092"/>
      <c r="R3100" s="1092"/>
      <c r="S3100" s="1092"/>
      <c r="T3100" s="1092"/>
      <c r="U3100" s="1092"/>
      <c r="V3100" s="1092"/>
    </row>
    <row r="3101" spans="1:24" s="21" customFormat="1" x14ac:dyDescent="0.2">
      <c r="A3101" s="410" t="s">
        <v>1484</v>
      </c>
      <c r="B3101" s="1673">
        <v>0.4</v>
      </c>
      <c r="C3101" s="1673">
        <f>AVERAGE(0.3,0.48,0.1)</f>
        <v>0.29333333333333333</v>
      </c>
      <c r="D3101" s="1673">
        <f>AVERAGE(0.45,0.22,0.58,0.17)</f>
        <v>0.35499999999999998</v>
      </c>
      <c r="E3101" s="1673">
        <v>0.45</v>
      </c>
      <c r="F3101" s="1673">
        <v>0.21</v>
      </c>
      <c r="G3101" s="1673">
        <v>7.0000000000000007E-2</v>
      </c>
      <c r="H3101" s="1673">
        <f>AVERAGE(0.05,0.5)</f>
        <v>0.27500000000000002</v>
      </c>
      <c r="I3101" s="1673">
        <v>0</v>
      </c>
      <c r="J3101" s="1673">
        <v>0.25</v>
      </c>
      <c r="K3101" s="1673">
        <v>0.25</v>
      </c>
      <c r="L3101" s="1673">
        <v>0</v>
      </c>
      <c r="M3101" s="451">
        <v>0.4</v>
      </c>
      <c r="N3101" s="467">
        <f>AVERAGE(0.6,0.65,0.65,0.6)</f>
        <v>0.625</v>
      </c>
      <c r="O3101" s="467">
        <v>0.85</v>
      </c>
      <c r="P3101" s="467"/>
      <c r="Q3101" s="453"/>
      <c r="R3101" s="453"/>
      <c r="S3101" s="453"/>
      <c r="T3101" s="453"/>
      <c r="U3101" s="453"/>
      <c r="V3101" s="453"/>
    </row>
    <row r="3102" spans="1:24" s="21" customFormat="1" x14ac:dyDescent="0.2">
      <c r="A3102" s="411" t="s">
        <v>1483</v>
      </c>
      <c r="B3102" s="1674">
        <v>0.4</v>
      </c>
      <c r="C3102" s="1674">
        <f t="shared" ref="C3102:C3110" si="197">AVERAGE(0.3,0.48,0.1)</f>
        <v>0.29333333333333333</v>
      </c>
      <c r="D3102" s="1674">
        <f t="shared" ref="D3102:D3110" si="198">AVERAGE(0.45,0.22,0.58,0.17)</f>
        <v>0.35499999999999998</v>
      </c>
      <c r="E3102" s="1674">
        <v>0.45</v>
      </c>
      <c r="F3102" s="1674">
        <v>0.21</v>
      </c>
      <c r="G3102" s="1674">
        <v>7.0000000000000007E-2</v>
      </c>
      <c r="H3102" s="1674">
        <f t="shared" ref="H3102:H3110" si="199">AVERAGE(0.05,0.5)</f>
        <v>0.27500000000000002</v>
      </c>
      <c r="I3102" s="1674">
        <v>0</v>
      </c>
      <c r="J3102" s="1674">
        <v>0.25</v>
      </c>
      <c r="K3102" s="1674">
        <v>0.25</v>
      </c>
      <c r="L3102" s="1674">
        <v>0</v>
      </c>
      <c r="M3102" s="451">
        <v>0.4</v>
      </c>
      <c r="N3102" s="467">
        <f t="shared" ref="N3102:N3110" si="200">AVERAGE(0.6,0.65,0.65,0.6)</f>
        <v>0.625</v>
      </c>
      <c r="O3102" s="467">
        <v>0.85</v>
      </c>
      <c r="P3102" s="467"/>
      <c r="Q3102" s="453"/>
      <c r="R3102" s="453"/>
      <c r="S3102" s="453"/>
      <c r="T3102" s="453"/>
      <c r="U3102" s="453"/>
      <c r="V3102" s="453"/>
    </row>
    <row r="3103" spans="1:24" s="21" customFormat="1" x14ac:dyDescent="0.2">
      <c r="A3103" s="411" t="s">
        <v>1491</v>
      </c>
      <c r="B3103" s="1674">
        <v>0.4</v>
      </c>
      <c r="C3103" s="1674">
        <f t="shared" si="197"/>
        <v>0.29333333333333333</v>
      </c>
      <c r="D3103" s="1674">
        <f t="shared" si="198"/>
        <v>0.35499999999999998</v>
      </c>
      <c r="E3103" s="1674">
        <v>0.45</v>
      </c>
      <c r="F3103" s="1674">
        <v>0.21</v>
      </c>
      <c r="G3103" s="1674">
        <v>7.0000000000000007E-2</v>
      </c>
      <c r="H3103" s="1674">
        <f t="shared" si="199"/>
        <v>0.27500000000000002</v>
      </c>
      <c r="I3103" s="1674">
        <v>0</v>
      </c>
      <c r="J3103" s="1674">
        <v>0.25</v>
      </c>
      <c r="K3103" s="1674">
        <v>0.25</v>
      </c>
      <c r="L3103" s="1674">
        <v>0</v>
      </c>
      <c r="M3103" s="451">
        <v>0.4</v>
      </c>
      <c r="N3103" s="467">
        <f t="shared" si="200"/>
        <v>0.625</v>
      </c>
      <c r="O3103" s="467">
        <v>0.85</v>
      </c>
      <c r="P3103" s="467"/>
      <c r="Q3103" s="453"/>
      <c r="R3103" s="453"/>
      <c r="S3103" s="453"/>
      <c r="T3103" s="453"/>
      <c r="U3103" s="453"/>
      <c r="V3103" s="453"/>
    </row>
    <row r="3104" spans="1:24" s="21" customFormat="1" x14ac:dyDescent="0.2">
      <c r="A3104" s="411" t="s">
        <v>1490</v>
      </c>
      <c r="B3104" s="1674">
        <v>0.4</v>
      </c>
      <c r="C3104" s="1674">
        <f t="shared" si="197"/>
        <v>0.29333333333333333</v>
      </c>
      <c r="D3104" s="1674">
        <f t="shared" si="198"/>
        <v>0.35499999999999998</v>
      </c>
      <c r="E3104" s="1674">
        <v>0.45</v>
      </c>
      <c r="F3104" s="1674">
        <v>0.21</v>
      </c>
      <c r="G3104" s="1674">
        <v>7.0000000000000007E-2</v>
      </c>
      <c r="H3104" s="1674">
        <f t="shared" si="199"/>
        <v>0.27500000000000002</v>
      </c>
      <c r="I3104" s="1674">
        <v>0</v>
      </c>
      <c r="J3104" s="1674">
        <v>0.25</v>
      </c>
      <c r="K3104" s="1674">
        <v>0.25</v>
      </c>
      <c r="L3104" s="1674">
        <v>0</v>
      </c>
      <c r="M3104" s="451">
        <v>0.4</v>
      </c>
      <c r="N3104" s="467">
        <f t="shared" si="200"/>
        <v>0.625</v>
      </c>
      <c r="O3104" s="467">
        <v>0.85</v>
      </c>
      <c r="P3104" s="467"/>
      <c r="Q3104" s="453"/>
      <c r="R3104" s="453"/>
      <c r="S3104" s="453"/>
      <c r="T3104" s="453"/>
      <c r="U3104" s="453"/>
      <c r="V3104" s="453"/>
    </row>
    <row r="3105" spans="1:24" s="21" customFormat="1" x14ac:dyDescent="0.2">
      <c r="A3105" s="411" t="s">
        <v>1486</v>
      </c>
      <c r="B3105" s="1674">
        <v>0.4</v>
      </c>
      <c r="C3105" s="1674">
        <f t="shared" si="197"/>
        <v>0.29333333333333333</v>
      </c>
      <c r="D3105" s="1674">
        <f t="shared" si="198"/>
        <v>0.35499999999999998</v>
      </c>
      <c r="E3105" s="1674">
        <v>0.45</v>
      </c>
      <c r="F3105" s="1674">
        <v>0.21</v>
      </c>
      <c r="G3105" s="1674">
        <v>7.0000000000000007E-2</v>
      </c>
      <c r="H3105" s="1674">
        <f t="shared" si="199"/>
        <v>0.27500000000000002</v>
      </c>
      <c r="I3105" s="1674">
        <v>0</v>
      </c>
      <c r="J3105" s="1674">
        <v>0.25</v>
      </c>
      <c r="K3105" s="1674">
        <v>0.25</v>
      </c>
      <c r="L3105" s="1674">
        <v>0</v>
      </c>
      <c r="M3105" s="451">
        <v>0.4</v>
      </c>
      <c r="N3105" s="467">
        <f t="shared" si="200"/>
        <v>0.625</v>
      </c>
      <c r="O3105" s="467">
        <v>0.85</v>
      </c>
      <c r="P3105" s="467"/>
      <c r="Q3105" s="453"/>
      <c r="R3105" s="453"/>
      <c r="S3105" s="453"/>
      <c r="T3105" s="453"/>
      <c r="U3105" s="453"/>
      <c r="V3105" s="453"/>
    </row>
    <row r="3106" spans="1:24" s="21" customFormat="1" x14ac:dyDescent="0.2">
      <c r="A3106" s="411" t="s">
        <v>1485</v>
      </c>
      <c r="B3106" s="1674">
        <v>0.4</v>
      </c>
      <c r="C3106" s="1674">
        <f t="shared" si="197"/>
        <v>0.29333333333333333</v>
      </c>
      <c r="D3106" s="1674">
        <f t="shared" si="198"/>
        <v>0.35499999999999998</v>
      </c>
      <c r="E3106" s="1674">
        <v>0.45</v>
      </c>
      <c r="F3106" s="1674">
        <v>0.21</v>
      </c>
      <c r="G3106" s="1674">
        <v>7.0000000000000007E-2</v>
      </c>
      <c r="H3106" s="1674">
        <f t="shared" si="199"/>
        <v>0.27500000000000002</v>
      </c>
      <c r="I3106" s="1674">
        <v>0</v>
      </c>
      <c r="J3106" s="1674">
        <v>0.25</v>
      </c>
      <c r="K3106" s="1674">
        <v>0.25</v>
      </c>
      <c r="L3106" s="1674">
        <v>0</v>
      </c>
      <c r="M3106" s="451">
        <v>0.4</v>
      </c>
      <c r="N3106" s="467">
        <f t="shared" si="200"/>
        <v>0.625</v>
      </c>
      <c r="O3106" s="467">
        <v>0.85</v>
      </c>
      <c r="P3106" s="467"/>
      <c r="Q3106" s="453"/>
      <c r="R3106" s="453"/>
      <c r="S3106" s="453"/>
      <c r="T3106" s="453"/>
      <c r="U3106" s="453"/>
      <c r="V3106" s="453"/>
    </row>
    <row r="3107" spans="1:24" s="21" customFormat="1" x14ac:dyDescent="0.2">
      <c r="A3107" s="411" t="s">
        <v>1359</v>
      </c>
      <c r="B3107" s="1674">
        <v>0.4</v>
      </c>
      <c r="C3107" s="1674">
        <f t="shared" si="197"/>
        <v>0.29333333333333333</v>
      </c>
      <c r="D3107" s="1674">
        <f t="shared" si="198"/>
        <v>0.35499999999999998</v>
      </c>
      <c r="E3107" s="1674">
        <v>0.45</v>
      </c>
      <c r="F3107" s="1674">
        <v>0.21</v>
      </c>
      <c r="G3107" s="1674">
        <v>7.0000000000000007E-2</v>
      </c>
      <c r="H3107" s="1674">
        <f t="shared" si="199"/>
        <v>0.27500000000000002</v>
      </c>
      <c r="I3107" s="1674">
        <v>0</v>
      </c>
      <c r="J3107" s="1674">
        <v>0.25</v>
      </c>
      <c r="K3107" s="1674">
        <v>0.25</v>
      </c>
      <c r="L3107" s="1674">
        <v>0</v>
      </c>
      <c r="M3107" s="451">
        <v>0.4</v>
      </c>
      <c r="N3107" s="467">
        <f t="shared" si="200"/>
        <v>0.625</v>
      </c>
      <c r="O3107" s="467">
        <v>0.85</v>
      </c>
      <c r="P3107" s="467"/>
      <c r="Q3107" s="453"/>
      <c r="R3107" s="453"/>
      <c r="S3107" s="453"/>
      <c r="T3107" s="453"/>
      <c r="U3107" s="453"/>
      <c r="V3107" s="453"/>
    </row>
    <row r="3108" spans="1:24" s="21" customFormat="1" x14ac:dyDescent="0.2">
      <c r="A3108" s="411" t="s">
        <v>1489</v>
      </c>
      <c r="B3108" s="1674">
        <v>0.4</v>
      </c>
      <c r="C3108" s="1674">
        <f t="shared" si="197"/>
        <v>0.29333333333333333</v>
      </c>
      <c r="D3108" s="1674">
        <f t="shared" si="198"/>
        <v>0.35499999999999998</v>
      </c>
      <c r="E3108" s="1674">
        <v>0.45</v>
      </c>
      <c r="F3108" s="1674">
        <v>0.21</v>
      </c>
      <c r="G3108" s="1674">
        <v>7.0000000000000007E-2</v>
      </c>
      <c r="H3108" s="1674">
        <f t="shared" si="199"/>
        <v>0.27500000000000002</v>
      </c>
      <c r="I3108" s="1674">
        <v>0</v>
      </c>
      <c r="J3108" s="1674">
        <v>0.25</v>
      </c>
      <c r="K3108" s="1674">
        <v>0.25</v>
      </c>
      <c r="L3108" s="1674">
        <v>0</v>
      </c>
      <c r="M3108" s="451">
        <v>0.4</v>
      </c>
      <c r="N3108" s="467">
        <f t="shared" si="200"/>
        <v>0.625</v>
      </c>
      <c r="O3108" s="467">
        <v>0.85</v>
      </c>
      <c r="P3108" s="467"/>
    </row>
    <row r="3109" spans="1:24" s="453" customFormat="1" x14ac:dyDescent="0.2">
      <c r="A3109" s="411" t="s">
        <v>1488</v>
      </c>
      <c r="B3109" s="1674">
        <v>0.4</v>
      </c>
      <c r="C3109" s="1674">
        <f t="shared" si="197"/>
        <v>0.29333333333333333</v>
      </c>
      <c r="D3109" s="1674">
        <f t="shared" si="198"/>
        <v>0.35499999999999998</v>
      </c>
      <c r="E3109" s="1674">
        <v>0.45</v>
      </c>
      <c r="F3109" s="1674">
        <v>0.21</v>
      </c>
      <c r="G3109" s="1674">
        <v>7.0000000000000007E-2</v>
      </c>
      <c r="H3109" s="1674">
        <f t="shared" si="199"/>
        <v>0.27500000000000002</v>
      </c>
      <c r="I3109" s="1674">
        <v>0</v>
      </c>
      <c r="J3109" s="1674">
        <v>0.25</v>
      </c>
      <c r="K3109" s="1674">
        <v>0.25</v>
      </c>
      <c r="L3109" s="1674">
        <v>0</v>
      </c>
      <c r="M3109" s="451">
        <v>0.4</v>
      </c>
      <c r="N3109" s="467">
        <f t="shared" si="200"/>
        <v>0.625</v>
      </c>
      <c r="O3109" s="467">
        <v>0.85</v>
      </c>
      <c r="P3109" s="467"/>
    </row>
    <row r="3110" spans="1:24" s="453" customFormat="1" x14ac:dyDescent="0.2">
      <c r="A3110" s="411" t="s">
        <v>1487</v>
      </c>
      <c r="B3110" s="1675">
        <v>0.4</v>
      </c>
      <c r="C3110" s="1675">
        <f t="shared" si="197"/>
        <v>0.29333333333333333</v>
      </c>
      <c r="D3110" s="1675">
        <f t="shared" si="198"/>
        <v>0.35499999999999998</v>
      </c>
      <c r="E3110" s="1675">
        <v>0.45</v>
      </c>
      <c r="F3110" s="1675">
        <v>0.21</v>
      </c>
      <c r="G3110" s="1675">
        <v>7.0000000000000007E-2</v>
      </c>
      <c r="H3110" s="1675">
        <f t="shared" si="199"/>
        <v>0.27500000000000002</v>
      </c>
      <c r="I3110" s="1675">
        <v>0</v>
      </c>
      <c r="J3110" s="1675">
        <v>0.25</v>
      </c>
      <c r="K3110" s="1675">
        <v>0.25</v>
      </c>
      <c r="L3110" s="1675">
        <v>0</v>
      </c>
      <c r="M3110" s="451">
        <v>0.4</v>
      </c>
      <c r="N3110" s="467">
        <f t="shared" si="200"/>
        <v>0.625</v>
      </c>
      <c r="O3110" s="467">
        <v>0.85</v>
      </c>
      <c r="P3110" s="467"/>
    </row>
    <row r="3111" spans="1:24" s="535" customFormat="1" x14ac:dyDescent="0.2">
      <c r="A3111" s="518" t="s">
        <v>2198</v>
      </c>
      <c r="F3111" s="1624"/>
      <c r="G3111" s="1624"/>
      <c r="H3111" s="1624"/>
      <c r="I3111" s="1624"/>
      <c r="J3111" s="1624"/>
      <c r="K3111" s="1624"/>
      <c r="L3111" s="1624"/>
      <c r="M3111" s="1624"/>
      <c r="N3111" s="1624"/>
    </row>
    <row r="3112" spans="1:24" s="292" customFormat="1" x14ac:dyDescent="0.2"/>
    <row r="3114" spans="1:24" s="125" customFormat="1" ht="14.25" customHeight="1" x14ac:dyDescent="0.2">
      <c r="A3114" s="377" t="s">
        <v>2228</v>
      </c>
      <c r="D3114" s="1075"/>
      <c r="E3114" s="1075"/>
      <c r="F3114" s="1075"/>
      <c r="G3114" s="1075"/>
      <c r="H3114" s="1075"/>
      <c r="I3114" s="1075"/>
      <c r="L3114" s="1075"/>
    </row>
    <row r="3115" spans="1:24" s="773" customFormat="1" ht="16.25" customHeight="1" x14ac:dyDescent="0.2">
      <c r="A3115" s="753" t="s">
        <v>2233</v>
      </c>
      <c r="B3115" s="442" t="s">
        <v>2230</v>
      </c>
      <c r="C3115" s="442" t="s">
        <v>2230</v>
      </c>
      <c r="D3115" s="442" t="s">
        <v>2230</v>
      </c>
      <c r="E3115" s="442" t="s">
        <v>2230</v>
      </c>
      <c r="F3115" s="442" t="s">
        <v>2231</v>
      </c>
      <c r="G3115" s="442" t="s">
        <v>2230</v>
      </c>
      <c r="H3115" s="442" t="s">
        <v>2230</v>
      </c>
      <c r="I3115" s="442" t="s">
        <v>2230</v>
      </c>
      <c r="J3115" s="442" t="s">
        <v>2230</v>
      </c>
      <c r="K3115" s="442" t="s">
        <v>2230</v>
      </c>
      <c r="L3115" s="442" t="s">
        <v>2230</v>
      </c>
      <c r="M3115" s="442" t="s">
        <v>2230</v>
      </c>
      <c r="N3115" s="442" t="s">
        <v>2230</v>
      </c>
      <c r="O3115" s="442" t="s">
        <v>2230</v>
      </c>
      <c r="P3115" s="442"/>
      <c r="Q3115" s="442"/>
      <c r="R3115" s="442"/>
      <c r="S3115" s="442"/>
      <c r="T3115" s="442"/>
      <c r="U3115" s="442"/>
      <c r="V3115" s="442"/>
    </row>
    <row r="3116" spans="1:24" s="291" customFormat="1" ht="16" x14ac:dyDescent="0.2">
      <c r="A3116" s="1641" t="s">
        <v>57</v>
      </c>
      <c r="B3116" s="1642" t="s">
        <v>1664</v>
      </c>
      <c r="C3116" s="1642" t="s">
        <v>1665</v>
      </c>
      <c r="D3116" s="1642" t="s">
        <v>1666</v>
      </c>
      <c r="E3116" s="1642" t="s">
        <v>1667</v>
      </c>
      <c r="F3116" s="1642" t="s">
        <v>2174</v>
      </c>
      <c r="G3116" s="1642" t="s">
        <v>1668</v>
      </c>
      <c r="H3116" s="1642" t="s">
        <v>1669</v>
      </c>
      <c r="I3116" s="1642" t="s">
        <v>1670</v>
      </c>
      <c r="J3116" s="1642" t="s">
        <v>1671</v>
      </c>
      <c r="K3116" s="1642" t="s">
        <v>1672</v>
      </c>
      <c r="L3116" s="1642" t="s">
        <v>1673</v>
      </c>
      <c r="M3116" s="291" t="s">
        <v>1674</v>
      </c>
      <c r="N3116" s="2152" t="s">
        <v>1675</v>
      </c>
      <c r="O3116" s="2152" t="s">
        <v>1676</v>
      </c>
      <c r="P3116" s="2153" t="s">
        <v>2175</v>
      </c>
      <c r="Q3116" s="453"/>
      <c r="R3116" s="453"/>
      <c r="S3116" s="453"/>
      <c r="T3116" s="453"/>
      <c r="U3116" s="453"/>
      <c r="V3116" s="453"/>
      <c r="W3116" s="21"/>
      <c r="X3116" s="21"/>
    </row>
    <row r="3117" spans="1:24" s="1093" customFormat="1" ht="16" x14ac:dyDescent="0.2">
      <c r="A3117" s="523" t="s">
        <v>2196</v>
      </c>
      <c r="B3117" s="1636" t="s">
        <v>2232</v>
      </c>
      <c r="C3117" s="1636" t="s">
        <v>2232</v>
      </c>
      <c r="D3117" s="1636" t="s">
        <v>2232</v>
      </c>
      <c r="E3117" s="1636" t="s">
        <v>2232</v>
      </c>
      <c r="F3117" s="1636" t="s">
        <v>2232</v>
      </c>
      <c r="G3117" s="1636" t="s">
        <v>2232</v>
      </c>
      <c r="H3117" s="1636" t="s">
        <v>2232</v>
      </c>
      <c r="I3117" s="1636" t="s">
        <v>2232</v>
      </c>
      <c r="J3117" s="1636" t="s">
        <v>2232</v>
      </c>
      <c r="K3117" s="1636" t="s">
        <v>2232</v>
      </c>
      <c r="L3117" s="1636" t="s">
        <v>2232</v>
      </c>
      <c r="M3117" s="1631" t="s">
        <v>2232</v>
      </c>
      <c r="N3117" s="732" t="s">
        <v>2232</v>
      </c>
      <c r="O3117" s="732" t="s">
        <v>2232</v>
      </c>
      <c r="P3117" s="732"/>
      <c r="Q3117" s="1092"/>
      <c r="R3117" s="1092"/>
      <c r="S3117" s="1092"/>
      <c r="T3117" s="1092"/>
      <c r="U3117" s="1092"/>
      <c r="V3117" s="1092"/>
    </row>
    <row r="3118" spans="1:24" s="21" customFormat="1" x14ac:dyDescent="0.2">
      <c r="A3118" s="410" t="s">
        <v>1484</v>
      </c>
      <c r="B3118" s="1673">
        <v>0.35</v>
      </c>
      <c r="C3118" s="1673">
        <f>AVERAGE(0.3,0.48,0.1)</f>
        <v>0.29333333333333333</v>
      </c>
      <c r="D3118" s="1673">
        <f>AVERAGE(0.3,0.14,0.38,0.11)</f>
        <v>0.23250000000000001</v>
      </c>
      <c r="E3118" s="1673">
        <v>0.3</v>
      </c>
      <c r="F3118" s="1673">
        <v>0.21</v>
      </c>
      <c r="G3118" s="1673">
        <v>7.0000000000000007E-2</v>
      </c>
      <c r="H3118" s="1673">
        <f>AVERAGE(0.05,0.5)</f>
        <v>0.27500000000000002</v>
      </c>
      <c r="I3118" s="1673">
        <v>0</v>
      </c>
      <c r="J3118" s="1673">
        <v>0.28000000000000003</v>
      </c>
      <c r="K3118" s="1673">
        <v>0.28000000000000003</v>
      </c>
      <c r="L3118" s="1673">
        <v>0</v>
      </c>
      <c r="M3118" s="451">
        <v>0.25</v>
      </c>
      <c r="N3118" s="467">
        <f>AVERAGE(0.45,0.5,0.5,0.45)</f>
        <v>0.47499999999999998</v>
      </c>
      <c r="O3118" s="467">
        <v>0.85</v>
      </c>
      <c r="P3118" s="467"/>
      <c r="Q3118" s="453"/>
      <c r="R3118" s="453"/>
      <c r="S3118" s="453"/>
      <c r="T3118" s="453"/>
      <c r="U3118" s="453"/>
      <c r="V3118" s="453"/>
    </row>
    <row r="3119" spans="1:24" s="21" customFormat="1" x14ac:dyDescent="0.2">
      <c r="A3119" s="411" t="s">
        <v>1483</v>
      </c>
      <c r="B3119" s="1674">
        <v>0.35</v>
      </c>
      <c r="C3119" s="1674">
        <f t="shared" ref="C3119:C3127" si="201">AVERAGE(0.3,0.48,0.1)</f>
        <v>0.29333333333333333</v>
      </c>
      <c r="D3119" s="1674">
        <f t="shared" ref="D3119:D3127" si="202">AVERAGE(0.3,0.14,0.38,0.11)</f>
        <v>0.23250000000000001</v>
      </c>
      <c r="E3119" s="1674">
        <v>0.3</v>
      </c>
      <c r="F3119" s="1674">
        <v>0.21</v>
      </c>
      <c r="G3119" s="1674">
        <v>7.0000000000000007E-2</v>
      </c>
      <c r="H3119" s="1674">
        <f t="shared" ref="H3119:H3127" si="203">AVERAGE(0.05,0.5)</f>
        <v>0.27500000000000002</v>
      </c>
      <c r="I3119" s="1674">
        <v>0</v>
      </c>
      <c r="J3119" s="1674">
        <v>0.28000000000000003</v>
      </c>
      <c r="K3119" s="1674">
        <v>0.28000000000000003</v>
      </c>
      <c r="L3119" s="1674">
        <v>0</v>
      </c>
      <c r="M3119" s="451">
        <v>0.25</v>
      </c>
      <c r="N3119" s="467">
        <f t="shared" ref="N3119:N3127" si="204">AVERAGE(0.45,0.5,0.5,0.45)</f>
        <v>0.47499999999999998</v>
      </c>
      <c r="O3119" s="467">
        <v>0.85</v>
      </c>
      <c r="P3119" s="467"/>
      <c r="Q3119" s="453"/>
      <c r="R3119" s="453"/>
      <c r="S3119" s="453"/>
      <c r="T3119" s="453"/>
      <c r="U3119" s="453"/>
      <c r="V3119" s="453"/>
    </row>
    <row r="3120" spans="1:24" s="21" customFormat="1" x14ac:dyDescent="0.2">
      <c r="A3120" s="411" t="s">
        <v>1491</v>
      </c>
      <c r="B3120" s="1674">
        <v>0.35</v>
      </c>
      <c r="C3120" s="1674">
        <f t="shared" si="201"/>
        <v>0.29333333333333333</v>
      </c>
      <c r="D3120" s="1674">
        <f t="shared" si="202"/>
        <v>0.23250000000000001</v>
      </c>
      <c r="E3120" s="1674">
        <v>0.3</v>
      </c>
      <c r="F3120" s="1674">
        <v>0.21</v>
      </c>
      <c r="G3120" s="1674">
        <v>7.0000000000000007E-2</v>
      </c>
      <c r="H3120" s="1674">
        <f t="shared" si="203"/>
        <v>0.27500000000000002</v>
      </c>
      <c r="I3120" s="1674">
        <v>0</v>
      </c>
      <c r="J3120" s="1674">
        <v>0.28000000000000003</v>
      </c>
      <c r="K3120" s="1674">
        <v>0.28000000000000003</v>
      </c>
      <c r="L3120" s="1674">
        <v>0</v>
      </c>
      <c r="M3120" s="451">
        <v>0.25</v>
      </c>
      <c r="N3120" s="467">
        <f t="shared" si="204"/>
        <v>0.47499999999999998</v>
      </c>
      <c r="O3120" s="467">
        <v>0.85</v>
      </c>
      <c r="P3120" s="467"/>
      <c r="Q3120" s="453"/>
      <c r="R3120" s="453"/>
      <c r="S3120" s="453"/>
      <c r="T3120" s="453"/>
      <c r="U3120" s="453"/>
      <c r="V3120" s="453"/>
    </row>
    <row r="3121" spans="1:24" s="21" customFormat="1" x14ac:dyDescent="0.2">
      <c r="A3121" s="411" t="s">
        <v>1490</v>
      </c>
      <c r="B3121" s="1674">
        <v>0.35</v>
      </c>
      <c r="C3121" s="1674">
        <f t="shared" si="201"/>
        <v>0.29333333333333333</v>
      </c>
      <c r="D3121" s="1674">
        <f t="shared" si="202"/>
        <v>0.23250000000000001</v>
      </c>
      <c r="E3121" s="1674">
        <v>0.3</v>
      </c>
      <c r="F3121" s="1674">
        <v>0.21</v>
      </c>
      <c r="G3121" s="1674">
        <v>7.0000000000000007E-2</v>
      </c>
      <c r="H3121" s="1674">
        <f t="shared" si="203"/>
        <v>0.27500000000000002</v>
      </c>
      <c r="I3121" s="1674">
        <v>0</v>
      </c>
      <c r="J3121" s="1674">
        <v>0.28000000000000003</v>
      </c>
      <c r="K3121" s="1674">
        <v>0.28000000000000003</v>
      </c>
      <c r="L3121" s="1674">
        <v>0</v>
      </c>
      <c r="M3121" s="451">
        <v>0.25</v>
      </c>
      <c r="N3121" s="467">
        <f t="shared" si="204"/>
        <v>0.47499999999999998</v>
      </c>
      <c r="O3121" s="467">
        <v>0.85</v>
      </c>
      <c r="P3121" s="467"/>
      <c r="Q3121" s="453"/>
      <c r="R3121" s="453"/>
      <c r="S3121" s="453"/>
      <c r="T3121" s="453"/>
      <c r="U3121" s="453"/>
      <c r="V3121" s="453"/>
    </row>
    <row r="3122" spans="1:24" s="21" customFormat="1" x14ac:dyDescent="0.2">
      <c r="A3122" s="411" t="s">
        <v>1486</v>
      </c>
      <c r="B3122" s="1674">
        <v>0.35</v>
      </c>
      <c r="C3122" s="1674">
        <f t="shared" si="201"/>
        <v>0.29333333333333333</v>
      </c>
      <c r="D3122" s="1674">
        <f t="shared" si="202"/>
        <v>0.23250000000000001</v>
      </c>
      <c r="E3122" s="1674">
        <v>0.3</v>
      </c>
      <c r="F3122" s="1674">
        <v>0.21</v>
      </c>
      <c r="G3122" s="1674">
        <v>7.0000000000000007E-2</v>
      </c>
      <c r="H3122" s="1674">
        <f t="shared" si="203"/>
        <v>0.27500000000000002</v>
      </c>
      <c r="I3122" s="1674">
        <v>0</v>
      </c>
      <c r="J3122" s="1674">
        <v>0.28000000000000003</v>
      </c>
      <c r="K3122" s="1674">
        <v>0.28000000000000003</v>
      </c>
      <c r="L3122" s="1674">
        <v>0</v>
      </c>
      <c r="M3122" s="451">
        <v>0.25</v>
      </c>
      <c r="N3122" s="467">
        <f t="shared" si="204"/>
        <v>0.47499999999999998</v>
      </c>
      <c r="O3122" s="467">
        <v>0.85</v>
      </c>
      <c r="P3122" s="467"/>
      <c r="Q3122" s="453"/>
      <c r="R3122" s="453"/>
      <c r="S3122" s="453"/>
      <c r="T3122" s="453"/>
      <c r="U3122" s="453"/>
      <c r="V3122" s="453"/>
    </row>
    <row r="3123" spans="1:24" s="21" customFormat="1" x14ac:dyDescent="0.2">
      <c r="A3123" s="411" t="s">
        <v>1485</v>
      </c>
      <c r="B3123" s="1674">
        <v>0.35</v>
      </c>
      <c r="C3123" s="1674">
        <f t="shared" si="201"/>
        <v>0.29333333333333333</v>
      </c>
      <c r="D3123" s="1674">
        <f t="shared" si="202"/>
        <v>0.23250000000000001</v>
      </c>
      <c r="E3123" s="1674">
        <v>0.3</v>
      </c>
      <c r="F3123" s="1674">
        <v>0.21</v>
      </c>
      <c r="G3123" s="1674">
        <v>7.0000000000000007E-2</v>
      </c>
      <c r="H3123" s="1674">
        <f t="shared" si="203"/>
        <v>0.27500000000000002</v>
      </c>
      <c r="I3123" s="1674">
        <v>0</v>
      </c>
      <c r="J3123" s="1674">
        <v>0.28000000000000003</v>
      </c>
      <c r="K3123" s="1674">
        <v>0.28000000000000003</v>
      </c>
      <c r="L3123" s="1674">
        <v>0</v>
      </c>
      <c r="M3123" s="451">
        <v>0.25</v>
      </c>
      <c r="N3123" s="467">
        <f t="shared" si="204"/>
        <v>0.47499999999999998</v>
      </c>
      <c r="O3123" s="467">
        <v>0.85</v>
      </c>
      <c r="P3123" s="467"/>
      <c r="Q3123" s="453"/>
      <c r="R3123" s="453"/>
      <c r="S3123" s="453"/>
      <c r="T3123" s="453"/>
      <c r="U3123" s="453"/>
      <c r="V3123" s="453"/>
    </row>
    <row r="3124" spans="1:24" s="21" customFormat="1" x14ac:dyDescent="0.2">
      <c r="A3124" s="411" t="s">
        <v>1359</v>
      </c>
      <c r="B3124" s="1674">
        <v>0.35</v>
      </c>
      <c r="C3124" s="1674">
        <f t="shared" si="201"/>
        <v>0.29333333333333333</v>
      </c>
      <c r="D3124" s="1674">
        <f t="shared" si="202"/>
        <v>0.23250000000000001</v>
      </c>
      <c r="E3124" s="1674">
        <v>0.3</v>
      </c>
      <c r="F3124" s="1674">
        <v>0.21</v>
      </c>
      <c r="G3124" s="1674">
        <v>7.0000000000000007E-2</v>
      </c>
      <c r="H3124" s="1674">
        <f t="shared" si="203"/>
        <v>0.27500000000000002</v>
      </c>
      <c r="I3124" s="1674">
        <v>0</v>
      </c>
      <c r="J3124" s="1674">
        <v>0.28000000000000003</v>
      </c>
      <c r="K3124" s="1674">
        <v>0.28000000000000003</v>
      </c>
      <c r="L3124" s="1674">
        <v>0</v>
      </c>
      <c r="M3124" s="451">
        <v>0.25</v>
      </c>
      <c r="N3124" s="467">
        <f t="shared" si="204"/>
        <v>0.47499999999999998</v>
      </c>
      <c r="O3124" s="467">
        <v>0.85</v>
      </c>
      <c r="P3124" s="467"/>
      <c r="Q3124" s="453"/>
      <c r="R3124" s="453"/>
      <c r="S3124" s="453"/>
      <c r="T3124" s="453"/>
      <c r="U3124" s="453"/>
      <c r="V3124" s="453"/>
    </row>
    <row r="3125" spans="1:24" s="21" customFormat="1" x14ac:dyDescent="0.2">
      <c r="A3125" s="411" t="s">
        <v>1489</v>
      </c>
      <c r="B3125" s="1674">
        <v>0.35</v>
      </c>
      <c r="C3125" s="1674">
        <f t="shared" si="201"/>
        <v>0.29333333333333333</v>
      </c>
      <c r="D3125" s="1674">
        <f t="shared" si="202"/>
        <v>0.23250000000000001</v>
      </c>
      <c r="E3125" s="1674">
        <v>0.3</v>
      </c>
      <c r="F3125" s="1674">
        <v>0.21</v>
      </c>
      <c r="G3125" s="1674">
        <v>7.0000000000000007E-2</v>
      </c>
      <c r="H3125" s="1674">
        <f t="shared" si="203"/>
        <v>0.27500000000000002</v>
      </c>
      <c r="I3125" s="1674">
        <v>0</v>
      </c>
      <c r="J3125" s="1674">
        <v>0.28000000000000003</v>
      </c>
      <c r="K3125" s="1674">
        <v>0.28000000000000003</v>
      </c>
      <c r="L3125" s="1674">
        <v>0</v>
      </c>
      <c r="M3125" s="451">
        <v>0.25</v>
      </c>
      <c r="N3125" s="467">
        <f t="shared" si="204"/>
        <v>0.47499999999999998</v>
      </c>
      <c r="O3125" s="467">
        <v>0.85</v>
      </c>
      <c r="P3125" s="467"/>
    </row>
    <row r="3126" spans="1:24" s="453" customFormat="1" x14ac:dyDescent="0.2">
      <c r="A3126" s="411" t="s">
        <v>1488</v>
      </c>
      <c r="B3126" s="1674">
        <v>0.35</v>
      </c>
      <c r="C3126" s="1674">
        <f t="shared" si="201"/>
        <v>0.29333333333333333</v>
      </c>
      <c r="D3126" s="1674">
        <f t="shared" si="202"/>
        <v>0.23250000000000001</v>
      </c>
      <c r="E3126" s="1674">
        <v>0.3</v>
      </c>
      <c r="F3126" s="1674">
        <v>0.21</v>
      </c>
      <c r="G3126" s="1674">
        <v>7.0000000000000007E-2</v>
      </c>
      <c r="H3126" s="1674">
        <f t="shared" si="203"/>
        <v>0.27500000000000002</v>
      </c>
      <c r="I3126" s="1674">
        <v>0</v>
      </c>
      <c r="J3126" s="1674">
        <v>0.28000000000000003</v>
      </c>
      <c r="K3126" s="1674">
        <v>0.28000000000000003</v>
      </c>
      <c r="L3126" s="1674">
        <v>0</v>
      </c>
      <c r="M3126" s="451">
        <v>0.25</v>
      </c>
      <c r="N3126" s="467">
        <f t="shared" si="204"/>
        <v>0.47499999999999998</v>
      </c>
      <c r="O3126" s="467">
        <v>0.85</v>
      </c>
      <c r="P3126" s="467"/>
    </row>
    <row r="3127" spans="1:24" s="453" customFormat="1" x14ac:dyDescent="0.2">
      <c r="A3127" s="411" t="s">
        <v>1487</v>
      </c>
      <c r="B3127" s="1675">
        <v>0.35</v>
      </c>
      <c r="C3127" s="1675">
        <f t="shared" si="201"/>
        <v>0.29333333333333333</v>
      </c>
      <c r="D3127" s="1675">
        <f t="shared" si="202"/>
        <v>0.23250000000000001</v>
      </c>
      <c r="E3127" s="1675">
        <v>0.3</v>
      </c>
      <c r="F3127" s="1675">
        <v>0.21</v>
      </c>
      <c r="G3127" s="1675">
        <v>7.0000000000000007E-2</v>
      </c>
      <c r="H3127" s="1675">
        <f t="shared" si="203"/>
        <v>0.27500000000000002</v>
      </c>
      <c r="I3127" s="1675">
        <v>0</v>
      </c>
      <c r="J3127" s="1675">
        <v>0.28000000000000003</v>
      </c>
      <c r="K3127" s="1675">
        <v>0.28000000000000003</v>
      </c>
      <c r="L3127" s="1675">
        <v>0</v>
      </c>
      <c r="M3127" s="451">
        <v>0.25</v>
      </c>
      <c r="N3127" s="467">
        <f t="shared" si="204"/>
        <v>0.47499999999999998</v>
      </c>
      <c r="O3127" s="467">
        <v>0.85</v>
      </c>
      <c r="P3127" s="467"/>
    </row>
    <row r="3128" spans="1:24" s="535" customFormat="1" x14ac:dyDescent="0.2">
      <c r="A3128" s="518" t="s">
        <v>2198</v>
      </c>
      <c r="F3128" s="1624"/>
      <c r="G3128" s="1624"/>
      <c r="H3128" s="1624"/>
      <c r="I3128" s="1624"/>
      <c r="J3128" s="1624"/>
      <c r="K3128" s="1624"/>
      <c r="L3128" s="1624"/>
      <c r="M3128" s="1624"/>
      <c r="N3128" s="1624"/>
    </row>
    <row r="3129" spans="1:24" s="292" customFormat="1" x14ac:dyDescent="0.2"/>
    <row r="3131" spans="1:24" s="125" customFormat="1" ht="14.25" customHeight="1" x14ac:dyDescent="0.2">
      <c r="A3131" s="377" t="s">
        <v>2228</v>
      </c>
      <c r="D3131" s="1075"/>
      <c r="E3131" s="1075"/>
      <c r="F3131" s="1075"/>
      <c r="G3131" s="1075"/>
      <c r="H3131" s="1075"/>
      <c r="I3131" s="1075"/>
      <c r="L3131" s="1075"/>
    </row>
    <row r="3132" spans="1:24" s="773" customFormat="1" ht="16.25" customHeight="1" x14ac:dyDescent="0.2">
      <c r="A3132" s="753" t="s">
        <v>2234</v>
      </c>
      <c r="B3132" s="442" t="s">
        <v>2230</v>
      </c>
      <c r="C3132" s="442" t="s">
        <v>2230</v>
      </c>
      <c r="D3132" s="442" t="s">
        <v>2230</v>
      </c>
      <c r="E3132" s="442" t="s">
        <v>2230</v>
      </c>
      <c r="F3132" s="442" t="s">
        <v>2231</v>
      </c>
      <c r="G3132" s="442" t="s">
        <v>2230</v>
      </c>
      <c r="H3132" s="442" t="s">
        <v>2230</v>
      </c>
      <c r="I3132" s="442" t="s">
        <v>2230</v>
      </c>
      <c r="J3132" s="442" t="s">
        <v>2230</v>
      </c>
      <c r="K3132" s="442" t="s">
        <v>2230</v>
      </c>
      <c r="L3132" s="442" t="s">
        <v>2230</v>
      </c>
      <c r="M3132" s="442" t="s">
        <v>2230</v>
      </c>
      <c r="N3132" s="442" t="s">
        <v>2230</v>
      </c>
      <c r="O3132" s="442" t="s">
        <v>2230</v>
      </c>
      <c r="P3132" s="442"/>
      <c r="Q3132" s="442"/>
      <c r="R3132" s="442"/>
      <c r="S3132" s="442"/>
      <c r="T3132" s="442"/>
      <c r="U3132" s="442"/>
      <c r="V3132" s="442"/>
    </row>
    <row r="3133" spans="1:24" s="291" customFormat="1" ht="16" x14ac:dyDescent="0.2">
      <c r="A3133" s="1641" t="s">
        <v>57</v>
      </c>
      <c r="B3133" s="1642" t="s">
        <v>1664</v>
      </c>
      <c r="C3133" s="1642" t="s">
        <v>1665</v>
      </c>
      <c r="D3133" s="1642" t="s">
        <v>1666</v>
      </c>
      <c r="E3133" s="1642" t="s">
        <v>1667</v>
      </c>
      <c r="F3133" s="1642" t="s">
        <v>2174</v>
      </c>
      <c r="G3133" s="1642" t="s">
        <v>1668</v>
      </c>
      <c r="H3133" s="1642" t="s">
        <v>1669</v>
      </c>
      <c r="I3133" s="1642" t="s">
        <v>1670</v>
      </c>
      <c r="J3133" s="1642" t="s">
        <v>1671</v>
      </c>
      <c r="K3133" s="1642" t="s">
        <v>1672</v>
      </c>
      <c r="L3133" s="1642" t="s">
        <v>1673</v>
      </c>
      <c r="M3133" s="291" t="s">
        <v>1674</v>
      </c>
      <c r="N3133" s="2152" t="s">
        <v>1675</v>
      </c>
      <c r="O3133" s="2152" t="s">
        <v>1676</v>
      </c>
      <c r="P3133" s="2153" t="s">
        <v>2175</v>
      </c>
      <c r="Q3133" s="453"/>
      <c r="R3133" s="453"/>
      <c r="S3133" s="453"/>
      <c r="T3133" s="453"/>
      <c r="U3133" s="453"/>
      <c r="V3133" s="453"/>
      <c r="W3133" s="21"/>
      <c r="X3133" s="21"/>
    </row>
    <row r="3134" spans="1:24" s="1093" customFormat="1" ht="16" x14ac:dyDescent="0.2">
      <c r="A3134" s="523" t="s">
        <v>2196</v>
      </c>
      <c r="B3134" s="1636" t="s">
        <v>2232</v>
      </c>
      <c r="C3134" s="1636" t="s">
        <v>2232</v>
      </c>
      <c r="D3134" s="1636" t="s">
        <v>2232</v>
      </c>
      <c r="E3134" s="1636" t="s">
        <v>2232</v>
      </c>
      <c r="F3134" s="1636" t="s">
        <v>2232</v>
      </c>
      <c r="G3134" s="1636" t="s">
        <v>2232</v>
      </c>
      <c r="H3134" s="1636" t="s">
        <v>2232</v>
      </c>
      <c r="I3134" s="1636" t="s">
        <v>2232</v>
      </c>
      <c r="J3134" s="1636" t="s">
        <v>2232</v>
      </c>
      <c r="K3134" s="1636" t="s">
        <v>2232</v>
      </c>
      <c r="L3134" s="1636" t="s">
        <v>2232</v>
      </c>
      <c r="M3134" s="1631" t="s">
        <v>2232</v>
      </c>
      <c r="N3134" s="732" t="s">
        <v>2232</v>
      </c>
      <c r="O3134" s="732" t="s">
        <v>2232</v>
      </c>
      <c r="P3134" s="732"/>
      <c r="Q3134" s="1092"/>
      <c r="R3134" s="1092"/>
      <c r="S3134" s="1092"/>
      <c r="T3134" s="1092"/>
      <c r="U3134" s="1092"/>
      <c r="V3134" s="1092"/>
    </row>
    <row r="3135" spans="1:24" s="21" customFormat="1" x14ac:dyDescent="0.2">
      <c r="A3135" s="410" t="s">
        <v>1484</v>
      </c>
      <c r="B3135" s="1673">
        <v>0.4</v>
      </c>
      <c r="C3135" s="1673">
        <v>0.4</v>
      </c>
      <c r="D3135" s="1673">
        <f>AVERAGE(0.4,0.2,0.54,0.16)</f>
        <v>0.32500000000000001</v>
      </c>
      <c r="E3135" s="1673">
        <v>0</v>
      </c>
      <c r="F3135" s="1673">
        <v>0.21</v>
      </c>
      <c r="G3135" s="1673">
        <v>7.0000000000000007E-2</v>
      </c>
      <c r="H3135" s="1673">
        <f>AVERAGE(0.05,0.5)</f>
        <v>0.27500000000000002</v>
      </c>
      <c r="I3135" s="1673">
        <v>0</v>
      </c>
      <c r="J3135" s="1673">
        <v>0.28000000000000003</v>
      </c>
      <c r="K3135" s="1673">
        <v>0.28000000000000003</v>
      </c>
      <c r="L3135" s="1673">
        <f>AVERAGE(0.4,0.48)</f>
        <v>0.44</v>
      </c>
      <c r="M3135" s="451">
        <v>0.3</v>
      </c>
      <c r="N3135" s="467">
        <f>AVERAGE(0.6,0.65,0.65,0.6)</f>
        <v>0.625</v>
      </c>
      <c r="O3135" s="467">
        <v>0</v>
      </c>
      <c r="P3135" s="467"/>
      <c r="Q3135" s="453"/>
      <c r="R3135" s="453"/>
      <c r="S3135" s="453"/>
      <c r="T3135" s="453"/>
      <c r="U3135" s="453"/>
      <c r="V3135" s="453"/>
    </row>
    <row r="3136" spans="1:24" s="21" customFormat="1" x14ac:dyDescent="0.2">
      <c r="A3136" s="411" t="s">
        <v>1483</v>
      </c>
      <c r="B3136" s="1674">
        <v>0.4</v>
      </c>
      <c r="C3136" s="1674">
        <v>0.4</v>
      </c>
      <c r="D3136" s="1674">
        <f t="shared" ref="D3136:D3144" si="205">AVERAGE(0.4,0.2,0.54,0.16)</f>
        <v>0.32500000000000001</v>
      </c>
      <c r="E3136" s="1674">
        <v>0</v>
      </c>
      <c r="F3136" s="1674">
        <v>0.21</v>
      </c>
      <c r="G3136" s="1674">
        <v>7.0000000000000007E-2</v>
      </c>
      <c r="H3136" s="1674">
        <f t="shared" ref="H3136:H3144" si="206">AVERAGE(0.05,0.5)</f>
        <v>0.27500000000000002</v>
      </c>
      <c r="I3136" s="1674">
        <v>0</v>
      </c>
      <c r="J3136" s="1674">
        <v>0.28000000000000003</v>
      </c>
      <c r="K3136" s="1674">
        <v>0.28000000000000003</v>
      </c>
      <c r="L3136" s="1674">
        <f t="shared" ref="L3136:L3144" si="207">AVERAGE(0.4,0.48)</f>
        <v>0.44</v>
      </c>
      <c r="M3136" s="451">
        <v>0.3</v>
      </c>
      <c r="N3136" s="467">
        <f t="shared" ref="N3136:N3144" si="208">AVERAGE(0.6,0.65,0.65,0.6)</f>
        <v>0.625</v>
      </c>
      <c r="O3136" s="467">
        <v>0</v>
      </c>
      <c r="P3136" s="467"/>
      <c r="Q3136" s="453"/>
      <c r="R3136" s="453"/>
      <c r="S3136" s="453"/>
      <c r="T3136" s="453"/>
      <c r="U3136" s="453"/>
      <c r="V3136" s="453"/>
    </row>
    <row r="3137" spans="1:24" s="21" customFormat="1" x14ac:dyDescent="0.2">
      <c r="A3137" s="411" t="s">
        <v>1491</v>
      </c>
      <c r="B3137" s="1674">
        <v>0.4</v>
      </c>
      <c r="C3137" s="1674">
        <v>0.4</v>
      </c>
      <c r="D3137" s="1674">
        <f t="shared" si="205"/>
        <v>0.32500000000000001</v>
      </c>
      <c r="E3137" s="1674">
        <v>0</v>
      </c>
      <c r="F3137" s="1674">
        <v>0.21</v>
      </c>
      <c r="G3137" s="1674">
        <v>7.0000000000000007E-2</v>
      </c>
      <c r="H3137" s="1674">
        <f t="shared" si="206"/>
        <v>0.27500000000000002</v>
      </c>
      <c r="I3137" s="1674">
        <v>0</v>
      </c>
      <c r="J3137" s="1674">
        <v>0.28000000000000003</v>
      </c>
      <c r="K3137" s="1674">
        <v>0.28000000000000003</v>
      </c>
      <c r="L3137" s="1674">
        <f t="shared" si="207"/>
        <v>0.44</v>
      </c>
      <c r="M3137" s="451">
        <v>0.3</v>
      </c>
      <c r="N3137" s="467">
        <f t="shared" si="208"/>
        <v>0.625</v>
      </c>
      <c r="O3137" s="467">
        <v>0</v>
      </c>
      <c r="P3137" s="467"/>
      <c r="Q3137" s="453"/>
      <c r="R3137" s="453"/>
      <c r="S3137" s="453"/>
      <c r="T3137" s="453"/>
      <c r="U3137" s="453"/>
      <c r="V3137" s="453"/>
    </row>
    <row r="3138" spans="1:24" s="21" customFormat="1" x14ac:dyDescent="0.2">
      <c r="A3138" s="411" t="s">
        <v>1490</v>
      </c>
      <c r="B3138" s="1674">
        <v>0.4</v>
      </c>
      <c r="C3138" s="1674">
        <v>0.4</v>
      </c>
      <c r="D3138" s="1674">
        <f t="shared" si="205"/>
        <v>0.32500000000000001</v>
      </c>
      <c r="E3138" s="1674">
        <v>0</v>
      </c>
      <c r="F3138" s="1674">
        <v>0.21</v>
      </c>
      <c r="G3138" s="1674">
        <v>7.0000000000000007E-2</v>
      </c>
      <c r="H3138" s="1674">
        <f t="shared" si="206"/>
        <v>0.27500000000000002</v>
      </c>
      <c r="I3138" s="1674">
        <v>0</v>
      </c>
      <c r="J3138" s="1674">
        <v>0.28000000000000003</v>
      </c>
      <c r="K3138" s="1674">
        <v>0.28000000000000003</v>
      </c>
      <c r="L3138" s="1674">
        <f t="shared" si="207"/>
        <v>0.44</v>
      </c>
      <c r="M3138" s="451">
        <v>0.3</v>
      </c>
      <c r="N3138" s="467">
        <f t="shared" si="208"/>
        <v>0.625</v>
      </c>
      <c r="O3138" s="467">
        <v>0</v>
      </c>
      <c r="P3138" s="467"/>
      <c r="Q3138" s="453"/>
      <c r="R3138" s="453"/>
      <c r="S3138" s="453"/>
      <c r="T3138" s="453"/>
      <c r="U3138" s="453"/>
      <c r="V3138" s="453"/>
    </row>
    <row r="3139" spans="1:24" s="21" customFormat="1" x14ac:dyDescent="0.2">
      <c r="A3139" s="411" t="s">
        <v>1486</v>
      </c>
      <c r="B3139" s="1674">
        <v>0.4</v>
      </c>
      <c r="C3139" s="1674">
        <v>0.4</v>
      </c>
      <c r="D3139" s="1674">
        <f t="shared" si="205"/>
        <v>0.32500000000000001</v>
      </c>
      <c r="E3139" s="1674">
        <v>0</v>
      </c>
      <c r="F3139" s="1674">
        <v>0.21</v>
      </c>
      <c r="G3139" s="1674">
        <v>7.0000000000000007E-2</v>
      </c>
      <c r="H3139" s="1674">
        <f t="shared" si="206"/>
        <v>0.27500000000000002</v>
      </c>
      <c r="I3139" s="1674">
        <v>0</v>
      </c>
      <c r="J3139" s="1674">
        <v>0.28000000000000003</v>
      </c>
      <c r="K3139" s="1674">
        <v>0.28000000000000003</v>
      </c>
      <c r="L3139" s="1674">
        <f t="shared" si="207"/>
        <v>0.44</v>
      </c>
      <c r="M3139" s="451">
        <v>0.3</v>
      </c>
      <c r="N3139" s="467">
        <f t="shared" si="208"/>
        <v>0.625</v>
      </c>
      <c r="O3139" s="467">
        <v>0</v>
      </c>
      <c r="P3139" s="467"/>
      <c r="Q3139" s="453"/>
      <c r="R3139" s="453"/>
      <c r="S3139" s="453"/>
      <c r="T3139" s="453"/>
      <c r="U3139" s="453"/>
      <c r="V3139" s="453"/>
    </row>
    <row r="3140" spans="1:24" s="21" customFormat="1" x14ac:dyDescent="0.2">
      <c r="A3140" s="411" t="s">
        <v>1485</v>
      </c>
      <c r="B3140" s="1674">
        <v>0.4</v>
      </c>
      <c r="C3140" s="1674">
        <v>0.4</v>
      </c>
      <c r="D3140" s="1674">
        <f t="shared" si="205"/>
        <v>0.32500000000000001</v>
      </c>
      <c r="E3140" s="1674">
        <v>0</v>
      </c>
      <c r="F3140" s="1674">
        <v>0.21</v>
      </c>
      <c r="G3140" s="1674">
        <v>7.0000000000000007E-2</v>
      </c>
      <c r="H3140" s="1674">
        <f t="shared" si="206"/>
        <v>0.27500000000000002</v>
      </c>
      <c r="I3140" s="1674">
        <v>0</v>
      </c>
      <c r="J3140" s="1674">
        <v>0.28000000000000003</v>
      </c>
      <c r="K3140" s="1674">
        <v>0.28000000000000003</v>
      </c>
      <c r="L3140" s="1674">
        <f t="shared" si="207"/>
        <v>0.44</v>
      </c>
      <c r="M3140" s="451">
        <v>0.3</v>
      </c>
      <c r="N3140" s="467">
        <f t="shared" si="208"/>
        <v>0.625</v>
      </c>
      <c r="O3140" s="467">
        <v>0</v>
      </c>
      <c r="P3140" s="467"/>
      <c r="Q3140" s="453"/>
      <c r="R3140" s="453"/>
      <c r="S3140" s="453"/>
      <c r="T3140" s="453"/>
      <c r="U3140" s="453"/>
      <c r="V3140" s="453"/>
    </row>
    <row r="3141" spans="1:24" s="21" customFormat="1" x14ac:dyDescent="0.2">
      <c r="A3141" s="411" t="s">
        <v>1359</v>
      </c>
      <c r="B3141" s="1674">
        <v>0.4</v>
      </c>
      <c r="C3141" s="1674">
        <v>0.4</v>
      </c>
      <c r="D3141" s="1674">
        <f t="shared" si="205"/>
        <v>0.32500000000000001</v>
      </c>
      <c r="E3141" s="1674">
        <v>0</v>
      </c>
      <c r="F3141" s="1674">
        <v>0.21</v>
      </c>
      <c r="G3141" s="1674">
        <v>7.0000000000000007E-2</v>
      </c>
      <c r="H3141" s="1674">
        <f t="shared" si="206"/>
        <v>0.27500000000000002</v>
      </c>
      <c r="I3141" s="1674">
        <v>0</v>
      </c>
      <c r="J3141" s="1674">
        <v>0.28000000000000003</v>
      </c>
      <c r="K3141" s="1674">
        <v>0.28000000000000003</v>
      </c>
      <c r="L3141" s="1674">
        <f t="shared" si="207"/>
        <v>0.44</v>
      </c>
      <c r="M3141" s="451">
        <v>0.3</v>
      </c>
      <c r="N3141" s="467">
        <f t="shared" si="208"/>
        <v>0.625</v>
      </c>
      <c r="O3141" s="467">
        <v>0</v>
      </c>
      <c r="P3141" s="467"/>
      <c r="Q3141" s="453"/>
      <c r="R3141" s="453"/>
      <c r="S3141" s="453"/>
      <c r="T3141" s="453"/>
      <c r="U3141" s="453"/>
      <c r="V3141" s="453"/>
    </row>
    <row r="3142" spans="1:24" s="21" customFormat="1" x14ac:dyDescent="0.2">
      <c r="A3142" s="411" t="s">
        <v>1489</v>
      </c>
      <c r="B3142" s="1674">
        <v>0.4</v>
      </c>
      <c r="C3142" s="1674">
        <v>0.4</v>
      </c>
      <c r="D3142" s="1674">
        <f t="shared" si="205"/>
        <v>0.32500000000000001</v>
      </c>
      <c r="E3142" s="1674">
        <v>0</v>
      </c>
      <c r="F3142" s="1674">
        <v>0.21</v>
      </c>
      <c r="G3142" s="1674">
        <v>7.0000000000000007E-2</v>
      </c>
      <c r="H3142" s="1674">
        <f t="shared" si="206"/>
        <v>0.27500000000000002</v>
      </c>
      <c r="I3142" s="1674">
        <v>0</v>
      </c>
      <c r="J3142" s="1674">
        <v>0.28000000000000003</v>
      </c>
      <c r="K3142" s="1674">
        <v>0.28000000000000003</v>
      </c>
      <c r="L3142" s="1674">
        <f t="shared" si="207"/>
        <v>0.44</v>
      </c>
      <c r="M3142" s="451">
        <v>0.3</v>
      </c>
      <c r="N3142" s="467">
        <f t="shared" si="208"/>
        <v>0.625</v>
      </c>
      <c r="O3142" s="467">
        <v>0</v>
      </c>
      <c r="P3142" s="467"/>
    </row>
    <row r="3143" spans="1:24" s="453" customFormat="1" x14ac:dyDescent="0.2">
      <c r="A3143" s="411" t="s">
        <v>1488</v>
      </c>
      <c r="B3143" s="1674">
        <v>0.4</v>
      </c>
      <c r="C3143" s="1674">
        <v>0.4</v>
      </c>
      <c r="D3143" s="1674">
        <f t="shared" si="205"/>
        <v>0.32500000000000001</v>
      </c>
      <c r="E3143" s="1674">
        <v>0</v>
      </c>
      <c r="F3143" s="1674">
        <v>0.21</v>
      </c>
      <c r="G3143" s="1674">
        <v>7.0000000000000007E-2</v>
      </c>
      <c r="H3143" s="1674">
        <f t="shared" si="206"/>
        <v>0.27500000000000002</v>
      </c>
      <c r="I3143" s="1674">
        <v>0</v>
      </c>
      <c r="J3143" s="1674">
        <v>0.28000000000000003</v>
      </c>
      <c r="K3143" s="1674">
        <v>0.28000000000000003</v>
      </c>
      <c r="L3143" s="1674">
        <f t="shared" si="207"/>
        <v>0.44</v>
      </c>
      <c r="M3143" s="451">
        <v>0.3</v>
      </c>
      <c r="N3143" s="467">
        <f t="shared" si="208"/>
        <v>0.625</v>
      </c>
      <c r="O3143" s="467">
        <v>0</v>
      </c>
      <c r="P3143" s="467"/>
    </row>
    <row r="3144" spans="1:24" s="453" customFormat="1" x14ac:dyDescent="0.2">
      <c r="A3144" s="411" t="s">
        <v>1487</v>
      </c>
      <c r="B3144" s="1675">
        <v>0.4</v>
      </c>
      <c r="C3144" s="1675">
        <v>0.4</v>
      </c>
      <c r="D3144" s="1675">
        <f t="shared" si="205"/>
        <v>0.32500000000000001</v>
      </c>
      <c r="E3144" s="1675">
        <v>0</v>
      </c>
      <c r="F3144" s="1675">
        <v>0.21</v>
      </c>
      <c r="G3144" s="1675">
        <v>7.0000000000000007E-2</v>
      </c>
      <c r="H3144" s="1675">
        <f t="shared" si="206"/>
        <v>0.27500000000000002</v>
      </c>
      <c r="I3144" s="1675">
        <v>0</v>
      </c>
      <c r="J3144" s="1675">
        <v>0.28000000000000003</v>
      </c>
      <c r="K3144" s="1675">
        <v>0.28000000000000003</v>
      </c>
      <c r="L3144" s="1675">
        <f t="shared" si="207"/>
        <v>0.44</v>
      </c>
      <c r="M3144" s="451">
        <v>0.3</v>
      </c>
      <c r="N3144" s="467">
        <f t="shared" si="208"/>
        <v>0.625</v>
      </c>
      <c r="O3144" s="467">
        <v>0</v>
      </c>
      <c r="P3144" s="467"/>
    </row>
    <row r="3145" spans="1:24" s="535" customFormat="1" x14ac:dyDescent="0.2">
      <c r="A3145" s="518" t="s">
        <v>2198</v>
      </c>
      <c r="F3145" s="1624"/>
      <c r="G3145" s="1624"/>
      <c r="H3145" s="1624"/>
      <c r="I3145" s="1624"/>
      <c r="J3145" s="1624"/>
      <c r="K3145" s="1624"/>
      <c r="L3145" s="1624"/>
      <c r="M3145" s="1624"/>
      <c r="N3145" s="1624"/>
    </row>
    <row r="3146" spans="1:24" s="292" customFormat="1" x14ac:dyDescent="0.2"/>
    <row r="3148" spans="1:24" s="125" customFormat="1" ht="14.25" customHeight="1" x14ac:dyDescent="0.2">
      <c r="A3148" s="377" t="s">
        <v>2228</v>
      </c>
      <c r="D3148" s="1075"/>
      <c r="E3148" s="1075"/>
      <c r="F3148" s="1075"/>
      <c r="G3148" s="1075"/>
      <c r="H3148" s="1075"/>
      <c r="I3148" s="1075"/>
      <c r="L3148" s="1075"/>
    </row>
    <row r="3149" spans="1:24" s="773" customFormat="1" ht="16.25" customHeight="1" x14ac:dyDescent="0.2">
      <c r="A3149" s="753" t="s">
        <v>5279</v>
      </c>
      <c r="B3149" s="442" t="s">
        <v>2230</v>
      </c>
      <c r="C3149" s="442" t="s">
        <v>2230</v>
      </c>
      <c r="D3149" s="442" t="s">
        <v>2230</v>
      </c>
      <c r="E3149" s="442" t="s">
        <v>2230</v>
      </c>
      <c r="F3149" s="442" t="s">
        <v>2231</v>
      </c>
      <c r="G3149" s="442" t="s">
        <v>2230</v>
      </c>
      <c r="H3149" s="442" t="s">
        <v>2230</v>
      </c>
      <c r="I3149" s="442" t="s">
        <v>2230</v>
      </c>
      <c r="J3149" s="442" t="s">
        <v>2230</v>
      </c>
      <c r="K3149" s="442" t="s">
        <v>2230</v>
      </c>
      <c r="L3149" s="442" t="s">
        <v>2230</v>
      </c>
      <c r="M3149" s="442" t="s">
        <v>2230</v>
      </c>
      <c r="N3149" s="442" t="s">
        <v>2230</v>
      </c>
      <c r="O3149" s="442" t="s">
        <v>2230</v>
      </c>
      <c r="P3149" s="442"/>
      <c r="Q3149" s="442"/>
      <c r="R3149" s="442"/>
      <c r="S3149" s="442"/>
      <c r="T3149" s="442"/>
      <c r="U3149" s="442"/>
      <c r="V3149" s="442"/>
    </row>
    <row r="3150" spans="1:24" s="291" customFormat="1" ht="16" x14ac:dyDescent="0.2">
      <c r="A3150" s="1641" t="s">
        <v>57</v>
      </c>
      <c r="B3150" s="1642" t="s">
        <v>1664</v>
      </c>
      <c r="C3150" s="1642" t="s">
        <v>1665</v>
      </c>
      <c r="D3150" s="1642" t="s">
        <v>1666</v>
      </c>
      <c r="E3150" s="1642" t="s">
        <v>1667</v>
      </c>
      <c r="F3150" s="1642" t="s">
        <v>2174</v>
      </c>
      <c r="G3150" s="1642" t="s">
        <v>1668</v>
      </c>
      <c r="H3150" s="1642" t="s">
        <v>1669</v>
      </c>
      <c r="I3150" s="1642" t="s">
        <v>1670</v>
      </c>
      <c r="J3150" s="1642" t="s">
        <v>1671</v>
      </c>
      <c r="K3150" s="1642" t="s">
        <v>1672</v>
      </c>
      <c r="L3150" s="1642" t="s">
        <v>1673</v>
      </c>
      <c r="M3150" s="291" t="s">
        <v>1674</v>
      </c>
      <c r="N3150" s="2152" t="s">
        <v>1675</v>
      </c>
      <c r="O3150" s="2152" t="s">
        <v>1676</v>
      </c>
      <c r="P3150" s="2153" t="s">
        <v>2175</v>
      </c>
      <c r="Q3150" s="453"/>
      <c r="R3150" s="453"/>
      <c r="S3150" s="453"/>
      <c r="T3150" s="453"/>
      <c r="U3150" s="453"/>
      <c r="V3150" s="453"/>
      <c r="W3150" s="21"/>
      <c r="X3150" s="21"/>
    </row>
    <row r="3151" spans="1:24" s="1093" customFormat="1" ht="16" x14ac:dyDescent="0.2">
      <c r="A3151" s="523" t="s">
        <v>2196</v>
      </c>
      <c r="B3151" s="1636" t="s">
        <v>2232</v>
      </c>
      <c r="C3151" s="1636" t="s">
        <v>2232</v>
      </c>
      <c r="D3151" s="1636" t="s">
        <v>2232</v>
      </c>
      <c r="E3151" s="1636" t="s">
        <v>2232</v>
      </c>
      <c r="F3151" s="1636" t="s">
        <v>2232</v>
      </c>
      <c r="G3151" s="1636" t="s">
        <v>2232</v>
      </c>
      <c r="H3151" s="1636" t="s">
        <v>2232</v>
      </c>
      <c r="I3151" s="1636" t="s">
        <v>2232</v>
      </c>
      <c r="J3151" s="1636" t="s">
        <v>2232</v>
      </c>
      <c r="K3151" s="1636" t="s">
        <v>2232</v>
      </c>
      <c r="L3151" s="1636" t="s">
        <v>2232</v>
      </c>
      <c r="M3151" s="1631" t="s">
        <v>2232</v>
      </c>
      <c r="N3151" s="732" t="s">
        <v>2232</v>
      </c>
      <c r="O3151" s="732" t="s">
        <v>2232</v>
      </c>
      <c r="P3151" s="732"/>
      <c r="Q3151" s="1092"/>
      <c r="R3151" s="1092"/>
      <c r="S3151" s="1092"/>
      <c r="T3151" s="1092"/>
      <c r="U3151" s="1092"/>
      <c r="V3151" s="1092"/>
    </row>
    <row r="3152" spans="1:24" s="21" customFormat="1" x14ac:dyDescent="0.2">
      <c r="A3152" s="410" t="s">
        <v>1484</v>
      </c>
      <c r="B3152" s="1673">
        <v>0.35</v>
      </c>
      <c r="C3152" s="1673">
        <f>AVERAGE(0.3,0.48,0.1)</f>
        <v>0.29333333333333333</v>
      </c>
      <c r="D3152" s="1673">
        <f>AVERAGE(0.45,0.22,0.58,0.17)</f>
        <v>0.35499999999999998</v>
      </c>
      <c r="E3152" s="1673">
        <v>0.3</v>
      </c>
      <c r="F3152" s="1673">
        <v>0.21</v>
      </c>
      <c r="G3152" s="1673">
        <v>7.0000000000000007E-2</v>
      </c>
      <c r="H3152" s="1673">
        <f>AVERAGE(0.05,0.5)</f>
        <v>0.27500000000000002</v>
      </c>
      <c r="I3152" s="1673">
        <v>0</v>
      </c>
      <c r="J3152" s="1673">
        <v>0.25</v>
      </c>
      <c r="K3152" s="1673">
        <v>0.25</v>
      </c>
      <c r="L3152" s="1673">
        <v>0</v>
      </c>
      <c r="M3152" s="451">
        <v>0.25</v>
      </c>
      <c r="N3152" s="467">
        <f>AVERAGE(0.6,0.65,0.65,0.6)</f>
        <v>0.625</v>
      </c>
      <c r="O3152" s="467">
        <v>0.85</v>
      </c>
      <c r="P3152" s="467"/>
      <c r="Q3152" s="453"/>
      <c r="R3152" s="453"/>
      <c r="S3152" s="453"/>
      <c r="T3152" s="453"/>
      <c r="U3152" s="453"/>
      <c r="V3152" s="453"/>
    </row>
    <row r="3153" spans="1:25" s="21" customFormat="1" x14ac:dyDescent="0.2">
      <c r="A3153" s="411" t="s">
        <v>1483</v>
      </c>
      <c r="B3153" s="1674">
        <v>0.35</v>
      </c>
      <c r="C3153" s="1674">
        <f t="shared" ref="C3153:C3161" si="209">AVERAGE(0.3,0.48,0.1)</f>
        <v>0.29333333333333333</v>
      </c>
      <c r="D3153" s="1674">
        <f t="shared" ref="D3153:D3161" si="210">AVERAGE(0.45,0.22,0.58,0.17)</f>
        <v>0.35499999999999998</v>
      </c>
      <c r="E3153" s="1674">
        <v>0.3</v>
      </c>
      <c r="F3153" s="1674">
        <v>0.21</v>
      </c>
      <c r="G3153" s="1674">
        <v>7.0000000000000007E-2</v>
      </c>
      <c r="H3153" s="1674">
        <f t="shared" ref="H3153:H3161" si="211">AVERAGE(0.05,0.5)</f>
        <v>0.27500000000000002</v>
      </c>
      <c r="I3153" s="1674">
        <v>0</v>
      </c>
      <c r="J3153" s="1674">
        <v>0.25</v>
      </c>
      <c r="K3153" s="1674">
        <v>0.25</v>
      </c>
      <c r="L3153" s="1674">
        <v>0</v>
      </c>
      <c r="M3153" s="451">
        <v>0.25</v>
      </c>
      <c r="N3153" s="467">
        <f t="shared" ref="N3153:N3161" si="212">AVERAGE(0.6,0.65,0.65,0.6)</f>
        <v>0.625</v>
      </c>
      <c r="O3153" s="467">
        <v>0.85</v>
      </c>
      <c r="P3153" s="467"/>
      <c r="Q3153" s="453"/>
      <c r="R3153" s="453"/>
      <c r="S3153" s="453"/>
      <c r="T3153" s="453"/>
      <c r="U3153" s="453"/>
      <c r="V3153" s="453"/>
    </row>
    <row r="3154" spans="1:25" s="21" customFormat="1" x14ac:dyDescent="0.2">
      <c r="A3154" s="411" t="s">
        <v>1491</v>
      </c>
      <c r="B3154" s="1674">
        <v>0.35</v>
      </c>
      <c r="C3154" s="1674">
        <f t="shared" si="209"/>
        <v>0.29333333333333333</v>
      </c>
      <c r="D3154" s="1674">
        <f t="shared" si="210"/>
        <v>0.35499999999999998</v>
      </c>
      <c r="E3154" s="1674">
        <v>0.3</v>
      </c>
      <c r="F3154" s="1674">
        <v>0.21</v>
      </c>
      <c r="G3154" s="1674">
        <v>7.0000000000000007E-2</v>
      </c>
      <c r="H3154" s="1674">
        <f t="shared" si="211"/>
        <v>0.27500000000000002</v>
      </c>
      <c r="I3154" s="1674">
        <v>0</v>
      </c>
      <c r="J3154" s="1674">
        <v>0.25</v>
      </c>
      <c r="K3154" s="1674">
        <v>0.25</v>
      </c>
      <c r="L3154" s="1674">
        <v>0</v>
      </c>
      <c r="M3154" s="451">
        <v>0.25</v>
      </c>
      <c r="N3154" s="467">
        <f>AVERAGE(0.6,0.65,0.65,0.6)</f>
        <v>0.625</v>
      </c>
      <c r="O3154" s="467">
        <v>0.85</v>
      </c>
      <c r="P3154" s="467"/>
      <c r="Q3154" s="453"/>
      <c r="R3154" s="453"/>
      <c r="S3154" s="453"/>
      <c r="T3154" s="453"/>
      <c r="U3154" s="453"/>
      <c r="V3154" s="453"/>
    </row>
    <row r="3155" spans="1:25" s="21" customFormat="1" x14ac:dyDescent="0.2">
      <c r="A3155" s="411" t="s">
        <v>1490</v>
      </c>
      <c r="B3155" s="1674">
        <v>0.35</v>
      </c>
      <c r="C3155" s="1674">
        <f t="shared" si="209"/>
        <v>0.29333333333333333</v>
      </c>
      <c r="D3155" s="1674">
        <f t="shared" si="210"/>
        <v>0.35499999999999998</v>
      </c>
      <c r="E3155" s="1674">
        <v>0.3</v>
      </c>
      <c r="F3155" s="1674">
        <v>0.21</v>
      </c>
      <c r="G3155" s="1674">
        <v>7.0000000000000007E-2</v>
      </c>
      <c r="H3155" s="1674">
        <f t="shared" si="211"/>
        <v>0.27500000000000002</v>
      </c>
      <c r="I3155" s="1674">
        <v>0</v>
      </c>
      <c r="J3155" s="1674">
        <v>0.25</v>
      </c>
      <c r="K3155" s="1674">
        <v>0.25</v>
      </c>
      <c r="L3155" s="1674">
        <v>0</v>
      </c>
      <c r="M3155" s="451">
        <v>0.25</v>
      </c>
      <c r="N3155" s="467">
        <f t="shared" si="212"/>
        <v>0.625</v>
      </c>
      <c r="O3155" s="467">
        <v>0.85</v>
      </c>
      <c r="P3155" s="467"/>
      <c r="Q3155" s="453"/>
      <c r="R3155" s="453"/>
      <c r="S3155" s="453"/>
      <c r="T3155" s="453"/>
      <c r="U3155" s="453"/>
      <c r="V3155" s="453"/>
    </row>
    <row r="3156" spans="1:25" s="21" customFormat="1" x14ac:dyDescent="0.2">
      <c r="A3156" s="411" t="s">
        <v>1486</v>
      </c>
      <c r="B3156" s="1674">
        <v>0.35</v>
      </c>
      <c r="C3156" s="1674">
        <f t="shared" si="209"/>
        <v>0.29333333333333333</v>
      </c>
      <c r="D3156" s="1674">
        <f t="shared" si="210"/>
        <v>0.35499999999999998</v>
      </c>
      <c r="E3156" s="1674">
        <v>0.3</v>
      </c>
      <c r="F3156" s="1674">
        <v>0.21</v>
      </c>
      <c r="G3156" s="1674">
        <v>7.0000000000000007E-2</v>
      </c>
      <c r="H3156" s="1674">
        <f t="shared" si="211"/>
        <v>0.27500000000000002</v>
      </c>
      <c r="I3156" s="1674">
        <v>0</v>
      </c>
      <c r="J3156" s="1674">
        <v>0.25</v>
      </c>
      <c r="K3156" s="1674">
        <v>0.25</v>
      </c>
      <c r="L3156" s="1674">
        <v>0</v>
      </c>
      <c r="M3156" s="451">
        <v>0.25</v>
      </c>
      <c r="N3156" s="467">
        <f t="shared" si="212"/>
        <v>0.625</v>
      </c>
      <c r="O3156" s="467">
        <v>0.85</v>
      </c>
      <c r="P3156" s="467"/>
      <c r="Q3156" s="453"/>
      <c r="R3156" s="453"/>
      <c r="S3156" s="453"/>
      <c r="T3156" s="453"/>
      <c r="U3156" s="453"/>
      <c r="V3156" s="453"/>
    </row>
    <row r="3157" spans="1:25" s="21" customFormat="1" x14ac:dyDescent="0.2">
      <c r="A3157" s="411" t="s">
        <v>1485</v>
      </c>
      <c r="B3157" s="1674">
        <v>0.35</v>
      </c>
      <c r="C3157" s="1674">
        <f t="shared" si="209"/>
        <v>0.29333333333333333</v>
      </c>
      <c r="D3157" s="1674">
        <f t="shared" si="210"/>
        <v>0.35499999999999998</v>
      </c>
      <c r="E3157" s="1674">
        <v>0.3</v>
      </c>
      <c r="F3157" s="1674">
        <v>0.21</v>
      </c>
      <c r="G3157" s="1674">
        <v>7.0000000000000007E-2</v>
      </c>
      <c r="H3157" s="1674">
        <f t="shared" si="211"/>
        <v>0.27500000000000002</v>
      </c>
      <c r="I3157" s="1674">
        <v>0</v>
      </c>
      <c r="J3157" s="1674">
        <v>0.25</v>
      </c>
      <c r="K3157" s="1674">
        <v>0.25</v>
      </c>
      <c r="L3157" s="1674">
        <v>0</v>
      </c>
      <c r="M3157" s="451">
        <v>0.25</v>
      </c>
      <c r="N3157" s="467">
        <f t="shared" si="212"/>
        <v>0.625</v>
      </c>
      <c r="O3157" s="467">
        <v>0.85</v>
      </c>
      <c r="P3157" s="467"/>
      <c r="Q3157" s="453"/>
      <c r="R3157" s="453"/>
      <c r="S3157" s="453"/>
      <c r="T3157" s="453"/>
      <c r="U3157" s="453"/>
      <c r="V3157" s="453"/>
    </row>
    <row r="3158" spans="1:25" s="21" customFormat="1" x14ac:dyDescent="0.2">
      <c r="A3158" s="411" t="s">
        <v>1359</v>
      </c>
      <c r="B3158" s="1674">
        <v>0.35</v>
      </c>
      <c r="C3158" s="1674">
        <f t="shared" si="209"/>
        <v>0.29333333333333333</v>
      </c>
      <c r="D3158" s="1674">
        <f t="shared" si="210"/>
        <v>0.35499999999999998</v>
      </c>
      <c r="E3158" s="1674">
        <v>0.3</v>
      </c>
      <c r="F3158" s="1674">
        <v>0.21</v>
      </c>
      <c r="G3158" s="1674">
        <v>7.0000000000000007E-2</v>
      </c>
      <c r="H3158" s="1674">
        <f t="shared" si="211"/>
        <v>0.27500000000000002</v>
      </c>
      <c r="I3158" s="1674">
        <v>0</v>
      </c>
      <c r="J3158" s="1674">
        <v>0.25</v>
      </c>
      <c r="K3158" s="1674">
        <v>0.25</v>
      </c>
      <c r="L3158" s="1674">
        <v>0</v>
      </c>
      <c r="M3158" s="451">
        <v>0.25</v>
      </c>
      <c r="N3158" s="467">
        <f t="shared" si="212"/>
        <v>0.625</v>
      </c>
      <c r="O3158" s="467">
        <v>0.85</v>
      </c>
      <c r="P3158" s="467"/>
      <c r="Q3158" s="453"/>
      <c r="R3158" s="453"/>
      <c r="S3158" s="453"/>
      <c r="T3158" s="453"/>
      <c r="U3158" s="453"/>
      <c r="V3158" s="453"/>
    </row>
    <row r="3159" spans="1:25" s="21" customFormat="1" x14ac:dyDescent="0.2">
      <c r="A3159" s="411" t="s">
        <v>1489</v>
      </c>
      <c r="B3159" s="1674">
        <v>0.35</v>
      </c>
      <c r="C3159" s="1674">
        <f t="shared" si="209"/>
        <v>0.29333333333333333</v>
      </c>
      <c r="D3159" s="1674">
        <f t="shared" si="210"/>
        <v>0.35499999999999998</v>
      </c>
      <c r="E3159" s="1674">
        <v>0.3</v>
      </c>
      <c r="F3159" s="1674">
        <v>0.21</v>
      </c>
      <c r="G3159" s="1674">
        <v>7.0000000000000007E-2</v>
      </c>
      <c r="H3159" s="1674">
        <f t="shared" si="211"/>
        <v>0.27500000000000002</v>
      </c>
      <c r="I3159" s="1674">
        <v>0</v>
      </c>
      <c r="J3159" s="1674">
        <v>0.25</v>
      </c>
      <c r="K3159" s="1674">
        <v>0.25</v>
      </c>
      <c r="L3159" s="1674">
        <v>0</v>
      </c>
      <c r="M3159" s="451">
        <v>0.25</v>
      </c>
      <c r="N3159" s="467">
        <f t="shared" si="212"/>
        <v>0.625</v>
      </c>
      <c r="O3159" s="467">
        <v>0.85</v>
      </c>
      <c r="P3159" s="467"/>
    </row>
    <row r="3160" spans="1:25" s="453" customFormat="1" x14ac:dyDescent="0.2">
      <c r="A3160" s="411" t="s">
        <v>1488</v>
      </c>
      <c r="B3160" s="1674">
        <v>0.35</v>
      </c>
      <c r="C3160" s="1674">
        <f t="shared" si="209"/>
        <v>0.29333333333333333</v>
      </c>
      <c r="D3160" s="1674">
        <f t="shared" si="210"/>
        <v>0.35499999999999998</v>
      </c>
      <c r="E3160" s="1674">
        <v>0.3</v>
      </c>
      <c r="F3160" s="1674">
        <v>0.21</v>
      </c>
      <c r="G3160" s="1674">
        <v>7.0000000000000007E-2</v>
      </c>
      <c r="H3160" s="1674">
        <f t="shared" si="211"/>
        <v>0.27500000000000002</v>
      </c>
      <c r="I3160" s="1674">
        <v>0</v>
      </c>
      <c r="J3160" s="1674">
        <v>0.25</v>
      </c>
      <c r="K3160" s="1674">
        <v>0.25</v>
      </c>
      <c r="L3160" s="1674">
        <v>0</v>
      </c>
      <c r="M3160" s="451">
        <v>0.25</v>
      </c>
      <c r="N3160" s="467">
        <f t="shared" si="212"/>
        <v>0.625</v>
      </c>
      <c r="O3160" s="467">
        <v>0.85</v>
      </c>
      <c r="P3160" s="467"/>
    </row>
    <row r="3161" spans="1:25" s="453" customFormat="1" x14ac:dyDescent="0.2">
      <c r="A3161" s="411" t="s">
        <v>1487</v>
      </c>
      <c r="B3161" s="1675">
        <v>0.35</v>
      </c>
      <c r="C3161" s="1675">
        <f t="shared" si="209"/>
        <v>0.29333333333333333</v>
      </c>
      <c r="D3161" s="1675">
        <f t="shared" si="210"/>
        <v>0.35499999999999998</v>
      </c>
      <c r="E3161" s="1675">
        <v>0.3</v>
      </c>
      <c r="F3161" s="1675">
        <v>0.21</v>
      </c>
      <c r="G3161" s="1675">
        <v>7.0000000000000007E-2</v>
      </c>
      <c r="H3161" s="1675">
        <f t="shared" si="211"/>
        <v>0.27500000000000002</v>
      </c>
      <c r="I3161" s="1675">
        <v>0</v>
      </c>
      <c r="J3161" s="1675">
        <v>0.25</v>
      </c>
      <c r="K3161" s="1675">
        <v>0.25</v>
      </c>
      <c r="L3161" s="1675">
        <v>0</v>
      </c>
      <c r="M3161" s="451">
        <v>0.25</v>
      </c>
      <c r="N3161" s="467">
        <f t="shared" si="212"/>
        <v>0.625</v>
      </c>
      <c r="O3161" s="467">
        <v>0.85</v>
      </c>
      <c r="P3161" s="467"/>
    </row>
    <row r="3162" spans="1:25" s="535" customFormat="1" x14ac:dyDescent="0.2">
      <c r="A3162" s="518" t="s">
        <v>2198</v>
      </c>
      <c r="F3162" s="1624"/>
      <c r="G3162" s="1624"/>
      <c r="H3162" s="1624"/>
      <c r="I3162" s="1624"/>
      <c r="J3162" s="1624"/>
      <c r="K3162" s="1624"/>
      <c r="L3162" s="1624"/>
      <c r="M3162" s="1624"/>
      <c r="N3162" s="1624"/>
    </row>
    <row r="3163" spans="1:25" s="292" customFormat="1" x14ac:dyDescent="0.2"/>
    <row r="3165" spans="1:25" s="125" customFormat="1" ht="14.25" customHeight="1" x14ac:dyDescent="0.2">
      <c r="A3165" s="377" t="s">
        <v>2228</v>
      </c>
      <c r="D3165" s="1075"/>
      <c r="E3165" s="1075"/>
      <c r="F3165" s="1075"/>
      <c r="G3165" s="1075"/>
      <c r="H3165" s="1075"/>
      <c r="I3165" s="1075"/>
      <c r="L3165" s="1075"/>
    </row>
    <row r="3166" spans="1:25" s="773" customFormat="1" ht="16.25" customHeight="1" x14ac:dyDescent="0.2">
      <c r="A3166" s="753" t="s">
        <v>2235</v>
      </c>
      <c r="B3166" s="442" t="s">
        <v>2230</v>
      </c>
      <c r="C3166" s="442" t="s">
        <v>2230</v>
      </c>
      <c r="D3166" s="442" t="s">
        <v>2230</v>
      </c>
      <c r="E3166" s="442" t="s">
        <v>2230</v>
      </c>
      <c r="F3166" s="442" t="s">
        <v>2231</v>
      </c>
      <c r="G3166" s="442" t="s">
        <v>2230</v>
      </c>
      <c r="H3166" s="442" t="s">
        <v>2230</v>
      </c>
      <c r="I3166" s="442" t="s">
        <v>2230</v>
      </c>
      <c r="J3166" s="442" t="s">
        <v>2230</v>
      </c>
      <c r="K3166" s="442" t="s">
        <v>2230</v>
      </c>
      <c r="L3166" s="442" t="s">
        <v>2230</v>
      </c>
      <c r="M3166" s="442" t="s">
        <v>2230</v>
      </c>
      <c r="N3166" s="442" t="s">
        <v>2230</v>
      </c>
      <c r="O3166" s="442" t="s">
        <v>2230</v>
      </c>
      <c r="P3166" s="442"/>
      <c r="Q3166" s="442"/>
      <c r="R3166" s="442"/>
      <c r="S3166" s="442"/>
      <c r="T3166" s="442"/>
      <c r="U3166" s="442"/>
      <c r="V3166" s="442"/>
    </row>
    <row r="3167" spans="1:25" s="291" customFormat="1" ht="16" x14ac:dyDescent="0.2">
      <c r="A3167" s="1641" t="s">
        <v>57</v>
      </c>
      <c r="B3167" s="1642" t="s">
        <v>1664</v>
      </c>
      <c r="C3167" s="1642" t="s">
        <v>1665</v>
      </c>
      <c r="D3167" s="1642" t="s">
        <v>1666</v>
      </c>
      <c r="E3167" s="1642" t="s">
        <v>1667</v>
      </c>
      <c r="F3167" s="1642" t="s">
        <v>2174</v>
      </c>
      <c r="G3167" s="1642" t="s">
        <v>1668</v>
      </c>
      <c r="H3167" s="1642" t="s">
        <v>1669</v>
      </c>
      <c r="I3167" s="1642" t="s">
        <v>1670</v>
      </c>
      <c r="J3167" s="1642" t="s">
        <v>1671</v>
      </c>
      <c r="K3167" s="1642" t="s">
        <v>1672</v>
      </c>
      <c r="L3167" s="1642" t="s">
        <v>1673</v>
      </c>
      <c r="M3167" s="291" t="s">
        <v>1674</v>
      </c>
      <c r="N3167" s="2152" t="s">
        <v>1675</v>
      </c>
      <c r="O3167" s="2152" t="s">
        <v>1676</v>
      </c>
      <c r="P3167" s="2153" t="s">
        <v>2175</v>
      </c>
      <c r="Q3167" s="453"/>
      <c r="R3167" s="453"/>
      <c r="S3167" s="453"/>
      <c r="T3167" s="453"/>
      <c r="U3167" s="453"/>
      <c r="V3167" s="453"/>
      <c r="W3167" s="453"/>
      <c r="X3167" s="21"/>
      <c r="Y3167" s="21"/>
    </row>
    <row r="3168" spans="1:25" s="1093" customFormat="1" ht="16" x14ac:dyDescent="0.2">
      <c r="A3168" s="523" t="s">
        <v>2196</v>
      </c>
      <c r="B3168" s="1636" t="s">
        <v>2232</v>
      </c>
      <c r="C3168" s="1636" t="s">
        <v>2232</v>
      </c>
      <c r="D3168" s="1636" t="s">
        <v>2232</v>
      </c>
      <c r="E3168" s="1636" t="s">
        <v>2232</v>
      </c>
      <c r="F3168" s="1636" t="s">
        <v>2232</v>
      </c>
      <c r="G3168" s="1636" t="s">
        <v>2232</v>
      </c>
      <c r="H3168" s="1636" t="s">
        <v>2232</v>
      </c>
      <c r="I3168" s="1636" t="s">
        <v>2232</v>
      </c>
      <c r="J3168" s="1636" t="s">
        <v>2232</v>
      </c>
      <c r="K3168" s="1636" t="s">
        <v>2232</v>
      </c>
      <c r="L3168" s="1636" t="s">
        <v>2232</v>
      </c>
      <c r="M3168" s="1631" t="s">
        <v>2232</v>
      </c>
      <c r="N3168" s="732" t="s">
        <v>2232</v>
      </c>
      <c r="O3168" s="732" t="s">
        <v>2232</v>
      </c>
      <c r="P3168" s="732"/>
      <c r="Q3168" s="1092"/>
      <c r="R3168" s="1092"/>
      <c r="S3168" s="1092"/>
      <c r="T3168" s="1092"/>
      <c r="U3168" s="1092"/>
      <c r="V3168" s="1092"/>
      <c r="W3168" s="1092"/>
    </row>
    <row r="3169" spans="1:24" s="21" customFormat="1" x14ac:dyDescent="0.2">
      <c r="A3169" s="410" t="s">
        <v>1484</v>
      </c>
      <c r="B3169" s="1673">
        <v>0.35</v>
      </c>
      <c r="C3169" s="1673">
        <f>AVERAGE(0.09,0.15,0.03)</f>
        <v>9.0000000000000011E-2</v>
      </c>
      <c r="D3169" s="1673">
        <f>AVERAGE(0.12,0.05,0.15,0.04)</f>
        <v>8.9999999999999983E-2</v>
      </c>
      <c r="E3169" s="1673">
        <v>0.3</v>
      </c>
      <c r="F3169" s="1673">
        <v>0.21</v>
      </c>
      <c r="G3169" s="1673">
        <v>7.0000000000000007E-2</v>
      </c>
      <c r="H3169" s="1673">
        <f>AVERAGE(0.05,0.5)</f>
        <v>0.27500000000000002</v>
      </c>
      <c r="I3169" s="1673">
        <v>0</v>
      </c>
      <c r="J3169" s="1673">
        <v>0.25</v>
      </c>
      <c r="K3169" s="1673">
        <v>0.25</v>
      </c>
      <c r="L3169" s="1673">
        <v>0</v>
      </c>
      <c r="M3169" s="451">
        <v>0.4</v>
      </c>
      <c r="N3169" s="467">
        <f>AVERAGE(0.18,0.2,0.2,0.18)</f>
        <v>0.19</v>
      </c>
      <c r="O3169" s="467">
        <v>0.27</v>
      </c>
      <c r="P3169" s="467"/>
      <c r="Q3169" s="453"/>
      <c r="R3169" s="453"/>
      <c r="S3169" s="453"/>
      <c r="T3169" s="453"/>
      <c r="U3169" s="453"/>
      <c r="V3169" s="453"/>
      <c r="W3169" s="453"/>
    </row>
    <row r="3170" spans="1:24" s="21" customFormat="1" x14ac:dyDescent="0.2">
      <c r="A3170" s="411" t="s">
        <v>1483</v>
      </c>
      <c r="B3170" s="1674">
        <v>0.35</v>
      </c>
      <c r="C3170" s="1674">
        <f t="shared" ref="C3170:C3178" si="213">AVERAGE(0.09,0.15,0.03)</f>
        <v>9.0000000000000011E-2</v>
      </c>
      <c r="D3170" s="1674">
        <f t="shared" ref="D3170:D3178" si="214">AVERAGE(0.12,0.05,0.15,0.04)</f>
        <v>8.9999999999999983E-2</v>
      </c>
      <c r="E3170" s="1674">
        <v>0.3</v>
      </c>
      <c r="F3170" s="1674">
        <v>0.21</v>
      </c>
      <c r="G3170" s="1674">
        <v>7.0000000000000007E-2</v>
      </c>
      <c r="H3170" s="1674">
        <f t="shared" ref="H3170:H3178" si="215">AVERAGE(0.05,0.5)</f>
        <v>0.27500000000000002</v>
      </c>
      <c r="I3170" s="1674">
        <v>0</v>
      </c>
      <c r="J3170" s="1674">
        <v>0.25</v>
      </c>
      <c r="K3170" s="1674">
        <v>0.25</v>
      </c>
      <c r="L3170" s="1674">
        <v>0</v>
      </c>
      <c r="M3170" s="451">
        <v>0.4</v>
      </c>
      <c r="N3170" s="467">
        <f t="shared" ref="N3170:N3178" si="216">AVERAGE(0.18,0.2,0.2,0.18)</f>
        <v>0.19</v>
      </c>
      <c r="O3170" s="467">
        <v>0.27</v>
      </c>
      <c r="P3170" s="467"/>
      <c r="Q3170" s="453"/>
      <c r="R3170" s="453"/>
      <c r="S3170" s="453"/>
      <c r="T3170" s="453"/>
      <c r="U3170" s="453"/>
      <c r="V3170" s="453"/>
      <c r="W3170" s="453"/>
    </row>
    <row r="3171" spans="1:24" s="21" customFormat="1" x14ac:dyDescent="0.2">
      <c r="A3171" s="411" t="s">
        <v>1491</v>
      </c>
      <c r="B3171" s="1674">
        <v>0.35</v>
      </c>
      <c r="C3171" s="1674">
        <f t="shared" si="213"/>
        <v>9.0000000000000011E-2</v>
      </c>
      <c r="D3171" s="1674">
        <f t="shared" si="214"/>
        <v>8.9999999999999983E-2</v>
      </c>
      <c r="E3171" s="1674">
        <v>0.3</v>
      </c>
      <c r="F3171" s="1674">
        <v>0.21</v>
      </c>
      <c r="G3171" s="1674">
        <v>7.0000000000000007E-2</v>
      </c>
      <c r="H3171" s="1674">
        <f t="shared" si="215"/>
        <v>0.27500000000000002</v>
      </c>
      <c r="I3171" s="1674">
        <v>0</v>
      </c>
      <c r="J3171" s="1674">
        <v>0.25</v>
      </c>
      <c r="K3171" s="1674">
        <v>0.25</v>
      </c>
      <c r="L3171" s="1674">
        <v>0</v>
      </c>
      <c r="M3171" s="451">
        <v>0.4</v>
      </c>
      <c r="N3171" s="467">
        <f t="shared" si="216"/>
        <v>0.19</v>
      </c>
      <c r="O3171" s="467">
        <v>0.27</v>
      </c>
      <c r="P3171" s="467"/>
      <c r="Q3171" s="453"/>
      <c r="R3171" s="453"/>
      <c r="S3171" s="453"/>
      <c r="T3171" s="453"/>
      <c r="U3171" s="453"/>
      <c r="V3171" s="453"/>
      <c r="W3171" s="453"/>
    </row>
    <row r="3172" spans="1:24" s="21" customFormat="1" x14ac:dyDescent="0.2">
      <c r="A3172" s="411" t="s">
        <v>1490</v>
      </c>
      <c r="B3172" s="1674">
        <v>0.35</v>
      </c>
      <c r="C3172" s="1674">
        <f t="shared" si="213"/>
        <v>9.0000000000000011E-2</v>
      </c>
      <c r="D3172" s="1674">
        <f t="shared" si="214"/>
        <v>8.9999999999999983E-2</v>
      </c>
      <c r="E3172" s="1674">
        <v>0.3</v>
      </c>
      <c r="F3172" s="1674">
        <v>0.21</v>
      </c>
      <c r="G3172" s="1674">
        <v>7.0000000000000007E-2</v>
      </c>
      <c r="H3172" s="1674">
        <f t="shared" si="215"/>
        <v>0.27500000000000002</v>
      </c>
      <c r="I3172" s="1674">
        <v>0</v>
      </c>
      <c r="J3172" s="1674">
        <v>0.25</v>
      </c>
      <c r="K3172" s="1674">
        <v>0.25</v>
      </c>
      <c r="L3172" s="1674">
        <v>0</v>
      </c>
      <c r="M3172" s="451">
        <v>0.4</v>
      </c>
      <c r="N3172" s="467">
        <f t="shared" si="216"/>
        <v>0.19</v>
      </c>
      <c r="O3172" s="467">
        <v>0.27</v>
      </c>
      <c r="P3172" s="467"/>
      <c r="Q3172" s="453"/>
      <c r="R3172" s="453"/>
      <c r="S3172" s="453"/>
      <c r="T3172" s="453"/>
      <c r="U3172" s="453"/>
      <c r="V3172" s="453"/>
      <c r="W3172" s="453"/>
    </row>
    <row r="3173" spans="1:24" s="21" customFormat="1" x14ac:dyDescent="0.2">
      <c r="A3173" s="411" t="s">
        <v>1486</v>
      </c>
      <c r="B3173" s="1674">
        <v>0.35</v>
      </c>
      <c r="C3173" s="1674">
        <f t="shared" si="213"/>
        <v>9.0000000000000011E-2</v>
      </c>
      <c r="D3173" s="1674">
        <f t="shared" si="214"/>
        <v>8.9999999999999983E-2</v>
      </c>
      <c r="E3173" s="1674">
        <v>0.3</v>
      </c>
      <c r="F3173" s="1674">
        <v>0.21</v>
      </c>
      <c r="G3173" s="1674">
        <v>7.0000000000000007E-2</v>
      </c>
      <c r="H3173" s="1674">
        <f t="shared" si="215"/>
        <v>0.27500000000000002</v>
      </c>
      <c r="I3173" s="1674">
        <v>0</v>
      </c>
      <c r="J3173" s="1674">
        <v>0.25</v>
      </c>
      <c r="K3173" s="1674">
        <v>0.25</v>
      </c>
      <c r="L3173" s="1674">
        <v>0</v>
      </c>
      <c r="M3173" s="451">
        <v>0.4</v>
      </c>
      <c r="N3173" s="467">
        <f t="shared" si="216"/>
        <v>0.19</v>
      </c>
      <c r="O3173" s="467">
        <v>0.27</v>
      </c>
      <c r="P3173" s="467"/>
      <c r="Q3173" s="453"/>
      <c r="R3173" s="453"/>
      <c r="S3173" s="453"/>
      <c r="T3173" s="453"/>
      <c r="U3173" s="453"/>
      <c r="V3173" s="453"/>
      <c r="W3173" s="453"/>
    </row>
    <row r="3174" spans="1:24" s="21" customFormat="1" x14ac:dyDescent="0.2">
      <c r="A3174" s="411" t="s">
        <v>1485</v>
      </c>
      <c r="B3174" s="1674">
        <v>0.35</v>
      </c>
      <c r="C3174" s="1674">
        <f t="shared" si="213"/>
        <v>9.0000000000000011E-2</v>
      </c>
      <c r="D3174" s="1674">
        <f t="shared" si="214"/>
        <v>8.9999999999999983E-2</v>
      </c>
      <c r="E3174" s="1674">
        <v>0.3</v>
      </c>
      <c r="F3174" s="1674">
        <v>0.21</v>
      </c>
      <c r="G3174" s="1674">
        <v>7.0000000000000007E-2</v>
      </c>
      <c r="H3174" s="1674">
        <f t="shared" si="215"/>
        <v>0.27500000000000002</v>
      </c>
      <c r="I3174" s="1674">
        <v>0</v>
      </c>
      <c r="J3174" s="1674">
        <v>0.25</v>
      </c>
      <c r="K3174" s="1674">
        <v>0.25</v>
      </c>
      <c r="L3174" s="1674">
        <v>0</v>
      </c>
      <c r="M3174" s="451">
        <v>0.4</v>
      </c>
      <c r="N3174" s="467">
        <f t="shared" si="216"/>
        <v>0.19</v>
      </c>
      <c r="O3174" s="467">
        <v>0.27</v>
      </c>
      <c r="P3174" s="467"/>
      <c r="Q3174" s="453"/>
      <c r="R3174" s="453"/>
      <c r="S3174" s="453"/>
      <c r="T3174" s="453"/>
      <c r="U3174" s="453"/>
      <c r="V3174" s="453"/>
      <c r="W3174" s="453"/>
    </row>
    <row r="3175" spans="1:24" s="21" customFormat="1" x14ac:dyDescent="0.2">
      <c r="A3175" s="411" t="s">
        <v>1359</v>
      </c>
      <c r="B3175" s="1674">
        <v>0.35</v>
      </c>
      <c r="C3175" s="1674">
        <f t="shared" si="213"/>
        <v>9.0000000000000011E-2</v>
      </c>
      <c r="D3175" s="1674">
        <f t="shared" si="214"/>
        <v>8.9999999999999983E-2</v>
      </c>
      <c r="E3175" s="1674">
        <v>0.3</v>
      </c>
      <c r="F3175" s="1674">
        <v>0.21</v>
      </c>
      <c r="G3175" s="1674">
        <v>7.0000000000000007E-2</v>
      </c>
      <c r="H3175" s="1674">
        <f t="shared" si="215"/>
        <v>0.27500000000000002</v>
      </c>
      <c r="I3175" s="1674">
        <v>0</v>
      </c>
      <c r="J3175" s="1674">
        <v>0.25</v>
      </c>
      <c r="K3175" s="1674">
        <v>0.25</v>
      </c>
      <c r="L3175" s="1674">
        <v>0</v>
      </c>
      <c r="M3175" s="451">
        <v>0.4</v>
      </c>
      <c r="N3175" s="467">
        <f t="shared" si="216"/>
        <v>0.19</v>
      </c>
      <c r="O3175" s="467">
        <v>0.27</v>
      </c>
      <c r="P3175" s="467"/>
      <c r="Q3175" s="453"/>
      <c r="R3175" s="453"/>
      <c r="S3175" s="453"/>
      <c r="T3175" s="453"/>
      <c r="U3175" s="453"/>
      <c r="V3175" s="453"/>
      <c r="W3175" s="453"/>
    </row>
    <row r="3176" spans="1:24" s="21" customFormat="1" x14ac:dyDescent="0.2">
      <c r="A3176" s="411" t="s">
        <v>1489</v>
      </c>
      <c r="B3176" s="1674">
        <v>0.35</v>
      </c>
      <c r="C3176" s="1674">
        <f t="shared" si="213"/>
        <v>9.0000000000000011E-2</v>
      </c>
      <c r="D3176" s="1674">
        <f t="shared" si="214"/>
        <v>8.9999999999999983E-2</v>
      </c>
      <c r="E3176" s="1674">
        <v>0.3</v>
      </c>
      <c r="F3176" s="1674">
        <v>0.21</v>
      </c>
      <c r="G3176" s="1674">
        <v>7.0000000000000007E-2</v>
      </c>
      <c r="H3176" s="1674">
        <f t="shared" si="215"/>
        <v>0.27500000000000002</v>
      </c>
      <c r="I3176" s="1674">
        <v>0</v>
      </c>
      <c r="J3176" s="1674">
        <v>0.25</v>
      </c>
      <c r="K3176" s="1674">
        <v>0.25</v>
      </c>
      <c r="L3176" s="1674">
        <v>0</v>
      </c>
      <c r="M3176" s="451">
        <v>0.4</v>
      </c>
      <c r="N3176" s="467">
        <f t="shared" si="216"/>
        <v>0.19</v>
      </c>
      <c r="O3176" s="467">
        <v>0.27</v>
      </c>
      <c r="P3176" s="467"/>
    </row>
    <row r="3177" spans="1:24" s="453" customFormat="1" x14ac:dyDescent="0.2">
      <c r="A3177" s="411" t="s">
        <v>1488</v>
      </c>
      <c r="B3177" s="1674">
        <v>0.35</v>
      </c>
      <c r="C3177" s="1674">
        <f t="shared" si="213"/>
        <v>9.0000000000000011E-2</v>
      </c>
      <c r="D3177" s="1674">
        <f t="shared" si="214"/>
        <v>8.9999999999999983E-2</v>
      </c>
      <c r="E3177" s="1674">
        <v>0.3</v>
      </c>
      <c r="F3177" s="1674">
        <v>0.21</v>
      </c>
      <c r="G3177" s="1674">
        <v>7.0000000000000007E-2</v>
      </c>
      <c r="H3177" s="1674">
        <f t="shared" si="215"/>
        <v>0.27500000000000002</v>
      </c>
      <c r="I3177" s="1674">
        <v>0</v>
      </c>
      <c r="J3177" s="1674">
        <v>0.25</v>
      </c>
      <c r="K3177" s="1674">
        <v>0.25</v>
      </c>
      <c r="L3177" s="1674">
        <v>0</v>
      </c>
      <c r="M3177" s="451">
        <v>0.4</v>
      </c>
      <c r="N3177" s="467">
        <f t="shared" si="216"/>
        <v>0.19</v>
      </c>
      <c r="O3177" s="467">
        <v>0.27</v>
      </c>
      <c r="P3177" s="467"/>
    </row>
    <row r="3178" spans="1:24" s="453" customFormat="1" x14ac:dyDescent="0.2">
      <c r="A3178" s="411" t="s">
        <v>1487</v>
      </c>
      <c r="B3178" s="1675">
        <v>0.35</v>
      </c>
      <c r="C3178" s="1675">
        <f t="shared" si="213"/>
        <v>9.0000000000000011E-2</v>
      </c>
      <c r="D3178" s="1675">
        <f t="shared" si="214"/>
        <v>8.9999999999999983E-2</v>
      </c>
      <c r="E3178" s="1675">
        <v>0.3</v>
      </c>
      <c r="F3178" s="1675">
        <v>0.21</v>
      </c>
      <c r="G3178" s="1675">
        <v>7.0000000000000007E-2</v>
      </c>
      <c r="H3178" s="1675">
        <f t="shared" si="215"/>
        <v>0.27500000000000002</v>
      </c>
      <c r="I3178" s="1675">
        <v>0</v>
      </c>
      <c r="J3178" s="1675">
        <v>0.25</v>
      </c>
      <c r="K3178" s="1675">
        <v>0.25</v>
      </c>
      <c r="L3178" s="1675">
        <v>0</v>
      </c>
      <c r="M3178" s="451">
        <v>0.4</v>
      </c>
      <c r="N3178" s="467">
        <f t="shared" si="216"/>
        <v>0.19</v>
      </c>
      <c r="O3178" s="467">
        <v>0.27</v>
      </c>
      <c r="P3178" s="467"/>
    </row>
    <row r="3179" spans="1:24" s="535" customFormat="1" x14ac:dyDescent="0.2">
      <c r="A3179" s="518" t="s">
        <v>2198</v>
      </c>
      <c r="F3179" s="1624"/>
      <c r="G3179" s="1624"/>
      <c r="H3179" s="1624"/>
      <c r="I3179" s="1624"/>
      <c r="J3179" s="1624"/>
      <c r="K3179" s="1624"/>
      <c r="L3179" s="1624"/>
      <c r="M3179" s="1624"/>
      <c r="N3179" s="1624"/>
    </row>
    <row r="3180" spans="1:24" s="292" customFormat="1" x14ac:dyDescent="0.2"/>
    <row r="3182" spans="1:24" s="125" customFormat="1" ht="14.25" customHeight="1" x14ac:dyDescent="0.2">
      <c r="A3182" s="377" t="s">
        <v>2236</v>
      </c>
      <c r="D3182" s="1075"/>
      <c r="E3182" s="1075"/>
      <c r="F3182" s="1075"/>
      <c r="G3182" s="1075"/>
      <c r="H3182" s="1075"/>
      <c r="I3182" s="1075"/>
      <c r="L3182" s="1075"/>
    </row>
    <row r="3183" spans="1:24" s="773" customFormat="1" ht="16.25" customHeight="1" x14ac:dyDescent="0.2">
      <c r="A3183" s="753" t="s">
        <v>2237</v>
      </c>
      <c r="B3183" s="442" t="s">
        <v>2230</v>
      </c>
      <c r="C3183" s="442" t="s">
        <v>2230</v>
      </c>
      <c r="D3183" s="442" t="s">
        <v>2230</v>
      </c>
      <c r="E3183" s="442" t="s">
        <v>2230</v>
      </c>
      <c r="F3183" s="442" t="s">
        <v>2231</v>
      </c>
      <c r="G3183" s="442" t="s">
        <v>2230</v>
      </c>
      <c r="H3183" s="442" t="s">
        <v>2230</v>
      </c>
      <c r="I3183" s="442" t="s">
        <v>2230</v>
      </c>
      <c r="J3183" s="442" t="s">
        <v>2230</v>
      </c>
      <c r="K3183" s="442" t="s">
        <v>2230</v>
      </c>
      <c r="L3183" s="442" t="s">
        <v>2230</v>
      </c>
      <c r="M3183" s="442" t="s">
        <v>2230</v>
      </c>
      <c r="N3183" s="442" t="s">
        <v>2230</v>
      </c>
      <c r="O3183" s="442" t="s">
        <v>2230</v>
      </c>
      <c r="P3183" s="442"/>
      <c r="Q3183" s="442"/>
      <c r="R3183" s="442"/>
      <c r="S3183" s="442"/>
      <c r="T3183" s="442"/>
      <c r="U3183" s="442"/>
      <c r="V3183" s="442"/>
    </row>
    <row r="3184" spans="1:24" s="291" customFormat="1" ht="16" x14ac:dyDescent="0.2">
      <c r="A3184" s="1641" t="s">
        <v>57</v>
      </c>
      <c r="B3184" s="1642" t="s">
        <v>1664</v>
      </c>
      <c r="C3184" s="1642" t="s">
        <v>1665</v>
      </c>
      <c r="D3184" s="1642" t="s">
        <v>1666</v>
      </c>
      <c r="E3184" s="1642" t="s">
        <v>1667</v>
      </c>
      <c r="F3184" s="1642" t="s">
        <v>2174</v>
      </c>
      <c r="G3184" s="1642" t="s">
        <v>1668</v>
      </c>
      <c r="H3184" s="1642" t="s">
        <v>1669</v>
      </c>
      <c r="I3184" s="1642" t="s">
        <v>1670</v>
      </c>
      <c r="J3184" s="1642" t="s">
        <v>1671</v>
      </c>
      <c r="K3184" s="1642" t="s">
        <v>1672</v>
      </c>
      <c r="L3184" s="1642" t="s">
        <v>1673</v>
      </c>
      <c r="M3184" s="291" t="s">
        <v>1674</v>
      </c>
      <c r="N3184" s="2152" t="s">
        <v>1675</v>
      </c>
      <c r="O3184" s="2152" t="s">
        <v>1676</v>
      </c>
      <c r="P3184" s="2153" t="s">
        <v>2175</v>
      </c>
      <c r="Q3184" s="453"/>
      <c r="R3184" s="453"/>
      <c r="S3184" s="453"/>
      <c r="T3184" s="453"/>
      <c r="U3184" s="453"/>
      <c r="V3184" s="453"/>
      <c r="W3184" s="21"/>
      <c r="X3184" s="21"/>
    </row>
    <row r="3185" spans="1:22" s="1093" customFormat="1" ht="16" x14ac:dyDescent="0.2">
      <c r="A3185" s="523" t="s">
        <v>2196</v>
      </c>
      <c r="B3185" s="1636" t="s">
        <v>2238</v>
      </c>
      <c r="C3185" s="1636" t="s">
        <v>2238</v>
      </c>
      <c r="D3185" s="1636" t="s">
        <v>2238</v>
      </c>
      <c r="E3185" s="1636" t="s">
        <v>2238</v>
      </c>
      <c r="F3185" s="1636" t="s">
        <v>2238</v>
      </c>
      <c r="G3185" s="1636" t="s">
        <v>2238</v>
      </c>
      <c r="H3185" s="1636" t="s">
        <v>2238</v>
      </c>
      <c r="I3185" s="1636" t="s">
        <v>2238</v>
      </c>
      <c r="J3185" s="1636" t="s">
        <v>2238</v>
      </c>
      <c r="K3185" s="1636" t="s">
        <v>2238</v>
      </c>
      <c r="L3185" s="1636" t="s">
        <v>2238</v>
      </c>
      <c r="M3185" s="1631" t="s">
        <v>2238</v>
      </c>
      <c r="N3185" s="1631" t="s">
        <v>2238</v>
      </c>
      <c r="O3185" s="31" t="s">
        <v>2238</v>
      </c>
      <c r="P3185" s="732"/>
      <c r="Q3185" s="1092"/>
      <c r="R3185" s="1092"/>
      <c r="S3185" s="1092"/>
      <c r="T3185" s="1092"/>
      <c r="U3185" s="1092"/>
      <c r="V3185" s="1092"/>
    </row>
    <row r="3186" spans="1:22" s="21" customFormat="1" x14ac:dyDescent="0.2">
      <c r="A3186" s="410" t="s">
        <v>1484</v>
      </c>
      <c r="B3186" s="1673">
        <v>0</v>
      </c>
      <c r="C3186" s="1673">
        <v>0</v>
      </c>
      <c r="D3186" s="1673">
        <f>AVERAGE(0.02,0,0.02,0.02)</f>
        <v>1.4999999999999999E-2</v>
      </c>
      <c r="E3186" s="1673">
        <v>3.5000000000000003E-2</v>
      </c>
      <c r="F3186" s="1673">
        <v>0.12</v>
      </c>
      <c r="G3186" s="1673">
        <v>0</v>
      </c>
      <c r="H3186" s="1673">
        <v>0</v>
      </c>
      <c r="I3186" s="1673">
        <v>0</v>
      </c>
      <c r="J3186" s="1673">
        <v>0</v>
      </c>
      <c r="K3186" s="1673">
        <v>0</v>
      </c>
      <c r="L3186" s="1673">
        <v>0</v>
      </c>
      <c r="M3186" s="44">
        <v>3.5000000000000003E-2</v>
      </c>
      <c r="N3186" s="470">
        <f>AVERAGE(0,0.06,0.06,0.04)</f>
        <v>0.04</v>
      </c>
      <c r="O3186" s="470">
        <v>0</v>
      </c>
      <c r="P3186" s="467"/>
      <c r="Q3186" s="453"/>
      <c r="R3186" s="453"/>
      <c r="S3186" s="453"/>
      <c r="T3186" s="453"/>
      <c r="U3186" s="453"/>
      <c r="V3186" s="453"/>
    </row>
    <row r="3187" spans="1:22" s="21" customFormat="1" x14ac:dyDescent="0.2">
      <c r="A3187" s="411" t="s">
        <v>1483</v>
      </c>
      <c r="B3187" s="1674">
        <v>0</v>
      </c>
      <c r="C3187" s="1674">
        <v>0</v>
      </c>
      <c r="D3187" s="1674">
        <f t="shared" ref="D3187:D3195" si="217">AVERAGE(0.02,0,0.02,0.02)</f>
        <v>1.4999999999999999E-2</v>
      </c>
      <c r="E3187" s="1674">
        <v>3.5000000000000003E-2</v>
      </c>
      <c r="F3187" s="1674">
        <v>0</v>
      </c>
      <c r="G3187" s="1674">
        <v>0</v>
      </c>
      <c r="H3187" s="1674">
        <v>0</v>
      </c>
      <c r="I3187" s="1674">
        <v>0</v>
      </c>
      <c r="J3187" s="1674">
        <v>0</v>
      </c>
      <c r="K3187" s="1674">
        <v>0</v>
      </c>
      <c r="L3187" s="1674">
        <v>0</v>
      </c>
      <c r="M3187" s="41">
        <v>3.5000000000000003E-2</v>
      </c>
      <c r="N3187" s="467">
        <f t="shared" ref="N3187:N3195" si="218">AVERAGE(0,0.06,0.06,0.04)</f>
        <v>0.04</v>
      </c>
      <c r="O3187" s="467">
        <v>0</v>
      </c>
      <c r="P3187" s="467"/>
      <c r="Q3187" s="453"/>
      <c r="R3187" s="453"/>
      <c r="S3187" s="453"/>
      <c r="T3187" s="453"/>
      <c r="U3187" s="453"/>
      <c r="V3187" s="453"/>
    </row>
    <row r="3188" spans="1:22" s="21" customFormat="1" x14ac:dyDescent="0.2">
      <c r="A3188" s="411" t="s">
        <v>1491</v>
      </c>
      <c r="B3188" s="1674">
        <v>0</v>
      </c>
      <c r="C3188" s="1674">
        <v>0</v>
      </c>
      <c r="D3188" s="1674">
        <f t="shared" si="217"/>
        <v>1.4999999999999999E-2</v>
      </c>
      <c r="E3188" s="1674">
        <v>3.5000000000000003E-2</v>
      </c>
      <c r="F3188" s="1674">
        <v>0.12</v>
      </c>
      <c r="G3188" s="1674">
        <v>0</v>
      </c>
      <c r="H3188" s="1674">
        <v>0</v>
      </c>
      <c r="I3188" s="1674">
        <v>0</v>
      </c>
      <c r="J3188" s="1674">
        <v>0</v>
      </c>
      <c r="K3188" s="1674">
        <v>0</v>
      </c>
      <c r="L3188" s="1674">
        <v>0</v>
      </c>
      <c r="M3188" s="41">
        <v>3.5000000000000003E-2</v>
      </c>
      <c r="N3188" s="467">
        <f t="shared" si="218"/>
        <v>0.04</v>
      </c>
      <c r="O3188" s="467">
        <v>0</v>
      </c>
      <c r="P3188" s="467"/>
      <c r="Q3188" s="453"/>
      <c r="R3188" s="453"/>
      <c r="S3188" s="453"/>
      <c r="T3188" s="453"/>
      <c r="U3188" s="453"/>
      <c r="V3188" s="453"/>
    </row>
    <row r="3189" spans="1:22" s="21" customFormat="1" x14ac:dyDescent="0.2">
      <c r="A3189" s="411" t="s">
        <v>1490</v>
      </c>
      <c r="B3189" s="1674">
        <v>0</v>
      </c>
      <c r="C3189" s="1674">
        <v>0</v>
      </c>
      <c r="D3189" s="1674">
        <f t="shared" si="217"/>
        <v>1.4999999999999999E-2</v>
      </c>
      <c r="E3189" s="1674">
        <v>3.5000000000000003E-2</v>
      </c>
      <c r="F3189" s="1674">
        <v>0</v>
      </c>
      <c r="G3189" s="1674">
        <v>0</v>
      </c>
      <c r="H3189" s="1674">
        <v>0</v>
      </c>
      <c r="I3189" s="1674">
        <v>0</v>
      </c>
      <c r="J3189" s="1674">
        <v>0</v>
      </c>
      <c r="K3189" s="1674">
        <v>0</v>
      </c>
      <c r="L3189" s="1674">
        <v>0</v>
      </c>
      <c r="M3189" s="41">
        <v>3.5000000000000003E-2</v>
      </c>
      <c r="N3189" s="467">
        <f t="shared" si="218"/>
        <v>0.04</v>
      </c>
      <c r="O3189" s="467">
        <v>0</v>
      </c>
      <c r="P3189" s="467"/>
      <c r="Q3189" s="453"/>
      <c r="R3189" s="453"/>
      <c r="S3189" s="453"/>
      <c r="T3189" s="453"/>
      <c r="U3189" s="453"/>
      <c r="V3189" s="453"/>
    </row>
    <row r="3190" spans="1:22" s="21" customFormat="1" x14ac:dyDescent="0.2">
      <c r="A3190" s="411" t="s">
        <v>1486</v>
      </c>
      <c r="B3190" s="1674">
        <v>0</v>
      </c>
      <c r="C3190" s="1674">
        <v>0</v>
      </c>
      <c r="D3190" s="1674">
        <f t="shared" si="217"/>
        <v>1.4999999999999999E-2</v>
      </c>
      <c r="E3190" s="1674">
        <v>3.5000000000000003E-2</v>
      </c>
      <c r="F3190" s="1674">
        <v>0.12</v>
      </c>
      <c r="G3190" s="1674">
        <v>0</v>
      </c>
      <c r="H3190" s="1674">
        <v>0</v>
      </c>
      <c r="I3190" s="1674">
        <v>0</v>
      </c>
      <c r="J3190" s="1674">
        <v>0</v>
      </c>
      <c r="K3190" s="1674">
        <v>0</v>
      </c>
      <c r="L3190" s="1674">
        <v>0</v>
      </c>
      <c r="M3190" s="41">
        <v>3.5000000000000003E-2</v>
      </c>
      <c r="N3190" s="467">
        <f t="shared" si="218"/>
        <v>0.04</v>
      </c>
      <c r="O3190" s="467">
        <v>0</v>
      </c>
      <c r="P3190" s="467"/>
      <c r="Q3190" s="453"/>
      <c r="R3190" s="453"/>
      <c r="S3190" s="453"/>
      <c r="T3190" s="453"/>
      <c r="U3190" s="453"/>
      <c r="V3190" s="453"/>
    </row>
    <row r="3191" spans="1:22" s="21" customFormat="1" x14ac:dyDescent="0.2">
      <c r="A3191" s="411" t="s">
        <v>1485</v>
      </c>
      <c r="B3191" s="1674">
        <v>0</v>
      </c>
      <c r="C3191" s="1674">
        <v>0</v>
      </c>
      <c r="D3191" s="1674">
        <f t="shared" si="217"/>
        <v>1.4999999999999999E-2</v>
      </c>
      <c r="E3191" s="1674">
        <v>3.5000000000000003E-2</v>
      </c>
      <c r="F3191" s="1674">
        <v>0</v>
      </c>
      <c r="G3191" s="1674">
        <v>0</v>
      </c>
      <c r="H3191" s="1674">
        <v>0</v>
      </c>
      <c r="I3191" s="1674">
        <v>0</v>
      </c>
      <c r="J3191" s="1674">
        <v>0</v>
      </c>
      <c r="K3191" s="1674">
        <v>0</v>
      </c>
      <c r="L3191" s="1674">
        <v>0</v>
      </c>
      <c r="M3191" s="41">
        <v>3.5000000000000003E-2</v>
      </c>
      <c r="N3191" s="467">
        <f t="shared" si="218"/>
        <v>0.04</v>
      </c>
      <c r="O3191" s="467">
        <v>0</v>
      </c>
      <c r="P3191" s="467"/>
      <c r="Q3191" s="453"/>
      <c r="R3191" s="453"/>
      <c r="S3191" s="453"/>
      <c r="T3191" s="453"/>
      <c r="U3191" s="453"/>
      <c r="V3191" s="453"/>
    </row>
    <row r="3192" spans="1:22" s="21" customFormat="1" x14ac:dyDescent="0.2">
      <c r="A3192" s="411" t="s">
        <v>1359</v>
      </c>
      <c r="B3192" s="1674">
        <v>0</v>
      </c>
      <c r="C3192" s="1674">
        <v>0</v>
      </c>
      <c r="D3192" s="1674">
        <f t="shared" si="217"/>
        <v>1.4999999999999999E-2</v>
      </c>
      <c r="E3192" s="1674">
        <v>3.5000000000000003E-2</v>
      </c>
      <c r="F3192" s="1674">
        <v>0</v>
      </c>
      <c r="G3192" s="1674">
        <v>0</v>
      </c>
      <c r="H3192" s="1674">
        <v>0</v>
      </c>
      <c r="I3192" s="1674">
        <v>0</v>
      </c>
      <c r="J3192" s="1674">
        <v>0</v>
      </c>
      <c r="K3192" s="1674">
        <v>0</v>
      </c>
      <c r="L3192" s="1674">
        <v>0</v>
      </c>
      <c r="M3192" s="41">
        <v>3.5000000000000003E-2</v>
      </c>
      <c r="N3192" s="467">
        <f t="shared" si="218"/>
        <v>0.04</v>
      </c>
      <c r="O3192" s="467">
        <v>0</v>
      </c>
      <c r="P3192" s="467"/>
      <c r="Q3192" s="453"/>
      <c r="R3192" s="453"/>
      <c r="S3192" s="453"/>
      <c r="T3192" s="453"/>
      <c r="U3192" s="453"/>
      <c r="V3192" s="453"/>
    </row>
    <row r="3193" spans="1:22" s="21" customFormat="1" x14ac:dyDescent="0.2">
      <c r="A3193" s="411" t="s">
        <v>1489</v>
      </c>
      <c r="B3193" s="1674">
        <v>0</v>
      </c>
      <c r="C3193" s="1674">
        <v>0</v>
      </c>
      <c r="D3193" s="1674">
        <f t="shared" si="217"/>
        <v>1.4999999999999999E-2</v>
      </c>
      <c r="E3193" s="1674">
        <v>3.5000000000000003E-2</v>
      </c>
      <c r="F3193" s="1674">
        <v>0.24</v>
      </c>
      <c r="G3193" s="1674">
        <v>0</v>
      </c>
      <c r="H3193" s="1674">
        <v>0</v>
      </c>
      <c r="I3193" s="1674">
        <v>0</v>
      </c>
      <c r="J3193" s="1674">
        <v>0</v>
      </c>
      <c r="K3193" s="1674">
        <v>0</v>
      </c>
      <c r="L3193" s="1674">
        <v>0</v>
      </c>
      <c r="M3193" s="41">
        <v>3.5000000000000003E-2</v>
      </c>
      <c r="N3193" s="467">
        <f t="shared" si="218"/>
        <v>0.04</v>
      </c>
      <c r="O3193" s="467">
        <v>0</v>
      </c>
      <c r="P3193" s="467"/>
    </row>
    <row r="3194" spans="1:22" s="453" customFormat="1" x14ac:dyDescent="0.2">
      <c r="A3194" s="411" t="s">
        <v>1488</v>
      </c>
      <c r="B3194" s="1674">
        <v>0</v>
      </c>
      <c r="C3194" s="1674">
        <v>0</v>
      </c>
      <c r="D3194" s="1674">
        <f t="shared" si="217"/>
        <v>1.4999999999999999E-2</v>
      </c>
      <c r="E3194" s="1674">
        <v>3.5000000000000003E-2</v>
      </c>
      <c r="F3194" s="1674">
        <v>0.12</v>
      </c>
      <c r="G3194" s="1674">
        <v>0</v>
      </c>
      <c r="H3194" s="1674">
        <v>0</v>
      </c>
      <c r="I3194" s="1674">
        <v>0</v>
      </c>
      <c r="J3194" s="1674">
        <v>0</v>
      </c>
      <c r="K3194" s="1674">
        <v>0</v>
      </c>
      <c r="L3194" s="1674">
        <v>0</v>
      </c>
      <c r="M3194" s="41">
        <v>3.5000000000000003E-2</v>
      </c>
      <c r="N3194" s="467">
        <f t="shared" si="218"/>
        <v>0.04</v>
      </c>
      <c r="O3194" s="467">
        <v>0</v>
      </c>
      <c r="P3194" s="467"/>
    </row>
    <row r="3195" spans="1:22" s="453" customFormat="1" x14ac:dyDescent="0.2">
      <c r="A3195" s="411" t="s">
        <v>1487</v>
      </c>
      <c r="B3195" s="1675">
        <v>0</v>
      </c>
      <c r="C3195" s="1675">
        <v>0</v>
      </c>
      <c r="D3195" s="1675">
        <f t="shared" si="217"/>
        <v>1.4999999999999999E-2</v>
      </c>
      <c r="E3195" s="1675">
        <v>3.5000000000000003E-2</v>
      </c>
      <c r="F3195" s="1675">
        <v>0</v>
      </c>
      <c r="G3195" s="1675">
        <v>0</v>
      </c>
      <c r="H3195" s="1675">
        <v>0</v>
      </c>
      <c r="I3195" s="1675">
        <v>0</v>
      </c>
      <c r="J3195" s="1675">
        <v>0</v>
      </c>
      <c r="K3195" s="1675">
        <v>0</v>
      </c>
      <c r="L3195" s="1675">
        <v>0</v>
      </c>
      <c r="M3195" s="42">
        <v>3.5000000000000003E-2</v>
      </c>
      <c r="N3195" s="654">
        <f t="shared" si="218"/>
        <v>0.04</v>
      </c>
      <c r="O3195" s="654">
        <v>0</v>
      </c>
      <c r="P3195" s="467"/>
    </row>
    <row r="3196" spans="1:22" s="535" customFormat="1" x14ac:dyDescent="0.2">
      <c r="A3196" s="518" t="s">
        <v>2239</v>
      </c>
      <c r="F3196" s="1624"/>
      <c r="G3196" s="1624"/>
      <c r="H3196" s="1624"/>
      <c r="I3196" s="1624"/>
      <c r="J3196" s="1624"/>
      <c r="K3196" s="1624"/>
      <c r="L3196" s="1624"/>
      <c r="M3196" s="1624"/>
      <c r="N3196" s="1624"/>
    </row>
    <row r="3197" spans="1:22" s="292" customFormat="1" x14ac:dyDescent="0.2"/>
    <row r="3200" spans="1:22" s="1086" customFormat="1" ht="24" x14ac:dyDescent="0.2">
      <c r="A3200" s="1086" t="s">
        <v>2240</v>
      </c>
    </row>
    <row r="3202" spans="1:27" s="125" customFormat="1" x14ac:dyDescent="0.2">
      <c r="A3202" s="377" t="s">
        <v>2241</v>
      </c>
      <c r="D3202" s="1075"/>
      <c r="E3202" s="1075"/>
      <c r="F3202" s="1075"/>
      <c r="G3202" s="1075"/>
      <c r="H3202" s="1075"/>
      <c r="I3202" s="1075"/>
    </row>
    <row r="3203" spans="1:27" s="773" customFormat="1" ht="16.25" customHeight="1" x14ac:dyDescent="0.2">
      <c r="A3203" s="753"/>
      <c r="B3203" s="442" t="s">
        <v>2242</v>
      </c>
      <c r="C3203" s="442" t="s">
        <v>2242</v>
      </c>
      <c r="D3203" s="442" t="s">
        <v>2242</v>
      </c>
      <c r="E3203" s="442" t="s">
        <v>2242</v>
      </c>
      <c r="F3203" s="442"/>
      <c r="G3203" s="442"/>
      <c r="H3203" s="442"/>
      <c r="I3203" s="442"/>
      <c r="J3203" s="442"/>
      <c r="K3203" s="442"/>
      <c r="L3203" s="442"/>
      <c r="M3203" s="442"/>
      <c r="N3203" s="442"/>
      <c r="O3203" s="442"/>
      <c r="P3203" s="442"/>
      <c r="Q3203" s="442"/>
      <c r="R3203" s="442"/>
      <c r="S3203" s="442"/>
      <c r="T3203" s="442"/>
      <c r="U3203" s="442"/>
      <c r="V3203" s="442"/>
      <c r="W3203" s="442"/>
    </row>
    <row r="3204" spans="1:27" s="291" customFormat="1" ht="16" x14ac:dyDescent="0.2">
      <c r="A3204" s="2363" t="s">
        <v>57</v>
      </c>
      <c r="B3204" s="1656" t="s">
        <v>1658</v>
      </c>
      <c r="C3204" s="1656" t="s">
        <v>1659</v>
      </c>
      <c r="D3204" s="1656" t="s">
        <v>1660</v>
      </c>
      <c r="E3204" s="1639" t="s">
        <v>1710</v>
      </c>
      <c r="F3204" s="734"/>
      <c r="G3204" s="2366"/>
      <c r="H3204" s="2365"/>
      <c r="I3204" s="2366"/>
      <c r="J3204" s="2366"/>
      <c r="K3204" s="2366"/>
      <c r="L3204" s="2366"/>
      <c r="M3204" s="2366"/>
      <c r="N3204" s="2366"/>
      <c r="O3204" s="2366"/>
      <c r="P3204" s="2366"/>
      <c r="Q3204" s="2366"/>
      <c r="R3204" s="2366"/>
      <c r="S3204" s="1456"/>
      <c r="T3204" s="419"/>
      <c r="U3204" s="419"/>
      <c r="V3204" s="453"/>
      <c r="W3204" s="453"/>
      <c r="X3204" s="453"/>
      <c r="Y3204" s="453"/>
      <c r="Z3204" s="21"/>
      <c r="AA3204" s="21"/>
    </row>
    <row r="3205" spans="1:27" s="1093" customFormat="1" ht="16" x14ac:dyDescent="0.2">
      <c r="A3205" s="544" t="s">
        <v>2196</v>
      </c>
      <c r="B3205" s="1631" t="s">
        <v>1044</v>
      </c>
      <c r="C3205" s="1631" t="s">
        <v>1044</v>
      </c>
      <c r="D3205" s="1631" t="s">
        <v>1044</v>
      </c>
      <c r="E3205" s="1631" t="s">
        <v>1044</v>
      </c>
      <c r="F3205" s="1091"/>
      <c r="G3205" s="1092"/>
      <c r="H3205" s="1092"/>
      <c r="I3205" s="1092"/>
      <c r="J3205" s="1092"/>
      <c r="K3205" s="1092"/>
      <c r="L3205" s="1092"/>
      <c r="M3205" s="1092"/>
      <c r="N3205" s="1092"/>
      <c r="O3205" s="1092"/>
      <c r="P3205" s="1092"/>
      <c r="Q3205" s="1092"/>
      <c r="R3205" s="1092"/>
      <c r="S3205" s="1092"/>
      <c r="T3205" s="1092"/>
      <c r="U3205" s="1092"/>
      <c r="V3205" s="1092"/>
      <c r="W3205" s="1092"/>
      <c r="X3205" s="1092"/>
      <c r="Y3205" s="1092"/>
    </row>
    <row r="3206" spans="1:27" s="21" customFormat="1" x14ac:dyDescent="0.2">
      <c r="A3206" s="413" t="s">
        <v>1484</v>
      </c>
      <c r="B3206" s="1640">
        <v>183</v>
      </c>
      <c r="C3206" s="1640">
        <v>183</v>
      </c>
      <c r="D3206" s="1640">
        <v>416</v>
      </c>
      <c r="E3206" s="1640">
        <v>30</v>
      </c>
      <c r="F3206" s="451"/>
      <c r="G3206" s="453"/>
      <c r="H3206" s="453"/>
      <c r="I3206" s="453"/>
      <c r="J3206" s="453"/>
      <c r="K3206" s="453"/>
      <c r="L3206" s="453"/>
      <c r="M3206" s="453"/>
      <c r="N3206" s="453"/>
      <c r="O3206" s="453"/>
      <c r="P3206" s="453"/>
      <c r="Q3206" s="453"/>
      <c r="R3206" s="453"/>
      <c r="S3206" s="453"/>
      <c r="T3206" s="453"/>
      <c r="U3206" s="453"/>
      <c r="V3206" s="453"/>
      <c r="W3206" s="453"/>
      <c r="X3206" s="453"/>
      <c r="Y3206" s="453"/>
    </row>
    <row r="3207" spans="1:27" s="21" customFormat="1" x14ac:dyDescent="0.2">
      <c r="A3207" s="403" t="s">
        <v>1483</v>
      </c>
      <c r="B3207" s="468">
        <v>183</v>
      </c>
      <c r="C3207" s="468">
        <v>183</v>
      </c>
      <c r="D3207" s="468">
        <v>416</v>
      </c>
      <c r="E3207" s="468">
        <v>30</v>
      </c>
      <c r="F3207" s="451"/>
      <c r="G3207" s="453"/>
      <c r="H3207" s="453"/>
      <c r="I3207" s="453"/>
      <c r="J3207" s="453"/>
      <c r="K3207" s="453"/>
      <c r="L3207" s="453"/>
      <c r="M3207" s="453"/>
      <c r="N3207" s="453"/>
      <c r="O3207" s="453"/>
      <c r="P3207" s="453"/>
      <c r="Q3207" s="453"/>
      <c r="R3207" s="453"/>
      <c r="S3207" s="453"/>
      <c r="T3207" s="453"/>
      <c r="U3207" s="453"/>
      <c r="V3207" s="453"/>
      <c r="W3207" s="453"/>
      <c r="X3207" s="453"/>
      <c r="Y3207" s="453"/>
    </row>
    <row r="3208" spans="1:27" s="21" customFormat="1" x14ac:dyDescent="0.2">
      <c r="A3208" s="403" t="s">
        <v>1491</v>
      </c>
      <c r="B3208" s="468">
        <v>183</v>
      </c>
      <c r="C3208" s="468">
        <v>183</v>
      </c>
      <c r="D3208" s="468">
        <v>416</v>
      </c>
      <c r="E3208" s="468">
        <v>30</v>
      </c>
      <c r="F3208" s="451"/>
      <c r="G3208" s="453"/>
      <c r="H3208" s="453"/>
      <c r="I3208" s="453"/>
      <c r="J3208" s="453"/>
      <c r="K3208" s="453"/>
      <c r="L3208" s="453"/>
      <c r="M3208" s="453"/>
      <c r="N3208" s="453"/>
      <c r="O3208" s="453"/>
      <c r="P3208" s="453"/>
      <c r="Q3208" s="453"/>
      <c r="R3208" s="453"/>
      <c r="S3208" s="453"/>
      <c r="T3208" s="453"/>
      <c r="U3208" s="453"/>
      <c r="V3208" s="453"/>
      <c r="W3208" s="453"/>
      <c r="X3208" s="453"/>
      <c r="Y3208" s="453"/>
    </row>
    <row r="3209" spans="1:27" s="21" customFormat="1" x14ac:dyDescent="0.2">
      <c r="A3209" s="403" t="s">
        <v>1490</v>
      </c>
      <c r="B3209" s="468">
        <v>183</v>
      </c>
      <c r="C3209" s="468">
        <v>183</v>
      </c>
      <c r="D3209" s="468">
        <v>416</v>
      </c>
      <c r="E3209" s="468">
        <v>30</v>
      </c>
      <c r="F3209" s="451"/>
      <c r="G3209" s="453"/>
      <c r="H3209" s="453"/>
      <c r="I3209" s="453"/>
      <c r="J3209" s="453"/>
      <c r="K3209" s="453"/>
      <c r="L3209" s="453"/>
      <c r="M3209" s="453"/>
      <c r="N3209" s="453"/>
      <c r="O3209" s="453"/>
      <c r="P3209" s="453"/>
      <c r="Q3209" s="453"/>
      <c r="R3209" s="453"/>
      <c r="S3209" s="453"/>
      <c r="T3209" s="453"/>
      <c r="U3209" s="453"/>
      <c r="V3209" s="453"/>
      <c r="W3209" s="453"/>
      <c r="X3209" s="453"/>
      <c r="Y3209" s="453"/>
    </row>
    <row r="3210" spans="1:27" s="21" customFormat="1" x14ac:dyDescent="0.2">
      <c r="A3210" s="403" t="s">
        <v>1486</v>
      </c>
      <c r="B3210" s="468">
        <v>183</v>
      </c>
      <c r="C3210" s="468">
        <v>183</v>
      </c>
      <c r="D3210" s="468">
        <v>416</v>
      </c>
      <c r="E3210" s="468">
        <v>30</v>
      </c>
      <c r="F3210" s="451"/>
      <c r="G3210" s="453"/>
      <c r="H3210" s="453"/>
      <c r="I3210" s="453"/>
      <c r="J3210" s="453"/>
      <c r="K3210" s="453"/>
      <c r="L3210" s="453"/>
      <c r="M3210" s="453"/>
      <c r="N3210" s="453"/>
      <c r="O3210" s="453"/>
      <c r="P3210" s="453"/>
      <c r="Q3210" s="453"/>
      <c r="R3210" s="453"/>
      <c r="S3210" s="453"/>
      <c r="T3210" s="453"/>
      <c r="U3210" s="453"/>
      <c r="V3210" s="453"/>
      <c r="W3210" s="453"/>
      <c r="X3210" s="453"/>
      <c r="Y3210" s="453"/>
    </row>
    <row r="3211" spans="1:27" s="21" customFormat="1" x14ac:dyDescent="0.2">
      <c r="A3211" s="403" t="s">
        <v>1485</v>
      </c>
      <c r="B3211" s="468">
        <v>183</v>
      </c>
      <c r="C3211" s="468">
        <v>183</v>
      </c>
      <c r="D3211" s="468">
        <v>416</v>
      </c>
      <c r="E3211" s="468">
        <v>30</v>
      </c>
      <c r="F3211" s="451"/>
      <c r="G3211" s="453"/>
      <c r="H3211" s="453"/>
      <c r="I3211" s="453"/>
      <c r="J3211" s="453"/>
      <c r="K3211" s="453"/>
      <c r="L3211" s="453"/>
      <c r="M3211" s="453"/>
      <c r="N3211" s="453"/>
      <c r="O3211" s="453"/>
      <c r="P3211" s="453"/>
      <c r="Q3211" s="453"/>
      <c r="R3211" s="453"/>
      <c r="S3211" s="453"/>
      <c r="T3211" s="453"/>
      <c r="U3211" s="453"/>
      <c r="V3211" s="453"/>
      <c r="W3211" s="453"/>
      <c r="X3211" s="453"/>
      <c r="Y3211" s="453"/>
    </row>
    <row r="3212" spans="1:27" s="21" customFormat="1" x14ac:dyDescent="0.2">
      <c r="A3212" s="403" t="s">
        <v>1359</v>
      </c>
      <c r="B3212" s="468">
        <v>183</v>
      </c>
      <c r="C3212" s="468">
        <v>183</v>
      </c>
      <c r="D3212" s="468">
        <v>416</v>
      </c>
      <c r="E3212" s="468">
        <v>30</v>
      </c>
      <c r="F3212" s="451"/>
      <c r="G3212" s="453"/>
      <c r="H3212" s="453"/>
      <c r="I3212" s="453"/>
      <c r="J3212" s="453"/>
      <c r="K3212" s="453"/>
      <c r="L3212" s="453"/>
      <c r="M3212" s="453"/>
      <c r="N3212" s="453"/>
      <c r="O3212" s="453"/>
      <c r="P3212" s="453"/>
      <c r="Q3212" s="453"/>
      <c r="R3212" s="453"/>
      <c r="S3212" s="453"/>
      <c r="T3212" s="453"/>
      <c r="U3212" s="453"/>
      <c r="V3212" s="453"/>
      <c r="W3212" s="453"/>
      <c r="X3212" s="453"/>
      <c r="Y3212" s="453"/>
    </row>
    <row r="3213" spans="1:27" s="21" customFormat="1" x14ac:dyDescent="0.2">
      <c r="A3213" s="403" t="s">
        <v>1489</v>
      </c>
      <c r="B3213" s="468">
        <v>183</v>
      </c>
      <c r="C3213" s="468">
        <v>183</v>
      </c>
      <c r="D3213" s="468">
        <v>416</v>
      </c>
      <c r="E3213" s="468">
        <v>30</v>
      </c>
      <c r="F3213" s="451"/>
      <c r="G3213" s="453"/>
      <c r="H3213" s="453"/>
      <c r="I3213" s="453"/>
      <c r="J3213" s="453"/>
      <c r="K3213" s="453"/>
      <c r="L3213" s="453"/>
      <c r="M3213" s="453"/>
      <c r="N3213" s="453"/>
      <c r="O3213" s="453"/>
      <c r="P3213" s="453"/>
      <c r="Q3213" s="453"/>
      <c r="R3213" s="453"/>
      <c r="S3213" s="453"/>
    </row>
    <row r="3214" spans="1:27" s="453" customFormat="1" x14ac:dyDescent="0.2">
      <c r="A3214" s="403" t="s">
        <v>1488</v>
      </c>
      <c r="B3214" s="468">
        <v>183</v>
      </c>
      <c r="C3214" s="468">
        <v>183</v>
      </c>
      <c r="D3214" s="468">
        <v>416</v>
      </c>
      <c r="E3214" s="468">
        <v>30</v>
      </c>
      <c r="F3214" s="451"/>
    </row>
    <row r="3215" spans="1:27" s="421" customFormat="1" x14ac:dyDescent="0.2">
      <c r="A3215" s="2364" t="s">
        <v>1487</v>
      </c>
      <c r="B3215" s="1646">
        <v>183</v>
      </c>
      <c r="C3215" s="1646">
        <v>183</v>
      </c>
      <c r="D3215" s="1646">
        <v>416</v>
      </c>
      <c r="E3215" s="1646">
        <v>30</v>
      </c>
      <c r="F3215" s="460"/>
    </row>
    <row r="3216" spans="1:27" s="292" customFormat="1" x14ac:dyDescent="0.2">
      <c r="A3216" s="1073" t="s">
        <v>2076</v>
      </c>
      <c r="E3216" s="421"/>
      <c r="F3216" s="421"/>
      <c r="G3216" s="421"/>
      <c r="H3216" s="421"/>
      <c r="I3216" s="421"/>
      <c r="J3216" s="421"/>
      <c r="K3216" s="421"/>
      <c r="L3216" s="421"/>
      <c r="M3216" s="421"/>
      <c r="N3216" s="421"/>
    </row>
    <row r="3217" spans="1:25" s="292" customFormat="1" x14ac:dyDescent="0.2"/>
    <row r="3219" spans="1:25" s="125" customFormat="1" x14ac:dyDescent="0.2">
      <c r="A3219" s="377" t="s">
        <v>2243</v>
      </c>
      <c r="D3219" s="1075"/>
      <c r="E3219" s="1075"/>
      <c r="F3219" s="1075"/>
      <c r="G3219" s="1075"/>
      <c r="H3219" s="1075"/>
      <c r="I3219" s="1075"/>
    </row>
    <row r="3220" spans="1:25" s="773" customFormat="1" ht="16.25" customHeight="1" x14ac:dyDescent="0.2">
      <c r="A3220" s="753"/>
      <c r="B3220" s="442" t="s">
        <v>2244</v>
      </c>
      <c r="C3220" s="442" t="s">
        <v>2244</v>
      </c>
      <c r="D3220" s="442"/>
      <c r="E3220" s="1075"/>
      <c r="F3220" s="442"/>
      <c r="G3220" s="442"/>
      <c r="H3220" s="442"/>
      <c r="I3220" s="442"/>
      <c r="J3220" s="442"/>
      <c r="K3220" s="442"/>
      <c r="L3220" s="442"/>
      <c r="M3220" s="442"/>
      <c r="N3220" s="442"/>
      <c r="O3220" s="442"/>
      <c r="P3220" s="442"/>
      <c r="Q3220" s="442"/>
      <c r="R3220" s="442"/>
      <c r="S3220" s="442"/>
      <c r="T3220" s="442"/>
      <c r="U3220" s="442"/>
      <c r="V3220" s="442"/>
      <c r="W3220" s="442"/>
    </row>
    <row r="3221" spans="1:25" s="291" customFormat="1" ht="16" x14ac:dyDescent="0.2">
      <c r="A3221" s="2363" t="s">
        <v>1298</v>
      </c>
      <c r="B3221" s="1639" t="s">
        <v>2245</v>
      </c>
      <c r="C3221" s="1656" t="s">
        <v>2246</v>
      </c>
      <c r="D3221" s="2366"/>
      <c r="F3221" s="2365"/>
      <c r="G3221" s="2366"/>
      <c r="H3221" s="2365"/>
      <c r="I3221" s="2366"/>
      <c r="J3221" s="2366"/>
      <c r="K3221" s="2366"/>
      <c r="L3221" s="2366"/>
      <c r="M3221" s="2366"/>
      <c r="N3221" s="2366"/>
      <c r="O3221" s="2366"/>
      <c r="P3221" s="2366"/>
      <c r="Q3221" s="2366"/>
      <c r="R3221" s="2366"/>
      <c r="S3221" s="1456"/>
      <c r="T3221" s="419"/>
      <c r="U3221" s="419"/>
      <c r="V3221" s="419"/>
      <c r="W3221" s="419"/>
      <c r="X3221" s="419"/>
      <c r="Y3221" s="419"/>
    </row>
    <row r="3222" spans="1:25" s="1093" customFormat="1" ht="16" x14ac:dyDescent="0.2">
      <c r="A3222" s="544" t="s">
        <v>57</v>
      </c>
      <c r="B3222" s="1636"/>
      <c r="C3222" s="1635" t="s">
        <v>2247</v>
      </c>
      <c r="D3222" s="1092"/>
      <c r="F3222" s="1092"/>
      <c r="G3222" s="1092"/>
      <c r="H3222" s="1092"/>
      <c r="I3222" s="1092"/>
      <c r="J3222" s="1092"/>
      <c r="K3222" s="1092"/>
      <c r="L3222" s="1092"/>
      <c r="M3222" s="1092"/>
      <c r="N3222" s="1092"/>
      <c r="O3222" s="1092"/>
      <c r="P3222" s="1092"/>
      <c r="Q3222" s="1092"/>
      <c r="R3222" s="1092"/>
      <c r="S3222" s="1092"/>
      <c r="T3222" s="1092"/>
      <c r="U3222" s="1092"/>
      <c r="V3222" s="1092"/>
      <c r="W3222" s="1092"/>
      <c r="X3222" s="1092"/>
      <c r="Y3222" s="1092"/>
    </row>
    <row r="3223" spans="1:25" s="21" customFormat="1" x14ac:dyDescent="0.2">
      <c r="A3223" s="408" t="s">
        <v>65</v>
      </c>
      <c r="B3223" s="470">
        <v>1</v>
      </c>
      <c r="C3223" s="470"/>
      <c r="D3223" s="571"/>
      <c r="E3223" s="571"/>
      <c r="F3223" s="571"/>
      <c r="G3223" s="571"/>
      <c r="H3223" s="571"/>
      <c r="I3223" s="571"/>
    </row>
    <row r="3224" spans="1:25" s="21" customFormat="1" x14ac:dyDescent="0.2">
      <c r="A3224" s="403" t="s">
        <v>2248</v>
      </c>
      <c r="B3224" s="468">
        <v>0.7</v>
      </c>
      <c r="C3224" s="41">
        <f>AVERAGE(0,2.6)</f>
        <v>1.3</v>
      </c>
      <c r="D3224" s="2367"/>
      <c r="E3224" s="2367"/>
      <c r="F3224" s="453"/>
      <c r="G3224" s="453"/>
      <c r="H3224" s="453"/>
      <c r="I3224" s="453"/>
      <c r="J3224" s="453"/>
      <c r="K3224" s="453"/>
      <c r="L3224" s="453"/>
      <c r="M3224" s="453"/>
      <c r="N3224" s="453"/>
      <c r="O3224" s="453"/>
      <c r="P3224" s="453"/>
      <c r="Q3224" s="453"/>
      <c r="R3224" s="453"/>
      <c r="S3224" s="453"/>
      <c r="T3224" s="453"/>
      <c r="U3224" s="453"/>
      <c r="V3224" s="453"/>
      <c r="W3224" s="453"/>
      <c r="X3224" s="453"/>
      <c r="Y3224" s="453"/>
    </row>
    <row r="3225" spans="1:25" s="21" customFormat="1" x14ac:dyDescent="0.2">
      <c r="A3225" s="403" t="s">
        <v>2249</v>
      </c>
      <c r="B3225" s="468">
        <f>AVERAGE(0.7,5.3)</f>
        <v>3</v>
      </c>
      <c r="C3225" s="41">
        <f>AVERAGE(2.6,20)</f>
        <v>11.3</v>
      </c>
      <c r="D3225" s="2367"/>
      <c r="E3225" s="2367"/>
      <c r="F3225" s="453"/>
      <c r="G3225" s="453"/>
      <c r="H3225" s="453"/>
      <c r="I3225" s="453"/>
      <c r="J3225" s="453"/>
      <c r="K3225" s="453"/>
      <c r="L3225" s="453"/>
      <c r="M3225" s="453"/>
      <c r="N3225" s="453"/>
      <c r="O3225" s="453"/>
      <c r="P3225" s="453"/>
      <c r="Q3225" s="453"/>
      <c r="R3225" s="453"/>
      <c r="S3225" s="453"/>
      <c r="T3225" s="453"/>
      <c r="U3225" s="453"/>
      <c r="V3225" s="453"/>
      <c r="W3225" s="453"/>
      <c r="X3225" s="453"/>
      <c r="Y3225" s="453"/>
    </row>
    <row r="3226" spans="1:25" s="21" customFormat="1" x14ac:dyDescent="0.2">
      <c r="A3226" s="403" t="s">
        <v>2250</v>
      </c>
      <c r="B3226" s="468">
        <f>AVERAGE(5.3,14.5)</f>
        <v>9.9</v>
      </c>
      <c r="C3226" s="41">
        <f>AVERAGE(20,56)</f>
        <v>38</v>
      </c>
      <c r="D3226" s="2367"/>
      <c r="E3226" s="2367"/>
      <c r="F3226" s="453"/>
      <c r="G3226" s="453"/>
      <c r="H3226" s="453"/>
      <c r="I3226" s="453"/>
      <c r="J3226" s="453"/>
      <c r="K3226" s="453"/>
      <c r="L3226" s="453"/>
      <c r="M3226" s="453"/>
      <c r="N3226" s="453"/>
      <c r="O3226" s="453"/>
      <c r="P3226" s="453"/>
      <c r="Q3226" s="453"/>
      <c r="R3226" s="453"/>
      <c r="S3226" s="453"/>
      <c r="T3226" s="453"/>
      <c r="U3226" s="453"/>
      <c r="V3226" s="453"/>
      <c r="W3226" s="453"/>
      <c r="X3226" s="453"/>
      <c r="Y3226" s="453"/>
    </row>
    <row r="3227" spans="1:25" s="292" customFormat="1" x14ac:dyDescent="0.2">
      <c r="A3227" s="2364" t="s">
        <v>2251</v>
      </c>
      <c r="B3227" s="460">
        <f>AVERAGE(14.5,39.4)</f>
        <v>26.95</v>
      </c>
      <c r="C3227" s="42">
        <f>AVERAGE(56,155)</f>
        <v>105.5</v>
      </c>
      <c r="D3227" s="421"/>
      <c r="E3227" s="421"/>
      <c r="F3227" s="421"/>
      <c r="G3227" s="421"/>
      <c r="H3227" s="421"/>
      <c r="I3227" s="421"/>
      <c r="J3227" s="421"/>
      <c r="K3227" s="421"/>
      <c r="L3227" s="421"/>
      <c r="M3227" s="421"/>
      <c r="N3227" s="421"/>
      <c r="O3227" s="421"/>
      <c r="P3227" s="421"/>
      <c r="Q3227" s="421"/>
      <c r="R3227" s="421"/>
      <c r="S3227" s="421"/>
      <c r="T3227" s="421"/>
      <c r="U3227" s="421"/>
      <c r="V3227" s="421"/>
      <c r="W3227" s="421"/>
      <c r="X3227" s="421"/>
      <c r="Y3227" s="421"/>
    </row>
    <row r="3228" spans="1:25" s="292" customFormat="1" x14ac:dyDescent="0.2">
      <c r="A3228" s="1073" t="s">
        <v>2076</v>
      </c>
      <c r="E3228" s="421"/>
      <c r="F3228" s="421"/>
      <c r="G3228" s="421"/>
      <c r="H3228" s="421"/>
      <c r="I3228" s="421"/>
      <c r="J3228" s="421"/>
      <c r="K3228" s="421"/>
      <c r="L3228" s="421"/>
      <c r="M3228" s="421"/>
      <c r="N3228" s="421"/>
    </row>
    <row r="3229" spans="1:25" s="292" customFormat="1" x14ac:dyDescent="0.2"/>
    <row r="3231" spans="1:25" s="1086" customFormat="1" ht="24" x14ac:dyDescent="0.2">
      <c r="A3231" s="1086" t="s">
        <v>2252</v>
      </c>
    </row>
    <row r="3233" spans="1:28" s="125" customFormat="1" x14ac:dyDescent="0.2">
      <c r="A3233" s="377" t="s">
        <v>2253</v>
      </c>
      <c r="B3233" s="532"/>
      <c r="E3233" s="1075"/>
      <c r="F3233" s="1075"/>
      <c r="G3233" s="1075"/>
      <c r="H3233" s="1075"/>
      <c r="I3233" s="1075"/>
      <c r="J3233" s="1075"/>
    </row>
    <row r="3234" spans="1:28" s="773" customFormat="1" ht="16.25" customHeight="1" x14ac:dyDescent="0.2">
      <c r="A3234" s="753"/>
      <c r="B3234" s="442" t="s">
        <v>2254</v>
      </c>
      <c r="C3234" s="442" t="s">
        <v>2254</v>
      </c>
      <c r="D3234" s="442" t="s">
        <v>2254</v>
      </c>
      <c r="E3234" s="442" t="s">
        <v>2254</v>
      </c>
      <c r="F3234" s="442" t="s">
        <v>2254</v>
      </c>
      <c r="G3234" s="442" t="s">
        <v>2254</v>
      </c>
      <c r="H3234" s="442" t="s">
        <v>2254</v>
      </c>
      <c r="I3234" s="442" t="s">
        <v>2254</v>
      </c>
      <c r="J3234" s="442" t="s">
        <v>2254</v>
      </c>
      <c r="K3234" s="442" t="s">
        <v>2255</v>
      </c>
      <c r="L3234" s="442" t="s">
        <v>2255</v>
      </c>
      <c r="M3234" s="442" t="s">
        <v>2255</v>
      </c>
      <c r="N3234" s="442" t="s">
        <v>2255</v>
      </c>
      <c r="O3234" s="442" t="s">
        <v>2255</v>
      </c>
      <c r="P3234" s="442" t="s">
        <v>2255</v>
      </c>
      <c r="Q3234" s="442" t="s">
        <v>2255</v>
      </c>
      <c r="R3234" s="442"/>
      <c r="S3234" s="442"/>
      <c r="T3234" s="442"/>
      <c r="U3234" s="442"/>
      <c r="V3234" s="442"/>
      <c r="W3234" s="442"/>
      <c r="X3234" s="442"/>
    </row>
    <row r="3235" spans="1:28" s="291" customFormat="1" x14ac:dyDescent="0.2">
      <c r="A3235" s="2363" t="s">
        <v>57</v>
      </c>
      <c r="B3235" s="2363" t="s">
        <v>1494</v>
      </c>
      <c r="C3235" s="371" t="s">
        <v>1352</v>
      </c>
      <c r="D3235" s="371" t="s">
        <v>1505</v>
      </c>
      <c r="E3235" s="371" t="s">
        <v>1407</v>
      </c>
      <c r="F3235" s="371" t="s">
        <v>1413</v>
      </c>
      <c r="G3235" s="371" t="s">
        <v>1417</v>
      </c>
      <c r="H3235" s="371" t="s">
        <v>1421</v>
      </c>
      <c r="I3235" s="371" t="s">
        <v>1424</v>
      </c>
      <c r="J3235" s="371" t="s">
        <v>1427</v>
      </c>
      <c r="K3235" s="371" t="s">
        <v>1497</v>
      </c>
      <c r="L3235" s="371" t="s">
        <v>1499</v>
      </c>
      <c r="M3235" s="371" t="s">
        <v>1510</v>
      </c>
      <c r="N3235" s="371" t="s">
        <v>1501</v>
      </c>
      <c r="O3235" s="371" t="s">
        <v>1502</v>
      </c>
      <c r="P3235" s="371" t="s">
        <v>1508</v>
      </c>
      <c r="Q3235" s="371" t="s">
        <v>1507</v>
      </c>
      <c r="R3235" s="2366"/>
      <c r="S3235" s="2366"/>
      <c r="T3235" s="1456"/>
      <c r="U3235" s="419"/>
      <c r="V3235" s="419"/>
      <c r="W3235" s="453"/>
      <c r="X3235" s="453"/>
      <c r="Y3235" s="453"/>
      <c r="Z3235" s="453"/>
      <c r="AA3235" s="21"/>
      <c r="AB3235" s="21"/>
    </row>
    <row r="3236" spans="1:28" s="1093" customFormat="1" ht="16" x14ac:dyDescent="0.2">
      <c r="A3236" s="544" t="s">
        <v>2196</v>
      </c>
      <c r="B3236" s="31" t="s">
        <v>62</v>
      </c>
      <c r="C3236" s="31" t="s">
        <v>62</v>
      </c>
      <c r="D3236" s="31" t="s">
        <v>62</v>
      </c>
      <c r="E3236" s="31" t="s">
        <v>62</v>
      </c>
      <c r="F3236" s="31" t="s">
        <v>62</v>
      </c>
      <c r="G3236" s="31" t="s">
        <v>62</v>
      </c>
      <c r="H3236" s="31" t="s">
        <v>62</v>
      </c>
      <c r="I3236" s="31" t="s">
        <v>62</v>
      </c>
      <c r="J3236" s="31" t="s">
        <v>62</v>
      </c>
      <c r="K3236" s="31" t="s">
        <v>62</v>
      </c>
      <c r="L3236" s="31" t="s">
        <v>62</v>
      </c>
      <c r="M3236" s="31" t="s">
        <v>62</v>
      </c>
      <c r="N3236" s="31" t="s">
        <v>62</v>
      </c>
      <c r="O3236" s="31" t="s">
        <v>62</v>
      </c>
      <c r="P3236" s="31" t="s">
        <v>62</v>
      </c>
      <c r="Q3236" s="31" t="s">
        <v>62</v>
      </c>
      <c r="R3236" s="1092"/>
      <c r="S3236" s="1092"/>
      <c r="T3236" s="1092"/>
      <c r="U3236" s="1092"/>
      <c r="V3236" s="1092"/>
      <c r="W3236" s="1092"/>
      <c r="X3236" s="1092"/>
      <c r="Y3236" s="1092"/>
      <c r="Z3236" s="1092"/>
    </row>
    <row r="3237" spans="1:28" s="21" customFormat="1" x14ac:dyDescent="0.2">
      <c r="A3237" s="408" t="s">
        <v>111</v>
      </c>
      <c r="B3237" s="4054">
        <f>AVERAGE(C3237:J3237)</f>
        <v>41.762500000000003</v>
      </c>
      <c r="C3237" s="467">
        <v>47.4</v>
      </c>
      <c r="D3237" s="467">
        <v>22.1</v>
      </c>
      <c r="E3237" s="467">
        <v>9.4</v>
      </c>
      <c r="F3237" s="467">
        <v>65</v>
      </c>
      <c r="G3237" s="41">
        <v>11.8</v>
      </c>
      <c r="H3237" s="41">
        <v>48</v>
      </c>
      <c r="I3237" s="41">
        <v>72.2</v>
      </c>
      <c r="J3237" s="41">
        <v>58.2</v>
      </c>
      <c r="K3237" s="4039">
        <v>9.1</v>
      </c>
      <c r="L3237" s="4039">
        <v>8.5</v>
      </c>
      <c r="M3237" s="4039">
        <v>5.5</v>
      </c>
      <c r="N3237" s="4039">
        <v>12.69</v>
      </c>
      <c r="O3237" s="41">
        <v>60</v>
      </c>
      <c r="P3237" s="41">
        <v>80.2</v>
      </c>
      <c r="Q3237" s="41">
        <v>20.7</v>
      </c>
      <c r="R3237" s="453"/>
      <c r="S3237" s="453"/>
      <c r="T3237" s="453"/>
      <c r="U3237" s="453"/>
      <c r="V3237" s="453"/>
      <c r="W3237" s="453"/>
      <c r="X3237" s="453"/>
      <c r="Y3237" s="453"/>
      <c r="Z3237" s="453"/>
    </row>
    <row r="3238" spans="1:28" s="21" customFormat="1" x14ac:dyDescent="0.2">
      <c r="A3238" s="401" t="s">
        <v>1358</v>
      </c>
      <c r="B3238" s="4054">
        <f>AVERAGE(C3238:J3238)</f>
        <v>39.700000000000003</v>
      </c>
      <c r="C3238" s="4040">
        <v>47.4</v>
      </c>
      <c r="D3238" s="4040">
        <v>22.1</v>
      </c>
      <c r="E3238" s="467">
        <v>26.1</v>
      </c>
      <c r="F3238" s="467">
        <v>65</v>
      </c>
      <c r="G3238" s="41">
        <v>11.8</v>
      </c>
      <c r="H3238" s="41">
        <v>48</v>
      </c>
      <c r="I3238" s="41">
        <v>27.3</v>
      </c>
      <c r="J3238" s="41">
        <v>69.900000000000006</v>
      </c>
      <c r="K3238" s="41">
        <v>9.1</v>
      </c>
      <c r="L3238" s="41">
        <v>8.5</v>
      </c>
      <c r="M3238" s="41">
        <v>5.5</v>
      </c>
      <c r="N3238" s="41">
        <v>12.69</v>
      </c>
      <c r="O3238" s="4039">
        <v>60</v>
      </c>
      <c r="P3238" s="4039">
        <v>80.2</v>
      </c>
      <c r="Q3238" s="41">
        <v>20.7</v>
      </c>
      <c r="R3238" s="453"/>
      <c r="S3238" s="453"/>
      <c r="T3238" s="453"/>
      <c r="U3238" s="453"/>
      <c r="V3238" s="453"/>
      <c r="W3238" s="453"/>
      <c r="X3238" s="453"/>
      <c r="Y3238" s="453"/>
      <c r="Z3238" s="453"/>
    </row>
    <row r="3239" spans="1:28" s="21" customFormat="1" x14ac:dyDescent="0.2">
      <c r="A3239" s="401" t="s">
        <v>1360</v>
      </c>
      <c r="B3239" s="4054">
        <f>AVERAGE(C3239:J3239)</f>
        <v>39.700000000000003</v>
      </c>
      <c r="C3239" s="4040">
        <v>47.4</v>
      </c>
      <c r="D3239" s="4040">
        <v>22.1</v>
      </c>
      <c r="E3239" s="467">
        <v>26.1</v>
      </c>
      <c r="F3239" s="467">
        <v>65</v>
      </c>
      <c r="G3239" s="41">
        <v>11.8</v>
      </c>
      <c r="H3239" s="41">
        <v>48</v>
      </c>
      <c r="I3239" s="41">
        <v>27.3</v>
      </c>
      <c r="J3239" s="41">
        <v>69.900000000000006</v>
      </c>
      <c r="K3239" s="41">
        <v>9.1</v>
      </c>
      <c r="L3239" s="41">
        <v>8.5</v>
      </c>
      <c r="M3239" s="41">
        <v>5.5</v>
      </c>
      <c r="N3239" s="41">
        <v>12.69</v>
      </c>
      <c r="O3239" s="4039">
        <v>60</v>
      </c>
      <c r="P3239" s="4039">
        <v>80.2</v>
      </c>
      <c r="Q3239" s="41">
        <v>20.7</v>
      </c>
      <c r="R3239" s="453"/>
      <c r="S3239" s="453"/>
      <c r="T3239" s="453"/>
      <c r="U3239" s="453"/>
      <c r="V3239" s="453"/>
      <c r="W3239" s="453"/>
      <c r="X3239" s="453"/>
      <c r="Y3239" s="453"/>
      <c r="Z3239" s="453"/>
    </row>
    <row r="3240" spans="1:28" s="21" customFormat="1" x14ac:dyDescent="0.2">
      <c r="A3240" s="401" t="s">
        <v>114</v>
      </c>
      <c r="B3240" s="4054">
        <f>AVERAGE(C3240:J3240)</f>
        <v>36.287500000000001</v>
      </c>
      <c r="C3240" s="4040">
        <v>47.4</v>
      </c>
      <c r="D3240" s="4040">
        <v>22.1</v>
      </c>
      <c r="E3240" s="467">
        <v>26.1</v>
      </c>
      <c r="F3240" s="467">
        <v>65</v>
      </c>
      <c r="G3240" s="41">
        <v>11.8</v>
      </c>
      <c r="H3240" s="41">
        <v>48</v>
      </c>
      <c r="I3240" s="41">
        <v>0</v>
      </c>
      <c r="J3240" s="41">
        <v>69.900000000000006</v>
      </c>
      <c r="K3240" s="41">
        <v>9.1</v>
      </c>
      <c r="L3240" s="41">
        <v>8.5</v>
      </c>
      <c r="M3240" s="41">
        <v>5.5</v>
      </c>
      <c r="N3240" s="41">
        <v>12.69</v>
      </c>
      <c r="O3240" s="41">
        <v>60</v>
      </c>
      <c r="P3240" s="41">
        <v>80.2</v>
      </c>
      <c r="Q3240" s="41">
        <v>20.7</v>
      </c>
      <c r="R3240" s="453"/>
      <c r="S3240" s="453"/>
      <c r="T3240" s="453"/>
      <c r="U3240" s="453"/>
      <c r="V3240" s="453"/>
      <c r="W3240" s="453"/>
      <c r="X3240" s="453"/>
      <c r="Y3240" s="453"/>
      <c r="Z3240" s="453"/>
    </row>
    <row r="3241" spans="1:28" s="292" customFormat="1" x14ac:dyDescent="0.2">
      <c r="A3241" s="2371" t="s">
        <v>2256</v>
      </c>
      <c r="B3241" s="4055">
        <f>AVERAGE(B3237:B3238)</f>
        <v>40.731250000000003</v>
      </c>
      <c r="C3241" s="4055">
        <f t="shared" ref="C3241:Q3241" si="219">AVERAGE(C3237:C3238)</f>
        <v>47.4</v>
      </c>
      <c r="D3241" s="4055">
        <f t="shared" si="219"/>
        <v>22.1</v>
      </c>
      <c r="E3241" s="4055">
        <f t="shared" si="219"/>
        <v>17.75</v>
      </c>
      <c r="F3241" s="4055">
        <f t="shared" si="219"/>
        <v>65</v>
      </c>
      <c r="G3241" s="4055">
        <f t="shared" si="219"/>
        <v>11.8</v>
      </c>
      <c r="H3241" s="4055">
        <f t="shared" si="219"/>
        <v>48</v>
      </c>
      <c r="I3241" s="4055">
        <f t="shared" si="219"/>
        <v>49.75</v>
      </c>
      <c r="J3241" s="4055">
        <f t="shared" si="219"/>
        <v>64.050000000000011</v>
      </c>
      <c r="K3241" s="4055">
        <f t="shared" si="219"/>
        <v>9.1</v>
      </c>
      <c r="L3241" s="4055">
        <f t="shared" si="219"/>
        <v>8.5</v>
      </c>
      <c r="M3241" s="4055">
        <f t="shared" si="219"/>
        <v>5.5</v>
      </c>
      <c r="N3241" s="4055">
        <f t="shared" si="219"/>
        <v>12.69</v>
      </c>
      <c r="O3241" s="4055">
        <f t="shared" si="219"/>
        <v>60</v>
      </c>
      <c r="P3241" s="4055">
        <f t="shared" si="219"/>
        <v>80.2</v>
      </c>
      <c r="Q3241" s="4055">
        <f t="shared" si="219"/>
        <v>20.7</v>
      </c>
      <c r="R3241" s="421"/>
      <c r="S3241" s="421"/>
      <c r="T3241" s="421"/>
      <c r="U3241" s="421"/>
      <c r="V3241" s="421"/>
      <c r="W3241" s="421"/>
      <c r="X3241" s="421"/>
      <c r="Y3241" s="421"/>
      <c r="Z3241" s="421"/>
    </row>
    <row r="3242" spans="1:28" s="292" customFormat="1" x14ac:dyDescent="0.2">
      <c r="A3242" s="1073" t="s">
        <v>2257</v>
      </c>
      <c r="B3242" s="4053"/>
      <c r="F3242" s="421"/>
      <c r="G3242" s="421"/>
      <c r="H3242" s="421"/>
      <c r="I3242" s="421"/>
      <c r="J3242" s="421"/>
      <c r="K3242" s="421"/>
      <c r="L3242" s="421"/>
      <c r="M3242" s="421"/>
      <c r="N3242" s="421"/>
      <c r="O3242" s="421"/>
    </row>
    <row r="3243" spans="1:28" s="292" customFormat="1" x14ac:dyDescent="0.2">
      <c r="A3243" s="4053" t="s">
        <v>2258</v>
      </c>
    </row>
  </sheetData>
  <mergeCells count="3">
    <mergeCell ref="E509:F509"/>
    <mergeCell ref="J509:K509"/>
    <mergeCell ref="J519:K519"/>
  </mergeCells>
  <conditionalFormatting sqref="A515">
    <cfRule type="duplicateValues" dxfId="351" priority="212"/>
  </conditionalFormatting>
  <conditionalFormatting sqref="A2268">
    <cfRule type="duplicateValues" dxfId="350" priority="86"/>
  </conditionalFormatting>
  <conditionalFormatting sqref="A2285">
    <cfRule type="duplicateValues" dxfId="349" priority="74"/>
  </conditionalFormatting>
  <conditionalFormatting sqref="A2302">
    <cfRule type="duplicateValues" dxfId="348" priority="73"/>
  </conditionalFormatting>
  <conditionalFormatting sqref="A2319">
    <cfRule type="duplicateValues" dxfId="347" priority="72"/>
  </conditionalFormatting>
  <conditionalFormatting sqref="A2336">
    <cfRule type="duplicateValues" dxfId="346" priority="71"/>
  </conditionalFormatting>
  <conditionalFormatting sqref="A2353">
    <cfRule type="duplicateValues" dxfId="345" priority="70"/>
  </conditionalFormatting>
  <conditionalFormatting sqref="A2370">
    <cfRule type="duplicateValues" dxfId="344" priority="68"/>
  </conditionalFormatting>
  <conditionalFormatting sqref="A2387">
    <cfRule type="duplicateValues" dxfId="343" priority="67"/>
  </conditionalFormatting>
  <conditionalFormatting sqref="A2404">
    <cfRule type="duplicateValues" dxfId="342" priority="66"/>
  </conditionalFormatting>
  <conditionalFormatting sqref="A2421">
    <cfRule type="duplicateValues" dxfId="341" priority="65"/>
  </conditionalFormatting>
  <conditionalFormatting sqref="A2438">
    <cfRule type="duplicateValues" dxfId="340" priority="64"/>
  </conditionalFormatting>
  <conditionalFormatting sqref="A2455">
    <cfRule type="duplicateValues" dxfId="339" priority="63"/>
  </conditionalFormatting>
  <conditionalFormatting sqref="A2472">
    <cfRule type="duplicateValues" dxfId="338" priority="62"/>
  </conditionalFormatting>
  <conditionalFormatting sqref="A2489">
    <cfRule type="duplicateValues" dxfId="337" priority="61"/>
  </conditionalFormatting>
  <conditionalFormatting sqref="A2506">
    <cfRule type="duplicateValues" dxfId="336" priority="60"/>
  </conditionalFormatting>
  <conditionalFormatting sqref="A2523">
    <cfRule type="duplicateValues" dxfId="335" priority="33"/>
  </conditionalFormatting>
  <conditionalFormatting sqref="A2540">
    <cfRule type="duplicateValues" dxfId="334" priority="32"/>
  </conditionalFormatting>
  <conditionalFormatting sqref="A2557">
    <cfRule type="duplicateValues" dxfId="333" priority="59"/>
  </conditionalFormatting>
  <conditionalFormatting sqref="A2574">
    <cfRule type="duplicateValues" dxfId="332" priority="58"/>
  </conditionalFormatting>
  <conditionalFormatting sqref="A2591">
    <cfRule type="duplicateValues" dxfId="331" priority="57"/>
  </conditionalFormatting>
  <conditionalFormatting sqref="A2608">
    <cfRule type="duplicateValues" dxfId="330" priority="56"/>
  </conditionalFormatting>
  <conditionalFormatting sqref="A2625">
    <cfRule type="duplicateValues" dxfId="329" priority="55"/>
  </conditionalFormatting>
  <conditionalFormatting sqref="A2642">
    <cfRule type="duplicateValues" dxfId="328" priority="54"/>
  </conditionalFormatting>
  <conditionalFormatting sqref="A2659">
    <cfRule type="duplicateValues" dxfId="327" priority="53"/>
  </conditionalFormatting>
  <conditionalFormatting sqref="A2676">
    <cfRule type="duplicateValues" dxfId="326" priority="52"/>
  </conditionalFormatting>
  <conditionalFormatting sqref="A2693">
    <cfRule type="duplicateValues" dxfId="325" priority="26"/>
  </conditionalFormatting>
  <conditionalFormatting sqref="A2710">
    <cfRule type="duplicateValues" dxfId="324" priority="51"/>
  </conditionalFormatting>
  <conditionalFormatting sqref="A2727">
    <cfRule type="duplicateValues" dxfId="323" priority="50"/>
  </conditionalFormatting>
  <conditionalFormatting sqref="A2744">
    <cfRule type="duplicateValues" dxfId="322" priority="49"/>
  </conditionalFormatting>
  <conditionalFormatting sqref="A2761">
    <cfRule type="duplicateValues" dxfId="321" priority="48"/>
  </conditionalFormatting>
  <conditionalFormatting sqref="A2778">
    <cfRule type="duplicateValues" dxfId="320" priority="47"/>
  </conditionalFormatting>
  <conditionalFormatting sqref="A2795">
    <cfRule type="duplicateValues" dxfId="319" priority="46"/>
  </conditionalFormatting>
  <conditionalFormatting sqref="A2812">
    <cfRule type="duplicateValues" dxfId="318" priority="45"/>
  </conditionalFormatting>
  <conditionalFormatting sqref="A2829">
    <cfRule type="duplicateValues" dxfId="317" priority="44"/>
  </conditionalFormatting>
  <conditionalFormatting sqref="A2846">
    <cfRule type="duplicateValues" dxfId="316" priority="43"/>
  </conditionalFormatting>
  <conditionalFormatting sqref="A2863">
    <cfRule type="duplicateValues" dxfId="315" priority="42"/>
  </conditionalFormatting>
  <conditionalFormatting sqref="A2880">
    <cfRule type="duplicateValues" dxfId="314" priority="41"/>
  </conditionalFormatting>
  <conditionalFormatting sqref="A2897">
    <cfRule type="duplicateValues" dxfId="313" priority="40"/>
  </conditionalFormatting>
  <conditionalFormatting sqref="A2914">
    <cfRule type="duplicateValues" dxfId="312" priority="39"/>
  </conditionalFormatting>
  <conditionalFormatting sqref="A2931">
    <cfRule type="duplicateValues" dxfId="311" priority="38"/>
  </conditionalFormatting>
  <conditionalFormatting sqref="A2948">
    <cfRule type="duplicateValues" dxfId="310" priority="37"/>
  </conditionalFormatting>
  <conditionalFormatting sqref="A2965">
    <cfRule type="duplicateValues" dxfId="309" priority="36"/>
  </conditionalFormatting>
  <conditionalFormatting sqref="A2982">
    <cfRule type="duplicateValues" dxfId="308" priority="35"/>
  </conditionalFormatting>
  <conditionalFormatting sqref="A2999">
    <cfRule type="duplicateValues" dxfId="307" priority="34"/>
  </conditionalFormatting>
  <conditionalFormatting sqref="A3016">
    <cfRule type="duplicateValues" dxfId="306" priority="24"/>
  </conditionalFormatting>
  <conditionalFormatting sqref="A3033">
    <cfRule type="duplicateValues" dxfId="305" priority="23"/>
  </conditionalFormatting>
  <conditionalFormatting sqref="A3050">
    <cfRule type="duplicateValues" dxfId="304" priority="22"/>
  </conditionalFormatting>
  <conditionalFormatting sqref="A3067">
    <cfRule type="duplicateValues" dxfId="303" priority="21"/>
  </conditionalFormatting>
  <conditionalFormatting sqref="A3084">
    <cfRule type="duplicateValues" dxfId="302" priority="11"/>
  </conditionalFormatting>
  <conditionalFormatting sqref="A3101">
    <cfRule type="duplicateValues" dxfId="301" priority="18"/>
  </conditionalFormatting>
  <conditionalFormatting sqref="A3118">
    <cfRule type="duplicateValues" dxfId="300" priority="17"/>
  </conditionalFormatting>
  <conditionalFormatting sqref="A3135">
    <cfRule type="duplicateValues" dxfId="299" priority="16"/>
  </conditionalFormatting>
  <conditionalFormatting sqref="A3152">
    <cfRule type="duplicateValues" dxfId="298" priority="14"/>
  </conditionalFormatting>
  <conditionalFormatting sqref="A3169">
    <cfRule type="duplicateValues" dxfId="297" priority="13"/>
  </conditionalFormatting>
  <conditionalFormatting sqref="A3186">
    <cfRule type="duplicateValues" dxfId="296" priority="10"/>
  </conditionalFormatting>
  <conditionalFormatting sqref="A3206">
    <cfRule type="duplicateValues" dxfId="295" priority="2"/>
  </conditionalFormatting>
  <conditionalFormatting sqref="A3223">
    <cfRule type="duplicateValues" dxfId="294" priority="3"/>
  </conditionalFormatting>
  <conditionalFormatting sqref="A3224">
    <cfRule type="duplicateValues" dxfId="293" priority="4"/>
  </conditionalFormatting>
  <conditionalFormatting sqref="A3237">
    <cfRule type="duplicateValues" dxfId="292" priority="1"/>
  </conditionalFormatting>
  <conditionalFormatting sqref="B107">
    <cfRule type="duplicateValues" dxfId="291" priority="284"/>
  </conditionalFormatting>
  <conditionalFormatting sqref="B123">
    <cfRule type="duplicateValues" dxfId="290" priority="264"/>
  </conditionalFormatting>
  <conditionalFormatting sqref="B139">
    <cfRule type="duplicateValues" dxfId="289" priority="279"/>
  </conditionalFormatting>
  <conditionalFormatting sqref="B155">
    <cfRule type="duplicateValues" dxfId="288" priority="261"/>
  </conditionalFormatting>
  <conditionalFormatting sqref="B171">
    <cfRule type="duplicateValues" dxfId="287" priority="277"/>
  </conditionalFormatting>
  <conditionalFormatting sqref="B187">
    <cfRule type="duplicateValues" dxfId="286" priority="275"/>
  </conditionalFormatting>
  <conditionalFormatting sqref="B203">
    <cfRule type="duplicateValues" dxfId="285" priority="273"/>
  </conditionalFormatting>
  <conditionalFormatting sqref="B219">
    <cfRule type="duplicateValues" dxfId="284" priority="271"/>
  </conditionalFormatting>
  <conditionalFormatting sqref="B235">
    <cfRule type="duplicateValues" dxfId="283" priority="269"/>
  </conditionalFormatting>
  <conditionalFormatting sqref="B251">
    <cfRule type="duplicateValues" dxfId="282" priority="259"/>
  </conditionalFormatting>
  <conditionalFormatting sqref="B267">
    <cfRule type="duplicateValues" dxfId="281" priority="268"/>
  </conditionalFormatting>
  <conditionalFormatting sqref="B283">
    <cfRule type="duplicateValues" dxfId="280" priority="266"/>
  </conditionalFormatting>
  <conditionalFormatting sqref="B310">
    <cfRule type="duplicateValues" dxfId="279" priority="258"/>
  </conditionalFormatting>
  <conditionalFormatting sqref="B326">
    <cfRule type="duplicateValues" dxfId="278" priority="224"/>
  </conditionalFormatting>
  <conditionalFormatting sqref="B342">
    <cfRule type="duplicateValues" dxfId="277" priority="250"/>
  </conditionalFormatting>
  <conditionalFormatting sqref="B358">
    <cfRule type="duplicateValues" dxfId="276" priority="218"/>
  </conditionalFormatting>
  <conditionalFormatting sqref="B374">
    <cfRule type="duplicateValues" dxfId="275" priority="244"/>
  </conditionalFormatting>
  <conditionalFormatting sqref="B390">
    <cfRule type="duplicateValues" dxfId="274" priority="238"/>
  </conditionalFormatting>
  <conditionalFormatting sqref="B406">
    <cfRule type="duplicateValues" dxfId="273" priority="232"/>
  </conditionalFormatting>
  <conditionalFormatting sqref="B422">
    <cfRule type="duplicateValues" dxfId="272" priority="230"/>
  </conditionalFormatting>
  <conditionalFormatting sqref="B438">
    <cfRule type="duplicateValues" dxfId="271" priority="228"/>
  </conditionalFormatting>
  <conditionalFormatting sqref="B454">
    <cfRule type="duplicateValues" dxfId="270" priority="226"/>
  </conditionalFormatting>
  <conditionalFormatting sqref="B470">
    <cfRule type="duplicateValues" dxfId="269" priority="176"/>
  </conditionalFormatting>
  <conditionalFormatting sqref="B486">
    <cfRule type="duplicateValues" dxfId="268" priority="175"/>
  </conditionalFormatting>
  <conditionalFormatting sqref="B686">
    <cfRule type="duplicateValues" dxfId="267" priority="188"/>
  </conditionalFormatting>
  <conditionalFormatting sqref="B702">
    <cfRule type="duplicateValues" dxfId="266" priority="179"/>
  </conditionalFormatting>
  <conditionalFormatting sqref="B718">
    <cfRule type="duplicateValues" dxfId="265" priority="187"/>
  </conditionalFormatting>
  <conditionalFormatting sqref="B734">
    <cfRule type="duplicateValues" dxfId="264" priority="178"/>
  </conditionalFormatting>
  <conditionalFormatting sqref="B750">
    <cfRule type="duplicateValues" dxfId="263" priority="186"/>
  </conditionalFormatting>
  <conditionalFormatting sqref="B766">
    <cfRule type="duplicateValues" dxfId="262" priority="185"/>
  </conditionalFormatting>
  <conditionalFormatting sqref="B782">
    <cfRule type="duplicateValues" dxfId="261" priority="184"/>
  </conditionalFormatting>
  <conditionalFormatting sqref="B798">
    <cfRule type="duplicateValues" dxfId="260" priority="183"/>
  </conditionalFormatting>
  <conditionalFormatting sqref="B814">
    <cfRule type="duplicateValues" dxfId="259" priority="182"/>
  </conditionalFormatting>
  <conditionalFormatting sqref="B830">
    <cfRule type="duplicateValues" dxfId="258" priority="177"/>
  </conditionalFormatting>
  <conditionalFormatting sqref="B924">
    <cfRule type="duplicateValues" dxfId="257" priority="174"/>
  </conditionalFormatting>
  <conditionalFormatting sqref="B940">
    <cfRule type="duplicateValues" dxfId="256" priority="173"/>
  </conditionalFormatting>
  <conditionalFormatting sqref="B956">
    <cfRule type="duplicateValues" dxfId="255" priority="172"/>
  </conditionalFormatting>
  <conditionalFormatting sqref="B972">
    <cfRule type="duplicateValues" dxfId="254" priority="171"/>
  </conditionalFormatting>
  <conditionalFormatting sqref="B988">
    <cfRule type="duplicateValues" dxfId="253" priority="170"/>
  </conditionalFormatting>
  <conditionalFormatting sqref="B1004">
    <cfRule type="duplicateValues" dxfId="252" priority="169"/>
  </conditionalFormatting>
  <conditionalFormatting sqref="B1020">
    <cfRule type="duplicateValues" dxfId="251" priority="168"/>
  </conditionalFormatting>
  <conditionalFormatting sqref="B1036">
    <cfRule type="duplicateValues" dxfId="250" priority="167"/>
  </conditionalFormatting>
  <conditionalFormatting sqref="B1052">
    <cfRule type="duplicateValues" dxfId="249" priority="166"/>
  </conditionalFormatting>
  <conditionalFormatting sqref="B1068">
    <cfRule type="duplicateValues" dxfId="248" priority="165"/>
  </conditionalFormatting>
  <conditionalFormatting sqref="B1084">
    <cfRule type="duplicateValues" dxfId="247" priority="164"/>
  </conditionalFormatting>
  <conditionalFormatting sqref="B1100">
    <cfRule type="duplicateValues" dxfId="246" priority="163"/>
  </conditionalFormatting>
  <conditionalFormatting sqref="B1116">
    <cfRule type="duplicateValues" dxfId="245" priority="162"/>
  </conditionalFormatting>
  <conditionalFormatting sqref="B1132">
    <cfRule type="duplicateValues" dxfId="244" priority="161"/>
  </conditionalFormatting>
  <conditionalFormatting sqref="B1148">
    <cfRule type="duplicateValues" dxfId="243" priority="160"/>
  </conditionalFormatting>
  <conditionalFormatting sqref="B1164">
    <cfRule type="duplicateValues" dxfId="242" priority="159"/>
  </conditionalFormatting>
  <conditionalFormatting sqref="B1180">
    <cfRule type="duplicateValues" dxfId="241" priority="158"/>
  </conditionalFormatting>
  <conditionalFormatting sqref="B1196">
    <cfRule type="duplicateValues" dxfId="240" priority="148"/>
  </conditionalFormatting>
  <conditionalFormatting sqref="B1212">
    <cfRule type="duplicateValues" dxfId="239" priority="147"/>
  </conditionalFormatting>
  <conditionalFormatting sqref="B1228">
    <cfRule type="duplicateValues" dxfId="238" priority="145"/>
  </conditionalFormatting>
  <conditionalFormatting sqref="B1244">
    <cfRule type="duplicateValues" dxfId="237" priority="143"/>
  </conditionalFormatting>
  <conditionalFormatting sqref="B1260">
    <cfRule type="duplicateValues" dxfId="236" priority="141"/>
  </conditionalFormatting>
  <conditionalFormatting sqref="B1276">
    <cfRule type="duplicateValues" dxfId="235" priority="139"/>
  </conditionalFormatting>
  <conditionalFormatting sqref="B1292">
    <cfRule type="duplicateValues" dxfId="234" priority="137"/>
  </conditionalFormatting>
  <conditionalFormatting sqref="B1308">
    <cfRule type="duplicateValues" dxfId="233" priority="135"/>
  </conditionalFormatting>
  <conditionalFormatting sqref="B1324">
    <cfRule type="duplicateValues" dxfId="232" priority="133"/>
  </conditionalFormatting>
  <conditionalFormatting sqref="B1340">
    <cfRule type="duplicateValues" dxfId="231" priority="131"/>
  </conditionalFormatting>
  <conditionalFormatting sqref="B1356">
    <cfRule type="duplicateValues" dxfId="230" priority="129"/>
  </conditionalFormatting>
  <conditionalFormatting sqref="B1372">
    <cfRule type="duplicateValues" dxfId="229" priority="127"/>
  </conditionalFormatting>
  <conditionalFormatting sqref="B1388">
    <cfRule type="duplicateValues" dxfId="228" priority="125"/>
  </conditionalFormatting>
  <conditionalFormatting sqref="B1404">
    <cfRule type="duplicateValues" dxfId="227" priority="123"/>
  </conditionalFormatting>
  <conditionalFormatting sqref="B1420">
    <cfRule type="duplicateValues" dxfId="226" priority="121"/>
  </conditionalFormatting>
  <conditionalFormatting sqref="B1436">
    <cfRule type="duplicateValues" dxfId="225" priority="119"/>
  </conditionalFormatting>
  <conditionalFormatting sqref="B1452">
    <cfRule type="duplicateValues" dxfId="224" priority="117"/>
  </conditionalFormatting>
  <conditionalFormatting sqref="B1521">
    <cfRule type="duplicateValues" dxfId="223" priority="96"/>
  </conditionalFormatting>
  <conditionalFormatting sqref="B1537">
    <cfRule type="duplicateValues" dxfId="222" priority="89"/>
  </conditionalFormatting>
  <conditionalFormatting sqref="B1553">
    <cfRule type="duplicateValues" dxfId="221" priority="95"/>
  </conditionalFormatting>
  <conditionalFormatting sqref="B1569">
    <cfRule type="duplicateValues" dxfId="220" priority="88"/>
  </conditionalFormatting>
  <conditionalFormatting sqref="B1585">
    <cfRule type="duplicateValues" dxfId="219" priority="94"/>
  </conditionalFormatting>
  <conditionalFormatting sqref="B1601">
    <cfRule type="duplicateValues" dxfId="218" priority="93"/>
  </conditionalFormatting>
  <conditionalFormatting sqref="B1617">
    <cfRule type="duplicateValues" dxfId="217" priority="92"/>
  </conditionalFormatting>
  <conditionalFormatting sqref="B1633">
    <cfRule type="duplicateValues" dxfId="216" priority="91"/>
  </conditionalFormatting>
  <conditionalFormatting sqref="B1649">
    <cfRule type="duplicateValues" dxfId="215" priority="90"/>
  </conditionalFormatting>
  <conditionalFormatting sqref="B1665">
    <cfRule type="duplicateValues" dxfId="214" priority="87"/>
  </conditionalFormatting>
  <conditionalFormatting sqref="D107:D122">
    <cfRule type="duplicateValues" dxfId="213" priority="282"/>
  </conditionalFormatting>
  <conditionalFormatting sqref="D115:D122 D107:D113">
    <cfRule type="duplicateValues" dxfId="212" priority="283"/>
  </conditionalFormatting>
  <conditionalFormatting sqref="D123:D138">
    <cfRule type="duplicateValues" dxfId="211" priority="262"/>
  </conditionalFormatting>
  <conditionalFormatting sqref="D131:D138 D123:D129">
    <cfRule type="duplicateValues" dxfId="210" priority="263"/>
  </conditionalFormatting>
  <conditionalFormatting sqref="D310:D325">
    <cfRule type="duplicateValues" dxfId="209" priority="256"/>
  </conditionalFormatting>
  <conditionalFormatting sqref="D318:D325 D310:D316">
    <cfRule type="duplicateValues" dxfId="208" priority="257"/>
  </conditionalFormatting>
  <conditionalFormatting sqref="D326:D341">
    <cfRule type="duplicateValues" dxfId="207" priority="220"/>
  </conditionalFormatting>
  <conditionalFormatting sqref="D334:D341 D326:D332">
    <cfRule type="duplicateValues" dxfId="206" priority="221"/>
  </conditionalFormatting>
  <conditionalFormatting sqref="D342:D357">
    <cfRule type="duplicateValues" dxfId="205" priority="246"/>
  </conditionalFormatting>
  <conditionalFormatting sqref="D350:D357 D342:D348">
    <cfRule type="duplicateValues" dxfId="204" priority="247"/>
  </conditionalFormatting>
  <conditionalFormatting sqref="D358:D373">
    <cfRule type="duplicateValues" dxfId="203" priority="214"/>
  </conditionalFormatting>
  <conditionalFormatting sqref="D366:D373 D358:D364">
    <cfRule type="duplicateValues" dxfId="202" priority="215"/>
  </conditionalFormatting>
  <conditionalFormatting sqref="D374:D389">
    <cfRule type="duplicateValues" dxfId="201" priority="240"/>
  </conditionalFormatting>
  <conditionalFormatting sqref="D382:D389 D374:D380">
    <cfRule type="duplicateValues" dxfId="200" priority="241"/>
  </conditionalFormatting>
  <conditionalFormatting sqref="D390:D396 D398:D421">
    <cfRule type="duplicateValues" dxfId="199" priority="235"/>
  </conditionalFormatting>
  <conditionalFormatting sqref="D390:D421">
    <cfRule type="duplicateValues" dxfId="198" priority="234"/>
  </conditionalFormatting>
  <dataValidations disablePrompts="1" count="1">
    <dataValidation allowBlank="1" showInputMessage="1" showErrorMessage="1" prompt="nutrient poor" sqref="C1856:C1861 C1820:C1825 B1820:B1821 C1802:C1803 G1822:G1825 C1874:C1879 C1838:C1843 B1838:B1839 G1840:G1843 C1892:C1897" xr:uid="{00000000-0002-0000-1400-000000000000}"/>
  </dataValidations>
  <pageMargins left="0.7" right="0.7" top="0.75" bottom="0.75" header="0.3" footer="0.3"/>
  <pageSetup paperSize="9" orientation="portrait" r:id="rId1"/>
  <drawing r:id="rId2"/>
  <mc:AlternateContent xmlns:mc="http://schemas.openxmlformats.org/markup-compatibility/2006">
    <mc:Choice Requires="v">
      <legacyDrawing r:id="rId3"/>
    </mc:Choice>
  </mc:AlternateContent>
  <tableParts count="55">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172735"/>
  </sheetPr>
  <dimension ref="A1:DJ81"/>
  <sheetViews>
    <sheetView topLeftCell="AN1" zoomScale="80" zoomScaleNormal="80" workbookViewId="0">
      <pane ySplit="1" topLeftCell="A28" activePane="bottomLeft" state="frozen"/>
      <selection pane="bottomLeft" activeCell="AV61" sqref="AV61"/>
    </sheetView>
  </sheetViews>
  <sheetFormatPr baseColWidth="10" defaultColWidth="9.33203125" defaultRowHeight="14" x14ac:dyDescent="0.2"/>
  <cols>
    <col min="1" max="1" width="5" style="1771" customWidth="1"/>
    <col min="2" max="2" width="2.5" style="1771" customWidth="1"/>
    <col min="3" max="3" width="42.33203125" style="1771" customWidth="1"/>
    <col min="4" max="4" width="1.5" style="1771" customWidth="1"/>
    <col min="5" max="5" width="7.5" style="1771" customWidth="1"/>
    <col min="6" max="6" width="1.5" style="1771" customWidth="1"/>
    <col min="7" max="7" width="9.5" style="1771" customWidth="1"/>
    <col min="8" max="8" width="1.5" style="1771" customWidth="1"/>
    <col min="9" max="9" width="30.5" style="1771" customWidth="1"/>
    <col min="10" max="10" width="1.5" style="1771" customWidth="1"/>
    <col min="11" max="11" width="28.5" style="1771" customWidth="1"/>
    <col min="12" max="12" width="1.5" style="1771" customWidth="1"/>
    <col min="13" max="13" width="9.5" style="1771" customWidth="1"/>
    <col min="14" max="14" width="9.6640625" style="1771" customWidth="1"/>
    <col min="15" max="15" width="2.6640625" style="1771" customWidth="1"/>
    <col min="16" max="16" width="9.5" style="1771" customWidth="1"/>
    <col min="17" max="17" width="2.6640625" style="1771" customWidth="1"/>
    <col min="18" max="18" width="1.5" style="1771" customWidth="1"/>
    <col min="19" max="19" width="9.33203125" style="1771" customWidth="1"/>
    <col min="20" max="20" width="8.5" style="1771" customWidth="1"/>
    <col min="21" max="21" width="7.5" style="1771" customWidth="1"/>
    <col min="22" max="22" width="14" style="1771" customWidth="1"/>
    <col min="23" max="23" width="12.5" style="1771" customWidth="1"/>
    <col min="24" max="24" width="2.5" style="1771" customWidth="1"/>
    <col min="25" max="25" width="20.5" style="1771" customWidth="1"/>
    <col min="26" max="30" width="9.33203125" style="1771"/>
    <col min="31" max="31" width="3.5" style="1771" customWidth="1"/>
    <col min="32" max="33" width="9.33203125" style="1771"/>
    <col min="34" max="34" width="3.5" style="1771" customWidth="1"/>
    <col min="35" max="36" width="9.33203125" style="1771"/>
    <col min="37" max="37" width="3.5" style="1771" customWidth="1"/>
    <col min="38" max="43" width="9.33203125" style="1771"/>
    <col min="44" max="44" width="32.6640625" style="1771" customWidth="1"/>
    <col min="45" max="45" width="9.33203125" style="1771"/>
    <col min="46" max="46" width="7.5" style="1771" customWidth="1"/>
    <col min="47" max="47" width="7.33203125" style="1771" customWidth="1"/>
    <col min="48" max="49" width="9.33203125" style="1771"/>
    <col min="50" max="50" width="2.6640625" style="1771" customWidth="1"/>
    <col min="51" max="54" width="9.33203125" style="1771"/>
    <col min="55" max="55" width="9.33203125" style="1771" customWidth="1"/>
    <col min="56" max="62" width="9.33203125" style="1771"/>
    <col min="63" max="63" width="14.5" style="1771" customWidth="1"/>
    <col min="64" max="74" width="9.33203125" style="1771"/>
    <col min="75" max="75" width="8.6640625" style="1771" customWidth="1"/>
    <col min="76" max="82" width="9.33203125" style="1771"/>
    <col min="83" max="83" width="9" style="1771" customWidth="1"/>
    <col min="84" max="84" width="13.6640625" style="1771" customWidth="1"/>
    <col min="85" max="85" width="8.6640625" style="1771" customWidth="1"/>
    <col min="86" max="86" width="9.33203125" style="1771" customWidth="1"/>
    <col min="87" max="88" width="9.33203125" style="1771"/>
    <col min="89" max="89" width="5.5" style="1771" customWidth="1"/>
    <col min="90" max="91" width="9.33203125" style="1771"/>
    <col min="92" max="92" width="2.5" style="1771" customWidth="1"/>
    <col min="93" max="93" width="5.5" style="1771" customWidth="1"/>
    <col min="94" max="94" width="2.5" style="1771" customWidth="1"/>
    <col min="95" max="96" width="9.33203125" style="1771"/>
    <col min="97" max="97" width="4.5" style="1771" customWidth="1"/>
    <col min="98" max="99" width="9.33203125" style="1771"/>
    <col min="100" max="100" width="5.6640625" style="1771" customWidth="1"/>
    <col min="101" max="101" width="3.5" style="1771" customWidth="1"/>
    <col min="102" max="103" width="9.33203125" style="1771"/>
    <col min="104" max="104" width="3.5" style="1771" customWidth="1"/>
    <col min="105" max="106" width="9.33203125" style="1771"/>
    <col min="107" max="107" width="4.5" style="1771" customWidth="1"/>
    <col min="108" max="110" width="9.33203125" style="1771"/>
    <col min="111" max="111" width="4.5" style="1771" customWidth="1"/>
    <col min="112" max="112" width="30.5" style="1771" customWidth="1"/>
    <col min="113" max="113" width="1.5" style="1771" customWidth="1"/>
    <col min="114" max="114" width="9.33203125" style="1771" hidden="1" customWidth="1"/>
    <col min="115" max="115" width="1.5" style="1771" customWidth="1"/>
    <col min="116" max="116" width="30.5" style="1771" customWidth="1"/>
    <col min="117" max="117" width="1.5" style="1771" customWidth="1"/>
    <col min="118" max="119" width="9.33203125" style="1771"/>
    <col min="120" max="120" width="3.5" style="1771" customWidth="1"/>
    <col min="121" max="121" width="9.33203125" style="1771"/>
    <col min="122" max="122" width="9.33203125" style="1771" customWidth="1"/>
    <col min="123" max="123" width="1.5" style="1771" customWidth="1"/>
    <col min="124" max="124" width="30.5" style="1771" customWidth="1"/>
    <col min="125" max="125" width="1.5" style="1771" customWidth="1"/>
    <col min="126" max="127" width="9.33203125" style="1771"/>
    <col min="128" max="128" width="7.33203125" style="1771" customWidth="1"/>
    <col min="129" max="129" width="1.5" style="1771" customWidth="1"/>
    <col min="130" max="16384" width="9.33203125" style="1771"/>
  </cols>
  <sheetData>
    <row r="1" spans="1:79" s="1767" customFormat="1" ht="100.5" customHeight="1" x14ac:dyDescent="0.2">
      <c r="P1" s="1974"/>
    </row>
    <row r="4" spans="1:79" ht="17" x14ac:dyDescent="0.2">
      <c r="AR4" s="1915"/>
      <c r="AS4" s="1915"/>
      <c r="AT4" s="1915"/>
      <c r="AU4" s="1915"/>
      <c r="AV4" s="1915"/>
      <c r="AW4" s="1915"/>
      <c r="AX4" s="1915"/>
      <c r="AY4" s="1915"/>
      <c r="AZ4" s="1915"/>
      <c r="BA4" s="1915"/>
      <c r="BB4" s="1915"/>
      <c r="BC4" s="1915"/>
      <c r="BD4" s="1915"/>
      <c r="BE4" s="1915"/>
      <c r="BF4" s="1915"/>
      <c r="BG4" s="1915"/>
      <c r="BH4" s="1915"/>
      <c r="BI4" s="1915"/>
      <c r="BJ4" s="1915"/>
    </row>
    <row r="5" spans="1:79" ht="45" customHeight="1" x14ac:dyDescent="0.2">
      <c r="B5" s="1975" t="str">
        <f>Languages!B57</f>
        <v>2.1 DEFORESTATION</v>
      </c>
      <c r="C5" s="1976"/>
      <c r="D5" s="1778"/>
      <c r="E5" s="1778"/>
      <c r="F5" s="1778"/>
      <c r="G5" s="1778"/>
      <c r="H5" s="1778"/>
      <c r="I5" s="1778"/>
      <c r="J5" s="1778"/>
      <c r="K5" s="1778"/>
      <c r="L5" s="1778"/>
      <c r="M5" s="1778"/>
      <c r="N5" s="1778"/>
      <c r="O5" s="1778"/>
      <c r="P5" s="1778"/>
      <c r="Q5" s="1778"/>
      <c r="R5" s="1778"/>
      <c r="S5" s="1778"/>
      <c r="T5" s="1778"/>
      <c r="U5" s="1778"/>
      <c r="V5" s="1770" t="str">
        <f>Languages!B22</f>
        <v>If country-specific data are available, please go to Tier 2:</v>
      </c>
      <c r="W5" s="1778"/>
      <c r="X5" s="1778"/>
      <c r="Y5" s="1778"/>
      <c r="AR5" s="1975" t="str">
        <f>B5</f>
        <v>2.1 DEFORESTATION</v>
      </c>
      <c r="AS5" s="1977"/>
      <c r="AT5" s="1977"/>
      <c r="AU5" s="1977"/>
      <c r="AV5" s="1977"/>
      <c r="AW5" s="1977"/>
      <c r="AX5" s="1977"/>
      <c r="AY5" s="1977"/>
      <c r="AZ5" s="1977"/>
      <c r="BA5" s="1977"/>
      <c r="BB5" s="1977"/>
      <c r="BC5" s="1977"/>
      <c r="BD5" s="1977"/>
      <c r="BE5" s="1977"/>
      <c r="BF5" s="1977"/>
      <c r="BG5" s="1978"/>
      <c r="BH5" s="1977"/>
      <c r="BI5" s="1977"/>
      <c r="BJ5" s="1977"/>
      <c r="BK5" s="1977"/>
      <c r="BL5" s="1977"/>
      <c r="BM5" s="1977"/>
      <c r="BN5" s="1977"/>
      <c r="BO5" s="1977"/>
      <c r="BP5" s="1977"/>
      <c r="BQ5" s="1977"/>
      <c r="BR5" s="1977"/>
      <c r="BS5" s="1977"/>
      <c r="BT5" s="1977"/>
      <c r="BU5" s="1977"/>
      <c r="BV5" s="1977"/>
      <c r="BW5" s="1977"/>
      <c r="BY5" s="4366" t="s">
        <v>71</v>
      </c>
      <c r="BZ5" s="4366"/>
      <c r="CA5" s="4366"/>
    </row>
    <row r="6" spans="1:79" ht="5.25" customHeight="1" x14ac:dyDescent="0.2">
      <c r="AR6" s="1915"/>
      <c r="AS6" s="1915"/>
      <c r="AT6" s="1915"/>
      <c r="AU6" s="1915"/>
      <c r="AV6" s="1915"/>
      <c r="AW6" s="1915"/>
      <c r="AX6" s="1915"/>
      <c r="AY6" s="1915"/>
      <c r="AZ6" s="1915"/>
      <c r="BA6" s="1915"/>
      <c r="BB6" s="1915"/>
      <c r="BC6" s="1915"/>
      <c r="BD6" s="1915"/>
      <c r="BE6" s="1915"/>
      <c r="BF6" s="1915"/>
      <c r="BG6" s="1915"/>
      <c r="BH6" s="1915"/>
      <c r="BI6" s="1915"/>
      <c r="BJ6" s="1915"/>
      <c r="BY6" s="1915"/>
      <c r="BZ6" s="1915"/>
    </row>
    <row r="7" spans="1:79" ht="15" customHeight="1" x14ac:dyDescent="0.2">
      <c r="B7" s="1781"/>
      <c r="C7" s="1781"/>
      <c r="D7" s="1826"/>
      <c r="E7" s="1826"/>
      <c r="F7" s="1826"/>
      <c r="G7" s="1826"/>
      <c r="H7" s="1826"/>
      <c r="I7" s="1781"/>
      <c r="J7" s="1781"/>
      <c r="K7" s="1781"/>
      <c r="L7" s="1781"/>
      <c r="M7" s="1781"/>
      <c r="N7" s="1781"/>
      <c r="O7" s="1781"/>
      <c r="P7" s="1781"/>
      <c r="Q7" s="1781"/>
      <c r="R7" s="1781"/>
      <c r="S7" s="1781"/>
      <c r="T7" s="1781"/>
      <c r="U7" s="1781"/>
      <c r="V7" s="1781"/>
      <c r="W7" s="1781"/>
      <c r="X7" s="1781"/>
      <c r="Y7" s="1781"/>
      <c r="AR7" s="1979"/>
      <c r="AS7" s="4414" t="str">
        <f>Languages!B83</f>
        <v>Reference carbon stocks</v>
      </c>
      <c r="AT7" s="2000"/>
      <c r="AU7" s="2000"/>
      <c r="AV7" s="2000"/>
      <c r="AW7" s="2000"/>
      <c r="AX7" s="2000"/>
      <c r="AY7" s="2000"/>
      <c r="AZ7" s="2000"/>
      <c r="BA7" s="2000"/>
      <c r="BB7" s="2000"/>
      <c r="BC7" s="2000"/>
      <c r="BD7" s="2000"/>
      <c r="BE7" s="2000"/>
      <c r="BF7" s="2000"/>
      <c r="BG7" s="2000"/>
      <c r="BH7" s="2000"/>
      <c r="BI7" s="2000"/>
      <c r="BJ7" s="2000"/>
      <c r="BK7" s="2000"/>
      <c r="BL7" s="2000"/>
      <c r="BM7" s="2000"/>
      <c r="BN7" s="2000"/>
      <c r="BO7" s="2000"/>
      <c r="BP7" s="2000"/>
      <c r="BQ7" s="1784"/>
      <c r="BR7" s="1784"/>
      <c r="BS7" s="1784"/>
      <c r="BT7" s="1784"/>
      <c r="BU7" s="1784"/>
      <c r="BV7" s="1784"/>
      <c r="BW7" s="1784"/>
      <c r="BY7" s="1784"/>
      <c r="BZ7" s="1784"/>
      <c r="CA7" s="1784"/>
    </row>
    <row r="8" spans="1:79" ht="21.75" customHeight="1" x14ac:dyDescent="0.2">
      <c r="B8" s="1781"/>
      <c r="C8" s="1951" t="str">
        <f>Languages!B58</f>
        <v xml:space="preserve">Type of vegetation </v>
      </c>
      <c r="D8" s="1781"/>
      <c r="E8" s="1780" t="str">
        <f>Languages!B60</f>
        <v>HWPs</v>
      </c>
      <c r="F8" s="1781"/>
      <c r="G8" s="1780" t="str">
        <f>Languages!B61</f>
        <v>Fire used?</v>
      </c>
      <c r="H8" s="1781"/>
      <c r="I8" s="1980" t="str">
        <f>CONCATENATE(Languages!B63," ",Languages!B64)</f>
        <v>Final land-use after deforestation</v>
      </c>
      <c r="J8" s="1789"/>
      <c r="K8" s="1981"/>
      <c r="L8" s="1781"/>
      <c r="M8" s="1982" t="str">
        <f>Languages!B66</f>
        <v>Forested area (ha)</v>
      </c>
      <c r="N8" s="1982"/>
      <c r="O8" s="1982"/>
      <c r="P8" s="1982"/>
      <c r="Q8" s="1982"/>
      <c r="R8" s="1983"/>
      <c r="S8" s="1826" t="str">
        <f>Languages!B69</f>
        <v>Deforested area (ha)</v>
      </c>
      <c r="T8" s="1805"/>
      <c r="U8" s="1781"/>
      <c r="V8" s="1779" t="str">
        <f>Languages!B9</f>
        <v>Total emissions (tCO2-e)</v>
      </c>
      <c r="W8" s="1781"/>
      <c r="X8" s="1781"/>
      <c r="Y8" s="1780" t="str">
        <f>Languages!B10</f>
        <v>Balance</v>
      </c>
      <c r="AR8" s="1783" t="str">
        <f>C8</f>
        <v xml:space="preserve">Type of vegetation </v>
      </c>
      <c r="AS8" s="1782" t="str">
        <f>Languages!B84</f>
        <v>All units are in tC/ha</v>
      </c>
      <c r="AT8" s="1782"/>
      <c r="AU8" s="1782"/>
      <c r="AV8" s="1782"/>
      <c r="AW8" s="1782"/>
      <c r="AX8" s="1782"/>
      <c r="AY8" s="1782"/>
      <c r="AZ8" s="1782"/>
      <c r="BA8" s="1782"/>
      <c r="BB8" s="1782"/>
      <c r="BC8" s="1782"/>
      <c r="BD8" s="1782"/>
      <c r="BE8" s="1782"/>
      <c r="BF8" s="1782"/>
      <c r="BG8" s="1782"/>
      <c r="BH8" s="1784"/>
      <c r="BI8" s="1784"/>
      <c r="BJ8" s="1784"/>
      <c r="BK8" s="1784"/>
      <c r="BL8" s="1783" t="s">
        <v>94</v>
      </c>
      <c r="BM8" s="1782"/>
      <c r="BN8" s="1885"/>
      <c r="BO8" s="1782" t="s">
        <v>73</v>
      </c>
      <c r="BP8" s="1784"/>
      <c r="BQ8" s="1784"/>
      <c r="BR8" s="1784"/>
      <c r="BS8" s="1784"/>
      <c r="BT8" s="1784"/>
      <c r="BU8" s="1784"/>
      <c r="BV8" s="1784"/>
      <c r="BW8" s="1784"/>
      <c r="BY8" s="1889" t="s">
        <v>74</v>
      </c>
      <c r="BZ8" s="1889"/>
      <c r="CA8" s="1784"/>
    </row>
    <row r="9" spans="1:79" ht="15" customHeight="1" x14ac:dyDescent="0.2">
      <c r="B9" s="1781"/>
      <c r="C9" s="1951" t="str">
        <f>Languages!B59</f>
        <v>that will be deforested</v>
      </c>
      <c r="D9" s="1951"/>
      <c r="E9" s="1984" t="s">
        <v>75</v>
      </c>
      <c r="F9" s="1985"/>
      <c r="G9" s="1984" t="str">
        <f>Languages!B62</f>
        <v>(y/n)</v>
      </c>
      <c r="H9" s="1985"/>
      <c r="I9" s="1951" t="str">
        <f>Languages!B336</f>
        <v>Land-use type</v>
      </c>
      <c r="J9" s="1985"/>
      <c r="K9" s="1951" t="str">
        <f>Languages!B337</f>
        <v>Agroforestry system</v>
      </c>
      <c r="L9" s="1781"/>
      <c r="M9" s="1812" t="str">
        <f>Languages!B11</f>
        <v>Start</v>
      </c>
      <c r="N9" s="1812" t="str">
        <f>Languages!B12</f>
        <v>Without</v>
      </c>
      <c r="O9" s="1812"/>
      <c r="P9" s="1812" t="str">
        <f>Languages!B13</f>
        <v>With</v>
      </c>
      <c r="Q9" s="1805"/>
      <c r="R9" s="1985"/>
      <c r="S9" s="1812" t="str">
        <f>N9</f>
        <v>Without</v>
      </c>
      <c r="T9" s="1812" t="str">
        <f>P9</f>
        <v>With</v>
      </c>
      <c r="U9" s="1781"/>
      <c r="V9" s="1806" t="str">
        <f>S9</f>
        <v>Without</v>
      </c>
      <c r="W9" s="1816" t="str">
        <f>T9</f>
        <v>With</v>
      </c>
      <c r="X9" s="1986"/>
      <c r="Y9" s="1812"/>
      <c r="AR9" s="1783" t="str">
        <f>C9</f>
        <v>that will be deforested</v>
      </c>
      <c r="AS9" s="1987" t="str">
        <f>Languages!B67</f>
        <v>Above-ground</v>
      </c>
      <c r="AT9" s="1988"/>
      <c r="AU9" s="1782"/>
      <c r="AV9" s="1990" t="str">
        <f>Languages!B68</f>
        <v>Below-ground</v>
      </c>
      <c r="AW9" s="1787"/>
      <c r="AX9" s="1989"/>
      <c r="AY9" s="1990" t="str">
        <f>Languages!B73</f>
        <v>Litter</v>
      </c>
      <c r="AZ9" s="1991"/>
      <c r="BA9" s="1800"/>
      <c r="BB9" s="1990" t="str">
        <f>Languages!B74</f>
        <v>Dead wood</v>
      </c>
      <c r="BC9" s="1993"/>
      <c r="BD9" s="1992"/>
      <c r="BE9" s="1990" t="str">
        <f>Languages!B75</f>
        <v>Soil carbon</v>
      </c>
      <c r="BF9" s="1993"/>
      <c r="BG9" s="1885"/>
      <c r="BH9" s="1990" t="s">
        <v>5214</v>
      </c>
      <c r="BI9" s="1993"/>
      <c r="BJ9" s="1784"/>
      <c r="BK9" s="1784"/>
      <c r="BL9" s="1783" t="s">
        <v>187</v>
      </c>
      <c r="BM9" s="1784"/>
      <c r="BN9" s="1784"/>
      <c r="BO9" s="1990" t="s">
        <v>96</v>
      </c>
      <c r="BP9" s="1990"/>
      <c r="BQ9" s="1784"/>
      <c r="BR9" s="1990" t="s">
        <v>81</v>
      </c>
      <c r="BS9" s="1990"/>
      <c r="BT9" s="1784"/>
      <c r="BU9" s="1990" t="s">
        <v>5214</v>
      </c>
      <c r="BV9" s="1993"/>
      <c r="BW9" s="1784"/>
      <c r="BY9" s="2014" t="s">
        <v>82</v>
      </c>
      <c r="BZ9" s="2014"/>
      <c r="CA9" s="1784"/>
    </row>
    <row r="10" spans="1:79" ht="19.5" customHeight="1" x14ac:dyDescent="0.2">
      <c r="B10" s="1781"/>
      <c r="C10" s="1951"/>
      <c r="D10" s="1951"/>
      <c r="E10" s="1951"/>
      <c r="F10" s="1985"/>
      <c r="G10" s="1951"/>
      <c r="H10" s="1985"/>
      <c r="I10" s="1985"/>
      <c r="J10" s="1985"/>
      <c r="K10" s="1781"/>
      <c r="L10" s="1781"/>
      <c r="M10" s="1985"/>
      <c r="N10" s="1985"/>
      <c r="O10" s="1805" t="s">
        <v>83</v>
      </c>
      <c r="P10" s="1985"/>
      <c r="Q10" s="1851" t="s">
        <v>83</v>
      </c>
      <c r="R10" s="1805"/>
      <c r="S10" s="1805"/>
      <c r="T10" s="1805"/>
      <c r="U10" s="1781"/>
      <c r="V10" s="1781"/>
      <c r="W10" s="1985"/>
      <c r="X10" s="1985"/>
      <c r="Y10" s="1994"/>
      <c r="AR10" s="1995"/>
      <c r="AS10" s="1893" t="str">
        <f>Languages!B55</f>
        <v>Default</v>
      </c>
      <c r="AT10" s="1893" t="str">
        <f>Languages!B141</f>
        <v>Tier 2</v>
      </c>
      <c r="AU10" s="1784"/>
      <c r="AV10" s="1996" t="str">
        <f>AS10</f>
        <v>Default</v>
      </c>
      <c r="AW10" s="1893" t="str">
        <f>AT10</f>
        <v>Tier 2</v>
      </c>
      <c r="AX10" s="1885"/>
      <c r="AY10" s="1996" t="str">
        <f>AV10</f>
        <v>Default</v>
      </c>
      <c r="AZ10" s="1893" t="str">
        <f>AW10</f>
        <v>Tier 2</v>
      </c>
      <c r="BA10" s="1800"/>
      <c r="BB10" s="1996" t="str">
        <f>AY10</f>
        <v>Default</v>
      </c>
      <c r="BC10" s="1893" t="str">
        <f>AZ10</f>
        <v>Tier 2</v>
      </c>
      <c r="BD10" s="1795"/>
      <c r="BE10" s="1996" t="str">
        <f>BB10</f>
        <v>Default</v>
      </c>
      <c r="BF10" s="1893" t="str">
        <f>BC10</f>
        <v>Tier 2</v>
      </c>
      <c r="BG10" s="1795"/>
      <c r="BH10" s="1996" t="str">
        <f>BE10</f>
        <v>Default</v>
      </c>
      <c r="BI10" s="1893" t="str">
        <f>BF10</f>
        <v>Tier 2</v>
      </c>
      <c r="BJ10" s="1784"/>
      <c r="BK10" s="1784"/>
      <c r="BL10" s="1783"/>
      <c r="BM10" s="1784"/>
      <c r="BN10" s="1784"/>
      <c r="BO10" s="2000" t="str">
        <f>BE10</f>
        <v>Default</v>
      </c>
      <c r="BP10" s="2000" t="str">
        <f>BF10</f>
        <v>Tier 2</v>
      </c>
      <c r="BQ10" s="1784"/>
      <c r="BR10" s="2000" t="str">
        <f>BO10</f>
        <v>Default</v>
      </c>
      <c r="BS10" s="2000" t="str">
        <f>BP10</f>
        <v>Tier 2</v>
      </c>
      <c r="BT10" s="1784"/>
      <c r="BU10" s="1996" t="str">
        <f>BR10</f>
        <v>Default</v>
      </c>
      <c r="BV10" s="1893" t="str">
        <f>BS10</f>
        <v>Tier 2</v>
      </c>
      <c r="BW10" s="1784"/>
      <c r="BY10" s="1996"/>
      <c r="BZ10" s="1893"/>
      <c r="CA10" s="1784"/>
    </row>
    <row r="11" spans="1:79" ht="15" customHeight="1" x14ac:dyDescent="0.2">
      <c r="A11" s="4418" t="str">
        <f>IF(I11="annual cropland","crop",IF(I11="grassland","grass",IF(I11="agroforestry","agroforest",IF(I11="flooded rice", "rice", ""))))</f>
        <v/>
      </c>
      <c r="B11" s="1781"/>
      <c r="C11" s="2129" t="s">
        <v>57</v>
      </c>
      <c r="D11" s="1985"/>
      <c r="E11" s="2129">
        <v>0</v>
      </c>
      <c r="F11" s="1985"/>
      <c r="G11" s="2129" t="s">
        <v>85</v>
      </c>
      <c r="H11" s="1985"/>
      <c r="I11" s="2129" t="s">
        <v>57</v>
      </c>
      <c r="J11" s="1985"/>
      <c r="K11" s="2129" t="s">
        <v>57</v>
      </c>
      <c r="L11" s="1781"/>
      <c r="M11" s="4087">
        <v>0</v>
      </c>
      <c r="N11" s="2128">
        <v>0</v>
      </c>
      <c r="O11" s="4088" t="s">
        <v>86</v>
      </c>
      <c r="P11" s="2128">
        <v>0</v>
      </c>
      <c r="Q11" s="4088" t="s">
        <v>86</v>
      </c>
      <c r="R11" s="1997"/>
      <c r="S11" s="1816">
        <f>IF($C11="Please select", 0, defo!$G35)</f>
        <v>0</v>
      </c>
      <c r="T11" s="1816">
        <f>IF($C11="Please select", 0, defo!$H35)</f>
        <v>0</v>
      </c>
      <c r="U11" s="1781"/>
      <c r="V11" s="1815">
        <f>IF($C11&lt;&gt; "Please select", defo!$S35, 0)</f>
        <v>0</v>
      </c>
      <c r="W11" s="1841">
        <f>IF($C11&lt;&gt; "Please select", defo!$T35, 0)</f>
        <v>0</v>
      </c>
      <c r="X11" s="1998"/>
      <c r="Y11" s="1816">
        <f>IF($C11&lt;&gt; "Please select", defo!U35, 0)</f>
        <v>0</v>
      </c>
      <c r="AR11" s="1999" t="str">
        <f>C11</f>
        <v>Please select</v>
      </c>
      <c r="AS11" s="2000">
        <f>IF($AR11="Please select",0,defo!$J9)</f>
        <v>0</v>
      </c>
      <c r="AT11" s="4092"/>
      <c r="AU11" s="1784"/>
      <c r="AV11" s="2000">
        <f>IF($AR11="Please select",0,defo!$M9)</f>
        <v>0</v>
      </c>
      <c r="AW11" s="4092"/>
      <c r="AX11" s="1885"/>
      <c r="AY11" s="2000">
        <f>IF($AR11="Please select",0,defo!$O9)</f>
        <v>0</v>
      </c>
      <c r="AZ11" s="4093"/>
      <c r="BA11" s="2001"/>
      <c r="BB11" s="2000">
        <f>IF($AR11="Please select",0,defo!$Q9)</f>
        <v>0</v>
      </c>
      <c r="BC11" s="4094"/>
      <c r="BD11" s="1885"/>
      <c r="BE11" s="2000">
        <f>IF($AR11="Please select",0,SOCref)</f>
        <v>0</v>
      </c>
      <c r="BF11" s="4093"/>
      <c r="BG11" s="1885"/>
      <c r="BH11" s="2000">
        <f>defo!U9</f>
        <v>1</v>
      </c>
      <c r="BI11" s="4093"/>
      <c r="BJ11" s="1784"/>
      <c r="BK11" s="1784"/>
      <c r="BL11" s="1782" t="str">
        <f t="shared" ref="BL11:BL18" si="0">I11</f>
        <v>Please select</v>
      </c>
      <c r="BM11" s="1784"/>
      <c r="BN11" s="1784"/>
      <c r="BO11" s="2000">
        <f>IF($BL11="Please select",0,defo!J23)</f>
        <v>0</v>
      </c>
      <c r="BP11" s="4093"/>
      <c r="BQ11" s="1784"/>
      <c r="BR11" s="2000">
        <f t="shared" ref="BR11:BR18" si="1">IF($BL11="Please select",0,SOCref)</f>
        <v>0</v>
      </c>
      <c r="BS11" s="4093"/>
      <c r="BT11" s="1784"/>
      <c r="BU11" s="2000">
        <f>defo!O23</f>
        <v>0</v>
      </c>
      <c r="BV11" s="4093"/>
      <c r="BW11" s="1784"/>
      <c r="BY11" s="4363">
        <v>1</v>
      </c>
      <c r="BZ11" s="4364"/>
      <c r="CA11" s="1784"/>
    </row>
    <row r="12" spans="1:79" ht="15" customHeight="1" x14ac:dyDescent="0.2">
      <c r="A12" s="4418" t="str">
        <f t="shared" ref="A12:A18" si="2">IF(I12="annual cropland","crop",IF(I12="grassland","grass",IF(I12="agroforestry","agroforest",IF(I12="flooded rice", "rice", ""))))</f>
        <v/>
      </c>
      <c r="B12" s="1781"/>
      <c r="C12" s="2129" t="s">
        <v>57</v>
      </c>
      <c r="D12" s="1985"/>
      <c r="E12" s="2129">
        <v>0</v>
      </c>
      <c r="F12" s="1985"/>
      <c r="G12" s="2129" t="s">
        <v>85</v>
      </c>
      <c r="H12" s="1985"/>
      <c r="I12" s="2129" t="s">
        <v>57</v>
      </c>
      <c r="J12" s="1985"/>
      <c r="K12" s="2129" t="s">
        <v>57</v>
      </c>
      <c r="L12" s="1781"/>
      <c r="M12" s="4087">
        <v>0</v>
      </c>
      <c r="N12" s="2128">
        <v>0</v>
      </c>
      <c r="O12" s="4088" t="s">
        <v>86</v>
      </c>
      <c r="P12" s="2128">
        <v>0</v>
      </c>
      <c r="Q12" s="4088" t="s">
        <v>86</v>
      </c>
      <c r="R12" s="1997"/>
      <c r="S12" s="1816">
        <f>IF($C12="Please select", 0, defo!$G36)</f>
        <v>0</v>
      </c>
      <c r="T12" s="1816">
        <f>IF($C12="Please select", 0, defo!$H36)</f>
        <v>0</v>
      </c>
      <c r="U12" s="1781"/>
      <c r="V12" s="1815">
        <f>IF($C12&lt;&gt; "Please select", defo!$S36, 0)</f>
        <v>0</v>
      </c>
      <c r="W12" s="1841">
        <f>IF($C12&lt;&gt; "Please select", defo!$T36, 0)</f>
        <v>0</v>
      </c>
      <c r="X12" s="1998"/>
      <c r="Y12" s="1816">
        <f>IF($C12&lt;&gt; "Please select", defo!U36, 0)</f>
        <v>0</v>
      </c>
      <c r="AP12" s="1818"/>
      <c r="AR12" s="1999" t="str">
        <f t="shared" ref="AR12:AR18" si="3">C12</f>
        <v>Please select</v>
      </c>
      <c r="AS12" s="2000">
        <f>IF($AR12="Please select",0,defo!$J10)</f>
        <v>0</v>
      </c>
      <c r="AT12" s="4092"/>
      <c r="AU12" s="1784"/>
      <c r="AV12" s="2000">
        <f>IF($AR12="Please select",0,defo!$M10)</f>
        <v>0</v>
      </c>
      <c r="AW12" s="4092"/>
      <c r="AX12" s="1885"/>
      <c r="AY12" s="2000">
        <f>IF($AR12="Please select",0,defo!$O10)</f>
        <v>0</v>
      </c>
      <c r="AZ12" s="4093"/>
      <c r="BA12" s="2001"/>
      <c r="BB12" s="2000">
        <f>IF($AR12="Please select",0,defo!$Q10)</f>
        <v>0</v>
      </c>
      <c r="BC12" s="4094"/>
      <c r="BD12" s="1885"/>
      <c r="BE12" s="2000">
        <f t="shared" ref="BE12:BE18" si="4">IF($AR12="Please select",0,SOCref)</f>
        <v>0</v>
      </c>
      <c r="BF12" s="4093"/>
      <c r="BG12" s="1885"/>
      <c r="BH12" s="2000">
        <f>defo!U10</f>
        <v>1</v>
      </c>
      <c r="BI12" s="4093"/>
      <c r="BJ12" s="1784"/>
      <c r="BK12" s="1784"/>
      <c r="BL12" s="1782" t="str">
        <f t="shared" si="0"/>
        <v>Please select</v>
      </c>
      <c r="BM12" s="1784"/>
      <c r="BN12" s="1784"/>
      <c r="BO12" s="2000">
        <f>IF($BL12="Please select",0,defo!J24)</f>
        <v>0</v>
      </c>
      <c r="BP12" s="4093"/>
      <c r="BQ12" s="1784"/>
      <c r="BR12" s="2000">
        <f t="shared" si="1"/>
        <v>0</v>
      </c>
      <c r="BS12" s="4093"/>
      <c r="BT12" s="1784"/>
      <c r="BU12" s="2000">
        <f>defo!O24</f>
        <v>0</v>
      </c>
      <c r="BV12" s="4093"/>
      <c r="BW12" s="1784"/>
      <c r="BY12" s="4363">
        <v>1</v>
      </c>
      <c r="BZ12" s="4364"/>
      <c r="CA12" s="1784"/>
    </row>
    <row r="13" spans="1:79" ht="15" customHeight="1" x14ac:dyDescent="0.2">
      <c r="A13" s="4418" t="str">
        <f t="shared" si="2"/>
        <v/>
      </c>
      <c r="B13" s="1781"/>
      <c r="C13" s="2129" t="s">
        <v>57</v>
      </c>
      <c r="D13" s="1985"/>
      <c r="E13" s="2129">
        <v>0</v>
      </c>
      <c r="F13" s="1985"/>
      <c r="G13" s="2129" t="s">
        <v>85</v>
      </c>
      <c r="H13" s="1985"/>
      <c r="I13" s="2129" t="s">
        <v>57</v>
      </c>
      <c r="J13" s="1985"/>
      <c r="K13" s="2129" t="s">
        <v>57</v>
      </c>
      <c r="L13" s="1781"/>
      <c r="M13" s="4087">
        <v>0</v>
      </c>
      <c r="N13" s="2128">
        <v>0</v>
      </c>
      <c r="O13" s="4088" t="s">
        <v>86</v>
      </c>
      <c r="P13" s="2128">
        <v>0</v>
      </c>
      <c r="Q13" s="4088" t="s">
        <v>86</v>
      </c>
      <c r="R13" s="1997"/>
      <c r="S13" s="1816">
        <f>IF($C13="Please select", 0, defo!$G37)</f>
        <v>0</v>
      </c>
      <c r="T13" s="1816">
        <f>IF($C13="Please select", 0, defo!$H37)</f>
        <v>0</v>
      </c>
      <c r="U13" s="1781"/>
      <c r="V13" s="1815">
        <f>IF($C13&lt;&gt; "Please select", defo!$S37, 0)</f>
        <v>0</v>
      </c>
      <c r="W13" s="1841">
        <f>IF($C13&lt;&gt; "Please select", defo!$T37, 0)</f>
        <v>0</v>
      </c>
      <c r="X13" s="1998"/>
      <c r="Y13" s="1816">
        <f>IF($C13&lt;&gt; "Please select", defo!U37, 0)</f>
        <v>0</v>
      </c>
      <c r="AP13" s="1818"/>
      <c r="AR13" s="1999" t="str">
        <f t="shared" si="3"/>
        <v>Please select</v>
      </c>
      <c r="AS13" s="2000">
        <f>IF($AR13="Please select",0,defo!$J11)</f>
        <v>0</v>
      </c>
      <c r="AT13" s="4092"/>
      <c r="AU13" s="1784"/>
      <c r="AV13" s="2000">
        <f>IF($AR13="Please select",0,defo!$M11)</f>
        <v>0</v>
      </c>
      <c r="AW13" s="4092"/>
      <c r="AX13" s="1885"/>
      <c r="AY13" s="2000">
        <f>IF($AR13="Please select",0,defo!$O11)</f>
        <v>0</v>
      </c>
      <c r="AZ13" s="4093"/>
      <c r="BA13" s="2001"/>
      <c r="BB13" s="2000">
        <f>IF($AR13="Please select",0,defo!$Q11)</f>
        <v>0</v>
      </c>
      <c r="BC13" s="4094"/>
      <c r="BD13" s="1795"/>
      <c r="BE13" s="2000">
        <f t="shared" si="4"/>
        <v>0</v>
      </c>
      <c r="BF13" s="4093"/>
      <c r="BG13" s="1795"/>
      <c r="BH13" s="2000">
        <f>defo!U11</f>
        <v>1</v>
      </c>
      <c r="BI13" s="4093"/>
      <c r="BJ13" s="1784"/>
      <c r="BK13" s="1784"/>
      <c r="BL13" s="1782" t="str">
        <f t="shared" si="0"/>
        <v>Please select</v>
      </c>
      <c r="BM13" s="1784"/>
      <c r="BN13" s="1784"/>
      <c r="BO13" s="2000">
        <f>IF($BL13="Please select",0,defo!J25)</f>
        <v>0</v>
      </c>
      <c r="BP13" s="4093"/>
      <c r="BQ13" s="1784"/>
      <c r="BR13" s="2000">
        <f t="shared" si="1"/>
        <v>0</v>
      </c>
      <c r="BS13" s="4093"/>
      <c r="BT13" s="1784"/>
      <c r="BU13" s="2000">
        <f>defo!O25</f>
        <v>0</v>
      </c>
      <c r="BV13" s="4093"/>
      <c r="BW13" s="1784"/>
      <c r="BY13" s="4363">
        <v>1</v>
      </c>
      <c r="BZ13" s="4364"/>
      <c r="CA13" s="1784"/>
    </row>
    <row r="14" spans="1:79" ht="15" customHeight="1" x14ac:dyDescent="0.2">
      <c r="A14" s="4418" t="str">
        <f t="shared" si="2"/>
        <v/>
      </c>
      <c r="B14" s="1781"/>
      <c r="C14" s="2129" t="s">
        <v>57</v>
      </c>
      <c r="D14" s="1985"/>
      <c r="E14" s="2129">
        <v>0</v>
      </c>
      <c r="F14" s="1985"/>
      <c r="G14" s="2129" t="s">
        <v>85</v>
      </c>
      <c r="H14" s="1985"/>
      <c r="I14" s="2129" t="s">
        <v>57</v>
      </c>
      <c r="J14" s="1985"/>
      <c r="K14" s="2129" t="s">
        <v>57</v>
      </c>
      <c r="L14" s="1781"/>
      <c r="M14" s="4087">
        <v>0</v>
      </c>
      <c r="N14" s="2128">
        <v>0</v>
      </c>
      <c r="O14" s="4088" t="s">
        <v>86</v>
      </c>
      <c r="P14" s="2128">
        <v>0</v>
      </c>
      <c r="Q14" s="4088" t="s">
        <v>86</v>
      </c>
      <c r="R14" s="1997"/>
      <c r="S14" s="1816">
        <f>IF($C14="Please select", 0, defo!$G38)</f>
        <v>0</v>
      </c>
      <c r="T14" s="1816">
        <f>IF($C14="Please select", 0, defo!$H38)</f>
        <v>0</v>
      </c>
      <c r="U14" s="1781"/>
      <c r="V14" s="1815">
        <f>IF($C14&lt;&gt; "Please select", defo!$S38, 0)</f>
        <v>0</v>
      </c>
      <c r="W14" s="1841">
        <f>IF($C14&lt;&gt; "Please select", defo!$T38, 0)</f>
        <v>0</v>
      </c>
      <c r="X14" s="1998"/>
      <c r="Y14" s="1816">
        <f>IF($C14&lt;&gt; "Please select", defo!U38, 0)</f>
        <v>0</v>
      </c>
      <c r="AP14" s="1818"/>
      <c r="AR14" s="1999" t="str">
        <f t="shared" si="3"/>
        <v>Please select</v>
      </c>
      <c r="AS14" s="2000">
        <f>IF($AR14="Please select",0,defo!$J12)</f>
        <v>0</v>
      </c>
      <c r="AT14" s="4092"/>
      <c r="AU14" s="1784"/>
      <c r="AV14" s="2000">
        <f>IF($AR14="Please select",0,defo!$M12)</f>
        <v>0</v>
      </c>
      <c r="AW14" s="4092"/>
      <c r="AX14" s="1885"/>
      <c r="AY14" s="2000">
        <f>IF($AR14="Please select",0,defo!$O12)</f>
        <v>0</v>
      </c>
      <c r="AZ14" s="4093"/>
      <c r="BA14" s="2001"/>
      <c r="BB14" s="2000">
        <f>IF($AR14="Please select",0,defo!$Q12)</f>
        <v>0</v>
      </c>
      <c r="BC14" s="4094"/>
      <c r="BD14" s="1885"/>
      <c r="BE14" s="2000">
        <f t="shared" si="4"/>
        <v>0</v>
      </c>
      <c r="BF14" s="4093"/>
      <c r="BG14" s="1885"/>
      <c r="BH14" s="2000">
        <f>defo!U12</f>
        <v>1</v>
      </c>
      <c r="BI14" s="4093"/>
      <c r="BJ14" s="1784"/>
      <c r="BK14" s="1784"/>
      <c r="BL14" s="1782" t="str">
        <f t="shared" si="0"/>
        <v>Please select</v>
      </c>
      <c r="BM14" s="1784"/>
      <c r="BN14" s="1784"/>
      <c r="BO14" s="2000">
        <f>IF($BL14="Please select",0,defo!J26)</f>
        <v>0</v>
      </c>
      <c r="BP14" s="4093"/>
      <c r="BQ14" s="1784"/>
      <c r="BR14" s="2000">
        <f t="shared" si="1"/>
        <v>0</v>
      </c>
      <c r="BS14" s="4093"/>
      <c r="BT14" s="1784"/>
      <c r="BU14" s="2000">
        <f>defo!O26</f>
        <v>0</v>
      </c>
      <c r="BV14" s="4093"/>
      <c r="BW14" s="1784"/>
      <c r="BY14" s="4363">
        <v>1</v>
      </c>
      <c r="BZ14" s="4364"/>
      <c r="CA14" s="1784"/>
    </row>
    <row r="15" spans="1:79" ht="15" customHeight="1" x14ac:dyDescent="0.2">
      <c r="A15" s="4418" t="str">
        <f t="shared" si="2"/>
        <v/>
      </c>
      <c r="B15" s="1781"/>
      <c r="C15" s="2129" t="s">
        <v>57</v>
      </c>
      <c r="D15" s="1985"/>
      <c r="E15" s="2129">
        <v>0</v>
      </c>
      <c r="F15" s="1985"/>
      <c r="G15" s="2129" t="s">
        <v>85</v>
      </c>
      <c r="H15" s="1985"/>
      <c r="I15" s="2129" t="s">
        <v>57</v>
      </c>
      <c r="J15" s="1985"/>
      <c r="K15" s="2129" t="s">
        <v>57</v>
      </c>
      <c r="L15" s="1781"/>
      <c r="M15" s="4087">
        <v>0</v>
      </c>
      <c r="N15" s="2128">
        <v>0</v>
      </c>
      <c r="O15" s="4088" t="s">
        <v>86</v>
      </c>
      <c r="P15" s="2128">
        <v>0</v>
      </c>
      <c r="Q15" s="4088" t="s">
        <v>86</v>
      </c>
      <c r="R15" s="1997"/>
      <c r="S15" s="1816">
        <f>IF($C15="Please select", 0, defo!$G39)</f>
        <v>0</v>
      </c>
      <c r="T15" s="1816">
        <f>IF($C15="Please select", 0, defo!$H39)</f>
        <v>0</v>
      </c>
      <c r="U15" s="1781"/>
      <c r="V15" s="1815">
        <f>IF($C15&lt;&gt; "Please select", defo!$S39, 0)</f>
        <v>0</v>
      </c>
      <c r="W15" s="1841">
        <f>IF($C15&lt;&gt; "Please select", defo!$T39, 0)</f>
        <v>0</v>
      </c>
      <c r="X15" s="1998"/>
      <c r="Y15" s="1816">
        <f>IF($C15&lt;&gt; "Please select", defo!U39, 0)</f>
        <v>0</v>
      </c>
      <c r="AP15" s="1818"/>
      <c r="AR15" s="1999" t="str">
        <f t="shared" si="3"/>
        <v>Please select</v>
      </c>
      <c r="AS15" s="2000">
        <f>IF($AR15="Please select",0,defo!$J13)</f>
        <v>0</v>
      </c>
      <c r="AT15" s="4092"/>
      <c r="AU15" s="1784"/>
      <c r="AV15" s="2000">
        <f>IF($AR15="Please select",0,defo!$M13)</f>
        <v>0</v>
      </c>
      <c r="AW15" s="4092"/>
      <c r="AX15" s="1885"/>
      <c r="AY15" s="2000">
        <f>IF($AR15="Please select",0,defo!$O13)</f>
        <v>0</v>
      </c>
      <c r="AZ15" s="4093"/>
      <c r="BA15" s="2001"/>
      <c r="BB15" s="2000">
        <f>IF($AR15="Please select",0,defo!$Q13)</f>
        <v>0</v>
      </c>
      <c r="BC15" s="4094"/>
      <c r="BD15" s="1795"/>
      <c r="BE15" s="2000">
        <f t="shared" si="4"/>
        <v>0</v>
      </c>
      <c r="BF15" s="4093"/>
      <c r="BG15" s="1795"/>
      <c r="BH15" s="2000">
        <f>defo!U13</f>
        <v>1</v>
      </c>
      <c r="BI15" s="4093"/>
      <c r="BJ15" s="1784"/>
      <c r="BK15" s="1784"/>
      <c r="BL15" s="1782" t="str">
        <f t="shared" si="0"/>
        <v>Please select</v>
      </c>
      <c r="BM15" s="1784"/>
      <c r="BN15" s="1784"/>
      <c r="BO15" s="2000">
        <f>IF($BL15="Please select",0,defo!J27)</f>
        <v>0</v>
      </c>
      <c r="BP15" s="4093"/>
      <c r="BQ15" s="1784"/>
      <c r="BR15" s="2000">
        <f t="shared" si="1"/>
        <v>0</v>
      </c>
      <c r="BS15" s="4093"/>
      <c r="BT15" s="1784"/>
      <c r="BU15" s="2000">
        <f>defo!O27</f>
        <v>0</v>
      </c>
      <c r="BV15" s="4093"/>
      <c r="BW15" s="1784"/>
      <c r="BY15" s="4363">
        <v>1</v>
      </c>
      <c r="BZ15" s="4364"/>
      <c r="CA15" s="1784"/>
    </row>
    <row r="16" spans="1:79" ht="15" customHeight="1" x14ac:dyDescent="0.2">
      <c r="A16" s="4418" t="str">
        <f t="shared" si="2"/>
        <v/>
      </c>
      <c r="B16" s="1781"/>
      <c r="C16" s="2129" t="s">
        <v>57</v>
      </c>
      <c r="D16" s="1985"/>
      <c r="E16" s="2129">
        <v>0</v>
      </c>
      <c r="F16" s="1985"/>
      <c r="G16" s="2129" t="s">
        <v>85</v>
      </c>
      <c r="H16" s="1985"/>
      <c r="I16" s="2129" t="s">
        <v>57</v>
      </c>
      <c r="J16" s="1985"/>
      <c r="K16" s="2129" t="s">
        <v>57</v>
      </c>
      <c r="L16" s="1781"/>
      <c r="M16" s="4087">
        <v>0</v>
      </c>
      <c r="N16" s="2128">
        <v>0</v>
      </c>
      <c r="O16" s="4088" t="s">
        <v>86</v>
      </c>
      <c r="P16" s="2128">
        <v>0</v>
      </c>
      <c r="Q16" s="4088" t="s">
        <v>86</v>
      </c>
      <c r="R16" s="1997"/>
      <c r="S16" s="1816">
        <f>IF($C16="Please select", 0, defo!$G40)</f>
        <v>0</v>
      </c>
      <c r="T16" s="1816">
        <f>IF($C16="Please select", 0, defo!$H40)</f>
        <v>0</v>
      </c>
      <c r="U16" s="1781"/>
      <c r="V16" s="1815">
        <f>IF($C16&lt;&gt; "Please select", defo!$S40, 0)</f>
        <v>0</v>
      </c>
      <c r="W16" s="1841">
        <f>IF($C16&lt;&gt; "Please select", defo!$T40, 0)</f>
        <v>0</v>
      </c>
      <c r="X16" s="1998"/>
      <c r="Y16" s="1816">
        <f>IF($C16&lt;&gt; "Please select", defo!U40, 0)</f>
        <v>0</v>
      </c>
      <c r="AP16" s="1818"/>
      <c r="AR16" s="1999" t="str">
        <f t="shared" si="3"/>
        <v>Please select</v>
      </c>
      <c r="AS16" s="2000">
        <f>IF($AR16="Please select",0,defo!$J14)</f>
        <v>0</v>
      </c>
      <c r="AT16" s="4092"/>
      <c r="AU16" s="1784"/>
      <c r="AV16" s="2000">
        <f>IF($AR16="Please select",0,defo!$M14)</f>
        <v>0</v>
      </c>
      <c r="AW16" s="4092"/>
      <c r="AX16" s="1885"/>
      <c r="AY16" s="2000">
        <f>IF($AR16="Please select",0,defo!$O14)</f>
        <v>0</v>
      </c>
      <c r="AZ16" s="4093"/>
      <c r="BA16" s="2001"/>
      <c r="BB16" s="2000">
        <f>IF($AR16="Please select",0,defo!$Q14)</f>
        <v>0</v>
      </c>
      <c r="BC16" s="4094"/>
      <c r="BD16" s="1885"/>
      <c r="BE16" s="2000">
        <f t="shared" si="4"/>
        <v>0</v>
      </c>
      <c r="BF16" s="4093"/>
      <c r="BG16" s="1885"/>
      <c r="BH16" s="2000">
        <f>defo!U14</f>
        <v>1</v>
      </c>
      <c r="BI16" s="4093"/>
      <c r="BJ16" s="1784"/>
      <c r="BK16" s="1784"/>
      <c r="BL16" s="1782" t="str">
        <f t="shared" si="0"/>
        <v>Please select</v>
      </c>
      <c r="BM16" s="1784"/>
      <c r="BN16" s="1784"/>
      <c r="BO16" s="2000">
        <f>IF($BL16="Please select",0,defo!J28)</f>
        <v>0</v>
      </c>
      <c r="BP16" s="4093"/>
      <c r="BQ16" s="1784"/>
      <c r="BR16" s="2000">
        <f t="shared" si="1"/>
        <v>0</v>
      </c>
      <c r="BS16" s="4093"/>
      <c r="BT16" s="1784"/>
      <c r="BU16" s="2000">
        <f>defo!O28</f>
        <v>0</v>
      </c>
      <c r="BV16" s="4093"/>
      <c r="BW16" s="1784"/>
      <c r="BY16" s="4363">
        <v>1</v>
      </c>
      <c r="BZ16" s="4364"/>
      <c r="CA16" s="1784"/>
    </row>
    <row r="17" spans="1:86" ht="15" customHeight="1" x14ac:dyDescent="0.2">
      <c r="A17" s="4418" t="str">
        <f t="shared" si="2"/>
        <v/>
      </c>
      <c r="B17" s="1781"/>
      <c r="C17" s="2129" t="s">
        <v>57</v>
      </c>
      <c r="D17" s="1985"/>
      <c r="E17" s="2129">
        <v>0</v>
      </c>
      <c r="F17" s="1985"/>
      <c r="G17" s="2129" t="s">
        <v>85</v>
      </c>
      <c r="H17" s="1985"/>
      <c r="I17" s="2129" t="s">
        <v>57</v>
      </c>
      <c r="J17" s="1985"/>
      <c r="K17" s="2129" t="s">
        <v>57</v>
      </c>
      <c r="L17" s="1781"/>
      <c r="M17" s="4087">
        <v>0</v>
      </c>
      <c r="N17" s="2128">
        <v>0</v>
      </c>
      <c r="O17" s="4088" t="s">
        <v>86</v>
      </c>
      <c r="P17" s="2128">
        <v>0</v>
      </c>
      <c r="Q17" s="4088" t="s">
        <v>86</v>
      </c>
      <c r="R17" s="1997"/>
      <c r="S17" s="1816">
        <f>IF($C17="Please select", 0, defo!$G41)</f>
        <v>0</v>
      </c>
      <c r="T17" s="1816">
        <f>IF($C17="Please select", 0, defo!$H41)</f>
        <v>0</v>
      </c>
      <c r="U17" s="1781"/>
      <c r="V17" s="1815">
        <f>IF($C17&lt;&gt; "Please select", defo!$S41, 0)</f>
        <v>0</v>
      </c>
      <c r="W17" s="1841">
        <f>IF($C17&lt;&gt; "Please select", defo!$T41, 0)</f>
        <v>0</v>
      </c>
      <c r="X17" s="1998"/>
      <c r="Y17" s="1816">
        <f>IF($C17&lt;&gt; "Please select", defo!U41, 0)</f>
        <v>0</v>
      </c>
      <c r="AR17" s="1999" t="str">
        <f t="shared" si="3"/>
        <v>Please select</v>
      </c>
      <c r="AS17" s="2000">
        <f>IF($AR17="Please select",0,defo!$J15)</f>
        <v>0</v>
      </c>
      <c r="AT17" s="4092"/>
      <c r="AU17" s="1784"/>
      <c r="AV17" s="2000">
        <f>IF($AR17="Please select",0,defo!$M15)</f>
        <v>0</v>
      </c>
      <c r="AW17" s="4092"/>
      <c r="AX17" s="1885"/>
      <c r="AY17" s="2000">
        <f>IF($AR17="Please select",0,defo!$O15)</f>
        <v>0</v>
      </c>
      <c r="AZ17" s="4093"/>
      <c r="BA17" s="2001"/>
      <c r="BB17" s="2000">
        <f>IF($AR17="Please select",0,defo!$Q15)</f>
        <v>0</v>
      </c>
      <c r="BC17" s="4094"/>
      <c r="BD17" s="1795"/>
      <c r="BE17" s="2000">
        <f t="shared" si="4"/>
        <v>0</v>
      </c>
      <c r="BF17" s="4093"/>
      <c r="BG17" s="1795"/>
      <c r="BH17" s="2000">
        <f>defo!U15</f>
        <v>1</v>
      </c>
      <c r="BI17" s="4093"/>
      <c r="BJ17" s="1784"/>
      <c r="BK17" s="1784"/>
      <c r="BL17" s="1782" t="str">
        <f t="shared" si="0"/>
        <v>Please select</v>
      </c>
      <c r="BM17" s="1784"/>
      <c r="BN17" s="1784"/>
      <c r="BO17" s="2000">
        <f>IF($BL17="Please select",0,defo!J29)</f>
        <v>0</v>
      </c>
      <c r="BP17" s="4093"/>
      <c r="BQ17" s="1784"/>
      <c r="BR17" s="2000">
        <f t="shared" si="1"/>
        <v>0</v>
      </c>
      <c r="BS17" s="4093"/>
      <c r="BT17" s="1784"/>
      <c r="BU17" s="2000">
        <f>defo!O29</f>
        <v>0</v>
      </c>
      <c r="BV17" s="4093"/>
      <c r="BW17" s="1784"/>
      <c r="BY17" s="4363">
        <v>1</v>
      </c>
      <c r="BZ17" s="4364"/>
      <c r="CA17" s="1784"/>
    </row>
    <row r="18" spans="1:86" ht="15" customHeight="1" x14ac:dyDescent="0.2">
      <c r="A18" s="4418" t="str">
        <f t="shared" si="2"/>
        <v/>
      </c>
      <c r="B18" s="1781"/>
      <c r="C18" s="2129" t="s">
        <v>57</v>
      </c>
      <c r="D18" s="1985"/>
      <c r="E18" s="2129">
        <v>0</v>
      </c>
      <c r="F18" s="1985"/>
      <c r="G18" s="2129" t="s">
        <v>85</v>
      </c>
      <c r="H18" s="1985"/>
      <c r="I18" s="2129" t="s">
        <v>57</v>
      </c>
      <c r="J18" s="1985"/>
      <c r="K18" s="2129" t="s">
        <v>57</v>
      </c>
      <c r="L18" s="1781"/>
      <c r="M18" s="4087">
        <v>0</v>
      </c>
      <c r="N18" s="2128">
        <v>0</v>
      </c>
      <c r="O18" s="4088" t="s">
        <v>86</v>
      </c>
      <c r="P18" s="2128">
        <v>0</v>
      </c>
      <c r="Q18" s="4088" t="s">
        <v>86</v>
      </c>
      <c r="R18" s="1997"/>
      <c r="S18" s="1816">
        <f>IF($C18="Please select", 0, defo!$G42)</f>
        <v>0</v>
      </c>
      <c r="T18" s="1816">
        <f>IF($C18="Please select", 0, defo!$H42)</f>
        <v>0</v>
      </c>
      <c r="U18" s="1781"/>
      <c r="V18" s="1815">
        <f>IF($C18&lt;&gt; "Please select", defo!$S42, 0)</f>
        <v>0</v>
      </c>
      <c r="W18" s="1841">
        <f>IF($C18&lt;&gt; "Please select", defo!$T42, 0)</f>
        <v>0</v>
      </c>
      <c r="X18" s="1998"/>
      <c r="Y18" s="1816">
        <f>IF($C18&lt;&gt; "Please select", defo!U42, 0)</f>
        <v>0</v>
      </c>
      <c r="AR18" s="1999" t="str">
        <f t="shared" si="3"/>
        <v>Please select</v>
      </c>
      <c r="AS18" s="2000">
        <f>IF($AR18="Please select",0,defo!$J16)</f>
        <v>0</v>
      </c>
      <c r="AT18" s="4092"/>
      <c r="AU18" s="1999"/>
      <c r="AV18" s="2000">
        <f>IF($AR18="Please select",0,defo!$M16)</f>
        <v>0</v>
      </c>
      <c r="AW18" s="4092"/>
      <c r="AX18" s="1999"/>
      <c r="AY18" s="2000">
        <f>IF($AR18="Please select",0,defo!$O16)</f>
        <v>0</v>
      </c>
      <c r="AZ18" s="4093"/>
      <c r="BA18" s="2001"/>
      <c r="BB18" s="2000">
        <f>IF($AR18="Please select",0,defo!$Q16)</f>
        <v>0</v>
      </c>
      <c r="BC18" s="4094"/>
      <c r="BD18" s="1999"/>
      <c r="BE18" s="2000">
        <f t="shared" si="4"/>
        <v>0</v>
      </c>
      <c r="BF18" s="4093"/>
      <c r="BG18" s="1999"/>
      <c r="BH18" s="2000">
        <f>defo!U16</f>
        <v>1</v>
      </c>
      <c r="BI18" s="4093"/>
      <c r="BJ18" s="1784"/>
      <c r="BK18" s="1784"/>
      <c r="BL18" s="1782" t="str">
        <f t="shared" si="0"/>
        <v>Please select</v>
      </c>
      <c r="BM18" s="1784"/>
      <c r="BN18" s="1784"/>
      <c r="BO18" s="2000">
        <f>IF($BL18="Please select",0,defo!J30)</f>
        <v>0</v>
      </c>
      <c r="BP18" s="4093"/>
      <c r="BQ18" s="1784"/>
      <c r="BR18" s="2000">
        <f t="shared" si="1"/>
        <v>0</v>
      </c>
      <c r="BS18" s="4093"/>
      <c r="BT18" s="1784"/>
      <c r="BU18" s="2000">
        <f>defo!O30</f>
        <v>0</v>
      </c>
      <c r="BV18" s="4093"/>
      <c r="BW18" s="1784"/>
      <c r="BY18" s="4363">
        <v>1</v>
      </c>
      <c r="BZ18" s="4364"/>
      <c r="CA18" s="1784"/>
    </row>
    <row r="19" spans="1:86" ht="15" customHeight="1" x14ac:dyDescent="0.2">
      <c r="B19" s="1781"/>
      <c r="C19" s="1781"/>
      <c r="D19" s="1781"/>
      <c r="E19" s="1985"/>
      <c r="F19" s="1985"/>
      <c r="G19" s="2002"/>
      <c r="H19" s="1985"/>
      <c r="I19" s="4281"/>
      <c r="J19" s="1985"/>
      <c r="K19" s="1985"/>
      <c r="L19" s="1985"/>
      <c r="M19" s="1985"/>
      <c r="N19" s="1985"/>
      <c r="O19" s="1985"/>
      <c r="P19" s="1985"/>
      <c r="Q19" s="1985"/>
      <c r="R19" s="1985"/>
      <c r="S19" s="1985"/>
      <c r="T19" s="1985"/>
      <c r="U19" s="1781"/>
      <c r="V19" s="1781"/>
      <c r="W19" s="1985"/>
      <c r="X19" s="1985"/>
      <c r="Y19" s="1985"/>
      <c r="AR19" s="1999"/>
      <c r="AS19" s="1999"/>
      <c r="AT19" s="1999"/>
      <c r="AU19" s="1999"/>
      <c r="AV19" s="2000"/>
      <c r="AW19" s="2003"/>
      <c r="AX19" s="1999"/>
      <c r="AY19" s="2000"/>
      <c r="AZ19" s="2003"/>
      <c r="BA19" s="2001"/>
      <c r="BB19" s="2000"/>
      <c r="BC19" s="2004"/>
      <c r="BD19" s="1999"/>
      <c r="BE19" s="2000"/>
      <c r="BF19" s="2005"/>
      <c r="BG19" s="1999"/>
      <c r="BH19" s="2000"/>
      <c r="BI19" s="2004"/>
      <c r="BJ19" s="1784"/>
      <c r="BK19" s="1784"/>
      <c r="BL19" s="2004"/>
      <c r="BM19" s="1999"/>
      <c r="BN19" s="1784"/>
      <c r="BO19" s="1784"/>
      <c r="BP19" s="1784"/>
      <c r="BQ19" s="1784"/>
      <c r="BR19" s="2000"/>
      <c r="BS19" s="1784"/>
      <c r="BT19" s="1784"/>
      <c r="BU19" s="1784"/>
      <c r="BV19" s="1784"/>
      <c r="BW19" s="1784"/>
      <c r="BY19" s="2000"/>
      <c r="BZ19" s="2004"/>
      <c r="CA19" s="1784"/>
    </row>
    <row r="20" spans="1:86" ht="15" customHeight="1" x14ac:dyDescent="0.2">
      <c r="B20" s="1781"/>
      <c r="C20" s="1781"/>
      <c r="D20" s="1781"/>
      <c r="E20" s="1781"/>
      <c r="F20" s="1781"/>
      <c r="G20" s="1781"/>
      <c r="H20" s="1781"/>
      <c r="I20" s="1781"/>
      <c r="J20" s="1781"/>
      <c r="K20" s="1781"/>
      <c r="L20" s="1781"/>
      <c r="M20" s="1781"/>
      <c r="N20" s="1781"/>
      <c r="O20" s="1781"/>
      <c r="P20" s="2006"/>
      <c r="Q20" s="2006"/>
      <c r="R20" s="2006"/>
      <c r="S20" s="1985"/>
      <c r="T20" s="1985"/>
      <c r="U20" s="1781"/>
      <c r="V20" s="1781"/>
      <c r="W20" s="1985"/>
      <c r="X20" s="1985"/>
      <c r="Y20" s="2007"/>
      <c r="AR20" s="1782" t="str">
        <f>'5.Management'!AQ23</f>
        <v>Use this part only if you want to refine the analysis at Tier 2</v>
      </c>
      <c r="AS20" s="1782"/>
      <c r="AT20" s="1782"/>
      <c r="AU20" s="1782"/>
      <c r="AV20" s="1782"/>
      <c r="AW20" s="1782"/>
      <c r="AX20" s="1782"/>
      <c r="AY20" s="1782"/>
      <c r="AZ20" s="1782"/>
      <c r="BA20" s="1782"/>
      <c r="BB20" s="1782"/>
      <c r="BC20" s="1782"/>
      <c r="BD20" s="1782"/>
      <c r="BE20" s="1782"/>
      <c r="BF20" s="1782"/>
      <c r="BG20" s="1782"/>
      <c r="BH20" s="1782"/>
      <c r="BI20" s="1782"/>
      <c r="BJ20" s="1782"/>
      <c r="BK20" s="1784"/>
      <c r="BL20" s="1784"/>
      <c r="BM20" s="1784"/>
      <c r="BN20" s="1784"/>
      <c r="BO20" s="1784"/>
      <c r="BP20" s="1784"/>
      <c r="BQ20" s="1784"/>
      <c r="BR20" s="1784"/>
      <c r="BS20" s="1784"/>
      <c r="BT20" s="1784"/>
      <c r="BU20" s="1784"/>
      <c r="BV20" s="1784"/>
      <c r="BW20" s="1784"/>
      <c r="BY20" s="1782"/>
      <c r="BZ20" s="1782"/>
      <c r="CA20" s="1784"/>
    </row>
    <row r="21" spans="1:86" ht="15" customHeight="1" x14ac:dyDescent="0.2">
      <c r="B21" s="2007"/>
      <c r="C21" s="1826"/>
      <c r="D21" s="1781"/>
      <c r="E21" s="1781"/>
      <c r="F21" s="1781"/>
      <c r="G21" s="1781"/>
      <c r="H21" s="1781"/>
      <c r="I21" s="1781"/>
      <c r="J21" s="1781"/>
      <c r="K21" s="1781"/>
      <c r="L21" s="1781"/>
      <c r="M21" s="1781"/>
      <c r="N21" s="1781"/>
      <c r="O21" s="1781"/>
      <c r="P21" s="2008"/>
      <c r="Q21" s="2009"/>
      <c r="R21" s="2009"/>
      <c r="S21" s="2009"/>
      <c r="T21" s="2280" t="str">
        <f>Languages!B76</f>
        <v>Total deforestation (tCO2-e)</v>
      </c>
      <c r="U21" s="1853"/>
      <c r="V21" s="1858">
        <f>IFERROR(IF(C11 &lt;&gt; "Please select", defo!$S44, 0),0)</f>
        <v>0</v>
      </c>
      <c r="W21" s="1858">
        <f>IFERROR(IF($C11&lt;&gt; "Please select", defo!$T44, 0),0)</f>
        <v>0</v>
      </c>
      <c r="X21" s="2426"/>
      <c r="Y21" s="1860">
        <f>IFERROR(IF($C11&lt;&gt; "Please select", defo!$U44, 0),0)</f>
        <v>0</v>
      </c>
      <c r="AR21" s="1782" t="str">
        <f>'5.Management'!AQ24</f>
        <v>IPCC default values are provided for your information only; EX-ACT will use Tier 2 values automatically wherever specified.</v>
      </c>
      <c r="AS21" s="1999"/>
      <c r="AT21" s="1999"/>
      <c r="AU21" s="1999"/>
      <c r="AV21" s="2000"/>
      <c r="AW21" s="2003"/>
      <c r="AX21" s="1999"/>
      <c r="AY21" s="2000"/>
      <c r="AZ21" s="2003"/>
      <c r="BA21" s="1999"/>
      <c r="BB21" s="2000"/>
      <c r="BC21" s="2004"/>
      <c r="BD21" s="1999"/>
      <c r="BE21" s="2000"/>
      <c r="BF21" s="2004"/>
      <c r="BG21" s="1999"/>
      <c r="BH21" s="2000"/>
      <c r="BI21" s="2004"/>
      <c r="BJ21" s="1999"/>
      <c r="BK21" s="1784"/>
      <c r="BL21" s="1784"/>
      <c r="BM21" s="1784"/>
      <c r="BN21" s="1784"/>
      <c r="BO21" s="1784"/>
      <c r="BP21" s="1784"/>
      <c r="BQ21" s="1784"/>
      <c r="BR21" s="1784"/>
      <c r="BS21" s="1784"/>
      <c r="BT21" s="1784"/>
      <c r="BU21" s="1784"/>
      <c r="BV21" s="1784"/>
      <c r="BW21" s="1784"/>
      <c r="BY21" s="4548" t="s">
        <v>87</v>
      </c>
      <c r="BZ21" s="4548"/>
      <c r="CA21" s="4548"/>
    </row>
    <row r="22" spans="1:86" ht="15" customHeight="1" x14ac:dyDescent="0.2">
      <c r="B22" s="1781"/>
      <c r="C22" s="1781"/>
      <c r="D22" s="1781"/>
      <c r="E22" s="1781"/>
      <c r="F22" s="1781"/>
      <c r="G22" s="1781"/>
      <c r="H22" s="1781"/>
      <c r="I22" s="4421" t="str">
        <f>IF(AND(OR(COUNTIF(A11:A18,"*allcrops*"),COUNTIF(A11:A18,"*agroforest*"), COUNTIF(A11:A18,"*rice*"), COUNTIF(A11:A18,"*crop*")), COUNTIF(A11:A18,"*grass*")),"Please go to the Cropland and Grassland modules to complete the assessment",IF((COUNTIF(A11:A18,"*allcrops*") + COUNTIF(A11:A18,"*crop*") + COUNTIF(A11:A18,"*agroforest*") + COUNTIF(A11:A18,"*rice*"))&gt;1, "Please go to the Cropland module to complete the assessment",IF(COUNTIF(A11:A18,"*crop*"),"Please go to section 3.1.1 in the Cropland Module to complete the assessment",IF(COUNTIF(A11:A18,"*Agroforest*"),"Please go to section 3.2.1 in the Cropland Module to complete the assessment",IF(COUNTIF(A11:A18,"*rice*"),"Please go to section 3.3.1 in the Cropland Module to complete the assessment",IF(COUNTIF(A11:A18,"*grass*"),"Please go to section 4.1.1 in the Grassland and livestock Module to complete the assessment",""))))))</f>
        <v/>
      </c>
      <c r="J22" s="1781"/>
      <c r="K22" s="1781"/>
      <c r="L22" s="1781"/>
      <c r="M22" s="1781"/>
      <c r="N22" s="1985"/>
      <c r="O22" s="1985"/>
      <c r="P22" s="1781"/>
      <c r="Q22" s="1781"/>
      <c r="R22" s="1781"/>
      <c r="S22" s="1781"/>
      <c r="T22" s="1781"/>
      <c r="U22" s="1781"/>
      <c r="V22" s="1781"/>
      <c r="W22" s="1781"/>
      <c r="X22" s="1781"/>
      <c r="Y22" s="1781"/>
      <c r="AR22" s="1999"/>
      <c r="AS22" s="1999"/>
      <c r="AT22" s="1999"/>
      <c r="AU22" s="1999"/>
      <c r="AV22" s="1999"/>
      <c r="AW22" s="2011"/>
      <c r="AX22" s="1999"/>
      <c r="AY22" s="1999"/>
      <c r="AZ22" s="2011"/>
      <c r="BA22" s="1999"/>
      <c r="BB22" s="1999"/>
      <c r="BC22" s="2011"/>
      <c r="BD22" s="1999"/>
      <c r="BE22" s="1999"/>
      <c r="BF22" s="2011"/>
      <c r="BG22" s="1999"/>
      <c r="BH22" s="1999"/>
      <c r="BI22" s="2011"/>
      <c r="BJ22" s="1999"/>
      <c r="BK22" s="1784"/>
      <c r="BL22" s="1784"/>
      <c r="BM22" s="1784"/>
      <c r="BN22" s="1784"/>
      <c r="BO22" s="1784"/>
      <c r="BP22" s="1784"/>
      <c r="BQ22" s="1784"/>
      <c r="BR22" s="1784"/>
      <c r="BS22" s="1784"/>
      <c r="BT22" s="1784"/>
      <c r="BU22" s="1784"/>
      <c r="BV22" s="1784"/>
      <c r="BW22" s="1784"/>
      <c r="BY22" s="4548"/>
      <c r="BZ22" s="4548"/>
      <c r="CA22" s="4548"/>
    </row>
    <row r="23" spans="1:86" ht="15" customHeight="1" x14ac:dyDescent="0.2">
      <c r="B23" s="1781"/>
      <c r="C23" s="1781"/>
      <c r="D23" s="1781"/>
      <c r="E23" s="2012"/>
      <c r="F23" s="1781"/>
      <c r="G23" s="1781"/>
      <c r="H23" s="1781"/>
      <c r="I23" s="1781"/>
      <c r="J23" s="1781"/>
      <c r="K23" s="1781"/>
      <c r="L23" s="1781"/>
      <c r="M23" s="1781"/>
      <c r="N23" s="1781"/>
      <c r="O23" s="1781"/>
      <c r="P23" s="1985"/>
      <c r="Q23" s="1985"/>
      <c r="R23" s="1985"/>
      <c r="S23" s="1985"/>
      <c r="T23" s="1985"/>
      <c r="U23" s="1781"/>
      <c r="V23" s="1781"/>
      <c r="W23" s="1985"/>
      <c r="X23" s="1985"/>
      <c r="Y23" s="1985"/>
      <c r="AR23" s="1782"/>
      <c r="AS23" s="1782"/>
      <c r="AT23" s="1782"/>
      <c r="AU23" s="1782"/>
      <c r="AV23" s="1782"/>
      <c r="AW23" s="1782"/>
      <c r="AX23" s="1782"/>
      <c r="AY23" s="1782"/>
      <c r="AZ23" s="1782"/>
      <c r="BA23" s="1782"/>
      <c r="BB23" s="1782"/>
      <c r="BC23" s="1782"/>
      <c r="BD23" s="1782"/>
      <c r="BE23" s="1782"/>
      <c r="BF23" s="1782"/>
      <c r="BG23" s="1782"/>
      <c r="BH23" s="1782"/>
      <c r="BI23" s="1782"/>
      <c r="BJ23" s="1782"/>
      <c r="BK23" s="1784"/>
      <c r="BL23" s="1784"/>
      <c r="BM23" s="1784"/>
      <c r="BN23" s="1784"/>
      <c r="BO23" s="1784"/>
      <c r="BP23" s="1784"/>
      <c r="BQ23" s="1784"/>
      <c r="BR23" s="1784"/>
      <c r="BS23" s="1784"/>
      <c r="BT23" s="1784"/>
      <c r="BU23" s="1784"/>
      <c r="BV23" s="1784"/>
      <c r="BW23" s="1784"/>
      <c r="BY23" s="4548"/>
      <c r="BZ23" s="4548"/>
      <c r="CA23" s="4548"/>
    </row>
    <row r="24" spans="1:86" ht="15" customHeight="1" x14ac:dyDescent="0.2">
      <c r="B24" s="1820" t="str">
        <f>Languages!B23</f>
        <v>*The selection of "D" corresponds to a default (linear) dynamics of change. Other selection options include "I" for immediate changes and "E" for exponential - please refer to the guidelines for further explanation of these assumptions.</v>
      </c>
      <c r="C24" s="1985"/>
      <c r="D24" s="1985"/>
      <c r="E24" s="1985"/>
      <c r="F24" s="1985"/>
      <c r="G24" s="1985"/>
      <c r="H24" s="1985"/>
      <c r="I24" s="1985"/>
      <c r="J24" s="1985"/>
      <c r="K24" s="1985"/>
      <c r="L24" s="1985"/>
      <c r="M24" s="1985"/>
      <c r="N24" s="1985"/>
      <c r="O24" s="1985"/>
      <c r="P24" s="1985"/>
      <c r="Q24" s="1985"/>
      <c r="R24" s="1985"/>
      <c r="S24" s="1985"/>
      <c r="T24" s="1985"/>
      <c r="U24" s="1985"/>
      <c r="V24" s="1985"/>
      <c r="W24" s="1985"/>
      <c r="X24" s="1985"/>
      <c r="Y24" s="1985"/>
    </row>
    <row r="25" spans="1:86" x14ac:dyDescent="0.2">
      <c r="AF25" s="1840"/>
    </row>
    <row r="26" spans="1:86" x14ac:dyDescent="0.2">
      <c r="AF26" s="1840"/>
    </row>
    <row r="27" spans="1:86" x14ac:dyDescent="0.2">
      <c r="AF27" s="1840"/>
    </row>
    <row r="29" spans="1:86" ht="21" x14ac:dyDescent="0.25">
      <c r="AA29" s="2013"/>
    </row>
    <row r="30" spans="1:86" ht="45" customHeight="1" x14ac:dyDescent="0.2">
      <c r="B30" s="1975" t="str">
        <f>Languages!B77</f>
        <v>2.2 AFFORESTATION &amp; REFORESTATION</v>
      </c>
      <c r="C30" s="1975"/>
      <c r="D30" s="1976"/>
      <c r="E30" s="1778"/>
      <c r="F30" s="1778"/>
      <c r="G30" s="1778"/>
      <c r="H30" s="1778"/>
      <c r="I30" s="1778"/>
      <c r="J30" s="1778"/>
      <c r="K30" s="1778"/>
      <c r="L30" s="1778"/>
      <c r="M30" s="1778"/>
      <c r="N30" s="1778"/>
      <c r="O30" s="1778"/>
      <c r="P30" s="1778"/>
      <c r="Q30" s="1778"/>
      <c r="R30" s="1778"/>
      <c r="S30" s="1778"/>
      <c r="T30" s="1778"/>
      <c r="U30" s="1778"/>
      <c r="V30" s="1770" t="str">
        <f>Languages!B22</f>
        <v>If country-specific data are available, please go to Tier 2:</v>
      </c>
      <c r="W30" s="1778"/>
      <c r="X30" s="1778"/>
      <c r="Y30" s="1778"/>
      <c r="AR30" s="1975" t="str">
        <f>B30</f>
        <v>2.2 AFFORESTATION &amp; REFORESTATION</v>
      </c>
      <c r="AS30" s="1977"/>
      <c r="AT30" s="1977"/>
      <c r="AU30" s="1977"/>
      <c r="AV30" s="1977"/>
      <c r="AW30" s="1977"/>
      <c r="AX30" s="1977"/>
      <c r="AY30" s="1977"/>
      <c r="AZ30" s="1977"/>
      <c r="BA30" s="1977"/>
      <c r="BB30" s="1977"/>
      <c r="BC30" s="1977"/>
      <c r="BD30" s="1977"/>
      <c r="BE30" s="1977"/>
      <c r="BF30" s="1977"/>
      <c r="BG30" s="1977"/>
      <c r="BH30" s="1977"/>
      <c r="BI30" s="1977"/>
      <c r="BJ30" s="1977"/>
      <c r="BK30" s="1977"/>
      <c r="BL30" s="1977"/>
      <c r="BM30" s="1977"/>
      <c r="BN30" s="1977"/>
      <c r="BO30" s="1977"/>
      <c r="BP30" s="1977"/>
      <c r="BQ30" s="1977"/>
      <c r="BR30" s="1977"/>
      <c r="BS30" s="1977"/>
      <c r="BT30" s="1977"/>
      <c r="BU30" s="1977"/>
      <c r="BV30" s="1977"/>
      <c r="BW30" s="1977"/>
      <c r="BX30" s="1977"/>
      <c r="BY30" s="1977"/>
      <c r="BZ30" s="1977"/>
      <c r="CA30" s="1977"/>
      <c r="CB30" s="1977"/>
      <c r="CC30" s="1977"/>
      <c r="CD30" s="1977"/>
      <c r="CF30" s="4366" t="s">
        <v>71</v>
      </c>
      <c r="CG30" s="4366"/>
      <c r="CH30" s="4366"/>
    </row>
    <row r="31" spans="1:86" ht="5.25" customHeight="1" x14ac:dyDescent="0.2">
      <c r="CF31" s="1915"/>
      <c r="CG31" s="1915"/>
    </row>
    <row r="32" spans="1:86" ht="15" customHeight="1" x14ac:dyDescent="0.2">
      <c r="B32" s="1781"/>
      <c r="C32" s="1781"/>
      <c r="D32" s="1781"/>
      <c r="E32" s="1781"/>
      <c r="F32" s="1781"/>
      <c r="G32" s="1781"/>
      <c r="H32" s="1781"/>
      <c r="I32" s="1781"/>
      <c r="J32" s="1781"/>
      <c r="K32" s="1781"/>
      <c r="L32" s="1781"/>
      <c r="M32" s="1781"/>
      <c r="N32" s="1781"/>
      <c r="O32" s="1781"/>
      <c r="P32" s="1781"/>
      <c r="Q32" s="1781"/>
      <c r="R32" s="1781"/>
      <c r="S32" s="1781"/>
      <c r="T32" s="1781"/>
      <c r="U32" s="1781"/>
      <c r="V32" s="1781"/>
      <c r="W32" s="1781"/>
      <c r="X32" s="1781"/>
      <c r="Y32" s="1781"/>
      <c r="AR32" s="1782"/>
      <c r="AS32" s="1782"/>
      <c r="AT32" s="1782"/>
      <c r="AU32" s="1782"/>
      <c r="AV32" s="2315"/>
      <c r="AW32" s="2315"/>
      <c r="AX32" s="2315"/>
      <c r="AY32" s="2315"/>
      <c r="AZ32" s="2315"/>
      <c r="BA32" s="2315"/>
      <c r="BB32" s="2315"/>
      <c r="BC32" s="1784"/>
      <c r="BD32" s="1784"/>
      <c r="BE32" s="1990" t="str">
        <f>Languages!B71</f>
        <v>Above-ground biomass growth</v>
      </c>
      <c r="BF32" s="1787"/>
      <c r="BG32" s="1787"/>
      <c r="BH32" s="1787"/>
      <c r="BI32" s="1787"/>
      <c r="BJ32" s="1800"/>
      <c r="BK32" s="1990" t="str">
        <f>Languages!B72</f>
        <v>Below-ground biomass growth</v>
      </c>
      <c r="BL32" s="1787"/>
      <c r="BM32" s="1787"/>
      <c r="BN32" s="1787"/>
      <c r="BO32" s="1800"/>
      <c r="BP32" s="4415" t="str">
        <f>AS7</f>
        <v>Reference carbon stocks</v>
      </c>
      <c r="BQ32" s="4345"/>
      <c r="BR32" s="1800"/>
      <c r="BS32" s="4494" t="str">
        <f>Languages!B73</f>
        <v>Litter</v>
      </c>
      <c r="BT32" s="2014"/>
      <c r="BU32" s="2315"/>
      <c r="BV32" s="1987" t="str">
        <f>Languages!B74</f>
        <v>Dead wood</v>
      </c>
      <c r="BW32" s="1987"/>
      <c r="BX32" s="1797"/>
      <c r="BY32" s="4510" t="str">
        <f>Languages!B75</f>
        <v>Soil carbon</v>
      </c>
      <c r="BZ32" s="1993"/>
      <c r="CA32" s="2315"/>
      <c r="CB32" s="1990" t="s">
        <v>5214</v>
      </c>
      <c r="CC32" s="1993"/>
      <c r="CD32" s="1782"/>
      <c r="CF32" s="1784"/>
      <c r="CG32" s="1784"/>
      <c r="CH32" s="2011"/>
    </row>
    <row r="33" spans="2:86" ht="15" customHeight="1" x14ac:dyDescent="0.2">
      <c r="B33" s="1781"/>
      <c r="C33" s="1951" t="str">
        <f>Languages!B18</f>
        <v>Final land-use</v>
      </c>
      <c r="D33" s="1781"/>
      <c r="E33" s="1781"/>
      <c r="F33" s="1781"/>
      <c r="G33" s="1780" t="str">
        <f>G58</f>
        <v>Fire used?</v>
      </c>
      <c r="H33" s="1781"/>
      <c r="I33" s="1951" t="str">
        <f>Languages!B19</f>
        <v>Initial land-use</v>
      </c>
      <c r="J33" s="1781"/>
      <c r="K33" s="1951" t="str">
        <f>Languages!B65</f>
        <v>Initial agroforestry system</v>
      </c>
      <c r="L33" s="1781"/>
      <c r="M33" s="1827"/>
      <c r="N33" s="1898" t="str">
        <f>Languages!B70</f>
        <v>Reforested area (ha)</v>
      </c>
      <c r="O33" s="1982"/>
      <c r="P33" s="1982"/>
      <c r="Q33" s="1982"/>
      <c r="R33" s="1781"/>
      <c r="S33" s="1781"/>
      <c r="T33" s="1781"/>
      <c r="U33" s="1826"/>
      <c r="V33" s="1826" t="str">
        <f>Languages!B9</f>
        <v>Total emissions (tCO2-e)</v>
      </c>
      <c r="W33" s="1781"/>
      <c r="X33" s="1826"/>
      <c r="Y33" s="1780" t="str">
        <f>Languages!B10</f>
        <v>Balance</v>
      </c>
      <c r="AR33" s="1886" t="str">
        <f>I33</f>
        <v>Initial land-use</v>
      </c>
      <c r="AS33" s="1782" t="str">
        <f>AS8</f>
        <v>All units are in tC/ha</v>
      </c>
      <c r="AT33" s="1782"/>
      <c r="AU33" s="1782"/>
      <c r="AV33" s="2315"/>
      <c r="AW33" s="2315"/>
      <c r="AX33" s="2315"/>
      <c r="AY33" s="2315"/>
      <c r="AZ33" s="2315"/>
      <c r="BA33" s="2315"/>
      <c r="BB33" s="2315"/>
      <c r="BC33" s="1886" t="str">
        <f>C33</f>
        <v>Final land-use</v>
      </c>
      <c r="BD33" s="2315"/>
      <c r="BE33" s="1833" t="str">
        <f>Languages!B87</f>
        <v>( ≤ 20 years )</v>
      </c>
      <c r="BF33" s="1800"/>
      <c r="BG33" s="1799"/>
      <c r="BH33" s="1833" t="str">
        <f>Languages!B88</f>
        <v>( &gt; 20 years )</v>
      </c>
      <c r="BI33" s="1800"/>
      <c r="BJ33" s="1800"/>
      <c r="BK33" s="1833" t="str">
        <f>BE33</f>
        <v>( ≤ 20 years )</v>
      </c>
      <c r="BL33" s="1800"/>
      <c r="BM33" s="1833" t="str">
        <f>BH33</f>
        <v>( &gt; 20 years )</v>
      </c>
      <c r="BN33" s="1800"/>
      <c r="BO33" s="1800"/>
      <c r="BP33" s="1800" t="s">
        <v>90</v>
      </c>
      <c r="BQ33" s="1800"/>
      <c r="BR33" s="1800"/>
      <c r="BS33" s="2315"/>
      <c r="BT33" s="2315"/>
      <c r="BU33" s="2315"/>
      <c r="BV33" s="1800"/>
      <c r="BW33" s="1800"/>
      <c r="BX33" s="1800"/>
      <c r="BY33" s="1996"/>
      <c r="BZ33" s="1893"/>
      <c r="CA33" s="2315"/>
      <c r="CB33" s="2315"/>
      <c r="CC33" s="2315"/>
      <c r="CD33" s="1782"/>
      <c r="CF33" s="1889" t="s">
        <v>74</v>
      </c>
      <c r="CG33" s="1782"/>
      <c r="CH33" s="2011"/>
    </row>
    <row r="34" spans="2:86" ht="15" customHeight="1" x14ac:dyDescent="0.2">
      <c r="B34" s="1781"/>
      <c r="C34" s="1951"/>
      <c r="D34" s="1781"/>
      <c r="E34" s="1781"/>
      <c r="F34" s="1781"/>
      <c r="G34" s="1984" t="str">
        <f>G9</f>
        <v>(y/n)</v>
      </c>
      <c r="H34" s="1781"/>
      <c r="I34" s="1951"/>
      <c r="J34" s="1781"/>
      <c r="K34" s="1951"/>
      <c r="L34" s="1781"/>
      <c r="M34" s="1781"/>
      <c r="N34" s="1812" t="str">
        <f>Languages!B12</f>
        <v>Without</v>
      </c>
      <c r="O34" s="1812"/>
      <c r="P34" s="1812" t="str">
        <f>Languages!B13</f>
        <v>With</v>
      </c>
      <c r="Q34" s="1812"/>
      <c r="R34" s="1781"/>
      <c r="S34" s="1781"/>
      <c r="T34" s="1781"/>
      <c r="U34" s="1781"/>
      <c r="V34" s="1816" t="str">
        <f>Languages!B12</f>
        <v>Without</v>
      </c>
      <c r="W34" s="1816" t="str">
        <f>P34</f>
        <v>With</v>
      </c>
      <c r="X34" s="1812"/>
      <c r="Y34" s="1781"/>
      <c r="AR34" s="1886"/>
      <c r="AS34" s="1990" t="str">
        <f>Languages!B86</f>
        <v>Biomass</v>
      </c>
      <c r="AT34" s="1990"/>
      <c r="AU34" s="1784"/>
      <c r="AV34" s="1990" t="str">
        <f>BE9</f>
        <v>Soil carbon</v>
      </c>
      <c r="AW34" s="1990"/>
      <c r="AX34" s="2315"/>
      <c r="AY34" s="2315"/>
      <c r="AZ34" s="1990" t="s">
        <v>5214</v>
      </c>
      <c r="BA34" s="1993"/>
      <c r="BB34" s="2315"/>
      <c r="BC34" s="1886" t="str">
        <f>Languages!B85</f>
        <v>after A/R</v>
      </c>
      <c r="BD34" s="2315"/>
      <c r="BE34" s="1938" t="str">
        <f>Languages!B89</f>
        <v>tC/ha/yr</v>
      </c>
      <c r="BF34" s="1800"/>
      <c r="BG34" s="1800"/>
      <c r="BH34" s="1938" t="str">
        <f>BE34</f>
        <v>tC/ha/yr</v>
      </c>
      <c r="BI34" s="1800"/>
      <c r="BJ34" s="1800"/>
      <c r="BK34" s="1938" t="s">
        <v>92</v>
      </c>
      <c r="BL34" s="1800"/>
      <c r="BM34" s="1938" t="s">
        <v>92</v>
      </c>
      <c r="BN34" s="1800"/>
      <c r="BO34" s="1800"/>
      <c r="BP34" s="1795" t="str">
        <f>Languages!B90</f>
        <v>tC/ha</v>
      </c>
      <c r="BQ34" s="1800"/>
      <c r="BR34" s="1800"/>
      <c r="BS34" s="1938" t="str">
        <f>BP34</f>
        <v>tC/ha</v>
      </c>
      <c r="BT34" s="1800"/>
      <c r="BU34" s="2315"/>
      <c r="BV34" s="2427"/>
      <c r="BW34" s="1800" t="str">
        <f>BS34</f>
        <v>tC/ha</v>
      </c>
      <c r="BX34" s="1800"/>
      <c r="BY34" s="2069" t="str">
        <f>BS34</f>
        <v>tC/ha</v>
      </c>
      <c r="BZ34" s="1800"/>
      <c r="CA34" s="2315"/>
      <c r="CB34" s="2315"/>
      <c r="CC34" s="2315"/>
      <c r="CD34" s="1782"/>
      <c r="CF34" s="2014" t="s">
        <v>82</v>
      </c>
      <c r="CG34" s="1993"/>
      <c r="CH34" s="2011"/>
    </row>
    <row r="35" spans="2:86" ht="15" customHeight="1" x14ac:dyDescent="0.2">
      <c r="B35" s="1781"/>
      <c r="C35" s="1781"/>
      <c r="D35" s="1781"/>
      <c r="E35" s="1781"/>
      <c r="F35" s="1781"/>
      <c r="G35" s="1781"/>
      <c r="H35" s="1781"/>
      <c r="I35" s="1781"/>
      <c r="J35" s="1781"/>
      <c r="K35" s="1781"/>
      <c r="L35" s="1781"/>
      <c r="M35" s="1781"/>
      <c r="N35" s="1781"/>
      <c r="O35" s="1781" t="s">
        <v>83</v>
      </c>
      <c r="P35" s="1781"/>
      <c r="Q35" s="1781" t="s">
        <v>83</v>
      </c>
      <c r="R35" s="1781"/>
      <c r="S35" s="1781"/>
      <c r="T35" s="1781"/>
      <c r="U35" s="1781"/>
      <c r="V35" s="1781"/>
      <c r="W35" s="1781"/>
      <c r="X35" s="1781"/>
      <c r="Y35" s="1781"/>
      <c r="AR35" s="1782"/>
      <c r="AS35" s="2000" t="str">
        <f>AS10</f>
        <v>Default</v>
      </c>
      <c r="AT35" s="2000" t="str">
        <f>AT10</f>
        <v>Tier 2</v>
      </c>
      <c r="AU35" s="1784"/>
      <c r="AV35" s="2000" t="str">
        <f>AS35</f>
        <v>Default</v>
      </c>
      <c r="AW35" s="2000" t="str">
        <f>AT35</f>
        <v>Tier 2</v>
      </c>
      <c r="AX35" s="1782"/>
      <c r="AY35" s="1782"/>
      <c r="AZ35" s="4493" t="str">
        <f>AV35</f>
        <v>Default</v>
      </c>
      <c r="BA35" s="4430" t="str">
        <f>AW35</f>
        <v>Tier 2</v>
      </c>
      <c r="BB35" s="1782"/>
      <c r="BC35" s="1800"/>
      <c r="BD35" s="1782"/>
      <c r="BE35" s="4430" t="str">
        <f>AV35</f>
        <v>Default</v>
      </c>
      <c r="BF35" s="4430" t="str">
        <f>AW35</f>
        <v>Tier 2</v>
      </c>
      <c r="BG35" s="1795"/>
      <c r="BH35" s="4430" t="str">
        <f>BE35</f>
        <v>Default</v>
      </c>
      <c r="BI35" s="4430" t="str">
        <f>BF35</f>
        <v>Tier 2</v>
      </c>
      <c r="BJ35" s="1795"/>
      <c r="BK35" s="4430" t="str">
        <f>BH35</f>
        <v>Default</v>
      </c>
      <c r="BL35" s="4430" t="str">
        <f>BI35</f>
        <v>Tier 2</v>
      </c>
      <c r="BM35" s="4430" t="str">
        <f>BK35</f>
        <v>Default</v>
      </c>
      <c r="BN35" s="4430" t="str">
        <f>BL35</f>
        <v>Tier 2</v>
      </c>
      <c r="BO35" s="1800"/>
      <c r="BP35" s="4430" t="str">
        <f>BM35</f>
        <v>Default</v>
      </c>
      <c r="BQ35" s="4430" t="str">
        <f>BN35</f>
        <v>Tier 2</v>
      </c>
      <c r="BR35" s="1800"/>
      <c r="BS35" s="4430" t="str">
        <f>BM35</f>
        <v>Default</v>
      </c>
      <c r="BT35" s="4430" t="str">
        <f>BQ35</f>
        <v>Tier 2</v>
      </c>
      <c r="BU35" s="2151"/>
      <c r="BV35" s="4430" t="str">
        <f>BM35</f>
        <v>Default</v>
      </c>
      <c r="BW35" s="4430" t="str">
        <f>BT35</f>
        <v>Tier 2</v>
      </c>
      <c r="BX35" s="1795"/>
      <c r="BY35" s="4430" t="str">
        <f>BV35</f>
        <v>Default</v>
      </c>
      <c r="BZ35" s="4430" t="str">
        <f>BW35</f>
        <v>Tier 2</v>
      </c>
      <c r="CA35" s="2151"/>
      <c r="CB35" s="4493" t="str">
        <f>BY35</f>
        <v>Default</v>
      </c>
      <c r="CC35" s="4430" t="str">
        <f>BZ35</f>
        <v>Tier 2</v>
      </c>
      <c r="CD35" s="1782"/>
      <c r="CF35" s="1996"/>
      <c r="CG35" s="1893"/>
      <c r="CH35" s="2011"/>
    </row>
    <row r="36" spans="2:86" ht="15" customHeight="1" x14ac:dyDescent="0.2">
      <c r="B36" s="1781"/>
      <c r="C36" s="2129" t="s">
        <v>57</v>
      </c>
      <c r="D36" s="1781"/>
      <c r="E36" s="1781"/>
      <c r="F36" s="1781"/>
      <c r="G36" s="2129" t="s">
        <v>85</v>
      </c>
      <c r="H36" s="1781"/>
      <c r="I36" s="2129" t="s">
        <v>57</v>
      </c>
      <c r="J36" s="1781"/>
      <c r="K36" s="2129" t="s">
        <v>57</v>
      </c>
      <c r="L36" s="1781"/>
      <c r="M36" s="4416" t="str">
        <f>IF(I36="annual cropland","crop",IF(I36="grassland","grass",IF(I36="agroforestry","agroforest",IF(I36="flooded rice", "rice", ""))))</f>
        <v/>
      </c>
      <c r="N36" s="2128">
        <v>0</v>
      </c>
      <c r="O36" s="2104" t="s">
        <v>86</v>
      </c>
      <c r="P36" s="2128">
        <v>0</v>
      </c>
      <c r="Q36" s="2104" t="s">
        <v>86</v>
      </c>
      <c r="R36" s="1781"/>
      <c r="S36" s="1781"/>
      <c r="T36" s="1781"/>
      <c r="U36" s="1781"/>
      <c r="V36" s="1815">
        <f>affo!$S37</f>
        <v>0</v>
      </c>
      <c r="W36" s="1841">
        <f>affo!$T37</f>
        <v>0</v>
      </c>
      <c r="X36" s="2017"/>
      <c r="Y36" s="1816">
        <f>affo!$U37</f>
        <v>0</v>
      </c>
      <c r="AR36" s="1782" t="str">
        <f>I36</f>
        <v>Please select</v>
      </c>
      <c r="AS36" s="2000">
        <f>affo!I24</f>
        <v>0</v>
      </c>
      <c r="AT36" s="4092"/>
      <c r="AU36" s="1782"/>
      <c r="AV36" s="2000">
        <f t="shared" ref="AV36:AV43" si="5">IF(AR36="Please select",0,SOCref)</f>
        <v>0</v>
      </c>
      <c r="AW36" s="4092"/>
      <c r="AX36" s="1782"/>
      <c r="AY36" s="1782"/>
      <c r="AZ36" s="2000">
        <f>affo!J24</f>
        <v>0</v>
      </c>
      <c r="BA36" s="4093"/>
      <c r="BB36" s="1782"/>
      <c r="BC36" s="1800" t="str">
        <f>affo!H8</f>
        <v>Please select</v>
      </c>
      <c r="BD36" s="1782"/>
      <c r="BE36" s="1817">
        <f>affo!K8</f>
        <v>0</v>
      </c>
      <c r="BF36" s="4092"/>
      <c r="BG36" s="1800"/>
      <c r="BH36" s="1817">
        <f>affo!N8</f>
        <v>0</v>
      </c>
      <c r="BI36" s="4092"/>
      <c r="BJ36" s="1800"/>
      <c r="BK36" s="1817">
        <f>affo!Q8</f>
        <v>0</v>
      </c>
      <c r="BL36" s="4092"/>
      <c r="BM36" s="1817">
        <f>affo!T8</f>
        <v>0</v>
      </c>
      <c r="BN36" s="4092"/>
      <c r="BO36" s="1800"/>
      <c r="BP36" s="1817">
        <f>affo!AD8*12/44</f>
        <v>0</v>
      </c>
      <c r="BQ36" s="4092"/>
      <c r="BR36" s="1800"/>
      <c r="BS36" s="1817">
        <f>affo!V8</f>
        <v>0</v>
      </c>
      <c r="BT36" s="4092"/>
      <c r="BU36" s="1782"/>
      <c r="BV36" s="1817">
        <f>affo!X8</f>
        <v>0</v>
      </c>
      <c r="BW36" s="4092"/>
      <c r="BX36" s="1800"/>
      <c r="BY36" s="2000">
        <f t="shared" ref="BY36:BY43" si="6">IF(BC36="Please select",0, SOCref)</f>
        <v>0</v>
      </c>
      <c r="BZ36" s="4092"/>
      <c r="CA36" s="1782"/>
      <c r="CB36" s="2000">
        <f>affo!AB8</f>
        <v>0</v>
      </c>
      <c r="CC36" s="4093"/>
      <c r="CD36" s="1782"/>
      <c r="CF36" s="4363">
        <v>1</v>
      </c>
      <c r="CG36" s="4364"/>
      <c r="CH36" s="2011"/>
    </row>
    <row r="37" spans="2:86" ht="15" customHeight="1" x14ac:dyDescent="0.2">
      <c r="B37" s="1781"/>
      <c r="C37" s="2129" t="s">
        <v>57</v>
      </c>
      <c r="D37" s="1781"/>
      <c r="E37" s="1781"/>
      <c r="F37" s="1781"/>
      <c r="G37" s="2129" t="s">
        <v>85</v>
      </c>
      <c r="H37" s="1781"/>
      <c r="I37" s="2129" t="s">
        <v>57</v>
      </c>
      <c r="J37" s="1781"/>
      <c r="K37" s="2129" t="s">
        <v>57</v>
      </c>
      <c r="L37" s="1781"/>
      <c r="M37" s="4416" t="str">
        <f t="shared" ref="M37:M43" si="7">IF(I37="annual cropland","crop",IF(I37="grassland","grass",IF(I37="agroforestry","agroforest",IF(I37="flooded rice", "rice", ""))))</f>
        <v/>
      </c>
      <c r="N37" s="2128">
        <v>0</v>
      </c>
      <c r="O37" s="2104" t="s">
        <v>86</v>
      </c>
      <c r="P37" s="2128">
        <v>0</v>
      </c>
      <c r="Q37" s="2104" t="s">
        <v>86</v>
      </c>
      <c r="R37" s="1781"/>
      <c r="S37" s="1781"/>
      <c r="T37" s="1781"/>
      <c r="U37" s="1781"/>
      <c r="V37" s="1815">
        <f>affo!$S38</f>
        <v>0</v>
      </c>
      <c r="W37" s="1841">
        <f>affo!$T38</f>
        <v>0</v>
      </c>
      <c r="X37" s="2017"/>
      <c r="Y37" s="1816">
        <f>affo!$U38</f>
        <v>0</v>
      </c>
      <c r="AR37" s="1782" t="str">
        <f t="shared" ref="AR37:AR43" si="8">I37</f>
        <v>Please select</v>
      </c>
      <c r="AS37" s="2000">
        <f>affo!I25</f>
        <v>0</v>
      </c>
      <c r="AT37" s="4092"/>
      <c r="AU37" s="1782"/>
      <c r="AV37" s="2000">
        <f t="shared" si="5"/>
        <v>0</v>
      </c>
      <c r="AW37" s="4092"/>
      <c r="AX37" s="1782"/>
      <c r="AY37" s="1782"/>
      <c r="AZ37" s="2000">
        <f>affo!J25</f>
        <v>0</v>
      </c>
      <c r="BA37" s="4093"/>
      <c r="BB37" s="1782"/>
      <c r="BC37" s="1800" t="str">
        <f>affo!H9</f>
        <v>Please select</v>
      </c>
      <c r="BD37" s="1782"/>
      <c r="BE37" s="1817">
        <f>affo!K9</f>
        <v>0</v>
      </c>
      <c r="BF37" s="4092"/>
      <c r="BG37" s="1800"/>
      <c r="BH37" s="1817">
        <f>affo!N9</f>
        <v>0</v>
      </c>
      <c r="BI37" s="4092"/>
      <c r="BJ37" s="1800"/>
      <c r="BK37" s="1817">
        <f>affo!Q9</f>
        <v>0</v>
      </c>
      <c r="BL37" s="4092"/>
      <c r="BM37" s="1817">
        <f>affo!T9</f>
        <v>0</v>
      </c>
      <c r="BN37" s="4092"/>
      <c r="BO37" s="1800"/>
      <c r="BP37" s="1817">
        <f>affo!AD9*12/44</f>
        <v>0</v>
      </c>
      <c r="BQ37" s="4092"/>
      <c r="BR37" s="1800"/>
      <c r="BS37" s="1817">
        <f>affo!V9</f>
        <v>0</v>
      </c>
      <c r="BT37" s="4092"/>
      <c r="BU37" s="1782"/>
      <c r="BV37" s="1817">
        <f>affo!X9</f>
        <v>0</v>
      </c>
      <c r="BW37" s="4092"/>
      <c r="BX37" s="1800"/>
      <c r="BY37" s="2000">
        <f t="shared" si="6"/>
        <v>0</v>
      </c>
      <c r="BZ37" s="4092"/>
      <c r="CA37" s="1782"/>
      <c r="CB37" s="2000">
        <f>affo!AB9</f>
        <v>0</v>
      </c>
      <c r="CC37" s="4093"/>
      <c r="CD37" s="1782"/>
      <c r="CF37" s="4363">
        <v>1</v>
      </c>
      <c r="CG37" s="4364"/>
      <c r="CH37" s="2011"/>
    </row>
    <row r="38" spans="2:86" ht="15" customHeight="1" x14ac:dyDescent="0.2">
      <c r="B38" s="1781"/>
      <c r="C38" s="2129" t="s">
        <v>57</v>
      </c>
      <c r="D38" s="1781"/>
      <c r="E38" s="1781"/>
      <c r="F38" s="1781"/>
      <c r="G38" s="2129" t="s">
        <v>85</v>
      </c>
      <c r="H38" s="1781"/>
      <c r="I38" s="2129" t="s">
        <v>57</v>
      </c>
      <c r="J38" s="1781"/>
      <c r="K38" s="2129" t="s">
        <v>57</v>
      </c>
      <c r="L38" s="1781"/>
      <c r="M38" s="4416" t="str">
        <f t="shared" si="7"/>
        <v/>
      </c>
      <c r="N38" s="2128">
        <v>0</v>
      </c>
      <c r="O38" s="2104" t="s">
        <v>86</v>
      </c>
      <c r="P38" s="2128">
        <v>0</v>
      </c>
      <c r="Q38" s="2104" t="s">
        <v>86</v>
      </c>
      <c r="R38" s="1781"/>
      <c r="S38" s="1781"/>
      <c r="T38" s="1781"/>
      <c r="U38" s="1781"/>
      <c r="V38" s="1815">
        <f>affo!$S39</f>
        <v>0</v>
      </c>
      <c r="W38" s="1841">
        <f>affo!$T39</f>
        <v>0</v>
      </c>
      <c r="X38" s="2017"/>
      <c r="Y38" s="1816">
        <f>affo!$U39</f>
        <v>0</v>
      </c>
      <c r="AR38" s="1782" t="str">
        <f t="shared" si="8"/>
        <v>Please select</v>
      </c>
      <c r="AS38" s="2000">
        <f>affo!I26</f>
        <v>0</v>
      </c>
      <c r="AT38" s="4092"/>
      <c r="AU38" s="1782"/>
      <c r="AV38" s="2000">
        <f t="shared" si="5"/>
        <v>0</v>
      </c>
      <c r="AW38" s="4092"/>
      <c r="AX38" s="1782"/>
      <c r="AY38" s="1782"/>
      <c r="AZ38" s="2000">
        <f>affo!J26</f>
        <v>0</v>
      </c>
      <c r="BA38" s="4093"/>
      <c r="BB38" s="1782"/>
      <c r="BC38" s="1800" t="str">
        <f>affo!H10</f>
        <v>Please select</v>
      </c>
      <c r="BD38" s="1782"/>
      <c r="BE38" s="1817">
        <f>affo!K10</f>
        <v>0</v>
      </c>
      <c r="BF38" s="4092"/>
      <c r="BG38" s="1800"/>
      <c r="BH38" s="1817">
        <f>affo!N10</f>
        <v>0</v>
      </c>
      <c r="BI38" s="4092"/>
      <c r="BJ38" s="1800"/>
      <c r="BK38" s="1817">
        <f>affo!Q10</f>
        <v>0</v>
      </c>
      <c r="BL38" s="4092"/>
      <c r="BM38" s="1817">
        <f>affo!T10</f>
        <v>0</v>
      </c>
      <c r="BN38" s="4092"/>
      <c r="BO38" s="1800"/>
      <c r="BP38" s="1817">
        <f>affo!AD10*12/44</f>
        <v>0</v>
      </c>
      <c r="BQ38" s="4092"/>
      <c r="BR38" s="1800"/>
      <c r="BS38" s="1817">
        <f>affo!V10</f>
        <v>0</v>
      </c>
      <c r="BT38" s="4092"/>
      <c r="BU38" s="1782"/>
      <c r="BV38" s="1817">
        <f>affo!X10</f>
        <v>0</v>
      </c>
      <c r="BW38" s="4092"/>
      <c r="BX38" s="1800"/>
      <c r="BY38" s="2000">
        <f t="shared" si="6"/>
        <v>0</v>
      </c>
      <c r="BZ38" s="4092"/>
      <c r="CA38" s="1782"/>
      <c r="CB38" s="2000">
        <f>affo!AB10</f>
        <v>0</v>
      </c>
      <c r="CC38" s="4093"/>
      <c r="CD38" s="1782"/>
      <c r="CF38" s="4363">
        <v>1</v>
      </c>
      <c r="CG38" s="4364"/>
      <c r="CH38" s="2011"/>
    </row>
    <row r="39" spans="2:86" ht="15" customHeight="1" x14ac:dyDescent="0.2">
      <c r="B39" s="1781"/>
      <c r="C39" s="2129" t="s">
        <v>57</v>
      </c>
      <c r="D39" s="1781"/>
      <c r="E39" s="1781"/>
      <c r="F39" s="1781"/>
      <c r="G39" s="2129" t="s">
        <v>85</v>
      </c>
      <c r="H39" s="1781"/>
      <c r="I39" s="2129" t="s">
        <v>57</v>
      </c>
      <c r="J39" s="1781"/>
      <c r="K39" s="2129" t="s">
        <v>57</v>
      </c>
      <c r="L39" s="1781"/>
      <c r="M39" s="4416" t="str">
        <f t="shared" si="7"/>
        <v/>
      </c>
      <c r="N39" s="2128">
        <v>0</v>
      </c>
      <c r="O39" s="2104" t="s">
        <v>86</v>
      </c>
      <c r="P39" s="2128">
        <v>0</v>
      </c>
      <c r="Q39" s="2104" t="s">
        <v>86</v>
      </c>
      <c r="R39" s="1781"/>
      <c r="S39" s="1781"/>
      <c r="T39" s="1781"/>
      <c r="U39" s="1781"/>
      <c r="V39" s="1815">
        <f>affo!$S40</f>
        <v>0</v>
      </c>
      <c r="W39" s="1841">
        <f>affo!$T40</f>
        <v>0</v>
      </c>
      <c r="X39" s="2017"/>
      <c r="Y39" s="1816">
        <f>affo!$U40</f>
        <v>0</v>
      </c>
      <c r="AR39" s="1782" t="str">
        <f t="shared" si="8"/>
        <v>Please select</v>
      </c>
      <c r="AS39" s="2000">
        <f>affo!I27</f>
        <v>0</v>
      </c>
      <c r="AT39" s="4092"/>
      <c r="AU39" s="1782"/>
      <c r="AV39" s="2000">
        <f t="shared" si="5"/>
        <v>0</v>
      </c>
      <c r="AW39" s="4092"/>
      <c r="AX39" s="1782"/>
      <c r="AY39" s="1782"/>
      <c r="AZ39" s="2000">
        <f>affo!J27</f>
        <v>0</v>
      </c>
      <c r="BA39" s="4093"/>
      <c r="BB39" s="1782"/>
      <c r="BC39" s="1800" t="str">
        <f>affo!H11</f>
        <v>Please select</v>
      </c>
      <c r="BD39" s="1782"/>
      <c r="BE39" s="1817">
        <f>affo!K11</f>
        <v>0</v>
      </c>
      <c r="BF39" s="4092"/>
      <c r="BG39" s="1800"/>
      <c r="BH39" s="1817">
        <f>affo!N11</f>
        <v>0</v>
      </c>
      <c r="BI39" s="4092"/>
      <c r="BJ39" s="1800"/>
      <c r="BK39" s="1817">
        <f>affo!Q11</f>
        <v>0</v>
      </c>
      <c r="BL39" s="4092"/>
      <c r="BM39" s="1817">
        <f>affo!T11</f>
        <v>0</v>
      </c>
      <c r="BN39" s="4092"/>
      <c r="BO39" s="1800"/>
      <c r="BP39" s="1817">
        <f>affo!AD11*12/44</f>
        <v>0</v>
      </c>
      <c r="BQ39" s="4092"/>
      <c r="BR39" s="1800"/>
      <c r="BS39" s="1817">
        <f>affo!V11</f>
        <v>0</v>
      </c>
      <c r="BT39" s="4092"/>
      <c r="BU39" s="1782"/>
      <c r="BV39" s="1817">
        <f>affo!X11</f>
        <v>0</v>
      </c>
      <c r="BW39" s="4092"/>
      <c r="BX39" s="1800"/>
      <c r="BY39" s="2000">
        <f t="shared" si="6"/>
        <v>0</v>
      </c>
      <c r="BZ39" s="4092"/>
      <c r="CA39" s="1782"/>
      <c r="CB39" s="2000">
        <f>affo!AB11</f>
        <v>0</v>
      </c>
      <c r="CC39" s="4093"/>
      <c r="CD39" s="1782"/>
      <c r="CF39" s="4363">
        <v>1</v>
      </c>
      <c r="CG39" s="4364"/>
      <c r="CH39" s="2011"/>
    </row>
    <row r="40" spans="2:86" ht="15" customHeight="1" x14ac:dyDescent="0.2">
      <c r="B40" s="1781"/>
      <c r="C40" s="2129" t="s">
        <v>57</v>
      </c>
      <c r="D40" s="1781"/>
      <c r="E40" s="1781"/>
      <c r="F40" s="1781"/>
      <c r="G40" s="2129" t="s">
        <v>85</v>
      </c>
      <c r="H40" s="1781"/>
      <c r="I40" s="2129" t="s">
        <v>57</v>
      </c>
      <c r="J40" s="1781"/>
      <c r="K40" s="2129" t="s">
        <v>57</v>
      </c>
      <c r="L40" s="1781"/>
      <c r="M40" s="4416" t="str">
        <f t="shared" si="7"/>
        <v/>
      </c>
      <c r="N40" s="2128">
        <v>0</v>
      </c>
      <c r="O40" s="2104" t="s">
        <v>86</v>
      </c>
      <c r="P40" s="2128">
        <v>0</v>
      </c>
      <c r="Q40" s="2104" t="s">
        <v>86</v>
      </c>
      <c r="R40" s="1781"/>
      <c r="S40" s="1781"/>
      <c r="T40" s="1781"/>
      <c r="U40" s="1781"/>
      <c r="V40" s="1815">
        <f>affo!$S41</f>
        <v>0</v>
      </c>
      <c r="W40" s="1841">
        <f>affo!$T41</f>
        <v>0</v>
      </c>
      <c r="X40" s="2017"/>
      <c r="Y40" s="1816">
        <f>affo!$U41</f>
        <v>0</v>
      </c>
      <c r="AR40" s="1782" t="str">
        <f t="shared" si="8"/>
        <v>Please select</v>
      </c>
      <c r="AS40" s="2000">
        <f>affo!I28</f>
        <v>0</v>
      </c>
      <c r="AT40" s="4092"/>
      <c r="AU40" s="1782"/>
      <c r="AV40" s="2000">
        <f t="shared" si="5"/>
        <v>0</v>
      </c>
      <c r="AW40" s="4092"/>
      <c r="AX40" s="1782"/>
      <c r="AY40" s="1782"/>
      <c r="AZ40" s="2000">
        <f>affo!J28</f>
        <v>0</v>
      </c>
      <c r="BA40" s="4093"/>
      <c r="BB40" s="1782"/>
      <c r="BC40" s="1800" t="str">
        <f>affo!H12</f>
        <v>Please select</v>
      </c>
      <c r="BD40" s="1782"/>
      <c r="BE40" s="1817">
        <f>affo!K12</f>
        <v>0</v>
      </c>
      <c r="BF40" s="4092"/>
      <c r="BG40" s="1800"/>
      <c r="BH40" s="1817">
        <f>affo!N12</f>
        <v>0</v>
      </c>
      <c r="BI40" s="4092"/>
      <c r="BJ40" s="1800"/>
      <c r="BK40" s="1817">
        <f>affo!Q12</f>
        <v>0</v>
      </c>
      <c r="BL40" s="4092"/>
      <c r="BM40" s="1817">
        <f>affo!T12</f>
        <v>0</v>
      </c>
      <c r="BN40" s="4092"/>
      <c r="BO40" s="1800"/>
      <c r="BP40" s="1817">
        <f>affo!AD12*12/44</f>
        <v>0</v>
      </c>
      <c r="BQ40" s="4092"/>
      <c r="BR40" s="1800"/>
      <c r="BS40" s="1817">
        <f>affo!V12</f>
        <v>0</v>
      </c>
      <c r="BT40" s="4092"/>
      <c r="BU40" s="1782"/>
      <c r="BV40" s="1817">
        <f>affo!X12</f>
        <v>0</v>
      </c>
      <c r="BW40" s="4092"/>
      <c r="BX40" s="1800"/>
      <c r="BY40" s="2000">
        <f t="shared" si="6"/>
        <v>0</v>
      </c>
      <c r="BZ40" s="4092"/>
      <c r="CA40" s="1782"/>
      <c r="CB40" s="2000">
        <f>affo!AB12</f>
        <v>0</v>
      </c>
      <c r="CC40" s="4093"/>
      <c r="CD40" s="1782"/>
      <c r="CF40" s="4363">
        <v>1</v>
      </c>
      <c r="CG40" s="4364"/>
      <c r="CH40" s="2011"/>
    </row>
    <row r="41" spans="2:86" ht="15" customHeight="1" x14ac:dyDescent="0.2">
      <c r="B41" s="1781"/>
      <c r="C41" s="2129" t="s">
        <v>57</v>
      </c>
      <c r="D41" s="1781"/>
      <c r="E41" s="1781"/>
      <c r="F41" s="1781"/>
      <c r="G41" s="2129" t="s">
        <v>85</v>
      </c>
      <c r="H41" s="1781"/>
      <c r="I41" s="2129" t="s">
        <v>57</v>
      </c>
      <c r="J41" s="1781"/>
      <c r="K41" s="2129" t="s">
        <v>57</v>
      </c>
      <c r="L41" s="1781"/>
      <c r="M41" s="4416" t="str">
        <f t="shared" si="7"/>
        <v/>
      </c>
      <c r="N41" s="2128">
        <v>0</v>
      </c>
      <c r="O41" s="2104" t="s">
        <v>86</v>
      </c>
      <c r="P41" s="2128">
        <v>0</v>
      </c>
      <c r="Q41" s="2104" t="s">
        <v>86</v>
      </c>
      <c r="R41" s="1781"/>
      <c r="S41" s="1781"/>
      <c r="T41" s="1781"/>
      <c r="U41" s="1781"/>
      <c r="V41" s="1815">
        <f>affo!$S42</f>
        <v>0</v>
      </c>
      <c r="W41" s="1841">
        <f>affo!$T42</f>
        <v>0</v>
      </c>
      <c r="X41" s="2017"/>
      <c r="Y41" s="1816">
        <f>affo!$U42</f>
        <v>0</v>
      </c>
      <c r="AR41" s="1782" t="str">
        <f t="shared" si="8"/>
        <v>Please select</v>
      </c>
      <c r="AS41" s="2000">
        <f>affo!I29</f>
        <v>0</v>
      </c>
      <c r="AT41" s="4092"/>
      <c r="AU41" s="1782"/>
      <c r="AV41" s="2000">
        <f t="shared" si="5"/>
        <v>0</v>
      </c>
      <c r="AW41" s="4092"/>
      <c r="AX41" s="1782"/>
      <c r="AY41" s="1782"/>
      <c r="AZ41" s="2000">
        <f>affo!J29</f>
        <v>0</v>
      </c>
      <c r="BA41" s="4093"/>
      <c r="BB41" s="1782"/>
      <c r="BC41" s="1800" t="str">
        <f>affo!H13</f>
        <v>Please select</v>
      </c>
      <c r="BD41" s="1782"/>
      <c r="BE41" s="1817">
        <f>affo!K13</f>
        <v>0</v>
      </c>
      <c r="BF41" s="4092"/>
      <c r="BG41" s="1800"/>
      <c r="BH41" s="1817">
        <f>affo!N13</f>
        <v>0</v>
      </c>
      <c r="BI41" s="4092"/>
      <c r="BJ41" s="1800"/>
      <c r="BK41" s="1817">
        <f>affo!Q13</f>
        <v>0</v>
      </c>
      <c r="BL41" s="4092"/>
      <c r="BM41" s="1817">
        <f>affo!T13</f>
        <v>0</v>
      </c>
      <c r="BN41" s="4092"/>
      <c r="BO41" s="1800"/>
      <c r="BP41" s="1817">
        <f>affo!AD13*12/44</f>
        <v>0</v>
      </c>
      <c r="BQ41" s="4092"/>
      <c r="BR41" s="1800"/>
      <c r="BS41" s="1817">
        <f>affo!V13</f>
        <v>0</v>
      </c>
      <c r="BT41" s="4092"/>
      <c r="BU41" s="1782"/>
      <c r="BV41" s="1817">
        <f>affo!X13</f>
        <v>0</v>
      </c>
      <c r="BW41" s="4092"/>
      <c r="BX41" s="1800"/>
      <c r="BY41" s="2000">
        <f t="shared" si="6"/>
        <v>0</v>
      </c>
      <c r="BZ41" s="4092"/>
      <c r="CA41" s="1782"/>
      <c r="CB41" s="2000">
        <f>affo!AB13</f>
        <v>0</v>
      </c>
      <c r="CC41" s="4093"/>
      <c r="CD41" s="1782"/>
      <c r="CF41" s="4363">
        <v>1</v>
      </c>
      <c r="CG41" s="4364"/>
      <c r="CH41" s="2011"/>
    </row>
    <row r="42" spans="2:86" ht="15" customHeight="1" x14ac:dyDescent="0.2">
      <c r="B42" s="1781"/>
      <c r="C42" s="2129" t="s">
        <v>57</v>
      </c>
      <c r="D42" s="1781"/>
      <c r="E42" s="1781"/>
      <c r="F42" s="1781"/>
      <c r="G42" s="2129" t="s">
        <v>85</v>
      </c>
      <c r="H42" s="1781"/>
      <c r="I42" s="2129" t="s">
        <v>57</v>
      </c>
      <c r="J42" s="1781"/>
      <c r="K42" s="2129" t="s">
        <v>57</v>
      </c>
      <c r="L42" s="1781"/>
      <c r="M42" s="4416" t="str">
        <f t="shared" si="7"/>
        <v/>
      </c>
      <c r="N42" s="2128">
        <v>0</v>
      </c>
      <c r="O42" s="2104" t="s">
        <v>86</v>
      </c>
      <c r="P42" s="2128">
        <v>0</v>
      </c>
      <c r="Q42" s="2104" t="s">
        <v>86</v>
      </c>
      <c r="R42" s="1781"/>
      <c r="S42" s="1781"/>
      <c r="T42" s="1781"/>
      <c r="U42" s="1781"/>
      <c r="V42" s="1815">
        <f>affo!$S43</f>
        <v>0</v>
      </c>
      <c r="W42" s="1841">
        <f>affo!$T43</f>
        <v>0</v>
      </c>
      <c r="X42" s="2017"/>
      <c r="Y42" s="1816">
        <f>affo!$U43</f>
        <v>0</v>
      </c>
      <c r="AR42" s="1782" t="str">
        <f t="shared" si="8"/>
        <v>Please select</v>
      </c>
      <c r="AS42" s="2000">
        <f>affo!I30</f>
        <v>0</v>
      </c>
      <c r="AT42" s="4092"/>
      <c r="AU42" s="1782"/>
      <c r="AV42" s="2000">
        <f t="shared" si="5"/>
        <v>0</v>
      </c>
      <c r="AW42" s="4092"/>
      <c r="AX42" s="1782"/>
      <c r="AY42" s="1782"/>
      <c r="AZ42" s="2000">
        <f>affo!J30</f>
        <v>0</v>
      </c>
      <c r="BA42" s="4093"/>
      <c r="BB42" s="1782"/>
      <c r="BC42" s="1800" t="str">
        <f>affo!H14</f>
        <v>Please select</v>
      </c>
      <c r="BD42" s="1782"/>
      <c r="BE42" s="1817">
        <f>affo!K14</f>
        <v>0</v>
      </c>
      <c r="BF42" s="4092"/>
      <c r="BG42" s="1800"/>
      <c r="BH42" s="1817">
        <f>affo!N14</f>
        <v>0</v>
      </c>
      <c r="BI42" s="4092"/>
      <c r="BJ42" s="1800"/>
      <c r="BK42" s="1817">
        <f>affo!Q14</f>
        <v>0</v>
      </c>
      <c r="BL42" s="4092"/>
      <c r="BM42" s="1817">
        <f>affo!T14</f>
        <v>0</v>
      </c>
      <c r="BN42" s="4092"/>
      <c r="BO42" s="1800"/>
      <c r="BP42" s="1817">
        <f>affo!AD14*12/44</f>
        <v>0</v>
      </c>
      <c r="BQ42" s="4092"/>
      <c r="BR42" s="1800"/>
      <c r="BS42" s="1817">
        <f>affo!V14</f>
        <v>0</v>
      </c>
      <c r="BT42" s="4092"/>
      <c r="BU42" s="1782"/>
      <c r="BV42" s="1817">
        <f>affo!X14</f>
        <v>0</v>
      </c>
      <c r="BW42" s="4092"/>
      <c r="BX42" s="1800"/>
      <c r="BY42" s="2000">
        <f t="shared" si="6"/>
        <v>0</v>
      </c>
      <c r="BZ42" s="4092"/>
      <c r="CA42" s="1782"/>
      <c r="CB42" s="2000">
        <f>affo!AB14</f>
        <v>0</v>
      </c>
      <c r="CC42" s="4093"/>
      <c r="CD42" s="1782"/>
      <c r="CF42" s="4363">
        <v>1</v>
      </c>
      <c r="CG42" s="4364"/>
      <c r="CH42" s="2011"/>
    </row>
    <row r="43" spans="2:86" ht="15" customHeight="1" x14ac:dyDescent="0.2">
      <c r="B43" s="1781"/>
      <c r="C43" s="2129" t="s">
        <v>57</v>
      </c>
      <c r="D43" s="1781"/>
      <c r="E43" s="1781"/>
      <c r="F43" s="1781"/>
      <c r="G43" s="2129" t="s">
        <v>85</v>
      </c>
      <c r="H43" s="1781"/>
      <c r="I43" s="2129" t="s">
        <v>57</v>
      </c>
      <c r="J43" s="1781"/>
      <c r="K43" s="2129" t="s">
        <v>57</v>
      </c>
      <c r="L43" s="1781"/>
      <c r="M43" s="4416" t="str">
        <f t="shared" si="7"/>
        <v/>
      </c>
      <c r="N43" s="2128">
        <v>0</v>
      </c>
      <c r="O43" s="2104" t="s">
        <v>86</v>
      </c>
      <c r="P43" s="2128">
        <v>0</v>
      </c>
      <c r="Q43" s="2104" t="s">
        <v>86</v>
      </c>
      <c r="R43" s="1781"/>
      <c r="S43" s="1781"/>
      <c r="T43" s="1781"/>
      <c r="U43" s="1781"/>
      <c r="V43" s="1815">
        <f>affo!$S44</f>
        <v>0</v>
      </c>
      <c r="W43" s="1841">
        <f>affo!$T44</f>
        <v>0</v>
      </c>
      <c r="X43" s="2017"/>
      <c r="Y43" s="1816">
        <f>affo!$U44</f>
        <v>0</v>
      </c>
      <c r="AR43" s="1782" t="str">
        <f t="shared" si="8"/>
        <v>Please select</v>
      </c>
      <c r="AS43" s="2000">
        <f>affo!I31</f>
        <v>0</v>
      </c>
      <c r="AT43" s="4092"/>
      <c r="AU43" s="1782"/>
      <c r="AV43" s="2000">
        <f t="shared" si="5"/>
        <v>0</v>
      </c>
      <c r="AW43" s="4092"/>
      <c r="AX43" s="1782"/>
      <c r="AY43" s="1782"/>
      <c r="AZ43" s="2000">
        <f>affo!J31</f>
        <v>0</v>
      </c>
      <c r="BA43" s="4093"/>
      <c r="BB43" s="1782"/>
      <c r="BC43" s="1800" t="str">
        <f>affo!H15</f>
        <v>Please select</v>
      </c>
      <c r="BD43" s="1782"/>
      <c r="BE43" s="1817">
        <f>affo!K15</f>
        <v>0</v>
      </c>
      <c r="BF43" s="4092"/>
      <c r="BG43" s="1800"/>
      <c r="BH43" s="1817">
        <f>affo!N15</f>
        <v>0</v>
      </c>
      <c r="BI43" s="4092"/>
      <c r="BJ43" s="1800"/>
      <c r="BK43" s="1817">
        <f>affo!Q15</f>
        <v>0</v>
      </c>
      <c r="BL43" s="4092"/>
      <c r="BM43" s="1817">
        <f>affo!T15</f>
        <v>0</v>
      </c>
      <c r="BN43" s="4092"/>
      <c r="BO43" s="1800"/>
      <c r="BP43" s="1817">
        <f>affo!AD15*12/44</f>
        <v>0</v>
      </c>
      <c r="BQ43" s="4092"/>
      <c r="BR43" s="1800"/>
      <c r="BS43" s="1817">
        <f>affo!V15</f>
        <v>0</v>
      </c>
      <c r="BT43" s="4092"/>
      <c r="BU43" s="1782"/>
      <c r="BV43" s="1817">
        <f>affo!X15</f>
        <v>0</v>
      </c>
      <c r="BW43" s="4092"/>
      <c r="BX43" s="1800"/>
      <c r="BY43" s="2000">
        <f t="shared" si="6"/>
        <v>0</v>
      </c>
      <c r="BZ43" s="4092"/>
      <c r="CA43" s="1782"/>
      <c r="CB43" s="2000">
        <f>affo!AB15</f>
        <v>0</v>
      </c>
      <c r="CC43" s="4093"/>
      <c r="CD43" s="1782"/>
      <c r="CF43" s="4363">
        <v>1</v>
      </c>
      <c r="CG43" s="4364"/>
      <c r="CH43" s="2011"/>
    </row>
    <row r="44" spans="2:86" x14ac:dyDescent="0.2">
      <c r="B44" s="1781"/>
      <c r="C44" s="1781"/>
      <c r="D44" s="1781"/>
      <c r="E44" s="1781"/>
      <c r="F44" s="1781"/>
      <c r="G44" s="1781"/>
      <c r="H44" s="1781"/>
      <c r="I44" s="1781"/>
      <c r="J44" s="1781"/>
      <c r="K44" s="1781"/>
      <c r="L44" s="1781"/>
      <c r="M44" s="1781"/>
      <c r="N44" s="1781"/>
      <c r="O44" s="1781"/>
      <c r="P44" s="1781"/>
      <c r="Q44" s="1781"/>
      <c r="R44" s="1781"/>
      <c r="S44" s="1781"/>
      <c r="T44" s="1781"/>
      <c r="U44" s="1781"/>
      <c r="V44" s="1781"/>
      <c r="W44" s="1781"/>
      <c r="X44" s="1781"/>
      <c r="Y44" s="1781"/>
      <c r="AR44" s="1782"/>
      <c r="AS44" s="1782"/>
      <c r="AT44" s="1782"/>
      <c r="AU44" s="1782"/>
      <c r="AV44" s="1782"/>
      <c r="AW44" s="1782"/>
      <c r="AX44" s="1782"/>
      <c r="AY44" s="1782"/>
      <c r="AZ44" s="1782"/>
      <c r="BA44" s="1782"/>
      <c r="BB44" s="1782"/>
      <c r="BC44" s="1782"/>
      <c r="BD44" s="1782"/>
      <c r="BE44" s="1782"/>
      <c r="BF44" s="1782"/>
      <c r="BG44" s="1782"/>
      <c r="BH44" s="1782"/>
      <c r="BI44" s="1782"/>
      <c r="BJ44" s="1782"/>
      <c r="BK44" s="1782"/>
      <c r="BL44" s="1782"/>
      <c r="BM44" s="1782"/>
      <c r="BN44" s="1782"/>
      <c r="BO44" s="1782"/>
      <c r="BP44" s="1782"/>
      <c r="BQ44" s="1782"/>
      <c r="BR44" s="1782"/>
      <c r="BS44" s="1782"/>
      <c r="BT44" s="1782"/>
      <c r="BU44" s="1782"/>
      <c r="BV44" s="1782"/>
      <c r="BW44" s="1782"/>
      <c r="BX44" s="1782"/>
      <c r="BY44" s="2000"/>
      <c r="BZ44" s="1782"/>
      <c r="CA44" s="1782"/>
      <c r="CB44" s="1782"/>
      <c r="CC44" s="1782"/>
      <c r="CD44" s="1782"/>
      <c r="CF44" s="2000"/>
      <c r="CG44" s="2004"/>
      <c r="CH44" s="2011"/>
    </row>
    <row r="45" spans="2:86" x14ac:dyDescent="0.2">
      <c r="B45" s="1781"/>
      <c r="C45" s="1781"/>
      <c r="D45" s="1781"/>
      <c r="E45" s="1781"/>
      <c r="F45" s="1781"/>
      <c r="G45" s="1781"/>
      <c r="H45" s="1781"/>
      <c r="I45" s="1781"/>
      <c r="J45" s="1781"/>
      <c r="K45" s="1781"/>
      <c r="L45" s="1781"/>
      <c r="M45" s="1781"/>
      <c r="N45" s="1781"/>
      <c r="O45" s="1781"/>
      <c r="P45" s="1781"/>
      <c r="Q45" s="1781"/>
      <c r="R45" s="1781"/>
      <c r="S45" s="1781"/>
      <c r="T45" s="1781"/>
      <c r="U45" s="1781"/>
      <c r="V45" s="1826"/>
      <c r="W45" s="1781"/>
      <c r="X45" s="1781"/>
      <c r="Y45" s="1781"/>
      <c r="AR45" s="1800"/>
      <c r="AS45" s="1800"/>
      <c r="AT45" s="1800"/>
      <c r="AU45" s="1800"/>
      <c r="AV45" s="1817"/>
      <c r="AW45" s="1795"/>
      <c r="AX45" s="1800"/>
      <c r="AY45" s="1817"/>
      <c r="AZ45" s="1795"/>
      <c r="BA45" s="1800"/>
      <c r="BB45" s="1800"/>
      <c r="BC45" s="1800"/>
      <c r="BD45" s="1817"/>
      <c r="BE45" s="1795"/>
      <c r="BF45" s="1800"/>
      <c r="BG45" s="1817"/>
      <c r="BH45" s="1795"/>
      <c r="BI45" s="1800"/>
      <c r="BJ45" s="1800"/>
      <c r="BK45" s="1817"/>
      <c r="BL45" s="1795"/>
      <c r="BM45" s="1800"/>
      <c r="BN45" s="1817"/>
      <c r="BO45" s="1795"/>
      <c r="BP45" s="2000"/>
      <c r="BQ45" s="2000"/>
      <c r="BR45" s="2000"/>
      <c r="BS45" s="2000"/>
      <c r="BT45" s="2000"/>
      <c r="BU45" s="2000"/>
      <c r="BV45" s="2000"/>
      <c r="BW45" s="2000"/>
      <c r="BX45" s="2000"/>
      <c r="BY45" s="2000"/>
      <c r="BZ45" s="2000"/>
      <c r="CA45" s="2000"/>
      <c r="CB45" s="1782"/>
      <c r="CC45" s="1782"/>
      <c r="CD45" s="1782"/>
      <c r="CF45" s="1782"/>
      <c r="CG45" s="1782"/>
      <c r="CH45" s="2011"/>
    </row>
    <row r="46" spans="2:86" x14ac:dyDescent="0.2">
      <c r="B46" s="1826"/>
      <c r="C46" s="1781"/>
      <c r="D46" s="1781"/>
      <c r="E46" s="1781"/>
      <c r="F46" s="1781"/>
      <c r="G46" s="1781"/>
      <c r="H46" s="1781"/>
      <c r="I46" s="1781"/>
      <c r="J46" s="1781"/>
      <c r="K46" s="1781"/>
      <c r="L46" s="1781"/>
      <c r="M46" s="1781"/>
      <c r="N46" s="1781"/>
      <c r="O46" s="1781"/>
      <c r="P46" s="1781"/>
      <c r="Q46" s="1781"/>
      <c r="R46" s="1781"/>
      <c r="S46" s="1781"/>
      <c r="T46" s="1781"/>
      <c r="U46" s="1781"/>
      <c r="V46" s="1781"/>
      <c r="W46" s="1781"/>
      <c r="X46" s="1781"/>
      <c r="Y46" s="1781"/>
      <c r="AR46" s="1800"/>
      <c r="AS46" s="1800"/>
      <c r="AT46" s="1800"/>
      <c r="AU46" s="1800"/>
      <c r="AV46" s="1817"/>
      <c r="AW46" s="1800"/>
      <c r="AX46" s="1800"/>
      <c r="AY46" s="2000"/>
      <c r="AZ46" s="1800"/>
      <c r="BA46" s="1800"/>
      <c r="BB46" s="1800"/>
      <c r="BC46" s="1800"/>
      <c r="BD46" s="2000"/>
      <c r="BE46" s="1800"/>
      <c r="BF46" s="1800"/>
      <c r="BG46" s="2000"/>
      <c r="BH46" s="1800"/>
      <c r="BI46" s="1800"/>
      <c r="BJ46" s="1800"/>
      <c r="BK46" s="1795"/>
      <c r="BL46" s="1800"/>
      <c r="BM46" s="1800"/>
      <c r="BN46" s="1795"/>
      <c r="BO46" s="1800"/>
      <c r="BP46" s="2000"/>
      <c r="BQ46" s="2000"/>
      <c r="BR46" s="2000"/>
      <c r="BS46" s="2000"/>
      <c r="BT46" s="2000"/>
      <c r="BU46" s="2000"/>
      <c r="BV46" s="2000"/>
      <c r="BW46" s="2000"/>
      <c r="BX46" s="2000"/>
      <c r="BY46" s="2000"/>
      <c r="BZ46" s="2000"/>
      <c r="CA46" s="2000"/>
      <c r="CB46" s="1782"/>
      <c r="CC46" s="1782"/>
      <c r="CD46" s="1782"/>
      <c r="CF46" s="2000"/>
      <c r="CG46" s="2004"/>
      <c r="CH46" s="2011"/>
    </row>
    <row r="47" spans="2:86" ht="18" customHeight="1" x14ac:dyDescent="0.2">
      <c r="B47" s="1781"/>
      <c r="C47" s="1781"/>
      <c r="D47" s="1781"/>
      <c r="E47" s="1781"/>
      <c r="F47" s="1781"/>
      <c r="G47" s="1781"/>
      <c r="H47" s="1781"/>
      <c r="I47" s="4421" t="str">
        <f>IF(AND(OR(COUNTIF(M35:M44,"*allcrops*"),COUNTIF(M35:M44,"*agroforest*"), COUNTIF(M35:M44,"*rice*"), COUNTIF(M35:M44,"*crop*")), COUNTIF(M35:M44,"*grass*")),"Please go to the Cropland and Grassland modules to complete the assessment",IF((COUNTIF(M35:M44,"*allcrops*") + COUNTIF(M35:M44,"*crop*") + COUNTIF(M35:M44,"*agroforest*") + COUNTIF(M35:M44,"*rice*"))&gt;1, "Please go to the Cropland module to complete the assessment",IF(COUNTIF(M35:M44,"*crop*"),"Please go to section 3.1.1 in the Cropland Module to complete the assessment",IF(COUNTIF(M35:M44,"*Agroforest*"),"Please go to section 3.2.1 in the Cropland Module to complete the assessment",IF(COUNTIF(M35:M44,"*rice*"),"Please go to section 3.3.1 in the Cropland Module to complete the assessment",IF(COUNTIF(M35:M44,"*grass*"),"Please go to section 4.1.1 in the Grassland and livestock Module to complete the assessment",""))))))</f>
        <v/>
      </c>
      <c r="J47" s="1781"/>
      <c r="K47" s="1781"/>
      <c r="L47" s="1781"/>
      <c r="M47" s="1781"/>
      <c r="N47" s="1781"/>
      <c r="O47" s="2008"/>
      <c r="P47" s="2009"/>
      <c r="Q47" s="2009"/>
      <c r="R47" s="2009"/>
      <c r="S47" s="2009"/>
      <c r="T47" s="2018" t="str">
        <f>Languages!B78</f>
        <v>Total af/re forestation (tCO2-e)</v>
      </c>
      <c r="U47" s="2010"/>
      <c r="V47" s="1858">
        <f>affo!S46</f>
        <v>0</v>
      </c>
      <c r="W47" s="1858">
        <f>affo!T46</f>
        <v>0</v>
      </c>
      <c r="X47" s="2009"/>
      <c r="Y47" s="1860">
        <f>affo!U46</f>
        <v>0</v>
      </c>
      <c r="AR47" s="1782" t="str">
        <f>AR20</f>
        <v>Use this part only if you want to refine the analysis at Tier 2</v>
      </c>
      <c r="AS47" s="1782"/>
      <c r="AT47" s="1782"/>
      <c r="AU47" s="1782"/>
      <c r="AV47" s="1782"/>
      <c r="AW47" s="1782"/>
      <c r="AX47" s="1782"/>
      <c r="AY47" s="1782"/>
      <c r="AZ47" s="1782"/>
      <c r="BA47" s="1782"/>
      <c r="BB47" s="1782"/>
      <c r="BC47" s="1782"/>
      <c r="BD47" s="1782"/>
      <c r="BE47" s="1782"/>
      <c r="BF47" s="1782"/>
      <c r="BG47" s="1782"/>
      <c r="BH47" s="1782"/>
      <c r="BI47" s="1782"/>
      <c r="BJ47" s="1782"/>
      <c r="BK47" s="1782"/>
      <c r="BL47" s="1782"/>
      <c r="BM47" s="1783" t="s">
        <v>3720</v>
      </c>
      <c r="BN47" s="1782"/>
      <c r="BO47" s="1782"/>
      <c r="BP47" s="1782"/>
      <c r="BQ47" s="1782"/>
      <c r="BR47" s="1782"/>
      <c r="BS47" s="1782"/>
      <c r="BT47" s="1782"/>
      <c r="BU47" s="1782"/>
      <c r="BV47" s="1782"/>
      <c r="BW47" s="1782"/>
      <c r="BX47" s="1782"/>
      <c r="BY47" s="1782"/>
      <c r="BZ47" s="1782"/>
      <c r="CA47" s="1782"/>
      <c r="CB47" s="1782"/>
      <c r="CC47" s="1782"/>
      <c r="CD47" s="1782"/>
      <c r="CF47" s="4548" t="s">
        <v>87</v>
      </c>
      <c r="CG47" s="4548"/>
      <c r="CH47" s="4548"/>
    </row>
    <row r="48" spans="2:86" x14ac:dyDescent="0.2">
      <c r="B48" s="1781"/>
      <c r="C48" s="1781"/>
      <c r="D48" s="1781"/>
      <c r="E48" s="1781"/>
      <c r="F48" s="1781"/>
      <c r="G48" s="1781"/>
      <c r="H48" s="1781"/>
      <c r="I48" s="1781"/>
      <c r="J48" s="1781"/>
      <c r="K48" s="1781"/>
      <c r="L48" s="1781"/>
      <c r="M48" s="1781"/>
      <c r="N48" s="1781"/>
      <c r="O48" s="1781"/>
      <c r="P48" s="1781"/>
      <c r="Q48" s="1781"/>
      <c r="R48" s="1781"/>
      <c r="S48" s="1781"/>
      <c r="T48" s="1781"/>
      <c r="U48" s="1781"/>
      <c r="V48" s="1781"/>
      <c r="W48" s="1781"/>
      <c r="X48" s="1781"/>
      <c r="Y48" s="1781"/>
      <c r="AR48" s="1782" t="str">
        <f>AR21</f>
        <v>IPCC default values are provided for your information only; EX-ACT will use Tier 2 values automatically wherever specified.</v>
      </c>
      <c r="AS48" s="1782"/>
      <c r="AT48" s="1782"/>
      <c r="AU48" s="1782"/>
      <c r="AV48" s="1782"/>
      <c r="AW48" s="1782"/>
      <c r="AX48" s="1782"/>
      <c r="AY48" s="1782"/>
      <c r="AZ48" s="1782"/>
      <c r="BA48" s="1782"/>
      <c r="BB48" s="1782"/>
      <c r="BC48" s="1782"/>
      <c r="BD48" s="1782"/>
      <c r="BE48" s="1782"/>
      <c r="BF48" s="1782"/>
      <c r="BG48" s="1782"/>
      <c r="BH48" s="1782"/>
      <c r="BI48" s="1782"/>
      <c r="BJ48" s="1782"/>
      <c r="BK48" s="1782"/>
      <c r="BL48" s="1782"/>
      <c r="BM48" s="1782"/>
      <c r="BN48" s="1782"/>
      <c r="BO48" s="1782"/>
      <c r="BP48" s="1782"/>
      <c r="BQ48" s="1782"/>
      <c r="BR48" s="1782"/>
      <c r="BS48" s="1782"/>
      <c r="BT48" s="1782"/>
      <c r="BU48" s="1782"/>
      <c r="BV48" s="1782"/>
      <c r="BW48" s="1782"/>
      <c r="BX48" s="1782"/>
      <c r="BY48" s="1782"/>
      <c r="BZ48" s="1782"/>
      <c r="CA48" s="1782"/>
      <c r="CB48" s="1782"/>
      <c r="CC48" s="1782"/>
      <c r="CD48" s="1782"/>
      <c r="CF48" s="4548"/>
      <c r="CG48" s="4548"/>
      <c r="CH48" s="4548"/>
    </row>
    <row r="49" spans="2:111" x14ac:dyDescent="0.2">
      <c r="B49" s="1820" t="str">
        <f>B24</f>
        <v>*The selection of "D" corresponds to a default (linear) dynamics of change. Other selection options include "I" for immediate changes and "E" for exponential - please refer to the guidelines for further explanation of these assumptions.</v>
      </c>
      <c r="C49" s="1781"/>
      <c r="D49" s="1781"/>
      <c r="E49" s="1781"/>
      <c r="F49" s="1781"/>
      <c r="G49" s="1781"/>
      <c r="H49" s="1781"/>
      <c r="I49" s="1781"/>
      <c r="J49" s="1781"/>
      <c r="K49" s="1781"/>
      <c r="L49" s="1781"/>
      <c r="M49" s="1781"/>
      <c r="N49" s="1781"/>
      <c r="O49" s="1781"/>
      <c r="P49" s="1781"/>
      <c r="Q49" s="1781"/>
      <c r="R49" s="1781"/>
      <c r="S49" s="1781"/>
      <c r="T49" s="1781"/>
      <c r="U49" s="1781"/>
      <c r="V49" s="1781"/>
      <c r="W49" s="1781"/>
      <c r="X49" s="1781"/>
      <c r="Y49" s="1781"/>
      <c r="AR49" s="1782"/>
      <c r="AS49" s="1782"/>
      <c r="AT49" s="1782"/>
      <c r="AU49" s="1782"/>
      <c r="AV49" s="1782"/>
      <c r="AW49" s="1782"/>
      <c r="AX49" s="1782"/>
      <c r="AY49" s="1782"/>
      <c r="AZ49" s="1782"/>
      <c r="BA49" s="1782"/>
      <c r="BB49" s="1782"/>
      <c r="BC49" s="1782"/>
      <c r="BD49" s="1782"/>
      <c r="BE49" s="1782"/>
      <c r="BF49" s="1782"/>
      <c r="BG49" s="1782"/>
      <c r="BH49" s="1782"/>
      <c r="BI49" s="1782"/>
      <c r="BJ49" s="1782"/>
      <c r="BK49" s="1782"/>
      <c r="BL49" s="1782"/>
      <c r="BM49" s="1782"/>
      <c r="BN49" s="1782"/>
      <c r="BO49" s="1782"/>
      <c r="BP49" s="1782"/>
      <c r="BQ49" s="1782"/>
      <c r="BR49" s="1782"/>
      <c r="BS49" s="1782"/>
      <c r="BT49" s="1782"/>
      <c r="BU49" s="1782"/>
      <c r="BV49" s="1782"/>
      <c r="BW49" s="1782"/>
      <c r="BX49" s="1782"/>
      <c r="BY49" s="1782"/>
      <c r="BZ49" s="1782"/>
      <c r="CA49" s="1782"/>
      <c r="CB49" s="1782"/>
      <c r="CC49" s="1782"/>
      <c r="CD49" s="1782"/>
      <c r="CF49" s="4548"/>
      <c r="CG49" s="4548"/>
      <c r="CH49" s="4548"/>
    </row>
    <row r="51" spans="2:111" ht="17" x14ac:dyDescent="0.2">
      <c r="DG51" s="1915"/>
    </row>
    <row r="52" spans="2:111" ht="17" x14ac:dyDescent="0.2">
      <c r="DG52" s="1915"/>
    </row>
    <row r="53" spans="2:111" ht="17" x14ac:dyDescent="0.2">
      <c r="DG53" s="1915"/>
    </row>
    <row r="54" spans="2:111" ht="17" x14ac:dyDescent="0.2">
      <c r="DG54" s="1915"/>
    </row>
    <row r="55" spans="2:111" ht="45" customHeight="1" x14ac:dyDescent="0.2">
      <c r="B55" s="1975" t="str">
        <f>Languages!B79</f>
        <v>2.3 OTHER LAND-USE CHANGES</v>
      </c>
      <c r="C55" s="1975"/>
      <c r="D55" s="1976"/>
      <c r="E55" s="1778"/>
      <c r="F55" s="1778"/>
      <c r="G55" s="1778"/>
      <c r="H55" s="1778"/>
      <c r="I55" s="1778"/>
      <c r="J55" s="1778"/>
      <c r="K55" s="1778"/>
      <c r="L55" s="1778"/>
      <c r="M55" s="1778"/>
      <c r="N55" s="1778"/>
      <c r="O55" s="1778"/>
      <c r="P55" s="1778"/>
      <c r="Q55" s="1778"/>
      <c r="R55" s="1778"/>
      <c r="S55" s="1778"/>
      <c r="T55" s="1778"/>
      <c r="U55" s="1778"/>
      <c r="V55" s="1770" t="str">
        <f>Languages!B22</f>
        <v>If country-specific data are available, please go to Tier 2:</v>
      </c>
      <c r="W55" s="1778"/>
      <c r="X55" s="1778"/>
      <c r="Y55" s="1778"/>
      <c r="AR55" s="1977" t="str">
        <f>B55</f>
        <v>2.3 OTHER LAND-USE CHANGES</v>
      </c>
      <c r="AS55" s="1977"/>
      <c r="AT55" s="2019"/>
      <c r="AU55" s="1977"/>
      <c r="AV55" s="1977"/>
      <c r="AW55" s="1977"/>
      <c r="AX55" s="1977"/>
      <c r="AY55" s="1977"/>
      <c r="AZ55" s="1977"/>
      <c r="BA55" s="1977"/>
      <c r="BB55" s="1977"/>
      <c r="BC55" s="1977"/>
      <c r="BD55" s="1977"/>
      <c r="BE55" s="1977"/>
      <c r="BF55" s="1977"/>
      <c r="BG55" s="1977"/>
      <c r="BH55" s="1977"/>
      <c r="BI55" s="1977"/>
      <c r="BJ55" s="1977"/>
      <c r="BK55" s="1977"/>
      <c r="BL55" s="1977"/>
      <c r="BM55" s="1977"/>
      <c r="BN55" s="1977"/>
      <c r="BO55" s="1977"/>
      <c r="BP55" s="1977"/>
      <c r="BQ55" s="1977"/>
      <c r="BS55" s="4366" t="s">
        <v>71</v>
      </c>
      <c r="BT55" s="4366"/>
      <c r="BU55" s="4366"/>
    </row>
    <row r="56" spans="2:111" ht="5.25" customHeight="1" x14ac:dyDescent="0.2">
      <c r="AR56" s="1915"/>
      <c r="AS56" s="1915"/>
      <c r="AT56" s="2020"/>
      <c r="AU56" s="1915"/>
      <c r="AV56" s="1915"/>
      <c r="AW56" s="1915"/>
      <c r="AX56" s="2021"/>
      <c r="AY56" s="1915"/>
      <c r="AZ56" s="1915"/>
      <c r="BA56" s="1915"/>
      <c r="BB56" s="1915"/>
      <c r="BC56" s="1915"/>
      <c r="BD56" s="1915"/>
      <c r="BE56" s="1915"/>
      <c r="BF56" s="1915"/>
      <c r="BG56" s="1915"/>
      <c r="BH56" s="1915"/>
      <c r="BI56" s="1915"/>
      <c r="BJ56" s="1915"/>
      <c r="BK56" s="1915"/>
      <c r="BL56" s="1915"/>
      <c r="BM56" s="1915"/>
      <c r="BN56" s="1915"/>
      <c r="BO56" s="1915"/>
      <c r="BP56" s="1915"/>
      <c r="BQ56" s="1915"/>
      <c r="BS56" s="1915"/>
      <c r="BT56" s="1915"/>
    </row>
    <row r="57" spans="2:111" ht="15" customHeight="1" x14ac:dyDescent="0.2">
      <c r="B57" s="1781"/>
      <c r="C57" s="1781"/>
      <c r="D57" s="1781"/>
      <c r="E57" s="1781"/>
      <c r="F57" s="1781"/>
      <c r="G57" s="1781"/>
      <c r="H57" s="1781"/>
      <c r="I57" s="1781"/>
      <c r="J57" s="1781"/>
      <c r="K57" s="1781"/>
      <c r="L57" s="1781"/>
      <c r="M57" s="1781"/>
      <c r="N57" s="1781"/>
      <c r="O57" s="1781"/>
      <c r="P57" s="1781"/>
      <c r="Q57" s="1781"/>
      <c r="R57" s="1781"/>
      <c r="S57" s="1781"/>
      <c r="T57" s="1781"/>
      <c r="U57" s="1781"/>
      <c r="V57" s="1781"/>
      <c r="W57" s="1781"/>
      <c r="X57" s="1781"/>
      <c r="Y57" s="1781"/>
      <c r="AR57" s="2022"/>
      <c r="AS57" s="2960" t="str">
        <f>I58</f>
        <v>Initial land-use</v>
      </c>
      <c r="AT57" s="2956"/>
      <c r="AU57" s="2957"/>
      <c r="AV57" s="2957"/>
      <c r="AW57" s="2957"/>
      <c r="AX57" s="2958"/>
      <c r="AY57" s="2959"/>
      <c r="AZ57" s="2957"/>
      <c r="BA57" s="2959"/>
      <c r="BB57" s="2959"/>
      <c r="BC57" s="2959"/>
      <c r="BD57" s="2030"/>
      <c r="BE57" s="2030"/>
      <c r="BF57" s="2960" t="str">
        <f>K58</f>
        <v>Final land-use</v>
      </c>
      <c r="BG57" s="2956"/>
      <c r="BH57" s="2957"/>
      <c r="BI57" s="2957"/>
      <c r="BJ57" s="2957"/>
      <c r="BK57" s="2958"/>
      <c r="BL57" s="2959"/>
      <c r="BM57" s="2957"/>
      <c r="BN57" s="2959"/>
      <c r="BO57" s="2959"/>
      <c r="BP57" s="2959"/>
      <c r="BQ57" s="2959"/>
      <c r="BS57" s="1784"/>
      <c r="BT57" s="1784"/>
      <c r="BU57" s="2000"/>
      <c r="DG57" s="1915"/>
    </row>
    <row r="58" spans="2:111" ht="15" customHeight="1" x14ac:dyDescent="0.2">
      <c r="B58" s="1781"/>
      <c r="C58" s="1951" t="str">
        <f>Languages!B80</f>
        <v>User notes</v>
      </c>
      <c r="D58" s="1781"/>
      <c r="E58" s="1781"/>
      <c r="F58" s="1781"/>
      <c r="G58" s="1780" t="str">
        <f>Languages!B61</f>
        <v>Fire used?</v>
      </c>
      <c r="H58" s="1781"/>
      <c r="I58" s="1951" t="str">
        <f>Languages!B19</f>
        <v>Initial land-use</v>
      </c>
      <c r="J58" s="1781"/>
      <c r="K58" s="1951" t="str">
        <f>Languages!B18</f>
        <v>Final land-use</v>
      </c>
      <c r="L58" s="1781"/>
      <c r="M58" s="1924"/>
      <c r="N58" s="1779" t="str">
        <f>Languages!B82</f>
        <v>Area of land use change (ha)</v>
      </c>
      <c r="O58" s="2023"/>
      <c r="P58" s="1982"/>
      <c r="Q58" s="1982"/>
      <c r="R58" s="1982"/>
      <c r="S58" s="1781"/>
      <c r="T58" s="1781"/>
      <c r="U58" s="1781"/>
      <c r="V58" s="1826" t="str">
        <f>V33</f>
        <v>Total emissions (tCO2-e)</v>
      </c>
      <c r="W58" s="1781"/>
      <c r="X58" s="1826"/>
      <c r="Y58" s="1780" t="str">
        <f>Y33</f>
        <v>Balance</v>
      </c>
      <c r="AR58" s="2024"/>
      <c r="AS58" s="1782"/>
      <c r="AT58" s="1784"/>
      <c r="AU58" s="1784"/>
      <c r="AV58" s="1782" t="str">
        <f>AS33</f>
        <v>All units are in tC/ha</v>
      </c>
      <c r="AW58" s="1784"/>
      <c r="AX58" s="1784"/>
      <c r="AY58" s="1784"/>
      <c r="AZ58" s="1784"/>
      <c r="BA58" s="1782"/>
      <c r="BB58" s="1784"/>
      <c r="BC58" s="1784"/>
      <c r="BD58" s="2030"/>
      <c r="BE58" s="2030"/>
      <c r="BF58" s="1784"/>
      <c r="BG58" s="1784"/>
      <c r="BH58" s="1782" t="str">
        <f>Languages!B91</f>
        <v>In tC/ha in the first year</v>
      </c>
      <c r="BI58" s="1782"/>
      <c r="BJ58" s="1782"/>
      <c r="BK58" s="1782" t="str">
        <f>Languages!B90</f>
        <v>tC/ha</v>
      </c>
      <c r="BL58" s="1784"/>
      <c r="BM58" s="1782"/>
      <c r="BN58" s="1784"/>
      <c r="BO58" s="1784"/>
      <c r="BP58" s="1784"/>
      <c r="BQ58" s="1784"/>
      <c r="BS58" s="1889" t="s">
        <v>74</v>
      </c>
      <c r="BT58" s="1782"/>
      <c r="BU58" s="2000"/>
      <c r="DG58" s="1915"/>
    </row>
    <row r="59" spans="2:111" ht="15" customHeight="1" x14ac:dyDescent="0.2">
      <c r="B59" s="1781"/>
      <c r="C59" s="1781"/>
      <c r="D59" s="1781"/>
      <c r="E59" s="1781"/>
      <c r="F59" s="1781"/>
      <c r="G59" s="1984" t="str">
        <f>G34</f>
        <v>(y/n)</v>
      </c>
      <c r="H59" s="1781"/>
      <c r="I59" s="1951"/>
      <c r="J59" s="1781"/>
      <c r="K59" s="1951"/>
      <c r="L59" s="1781"/>
      <c r="M59" s="1781"/>
      <c r="N59" s="1812" t="str">
        <f>N34</f>
        <v>Without</v>
      </c>
      <c r="O59" s="1812"/>
      <c r="P59" s="1812" t="str">
        <f>P34</f>
        <v>With</v>
      </c>
      <c r="Q59" s="1812"/>
      <c r="R59" s="1781"/>
      <c r="S59" s="1781"/>
      <c r="T59" s="1781"/>
      <c r="U59" s="1781"/>
      <c r="V59" s="1816" t="str">
        <f>V34</f>
        <v>Without</v>
      </c>
      <c r="W59" s="1816" t="str">
        <f>W34</f>
        <v>With</v>
      </c>
      <c r="X59" s="1812"/>
      <c r="Y59" s="1781"/>
      <c r="AR59" s="2025" t="str">
        <f>C58</f>
        <v>User notes</v>
      </c>
      <c r="AS59" s="2026"/>
      <c r="AT59" s="1782"/>
      <c r="AU59" s="1782"/>
      <c r="AV59" s="2027" t="str">
        <f>AS34</f>
        <v>Biomass</v>
      </c>
      <c r="AW59" s="2028"/>
      <c r="AX59" s="1782"/>
      <c r="AY59" s="4511" t="str">
        <f>AV34</f>
        <v>Soil carbon</v>
      </c>
      <c r="AZ59" s="2028"/>
      <c r="BA59" s="2315"/>
      <c r="BB59" s="1990" t="s">
        <v>5214</v>
      </c>
      <c r="BC59" s="1993"/>
      <c r="BD59" s="2030"/>
      <c r="BE59" s="2030"/>
      <c r="BF59" s="2026"/>
      <c r="BG59" s="2024"/>
      <c r="BH59" s="2027" t="str">
        <f>AV59</f>
        <v>Biomass</v>
      </c>
      <c r="BI59" s="2028"/>
      <c r="BJ59" s="2315"/>
      <c r="BK59" s="2027" t="str">
        <f>AY59</f>
        <v>Soil carbon</v>
      </c>
      <c r="BL59" s="2028"/>
      <c r="BM59" s="2315"/>
      <c r="BN59" s="1990" t="s">
        <v>5214</v>
      </c>
      <c r="BO59" s="1993"/>
      <c r="BP59" s="1782"/>
      <c r="BQ59" s="1782"/>
      <c r="BS59" s="2014" t="s">
        <v>82</v>
      </c>
      <c r="BT59" s="1993"/>
      <c r="BU59" s="2000"/>
      <c r="DG59" s="1915"/>
    </row>
    <row r="60" spans="2:111" ht="15" customHeight="1" x14ac:dyDescent="0.2">
      <c r="B60" s="1781"/>
      <c r="C60" s="1781"/>
      <c r="D60" s="1781"/>
      <c r="E60" s="1781"/>
      <c r="F60" s="1781"/>
      <c r="G60" s="1781"/>
      <c r="H60" s="1781"/>
      <c r="I60" s="1781"/>
      <c r="J60" s="1781"/>
      <c r="K60" s="1781"/>
      <c r="L60" s="1781"/>
      <c r="M60" s="1781"/>
      <c r="N60" s="1781"/>
      <c r="O60" s="1781" t="s">
        <v>83</v>
      </c>
      <c r="P60" s="1781"/>
      <c r="Q60" s="1781" t="s">
        <v>83</v>
      </c>
      <c r="R60" s="1781"/>
      <c r="S60" s="1781"/>
      <c r="T60" s="1781"/>
      <c r="U60" s="1781"/>
      <c r="V60" s="1849"/>
      <c r="W60" s="1850"/>
      <c r="X60" s="1781"/>
      <c r="Y60" s="1781"/>
      <c r="AR60" s="2024"/>
      <c r="AS60" s="2026"/>
      <c r="AT60" s="1782"/>
      <c r="AU60" s="1782"/>
      <c r="AV60" s="4431" t="str">
        <f>AS35</f>
        <v>Default</v>
      </c>
      <c r="AW60" s="2030" t="str">
        <f>AT35</f>
        <v>Tier 2</v>
      </c>
      <c r="AX60" s="2024"/>
      <c r="AY60" s="4431" t="str">
        <f>AV60</f>
        <v>Default</v>
      </c>
      <c r="AZ60" s="2030" t="str">
        <f>AW60</f>
        <v>Tier 2</v>
      </c>
      <c r="BA60" s="1782"/>
      <c r="BB60" s="4493" t="str">
        <f>AY60</f>
        <v>Default</v>
      </c>
      <c r="BC60" s="4430" t="str">
        <f>AZ60</f>
        <v>Tier 2</v>
      </c>
      <c r="BD60" s="2030"/>
      <c r="BE60" s="2030"/>
      <c r="BF60" s="2026"/>
      <c r="BG60" s="2024"/>
      <c r="BH60" s="4431" t="str">
        <f>AY60</f>
        <v>Default</v>
      </c>
      <c r="BI60" s="2030" t="str">
        <f>AZ60</f>
        <v>Tier 2</v>
      </c>
      <c r="BJ60" s="2024"/>
      <c r="BK60" s="2030" t="str">
        <f>BH60</f>
        <v>Default</v>
      </c>
      <c r="BL60" s="2030" t="str">
        <f>BI60</f>
        <v>Tier 2</v>
      </c>
      <c r="BM60" s="1782"/>
      <c r="BN60" s="4493" t="str">
        <f>BK60</f>
        <v>Default</v>
      </c>
      <c r="BO60" s="4430" t="str">
        <f>BL60</f>
        <v>Tier 2</v>
      </c>
      <c r="BP60" s="1782"/>
      <c r="BQ60" s="1782"/>
      <c r="BS60" s="1996"/>
      <c r="BT60" s="1893"/>
      <c r="BU60" s="2000"/>
      <c r="DG60" s="1915"/>
    </row>
    <row r="61" spans="2:111" ht="15" customHeight="1" x14ac:dyDescent="0.2">
      <c r="B61" s="1781"/>
      <c r="C61" s="4089"/>
      <c r="D61" s="1781"/>
      <c r="E61" s="4416" t="str">
        <f>IF(OR(I61="please select",K61="please select"),"",IF(AND(OR(I61="annual cropland",I61="flooded rice",AND(I61&lt;&gt;"grassland",I61&lt;&gt;"degraded land",I61&lt;&gt;"other land (non-vegetated)",I61&lt;&gt;"annual fallow")),OR(K61="annual cropland",K61="flooded rice",AND(K61&lt;&gt;"grassland",K61&lt;&gt;"degraded land",K61&lt;&gt;"other land (non-vegetated)",K61&lt;&gt;"annual fallow"))),"allcrops",IF(AND(OR(I61="annual cropland",I61="flooded rice",AND(I61&lt;&gt;"grassland",I61&lt;&gt;"degraded land",I61&lt;&gt;"other land (non-vegetated)",I61&lt;&gt;"annual fallow"),I61="grassland"),OR(K61="annual cropland",K61="flooded rice",AND(K61&lt;&gt;"grassland",K61&lt;&gt;"degraded land",K61&lt;&gt;"other land (non-vegetated)",K61&lt;&gt;"annual fallow"),K61="grassland")),"cropsgrass", IF(OR(I61="annual cropland",K61="annual cropland"),"crop",IF(OR(I61="grassland",K61="grassland"),"grass",IF(OR(I61="flooded rice",K61="flooded rice"),"rice",IF(AND(OR(I61="degraded land",I61="other land (non-vegetated)",I61="annual fallow"),OR(K61="degraded land",K61="other land (non-vegetated)",K61="annual fallow")),"","agroforest")))))))</f>
        <v>cropsgrass</v>
      </c>
      <c r="F61" s="1781"/>
      <c r="G61" s="2129" t="s">
        <v>85</v>
      </c>
      <c r="H61" s="1781"/>
      <c r="I61" s="2131" t="s">
        <v>1396</v>
      </c>
      <c r="J61" s="1781"/>
      <c r="K61" s="2131" t="s">
        <v>1382</v>
      </c>
      <c r="L61" s="1848">
        <f>luc!$G9</f>
        <v>0</v>
      </c>
      <c r="M61" s="1904" t="str">
        <f>IF((OR(AND(K61=I61, K61&lt;&gt;"Please select"), AND(OR(K61="Agroforestry - default", K61="Alley cropping", K61="Hedgerow", K61="Multistrata", K61="Oil palm", K61="Parkland", K61="Perennial fallow", K61="Rubber", K61="Shaded Perennial", K61="Silvoarable", K61="Silvopasture", K61="Tea"), OR(I61="Agroforestry - default", I61="Alley cropping", I61="Hedgerow", I61="Multistrata", I61="Oil palm", I61="Parkland", I61="Perennial fallow", I61="Rubber", I61="Shaded Perennial", I61="Silvoarable", I61="Silvopasture", I61="Tea")))), "ERROR", "")</f>
        <v/>
      </c>
      <c r="N61" s="2128">
        <v>150</v>
      </c>
      <c r="O61" s="2104" t="s">
        <v>86</v>
      </c>
      <c r="P61" s="2128">
        <v>150</v>
      </c>
      <c r="Q61" s="2104" t="s">
        <v>86</v>
      </c>
      <c r="R61" s="1781"/>
      <c r="S61" s="1781"/>
      <c r="T61" s="1781"/>
      <c r="U61" s="1806"/>
      <c r="V61" s="1815">
        <f>luc!$M41</f>
        <v>971.849999999999</v>
      </c>
      <c r="W61" s="1841">
        <f>luc!$N41</f>
        <v>971.849999999999</v>
      </c>
      <c r="X61" s="2017"/>
      <c r="Y61" s="1816">
        <f>luc!O41</f>
        <v>0</v>
      </c>
      <c r="Z61" s="4489" t="str">
        <f>IF((OR(AND(K61=I61, K61&lt;&gt;"Please select"), AND(OR(K61="Agroforestry - default", K61="Alley cropping", K61="Hedgerow", K61="Multistrata", K61="Oil palm", K61="Parkland", K61="Perennial fallow", K61="Rubber", K61="Shaded Perennial", K61="Silvoarable", K61="Silvopasture", K61="Tea"), OR(I61="Agroforestry - default", I61="Alley cropping", I61="Hedgerow", I61="Multistrata", I61="Oil palm", I61="Parkland", I61="Perennial fallow", I61="Rubber", I61="Shaded Perennial", I61="Silvoarable", I61="Silvopasture", I61="Tea")))), list!$B$277, "")</f>
        <v/>
      </c>
      <c r="AR61" s="2024" t="str">
        <f t="shared" ref="AR61:AR70" si="9">IF($C61 &lt;&gt; "", C61, "")</f>
        <v/>
      </c>
      <c r="AS61" s="2024" t="str">
        <f t="shared" ref="AS61:AS70" si="10">$I61</f>
        <v>Grassland</v>
      </c>
      <c r="AT61" s="1782"/>
      <c r="AU61" s="1782"/>
      <c r="AV61" s="2030">
        <f>luc!H9</f>
        <v>2.8669999999999995</v>
      </c>
      <c r="AW61" s="4095"/>
      <c r="AX61" s="2024"/>
      <c r="AY61" s="2030">
        <f t="shared" ref="AY61:AY70" si="11">IF(AS61="please select", 0, SOCref)</f>
        <v>24</v>
      </c>
      <c r="AZ61" s="4095"/>
      <c r="BA61" s="1782"/>
      <c r="BB61" s="2000">
        <f>luc!P9</f>
        <v>1</v>
      </c>
      <c r="BC61" s="4093"/>
      <c r="BD61" s="2030"/>
      <c r="BE61" s="2030"/>
      <c r="BF61" s="2024" t="str">
        <f t="shared" ref="BF61:BF70" si="12">$K61</f>
        <v>Annual cropland</v>
      </c>
      <c r="BG61" s="2024"/>
      <c r="BH61" s="2031">
        <f>luc!J9</f>
        <v>4.7</v>
      </c>
      <c r="BI61" s="4095"/>
      <c r="BJ61" s="2024"/>
      <c r="BK61" s="2030">
        <f t="shared" ref="BK61:BK70" si="13">IF(BF61="please select", 0, SOCref)</f>
        <v>24</v>
      </c>
      <c r="BL61" s="4095"/>
      <c r="BM61" s="1782"/>
      <c r="BN61" s="2000">
        <f>luc!R9</f>
        <v>0.76</v>
      </c>
      <c r="BO61" s="4093"/>
      <c r="BP61" s="1782"/>
      <c r="BQ61" s="1782"/>
      <c r="BS61" s="4363">
        <v>1</v>
      </c>
      <c r="BT61" s="4364"/>
      <c r="BU61" s="2000"/>
      <c r="DG61" s="1915"/>
    </row>
    <row r="62" spans="2:111" ht="15" customHeight="1" x14ac:dyDescent="0.2">
      <c r="B62" s="1781"/>
      <c r="C62" s="4090"/>
      <c r="D62" s="1781"/>
      <c r="E62" s="4416" t="str">
        <f t="shared" ref="E62:E70" si="14">IF(OR(I62="please select",K62="please select"),"",IF(AND(OR(I62="annual cropland",I62="flooded rice",AND(I62&lt;&gt;"grassland",I62&lt;&gt;"degraded land",I62&lt;&gt;"other land (non-vegetated)",I62&lt;&gt;"annual fallow")),OR(K62="annual cropland",K62="flooded rice",AND(K62&lt;&gt;"grassland",K62&lt;&gt;"degraded land",K62&lt;&gt;"other land (non-vegetated)",K62&lt;&gt;"annual fallow"))),"allcrops",IF(AND(OR(I62="annual cropland",I62="flooded rice",AND(I62&lt;&gt;"grassland",I62&lt;&gt;"degraded land",I62&lt;&gt;"other land (non-vegetated)",I62&lt;&gt;"annual fallow"),I62="grassland"),OR(K62="annual cropland",K62="flooded rice",AND(K62&lt;&gt;"grassland",K62&lt;&gt;"degraded land",K62&lt;&gt;"other land (non-vegetated)",K62&lt;&gt;"annual fallow"),K62="grassland")),"cropsgrass", IF(OR(I62="annual cropland",K62="annual cropland"),"crop",IF(OR(I62="grassland",K62="grassland"),"grass",IF(OR(I62="flooded rice",K62="flooded rice"),"rice",IF(AND(OR(I62="degraded land",I62="other land (non-vegetated)",I62="annual fallow"),OR(K62="degraded land",K62="other land (non-vegetated)",K62="annual fallow")),"","agroforest")))))))</f>
        <v/>
      </c>
      <c r="F62" s="1781"/>
      <c r="G62" s="2129" t="s">
        <v>85</v>
      </c>
      <c r="H62" s="1781"/>
      <c r="I62" s="2131" t="s">
        <v>57</v>
      </c>
      <c r="J62" s="1781"/>
      <c r="K62" s="2131" t="s">
        <v>57</v>
      </c>
      <c r="L62" s="1848">
        <f>luc!$G10</f>
        <v>0</v>
      </c>
      <c r="M62" s="1904" t="str">
        <f t="shared" ref="M62:M70" si="15">IF((OR(AND(K62=I62, K62&lt;&gt;"Please select"), AND(OR(K62="Agroforestry - default", K62="Alley cropping", K62="Hedgerow", K62="Multistrata", K62="Oil palm", K62="Parkland", K62="Perennial fallow", K62="Rubber", K62="Shaded Perennial", K62="Silvoarable", K62="Silvopasture", K62="Tea"), OR(I62="Agroforestry - default", I62="Alley cropping", I62="Hedgerow", I62="Multistrata", I62="Oil palm", I62="Parkland", I62="Perennial fallow", I62="Rubber", I62="Shaded Perennial", I62="Silvoarable", I62="Silvopasture", I62="Tea")))), "ERROR", "")</f>
        <v/>
      </c>
      <c r="N62" s="2128">
        <v>0</v>
      </c>
      <c r="O62" s="2104" t="s">
        <v>86</v>
      </c>
      <c r="P62" s="2128">
        <v>0</v>
      </c>
      <c r="Q62" s="2104" t="s">
        <v>86</v>
      </c>
      <c r="R62" s="1781"/>
      <c r="S62" s="1781"/>
      <c r="T62" s="1781"/>
      <c r="U62" s="1806"/>
      <c r="V62" s="1815">
        <f>luc!$M42</f>
        <v>0</v>
      </c>
      <c r="W62" s="1841">
        <f>luc!$N42</f>
        <v>0</v>
      </c>
      <c r="X62" s="2017"/>
      <c r="Y62" s="1816">
        <f>luc!O42</f>
        <v>0</v>
      </c>
      <c r="Z62" s="4489" t="str">
        <f>IF((OR(AND(K62=I62, K62&lt;&gt;"Please select"), AND(OR(K62="Agroforestry - default", K62="Alley cropping", K62="Hedgerow", K62="Multistrata", K62="Oil palm", K62="Parkland", K62="Perennial fallow", K62="Rubber", K62="Shaded Perennial", K62="Silvoarable", K62="Silvopasture", K62="Tea"), OR(I62="Agroforestry - default", I62="Alley cropping", I62="Hedgerow", I62="Multistrata", I62="Oil palm", I62="Parkland", I62="Perennial fallow", I62="Rubber", I62="Shaded Perennial", I62="Silvoarable", I62="Silvopasture", I62="Tea")))), list!$B$277, "")</f>
        <v/>
      </c>
      <c r="AR62" s="2024" t="str">
        <f t="shared" si="9"/>
        <v/>
      </c>
      <c r="AS62" s="2024" t="str">
        <f t="shared" si="10"/>
        <v>Please select</v>
      </c>
      <c r="AT62" s="1782"/>
      <c r="AU62" s="1782"/>
      <c r="AV62" s="2030">
        <f>luc!H10</f>
        <v>0</v>
      </c>
      <c r="AW62" s="4095"/>
      <c r="AX62" s="2024"/>
      <c r="AY62" s="2030">
        <f t="shared" si="11"/>
        <v>0</v>
      </c>
      <c r="AZ62" s="4095"/>
      <c r="BA62" s="1782"/>
      <c r="BB62" s="2000">
        <f>luc!P10</f>
        <v>0</v>
      </c>
      <c r="BC62" s="4093"/>
      <c r="BD62" s="2030"/>
      <c r="BE62" s="2030"/>
      <c r="BF62" s="2024" t="str">
        <f t="shared" si="12"/>
        <v>Please select</v>
      </c>
      <c r="BG62" s="2024"/>
      <c r="BH62" s="2031">
        <f>luc!J10</f>
        <v>0</v>
      </c>
      <c r="BI62" s="4095"/>
      <c r="BJ62" s="2024"/>
      <c r="BK62" s="2030">
        <f t="shared" si="13"/>
        <v>0</v>
      </c>
      <c r="BL62" s="4095"/>
      <c r="BM62" s="1782"/>
      <c r="BN62" s="2000">
        <f>luc!R10</f>
        <v>0</v>
      </c>
      <c r="BO62" s="4093"/>
      <c r="BP62" s="1782"/>
      <c r="BQ62" s="1782"/>
      <c r="BS62" s="4363">
        <v>1</v>
      </c>
      <c r="BT62" s="4364"/>
      <c r="BU62" s="2000"/>
      <c r="DG62" s="1915"/>
    </row>
    <row r="63" spans="2:111" ht="15" customHeight="1" x14ac:dyDescent="0.2">
      <c r="B63" s="1781"/>
      <c r="C63" s="4090"/>
      <c r="D63" s="1781"/>
      <c r="E63" s="4416" t="str">
        <f t="shared" si="14"/>
        <v/>
      </c>
      <c r="F63" s="1781"/>
      <c r="G63" s="2129" t="s">
        <v>85</v>
      </c>
      <c r="H63" s="1781"/>
      <c r="I63" s="2131" t="s">
        <v>57</v>
      </c>
      <c r="J63" s="1781"/>
      <c r="K63" s="2131" t="s">
        <v>57</v>
      </c>
      <c r="L63" s="1848">
        <f>luc!$G11</f>
        <v>0</v>
      </c>
      <c r="M63" s="1904" t="str">
        <f t="shared" si="15"/>
        <v/>
      </c>
      <c r="N63" s="2128">
        <v>0</v>
      </c>
      <c r="O63" s="2104" t="s">
        <v>86</v>
      </c>
      <c r="P63" s="2128">
        <v>0</v>
      </c>
      <c r="Q63" s="2104" t="s">
        <v>86</v>
      </c>
      <c r="R63" s="1781"/>
      <c r="S63" s="1781"/>
      <c r="T63" s="1781"/>
      <c r="U63" s="1806"/>
      <c r="V63" s="1815">
        <f>luc!$M43</f>
        <v>0</v>
      </c>
      <c r="W63" s="1841">
        <f>luc!$N43</f>
        <v>0</v>
      </c>
      <c r="X63" s="2017"/>
      <c r="Y63" s="1816">
        <f>luc!O43</f>
        <v>0</v>
      </c>
      <c r="Z63" s="4489" t="str">
        <f>IF((OR(AND(K63=I63, K63&lt;&gt;"Please select"), AND(OR(K63="Agroforestry - default", K63="Alley cropping", K63="Hedgerow", K63="Multistrata", K63="Oil palm", K63="Parkland", K63="Perennial fallow", K63="Rubber", K63="Shaded Perennial", K63="Silvoarable", K63="Silvopasture", K63="Tea"), OR(I63="Agroforestry - default", I63="Alley cropping", I63="Hedgerow", I63="Multistrata", I63="Oil palm", I63="Parkland", I63="Perennial fallow", I63="Rubber", I63="Shaded Perennial", I63="Silvoarable", I63="Silvopasture", I63="Tea")))), list!$B$277, "")</f>
        <v/>
      </c>
      <c r="AR63" s="2024" t="str">
        <f t="shared" si="9"/>
        <v/>
      </c>
      <c r="AS63" s="2024" t="str">
        <f t="shared" si="10"/>
        <v>Please select</v>
      </c>
      <c r="AT63" s="1782"/>
      <c r="AU63" s="1782"/>
      <c r="AV63" s="2030">
        <f>luc!H11</f>
        <v>0</v>
      </c>
      <c r="AW63" s="4095"/>
      <c r="AX63" s="2024"/>
      <c r="AY63" s="2030">
        <f t="shared" si="11"/>
        <v>0</v>
      </c>
      <c r="AZ63" s="4095"/>
      <c r="BA63" s="2030"/>
      <c r="BB63" s="2000">
        <f>luc!P11</f>
        <v>0</v>
      </c>
      <c r="BC63" s="4093"/>
      <c r="BD63" s="2030"/>
      <c r="BE63" s="2030"/>
      <c r="BF63" s="2024" t="str">
        <f t="shared" si="12"/>
        <v>Please select</v>
      </c>
      <c r="BG63" s="2024"/>
      <c r="BH63" s="2031">
        <f>luc!J11</f>
        <v>0</v>
      </c>
      <c r="BI63" s="4095"/>
      <c r="BJ63" s="2024"/>
      <c r="BK63" s="2030">
        <f t="shared" si="13"/>
        <v>0</v>
      </c>
      <c r="BL63" s="4095"/>
      <c r="BM63" s="1782"/>
      <c r="BN63" s="2000">
        <f>luc!R11</f>
        <v>0</v>
      </c>
      <c r="BO63" s="4093"/>
      <c r="BP63" s="1782"/>
      <c r="BQ63" s="1782"/>
      <c r="BS63" s="4363">
        <v>1</v>
      </c>
      <c r="BT63" s="4364"/>
      <c r="BU63" s="2000"/>
      <c r="DG63" s="1915"/>
    </row>
    <row r="64" spans="2:111" ht="15" customHeight="1" x14ac:dyDescent="0.2">
      <c r="B64" s="1781"/>
      <c r="C64" s="4090"/>
      <c r="D64" s="1781"/>
      <c r="E64" s="4416" t="str">
        <f t="shared" si="14"/>
        <v/>
      </c>
      <c r="F64" s="1781"/>
      <c r="G64" s="2129" t="s">
        <v>85</v>
      </c>
      <c r="H64" s="1781"/>
      <c r="I64" s="2131" t="s">
        <v>57</v>
      </c>
      <c r="J64" s="1781"/>
      <c r="K64" s="2131" t="s">
        <v>57</v>
      </c>
      <c r="L64" s="1848">
        <f>luc!$G12</f>
        <v>0</v>
      </c>
      <c r="M64" s="1904" t="str">
        <f t="shared" si="15"/>
        <v/>
      </c>
      <c r="N64" s="2128">
        <v>0</v>
      </c>
      <c r="O64" s="2104" t="s">
        <v>86</v>
      </c>
      <c r="P64" s="2128">
        <v>0</v>
      </c>
      <c r="Q64" s="2104" t="s">
        <v>86</v>
      </c>
      <c r="R64" s="1781"/>
      <c r="S64" s="1781"/>
      <c r="T64" s="1781"/>
      <c r="U64" s="1806"/>
      <c r="V64" s="1815">
        <f>luc!$M44</f>
        <v>0</v>
      </c>
      <c r="W64" s="1841">
        <f>luc!$N44</f>
        <v>0</v>
      </c>
      <c r="X64" s="2017"/>
      <c r="Y64" s="1816">
        <f>luc!O44</f>
        <v>0</v>
      </c>
      <c r="Z64" s="4489" t="str">
        <f>IF((OR(AND(K64=I64, K64&lt;&gt;"Please select"), AND(OR(K64="Agroforestry - default", K64="Alley cropping", K64="Hedgerow", K64="Multistrata", K64="Oil palm", K64="Parkland", K64="Perennial fallow", K64="Rubber", K64="Shaded Perennial", K64="Silvoarable", K64="Silvopasture", K64="Tea"), OR(I64="Agroforestry - default", I64="Alley cropping", I64="Hedgerow", I64="Multistrata", I64="Oil palm", I64="Parkland", I64="Perennial fallow", I64="Rubber", I64="Shaded Perennial", I64="Silvoarable", I64="Silvopasture", I64="Tea")))), list!$B$277, "")</f>
        <v/>
      </c>
      <c r="AR64" s="2024" t="str">
        <f t="shared" si="9"/>
        <v/>
      </c>
      <c r="AS64" s="2024" t="str">
        <f t="shared" si="10"/>
        <v>Please select</v>
      </c>
      <c r="AT64" s="1782"/>
      <c r="AU64" s="1782"/>
      <c r="AV64" s="2030">
        <f>luc!H12</f>
        <v>0</v>
      </c>
      <c r="AW64" s="4095"/>
      <c r="AX64" s="2024"/>
      <c r="AY64" s="2030">
        <f t="shared" si="11"/>
        <v>0</v>
      </c>
      <c r="AZ64" s="4095"/>
      <c r="BA64" s="2030"/>
      <c r="BB64" s="2000">
        <f>luc!P12</f>
        <v>0</v>
      </c>
      <c r="BC64" s="4093"/>
      <c r="BD64" s="2030"/>
      <c r="BE64" s="1782"/>
      <c r="BF64" s="2024" t="str">
        <f t="shared" si="12"/>
        <v>Please select</v>
      </c>
      <c r="BG64" s="2024"/>
      <c r="BH64" s="2031">
        <f>luc!J12</f>
        <v>0</v>
      </c>
      <c r="BI64" s="4095"/>
      <c r="BJ64" s="2024"/>
      <c r="BK64" s="2030">
        <f t="shared" si="13"/>
        <v>0</v>
      </c>
      <c r="BL64" s="4095"/>
      <c r="BM64" s="1782"/>
      <c r="BN64" s="2000">
        <f>luc!R12</f>
        <v>0</v>
      </c>
      <c r="BO64" s="4093"/>
      <c r="BP64" s="2030"/>
      <c r="BQ64" s="2030"/>
      <c r="BS64" s="4363">
        <v>1</v>
      </c>
      <c r="BT64" s="4364"/>
      <c r="BU64" s="2000"/>
      <c r="DG64" s="1915"/>
    </row>
    <row r="65" spans="2:111" ht="15" customHeight="1" x14ac:dyDescent="0.2">
      <c r="B65" s="1781"/>
      <c r="C65" s="4090"/>
      <c r="D65" s="1781"/>
      <c r="E65" s="4416" t="str">
        <f t="shared" si="14"/>
        <v/>
      </c>
      <c r="F65" s="1781"/>
      <c r="G65" s="2129" t="s">
        <v>85</v>
      </c>
      <c r="H65" s="1781"/>
      <c r="I65" s="2131" t="s">
        <v>57</v>
      </c>
      <c r="J65" s="1781"/>
      <c r="K65" s="2131" t="s">
        <v>57</v>
      </c>
      <c r="L65" s="1848">
        <f>luc!$G13</f>
        <v>0</v>
      </c>
      <c r="M65" s="1904" t="str">
        <f t="shared" si="15"/>
        <v/>
      </c>
      <c r="N65" s="2128">
        <v>0</v>
      </c>
      <c r="O65" s="2104" t="s">
        <v>86</v>
      </c>
      <c r="P65" s="2128">
        <v>0</v>
      </c>
      <c r="Q65" s="2104" t="s">
        <v>86</v>
      </c>
      <c r="R65" s="1781"/>
      <c r="S65" s="1781"/>
      <c r="T65" s="1781"/>
      <c r="U65" s="1806"/>
      <c r="V65" s="1815">
        <f>luc!$M45</f>
        <v>0</v>
      </c>
      <c r="W65" s="1841">
        <f>luc!$N45</f>
        <v>0</v>
      </c>
      <c r="X65" s="2017"/>
      <c r="Y65" s="1816">
        <f>luc!O45</f>
        <v>0</v>
      </c>
      <c r="Z65" s="4489" t="str">
        <f>IF((OR(AND(K65=I65, K65&lt;&gt;"Please select"), AND(OR(K65="Agroforestry - default", K65="Alley cropping", K65="Hedgerow", K65="Multistrata", K65="Oil palm", K65="Parkland", K65="Perennial fallow", K65="Rubber", K65="Shaded Perennial", K65="Silvoarable", K65="Silvopasture", K65="Tea"), OR(I65="Agroforestry - default", I65="Alley cropping", I65="Hedgerow", I65="Multistrata", I65="Oil palm", I65="Parkland", I65="Perennial fallow", I65="Rubber", I65="Shaded Perennial", I65="Silvoarable", I65="Silvopasture", I65="Tea")))), list!$B$277, "")</f>
        <v/>
      </c>
      <c r="AR65" s="2024" t="str">
        <f t="shared" si="9"/>
        <v/>
      </c>
      <c r="AS65" s="2024" t="str">
        <f t="shared" si="10"/>
        <v>Please select</v>
      </c>
      <c r="AT65" s="1782"/>
      <c r="AU65" s="1782"/>
      <c r="AV65" s="2030">
        <f>luc!H13</f>
        <v>0</v>
      </c>
      <c r="AW65" s="4095"/>
      <c r="AX65" s="2024"/>
      <c r="AY65" s="2030">
        <f t="shared" si="11"/>
        <v>0</v>
      </c>
      <c r="AZ65" s="4095"/>
      <c r="BA65" s="2030"/>
      <c r="BB65" s="2000">
        <f>luc!P13</f>
        <v>0</v>
      </c>
      <c r="BC65" s="4093"/>
      <c r="BD65" s="2030"/>
      <c r="BE65" s="1782"/>
      <c r="BF65" s="2024" t="str">
        <f t="shared" si="12"/>
        <v>Please select</v>
      </c>
      <c r="BG65" s="2024"/>
      <c r="BH65" s="2031">
        <f>luc!J13</f>
        <v>0</v>
      </c>
      <c r="BI65" s="4095"/>
      <c r="BJ65" s="2024"/>
      <c r="BK65" s="2030">
        <f t="shared" si="13"/>
        <v>0</v>
      </c>
      <c r="BL65" s="4095"/>
      <c r="BM65" s="1782"/>
      <c r="BN65" s="2000">
        <f>luc!R13</f>
        <v>0</v>
      </c>
      <c r="BO65" s="4093"/>
      <c r="BP65" s="2030"/>
      <c r="BQ65" s="2030"/>
      <c r="BS65" s="4363">
        <v>1</v>
      </c>
      <c r="BT65" s="4364"/>
      <c r="BU65" s="2000"/>
      <c r="DG65" s="1915"/>
    </row>
    <row r="66" spans="2:111" ht="15" customHeight="1" x14ac:dyDescent="0.2">
      <c r="B66" s="1781"/>
      <c r="C66" s="4090"/>
      <c r="D66" s="1781"/>
      <c r="E66" s="4416" t="str">
        <f t="shared" si="14"/>
        <v/>
      </c>
      <c r="F66" s="1781"/>
      <c r="G66" s="2129" t="s">
        <v>85</v>
      </c>
      <c r="H66" s="1781"/>
      <c r="I66" s="2131" t="s">
        <v>57</v>
      </c>
      <c r="J66" s="1781"/>
      <c r="K66" s="2131" t="s">
        <v>57</v>
      </c>
      <c r="L66" s="1848">
        <f>luc!$G14</f>
        <v>0</v>
      </c>
      <c r="M66" s="1904" t="str">
        <f t="shared" si="15"/>
        <v/>
      </c>
      <c r="N66" s="2128">
        <v>0</v>
      </c>
      <c r="O66" s="2104" t="s">
        <v>86</v>
      </c>
      <c r="P66" s="2128">
        <v>0</v>
      </c>
      <c r="Q66" s="2104" t="s">
        <v>86</v>
      </c>
      <c r="R66" s="1781"/>
      <c r="S66" s="1781"/>
      <c r="T66" s="1781"/>
      <c r="U66" s="1806"/>
      <c r="V66" s="1815">
        <f>luc!$M46</f>
        <v>0</v>
      </c>
      <c r="W66" s="1841">
        <f>luc!$N46</f>
        <v>0</v>
      </c>
      <c r="X66" s="2017"/>
      <c r="Y66" s="1816">
        <f>luc!O46</f>
        <v>0</v>
      </c>
      <c r="Z66" s="4489" t="str">
        <f>IF((OR(AND(K66=I66, K66&lt;&gt;"Please select"), AND(OR(K66="Agroforestry - default", K66="Alley cropping", K66="Hedgerow", K66="Multistrata", K66="Oil palm", K66="Parkland", K66="Perennial fallow", K66="Rubber", K66="Shaded Perennial", K66="Silvoarable", K66="Silvopasture", K66="Tea"), OR(I66="Agroforestry - default", I66="Alley cropping", I66="Hedgerow", I66="Multistrata", I66="Oil palm", I66="Parkland", I66="Perennial fallow", I66="Rubber", I66="Shaded Perennial", I66="Silvoarable", I66="Silvopasture", I66="Tea")))), list!$B$277, "")</f>
        <v/>
      </c>
      <c r="AR66" s="2024" t="str">
        <f t="shared" si="9"/>
        <v/>
      </c>
      <c r="AS66" s="2024" t="str">
        <f t="shared" si="10"/>
        <v>Please select</v>
      </c>
      <c r="AT66" s="1782"/>
      <c r="AU66" s="1782"/>
      <c r="AV66" s="2030">
        <f>luc!H14</f>
        <v>0</v>
      </c>
      <c r="AW66" s="4095"/>
      <c r="AX66" s="2024"/>
      <c r="AY66" s="2030">
        <f t="shared" si="11"/>
        <v>0</v>
      </c>
      <c r="AZ66" s="4095"/>
      <c r="BA66" s="2030"/>
      <c r="BB66" s="2000">
        <f>luc!P14</f>
        <v>0</v>
      </c>
      <c r="BC66" s="4093"/>
      <c r="BD66" s="2030"/>
      <c r="BE66" s="1782"/>
      <c r="BF66" s="2024" t="str">
        <f t="shared" si="12"/>
        <v>Please select</v>
      </c>
      <c r="BG66" s="2024"/>
      <c r="BH66" s="2031">
        <f>luc!J14</f>
        <v>0</v>
      </c>
      <c r="BI66" s="4095"/>
      <c r="BJ66" s="2024"/>
      <c r="BK66" s="2030">
        <f t="shared" si="13"/>
        <v>0</v>
      </c>
      <c r="BL66" s="4095"/>
      <c r="BM66" s="1782"/>
      <c r="BN66" s="2000">
        <f>luc!R14</f>
        <v>0</v>
      </c>
      <c r="BO66" s="4093"/>
      <c r="BP66" s="2030"/>
      <c r="BQ66" s="2030"/>
      <c r="BS66" s="4363">
        <v>1</v>
      </c>
      <c r="BT66" s="4364"/>
      <c r="BU66" s="2000"/>
      <c r="DG66" s="1915"/>
    </row>
    <row r="67" spans="2:111" ht="15" customHeight="1" x14ac:dyDescent="0.2">
      <c r="B67" s="1781"/>
      <c r="C67" s="4090"/>
      <c r="D67" s="1781"/>
      <c r="E67" s="4416" t="str">
        <f t="shared" si="14"/>
        <v/>
      </c>
      <c r="F67" s="1781"/>
      <c r="G67" s="2129" t="s">
        <v>85</v>
      </c>
      <c r="H67" s="1781"/>
      <c r="I67" s="2131" t="s">
        <v>57</v>
      </c>
      <c r="J67" s="1781"/>
      <c r="K67" s="2131" t="s">
        <v>57</v>
      </c>
      <c r="L67" s="1848">
        <f>luc!$G15</f>
        <v>0</v>
      </c>
      <c r="M67" s="1904" t="str">
        <f t="shared" si="15"/>
        <v/>
      </c>
      <c r="N67" s="2128">
        <v>0</v>
      </c>
      <c r="O67" s="2104" t="s">
        <v>86</v>
      </c>
      <c r="P67" s="2128">
        <v>0</v>
      </c>
      <c r="Q67" s="2104" t="s">
        <v>86</v>
      </c>
      <c r="R67" s="1781"/>
      <c r="S67" s="1781"/>
      <c r="T67" s="1781"/>
      <c r="U67" s="1806"/>
      <c r="V67" s="1815">
        <f>luc!$M47</f>
        <v>0</v>
      </c>
      <c r="W67" s="1841">
        <f>luc!$N47</f>
        <v>0</v>
      </c>
      <c r="X67" s="2017"/>
      <c r="Y67" s="1816">
        <f>luc!O47</f>
        <v>0</v>
      </c>
      <c r="Z67" s="4489" t="str">
        <f>IF((OR(AND(K67=I67, K67&lt;&gt;"Please select"), AND(OR(K67="Agroforestry - default", K67="Alley cropping", K67="Hedgerow", K67="Multistrata", K67="Oil palm", K67="Parkland", K67="Perennial fallow", K67="Rubber", K67="Shaded Perennial", K67="Silvoarable", K67="Silvopasture", K67="Tea"), OR(I67="Agroforestry - default", I67="Alley cropping", I67="Hedgerow", I67="Multistrata", I67="Oil palm", I67="Parkland", I67="Perennial fallow", I67="Rubber", I67="Shaded Perennial", I67="Silvoarable", I67="Silvopasture", I67="Tea")))), list!$B$277, "")</f>
        <v/>
      </c>
      <c r="AR67" s="2024" t="str">
        <f t="shared" si="9"/>
        <v/>
      </c>
      <c r="AS67" s="2024" t="str">
        <f t="shared" si="10"/>
        <v>Please select</v>
      </c>
      <c r="AT67" s="1782"/>
      <c r="AU67" s="1782"/>
      <c r="AV67" s="2030">
        <f>luc!H15</f>
        <v>0</v>
      </c>
      <c r="AW67" s="4095"/>
      <c r="AX67" s="2024"/>
      <c r="AY67" s="2030">
        <f t="shared" si="11"/>
        <v>0</v>
      </c>
      <c r="AZ67" s="4095"/>
      <c r="BA67" s="2030"/>
      <c r="BB67" s="2000">
        <f>luc!P15</f>
        <v>0</v>
      </c>
      <c r="BC67" s="4093"/>
      <c r="BD67" s="2030"/>
      <c r="BE67" s="1782"/>
      <c r="BF67" s="2024" t="str">
        <f t="shared" si="12"/>
        <v>Please select</v>
      </c>
      <c r="BG67" s="2024"/>
      <c r="BH67" s="2031">
        <f>luc!J15</f>
        <v>0</v>
      </c>
      <c r="BI67" s="4095"/>
      <c r="BJ67" s="2024"/>
      <c r="BK67" s="2030">
        <f t="shared" si="13"/>
        <v>0</v>
      </c>
      <c r="BL67" s="4095"/>
      <c r="BM67" s="1782"/>
      <c r="BN67" s="2000">
        <f>luc!R15</f>
        <v>0</v>
      </c>
      <c r="BO67" s="4093"/>
      <c r="BP67" s="2030"/>
      <c r="BQ67" s="2030"/>
      <c r="BS67" s="4363">
        <v>1</v>
      </c>
      <c r="BT67" s="4364"/>
      <c r="BU67" s="2000"/>
      <c r="DG67" s="1915"/>
    </row>
    <row r="68" spans="2:111" ht="15" customHeight="1" x14ac:dyDescent="0.2">
      <c r="B68" s="1781"/>
      <c r="C68" s="4090"/>
      <c r="D68" s="1781"/>
      <c r="E68" s="4416" t="str">
        <f t="shared" si="14"/>
        <v/>
      </c>
      <c r="F68" s="1781"/>
      <c r="G68" s="2129" t="s">
        <v>85</v>
      </c>
      <c r="H68" s="1781"/>
      <c r="I68" s="2131" t="s">
        <v>57</v>
      </c>
      <c r="J68" s="1781"/>
      <c r="K68" s="2131" t="s">
        <v>57</v>
      </c>
      <c r="L68" s="1848">
        <f>luc!$G16</f>
        <v>0</v>
      </c>
      <c r="M68" s="1904" t="str">
        <f t="shared" si="15"/>
        <v/>
      </c>
      <c r="N68" s="2128">
        <v>0</v>
      </c>
      <c r="O68" s="2104" t="s">
        <v>86</v>
      </c>
      <c r="P68" s="2128">
        <v>0</v>
      </c>
      <c r="Q68" s="2104" t="s">
        <v>86</v>
      </c>
      <c r="R68" s="1781"/>
      <c r="S68" s="1781"/>
      <c r="T68" s="1781"/>
      <c r="U68" s="1806"/>
      <c r="V68" s="1815">
        <f>luc!$M48</f>
        <v>0</v>
      </c>
      <c r="W68" s="1841">
        <f>luc!$N48</f>
        <v>0</v>
      </c>
      <c r="X68" s="2017"/>
      <c r="Y68" s="1816">
        <f>luc!O48</f>
        <v>0</v>
      </c>
      <c r="Z68" s="4489" t="str">
        <f>IF((OR(AND(K68=I68, K68&lt;&gt;"Please select"), AND(OR(K68="Agroforestry - default", K68="Alley cropping", K68="Hedgerow", K68="Multistrata", K68="Oil palm", K68="Parkland", K68="Perennial fallow", K68="Rubber", K68="Shaded Perennial", K68="Silvoarable", K68="Silvopasture", K68="Tea"), OR(I68="Agroforestry - default", I68="Alley cropping", I68="Hedgerow", I68="Multistrata", I68="Oil palm", I68="Parkland", I68="Perennial fallow", I68="Rubber", I68="Shaded Perennial", I68="Silvoarable", I68="Silvopasture", I68="Tea")))), list!$B$277, "")</f>
        <v/>
      </c>
      <c r="AR68" s="2024" t="str">
        <f t="shared" si="9"/>
        <v/>
      </c>
      <c r="AS68" s="2024" t="str">
        <f t="shared" si="10"/>
        <v>Please select</v>
      </c>
      <c r="AT68" s="1782"/>
      <c r="AU68" s="1782"/>
      <c r="AV68" s="2030">
        <f>luc!H16</f>
        <v>0</v>
      </c>
      <c r="AW68" s="4095"/>
      <c r="AX68" s="2024"/>
      <c r="AY68" s="2030">
        <f t="shared" si="11"/>
        <v>0</v>
      </c>
      <c r="AZ68" s="4095"/>
      <c r="BA68" s="2030"/>
      <c r="BB68" s="2000">
        <f>luc!P16</f>
        <v>0</v>
      </c>
      <c r="BC68" s="4093"/>
      <c r="BD68" s="2030"/>
      <c r="BE68" s="1782"/>
      <c r="BF68" s="2024" t="str">
        <f t="shared" si="12"/>
        <v>Please select</v>
      </c>
      <c r="BG68" s="2024"/>
      <c r="BH68" s="2031">
        <f>luc!J16</f>
        <v>0</v>
      </c>
      <c r="BI68" s="4095"/>
      <c r="BJ68" s="2024"/>
      <c r="BK68" s="2030">
        <f t="shared" si="13"/>
        <v>0</v>
      </c>
      <c r="BL68" s="4095"/>
      <c r="BM68" s="1782"/>
      <c r="BN68" s="2000">
        <f>luc!R16</f>
        <v>0</v>
      </c>
      <c r="BO68" s="4093"/>
      <c r="BP68" s="2030"/>
      <c r="BQ68" s="2030"/>
      <c r="BS68" s="4363">
        <v>1</v>
      </c>
      <c r="BT68" s="4364"/>
      <c r="BU68" s="2000"/>
      <c r="DG68" s="1915"/>
    </row>
    <row r="69" spans="2:111" ht="15" customHeight="1" x14ac:dyDescent="0.2">
      <c r="B69" s="1781"/>
      <c r="C69" s="4090"/>
      <c r="D69" s="1781"/>
      <c r="E69" s="4416" t="str">
        <f t="shared" si="14"/>
        <v/>
      </c>
      <c r="F69" s="1781"/>
      <c r="G69" s="2129" t="s">
        <v>85</v>
      </c>
      <c r="H69" s="1781"/>
      <c r="I69" s="2131" t="s">
        <v>57</v>
      </c>
      <c r="J69" s="1781"/>
      <c r="K69" s="2131" t="s">
        <v>57</v>
      </c>
      <c r="L69" s="1848">
        <f>luc!$G17</f>
        <v>0</v>
      </c>
      <c r="M69" s="1904" t="str">
        <f t="shared" si="15"/>
        <v/>
      </c>
      <c r="N69" s="2128">
        <v>0</v>
      </c>
      <c r="O69" s="2104" t="s">
        <v>86</v>
      </c>
      <c r="P69" s="2128">
        <v>0</v>
      </c>
      <c r="Q69" s="2104" t="s">
        <v>86</v>
      </c>
      <c r="R69" s="1781"/>
      <c r="S69" s="1781"/>
      <c r="T69" s="1781"/>
      <c r="U69" s="1806"/>
      <c r="V69" s="1815">
        <f>luc!$M49</f>
        <v>0</v>
      </c>
      <c r="W69" s="1841">
        <f>luc!$N49</f>
        <v>0</v>
      </c>
      <c r="X69" s="2017"/>
      <c r="Y69" s="1816">
        <f>luc!O49</f>
        <v>0</v>
      </c>
      <c r="Z69" s="4489" t="str">
        <f>IF((OR(AND(K69=I69, K69&lt;&gt;"Please select"), AND(OR(K69="Agroforestry - default", K69="Alley cropping", K69="Hedgerow", K69="Multistrata", K69="Oil palm", K69="Parkland", K69="Perennial fallow", K69="Rubber", K69="Shaded Perennial", K69="Silvoarable", K69="Silvopasture", K69="Tea"), OR(I69="Agroforestry - default", I69="Alley cropping", I69="Hedgerow", I69="Multistrata", I69="Oil palm", I69="Parkland", I69="Perennial fallow", I69="Rubber", I69="Shaded Perennial", I69="Silvoarable", I69="Silvopasture", I69="Tea")))), list!$B$277, "")</f>
        <v/>
      </c>
      <c r="AR69" s="2024" t="str">
        <f t="shared" si="9"/>
        <v/>
      </c>
      <c r="AS69" s="2024" t="str">
        <f t="shared" si="10"/>
        <v>Please select</v>
      </c>
      <c r="AT69" s="1782"/>
      <c r="AU69" s="1782"/>
      <c r="AV69" s="2030">
        <f>luc!H17</f>
        <v>0</v>
      </c>
      <c r="AW69" s="4095"/>
      <c r="AX69" s="2024"/>
      <c r="AY69" s="2030">
        <f t="shared" si="11"/>
        <v>0</v>
      </c>
      <c r="AZ69" s="4095"/>
      <c r="BA69" s="2030"/>
      <c r="BB69" s="2000">
        <f>luc!P17</f>
        <v>0</v>
      </c>
      <c r="BC69" s="4093"/>
      <c r="BD69" s="2030"/>
      <c r="BE69" s="1782"/>
      <c r="BF69" s="2024" t="str">
        <f t="shared" si="12"/>
        <v>Please select</v>
      </c>
      <c r="BG69" s="2024"/>
      <c r="BH69" s="2031">
        <f>luc!J17</f>
        <v>0</v>
      </c>
      <c r="BI69" s="4095"/>
      <c r="BJ69" s="2024"/>
      <c r="BK69" s="2030">
        <f t="shared" si="13"/>
        <v>0</v>
      </c>
      <c r="BL69" s="4095"/>
      <c r="BM69" s="1782"/>
      <c r="BN69" s="2000">
        <f>luc!R17</f>
        <v>0</v>
      </c>
      <c r="BO69" s="4093"/>
      <c r="BP69" s="2030"/>
      <c r="BQ69" s="2030"/>
      <c r="BS69" s="4363">
        <v>1</v>
      </c>
      <c r="BT69" s="4364"/>
      <c r="BU69" s="2000"/>
      <c r="DG69" s="1915"/>
    </row>
    <row r="70" spans="2:111" ht="15" customHeight="1" x14ac:dyDescent="0.2">
      <c r="B70" s="1781"/>
      <c r="C70" s="4091"/>
      <c r="D70" s="1781"/>
      <c r="E70" s="4416" t="str">
        <f t="shared" si="14"/>
        <v/>
      </c>
      <c r="F70" s="1781"/>
      <c r="G70" s="2129" t="s">
        <v>85</v>
      </c>
      <c r="H70" s="1781"/>
      <c r="I70" s="2131" t="s">
        <v>57</v>
      </c>
      <c r="J70" s="1781"/>
      <c r="K70" s="2131" t="s">
        <v>57</v>
      </c>
      <c r="L70" s="1848">
        <f>luc!$G18</f>
        <v>0</v>
      </c>
      <c r="M70" s="1904" t="str">
        <f t="shared" si="15"/>
        <v/>
      </c>
      <c r="N70" s="2128">
        <v>0</v>
      </c>
      <c r="O70" s="2104" t="s">
        <v>86</v>
      </c>
      <c r="P70" s="2128">
        <v>0</v>
      </c>
      <c r="Q70" s="2104" t="s">
        <v>86</v>
      </c>
      <c r="R70" s="1781"/>
      <c r="S70" s="1781"/>
      <c r="T70" s="1781"/>
      <c r="U70" s="1806"/>
      <c r="V70" s="1815">
        <f>luc!$M50</f>
        <v>0</v>
      </c>
      <c r="W70" s="1841">
        <f>luc!$N50</f>
        <v>0</v>
      </c>
      <c r="X70" s="2017"/>
      <c r="Y70" s="1816">
        <f>luc!O50</f>
        <v>0</v>
      </c>
      <c r="Z70" s="4489" t="str">
        <f>IF((OR(AND(K70=I70, K70&lt;&gt;"Please select"), AND(OR(K70="Agroforestry - default", K70="Alley cropping", K70="Hedgerow", K70="Multistrata", K70="Oil palm", K70="Parkland", K70="Perennial fallow", K70="Rubber", K70="Shaded Perennial", K70="Silvoarable", K70="Silvopasture", K70="Tea"), OR(I70="Agroforestry - default", I70="Alley cropping", I70="Hedgerow", I70="Multistrata", I70="Oil palm", I70="Parkland", I70="Perennial fallow", I70="Rubber", I70="Shaded Perennial", I70="Silvoarable", I70="Silvopasture", I70="Tea")))), list!$B$277, "")</f>
        <v/>
      </c>
      <c r="AR70" s="2024" t="str">
        <f t="shared" si="9"/>
        <v/>
      </c>
      <c r="AS70" s="2024" t="str">
        <f t="shared" si="10"/>
        <v>Please select</v>
      </c>
      <c r="AT70" s="1782"/>
      <c r="AU70" s="1782"/>
      <c r="AV70" s="2030">
        <f>luc!H18</f>
        <v>0</v>
      </c>
      <c r="AW70" s="4095"/>
      <c r="AX70" s="2024"/>
      <c r="AY70" s="2030">
        <f t="shared" si="11"/>
        <v>0</v>
      </c>
      <c r="AZ70" s="4095"/>
      <c r="BA70" s="2030"/>
      <c r="BB70" s="2000">
        <f>luc!P18</f>
        <v>0</v>
      </c>
      <c r="BC70" s="4093"/>
      <c r="BD70" s="2030"/>
      <c r="BE70" s="1782"/>
      <c r="BF70" s="2024" t="str">
        <f t="shared" si="12"/>
        <v>Please select</v>
      </c>
      <c r="BG70" s="2024"/>
      <c r="BH70" s="2031">
        <f>luc!J18</f>
        <v>0</v>
      </c>
      <c r="BI70" s="4095"/>
      <c r="BJ70" s="2024"/>
      <c r="BK70" s="2030">
        <f t="shared" si="13"/>
        <v>0</v>
      </c>
      <c r="BL70" s="4095"/>
      <c r="BM70" s="1782"/>
      <c r="BN70" s="2000">
        <f>luc!R18</f>
        <v>0</v>
      </c>
      <c r="BO70" s="4093"/>
      <c r="BP70" s="2030"/>
      <c r="BQ70" s="2030"/>
      <c r="BS70" s="4363">
        <v>1</v>
      </c>
      <c r="BT70" s="4364"/>
      <c r="BU70" s="2000"/>
      <c r="DG70" s="1915"/>
    </row>
    <row r="71" spans="2:111" ht="15" customHeight="1" x14ac:dyDescent="0.2">
      <c r="B71" s="1781"/>
      <c r="C71" s="1781"/>
      <c r="D71" s="1781"/>
      <c r="E71" s="1781"/>
      <c r="F71" s="1781"/>
      <c r="G71" s="1781"/>
      <c r="H71" s="1781"/>
      <c r="I71" s="2032"/>
      <c r="J71" s="1781"/>
      <c r="K71" s="1781"/>
      <c r="L71" s="1781"/>
      <c r="M71" s="1781"/>
      <c r="N71" s="1781"/>
      <c r="O71" s="1781"/>
      <c r="P71" s="1781"/>
      <c r="Q71" s="1781"/>
      <c r="R71" s="1781"/>
      <c r="S71" s="1781"/>
      <c r="T71" s="1781"/>
      <c r="U71" s="1806"/>
      <c r="V71" s="1806"/>
      <c r="W71" s="1806"/>
      <c r="X71" s="1781"/>
      <c r="Y71" s="1806"/>
      <c r="AR71" s="1782"/>
      <c r="AS71" s="1782"/>
      <c r="AT71" s="1782"/>
      <c r="AU71" s="1782"/>
      <c r="AV71" s="1782"/>
      <c r="AW71" s="1782"/>
      <c r="AX71" s="1782"/>
      <c r="AY71" s="1782"/>
      <c r="AZ71" s="1782"/>
      <c r="BA71" s="1782"/>
      <c r="BB71" s="1782"/>
      <c r="BC71" s="1782"/>
      <c r="BD71" s="1782"/>
      <c r="BE71" s="1782"/>
      <c r="BF71" s="1782"/>
      <c r="BG71" s="1782"/>
      <c r="BH71" s="1782"/>
      <c r="BI71" s="1782"/>
      <c r="BJ71" s="1782"/>
      <c r="BK71" s="1782"/>
      <c r="BL71" s="1782"/>
      <c r="BM71" s="1782"/>
      <c r="BN71" s="1782"/>
      <c r="BO71" s="1782"/>
      <c r="BP71" s="1782"/>
      <c r="BQ71" s="1782"/>
      <c r="BS71" s="2000"/>
      <c r="BT71" s="2004"/>
      <c r="BU71" s="2000"/>
      <c r="DG71" s="1915"/>
    </row>
    <row r="72" spans="2:111" ht="16" x14ac:dyDescent="0.2">
      <c r="B72" s="1781"/>
      <c r="C72" s="1781"/>
      <c r="D72" s="1781"/>
      <c r="E72" s="1781"/>
      <c r="F72" s="1781"/>
      <c r="G72" s="1781"/>
      <c r="H72" s="1781"/>
      <c r="I72" s="2033"/>
      <c r="J72" s="1781"/>
      <c r="K72" s="1781"/>
      <c r="L72" s="1781"/>
      <c r="M72" s="1781"/>
      <c r="N72" s="1781"/>
      <c r="O72" s="1781"/>
      <c r="P72" s="1781"/>
      <c r="Q72" s="1781"/>
      <c r="R72" s="1781"/>
      <c r="S72" s="1781"/>
      <c r="T72" s="1781"/>
      <c r="U72" s="1806"/>
      <c r="V72" s="1806"/>
      <c r="W72" s="1780"/>
      <c r="X72" s="1826"/>
      <c r="Y72" s="1780"/>
      <c r="AR72" s="1782"/>
      <c r="AS72" s="1782"/>
      <c r="AT72" s="1782"/>
      <c r="AU72" s="1782"/>
      <c r="AV72" s="1782"/>
      <c r="AW72" s="1782"/>
      <c r="AX72" s="1782"/>
      <c r="AY72" s="1782"/>
      <c r="AZ72" s="1782"/>
      <c r="BA72" s="1782"/>
      <c r="BB72" s="1782"/>
      <c r="BC72" s="1782"/>
      <c r="BD72" s="1782"/>
      <c r="BE72" s="1782"/>
      <c r="BF72" s="1782"/>
      <c r="BG72" s="1782"/>
      <c r="BH72" s="1782"/>
      <c r="BI72" s="1782"/>
      <c r="BJ72" s="1782"/>
      <c r="BK72" s="1782"/>
      <c r="BL72" s="1782"/>
      <c r="BM72" s="1782"/>
      <c r="BN72" s="1782"/>
      <c r="BO72" s="1782"/>
      <c r="BP72" s="1782"/>
      <c r="BQ72" s="1782"/>
      <c r="BS72" s="1999"/>
      <c r="BT72" s="2011"/>
      <c r="BU72" s="2000"/>
    </row>
    <row r="73" spans="2:111" ht="15" customHeight="1" x14ac:dyDescent="0.2">
      <c r="B73" s="1826"/>
      <c r="C73" s="1781"/>
      <c r="D73" s="1781"/>
      <c r="E73" s="1781"/>
      <c r="F73" s="1781"/>
      <c r="G73" s="1781"/>
      <c r="H73" s="1781"/>
      <c r="I73" s="4421" t="str">
        <f>IF(AND(OR(COUNTIF(E61:E70,"*allcrops*"),COUNTIF(E61:E70,"*agroforest*"), COUNTIF(E61:E70,"*rice*"), COUNTIF(E61:E70,"*crop*")), COUNTIF(E61:E70,"*grass*")),"Please go to the Cropland and Grassland modules to complete the assessment",IF((COUNTIF(E61:E70,"*allcrops*") + COUNTIF(E61:E70,"*crop*") + COUNTIF(E61:E70,"*agroforest*") + COUNTIF(E61:E70,"*rice*"))&gt;1, "Please go to the Cropland module to complete the assessment",IF(COUNTIF(E61:E70,"*crop*"),"Please go to section 3.1.1 in the Cropland Module to complete the assessment",IF(COUNTIF(E61:E70,"*Agroforest*"),"Please go to section 3.2.1 in the Cropland Module to complete the assessment",IF(COUNTIF(E61:E70,"*rice*"),"Please go to section 3.3.1 in the Cropland Module to complete the assessment",IF(COUNTIF(E61:E70,"*grass*"),"Please go to section 4.1.1 in the Grassland and livestock Module to complete the assessment",""))))))</f>
        <v>Please go to the Cropland and Grassland modules to complete the assessment</v>
      </c>
      <c r="J73" s="1781"/>
      <c r="K73" s="1781"/>
      <c r="L73" s="1781"/>
      <c r="M73" s="1781"/>
      <c r="N73" s="1853"/>
      <c r="O73" s="1853"/>
      <c r="P73" s="1853"/>
      <c r="Q73" s="1853"/>
      <c r="R73" s="1853"/>
      <c r="S73" s="1853"/>
      <c r="T73" s="2018" t="str">
        <f>Languages!B81</f>
        <v>Total non forest land-use change (tCO2-e)</v>
      </c>
      <c r="U73" s="2034"/>
      <c r="V73" s="2035">
        <f>luc!M52</f>
        <v>971.849999999999</v>
      </c>
      <c r="W73" s="2035">
        <f>luc!N52</f>
        <v>971.849999999999</v>
      </c>
      <c r="X73" s="2008"/>
      <c r="Y73" s="2036">
        <f>luc!O52</f>
        <v>0</v>
      </c>
      <c r="AR73" s="2024"/>
      <c r="AS73" s="2024"/>
      <c r="AT73" s="2024"/>
      <c r="AU73" s="2024"/>
      <c r="AV73" s="2024"/>
      <c r="AW73" s="2024"/>
      <c r="AX73" s="2024"/>
      <c r="AY73" s="2024"/>
      <c r="AZ73" s="2024"/>
      <c r="BA73" s="2024"/>
      <c r="BB73" s="2024"/>
      <c r="BC73" s="2024"/>
      <c r="BD73" s="2024"/>
      <c r="BE73" s="2024"/>
      <c r="BF73" s="2024"/>
      <c r="BG73" s="2024"/>
      <c r="BH73" s="2024"/>
      <c r="BI73" s="2024"/>
      <c r="BJ73" s="2024"/>
      <c r="BK73" s="2024"/>
      <c r="BL73" s="2024"/>
      <c r="BM73" s="2024"/>
      <c r="BN73" s="2024"/>
      <c r="BO73" s="2024"/>
      <c r="BP73" s="2024"/>
      <c r="BQ73" s="2024"/>
      <c r="BS73" s="4548" t="s">
        <v>87</v>
      </c>
      <c r="BT73" s="4548"/>
      <c r="BU73" s="4548"/>
    </row>
    <row r="74" spans="2:111" x14ac:dyDescent="0.2">
      <c r="B74" s="1820"/>
      <c r="C74" s="1781"/>
      <c r="D74" s="1781"/>
      <c r="E74" s="1781"/>
      <c r="F74" s="1781"/>
      <c r="G74" s="1781"/>
      <c r="H74" s="1781"/>
      <c r="I74" s="1781"/>
      <c r="J74" s="1781"/>
      <c r="K74" s="1781"/>
      <c r="L74" s="1781"/>
      <c r="M74" s="1781"/>
      <c r="N74" s="1781"/>
      <c r="O74" s="1781"/>
      <c r="P74" s="1781"/>
      <c r="Q74" s="1781"/>
      <c r="R74" s="1781"/>
      <c r="S74" s="1781"/>
      <c r="T74" s="1781"/>
      <c r="U74" s="1781"/>
      <c r="V74" s="1781"/>
      <c r="W74" s="1781"/>
      <c r="X74" s="1781"/>
      <c r="Y74" s="1781"/>
      <c r="AR74" s="1782"/>
      <c r="AS74" s="1782"/>
      <c r="AT74" s="1782"/>
      <c r="AU74" s="1782"/>
      <c r="AV74" s="1782"/>
      <c r="AW74" s="1782"/>
      <c r="AX74" s="1782"/>
      <c r="AY74" s="1782"/>
      <c r="AZ74" s="1782"/>
      <c r="BA74" s="1782"/>
      <c r="BB74" s="1782"/>
      <c r="BC74" s="1782"/>
      <c r="BD74" s="1782"/>
      <c r="BE74" s="1782"/>
      <c r="BF74" s="1782"/>
      <c r="BG74" s="1782"/>
      <c r="BH74" s="1782"/>
      <c r="BI74" s="1782"/>
      <c r="BJ74" s="1782"/>
      <c r="BK74" s="1782"/>
      <c r="BL74" s="1782"/>
      <c r="BM74" s="1782"/>
      <c r="BN74" s="1782"/>
      <c r="BO74" s="1782"/>
      <c r="BP74" s="1782"/>
      <c r="BQ74" s="1782"/>
      <c r="BS74" s="4548"/>
      <c r="BT74" s="4548"/>
      <c r="BU74" s="4548"/>
    </row>
    <row r="75" spans="2:111" x14ac:dyDescent="0.2">
      <c r="B75" s="2037" t="str">
        <f>Languages!B23</f>
        <v>*The selection of "D" corresponds to a default (linear) dynamics of change. Other selection options include "I" for immediate changes and "E" for exponential - please refer to the guidelines for further explanation of these assumptions.</v>
      </c>
      <c r="C75" s="1806"/>
      <c r="D75" s="1806"/>
      <c r="E75" s="1806"/>
      <c r="F75" s="1806"/>
      <c r="G75" s="1806"/>
      <c r="H75" s="1806"/>
      <c r="I75" s="1806"/>
      <c r="J75" s="1806"/>
      <c r="K75" s="1806"/>
      <c r="L75" s="1806"/>
      <c r="M75" s="1806"/>
      <c r="N75" s="1806"/>
      <c r="O75" s="1806"/>
      <c r="P75" s="1806"/>
      <c r="Q75" s="1806"/>
      <c r="R75" s="1806"/>
      <c r="S75" s="1806"/>
      <c r="T75" s="1806"/>
      <c r="U75" s="1806"/>
      <c r="V75" s="1806"/>
      <c r="W75" s="1806"/>
      <c r="X75" s="1806"/>
      <c r="Y75" s="1806"/>
      <c r="AR75" s="1782"/>
      <c r="AS75" s="1782"/>
      <c r="AT75" s="1782"/>
      <c r="AU75" s="1782"/>
      <c r="AV75" s="1782"/>
      <c r="AW75" s="1782"/>
      <c r="AX75" s="1782"/>
      <c r="AY75" s="1782"/>
      <c r="AZ75" s="1782"/>
      <c r="BA75" s="1782"/>
      <c r="BB75" s="1782"/>
      <c r="BC75" s="1782"/>
      <c r="BD75" s="1782"/>
      <c r="BE75" s="1782"/>
      <c r="BF75" s="1782"/>
      <c r="BG75" s="1782"/>
      <c r="BH75" s="1782"/>
      <c r="BI75" s="1782"/>
      <c r="BJ75" s="1782"/>
      <c r="BK75" s="1782"/>
      <c r="BL75" s="1782"/>
      <c r="BM75" s="1782"/>
      <c r="BN75" s="1782"/>
      <c r="BO75" s="1782"/>
      <c r="BP75" s="1782"/>
      <c r="BQ75" s="1782"/>
      <c r="BS75" s="4548"/>
      <c r="BT75" s="4548"/>
      <c r="BU75" s="4548"/>
    </row>
    <row r="76" spans="2:111" x14ac:dyDescent="0.2">
      <c r="C76" s="1897"/>
      <c r="D76" s="1897"/>
      <c r="E76" s="1897"/>
      <c r="F76" s="1897"/>
      <c r="G76" s="1897"/>
      <c r="H76" s="1897"/>
      <c r="I76" s="1897"/>
      <c r="J76" s="1897"/>
      <c r="K76" s="1897"/>
      <c r="L76" s="1897"/>
      <c r="M76" s="1897"/>
      <c r="N76" s="1897"/>
      <c r="O76" s="1897"/>
      <c r="P76" s="1897"/>
      <c r="Q76" s="1897"/>
      <c r="R76" s="1897"/>
      <c r="S76" s="1897"/>
      <c r="T76" s="1897"/>
      <c r="U76" s="1897"/>
      <c r="V76" s="1897"/>
      <c r="W76" s="1897"/>
      <c r="X76" s="1897"/>
      <c r="Y76" s="1897"/>
    </row>
    <row r="81" spans="26:26" x14ac:dyDescent="0.2">
      <c r="Z81" s="1840"/>
    </row>
  </sheetData>
  <sheetProtection algorithmName="SHA-512" hashValue="X0b3benmjCIOsJ3guIjxvSQjDWXvfxA5ICNC3ffe7GNv9R6uuxtpnSvEz4Z/cmoaRfP/C5O6GoQYn7m1o5lvaQ==" saltValue="zSH2E0lIoDLhgMA5U1jrNg==" spinCount="100000" sheet="1" formatColumns="0"/>
  <dataConsolidate/>
  <mergeCells count="3">
    <mergeCell ref="BS73:BU75"/>
    <mergeCell ref="BY21:CA23"/>
    <mergeCell ref="CF47:CH49"/>
  </mergeCells>
  <conditionalFormatting sqref="Z61:Z70">
    <cfRule type="cellIs" dxfId="197" priority="1" operator="notEqual">
      <formula>""""""</formula>
    </cfRule>
  </conditionalFormatting>
  <dataValidations count="4">
    <dataValidation type="decimal" operator="greaterThanOrEqual" allowBlank="1" showInputMessage="1" showErrorMessage="1" sqref="N36:N43 N61:N70 P36:P43 BL61:BL70 M11:M18 AW61:AW70 AZ61:AZ70 BI61:BI70 P61:P70 AT11:AT18 AW11:AW19 AZ11:AZ19 BC11:BC19 BF11:BF19 BL19 BF36:BF43 BI36:BI43 BL36:BL43" xr:uid="{00000000-0002-0000-0500-000000000000}">
      <formula1>0</formula1>
    </dataValidation>
    <dataValidation type="decimal" operator="greaterThan" allowBlank="1" showInputMessage="1" showErrorMessage="1" sqref="BQ36:BQ43 BZ36:BZ43 BW36:BW43 BT36:BT43 BC61:BC70 BO61:BO70 CC36:CC43 BA36:BA43 BI11:BI18 BV11:BV18" xr:uid="{00000000-0002-0000-0500-000001000000}">
      <formula1>0</formula1>
    </dataValidation>
    <dataValidation type="decimal" operator="lessThanOrEqual" allowBlank="1" showInputMessage="1" showErrorMessage="1" sqref="BN36:BN43" xr:uid="{00000000-0002-0000-0500-000002000000}">
      <formula1>0</formula1>
    </dataValidation>
    <dataValidation type="decimal" allowBlank="1" showErrorMessage="1" error="Please fill the Start situation first." sqref="N11:N18 P11:P18" xr:uid="{00000000-0002-0000-0500-000003000000}">
      <formula1>0</formula1>
      <formula2>$M11</formula2>
    </dataValidation>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500-000004000000}">
          <x14:formula1>
            <xm:f>list!$J$41:$J$42</xm:f>
          </x14:formula1>
          <xm:sqref>G36:G43 G11:G18 G61:G70</xm:sqref>
        </x14:dataValidation>
        <x14:dataValidation type="list" allowBlank="1" showInputMessage="1" showErrorMessage="1" xr:uid="{00000000-0002-0000-0500-000005000000}">
          <x14:formula1>
            <xm:f>list!$I$48:$I$50</xm:f>
          </x14:formula1>
          <xm:sqref>O11:O18 O61:O70 O36:O43 Q36:Q43 Q61:Q70 Q11:Q18</xm:sqref>
        </x14:dataValidation>
        <x14:dataValidation type="list" allowBlank="1" showInputMessage="1" showErrorMessage="1" xr:uid="{00000000-0002-0000-0500-000006000000}">
          <x14:formula1>
            <xm:f>OFFSET(IPCC!$B$571, 1, MATCH(climate, IPCC!$B$571:$F$571,0)-1, COUNTA(OFFSET(IPCC!$B$571,1, MATCH(climate, IPCC!$B$571:$F$571,0)-1,10,1)), 1)</xm:f>
          </x14:formula1>
          <xm:sqref>C11:C18</xm:sqref>
        </x14:dataValidation>
        <x14:dataValidation type="list" allowBlank="1" showInputMessage="1" showErrorMessage="1" xr:uid="{00000000-0002-0000-0500-000007000000}">
          <x14:formula1>
            <xm:f>OFFSET(list!$F$130, 1, MATCH(clim_moist, list!$F$130:$O$130,0)-1, COUNTA(OFFSET(list!$F$130,1, MATCH(clim_moist, list!$F$130:$O$130,0)-1,8,1)), 1)</xm:f>
          </x14:formula1>
          <xm:sqref>I11:I18</xm:sqref>
        </x14:dataValidation>
        <x14:dataValidation type="list" allowBlank="1" showInputMessage="1" showErrorMessage="1" xr:uid="{00000000-0002-0000-0500-000008000000}">
          <x14:formula1>
            <xm:f>IF($I11="Agroforestry", OFFSET(list!$F$139, 1, MATCH(clim_moist, list!$F$139:$O$139,0)-1, COUNTA(OFFSET(list!$F$139,1, MATCH(clim_moist, list!$F$139:$O$139,0)-1,15,1)), 1),)</xm:f>
          </x14:formula1>
          <xm:sqref>K36:K43 K11:K18</xm:sqref>
        </x14:dataValidation>
        <x14:dataValidation type="list" allowBlank="1" showInputMessage="1" showErrorMessage="1" xr:uid="{00000000-0002-0000-0500-000009000000}">
          <x14:formula1>
            <xm:f>list!$F$155:$F$161</xm:f>
          </x14:formula1>
          <xm:sqref>I36:I43</xm:sqref>
        </x14:dataValidation>
        <x14:dataValidation type="list" allowBlank="1" showInputMessage="1" showErrorMessage="1" xr:uid="{00000000-0002-0000-0500-00000A000000}">
          <x14:formula1>
            <xm:f>OFFSET(list!$G$169, 1, MATCH(climate, list!$G$169:$K$169,0)-1, COUNTA(OFFSET(list!$G$169,1, MATCH(climate, list!$G$169:$K$169,0)-1,10,1)), 1)</xm:f>
          </x14:formula1>
          <xm:sqref>I52 C36:C43</xm:sqref>
        </x14:dataValidation>
        <x14:dataValidation type="list" allowBlank="1" showInputMessage="1" showErrorMessage="1" xr:uid="{00000000-0002-0000-0500-00000B000000}">
          <x14:formula1>
            <xm:f>OFFSET(list!$F$186, 1, MATCH(climate, list!$F$186:$J$186,0)-1, COUNTA(OFFSET(list!$F$186,1, MATCH(climate, list!$F$186:$J$186,0)-1,19,1)), 1)</xm:f>
          </x14:formula1>
          <xm:sqref>I61:I70</xm:sqref>
        </x14:dataValidation>
        <x14:dataValidation type="list" allowBlank="1" showInputMessage="1" showErrorMessage="1" prompt="Please make sure the final land use with the project differs from the intitial land use without the project" xr:uid="{00000000-0002-0000-0500-00000C000000}">
          <x14:formula1>
            <xm:f>OFFSET(list!$F$186, 1, MATCH(climate, list!$F$186:$J$186,0)-1, COUNTA(OFFSET(list!$F$186,1, MATCH(climate, list!$F$186:$J$186,0)-1,19,1)), 1)</xm:f>
          </x14:formula1>
          <xm:sqref>K61:K70</xm:sqref>
        </x14:dataValidation>
        <x14:dataValidation type="whole" operator="lessThanOrEqual" allowBlank="1" showInputMessage="1" showErrorMessage="1" error="The start year of the activity cannot be after the end of the implementation period." xr:uid="{00000000-0002-0000-0500-00000D000000}">
          <x14:formula1>
            <xm:f>'1.Description'!$T$13</xm:f>
          </x14:formula1>
          <xm:sqref>BT61:BT70 CG36:CG43 BZ11:BZ18</xm:sqref>
        </x14:dataValidation>
        <x14:dataValidation type="whole" operator="lessThan" allowBlank="1" showInputMessage="1" showErrorMessage="1" error="The start year of the activity cannot be after the end of the implementation period." xr:uid="{00000000-0002-0000-0500-00000E000000}">
          <x14:formula1>
            <xm:f>'1.Description'!#REF!</xm:f>
          </x14:formula1>
          <xm:sqref>BT71</xm:sqref>
        </x14:dataValidation>
        <x14:dataValidation type="whole" operator="lessThan" allowBlank="1" showInputMessage="1" showErrorMessage="1" error="The start year of the activity cannot be after the end of the implementation period." xr:uid="{00000000-0002-0000-0500-00000F000000}">
          <x14:formula1>
            <xm:f>'1.Description'!AD1048547</xm:f>
          </x14:formula1>
          <xm:sqref>BZ19</xm:sqref>
        </x14:dataValidation>
      </x14:dataValidations>
    </ext>
  </extLst>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172735"/>
  </sheetPr>
  <dimension ref="B1:DO660"/>
  <sheetViews>
    <sheetView showGridLines="0" topLeftCell="AP1" zoomScaleNormal="80" workbookViewId="0">
      <pane ySplit="1" topLeftCell="A2" activePane="bottomLeft" state="frozen"/>
      <selection pane="bottomLeft" activeCell="W16" sqref="W16"/>
    </sheetView>
  </sheetViews>
  <sheetFormatPr baseColWidth="10" defaultColWidth="9.33203125" defaultRowHeight="15" customHeight="1" x14ac:dyDescent="0.2"/>
  <cols>
    <col min="1" max="1" width="7" style="1771" customWidth="1"/>
    <col min="2" max="2" width="3" style="1771" customWidth="1"/>
    <col min="3" max="3" width="43.6640625" style="1771" customWidth="1"/>
    <col min="4" max="4" width="0.6640625" style="1771" customWidth="1"/>
    <col min="5" max="5" width="20.6640625" style="1771" customWidth="1"/>
    <col min="6" max="6" width="0.6640625" style="1771" customWidth="1"/>
    <col min="7" max="7" width="38.6640625" style="1863" customWidth="1"/>
    <col min="8" max="8" width="0.5" style="1771" customWidth="1"/>
    <col min="9" max="9" width="38.33203125" style="1771" customWidth="1"/>
    <col min="10" max="10" width="0.6640625" style="1771" customWidth="1"/>
    <col min="11" max="11" width="22.6640625" style="1864" customWidth="1"/>
    <col min="12" max="12" width="0.6640625" style="1771" customWidth="1"/>
    <col min="13" max="13" width="8.6640625" style="1771" customWidth="1"/>
    <col min="14" max="14" width="2.5" style="1771" customWidth="1"/>
    <col min="15" max="15" width="0.6640625" style="1771" customWidth="1"/>
    <col min="16" max="16" width="2.5" style="1771" customWidth="1"/>
    <col min="17" max="17" width="10.5" style="1771" customWidth="1"/>
    <col min="18" max="18" width="10.33203125" style="1771" customWidth="1"/>
    <col min="19" max="19" width="2.6640625" style="1771" customWidth="1"/>
    <col min="20" max="20" width="9.5" style="1771" customWidth="1"/>
    <col min="21" max="21" width="2.6640625" style="1771" customWidth="1"/>
    <col min="22" max="22" width="5.5" style="1771" customWidth="1"/>
    <col min="23" max="23" width="11" style="1771" customWidth="1"/>
    <col min="24" max="24" width="13.5" style="1771" customWidth="1"/>
    <col min="25" max="25" width="2.5" style="1771" customWidth="1"/>
    <col min="26" max="26" width="24.5" style="1771" customWidth="1"/>
    <col min="27" max="36" width="10.5" style="1771" customWidth="1"/>
    <col min="37" max="40" width="15.5" style="1771" customWidth="1"/>
    <col min="41" max="41" width="9.33203125" style="1771" customWidth="1"/>
    <col min="42" max="42" width="48.5" style="1771" bestFit="1" customWidth="1"/>
    <col min="43" max="44" width="9.33203125" style="1771"/>
    <col min="45" max="45" width="12" style="1771" customWidth="1"/>
    <col min="46" max="46" width="9.6640625" style="1771" customWidth="1"/>
    <col min="47" max="47" width="9.33203125" style="1771"/>
    <col min="48" max="48" width="10.5" style="1772" customWidth="1"/>
    <col min="49" max="49" width="9.33203125" style="1771"/>
    <col min="50" max="50" width="10.5" style="1771" customWidth="1"/>
    <col min="51" max="51" width="9.33203125" style="1771"/>
    <col min="52" max="52" width="10.5" style="1771" customWidth="1"/>
    <col min="53" max="56" width="9.33203125" style="1771" customWidth="1"/>
    <col min="57" max="57" width="9.33203125" style="1771"/>
    <col min="58" max="58" width="10" style="1771" bestFit="1" customWidth="1"/>
    <col min="59" max="59" width="9.33203125" style="1771"/>
    <col min="60" max="60" width="11.6640625" style="1771" customWidth="1"/>
    <col min="61" max="61" width="9.33203125" style="1771"/>
    <col min="62" max="62" width="15.6640625" style="1771" customWidth="1"/>
    <col min="63" max="63" width="9.33203125" style="1771"/>
    <col min="64" max="64" width="9.33203125" style="1771" customWidth="1"/>
    <col min="65" max="70" width="9.33203125" style="1771"/>
    <col min="71" max="71" width="1.5" style="1771" customWidth="1"/>
    <col min="72" max="72" width="9.33203125" style="1771"/>
    <col min="73" max="73" width="4.33203125" style="1771" customWidth="1"/>
    <col min="74" max="74" width="6.5" style="1771" customWidth="1"/>
    <col min="75" max="75" width="9.33203125" style="1771"/>
    <col min="76" max="76" width="24.33203125" style="1771" customWidth="1"/>
    <col min="77" max="78" width="9.33203125" style="1771"/>
    <col min="79" max="79" width="6.33203125" style="1771" customWidth="1"/>
    <col min="80" max="81" width="9.33203125" style="1771"/>
    <col min="82" max="82" width="4" style="1771" customWidth="1"/>
    <col min="83" max="84" width="9.33203125" style="1771"/>
    <col min="85" max="85" width="4.5" style="1771" customWidth="1"/>
    <col min="86" max="86" width="10" style="1771" customWidth="1"/>
    <col min="87" max="87" width="9.33203125" style="1771"/>
    <col min="88" max="88" width="5.33203125" style="1771" customWidth="1"/>
    <col min="89" max="91" width="9.33203125" style="1771"/>
    <col min="92" max="92" width="8.5" style="1771" customWidth="1"/>
    <col min="93" max="93" width="3.5" style="1771" customWidth="1"/>
    <col min="94" max="99" width="9.33203125" style="1771"/>
    <col min="100" max="100" width="9.5" style="1771" customWidth="1"/>
    <col min="101" max="101" width="9.33203125" style="1771" customWidth="1"/>
    <col min="102" max="112" width="9.33203125" style="1771"/>
    <col min="113" max="113" width="5.5" style="1771" customWidth="1"/>
    <col min="114" max="114" width="4.33203125" style="1771" customWidth="1"/>
    <col min="115" max="115" width="6.5" style="1771" customWidth="1"/>
    <col min="116" max="116" width="30.5" style="1771" customWidth="1"/>
    <col min="117" max="118" width="9.33203125" style="1771"/>
    <col min="119" max="119" width="4.5" style="1771" customWidth="1"/>
    <col min="120" max="121" width="9.33203125" style="1771"/>
    <col min="122" max="122" width="0.6640625" style="1771" customWidth="1"/>
    <col min="123" max="123" width="1.5" style="1771" customWidth="1"/>
    <col min="124" max="125" width="9.33203125" style="1771"/>
    <col min="126" max="126" width="1.5" style="1771" customWidth="1"/>
    <col min="127" max="128" width="9.33203125" style="1771"/>
    <col min="129" max="129" width="2.5" style="1771" customWidth="1"/>
    <col min="130" max="130" width="9.33203125" style="1771" customWidth="1"/>
    <col min="131" max="131" width="9.33203125" style="1771"/>
    <col min="132" max="132" width="1.5" style="1771" customWidth="1"/>
    <col min="133" max="133" width="9.33203125" style="1771"/>
    <col min="134" max="134" width="9.33203125" style="1771" customWidth="1"/>
    <col min="135" max="135" width="1.5" style="1771" customWidth="1"/>
    <col min="136" max="137" width="9.33203125" style="1771" customWidth="1"/>
    <col min="138" max="138" width="1.6640625" style="1771" customWidth="1"/>
    <col min="139" max="139" width="2" style="1771" customWidth="1"/>
    <col min="140" max="16384" width="9.33203125" style="1771"/>
  </cols>
  <sheetData>
    <row r="1" spans="2:71" s="1767" customFormat="1" ht="100.5" customHeight="1" x14ac:dyDescent="0.2"/>
    <row r="6" spans="2:71" ht="45" customHeight="1" x14ac:dyDescent="0.2">
      <c r="B6" s="1768"/>
      <c r="C6" s="1769" t="str">
        <f>Languages!B124</f>
        <v>3.1. ANNUAL CROPPING SYSTEMS (to be used also for pluri-annual systems such as cotton or sugarcane)</v>
      </c>
      <c r="D6" s="1768"/>
      <c r="E6" s="1768"/>
      <c r="F6" s="1768"/>
      <c r="G6" s="1768"/>
      <c r="H6" s="1768"/>
      <c r="I6" s="1768"/>
      <c r="J6" s="1768"/>
      <c r="K6" s="1767"/>
      <c r="L6" s="1768"/>
      <c r="M6" s="1768"/>
      <c r="N6" s="1768"/>
      <c r="O6" s="1768"/>
      <c r="P6" s="1768"/>
      <c r="Q6" s="1768"/>
      <c r="R6" s="1768"/>
      <c r="S6" s="1768"/>
      <c r="T6" s="1768"/>
      <c r="U6" s="1768"/>
      <c r="V6" s="1767"/>
      <c r="W6" s="1770" t="str">
        <f>'2.LUC'!V5</f>
        <v>If country-specific data are available, please go to Tier 2:</v>
      </c>
      <c r="X6" s="1768"/>
      <c r="Y6" s="1768"/>
      <c r="Z6" s="1768"/>
      <c r="AP6" s="1769" t="str">
        <f>C6</f>
        <v>3.1. ANNUAL CROPPING SYSTEMS (to be used also for pluri-annual systems such as cotton or sugarcane)</v>
      </c>
      <c r="AQ6" s="1769"/>
      <c r="AR6" s="1769"/>
      <c r="AS6" s="1769"/>
      <c r="AT6" s="1769"/>
      <c r="AU6" s="1769"/>
      <c r="AV6" s="1769"/>
      <c r="AW6" s="1769"/>
      <c r="AX6" s="1769"/>
      <c r="AY6" s="1769"/>
      <c r="AZ6" s="1769"/>
      <c r="BA6" s="1769"/>
      <c r="BB6" s="1769"/>
      <c r="BC6" s="1769"/>
      <c r="BD6" s="1769"/>
      <c r="BE6" s="1769"/>
      <c r="BF6" s="1769"/>
      <c r="BG6" s="1769"/>
      <c r="BH6" s="1769"/>
      <c r="BI6" s="1769"/>
      <c r="BJ6" s="1769"/>
      <c r="BK6" s="1769"/>
      <c r="BL6" s="1769"/>
      <c r="BM6" s="1767"/>
      <c r="BO6" s="4366" t="s">
        <v>71</v>
      </c>
      <c r="BP6" s="4366"/>
      <c r="BQ6" s="4366"/>
    </row>
    <row r="7" spans="2:71" ht="5.25" customHeight="1" x14ac:dyDescent="0.2">
      <c r="G7" s="1771"/>
      <c r="K7" s="1771"/>
      <c r="BO7" s="1915"/>
      <c r="BP7" s="1915"/>
    </row>
    <row r="8" spans="2:71" ht="20.25" customHeight="1" x14ac:dyDescent="0.2">
      <c r="B8" s="1773"/>
      <c r="C8" s="1774" t="str">
        <f>Languages!B130</f>
        <v>3.1.1. Annual cropping systems from other LU or converted to other LU</v>
      </c>
      <c r="D8" s="1773"/>
      <c r="E8" s="1773"/>
      <c r="F8" s="1773"/>
      <c r="G8" s="1773"/>
      <c r="H8" s="1773"/>
      <c r="I8" s="1773"/>
      <c r="J8" s="1773"/>
      <c r="K8" s="1773"/>
      <c r="L8" s="1773"/>
      <c r="M8" s="1773"/>
      <c r="N8" s="1773"/>
      <c r="O8" s="1773"/>
      <c r="P8" s="1773"/>
      <c r="Q8" s="1773"/>
      <c r="R8" s="1773"/>
      <c r="S8" s="1773"/>
      <c r="T8" s="1773"/>
      <c r="U8" s="1773"/>
      <c r="V8" s="1773"/>
      <c r="W8" s="1773"/>
      <c r="X8" s="1773"/>
      <c r="Y8" s="1773"/>
      <c r="Z8" s="1773"/>
      <c r="AP8" s="1775" t="str">
        <f>C8</f>
        <v>3.1.1. Annual cropping systems from other LU or converted to other LU</v>
      </c>
      <c r="AQ8" s="1776"/>
      <c r="AR8" s="1776"/>
      <c r="AS8" s="1776"/>
      <c r="AT8" s="1776"/>
      <c r="AU8" s="1776"/>
      <c r="AV8" s="1776"/>
      <c r="AW8" s="1776"/>
      <c r="AX8" s="1776"/>
      <c r="AY8" s="1776"/>
      <c r="AZ8" s="1776"/>
      <c r="BA8" s="1776"/>
      <c r="BB8" s="1776"/>
      <c r="BC8" s="1776"/>
      <c r="BD8" s="1776"/>
      <c r="BE8" s="1776"/>
      <c r="BF8" s="1776"/>
      <c r="BG8" s="1777"/>
      <c r="BH8" s="1777"/>
      <c r="BI8" s="1777"/>
      <c r="BJ8" s="1777"/>
      <c r="BK8" s="1777"/>
      <c r="BL8" s="1778"/>
      <c r="BM8" s="1767"/>
      <c r="BO8" s="1822"/>
      <c r="BP8" s="1822"/>
      <c r="BQ8" s="1822"/>
    </row>
    <row r="9" spans="2:71" ht="15" customHeight="1" x14ac:dyDescent="0.2">
      <c r="B9" s="1781"/>
      <c r="C9" s="1779"/>
      <c r="D9" s="1781"/>
      <c r="E9" s="1780"/>
      <c r="F9" s="1781"/>
      <c r="G9" s="1781"/>
      <c r="H9" s="1781"/>
      <c r="I9" s="1781"/>
      <c r="J9" s="1781"/>
      <c r="K9" s="1781"/>
      <c r="L9" s="1781"/>
      <c r="M9" s="1781"/>
      <c r="N9" s="1781"/>
      <c r="O9" s="1781"/>
      <c r="P9" s="1781"/>
      <c r="Q9" s="1781"/>
      <c r="R9" s="1781"/>
      <c r="S9" s="1781"/>
      <c r="T9" s="1781"/>
      <c r="U9" s="1781"/>
      <c r="V9" s="1781"/>
      <c r="W9" s="1781"/>
      <c r="X9" s="1781"/>
      <c r="Y9" s="1781"/>
      <c r="Z9" s="1781"/>
      <c r="AP9" s="1782"/>
      <c r="AQ9" s="1782"/>
      <c r="AR9" s="1782"/>
      <c r="AS9" s="1782"/>
      <c r="AT9" s="1782"/>
      <c r="AU9" s="1782"/>
      <c r="AV9" s="1782"/>
      <c r="AW9" s="1782"/>
      <c r="AX9" s="1782"/>
      <c r="AY9" s="1782"/>
      <c r="AZ9" s="1782"/>
      <c r="BA9" s="1782"/>
      <c r="BB9" s="1783"/>
      <c r="BC9" s="1782"/>
      <c r="BD9" s="1782"/>
      <c r="BE9" s="1782"/>
      <c r="BF9" s="1782"/>
      <c r="BG9" s="1782"/>
      <c r="BH9" s="1782"/>
      <c r="BI9" s="1782"/>
      <c r="BJ9" s="1782"/>
      <c r="BK9" s="1782"/>
      <c r="BL9" s="1782"/>
      <c r="BM9" s="1782"/>
      <c r="BO9" s="1889" t="s">
        <v>74</v>
      </c>
      <c r="BP9" s="1889"/>
      <c r="BQ9" s="1996"/>
    </row>
    <row r="10" spans="2:71" ht="15" customHeight="1" x14ac:dyDescent="0.2">
      <c r="B10" s="1781"/>
      <c r="C10" s="1781"/>
      <c r="D10" s="1781"/>
      <c r="E10" s="1781"/>
      <c r="F10" s="1781"/>
      <c r="G10" s="1781"/>
      <c r="H10" s="1781"/>
      <c r="I10" s="1781"/>
      <c r="J10" s="1781"/>
      <c r="K10" s="1781"/>
      <c r="L10" s="1781"/>
      <c r="M10" s="1781"/>
      <c r="N10" s="1781"/>
      <c r="O10" s="1781"/>
      <c r="P10" s="1781"/>
      <c r="Q10" s="1781"/>
      <c r="R10" s="1781"/>
      <c r="S10" s="1781"/>
      <c r="T10" s="1781"/>
      <c r="U10" s="1781"/>
      <c r="V10" s="1781"/>
      <c r="W10" s="1781"/>
      <c r="X10" s="1781"/>
      <c r="Y10" s="1781"/>
      <c r="Z10" s="1781"/>
      <c r="AC10" s="4304"/>
      <c r="AP10" s="1784"/>
      <c r="AQ10" s="1784"/>
      <c r="AR10" s="1782"/>
      <c r="AS10" s="1785" t="str">
        <f>Languages!B175</f>
        <v>Main season crop</v>
      </c>
      <c r="AT10" s="1785"/>
      <c r="AU10" s="1785"/>
      <c r="AV10" s="1785"/>
      <c r="AW10" s="1785"/>
      <c r="AX10" s="1785"/>
      <c r="AY10" s="1785"/>
      <c r="AZ10" s="1785"/>
      <c r="BA10" s="1785"/>
      <c r="BB10" s="1786"/>
      <c r="BC10" s="1782"/>
      <c r="BD10" s="1782"/>
      <c r="BE10" s="1782"/>
      <c r="BF10" s="1782"/>
      <c r="BG10" s="1782"/>
      <c r="BH10" s="1787" t="str">
        <f>Languages!B145</f>
        <v>Minor season crop</v>
      </c>
      <c r="BI10" s="1785"/>
      <c r="BJ10" s="1785"/>
      <c r="BK10" s="1785"/>
      <c r="BL10" s="1785"/>
      <c r="BM10" s="1782"/>
      <c r="BO10" s="2014" t="s">
        <v>82</v>
      </c>
      <c r="BP10" s="2014"/>
      <c r="BQ10" s="1996"/>
    </row>
    <row r="11" spans="2:71" ht="15" customHeight="1" x14ac:dyDescent="0.2">
      <c r="B11" s="1781"/>
      <c r="C11" s="1779"/>
      <c r="D11" s="1781"/>
      <c r="E11" s="1780"/>
      <c r="F11" s="1781"/>
      <c r="G11" s="1788" t="str">
        <f>Languages!B146</f>
        <v>Management options for annual cropping systems</v>
      </c>
      <c r="H11" s="1789"/>
      <c r="I11" s="1789"/>
      <c r="J11" s="1781"/>
      <c r="K11" s="1790"/>
      <c r="L11" s="1781"/>
      <c r="M11" s="1781"/>
      <c r="N11" s="1781"/>
      <c r="O11" s="1781"/>
      <c r="P11" s="1781"/>
      <c r="Q11" s="1789"/>
      <c r="R11" s="1791" t="str">
        <f>R21</f>
        <v>Area (ha)</v>
      </c>
      <c r="S11" s="1789"/>
      <c r="T11" s="1789"/>
      <c r="U11" s="1781"/>
      <c r="V11" s="1781"/>
      <c r="W11" s="1792" t="str">
        <f>'2.LUC'!V58</f>
        <v>Total emissions (tCO2-e)</v>
      </c>
      <c r="X11" s="1793"/>
      <c r="Y11" s="1793"/>
      <c r="Z11" s="1793"/>
      <c r="AC11" s="4304"/>
      <c r="AP11" s="1794" t="str">
        <f>C12</f>
        <v>Description</v>
      </c>
      <c r="AQ11" s="1784"/>
      <c r="AR11" s="1782"/>
      <c r="AS11" s="1801" t="str">
        <f>Languages!B75</f>
        <v>Soil carbon</v>
      </c>
      <c r="AT11" s="1801"/>
      <c r="AU11" s="1797"/>
      <c r="AV11" s="1798"/>
      <c r="AW11" s="1797" t="str">
        <f>Languages!B136</f>
        <v>Tillage factor</v>
      </c>
      <c r="AX11" s="1797"/>
      <c r="AY11" s="1799" t="str">
        <f>Languages!B137</f>
        <v>Input factor</v>
      </c>
      <c r="AZ11" s="1800"/>
      <c r="BA11" s="1801" t="str">
        <f>Languages!B139</f>
        <v>Residue/Biomass available</v>
      </c>
      <c r="BB11" s="1800"/>
      <c r="BC11" s="1782"/>
      <c r="BD11" s="1782"/>
      <c r="BE11" s="1782"/>
      <c r="BF11" s="1782"/>
      <c r="BG11" s="1782"/>
      <c r="BH11" s="1795" t="str">
        <f>Languages!B176</f>
        <v>Crop type</v>
      </c>
      <c r="BI11" s="1795" t="str">
        <f>$M$22</f>
        <v>Yield</v>
      </c>
      <c r="BJ11" s="1799" t="str">
        <f>K12</f>
        <v xml:space="preserve">Residue </v>
      </c>
      <c r="BK11" s="1802" t="str">
        <f>BA11</f>
        <v>Residue/Biomass available</v>
      </c>
      <c r="BL11" s="1784"/>
      <c r="BM11" s="1782"/>
      <c r="BO11" s="1996"/>
      <c r="BP11" s="1893"/>
      <c r="BQ11" s="1996"/>
      <c r="BS11" s="1803"/>
    </row>
    <row r="12" spans="2:71" ht="15" customHeight="1" x14ac:dyDescent="0.2">
      <c r="B12" s="1781"/>
      <c r="C12" s="1780" t="str">
        <f>Languages!B104</f>
        <v>Description</v>
      </c>
      <c r="D12" s="1781"/>
      <c r="E12" s="1804" t="str">
        <f>E22</f>
        <v>Main season</v>
      </c>
      <c r="F12" s="1781"/>
      <c r="G12" s="1805" t="str">
        <f>G22</f>
        <v>Tillage</v>
      </c>
      <c r="H12" s="1781"/>
      <c r="I12" s="1805" t="str">
        <f>I22</f>
        <v>Input of</v>
      </c>
      <c r="J12" s="1781"/>
      <c r="K12" s="1805" t="str">
        <f>K22</f>
        <v xml:space="preserve">Residue </v>
      </c>
      <c r="L12" s="1781"/>
      <c r="M12" s="1805" t="str">
        <f>M22</f>
        <v>Yield</v>
      </c>
      <c r="N12" s="1781"/>
      <c r="O12" s="1781"/>
      <c r="P12" s="1781"/>
      <c r="Q12" s="1806" t="str">
        <f>Q23</f>
        <v>Start</v>
      </c>
      <c r="R12" s="1806" t="str">
        <f>R23</f>
        <v>Without</v>
      </c>
      <c r="S12" s="1806"/>
      <c r="T12" s="1806" t="str">
        <f>T23</f>
        <v>With</v>
      </c>
      <c r="U12" s="1781"/>
      <c r="V12" s="1781"/>
      <c r="W12" s="1780" t="str">
        <f>W23</f>
        <v>Without</v>
      </c>
      <c r="X12" s="1780" t="str">
        <f>X23</f>
        <v>With</v>
      </c>
      <c r="Y12" s="1781"/>
      <c r="Z12" s="1780" t="str">
        <f>Z23</f>
        <v>Balance</v>
      </c>
      <c r="AB12" s="4304"/>
      <c r="AC12" s="4304"/>
      <c r="AP12" s="1807"/>
      <c r="AQ12" s="1808"/>
      <c r="AR12" s="1808"/>
      <c r="AS12" s="1795" t="str">
        <f>Languages!B90</f>
        <v>tC/ha</v>
      </c>
      <c r="AT12" s="1782"/>
      <c r="AU12" s="1782"/>
      <c r="AV12" s="1782"/>
      <c r="AW12" s="1782"/>
      <c r="AX12" s="1782"/>
      <c r="AY12" s="1782"/>
      <c r="AZ12" s="1782"/>
      <c r="BA12" s="1800" t="s">
        <v>192</v>
      </c>
      <c r="BB12" s="1800"/>
      <c r="BC12" s="1782"/>
      <c r="BD12" s="1782"/>
      <c r="BE12" s="1782"/>
      <c r="BF12" s="1782"/>
      <c r="BG12" s="1782"/>
      <c r="BH12" s="1795"/>
      <c r="BI12" s="1795"/>
      <c r="BJ12" s="1795" t="str">
        <f>K13</f>
        <v>management</v>
      </c>
      <c r="BK12" s="1800" t="s">
        <v>192</v>
      </c>
      <c r="BL12" s="1809"/>
      <c r="BM12" s="1782"/>
      <c r="BO12" s="1996"/>
      <c r="BP12" s="1893"/>
      <c r="BQ12" s="1996"/>
      <c r="BS12" s="1803"/>
    </row>
    <row r="13" spans="2:71" ht="15" customHeight="1" x14ac:dyDescent="0.25">
      <c r="B13" s="1781"/>
      <c r="C13" s="1781"/>
      <c r="D13" s="1781"/>
      <c r="E13" s="1780" t="str">
        <f>Languages!B142</f>
        <v>Crop</v>
      </c>
      <c r="F13" s="1810"/>
      <c r="G13" s="1805" t="str">
        <f>G23</f>
        <v>management</v>
      </c>
      <c r="H13" s="1811"/>
      <c r="I13" s="1805" t="str">
        <f>I23</f>
        <v xml:space="preserve"> organic material</v>
      </c>
      <c r="J13" s="1781"/>
      <c r="K13" s="1805" t="str">
        <f>K23</f>
        <v>management</v>
      </c>
      <c r="L13" s="1781"/>
      <c r="M13" s="1812" t="str">
        <f>Languages!B200</f>
        <v>(t/ha/yr)</v>
      </c>
      <c r="N13" s="1781"/>
      <c r="O13" s="1781"/>
      <c r="P13" s="1781"/>
      <c r="Q13" s="1781"/>
      <c r="R13" s="1781"/>
      <c r="S13" s="1781"/>
      <c r="T13" s="1781"/>
      <c r="U13" s="1781"/>
      <c r="V13" s="1781"/>
      <c r="W13" s="1781"/>
      <c r="X13" s="1781"/>
      <c r="Y13" s="1781"/>
      <c r="Z13" s="1781"/>
      <c r="AA13" s="1813"/>
      <c r="AB13" s="4304"/>
      <c r="AC13" s="4304"/>
      <c r="AD13" s="1813"/>
      <c r="AE13" s="1813"/>
      <c r="AF13" s="1813"/>
      <c r="AG13" s="1813"/>
      <c r="AH13" s="1813"/>
      <c r="AI13" s="1813"/>
      <c r="AJ13" s="1813"/>
      <c r="AP13" s="1784"/>
      <c r="AQ13" s="1784"/>
      <c r="AR13" s="1784"/>
      <c r="AS13" s="1795" t="str">
        <f>Languages!B55</f>
        <v>Default</v>
      </c>
      <c r="AT13" s="1795" t="str">
        <f>Languages!B17</f>
        <v>Tier 2</v>
      </c>
      <c r="AU13" s="1800"/>
      <c r="AV13" s="1795"/>
      <c r="AW13" s="1795" t="str">
        <f>AS13</f>
        <v>Default</v>
      </c>
      <c r="AX13" s="1795" t="str">
        <f>AT13</f>
        <v>Tier 2</v>
      </c>
      <c r="AY13" s="1797" t="str">
        <f>AW13</f>
        <v>Default</v>
      </c>
      <c r="AZ13" s="1795" t="str">
        <f>AX13</f>
        <v>Tier 2</v>
      </c>
      <c r="BA13" s="1795" t="str">
        <f>AW13</f>
        <v>Default</v>
      </c>
      <c r="BB13" s="1795" t="str">
        <f>AX13</f>
        <v>Tier 2</v>
      </c>
      <c r="BC13" s="1782"/>
      <c r="BD13" s="1782"/>
      <c r="BE13" s="1782"/>
      <c r="BF13" s="1782"/>
      <c r="BG13" s="1782"/>
      <c r="BH13" s="1782"/>
      <c r="BI13" s="1795" t="str">
        <f>'3.Cropland'!M13</f>
        <v>(t/ha/yr)</v>
      </c>
      <c r="BJ13" s="1782"/>
      <c r="BK13" s="1795" t="str">
        <f>BA13</f>
        <v>Default</v>
      </c>
      <c r="BL13" s="1795" t="str">
        <f>BB13</f>
        <v>Tier 2</v>
      </c>
      <c r="BM13" s="1782"/>
      <c r="BO13" s="1996"/>
      <c r="BP13" s="1893"/>
      <c r="BQ13" s="1996"/>
      <c r="BS13" s="1803"/>
    </row>
    <row r="14" spans="2:71" ht="15" customHeight="1" x14ac:dyDescent="0.2">
      <c r="B14" s="1781"/>
      <c r="C14" s="4442" t="str">
        <f>Languages!B125</f>
        <v>Annuals after deforestation</v>
      </c>
      <c r="D14" s="1781"/>
      <c r="E14" s="2129" t="s">
        <v>65</v>
      </c>
      <c r="F14" s="1781"/>
      <c r="G14" s="2129" t="s">
        <v>57</v>
      </c>
      <c r="H14" s="1781"/>
      <c r="I14" s="4096" t="s">
        <v>57</v>
      </c>
      <c r="J14" s="1781"/>
      <c r="K14" s="2129" t="s">
        <v>57</v>
      </c>
      <c r="L14" s="1781"/>
      <c r="M14" s="4097"/>
      <c r="N14" s="1781"/>
      <c r="O14" s="1781"/>
      <c r="P14" s="1781"/>
      <c r="Q14" s="1896">
        <f>annual!D34</f>
        <v>0</v>
      </c>
      <c r="R14" s="1896">
        <f>annual!E34</f>
        <v>0</v>
      </c>
      <c r="S14" s="1896"/>
      <c r="T14" s="1896">
        <f>annual!G34</f>
        <v>0</v>
      </c>
      <c r="U14" s="1896"/>
      <c r="V14" s="1896"/>
      <c r="W14" s="1896">
        <f>annual!$O34</f>
        <v>0</v>
      </c>
      <c r="X14" s="1896">
        <f>annual!$P34</f>
        <v>0</v>
      </c>
      <c r="Y14" s="1896"/>
      <c r="Z14" s="1812">
        <f>annual!$Q34</f>
        <v>0</v>
      </c>
      <c r="AA14" s="1813" t="str">
        <f>IF(OR($G14="No tillage", $G14="Reduced tillage"), "till_impr", IF($G14="Full tillage", "till_conv", "till_?"))</f>
        <v>till_?</v>
      </c>
      <c r="AB14" s="4304"/>
      <c r="AC14" s="4304"/>
      <c r="AD14" s="1813"/>
      <c r="AE14" s="1813"/>
      <c r="AF14" s="1813"/>
      <c r="AG14" s="1813"/>
      <c r="AH14" s="1813"/>
      <c r="AI14" s="1813"/>
      <c r="AJ14" s="1813"/>
      <c r="AP14" s="1800" t="str">
        <f>C14</f>
        <v>Annuals after deforestation</v>
      </c>
      <c r="AQ14" s="1784"/>
      <c r="AR14" s="1784"/>
      <c r="AS14" s="2003">
        <f>IF('3.Cropland'!$G$14 &lt;&gt;"Please select", SOCref*VLOOKUP(clim_moist,IPCC!$A$57:$B$68,2,FALSE), 0)</f>
        <v>0</v>
      </c>
      <c r="AT14" s="4105"/>
      <c r="AU14" s="1817"/>
      <c r="AV14" s="4086"/>
      <c r="AW14" s="1817">
        <f>_xlfn.IFNA(INDEX(IPCC!$F$58:$H$68,MATCH(clim_moist,IPCC!$A$58:$A$68,0),MATCH('3.Cropland'!$G14,IPCC!$F$58:$H$58,0)),)</f>
        <v>0</v>
      </c>
      <c r="AX14" s="2121"/>
      <c r="AY14" s="1817">
        <f>_xlfn.IFNA(INDEX(IPCC!$I$58:$L$68,MATCH(clim_moist,IPCC!$A$58:$A$68,0),MATCH('3.Cropland'!$I14,IPCC!$I$58:$L$58,0)),)</f>
        <v>0</v>
      </c>
      <c r="AZ14" s="2121"/>
      <c r="BA14" s="1817">
        <f>annual!I64</f>
        <v>7.6193788355317897</v>
      </c>
      <c r="BB14" s="2121"/>
      <c r="BC14" s="1782"/>
      <c r="BD14" s="1782"/>
      <c r="BE14" s="1782"/>
      <c r="BF14" s="1782"/>
      <c r="BG14" s="1782"/>
      <c r="BH14" s="4106" t="s">
        <v>391</v>
      </c>
      <c r="BI14" s="4107"/>
      <c r="BJ14" s="4105" t="s">
        <v>57</v>
      </c>
      <c r="BK14" s="1817">
        <f>annual!$T64</f>
        <v>0</v>
      </c>
      <c r="BL14" s="2121"/>
      <c r="BM14" s="1782"/>
      <c r="BO14" s="4363">
        <v>1</v>
      </c>
      <c r="BP14" s="4364"/>
      <c r="BQ14" s="1996"/>
      <c r="BS14" s="1803"/>
    </row>
    <row r="15" spans="2:71" ht="15" customHeight="1" x14ac:dyDescent="0.2">
      <c r="B15" s="1781"/>
      <c r="C15" s="4442" t="str">
        <f>Languages!B126</f>
        <v>Annuals converted to forest land</v>
      </c>
      <c r="D15" s="1781"/>
      <c r="E15" s="2129" t="s">
        <v>65</v>
      </c>
      <c r="F15" s="1781"/>
      <c r="G15" s="2129" t="s">
        <v>57</v>
      </c>
      <c r="H15" s="1781"/>
      <c r="I15" s="4096" t="s">
        <v>57</v>
      </c>
      <c r="J15" s="1781"/>
      <c r="K15" s="2129" t="s">
        <v>57</v>
      </c>
      <c r="L15" s="1781"/>
      <c r="M15" s="4097"/>
      <c r="N15" s="1781"/>
      <c r="O15" s="1781"/>
      <c r="P15" s="1781"/>
      <c r="Q15" s="1896">
        <f>annual!D35</f>
        <v>0</v>
      </c>
      <c r="R15" s="1896">
        <f>annual!E35</f>
        <v>0</v>
      </c>
      <c r="S15" s="1896"/>
      <c r="T15" s="1896">
        <f>annual!G35</f>
        <v>0</v>
      </c>
      <c r="U15" s="1896"/>
      <c r="V15" s="1896"/>
      <c r="W15" s="1896">
        <f>annual!$O35</f>
        <v>0</v>
      </c>
      <c r="X15" s="1896">
        <f>annual!$P35</f>
        <v>0</v>
      </c>
      <c r="Y15" s="1896"/>
      <c r="Z15" s="1812">
        <f>annual!$Q35</f>
        <v>0</v>
      </c>
      <c r="AA15" s="1813" t="str">
        <f>IF(OR($G15="No tillage", $G15="Reduced tillage"), "till_impr", IF($G15="Full tillage", "till_conv", "till_?"))</f>
        <v>till_?</v>
      </c>
      <c r="AB15" s="4304"/>
      <c r="AC15" s="4305"/>
      <c r="AD15" s="1813"/>
      <c r="AE15" s="1813"/>
      <c r="AF15" s="1813"/>
      <c r="AG15" s="1813"/>
      <c r="AH15" s="1813"/>
      <c r="AI15" s="1813"/>
      <c r="AJ15" s="1813"/>
      <c r="AP15" s="1800" t="str">
        <f>C15</f>
        <v>Annuals converted to forest land</v>
      </c>
      <c r="AQ15" s="1784"/>
      <c r="AR15" s="1784"/>
      <c r="AS15" s="2003">
        <f>IF('3.Cropland'!$G$15 &lt;&gt;"Please select", SOCref*VLOOKUP(clim_moist,IPCC!$A$57:$B$68,2,FALSE), 0)</f>
        <v>0</v>
      </c>
      <c r="AT15" s="4105"/>
      <c r="AU15" s="1817"/>
      <c r="AV15" s="4086"/>
      <c r="AW15" s="1817">
        <f>_xlfn.IFNA(INDEX(IPCC!$F$58:$H$68,MATCH(clim_moist,IPCC!$A$58:$A$68,0),MATCH('3.Cropland'!$G15,IPCC!$F$58:$H$58,0)),)</f>
        <v>0</v>
      </c>
      <c r="AX15" s="2121"/>
      <c r="AY15" s="1817">
        <f>_xlfn.IFNA(INDEX(IPCC!$I$58:$L$68,MATCH(clim_moist,IPCC!$A$58:$A$68,0),MATCH('3.Cropland'!$I15,IPCC!$I$58:$L$58,0)),)</f>
        <v>0</v>
      </c>
      <c r="AZ15" s="2121"/>
      <c r="BA15" s="1817">
        <f>annual!I65</f>
        <v>7.6193788355317897</v>
      </c>
      <c r="BB15" s="2121"/>
      <c r="BC15" s="1782"/>
      <c r="BD15" s="1782"/>
      <c r="BE15" s="1782"/>
      <c r="BF15" s="1782"/>
      <c r="BG15" s="1782"/>
      <c r="BH15" s="4106" t="s">
        <v>391</v>
      </c>
      <c r="BI15" s="4107"/>
      <c r="BJ15" s="4105" t="s">
        <v>57</v>
      </c>
      <c r="BK15" s="1817">
        <f>annual!T65</f>
        <v>0</v>
      </c>
      <c r="BL15" s="2121"/>
      <c r="BM15" s="1782"/>
      <c r="BO15" s="4363">
        <v>1</v>
      </c>
      <c r="BP15" s="4364"/>
      <c r="BQ15" s="1996"/>
      <c r="BS15" s="1803"/>
    </row>
    <row r="16" spans="2:71" ht="15" customHeight="1" x14ac:dyDescent="0.2">
      <c r="B16" s="1781"/>
      <c r="C16" s="4442" t="str">
        <f>Languages!B127</f>
        <v>Annuals converted from non-forest LUs</v>
      </c>
      <c r="D16" s="1781"/>
      <c r="E16" s="2129" t="s">
        <v>491</v>
      </c>
      <c r="F16" s="1781"/>
      <c r="G16" s="2129" t="s">
        <v>1387</v>
      </c>
      <c r="H16" s="1781"/>
      <c r="I16" s="4096" t="s">
        <v>1399</v>
      </c>
      <c r="J16" s="1781"/>
      <c r="K16" s="2129" t="s">
        <v>1422</v>
      </c>
      <c r="L16" s="1781"/>
      <c r="M16" s="4097"/>
      <c r="N16" s="1781"/>
      <c r="O16" s="1781"/>
      <c r="P16" s="1781"/>
      <c r="Q16" s="1896">
        <f>annual!D36</f>
        <v>0</v>
      </c>
      <c r="R16" s="1896">
        <f>annual!E36</f>
        <v>150</v>
      </c>
      <c r="S16" s="1896"/>
      <c r="T16" s="1896">
        <f>annual!G36</f>
        <v>150</v>
      </c>
      <c r="U16" s="1896"/>
      <c r="V16" s="1896"/>
      <c r="W16" s="1896">
        <f>annual!$O36</f>
        <v>-1.6739007897861313</v>
      </c>
      <c r="X16" s="1896">
        <f>annual!$P36</f>
        <v>-1.6739007897861313</v>
      </c>
      <c r="Y16" s="1896"/>
      <c r="Z16" s="1812">
        <f>annual!$Q36</f>
        <v>0</v>
      </c>
      <c r="AA16" s="1813" t="str">
        <f>IF(OR($G16="No tillage", $G16="Reduced tillage"), "till_impr", IF($G16="Full tillage", "till_conv", "till_?"))</f>
        <v>till_conv</v>
      </c>
      <c r="AB16" s="4304"/>
      <c r="AC16" s="4304"/>
      <c r="AD16" s="1813"/>
      <c r="AE16" s="1813"/>
      <c r="AF16" s="1813"/>
      <c r="AG16" s="1813"/>
      <c r="AH16" s="1813"/>
      <c r="AI16" s="1813"/>
      <c r="AJ16" s="1813"/>
      <c r="AP16" s="1800" t="str">
        <f>C16</f>
        <v>Annuals converted from non-forest LUs</v>
      </c>
      <c r="AQ16" s="1784"/>
      <c r="AR16" s="1784"/>
      <c r="AS16" s="2003">
        <f>IF('3.Cropland'!$G$16 &lt;&gt;"Please select", SOCref*VLOOKUP(clim_moist,IPCC!$A$57:$B$68,2,FALSE), 0)</f>
        <v>18.240000000000002</v>
      </c>
      <c r="AT16" s="4105"/>
      <c r="AU16" s="1817"/>
      <c r="AV16" s="4086"/>
      <c r="AW16" s="1817">
        <f>_xlfn.IFNA(INDEX(IPCC!$F$58:$H$68,MATCH(clim_moist,IPCC!$A$58:$A$68,0),MATCH('3.Cropland'!$G16,IPCC!$F$58:$H$58,0)),)</f>
        <v>1</v>
      </c>
      <c r="AX16" s="2121"/>
      <c r="AY16" s="1817">
        <f>_xlfn.IFNA(INDEX(IPCC!$I$58:$L$68,MATCH(clim_moist,IPCC!$A$58:$A$68,0),MATCH('3.Cropland'!$I16,IPCC!$I$58:$L$58,0)),)</f>
        <v>1.04</v>
      </c>
      <c r="AZ16" s="2121"/>
      <c r="BA16" s="1817">
        <f>annual!I66</f>
        <v>7.0628255999999991</v>
      </c>
      <c r="BB16" s="2121"/>
      <c r="BC16" s="1782"/>
      <c r="BD16" s="1782"/>
      <c r="BE16" s="1782"/>
      <c r="BF16" s="1782"/>
      <c r="BG16" s="1782"/>
      <c r="BH16" s="4106" t="s">
        <v>391</v>
      </c>
      <c r="BI16" s="4107"/>
      <c r="BJ16" s="4105" t="s">
        <v>57</v>
      </c>
      <c r="BK16" s="1817">
        <f>annual!$T66</f>
        <v>0</v>
      </c>
      <c r="BL16" s="2121"/>
      <c r="BM16" s="1782"/>
      <c r="BO16" s="4363">
        <v>1</v>
      </c>
      <c r="BP16" s="4364"/>
      <c r="BQ16" s="1996"/>
      <c r="BS16" s="1803"/>
    </row>
    <row r="17" spans="2:71" ht="15" customHeight="1" x14ac:dyDescent="0.2">
      <c r="B17" s="1781"/>
      <c r="C17" s="4442" t="str">
        <f>Languages!B128</f>
        <v>Annuals converted to non-forest Lus</v>
      </c>
      <c r="D17" s="1781"/>
      <c r="E17" s="2129" t="s">
        <v>65</v>
      </c>
      <c r="F17" s="1781"/>
      <c r="G17" s="2129" t="s">
        <v>57</v>
      </c>
      <c r="H17" s="1781"/>
      <c r="I17" s="4096" t="s">
        <v>57</v>
      </c>
      <c r="J17" s="1781"/>
      <c r="K17" s="2129" t="s">
        <v>57</v>
      </c>
      <c r="L17" s="1781"/>
      <c r="M17" s="4097"/>
      <c r="N17" s="1781"/>
      <c r="O17" s="1781"/>
      <c r="P17" s="1781"/>
      <c r="Q17" s="1896">
        <f>annual!D37</f>
        <v>0</v>
      </c>
      <c r="R17" s="1896">
        <f>annual!E37</f>
        <v>0</v>
      </c>
      <c r="S17" s="1896"/>
      <c r="T17" s="1896">
        <f>annual!G37</f>
        <v>0</v>
      </c>
      <c r="U17" s="1896"/>
      <c r="V17" s="1896"/>
      <c r="W17" s="1896">
        <f>annual!$O37</f>
        <v>0</v>
      </c>
      <c r="X17" s="1896">
        <f>annual!$P37</f>
        <v>0</v>
      </c>
      <c r="Y17" s="1896"/>
      <c r="Z17" s="1812">
        <f>annual!$Q37</f>
        <v>0</v>
      </c>
      <c r="AA17" s="1813" t="str">
        <f>IF(OR($G17="No tillage", $G17="Reduced tillage"), "till_impr", IF($G17="Full tillage", "till_conv", "till_?"))</f>
        <v>till_?</v>
      </c>
      <c r="AB17" s="4305"/>
      <c r="AC17" s="4304"/>
      <c r="AD17" s="1813"/>
      <c r="AE17" s="1813"/>
      <c r="AF17" s="1813"/>
      <c r="AG17" s="1813"/>
      <c r="AH17" s="1813"/>
      <c r="AI17" s="1813"/>
      <c r="AJ17" s="1813"/>
      <c r="AP17" s="1800" t="str">
        <f>C17</f>
        <v>Annuals converted to non-forest Lus</v>
      </c>
      <c r="AQ17" s="1784"/>
      <c r="AR17" s="1784"/>
      <c r="AS17" s="2003">
        <f>IF('3.Cropland'!$G$17 &lt;&gt;"Please select", SOCref*VLOOKUP(clim_moist,IPCC!$A$57:$B$68,2,FALSE), 0)</f>
        <v>0</v>
      </c>
      <c r="AT17" s="4105"/>
      <c r="AU17" s="1817"/>
      <c r="AV17" s="4086"/>
      <c r="AW17" s="1817">
        <f>_xlfn.IFNA(INDEX(IPCC!$F$58:$H$68,MATCH(clim_moist,IPCC!$A$58:$A$68,0),MATCH('3.Cropland'!$G17,IPCC!$F$58:$H$58,0)),)</f>
        <v>0</v>
      </c>
      <c r="AX17" s="2121"/>
      <c r="AY17" s="1817">
        <f>_xlfn.IFNA(INDEX(IPCC!$I$58:$L$68,MATCH(clim_moist,IPCC!$A$58:$A$68,0),MATCH('3.Cropland'!$I17,IPCC!$I$58:$L$58,0)),)</f>
        <v>0</v>
      </c>
      <c r="AZ17" s="2121"/>
      <c r="BA17" s="1817">
        <f>annual!I67</f>
        <v>7.6193788355317897</v>
      </c>
      <c r="BB17" s="2121"/>
      <c r="BC17" s="1782"/>
      <c r="BD17" s="1782"/>
      <c r="BE17" s="1782"/>
      <c r="BF17" s="1782"/>
      <c r="BG17" s="1782"/>
      <c r="BH17" s="4106" t="s">
        <v>391</v>
      </c>
      <c r="BI17" s="4107"/>
      <c r="BJ17" s="4105" t="s">
        <v>57</v>
      </c>
      <c r="BK17" s="1817">
        <f>annual!T67</f>
        <v>0</v>
      </c>
      <c r="BL17" s="2121"/>
      <c r="BM17" s="1782"/>
      <c r="BO17" s="4363">
        <v>1</v>
      </c>
      <c r="BP17" s="4364"/>
      <c r="BQ17" s="1996"/>
      <c r="BS17" s="1819"/>
    </row>
    <row r="18" spans="2:71" ht="8.75" customHeight="1" x14ac:dyDescent="0.2">
      <c r="B18" s="1781"/>
      <c r="C18" s="1820"/>
      <c r="D18" s="1820"/>
      <c r="E18" s="1820"/>
      <c r="F18" s="1820"/>
      <c r="G18" s="1820"/>
      <c r="H18" s="1820"/>
      <c r="I18" s="1820"/>
      <c r="J18" s="1781"/>
      <c r="K18" s="1790"/>
      <c r="L18" s="1781"/>
      <c r="M18" s="1781"/>
      <c r="N18" s="1781"/>
      <c r="O18" s="1781"/>
      <c r="P18" s="1781"/>
      <c r="Q18" s="1781"/>
      <c r="R18" s="1781"/>
      <c r="S18" s="1781"/>
      <c r="T18" s="1781"/>
      <c r="U18" s="1781"/>
      <c r="V18" s="1781"/>
      <c r="W18" s="1781"/>
      <c r="X18" s="1781"/>
      <c r="Y18" s="1781"/>
      <c r="Z18" s="1781"/>
      <c r="AA18" s="1813"/>
      <c r="AB18" s="4304"/>
      <c r="AC18" s="4304"/>
      <c r="AD18" s="1813"/>
      <c r="AE18" s="1813"/>
      <c r="AF18" s="1813"/>
      <c r="AG18" s="1813"/>
      <c r="AH18" s="1813"/>
      <c r="AI18" s="1813"/>
      <c r="AJ18" s="1813"/>
      <c r="AP18" s="1784"/>
      <c r="AQ18" s="1784"/>
      <c r="AR18" s="1784"/>
      <c r="AS18" s="1782"/>
      <c r="AT18" s="1782"/>
      <c r="AU18" s="1782"/>
      <c r="AV18" s="1782"/>
      <c r="AW18" s="1782"/>
      <c r="AX18" s="1782"/>
      <c r="AY18" s="1782"/>
      <c r="AZ18" s="1782"/>
      <c r="BA18" s="1782"/>
      <c r="BB18" s="1782"/>
      <c r="BC18" s="1782"/>
      <c r="BD18" s="1782"/>
      <c r="BE18" s="1782"/>
      <c r="BF18" s="1782"/>
      <c r="BG18" s="1782"/>
      <c r="BH18" s="1782"/>
      <c r="BI18" s="1782"/>
      <c r="BJ18" s="1782"/>
      <c r="BK18" s="1782"/>
      <c r="BL18" s="1782"/>
      <c r="BM18" s="1782"/>
      <c r="BO18" s="1996"/>
      <c r="BP18" s="1893"/>
      <c r="BQ18" s="1996"/>
      <c r="BS18" s="1803"/>
    </row>
    <row r="19" spans="2:71" ht="21.5" customHeight="1" x14ac:dyDescent="0.2">
      <c r="B19" s="1767"/>
      <c r="C19" s="1774" t="str">
        <f>Languages!B131</f>
        <v>3.1.2. Annual cropping systems remaining annual cropping systems (total area must remain constant)</v>
      </c>
      <c r="D19" s="1773"/>
      <c r="E19" s="1773"/>
      <c r="F19" s="1773"/>
      <c r="G19" s="1773"/>
      <c r="H19" s="1773"/>
      <c r="I19" s="1773"/>
      <c r="J19" s="1773"/>
      <c r="K19" s="1773"/>
      <c r="L19" s="1773"/>
      <c r="M19" s="1773"/>
      <c r="N19" s="1773"/>
      <c r="O19" s="1773"/>
      <c r="P19" s="1773"/>
      <c r="Q19" s="1773"/>
      <c r="R19" s="1773"/>
      <c r="S19" s="1773"/>
      <c r="T19" s="1773"/>
      <c r="U19" s="1773"/>
      <c r="V19" s="1773"/>
      <c r="W19" s="1773"/>
      <c r="X19" s="1773"/>
      <c r="Y19" s="1773"/>
      <c r="Z19" s="1773"/>
      <c r="AA19" s="1821"/>
      <c r="AB19" s="4304"/>
      <c r="AC19" s="4304"/>
      <c r="AD19" s="1821"/>
      <c r="AE19" s="1821"/>
      <c r="AF19" s="1821"/>
      <c r="AG19" s="1821"/>
      <c r="AH19" s="1821"/>
      <c r="AI19" s="1821"/>
      <c r="AJ19" s="1821"/>
      <c r="AP19" s="1775" t="str">
        <f>C19</f>
        <v>3.1.2. Annual cropping systems remaining annual cropping systems (total area must remain constant)</v>
      </c>
      <c r="AQ19" s="1822"/>
      <c r="AR19" s="1822"/>
      <c r="AS19" s="1822"/>
      <c r="AT19" s="1822"/>
      <c r="AU19" s="1822"/>
      <c r="AV19" s="1822"/>
      <c r="AW19" s="1822"/>
      <c r="AX19" s="1822"/>
      <c r="AY19" s="1822"/>
      <c r="AZ19" s="1822"/>
      <c r="BA19" s="1822"/>
      <c r="BB19" s="1822"/>
      <c r="BC19" s="1822"/>
      <c r="BD19" s="1822"/>
      <c r="BE19" s="1822"/>
      <c r="BF19" s="1822"/>
      <c r="BG19" s="1822"/>
      <c r="BH19" s="1822"/>
      <c r="BI19" s="1822"/>
      <c r="BJ19" s="1822"/>
      <c r="BK19" s="1822"/>
      <c r="BL19" s="1822"/>
      <c r="BM19" s="1822"/>
      <c r="BO19" s="1822"/>
      <c r="BP19" s="1822"/>
      <c r="BQ19" s="1822"/>
      <c r="BS19" s="1803"/>
    </row>
    <row r="20" spans="2:71" ht="15" customHeight="1" x14ac:dyDescent="0.2">
      <c r="B20" s="1781"/>
      <c r="C20" s="1781"/>
      <c r="D20" s="1781"/>
      <c r="E20" s="1781"/>
      <c r="F20" s="1781"/>
      <c r="G20" s="1781"/>
      <c r="H20" s="1781"/>
      <c r="I20" s="1781"/>
      <c r="J20" s="1781"/>
      <c r="K20" s="1781"/>
      <c r="L20" s="1781"/>
      <c r="M20" s="1781"/>
      <c r="N20" s="1781"/>
      <c r="O20" s="1781"/>
      <c r="P20" s="1781"/>
      <c r="Q20" s="1781"/>
      <c r="R20" s="1781"/>
      <c r="S20" s="1781"/>
      <c r="T20" s="1781"/>
      <c r="U20" s="1781"/>
      <c r="V20" s="1781"/>
      <c r="W20" s="1781"/>
      <c r="X20" s="1781"/>
      <c r="Y20" s="1781"/>
      <c r="Z20" s="1781"/>
      <c r="AA20" s="1813"/>
      <c r="AB20" s="4304"/>
      <c r="AC20" s="1813"/>
      <c r="AD20" s="1813"/>
      <c r="AE20" s="1813"/>
      <c r="AF20" s="1813"/>
      <c r="AG20" s="1813"/>
      <c r="AH20" s="1813"/>
      <c r="AI20" s="1813"/>
      <c r="AJ20" s="1813"/>
      <c r="AP20" s="1782"/>
      <c r="AQ20" s="1782"/>
      <c r="AR20" s="1782"/>
      <c r="AS20" s="1782"/>
      <c r="AT20" s="1782"/>
      <c r="AU20" s="1782"/>
      <c r="AV20" s="1782"/>
      <c r="AW20" s="1782"/>
      <c r="AX20" s="1782"/>
      <c r="AY20" s="1782"/>
      <c r="AZ20" s="1782"/>
      <c r="BA20" s="1782"/>
      <c r="BB20" s="1783"/>
      <c r="BC20" s="1782"/>
      <c r="BD20" s="1782"/>
      <c r="BE20" s="1782"/>
      <c r="BF20" s="1782"/>
      <c r="BG20" s="1782"/>
      <c r="BH20" s="1782"/>
      <c r="BI20" s="1782"/>
      <c r="BJ20" s="1782"/>
      <c r="BK20" s="1782"/>
      <c r="BL20" s="1782"/>
      <c r="BM20" s="1782"/>
      <c r="BO20" s="4385"/>
      <c r="BP20" s="4385"/>
      <c r="BQ20" s="4385"/>
      <c r="BS20" s="1803"/>
    </row>
    <row r="21" spans="2:71" ht="15" customHeight="1" x14ac:dyDescent="0.2">
      <c r="B21" s="1781"/>
      <c r="C21" s="1781"/>
      <c r="D21" s="1781"/>
      <c r="E21" s="1781"/>
      <c r="F21" s="1781"/>
      <c r="G21" s="1823" t="str">
        <f>G11</f>
        <v>Management options for annual cropping systems</v>
      </c>
      <c r="H21" s="1789"/>
      <c r="I21" s="1789"/>
      <c r="J21" s="1824"/>
      <c r="K21" s="1825"/>
      <c r="L21" s="1825"/>
      <c r="M21" s="1781"/>
      <c r="N21" s="1781"/>
      <c r="O21" s="1781"/>
      <c r="P21" s="1781"/>
      <c r="Q21" s="1789"/>
      <c r="R21" s="1791" t="str">
        <f>Languages!B115</f>
        <v>Area (ha)</v>
      </c>
      <c r="S21" s="1789"/>
      <c r="T21" s="1789"/>
      <c r="U21" s="1789"/>
      <c r="V21" s="1781"/>
      <c r="W21" s="1792" t="str">
        <f>W11</f>
        <v>Total emissions (tCO2-e)</v>
      </c>
      <c r="X21" s="1781"/>
      <c r="Y21" s="1781"/>
      <c r="Z21" s="1780"/>
      <c r="AA21" s="1813"/>
      <c r="AB21" s="4304"/>
      <c r="AC21" s="1813"/>
      <c r="AD21" s="1813"/>
      <c r="AE21" s="1813"/>
      <c r="AF21" s="1813"/>
      <c r="AG21" s="1813"/>
      <c r="AH21" s="1813"/>
      <c r="AI21" s="1813"/>
      <c r="AJ21" s="1813"/>
      <c r="AP21" s="1782"/>
      <c r="AQ21" s="1782"/>
      <c r="AR21" s="1782"/>
      <c r="AS21" s="1785" t="str">
        <f>AS10</f>
        <v>Main season crop</v>
      </c>
      <c r="AT21" s="1785"/>
      <c r="AU21" s="1785"/>
      <c r="AV21" s="1785"/>
      <c r="AW21" s="1785"/>
      <c r="AX21" s="1785"/>
      <c r="AY21" s="1785"/>
      <c r="AZ21" s="1785"/>
      <c r="BA21" s="1785"/>
      <c r="BB21" s="1786"/>
      <c r="BC21" s="1782"/>
      <c r="BD21" s="1782"/>
      <c r="BE21" s="1782"/>
      <c r="BF21" s="1782"/>
      <c r="BG21" s="1782"/>
      <c r="BH21" s="1787" t="s">
        <v>380</v>
      </c>
      <c r="BI21" s="1785"/>
      <c r="BJ21" s="1785"/>
      <c r="BK21" s="1785"/>
      <c r="BL21" s="1785"/>
      <c r="BM21" s="1782"/>
      <c r="BO21" s="4385"/>
      <c r="BP21" s="4385"/>
      <c r="BQ21" s="4385"/>
      <c r="BS21" s="1803"/>
    </row>
    <row r="22" spans="2:71" ht="15" customHeight="1" x14ac:dyDescent="0.2">
      <c r="B22" s="1781"/>
      <c r="C22" s="1780" t="str">
        <f>'2.LUC'!C58</f>
        <v>User notes</v>
      </c>
      <c r="D22" s="1826"/>
      <c r="E22" s="1780" t="str">
        <f>Languages!B144</f>
        <v>Main season</v>
      </c>
      <c r="F22" s="1792"/>
      <c r="G22" s="1805" t="str">
        <f>Languages!B108</f>
        <v>Tillage</v>
      </c>
      <c r="H22" s="1828"/>
      <c r="I22" s="1805" t="str">
        <f>Languages!B110</f>
        <v>Input of</v>
      </c>
      <c r="J22" s="1816"/>
      <c r="K22" s="1805" t="str">
        <f>Languages!B112</f>
        <v xml:space="preserve">Residue </v>
      </c>
      <c r="L22" s="1829"/>
      <c r="M22" s="1780" t="str">
        <f>Languages!B143</f>
        <v>Yield</v>
      </c>
      <c r="N22" s="1781"/>
      <c r="O22" s="1780"/>
      <c r="P22" s="1781"/>
      <c r="Q22" s="1781"/>
      <c r="R22" s="1781"/>
      <c r="S22" s="1781"/>
      <c r="T22" s="1781"/>
      <c r="U22" s="1781"/>
      <c r="V22" s="1830"/>
      <c r="W22" s="1779"/>
      <c r="X22" s="1831"/>
      <c r="Y22" s="1831"/>
      <c r="Z22" s="1832"/>
      <c r="AA22" s="1813"/>
      <c r="AB22" s="1813"/>
      <c r="AC22" s="1813"/>
      <c r="AD22" s="1813"/>
      <c r="AE22" s="1813"/>
      <c r="AF22" s="1813"/>
      <c r="AG22" s="1813"/>
      <c r="AH22" s="1813"/>
      <c r="AI22" s="1813"/>
      <c r="AJ22" s="1813"/>
      <c r="AP22" s="1782"/>
      <c r="AQ22" s="1782"/>
      <c r="AR22" s="1782"/>
      <c r="AS22" s="1795" t="str">
        <f>AS11</f>
        <v>Soil carbon</v>
      </c>
      <c r="AT22" s="1796" t="s">
        <v>382</v>
      </c>
      <c r="AU22" s="1797" t="str">
        <f>Languages!B169</f>
        <v>Land-use factor</v>
      </c>
      <c r="AV22" s="1798"/>
      <c r="AW22" s="1833" t="str">
        <f>AW11</f>
        <v>Tillage factor</v>
      </c>
      <c r="AX22" s="1797"/>
      <c r="AY22" s="1799" t="str">
        <f>AY11</f>
        <v>Input factor</v>
      </c>
      <c r="AZ22" s="1800"/>
      <c r="BA22" s="1801" t="str">
        <f>BA11</f>
        <v>Residue/Biomass available</v>
      </c>
      <c r="BB22" s="1800"/>
      <c r="BC22" s="1782"/>
      <c r="BD22" s="1782"/>
      <c r="BE22" s="1782"/>
      <c r="BF22" s="1782"/>
      <c r="BG22" s="1782"/>
      <c r="BH22" s="1795" t="str">
        <f>BH11</f>
        <v>Crop type</v>
      </c>
      <c r="BI22" s="1795" t="str">
        <f>BI11</f>
        <v>Yield</v>
      </c>
      <c r="BJ22" s="1799" t="str">
        <f>BJ11</f>
        <v xml:space="preserve">Residue </v>
      </c>
      <c r="BK22" s="1802" t="str">
        <f>BK11</f>
        <v>Residue/Biomass available</v>
      </c>
      <c r="BL22" s="1784"/>
      <c r="BM22" s="1782"/>
      <c r="BO22" s="1996"/>
      <c r="BP22" s="1893"/>
      <c r="BQ22" s="1996"/>
      <c r="BS22" s="1803"/>
    </row>
    <row r="23" spans="2:71" ht="15" customHeight="1" x14ac:dyDescent="0.2">
      <c r="B23" s="1781"/>
      <c r="C23" s="1826"/>
      <c r="D23" s="1781"/>
      <c r="E23" s="1780" t="str">
        <f>E13</f>
        <v>Crop</v>
      </c>
      <c r="F23" s="1780"/>
      <c r="G23" s="1805" t="str">
        <f>Languages!B109</f>
        <v>management</v>
      </c>
      <c r="H23" s="1834"/>
      <c r="I23" s="1805" t="str">
        <f>Languages!B111</f>
        <v xml:space="preserve"> organic material</v>
      </c>
      <c r="J23" s="1812"/>
      <c r="K23" s="1805" t="str">
        <f>Languages!B113</f>
        <v>management</v>
      </c>
      <c r="L23" s="1835"/>
      <c r="M23" s="1806" t="str">
        <f>M13</f>
        <v>(t/ha/yr)</v>
      </c>
      <c r="N23" s="1781"/>
      <c r="O23" s="1806"/>
      <c r="P23" s="1781"/>
      <c r="Q23" s="1806" t="str">
        <f>Languages!B11</f>
        <v>Start</v>
      </c>
      <c r="R23" s="1806" t="str">
        <f>Languages!B12</f>
        <v>Without</v>
      </c>
      <c r="S23" s="1781"/>
      <c r="T23" s="1806" t="str">
        <f>Languages!B13</f>
        <v>With</v>
      </c>
      <c r="U23" s="1781"/>
      <c r="V23" s="1826"/>
      <c r="W23" s="1805" t="str">
        <f>R23</f>
        <v>Without</v>
      </c>
      <c r="X23" s="1805" t="str">
        <f>T23</f>
        <v>With</v>
      </c>
      <c r="Y23" s="1781"/>
      <c r="Z23" s="1780" t="str">
        <f>Languages!B120</f>
        <v>Balance</v>
      </c>
      <c r="AA23" s="1813"/>
      <c r="AB23" s="1813"/>
      <c r="AC23" s="1813"/>
      <c r="AD23" s="1813"/>
      <c r="AE23" s="1813"/>
      <c r="AF23" s="1813"/>
      <c r="AG23" s="1813"/>
      <c r="AH23" s="1813"/>
      <c r="AI23" s="1813"/>
      <c r="AJ23" s="1813"/>
      <c r="AP23" s="1782"/>
      <c r="AQ23" s="1782"/>
      <c r="AR23" s="1782"/>
      <c r="AS23" s="1795" t="str">
        <f>AS12</f>
        <v>tC/ha</v>
      </c>
      <c r="AT23" s="1782"/>
      <c r="AU23" s="1782"/>
      <c r="AV23" s="1782"/>
      <c r="AW23" s="1782"/>
      <c r="AX23" s="1782"/>
      <c r="AY23" s="1782"/>
      <c r="AZ23" s="1782"/>
      <c r="BA23" s="1800" t="s">
        <v>192</v>
      </c>
      <c r="BB23" s="1800"/>
      <c r="BC23" s="1782"/>
      <c r="BD23" s="1782"/>
      <c r="BE23" s="1782"/>
      <c r="BF23" s="1782"/>
      <c r="BG23" s="1782"/>
      <c r="BH23" s="1795"/>
      <c r="BI23" s="1795" t="str">
        <f>BI13</f>
        <v>(t/ha/yr)</v>
      </c>
      <c r="BJ23" s="1795" t="str">
        <f>BJ12</f>
        <v>management</v>
      </c>
      <c r="BK23" s="1800" t="s">
        <v>192</v>
      </c>
      <c r="BL23" s="1809"/>
      <c r="BM23" s="1782"/>
      <c r="BO23" s="1996"/>
      <c r="BP23" s="1893"/>
      <c r="BQ23" s="1996"/>
      <c r="BS23" s="1803"/>
    </row>
    <row r="24" spans="2:71" ht="15" customHeight="1" x14ac:dyDescent="0.2">
      <c r="B24" s="1781"/>
      <c r="C24" s="4010" t="str">
        <f>Languages!B129</f>
        <v>You can use it to describe your system</v>
      </c>
      <c r="D24" s="1781"/>
      <c r="E24" s="1781"/>
      <c r="F24" s="1780"/>
      <c r="G24" s="1812"/>
      <c r="H24" s="1834"/>
      <c r="I24" s="1837"/>
      <c r="J24" s="1812"/>
      <c r="K24" s="1837"/>
      <c r="L24" s="1835"/>
      <c r="M24" s="1806"/>
      <c r="N24" s="1781"/>
      <c r="O24" s="1806"/>
      <c r="P24" s="1781"/>
      <c r="Q24" s="1806"/>
      <c r="R24" s="1806"/>
      <c r="S24" s="1806" t="s">
        <v>83</v>
      </c>
      <c r="T24" s="1806"/>
      <c r="U24" s="1806" t="s">
        <v>83</v>
      </c>
      <c r="V24" s="1781"/>
      <c r="W24" s="1812"/>
      <c r="X24" s="1812"/>
      <c r="Y24" s="1781"/>
      <c r="Z24" s="1812"/>
      <c r="AA24" s="1813"/>
      <c r="AB24" s="1813"/>
      <c r="AC24" s="1813"/>
      <c r="AD24" s="1813"/>
      <c r="AE24" s="1813"/>
      <c r="AF24" s="1813"/>
      <c r="AG24" s="1813"/>
      <c r="AH24" s="1813"/>
      <c r="AI24" s="1813"/>
      <c r="AJ24" s="1813"/>
      <c r="AP24" s="1782"/>
      <c r="AQ24" s="1782"/>
      <c r="AR24" s="1782"/>
      <c r="AS24" s="1795" t="str">
        <f>AS13</f>
        <v>Default</v>
      </c>
      <c r="AT24" s="1795" t="str">
        <f>AT13</f>
        <v>Tier 2</v>
      </c>
      <c r="AU24" s="1800" t="str">
        <f t="shared" ref="AU24:AZ24" si="0">AS24</f>
        <v>Default</v>
      </c>
      <c r="AV24" s="1795" t="str">
        <f t="shared" si="0"/>
        <v>Tier 2</v>
      </c>
      <c r="AW24" s="1795" t="str">
        <f t="shared" si="0"/>
        <v>Default</v>
      </c>
      <c r="AX24" s="1795" t="str">
        <f t="shared" si="0"/>
        <v>Tier 2</v>
      </c>
      <c r="AY24" s="1797" t="str">
        <f t="shared" si="0"/>
        <v>Default</v>
      </c>
      <c r="AZ24" s="1795" t="str">
        <f t="shared" si="0"/>
        <v>Tier 2</v>
      </c>
      <c r="BA24" s="1795" t="str">
        <f>AW24</f>
        <v>Default</v>
      </c>
      <c r="BB24" s="1795" t="str">
        <f>AX24</f>
        <v>Tier 2</v>
      </c>
      <c r="BC24" s="1782"/>
      <c r="BD24" s="1782"/>
      <c r="BE24" s="1782"/>
      <c r="BF24" s="1782"/>
      <c r="BG24" s="1782"/>
      <c r="BH24" s="1782"/>
      <c r="BI24" s="1782"/>
      <c r="BJ24" s="1782"/>
      <c r="BK24" s="1795" t="str">
        <f>BA24</f>
        <v>Default</v>
      </c>
      <c r="BL24" s="1795" t="str">
        <f>BB24</f>
        <v>Tier 2</v>
      </c>
      <c r="BM24" s="1782"/>
      <c r="BO24" s="1996"/>
      <c r="BP24" s="1893"/>
      <c r="BQ24" s="1996"/>
      <c r="BS24" s="1803"/>
    </row>
    <row r="25" spans="2:71" ht="15" customHeight="1" x14ac:dyDescent="0.2">
      <c r="B25" s="1781"/>
      <c r="C25" s="4089"/>
      <c r="D25" s="1781"/>
      <c r="E25" s="2129" t="s">
        <v>491</v>
      </c>
      <c r="F25" s="1780"/>
      <c r="G25" s="2129" t="s">
        <v>1387</v>
      </c>
      <c r="H25" s="1838"/>
      <c r="I25" s="4096" t="s">
        <v>1402</v>
      </c>
      <c r="J25" s="1812"/>
      <c r="K25" s="2129" t="s">
        <v>1419</v>
      </c>
      <c r="L25" s="1835"/>
      <c r="M25" s="4097"/>
      <c r="N25" s="1781"/>
      <c r="O25" s="1806"/>
      <c r="P25" s="1781"/>
      <c r="Q25" s="4087">
        <v>150</v>
      </c>
      <c r="R25" s="4087">
        <v>150</v>
      </c>
      <c r="S25" s="4098" t="s">
        <v>86</v>
      </c>
      <c r="T25" s="4087">
        <v>150</v>
      </c>
      <c r="U25" s="4098" t="s">
        <v>86</v>
      </c>
      <c r="V25" s="1781"/>
      <c r="W25" s="1815">
        <f>annual!O38</f>
        <v>-1586.9429455680015</v>
      </c>
      <c r="X25" s="1815">
        <f>annual!P38</f>
        <v>-1586.9429455680015</v>
      </c>
      <c r="Y25" s="1839"/>
      <c r="Z25" s="1812">
        <f>annual!Q38</f>
        <v>0</v>
      </c>
      <c r="AA25" s="1813" t="str">
        <f>IF(OR($G25="No tillage", $G25="Reduced tillage"), "till_impr", IF($G25="Full tillage", "till_conv", "till_?"))</f>
        <v>till_conv</v>
      </c>
      <c r="AB25" s="1813"/>
      <c r="AC25" s="1813"/>
      <c r="AD25" s="1813"/>
      <c r="AE25" s="1813"/>
      <c r="AF25" s="1813"/>
      <c r="AG25" s="1813"/>
      <c r="AH25" s="1813"/>
      <c r="AI25" s="1813"/>
      <c r="AJ25" s="1813"/>
      <c r="AP25" s="1800" t="str">
        <f t="shared" ref="AP25:AP34" si="1">IF($C25&lt;&gt;"", $C25, "")</f>
        <v/>
      </c>
      <c r="AQ25" s="1800"/>
      <c r="AR25" s="1800"/>
      <c r="AS25" s="1817">
        <f t="shared" ref="AS25:AS34" si="2">IF($G25 &lt;&gt;"Please select", SOCref,0)</f>
        <v>24</v>
      </c>
      <c r="AT25" s="2121"/>
      <c r="AU25" s="1817">
        <f>_xlfn.IFNA(IF($G25&lt;&gt;"Please select", VLOOKUP(clim_moist, IPCC!$A$57:$B$68, 2, FALSE),0),)</f>
        <v>0.76</v>
      </c>
      <c r="AV25" s="2121"/>
      <c r="AW25" s="1817">
        <f>_xlfn.IFNA(INDEX(IPCC!$F$58:$H$68,MATCH(clim_moist,IPCC!$A$58:$A$68,0),MATCH('3.Cropland'!G25,IPCC!$F$58:$H$58,0)),)</f>
        <v>1</v>
      </c>
      <c r="AX25" s="2121"/>
      <c r="AY25" s="1817">
        <f>_xlfn.IFNA(INDEX(IPCC!$I$58:$L$68,MATCH(clim_moist,IPCC!$A$58:$A$68,0),MATCH('3.Cropland'!I25,IPCC!$I$58:$L$58,0)),)</f>
        <v>1.37</v>
      </c>
      <c r="AZ25" s="2121"/>
      <c r="BA25" s="1817">
        <f>annual!I68</f>
        <v>7.0628255999999991</v>
      </c>
      <c r="BB25" s="2121"/>
      <c r="BC25" s="1782"/>
      <c r="BD25" s="1782"/>
      <c r="BE25" s="1782"/>
      <c r="BF25" s="1782"/>
      <c r="BG25" s="1782"/>
      <c r="BH25" s="4106" t="s">
        <v>391</v>
      </c>
      <c r="BI25" s="4107"/>
      <c r="BJ25" s="4105" t="s">
        <v>57</v>
      </c>
      <c r="BK25" s="1817">
        <f>annual!$T68</f>
        <v>0</v>
      </c>
      <c r="BL25" s="2121"/>
      <c r="BM25" s="1782"/>
      <c r="BO25" s="4363">
        <v>1</v>
      </c>
      <c r="BP25" s="4364"/>
      <c r="BQ25" s="1996"/>
      <c r="BS25" s="1803"/>
    </row>
    <row r="26" spans="2:71" ht="15" customHeight="1" x14ac:dyDescent="0.2">
      <c r="B26" s="1781"/>
      <c r="C26" s="4090"/>
      <c r="D26" s="1781"/>
      <c r="E26" s="2129" t="s">
        <v>65</v>
      </c>
      <c r="F26" s="1780"/>
      <c r="G26" s="2129" t="s">
        <v>57</v>
      </c>
      <c r="H26" s="1838"/>
      <c r="I26" s="4096" t="s">
        <v>57</v>
      </c>
      <c r="J26" s="1812"/>
      <c r="K26" s="2129" t="s">
        <v>57</v>
      </c>
      <c r="L26" s="1835"/>
      <c r="M26" s="4097"/>
      <c r="N26" s="1781"/>
      <c r="O26" s="1806"/>
      <c r="P26" s="1781"/>
      <c r="Q26" s="4087">
        <v>0</v>
      </c>
      <c r="R26" s="4087">
        <v>0</v>
      </c>
      <c r="S26" s="4098" t="s">
        <v>86</v>
      </c>
      <c r="T26" s="4087">
        <v>0</v>
      </c>
      <c r="U26" s="4098" t="s">
        <v>86</v>
      </c>
      <c r="V26" s="1781"/>
      <c r="W26" s="1815">
        <f>annual!O39</f>
        <v>0</v>
      </c>
      <c r="X26" s="1815">
        <f>annual!P39</f>
        <v>0</v>
      </c>
      <c r="Y26" s="1839"/>
      <c r="Z26" s="1812">
        <f>annual!Q39</f>
        <v>0</v>
      </c>
      <c r="AA26" s="1813" t="str">
        <f t="shared" ref="AA26:AA34" si="3">IF(OR($G26="No tillage", $G26="Reduced tillage"), "till_impr", IF($G26="Full tillage", "till_conv", "till_?"))</f>
        <v>till_?</v>
      </c>
      <c r="AB26" s="1813"/>
      <c r="AC26" s="1813"/>
      <c r="AD26" s="1813"/>
      <c r="AE26" s="1813"/>
      <c r="AF26" s="1813"/>
      <c r="AG26" s="1813"/>
      <c r="AH26" s="1813"/>
      <c r="AI26" s="1813"/>
      <c r="AJ26" s="1813"/>
      <c r="AP26" s="1800" t="str">
        <f t="shared" si="1"/>
        <v/>
      </c>
      <c r="AQ26" s="1800"/>
      <c r="AR26" s="1800"/>
      <c r="AS26" s="1817">
        <f t="shared" si="2"/>
        <v>0</v>
      </c>
      <c r="AT26" s="2121"/>
      <c r="AU26" s="1817">
        <f>_xlfn.IFNA(IF($G26&lt;&gt;"Please select", VLOOKUP(clim_moist, IPCC!$A$57:$B$68, 2, FALSE),0),)</f>
        <v>0</v>
      </c>
      <c r="AV26" s="2121"/>
      <c r="AW26" s="1817">
        <f>_xlfn.IFNA(INDEX(IPCC!$F$58:$H$68,MATCH(clim_moist,IPCC!$A$58:$A$68,0),MATCH('3.Cropland'!G26,IPCC!$F$58:$H$58,0)),)</f>
        <v>0</v>
      </c>
      <c r="AX26" s="2121"/>
      <c r="AY26" s="1817">
        <f>_xlfn.IFNA(INDEX(IPCC!$I$58:$L$68,MATCH(clim_moist,IPCC!$A$58:$A$68,0),MATCH('3.Cropland'!I26,IPCC!$I$58:$L$58,0)),)</f>
        <v>0</v>
      </c>
      <c r="AZ26" s="2121"/>
      <c r="BA26" s="1817">
        <f>annual!I69</f>
        <v>7.6193788355317897</v>
      </c>
      <c r="BB26" s="2121"/>
      <c r="BC26" s="1782"/>
      <c r="BD26" s="1782"/>
      <c r="BE26" s="1782"/>
      <c r="BF26" s="1782"/>
      <c r="BG26" s="1782"/>
      <c r="BH26" s="4106" t="s">
        <v>391</v>
      </c>
      <c r="BI26" s="4107"/>
      <c r="BJ26" s="4105" t="s">
        <v>57</v>
      </c>
      <c r="BK26" s="1817">
        <f>annual!$T69</f>
        <v>0</v>
      </c>
      <c r="BL26" s="2121"/>
      <c r="BM26" s="1782"/>
      <c r="BO26" s="4363">
        <v>1</v>
      </c>
      <c r="BP26" s="4364"/>
      <c r="BQ26" s="1996"/>
      <c r="BS26" s="1803"/>
    </row>
    <row r="27" spans="2:71" ht="15" customHeight="1" x14ac:dyDescent="0.2">
      <c r="B27" s="1781"/>
      <c r="C27" s="4090"/>
      <c r="D27" s="1781"/>
      <c r="E27" s="2129" t="s">
        <v>65</v>
      </c>
      <c r="F27" s="1780"/>
      <c r="G27" s="2129" t="s">
        <v>57</v>
      </c>
      <c r="H27" s="1838"/>
      <c r="I27" s="4096" t="s">
        <v>57</v>
      </c>
      <c r="J27" s="1812"/>
      <c r="K27" s="2129" t="s">
        <v>57</v>
      </c>
      <c r="L27" s="1835"/>
      <c r="M27" s="4097"/>
      <c r="N27" s="1781"/>
      <c r="O27" s="1806"/>
      <c r="P27" s="1781"/>
      <c r="Q27" s="4087">
        <v>0</v>
      </c>
      <c r="R27" s="4087">
        <v>0</v>
      </c>
      <c r="S27" s="4098" t="s">
        <v>86</v>
      </c>
      <c r="T27" s="4087">
        <v>0</v>
      </c>
      <c r="U27" s="4098" t="s">
        <v>86</v>
      </c>
      <c r="V27" s="1781"/>
      <c r="W27" s="1815">
        <f>annual!O40</f>
        <v>0</v>
      </c>
      <c r="X27" s="1815">
        <f>annual!P40</f>
        <v>0</v>
      </c>
      <c r="Y27" s="1839"/>
      <c r="Z27" s="1812">
        <f>annual!Q40</f>
        <v>0</v>
      </c>
      <c r="AA27" s="1813" t="str">
        <f t="shared" si="3"/>
        <v>till_?</v>
      </c>
      <c r="AB27" s="1813"/>
      <c r="AC27" s="1813"/>
      <c r="AD27" s="1813"/>
      <c r="AE27" s="1813"/>
      <c r="AF27" s="1813"/>
      <c r="AG27" s="1813"/>
      <c r="AH27" s="1813"/>
      <c r="AI27" s="1813"/>
      <c r="AJ27" s="1813"/>
      <c r="AP27" s="1800" t="str">
        <f t="shared" si="1"/>
        <v/>
      </c>
      <c r="AQ27" s="1800"/>
      <c r="AR27" s="1800"/>
      <c r="AS27" s="1817">
        <f t="shared" si="2"/>
        <v>0</v>
      </c>
      <c r="AT27" s="2121"/>
      <c r="AU27" s="1817">
        <f>_xlfn.IFNA(IF($G27&lt;&gt;"Please select", VLOOKUP(clim_moist, IPCC!$A$57:$B$68, 2, FALSE),0),)</f>
        <v>0</v>
      </c>
      <c r="AV27" s="2121"/>
      <c r="AW27" s="1817">
        <f>_xlfn.IFNA(INDEX(IPCC!$F$58:$H$68,MATCH(clim_moist,IPCC!$A$58:$A$68,0),MATCH('3.Cropland'!G27,IPCC!$F$58:$H$58,0)),)</f>
        <v>0</v>
      </c>
      <c r="AX27" s="2121"/>
      <c r="AY27" s="1817">
        <f>_xlfn.IFNA(INDEX(IPCC!$I$58:$L$68,MATCH(clim_moist,IPCC!$A$58:$A$68,0),MATCH('3.Cropland'!I27,IPCC!$I$58:$L$58,0)),)</f>
        <v>0</v>
      </c>
      <c r="AZ27" s="2121"/>
      <c r="BA27" s="1817">
        <f>annual!I70</f>
        <v>7.6193788355317897</v>
      </c>
      <c r="BB27" s="2121"/>
      <c r="BC27" s="1782"/>
      <c r="BD27" s="1782"/>
      <c r="BE27" s="1782"/>
      <c r="BF27" s="1782"/>
      <c r="BG27" s="1782"/>
      <c r="BH27" s="4106" t="s">
        <v>391</v>
      </c>
      <c r="BI27" s="4107"/>
      <c r="BJ27" s="4105" t="s">
        <v>57</v>
      </c>
      <c r="BK27" s="1817">
        <f>annual!$T70</f>
        <v>0</v>
      </c>
      <c r="BL27" s="2121"/>
      <c r="BM27" s="1782"/>
      <c r="BO27" s="4363">
        <v>1</v>
      </c>
      <c r="BP27" s="4364"/>
      <c r="BQ27" s="1996"/>
      <c r="BR27" s="1840"/>
      <c r="BS27" s="1803"/>
    </row>
    <row r="28" spans="2:71" ht="15" customHeight="1" x14ac:dyDescent="0.2">
      <c r="B28" s="1781"/>
      <c r="C28" s="4090"/>
      <c r="D28" s="1781"/>
      <c r="E28" s="2129" t="s">
        <v>65</v>
      </c>
      <c r="F28" s="1780"/>
      <c r="G28" s="2129" t="s">
        <v>57</v>
      </c>
      <c r="H28" s="1838"/>
      <c r="I28" s="4096" t="s">
        <v>57</v>
      </c>
      <c r="J28" s="1812"/>
      <c r="K28" s="2129" t="s">
        <v>57</v>
      </c>
      <c r="L28" s="1835"/>
      <c r="M28" s="4097"/>
      <c r="N28" s="1781"/>
      <c r="O28" s="1806"/>
      <c r="P28" s="1781"/>
      <c r="Q28" s="4087">
        <v>0</v>
      </c>
      <c r="R28" s="4087">
        <v>0</v>
      </c>
      <c r="S28" s="4098" t="s">
        <v>86</v>
      </c>
      <c r="T28" s="4087">
        <v>0</v>
      </c>
      <c r="U28" s="4098" t="s">
        <v>86</v>
      </c>
      <c r="V28" s="1781"/>
      <c r="W28" s="1815">
        <f>annual!O41</f>
        <v>0</v>
      </c>
      <c r="X28" s="1815">
        <f>annual!P41</f>
        <v>0</v>
      </c>
      <c r="Y28" s="1839"/>
      <c r="Z28" s="1812">
        <f>annual!Q41</f>
        <v>0</v>
      </c>
      <c r="AA28" s="1813" t="str">
        <f t="shared" si="3"/>
        <v>till_?</v>
      </c>
      <c r="AB28" s="1813"/>
      <c r="AC28" s="1813"/>
      <c r="AD28" s="1813"/>
      <c r="AE28" s="1813"/>
      <c r="AF28" s="1813"/>
      <c r="AG28" s="1813"/>
      <c r="AH28" s="1813"/>
      <c r="AI28" s="1813"/>
      <c r="AJ28" s="1813"/>
      <c r="AP28" s="1800" t="str">
        <f t="shared" si="1"/>
        <v/>
      </c>
      <c r="AQ28" s="1800"/>
      <c r="AR28" s="1800"/>
      <c r="AS28" s="1817">
        <f t="shared" si="2"/>
        <v>0</v>
      </c>
      <c r="AT28" s="2121"/>
      <c r="AU28" s="1817">
        <f>_xlfn.IFNA(IF($G28&lt;&gt;"Please select", VLOOKUP(clim_moist, IPCC!$A$57:$B$68, 2, FALSE),0),)</f>
        <v>0</v>
      </c>
      <c r="AV28" s="2121"/>
      <c r="AW28" s="1817">
        <f>_xlfn.IFNA(INDEX(IPCC!$F$58:$H$68,MATCH(clim_moist,IPCC!$A$58:$A$68,0),MATCH('3.Cropland'!G28,IPCC!$F$58:$H$58,0)),)</f>
        <v>0</v>
      </c>
      <c r="AX28" s="2121"/>
      <c r="AY28" s="1817">
        <f>_xlfn.IFNA(INDEX(IPCC!$I$58:$L$68,MATCH(clim_moist,IPCC!$A$58:$A$68,0),MATCH('3.Cropland'!I28,IPCC!$I$58:$L$58,0)),)</f>
        <v>0</v>
      </c>
      <c r="AZ28" s="2121"/>
      <c r="BA28" s="1817">
        <f>annual!I71</f>
        <v>7.6193788355317897</v>
      </c>
      <c r="BB28" s="2121"/>
      <c r="BC28" s="1782"/>
      <c r="BD28" s="1782"/>
      <c r="BE28" s="1782"/>
      <c r="BF28" s="1782"/>
      <c r="BG28" s="1782"/>
      <c r="BH28" s="4106" t="s">
        <v>391</v>
      </c>
      <c r="BI28" s="4107"/>
      <c r="BJ28" s="4105" t="s">
        <v>57</v>
      </c>
      <c r="BK28" s="1817">
        <f>annual!$T71</f>
        <v>0</v>
      </c>
      <c r="BL28" s="2121"/>
      <c r="BM28" s="1782"/>
      <c r="BO28" s="4363">
        <v>1</v>
      </c>
      <c r="BP28" s="4364"/>
      <c r="BQ28" s="1996"/>
      <c r="BS28" s="1803"/>
    </row>
    <row r="29" spans="2:71" ht="15" customHeight="1" x14ac:dyDescent="0.2">
      <c r="B29" s="1781"/>
      <c r="C29" s="4090"/>
      <c r="D29" s="1781"/>
      <c r="E29" s="2129" t="s">
        <v>65</v>
      </c>
      <c r="F29" s="1780"/>
      <c r="G29" s="2129" t="s">
        <v>57</v>
      </c>
      <c r="H29" s="1838"/>
      <c r="I29" s="4096" t="s">
        <v>57</v>
      </c>
      <c r="J29" s="1812"/>
      <c r="K29" s="2129" t="s">
        <v>57</v>
      </c>
      <c r="L29" s="1835"/>
      <c r="M29" s="4097"/>
      <c r="N29" s="1781"/>
      <c r="O29" s="1806"/>
      <c r="P29" s="1781"/>
      <c r="Q29" s="4087">
        <v>0</v>
      </c>
      <c r="R29" s="4087">
        <v>0</v>
      </c>
      <c r="S29" s="4098" t="s">
        <v>86</v>
      </c>
      <c r="T29" s="4087">
        <v>0</v>
      </c>
      <c r="U29" s="4098" t="s">
        <v>86</v>
      </c>
      <c r="V29" s="1781"/>
      <c r="W29" s="1815">
        <f>annual!O42</f>
        <v>0</v>
      </c>
      <c r="X29" s="1815">
        <f>annual!P42</f>
        <v>0</v>
      </c>
      <c r="Y29" s="1839"/>
      <c r="Z29" s="1812">
        <f>annual!Q42</f>
        <v>0</v>
      </c>
      <c r="AA29" s="1813" t="str">
        <f t="shared" si="3"/>
        <v>till_?</v>
      </c>
      <c r="AB29" s="1813"/>
      <c r="AC29" s="1813"/>
      <c r="AD29" s="1813"/>
      <c r="AE29" s="1813"/>
      <c r="AF29" s="1813"/>
      <c r="AG29" s="1813"/>
      <c r="AH29" s="1813"/>
      <c r="AI29" s="1813"/>
      <c r="AJ29" s="1813"/>
      <c r="AP29" s="1800" t="str">
        <f t="shared" si="1"/>
        <v/>
      </c>
      <c r="AQ29" s="1800"/>
      <c r="AR29" s="1800"/>
      <c r="AS29" s="1817">
        <f t="shared" si="2"/>
        <v>0</v>
      </c>
      <c r="AT29" s="2121"/>
      <c r="AU29" s="1817">
        <f>_xlfn.IFNA(IF($G29&lt;&gt;"Please select", VLOOKUP(clim_moist, IPCC!$A$57:$B$68, 2, FALSE),0),)</f>
        <v>0</v>
      </c>
      <c r="AV29" s="2121"/>
      <c r="AW29" s="1817">
        <f>_xlfn.IFNA(INDEX(IPCC!$F$58:$H$68,MATCH(clim_moist,IPCC!$A$58:$A$68,0),MATCH('3.Cropland'!G29,IPCC!$F$58:$H$58,0)),)</f>
        <v>0</v>
      </c>
      <c r="AX29" s="2121"/>
      <c r="AY29" s="1817">
        <f>_xlfn.IFNA(INDEX(IPCC!$I$58:$L$68,MATCH(clim_moist,IPCC!$A$58:$A$68,0),MATCH('3.Cropland'!I29,IPCC!$I$58:$L$58,0)),)</f>
        <v>0</v>
      </c>
      <c r="AZ29" s="2121"/>
      <c r="BA29" s="1817">
        <f>annual!I72</f>
        <v>7.6193788355317897</v>
      </c>
      <c r="BB29" s="2121"/>
      <c r="BC29" s="1782"/>
      <c r="BD29" s="1782"/>
      <c r="BE29" s="1782"/>
      <c r="BF29" s="1782"/>
      <c r="BG29" s="1782"/>
      <c r="BH29" s="4106" t="s">
        <v>391</v>
      </c>
      <c r="BI29" s="4107"/>
      <c r="BJ29" s="4105" t="s">
        <v>57</v>
      </c>
      <c r="BK29" s="1817">
        <f>annual!$T72</f>
        <v>0</v>
      </c>
      <c r="BL29" s="2121"/>
      <c r="BM29" s="1782"/>
      <c r="BO29" s="4363">
        <v>1</v>
      </c>
      <c r="BP29" s="4364"/>
      <c r="BQ29" s="1996"/>
      <c r="BS29" s="1803"/>
    </row>
    <row r="30" spans="2:71" ht="15" customHeight="1" x14ac:dyDescent="0.2">
      <c r="B30" s="1781"/>
      <c r="C30" s="4090"/>
      <c r="D30" s="1781"/>
      <c r="E30" s="2129" t="s">
        <v>65</v>
      </c>
      <c r="F30" s="1780"/>
      <c r="G30" s="2129" t="s">
        <v>57</v>
      </c>
      <c r="H30" s="1838"/>
      <c r="I30" s="4096" t="s">
        <v>57</v>
      </c>
      <c r="J30" s="1812"/>
      <c r="K30" s="2129" t="s">
        <v>57</v>
      </c>
      <c r="L30" s="1835"/>
      <c r="M30" s="4097"/>
      <c r="N30" s="1781"/>
      <c r="O30" s="1806"/>
      <c r="P30" s="1781"/>
      <c r="Q30" s="4087">
        <v>0</v>
      </c>
      <c r="R30" s="4087">
        <v>0</v>
      </c>
      <c r="S30" s="4098" t="s">
        <v>86</v>
      </c>
      <c r="T30" s="4087">
        <v>0</v>
      </c>
      <c r="U30" s="4098" t="s">
        <v>86</v>
      </c>
      <c r="V30" s="1781"/>
      <c r="W30" s="1815">
        <f>annual!O43</f>
        <v>0</v>
      </c>
      <c r="X30" s="1815">
        <f>annual!P43</f>
        <v>0</v>
      </c>
      <c r="Y30" s="1839"/>
      <c r="Z30" s="1812">
        <f>annual!Q43</f>
        <v>0</v>
      </c>
      <c r="AA30" s="1813" t="str">
        <f t="shared" si="3"/>
        <v>till_?</v>
      </c>
      <c r="AB30" s="1813"/>
      <c r="AC30" s="1813"/>
      <c r="AD30" s="1813"/>
      <c r="AE30" s="1813"/>
      <c r="AF30" s="1813"/>
      <c r="AG30" s="1813"/>
      <c r="AH30" s="1813"/>
      <c r="AI30" s="1813"/>
      <c r="AJ30" s="1813"/>
      <c r="AP30" s="1800" t="str">
        <f t="shared" si="1"/>
        <v/>
      </c>
      <c r="AQ30" s="1800"/>
      <c r="AR30" s="1800"/>
      <c r="AS30" s="1817">
        <f t="shared" si="2"/>
        <v>0</v>
      </c>
      <c r="AT30" s="2121"/>
      <c r="AU30" s="1817">
        <f>_xlfn.IFNA(IF($G30&lt;&gt;"Please select", VLOOKUP(clim_moist, IPCC!$A$57:$B$68, 2, FALSE),0),)</f>
        <v>0</v>
      </c>
      <c r="AV30" s="2121"/>
      <c r="AW30" s="1817">
        <f>_xlfn.IFNA(INDEX(IPCC!$F$58:$H$68,MATCH(clim_moist,IPCC!$A$58:$A$68,0),MATCH('3.Cropland'!G30,IPCC!$F$58:$H$58,0)),)</f>
        <v>0</v>
      </c>
      <c r="AX30" s="2121"/>
      <c r="AY30" s="1817">
        <f>_xlfn.IFNA(INDEX(IPCC!$I$58:$L$68,MATCH(clim_moist,IPCC!$A$58:$A$68,0),MATCH('3.Cropland'!I30,IPCC!$I$58:$L$58,0)),)</f>
        <v>0</v>
      </c>
      <c r="AZ30" s="2121"/>
      <c r="BA30" s="1817">
        <f>annual!I73</f>
        <v>7.6193788355317897</v>
      </c>
      <c r="BB30" s="2121"/>
      <c r="BC30" s="1782"/>
      <c r="BD30" s="1782"/>
      <c r="BE30" s="1782"/>
      <c r="BF30" s="1782"/>
      <c r="BG30" s="1782"/>
      <c r="BH30" s="4106" t="s">
        <v>391</v>
      </c>
      <c r="BI30" s="4107"/>
      <c r="BJ30" s="4105" t="s">
        <v>57</v>
      </c>
      <c r="BK30" s="1817">
        <f>annual!$T73</f>
        <v>0</v>
      </c>
      <c r="BL30" s="2121"/>
      <c r="BM30" s="1782"/>
      <c r="BO30" s="4363">
        <v>1</v>
      </c>
      <c r="BP30" s="4364"/>
      <c r="BQ30" s="1996"/>
      <c r="BS30" s="1803"/>
    </row>
    <row r="31" spans="2:71" ht="15" customHeight="1" x14ac:dyDescent="0.2">
      <c r="B31" s="1781"/>
      <c r="C31" s="4090"/>
      <c r="D31" s="1781"/>
      <c r="E31" s="2129" t="s">
        <v>65</v>
      </c>
      <c r="F31" s="1780"/>
      <c r="G31" s="2129" t="s">
        <v>57</v>
      </c>
      <c r="H31" s="1838"/>
      <c r="I31" s="4096" t="s">
        <v>57</v>
      </c>
      <c r="J31" s="1812"/>
      <c r="K31" s="2129" t="s">
        <v>57</v>
      </c>
      <c r="L31" s="1835"/>
      <c r="M31" s="4097"/>
      <c r="N31" s="1781"/>
      <c r="O31" s="1806"/>
      <c r="P31" s="1781"/>
      <c r="Q31" s="4087">
        <v>0</v>
      </c>
      <c r="R31" s="4087">
        <v>0</v>
      </c>
      <c r="S31" s="4098" t="s">
        <v>86</v>
      </c>
      <c r="T31" s="4087">
        <v>0</v>
      </c>
      <c r="U31" s="4098" t="s">
        <v>86</v>
      </c>
      <c r="V31" s="1781"/>
      <c r="W31" s="1815">
        <f>annual!O44</f>
        <v>0</v>
      </c>
      <c r="X31" s="1815">
        <f>annual!P44</f>
        <v>0</v>
      </c>
      <c r="Y31" s="1839"/>
      <c r="Z31" s="1812">
        <f>annual!Q44</f>
        <v>0</v>
      </c>
      <c r="AA31" s="1813" t="str">
        <f t="shared" si="3"/>
        <v>till_?</v>
      </c>
      <c r="AB31" s="1813"/>
      <c r="AC31" s="1813"/>
      <c r="AD31" s="1813"/>
      <c r="AE31" s="1813"/>
      <c r="AF31" s="1813"/>
      <c r="AG31" s="1813"/>
      <c r="AH31" s="1813"/>
      <c r="AI31" s="1813"/>
      <c r="AJ31" s="1813"/>
      <c r="AP31" s="1800" t="str">
        <f t="shared" si="1"/>
        <v/>
      </c>
      <c r="AQ31" s="1800"/>
      <c r="AR31" s="1800"/>
      <c r="AS31" s="1817">
        <f t="shared" si="2"/>
        <v>0</v>
      </c>
      <c r="AT31" s="2121"/>
      <c r="AU31" s="1817">
        <f>_xlfn.IFNA(IF($G31&lt;&gt;"Please select", VLOOKUP(clim_moist, IPCC!$A$57:$B$68, 2, FALSE),0),)</f>
        <v>0</v>
      </c>
      <c r="AV31" s="2121"/>
      <c r="AW31" s="1817">
        <f>_xlfn.IFNA(INDEX(IPCC!$F$58:$H$68,MATCH(clim_moist,IPCC!$A$58:$A$68,0),MATCH('3.Cropland'!G31,IPCC!$F$58:$H$58,0)),)</f>
        <v>0</v>
      </c>
      <c r="AX31" s="2121"/>
      <c r="AY31" s="1817">
        <f>_xlfn.IFNA(INDEX(IPCC!$I$58:$L$68,MATCH(clim_moist,IPCC!$A$58:$A$68,0),MATCH('3.Cropland'!I31,IPCC!$I$58:$L$58,0)),)</f>
        <v>0</v>
      </c>
      <c r="AZ31" s="2121"/>
      <c r="BA31" s="1817">
        <f>annual!I74</f>
        <v>7.6193788355317897</v>
      </c>
      <c r="BB31" s="2121"/>
      <c r="BC31" s="1782"/>
      <c r="BD31" s="1782"/>
      <c r="BE31" s="1782"/>
      <c r="BF31" s="1782"/>
      <c r="BG31" s="1782"/>
      <c r="BH31" s="4106" t="s">
        <v>391</v>
      </c>
      <c r="BI31" s="4107"/>
      <c r="BJ31" s="4105" t="s">
        <v>57</v>
      </c>
      <c r="BK31" s="1817">
        <f>annual!$T74</f>
        <v>0</v>
      </c>
      <c r="BL31" s="2121"/>
      <c r="BM31" s="1782"/>
      <c r="BO31" s="4363">
        <v>1</v>
      </c>
      <c r="BP31" s="4364"/>
      <c r="BQ31" s="1996"/>
      <c r="BS31" s="1803"/>
    </row>
    <row r="32" spans="2:71" ht="15" customHeight="1" x14ac:dyDescent="0.2">
      <c r="B32" s="1781"/>
      <c r="C32" s="4090"/>
      <c r="D32" s="1781"/>
      <c r="E32" s="2129" t="s">
        <v>65</v>
      </c>
      <c r="F32" s="1780"/>
      <c r="G32" s="2129" t="s">
        <v>57</v>
      </c>
      <c r="H32" s="1838"/>
      <c r="I32" s="4096" t="s">
        <v>57</v>
      </c>
      <c r="J32" s="1812"/>
      <c r="K32" s="2129" t="s">
        <v>57</v>
      </c>
      <c r="L32" s="1835"/>
      <c r="M32" s="4097"/>
      <c r="N32" s="1781"/>
      <c r="O32" s="1806"/>
      <c r="P32" s="1781"/>
      <c r="Q32" s="4087">
        <v>0</v>
      </c>
      <c r="R32" s="4087">
        <v>0</v>
      </c>
      <c r="S32" s="4098" t="s">
        <v>86</v>
      </c>
      <c r="T32" s="4087">
        <v>0</v>
      </c>
      <c r="U32" s="4098" t="s">
        <v>86</v>
      </c>
      <c r="V32" s="1781"/>
      <c r="W32" s="1815">
        <f>annual!O45</f>
        <v>0</v>
      </c>
      <c r="X32" s="1815">
        <f>annual!P45</f>
        <v>0</v>
      </c>
      <c r="Y32" s="1839"/>
      <c r="Z32" s="1812">
        <f>annual!Q45</f>
        <v>0</v>
      </c>
      <c r="AA32" s="1813" t="str">
        <f t="shared" si="3"/>
        <v>till_?</v>
      </c>
      <c r="AB32" s="1813"/>
      <c r="AC32" s="1813"/>
      <c r="AD32" s="1813"/>
      <c r="AE32" s="1813"/>
      <c r="AF32" s="1813"/>
      <c r="AG32" s="1813"/>
      <c r="AH32" s="1813"/>
      <c r="AI32" s="1813"/>
      <c r="AJ32" s="1813"/>
      <c r="AP32" s="1800" t="str">
        <f t="shared" si="1"/>
        <v/>
      </c>
      <c r="AQ32" s="1800"/>
      <c r="AR32" s="1800"/>
      <c r="AS32" s="1817">
        <f t="shared" si="2"/>
        <v>0</v>
      </c>
      <c r="AT32" s="2121"/>
      <c r="AU32" s="1817">
        <f>_xlfn.IFNA(IF($G32&lt;&gt;"Please select", VLOOKUP(clim_moist, IPCC!$A$57:$B$68, 2, FALSE),0),)</f>
        <v>0</v>
      </c>
      <c r="AV32" s="2121"/>
      <c r="AW32" s="1817">
        <f>_xlfn.IFNA(INDEX(IPCC!$F$58:$H$68,MATCH(clim_moist,IPCC!$A$58:$A$68,0),MATCH('3.Cropland'!G32,IPCC!$F$58:$H$58,0)),)</f>
        <v>0</v>
      </c>
      <c r="AX32" s="2121"/>
      <c r="AY32" s="1817">
        <f>_xlfn.IFNA(INDEX(IPCC!$I$58:$L$68,MATCH(clim_moist,IPCC!$A$58:$A$68,0),MATCH('3.Cropland'!I32,IPCC!$I$58:$L$58,0)),)</f>
        <v>0</v>
      </c>
      <c r="AZ32" s="2121"/>
      <c r="BA32" s="1817">
        <f>annual!I75</f>
        <v>7.6193788355317897</v>
      </c>
      <c r="BB32" s="2121"/>
      <c r="BC32" s="1782"/>
      <c r="BD32" s="1782"/>
      <c r="BE32" s="1782"/>
      <c r="BF32" s="1782"/>
      <c r="BG32" s="1782"/>
      <c r="BH32" s="4106" t="s">
        <v>391</v>
      </c>
      <c r="BI32" s="4107"/>
      <c r="BJ32" s="4105" t="s">
        <v>57</v>
      </c>
      <c r="BK32" s="1817">
        <f>annual!$T75</f>
        <v>0</v>
      </c>
      <c r="BL32" s="2121"/>
      <c r="BM32" s="1782"/>
      <c r="BO32" s="4363">
        <v>1</v>
      </c>
      <c r="BP32" s="4364"/>
      <c r="BQ32" s="1996"/>
      <c r="BS32" s="1803"/>
    </row>
    <row r="33" spans="2:105" ht="15" customHeight="1" x14ac:dyDescent="0.2">
      <c r="B33" s="1781"/>
      <c r="C33" s="4090"/>
      <c r="D33" s="1781"/>
      <c r="E33" s="2129" t="s">
        <v>65</v>
      </c>
      <c r="F33" s="1780"/>
      <c r="G33" s="2129" t="s">
        <v>57</v>
      </c>
      <c r="H33" s="1838"/>
      <c r="I33" s="4096" t="s">
        <v>57</v>
      </c>
      <c r="J33" s="1812"/>
      <c r="K33" s="2129" t="s">
        <v>57</v>
      </c>
      <c r="L33" s="1835"/>
      <c r="M33" s="4097"/>
      <c r="N33" s="1781"/>
      <c r="O33" s="1806"/>
      <c r="P33" s="1781"/>
      <c r="Q33" s="4087">
        <v>0</v>
      </c>
      <c r="R33" s="4087">
        <v>0</v>
      </c>
      <c r="S33" s="4098" t="s">
        <v>86</v>
      </c>
      <c r="T33" s="4087">
        <v>0</v>
      </c>
      <c r="U33" s="4098" t="s">
        <v>86</v>
      </c>
      <c r="V33" s="1781"/>
      <c r="W33" s="1815">
        <f>annual!O46</f>
        <v>0</v>
      </c>
      <c r="X33" s="1815">
        <f>annual!P46</f>
        <v>0</v>
      </c>
      <c r="Y33" s="1839"/>
      <c r="Z33" s="1812">
        <f>annual!Q46</f>
        <v>0</v>
      </c>
      <c r="AA33" s="1813" t="str">
        <f t="shared" si="3"/>
        <v>till_?</v>
      </c>
      <c r="AB33" s="1813"/>
      <c r="AC33" s="1813"/>
      <c r="AD33" s="1813"/>
      <c r="AE33" s="1813"/>
      <c r="AF33" s="1813"/>
      <c r="AG33" s="1813"/>
      <c r="AH33" s="1813"/>
      <c r="AI33" s="1813"/>
      <c r="AJ33" s="1813"/>
      <c r="AP33" s="1800" t="str">
        <f t="shared" si="1"/>
        <v/>
      </c>
      <c r="AQ33" s="1800"/>
      <c r="AR33" s="1800"/>
      <c r="AS33" s="1817">
        <f t="shared" si="2"/>
        <v>0</v>
      </c>
      <c r="AT33" s="2121"/>
      <c r="AU33" s="1817">
        <f>_xlfn.IFNA(IF($G33&lt;&gt;"Please select", VLOOKUP(clim_moist, IPCC!$A$57:$B$68, 2, FALSE),0),)</f>
        <v>0</v>
      </c>
      <c r="AV33" s="2121"/>
      <c r="AW33" s="1817">
        <f>_xlfn.IFNA(INDEX(IPCC!$F$58:$H$68,MATCH(clim_moist,IPCC!$A$58:$A$68,0),MATCH('3.Cropland'!G33,IPCC!$F$58:$H$58,0)),)</f>
        <v>0</v>
      </c>
      <c r="AX33" s="2121"/>
      <c r="AY33" s="1817">
        <f>_xlfn.IFNA(INDEX(IPCC!$I$58:$L$68,MATCH(clim_moist,IPCC!$A$58:$A$68,0),MATCH('3.Cropland'!I33,IPCC!$I$58:$L$58,0)),)</f>
        <v>0</v>
      </c>
      <c r="AZ33" s="2121"/>
      <c r="BA33" s="1817">
        <f>annual!I76</f>
        <v>7.6193788355317897</v>
      </c>
      <c r="BB33" s="2121"/>
      <c r="BC33" s="1782"/>
      <c r="BD33" s="1782"/>
      <c r="BE33" s="1782"/>
      <c r="BF33" s="1782"/>
      <c r="BG33" s="1782"/>
      <c r="BH33" s="4106" t="s">
        <v>391</v>
      </c>
      <c r="BI33" s="4107"/>
      <c r="BJ33" s="4105" t="s">
        <v>57</v>
      </c>
      <c r="BK33" s="1817">
        <f>annual!$T76</f>
        <v>0</v>
      </c>
      <c r="BL33" s="2121"/>
      <c r="BM33" s="1782"/>
      <c r="BO33" s="4363">
        <v>1</v>
      </c>
      <c r="BP33" s="4364"/>
      <c r="BQ33" s="1996"/>
      <c r="BS33" s="1803"/>
    </row>
    <row r="34" spans="2:105" ht="15" customHeight="1" x14ac:dyDescent="0.2">
      <c r="B34" s="1781"/>
      <c r="C34" s="4091"/>
      <c r="D34" s="1781"/>
      <c r="E34" s="2129" t="s">
        <v>65</v>
      </c>
      <c r="F34" s="1780"/>
      <c r="G34" s="2129" t="s">
        <v>57</v>
      </c>
      <c r="H34" s="1838"/>
      <c r="I34" s="4096" t="s">
        <v>57</v>
      </c>
      <c r="J34" s="1812"/>
      <c r="K34" s="2129" t="s">
        <v>57</v>
      </c>
      <c r="L34" s="1835"/>
      <c r="M34" s="4097"/>
      <c r="N34" s="1781"/>
      <c r="O34" s="1806"/>
      <c r="P34" s="1781"/>
      <c r="Q34" s="4087">
        <v>0</v>
      </c>
      <c r="R34" s="4087">
        <v>0</v>
      </c>
      <c r="S34" s="4098" t="s">
        <v>86</v>
      </c>
      <c r="T34" s="4087">
        <v>0</v>
      </c>
      <c r="U34" s="4098" t="s">
        <v>86</v>
      </c>
      <c r="V34" s="1781"/>
      <c r="W34" s="1815">
        <f>annual!O47</f>
        <v>0</v>
      </c>
      <c r="X34" s="1815">
        <f>annual!P47</f>
        <v>0</v>
      </c>
      <c r="Y34" s="1839"/>
      <c r="Z34" s="1812">
        <f>annual!Q47</f>
        <v>0</v>
      </c>
      <c r="AA34" s="1813" t="str">
        <f t="shared" si="3"/>
        <v>till_?</v>
      </c>
      <c r="AB34" s="1813"/>
      <c r="AC34" s="1813"/>
      <c r="AD34" s="1813"/>
      <c r="AE34" s="1813"/>
      <c r="AF34" s="1813"/>
      <c r="AG34" s="1813"/>
      <c r="AH34" s="1813"/>
      <c r="AI34" s="1813"/>
      <c r="AJ34" s="1813"/>
      <c r="AP34" s="1800" t="str">
        <f t="shared" si="1"/>
        <v/>
      </c>
      <c r="AQ34" s="1800"/>
      <c r="AR34" s="1800"/>
      <c r="AS34" s="1817">
        <f t="shared" si="2"/>
        <v>0</v>
      </c>
      <c r="AT34" s="2121"/>
      <c r="AU34" s="1817">
        <f>_xlfn.IFNA(IF($G34&lt;&gt;"Please select", VLOOKUP(clim_moist, IPCC!$A$57:$B$68, 2, FALSE),0),)</f>
        <v>0</v>
      </c>
      <c r="AV34" s="2121"/>
      <c r="AW34" s="1817">
        <f>_xlfn.IFNA(INDEX(IPCC!$F$58:$H$68,MATCH(clim_moist,IPCC!$A$58:$A$68,0),MATCH('3.Cropland'!G34,IPCC!$F$58:$H$58,0)),)</f>
        <v>0</v>
      </c>
      <c r="AX34" s="2121"/>
      <c r="AY34" s="1817">
        <f>_xlfn.IFNA(INDEX(IPCC!$I$58:$L$68,MATCH(clim_moist,IPCC!$A$58:$A$68,0),MATCH('3.Cropland'!I34,IPCC!$I$58:$L$58,0)),)</f>
        <v>0</v>
      </c>
      <c r="AZ34" s="2121"/>
      <c r="BA34" s="1817">
        <f>annual!I77</f>
        <v>7.6193788355317897</v>
      </c>
      <c r="BB34" s="2121"/>
      <c r="BC34" s="1782"/>
      <c r="BD34" s="1782"/>
      <c r="BE34" s="1782"/>
      <c r="BF34" s="1782"/>
      <c r="BG34" s="1782"/>
      <c r="BH34" s="4106" t="s">
        <v>391</v>
      </c>
      <c r="BI34" s="4107"/>
      <c r="BJ34" s="4105" t="s">
        <v>57</v>
      </c>
      <c r="BK34" s="1817">
        <f>annual!$T77</f>
        <v>0</v>
      </c>
      <c r="BL34" s="2121"/>
      <c r="BM34" s="1782"/>
      <c r="BO34" s="4363">
        <v>1</v>
      </c>
      <c r="BP34" s="4364"/>
      <c r="BQ34" s="1996"/>
      <c r="BS34" s="1803"/>
    </row>
    <row r="35" spans="2:105" ht="17" customHeight="1" x14ac:dyDescent="0.2">
      <c r="B35" s="1781"/>
      <c r="C35" s="1841"/>
      <c r="D35" s="1841"/>
      <c r="E35" s="1841"/>
      <c r="F35" s="1841"/>
      <c r="G35" s="1841"/>
      <c r="H35" s="1841"/>
      <c r="I35" s="1841"/>
      <c r="J35" s="1841"/>
      <c r="K35" s="1842"/>
      <c r="L35" s="1841"/>
      <c r="M35" s="1843"/>
      <c r="N35" s="1843"/>
      <c r="O35" s="1841"/>
      <c r="P35" s="1844" t="str">
        <f>Languages!B174</f>
        <v>Total (ha)</v>
      </c>
      <c r="Q35" s="1841">
        <f>annual!D48</f>
        <v>150</v>
      </c>
      <c r="R35" s="1841">
        <f>annual!E48</f>
        <v>150</v>
      </c>
      <c r="S35" s="1841"/>
      <c r="T35" s="1841">
        <f>annual!G48</f>
        <v>150</v>
      </c>
      <c r="U35" s="1841"/>
      <c r="V35" s="1845"/>
      <c r="W35" s="1841"/>
      <c r="X35" s="1841"/>
      <c r="Y35" s="1841"/>
      <c r="Z35" s="1846"/>
      <c r="AA35" s="1813"/>
      <c r="AB35" s="1813"/>
      <c r="AC35" s="1813"/>
      <c r="AD35" s="1813"/>
      <c r="AE35" s="1813"/>
      <c r="AF35" s="1813"/>
      <c r="AG35" s="1813"/>
      <c r="AH35" s="1813"/>
      <c r="AI35" s="1813"/>
      <c r="AJ35" s="1813"/>
      <c r="AP35" s="1847"/>
      <c r="AQ35" s="1847"/>
      <c r="AR35" s="1847"/>
      <c r="AS35" s="1847"/>
      <c r="AT35" s="1847"/>
      <c r="AU35" s="1847"/>
      <c r="AV35" s="1847"/>
      <c r="AW35" s="1847"/>
      <c r="AX35" s="1847"/>
      <c r="AY35" s="1782"/>
      <c r="AZ35" s="1847"/>
      <c r="BA35" s="1847"/>
      <c r="BB35" s="1847"/>
      <c r="BC35" s="1782"/>
      <c r="BD35" s="1782"/>
      <c r="BE35" s="1782"/>
      <c r="BF35" s="1782"/>
      <c r="BG35" s="1782"/>
      <c r="BH35" s="1782"/>
      <c r="BI35" s="1847"/>
      <c r="BJ35" s="1847"/>
      <c r="BK35" s="1782"/>
      <c r="BL35" s="1847"/>
      <c r="BM35" s="1782"/>
      <c r="BO35" s="1996"/>
      <c r="BP35" s="1893"/>
      <c r="BQ35" s="1996"/>
      <c r="BS35" s="1803"/>
    </row>
    <row r="36" spans="2:105" ht="15" customHeight="1" x14ac:dyDescent="0.2">
      <c r="B36" s="1781"/>
      <c r="C36" s="1848"/>
      <c r="D36" s="1781"/>
      <c r="E36" s="1781"/>
      <c r="F36" s="1781"/>
      <c r="G36" s="1781"/>
      <c r="H36" s="1781"/>
      <c r="I36" s="1781"/>
      <c r="J36" s="1781"/>
      <c r="K36" s="1781"/>
      <c r="L36" s="1781"/>
      <c r="M36" s="1781"/>
      <c r="N36" s="1781"/>
      <c r="O36" s="1781"/>
      <c r="P36" s="1781"/>
      <c r="Q36" s="4272" t="str">
        <f>IF(OR(Q35&lt;&gt;R35, Q35&lt;&gt;T35, R35&lt;&gt;T35), list!$B$281, "")</f>
        <v/>
      </c>
      <c r="R36" s="4272"/>
      <c r="S36" s="4272"/>
      <c r="T36" s="4272"/>
      <c r="U36" s="4272"/>
      <c r="V36" s="1781"/>
      <c r="W36" s="1781"/>
      <c r="X36" s="1781"/>
      <c r="Y36" s="1781"/>
      <c r="Z36" s="1850"/>
      <c r="AA36" s="1772"/>
      <c r="AB36" s="1772"/>
      <c r="AC36" s="1772"/>
      <c r="AD36" s="1772"/>
      <c r="AE36" s="1772"/>
      <c r="AF36" s="1772"/>
      <c r="AG36" s="1772"/>
      <c r="AH36" s="1772"/>
      <c r="AI36" s="1772"/>
      <c r="AJ36" s="1772"/>
      <c r="AP36" s="1782" t="str">
        <f>'5.Management'!AQ23</f>
        <v>Use this part only if you want to refine the analysis at Tier 2</v>
      </c>
      <c r="AQ36" s="1782"/>
      <c r="AR36" s="1782"/>
      <c r="AS36" s="1782"/>
      <c r="AT36" s="1782"/>
      <c r="AU36" s="1782"/>
      <c r="AV36" s="1782"/>
      <c r="AW36" s="1782"/>
      <c r="AX36" s="1782"/>
      <c r="AY36" s="1782"/>
      <c r="AZ36" s="1782"/>
      <c r="BA36" s="1782"/>
      <c r="BB36" s="1782"/>
      <c r="BC36" s="1782"/>
      <c r="BD36" s="1782"/>
      <c r="BE36" s="1782"/>
      <c r="BF36" s="1782"/>
      <c r="BG36" s="1782"/>
      <c r="BH36" s="1782"/>
      <c r="BI36" s="1782"/>
      <c r="BJ36" s="1782"/>
      <c r="BK36" s="1782"/>
      <c r="BL36" s="1782"/>
      <c r="BM36" s="1782"/>
      <c r="BO36" s="4548" t="s">
        <v>87</v>
      </c>
      <c r="BP36" s="4548"/>
      <c r="BQ36" s="4548"/>
      <c r="BS36" s="1803"/>
    </row>
    <row r="37" spans="2:105" ht="15" customHeight="1" x14ac:dyDescent="0.2">
      <c r="B37" s="1781"/>
      <c r="C37" s="1851"/>
      <c r="D37" s="1781"/>
      <c r="E37" s="1781"/>
      <c r="F37" s="1781"/>
      <c r="G37" s="1852"/>
      <c r="H37" s="1781"/>
      <c r="I37" s="1781"/>
      <c r="J37" s="1781"/>
      <c r="K37" s="1790"/>
      <c r="L37" s="1853"/>
      <c r="M37" s="1853"/>
      <c r="N37" s="1853"/>
      <c r="O37" s="1853"/>
      <c r="P37" s="1853"/>
      <c r="Q37" s="1854"/>
      <c r="R37" s="1855"/>
      <c r="S37" s="1856"/>
      <c r="T37" s="1853"/>
      <c r="U37" s="2018" t="str">
        <f>Languages!B121</f>
        <v>Total annual cropping systems (tCO2-e)</v>
      </c>
      <c r="V37" s="1857"/>
      <c r="W37" s="1858">
        <f>annual!O49</f>
        <v>-1588.6168463577876</v>
      </c>
      <c r="X37" s="1858">
        <f>annual!P49</f>
        <v>-1588.6168463577876</v>
      </c>
      <c r="Y37" s="1859"/>
      <c r="Z37" s="1860">
        <f>annual!Q49</f>
        <v>0</v>
      </c>
      <c r="AA37" s="1772"/>
      <c r="AB37" s="1772"/>
      <c r="AC37" s="1772"/>
      <c r="AD37" s="1772"/>
      <c r="AE37" s="1772"/>
      <c r="AF37" s="1772"/>
      <c r="AG37" s="1772"/>
      <c r="AH37" s="1772"/>
      <c r="AI37" s="1772"/>
      <c r="AJ37" s="1772"/>
      <c r="AP37" s="1782" t="str">
        <f>'5.Management'!AQ24</f>
        <v>IPCC default values are provided for your information only; EX-ACT will use Tier 2 values automatically wherever specified.</v>
      </c>
      <c r="AQ37" s="1782"/>
      <c r="AR37" s="1782"/>
      <c r="AS37" s="1782"/>
      <c r="AT37" s="1782"/>
      <c r="AU37" s="1782"/>
      <c r="AV37" s="1782"/>
      <c r="AW37" s="1782"/>
      <c r="AX37" s="1782"/>
      <c r="AY37" s="1782"/>
      <c r="AZ37" s="1782"/>
      <c r="BA37" s="1782"/>
      <c r="BB37" s="1782"/>
      <c r="BC37" s="1782"/>
      <c r="BD37" s="1782"/>
      <c r="BE37" s="1782"/>
      <c r="BF37" s="1782"/>
      <c r="BG37" s="1782"/>
      <c r="BH37" s="1782"/>
      <c r="BI37" s="1782"/>
      <c r="BJ37" s="1782"/>
      <c r="BK37" s="1782"/>
      <c r="BL37" s="1782"/>
      <c r="BM37" s="1782"/>
      <c r="BO37" s="4548"/>
      <c r="BP37" s="4548"/>
      <c r="BQ37" s="4548"/>
      <c r="BS37" s="1803"/>
    </row>
    <row r="38" spans="2:105" ht="15" customHeight="1" x14ac:dyDescent="0.2">
      <c r="B38" s="1781"/>
      <c r="C38" s="1781"/>
      <c r="D38" s="1781"/>
      <c r="E38" s="1781"/>
      <c r="F38" s="1781"/>
      <c r="G38" s="1852"/>
      <c r="H38" s="1781"/>
      <c r="I38" s="1781"/>
      <c r="J38" s="1781"/>
      <c r="K38" s="1790"/>
      <c r="L38" s="1781"/>
      <c r="M38" s="1781"/>
      <c r="N38" s="1781"/>
      <c r="O38" s="1781"/>
      <c r="P38" s="1781"/>
      <c r="Q38" s="1781"/>
      <c r="R38" s="1781"/>
      <c r="S38" s="1781"/>
      <c r="T38" s="1781"/>
      <c r="U38" s="1781"/>
      <c r="V38" s="1781"/>
      <c r="W38" s="1781"/>
      <c r="X38" s="1781"/>
      <c r="Y38" s="1781"/>
      <c r="Z38" s="1781"/>
      <c r="AA38" s="1772"/>
      <c r="AB38" s="1772"/>
      <c r="AC38" s="1772"/>
      <c r="AD38" s="1772"/>
      <c r="AE38" s="1772"/>
      <c r="AF38" s="1772"/>
      <c r="AG38" s="1772"/>
      <c r="AH38" s="1772"/>
      <c r="AI38" s="1772"/>
      <c r="AJ38" s="1772"/>
      <c r="AP38" s="1782"/>
      <c r="AQ38" s="1782"/>
      <c r="AR38" s="1782"/>
      <c r="AS38" s="1782"/>
      <c r="AT38" s="1782"/>
      <c r="AU38" s="1782"/>
      <c r="AV38" s="1782"/>
      <c r="AW38" s="1782"/>
      <c r="AX38" s="1782"/>
      <c r="AY38" s="1782"/>
      <c r="AZ38" s="1782"/>
      <c r="BA38" s="1782"/>
      <c r="BB38" s="1782"/>
      <c r="BC38" s="1782"/>
      <c r="BD38" s="1782"/>
      <c r="BE38" s="1782"/>
      <c r="BF38" s="1782"/>
      <c r="BG38" s="1782"/>
      <c r="BH38" s="1782"/>
      <c r="BI38" s="1782"/>
      <c r="BJ38" s="1782"/>
      <c r="BK38" s="1782"/>
      <c r="BL38" s="1782"/>
      <c r="BM38" s="1782"/>
      <c r="BO38" s="4548"/>
      <c r="BP38" s="4548"/>
      <c r="BQ38" s="4548"/>
      <c r="BS38" s="1803"/>
    </row>
    <row r="39" spans="2:105" ht="15" customHeight="1" x14ac:dyDescent="0.2">
      <c r="B39" s="1781"/>
      <c r="C39" s="1861" t="str">
        <f>'2.LUC'!B24</f>
        <v>*The selection of "D" corresponds to a default (linear) dynamics of change. Other selection options include "I" for immediate changes and "E" for exponential - please refer to the guidelines for further explanation of these assumptions.</v>
      </c>
      <c r="D39" s="1781"/>
      <c r="E39" s="1781"/>
      <c r="F39" s="1781"/>
      <c r="G39" s="1852"/>
      <c r="H39" s="1781"/>
      <c r="I39" s="1781"/>
      <c r="J39" s="1781"/>
      <c r="K39" s="1790"/>
      <c r="L39" s="1781"/>
      <c r="M39" s="1781"/>
      <c r="N39" s="1781"/>
      <c r="O39" s="1781"/>
      <c r="P39" s="1781"/>
      <c r="Q39" s="1781"/>
      <c r="R39" s="1781"/>
      <c r="S39" s="1781"/>
      <c r="T39" s="1781"/>
      <c r="U39" s="1781"/>
      <c r="V39" s="1781"/>
      <c r="W39" s="1781"/>
      <c r="X39" s="1781"/>
      <c r="Y39" s="1781"/>
      <c r="Z39" s="1781"/>
      <c r="AA39" s="1772"/>
      <c r="AB39" s="1772"/>
      <c r="AC39" s="1772"/>
      <c r="AD39" s="1772"/>
      <c r="AE39" s="1772"/>
      <c r="AF39" s="1772"/>
      <c r="AG39" s="1772"/>
      <c r="AH39" s="1772"/>
      <c r="AI39" s="1772"/>
      <c r="AJ39" s="1772"/>
      <c r="AP39" s="1782"/>
      <c r="AQ39" s="1782"/>
      <c r="AR39" s="1782"/>
      <c r="AS39" s="1782"/>
      <c r="AT39" s="1782"/>
      <c r="AU39" s="1782"/>
      <c r="AV39" s="1862"/>
      <c r="AW39" s="1782"/>
      <c r="AX39" s="1782"/>
      <c r="AY39" s="1782"/>
      <c r="AZ39" s="1782"/>
      <c r="BA39" s="1782"/>
      <c r="BB39" s="1782"/>
      <c r="BC39" s="1782"/>
      <c r="BD39" s="1782"/>
      <c r="BE39" s="1782"/>
      <c r="BF39" s="1782"/>
      <c r="BG39" s="1782"/>
      <c r="BH39" s="1782"/>
      <c r="BI39" s="1782"/>
      <c r="BJ39" s="1782"/>
      <c r="BK39" s="1782"/>
      <c r="BL39" s="1782"/>
      <c r="BM39" s="1782"/>
      <c r="BO39" s="1996"/>
      <c r="BP39" s="1893"/>
      <c r="BQ39" s="1996"/>
      <c r="BS39" s="1803"/>
    </row>
    <row r="40" spans="2:105" ht="15" customHeight="1" x14ac:dyDescent="0.2">
      <c r="B40" s="1781"/>
      <c r="C40" s="1781"/>
      <c r="D40" s="1781"/>
      <c r="E40" s="1781"/>
      <c r="F40" s="1781"/>
      <c r="G40" s="1852"/>
      <c r="H40" s="1781"/>
      <c r="I40" s="1781"/>
      <c r="J40" s="1781"/>
      <c r="K40" s="1790"/>
      <c r="L40" s="1781"/>
      <c r="M40" s="1781"/>
      <c r="N40" s="1781"/>
      <c r="O40" s="1781"/>
      <c r="P40" s="1781"/>
      <c r="Q40" s="1781"/>
      <c r="R40" s="1781"/>
      <c r="S40" s="1781"/>
      <c r="T40" s="1781"/>
      <c r="U40" s="1781"/>
      <c r="V40" s="1781"/>
      <c r="W40" s="1781"/>
      <c r="X40" s="1781"/>
      <c r="Y40" s="1781"/>
      <c r="Z40" s="1781"/>
      <c r="AA40" s="1772"/>
      <c r="AB40" s="1772"/>
      <c r="AC40" s="1772"/>
      <c r="AD40" s="1772"/>
      <c r="AE40" s="1772"/>
      <c r="AF40" s="1772"/>
      <c r="AG40" s="1772"/>
      <c r="AH40" s="1772"/>
      <c r="AI40" s="1772"/>
      <c r="AJ40" s="1772"/>
      <c r="BS40" s="1803"/>
    </row>
    <row r="41" spans="2:105" ht="15" customHeight="1" x14ac:dyDescent="0.2">
      <c r="BS41" s="1803"/>
    </row>
    <row r="42" spans="2:105" ht="15" customHeight="1" x14ac:dyDescent="0.2">
      <c r="BS42" s="1803"/>
    </row>
    <row r="44" spans="2:105" s="1772" customFormat="1" ht="15" customHeight="1" x14ac:dyDescent="0.2">
      <c r="C44" s="1771"/>
      <c r="G44" s="1865"/>
      <c r="K44" s="1866"/>
      <c r="AA44" s="1771"/>
      <c r="AB44" s="1771"/>
      <c r="AC44" s="1771"/>
      <c r="AD44" s="1771"/>
      <c r="AE44" s="1771"/>
      <c r="AF44" s="1771"/>
      <c r="AG44" s="1771"/>
      <c r="AH44" s="1771"/>
      <c r="AI44" s="1771"/>
      <c r="AJ44" s="1771"/>
      <c r="AK44" s="1771"/>
      <c r="AL44" s="1771"/>
      <c r="AM44" s="1771"/>
      <c r="AN44" s="1771"/>
      <c r="BK44" s="1771"/>
      <c r="BZ44" s="1771"/>
      <c r="CA44" s="1771"/>
      <c r="CF44" s="1771"/>
      <c r="CG44" s="1771"/>
      <c r="CH44" s="1771"/>
      <c r="CI44" s="1771"/>
      <c r="CR44" s="1771"/>
      <c r="CS44" s="1771"/>
      <c r="CT44" s="1771"/>
      <c r="CV44" s="1771"/>
      <c r="CW44" s="1771"/>
      <c r="CX44" s="1771"/>
      <c r="CY44" s="1771"/>
      <c r="CZ44" s="1771"/>
      <c r="DA44" s="1771"/>
    </row>
    <row r="47" spans="2:105" ht="15" customHeight="1" x14ac:dyDescent="0.2">
      <c r="AP47" s="1867"/>
      <c r="AQ47" s="1868"/>
      <c r="AR47" s="1868"/>
      <c r="AS47" s="1868"/>
      <c r="AT47" s="1868"/>
      <c r="AU47" s="1868"/>
      <c r="AV47" s="1868"/>
      <c r="AW47" s="1803"/>
      <c r="AX47" s="1868"/>
      <c r="AY47" s="1868"/>
      <c r="AZ47" s="1868"/>
      <c r="BA47" s="1868"/>
      <c r="BB47" s="1868"/>
      <c r="BC47" s="1868"/>
      <c r="BD47" s="1868"/>
      <c r="BE47" s="1868"/>
      <c r="BF47" s="1868"/>
      <c r="BG47" s="1868"/>
      <c r="BH47" s="1868"/>
      <c r="BI47" s="1868"/>
      <c r="BJ47" s="1868"/>
      <c r="BK47" s="1868"/>
    </row>
    <row r="48" spans="2:105" ht="45" customHeight="1" x14ac:dyDescent="0.2">
      <c r="B48" s="1768"/>
      <c r="C48" s="1769" t="str">
        <f>Languages!B147</f>
        <v>3.2. PERENNIAL CROPPING SYSTEMS (e.g. agroforestry, orchards, tree crops etc.)</v>
      </c>
      <c r="D48" s="1768"/>
      <c r="E48" s="1768"/>
      <c r="F48" s="1768"/>
      <c r="G48" s="1768"/>
      <c r="H48" s="1768"/>
      <c r="I48" s="1768"/>
      <c r="J48" s="1768"/>
      <c r="K48" s="1767"/>
      <c r="L48" s="1768"/>
      <c r="M48" s="1768"/>
      <c r="N48" s="1768"/>
      <c r="O48" s="1768"/>
      <c r="P48" s="1768"/>
      <c r="Q48" s="1768"/>
      <c r="R48" s="1768"/>
      <c r="S48" s="1768"/>
      <c r="T48" s="1768"/>
      <c r="U48" s="1768"/>
      <c r="V48" s="1767"/>
      <c r="W48" s="1770" t="str">
        <f>W6</f>
        <v>If country-specific data are available, please go to Tier 2:</v>
      </c>
      <c r="X48" s="1768"/>
      <c r="Y48" s="1768"/>
      <c r="Z48" s="1768"/>
      <c r="AP48" s="1769" t="str">
        <f>C48</f>
        <v>3.2. PERENNIAL CROPPING SYSTEMS (e.g. agroforestry, orchards, tree crops etc.)</v>
      </c>
      <c r="AQ48" s="1869"/>
      <c r="AR48" s="1869"/>
      <c r="AS48" s="1869"/>
      <c r="AT48" s="1869"/>
      <c r="AU48" s="1869"/>
      <c r="AV48" s="1869"/>
      <c r="AW48" s="1869"/>
      <c r="AX48" s="1869"/>
      <c r="AY48" s="1869"/>
      <c r="AZ48" s="1869"/>
      <c r="BA48" s="1869"/>
      <c r="BB48" s="1869"/>
      <c r="BC48" s="1869"/>
      <c r="BD48" s="1869"/>
      <c r="BE48" s="1869"/>
      <c r="BF48" s="1869"/>
      <c r="BG48" s="1869"/>
      <c r="BH48" s="1869"/>
      <c r="BI48" s="1777"/>
      <c r="BJ48" s="1777"/>
      <c r="BK48" s="1777"/>
      <c r="BL48" s="1777"/>
      <c r="BM48" s="1777"/>
      <c r="BO48" s="4366" t="s">
        <v>71</v>
      </c>
      <c r="BP48" s="4366"/>
      <c r="BQ48" s="4366"/>
    </row>
    <row r="49" spans="2:69" ht="5.25" customHeight="1" x14ac:dyDescent="0.2">
      <c r="G49" s="1771"/>
      <c r="K49" s="1771"/>
      <c r="AP49" s="1870"/>
      <c r="AQ49" s="1871"/>
      <c r="AR49" s="1871"/>
      <c r="AS49" s="1871"/>
      <c r="AT49" s="1872"/>
      <c r="AU49" s="1871"/>
      <c r="AV49" s="1871"/>
      <c r="AW49" s="1871"/>
      <c r="AX49" s="1871"/>
      <c r="AY49" s="1871"/>
      <c r="AZ49" s="1871"/>
      <c r="BA49" s="1871"/>
      <c r="BB49" s="1871"/>
      <c r="BC49" s="1871"/>
      <c r="BD49" s="1871"/>
      <c r="BE49" s="1871"/>
      <c r="BF49" s="1871"/>
      <c r="BG49" s="1871"/>
      <c r="BH49" s="1871"/>
      <c r="BI49" s="1868"/>
      <c r="BJ49" s="1868"/>
      <c r="BK49" s="1868"/>
      <c r="BL49" s="1868"/>
      <c r="BM49" s="1868"/>
      <c r="BO49" s="1915"/>
      <c r="BP49" s="1915"/>
    </row>
    <row r="50" spans="2:69" ht="20.25" customHeight="1" x14ac:dyDescent="0.2">
      <c r="B50" s="1773"/>
      <c r="C50" s="1774" t="str">
        <f>Languages!B148</f>
        <v xml:space="preserve">3.2.1. Perennial systems from other LU or converted to other LU </v>
      </c>
      <c r="D50" s="1873"/>
      <c r="E50" s="1873"/>
      <c r="F50" s="1873"/>
      <c r="G50" s="1873"/>
      <c r="H50" s="1873"/>
      <c r="I50" s="1873"/>
      <c r="J50" s="1873"/>
      <c r="K50" s="1873"/>
      <c r="L50" s="1873"/>
      <c r="M50" s="1873"/>
      <c r="N50" s="1873"/>
      <c r="O50" s="1873"/>
      <c r="P50" s="1873"/>
      <c r="Q50" s="1873"/>
      <c r="R50" s="1873"/>
      <c r="S50" s="1873"/>
      <c r="T50" s="1873"/>
      <c r="U50" s="1873"/>
      <c r="V50" s="1873"/>
      <c r="W50" s="1873"/>
      <c r="X50" s="1873"/>
      <c r="Y50" s="1873"/>
      <c r="Z50" s="1873"/>
      <c r="AP50" s="1874" t="str">
        <f>C50</f>
        <v xml:space="preserve">3.2.1. Perennial systems from other LU or converted to other LU </v>
      </c>
      <c r="AQ50" s="1875"/>
      <c r="AR50" s="1875"/>
      <c r="AS50" s="1875"/>
      <c r="AT50" s="1875"/>
      <c r="AU50" s="1875"/>
      <c r="AV50" s="1875"/>
      <c r="AW50" s="1875"/>
      <c r="AX50" s="1875"/>
      <c r="AY50" s="1875"/>
      <c r="AZ50" s="1875"/>
      <c r="BA50" s="1875"/>
      <c r="BB50" s="1875"/>
      <c r="BC50" s="1875"/>
      <c r="BD50" s="1875"/>
      <c r="BE50" s="1875"/>
      <c r="BF50" s="1875"/>
      <c r="BG50" s="1875"/>
      <c r="BH50" s="1875"/>
      <c r="BI50" s="1875"/>
      <c r="BJ50" s="1875"/>
      <c r="BK50" s="1875"/>
      <c r="BL50" s="1875"/>
      <c r="BM50" s="1875"/>
      <c r="BO50" s="1875"/>
      <c r="BP50" s="1875"/>
      <c r="BQ50" s="1875"/>
    </row>
    <row r="51" spans="2:69" ht="15" customHeight="1" x14ac:dyDescent="0.2">
      <c r="B51" s="1781"/>
      <c r="C51" s="1820"/>
      <c r="D51" s="1781"/>
      <c r="E51" s="1781"/>
      <c r="F51" s="1781"/>
      <c r="G51" s="1876" t="str">
        <f>Languages!B160</f>
        <v>Management options for perennial cropping systems</v>
      </c>
      <c r="H51" s="1789"/>
      <c r="I51" s="1789"/>
      <c r="J51" s="1877"/>
      <c r="K51" s="1877"/>
      <c r="L51" s="1781"/>
      <c r="M51" s="1781"/>
      <c r="N51" s="1781"/>
      <c r="O51" s="1781"/>
      <c r="P51" s="1781"/>
      <c r="Q51" s="1878"/>
      <c r="R51" s="1879"/>
      <c r="S51" s="1879"/>
      <c r="T51" s="1879"/>
      <c r="U51" s="1781"/>
      <c r="V51" s="1781"/>
      <c r="W51" s="1781"/>
      <c r="X51" s="1781"/>
      <c r="Y51" s="1781"/>
      <c r="Z51" s="1781"/>
      <c r="AP51" s="1782"/>
      <c r="AQ51" s="1880"/>
      <c r="AR51" s="1880"/>
      <c r="AS51" s="1880"/>
      <c r="AT51" s="1880"/>
      <c r="AU51" s="1880"/>
      <c r="AV51" s="1782"/>
      <c r="AW51" s="1880"/>
      <c r="AX51" s="1880"/>
      <c r="AY51" s="1880"/>
      <c r="AZ51" s="1880"/>
      <c r="BA51" s="1880"/>
      <c r="BB51" s="1880"/>
      <c r="BC51" s="1880"/>
      <c r="BD51" s="1880"/>
      <c r="BE51" s="1880"/>
      <c r="BF51" s="1880"/>
      <c r="BG51" s="1881"/>
      <c r="BH51" s="1880"/>
      <c r="BI51" s="1880"/>
      <c r="BJ51" s="1880"/>
      <c r="BK51" s="1880"/>
      <c r="BL51" s="1880"/>
      <c r="BM51" s="1880"/>
      <c r="BO51" s="1889" t="s">
        <v>74</v>
      </c>
      <c r="BP51" s="1889"/>
      <c r="BQ51" s="1996"/>
    </row>
    <row r="52" spans="2:69" ht="15" customHeight="1" x14ac:dyDescent="0.2">
      <c r="B52" s="1781"/>
      <c r="C52" s="1820"/>
      <c r="D52" s="1781"/>
      <c r="E52" s="1781"/>
      <c r="F52" s="1781"/>
      <c r="G52" s="1805"/>
      <c r="H52" s="1877"/>
      <c r="I52" s="1805"/>
      <c r="J52" s="1877"/>
      <c r="K52" s="1877"/>
      <c r="L52" s="1781"/>
      <c r="M52" s="1781"/>
      <c r="N52" s="1781"/>
      <c r="O52" s="1781"/>
      <c r="P52" s="1781"/>
      <c r="Q52" s="1882" t="str">
        <f>R21</f>
        <v>Area (ha)</v>
      </c>
      <c r="R52" s="1883"/>
      <c r="S52" s="1883"/>
      <c r="T52" s="1883"/>
      <c r="U52" s="1781"/>
      <c r="V52" s="1781"/>
      <c r="W52" s="1884" t="str">
        <f>W21</f>
        <v>Total emissions (tCO2-e)</v>
      </c>
      <c r="X52" s="1849"/>
      <c r="Y52" s="1781"/>
      <c r="Z52" s="1781"/>
      <c r="AP52" s="1782"/>
      <c r="AQ52" s="1782"/>
      <c r="AR52" s="1782"/>
      <c r="AS52" s="1782"/>
      <c r="AT52" s="1782"/>
      <c r="AU52" s="1782"/>
      <c r="AV52" s="1782"/>
      <c r="AW52" s="1782"/>
      <c r="AX52" s="1782"/>
      <c r="AY52" s="1782"/>
      <c r="AZ52" s="1782"/>
      <c r="BA52" s="1782"/>
      <c r="BB52" s="1782"/>
      <c r="BC52" s="1782"/>
      <c r="BD52" s="1782"/>
      <c r="BE52" s="1782"/>
      <c r="BF52" s="1782"/>
      <c r="BG52" s="1782"/>
      <c r="BH52" s="1782"/>
      <c r="BI52" s="1885"/>
      <c r="BJ52" s="1885"/>
      <c r="BK52" s="1885"/>
      <c r="BL52" s="1885"/>
      <c r="BM52" s="1885"/>
      <c r="BO52" s="2014" t="s">
        <v>82</v>
      </c>
      <c r="BP52" s="2014"/>
      <c r="BQ52" s="1996"/>
    </row>
    <row r="53" spans="2:69" ht="15" customHeight="1" x14ac:dyDescent="0.2">
      <c r="B53" s="1781"/>
      <c r="C53" s="1820"/>
      <c r="D53" s="1781"/>
      <c r="E53" s="1805" t="str">
        <f>Languages!B151</f>
        <v xml:space="preserve"> Agroforestry </v>
      </c>
      <c r="F53" s="1781"/>
      <c r="G53" s="1805" t="str">
        <f>$G$22</f>
        <v>Tillage</v>
      </c>
      <c r="H53" s="1781"/>
      <c r="I53" s="1805" t="str">
        <f>$I$22</f>
        <v>Input of</v>
      </c>
      <c r="J53" s="1781"/>
      <c r="K53" s="1805" t="str">
        <f>Languages!B172</f>
        <v>Residue/</v>
      </c>
      <c r="L53" s="1781"/>
      <c r="M53" s="1805" t="str">
        <f>$M$22</f>
        <v>Yield</v>
      </c>
      <c r="N53" s="1781"/>
      <c r="O53" s="1781"/>
      <c r="P53" s="1781"/>
      <c r="Q53" s="1781"/>
      <c r="R53" s="1836"/>
      <c r="S53" s="1781"/>
      <c r="T53" s="1781"/>
      <c r="U53" s="1781"/>
      <c r="V53" s="1781"/>
      <c r="W53" s="1781"/>
      <c r="X53" s="1781"/>
      <c r="Y53" s="1781"/>
      <c r="Z53" s="1781"/>
      <c r="AP53" s="1784"/>
      <c r="AQ53" s="1784"/>
      <c r="AR53" s="1784"/>
      <c r="AS53" s="1886" t="str">
        <f>Languages!B164</f>
        <v xml:space="preserve">Above-ground </v>
      </c>
      <c r="AT53" s="1782"/>
      <c r="AU53" s="1886" t="str">
        <f>Languages!B166</f>
        <v xml:space="preserve">Below-ground </v>
      </c>
      <c r="AV53" s="1800"/>
      <c r="AW53" s="1886" t="s">
        <v>5188</v>
      </c>
      <c r="AX53" s="1784"/>
      <c r="AY53" s="1886" t="str">
        <f>Languages!B75</f>
        <v>Soil carbon</v>
      </c>
      <c r="AZ53" s="1784"/>
      <c r="BA53" s="1893"/>
      <c r="BB53" s="1893"/>
      <c r="BC53" s="1893"/>
      <c r="BD53" s="1888" t="str">
        <f>AW22</f>
        <v>Tillage factor</v>
      </c>
      <c r="BE53" s="1797"/>
      <c r="BF53" s="1888" t="str">
        <f>AY22</f>
        <v>Input factor</v>
      </c>
      <c r="BG53" s="1800"/>
      <c r="BH53" s="1887" t="str">
        <f>Languages!B185</f>
        <v>Residues burned</v>
      </c>
      <c r="BI53" s="1800"/>
      <c r="BJ53" s="1887" t="str">
        <f>Languages!B189</f>
        <v xml:space="preserve">Fire periodicity </v>
      </c>
      <c r="BK53" s="1889"/>
      <c r="BL53" s="1784"/>
      <c r="BM53" s="1784"/>
      <c r="BO53" s="1996"/>
      <c r="BP53" s="1893"/>
      <c r="BQ53" s="1996"/>
    </row>
    <row r="54" spans="2:69" ht="15" customHeight="1" x14ac:dyDescent="0.2">
      <c r="B54" s="1781"/>
      <c r="C54" s="1780" t="str">
        <f>C12</f>
        <v>Description</v>
      </c>
      <c r="D54" s="1781"/>
      <c r="E54" s="1805" t="str">
        <f>Languages!B152</f>
        <v>systems</v>
      </c>
      <c r="F54" s="1781"/>
      <c r="G54" s="1805" t="str">
        <f>$G$23</f>
        <v>management</v>
      </c>
      <c r="H54" s="1781"/>
      <c r="I54" s="1805" t="str">
        <f>$I$23</f>
        <v xml:space="preserve"> organic material</v>
      </c>
      <c r="J54" s="1781"/>
      <c r="K54" s="1805" t="str">
        <f>Languages!B173</f>
        <v xml:space="preserve">Biomass burning </v>
      </c>
      <c r="L54" s="1781"/>
      <c r="M54" s="1812" t="str">
        <f>M23</f>
        <v>(t/ha/yr)</v>
      </c>
      <c r="N54" s="1781"/>
      <c r="O54" s="1781"/>
      <c r="P54" s="1781"/>
      <c r="Q54" s="1812" t="str">
        <f>Q23</f>
        <v>Start</v>
      </c>
      <c r="R54" s="1812" t="str">
        <f>R23</f>
        <v>Without</v>
      </c>
      <c r="S54" s="1781"/>
      <c r="T54" s="1812" t="str">
        <f>T23</f>
        <v>With</v>
      </c>
      <c r="U54" s="1826"/>
      <c r="V54" s="1826"/>
      <c r="W54" s="1805" t="str">
        <f>$W$23</f>
        <v>Without</v>
      </c>
      <c r="X54" s="1780" t="str">
        <f>$X$23</f>
        <v>With</v>
      </c>
      <c r="Y54" s="1890"/>
      <c r="Z54" s="1805" t="str">
        <f>Z66</f>
        <v>Balance</v>
      </c>
      <c r="AP54" s="1784"/>
      <c r="AQ54" s="1784"/>
      <c r="AR54" s="1891"/>
      <c r="AS54" s="1795" t="str">
        <f>Languages!B89</f>
        <v>tC/ha/yr</v>
      </c>
      <c r="AT54" s="1784"/>
      <c r="AU54" s="1795" t="str">
        <f>AS54</f>
        <v>tC/ha/yr</v>
      </c>
      <c r="AV54" s="1795"/>
      <c r="AW54" s="1795" t="str">
        <f>AY54</f>
        <v>tC/ha</v>
      </c>
      <c r="AX54" s="1795"/>
      <c r="AY54" s="1795" t="str">
        <f>Languages!B90</f>
        <v>tC/ha</v>
      </c>
      <c r="AZ54" s="1795"/>
      <c r="BA54" s="1893"/>
      <c r="BB54" s="1893"/>
      <c r="BC54" s="1893"/>
      <c r="BD54" s="1784"/>
      <c r="BE54" s="1784"/>
      <c r="BF54" s="1784"/>
      <c r="BG54" s="1784"/>
      <c r="BH54" s="1795" t="s">
        <v>416</v>
      </c>
      <c r="BI54" s="1795"/>
      <c r="BJ54" s="1795" t="str">
        <f>Languages!B346</f>
        <v>Year</v>
      </c>
      <c r="BK54" s="1795"/>
      <c r="BL54" s="1784"/>
      <c r="BM54" s="1784"/>
      <c r="BO54" s="1996"/>
      <c r="BP54" s="1893"/>
      <c r="BQ54" s="1996"/>
    </row>
    <row r="55" spans="2:69" ht="15" customHeight="1" x14ac:dyDescent="0.2">
      <c r="B55" s="1781"/>
      <c r="C55" s="1781"/>
      <c r="D55" s="1781"/>
      <c r="E55" s="1781"/>
      <c r="F55" s="1781"/>
      <c r="G55" s="1781"/>
      <c r="H55" s="1781"/>
      <c r="I55" s="1781"/>
      <c r="J55" s="1781"/>
      <c r="K55" s="1781"/>
      <c r="L55" s="1781"/>
      <c r="M55" s="1781"/>
      <c r="N55" s="1839"/>
      <c r="O55" s="1839"/>
      <c r="P55" s="1839"/>
      <c r="Q55" s="1839"/>
      <c r="R55" s="1839"/>
      <c r="S55" s="1839"/>
      <c r="T55" s="1839"/>
      <c r="U55" s="1839"/>
      <c r="V55" s="1839"/>
      <c r="W55" s="1839"/>
      <c r="X55" s="1839"/>
      <c r="Y55" s="1839"/>
      <c r="Z55" s="1839"/>
      <c r="AP55" s="2362" t="str">
        <f>Languages!B162</f>
        <v>Perennial systems from (or to) other land-uses</v>
      </c>
      <c r="AQ55" s="1892"/>
      <c r="AR55" s="1892"/>
      <c r="AS55" s="1893" t="str">
        <f>Languages!B55</f>
        <v>Default</v>
      </c>
      <c r="AT55" s="1893" t="str">
        <f>Languages!B17</f>
        <v>Tier 2</v>
      </c>
      <c r="AU55" s="1893" t="str">
        <f>$AS$55</f>
        <v>Default</v>
      </c>
      <c r="AV55" s="1894" t="str">
        <f>$AT$55</f>
        <v>Tier 2</v>
      </c>
      <c r="AW55" s="1893" t="str">
        <f>AU55</f>
        <v>Default</v>
      </c>
      <c r="AX55" s="1893" t="str">
        <f>AV55</f>
        <v>Tier 2</v>
      </c>
      <c r="AY55" s="1893" t="str">
        <f>$AU$55</f>
        <v>Default</v>
      </c>
      <c r="AZ55" s="1893" t="str">
        <f>$AV$55</f>
        <v>Tier 2</v>
      </c>
      <c r="BA55" s="1893"/>
      <c r="BB55" s="1893"/>
      <c r="BC55" s="1893"/>
      <c r="BD55" s="1893" t="str">
        <f>AY55</f>
        <v>Default</v>
      </c>
      <c r="BE55" s="1893" t="str">
        <f>$AZ$55</f>
        <v>Tier 2</v>
      </c>
      <c r="BF55" s="1893" t="str">
        <f>BD55</f>
        <v>Default</v>
      </c>
      <c r="BG55" s="1893" t="str">
        <f>$AZ$55</f>
        <v>Tier 2</v>
      </c>
      <c r="BH55" s="1893" t="str">
        <f>$AY$55</f>
        <v>Default</v>
      </c>
      <c r="BI55" s="1893" t="str">
        <f>$AZ$55</f>
        <v>Tier 2</v>
      </c>
      <c r="BJ55" s="1893" t="str">
        <f>$BH$55</f>
        <v>Default</v>
      </c>
      <c r="BK55" s="1895" t="str">
        <f>$BI$55</f>
        <v>Tier 2</v>
      </c>
      <c r="BL55" s="1784"/>
      <c r="BM55" s="1892"/>
      <c r="BO55" s="1996"/>
      <c r="BP55" s="1893"/>
      <c r="BQ55" s="1996"/>
    </row>
    <row r="56" spans="2:69" ht="15" customHeight="1" x14ac:dyDescent="0.2">
      <c r="B56" s="1781"/>
      <c r="C56" s="4443" t="str">
        <f>Languages!B177</f>
        <v>Perennials after deforestation</v>
      </c>
      <c r="D56" s="1781"/>
      <c r="E56" s="2129" t="s">
        <v>57</v>
      </c>
      <c r="F56" s="1839"/>
      <c r="G56" s="2129" t="s">
        <v>57</v>
      </c>
      <c r="H56" s="1839"/>
      <c r="I56" s="4096" t="s">
        <v>57</v>
      </c>
      <c r="J56" s="1839"/>
      <c r="K56" s="4100" t="s">
        <v>85</v>
      </c>
      <c r="L56" s="1839"/>
      <c r="M56" s="4097"/>
      <c r="N56" s="1839"/>
      <c r="O56" s="1839"/>
      <c r="P56" s="1839"/>
      <c r="Q56" s="1896">
        <f>perennial!$C43</f>
        <v>0</v>
      </c>
      <c r="R56" s="1896">
        <f>perennial!$D43</f>
        <v>0</v>
      </c>
      <c r="S56" s="1896"/>
      <c r="T56" s="1896">
        <f>perennial!$F43</f>
        <v>0</v>
      </c>
      <c r="U56" s="1839"/>
      <c r="V56" s="1839"/>
      <c r="W56" s="1896">
        <f>perennial!$P43</f>
        <v>0</v>
      </c>
      <c r="X56" s="1896">
        <f>perennial!$Q43</f>
        <v>0</v>
      </c>
      <c r="Y56" s="1896"/>
      <c r="Z56" s="1812">
        <f>perennial!$R43</f>
        <v>0</v>
      </c>
      <c r="AP56" s="1800" t="str">
        <f>C56</f>
        <v>Perennials after deforestation</v>
      </c>
      <c r="AQ56" s="1784"/>
      <c r="AR56" s="1784"/>
      <c r="AS56" s="1817">
        <f>(IF('3.Cropland'!$E56 &lt;&gt;"Please select", INDEX(IPCC!$E$107:$T$298,MATCH(clim_moist_cont,IPCC!$C$107:$C$298,0),MATCH('3.Cropland'!$E56,IPCC!$E$105:$T$105,0)), 0))</f>
        <v>0</v>
      </c>
      <c r="AT56" s="2121"/>
      <c r="AU56" s="1817">
        <f>(IF('3.Cropland'!$E56&lt;&gt;"Please select",INDEX(IPCC!$E$310:$T$501,MATCH(clim_moist_cont,IPCC!$C$310:$C$501,0),MATCH('3.Cropland'!$E56,IPCC!$E$308:$T$308,0)),0))</f>
        <v>0</v>
      </c>
      <c r="AV56" s="2121"/>
      <c r="AW56" s="2000">
        <f>perennial!L12*12/44</f>
        <v>0</v>
      </c>
      <c r="AX56" s="2121"/>
      <c r="AY56" s="2000">
        <f>IF($E$56="Please select",0,SOCref*INDEX(IPCC!$B$1687:$W$1698,MATCH(clim_moist,IPCC!$A$1687:$A$1698,0),MATCH($E$56,IPCC!$B$1687:$W$1687,0)))</f>
        <v>0</v>
      </c>
      <c r="AZ56" s="2121"/>
      <c r="BA56" s="1893"/>
      <c r="BB56" s="1893"/>
      <c r="BC56" s="1893"/>
      <c r="BD56" s="1817">
        <f>_xlfn.IFNA(INDEX( IPCC!$F$58:$H$68,MATCH(clim_moist, IPCC!$A$58:$A$68,0),MATCH($G56, IPCC!$F$58:$H$58,0)),)</f>
        <v>0</v>
      </c>
      <c r="BE56" s="2121"/>
      <c r="BF56" s="1817">
        <f>_xlfn.IFNA(INDEX( IPCC!$I$58:$L$68,MATCH(clim_moist, IPCC!$A$58:$A$68,0),MATCH($I56, IPCC!$I$58:$L$58,0)),)</f>
        <v>0</v>
      </c>
      <c r="BG56" s="2121"/>
      <c r="BH56" s="1817">
        <f>AS56*50/100/0.47</f>
        <v>0</v>
      </c>
      <c r="BI56" s="4108"/>
      <c r="BJ56" s="1795">
        <v>1</v>
      </c>
      <c r="BK56" s="4108"/>
      <c r="BL56" s="1784"/>
      <c r="BM56" s="1784"/>
      <c r="BO56" s="4363">
        <v>1</v>
      </c>
      <c r="BP56" s="4364"/>
      <c r="BQ56" s="1996"/>
    </row>
    <row r="57" spans="2:69" ht="15" customHeight="1" x14ac:dyDescent="0.2">
      <c r="B57" s="1781"/>
      <c r="C57" s="4443" t="str">
        <f>Languages!B178</f>
        <v>Perennials converted to forest land</v>
      </c>
      <c r="D57" s="1781"/>
      <c r="E57" s="2129" t="s">
        <v>57</v>
      </c>
      <c r="F57" s="1781"/>
      <c r="G57" s="2129" t="s">
        <v>57</v>
      </c>
      <c r="H57" s="1781"/>
      <c r="I57" s="4096" t="s">
        <v>57</v>
      </c>
      <c r="J57" s="1781"/>
      <c r="K57" s="2131" t="s">
        <v>85</v>
      </c>
      <c r="L57" s="1781"/>
      <c r="M57" s="4097"/>
      <c r="N57" s="1839"/>
      <c r="O57" s="1839"/>
      <c r="P57" s="1839"/>
      <c r="Q57" s="1896">
        <f>perennial!$C44</f>
        <v>0</v>
      </c>
      <c r="R57" s="1896">
        <f>perennial!$D44</f>
        <v>0</v>
      </c>
      <c r="S57" s="1896"/>
      <c r="T57" s="1896">
        <f>perennial!$F44</f>
        <v>0</v>
      </c>
      <c r="U57" s="1839"/>
      <c r="V57" s="1839"/>
      <c r="W57" s="1896">
        <f>perennial!$P44</f>
        <v>0</v>
      </c>
      <c r="X57" s="1896">
        <f>perennial!$Q44</f>
        <v>0</v>
      </c>
      <c r="Y57" s="1896"/>
      <c r="Z57" s="1812">
        <f>perennial!$R44</f>
        <v>0</v>
      </c>
      <c r="AP57" s="1800" t="str">
        <f>C57</f>
        <v>Perennials converted to forest land</v>
      </c>
      <c r="AQ57" s="1784"/>
      <c r="AR57" s="1784"/>
      <c r="AS57" s="1817">
        <f>(IF('3.Cropland'!$E57 &lt;&gt;"Please select", INDEX(IPCC!$E$107:$T$298,MATCH(clim_moist_cont,IPCC!$C$107:$C$298,0),MATCH('3.Cropland'!$E57,IPCC!$E$105:$T$105,0)), 0))</f>
        <v>0</v>
      </c>
      <c r="AT57" s="2121"/>
      <c r="AU57" s="1817">
        <f>(IF('3.Cropland'!$E57&lt;&gt;"Please select",INDEX(IPCC!$E$310:$T$501,MATCH(clim_moist_cont,IPCC!$C$310:$C$501,0),MATCH('3.Cropland'!$E57,IPCC!$E$308:$T$308,0)),0))</f>
        <v>0</v>
      </c>
      <c r="AV57" s="2121"/>
      <c r="AW57" s="2000">
        <f>perennial!L13*12/44</f>
        <v>0</v>
      </c>
      <c r="AX57" s="2121"/>
      <c r="AY57" s="2000">
        <f>IF($E$57="Please select",0,SOCref*INDEX(IPCC!$B$1687:$W$1698,MATCH(clim_moist,IPCC!$A$1687:$A$1698,0),MATCH($E$57,IPCC!$B$1687:$W$1687,0)))</f>
        <v>0</v>
      </c>
      <c r="AZ57" s="2121"/>
      <c r="BA57" s="1893"/>
      <c r="BB57" s="1893"/>
      <c r="BC57" s="1893"/>
      <c r="BD57" s="1817">
        <f>_xlfn.IFNA(INDEX( IPCC!$F$58:$H$68,MATCH(clim_moist, IPCC!$A$58:$A$68,0),MATCH($G57, IPCC!$F$58:$H$58,0)),)</f>
        <v>0</v>
      </c>
      <c r="BE57" s="2121"/>
      <c r="BF57" s="1817">
        <f>_xlfn.IFNA(INDEX( IPCC!$I$58:$L$68,MATCH(clim_moist, IPCC!$A$58:$A$68,0),MATCH($I57, IPCC!$I$58:$L$58,0)),)</f>
        <v>0</v>
      </c>
      <c r="BG57" s="2121"/>
      <c r="BH57" s="1817">
        <f>AS57*50/100/0.47</f>
        <v>0</v>
      </c>
      <c r="BI57" s="4108"/>
      <c r="BJ57" s="1795">
        <v>1</v>
      </c>
      <c r="BK57" s="4108"/>
      <c r="BL57" s="1784"/>
      <c r="BM57" s="1784"/>
      <c r="BO57" s="4363">
        <v>1</v>
      </c>
      <c r="BP57" s="4364"/>
      <c r="BQ57" s="1996"/>
    </row>
    <row r="58" spans="2:69" ht="15" customHeight="1" x14ac:dyDescent="0.2">
      <c r="B58" s="1781"/>
      <c r="C58" s="4443" t="str">
        <f>Languages!B179</f>
        <v>Perennials converted from non-forest LUs</v>
      </c>
      <c r="D58" s="1781"/>
      <c r="E58" s="2129" t="s">
        <v>57</v>
      </c>
      <c r="F58" s="1781"/>
      <c r="G58" s="2129" t="s">
        <v>57</v>
      </c>
      <c r="H58" s="1781"/>
      <c r="I58" s="4096" t="s">
        <v>57</v>
      </c>
      <c r="J58" s="1781"/>
      <c r="K58" s="2131" t="s">
        <v>85</v>
      </c>
      <c r="L58" s="1781"/>
      <c r="M58" s="4097"/>
      <c r="N58" s="1839"/>
      <c r="O58" s="1839"/>
      <c r="P58" s="1839"/>
      <c r="Q58" s="1896">
        <f>perennial!$C45</f>
        <v>0</v>
      </c>
      <c r="R58" s="1896">
        <f>perennial!$D45</f>
        <v>0</v>
      </c>
      <c r="S58" s="1896"/>
      <c r="T58" s="1896">
        <f>perennial!$F45</f>
        <v>0</v>
      </c>
      <c r="U58" s="1839"/>
      <c r="V58" s="1839"/>
      <c r="W58" s="1896">
        <f>perennial!$P45</f>
        <v>0</v>
      </c>
      <c r="X58" s="1896">
        <f>perennial!$Q45</f>
        <v>0</v>
      </c>
      <c r="Y58" s="1896"/>
      <c r="Z58" s="1812">
        <f>perennial!$R45</f>
        <v>0</v>
      </c>
      <c r="AP58" s="1800" t="str">
        <f>C58</f>
        <v>Perennials converted from non-forest LUs</v>
      </c>
      <c r="AQ58" s="1784"/>
      <c r="AR58" s="1784"/>
      <c r="AS58" s="1817">
        <f>(IF('3.Cropland'!$E58 &lt;&gt;"Please select", INDEX(IPCC!$E$107:$T$298,MATCH(clim_moist_cont,IPCC!$C$107:$C$298,0),MATCH('3.Cropland'!$E58,IPCC!$E$105:$T$105,0)), 0))</f>
        <v>0</v>
      </c>
      <c r="AT58" s="2121"/>
      <c r="AU58" s="1817">
        <f>(IF('3.Cropland'!$E58&lt;&gt;"Please select",INDEX(IPCC!$E$310:$T$501,MATCH(clim_moist_cont,IPCC!$C$310:$C$501,0),MATCH('3.Cropland'!$E58,IPCC!$E$308:$T$308,0)),0))</f>
        <v>0</v>
      </c>
      <c r="AV58" s="2121"/>
      <c r="AW58" s="2000">
        <f>perennial!L14*12/44</f>
        <v>0</v>
      </c>
      <c r="AX58" s="2121"/>
      <c r="AY58" s="2000">
        <f>IF($E$58="Please select",0,SOCref*INDEX(IPCC!$B$1687:$W$1698,MATCH(clim_moist,IPCC!$A$1687:$A$1698,0),MATCH($E$58,IPCC!$B$1687:$W$1687,0)))</f>
        <v>0</v>
      </c>
      <c r="AZ58" s="2121"/>
      <c r="BA58" s="1893"/>
      <c r="BB58" s="1893"/>
      <c r="BC58" s="1893"/>
      <c r="BD58" s="1817">
        <f>_xlfn.IFNA(INDEX( IPCC!$F$58:$H$68,MATCH(clim_moist, IPCC!$A$58:$A$68,0),MATCH($G58, IPCC!$F$58:$H$58,0)),)</f>
        <v>0</v>
      </c>
      <c r="BE58" s="2121"/>
      <c r="BF58" s="1817">
        <f>_xlfn.IFNA(INDEX( IPCC!$I$58:$L$68,MATCH(clim_moist, IPCC!$A$58:$A$68,0),MATCH($I58, IPCC!$I$58:$L$58,0)),)</f>
        <v>0</v>
      </c>
      <c r="BG58" s="2121"/>
      <c r="BH58" s="1817">
        <f>AS58*50/100/0.47</f>
        <v>0</v>
      </c>
      <c r="BI58" s="4108"/>
      <c r="BJ58" s="1795">
        <v>1</v>
      </c>
      <c r="BK58" s="4108"/>
      <c r="BL58" s="1784"/>
      <c r="BM58" s="1784"/>
      <c r="BO58" s="4363">
        <v>1</v>
      </c>
      <c r="BP58" s="4364"/>
      <c r="BQ58" s="1996"/>
    </row>
    <row r="59" spans="2:69" ht="15" customHeight="1" x14ac:dyDescent="0.2">
      <c r="B59" s="1781"/>
      <c r="C59" s="4443" t="str">
        <f>Languages!B180</f>
        <v>Perennials converted to non-forest Lus</v>
      </c>
      <c r="D59" s="1781"/>
      <c r="E59" s="2129" t="s">
        <v>57</v>
      </c>
      <c r="F59" s="1781"/>
      <c r="G59" s="2129" t="s">
        <v>57</v>
      </c>
      <c r="H59" s="1781"/>
      <c r="I59" s="4096" t="s">
        <v>57</v>
      </c>
      <c r="J59" s="1781"/>
      <c r="K59" s="2131" t="s">
        <v>85</v>
      </c>
      <c r="L59" s="1781"/>
      <c r="M59" s="4097"/>
      <c r="N59" s="1839"/>
      <c r="O59" s="1839"/>
      <c r="P59" s="1839"/>
      <c r="Q59" s="1896">
        <f>perennial!$C46</f>
        <v>0</v>
      </c>
      <c r="R59" s="1896">
        <f>perennial!$D46</f>
        <v>0</v>
      </c>
      <c r="S59" s="1896"/>
      <c r="T59" s="1896">
        <f>perennial!$F46</f>
        <v>0</v>
      </c>
      <c r="U59" s="1839"/>
      <c r="V59" s="1839"/>
      <c r="W59" s="1896">
        <f>perennial!$P46</f>
        <v>0</v>
      </c>
      <c r="X59" s="1896">
        <f>perennial!$Q46</f>
        <v>0</v>
      </c>
      <c r="Y59" s="1896"/>
      <c r="Z59" s="1812">
        <f>perennial!$R46</f>
        <v>0</v>
      </c>
      <c r="AP59" s="1800" t="str">
        <f>C59</f>
        <v>Perennials converted to non-forest Lus</v>
      </c>
      <c r="AQ59" s="1784"/>
      <c r="AR59" s="1784"/>
      <c r="AS59" s="1817">
        <f>(IF('3.Cropland'!$E59 &lt;&gt;"Please select", INDEX(IPCC!$E$107:$T$298,MATCH(clim_moist_cont,IPCC!$C$107:$C$298,0),MATCH('3.Cropland'!$E59,IPCC!$E$105:$T$105,0)), 0))</f>
        <v>0</v>
      </c>
      <c r="AT59" s="2121"/>
      <c r="AU59" s="1817">
        <f>(IF('3.Cropland'!$E59&lt;&gt;"Please select",INDEX(IPCC!$E$310:$T$501,MATCH(clim_moist_cont,IPCC!$C$310:$C$501,0),MATCH('3.Cropland'!$E59,IPCC!$E$308:$T$308,0)),0))</f>
        <v>0</v>
      </c>
      <c r="AV59" s="2121"/>
      <c r="AW59" s="2000">
        <f>perennial!L15*12/44</f>
        <v>0</v>
      </c>
      <c r="AX59" s="2121"/>
      <c r="AY59" s="2000">
        <f>IF($E$59="Please select",0,SOCref*INDEX(IPCC!$B$1687:$W$1698,MATCH(clim_moist,IPCC!$A$1687:$A$1698,0),MATCH($E$59,IPCC!$B$1687:$W$1687,0)))</f>
        <v>0</v>
      </c>
      <c r="AZ59" s="2121"/>
      <c r="BA59" s="1893"/>
      <c r="BB59" s="1893"/>
      <c r="BC59" s="1893"/>
      <c r="BD59" s="1817">
        <f>_xlfn.IFNA(INDEX( IPCC!$F$58:$H$68,MATCH(clim_moist, IPCC!$A$58:$A$68,0),MATCH($G59, IPCC!$F$58:$H$58,0)),)</f>
        <v>0</v>
      </c>
      <c r="BE59" s="2121"/>
      <c r="BF59" s="1817">
        <f>_xlfn.IFNA(INDEX( IPCC!$I$58:$L$68,MATCH(clim_moist, IPCC!$A$58:$A$68,0),MATCH($I59, IPCC!$I$58:$L$58,0)),)</f>
        <v>0</v>
      </c>
      <c r="BG59" s="2121"/>
      <c r="BH59" s="1817">
        <f>AS59*50/100/0.47</f>
        <v>0</v>
      </c>
      <c r="BI59" s="4108"/>
      <c r="BJ59" s="1795">
        <v>1</v>
      </c>
      <c r="BK59" s="4108"/>
      <c r="BL59" s="1784"/>
      <c r="BM59" s="1784"/>
      <c r="BO59" s="4363">
        <v>1</v>
      </c>
      <c r="BP59" s="4364"/>
      <c r="BQ59" s="1996"/>
    </row>
    <row r="60" spans="2:69" ht="15" customHeight="1" x14ac:dyDescent="0.2">
      <c r="B60" s="1781"/>
      <c r="C60" s="1820"/>
      <c r="D60" s="1781"/>
      <c r="E60" s="1781"/>
      <c r="F60" s="1781"/>
      <c r="G60" s="1781"/>
      <c r="H60" s="1781"/>
      <c r="I60" s="1781"/>
      <c r="J60" s="1781"/>
      <c r="K60" s="1781"/>
      <c r="L60" s="1781"/>
      <c r="M60" s="1781"/>
      <c r="N60" s="1839"/>
      <c r="O60" s="1839"/>
      <c r="P60" s="1839"/>
      <c r="Q60" s="1839"/>
      <c r="R60" s="1839"/>
      <c r="S60" s="1839"/>
      <c r="T60" s="1839"/>
      <c r="U60" s="1839"/>
      <c r="V60" s="1839"/>
      <c r="W60" s="1839"/>
      <c r="X60" s="1839"/>
      <c r="Y60" s="1839"/>
      <c r="Z60" s="1839"/>
      <c r="AP60" s="1782"/>
      <c r="AQ60" s="1782"/>
      <c r="AR60" s="1782"/>
      <c r="AS60" s="1782"/>
      <c r="AT60" s="1782"/>
      <c r="AU60" s="1782"/>
      <c r="AV60" s="1782"/>
      <c r="AW60" s="1782"/>
      <c r="AX60" s="1782"/>
      <c r="AY60" s="1782"/>
      <c r="AZ60" s="1782"/>
      <c r="BA60" s="1782"/>
      <c r="BB60" s="1782"/>
      <c r="BC60" s="1782"/>
      <c r="BD60" s="1782"/>
      <c r="BE60" s="1782"/>
      <c r="BF60" s="1782"/>
      <c r="BG60" s="1782"/>
      <c r="BH60" s="1782"/>
      <c r="BI60" s="1782"/>
      <c r="BJ60" s="1782"/>
      <c r="BK60" s="1782"/>
      <c r="BL60" s="1782"/>
      <c r="BM60" s="1782"/>
      <c r="BO60" s="1996"/>
      <c r="BP60" s="1893"/>
      <c r="BQ60" s="1996"/>
    </row>
    <row r="61" spans="2:69" ht="20.25" customHeight="1" x14ac:dyDescent="0.2">
      <c r="B61" s="1774"/>
      <c r="C61" s="1774" t="str">
        <f>Languages!B149</f>
        <v>3.2.2. Perennial systems remaining perennial systems (total area must remain constant)</v>
      </c>
      <c r="D61" s="1766"/>
      <c r="E61" s="1766"/>
      <c r="F61" s="1766"/>
      <c r="G61" s="1766"/>
      <c r="H61" s="1766"/>
      <c r="I61" s="1766"/>
      <c r="J61" s="1766"/>
      <c r="K61" s="1766"/>
      <c r="L61" s="1766"/>
      <c r="M61" s="4549" t="str">
        <f>W48</f>
        <v>If country-specific data are available, please go to Tier 2:</v>
      </c>
      <c r="N61" s="4549"/>
      <c r="O61" s="4549"/>
      <c r="P61" s="4549"/>
      <c r="Q61" s="4549"/>
      <c r="R61" s="4549"/>
      <c r="S61" s="4549"/>
      <c r="T61" s="4549"/>
      <c r="U61" s="4549"/>
      <c r="V61" s="4549"/>
      <c r="W61" s="4549"/>
      <c r="X61" s="1766"/>
      <c r="Y61" s="1766"/>
      <c r="Z61" s="1766"/>
      <c r="AP61" s="1874" t="str">
        <f>C61</f>
        <v>3.2.2. Perennial systems remaining perennial systems (total area must remain constant)</v>
      </c>
      <c r="AQ61" s="1767"/>
      <c r="AR61" s="1767"/>
      <c r="AS61" s="1767"/>
      <c r="AT61" s="1767"/>
      <c r="AU61" s="1767"/>
      <c r="AV61" s="1767"/>
      <c r="AW61" s="1767"/>
      <c r="AX61" s="1767"/>
      <c r="AY61" s="1767"/>
      <c r="AZ61" s="1767"/>
      <c r="BA61" s="1767"/>
      <c r="BB61" s="1767"/>
      <c r="BC61" s="1767"/>
      <c r="BD61" s="1767"/>
      <c r="BE61" s="1767"/>
      <c r="BF61" s="1767"/>
      <c r="BG61" s="1767"/>
      <c r="BH61" s="1767"/>
      <c r="BI61" s="1767"/>
      <c r="BJ61" s="1767"/>
      <c r="BK61" s="1767"/>
      <c r="BL61" s="1767"/>
      <c r="BM61" s="1767"/>
      <c r="BO61" s="1767"/>
      <c r="BP61" s="1767"/>
      <c r="BQ61" s="1767"/>
    </row>
    <row r="62" spans="2:69" ht="20.25" customHeight="1" x14ac:dyDescent="0.2">
      <c r="B62" s="1774"/>
      <c r="C62" s="1774" t="str">
        <f>Languages!B157</f>
        <v>3.2.2.1. Crops remaining under the same agroforestry system with changes in management options</v>
      </c>
      <c r="D62" s="1766"/>
      <c r="E62" s="1766"/>
      <c r="F62" s="1766"/>
      <c r="G62" s="1766"/>
      <c r="H62" s="1766"/>
      <c r="I62" s="1766"/>
      <c r="J62" s="1766"/>
      <c r="K62" s="1766"/>
      <c r="L62" s="1766"/>
      <c r="M62" s="4549"/>
      <c r="N62" s="4549"/>
      <c r="O62" s="4549"/>
      <c r="P62" s="4549"/>
      <c r="Q62" s="4549"/>
      <c r="R62" s="4549"/>
      <c r="S62" s="4549"/>
      <c r="T62" s="4549"/>
      <c r="U62" s="4549"/>
      <c r="V62" s="4549"/>
      <c r="W62" s="4549"/>
      <c r="X62" s="1766"/>
      <c r="Y62" s="1766"/>
      <c r="Z62" s="1766"/>
      <c r="AP62" s="1874"/>
      <c r="AQ62" s="1767"/>
      <c r="AR62" s="1767"/>
      <c r="AS62" s="1767"/>
      <c r="AT62" s="1767"/>
      <c r="AU62" s="1767"/>
      <c r="AV62" s="1767"/>
      <c r="AW62" s="1767"/>
      <c r="AX62" s="1767"/>
      <c r="AY62" s="1767"/>
      <c r="AZ62" s="1767"/>
      <c r="BA62" s="1767"/>
      <c r="BB62" s="1767"/>
      <c r="BC62" s="1767"/>
      <c r="BD62" s="1767"/>
      <c r="BE62" s="1767"/>
      <c r="BF62" s="1767"/>
      <c r="BG62" s="1767"/>
      <c r="BH62" s="1767"/>
      <c r="BI62" s="1767"/>
      <c r="BJ62" s="1767"/>
      <c r="BK62" s="1767"/>
      <c r="BL62" s="1767"/>
      <c r="BM62" s="1767"/>
      <c r="BO62" s="1767"/>
      <c r="BP62" s="1767"/>
      <c r="BQ62" s="1767"/>
    </row>
    <row r="63" spans="2:69" ht="15" customHeight="1" x14ac:dyDescent="0.2">
      <c r="B63" s="1781"/>
      <c r="C63" s="1877"/>
      <c r="D63" s="1877"/>
      <c r="E63" s="1877"/>
      <c r="F63" s="1877"/>
      <c r="G63" s="1876" t="str">
        <f>G51</f>
        <v>Management options for perennial cropping systems</v>
      </c>
      <c r="H63" s="1789"/>
      <c r="I63" s="1789"/>
      <c r="J63" s="1877"/>
      <c r="K63" s="1877"/>
      <c r="L63" s="1877"/>
      <c r="M63" s="1877"/>
      <c r="N63" s="1877"/>
      <c r="O63" s="1877"/>
      <c r="P63" s="1877"/>
      <c r="Q63" s="1877"/>
      <c r="R63" s="1877"/>
      <c r="S63" s="1877"/>
      <c r="T63" s="1877"/>
      <c r="U63" s="1877"/>
      <c r="V63" s="1877"/>
      <c r="W63" s="1781"/>
      <c r="X63" s="1781"/>
      <c r="Y63" s="1781"/>
      <c r="Z63" s="1805"/>
      <c r="AP63" s="1782"/>
      <c r="AQ63" s="1782"/>
      <c r="AR63" s="1782"/>
      <c r="AS63" s="1782"/>
      <c r="AT63" s="1782"/>
      <c r="AU63" s="1782"/>
      <c r="AV63" s="1782"/>
      <c r="AW63" s="1782"/>
      <c r="AX63" s="1782"/>
      <c r="AY63" s="1782"/>
      <c r="AZ63" s="1782"/>
      <c r="BA63" s="1782"/>
      <c r="BB63" s="1782"/>
      <c r="BC63" s="1782"/>
      <c r="BD63" s="1782"/>
      <c r="BE63" s="1782"/>
      <c r="BF63" s="1782"/>
      <c r="BG63" s="1782"/>
      <c r="BH63" s="1782"/>
      <c r="BI63" s="1782"/>
      <c r="BJ63" s="1782"/>
      <c r="BK63" s="1782"/>
      <c r="BL63" s="1782"/>
      <c r="BM63" s="1782"/>
      <c r="BO63" s="4385"/>
      <c r="BP63" s="4385"/>
      <c r="BQ63" s="4385"/>
    </row>
    <row r="64" spans="2:69" ht="15" customHeight="1" x14ac:dyDescent="0.2">
      <c r="B64" s="1781"/>
      <c r="C64" s="1877"/>
      <c r="D64" s="1898"/>
      <c r="E64" s="1805"/>
      <c r="F64" s="1877"/>
      <c r="G64" s="1805"/>
      <c r="H64" s="1877"/>
      <c r="I64" s="1805"/>
      <c r="J64" s="1877"/>
      <c r="K64" s="1877"/>
      <c r="L64" s="1877"/>
      <c r="M64" s="1877"/>
      <c r="N64" s="1877"/>
      <c r="O64" s="1877"/>
      <c r="P64" s="1877"/>
      <c r="Q64" s="1899"/>
      <c r="R64" s="1900" t="str">
        <f>Q52</f>
        <v>Area (ha)</v>
      </c>
      <c r="S64" s="1899"/>
      <c r="T64" s="1899"/>
      <c r="U64" s="1899"/>
      <c r="V64" s="1877"/>
      <c r="W64" s="1884" t="str">
        <f>W52</f>
        <v>Total emissions (tCO2-e)</v>
      </c>
      <c r="X64" s="1877"/>
      <c r="Y64" s="1877"/>
      <c r="Z64" s="1877"/>
      <c r="AP64" s="1784"/>
      <c r="AQ64" s="1784"/>
      <c r="AR64" s="1784"/>
      <c r="AS64" s="1886" t="str">
        <f>AS53</f>
        <v xml:space="preserve">Above-ground </v>
      </c>
      <c r="AT64" s="1782"/>
      <c r="AU64" s="1886" t="str">
        <f>AU53</f>
        <v xml:space="preserve">Below-ground </v>
      </c>
      <c r="AV64" s="1800"/>
      <c r="AW64" s="1886" t="s">
        <v>5188</v>
      </c>
      <c r="AX64" s="1784"/>
      <c r="AY64" s="1886" t="str">
        <f>AY53</f>
        <v>Soil carbon</v>
      </c>
      <c r="AZ64" s="1784"/>
      <c r="BA64" s="1893"/>
      <c r="BB64" s="1887" t="str">
        <f>AU22</f>
        <v>Land-use factor</v>
      </c>
      <c r="BC64" s="1800"/>
      <c r="BD64" s="1888" t="str">
        <f>BD53</f>
        <v>Tillage factor</v>
      </c>
      <c r="BE64" s="1797"/>
      <c r="BF64" s="1888" t="str">
        <f>BF53</f>
        <v>Input factor</v>
      </c>
      <c r="BG64" s="1800"/>
      <c r="BH64" s="1887" t="str">
        <f>BH53</f>
        <v>Residues burned</v>
      </c>
      <c r="BI64" s="1800"/>
      <c r="BJ64" s="1887" t="str">
        <f>BJ53</f>
        <v xml:space="preserve">Fire periodicity </v>
      </c>
      <c r="BK64" s="1889"/>
      <c r="BL64" s="1784"/>
      <c r="BM64" s="1784"/>
      <c r="BO64" s="4385"/>
      <c r="BP64" s="4385"/>
      <c r="BQ64" s="4385"/>
    </row>
    <row r="65" spans="2:69" ht="15" customHeight="1" x14ac:dyDescent="0.2">
      <c r="B65" s="1781"/>
      <c r="C65" s="1834" t="str">
        <f>C22</f>
        <v>User notes</v>
      </c>
      <c r="D65" s="1898"/>
      <c r="E65" s="1805" t="str">
        <f>E53</f>
        <v xml:space="preserve"> Agroforestry </v>
      </c>
      <c r="F65" s="1877"/>
      <c r="G65" s="1805" t="str">
        <f>$G$22</f>
        <v>Tillage</v>
      </c>
      <c r="H65" s="1877"/>
      <c r="I65" s="1805" t="str">
        <f>$I$22</f>
        <v>Input of</v>
      </c>
      <c r="J65" s="1877"/>
      <c r="K65" s="1805" t="str">
        <f>K53</f>
        <v>Residue/</v>
      </c>
      <c r="L65" s="1877"/>
      <c r="M65" s="1805" t="str">
        <f>$M$22</f>
        <v>Yield</v>
      </c>
      <c r="N65" s="1877"/>
      <c r="O65" s="1877"/>
      <c r="P65" s="1877"/>
      <c r="Q65" s="1877"/>
      <c r="R65" s="1877"/>
      <c r="S65" s="1890"/>
      <c r="T65" s="1781"/>
      <c r="U65" s="1890"/>
      <c r="V65" s="1901"/>
      <c r="W65" s="1781"/>
      <c r="X65" s="1781"/>
      <c r="Y65" s="1781"/>
      <c r="Z65" s="1781"/>
      <c r="AP65" s="1807" t="str">
        <f>Languages!B163</f>
        <v xml:space="preserve">Perennial systems remaining perennial systems </v>
      </c>
      <c r="AQ65" s="1784"/>
      <c r="AR65" s="1784"/>
      <c r="AS65" s="1795" t="str">
        <f>AS54</f>
        <v>tC/ha/yr</v>
      </c>
      <c r="AT65" s="1784"/>
      <c r="AU65" s="1795" t="str">
        <f>AU54</f>
        <v>tC/ha/yr</v>
      </c>
      <c r="AV65" s="1795"/>
      <c r="AW65" s="1795" t="str">
        <f>AY65</f>
        <v>tC/ha</v>
      </c>
      <c r="AX65" s="1795"/>
      <c r="AY65" s="1795" t="str">
        <f>AY54</f>
        <v>tC/ha</v>
      </c>
      <c r="AZ65" s="1795"/>
      <c r="BA65" s="1893"/>
      <c r="BB65" s="1784"/>
      <c r="BC65" s="1784"/>
      <c r="BD65" s="1784"/>
      <c r="BE65" s="1784"/>
      <c r="BF65" s="1784"/>
      <c r="BG65" s="1784"/>
      <c r="BH65" s="1795" t="s">
        <v>416</v>
      </c>
      <c r="BI65" s="1795"/>
      <c r="BJ65" s="1795" t="str">
        <f>BJ54</f>
        <v>Year</v>
      </c>
      <c r="BK65" s="1795"/>
      <c r="BL65" s="1784"/>
      <c r="BM65" s="1784"/>
      <c r="BO65" s="1996"/>
      <c r="BP65" s="1893"/>
      <c r="BQ65" s="1996"/>
    </row>
    <row r="66" spans="2:69" ht="15" customHeight="1" x14ac:dyDescent="0.2">
      <c r="B66" s="1781"/>
      <c r="C66" s="1834"/>
      <c r="D66" s="1902"/>
      <c r="E66" s="1805" t="str">
        <f>E54</f>
        <v>systems</v>
      </c>
      <c r="F66" s="1877"/>
      <c r="G66" s="1805" t="str">
        <f>$G$23</f>
        <v>management</v>
      </c>
      <c r="H66" s="1903"/>
      <c r="I66" s="1805" t="str">
        <f>$I$23</f>
        <v xml:space="preserve"> organic material</v>
      </c>
      <c r="J66" s="1877"/>
      <c r="K66" s="1805" t="str">
        <f>K54</f>
        <v xml:space="preserve">Biomass burning </v>
      </c>
      <c r="L66" s="1877"/>
      <c r="M66" s="1812" t="str">
        <f>M54</f>
        <v>(t/ha/yr)</v>
      </c>
      <c r="N66" s="1877"/>
      <c r="O66" s="1805"/>
      <c r="P66" s="1877"/>
      <c r="Q66" s="1812" t="str">
        <f>Q54</f>
        <v>Start</v>
      </c>
      <c r="R66" s="1812" t="str">
        <f>R54</f>
        <v>Without</v>
      </c>
      <c r="S66" s="1812" t="s">
        <v>83</v>
      </c>
      <c r="T66" s="1812" t="str">
        <f>T54</f>
        <v>With</v>
      </c>
      <c r="U66" s="1812" t="s">
        <v>83</v>
      </c>
      <c r="V66" s="1781"/>
      <c r="W66" s="1805" t="str">
        <f>$W$23</f>
        <v>Without</v>
      </c>
      <c r="X66" s="1780" t="str">
        <f>$X$23</f>
        <v>With</v>
      </c>
      <c r="Y66" s="1890"/>
      <c r="Z66" s="1805" t="str">
        <f>Z23</f>
        <v>Balance</v>
      </c>
      <c r="AP66" s="1807"/>
      <c r="AQ66" s="1808"/>
      <c r="AR66" s="1808"/>
      <c r="AS66" s="1893" t="str">
        <f>AS55</f>
        <v>Default</v>
      </c>
      <c r="AT66" s="1893" t="str">
        <f>AT55</f>
        <v>Tier 2</v>
      </c>
      <c r="AU66" s="1893" t="str">
        <f>$AS$55</f>
        <v>Default</v>
      </c>
      <c r="AV66" s="1894" t="str">
        <f>$AT$55</f>
        <v>Tier 2</v>
      </c>
      <c r="AW66" s="1893" t="str">
        <f>AU66</f>
        <v>Default</v>
      </c>
      <c r="AX66" s="1893" t="str">
        <f>AV66</f>
        <v>Tier 2</v>
      </c>
      <c r="AY66" s="1893" t="str">
        <f>$AU$55</f>
        <v>Default</v>
      </c>
      <c r="AZ66" s="1893" t="str">
        <f>$AV$55</f>
        <v>Tier 2</v>
      </c>
      <c r="BA66" s="1893"/>
      <c r="BB66" s="1893" t="str">
        <f>$AY$55</f>
        <v>Default</v>
      </c>
      <c r="BC66" s="1893" t="str">
        <f>$AZ$55</f>
        <v>Tier 2</v>
      </c>
      <c r="BD66" s="1893" t="str">
        <f>$AY$55</f>
        <v>Default</v>
      </c>
      <c r="BE66" s="1893" t="str">
        <f>$AZ$55</f>
        <v>Tier 2</v>
      </c>
      <c r="BF66" s="1893" t="str">
        <f>$AY$55</f>
        <v>Default</v>
      </c>
      <c r="BG66" s="1893" t="str">
        <f>$AZ$55</f>
        <v>Tier 2</v>
      </c>
      <c r="BH66" s="1893" t="str">
        <f>$AY$55</f>
        <v>Default</v>
      </c>
      <c r="BI66" s="1893" t="str">
        <f>$AZ$55</f>
        <v>Tier 2</v>
      </c>
      <c r="BJ66" s="1893" t="str">
        <f>$BH$55</f>
        <v>Default</v>
      </c>
      <c r="BK66" s="1895" t="str">
        <f>$BI$55</f>
        <v>Tier 2</v>
      </c>
      <c r="BL66" s="1784"/>
      <c r="BM66" s="1784"/>
      <c r="BO66" s="1996"/>
      <c r="BP66" s="1893"/>
      <c r="BQ66" s="1996"/>
    </row>
    <row r="67" spans="2:69" ht="15" customHeight="1" x14ac:dyDescent="0.2">
      <c r="B67" s="1781"/>
      <c r="C67" s="4102"/>
      <c r="D67" s="1781"/>
      <c r="E67" s="2129" t="s">
        <v>57</v>
      </c>
      <c r="F67" s="1781"/>
      <c r="G67" s="2129" t="s">
        <v>57</v>
      </c>
      <c r="H67" s="1781"/>
      <c r="I67" s="4096" t="s">
        <v>57</v>
      </c>
      <c r="J67" s="1877"/>
      <c r="K67" s="2131" t="s">
        <v>85</v>
      </c>
      <c r="L67" s="1781"/>
      <c r="M67" s="4097"/>
      <c r="N67" s="1781"/>
      <c r="O67" s="1805"/>
      <c r="P67" s="1781"/>
      <c r="Q67" s="4087">
        <v>0</v>
      </c>
      <c r="R67" s="2128">
        <v>0</v>
      </c>
      <c r="S67" s="4098" t="s">
        <v>86</v>
      </c>
      <c r="T67" s="2128">
        <v>0</v>
      </c>
      <c r="U67" s="4098" t="s">
        <v>86</v>
      </c>
      <c r="V67" s="1781"/>
      <c r="W67" s="1815">
        <f>perennial!P47</f>
        <v>0</v>
      </c>
      <c r="X67" s="1815">
        <f>perennial!Q47</f>
        <v>0</v>
      </c>
      <c r="Y67" s="1839"/>
      <c r="Z67" s="1812">
        <f>perennial!R47</f>
        <v>0</v>
      </c>
      <c r="AP67" s="1800" t="str">
        <f>IF(IF($C69="", $C67, $C69)=0, "", IF($C69="", $C67, $C69))</f>
        <v/>
      </c>
      <c r="AQ67" s="1798"/>
      <c r="AR67" s="1798"/>
      <c r="AS67" s="1817">
        <f>(IF('3.Cropland'!$E67&lt;&gt;"Please select", INDEX(IPCC!$E$107:$T$298,MATCH(clim_moist_cont,IPCC!$C$107:$C$298,0),MATCH('3.Cropland'!$E67,IPCC!$E$105:$T$105,0)), 0))</f>
        <v>0</v>
      </c>
      <c r="AT67" s="2121"/>
      <c r="AU67" s="1817">
        <f>(IF('3.Cropland'!$E67&lt;&gt;"Please select",INDEX(IPCC!$E$310:$T$501,MATCH(clim_moist_cont,IPCC!$C$310:$C$501,0),MATCH('3.Cropland'!$E67,IPCC!$E$308:$T$308,0)),0))</f>
        <v>0</v>
      </c>
      <c r="AV67" s="2121"/>
      <c r="AW67" s="1817">
        <f>perennial!L16*12/44</f>
        <v>0</v>
      </c>
      <c r="AX67" s="2121"/>
      <c r="AY67" s="1817">
        <f t="shared" ref="AY67:AY94" si="4">IF($E67&lt;&gt;"Please select",SOCref,0)</f>
        <v>0</v>
      </c>
      <c r="AZ67" s="2121"/>
      <c r="BA67" s="1893"/>
      <c r="BB67" s="1817">
        <f>_xlfn.IFNA(IF($E67&lt;&gt;"Please select", VLOOKUP(clim_moist, IPCC!$A$57:$D$68, 4, FALSE),0),)</f>
        <v>0</v>
      </c>
      <c r="BC67" s="2121"/>
      <c r="BD67" s="1817">
        <f>_xlfn.IFNA(INDEX( IPCC!$F$58:$H$68,MATCH(clim_moist, IPCC!$A$58:$A$68,0),MATCH($G67, IPCC!$F$58:$H$58,0)),)</f>
        <v>0</v>
      </c>
      <c r="BE67" s="2121"/>
      <c r="BF67" s="1817">
        <f>_xlfn.IFNA(INDEX( IPCC!$I$58:$L$68,MATCH(clim_moist, IPCC!$A$58:$A$68,0),MATCH($I67, IPCC!$I$58:$L$58,0)),)</f>
        <v>0</v>
      </c>
      <c r="BG67" s="2121"/>
      <c r="BH67" s="1817">
        <f>IF(AT67="", AS67*50/100/0.47, AT67*50/100/0.47)</f>
        <v>0</v>
      </c>
      <c r="BI67" s="4105"/>
      <c r="BJ67" s="1795">
        <v>1</v>
      </c>
      <c r="BK67" s="4105"/>
      <c r="BL67" s="1784"/>
      <c r="BM67" s="1784"/>
      <c r="BO67" s="4363">
        <v>1</v>
      </c>
      <c r="BP67" s="4364"/>
      <c r="BQ67" s="1996"/>
    </row>
    <row r="68" spans="2:69" ht="15" customHeight="1" x14ac:dyDescent="0.2">
      <c r="B68" s="1781"/>
      <c r="C68" s="4487"/>
      <c r="D68" s="1781"/>
      <c r="E68" s="4487" t="str">
        <f>E67</f>
        <v>Please select</v>
      </c>
      <c r="F68" s="1781"/>
      <c r="G68" s="2129" t="s">
        <v>57</v>
      </c>
      <c r="H68" s="1781"/>
      <c r="I68" s="4096" t="s">
        <v>57</v>
      </c>
      <c r="J68" s="1877"/>
      <c r="K68" s="2131" t="s">
        <v>85</v>
      </c>
      <c r="L68" s="1781"/>
      <c r="M68" s="4097"/>
      <c r="N68" s="1781"/>
      <c r="O68" s="1805"/>
      <c r="P68" s="1781"/>
      <c r="Q68" s="4182">
        <v>0</v>
      </c>
      <c r="R68" s="2128">
        <v>0</v>
      </c>
      <c r="S68" s="4098" t="s">
        <v>86</v>
      </c>
      <c r="T68" s="2128">
        <v>0</v>
      </c>
      <c r="U68" s="4098" t="s">
        <v>86</v>
      </c>
      <c r="V68" s="1781"/>
      <c r="W68" s="1815">
        <f>perennial!P48</f>
        <v>0</v>
      </c>
      <c r="X68" s="1815">
        <f>perennial!Q48</f>
        <v>0</v>
      </c>
      <c r="Y68" s="1839"/>
      <c r="Z68" s="1812">
        <f>perennial!R48</f>
        <v>0</v>
      </c>
      <c r="AP68" s="1800" t="str">
        <f>$E69</f>
        <v>Please select</v>
      </c>
      <c r="AQ68" s="1798"/>
      <c r="AR68" s="1798"/>
      <c r="AS68" s="1817">
        <f>(IF('3.Cropland'!$E68&lt;&gt;"Please select", INDEX(IPCC!$E$107:$T$298,MATCH(clim_moist_cont,IPCC!$C$107:$C$298,0),MATCH('3.Cropland'!$E68,IPCC!$E$105:$T$105,0)), 0))</f>
        <v>0</v>
      </c>
      <c r="AT68" s="2121"/>
      <c r="AU68" s="1817">
        <f>(IF('3.Cropland'!$E68&lt;&gt;"Please select",INDEX(IPCC!$E$310:$T$501,MATCH(clim_moist_cont,IPCC!$C$310:$C$501,0),MATCH('3.Cropland'!$E68,IPCC!$E$308:$T$308,0)),0))</f>
        <v>0</v>
      </c>
      <c r="AV68" s="2121"/>
      <c r="AW68" s="1817">
        <f>perennial!L17*12/44</f>
        <v>0</v>
      </c>
      <c r="AX68" s="2121"/>
      <c r="AY68" s="1817">
        <f t="shared" si="4"/>
        <v>0</v>
      </c>
      <c r="AZ68" s="2121"/>
      <c r="BA68" s="1893"/>
      <c r="BB68" s="1817">
        <f>_xlfn.IFNA(IF($E68&lt;&gt;"Please select", VLOOKUP(clim_moist, IPCC!$A$57:$D$68, 4, FALSE),0),)</f>
        <v>0</v>
      </c>
      <c r="BC68" s="2121"/>
      <c r="BD68" s="1817">
        <f>_xlfn.IFNA(INDEX( IPCC!$F$58:$H$68,MATCH(clim_moist, IPCC!$A$58:$A$68,0),MATCH($G68, IPCC!$F$58:$H$58,0)),)</f>
        <v>0</v>
      </c>
      <c r="BE68" s="2121"/>
      <c r="BF68" s="1817">
        <f>_xlfn.IFNA(INDEX( IPCC!$I$58:$L$68,MATCH(clim_moist, IPCC!$A$58:$A$68,0),MATCH($I68, IPCC!$I$58:$L$58,0)),)</f>
        <v>0</v>
      </c>
      <c r="BG68" s="2121"/>
      <c r="BH68" s="1817">
        <f t="shared" ref="BH68:BH94" si="5">IF(AT68="", AS68*50/100/0.47, AT68*50/100/0.47)</f>
        <v>0</v>
      </c>
      <c r="BI68" s="4105"/>
      <c r="BJ68" s="1795">
        <v>1</v>
      </c>
      <c r="BK68" s="4105"/>
      <c r="BL68" s="1784"/>
      <c r="BM68" s="1784"/>
      <c r="BO68" s="4363">
        <v>1</v>
      </c>
      <c r="BP68" s="4364"/>
      <c r="BQ68" s="1996"/>
    </row>
    <row r="69" spans="2:69" ht="15" customHeight="1" x14ac:dyDescent="0.2">
      <c r="B69" s="1781"/>
      <c r="C69" s="4488"/>
      <c r="D69" s="1781"/>
      <c r="E69" s="4487" t="str">
        <f>E67</f>
        <v>Please select</v>
      </c>
      <c r="F69" s="1781"/>
      <c r="G69" s="2129" t="s">
        <v>57</v>
      </c>
      <c r="H69" s="1781"/>
      <c r="I69" s="4096" t="s">
        <v>57</v>
      </c>
      <c r="J69" s="1877"/>
      <c r="K69" s="2131" t="s">
        <v>85</v>
      </c>
      <c r="L69" s="1781"/>
      <c r="M69" s="4097"/>
      <c r="N69" s="1781"/>
      <c r="O69" s="1805"/>
      <c r="P69" s="1781"/>
      <c r="Q69" s="4182">
        <v>0</v>
      </c>
      <c r="R69" s="2128">
        <v>0</v>
      </c>
      <c r="S69" s="2104" t="s">
        <v>86</v>
      </c>
      <c r="T69" s="2128">
        <v>0</v>
      </c>
      <c r="U69" s="2104" t="s">
        <v>86</v>
      </c>
      <c r="V69" s="1781"/>
      <c r="W69" s="1815">
        <f>perennial!P49</f>
        <v>0</v>
      </c>
      <c r="X69" s="1815">
        <f>perennial!Q49</f>
        <v>0</v>
      </c>
      <c r="Y69" s="1839"/>
      <c r="Z69" s="1812">
        <f>perennial!R49</f>
        <v>0</v>
      </c>
      <c r="AP69" s="1800"/>
      <c r="AQ69" s="1798"/>
      <c r="AR69" s="1798"/>
      <c r="AS69" s="1817">
        <f>(IF('3.Cropland'!$E69&lt;&gt;"Please select", INDEX(IPCC!$E$107:$T$298,MATCH(clim_moist_cont,IPCC!$C$107:$C$298,0),MATCH('3.Cropland'!$E69,IPCC!$E$105:$T$105,0)), 0))</f>
        <v>0</v>
      </c>
      <c r="AT69" s="2121"/>
      <c r="AU69" s="1817">
        <f>(IF('3.Cropland'!$E69&lt;&gt;"Please select",INDEX(IPCC!$E$310:$T$501,MATCH(clim_moist_cont,IPCC!$C$310:$C$501,0),MATCH('3.Cropland'!$E69,IPCC!$E$308:$T$308,0)),0))</f>
        <v>0</v>
      </c>
      <c r="AV69" s="2121"/>
      <c r="AW69" s="1817">
        <f>perennial!L18*12/44</f>
        <v>0</v>
      </c>
      <c r="AX69" s="2121"/>
      <c r="AY69" s="1817">
        <f t="shared" si="4"/>
        <v>0</v>
      </c>
      <c r="AZ69" s="2121"/>
      <c r="BA69" s="1893"/>
      <c r="BB69" s="1817">
        <f>_xlfn.IFNA(IF($E69&lt;&gt;"Please select", VLOOKUP(clim_moist, IPCC!$A$57:$D$68, 4, FALSE),0),)</f>
        <v>0</v>
      </c>
      <c r="BC69" s="2121"/>
      <c r="BD69" s="1817">
        <f>_xlfn.IFNA(INDEX( IPCC!$F$58:$H$68,MATCH(clim_moist, IPCC!$A$58:$A$68,0),MATCH($G69, IPCC!$F$58:$H$58,0)),)</f>
        <v>0</v>
      </c>
      <c r="BE69" s="2121"/>
      <c r="BF69" s="1817">
        <f>_xlfn.IFNA(INDEX( IPCC!$I$58:$L$68,MATCH(clim_moist, IPCC!$A$58:$A$68,0),MATCH($I69, IPCC!$I$58:$L$58,0)),)</f>
        <v>0</v>
      </c>
      <c r="BG69" s="2121"/>
      <c r="BH69" s="1817">
        <f t="shared" si="5"/>
        <v>0</v>
      </c>
      <c r="BI69" s="4105"/>
      <c r="BJ69" s="1795">
        <v>1</v>
      </c>
      <c r="BK69" s="4105"/>
      <c r="BL69" s="1784"/>
      <c r="BM69" s="1784"/>
      <c r="BO69" s="4363">
        <v>1</v>
      </c>
      <c r="BP69" s="4364"/>
      <c r="BQ69" s="1996"/>
    </row>
    <row r="70" spans="2:69" ht="15" customHeight="1" x14ac:dyDescent="0.2">
      <c r="B70" s="1781"/>
      <c r="C70" s="1781"/>
      <c r="D70" s="1781"/>
      <c r="E70" s="1781"/>
      <c r="F70" s="1781"/>
      <c r="G70" s="1781"/>
      <c r="H70" s="1781"/>
      <c r="I70" s="1781"/>
      <c r="J70" s="1781"/>
      <c r="K70" s="1781"/>
      <c r="L70" s="1781"/>
      <c r="M70" s="1781"/>
      <c r="N70" s="1781"/>
      <c r="O70" s="1781"/>
      <c r="P70" s="1781"/>
      <c r="Q70" s="1781"/>
      <c r="R70" s="1781"/>
      <c r="S70" s="1781"/>
      <c r="T70" s="1781"/>
      <c r="U70" s="1781"/>
      <c r="V70" s="1781"/>
      <c r="W70" s="1781"/>
      <c r="X70" s="1781"/>
      <c r="Y70" s="1781"/>
      <c r="Z70" s="1781"/>
      <c r="AP70" s="1800"/>
      <c r="AQ70" s="1807"/>
      <c r="AR70" s="1807"/>
      <c r="AS70" s="1807"/>
      <c r="AT70" s="1807"/>
      <c r="AU70" s="1807"/>
      <c r="AV70" s="1807"/>
      <c r="AW70" s="1807"/>
      <c r="AX70" s="1807"/>
      <c r="AY70" s="1807"/>
      <c r="AZ70" s="1807"/>
      <c r="BA70" s="1807"/>
      <c r="BB70" s="1807"/>
      <c r="BC70" s="1807"/>
      <c r="BD70" s="1807"/>
      <c r="BE70" s="1807"/>
      <c r="BF70" s="1807"/>
      <c r="BG70" s="1807"/>
      <c r="BH70" s="1817"/>
      <c r="BI70" s="1807"/>
      <c r="BJ70" s="1807"/>
      <c r="BK70" s="1807"/>
      <c r="BL70" s="1807"/>
      <c r="BM70" s="1807"/>
      <c r="BO70" s="4385"/>
      <c r="BP70" s="4385"/>
      <c r="BQ70" s="4385"/>
    </row>
    <row r="71" spans="2:69" ht="15" customHeight="1" x14ac:dyDescent="0.2">
      <c r="B71" s="1781"/>
      <c r="C71" s="4102"/>
      <c r="D71" s="1781"/>
      <c r="E71" s="2129" t="s">
        <v>57</v>
      </c>
      <c r="F71" s="1781"/>
      <c r="G71" s="2129" t="s">
        <v>57</v>
      </c>
      <c r="H71" s="1781"/>
      <c r="I71" s="4096" t="s">
        <v>57</v>
      </c>
      <c r="J71" s="1877"/>
      <c r="K71" s="2131" t="s">
        <v>85</v>
      </c>
      <c r="L71" s="1781"/>
      <c r="M71" s="4097"/>
      <c r="N71" s="1781"/>
      <c r="O71" s="1805"/>
      <c r="P71" s="1781"/>
      <c r="Q71" s="4087">
        <v>0</v>
      </c>
      <c r="R71" s="2128">
        <v>0</v>
      </c>
      <c r="S71" s="2104" t="s">
        <v>86</v>
      </c>
      <c r="T71" s="2128">
        <v>0</v>
      </c>
      <c r="U71" s="2104" t="s">
        <v>86</v>
      </c>
      <c r="V71" s="1781"/>
      <c r="W71" s="1815">
        <f>perennial!P50</f>
        <v>0</v>
      </c>
      <c r="X71" s="1815">
        <f>perennial!Q50</f>
        <v>0</v>
      </c>
      <c r="Y71" s="1839"/>
      <c r="Z71" s="1812">
        <f>perennial!R50</f>
        <v>0</v>
      </c>
      <c r="AP71" s="1800" t="str">
        <f>IF(IF($C73="", $C71, $C73)=0, "", IF($C73="", $C71, $C73))</f>
        <v/>
      </c>
      <c r="AQ71" s="1798"/>
      <c r="AR71" s="1798"/>
      <c r="AS71" s="1817">
        <f>(IF('3.Cropland'!$E71&lt;&gt;"Please select", INDEX(IPCC!$E$107:$T$298,MATCH(clim_moist_cont,IPCC!$C$107:$C$298,0),MATCH('3.Cropland'!$E71,IPCC!$E$105:$T$105,0)), 0))</f>
        <v>0</v>
      </c>
      <c r="AT71" s="2121"/>
      <c r="AU71" s="1817">
        <f>(IF('3.Cropland'!$E71&lt;&gt;"Please select",INDEX(IPCC!$E$310:$T$501,MATCH(clim_moist_cont,IPCC!$C$310:$C$501,0),MATCH('3.Cropland'!$E71,IPCC!$E$308:$T$308,0)),0))</f>
        <v>0</v>
      </c>
      <c r="AV71" s="2121"/>
      <c r="AW71" s="1817">
        <f>perennial!L19*12/44</f>
        <v>0</v>
      </c>
      <c r="AX71" s="2121"/>
      <c r="AY71" s="1817">
        <f t="shared" si="4"/>
        <v>0</v>
      </c>
      <c r="AZ71" s="2121"/>
      <c r="BA71" s="1893"/>
      <c r="BB71" s="1817">
        <f>_xlfn.IFNA(IF($E71&lt;&gt;"Please select", VLOOKUP(clim_moist, IPCC!$A$57:$D$68, 4, FALSE),0),)</f>
        <v>0</v>
      </c>
      <c r="BC71" s="2121"/>
      <c r="BD71" s="1817">
        <f>_xlfn.IFNA(INDEX( IPCC!$F$58:$H$68,MATCH(clim_moist, IPCC!$A$58:$A$68,0),MATCH($G71, IPCC!$F$58:$H$58,0)),)</f>
        <v>0</v>
      </c>
      <c r="BE71" s="2121"/>
      <c r="BF71" s="1817">
        <f>_xlfn.IFNA(INDEX( IPCC!$I$58:$L$68,MATCH(clim_moist, IPCC!$A$58:$A$68,0),MATCH($I71, IPCC!$I$58:$L$58,0)),)</f>
        <v>0</v>
      </c>
      <c r="BG71" s="2121"/>
      <c r="BH71" s="1817">
        <f t="shared" si="5"/>
        <v>0</v>
      </c>
      <c r="BI71" s="4105"/>
      <c r="BJ71" s="1795">
        <v>1</v>
      </c>
      <c r="BK71" s="4105"/>
      <c r="BL71" s="1784"/>
      <c r="BM71" s="1784"/>
      <c r="BO71" s="4363">
        <v>1</v>
      </c>
      <c r="BP71" s="4364"/>
      <c r="BQ71" s="1996"/>
    </row>
    <row r="72" spans="2:69" ht="15" customHeight="1" x14ac:dyDescent="0.2">
      <c r="B72" s="1781"/>
      <c r="C72" s="4487"/>
      <c r="D72" s="1781"/>
      <c r="E72" s="4487" t="str">
        <f>E71</f>
        <v>Please select</v>
      </c>
      <c r="F72" s="1781"/>
      <c r="G72" s="2129" t="s">
        <v>57</v>
      </c>
      <c r="H72" s="1781"/>
      <c r="I72" s="4096" t="s">
        <v>57</v>
      </c>
      <c r="J72" s="1877"/>
      <c r="K72" s="2131" t="s">
        <v>85</v>
      </c>
      <c r="L72" s="1781"/>
      <c r="M72" s="4097"/>
      <c r="N72" s="1781"/>
      <c r="O72" s="1805"/>
      <c r="P72" s="1781"/>
      <c r="Q72" s="4182">
        <v>0</v>
      </c>
      <c r="R72" s="2128">
        <v>0</v>
      </c>
      <c r="S72" s="2104" t="s">
        <v>86</v>
      </c>
      <c r="T72" s="2128">
        <v>0</v>
      </c>
      <c r="U72" s="2104" t="s">
        <v>86</v>
      </c>
      <c r="V72" s="1781"/>
      <c r="W72" s="1815">
        <f>perennial!P51</f>
        <v>0</v>
      </c>
      <c r="X72" s="1815">
        <f>perennial!Q51</f>
        <v>0</v>
      </c>
      <c r="Y72" s="1839"/>
      <c r="Z72" s="1812">
        <f>perennial!R51</f>
        <v>0</v>
      </c>
      <c r="AP72" s="1800" t="str">
        <f>$E73</f>
        <v>Please select</v>
      </c>
      <c r="AQ72" s="1798"/>
      <c r="AR72" s="1798"/>
      <c r="AS72" s="1817">
        <f>(IF('3.Cropland'!$E72&lt;&gt;"Please select", INDEX(IPCC!$E$107:$T$298,MATCH(clim_moist_cont,IPCC!$C$107:$C$298,0),MATCH('3.Cropland'!$E72,IPCC!$E$105:$T$105,0)), 0))</f>
        <v>0</v>
      </c>
      <c r="AT72" s="2121"/>
      <c r="AU72" s="1817">
        <f>(IF('3.Cropland'!$E72&lt;&gt;"Please select",INDEX(IPCC!$E$310:$T$501,MATCH(clim_moist_cont,IPCC!$C$310:$C$501,0),MATCH('3.Cropland'!$E72,IPCC!$E$308:$T$308,0)),0))</f>
        <v>0</v>
      </c>
      <c r="AV72" s="2121"/>
      <c r="AW72" s="1817">
        <f>perennial!L20*12/44</f>
        <v>0</v>
      </c>
      <c r="AX72" s="2121"/>
      <c r="AY72" s="1817">
        <f t="shared" si="4"/>
        <v>0</v>
      </c>
      <c r="AZ72" s="2121"/>
      <c r="BA72" s="1893"/>
      <c r="BB72" s="1817">
        <f>_xlfn.IFNA(IF($E72&lt;&gt;"Please select", VLOOKUP(clim_moist, IPCC!$A$57:$D$68, 4, FALSE),0),)</f>
        <v>0</v>
      </c>
      <c r="BC72" s="2121"/>
      <c r="BD72" s="1817">
        <f>_xlfn.IFNA(INDEX( IPCC!$F$58:$H$68,MATCH(clim_moist, IPCC!$A$58:$A$68,0),MATCH($G72, IPCC!$F$58:$H$58,0)),)</f>
        <v>0</v>
      </c>
      <c r="BE72" s="2121"/>
      <c r="BF72" s="1817">
        <f>_xlfn.IFNA(INDEX( IPCC!$I$58:$L$68,MATCH(clim_moist, IPCC!$A$58:$A$68,0),MATCH($I72, IPCC!$I$58:$L$58,0)),)</f>
        <v>0</v>
      </c>
      <c r="BG72" s="2121"/>
      <c r="BH72" s="1817">
        <f t="shared" si="5"/>
        <v>0</v>
      </c>
      <c r="BI72" s="4105"/>
      <c r="BJ72" s="1795">
        <v>1</v>
      </c>
      <c r="BK72" s="4105"/>
      <c r="BL72" s="1784"/>
      <c r="BM72" s="1784"/>
      <c r="BO72" s="4363">
        <v>1</v>
      </c>
      <c r="BP72" s="4364"/>
      <c r="BQ72" s="1996"/>
    </row>
    <row r="73" spans="2:69" ht="15" customHeight="1" x14ac:dyDescent="0.2">
      <c r="B73" s="1781"/>
      <c r="C73" s="4487"/>
      <c r="D73" s="1781"/>
      <c r="E73" s="4487" t="str">
        <f>E71</f>
        <v>Please select</v>
      </c>
      <c r="F73" s="1781"/>
      <c r="G73" s="2129" t="s">
        <v>57</v>
      </c>
      <c r="H73" s="1781"/>
      <c r="I73" s="4096" t="s">
        <v>57</v>
      </c>
      <c r="J73" s="1877"/>
      <c r="K73" s="2131" t="s">
        <v>85</v>
      </c>
      <c r="L73" s="1781"/>
      <c r="M73" s="4097"/>
      <c r="N73" s="1781"/>
      <c r="O73" s="1805"/>
      <c r="P73" s="1781"/>
      <c r="Q73" s="4182">
        <v>0</v>
      </c>
      <c r="R73" s="2128">
        <v>0</v>
      </c>
      <c r="S73" s="2104" t="s">
        <v>86</v>
      </c>
      <c r="T73" s="2128">
        <v>0</v>
      </c>
      <c r="U73" s="2104" t="s">
        <v>86</v>
      </c>
      <c r="V73" s="1781"/>
      <c r="W73" s="1815">
        <f>perennial!P52</f>
        <v>0</v>
      </c>
      <c r="X73" s="1815">
        <f>perennial!Q52</f>
        <v>0</v>
      </c>
      <c r="Y73" s="1839"/>
      <c r="Z73" s="1812">
        <f>perennial!R52</f>
        <v>0</v>
      </c>
      <c r="AP73" s="1800"/>
      <c r="AQ73" s="1798"/>
      <c r="AR73" s="1798"/>
      <c r="AS73" s="1817">
        <f>(IF('3.Cropland'!$E73&lt;&gt;"Please select", INDEX(IPCC!$E$107:$T$298,MATCH(clim_moist_cont,IPCC!$C$107:$C$298,0),MATCH('3.Cropland'!$E73,IPCC!$E$105:$T$105,0)), 0))</f>
        <v>0</v>
      </c>
      <c r="AT73" s="2121"/>
      <c r="AU73" s="1817">
        <f>(IF('3.Cropland'!$E73&lt;&gt;"Please select",INDEX(IPCC!$E$310:$T$501,MATCH(clim_moist_cont,IPCC!$C$310:$C$501,0),MATCH('3.Cropland'!$E73,IPCC!$E$308:$T$308,0)),0))</f>
        <v>0</v>
      </c>
      <c r="AV73" s="2121"/>
      <c r="AW73" s="1817">
        <f>perennial!L21*12/44</f>
        <v>0</v>
      </c>
      <c r="AX73" s="2121"/>
      <c r="AY73" s="1817">
        <f t="shared" si="4"/>
        <v>0</v>
      </c>
      <c r="AZ73" s="2121"/>
      <c r="BA73" s="1893"/>
      <c r="BB73" s="1817">
        <f>_xlfn.IFNA(IF($E73&lt;&gt;"Please select", VLOOKUP(clim_moist, IPCC!$A$57:$D$68, 4, FALSE),0),)</f>
        <v>0</v>
      </c>
      <c r="BC73" s="2121"/>
      <c r="BD73" s="1817">
        <f>_xlfn.IFNA(INDEX( IPCC!$F$58:$H$68,MATCH(clim_moist, IPCC!$A$58:$A$68,0),MATCH($G73, IPCC!$F$58:$H$58,0)),)</f>
        <v>0</v>
      </c>
      <c r="BE73" s="2121"/>
      <c r="BF73" s="1817">
        <f>_xlfn.IFNA(INDEX( IPCC!$I$58:$L$68,MATCH(clim_moist, IPCC!$A$58:$A$68,0),MATCH($I73, IPCC!$I$58:$L$58,0)),)</f>
        <v>0</v>
      </c>
      <c r="BG73" s="2121"/>
      <c r="BH73" s="1817">
        <f t="shared" si="5"/>
        <v>0</v>
      </c>
      <c r="BI73" s="4105"/>
      <c r="BJ73" s="1795">
        <v>1</v>
      </c>
      <c r="BK73" s="4105"/>
      <c r="BL73" s="1784"/>
      <c r="BM73" s="1784"/>
      <c r="BO73" s="4363">
        <v>1</v>
      </c>
      <c r="BP73" s="4364"/>
      <c r="BQ73" s="1996"/>
    </row>
    <row r="74" spans="2:69" ht="15" customHeight="1" x14ac:dyDescent="0.2">
      <c r="B74" s="1781"/>
      <c r="C74" s="1781"/>
      <c r="D74" s="1781"/>
      <c r="E74" s="1781"/>
      <c r="F74" s="1781"/>
      <c r="G74" s="1781"/>
      <c r="H74" s="1781"/>
      <c r="I74" s="1781"/>
      <c r="J74" s="1781"/>
      <c r="K74" s="1781"/>
      <c r="L74" s="1781"/>
      <c r="M74" s="1781"/>
      <c r="N74" s="1781"/>
      <c r="O74" s="1781"/>
      <c r="P74" s="1781"/>
      <c r="Q74" s="1781"/>
      <c r="R74" s="1781"/>
      <c r="S74" s="1781"/>
      <c r="T74" s="1781"/>
      <c r="U74" s="1781"/>
      <c r="V74" s="1781"/>
      <c r="W74" s="1781"/>
      <c r="X74" s="1781"/>
      <c r="Y74" s="1781"/>
      <c r="Z74" s="1781"/>
      <c r="AP74" s="1800"/>
      <c r="AQ74" s="1807"/>
      <c r="AR74" s="1807"/>
      <c r="AS74" s="1807"/>
      <c r="AT74" s="1807"/>
      <c r="AU74" s="1807"/>
      <c r="AV74" s="1807"/>
      <c r="AW74" s="1807"/>
      <c r="AX74" s="1807"/>
      <c r="AY74" s="1807"/>
      <c r="AZ74" s="1807"/>
      <c r="BA74" s="1807"/>
      <c r="BB74" s="1807"/>
      <c r="BC74" s="1807"/>
      <c r="BD74" s="1807"/>
      <c r="BE74" s="1807"/>
      <c r="BF74" s="1807"/>
      <c r="BG74" s="1807"/>
      <c r="BH74" s="1817"/>
      <c r="BI74" s="1807"/>
      <c r="BJ74" s="1807"/>
      <c r="BK74" s="1807"/>
      <c r="BL74" s="1807"/>
      <c r="BM74" s="1807"/>
      <c r="BO74" s="4385"/>
      <c r="BP74" s="4385"/>
      <c r="BQ74" s="4385"/>
    </row>
    <row r="75" spans="2:69" ht="15" customHeight="1" x14ac:dyDescent="0.2">
      <c r="B75" s="1781"/>
      <c r="C75" s="4102"/>
      <c r="D75" s="1781"/>
      <c r="E75" s="2129" t="s">
        <v>57</v>
      </c>
      <c r="F75" s="1781"/>
      <c r="G75" s="2129" t="s">
        <v>57</v>
      </c>
      <c r="H75" s="1781"/>
      <c r="I75" s="4096" t="s">
        <v>57</v>
      </c>
      <c r="J75" s="1877"/>
      <c r="K75" s="2131" t="s">
        <v>85</v>
      </c>
      <c r="L75" s="1781"/>
      <c r="M75" s="4097"/>
      <c r="N75" s="1781"/>
      <c r="O75" s="1805"/>
      <c r="P75" s="1781"/>
      <c r="Q75" s="4087">
        <v>0</v>
      </c>
      <c r="R75" s="2128">
        <v>0</v>
      </c>
      <c r="S75" s="2104" t="s">
        <v>86</v>
      </c>
      <c r="T75" s="2128">
        <v>0</v>
      </c>
      <c r="U75" s="2104" t="s">
        <v>86</v>
      </c>
      <c r="V75" s="1781"/>
      <c r="W75" s="1815">
        <f>perennial!P53</f>
        <v>0</v>
      </c>
      <c r="X75" s="1815">
        <f>perennial!Q53</f>
        <v>0</v>
      </c>
      <c r="Y75" s="1839"/>
      <c r="Z75" s="1812">
        <f>perennial!R53</f>
        <v>0</v>
      </c>
      <c r="AP75" s="1800" t="str">
        <f>IF(IF($C77="", $C75, $C77)=0, "", IF($C77="", $C75, $C77))</f>
        <v/>
      </c>
      <c r="AQ75" s="1798"/>
      <c r="AR75" s="1798"/>
      <c r="AS75" s="1817">
        <f>(IF('3.Cropland'!$E75&lt;&gt;"Please select", INDEX(IPCC!$E$107:$T$298,MATCH(clim_moist_cont,IPCC!$C$107:$C$298,0),MATCH('3.Cropland'!$E75,IPCC!$E$105:$T$105,0)), 0))</f>
        <v>0</v>
      </c>
      <c r="AT75" s="2121"/>
      <c r="AU75" s="1817">
        <f>(IF('3.Cropland'!$E75&lt;&gt;"Please select",INDEX(IPCC!$E$310:$T$501,MATCH(clim_moist_cont,IPCC!$C$310:$C$501,0),MATCH('3.Cropland'!$E75,IPCC!$E$308:$T$308,0)),0))</f>
        <v>0</v>
      </c>
      <c r="AV75" s="2121"/>
      <c r="AW75" s="1817">
        <f>perennial!L22*12/44</f>
        <v>0</v>
      </c>
      <c r="AX75" s="2121"/>
      <c r="AY75" s="1817">
        <f t="shared" si="4"/>
        <v>0</v>
      </c>
      <c r="AZ75" s="2121"/>
      <c r="BA75" s="1893"/>
      <c r="BB75" s="1817">
        <f>_xlfn.IFNA(IF($E75&lt;&gt;"Please select", VLOOKUP(clim_moist, IPCC!$A$57:$D$68, 4, FALSE),0),)</f>
        <v>0</v>
      </c>
      <c r="BC75" s="2121"/>
      <c r="BD75" s="1817">
        <f>_xlfn.IFNA(INDEX( IPCC!$F$58:$H$68,MATCH(clim_moist, IPCC!$A$58:$A$68,0),MATCH($G75, IPCC!$F$58:$H$58,0)),)</f>
        <v>0</v>
      </c>
      <c r="BE75" s="2121"/>
      <c r="BF75" s="1817">
        <f>_xlfn.IFNA(INDEX( IPCC!$I$58:$L$68,MATCH(clim_moist, IPCC!$A$58:$A$68,0),MATCH($I75, IPCC!$I$58:$L$58,0)),)</f>
        <v>0</v>
      </c>
      <c r="BG75" s="2121"/>
      <c r="BH75" s="1817">
        <f t="shared" si="5"/>
        <v>0</v>
      </c>
      <c r="BI75" s="4105"/>
      <c r="BJ75" s="1795">
        <v>1</v>
      </c>
      <c r="BK75" s="4105"/>
      <c r="BL75" s="1784"/>
      <c r="BM75" s="1784"/>
      <c r="BO75" s="4363">
        <v>1</v>
      </c>
      <c r="BP75" s="4364"/>
      <c r="BQ75" s="1996"/>
    </row>
    <row r="76" spans="2:69" ht="15" customHeight="1" x14ac:dyDescent="0.2">
      <c r="B76" s="1781"/>
      <c r="C76" s="4487"/>
      <c r="D76" s="1781"/>
      <c r="E76" s="4487" t="str">
        <f>E75</f>
        <v>Please select</v>
      </c>
      <c r="F76" s="1781"/>
      <c r="G76" s="2129" t="s">
        <v>57</v>
      </c>
      <c r="H76" s="1781"/>
      <c r="I76" s="4096" t="s">
        <v>57</v>
      </c>
      <c r="J76" s="1877"/>
      <c r="K76" s="2131" t="s">
        <v>85</v>
      </c>
      <c r="L76" s="1781"/>
      <c r="M76" s="4097"/>
      <c r="N76" s="1781"/>
      <c r="O76" s="1805"/>
      <c r="P76" s="1781"/>
      <c r="Q76" s="4182">
        <v>0</v>
      </c>
      <c r="R76" s="2128">
        <v>0</v>
      </c>
      <c r="S76" s="2104" t="s">
        <v>86</v>
      </c>
      <c r="T76" s="2128">
        <v>0</v>
      </c>
      <c r="U76" s="2104" t="s">
        <v>86</v>
      </c>
      <c r="V76" s="1781"/>
      <c r="W76" s="1815">
        <f>perennial!P54</f>
        <v>0</v>
      </c>
      <c r="X76" s="1815">
        <f>perennial!Q54</f>
        <v>0</v>
      </c>
      <c r="Y76" s="1839"/>
      <c r="Z76" s="1812">
        <f>perennial!R54</f>
        <v>0</v>
      </c>
      <c r="AP76" s="1800" t="str">
        <f>$E77</f>
        <v>Please select</v>
      </c>
      <c r="AQ76" s="1798"/>
      <c r="AR76" s="1798"/>
      <c r="AS76" s="1817">
        <f>(IF('3.Cropland'!$E76&lt;&gt;"Please select", INDEX(IPCC!$E$107:$T$298,MATCH(clim_moist_cont,IPCC!$C$107:$C$298,0),MATCH('3.Cropland'!$E76,IPCC!$E$105:$T$105,0)), 0))</f>
        <v>0</v>
      </c>
      <c r="AT76" s="2121"/>
      <c r="AU76" s="1817">
        <f>(IF('3.Cropland'!$E76&lt;&gt;"Please select",INDEX(IPCC!$E$310:$T$501,MATCH(clim_moist_cont,IPCC!$C$310:$C$501,0),MATCH('3.Cropland'!$E76,IPCC!$E$308:$T$308,0)),0))</f>
        <v>0</v>
      </c>
      <c r="AV76" s="2121"/>
      <c r="AW76" s="1817">
        <f>perennial!L23*12/44</f>
        <v>0</v>
      </c>
      <c r="AX76" s="2121"/>
      <c r="AY76" s="1817">
        <f t="shared" si="4"/>
        <v>0</v>
      </c>
      <c r="AZ76" s="2121"/>
      <c r="BA76" s="1893"/>
      <c r="BB76" s="1817">
        <f>_xlfn.IFNA(IF($E76&lt;&gt;"Please select", VLOOKUP(clim_moist, IPCC!$A$57:$D$68, 4, FALSE),0),)</f>
        <v>0</v>
      </c>
      <c r="BC76" s="2121"/>
      <c r="BD76" s="1817">
        <f>_xlfn.IFNA(INDEX( IPCC!$F$58:$H$68,MATCH(clim_moist, IPCC!$A$58:$A$68,0),MATCH($G76, IPCC!$F$58:$H$58,0)),)</f>
        <v>0</v>
      </c>
      <c r="BE76" s="2121"/>
      <c r="BF76" s="1817">
        <f>_xlfn.IFNA(INDEX( IPCC!$I$58:$L$68,MATCH(clim_moist, IPCC!$A$58:$A$68,0),MATCH($I76, IPCC!$I$58:$L$58,0)),)</f>
        <v>0</v>
      </c>
      <c r="BG76" s="2121"/>
      <c r="BH76" s="1817">
        <f t="shared" si="5"/>
        <v>0</v>
      </c>
      <c r="BI76" s="4105"/>
      <c r="BJ76" s="1795">
        <v>1</v>
      </c>
      <c r="BK76" s="4105"/>
      <c r="BL76" s="1784"/>
      <c r="BM76" s="1784"/>
      <c r="BO76" s="4363">
        <v>1</v>
      </c>
      <c r="BP76" s="4364"/>
      <c r="BQ76" s="1996"/>
    </row>
    <row r="77" spans="2:69" ht="15" customHeight="1" x14ac:dyDescent="0.2">
      <c r="B77" s="1781"/>
      <c r="C77" s="4487"/>
      <c r="D77" s="1781"/>
      <c r="E77" s="4487" t="str">
        <f>E75</f>
        <v>Please select</v>
      </c>
      <c r="F77" s="1781"/>
      <c r="G77" s="2129" t="s">
        <v>57</v>
      </c>
      <c r="H77" s="1781"/>
      <c r="I77" s="4096" t="s">
        <v>57</v>
      </c>
      <c r="J77" s="1877"/>
      <c r="K77" s="2131" t="s">
        <v>85</v>
      </c>
      <c r="L77" s="1781"/>
      <c r="M77" s="4097"/>
      <c r="N77" s="1781"/>
      <c r="O77" s="1805"/>
      <c r="P77" s="1781"/>
      <c r="Q77" s="4182">
        <v>0</v>
      </c>
      <c r="R77" s="2128">
        <v>0</v>
      </c>
      <c r="S77" s="2104" t="s">
        <v>86</v>
      </c>
      <c r="T77" s="2128">
        <v>0</v>
      </c>
      <c r="U77" s="2104" t="s">
        <v>86</v>
      </c>
      <c r="V77" s="1781"/>
      <c r="W77" s="1815">
        <f>perennial!P55</f>
        <v>0</v>
      </c>
      <c r="X77" s="1815">
        <f>perennial!Q55</f>
        <v>0</v>
      </c>
      <c r="Y77" s="1839"/>
      <c r="Z77" s="1812">
        <f>perennial!R55</f>
        <v>0</v>
      </c>
      <c r="AP77" s="1800"/>
      <c r="AQ77" s="1798"/>
      <c r="AR77" s="1798"/>
      <c r="AS77" s="1817">
        <f>(IF('3.Cropland'!$E77&lt;&gt;"Please select", INDEX(IPCC!$E$107:$T$298,MATCH(clim_moist_cont,IPCC!$C$107:$C$298,0),MATCH('3.Cropland'!$E77,IPCC!$E$105:$T$105,0)), 0))</f>
        <v>0</v>
      </c>
      <c r="AT77" s="2121"/>
      <c r="AU77" s="1817">
        <f>(IF('3.Cropland'!$E77&lt;&gt;"Please select",INDEX(IPCC!$E$310:$T$501,MATCH(clim_moist_cont,IPCC!$C$310:$C$501,0),MATCH('3.Cropland'!$E77,IPCC!$E$308:$T$308,0)),0))</f>
        <v>0</v>
      </c>
      <c r="AV77" s="2121"/>
      <c r="AW77" s="1817">
        <f>perennial!L24*12/44</f>
        <v>0</v>
      </c>
      <c r="AX77" s="2121"/>
      <c r="AY77" s="1817">
        <f t="shared" si="4"/>
        <v>0</v>
      </c>
      <c r="AZ77" s="2121"/>
      <c r="BA77" s="1893"/>
      <c r="BB77" s="1817">
        <f>_xlfn.IFNA(IF($E77&lt;&gt;"Please select", VLOOKUP(clim_moist, IPCC!$A$57:$D$68, 4, FALSE),0),)</f>
        <v>0</v>
      </c>
      <c r="BC77" s="2121"/>
      <c r="BD77" s="1817">
        <f>_xlfn.IFNA(INDEX( IPCC!$F$58:$H$68,MATCH(clim_moist, IPCC!$A$58:$A$68,0),MATCH($G77, IPCC!$F$58:$H$58,0)),)</f>
        <v>0</v>
      </c>
      <c r="BE77" s="2121"/>
      <c r="BF77" s="1817">
        <f>_xlfn.IFNA(INDEX( IPCC!$I$58:$L$68,MATCH(clim_moist, IPCC!$A$58:$A$68,0),MATCH($I77, IPCC!$I$58:$L$58,0)),)</f>
        <v>0</v>
      </c>
      <c r="BG77" s="2121"/>
      <c r="BH77" s="1817">
        <f t="shared" si="5"/>
        <v>0</v>
      </c>
      <c r="BI77" s="4105"/>
      <c r="BJ77" s="1795">
        <v>1</v>
      </c>
      <c r="BK77" s="4105"/>
      <c r="BL77" s="1784"/>
      <c r="BM77" s="1784"/>
      <c r="BO77" s="4363">
        <v>1</v>
      </c>
      <c r="BP77" s="4364"/>
      <c r="BQ77" s="1996"/>
    </row>
    <row r="78" spans="2:69" ht="15" customHeight="1" x14ac:dyDescent="0.2">
      <c r="B78" s="1781"/>
      <c r="C78" s="1781"/>
      <c r="D78" s="1781"/>
      <c r="E78" s="1781"/>
      <c r="F78" s="1781"/>
      <c r="G78" s="1781"/>
      <c r="H78" s="1781"/>
      <c r="I78" s="1781"/>
      <c r="J78" s="1781"/>
      <c r="K78" s="1781"/>
      <c r="L78" s="1781"/>
      <c r="M78" s="1781"/>
      <c r="N78" s="1781"/>
      <c r="O78" s="1781"/>
      <c r="P78" s="1781"/>
      <c r="Q78" s="1781"/>
      <c r="R78" s="1781"/>
      <c r="S78" s="1781"/>
      <c r="T78" s="1781"/>
      <c r="U78" s="1781"/>
      <c r="V78" s="1781"/>
      <c r="W78" s="1781"/>
      <c r="X78" s="1781"/>
      <c r="Y78" s="1781"/>
      <c r="Z78" s="1781"/>
      <c r="AP78" s="1800"/>
      <c r="AQ78" s="1807"/>
      <c r="AR78" s="1807"/>
      <c r="AS78" s="1807"/>
      <c r="AT78" s="1807"/>
      <c r="AU78" s="1807"/>
      <c r="AV78" s="1807"/>
      <c r="AW78" s="1807"/>
      <c r="AX78" s="1807"/>
      <c r="AY78" s="1807"/>
      <c r="AZ78" s="1807"/>
      <c r="BA78" s="1807"/>
      <c r="BB78" s="1807"/>
      <c r="BC78" s="1807"/>
      <c r="BD78" s="1807"/>
      <c r="BE78" s="1807"/>
      <c r="BF78" s="1807"/>
      <c r="BG78" s="1807"/>
      <c r="BH78" s="1817"/>
      <c r="BI78" s="1807"/>
      <c r="BJ78" s="1807"/>
      <c r="BK78" s="1807"/>
      <c r="BL78" s="1807"/>
      <c r="BM78" s="1807"/>
      <c r="BO78" s="4385"/>
      <c r="BP78" s="4385"/>
      <c r="BQ78" s="4385"/>
    </row>
    <row r="79" spans="2:69" ht="15" customHeight="1" x14ac:dyDescent="0.2">
      <c r="B79" s="1781"/>
      <c r="C79" s="4102"/>
      <c r="D79" s="1781"/>
      <c r="E79" s="2129" t="s">
        <v>57</v>
      </c>
      <c r="F79" s="1781"/>
      <c r="G79" s="2129" t="s">
        <v>57</v>
      </c>
      <c r="H79" s="1781"/>
      <c r="I79" s="4096" t="s">
        <v>57</v>
      </c>
      <c r="J79" s="1877"/>
      <c r="K79" s="2131" t="s">
        <v>85</v>
      </c>
      <c r="L79" s="1781"/>
      <c r="M79" s="4097"/>
      <c r="N79" s="1781"/>
      <c r="O79" s="1805"/>
      <c r="P79" s="1781"/>
      <c r="Q79" s="4087">
        <v>0</v>
      </c>
      <c r="R79" s="2128">
        <v>0</v>
      </c>
      <c r="S79" s="2104" t="s">
        <v>86</v>
      </c>
      <c r="T79" s="2128">
        <v>0</v>
      </c>
      <c r="U79" s="2104" t="s">
        <v>86</v>
      </c>
      <c r="V79" s="1781"/>
      <c r="W79" s="1815">
        <f>perennial!P56</f>
        <v>0</v>
      </c>
      <c r="X79" s="1815">
        <f>perennial!Q56</f>
        <v>0</v>
      </c>
      <c r="Y79" s="1839"/>
      <c r="Z79" s="1812">
        <f>perennial!R56</f>
        <v>0</v>
      </c>
      <c r="AP79" s="1800" t="str">
        <f>IF(IF($C81="", $C79, $C81)=0, "", IF($C81="", $C79, $C81))</f>
        <v/>
      </c>
      <c r="AQ79" s="1798"/>
      <c r="AR79" s="1798"/>
      <c r="AS79" s="1817">
        <f>(IF('3.Cropland'!$E79&lt;&gt;"Please select", INDEX(IPCC!$E$107:$T$298,MATCH(clim_moist_cont,IPCC!$C$107:$C$298,0),MATCH('3.Cropland'!$E79,IPCC!$E$105:$T$105,0)), 0))</f>
        <v>0</v>
      </c>
      <c r="AT79" s="2121"/>
      <c r="AU79" s="1817">
        <f>(IF('3.Cropland'!$E79&lt;&gt;"Please select",INDEX(IPCC!$E$310:$T$501,MATCH(clim_moist_cont,IPCC!$C$310:$C$501,0),MATCH('3.Cropland'!$E79,IPCC!$E$308:$T$308,0)),0))</f>
        <v>0</v>
      </c>
      <c r="AV79" s="2121"/>
      <c r="AW79" s="1817">
        <f>perennial!L25*12/44</f>
        <v>0</v>
      </c>
      <c r="AX79" s="2121"/>
      <c r="AY79" s="1817">
        <f>IF($E79&lt;&gt;"Please select",SOCref,0)</f>
        <v>0</v>
      </c>
      <c r="AZ79" s="2121"/>
      <c r="BA79" s="1893"/>
      <c r="BB79" s="1817">
        <f>_xlfn.IFNA(IF($E79&lt;&gt;"Please select", VLOOKUP(clim_moist, IPCC!$A$57:$D$68, 4, FALSE),0),)</f>
        <v>0</v>
      </c>
      <c r="BC79" s="2121"/>
      <c r="BD79" s="1817">
        <f>_xlfn.IFNA(INDEX( IPCC!$F$58:$H$68,MATCH(clim_moist, IPCC!$A$58:$A$68,0),MATCH($G79, IPCC!$F$58:$H$58,0)),)</f>
        <v>0</v>
      </c>
      <c r="BE79" s="2121"/>
      <c r="BF79" s="1817">
        <f>_xlfn.IFNA(INDEX( IPCC!$I$58:$L$68,MATCH(clim_moist, IPCC!$A$58:$A$68,0),MATCH($I79, IPCC!$I$58:$L$58,0)),)</f>
        <v>0</v>
      </c>
      <c r="BG79" s="2121"/>
      <c r="BH79" s="1817">
        <f t="shared" si="5"/>
        <v>0</v>
      </c>
      <c r="BI79" s="4105"/>
      <c r="BJ79" s="1795">
        <v>1</v>
      </c>
      <c r="BK79" s="4105"/>
      <c r="BL79" s="1784"/>
      <c r="BM79" s="1784"/>
      <c r="BO79" s="4363">
        <v>1</v>
      </c>
      <c r="BP79" s="4364"/>
      <c r="BQ79" s="1996"/>
    </row>
    <row r="80" spans="2:69" ht="15" customHeight="1" x14ac:dyDescent="0.2">
      <c r="B80" s="1781"/>
      <c r="C80" s="4487"/>
      <c r="D80" s="1781"/>
      <c r="E80" s="4487" t="str">
        <f>E79</f>
        <v>Please select</v>
      </c>
      <c r="F80" s="1781"/>
      <c r="G80" s="2129" t="s">
        <v>57</v>
      </c>
      <c r="H80" s="1781"/>
      <c r="I80" s="4096" t="s">
        <v>57</v>
      </c>
      <c r="J80" s="1877"/>
      <c r="K80" s="2131" t="s">
        <v>85</v>
      </c>
      <c r="L80" s="1781"/>
      <c r="M80" s="4097"/>
      <c r="N80" s="1781"/>
      <c r="O80" s="1805"/>
      <c r="P80" s="1781"/>
      <c r="Q80" s="4182">
        <v>0</v>
      </c>
      <c r="R80" s="2128">
        <v>0</v>
      </c>
      <c r="S80" s="2104" t="s">
        <v>86</v>
      </c>
      <c r="T80" s="2128">
        <v>0</v>
      </c>
      <c r="U80" s="2104" t="s">
        <v>86</v>
      </c>
      <c r="V80" s="1781"/>
      <c r="W80" s="1815">
        <f>perennial!P57</f>
        <v>0</v>
      </c>
      <c r="X80" s="1815">
        <f>perennial!Q57</f>
        <v>0</v>
      </c>
      <c r="Y80" s="1839"/>
      <c r="Z80" s="1812">
        <f>perennial!R57</f>
        <v>0</v>
      </c>
      <c r="AP80" s="1800" t="str">
        <f>$E81</f>
        <v>Please select</v>
      </c>
      <c r="AQ80" s="1798"/>
      <c r="AR80" s="1798"/>
      <c r="AS80" s="1817">
        <f>(IF('3.Cropland'!$E80&lt;&gt;"Please select", INDEX(IPCC!$E$107:$T$298,MATCH(clim_moist_cont,IPCC!$C$107:$C$298,0),MATCH('3.Cropland'!$E80,IPCC!$E$105:$T$105,0)), 0))</f>
        <v>0</v>
      </c>
      <c r="AT80" s="2121"/>
      <c r="AU80" s="1817">
        <f>(IF('3.Cropland'!$E80&lt;&gt;"Please select",INDEX(IPCC!$E$310:$T$501,MATCH(clim_moist_cont,IPCC!$C$310:$C$501,0),MATCH('3.Cropland'!$E80,IPCC!$E$308:$T$308,0)),0))</f>
        <v>0</v>
      </c>
      <c r="AV80" s="2121"/>
      <c r="AW80" s="1817">
        <f>perennial!L26*12/44</f>
        <v>0</v>
      </c>
      <c r="AX80" s="2121"/>
      <c r="AY80" s="1817">
        <f>IF($E80&lt;&gt;"Please select",SOCref,0)</f>
        <v>0</v>
      </c>
      <c r="AZ80" s="2121"/>
      <c r="BA80" s="1893"/>
      <c r="BB80" s="1817">
        <f>_xlfn.IFNA(IF($E80&lt;&gt;"Please select", VLOOKUP(clim_moist, IPCC!$A$57:$D$68, 4, FALSE),0),)</f>
        <v>0</v>
      </c>
      <c r="BC80" s="2121"/>
      <c r="BD80" s="1817">
        <f>_xlfn.IFNA(INDEX( IPCC!$F$58:$H$68,MATCH(clim_moist, IPCC!$A$58:$A$68,0),MATCH($G80, IPCC!$F$58:$H$58,0)),)</f>
        <v>0</v>
      </c>
      <c r="BE80" s="2121"/>
      <c r="BF80" s="1817">
        <f>_xlfn.IFNA(INDEX( IPCC!$I$58:$L$68,MATCH(clim_moist, IPCC!$A$58:$A$68,0),MATCH($I80, IPCC!$I$58:$L$58,0)),)</f>
        <v>0</v>
      </c>
      <c r="BG80" s="2121"/>
      <c r="BH80" s="1817">
        <f>IF(AT80="", AS80*50/100/0.47, AT80*50/100/0.47)</f>
        <v>0</v>
      </c>
      <c r="BI80" s="4105"/>
      <c r="BJ80" s="1795">
        <v>1</v>
      </c>
      <c r="BK80" s="4105"/>
      <c r="BL80" s="1784"/>
      <c r="BM80" s="1784"/>
      <c r="BO80" s="4363">
        <v>1</v>
      </c>
      <c r="BP80" s="4364"/>
      <c r="BQ80" s="1996"/>
    </row>
    <row r="81" spans="2:69" ht="15" customHeight="1" x14ac:dyDescent="0.2">
      <c r="B81" s="1781"/>
      <c r="C81" s="4487"/>
      <c r="D81" s="1781"/>
      <c r="E81" s="4487" t="str">
        <f>E79</f>
        <v>Please select</v>
      </c>
      <c r="F81" s="1781"/>
      <c r="G81" s="2129" t="s">
        <v>57</v>
      </c>
      <c r="H81" s="1781"/>
      <c r="I81" s="4096" t="s">
        <v>57</v>
      </c>
      <c r="J81" s="1877"/>
      <c r="K81" s="2131" t="s">
        <v>85</v>
      </c>
      <c r="L81" s="1781"/>
      <c r="M81" s="4097"/>
      <c r="N81" s="1781"/>
      <c r="O81" s="1805"/>
      <c r="P81" s="1781"/>
      <c r="Q81" s="4182">
        <v>0</v>
      </c>
      <c r="R81" s="2128">
        <v>0</v>
      </c>
      <c r="S81" s="2104" t="s">
        <v>86</v>
      </c>
      <c r="T81" s="2128">
        <v>0</v>
      </c>
      <c r="U81" s="2104" t="s">
        <v>86</v>
      </c>
      <c r="V81" s="1781"/>
      <c r="W81" s="1815">
        <f>perennial!P58</f>
        <v>0</v>
      </c>
      <c r="X81" s="1815">
        <f>perennial!Q58</f>
        <v>0</v>
      </c>
      <c r="Y81" s="1839"/>
      <c r="Z81" s="1812">
        <f>perennial!R58</f>
        <v>0</v>
      </c>
      <c r="AP81" s="1800"/>
      <c r="AQ81" s="1798"/>
      <c r="AR81" s="1798"/>
      <c r="AS81" s="1817">
        <f>(IF('3.Cropland'!$E81&lt;&gt;"Please select", INDEX(IPCC!$E$107:$T$298,MATCH(clim_moist_cont,IPCC!$C$107:$C$298,0),MATCH('3.Cropland'!$E81,IPCC!$E$105:$T$105,0)), 0))</f>
        <v>0</v>
      </c>
      <c r="AT81" s="2121"/>
      <c r="AU81" s="1817">
        <f>(IF('3.Cropland'!$E81&lt;&gt;"Please select",INDEX(IPCC!$E$310:$T$501,MATCH(clim_moist_cont,IPCC!$C$310:$C$501,0),MATCH('3.Cropland'!$E81,IPCC!$E$308:$T$308,0)),0))</f>
        <v>0</v>
      </c>
      <c r="AV81" s="2121"/>
      <c r="AW81" s="1817">
        <f>perennial!L27*12/44</f>
        <v>0</v>
      </c>
      <c r="AX81" s="2121"/>
      <c r="AY81" s="1817">
        <f>IF($E81&lt;&gt;"Please select",SOCref,0)</f>
        <v>0</v>
      </c>
      <c r="AZ81" s="2121"/>
      <c r="BA81" s="1893"/>
      <c r="BB81" s="1817">
        <f>_xlfn.IFNA(IF($E81&lt;&gt;"Please select", VLOOKUP(clim_moist, IPCC!$A$57:$D$68, 4, FALSE),0),)</f>
        <v>0</v>
      </c>
      <c r="BC81" s="2121"/>
      <c r="BD81" s="1817">
        <f>_xlfn.IFNA(INDEX( IPCC!$F$58:$H$68,MATCH(clim_moist, IPCC!$A$58:$A$68,0),MATCH($G81, IPCC!$F$58:$H$58,0)),)</f>
        <v>0</v>
      </c>
      <c r="BE81" s="2121"/>
      <c r="BF81" s="1817">
        <f>_xlfn.IFNA(INDEX( IPCC!$I$58:$L$68,MATCH(clim_moist, IPCC!$A$58:$A$68,0),MATCH($I81, IPCC!$I$58:$L$58,0)),)</f>
        <v>0</v>
      </c>
      <c r="BG81" s="2121"/>
      <c r="BH81" s="1817">
        <f t="shared" si="5"/>
        <v>0</v>
      </c>
      <c r="BI81" s="4105"/>
      <c r="BJ81" s="1795">
        <v>1</v>
      </c>
      <c r="BK81" s="4105"/>
      <c r="BL81" s="1784"/>
      <c r="BM81" s="1784"/>
      <c r="BO81" s="4363">
        <v>1</v>
      </c>
      <c r="BP81" s="4364"/>
      <c r="BQ81" s="1996"/>
    </row>
    <row r="82" spans="2:69" ht="15" customHeight="1" x14ac:dyDescent="0.2">
      <c r="B82" s="1781"/>
      <c r="C82" s="1781"/>
      <c r="D82" s="1781"/>
      <c r="E82" s="1781"/>
      <c r="F82" s="1781"/>
      <c r="G82" s="1781"/>
      <c r="H82" s="1781"/>
      <c r="I82" s="1781"/>
      <c r="J82" s="1781"/>
      <c r="K82" s="1781"/>
      <c r="L82" s="1781"/>
      <c r="M82" s="1781"/>
      <c r="N82" s="1781"/>
      <c r="O82" s="1781"/>
      <c r="P82" s="1781"/>
      <c r="Q82" s="1781"/>
      <c r="R82" s="1781"/>
      <c r="S82" s="1781"/>
      <c r="T82" s="1781"/>
      <c r="U82" s="1781"/>
      <c r="V82" s="1781"/>
      <c r="W82" s="1781"/>
      <c r="X82" s="1781"/>
      <c r="Y82" s="1781"/>
      <c r="Z82" s="1781"/>
      <c r="AP82" s="1807"/>
      <c r="AQ82" s="1807"/>
      <c r="AR82" s="1807"/>
      <c r="AS82" s="1807"/>
      <c r="AT82" s="1807"/>
      <c r="AU82" s="1807"/>
      <c r="AV82" s="1807"/>
      <c r="AW82" s="1807"/>
      <c r="AX82" s="1807"/>
      <c r="AY82" s="1807"/>
      <c r="AZ82" s="1807"/>
      <c r="BA82" s="1807"/>
      <c r="BB82" s="1807"/>
      <c r="BC82" s="1807"/>
      <c r="BD82" s="1807"/>
      <c r="BE82" s="1807"/>
      <c r="BF82" s="1807"/>
      <c r="BG82" s="1807"/>
      <c r="BH82" s="1817"/>
      <c r="BI82" s="1807"/>
      <c r="BJ82" s="1807"/>
      <c r="BK82" s="1807"/>
      <c r="BL82" s="1807"/>
      <c r="BM82" s="1807"/>
      <c r="BO82" s="4385"/>
      <c r="BP82" s="4385"/>
      <c r="BQ82" s="4385"/>
    </row>
    <row r="83" spans="2:69" ht="15" customHeight="1" x14ac:dyDescent="0.2">
      <c r="B83" s="1774"/>
      <c r="C83" s="1774" t="str">
        <f>Languages!B158</f>
        <v>3.2.2.2. Changes in agroforestry systems (with or without changes in management options)</v>
      </c>
      <c r="D83" s="1766"/>
      <c r="E83" s="1766"/>
      <c r="F83" s="1766"/>
      <c r="G83" s="1766"/>
      <c r="H83" s="1766"/>
      <c r="I83" s="1766"/>
      <c r="J83" s="1766"/>
      <c r="K83" s="1766"/>
      <c r="L83" s="1766"/>
      <c r="M83" s="1766"/>
      <c r="N83" s="1766"/>
      <c r="O83" s="1766"/>
      <c r="P83" s="1766"/>
      <c r="Q83" s="1766"/>
      <c r="R83" s="1766"/>
      <c r="S83" s="1766"/>
      <c r="T83" s="1766"/>
      <c r="U83" s="1766"/>
      <c r="V83" s="1766"/>
      <c r="W83" s="1766"/>
      <c r="X83" s="1766"/>
      <c r="Y83" s="1766"/>
      <c r="Z83" s="1766"/>
      <c r="AP83" s="1807"/>
      <c r="AQ83" s="1807"/>
      <c r="AR83" s="1807"/>
      <c r="AS83" s="1807"/>
      <c r="AT83" s="1807"/>
      <c r="AU83" s="1807"/>
      <c r="AV83" s="1807"/>
      <c r="AW83" s="1807"/>
      <c r="AX83" s="1807"/>
      <c r="AY83" s="1807"/>
      <c r="AZ83" s="1807"/>
      <c r="BA83" s="1807"/>
      <c r="BB83" s="1807"/>
      <c r="BC83" s="1807"/>
      <c r="BD83" s="1807"/>
      <c r="BE83" s="1807"/>
      <c r="BF83" s="1807"/>
      <c r="BG83" s="1807"/>
      <c r="BH83" s="1817"/>
      <c r="BI83" s="1807"/>
      <c r="BJ83" s="1807"/>
      <c r="BK83" s="1807"/>
      <c r="BL83" s="1807"/>
      <c r="BM83" s="1807"/>
      <c r="BO83" s="4385"/>
      <c r="BP83" s="4385"/>
      <c r="BQ83" s="4385"/>
    </row>
    <row r="84" spans="2:69" ht="15" customHeight="1" x14ac:dyDescent="0.2">
      <c r="B84" s="1781"/>
      <c r="C84" s="1834"/>
      <c r="D84" s="1781"/>
      <c r="E84" s="1781"/>
      <c r="F84" s="1781"/>
      <c r="G84" s="1781"/>
      <c r="H84" s="1781"/>
      <c r="I84" s="1781"/>
      <c r="J84" s="1781"/>
      <c r="K84" s="1781"/>
      <c r="L84" s="1781"/>
      <c r="M84" s="1781"/>
      <c r="N84" s="1781"/>
      <c r="O84" s="1781"/>
      <c r="P84" s="1781"/>
      <c r="Q84" s="1781"/>
      <c r="R84" s="1781"/>
      <c r="S84" s="1781"/>
      <c r="T84" s="1781"/>
      <c r="U84" s="1781"/>
      <c r="V84" s="1781"/>
      <c r="W84" s="1781"/>
      <c r="X84" s="1781"/>
      <c r="Y84" s="1781"/>
      <c r="Z84" s="1781"/>
      <c r="AP84" s="1807"/>
      <c r="AQ84" s="1807"/>
      <c r="AR84" s="1807"/>
      <c r="AS84" s="1807"/>
      <c r="AT84" s="1807"/>
      <c r="AU84" s="1807"/>
      <c r="AV84" s="1807"/>
      <c r="AW84" s="1807"/>
      <c r="AX84" s="1807"/>
      <c r="AY84" s="1807"/>
      <c r="AZ84" s="1807"/>
      <c r="BA84" s="1807"/>
      <c r="BB84" s="1807"/>
      <c r="BC84" s="1807"/>
      <c r="BD84" s="1807"/>
      <c r="BE84" s="1807"/>
      <c r="BF84" s="1807"/>
      <c r="BG84" s="1807"/>
      <c r="BH84" s="1817"/>
      <c r="BI84" s="1807"/>
      <c r="BJ84" s="1807"/>
      <c r="BK84" s="1807"/>
      <c r="BL84" s="1807"/>
      <c r="BM84" s="1807"/>
      <c r="BO84" s="4385"/>
      <c r="BP84" s="4385"/>
      <c r="BQ84" s="4385"/>
    </row>
    <row r="85" spans="2:69" ht="15" customHeight="1" x14ac:dyDescent="0.2">
      <c r="B85" s="1781"/>
      <c r="C85" s="1834" t="str">
        <f>C65</f>
        <v>User notes</v>
      </c>
      <c r="D85" s="1781"/>
      <c r="E85" s="1805" t="str">
        <f>E65</f>
        <v xml:space="preserve"> Agroforestry </v>
      </c>
      <c r="F85" s="1805">
        <f t="shared" ref="F85:M85" si="6">F65</f>
        <v>0</v>
      </c>
      <c r="G85" s="1805" t="str">
        <f t="shared" si="6"/>
        <v>Tillage</v>
      </c>
      <c r="H85" s="1805">
        <f t="shared" si="6"/>
        <v>0</v>
      </c>
      <c r="I85" s="1805" t="str">
        <f t="shared" si="6"/>
        <v>Input of</v>
      </c>
      <c r="J85" s="1805">
        <f t="shared" si="6"/>
        <v>0</v>
      </c>
      <c r="K85" s="1805" t="str">
        <f t="shared" si="6"/>
        <v>Residue/</v>
      </c>
      <c r="L85" s="1805">
        <f t="shared" si="6"/>
        <v>0</v>
      </c>
      <c r="M85" s="1805" t="str">
        <f t="shared" si="6"/>
        <v>Yield</v>
      </c>
      <c r="N85" s="1877"/>
      <c r="O85" s="1877"/>
      <c r="P85" s="1877"/>
      <c r="Q85" s="1877"/>
      <c r="R85" s="1877"/>
      <c r="S85" s="1890"/>
      <c r="T85" s="1781"/>
      <c r="U85" s="1890"/>
      <c r="V85" s="1901"/>
      <c r="W85" s="1781"/>
      <c r="X85" s="1781"/>
      <c r="Y85" s="1781"/>
      <c r="Z85" s="1781"/>
      <c r="AP85" s="1807"/>
      <c r="AQ85" s="1807"/>
      <c r="AR85" s="1807"/>
      <c r="AS85" s="1807"/>
      <c r="AT85" s="1807"/>
      <c r="AU85" s="1807"/>
      <c r="AV85" s="1807"/>
      <c r="AW85" s="1807"/>
      <c r="AX85" s="1807"/>
      <c r="AY85" s="1807"/>
      <c r="AZ85" s="1807"/>
      <c r="BA85" s="1807"/>
      <c r="BB85" s="1807"/>
      <c r="BC85" s="1807"/>
      <c r="BD85" s="1807"/>
      <c r="BE85" s="1807"/>
      <c r="BF85" s="1807"/>
      <c r="BG85" s="1807"/>
      <c r="BH85" s="1817"/>
      <c r="BI85" s="1807"/>
      <c r="BJ85" s="1807"/>
      <c r="BK85" s="1807"/>
      <c r="BL85" s="1807"/>
      <c r="BM85" s="1807"/>
      <c r="BO85" s="4385"/>
      <c r="BP85" s="4385"/>
      <c r="BQ85" s="4385"/>
    </row>
    <row r="86" spans="2:69" ht="15" customHeight="1" x14ac:dyDescent="0.2">
      <c r="B86" s="1781"/>
      <c r="C86" s="1834"/>
      <c r="D86" s="1781"/>
      <c r="E86" s="1805" t="str">
        <f>E66</f>
        <v>systems</v>
      </c>
      <c r="F86" s="1805">
        <f t="shared" ref="F86:M86" si="7">F66</f>
        <v>0</v>
      </c>
      <c r="G86" s="1805" t="str">
        <f t="shared" si="7"/>
        <v>management</v>
      </c>
      <c r="H86" s="1805">
        <f t="shared" si="7"/>
        <v>0</v>
      </c>
      <c r="I86" s="1805" t="str">
        <f t="shared" si="7"/>
        <v xml:space="preserve"> organic material</v>
      </c>
      <c r="J86" s="1805">
        <f t="shared" si="7"/>
        <v>0</v>
      </c>
      <c r="K86" s="1805" t="str">
        <f t="shared" si="7"/>
        <v xml:space="preserve">Biomass burning </v>
      </c>
      <c r="L86" s="1805">
        <f t="shared" si="7"/>
        <v>0</v>
      </c>
      <c r="M86" s="1805" t="str">
        <f t="shared" si="7"/>
        <v>(t/ha/yr)</v>
      </c>
      <c r="N86" s="1877"/>
      <c r="O86" s="1805"/>
      <c r="P86" s="1877"/>
      <c r="Q86" s="1812" t="str">
        <f>Q66</f>
        <v>Start</v>
      </c>
      <c r="R86" s="1812" t="str">
        <f>R66</f>
        <v>Without</v>
      </c>
      <c r="S86" s="1812" t="str">
        <f>S66</f>
        <v>*</v>
      </c>
      <c r="T86" s="1812" t="str">
        <f>T66</f>
        <v>With</v>
      </c>
      <c r="U86" s="1812" t="str">
        <f>U66</f>
        <v>*</v>
      </c>
      <c r="V86" s="1781"/>
      <c r="W86" s="1805"/>
      <c r="X86" s="1780"/>
      <c r="Y86" s="1890"/>
      <c r="Z86" s="1805"/>
      <c r="AP86" s="1807"/>
      <c r="AQ86" s="1807"/>
      <c r="AR86" s="1807"/>
      <c r="AS86" s="1807"/>
      <c r="AT86" s="1807"/>
      <c r="AU86" s="1807"/>
      <c r="AV86" s="1807"/>
      <c r="AW86" s="1807"/>
      <c r="AX86" s="1807"/>
      <c r="AY86" s="1807"/>
      <c r="AZ86" s="1807"/>
      <c r="BA86" s="1807"/>
      <c r="BB86" s="1807"/>
      <c r="BC86" s="1807"/>
      <c r="BD86" s="1807"/>
      <c r="BE86" s="1807"/>
      <c r="BF86" s="1807"/>
      <c r="BG86" s="1807"/>
      <c r="BH86" s="1817"/>
      <c r="BI86" s="1807"/>
      <c r="BJ86" s="1807"/>
      <c r="BK86" s="1807"/>
      <c r="BL86" s="1807"/>
      <c r="BM86" s="1807"/>
      <c r="BO86" s="4385"/>
      <c r="BP86" s="4385"/>
      <c r="BQ86" s="4385"/>
    </row>
    <row r="87" spans="2:69" ht="15" customHeight="1" x14ac:dyDescent="0.2">
      <c r="B87" s="1781"/>
      <c r="C87" s="4102"/>
      <c r="D87" s="1781"/>
      <c r="E87" s="2129" t="s">
        <v>1407</v>
      </c>
      <c r="F87" s="1781"/>
      <c r="G87" s="2129" t="s">
        <v>1387</v>
      </c>
      <c r="H87" s="1781"/>
      <c r="I87" s="4096" t="s">
        <v>1399</v>
      </c>
      <c r="J87" s="1877"/>
      <c r="K87" s="2131" t="s">
        <v>85</v>
      </c>
      <c r="L87" s="1781"/>
      <c r="M87" s="4097">
        <v>12</v>
      </c>
      <c r="N87" s="1781"/>
      <c r="O87" s="1805"/>
      <c r="P87" s="1781"/>
      <c r="Q87" s="4087">
        <v>88</v>
      </c>
      <c r="R87" s="2128">
        <v>0</v>
      </c>
      <c r="S87" s="2104" t="s">
        <v>86</v>
      </c>
      <c r="T87" s="2128">
        <v>0</v>
      </c>
      <c r="U87" s="2104" t="s">
        <v>86</v>
      </c>
      <c r="V87" s="1781"/>
      <c r="W87" s="1815">
        <f>perennial!P59</f>
        <v>-915.21173333333331</v>
      </c>
      <c r="X87" s="1815">
        <f>perennial!Q59</f>
        <v>-915.21173333333331</v>
      </c>
      <c r="Y87" s="1839"/>
      <c r="Z87" s="1812">
        <f>perennial!R59</f>
        <v>0</v>
      </c>
      <c r="AP87" s="1800" t="str">
        <f t="shared" ref="AP87:AP94" si="8">$E87</f>
        <v>Hedgerow</v>
      </c>
      <c r="AQ87" s="1798"/>
      <c r="AR87" s="1798"/>
      <c r="AS87" s="1817">
        <f>(IF('3.Cropland'!$E87&lt;&gt;"Please select", INDEX(IPCC!$E$107:$T$298,MATCH(clim_moist_cont,IPCC!$C$107:$C$298,0),MATCH('3.Cropland'!$E87,IPCC!$E$105:$T$105,0)), 0))</f>
        <v>0.87</v>
      </c>
      <c r="AT87" s="2121"/>
      <c r="AU87" s="1817">
        <f>(IF('3.Cropland'!$E87&lt;&gt;"Please select",INDEX(IPCC!$E$310:$T$501,MATCH(clim_moist_cont,IPCC!$C$310:$C$501,0),MATCH('3.Cropland'!$E87,IPCC!$E$308:$T$308,0)),0))</f>
        <v>0.23</v>
      </c>
      <c r="AV87" s="2121"/>
      <c r="AW87" s="1817">
        <f>perennial!L28*12/44</f>
        <v>26.1</v>
      </c>
      <c r="AX87" s="2121"/>
      <c r="AY87" s="1817">
        <f t="shared" si="4"/>
        <v>24</v>
      </c>
      <c r="AZ87" s="2121"/>
      <c r="BA87" s="1893"/>
      <c r="BB87" s="1817">
        <f>_xlfn.IFNA(IF($E87&lt;&gt;"Please select", VLOOKUP(clim_moist, IPCC!$A$57:$D$68, 4, FALSE),0),)</f>
        <v>0.72</v>
      </c>
      <c r="BC87" s="2121"/>
      <c r="BD87" s="1817">
        <f>_xlfn.IFNA(INDEX( IPCC!$F$58:$H$68,MATCH(clim_moist, IPCC!$A$58:$A$68,0),MATCH($G87, IPCC!$F$58:$H$58,0)),)</f>
        <v>1</v>
      </c>
      <c r="BE87" s="2121"/>
      <c r="BF87" s="1817">
        <f>_xlfn.IFNA(INDEX( IPCC!$I$58:$L$68,MATCH(clim_moist, IPCC!$A$58:$A$68,0),MATCH($I87, IPCC!$I$58:$L$58,0)),)</f>
        <v>1.04</v>
      </c>
      <c r="BG87" s="2121"/>
      <c r="BH87" s="1817">
        <f t="shared" si="5"/>
        <v>0.92553191489361708</v>
      </c>
      <c r="BI87" s="4105"/>
      <c r="BJ87" s="1795">
        <v>1</v>
      </c>
      <c r="BK87" s="4105"/>
      <c r="BL87" s="1784"/>
      <c r="BM87" s="1784"/>
      <c r="BO87" s="4363">
        <v>1</v>
      </c>
      <c r="BP87" s="4364"/>
      <c r="BQ87" s="1996"/>
    </row>
    <row r="88" spans="2:69" ht="15" customHeight="1" x14ac:dyDescent="0.2">
      <c r="B88" s="1781"/>
      <c r="C88" s="4102"/>
      <c r="D88" s="1781"/>
      <c r="E88" s="2129" t="s">
        <v>1424</v>
      </c>
      <c r="F88" s="1781"/>
      <c r="G88" s="2129" t="s">
        <v>1393</v>
      </c>
      <c r="H88" s="1781"/>
      <c r="I88" s="4096" t="s">
        <v>1402</v>
      </c>
      <c r="J88" s="1877"/>
      <c r="K88" s="2131" t="s">
        <v>85</v>
      </c>
      <c r="L88" s="1781"/>
      <c r="M88" s="4097">
        <v>13</v>
      </c>
      <c r="N88" s="1781"/>
      <c r="O88" s="1805"/>
      <c r="P88" s="1781"/>
      <c r="Q88" s="4087">
        <v>0</v>
      </c>
      <c r="R88" s="2128">
        <v>88</v>
      </c>
      <c r="S88" s="2104" t="s">
        <v>86</v>
      </c>
      <c r="T88" s="2128">
        <v>0</v>
      </c>
      <c r="U88" s="2104" t="s">
        <v>86</v>
      </c>
      <c r="V88" s="1904"/>
      <c r="W88" s="1815">
        <f>perennial!P60</f>
        <v>-3903.6342400000003</v>
      </c>
      <c r="X88" s="1815">
        <f>perennial!Q60</f>
        <v>0</v>
      </c>
      <c r="Y88" s="1839"/>
      <c r="Z88" s="1812">
        <f>perennial!R60</f>
        <v>3903.6342400000003</v>
      </c>
      <c r="AP88" s="1800" t="str">
        <f t="shared" si="8"/>
        <v>Silvoarable</v>
      </c>
      <c r="AQ88" s="1798"/>
      <c r="AR88" s="1798"/>
      <c r="AS88" s="1817">
        <f>(IF('3.Cropland'!$E88&lt;&gt;"Please select", INDEX(IPCC!$E$107:$T$298,MATCH(clim_moist_cont,IPCC!$C$107:$C$298,0),MATCH('3.Cropland'!$E88,IPCC!$E$105:$T$105,0)), 0))</f>
        <v>0.52</v>
      </c>
      <c r="AT88" s="2121"/>
      <c r="AU88" s="1817">
        <f>(IF('3.Cropland'!$E88&lt;&gt;"Please select",INDEX(IPCC!$E$310:$T$501,MATCH(clim_moist_cont,IPCC!$C$310:$C$501,0),MATCH('3.Cropland'!$E88,IPCC!$E$308:$T$308,0)),0))</f>
        <v>0.14000000000000001</v>
      </c>
      <c r="AV88" s="2121"/>
      <c r="AW88" s="1817">
        <f>perennial!L29*12/44</f>
        <v>27.3</v>
      </c>
      <c r="AX88" s="2121"/>
      <c r="AY88" s="1817">
        <f t="shared" si="4"/>
        <v>24</v>
      </c>
      <c r="AZ88" s="2121"/>
      <c r="BA88" s="1893"/>
      <c r="BB88" s="1817">
        <f>_xlfn.IFNA(IF($E88&lt;&gt;"Please select", VLOOKUP(clim_moist, IPCC!$A$57:$D$68, 4, FALSE),0),)</f>
        <v>0.72</v>
      </c>
      <c r="BC88" s="2121"/>
      <c r="BD88" s="1817">
        <f>_xlfn.IFNA(INDEX( IPCC!$F$58:$H$68,MATCH(clim_moist, IPCC!$A$58:$A$68,0),MATCH($G88, IPCC!$F$58:$H$58,0)),)</f>
        <v>0.99</v>
      </c>
      <c r="BE88" s="2121"/>
      <c r="BF88" s="1817">
        <f>_xlfn.IFNA(INDEX( IPCC!$I$58:$L$68,MATCH(clim_moist, IPCC!$A$58:$A$68,0),MATCH($I88, IPCC!$I$58:$L$58,0)),)</f>
        <v>1.37</v>
      </c>
      <c r="BG88" s="2121"/>
      <c r="BH88" s="1817">
        <f t="shared" si="5"/>
        <v>0.55319148936170215</v>
      </c>
      <c r="BI88" s="4105"/>
      <c r="BJ88" s="1795">
        <v>1</v>
      </c>
      <c r="BK88" s="4105"/>
      <c r="BL88" s="1784"/>
      <c r="BM88" s="1784"/>
      <c r="BO88" s="4363">
        <v>1</v>
      </c>
      <c r="BP88" s="4364"/>
      <c r="BQ88" s="1996"/>
    </row>
    <row r="89" spans="2:69" ht="15" customHeight="1" x14ac:dyDescent="0.2">
      <c r="B89" s="1781"/>
      <c r="C89" s="4102"/>
      <c r="D89" s="1781"/>
      <c r="E89" s="2129" t="s">
        <v>1407</v>
      </c>
      <c r="F89" s="1781"/>
      <c r="G89" s="2129" t="s">
        <v>1398</v>
      </c>
      <c r="H89" s="1781"/>
      <c r="I89" s="4096" t="s">
        <v>1394</v>
      </c>
      <c r="J89" s="1877"/>
      <c r="K89" s="2131" t="s">
        <v>85</v>
      </c>
      <c r="L89" s="1781"/>
      <c r="M89" s="4097">
        <v>14</v>
      </c>
      <c r="N89" s="1781"/>
      <c r="O89" s="1805"/>
      <c r="P89" s="1781"/>
      <c r="Q89" s="4087">
        <v>0</v>
      </c>
      <c r="R89" s="2128">
        <v>0</v>
      </c>
      <c r="S89" s="2104" t="s">
        <v>86</v>
      </c>
      <c r="T89" s="2128">
        <v>88</v>
      </c>
      <c r="U89" s="2104" t="s">
        <v>86</v>
      </c>
      <c r="V89" s="1904"/>
      <c r="W89" s="1815">
        <f>perennial!P61</f>
        <v>0</v>
      </c>
      <c r="X89" s="1815">
        <f>perennial!Q61</f>
        <v>-4576.0586666666677</v>
      </c>
      <c r="Y89" s="1839"/>
      <c r="Z89" s="1812">
        <f>perennial!R61</f>
        <v>-4576.0586666666677</v>
      </c>
      <c r="AP89" s="1800" t="str">
        <f t="shared" si="8"/>
        <v>Hedgerow</v>
      </c>
      <c r="AQ89" s="1798"/>
      <c r="AR89" s="1798"/>
      <c r="AS89" s="1817">
        <f>(IF('3.Cropland'!$E89&lt;&gt;"Please select", INDEX(IPCC!$E$107:$T$298,MATCH(clim_moist_cont,IPCC!$C$107:$C$298,0),MATCH('3.Cropland'!$E89,IPCC!$E$105:$T$105,0)), 0))</f>
        <v>0.87</v>
      </c>
      <c r="AT89" s="2121"/>
      <c r="AU89" s="1817">
        <f>(IF('3.Cropland'!$E89&lt;&gt;"Please select",INDEX(IPCC!$E$310:$T$501,MATCH(clim_moist_cont,IPCC!$C$310:$C$501,0),MATCH('3.Cropland'!$E89,IPCC!$E$308:$T$308,0)),0))</f>
        <v>0.23</v>
      </c>
      <c r="AV89" s="2121"/>
      <c r="AW89" s="1817">
        <f>perennial!L30*12/44</f>
        <v>26.1</v>
      </c>
      <c r="AX89" s="2121"/>
      <c r="AY89" s="1817">
        <f t="shared" si="4"/>
        <v>24</v>
      </c>
      <c r="AZ89" s="2121"/>
      <c r="BA89" s="1893"/>
      <c r="BB89" s="1817">
        <f>_xlfn.IFNA(IF($E89&lt;&gt;"Please select", VLOOKUP(clim_moist, IPCC!$A$57:$D$68, 4, FALSE),0),)</f>
        <v>0.72</v>
      </c>
      <c r="BC89" s="2121"/>
      <c r="BD89" s="1817">
        <f>_xlfn.IFNA(INDEX( IPCC!$F$58:$H$68,MATCH(clim_moist, IPCC!$A$58:$A$68,0),MATCH($G89, IPCC!$F$58:$H$58,0)),)</f>
        <v>1.04</v>
      </c>
      <c r="BE89" s="2121"/>
      <c r="BF89" s="1817">
        <f>_xlfn.IFNA(INDEX( IPCC!$I$58:$L$68,MATCH(clim_moist, IPCC!$A$58:$A$68,0),MATCH($I89, IPCC!$I$58:$L$58,0)),)</f>
        <v>1</v>
      </c>
      <c r="BG89" s="2121"/>
      <c r="BH89" s="1817">
        <f t="shared" si="5"/>
        <v>0.92553191489361708</v>
      </c>
      <c r="BI89" s="4105"/>
      <c r="BJ89" s="1795">
        <v>1</v>
      </c>
      <c r="BK89" s="4105"/>
      <c r="BL89" s="1784"/>
      <c r="BM89" s="1784"/>
      <c r="BO89" s="4363">
        <v>1</v>
      </c>
      <c r="BP89" s="4364"/>
      <c r="BQ89" s="1996"/>
    </row>
    <row r="90" spans="2:69" ht="15" customHeight="1" x14ac:dyDescent="0.2">
      <c r="B90" s="1781"/>
      <c r="C90" s="4102"/>
      <c r="D90" s="1781"/>
      <c r="E90" s="2129" t="s">
        <v>57</v>
      </c>
      <c r="F90" s="1781"/>
      <c r="G90" s="2129" t="s">
        <v>57</v>
      </c>
      <c r="H90" s="1781"/>
      <c r="I90" s="4096" t="s">
        <v>57</v>
      </c>
      <c r="J90" s="1877"/>
      <c r="K90" s="2131" t="s">
        <v>85</v>
      </c>
      <c r="L90" s="1781"/>
      <c r="M90" s="4097"/>
      <c r="N90" s="1781"/>
      <c r="O90" s="1805"/>
      <c r="P90" s="1781"/>
      <c r="Q90" s="4087">
        <v>0</v>
      </c>
      <c r="R90" s="2128">
        <v>0</v>
      </c>
      <c r="S90" s="2104" t="s">
        <v>86</v>
      </c>
      <c r="T90" s="2128">
        <v>0</v>
      </c>
      <c r="U90" s="2104" t="s">
        <v>86</v>
      </c>
      <c r="V90" s="1904"/>
      <c r="W90" s="1815">
        <f>perennial!P62</f>
        <v>0</v>
      </c>
      <c r="X90" s="1815">
        <f>perennial!Q62</f>
        <v>0</v>
      </c>
      <c r="Y90" s="1839"/>
      <c r="Z90" s="1812">
        <f>perennial!R62</f>
        <v>0</v>
      </c>
      <c r="AP90" s="1800" t="str">
        <f t="shared" si="8"/>
        <v>Please select</v>
      </c>
      <c r="AQ90" s="1798"/>
      <c r="AR90" s="1798"/>
      <c r="AS90" s="1817">
        <f>(IF('3.Cropland'!$E90&lt;&gt;"Please select", INDEX(IPCC!$E$107:$T$298,MATCH(clim_moist_cont,IPCC!$C$107:$C$298,0),MATCH('3.Cropland'!$E90,IPCC!$E$105:$T$105,0)), 0))</f>
        <v>0</v>
      </c>
      <c r="AT90" s="2121"/>
      <c r="AU90" s="1817">
        <f>(IF('3.Cropland'!$E90&lt;&gt;"Please select",INDEX(IPCC!$E$310:$T$501,MATCH(clim_moist_cont,IPCC!$C$310:$C$501,0),MATCH('3.Cropland'!$E90,IPCC!$E$308:$T$308,0)),0))</f>
        <v>0</v>
      </c>
      <c r="AV90" s="2121"/>
      <c r="AW90" s="1817">
        <f>perennial!L31*12/44</f>
        <v>0</v>
      </c>
      <c r="AX90" s="2121"/>
      <c r="AY90" s="1817">
        <f t="shared" si="4"/>
        <v>0</v>
      </c>
      <c r="AZ90" s="2121"/>
      <c r="BA90" s="1893"/>
      <c r="BB90" s="1817">
        <f>_xlfn.IFNA(IF($E90&lt;&gt;"Please select", VLOOKUP(clim_moist, IPCC!$A$57:$D$68, 4, FALSE),0),)</f>
        <v>0</v>
      </c>
      <c r="BC90" s="2121"/>
      <c r="BD90" s="1817">
        <f>_xlfn.IFNA(INDEX( IPCC!$F$58:$H$68,MATCH(clim_moist, IPCC!$A$58:$A$68,0),MATCH($G90, IPCC!$F$58:$H$58,0)),)</f>
        <v>0</v>
      </c>
      <c r="BE90" s="2121"/>
      <c r="BF90" s="1817">
        <f>_xlfn.IFNA(INDEX( IPCC!$I$58:$L$68,MATCH(clim_moist, IPCC!$A$58:$A$68,0),MATCH($I90, IPCC!$I$58:$L$58,0)),)</f>
        <v>0</v>
      </c>
      <c r="BG90" s="2121"/>
      <c r="BH90" s="1817">
        <f t="shared" si="5"/>
        <v>0</v>
      </c>
      <c r="BI90" s="4105"/>
      <c r="BJ90" s="1795">
        <v>1</v>
      </c>
      <c r="BK90" s="4105"/>
      <c r="BL90" s="1784"/>
      <c r="BM90" s="1784"/>
      <c r="BO90" s="4363">
        <v>1</v>
      </c>
      <c r="BP90" s="4364"/>
      <c r="BQ90" s="1996"/>
    </row>
    <row r="91" spans="2:69" ht="15" customHeight="1" x14ac:dyDescent="0.2">
      <c r="B91" s="1781"/>
      <c r="C91" s="4102"/>
      <c r="D91" s="1781"/>
      <c r="E91" s="2129" t="s">
        <v>57</v>
      </c>
      <c r="F91" s="1781"/>
      <c r="G91" s="2129" t="s">
        <v>57</v>
      </c>
      <c r="H91" s="1781"/>
      <c r="I91" s="4096" t="s">
        <v>57</v>
      </c>
      <c r="J91" s="1877"/>
      <c r="K91" s="2131" t="s">
        <v>85</v>
      </c>
      <c r="L91" s="1781"/>
      <c r="M91" s="4097"/>
      <c r="N91" s="1781"/>
      <c r="O91" s="1805"/>
      <c r="P91" s="1781"/>
      <c r="Q91" s="4087">
        <v>0</v>
      </c>
      <c r="R91" s="2128">
        <v>0</v>
      </c>
      <c r="S91" s="2104" t="s">
        <v>86</v>
      </c>
      <c r="T91" s="2128">
        <v>0</v>
      </c>
      <c r="U91" s="2104" t="s">
        <v>86</v>
      </c>
      <c r="V91" s="1904"/>
      <c r="W91" s="1815">
        <f>perennial!P63</f>
        <v>0</v>
      </c>
      <c r="X91" s="1815">
        <f>perennial!Q63</f>
        <v>0</v>
      </c>
      <c r="Y91" s="1839"/>
      <c r="Z91" s="1812">
        <f>perennial!R63</f>
        <v>0</v>
      </c>
      <c r="AP91" s="1800" t="str">
        <f t="shared" si="8"/>
        <v>Please select</v>
      </c>
      <c r="AQ91" s="1798"/>
      <c r="AR91" s="1798"/>
      <c r="AS91" s="1817">
        <f>(IF('3.Cropland'!$E91&lt;&gt;"Please select", INDEX(IPCC!$E$107:$T$298,MATCH(clim_moist_cont,IPCC!$C$107:$C$298,0),MATCH('3.Cropland'!$E91,IPCC!$E$105:$T$105,0)), 0))</f>
        <v>0</v>
      </c>
      <c r="AT91" s="2121"/>
      <c r="AU91" s="1817">
        <f>(IF('3.Cropland'!$E91&lt;&gt;"Please select",INDEX(IPCC!$E$310:$T$501,MATCH(clim_moist_cont,IPCC!$C$310:$C$501,0),MATCH('3.Cropland'!$E91,IPCC!$E$308:$T$308,0)),0))</f>
        <v>0</v>
      </c>
      <c r="AV91" s="2121"/>
      <c r="AW91" s="1817">
        <f>perennial!L32*12/44</f>
        <v>0</v>
      </c>
      <c r="AX91" s="2121"/>
      <c r="AY91" s="1817">
        <f t="shared" si="4"/>
        <v>0</v>
      </c>
      <c r="AZ91" s="2121"/>
      <c r="BA91" s="1893"/>
      <c r="BB91" s="1817">
        <f>_xlfn.IFNA(IF($E91&lt;&gt;"Please select", VLOOKUP(clim_moist, IPCC!$A$57:$D$68, 4, FALSE),0),)</f>
        <v>0</v>
      </c>
      <c r="BC91" s="2121"/>
      <c r="BD91" s="1817">
        <f>_xlfn.IFNA(INDEX( IPCC!$F$58:$H$68,MATCH(clim_moist, IPCC!$A$58:$A$68,0),MATCH($G91, IPCC!$F$58:$H$58,0)),)</f>
        <v>0</v>
      </c>
      <c r="BE91" s="2121"/>
      <c r="BF91" s="1817">
        <f>_xlfn.IFNA(INDEX( IPCC!$I$58:$L$68,MATCH(clim_moist, IPCC!$A$58:$A$68,0),MATCH($I91, IPCC!$I$58:$L$58,0)),)</f>
        <v>0</v>
      </c>
      <c r="BG91" s="2121"/>
      <c r="BH91" s="1817">
        <f>IF(AT91="", AS91*50/100/0.47, AT91*50/100/0.47)</f>
        <v>0</v>
      </c>
      <c r="BI91" s="4105"/>
      <c r="BJ91" s="1795">
        <v>1</v>
      </c>
      <c r="BK91" s="4105"/>
      <c r="BL91" s="1784"/>
      <c r="BM91" s="1784"/>
      <c r="BO91" s="4363">
        <v>1</v>
      </c>
      <c r="BP91" s="4364"/>
      <c r="BQ91" s="1996"/>
    </row>
    <row r="92" spans="2:69" ht="15" customHeight="1" x14ac:dyDescent="0.2">
      <c r="B92" s="1781"/>
      <c r="C92" s="4102"/>
      <c r="D92" s="1781"/>
      <c r="E92" s="2129" t="s">
        <v>57</v>
      </c>
      <c r="F92" s="1781"/>
      <c r="G92" s="2129" t="s">
        <v>57</v>
      </c>
      <c r="H92" s="1781"/>
      <c r="I92" s="4096" t="s">
        <v>57</v>
      </c>
      <c r="J92" s="1877"/>
      <c r="K92" s="2131" t="s">
        <v>85</v>
      </c>
      <c r="L92" s="1781"/>
      <c r="M92" s="4097"/>
      <c r="N92" s="1781"/>
      <c r="O92" s="1805"/>
      <c r="P92" s="1781"/>
      <c r="Q92" s="4087">
        <v>0</v>
      </c>
      <c r="R92" s="2128">
        <v>0</v>
      </c>
      <c r="S92" s="2104" t="s">
        <v>86</v>
      </c>
      <c r="T92" s="2128">
        <v>0</v>
      </c>
      <c r="U92" s="2104" t="s">
        <v>86</v>
      </c>
      <c r="V92" s="1904"/>
      <c r="W92" s="1815">
        <f>perennial!P64</f>
        <v>0</v>
      </c>
      <c r="X92" s="1815">
        <f>perennial!Q64</f>
        <v>0</v>
      </c>
      <c r="Y92" s="1839"/>
      <c r="Z92" s="1812">
        <f>perennial!R64</f>
        <v>0</v>
      </c>
      <c r="AP92" s="1800" t="str">
        <f t="shared" si="8"/>
        <v>Please select</v>
      </c>
      <c r="AQ92" s="1798"/>
      <c r="AR92" s="1798"/>
      <c r="AS92" s="1817">
        <f>(IF('3.Cropland'!$E92&lt;&gt;"Please select", INDEX(IPCC!$E$107:$T$298,MATCH(clim_moist_cont,IPCC!$C$107:$C$298,0),MATCH('3.Cropland'!$E92,IPCC!$E$105:$T$105,0)), 0))</f>
        <v>0</v>
      </c>
      <c r="AT92" s="2121"/>
      <c r="AU92" s="1817">
        <f>(IF('3.Cropland'!$E92&lt;&gt;"Please select",INDEX(IPCC!$E$310:$T$501,MATCH(clim_moist_cont,IPCC!$C$310:$C$501,0),MATCH('3.Cropland'!$E92,IPCC!$E$308:$T$308,0)),0))</f>
        <v>0</v>
      </c>
      <c r="AV92" s="2121"/>
      <c r="AW92" s="1817">
        <f>perennial!L33*12/44</f>
        <v>0</v>
      </c>
      <c r="AX92" s="2121"/>
      <c r="AY92" s="1817">
        <f t="shared" si="4"/>
        <v>0</v>
      </c>
      <c r="AZ92" s="2121"/>
      <c r="BA92" s="1893"/>
      <c r="BB92" s="1817">
        <f>_xlfn.IFNA(IF($E92&lt;&gt;"Please select", VLOOKUP(clim_moist, IPCC!$A$57:$D$68, 4, FALSE),0),)</f>
        <v>0</v>
      </c>
      <c r="BC92" s="2121"/>
      <c r="BD92" s="1817">
        <f>_xlfn.IFNA(INDEX( IPCC!$F$58:$H$68,MATCH(clim_moist, IPCC!$A$58:$A$68,0),MATCH($G92, IPCC!$F$58:$H$58,0)),)</f>
        <v>0</v>
      </c>
      <c r="BE92" s="2121"/>
      <c r="BF92" s="1817">
        <f>_xlfn.IFNA(INDEX( IPCC!$I$58:$L$68,MATCH(clim_moist, IPCC!$A$58:$A$68,0),MATCH($I92, IPCC!$I$58:$L$58,0)),)</f>
        <v>0</v>
      </c>
      <c r="BG92" s="2121"/>
      <c r="BH92" s="1817">
        <f t="shared" si="5"/>
        <v>0</v>
      </c>
      <c r="BI92" s="4105"/>
      <c r="BJ92" s="1795">
        <v>1</v>
      </c>
      <c r="BK92" s="4105"/>
      <c r="BL92" s="1784"/>
      <c r="BM92" s="1784"/>
      <c r="BO92" s="4363">
        <v>1</v>
      </c>
      <c r="BP92" s="4364"/>
      <c r="BQ92" s="1996"/>
    </row>
    <row r="93" spans="2:69" ht="15" customHeight="1" x14ac:dyDescent="0.2">
      <c r="B93" s="1781"/>
      <c r="C93" s="4102"/>
      <c r="D93" s="1781"/>
      <c r="E93" s="2129" t="s">
        <v>57</v>
      </c>
      <c r="F93" s="1781"/>
      <c r="G93" s="2129" t="s">
        <v>57</v>
      </c>
      <c r="H93" s="1781"/>
      <c r="I93" s="4096" t="s">
        <v>57</v>
      </c>
      <c r="J93" s="1877"/>
      <c r="K93" s="2131" t="s">
        <v>85</v>
      </c>
      <c r="L93" s="1781"/>
      <c r="M93" s="4097"/>
      <c r="N93" s="1781"/>
      <c r="O93" s="1805"/>
      <c r="P93" s="1781"/>
      <c r="Q93" s="4087">
        <v>0</v>
      </c>
      <c r="R93" s="2128">
        <v>0</v>
      </c>
      <c r="S93" s="2104" t="s">
        <v>86</v>
      </c>
      <c r="T93" s="2128">
        <v>0</v>
      </c>
      <c r="U93" s="2104" t="s">
        <v>86</v>
      </c>
      <c r="V93" s="1904"/>
      <c r="W93" s="1815">
        <f>perennial!P65</f>
        <v>0</v>
      </c>
      <c r="X93" s="1815">
        <f>perennial!Q65</f>
        <v>0</v>
      </c>
      <c r="Y93" s="1839"/>
      <c r="Z93" s="1812">
        <f>perennial!R65</f>
        <v>0</v>
      </c>
      <c r="AP93" s="1800" t="str">
        <f t="shared" si="8"/>
        <v>Please select</v>
      </c>
      <c r="AQ93" s="1798"/>
      <c r="AR93" s="1798"/>
      <c r="AS93" s="1817">
        <f>(IF('3.Cropland'!$E93&lt;&gt;"Please select", INDEX(IPCC!$E$107:$T$298,MATCH(clim_moist_cont,IPCC!$C$107:$C$298,0),MATCH('3.Cropland'!$E93,IPCC!$E$105:$T$105,0)), 0))</f>
        <v>0</v>
      </c>
      <c r="AT93" s="2121"/>
      <c r="AU93" s="1817">
        <f>(IF('3.Cropland'!$E93&lt;&gt;"Please select",INDEX(IPCC!$E$310:$T$501,MATCH(clim_moist_cont,IPCC!$C$310:$C$501,0),MATCH('3.Cropland'!$E93,IPCC!$E$308:$T$308,0)),0))</f>
        <v>0</v>
      </c>
      <c r="AV93" s="2121"/>
      <c r="AW93" s="1817">
        <f>perennial!L34*12/44</f>
        <v>0</v>
      </c>
      <c r="AX93" s="2121"/>
      <c r="AY93" s="1817">
        <f t="shared" si="4"/>
        <v>0</v>
      </c>
      <c r="AZ93" s="2121"/>
      <c r="BA93" s="1893"/>
      <c r="BB93" s="1817">
        <f>_xlfn.IFNA(IF($E93&lt;&gt;"Please select", VLOOKUP(clim_moist, IPCC!$A$57:$D$68, 4, FALSE),0),)</f>
        <v>0</v>
      </c>
      <c r="BC93" s="2121"/>
      <c r="BD93" s="1817">
        <f>_xlfn.IFNA(INDEX( IPCC!$F$58:$H$68,MATCH(clim_moist, IPCC!$A$58:$A$68,0),MATCH($G93, IPCC!$F$58:$H$58,0)),)</f>
        <v>0</v>
      </c>
      <c r="BE93" s="2121"/>
      <c r="BF93" s="1817">
        <f>_xlfn.IFNA(INDEX( IPCC!$I$58:$L$68,MATCH(clim_moist, IPCC!$A$58:$A$68,0),MATCH($I93, IPCC!$I$58:$L$58,0)),)</f>
        <v>0</v>
      </c>
      <c r="BG93" s="2121"/>
      <c r="BH93" s="1817">
        <f t="shared" si="5"/>
        <v>0</v>
      </c>
      <c r="BI93" s="4105"/>
      <c r="BJ93" s="1795">
        <v>1</v>
      </c>
      <c r="BK93" s="4105"/>
      <c r="BL93" s="1784"/>
      <c r="BM93" s="1784"/>
      <c r="BO93" s="4363">
        <v>1</v>
      </c>
      <c r="BP93" s="4364"/>
      <c r="BQ93" s="1996"/>
    </row>
    <row r="94" spans="2:69" ht="15" customHeight="1" x14ac:dyDescent="0.2">
      <c r="B94" s="1781"/>
      <c r="C94" s="4102"/>
      <c r="D94" s="1781"/>
      <c r="E94" s="2129" t="s">
        <v>57</v>
      </c>
      <c r="F94" s="1781"/>
      <c r="G94" s="2129" t="s">
        <v>57</v>
      </c>
      <c r="H94" s="1781"/>
      <c r="I94" s="4096" t="s">
        <v>57</v>
      </c>
      <c r="J94" s="1877"/>
      <c r="K94" s="2131" t="s">
        <v>85</v>
      </c>
      <c r="L94" s="1781"/>
      <c r="M94" s="4097"/>
      <c r="N94" s="1781"/>
      <c r="O94" s="1805"/>
      <c r="P94" s="1781"/>
      <c r="Q94" s="4087">
        <v>0</v>
      </c>
      <c r="R94" s="2128">
        <v>0</v>
      </c>
      <c r="S94" s="2104" t="s">
        <v>86</v>
      </c>
      <c r="T94" s="2128">
        <v>0</v>
      </c>
      <c r="U94" s="2104" t="s">
        <v>86</v>
      </c>
      <c r="V94" s="1904"/>
      <c r="W94" s="1815">
        <f>perennial!P66</f>
        <v>0</v>
      </c>
      <c r="X94" s="1815">
        <f>perennial!Q66</f>
        <v>0</v>
      </c>
      <c r="Y94" s="1839"/>
      <c r="Z94" s="1812">
        <f>perennial!R66</f>
        <v>0</v>
      </c>
      <c r="AP94" s="1800" t="str">
        <f t="shared" si="8"/>
        <v>Please select</v>
      </c>
      <c r="AQ94" s="1798"/>
      <c r="AR94" s="1798"/>
      <c r="AS94" s="1817">
        <f>(IF('3.Cropland'!$E94&lt;&gt;"Please select", INDEX(IPCC!$E$107:$T$298,MATCH(clim_moist_cont,IPCC!$C$107:$C$298,0),MATCH('3.Cropland'!$E94,IPCC!$E$105:$T$105,0)), 0))</f>
        <v>0</v>
      </c>
      <c r="AT94" s="2121"/>
      <c r="AU94" s="1817">
        <f>(IF('3.Cropland'!$E94&lt;&gt;"Please select",INDEX(IPCC!$E$310:$T$501,MATCH(clim_moist_cont,IPCC!$C$310:$C$501,0),MATCH('3.Cropland'!$E94,IPCC!$E$308:$T$308,0)),0))</f>
        <v>0</v>
      </c>
      <c r="AV94" s="2121"/>
      <c r="AW94" s="1817">
        <f>perennial!L35*12/44</f>
        <v>0</v>
      </c>
      <c r="AX94" s="2121"/>
      <c r="AY94" s="1817">
        <f t="shared" si="4"/>
        <v>0</v>
      </c>
      <c r="AZ94" s="2121"/>
      <c r="BA94" s="1893"/>
      <c r="BB94" s="1817">
        <f>_xlfn.IFNA(IF($E94&lt;&gt;"Please select", VLOOKUP(clim_moist, IPCC!$A$57:$D$68, 4, FALSE),0),)</f>
        <v>0</v>
      </c>
      <c r="BC94" s="2121"/>
      <c r="BD94" s="1817">
        <f>_xlfn.IFNA(INDEX( IPCC!$F$58:$H$68,MATCH(clim_moist, IPCC!$A$58:$A$68,0),MATCH($G94, IPCC!$F$58:$H$58,0)),)</f>
        <v>0</v>
      </c>
      <c r="BE94" s="2121"/>
      <c r="BF94" s="1817">
        <f>_xlfn.IFNA(INDEX( IPCC!$I$58:$L$68,MATCH(clim_moist, IPCC!$A$58:$A$68,0),MATCH($I94, IPCC!$I$58:$L$58,0)),)</f>
        <v>0</v>
      </c>
      <c r="BG94" s="2121"/>
      <c r="BH94" s="1817">
        <f t="shared" si="5"/>
        <v>0</v>
      </c>
      <c r="BI94" s="4105"/>
      <c r="BJ94" s="1795">
        <v>1</v>
      </c>
      <c r="BK94" s="4105"/>
      <c r="BL94" s="1784"/>
      <c r="BM94" s="1784"/>
      <c r="BO94" s="4363">
        <v>1</v>
      </c>
      <c r="BP94" s="4364"/>
      <c r="BQ94" s="1996"/>
    </row>
    <row r="95" spans="2:69" ht="15" customHeight="1" x14ac:dyDescent="0.2">
      <c r="B95" s="1781"/>
      <c r="C95" s="1814"/>
      <c r="D95" s="1814"/>
      <c r="E95" s="1814"/>
      <c r="F95" s="1814"/>
      <c r="G95" s="1814"/>
      <c r="H95" s="1814"/>
      <c r="I95" s="1814"/>
      <c r="J95" s="1814"/>
      <c r="K95" s="1905"/>
      <c r="L95" s="1781"/>
      <c r="M95" s="1806"/>
      <c r="N95" s="1781"/>
      <c r="O95" s="1781"/>
      <c r="P95" s="1844" t="str">
        <f>P35</f>
        <v>Total (ha)</v>
      </c>
      <c r="Q95" s="1806">
        <f>perennial!C67</f>
        <v>88</v>
      </c>
      <c r="R95" s="1806">
        <f>perennial!D67</f>
        <v>88</v>
      </c>
      <c r="S95" s="1849"/>
      <c r="T95" s="1806">
        <f>perennial!F67</f>
        <v>88</v>
      </c>
      <c r="U95" s="1849"/>
      <c r="V95" s="1904"/>
      <c r="W95" s="1841"/>
      <c r="X95" s="1846"/>
      <c r="Y95" s="1781"/>
      <c r="Z95" s="1806"/>
      <c r="AP95" s="1782"/>
      <c r="AQ95" s="1782"/>
      <c r="AR95" s="1782"/>
      <c r="AS95" s="1782"/>
      <c r="AT95" s="1782"/>
      <c r="AU95" s="1782"/>
      <c r="AV95" s="1862"/>
      <c r="AW95" s="1782"/>
      <c r="AX95" s="1782"/>
      <c r="AY95" s="1782"/>
      <c r="AZ95" s="1782"/>
      <c r="BA95" s="1782"/>
      <c r="BB95" s="1782"/>
      <c r="BC95" s="1782"/>
      <c r="BD95" s="1782"/>
      <c r="BE95" s="1782"/>
      <c r="BF95" s="1782"/>
      <c r="BG95" s="1782"/>
      <c r="BH95" s="1782"/>
      <c r="BI95" s="1782"/>
      <c r="BJ95" s="1782"/>
      <c r="BK95" s="1782"/>
      <c r="BL95" s="1782"/>
      <c r="BM95" s="1782"/>
      <c r="BO95" s="1996"/>
      <c r="BP95" s="1893"/>
      <c r="BQ95" s="1996"/>
    </row>
    <row r="96" spans="2:69" ht="15" customHeight="1" x14ac:dyDescent="0.2">
      <c r="B96" s="1781"/>
      <c r="C96" s="1835"/>
      <c r="D96" s="1835"/>
      <c r="E96" s="1835"/>
      <c r="F96" s="1835"/>
      <c r="G96" s="1835"/>
      <c r="H96" s="1835"/>
      <c r="I96" s="1907"/>
      <c r="J96" s="1835"/>
      <c r="K96" s="1835"/>
      <c r="L96" s="1908"/>
      <c r="M96" s="1908"/>
      <c r="N96" s="1908"/>
      <c r="O96" s="1908"/>
      <c r="P96" s="1909"/>
      <c r="Q96" s="4272" t="str">
        <f>IF(OR(Q95&lt;&gt;R95, Q95&lt;&gt;T95, R95&lt;&gt;T95), list!$B$281, "")</f>
        <v/>
      </c>
      <c r="R96" s="4057"/>
      <c r="S96" s="4058"/>
      <c r="T96" s="4058"/>
      <c r="U96" s="1908"/>
      <c r="V96" s="1908"/>
      <c r="W96" s="1908"/>
      <c r="X96" s="1908"/>
      <c r="Y96" s="1908"/>
      <c r="Z96" s="1908"/>
      <c r="AP96" s="1782"/>
      <c r="AQ96" s="1782"/>
      <c r="AR96" s="1782"/>
      <c r="AS96" s="1782"/>
      <c r="AT96" s="1782"/>
      <c r="AU96" s="1782"/>
      <c r="AV96" s="1862"/>
      <c r="AW96" s="1782"/>
      <c r="AX96" s="1782"/>
      <c r="AY96" s="1782"/>
      <c r="AZ96" s="1782"/>
      <c r="BA96" s="1782"/>
      <c r="BB96" s="1782"/>
      <c r="BC96" s="1782"/>
      <c r="BD96" s="1782"/>
      <c r="BE96" s="1782"/>
      <c r="BF96" s="1782"/>
      <c r="BG96" s="1782"/>
      <c r="BH96" s="1782"/>
      <c r="BI96" s="1782"/>
      <c r="BJ96" s="1782"/>
      <c r="BK96" s="1782"/>
      <c r="BL96" s="1782"/>
      <c r="BM96" s="1782"/>
      <c r="BO96" s="4548" t="s">
        <v>87</v>
      </c>
      <c r="BP96" s="4548"/>
      <c r="BQ96" s="4548"/>
    </row>
    <row r="97" spans="2:119" ht="15" customHeight="1" x14ac:dyDescent="0.2">
      <c r="B97" s="1781"/>
      <c r="C97" s="1835"/>
      <c r="D97" s="1835"/>
      <c r="E97" s="1835"/>
      <c r="F97" s="1835"/>
      <c r="G97" s="1835"/>
      <c r="H97" s="1835"/>
      <c r="I97" s="1907"/>
      <c r="J97" s="1835"/>
      <c r="K97" s="1835"/>
      <c r="L97" s="1908"/>
      <c r="M97" s="1908"/>
      <c r="N97" s="1908"/>
      <c r="O97" s="1908"/>
      <c r="P97" s="1908"/>
      <c r="Q97" s="1908"/>
      <c r="R97" s="1910"/>
      <c r="S97" s="1908"/>
      <c r="T97" s="1781"/>
      <c r="U97" s="1908"/>
      <c r="V97" s="1908"/>
      <c r="W97" s="1805"/>
      <c r="X97" s="1908"/>
      <c r="Y97" s="1908"/>
      <c r="Z97" s="1908"/>
      <c r="AP97" s="1782" t="str">
        <f>AP36</f>
        <v>Use this part only if you want to refine the analysis at Tier 2</v>
      </c>
      <c r="AQ97" s="1782"/>
      <c r="AR97" s="1782"/>
      <c r="AS97" s="1782"/>
      <c r="AT97" s="1782"/>
      <c r="AU97" s="1782"/>
      <c r="AV97" s="1862"/>
      <c r="AW97" s="1782"/>
      <c r="AX97" s="1782"/>
      <c r="AY97" s="1782"/>
      <c r="AZ97" s="1782"/>
      <c r="BA97" s="1782"/>
      <c r="BB97" s="1782"/>
      <c r="BC97" s="1782"/>
      <c r="BD97" s="1782"/>
      <c r="BE97" s="1782"/>
      <c r="BF97" s="1782"/>
      <c r="BG97" s="1782"/>
      <c r="BH97" s="1782"/>
      <c r="BI97" s="1782"/>
      <c r="BJ97" s="1782"/>
      <c r="BK97" s="1782"/>
      <c r="BL97" s="1782"/>
      <c r="BM97" s="1782"/>
      <c r="BO97" s="4548"/>
      <c r="BP97" s="4548"/>
      <c r="BQ97" s="4548"/>
    </row>
    <row r="98" spans="2:119" ht="15" customHeight="1" x14ac:dyDescent="0.2">
      <c r="B98" s="1781"/>
      <c r="C98" s="1781"/>
      <c r="D98" s="1835"/>
      <c r="E98" s="1835"/>
      <c r="F98" s="1835"/>
      <c r="G98" s="1835"/>
      <c r="H98" s="1835"/>
      <c r="I98" s="1907"/>
      <c r="J98" s="1835"/>
      <c r="K98" s="1835"/>
      <c r="L98" s="1908"/>
      <c r="M98" s="1911"/>
      <c r="N98" s="1911"/>
      <c r="O98" s="1911"/>
      <c r="P98" s="1911"/>
      <c r="Q98" s="1911"/>
      <c r="R98" s="1911"/>
      <c r="S98" s="1911"/>
      <c r="T98" s="1911"/>
      <c r="U98" s="1911"/>
      <c r="V98" s="1912" t="str">
        <f>Languages!B159</f>
        <v>Total perennial cropping systems (tCO2-e)</v>
      </c>
      <c r="W98" s="1858">
        <f>perennial!P68</f>
        <v>-4818.8459733333339</v>
      </c>
      <c r="X98" s="1858">
        <f>perennial!Q68</f>
        <v>-5491.2704000000012</v>
      </c>
      <c r="Y98" s="1913"/>
      <c r="Z98" s="1860">
        <f>SUM(Z54:Z94)</f>
        <v>-672.42442666666739</v>
      </c>
      <c r="AP98" s="1782" t="str">
        <f>AP37</f>
        <v>IPCC default values are provided for your information only; EX-ACT will use Tier 2 values automatically wherever specified.</v>
      </c>
      <c r="AQ98" s="1782"/>
      <c r="AR98" s="1782"/>
      <c r="AS98" s="1782"/>
      <c r="AT98" s="1782"/>
      <c r="AU98" s="1782"/>
      <c r="AV98" s="1862"/>
      <c r="AW98" s="1782"/>
      <c r="AX98" s="1782"/>
      <c r="AY98" s="1782"/>
      <c r="AZ98" s="1782"/>
      <c r="BA98" s="1782"/>
      <c r="BB98" s="1782"/>
      <c r="BC98" s="1782"/>
      <c r="BD98" s="1782"/>
      <c r="BE98" s="1782"/>
      <c r="BF98" s="1782"/>
      <c r="BG98" s="1782"/>
      <c r="BH98" s="1782"/>
      <c r="BI98" s="1782"/>
      <c r="BJ98" s="1782"/>
      <c r="BK98" s="1782"/>
      <c r="BL98" s="1782"/>
      <c r="BM98" s="1782"/>
      <c r="BO98" s="4548"/>
      <c r="BP98" s="4548"/>
      <c r="BQ98" s="4548"/>
    </row>
    <row r="99" spans="2:119" ht="15" customHeight="1" x14ac:dyDescent="0.2">
      <c r="B99" s="1781"/>
      <c r="C99" s="1835"/>
      <c r="D99" s="1835"/>
      <c r="E99" s="1835"/>
      <c r="F99" s="1835"/>
      <c r="G99" s="1835"/>
      <c r="H99" s="1835"/>
      <c r="I99" s="1835"/>
      <c r="J99" s="1835"/>
      <c r="K99" s="1835"/>
      <c r="L99" s="1835"/>
      <c r="M99" s="1781"/>
      <c r="N99" s="1781"/>
      <c r="O99" s="1781"/>
      <c r="P99" s="1781"/>
      <c r="Q99" s="1781"/>
      <c r="R99" s="1781"/>
      <c r="S99" s="1781"/>
      <c r="T99" s="1781"/>
      <c r="U99" s="1781"/>
      <c r="V99" s="1781"/>
      <c r="W99" s="1781"/>
      <c r="X99" s="1781"/>
      <c r="Y99" s="1781"/>
      <c r="Z99" s="1781"/>
      <c r="AP99" s="1782"/>
      <c r="AQ99" s="1782"/>
      <c r="AR99" s="1782"/>
      <c r="AS99" s="1782"/>
      <c r="AT99" s="1782"/>
      <c r="AU99" s="1782"/>
      <c r="AV99" s="1862"/>
      <c r="AW99" s="1782"/>
      <c r="AX99" s="1782"/>
      <c r="AY99" s="1782"/>
      <c r="AZ99" s="1782"/>
      <c r="BA99" s="1782"/>
      <c r="BB99" s="1782"/>
      <c r="BC99" s="1782"/>
      <c r="BD99" s="1782"/>
      <c r="BE99" s="1782"/>
      <c r="BF99" s="1782"/>
      <c r="BG99" s="1782"/>
      <c r="BH99" s="1782"/>
      <c r="BI99" s="1782"/>
      <c r="BJ99" s="1782"/>
      <c r="BK99" s="1782"/>
      <c r="BL99" s="1782"/>
      <c r="BM99" s="1782"/>
      <c r="BO99" s="1996"/>
      <c r="BP99" s="1893"/>
      <c r="BQ99" s="1996"/>
    </row>
    <row r="100" spans="2:119" ht="15" customHeight="1" x14ac:dyDescent="0.2">
      <c r="B100" s="1781"/>
      <c r="C100" s="1861" t="str">
        <f>$C$39</f>
        <v>*The selection of "D" corresponds to a default (linear) dynamics of change. Other selection options include "I" for immediate changes and "E" for exponential - please refer to the guidelines for further explanation of these assumptions.</v>
      </c>
      <c r="D100" s="1835"/>
      <c r="E100" s="1835"/>
      <c r="F100" s="1835"/>
      <c r="G100" s="1835"/>
      <c r="H100" s="1835"/>
      <c r="I100" s="1835"/>
      <c r="J100" s="1835"/>
      <c r="K100" s="1835"/>
      <c r="L100" s="1835"/>
      <c r="M100" s="1835"/>
      <c r="N100" s="1835"/>
      <c r="O100" s="1835"/>
      <c r="P100" s="1835"/>
      <c r="Q100" s="1835"/>
      <c r="R100" s="1835"/>
      <c r="S100" s="1835"/>
      <c r="T100" s="1835"/>
      <c r="U100" s="1835"/>
      <c r="V100" s="1835"/>
      <c r="W100" s="1835"/>
      <c r="X100" s="1835"/>
      <c r="Y100" s="1835"/>
      <c r="Z100" s="1835"/>
      <c r="AP100" s="1782"/>
      <c r="AQ100" s="1782"/>
      <c r="AR100" s="1782"/>
      <c r="AS100" s="1782"/>
      <c r="AT100" s="1782"/>
      <c r="AU100" s="1782"/>
      <c r="AV100" s="1862"/>
      <c r="AW100" s="1782"/>
      <c r="AX100" s="1782"/>
      <c r="AY100" s="1782"/>
      <c r="AZ100" s="1782"/>
      <c r="BA100" s="1782"/>
      <c r="BB100" s="1782"/>
      <c r="BC100" s="1782"/>
      <c r="BD100" s="1782"/>
      <c r="BE100" s="1782"/>
      <c r="BF100" s="1782"/>
      <c r="BG100" s="1782"/>
      <c r="BH100" s="1782"/>
      <c r="BI100" s="1782"/>
      <c r="BJ100" s="1782"/>
      <c r="BK100" s="1782"/>
      <c r="BL100" s="1782"/>
      <c r="BM100" s="1782"/>
      <c r="BO100" s="1996"/>
      <c r="BP100" s="1893"/>
      <c r="BQ100" s="1996"/>
    </row>
    <row r="102" spans="2:119" ht="15" customHeight="1" x14ac:dyDescent="0.2">
      <c r="E102" s="1914"/>
      <c r="AP102" s="1803"/>
      <c r="AQ102" s="1868"/>
      <c r="AR102" s="1868"/>
      <c r="AS102" s="1868"/>
      <c r="AT102" s="1803"/>
      <c r="AU102" s="1868"/>
      <c r="AV102" s="1868"/>
      <c r="AW102" s="1868"/>
      <c r="AX102" s="1868"/>
      <c r="AY102" s="1868"/>
      <c r="AZ102" s="1868"/>
      <c r="BA102" s="1868"/>
      <c r="BB102" s="1868"/>
      <c r="BC102" s="1868"/>
      <c r="BD102" s="1868"/>
      <c r="BE102" s="1868"/>
      <c r="BF102" s="1868"/>
      <c r="BG102" s="1915"/>
      <c r="BH102" s="1915"/>
      <c r="BI102" s="1915"/>
      <c r="BJ102" s="1915"/>
      <c r="BK102" s="1915"/>
    </row>
    <row r="103" spans="2:119" ht="8.75" customHeight="1" x14ac:dyDescent="0.2">
      <c r="AP103" s="1916"/>
      <c r="AQ103" s="3487"/>
      <c r="AR103" s="3487"/>
      <c r="AS103" s="3487"/>
      <c r="AT103" s="3487"/>
      <c r="AU103" s="3487"/>
      <c r="AV103" s="3487"/>
      <c r="AW103" s="1917"/>
      <c r="AX103" s="3487"/>
      <c r="AY103" s="3487"/>
      <c r="AZ103" s="3487"/>
      <c r="BA103" s="3487"/>
      <c r="BB103" s="3487"/>
      <c r="BC103" s="3487"/>
      <c r="BD103" s="3487"/>
      <c r="BE103" s="3487"/>
      <c r="BF103" s="3487"/>
      <c r="BG103" s="1915"/>
      <c r="BH103" s="1915"/>
      <c r="BI103" s="1915"/>
      <c r="BJ103" s="1915"/>
      <c r="BK103" s="1915"/>
    </row>
    <row r="104" spans="2:119" ht="8" customHeight="1" x14ac:dyDescent="0.2">
      <c r="AP104" s="1870"/>
      <c r="AQ104" s="1871"/>
      <c r="AR104" s="1872"/>
      <c r="AS104" s="1871"/>
      <c r="AT104" s="1871"/>
      <c r="AU104" s="1871"/>
      <c r="AV104" s="1871"/>
      <c r="AW104" s="1871"/>
      <c r="AX104" s="1871"/>
      <c r="AY104" s="1871"/>
      <c r="AZ104" s="1871"/>
      <c r="BA104" s="1871"/>
      <c r="BB104" s="1871"/>
      <c r="BC104" s="1871"/>
      <c r="BD104" s="1871"/>
      <c r="BE104" s="1871"/>
      <c r="BF104" s="1871"/>
      <c r="BG104" s="1918"/>
      <c r="BH104" s="1918"/>
      <c r="BI104" s="1918"/>
      <c r="BJ104" s="1918"/>
      <c r="BK104" s="1918"/>
    </row>
    <row r="105" spans="2:119" ht="15" customHeight="1" x14ac:dyDescent="0.2">
      <c r="G105" s="1771"/>
      <c r="K105" s="1771"/>
      <c r="AP105" s="1868"/>
      <c r="AQ105" s="1868"/>
      <c r="AR105" s="1868"/>
      <c r="AS105" s="1868"/>
      <c r="AT105" s="1868"/>
      <c r="AU105" s="1868"/>
      <c r="AV105" s="1868"/>
      <c r="AW105" s="1868"/>
      <c r="AX105" s="1868"/>
      <c r="AY105" s="1868"/>
      <c r="AZ105" s="1868"/>
      <c r="BA105" s="1868"/>
      <c r="BB105" s="1868"/>
      <c r="BC105" s="1868"/>
      <c r="BD105" s="1868"/>
      <c r="BE105" s="1868"/>
      <c r="BF105" s="1868"/>
      <c r="BG105" s="1868"/>
      <c r="BH105" s="1868"/>
      <c r="BI105" s="1868"/>
      <c r="BJ105" s="1868"/>
      <c r="BK105" s="1868"/>
    </row>
    <row r="106" spans="2:119" ht="8.75" customHeight="1" x14ac:dyDescent="0.2">
      <c r="G106" s="1771"/>
      <c r="K106" s="1771"/>
      <c r="AP106" s="1868"/>
      <c r="AQ106" s="1868"/>
      <c r="AR106" s="1868"/>
      <c r="AS106" s="1868"/>
      <c r="AT106" s="1868"/>
      <c r="AU106" s="1868"/>
      <c r="AV106" s="1868"/>
      <c r="AW106" s="1868"/>
      <c r="AX106" s="1868"/>
      <c r="AY106" s="1868"/>
      <c r="AZ106" s="1868"/>
      <c r="BA106" s="1868"/>
      <c r="BB106" s="1868"/>
      <c r="BC106" s="1868"/>
      <c r="BD106" s="1868"/>
      <c r="BE106" s="1868"/>
      <c r="BF106" s="1868"/>
      <c r="BG106" s="1868"/>
      <c r="BH106" s="1868"/>
      <c r="BI106" s="1868"/>
      <c r="BJ106" s="1868"/>
      <c r="BK106" s="1868"/>
    </row>
    <row r="107" spans="2:119" ht="15" customHeight="1" x14ac:dyDescent="0.2">
      <c r="G107" s="1771"/>
      <c r="K107" s="1771"/>
      <c r="AS107" s="1919"/>
      <c r="AT107" s="1919"/>
      <c r="AU107" s="1919"/>
      <c r="AV107" s="1919"/>
      <c r="AW107" s="1919"/>
      <c r="AX107" s="1919"/>
      <c r="AY107" s="1919"/>
      <c r="AZ107" s="1919"/>
      <c r="BA107" s="1919"/>
      <c r="BB107" s="1919"/>
      <c r="BC107" s="1919"/>
      <c r="BD107" s="1919"/>
      <c r="BE107" s="1919"/>
      <c r="BF107" s="1919"/>
      <c r="BG107" s="1919"/>
      <c r="BH107" s="1919"/>
      <c r="BI107" s="1919"/>
      <c r="BJ107" s="1919"/>
      <c r="BK107" s="1919"/>
    </row>
    <row r="108" spans="2:119" ht="45" customHeight="1" x14ac:dyDescent="0.2">
      <c r="B108" s="1768"/>
      <c r="C108" s="1769" t="str">
        <f>Languages!B190</f>
        <v>3.3. FLOODED RICE SYSTEMS</v>
      </c>
      <c r="D108" s="1769"/>
      <c r="E108" s="1769"/>
      <c r="F108" s="1769"/>
      <c r="G108" s="1769"/>
      <c r="H108" s="1769"/>
      <c r="I108" s="1769"/>
      <c r="J108" s="1769"/>
      <c r="K108" s="1769"/>
      <c r="L108" s="1769"/>
      <c r="M108" s="1769"/>
      <c r="N108" s="1769"/>
      <c r="O108" s="1769"/>
      <c r="P108" s="1769"/>
      <c r="Q108" s="1769"/>
      <c r="R108" s="1769"/>
      <c r="S108" s="1769"/>
      <c r="T108" s="1769"/>
      <c r="U108" s="1769"/>
      <c r="V108" s="1769"/>
      <c r="W108" s="1770" t="str">
        <f>Languages!B22</f>
        <v>If country-specific data are available, please go to Tier 2:</v>
      </c>
      <c r="X108" s="1769"/>
      <c r="Y108" s="1769"/>
      <c r="Z108" s="1769"/>
      <c r="AP108" s="1769" t="str">
        <f>C108</f>
        <v>3.3. FLOODED RICE SYSTEMS</v>
      </c>
      <c r="AQ108" s="1769"/>
      <c r="AR108" s="1769"/>
      <c r="AS108" s="1920"/>
      <c r="AT108" s="1767"/>
      <c r="AU108" s="1767"/>
      <c r="AV108" s="1767"/>
      <c r="AW108" s="1767"/>
      <c r="AX108" s="1767"/>
      <c r="AY108" s="1767"/>
      <c r="AZ108" s="1767"/>
      <c r="BA108" s="1767"/>
      <c r="BB108" s="1767"/>
      <c r="BC108" s="1767"/>
      <c r="BD108" s="1767"/>
      <c r="BE108" s="1767"/>
      <c r="BF108" s="1767"/>
      <c r="BG108" s="1767"/>
      <c r="BH108" s="1767"/>
      <c r="BI108" s="1767"/>
      <c r="BJ108" s="1767"/>
      <c r="BL108" s="4366" t="s">
        <v>71</v>
      </c>
      <c r="BM108" s="4366"/>
      <c r="BN108" s="4366"/>
      <c r="DF108" s="1921"/>
      <c r="DG108" s="1921"/>
      <c r="DH108" s="1921"/>
      <c r="DI108" s="1921"/>
      <c r="DJ108" s="1921"/>
      <c r="DK108" s="1921"/>
      <c r="DL108" s="1921"/>
      <c r="DM108" s="1921"/>
      <c r="DN108" s="1921"/>
      <c r="DO108" s="1921"/>
    </row>
    <row r="109" spans="2:119" ht="5.25" customHeight="1" x14ac:dyDescent="0.2">
      <c r="G109" s="1771"/>
      <c r="K109" s="1771"/>
      <c r="AP109" s="1915"/>
      <c r="AQ109" s="1915"/>
      <c r="AR109" s="1915"/>
      <c r="AS109" s="1915"/>
      <c r="AT109" s="1915"/>
      <c r="AU109" s="1915"/>
      <c r="AV109" s="1915"/>
      <c r="AW109" s="1915"/>
      <c r="AX109" s="1915"/>
      <c r="AY109" s="1915"/>
      <c r="AZ109" s="1915"/>
      <c r="BA109" s="1915"/>
      <c r="BB109" s="1915"/>
      <c r="BC109" s="1915"/>
      <c r="BD109" s="1915"/>
      <c r="BE109" s="1915"/>
      <c r="BF109" s="1915"/>
      <c r="BG109" s="1915"/>
      <c r="BH109" s="1915"/>
      <c r="BI109" s="1915"/>
      <c r="BJ109" s="1915"/>
      <c r="BK109" s="1915"/>
      <c r="BL109" s="1915"/>
      <c r="BM109" s="1915"/>
      <c r="DF109" s="1921"/>
      <c r="DG109" s="1921"/>
      <c r="DH109" s="1921"/>
      <c r="DI109" s="1921"/>
      <c r="DJ109" s="1921"/>
      <c r="DK109" s="1921"/>
      <c r="DL109" s="1921"/>
      <c r="DM109" s="1921"/>
      <c r="DN109" s="1921"/>
      <c r="DO109" s="1921"/>
    </row>
    <row r="110" spans="2:119" ht="18" customHeight="1" x14ac:dyDescent="0.2">
      <c r="B110" s="1773"/>
      <c r="C110" s="1774" t="str">
        <f>Languages!B191</f>
        <v xml:space="preserve">3.3.1. Flooded rice systems from other land-use  or converted to other land-use (please fill 'Land-use change' module)  </v>
      </c>
      <c r="D110" s="1766"/>
      <c r="E110" s="1766"/>
      <c r="F110" s="1766"/>
      <c r="G110" s="1766"/>
      <c r="H110" s="1766"/>
      <c r="I110" s="1766"/>
      <c r="J110" s="1766"/>
      <c r="K110" s="1766"/>
      <c r="L110" s="1766"/>
      <c r="M110" s="1766"/>
      <c r="N110" s="1766"/>
      <c r="O110" s="1766"/>
      <c r="P110" s="1766"/>
      <c r="Q110" s="1766"/>
      <c r="R110" s="1766"/>
      <c r="S110" s="1766"/>
      <c r="T110" s="1766"/>
      <c r="U110" s="1766"/>
      <c r="V110" s="1766"/>
      <c r="W110" s="1766"/>
      <c r="X110" s="1766"/>
      <c r="Y110" s="1766"/>
      <c r="Z110" s="1766"/>
      <c r="AP110" s="1774" t="str">
        <f>C110</f>
        <v xml:space="preserve">3.3.1. Flooded rice systems from other land-use  or converted to other land-use (please fill 'Land-use change' module)  </v>
      </c>
      <c r="AQ110" s="1774"/>
      <c r="AR110" s="1774"/>
      <c r="AS110" s="1774"/>
      <c r="AT110" s="1774"/>
      <c r="AU110" s="1774"/>
      <c r="AV110" s="1774"/>
      <c r="AW110" s="1774"/>
      <c r="AX110" s="1774"/>
      <c r="AY110" s="1774"/>
      <c r="AZ110" s="1774"/>
      <c r="BA110" s="1774"/>
      <c r="BB110" s="1774"/>
      <c r="BC110" s="1774"/>
      <c r="BD110" s="1774"/>
      <c r="BE110" s="1774"/>
      <c r="BF110" s="1774"/>
      <c r="BG110" s="1774"/>
      <c r="BH110" s="1774"/>
      <c r="BI110" s="1774"/>
      <c r="BJ110" s="1774"/>
      <c r="BK110" s="1922"/>
      <c r="BL110" s="1774"/>
      <c r="BM110" s="1774"/>
      <c r="BN110" s="1774"/>
      <c r="DF110" s="1921"/>
      <c r="DG110" s="1921"/>
      <c r="DH110" s="1921"/>
      <c r="DI110" s="1921"/>
      <c r="DJ110" s="1921"/>
      <c r="DK110" s="1921"/>
      <c r="DL110" s="1921"/>
      <c r="DM110" s="1921"/>
      <c r="DN110" s="1921"/>
      <c r="DO110" s="1921"/>
    </row>
    <row r="111" spans="2:119" ht="20" customHeight="1" x14ac:dyDescent="0.2">
      <c r="B111" s="1781"/>
      <c r="C111" s="1781"/>
      <c r="D111" s="1781"/>
      <c r="E111" s="1781"/>
      <c r="F111" s="1781"/>
      <c r="G111" s="1781"/>
      <c r="H111" s="1781"/>
      <c r="I111" s="1781"/>
      <c r="J111" s="1781"/>
      <c r="K111" s="1781"/>
      <c r="L111" s="1781"/>
      <c r="M111" s="1781"/>
      <c r="N111" s="1781"/>
      <c r="O111" s="1781"/>
      <c r="P111" s="1781"/>
      <c r="Q111" s="1781"/>
      <c r="R111" s="1781"/>
      <c r="S111" s="1781"/>
      <c r="T111" s="1781"/>
      <c r="U111" s="1781"/>
      <c r="V111" s="1781"/>
      <c r="W111" s="1781"/>
      <c r="X111" s="1781"/>
      <c r="Y111" s="1781"/>
      <c r="Z111" s="1781"/>
      <c r="AP111" s="1784"/>
      <c r="AQ111" s="1784"/>
      <c r="AR111" s="1782"/>
      <c r="AS111" s="1782"/>
      <c r="AT111" s="1782"/>
      <c r="AU111" s="1782"/>
      <c r="AV111" s="1782"/>
      <c r="AW111" s="1782"/>
      <c r="AX111" s="1923" t="str">
        <f>Languages!B209</f>
        <v>Daily emission factor for rice EF = EF-basis x SF-Before x CF-or Amendment</v>
      </c>
      <c r="AY111" s="1785"/>
      <c r="AZ111" s="1785"/>
      <c r="BA111" s="1785"/>
      <c r="BB111" s="1785"/>
      <c r="BC111" s="1785"/>
      <c r="BD111" s="1785"/>
      <c r="BE111" s="1785"/>
      <c r="BF111" s="1785"/>
      <c r="BG111" s="1785"/>
      <c r="BH111" s="1782"/>
      <c r="BI111" s="1782"/>
      <c r="BJ111" s="1782"/>
      <c r="BL111" s="1889" t="s">
        <v>74</v>
      </c>
      <c r="BM111" s="1889"/>
      <c r="BN111" s="1996"/>
      <c r="DF111" s="1921"/>
      <c r="DG111" s="1921"/>
      <c r="DH111" s="1921"/>
      <c r="DI111" s="1921"/>
      <c r="DJ111" s="1921"/>
      <c r="DK111" s="1921"/>
      <c r="DL111" s="1921"/>
      <c r="DM111" s="1921"/>
      <c r="DN111" s="1921"/>
      <c r="DO111" s="1921"/>
    </row>
    <row r="112" spans="2:119" ht="15" customHeight="1" x14ac:dyDescent="0.2">
      <c r="B112" s="1781"/>
      <c r="C112" s="1781"/>
      <c r="D112" s="1781"/>
      <c r="E112" s="1924"/>
      <c r="F112" s="1781"/>
      <c r="G112" s="1925" t="str">
        <f>Languages!B201</f>
        <v>Management options for water regime in flooded-rice</v>
      </c>
      <c r="H112" s="1926"/>
      <c r="I112" s="1927"/>
      <c r="J112" s="1928"/>
      <c r="K112" s="1929"/>
      <c r="L112" s="1781"/>
      <c r="M112" s="1781"/>
      <c r="N112" s="1781"/>
      <c r="O112" s="1781"/>
      <c r="P112" s="1781"/>
      <c r="Q112" s="1930" t="s">
        <v>323</v>
      </c>
      <c r="R112" s="1931"/>
      <c r="S112" s="1883"/>
      <c r="T112" s="1883"/>
      <c r="U112" s="1781"/>
      <c r="V112" s="1781"/>
      <c r="W112" s="1792" t="str">
        <f>W64</f>
        <v>Total emissions (tCO2-e)</v>
      </c>
      <c r="X112" s="1781"/>
      <c r="Y112" s="1781"/>
      <c r="Z112" s="1781"/>
      <c r="AP112" s="1784"/>
      <c r="AQ112" s="1784"/>
      <c r="AR112" s="1782"/>
      <c r="AS112" s="1782"/>
      <c r="AT112" s="1782"/>
      <c r="AU112" s="1782"/>
      <c r="AV112" s="1782"/>
      <c r="AW112" s="1782"/>
      <c r="AX112" s="1932" t="str">
        <f>Languages!B210</f>
        <v>EFc and EFi are in kg CH4 per ha per day</v>
      </c>
      <c r="AY112" s="1782"/>
      <c r="AZ112" s="1782"/>
      <c r="BA112" s="1782"/>
      <c r="BB112" s="1782"/>
      <c r="BC112" s="1782"/>
      <c r="BD112" s="1782"/>
      <c r="BE112" s="1782"/>
      <c r="BF112" s="1782"/>
      <c r="BG112" s="1782"/>
      <c r="BH112" s="1782"/>
      <c r="BI112" s="1782"/>
      <c r="BJ112" s="1782"/>
      <c r="BK112" s="1915"/>
      <c r="BL112" s="2014" t="s">
        <v>82</v>
      </c>
      <c r="BM112" s="2014"/>
      <c r="BN112" s="1996"/>
      <c r="DF112" s="1921"/>
      <c r="DG112" s="1921"/>
      <c r="DH112" s="1921"/>
      <c r="DI112" s="1921"/>
      <c r="DJ112" s="1921"/>
      <c r="DK112" s="1921"/>
      <c r="DL112" s="1921"/>
      <c r="DM112" s="1921"/>
      <c r="DN112" s="1921"/>
      <c r="DO112" s="1921"/>
    </row>
    <row r="113" spans="2:119" ht="36" customHeight="1" x14ac:dyDescent="0.2">
      <c r="B113" s="1781"/>
      <c r="C113" s="1781"/>
      <c r="D113" s="1781"/>
      <c r="E113" s="1805" t="str">
        <f>E124</f>
        <v xml:space="preserve">Cultivation period </v>
      </c>
      <c r="F113" s="1781"/>
      <c r="G113" s="1933" t="str">
        <f>G124</f>
        <v>During</v>
      </c>
      <c r="H113" s="1781"/>
      <c r="I113" s="1933" t="str">
        <f>I124</f>
        <v xml:space="preserve">Before </v>
      </c>
      <c r="J113" s="1781"/>
      <c r="K113" s="1929" t="str">
        <f>K124</f>
        <v>Organic</v>
      </c>
      <c r="L113" s="1781"/>
      <c r="M113" s="1805" t="str">
        <f>M65</f>
        <v>Yield</v>
      </c>
      <c r="N113" s="1781"/>
      <c r="O113" s="1781"/>
      <c r="P113" s="1781"/>
      <c r="Q113" s="1781"/>
      <c r="R113" s="1781"/>
      <c r="S113" s="1781"/>
      <c r="T113" s="1781"/>
      <c r="U113" s="1781"/>
      <c r="V113" s="1781"/>
      <c r="W113" s="1781"/>
      <c r="X113" s="1781"/>
      <c r="Y113" s="1781"/>
      <c r="Z113" s="1781"/>
      <c r="AP113" s="1784"/>
      <c r="AQ113" s="1784"/>
      <c r="AR113" s="1886" t="str">
        <f>E124</f>
        <v xml:space="preserve">Cultivation period </v>
      </c>
      <c r="AS113" s="1784"/>
      <c r="AT113" s="1934" t="s">
        <v>425</v>
      </c>
      <c r="AU113" s="1784"/>
      <c r="AV113" s="1887"/>
      <c r="AW113" s="1800"/>
      <c r="AX113" s="4300" t="str">
        <f>Languages!B211</f>
        <v>baseline EF, continously flooded rice w/out organic amendments</v>
      </c>
      <c r="AY113" s="4301"/>
      <c r="AZ113" s="4300" t="str">
        <f>Languages!B212</f>
        <v>SF, water regime during cultivation period</v>
      </c>
      <c r="BA113" s="4301"/>
      <c r="BB113" s="4300" t="str">
        <f>Languages!B213</f>
        <v>SF, water regime before cultivation period</v>
      </c>
      <c r="BC113" s="4301"/>
      <c r="BD113" s="4300" t="str">
        <f>Languages!B214</f>
        <v>SF, organic amendement applied</v>
      </c>
      <c r="BE113" s="4302"/>
      <c r="BF113" s="2628" t="str">
        <f>Languages!B215</f>
        <v xml:space="preserve">adjusted daily EF </v>
      </c>
      <c r="BG113" s="1935"/>
      <c r="BH113" s="1887" t="str">
        <f>Languages!B216</f>
        <v xml:space="preserve">Rice straw (Main season crop) </v>
      </c>
      <c r="BI113" s="1887"/>
      <c r="BJ113" s="1784"/>
      <c r="BK113" s="1915"/>
      <c r="BL113" s="1996"/>
      <c r="BM113" s="1893"/>
      <c r="BN113" s="1996"/>
      <c r="DF113" s="1921"/>
      <c r="DG113" s="1921"/>
      <c r="DH113" s="1921"/>
      <c r="DI113" s="1921"/>
      <c r="DJ113" s="1921"/>
      <c r="DK113" s="1921"/>
      <c r="DL113" s="1921"/>
      <c r="DM113" s="1921"/>
      <c r="DN113" s="1921"/>
      <c r="DO113" s="1921"/>
    </row>
    <row r="114" spans="2:119" ht="15" customHeight="1" x14ac:dyDescent="0.2">
      <c r="B114" s="1781"/>
      <c r="C114" s="1780" t="str">
        <f>C54</f>
        <v>Description</v>
      </c>
      <c r="D114" s="1820"/>
      <c r="E114" s="1805" t="str">
        <f>E125</f>
        <v>(days)</v>
      </c>
      <c r="F114" s="1820"/>
      <c r="G114" s="1780" t="str">
        <f>G125</f>
        <v xml:space="preserve">Cultivation period </v>
      </c>
      <c r="H114" s="1820"/>
      <c r="I114" s="1780" t="str">
        <f>I125</f>
        <v xml:space="preserve">Cultivation period </v>
      </c>
      <c r="J114" s="1820"/>
      <c r="K114" s="1936" t="str">
        <f>K125</f>
        <v xml:space="preserve"> amendment</v>
      </c>
      <c r="L114" s="1820"/>
      <c r="M114" s="1812" t="str">
        <f>M66</f>
        <v>(t/ha/yr)</v>
      </c>
      <c r="N114" s="1820"/>
      <c r="O114" s="1820"/>
      <c r="P114" s="1820"/>
      <c r="Q114" s="1805" t="str">
        <f>Q54</f>
        <v>Start</v>
      </c>
      <c r="R114" s="1805" t="str">
        <f>R54</f>
        <v>Without</v>
      </c>
      <c r="S114" s="1826"/>
      <c r="T114" s="1805" t="str">
        <f>T54</f>
        <v>With</v>
      </c>
      <c r="U114" s="1820"/>
      <c r="V114" s="1820"/>
      <c r="W114" s="1805" t="str">
        <f>R114</f>
        <v>Without</v>
      </c>
      <c r="X114" s="1805" t="str">
        <f>T114</f>
        <v>With</v>
      </c>
      <c r="Y114" s="1805"/>
      <c r="Z114" s="1805" t="str">
        <f>Z66</f>
        <v>Balance</v>
      </c>
      <c r="AP114" s="1937" t="str">
        <f>Languages!B205</f>
        <v>Flooded rice systems from (or to) other LU</v>
      </c>
      <c r="AQ114" s="1784"/>
      <c r="AR114" s="1938" t="str">
        <f>E114</f>
        <v>(days)</v>
      </c>
      <c r="AS114" s="1784"/>
      <c r="AT114" s="1938" t="str">
        <f>AY65</f>
        <v>tC/ha</v>
      </c>
      <c r="AU114" s="1784"/>
      <c r="AV114" s="1784"/>
      <c r="AW114" s="1784"/>
      <c r="AX114" s="1888" t="s">
        <v>434</v>
      </c>
      <c r="AY114" s="1795"/>
      <c r="AZ114" s="1939" t="s">
        <v>435</v>
      </c>
      <c r="BA114" s="1800"/>
      <c r="BB114" s="1934" t="s">
        <v>436</v>
      </c>
      <c r="BC114" s="1800"/>
      <c r="BD114" s="1889" t="s">
        <v>437</v>
      </c>
      <c r="BE114" s="1887"/>
      <c r="BF114" s="1939" t="s">
        <v>438</v>
      </c>
      <c r="BG114" s="1784"/>
      <c r="BH114" s="1800" t="s">
        <v>192</v>
      </c>
      <c r="BI114" s="1784"/>
      <c r="BJ114" s="1784"/>
      <c r="BK114" s="1915"/>
      <c r="BL114" s="1996"/>
      <c r="BM114" s="1893"/>
      <c r="BN114" s="1996"/>
      <c r="DF114" s="1921"/>
      <c r="DG114" s="1921"/>
      <c r="DH114" s="1921"/>
      <c r="DI114" s="1921"/>
      <c r="DJ114" s="1921"/>
      <c r="DK114" s="1921"/>
      <c r="DL114" s="1921"/>
      <c r="DM114" s="1921"/>
      <c r="DN114" s="1921"/>
      <c r="DO114" s="1921"/>
    </row>
    <row r="115" spans="2:119" ht="15" customHeight="1" x14ac:dyDescent="0.2">
      <c r="B115" s="1781"/>
      <c r="C115" s="1820"/>
      <c r="D115" s="1820"/>
      <c r="E115" s="4070"/>
      <c r="F115" s="1820"/>
      <c r="G115" s="1820"/>
      <c r="H115" s="1820"/>
      <c r="I115" s="1820"/>
      <c r="J115" s="1820"/>
      <c r="K115" s="1820"/>
      <c r="L115" s="1820"/>
      <c r="M115" s="1806"/>
      <c r="N115" s="1820"/>
      <c r="O115" s="1820"/>
      <c r="P115" s="1820"/>
      <c r="Q115" s="1820"/>
      <c r="R115" s="1820"/>
      <c r="S115" s="1820"/>
      <c r="T115" s="1820"/>
      <c r="U115" s="1820"/>
      <c r="V115" s="1820"/>
      <c r="W115" s="1820"/>
      <c r="X115" s="1815"/>
      <c r="Y115" s="1820"/>
      <c r="Z115" s="1820"/>
      <c r="AP115" s="1937"/>
      <c r="AQ115" s="1808"/>
      <c r="AR115" s="1795" t="str">
        <f>AS66</f>
        <v>Default</v>
      </c>
      <c r="AS115" s="1795" t="str">
        <f>AT66</f>
        <v>Tier 2</v>
      </c>
      <c r="AT115" s="1797" t="str">
        <f>AR115</f>
        <v>Default</v>
      </c>
      <c r="AU115" s="1795" t="str">
        <f>AS115</f>
        <v>Tier 2</v>
      </c>
      <c r="AV115" s="1797"/>
      <c r="AW115" s="1795"/>
      <c r="AX115" s="1797" t="str">
        <f>AT115</f>
        <v>Default</v>
      </c>
      <c r="AY115" s="1795" t="str">
        <f>AU115</f>
        <v>Tier 2</v>
      </c>
      <c r="AZ115" s="1797" t="str">
        <f t="shared" ref="AZ115:BE115" si="9">AX115</f>
        <v>Default</v>
      </c>
      <c r="BA115" s="1795" t="str">
        <f t="shared" si="9"/>
        <v>Tier 2</v>
      </c>
      <c r="BB115" s="1795" t="str">
        <f t="shared" si="9"/>
        <v>Default</v>
      </c>
      <c r="BC115" s="1795" t="str">
        <f t="shared" si="9"/>
        <v>Tier 2</v>
      </c>
      <c r="BD115" s="1795" t="str">
        <f t="shared" si="9"/>
        <v>Default</v>
      </c>
      <c r="BE115" s="1795" t="str">
        <f t="shared" si="9"/>
        <v>Tier 2</v>
      </c>
      <c r="BF115" s="1795" t="str">
        <f>BD115</f>
        <v>Default</v>
      </c>
      <c r="BG115" s="1801" t="str">
        <f>BE115</f>
        <v>Tier 2</v>
      </c>
      <c r="BH115" s="1795" t="str">
        <f>BD115</f>
        <v>Default</v>
      </c>
      <c r="BI115" s="1795" t="str">
        <f>BG115</f>
        <v>Tier 2</v>
      </c>
      <c r="BJ115" s="1784"/>
      <c r="BK115" s="1915"/>
      <c r="BL115" s="1996"/>
      <c r="BM115" s="1893"/>
      <c r="BN115" s="1996"/>
      <c r="DF115" s="1921"/>
      <c r="DG115" s="1921"/>
      <c r="DH115" s="1921"/>
      <c r="DI115" s="1921"/>
      <c r="DJ115" s="1921"/>
      <c r="DK115" s="1921"/>
      <c r="DL115" s="1921"/>
      <c r="DM115" s="1921"/>
      <c r="DN115" s="1921"/>
      <c r="DO115" s="1921"/>
    </row>
    <row r="116" spans="2:119" ht="15" customHeight="1" x14ac:dyDescent="0.2">
      <c r="B116" s="1781"/>
      <c r="C116" s="4442" t="str">
        <f>Languages!B181</f>
        <v>Rice after deforestation</v>
      </c>
      <c r="D116" s="1820"/>
      <c r="E116" s="4445">
        <f>IF(AS116="", IF(continent_selected&lt;&gt;"Please select", VLOOKUP(continent_selected, IPCC!$A$515:$C$530, 3, FALSE),0), AS116)</f>
        <v>123</v>
      </c>
      <c r="F116" s="1820"/>
      <c r="G116" s="4104" t="s">
        <v>57</v>
      </c>
      <c r="H116" s="1820"/>
      <c r="I116" s="2131" t="s">
        <v>57</v>
      </c>
      <c r="J116" s="1820"/>
      <c r="K116" s="4099" t="s">
        <v>57</v>
      </c>
      <c r="L116" s="1820"/>
      <c r="M116" s="4097"/>
      <c r="N116" s="1820"/>
      <c r="O116" s="1820"/>
      <c r="P116" s="1820"/>
      <c r="Q116" s="1896">
        <f>rice!$C30</f>
        <v>0</v>
      </c>
      <c r="R116" s="1896">
        <f>rice!$D30</f>
        <v>0</v>
      </c>
      <c r="S116" s="1940"/>
      <c r="T116" s="1896">
        <f>rice!$F30</f>
        <v>0</v>
      </c>
      <c r="U116" s="1820"/>
      <c r="V116" s="1820"/>
      <c r="W116" s="1815">
        <f>rice!$T30</f>
        <v>0</v>
      </c>
      <c r="X116" s="1815">
        <f>rice!$U30</f>
        <v>0</v>
      </c>
      <c r="Y116" s="1812"/>
      <c r="Z116" s="1816">
        <f>rice!$V30</f>
        <v>0</v>
      </c>
      <c r="AP116" s="1800" t="str">
        <f>C116</f>
        <v>Rice after deforestation</v>
      </c>
      <c r="AQ116" s="1784"/>
      <c r="AR116" s="1795">
        <f>IF(continent_selected&lt;&gt;"Please select", VLOOKUP(continent_selected, IPCC!$A$515:$C$530, 3, FALSE),0)</f>
        <v>123</v>
      </c>
      <c r="AS116" s="4105"/>
      <c r="AT116" s="2000">
        <f>IFERROR(SOCref*VLOOKUP(clim_moist,IPCC!$A$58:$C$68,3),0)</f>
        <v>32.400000000000006</v>
      </c>
      <c r="AU116" s="4105"/>
      <c r="AV116" s="1817"/>
      <c r="AW116" s="1795"/>
      <c r="AX116" s="1795">
        <f>VLOOKUP(continent_selected, IPCC!$A$512:$B$530, 2, FALSE)</f>
        <v>1.56</v>
      </c>
      <c r="AY116" s="4105"/>
      <c r="AZ116" s="1817">
        <f>IF($G116 &lt;&gt;"Please select", VLOOKUP($G116, IPCC!$E$512:$F$518, 2, FALSE),0)</f>
        <v>0</v>
      </c>
      <c r="BA116" s="4105"/>
      <c r="BB116" s="1817">
        <f>IF($I116 &lt;&gt;"Please select", VLOOKUP($I116, IPCC!$E$525:$F$527,2, FALSE),0)</f>
        <v>0</v>
      </c>
      <c r="BC116" s="4105"/>
      <c r="BD116" s="1817">
        <f>IF($K116 &lt;&gt;"Please select",1+(IF(ISBLANK($BI116), $BH116, $BI116))*IF($K116&lt;&gt;"Please select",VLOOKUP($K116,IPCC!$J$512:$K$518,2,FALSE)))^0.59</f>
        <v>0</v>
      </c>
      <c r="BE116" s="4105"/>
      <c r="BF116" s="1817">
        <f>IF(AND($Q116=0, $R116=0, $T116=0), 0, IF(ISBLANK($AY116),$AX116, $AY116)*IF(ISBLANK($BA116),$AZ116, $BA116)*IF(ISBLANK($BC116),$BB116,$BC116)*IF(ISBLANK($BE116),$BD116,$BE116))</f>
        <v>0</v>
      </c>
      <c r="BG116" s="4105"/>
      <c r="BH116" s="1817">
        <f>IF(AND($Q116=0, $R116=0, $T116=0), 0, rice!H6*IPCC!$B$21+IPCC!$C$21)</f>
        <v>0</v>
      </c>
      <c r="BI116" s="4105"/>
      <c r="BJ116" s="1784"/>
      <c r="BK116" s="1915"/>
      <c r="BL116" s="4363">
        <v>1</v>
      </c>
      <c r="BM116" s="4364"/>
      <c r="BN116" s="1996"/>
      <c r="DF116" s="1921"/>
      <c r="DG116" s="1921"/>
      <c r="DH116" s="1921"/>
      <c r="DI116" s="1921"/>
      <c r="DJ116" s="1921"/>
      <c r="DK116" s="1921"/>
      <c r="DL116" s="1921"/>
      <c r="DM116" s="1921"/>
      <c r="DN116" s="1921"/>
      <c r="DO116" s="1921"/>
    </row>
    <row r="117" spans="2:119" ht="15" customHeight="1" x14ac:dyDescent="0.2">
      <c r="B117" s="1781"/>
      <c r="C117" s="4442" t="str">
        <f>Languages!B182</f>
        <v>Rice converted to forest land</v>
      </c>
      <c r="D117" s="1820"/>
      <c r="E117" s="4445">
        <f>IF(AS117="", IF(continent_selected&lt;&gt;"Please select", VLOOKUP(continent_selected, IPCC!$A$515:$C$530, 3, FALSE),0), AS117)</f>
        <v>123</v>
      </c>
      <c r="F117" s="1820"/>
      <c r="G117" s="4104" t="s">
        <v>57</v>
      </c>
      <c r="H117" s="1820"/>
      <c r="I117" s="2131" t="s">
        <v>57</v>
      </c>
      <c r="J117" s="1820"/>
      <c r="K117" s="4099" t="s">
        <v>57</v>
      </c>
      <c r="L117" s="1820"/>
      <c r="M117" s="4097"/>
      <c r="N117" s="1820"/>
      <c r="O117" s="1820"/>
      <c r="P117" s="1820"/>
      <c r="Q117" s="1896">
        <f>rice!$C31</f>
        <v>0</v>
      </c>
      <c r="R117" s="1896">
        <f>rice!$D31</f>
        <v>0</v>
      </c>
      <c r="S117" s="1940"/>
      <c r="T117" s="1896">
        <f>rice!$F31</f>
        <v>0</v>
      </c>
      <c r="U117" s="1820"/>
      <c r="V117" s="1820"/>
      <c r="W117" s="1815">
        <f>rice!$T31</f>
        <v>0</v>
      </c>
      <c r="X117" s="1815">
        <f>rice!$U31</f>
        <v>0</v>
      </c>
      <c r="Y117" s="1812"/>
      <c r="Z117" s="1816">
        <f>rice!$V31</f>
        <v>0</v>
      </c>
      <c r="AP117" s="1800" t="str">
        <f>C117</f>
        <v>Rice converted to forest land</v>
      </c>
      <c r="AQ117" s="1784"/>
      <c r="AR117" s="1795">
        <f>IF(continent_selected&lt;&gt;"Please select", VLOOKUP(continent_selected, IPCC!$A$515:$C$530, 3, FALSE),0)</f>
        <v>123</v>
      </c>
      <c r="AS117" s="4105"/>
      <c r="AT117" s="2000">
        <f>IFERROR(SOCref*VLOOKUP(clim_moist,IPCC!$A$58:$C$68,3),0)</f>
        <v>32.400000000000006</v>
      </c>
      <c r="AU117" s="4105"/>
      <c r="AV117" s="1817"/>
      <c r="AW117" s="1795"/>
      <c r="AX117" s="1795">
        <f>VLOOKUP(continent_selected, IPCC!$A$512:$B$530, 2, FALSE)</f>
        <v>1.56</v>
      </c>
      <c r="AY117" s="4105"/>
      <c r="AZ117" s="1817">
        <f>IF($G117 &lt;&gt;"Please select", VLOOKUP($G117, IPCC!$E$512:$F$518, 2, FALSE),0)</f>
        <v>0</v>
      </c>
      <c r="BA117" s="4105"/>
      <c r="BB117" s="1817">
        <f>IF($I117 &lt;&gt;"Please select", VLOOKUP($I117, IPCC!$E$525:$F$527,2, FALSE),0)</f>
        <v>0</v>
      </c>
      <c r="BC117" s="4105"/>
      <c r="BD117" s="1817">
        <f>IF($K117 &lt;&gt;"Please select",1+(IF(ISBLANK($BI117), $BH117, $BI117))*IF($K117&lt;&gt;"Please select",VLOOKUP($K117,IPCC!$J$512:$K$518,2,FALSE)))^0.59</f>
        <v>0</v>
      </c>
      <c r="BE117" s="4105"/>
      <c r="BF117" s="1817">
        <f>IF(AND($Q117=0, $R117=0, $T117=0), 0, IF(ISBLANK($AY117),$AX117, $AY117)*IF(ISBLANK($BA117),$AZ117, $BA117)*IF(ISBLANK($BC117),$BB117,$BC117)*IF(ISBLANK($BE117),$BD117,$BE117))</f>
        <v>0</v>
      </c>
      <c r="BG117" s="4105"/>
      <c r="BH117" s="1817">
        <f>IF(AND($Q117=0, $R117=0, $T117=0), 0, rice!H7*IPCC!$B$21+IPCC!$C$21)</f>
        <v>0</v>
      </c>
      <c r="BI117" s="4105"/>
      <c r="BJ117" s="1784"/>
      <c r="BK117" s="1915"/>
      <c r="BL117" s="4363">
        <v>1</v>
      </c>
      <c r="BM117" s="4364"/>
      <c r="BN117" s="1996"/>
      <c r="DF117" s="1921"/>
      <c r="DG117" s="1921"/>
      <c r="DH117" s="1921"/>
      <c r="DI117" s="1921"/>
      <c r="DJ117" s="1921"/>
      <c r="DK117" s="1921"/>
      <c r="DL117" s="1921"/>
      <c r="DM117" s="1921"/>
      <c r="DN117" s="1921"/>
      <c r="DO117" s="1921"/>
    </row>
    <row r="118" spans="2:119" ht="15" customHeight="1" x14ac:dyDescent="0.2">
      <c r="B118" s="1781"/>
      <c r="C118" s="4442" t="str">
        <f>Languages!B183</f>
        <v>Rice converted from non-forest LUs</v>
      </c>
      <c r="D118" s="1820"/>
      <c r="E118" s="4445">
        <f>IF(AS118="", IF(continent_selected&lt;&gt;"Please select", VLOOKUP(continent_selected, IPCC!$A$515:$C$530, 3, FALSE),0), AS118)</f>
        <v>123</v>
      </c>
      <c r="F118" s="1820"/>
      <c r="G118" s="4104" t="s">
        <v>57</v>
      </c>
      <c r="H118" s="1820"/>
      <c r="I118" s="2131" t="s">
        <v>57</v>
      </c>
      <c r="J118" s="1820"/>
      <c r="K118" s="4099" t="s">
        <v>57</v>
      </c>
      <c r="L118" s="1820"/>
      <c r="M118" s="4097"/>
      <c r="N118" s="1820"/>
      <c r="O118" s="1820"/>
      <c r="P118" s="1820"/>
      <c r="Q118" s="1896">
        <f>rice!$C32</f>
        <v>0</v>
      </c>
      <c r="R118" s="1896">
        <f>rice!$D32</f>
        <v>0</v>
      </c>
      <c r="S118" s="1940"/>
      <c r="T118" s="1896">
        <f>rice!$F32</f>
        <v>0</v>
      </c>
      <c r="U118" s="1820"/>
      <c r="V118" s="1820"/>
      <c r="W118" s="1815">
        <f>rice!$T32</f>
        <v>0</v>
      </c>
      <c r="X118" s="1815">
        <f>rice!$U32</f>
        <v>0</v>
      </c>
      <c r="Y118" s="1812"/>
      <c r="Z118" s="1816">
        <f>rice!$V32</f>
        <v>0</v>
      </c>
      <c r="AP118" s="1800" t="str">
        <f>C118</f>
        <v>Rice converted from non-forest LUs</v>
      </c>
      <c r="AQ118" s="1784"/>
      <c r="AR118" s="1795">
        <f>IF(continent_selected&lt;&gt;"Please select", VLOOKUP(continent_selected, IPCC!$A$515:$C$530, 3, FALSE),0)</f>
        <v>123</v>
      </c>
      <c r="AS118" s="4105"/>
      <c r="AT118" s="2000">
        <f>IFERROR(SOCref*VLOOKUP(clim_moist,IPCC!$A$58:$C$68,3),0)</f>
        <v>32.400000000000006</v>
      </c>
      <c r="AU118" s="4105"/>
      <c r="AV118" s="1817"/>
      <c r="AW118" s="1795"/>
      <c r="AX118" s="1795">
        <f>VLOOKUP(continent_selected, IPCC!$A$512:$B$530, 2, FALSE)</f>
        <v>1.56</v>
      </c>
      <c r="AY118" s="4105"/>
      <c r="AZ118" s="1817">
        <f>IF($G118 &lt;&gt;"Please select", VLOOKUP($G118, IPCC!$E$512:$F$518, 2, FALSE),0)</f>
        <v>0</v>
      </c>
      <c r="BA118" s="4105"/>
      <c r="BB118" s="1817">
        <f>IF($I118 &lt;&gt;"Please select", VLOOKUP($I118, IPCC!$E$525:$F$527,2, FALSE),0)</f>
        <v>0</v>
      </c>
      <c r="BC118" s="4105"/>
      <c r="BD118" s="1817">
        <f>IF($K118 &lt;&gt;"Please select",1+(IF(ISBLANK($BI118), $BH118, $BI118))*IF($K118&lt;&gt;"Please select",VLOOKUP($K118,IPCC!$J$512:$K$518,2,FALSE)))^0.59</f>
        <v>0</v>
      </c>
      <c r="BE118" s="4105"/>
      <c r="BF118" s="1817">
        <f>IF(AND($Q118=0, $R118=0, $T118=0), 0, IF(ISBLANK($AY118),$AX118, $AY118)*IF(ISBLANK($BA118),$AZ118, $BA118)*IF(ISBLANK($BC118),$BB118,$BC118)*IF(ISBLANK($BE118),$BD118,$BE118))</f>
        <v>0</v>
      </c>
      <c r="BG118" s="4105"/>
      <c r="BH118" s="1817">
        <f>IF(AND($Q118=0, $R118=0, $T118=0), 0, rice!H8*IPCC!$B$21+IPCC!$C$21)</f>
        <v>0</v>
      </c>
      <c r="BI118" s="4105"/>
      <c r="BJ118" s="1941"/>
      <c r="BK118" s="1918"/>
      <c r="BL118" s="4363">
        <v>1</v>
      </c>
      <c r="BM118" s="4364"/>
      <c r="BN118" s="1996"/>
      <c r="DF118" s="1921"/>
      <c r="DG118" s="1921"/>
      <c r="DH118" s="1921"/>
      <c r="DI118" s="1921"/>
      <c r="DJ118" s="1921"/>
      <c r="DK118" s="1921"/>
      <c r="DL118" s="1921"/>
      <c r="DM118" s="1921"/>
      <c r="DN118" s="1921"/>
      <c r="DO118" s="1921"/>
    </row>
    <row r="119" spans="2:119" ht="15" customHeight="1" x14ac:dyDescent="0.2">
      <c r="B119" s="1781"/>
      <c r="C119" s="4442" t="str">
        <f>Languages!B184</f>
        <v>Rice converted to non-forest Lus</v>
      </c>
      <c r="D119" s="1820"/>
      <c r="E119" s="4445">
        <f>IF(AS119="", IF(continent_selected&lt;&gt;"Please select", VLOOKUP(continent_selected, IPCC!$A$515:$C$530, 3, FALSE),0), AS119)</f>
        <v>123</v>
      </c>
      <c r="F119" s="1820"/>
      <c r="G119" s="4104" t="s">
        <v>57</v>
      </c>
      <c r="H119" s="1820"/>
      <c r="I119" s="2131" t="s">
        <v>57</v>
      </c>
      <c r="J119" s="1820"/>
      <c r="K119" s="4099" t="s">
        <v>57</v>
      </c>
      <c r="L119" s="1820"/>
      <c r="M119" s="4097"/>
      <c r="N119" s="1820"/>
      <c r="O119" s="1820"/>
      <c r="P119" s="1820"/>
      <c r="Q119" s="1896">
        <f>rice!$C33</f>
        <v>0</v>
      </c>
      <c r="R119" s="1896">
        <f>rice!$D33</f>
        <v>0</v>
      </c>
      <c r="S119" s="1940"/>
      <c r="T119" s="1896">
        <f>rice!$F33</f>
        <v>0</v>
      </c>
      <c r="U119" s="1820"/>
      <c r="V119" s="1820"/>
      <c r="W119" s="1815">
        <f>rice!$T33</f>
        <v>0</v>
      </c>
      <c r="X119" s="1815">
        <f>rice!$U33</f>
        <v>0</v>
      </c>
      <c r="Y119" s="1812"/>
      <c r="Z119" s="1816">
        <f>rice!$V33</f>
        <v>0</v>
      </c>
      <c r="AP119" s="1800" t="str">
        <f>C119</f>
        <v>Rice converted to non-forest Lus</v>
      </c>
      <c r="AQ119" s="1784"/>
      <c r="AR119" s="1795">
        <f>IF(continent_selected&lt;&gt;"Please select", VLOOKUP(continent_selected, IPCC!$A$515:$C$530, 3, FALSE),0)</f>
        <v>123</v>
      </c>
      <c r="AS119" s="4105"/>
      <c r="AT119" s="2000">
        <f>IFERROR(SOCref*VLOOKUP(clim_moist,IPCC!$A$58:$C$68,3),0)</f>
        <v>32.400000000000006</v>
      </c>
      <c r="AU119" s="4105"/>
      <c r="AV119" s="1817"/>
      <c r="AW119" s="1795"/>
      <c r="AX119" s="1795">
        <f>VLOOKUP(continent_selected, IPCC!$A$512:$B$530, 2, FALSE)</f>
        <v>1.56</v>
      </c>
      <c r="AY119" s="4105"/>
      <c r="AZ119" s="1817">
        <f>IF($G119 &lt;&gt;"Please select", VLOOKUP($G119, IPCC!$E$512:$F$518, 2, FALSE),0)</f>
        <v>0</v>
      </c>
      <c r="BA119" s="4105"/>
      <c r="BB119" s="1817">
        <f>IF($I119 &lt;&gt;"Please select", VLOOKUP($I119, IPCC!$E$525:$F$527,2, FALSE),0)</f>
        <v>0</v>
      </c>
      <c r="BC119" s="4105"/>
      <c r="BD119" s="1817">
        <f>IF($K119 &lt;&gt;"Please select",1+(IF(ISBLANK($BI119), $BH119, $BI119))*IF($K119&lt;&gt;"Please select",VLOOKUP($K119,IPCC!$J$512:$K$518,2,FALSE)))^0.59</f>
        <v>0</v>
      </c>
      <c r="BE119" s="4105"/>
      <c r="BF119" s="1817">
        <f>IF(AND($Q119=0, $R119=0, $T119=0), 0, IF(ISBLANK($AY119),$AX119, $AY119)*IF(ISBLANK($BA119),$AZ119, $BA119)*IF(ISBLANK($BC119),$BB119,$BC119)*IF(ISBLANK($BE119),$BD119,$BE119))</f>
        <v>0</v>
      </c>
      <c r="BG119" s="4105"/>
      <c r="BH119" s="1817">
        <f>IF(AND($Q119=0, $R119=0, $T119=0), 0, rice!H9*IPCC!$B$21+IPCC!$C$21)</f>
        <v>0</v>
      </c>
      <c r="BI119" s="4105"/>
      <c r="BJ119" s="1847"/>
      <c r="BK119" s="1868"/>
      <c r="BL119" s="4363">
        <v>1</v>
      </c>
      <c r="BM119" s="4364"/>
      <c r="BN119" s="1996"/>
      <c r="DF119" s="1921"/>
      <c r="DG119" s="1921"/>
      <c r="DH119" s="1921"/>
      <c r="DI119" s="1921"/>
      <c r="DJ119" s="1921"/>
      <c r="DK119" s="1921"/>
      <c r="DL119" s="1921"/>
      <c r="DM119" s="1921"/>
      <c r="DN119" s="1921"/>
      <c r="DO119" s="1921"/>
    </row>
    <row r="120" spans="2:119" ht="15" customHeight="1" x14ac:dyDescent="0.2">
      <c r="B120" s="1781"/>
      <c r="C120" s="1820"/>
      <c r="D120" s="1820"/>
      <c r="E120" s="1820"/>
      <c r="F120" s="1820"/>
      <c r="G120" s="1781"/>
      <c r="H120" s="1820"/>
      <c r="I120" s="1820"/>
      <c r="J120" s="1820"/>
      <c r="K120" s="1820"/>
      <c r="L120" s="1820"/>
      <c r="M120" s="1820"/>
      <c r="N120" s="1820"/>
      <c r="O120" s="1820"/>
      <c r="P120" s="1820"/>
      <c r="Q120" s="1820"/>
      <c r="R120" s="1820"/>
      <c r="S120" s="1820"/>
      <c r="T120" s="1820"/>
      <c r="U120" s="1820"/>
      <c r="V120" s="1820"/>
      <c r="W120" s="1820"/>
      <c r="X120" s="1820"/>
      <c r="Y120" s="1820"/>
      <c r="Z120" s="1820"/>
      <c r="AP120" s="1784"/>
      <c r="AQ120" s="1784"/>
      <c r="AR120" s="1800"/>
      <c r="AS120" s="1800"/>
      <c r="AT120" s="1942"/>
      <c r="AU120" s="1800"/>
      <c r="AV120" s="1942"/>
      <c r="AW120" s="1800"/>
      <c r="AX120" s="1800"/>
      <c r="AY120" s="1800"/>
      <c r="AZ120" s="1784"/>
      <c r="BA120" s="1784"/>
      <c r="BB120" s="1784"/>
      <c r="BC120" s="1784"/>
      <c r="BD120" s="1784"/>
      <c r="BE120" s="1784"/>
      <c r="BF120" s="1784"/>
      <c r="BG120" s="1784"/>
      <c r="BH120" s="1784"/>
      <c r="BI120" s="1784"/>
      <c r="BJ120" s="1847"/>
      <c r="BK120" s="1868"/>
      <c r="BL120" s="1996"/>
      <c r="BM120" s="1893"/>
      <c r="BN120" s="1996"/>
      <c r="DF120" s="1921"/>
      <c r="DG120" s="1921"/>
      <c r="DH120" s="1921"/>
      <c r="DI120" s="1921"/>
      <c r="DJ120" s="1921"/>
      <c r="DK120" s="1921"/>
      <c r="DL120" s="1921"/>
      <c r="DM120" s="1921"/>
      <c r="DN120" s="1921"/>
      <c r="DO120" s="1921"/>
    </row>
    <row r="121" spans="2:119" ht="18" customHeight="1" x14ac:dyDescent="0.2">
      <c r="B121" s="1773"/>
      <c r="C121" s="1774" t="str">
        <f>Languages!B186</f>
        <v>3.3.2. Flooded rice systems remaining flooded rice systems</v>
      </c>
      <c r="D121" s="1766"/>
      <c r="E121" s="1766"/>
      <c r="F121" s="1766"/>
      <c r="G121" s="1766"/>
      <c r="H121" s="1766"/>
      <c r="I121" s="1766"/>
      <c r="J121" s="1766"/>
      <c r="K121" s="1766"/>
      <c r="L121" s="1766"/>
      <c r="M121" s="1766"/>
      <c r="N121" s="1766"/>
      <c r="O121" s="1766"/>
      <c r="P121" s="1766"/>
      <c r="Q121" s="1766"/>
      <c r="R121" s="1766"/>
      <c r="S121" s="1766"/>
      <c r="T121" s="1766"/>
      <c r="U121" s="1766"/>
      <c r="V121" s="1766"/>
      <c r="W121" s="1766"/>
      <c r="X121" s="1766"/>
      <c r="Y121" s="1766"/>
      <c r="Z121" s="1766"/>
      <c r="AP121" s="1774" t="str">
        <f>C121</f>
        <v>3.3.2. Flooded rice systems remaining flooded rice systems</v>
      </c>
      <c r="AQ121" s="1767"/>
      <c r="AR121" s="1766"/>
      <c r="AS121" s="1766"/>
      <c r="AT121" s="1766"/>
      <c r="AU121" s="1766"/>
      <c r="AV121" s="1766"/>
      <c r="AW121" s="1766"/>
      <c r="AX121" s="1766"/>
      <c r="AY121" s="1766"/>
      <c r="AZ121" s="1766"/>
      <c r="BA121" s="1766"/>
      <c r="BB121" s="1766"/>
      <c r="BC121" s="1766"/>
      <c r="BD121" s="1766"/>
      <c r="BE121" s="1766"/>
      <c r="BF121" s="1766"/>
      <c r="BG121" s="1766"/>
      <c r="BH121" s="1767"/>
      <c r="BI121" s="1767"/>
      <c r="BJ121" s="1767"/>
      <c r="BL121" s="1767"/>
      <c r="BM121" s="1767"/>
      <c r="BN121" s="1767"/>
      <c r="DF121" s="1921"/>
      <c r="DG121" s="1921"/>
      <c r="DH121" s="1921"/>
      <c r="DI121" s="1921"/>
      <c r="DJ121" s="1921"/>
      <c r="DK121" s="1921"/>
      <c r="DL121" s="1921"/>
      <c r="DM121" s="1921"/>
      <c r="DN121" s="1921"/>
      <c r="DO121" s="1921"/>
    </row>
    <row r="122" spans="2:119" ht="15" customHeight="1" x14ac:dyDescent="0.2">
      <c r="B122" s="1781"/>
      <c r="C122" s="1826"/>
      <c r="D122" s="1781"/>
      <c r="E122" s="1924"/>
      <c r="F122" s="1781"/>
      <c r="G122" s="1925" t="str">
        <f>G112</f>
        <v>Management options for water regime in flooded-rice</v>
      </c>
      <c r="H122" s="1926"/>
      <c r="I122" s="1927"/>
      <c r="J122" s="1928"/>
      <c r="K122" s="1929"/>
      <c r="L122" s="1781"/>
      <c r="M122" s="1805"/>
      <c r="N122" s="1781"/>
      <c r="O122" s="1943"/>
      <c r="P122" s="1943"/>
      <c r="Q122" s="1944"/>
      <c r="R122" s="1945"/>
      <c r="S122" s="1946"/>
      <c r="T122" s="1946"/>
      <c r="U122" s="1781"/>
      <c r="V122" s="1947"/>
      <c r="W122" s="1832"/>
      <c r="X122" s="1943"/>
      <c r="Y122" s="1781"/>
      <c r="Z122" s="1832"/>
      <c r="AP122" s="1782"/>
      <c r="AQ122" s="1782"/>
      <c r="AR122" s="1782"/>
      <c r="AS122" s="1782"/>
      <c r="AT122" s="1782"/>
      <c r="AU122" s="1782"/>
      <c r="AV122" s="1782"/>
      <c r="AW122" s="1782"/>
      <c r="AX122" s="1923" t="str">
        <f>AX111</f>
        <v>Daily emission factor for rice EF = EF-basis x SF-Before x CF-or Amendment</v>
      </c>
      <c r="AY122" s="1785"/>
      <c r="AZ122" s="1785"/>
      <c r="BA122" s="1785"/>
      <c r="BB122" s="1785"/>
      <c r="BC122" s="1785"/>
      <c r="BD122" s="1785"/>
      <c r="BE122" s="1785"/>
      <c r="BF122" s="1785"/>
      <c r="BG122" s="1785"/>
      <c r="BH122" s="1782"/>
      <c r="BI122" s="1782"/>
      <c r="BJ122" s="1782"/>
      <c r="BL122" s="1996"/>
      <c r="BM122" s="1996"/>
      <c r="BN122" s="1996"/>
      <c r="DF122" s="1921"/>
      <c r="DG122" s="1921"/>
      <c r="DH122" s="1921"/>
      <c r="DI122" s="1921"/>
      <c r="DJ122" s="1921"/>
      <c r="DK122" s="1921"/>
      <c r="DL122" s="1921"/>
      <c r="DM122" s="1921"/>
      <c r="DN122" s="1921"/>
      <c r="DO122" s="1921"/>
    </row>
    <row r="123" spans="2:119" ht="17.75" customHeight="1" x14ac:dyDescent="0.2">
      <c r="B123" s="1781"/>
      <c r="C123" s="1826"/>
      <c r="D123" s="1781"/>
      <c r="E123" s="1924"/>
      <c r="F123" s="1781"/>
      <c r="G123" s="1948"/>
      <c r="H123" s="1949"/>
      <c r="I123" s="1948"/>
      <c r="J123" s="1928"/>
      <c r="K123" s="1929"/>
      <c r="L123" s="1781"/>
      <c r="M123" s="1805"/>
      <c r="N123" s="1781"/>
      <c r="O123" s="1943"/>
      <c r="P123" s="1827" t="str">
        <f>Languages!B204</f>
        <v>Flooded-rice area (ha)</v>
      </c>
      <c r="Q123" s="1950"/>
      <c r="R123" s="1900"/>
      <c r="S123" s="1899"/>
      <c r="T123" s="1899"/>
      <c r="U123" s="1899"/>
      <c r="V123" s="1947"/>
      <c r="W123" s="1792" t="str">
        <f>W112</f>
        <v>Total emissions (tCO2-e)</v>
      </c>
      <c r="X123" s="1943"/>
      <c r="Y123" s="1781"/>
      <c r="Z123" s="1780"/>
      <c r="AP123" s="1782"/>
      <c r="AQ123" s="1782"/>
      <c r="AR123" s="1782"/>
      <c r="AS123" s="1782"/>
      <c r="AT123" s="1782"/>
      <c r="AU123" s="1782"/>
      <c r="AV123" s="1782"/>
      <c r="AW123" s="1782"/>
      <c r="AX123" s="1932" t="str">
        <f>AX112</f>
        <v>EFc and EFi are in kg CH4 per ha per day</v>
      </c>
      <c r="AY123" s="1782"/>
      <c r="AZ123" s="1782"/>
      <c r="BA123" s="1782"/>
      <c r="BB123" s="1782"/>
      <c r="BC123" s="1782"/>
      <c r="BD123" s="1782"/>
      <c r="BE123" s="1782"/>
      <c r="BF123" s="1782"/>
      <c r="BG123" s="1782"/>
      <c r="BH123" s="1782"/>
      <c r="BI123" s="1782"/>
      <c r="BJ123" s="1784"/>
      <c r="BK123" s="1915"/>
      <c r="BL123" s="1996"/>
      <c r="BM123" s="1996"/>
      <c r="BN123" s="1996"/>
      <c r="DF123" s="1921"/>
      <c r="DG123" s="1921"/>
      <c r="DH123" s="1921"/>
      <c r="DI123" s="1921"/>
      <c r="DJ123" s="1921"/>
      <c r="DK123" s="1921"/>
      <c r="DL123" s="1921"/>
      <c r="DM123" s="1921"/>
      <c r="DN123" s="1921"/>
      <c r="DO123" s="1921"/>
    </row>
    <row r="124" spans="2:119" ht="39.5" customHeight="1" x14ac:dyDescent="0.2">
      <c r="B124" s="1781"/>
      <c r="C124" s="1951" t="str">
        <f>'2.LUC'!C58</f>
        <v>User notes</v>
      </c>
      <c r="D124" s="1781"/>
      <c r="E124" s="1780" t="str">
        <f>Languages!B195</f>
        <v xml:space="preserve">Cultivation period </v>
      </c>
      <c r="F124" s="1781"/>
      <c r="G124" s="1933" t="str">
        <f>Languages!B194</f>
        <v>During</v>
      </c>
      <c r="H124" s="1949"/>
      <c r="I124" s="1933" t="str">
        <f>Languages!B197</f>
        <v xml:space="preserve">Before </v>
      </c>
      <c r="J124" s="1928"/>
      <c r="K124" s="1929" t="str">
        <f>Languages!B198</f>
        <v>Organic</v>
      </c>
      <c r="L124" s="1781"/>
      <c r="M124" s="1805" t="str">
        <f>M113</f>
        <v>Yield</v>
      </c>
      <c r="N124" s="1781"/>
      <c r="O124" s="1943"/>
      <c r="P124" s="1943"/>
      <c r="Q124" s="1877"/>
      <c r="R124" s="1877"/>
      <c r="S124" s="1877"/>
      <c r="T124" s="1877"/>
      <c r="U124" s="1877"/>
      <c r="V124" s="1947"/>
      <c r="W124" s="1832"/>
      <c r="X124" s="1943"/>
      <c r="Y124" s="1781"/>
      <c r="Z124" s="1832"/>
      <c r="AP124" s="1782"/>
      <c r="AQ124" s="1782"/>
      <c r="AR124" s="1886" t="str">
        <f>AR113</f>
        <v xml:space="preserve">Cultivation period </v>
      </c>
      <c r="AS124" s="1784"/>
      <c r="AT124" s="1934" t="str">
        <f>AT113</f>
        <v xml:space="preserve">Soil carbon </v>
      </c>
      <c r="AU124" s="1784"/>
      <c r="AV124" s="1887" t="str">
        <f>BB64</f>
        <v>Land-use factor</v>
      </c>
      <c r="AW124" s="1800"/>
      <c r="AX124" s="4300" t="str">
        <f>AX113</f>
        <v>baseline EF, continously flooded rice w/out organic amendments</v>
      </c>
      <c r="AY124" s="4301"/>
      <c r="AZ124" s="4300" t="str">
        <f>AZ113</f>
        <v>SF, water regime during cultivation period</v>
      </c>
      <c r="BA124" s="4301"/>
      <c r="BB124" s="4300" t="str">
        <f>BB113</f>
        <v>SF, water regime before cultivation period</v>
      </c>
      <c r="BC124" s="4301"/>
      <c r="BD124" s="4300" t="str">
        <f>BD113</f>
        <v>SF, organic amendement applied</v>
      </c>
      <c r="BE124" s="4302"/>
      <c r="BF124" s="2628" t="str">
        <f>BF113</f>
        <v xml:space="preserve">adjusted daily EF </v>
      </c>
      <c r="BG124" s="1935"/>
      <c r="BH124" s="1887" t="str">
        <f>BH113</f>
        <v xml:space="preserve">Rice straw (Main season crop) </v>
      </c>
      <c r="BI124" s="1887"/>
      <c r="BJ124" s="1784"/>
      <c r="BK124" s="1915"/>
      <c r="BL124" s="1996"/>
      <c r="BM124" s="1893"/>
      <c r="BN124" s="1996"/>
      <c r="DF124" s="1921"/>
      <c r="DG124" s="1921"/>
      <c r="DH124" s="1921"/>
      <c r="DI124" s="1921"/>
      <c r="DJ124" s="1921"/>
      <c r="DK124" s="1921"/>
      <c r="DL124" s="1921"/>
      <c r="DM124" s="1921"/>
      <c r="DN124" s="1921"/>
      <c r="DO124" s="1921"/>
    </row>
    <row r="125" spans="2:119" ht="15" customHeight="1" x14ac:dyDescent="0.2">
      <c r="B125" s="1781"/>
      <c r="C125" s="1826"/>
      <c r="D125" s="1781"/>
      <c r="E125" s="1933" t="str">
        <f>Languages!B196</f>
        <v>(days)</v>
      </c>
      <c r="F125" s="1781"/>
      <c r="G125" s="1780" t="str">
        <f>Languages!B195</f>
        <v xml:space="preserve">Cultivation period </v>
      </c>
      <c r="H125" s="1933"/>
      <c r="I125" s="1780" t="str">
        <f>G125</f>
        <v xml:space="preserve">Cultivation period </v>
      </c>
      <c r="J125" s="1928"/>
      <c r="K125" s="1936" t="str">
        <f>Languages!B199</f>
        <v xml:space="preserve"> amendment</v>
      </c>
      <c r="L125" s="1933"/>
      <c r="M125" s="1812" t="str">
        <f>M114</f>
        <v>(t/ha/yr)</v>
      </c>
      <c r="N125" s="1781"/>
      <c r="O125" s="1806"/>
      <c r="P125" s="1806"/>
      <c r="Q125" s="1780" t="s">
        <v>219</v>
      </c>
      <c r="R125" s="1780" t="str">
        <f>R66</f>
        <v>Without</v>
      </c>
      <c r="S125" s="1826"/>
      <c r="T125" s="1780" t="str">
        <f>T66</f>
        <v>With</v>
      </c>
      <c r="U125" s="1826"/>
      <c r="V125" s="1826"/>
      <c r="W125" s="1780" t="str">
        <f>W66</f>
        <v>Without</v>
      </c>
      <c r="X125" s="1780" t="str">
        <f>X66</f>
        <v>With</v>
      </c>
      <c r="Y125" s="1781"/>
      <c r="Z125" s="1780" t="str">
        <f>Z66</f>
        <v>Balance</v>
      </c>
      <c r="AP125" s="1937" t="str">
        <f>Languages!B206</f>
        <v>Flooded rice syst remaining rice systems</v>
      </c>
      <c r="AQ125" s="1784"/>
      <c r="AR125" s="1938" t="str">
        <f>AR114</f>
        <v>(days)</v>
      </c>
      <c r="AS125" s="1784"/>
      <c r="AT125" s="1938" t="s">
        <v>62</v>
      </c>
      <c r="AU125" s="1784"/>
      <c r="AV125" s="1784"/>
      <c r="AW125" s="1784"/>
      <c r="AX125" s="1888" t="s">
        <v>434</v>
      </c>
      <c r="AY125" s="1795"/>
      <c r="AZ125" s="1939" t="s">
        <v>435</v>
      </c>
      <c r="BA125" s="1800"/>
      <c r="BB125" s="1934" t="s">
        <v>436</v>
      </c>
      <c r="BC125" s="1800"/>
      <c r="BD125" s="1889" t="s">
        <v>437</v>
      </c>
      <c r="BE125" s="1887"/>
      <c r="BF125" s="1939" t="s">
        <v>438</v>
      </c>
      <c r="BG125" s="1784"/>
      <c r="BH125" s="1800" t="s">
        <v>192</v>
      </c>
      <c r="BI125" s="1784"/>
      <c r="BJ125" s="1784"/>
      <c r="BK125" s="1915"/>
      <c r="BL125" s="1996"/>
      <c r="BM125" s="1893"/>
      <c r="BN125" s="1996"/>
      <c r="DF125" s="1921"/>
      <c r="DG125" s="1921"/>
      <c r="DH125" s="1921"/>
      <c r="DI125" s="1921"/>
      <c r="DJ125" s="1921"/>
      <c r="DK125" s="1921"/>
      <c r="DL125" s="1921"/>
      <c r="DM125" s="1921"/>
      <c r="DN125" s="1921"/>
      <c r="DO125" s="1921"/>
    </row>
    <row r="126" spans="2:119" ht="15" customHeight="1" x14ac:dyDescent="0.2">
      <c r="B126" s="1781"/>
      <c r="C126" s="1781"/>
      <c r="D126" s="1781"/>
      <c r="E126" s="1952"/>
      <c r="F126" s="1781"/>
      <c r="G126" s="1948"/>
      <c r="H126" s="1806"/>
      <c r="I126" s="1780"/>
      <c r="J126" s="1781"/>
      <c r="K126" s="1953"/>
      <c r="L126" s="1806"/>
      <c r="M126" s="1806"/>
      <c r="N126" s="1781"/>
      <c r="O126" s="1781"/>
      <c r="P126" s="1781"/>
      <c r="Q126" s="1781"/>
      <c r="R126" s="1781"/>
      <c r="S126" s="1849" t="s">
        <v>83</v>
      </c>
      <c r="T126" s="1781"/>
      <c r="U126" s="1781" t="s">
        <v>83</v>
      </c>
      <c r="V126" s="1781"/>
      <c r="W126" s="1781"/>
      <c r="X126" s="1781"/>
      <c r="Y126" s="1781"/>
      <c r="Z126" s="1781"/>
      <c r="AP126" s="1800" t="str">
        <f>C114</f>
        <v>Description</v>
      </c>
      <c r="AQ126" s="1784"/>
      <c r="AR126" s="1795" t="str">
        <f>AR115</f>
        <v>Default</v>
      </c>
      <c r="AS126" s="1795" t="str">
        <f>AS115</f>
        <v>Tier 2</v>
      </c>
      <c r="AT126" s="1797" t="str">
        <f>AR126</f>
        <v>Default</v>
      </c>
      <c r="AU126" s="1795" t="str">
        <f>AS126</f>
        <v>Tier 2</v>
      </c>
      <c r="AV126" s="1797" t="str">
        <f t="shared" ref="AV126:BE126" si="10">AT126</f>
        <v>Default</v>
      </c>
      <c r="AW126" s="1795" t="str">
        <f t="shared" si="10"/>
        <v>Tier 2</v>
      </c>
      <c r="AX126" s="1797" t="str">
        <f t="shared" si="10"/>
        <v>Default</v>
      </c>
      <c r="AY126" s="1795" t="str">
        <f t="shared" si="10"/>
        <v>Tier 2</v>
      </c>
      <c r="AZ126" s="1797" t="str">
        <f t="shared" si="10"/>
        <v>Default</v>
      </c>
      <c r="BA126" s="1795" t="str">
        <f t="shared" si="10"/>
        <v>Tier 2</v>
      </c>
      <c r="BB126" s="1795" t="str">
        <f t="shared" si="10"/>
        <v>Default</v>
      </c>
      <c r="BC126" s="1795" t="str">
        <f t="shared" si="10"/>
        <v>Tier 2</v>
      </c>
      <c r="BD126" s="1795" t="str">
        <f t="shared" si="10"/>
        <v>Default</v>
      </c>
      <c r="BE126" s="1795" t="str">
        <f t="shared" si="10"/>
        <v>Tier 2</v>
      </c>
      <c r="BF126" s="1795" t="str">
        <f>BD126</f>
        <v>Default</v>
      </c>
      <c r="BG126" s="1801" t="str">
        <f>BE126</f>
        <v>Tier 2</v>
      </c>
      <c r="BH126" s="1795" t="str">
        <f>BF126</f>
        <v>Default</v>
      </c>
      <c r="BI126" s="1795" t="str">
        <f>BG126</f>
        <v>Tier 2</v>
      </c>
      <c r="BJ126" s="1784"/>
      <c r="BK126" s="1915"/>
      <c r="BL126" s="4363"/>
      <c r="BM126" s="1996"/>
      <c r="BN126" s="1996"/>
      <c r="DF126" s="1921"/>
      <c r="DG126" s="1921"/>
      <c r="DH126" s="1921"/>
      <c r="DI126" s="1921"/>
      <c r="DJ126" s="1921"/>
      <c r="DK126" s="1921"/>
      <c r="DL126" s="1921"/>
      <c r="DM126" s="1921"/>
      <c r="DN126" s="1921"/>
      <c r="DO126" s="1921"/>
    </row>
    <row r="127" spans="2:119" ht="15" customHeight="1" x14ac:dyDescent="0.2">
      <c r="B127" s="1781"/>
      <c r="C127" s="4101"/>
      <c r="D127" s="1781"/>
      <c r="E127" s="4445">
        <f>IF(AS127="", IF(continent_selected&lt;&gt;"Please select", VLOOKUP(continent_selected, IPCC!$A$515:$C$530, 3, FALSE),0), AS127)</f>
        <v>123</v>
      </c>
      <c r="F127" s="1781"/>
      <c r="G127" s="2349" t="s">
        <v>1522</v>
      </c>
      <c r="H127" s="1954"/>
      <c r="I127" s="2131" t="s">
        <v>1526</v>
      </c>
      <c r="J127" s="1781"/>
      <c r="K127" s="4099" t="s">
        <v>738</v>
      </c>
      <c r="L127" s="1806"/>
      <c r="M127" s="4097">
        <v>50</v>
      </c>
      <c r="N127" s="1781"/>
      <c r="O127" s="1781"/>
      <c r="P127" s="1781"/>
      <c r="Q127" s="4087">
        <v>12</v>
      </c>
      <c r="R127" s="2128">
        <v>0</v>
      </c>
      <c r="S127" s="2104" t="s">
        <v>86</v>
      </c>
      <c r="T127" s="2126">
        <v>0</v>
      </c>
      <c r="U127" s="2104" t="s">
        <v>86</v>
      </c>
      <c r="V127" s="1781"/>
      <c r="W127" s="1815">
        <f>rice!T34</f>
        <v>256.33910400000002</v>
      </c>
      <c r="X127" s="1815">
        <f>rice!U34</f>
        <v>256.33910400000002</v>
      </c>
      <c r="Y127" s="1839"/>
      <c r="Z127" s="1812">
        <f>rice!V34</f>
        <v>0</v>
      </c>
      <c r="AP127" s="1800" t="str">
        <f t="shared" ref="AP127:AP136" si="11">IF($C127 &lt;&gt;"", $C127, "")</f>
        <v/>
      </c>
      <c r="AQ127" s="1809"/>
      <c r="AR127" s="1795">
        <f>IF(continent_selected&lt;&gt;"Please select", VLOOKUP(continent_selected, IPCC!$A$515:$C$530, 3, FALSE),0)</f>
        <v>123</v>
      </c>
      <c r="AS127" s="4105"/>
      <c r="AT127" s="1817">
        <f t="shared" ref="AT127:AT136" si="12">_xlfn.IFNA(IF($G127 &lt;&gt;"Please select", SOCref,),)</f>
        <v>24</v>
      </c>
      <c r="AU127" s="4105"/>
      <c r="AV127" s="1817">
        <f>IF($G127&lt;&gt;"Please select", IPCC!$C$59, 0)</f>
        <v>1.35</v>
      </c>
      <c r="AW127" s="4105"/>
      <c r="AX127" s="1795">
        <f>VLOOKUP(continent_selected, IPCC!$A$512:$B$530, 2, FALSE)</f>
        <v>1.56</v>
      </c>
      <c r="AY127" s="4105"/>
      <c r="AZ127" s="1817">
        <f>IF($G127&lt;&gt;"Please select", VLOOKUP($G127, IPCC!$E$512:$F$518, 2, FALSE),0)</f>
        <v>1</v>
      </c>
      <c r="BA127" s="4105"/>
      <c r="BB127" s="1817">
        <f>IF($I127&lt;&gt;"Please select", VLOOKUP($I127, IPCC!$E$525:$F$527,2, FALSE),0)</f>
        <v>0.89</v>
      </c>
      <c r="BC127" s="4105"/>
      <c r="BD127" s="1817">
        <f>IF($K127&lt;&gt;"Please select",1+(IF(ISBLANK($BI127), $BH127, $BI127))*IF($K127&lt;&gt;"Please select",VLOOKUP($K127,IPCC!$J$512:$K$518,2,FALSE)))^0.59</f>
        <v>1</v>
      </c>
      <c r="BE127" s="4105"/>
      <c r="BF127" s="1817">
        <f t="shared" ref="BF127:BF136" si="13">IF(AND($Q127=0, $R127=0, $T127=0), 0, IF(ISBLANK($AY127),$AX127, $AY127)*IF(ISBLANK($BA127),$AZ127, $BA127)*IF(ISBLANK($BC127),$BB127,$BC127)*IF(ISBLANK($BE127),$BD127,$BE127))</f>
        <v>1.3884000000000001</v>
      </c>
      <c r="BG127" s="4105"/>
      <c r="BH127" s="1817">
        <f>IF(AND($Q127=0, $R127=0, $T127=0),0, rice!H14*IPCC!$B$21+IPCC!$C$21)</f>
        <v>49.96</v>
      </c>
      <c r="BI127" s="4105"/>
      <c r="BJ127" s="1941"/>
      <c r="BK127" s="1915"/>
      <c r="BL127" s="4363">
        <v>1</v>
      </c>
      <c r="BM127" s="4364"/>
      <c r="BN127" s="1996"/>
    </row>
    <row r="128" spans="2:119" ht="15" customHeight="1" x14ac:dyDescent="0.2">
      <c r="B128" s="1781"/>
      <c r="C128" s="4102"/>
      <c r="D128" s="1781"/>
      <c r="E128" s="4445">
        <f>IF(AS128="", IF(continent_selected&lt;&gt;"Please select", VLOOKUP(continent_selected, IPCC!$A$515:$C$530, 3, FALSE),0), AS128)</f>
        <v>123</v>
      </c>
      <c r="F128" s="1781"/>
      <c r="G128" s="2349" t="s">
        <v>1522</v>
      </c>
      <c r="H128" s="1954"/>
      <c r="I128" s="2131" t="s">
        <v>1526</v>
      </c>
      <c r="J128" s="1781"/>
      <c r="K128" s="4099" t="s">
        <v>738</v>
      </c>
      <c r="L128" s="1806"/>
      <c r="M128" s="4097">
        <v>50</v>
      </c>
      <c r="N128" s="1781"/>
      <c r="O128" s="1781"/>
      <c r="P128" s="1781"/>
      <c r="Q128" s="4087">
        <v>0</v>
      </c>
      <c r="R128" s="2128">
        <v>12</v>
      </c>
      <c r="S128" s="2104" t="s">
        <v>86</v>
      </c>
      <c r="T128" s="2126">
        <v>0</v>
      </c>
      <c r="U128" s="2104" t="s">
        <v>86</v>
      </c>
      <c r="V128" s="1781"/>
      <c r="W128" s="1815">
        <f>rice!T35</f>
        <v>1281.6955200000002</v>
      </c>
      <c r="X128" s="1815">
        <f>rice!U35</f>
        <v>0</v>
      </c>
      <c r="Y128" s="1839"/>
      <c r="Z128" s="1812">
        <f>rice!V35</f>
        <v>-1281.6955200000002</v>
      </c>
      <c r="AP128" s="1800" t="str">
        <f t="shared" si="11"/>
        <v/>
      </c>
      <c r="AQ128" s="1809"/>
      <c r="AR128" s="1795">
        <f>IF(continent_selected&lt;&gt;"Please select", VLOOKUP(continent_selected, IPCC!$A$515:$C$530, 3, FALSE),0)</f>
        <v>123</v>
      </c>
      <c r="AS128" s="4105"/>
      <c r="AT128" s="1817">
        <f t="shared" si="12"/>
        <v>24</v>
      </c>
      <c r="AU128" s="4105"/>
      <c r="AV128" s="1817">
        <f>IF($G128&lt;&gt;"Please select", IPCC!$C$59, 0)</f>
        <v>1.35</v>
      </c>
      <c r="AW128" s="4105"/>
      <c r="AX128" s="1795">
        <f>VLOOKUP(continent_selected, IPCC!$A$512:$B$530, 2, FALSE)</f>
        <v>1.56</v>
      </c>
      <c r="AY128" s="4105"/>
      <c r="AZ128" s="1817">
        <f>IF($G128&lt;&gt;"Please select", VLOOKUP($G128, IPCC!$E$512:$F$518, 2, FALSE),0)</f>
        <v>1</v>
      </c>
      <c r="BA128" s="4105"/>
      <c r="BB128" s="1817">
        <f>IF($I128&lt;&gt;"Please select", VLOOKUP($I128, IPCC!$E$525:$F$527,2, FALSE),0)</f>
        <v>0.89</v>
      </c>
      <c r="BC128" s="4105"/>
      <c r="BD128" s="1817">
        <f>IF($K128&lt;&gt;"Please select",1+(IF(ISBLANK($BI128), $BH128, $BI128))*IF($K128&lt;&gt;"Please select",VLOOKUP($K128,IPCC!$J$512:$K$518,2,FALSE)))^0.59</f>
        <v>1</v>
      </c>
      <c r="BE128" s="4105"/>
      <c r="BF128" s="1817">
        <f>IF(AND($Q128=0, $R128=0, $T128=0), 0, IF(ISBLANK($AY128),$AX128, $AY128)*IF(ISBLANK($BA128),$AZ128, $BA128)*IF(ISBLANK($BC128),$BB128,$BC128)*IF(ISBLANK($BE128),$BD128,$BE128))</f>
        <v>1.3884000000000001</v>
      </c>
      <c r="BG128" s="4105"/>
      <c r="BH128" s="1817">
        <f>IF(AND($Q128=0, $R128=0, $T128=0),0, rice!H15*IPCC!$B$21+IPCC!$C$21)</f>
        <v>49.96</v>
      </c>
      <c r="BI128" s="4105"/>
      <c r="BJ128" s="1847"/>
      <c r="BK128" s="1915"/>
      <c r="BL128" s="4363">
        <v>1</v>
      </c>
      <c r="BM128" s="4364"/>
      <c r="BN128" s="1996"/>
    </row>
    <row r="129" spans="2:66" ht="15" customHeight="1" x14ac:dyDescent="0.2">
      <c r="B129" s="1781"/>
      <c r="C129" s="4102"/>
      <c r="D129" s="1781"/>
      <c r="E129" s="4445">
        <f>IF(AS129="", IF(continent_selected&lt;&gt;"Please select", VLOOKUP(continent_selected, IPCC!$A$515:$C$530, 3, FALSE),0), AS129)</f>
        <v>123</v>
      </c>
      <c r="F129" s="1781"/>
      <c r="G129" s="2349" t="s">
        <v>1522</v>
      </c>
      <c r="H129" s="1954"/>
      <c r="I129" s="2131" t="s">
        <v>1526</v>
      </c>
      <c r="J129" s="1781"/>
      <c r="K129" s="4099" t="s">
        <v>738</v>
      </c>
      <c r="L129" s="1806"/>
      <c r="M129" s="4097">
        <v>50</v>
      </c>
      <c r="N129" s="1781"/>
      <c r="O129" s="1781"/>
      <c r="P129" s="1781"/>
      <c r="Q129" s="4087">
        <v>0</v>
      </c>
      <c r="R129" s="2128">
        <v>0</v>
      </c>
      <c r="S129" s="2104" t="s">
        <v>86</v>
      </c>
      <c r="T129" s="2126">
        <v>12</v>
      </c>
      <c r="U129" s="2104" t="s">
        <v>86</v>
      </c>
      <c r="V129" s="1781"/>
      <c r="W129" s="1815">
        <f>rice!T36</f>
        <v>0</v>
      </c>
      <c r="X129" s="1815">
        <f>rice!U36</f>
        <v>1281.6955200000002</v>
      </c>
      <c r="Y129" s="1839"/>
      <c r="Z129" s="1812">
        <f>rice!V36</f>
        <v>1281.6955200000002</v>
      </c>
      <c r="AP129" s="1800" t="str">
        <f t="shared" si="11"/>
        <v/>
      </c>
      <c r="AQ129" s="1809"/>
      <c r="AR129" s="1795">
        <f>IF(continent_selected&lt;&gt;"Please select", VLOOKUP(continent_selected, IPCC!$A$515:$C$530, 3, FALSE),0)</f>
        <v>123</v>
      </c>
      <c r="AS129" s="4105"/>
      <c r="AT129" s="1817">
        <f t="shared" si="12"/>
        <v>24</v>
      </c>
      <c r="AU129" s="4105"/>
      <c r="AV129" s="1817">
        <f>IF($G129&lt;&gt;"Please select", IPCC!$C$59, 0)</f>
        <v>1.35</v>
      </c>
      <c r="AW129" s="4105"/>
      <c r="AX129" s="1795">
        <f>VLOOKUP(continent_selected, IPCC!$A$512:$B$530, 2, FALSE)</f>
        <v>1.56</v>
      </c>
      <c r="AY129" s="4105"/>
      <c r="AZ129" s="1817">
        <f>IF($G129&lt;&gt;"Please select", VLOOKUP($G129, IPCC!$E$512:$F$518, 2, FALSE),0)</f>
        <v>1</v>
      </c>
      <c r="BA129" s="4105"/>
      <c r="BB129" s="1817">
        <f>IF($I129&lt;&gt;"Please select", VLOOKUP($I129, IPCC!$E$525:$F$527,2, FALSE),0)</f>
        <v>0.89</v>
      </c>
      <c r="BC129" s="4105"/>
      <c r="BD129" s="1817">
        <f>IF($K129&lt;&gt;"Please select",1+(IF(ISBLANK($BI129), $BH129, $BI129))*IF($K129&lt;&gt;"Please select",VLOOKUP($K129,IPCC!$J$512:$K$518,2,FALSE)))^0.59</f>
        <v>1</v>
      </c>
      <c r="BE129" s="4105"/>
      <c r="BF129" s="1817">
        <f t="shared" si="13"/>
        <v>1.3884000000000001</v>
      </c>
      <c r="BG129" s="4105"/>
      <c r="BH129" s="1817">
        <f>IF(AND($Q129=0, $R129=0, $T129=0),0, rice!H16*IPCC!$B$21+IPCC!$C$21)</f>
        <v>49.96</v>
      </c>
      <c r="BI129" s="4105"/>
      <c r="BJ129" s="1847"/>
      <c r="BK129" s="1915"/>
      <c r="BL129" s="4363">
        <v>1</v>
      </c>
      <c r="BM129" s="4364"/>
      <c r="BN129" s="1996"/>
    </row>
    <row r="130" spans="2:66" ht="15" customHeight="1" x14ac:dyDescent="0.2">
      <c r="B130" s="1781"/>
      <c r="C130" s="4102"/>
      <c r="D130" s="1781"/>
      <c r="E130" s="4445">
        <f>IF(AS130="", IF(continent_selected&lt;&gt;"Please select", VLOOKUP(continent_selected, IPCC!$A$515:$C$530, 3, FALSE),0), AS130)</f>
        <v>123</v>
      </c>
      <c r="F130" s="1781"/>
      <c r="G130" s="2349" t="s">
        <v>57</v>
      </c>
      <c r="H130" s="1954"/>
      <c r="I130" s="2131" t="s">
        <v>57</v>
      </c>
      <c r="J130" s="1781"/>
      <c r="K130" s="4099" t="s">
        <v>57</v>
      </c>
      <c r="L130" s="1806"/>
      <c r="M130" s="4097"/>
      <c r="N130" s="1781"/>
      <c r="O130" s="1781"/>
      <c r="P130" s="1781"/>
      <c r="Q130" s="4087">
        <v>0</v>
      </c>
      <c r="R130" s="2128">
        <v>0</v>
      </c>
      <c r="S130" s="2104" t="s">
        <v>86</v>
      </c>
      <c r="T130" s="2126">
        <v>0</v>
      </c>
      <c r="U130" s="2104" t="s">
        <v>86</v>
      </c>
      <c r="V130" s="1781"/>
      <c r="W130" s="1815">
        <f>rice!T37</f>
        <v>0</v>
      </c>
      <c r="X130" s="1815">
        <f>rice!U37</f>
        <v>0</v>
      </c>
      <c r="Y130" s="1839"/>
      <c r="Z130" s="1812">
        <f>rice!V37</f>
        <v>0</v>
      </c>
      <c r="AP130" s="1800" t="str">
        <f t="shared" si="11"/>
        <v/>
      </c>
      <c r="AQ130" s="1809"/>
      <c r="AR130" s="1795">
        <f>IF(continent_selected&lt;&gt;"Please select", VLOOKUP(continent_selected, IPCC!$A$515:$C$530, 3, FALSE),0)</f>
        <v>123</v>
      </c>
      <c r="AS130" s="4105"/>
      <c r="AT130" s="1817">
        <f t="shared" si="12"/>
        <v>0</v>
      </c>
      <c r="AU130" s="4105"/>
      <c r="AV130" s="1817">
        <f>IF($G130&lt;&gt;"Please select", IPCC!$C$59, 0)</f>
        <v>0</v>
      </c>
      <c r="AW130" s="4105"/>
      <c r="AX130" s="1795">
        <f>VLOOKUP(continent_selected, IPCC!$A$512:$B$530, 2, FALSE)</f>
        <v>1.56</v>
      </c>
      <c r="AY130" s="4105"/>
      <c r="AZ130" s="1817">
        <f>IF($G130&lt;&gt;"Please select", VLOOKUP($G130, IPCC!$E$512:$F$518, 2, FALSE),0)</f>
        <v>0</v>
      </c>
      <c r="BA130" s="4105"/>
      <c r="BB130" s="1817">
        <f>IF($I130&lt;&gt;"Please select", VLOOKUP($I130, IPCC!$E$525:$F$527,2, FALSE),0)</f>
        <v>0</v>
      </c>
      <c r="BC130" s="4105"/>
      <c r="BD130" s="1817">
        <f>IF($K130&lt;&gt;"Please select",1+(IF(ISBLANK($BI130), $BH130, $BI130))*IF($K130&lt;&gt;"Please select",VLOOKUP($K130,IPCC!$J$512:$K$518,2,FALSE)))^0.59</f>
        <v>0</v>
      </c>
      <c r="BE130" s="4105"/>
      <c r="BF130" s="1817">
        <f t="shared" si="13"/>
        <v>0</v>
      </c>
      <c r="BG130" s="4105"/>
      <c r="BH130" s="1817">
        <f>IF(AND($Q130=0, $R130=0, $T130=0),0, rice!H17*IPCC!$B$21+IPCC!$C$21)</f>
        <v>0</v>
      </c>
      <c r="BI130" s="4105"/>
      <c r="BJ130" s="1784"/>
      <c r="BK130" s="1915"/>
      <c r="BL130" s="4363">
        <v>1</v>
      </c>
      <c r="BM130" s="4364"/>
      <c r="BN130" s="1996"/>
    </row>
    <row r="131" spans="2:66" ht="15" customHeight="1" x14ac:dyDescent="0.2">
      <c r="B131" s="1781"/>
      <c r="C131" s="4102"/>
      <c r="D131" s="1781"/>
      <c r="E131" s="4445">
        <f>IF(AS131="", IF(continent_selected&lt;&gt;"Please select", VLOOKUP(continent_selected, IPCC!$A$515:$C$530, 3, FALSE),0), AS131)</f>
        <v>123</v>
      </c>
      <c r="F131" s="1781"/>
      <c r="G131" s="2349" t="s">
        <v>57</v>
      </c>
      <c r="H131" s="1954"/>
      <c r="I131" s="2131" t="s">
        <v>57</v>
      </c>
      <c r="J131" s="1781"/>
      <c r="K131" s="4099" t="s">
        <v>57</v>
      </c>
      <c r="L131" s="1806"/>
      <c r="M131" s="4097"/>
      <c r="N131" s="1781"/>
      <c r="O131" s="1781"/>
      <c r="P131" s="1781"/>
      <c r="Q131" s="4087">
        <v>0</v>
      </c>
      <c r="R131" s="2128">
        <v>0</v>
      </c>
      <c r="S131" s="2104" t="s">
        <v>86</v>
      </c>
      <c r="T131" s="2126">
        <v>0</v>
      </c>
      <c r="U131" s="2104" t="s">
        <v>86</v>
      </c>
      <c r="V131" s="1781"/>
      <c r="W131" s="1815">
        <f>rice!T38</f>
        <v>0</v>
      </c>
      <c r="X131" s="1815">
        <f>rice!U38</f>
        <v>0</v>
      </c>
      <c r="Y131" s="1839"/>
      <c r="Z131" s="1812">
        <f>rice!V38</f>
        <v>0</v>
      </c>
      <c r="AP131" s="1800" t="str">
        <f t="shared" si="11"/>
        <v/>
      </c>
      <c r="AQ131" s="1809"/>
      <c r="AR131" s="1795">
        <f>IF(continent_selected&lt;&gt;"Please select", VLOOKUP(continent_selected, IPCC!$A$515:$C$530, 3, FALSE),0)</f>
        <v>123</v>
      </c>
      <c r="AS131" s="4105"/>
      <c r="AT131" s="1817">
        <f t="shared" si="12"/>
        <v>0</v>
      </c>
      <c r="AU131" s="4105"/>
      <c r="AV131" s="1817">
        <f>IF($G131&lt;&gt;"Please select", IPCC!$C$59, 0)</f>
        <v>0</v>
      </c>
      <c r="AW131" s="4105"/>
      <c r="AX131" s="1795">
        <f>VLOOKUP(continent_selected, IPCC!$A$512:$B$530, 2, FALSE)</f>
        <v>1.56</v>
      </c>
      <c r="AY131" s="4105"/>
      <c r="AZ131" s="1817">
        <f>IF($G131&lt;&gt;"Please select", VLOOKUP($G131, IPCC!$E$512:$F$518, 2, FALSE),0)</f>
        <v>0</v>
      </c>
      <c r="BA131" s="4105"/>
      <c r="BB131" s="1817">
        <f>IF($I131&lt;&gt;"Please select", VLOOKUP($I131, IPCC!$E$525:$F$527,2, FALSE),0)</f>
        <v>0</v>
      </c>
      <c r="BC131" s="4105"/>
      <c r="BD131" s="1817">
        <f>IF($K131&lt;&gt;"Please select",1+(IF(ISBLANK($BI131), $BH131, $BI131))*IF($K131&lt;&gt;"Please select",VLOOKUP($K131,IPCC!$J$512:$K$518,2,FALSE)))^0.59</f>
        <v>0</v>
      </c>
      <c r="BE131" s="4105"/>
      <c r="BF131" s="1817">
        <f t="shared" si="13"/>
        <v>0</v>
      </c>
      <c r="BG131" s="4105"/>
      <c r="BH131" s="1817">
        <f>IF(AND($Q131=0, $R131=0, $T131=0),0, rice!H18*IPCC!$B$21+IPCC!$C$21)</f>
        <v>0</v>
      </c>
      <c r="BI131" s="4105"/>
      <c r="BJ131" s="1784"/>
      <c r="BK131" s="1915"/>
      <c r="BL131" s="4363">
        <v>1</v>
      </c>
      <c r="BM131" s="4364"/>
      <c r="BN131" s="1996"/>
    </row>
    <row r="132" spans="2:66" ht="15" customHeight="1" x14ac:dyDescent="0.2">
      <c r="B132" s="1781"/>
      <c r="C132" s="4102"/>
      <c r="D132" s="1781"/>
      <c r="E132" s="4445">
        <f>IF(AS132="", IF(continent_selected&lt;&gt;"Please select", VLOOKUP(continent_selected, IPCC!$A$515:$C$530, 3, FALSE),0), AS132)</f>
        <v>123</v>
      </c>
      <c r="F132" s="1781"/>
      <c r="G132" s="2349" t="s">
        <v>57</v>
      </c>
      <c r="H132" s="1954"/>
      <c r="I132" s="2131" t="s">
        <v>57</v>
      </c>
      <c r="J132" s="1781"/>
      <c r="K132" s="4099" t="s">
        <v>57</v>
      </c>
      <c r="L132" s="1806"/>
      <c r="M132" s="4097"/>
      <c r="N132" s="1781"/>
      <c r="O132" s="1781"/>
      <c r="P132" s="1781"/>
      <c r="Q132" s="4087">
        <v>0</v>
      </c>
      <c r="R132" s="2128">
        <v>0</v>
      </c>
      <c r="S132" s="2104" t="s">
        <v>86</v>
      </c>
      <c r="T132" s="2126">
        <v>0</v>
      </c>
      <c r="U132" s="2104" t="s">
        <v>86</v>
      </c>
      <c r="V132" s="1781"/>
      <c r="W132" s="1815">
        <f>rice!T39</f>
        <v>0</v>
      </c>
      <c r="X132" s="1815">
        <f>rice!U39</f>
        <v>0</v>
      </c>
      <c r="Y132" s="1839"/>
      <c r="Z132" s="1812">
        <f>rice!V39</f>
        <v>0</v>
      </c>
      <c r="AP132" s="1800" t="str">
        <f t="shared" si="11"/>
        <v/>
      </c>
      <c r="AQ132" s="1809"/>
      <c r="AR132" s="1795">
        <f>IF(continent_selected&lt;&gt;"Please select", VLOOKUP(continent_selected, IPCC!$A$515:$C$530, 3, FALSE),0)</f>
        <v>123</v>
      </c>
      <c r="AS132" s="4105"/>
      <c r="AT132" s="1817">
        <f t="shared" si="12"/>
        <v>0</v>
      </c>
      <c r="AU132" s="4105"/>
      <c r="AV132" s="1817">
        <f>IF($G132&lt;&gt;"Please select", IPCC!$C$59, 0)</f>
        <v>0</v>
      </c>
      <c r="AW132" s="4105"/>
      <c r="AX132" s="1795">
        <f>VLOOKUP(continent_selected, IPCC!$A$512:$B$530, 2, FALSE)</f>
        <v>1.56</v>
      </c>
      <c r="AY132" s="4105"/>
      <c r="AZ132" s="1817">
        <f>IF($G132&lt;&gt;"Please select", VLOOKUP($G132, IPCC!$E$512:$F$518, 2, FALSE),0)</f>
        <v>0</v>
      </c>
      <c r="BA132" s="4105"/>
      <c r="BB132" s="1817">
        <f>IF($I132&lt;&gt;"Please select", VLOOKUP($I132, IPCC!$E$525:$F$527,2, FALSE),0)</f>
        <v>0</v>
      </c>
      <c r="BC132" s="4105"/>
      <c r="BD132" s="1817">
        <f>IF($K132&lt;&gt;"Please select",1+(IF(ISBLANK($BI132), $BH132, $BI132))*IF($K132&lt;&gt;"Please select",VLOOKUP($K132,IPCC!$J$512:$K$518,2,FALSE)))^0.59</f>
        <v>0</v>
      </c>
      <c r="BE132" s="4105"/>
      <c r="BF132" s="1817">
        <f t="shared" si="13"/>
        <v>0</v>
      </c>
      <c r="BG132" s="4105"/>
      <c r="BH132" s="1817">
        <f>IF(AND($Q132=0, $R132=0, $T132=0),0, rice!H19*IPCC!$B$21+IPCC!$C$21)</f>
        <v>0</v>
      </c>
      <c r="BI132" s="4105"/>
      <c r="BJ132" s="1941"/>
      <c r="BK132" s="1915"/>
      <c r="BL132" s="4363">
        <v>1</v>
      </c>
      <c r="BM132" s="4364"/>
      <c r="BN132" s="1996"/>
    </row>
    <row r="133" spans="2:66" ht="15" customHeight="1" x14ac:dyDescent="0.2">
      <c r="B133" s="1781"/>
      <c r="C133" s="4102"/>
      <c r="D133" s="1781"/>
      <c r="E133" s="4445">
        <f>IF(AS133="", IF(continent_selected&lt;&gt;"Please select", VLOOKUP(continent_selected, IPCC!$A$515:$C$530, 3, FALSE),0), AS133)</f>
        <v>123</v>
      </c>
      <c r="F133" s="1781"/>
      <c r="G133" s="2349" t="s">
        <v>57</v>
      </c>
      <c r="H133" s="1954"/>
      <c r="I133" s="2131" t="s">
        <v>57</v>
      </c>
      <c r="J133" s="1781"/>
      <c r="K133" s="4099" t="s">
        <v>57</v>
      </c>
      <c r="L133" s="1806"/>
      <c r="M133" s="4097"/>
      <c r="N133" s="1781"/>
      <c r="O133" s="1781"/>
      <c r="P133" s="1781"/>
      <c r="Q133" s="4087">
        <v>0</v>
      </c>
      <c r="R133" s="2128">
        <v>0</v>
      </c>
      <c r="S133" s="2104" t="s">
        <v>86</v>
      </c>
      <c r="T133" s="2126">
        <v>0</v>
      </c>
      <c r="U133" s="2104" t="s">
        <v>86</v>
      </c>
      <c r="V133" s="1781"/>
      <c r="W133" s="1815">
        <f>rice!T40</f>
        <v>0</v>
      </c>
      <c r="X133" s="1815">
        <f>rice!U40</f>
        <v>0</v>
      </c>
      <c r="Y133" s="1839"/>
      <c r="Z133" s="1812">
        <f>rice!V40</f>
        <v>0</v>
      </c>
      <c r="AP133" s="1800" t="str">
        <f t="shared" si="11"/>
        <v/>
      </c>
      <c r="AQ133" s="1809"/>
      <c r="AR133" s="1795">
        <f>IF(continent_selected&lt;&gt;"Please select", VLOOKUP(continent_selected, IPCC!$A$515:$C$530, 3, FALSE),0)</f>
        <v>123</v>
      </c>
      <c r="AS133" s="4105"/>
      <c r="AT133" s="1817">
        <f t="shared" si="12"/>
        <v>0</v>
      </c>
      <c r="AU133" s="4105"/>
      <c r="AV133" s="1817">
        <f>IF($G133&lt;&gt;"Please select", IPCC!$C$59, 0)</f>
        <v>0</v>
      </c>
      <c r="AW133" s="4105"/>
      <c r="AX133" s="1795">
        <f>VLOOKUP(continent_selected, IPCC!$A$512:$B$530, 2, FALSE)</f>
        <v>1.56</v>
      </c>
      <c r="AY133" s="4105"/>
      <c r="AZ133" s="1817">
        <f>IF($G133&lt;&gt;"Please select", VLOOKUP($G133, IPCC!$E$512:$F$518, 2, FALSE),0)</f>
        <v>0</v>
      </c>
      <c r="BA133" s="4105"/>
      <c r="BB133" s="1817">
        <f>IF($I133&lt;&gt;"Please select", VLOOKUP($I133, IPCC!$E$525:$F$527,2, FALSE),0)</f>
        <v>0</v>
      </c>
      <c r="BC133" s="4105"/>
      <c r="BD133" s="1817">
        <f>IF($K133&lt;&gt;"Please select",1+(IF(ISBLANK($BI133), $BH133, $BI133))*IF($K133&lt;&gt;"Please select",VLOOKUP($K133,IPCC!$J$512:$K$518,2,FALSE)))^0.59</f>
        <v>0</v>
      </c>
      <c r="BE133" s="4105"/>
      <c r="BF133" s="1817">
        <f t="shared" si="13"/>
        <v>0</v>
      </c>
      <c r="BG133" s="4105"/>
      <c r="BH133" s="1817">
        <f>IF(AND($Q133=0, $R133=0, $T133=0),0, rice!H20*IPCC!$B$21+IPCC!$C$21)</f>
        <v>0</v>
      </c>
      <c r="BI133" s="4105"/>
      <c r="BJ133" s="1847"/>
      <c r="BK133" s="1915"/>
      <c r="BL133" s="4363">
        <v>1</v>
      </c>
      <c r="BM133" s="4364"/>
      <c r="BN133" s="1996"/>
    </row>
    <row r="134" spans="2:66" ht="15" customHeight="1" x14ac:dyDescent="0.2">
      <c r="B134" s="1781"/>
      <c r="C134" s="4102"/>
      <c r="D134" s="1781"/>
      <c r="E134" s="4445">
        <f>IF(AS134="", IF(continent_selected&lt;&gt;"Please select", VLOOKUP(continent_selected, IPCC!$A$515:$C$530, 3, FALSE),0), AS134)</f>
        <v>123</v>
      </c>
      <c r="F134" s="1781"/>
      <c r="G134" s="2349" t="s">
        <v>57</v>
      </c>
      <c r="H134" s="1954"/>
      <c r="I134" s="2131" t="s">
        <v>57</v>
      </c>
      <c r="J134" s="1781"/>
      <c r="K134" s="4099" t="s">
        <v>57</v>
      </c>
      <c r="L134" s="1806"/>
      <c r="M134" s="4097"/>
      <c r="N134" s="1781"/>
      <c r="O134" s="1781"/>
      <c r="P134" s="1781"/>
      <c r="Q134" s="4087">
        <v>0</v>
      </c>
      <c r="R134" s="2128">
        <v>0</v>
      </c>
      <c r="S134" s="2104" t="s">
        <v>86</v>
      </c>
      <c r="T134" s="2126">
        <v>0</v>
      </c>
      <c r="U134" s="2104" t="s">
        <v>86</v>
      </c>
      <c r="V134" s="1781"/>
      <c r="W134" s="1815">
        <f>rice!T41</f>
        <v>0</v>
      </c>
      <c r="X134" s="1815">
        <f>rice!U41</f>
        <v>0</v>
      </c>
      <c r="Y134" s="1839"/>
      <c r="Z134" s="1812">
        <f>rice!V41</f>
        <v>0</v>
      </c>
      <c r="AP134" s="1800" t="str">
        <f t="shared" si="11"/>
        <v/>
      </c>
      <c r="AQ134" s="1809"/>
      <c r="AR134" s="1795">
        <f>IF(continent_selected&lt;&gt;"Please select", VLOOKUP(continent_selected, IPCC!$A$515:$C$530, 3, FALSE),0)</f>
        <v>123</v>
      </c>
      <c r="AS134" s="4105"/>
      <c r="AT134" s="1817">
        <f t="shared" si="12"/>
        <v>0</v>
      </c>
      <c r="AU134" s="4105"/>
      <c r="AV134" s="1817">
        <f>IF($G134&lt;&gt;"Please select", IPCC!$C$59, 0)</f>
        <v>0</v>
      </c>
      <c r="AW134" s="4105"/>
      <c r="AX134" s="1795">
        <f>VLOOKUP(continent_selected, IPCC!$A$512:$B$530, 2, FALSE)</f>
        <v>1.56</v>
      </c>
      <c r="AY134" s="4105"/>
      <c r="AZ134" s="1817">
        <f>IF($G134&lt;&gt;"Please select", VLOOKUP($G134, IPCC!$E$512:$F$518, 2, FALSE),0)</f>
        <v>0</v>
      </c>
      <c r="BA134" s="4105"/>
      <c r="BB134" s="1817">
        <f>IF($I134&lt;&gt;"Please select", VLOOKUP($I134, IPCC!$E$525:$F$527,2, FALSE),0)</f>
        <v>0</v>
      </c>
      <c r="BC134" s="4105"/>
      <c r="BD134" s="1817">
        <f>IF($K134&lt;&gt;"Please select",1+(IF(ISBLANK($BI134), $BH134, $BI134))*IF($K134&lt;&gt;"Please select",VLOOKUP($K134,IPCC!$J$512:$K$518,2,FALSE)))^0.59</f>
        <v>0</v>
      </c>
      <c r="BE134" s="4105"/>
      <c r="BF134" s="1817">
        <f t="shared" si="13"/>
        <v>0</v>
      </c>
      <c r="BG134" s="4105"/>
      <c r="BH134" s="1817">
        <f>IF(AND($Q134=0, $R134=0, $T134=0),0, rice!H21*IPCC!$B$21+IPCC!$C$21)</f>
        <v>0</v>
      </c>
      <c r="BI134" s="4105"/>
      <c r="BJ134" s="1847"/>
      <c r="BK134" s="1915"/>
      <c r="BL134" s="4363">
        <v>1</v>
      </c>
      <c r="BM134" s="4364"/>
      <c r="BN134" s="1996"/>
    </row>
    <row r="135" spans="2:66" ht="15" customHeight="1" x14ac:dyDescent="0.2">
      <c r="B135" s="1781"/>
      <c r="C135" s="4102"/>
      <c r="D135" s="1781"/>
      <c r="E135" s="4445">
        <f>IF(AS135="", IF(continent_selected&lt;&gt;"Please select", VLOOKUP(continent_selected, IPCC!$A$515:$C$530, 3, FALSE),0), AS135)</f>
        <v>123</v>
      </c>
      <c r="F135" s="1781"/>
      <c r="G135" s="2349" t="s">
        <v>57</v>
      </c>
      <c r="H135" s="1954"/>
      <c r="I135" s="2131" t="s">
        <v>57</v>
      </c>
      <c r="J135" s="1781"/>
      <c r="K135" s="4099" t="s">
        <v>57</v>
      </c>
      <c r="L135" s="1806"/>
      <c r="M135" s="4097"/>
      <c r="N135" s="1781"/>
      <c r="O135" s="1781"/>
      <c r="P135" s="1781"/>
      <c r="Q135" s="4087">
        <v>0</v>
      </c>
      <c r="R135" s="2128">
        <v>0</v>
      </c>
      <c r="S135" s="2104" t="s">
        <v>86</v>
      </c>
      <c r="T135" s="2126">
        <v>0</v>
      </c>
      <c r="U135" s="2104" t="s">
        <v>86</v>
      </c>
      <c r="V135" s="1781"/>
      <c r="W135" s="1815">
        <f>rice!T42</f>
        <v>0</v>
      </c>
      <c r="X135" s="1815">
        <f>rice!U42</f>
        <v>0</v>
      </c>
      <c r="Y135" s="1839"/>
      <c r="Z135" s="1812">
        <f>rice!V42</f>
        <v>0</v>
      </c>
      <c r="AP135" s="1800" t="str">
        <f t="shared" si="11"/>
        <v/>
      </c>
      <c r="AQ135" s="1809"/>
      <c r="AR135" s="1795">
        <f>IF(continent_selected&lt;&gt;"Please select", VLOOKUP(continent_selected, IPCC!$A$515:$C$530, 3, FALSE),0)</f>
        <v>123</v>
      </c>
      <c r="AS135" s="4105"/>
      <c r="AT135" s="1817">
        <f t="shared" si="12"/>
        <v>0</v>
      </c>
      <c r="AU135" s="4105"/>
      <c r="AV135" s="1817">
        <f>IF($G135&lt;&gt;"Please select", IPCC!$C$59, 0)</f>
        <v>0</v>
      </c>
      <c r="AW135" s="4105"/>
      <c r="AX135" s="1795">
        <f>VLOOKUP(continent_selected, IPCC!$A$512:$B$530, 2, FALSE)</f>
        <v>1.56</v>
      </c>
      <c r="AY135" s="4105"/>
      <c r="AZ135" s="1817">
        <f>IF($G135&lt;&gt;"Please select", VLOOKUP($G135, IPCC!$E$512:$F$518, 2, FALSE),0)</f>
        <v>0</v>
      </c>
      <c r="BA135" s="4105"/>
      <c r="BB135" s="1817">
        <f>IF($I135&lt;&gt;"Please select", VLOOKUP($I135, IPCC!$E$525:$F$527,2, FALSE),0)</f>
        <v>0</v>
      </c>
      <c r="BC135" s="4105"/>
      <c r="BD135" s="1817">
        <f>IF($K135&lt;&gt;"Please select",1+(IF(ISBLANK($BI135), $BH135, $BI135))*IF($K135&lt;&gt;"Please select",VLOOKUP($K135,IPCC!$J$512:$K$518,2,FALSE)))^0.59</f>
        <v>0</v>
      </c>
      <c r="BE135" s="4105"/>
      <c r="BF135" s="1817">
        <f t="shared" si="13"/>
        <v>0</v>
      </c>
      <c r="BG135" s="4105"/>
      <c r="BH135" s="1817">
        <f>IF(AND($Q135=0, $R135=0, $T135=0),0, rice!H22*IPCC!$B$21+IPCC!$C$21)</f>
        <v>0</v>
      </c>
      <c r="BI135" s="4105"/>
      <c r="BJ135" s="1784"/>
      <c r="BK135" s="1915"/>
      <c r="BL135" s="4363">
        <v>1</v>
      </c>
      <c r="BM135" s="4364"/>
      <c r="BN135" s="1996"/>
    </row>
    <row r="136" spans="2:66" ht="15" customHeight="1" x14ac:dyDescent="0.2">
      <c r="B136" s="1781"/>
      <c r="C136" s="4103"/>
      <c r="D136" s="1781"/>
      <c r="E136" s="4445">
        <f>IF(AS136="", IF(continent_selected&lt;&gt;"Please select", VLOOKUP(continent_selected, IPCC!$A$515:$C$530, 3, FALSE),0), AS136)</f>
        <v>123</v>
      </c>
      <c r="F136" s="1781"/>
      <c r="G136" s="2349" t="s">
        <v>57</v>
      </c>
      <c r="H136" s="1954"/>
      <c r="I136" s="2131" t="s">
        <v>57</v>
      </c>
      <c r="J136" s="1781"/>
      <c r="K136" s="4099" t="s">
        <v>57</v>
      </c>
      <c r="L136" s="1806"/>
      <c r="M136" s="4097"/>
      <c r="N136" s="1781"/>
      <c r="O136" s="1781"/>
      <c r="P136" s="1781"/>
      <c r="Q136" s="4087">
        <v>0</v>
      </c>
      <c r="R136" s="2128">
        <v>0</v>
      </c>
      <c r="S136" s="2104" t="s">
        <v>86</v>
      </c>
      <c r="T136" s="2126">
        <v>0</v>
      </c>
      <c r="U136" s="2104" t="s">
        <v>86</v>
      </c>
      <c r="V136" s="1910"/>
      <c r="W136" s="1815">
        <f>rice!T43</f>
        <v>0</v>
      </c>
      <c r="X136" s="1815">
        <f>rice!U43</f>
        <v>0</v>
      </c>
      <c r="Y136" s="1839"/>
      <c r="Z136" s="1812">
        <f>rice!V43</f>
        <v>0</v>
      </c>
      <c r="AP136" s="1800" t="str">
        <f t="shared" si="11"/>
        <v/>
      </c>
      <c r="AQ136" s="1809"/>
      <c r="AR136" s="1795">
        <f>IF(continent_selected&lt;&gt;"Please select", VLOOKUP(continent_selected, IPCC!$A$515:$C$530, 3, FALSE),0)</f>
        <v>123</v>
      </c>
      <c r="AS136" s="4105"/>
      <c r="AT136" s="1817">
        <f t="shared" si="12"/>
        <v>0</v>
      </c>
      <c r="AU136" s="4105"/>
      <c r="AV136" s="1817">
        <f>IF($G136&lt;&gt;"Please select", IPCC!$C$59, 0)</f>
        <v>0</v>
      </c>
      <c r="AW136" s="4105"/>
      <c r="AX136" s="1795">
        <f>VLOOKUP(continent_selected, IPCC!$A$512:$B$530, 2, FALSE)</f>
        <v>1.56</v>
      </c>
      <c r="AY136" s="4105"/>
      <c r="AZ136" s="1817">
        <f>IF($G136&lt;&gt;"Please select", VLOOKUP($G136, IPCC!$E$512:$F$518, 2, FALSE),0)</f>
        <v>0</v>
      </c>
      <c r="BA136" s="4105"/>
      <c r="BB136" s="1817">
        <f>IF($I136&lt;&gt;"Please select", VLOOKUP($I136, IPCC!$E$525:$F$527,2, FALSE),0)</f>
        <v>0</v>
      </c>
      <c r="BC136" s="4105"/>
      <c r="BD136" s="1817">
        <f>IF($K136&lt;&gt;"Please select",1+(IF(ISBLANK($BI136), $BH136, $BI136))*IF($K136&lt;&gt;"Please select",VLOOKUP($K136,IPCC!$J$512:$K$518,2,FALSE)))^0.59</f>
        <v>0</v>
      </c>
      <c r="BE136" s="4105"/>
      <c r="BF136" s="1817">
        <f t="shared" si="13"/>
        <v>0</v>
      </c>
      <c r="BG136" s="4105"/>
      <c r="BH136" s="1817">
        <f>IF(AND($Q136=0, $R136=0, $T136=0),0, rice!H23*IPCC!$B$21+IPCC!$C$21)</f>
        <v>0</v>
      </c>
      <c r="BI136" s="4105"/>
      <c r="BJ136" s="1784"/>
      <c r="BK136" s="1915"/>
      <c r="BL136" s="4363">
        <v>1</v>
      </c>
      <c r="BM136" s="4364"/>
      <c r="BN136" s="1996"/>
    </row>
    <row r="137" spans="2:66" ht="15" customHeight="1" x14ac:dyDescent="0.2">
      <c r="B137" s="1781"/>
      <c r="C137" s="1781"/>
      <c r="D137" s="1781"/>
      <c r="E137" s="1781"/>
      <c r="F137" s="1781"/>
      <c r="G137" s="1852"/>
      <c r="H137" s="1781"/>
      <c r="I137" s="1781"/>
      <c r="J137" s="1781"/>
      <c r="K137" s="1790"/>
      <c r="L137" s="1781"/>
      <c r="M137" s="1955"/>
      <c r="N137" s="1956"/>
      <c r="O137" s="1849"/>
      <c r="P137" s="1906" t="str">
        <f>Languages!B203</f>
        <v>Total (ha)**</v>
      </c>
      <c r="Q137" s="1815">
        <f>SUM(Q127:Q136)</f>
        <v>12</v>
      </c>
      <c r="R137" s="1815">
        <f>SUM(R127:R136)</f>
        <v>12</v>
      </c>
      <c r="S137" s="1812"/>
      <c r="T137" s="1896">
        <f>SUM(T127:T136)</f>
        <v>12</v>
      </c>
      <c r="U137" s="1781"/>
      <c r="V137" s="1904"/>
      <c r="W137" s="1839"/>
      <c r="X137" s="1812"/>
      <c r="Y137" s="1839"/>
      <c r="Z137" s="1812"/>
      <c r="AP137" s="1782"/>
      <c r="AQ137" s="1782"/>
      <c r="AR137" s="1782"/>
      <c r="AS137" s="1782"/>
      <c r="AT137" s="1782"/>
      <c r="AU137" s="1782"/>
      <c r="AV137" s="1862"/>
      <c r="AW137" s="1782"/>
      <c r="AX137" s="1782"/>
      <c r="AY137" s="1782"/>
      <c r="AZ137" s="1782"/>
      <c r="BA137" s="1782"/>
      <c r="BB137" s="1782"/>
      <c r="BC137" s="1782"/>
      <c r="BD137" s="1782"/>
      <c r="BE137" s="1782"/>
      <c r="BF137" s="1782"/>
      <c r="BG137" s="1782"/>
      <c r="BH137" s="1782"/>
      <c r="BI137" s="1782"/>
      <c r="BJ137" s="1782"/>
      <c r="BL137" s="1996"/>
      <c r="BM137" s="1893"/>
      <c r="BN137" s="1996"/>
    </row>
    <row r="138" spans="2:66" ht="15" customHeight="1" x14ac:dyDescent="0.2">
      <c r="B138" s="1781"/>
      <c r="C138" s="1781"/>
      <c r="D138" s="1781"/>
      <c r="E138" s="1781"/>
      <c r="F138" s="1781"/>
      <c r="G138" s="1781"/>
      <c r="H138" s="1781"/>
      <c r="I138" s="1781"/>
      <c r="J138" s="1781"/>
      <c r="K138" s="1781"/>
      <c r="L138" s="1958"/>
      <c r="M138" s="1958"/>
      <c r="N138" s="1958"/>
      <c r="O138" s="1958"/>
      <c r="P138" s="1781"/>
      <c r="Q138" s="1781"/>
      <c r="R138" s="1781"/>
      <c r="S138" s="1959"/>
      <c r="T138" s="1781"/>
      <c r="U138" s="1958"/>
      <c r="V138" s="1781"/>
      <c r="W138" s="1884"/>
      <c r="X138" s="1958"/>
      <c r="Y138" s="1958"/>
      <c r="Z138" s="1958"/>
      <c r="AP138" s="1782"/>
      <c r="AQ138" s="1782"/>
      <c r="AR138" s="1782"/>
      <c r="AS138" s="1782"/>
      <c r="AT138" s="1782"/>
      <c r="AU138" s="1782"/>
      <c r="AV138" s="1862"/>
      <c r="AW138" s="1782"/>
      <c r="AX138" s="1782"/>
      <c r="AY138" s="1782"/>
      <c r="AZ138" s="1782"/>
      <c r="BA138" s="1782"/>
      <c r="BB138" s="1782"/>
      <c r="BC138" s="1782"/>
      <c r="BD138" s="1782"/>
      <c r="BE138" s="1782"/>
      <c r="BF138" s="1782"/>
      <c r="BG138" s="1782"/>
      <c r="BH138" s="1782"/>
      <c r="BI138" s="1782"/>
      <c r="BJ138" s="1782"/>
      <c r="BL138" s="4548" t="s">
        <v>87</v>
      </c>
      <c r="BM138" s="4548"/>
      <c r="BN138" s="4548"/>
    </row>
    <row r="139" spans="2:66" ht="15" customHeight="1" x14ac:dyDescent="0.2">
      <c r="B139" s="1781"/>
      <c r="C139" s="1781"/>
      <c r="D139" s="1781"/>
      <c r="E139" s="1781"/>
      <c r="F139" s="1781"/>
      <c r="G139" s="1852"/>
      <c r="H139" s="1781"/>
      <c r="I139" s="1781"/>
      <c r="J139" s="1781"/>
      <c r="K139" s="1790"/>
      <c r="L139" s="1781"/>
      <c r="M139" s="1781"/>
      <c r="N139" s="1781"/>
      <c r="O139" s="1781"/>
      <c r="P139" s="1781"/>
      <c r="Q139" s="1960" t="str">
        <f>rice!G44</f>
        <v/>
      </c>
      <c r="R139" s="1781"/>
      <c r="S139" s="1781"/>
      <c r="T139" s="1781"/>
      <c r="U139" s="1781"/>
      <c r="V139" s="1781"/>
      <c r="W139" s="1839"/>
      <c r="X139" s="1812"/>
      <c r="Y139" s="1839"/>
      <c r="Z139" s="1812"/>
      <c r="AP139" s="1782"/>
      <c r="AQ139" s="1782"/>
      <c r="AR139" s="1782"/>
      <c r="AS139" s="1782"/>
      <c r="AT139" s="1782"/>
      <c r="AU139" s="1782"/>
      <c r="AV139" s="1862"/>
      <c r="AW139" s="1782"/>
      <c r="AX139" s="1782"/>
      <c r="AY139" s="1782"/>
      <c r="AZ139" s="1782"/>
      <c r="BA139" s="1782"/>
      <c r="BB139" s="1782"/>
      <c r="BC139" s="1782"/>
      <c r="BD139" s="1782"/>
      <c r="BE139" s="1782"/>
      <c r="BF139" s="1782"/>
      <c r="BG139" s="1782"/>
      <c r="BH139" s="1782"/>
      <c r="BI139" s="1782"/>
      <c r="BJ139" s="1782"/>
      <c r="BL139" s="4548"/>
      <c r="BM139" s="4548"/>
      <c r="BN139" s="4548"/>
    </row>
    <row r="140" spans="2:66" ht="15" customHeight="1" x14ac:dyDescent="0.2">
      <c r="B140" s="1781"/>
      <c r="C140" s="1957"/>
      <c r="D140" s="1957"/>
      <c r="E140" s="1957"/>
      <c r="F140" s="1957"/>
      <c r="G140" s="2270"/>
      <c r="H140" s="2270"/>
      <c r="I140" s="4211" t="str">
        <f>Languages!B193</f>
        <v>Please confirm total area of flooded rice remaining flooded rice (ha)</v>
      </c>
      <c r="J140" s="2271"/>
      <c r="K140" s="4207"/>
      <c r="L140" s="1781"/>
      <c r="M140" s="1781"/>
      <c r="N140" s="1853"/>
      <c r="O140" s="1853"/>
      <c r="P140" s="1853"/>
      <c r="Q140" s="1853"/>
      <c r="R140" s="1853"/>
      <c r="S140" s="1853"/>
      <c r="T140" s="1853"/>
      <c r="U140" s="1853"/>
      <c r="V140" s="1961" t="str">
        <f>Languages!B192</f>
        <v>Total flooded-rice systems (tCO2-e)</v>
      </c>
      <c r="W140" s="1858">
        <f>rice!T45</f>
        <v>1538.0346240000003</v>
      </c>
      <c r="X140" s="1858">
        <f>rice!U45</f>
        <v>1538.0346240000003</v>
      </c>
      <c r="Y140" s="1962"/>
      <c r="Z140" s="1963">
        <f>rice!V45</f>
        <v>0</v>
      </c>
      <c r="AP140" s="1782" t="str">
        <f>AP97</f>
        <v>Use this part only if you want to refine the analysis at Tier 2</v>
      </c>
      <c r="AQ140" s="1782"/>
      <c r="AR140" s="1782"/>
      <c r="AS140" s="1782"/>
      <c r="AT140" s="1782"/>
      <c r="AU140" s="1782"/>
      <c r="AV140" s="1862"/>
      <c r="AW140" s="1782"/>
      <c r="AX140" s="1782"/>
      <c r="AY140" s="1782"/>
      <c r="AZ140" s="1782"/>
      <c r="BA140" s="1782"/>
      <c r="BB140" s="1782"/>
      <c r="BC140" s="1782"/>
      <c r="BD140" s="1782"/>
      <c r="BE140" s="1782"/>
      <c r="BF140" s="1782"/>
      <c r="BG140" s="1782"/>
      <c r="BH140" s="1782"/>
      <c r="BI140" s="1782"/>
      <c r="BJ140" s="1782"/>
      <c r="BL140" s="4548"/>
      <c r="BM140" s="4548"/>
      <c r="BN140" s="4548"/>
    </row>
    <row r="141" spans="2:66" ht="23" customHeight="1" x14ac:dyDescent="0.2">
      <c r="B141" s="1781"/>
      <c r="C141" s="1781"/>
      <c r="D141" s="1781"/>
      <c r="E141" s="1781"/>
      <c r="F141" s="1781"/>
      <c r="G141" s="1852"/>
      <c r="H141" s="1781"/>
      <c r="I141" s="1781"/>
      <c r="J141" s="1781"/>
      <c r="K141" s="1790"/>
      <c r="L141" s="1781"/>
      <c r="M141" s="1781"/>
      <c r="N141" s="1781"/>
      <c r="O141" s="1781"/>
      <c r="P141" s="1781"/>
      <c r="Q141" s="1781"/>
      <c r="R141" s="1781"/>
      <c r="S141" s="1781"/>
      <c r="T141" s="1781"/>
      <c r="U141" s="1781"/>
      <c r="V141" s="1781"/>
      <c r="W141" s="1781"/>
      <c r="X141" s="1806"/>
      <c r="Y141" s="1781"/>
      <c r="Z141" s="1806"/>
      <c r="AP141" s="1782" t="str">
        <f>AP98</f>
        <v>IPCC default values are provided for your information only; EX-ACT will use Tier 2 values automatically wherever specified.</v>
      </c>
      <c r="AQ141" s="1782"/>
      <c r="AR141" s="1782"/>
      <c r="AS141" s="1782"/>
      <c r="AT141" s="1782"/>
      <c r="AU141" s="1782"/>
      <c r="AV141" s="1862"/>
      <c r="AW141" s="1782"/>
      <c r="AX141" s="1782"/>
      <c r="AY141" s="1782"/>
      <c r="AZ141" s="1782"/>
      <c r="BA141" s="1782"/>
      <c r="BB141" s="1782"/>
      <c r="BC141" s="1782"/>
      <c r="BD141" s="1782"/>
      <c r="BE141" s="1782"/>
      <c r="BF141" s="1782"/>
      <c r="BG141" s="1782"/>
      <c r="BH141" s="1782"/>
      <c r="BI141" s="1782"/>
      <c r="BJ141" s="1782"/>
      <c r="BL141" s="1996"/>
      <c r="BM141" s="1996"/>
      <c r="BN141" s="1996"/>
    </row>
    <row r="142" spans="2:66" ht="15" customHeight="1" x14ac:dyDescent="0.2">
      <c r="B142" s="1781"/>
      <c r="C142" s="1820" t="str">
        <f>C100</f>
        <v>*The selection of "D" corresponds to a default (linear) dynamics of change. Other selection options include "I" for immediate changes and "E" for exponential - please refer to the guidelines for further explanation of these assumptions.</v>
      </c>
      <c r="D142" s="1781"/>
      <c r="E142" s="1781"/>
      <c r="F142" s="1781"/>
      <c r="G142" s="1781"/>
      <c r="H142" s="1781"/>
      <c r="I142" s="1781"/>
      <c r="J142" s="1781"/>
      <c r="K142" s="1781"/>
      <c r="L142" s="1781"/>
      <c r="M142" s="1781"/>
      <c r="N142" s="1781"/>
      <c r="O142" s="1781"/>
      <c r="P142" s="1781"/>
      <c r="Q142" s="1781"/>
      <c r="R142" s="1781"/>
      <c r="S142" s="1781"/>
      <c r="T142" s="1781"/>
      <c r="U142" s="1781"/>
      <c r="V142" s="1781"/>
      <c r="W142" s="1781"/>
      <c r="X142" s="1781"/>
      <c r="Y142" s="1781"/>
      <c r="Z142" s="1781"/>
      <c r="AP142" s="1782"/>
      <c r="AQ142" s="1782"/>
      <c r="AR142" s="1782"/>
      <c r="AS142" s="1782"/>
      <c r="AT142" s="1782"/>
      <c r="AU142" s="1782"/>
      <c r="AV142" s="1782"/>
      <c r="AW142" s="1782"/>
      <c r="AX142" s="1782"/>
      <c r="AY142" s="1782"/>
      <c r="AZ142" s="1782"/>
      <c r="BA142" s="1782"/>
      <c r="BB142" s="1782"/>
      <c r="BC142" s="1782"/>
      <c r="BD142" s="1782"/>
      <c r="BE142" s="1782"/>
      <c r="BF142" s="1782"/>
      <c r="BG142" s="1782"/>
      <c r="BH142" s="1782"/>
      <c r="BI142" s="1782"/>
      <c r="BJ142" s="1782"/>
      <c r="BL142" s="1996"/>
      <c r="BM142" s="1996"/>
      <c r="BN142" s="1996"/>
    </row>
    <row r="143" spans="2:66" ht="15" customHeight="1" x14ac:dyDescent="0.2">
      <c r="B143" s="1820"/>
      <c r="C143" s="1820" t="str">
        <f>Languages!B202</f>
        <v>**In case of flooded rice the total area considered for emissions calculations may be greater than actual total land under flooded rice if multicropping seasons are in place. It is key to provide the actual area under flooded rice in cell K122 to ensure correct area aggregation in the results.</v>
      </c>
      <c r="D143" s="1820"/>
      <c r="E143" s="1820"/>
      <c r="F143" s="1820"/>
      <c r="G143" s="1820"/>
      <c r="H143" s="1820"/>
      <c r="I143" s="1820"/>
      <c r="J143" s="1820"/>
      <c r="K143" s="1820"/>
      <c r="L143" s="1820"/>
      <c r="M143" s="1820"/>
      <c r="N143" s="1820"/>
      <c r="O143" s="1820"/>
      <c r="P143" s="1820"/>
      <c r="Q143" s="1820"/>
      <c r="R143" s="1820"/>
      <c r="S143" s="1820"/>
      <c r="T143" s="1820"/>
      <c r="U143" s="1820"/>
      <c r="V143" s="1820"/>
      <c r="W143" s="1820"/>
      <c r="X143" s="1820"/>
      <c r="Y143" s="1820"/>
      <c r="Z143" s="1820"/>
      <c r="AV143" s="1771"/>
    </row>
    <row r="144" spans="2:66" ht="15" customHeight="1" x14ac:dyDescent="0.2">
      <c r="G144" s="1771"/>
      <c r="K144" s="1771"/>
      <c r="AV144" s="1771"/>
    </row>
    <row r="145" spans="7:48" ht="15" customHeight="1" x14ac:dyDescent="0.2">
      <c r="G145" s="1771"/>
      <c r="K145" s="1771"/>
      <c r="AV145" s="1771"/>
    </row>
    <row r="146" spans="7:48" ht="15" customHeight="1" x14ac:dyDescent="0.2">
      <c r="G146" s="1771"/>
      <c r="K146" s="1771"/>
      <c r="AV146" s="1771"/>
    </row>
    <row r="147" spans="7:48" ht="15" customHeight="1" x14ac:dyDescent="0.2">
      <c r="G147" s="1771"/>
      <c r="K147" s="1771"/>
      <c r="AV147" s="1771"/>
    </row>
    <row r="148" spans="7:48" ht="15" customHeight="1" x14ac:dyDescent="0.2">
      <c r="G148" s="1771"/>
      <c r="K148" s="1771"/>
      <c r="AV148" s="1771"/>
    </row>
    <row r="149" spans="7:48" ht="15" customHeight="1" x14ac:dyDescent="0.2">
      <c r="G149" s="1771"/>
      <c r="K149" s="1771"/>
      <c r="AV149" s="1771"/>
    </row>
    <row r="150" spans="7:48" ht="15" customHeight="1" x14ac:dyDescent="0.2">
      <c r="G150" s="1771"/>
      <c r="K150" s="1771"/>
      <c r="AV150" s="1771"/>
    </row>
    <row r="151" spans="7:48" ht="15" customHeight="1" x14ac:dyDescent="0.2">
      <c r="G151" s="1771"/>
      <c r="K151" s="1771"/>
      <c r="AV151" s="1771"/>
    </row>
    <row r="152" spans="7:48" ht="15" customHeight="1" x14ac:dyDescent="0.2">
      <c r="G152" s="1771"/>
      <c r="K152" s="1771"/>
      <c r="AV152" s="1771"/>
    </row>
    <row r="153" spans="7:48" ht="15" customHeight="1" x14ac:dyDescent="0.2">
      <c r="G153" s="1771"/>
      <c r="K153" s="1771"/>
      <c r="AV153" s="1771"/>
    </row>
    <row r="154" spans="7:48" ht="15" customHeight="1" x14ac:dyDescent="0.2">
      <c r="AV154" s="1771"/>
    </row>
    <row r="155" spans="7:48" ht="15" customHeight="1" x14ac:dyDescent="0.2">
      <c r="AV155" s="1771"/>
    </row>
    <row r="156" spans="7:48" ht="15" customHeight="1" x14ac:dyDescent="0.2">
      <c r="AV156" s="1771"/>
    </row>
    <row r="157" spans="7:48" ht="15" customHeight="1" x14ac:dyDescent="0.2">
      <c r="AV157" s="1771"/>
    </row>
    <row r="158" spans="7:48" ht="15" customHeight="1" x14ac:dyDescent="0.2">
      <c r="AV158" s="1771"/>
    </row>
    <row r="159" spans="7:48" ht="15" customHeight="1" x14ac:dyDescent="0.2">
      <c r="AV159" s="1771"/>
    </row>
    <row r="160" spans="7:48" ht="15" customHeight="1" x14ac:dyDescent="0.2">
      <c r="AV160" s="1771"/>
    </row>
    <row r="161" spans="48:48" ht="15" customHeight="1" x14ac:dyDescent="0.2">
      <c r="AV161" s="1771"/>
    </row>
    <row r="162" spans="48:48" ht="15" customHeight="1" x14ac:dyDescent="0.2">
      <c r="AV162" s="1771"/>
    </row>
    <row r="163" spans="48:48" ht="15" customHeight="1" x14ac:dyDescent="0.2">
      <c r="AV163" s="1771"/>
    </row>
    <row r="164" spans="48:48" ht="15" customHeight="1" x14ac:dyDescent="0.2">
      <c r="AV164" s="1771"/>
    </row>
    <row r="165" spans="48:48" ht="15" customHeight="1" x14ac:dyDescent="0.2">
      <c r="AV165" s="1771"/>
    </row>
    <row r="166" spans="48:48" ht="15" customHeight="1" x14ac:dyDescent="0.2">
      <c r="AV166" s="1771"/>
    </row>
    <row r="167" spans="48:48" ht="15" customHeight="1" x14ac:dyDescent="0.2">
      <c r="AV167" s="1771"/>
    </row>
    <row r="168" spans="48:48" ht="15" customHeight="1" x14ac:dyDescent="0.2">
      <c r="AV168" s="1771"/>
    </row>
    <row r="169" spans="48:48" ht="15" customHeight="1" x14ac:dyDescent="0.2">
      <c r="AV169" s="1771"/>
    </row>
    <row r="170" spans="48:48" ht="15" customHeight="1" x14ac:dyDescent="0.2">
      <c r="AV170" s="1771"/>
    </row>
    <row r="171" spans="48:48" ht="15" customHeight="1" x14ac:dyDescent="0.2">
      <c r="AV171" s="1771"/>
    </row>
    <row r="172" spans="48:48" ht="15" customHeight="1" x14ac:dyDescent="0.2">
      <c r="AV172" s="1771"/>
    </row>
    <row r="173" spans="48:48" ht="15" customHeight="1" x14ac:dyDescent="0.2">
      <c r="AV173" s="1771"/>
    </row>
    <row r="174" spans="48:48" ht="15" customHeight="1" x14ac:dyDescent="0.2">
      <c r="AV174" s="1771"/>
    </row>
    <row r="175" spans="48:48" ht="15" customHeight="1" x14ac:dyDescent="0.2">
      <c r="AV175" s="1771"/>
    </row>
    <row r="176" spans="48:48" ht="15" customHeight="1" x14ac:dyDescent="0.2">
      <c r="AV176" s="1771"/>
    </row>
    <row r="193" spans="7:48" ht="15" customHeight="1" x14ac:dyDescent="0.2">
      <c r="G193" s="1771"/>
      <c r="J193" s="1964"/>
    </row>
    <row r="194" spans="7:48" ht="15" customHeight="1" x14ac:dyDescent="0.2">
      <c r="G194" s="1771"/>
      <c r="J194" s="1964"/>
    </row>
    <row r="195" spans="7:48" ht="22.25" customHeight="1" x14ac:dyDescent="0.2">
      <c r="G195" s="1771"/>
      <c r="J195" s="1964"/>
    </row>
    <row r="196" spans="7:48" ht="5" customHeight="1" x14ac:dyDescent="0.2">
      <c r="G196" s="1771"/>
      <c r="J196" s="1964"/>
    </row>
    <row r="197" spans="7:48" ht="22.25" customHeight="1" x14ac:dyDescent="0.2">
      <c r="G197" s="1771"/>
      <c r="J197" s="1964"/>
    </row>
    <row r="198" spans="7:48" ht="5" customHeight="1" x14ac:dyDescent="0.2">
      <c r="G198" s="1771"/>
      <c r="J198" s="1964"/>
    </row>
    <row r="199" spans="7:48" ht="22.25" customHeight="1" x14ac:dyDescent="0.2">
      <c r="G199" s="1771"/>
      <c r="J199" s="1964"/>
    </row>
    <row r="200" spans="7:48" ht="5" customHeight="1" x14ac:dyDescent="0.2">
      <c r="G200" s="1771"/>
      <c r="J200" s="1964"/>
    </row>
    <row r="201" spans="7:48" ht="27.75" customHeight="1" x14ac:dyDescent="0.2">
      <c r="G201" s="1771"/>
      <c r="J201" s="1964"/>
      <c r="AV201" s="1771"/>
    </row>
    <row r="202" spans="7:48" ht="22.25" customHeight="1" x14ac:dyDescent="0.2">
      <c r="G202" s="1771"/>
      <c r="J202" s="1964"/>
      <c r="AV202" s="1771"/>
    </row>
    <row r="203" spans="7:48" ht="5" customHeight="1" x14ac:dyDescent="0.2">
      <c r="G203" s="1771"/>
      <c r="J203" s="1964"/>
      <c r="AV203" s="1771"/>
    </row>
    <row r="204" spans="7:48" ht="15" customHeight="1" x14ac:dyDescent="0.2">
      <c r="G204" s="1771"/>
      <c r="J204" s="1964"/>
      <c r="AV204" s="1771"/>
    </row>
    <row r="205" spans="7:48" ht="15" customHeight="1" x14ac:dyDescent="0.2">
      <c r="G205" s="1771"/>
      <c r="J205" s="1964"/>
      <c r="AV205" s="1771"/>
    </row>
    <row r="206" spans="7:48" ht="23" customHeight="1" x14ac:dyDescent="0.2">
      <c r="G206" s="1771"/>
      <c r="J206" s="1964"/>
      <c r="AV206" s="1771"/>
    </row>
    <row r="207" spans="7:48" ht="5" customHeight="1" x14ac:dyDescent="0.2">
      <c r="G207" s="1771"/>
      <c r="J207" s="1964"/>
      <c r="AV207" s="1771"/>
    </row>
    <row r="208" spans="7:48" ht="22.25" customHeight="1" x14ac:dyDescent="0.2">
      <c r="G208" s="1771"/>
      <c r="J208" s="1964"/>
      <c r="AV208" s="1771"/>
    </row>
    <row r="209" spans="7:48" ht="15" customHeight="1" x14ac:dyDescent="0.2">
      <c r="G209" s="1771"/>
      <c r="J209" s="1964"/>
      <c r="AV209" s="1771"/>
    </row>
    <row r="210" spans="7:48" ht="5" customHeight="1" x14ac:dyDescent="0.2">
      <c r="G210" s="1771"/>
      <c r="J210" s="1964"/>
      <c r="AV210" s="1771"/>
    </row>
    <row r="211" spans="7:48" ht="15" customHeight="1" x14ac:dyDescent="0.2">
      <c r="G211" s="1771"/>
      <c r="J211" s="1964"/>
      <c r="AV211" s="1771"/>
    </row>
    <row r="212" spans="7:48" ht="15" customHeight="1" x14ac:dyDescent="0.2">
      <c r="G212" s="1771"/>
      <c r="J212" s="1964"/>
      <c r="AV212" s="1771"/>
    </row>
    <row r="213" spans="7:48" ht="15" customHeight="1" x14ac:dyDescent="0.2">
      <c r="G213" s="1771"/>
      <c r="J213" s="1964"/>
      <c r="AV213" s="1771"/>
    </row>
    <row r="214" spans="7:48" ht="15" customHeight="1" x14ac:dyDescent="0.2">
      <c r="G214" s="1771"/>
      <c r="J214" s="1964"/>
      <c r="AV214" s="1771"/>
    </row>
    <row r="215" spans="7:48" ht="15" customHeight="1" x14ac:dyDescent="0.2">
      <c r="G215" s="1771"/>
      <c r="J215" s="1964"/>
      <c r="AV215" s="1771"/>
    </row>
    <row r="216" spans="7:48" ht="51.75" customHeight="1" x14ac:dyDescent="0.2">
      <c r="G216" s="1771"/>
      <c r="J216" s="1964"/>
      <c r="AV216" s="1771"/>
    </row>
    <row r="217" spans="7:48" ht="5" customHeight="1" x14ac:dyDescent="0.2">
      <c r="G217" s="1771"/>
      <c r="J217" s="1964"/>
      <c r="AV217" s="1771"/>
    </row>
    <row r="218" spans="7:48" ht="22.25" customHeight="1" x14ac:dyDescent="0.2">
      <c r="G218" s="1771"/>
      <c r="J218" s="1964"/>
      <c r="AV218" s="1771"/>
    </row>
    <row r="219" spans="7:48" ht="15" customHeight="1" x14ac:dyDescent="0.2">
      <c r="G219" s="1771"/>
      <c r="J219" s="1964"/>
      <c r="AV219" s="1771"/>
    </row>
    <row r="220" spans="7:48" ht="15" customHeight="1" x14ac:dyDescent="0.2">
      <c r="G220" s="1771"/>
      <c r="J220" s="1964"/>
      <c r="AV220" s="1771"/>
    </row>
    <row r="221" spans="7:48" ht="15" customHeight="1" x14ac:dyDescent="0.2">
      <c r="G221" s="1771"/>
      <c r="J221" s="1964"/>
      <c r="AV221" s="1771"/>
    </row>
    <row r="222" spans="7:48" ht="15" customHeight="1" x14ac:dyDescent="0.2">
      <c r="G222" s="1771"/>
      <c r="J222" s="1964"/>
      <c r="AV222" s="1771"/>
    </row>
    <row r="223" spans="7:48" ht="15" customHeight="1" x14ac:dyDescent="0.2">
      <c r="G223" s="1771"/>
      <c r="J223" s="1964"/>
      <c r="AV223" s="1771"/>
    </row>
    <row r="224" spans="7:48" ht="69" customHeight="1" x14ac:dyDescent="0.2">
      <c r="G224" s="1771"/>
      <c r="J224" s="1964"/>
      <c r="AV224" s="1771"/>
    </row>
    <row r="225" spans="7:48" ht="5" customHeight="1" x14ac:dyDescent="0.2">
      <c r="G225" s="1771"/>
      <c r="J225" s="1964"/>
      <c r="AV225" s="1771"/>
    </row>
    <row r="226" spans="7:48" ht="22.25" customHeight="1" x14ac:dyDescent="0.2">
      <c r="G226" s="1771"/>
      <c r="J226" s="1964"/>
      <c r="AV226" s="1771"/>
    </row>
    <row r="227" spans="7:48" ht="15" customHeight="1" x14ac:dyDescent="0.2">
      <c r="G227" s="1771"/>
      <c r="J227" s="1964"/>
      <c r="AV227" s="1771"/>
    </row>
    <row r="228" spans="7:48" ht="15" customHeight="1" x14ac:dyDescent="0.2">
      <c r="G228" s="1771"/>
      <c r="J228" s="1964"/>
      <c r="AV228" s="1771"/>
    </row>
    <row r="229" spans="7:48" ht="15" customHeight="1" x14ac:dyDescent="0.2">
      <c r="G229" s="1771"/>
      <c r="J229" s="1964"/>
      <c r="AV229" s="1771"/>
    </row>
    <row r="230" spans="7:48" ht="23.25" customHeight="1" x14ac:dyDescent="0.2">
      <c r="G230" s="1771"/>
      <c r="J230" s="1964"/>
      <c r="AV230" s="1771"/>
    </row>
    <row r="231" spans="7:48" ht="5" customHeight="1" x14ac:dyDescent="0.2">
      <c r="G231" s="1771"/>
      <c r="J231" s="1964"/>
      <c r="AV231" s="1771"/>
    </row>
    <row r="232" spans="7:48" ht="15" customHeight="1" x14ac:dyDescent="0.2">
      <c r="G232" s="1771"/>
      <c r="J232" s="1964"/>
      <c r="AV232" s="1771"/>
    </row>
    <row r="233" spans="7:48" ht="24.75" customHeight="1" x14ac:dyDescent="0.2">
      <c r="G233" s="1771"/>
      <c r="J233" s="1964"/>
      <c r="AV233" s="1771"/>
    </row>
    <row r="234" spans="7:48" ht="5" customHeight="1" x14ac:dyDescent="0.2">
      <c r="G234" s="1771"/>
      <c r="J234" s="1964"/>
      <c r="AV234" s="1771"/>
    </row>
    <row r="235" spans="7:48" ht="15" customHeight="1" x14ac:dyDescent="0.2">
      <c r="G235" s="1771"/>
      <c r="J235" s="1964"/>
      <c r="AV235" s="1771"/>
    </row>
    <row r="236" spans="7:48" ht="47.25" customHeight="1" x14ac:dyDescent="0.2">
      <c r="G236" s="1771"/>
      <c r="J236" s="1964"/>
      <c r="AV236" s="1771"/>
    </row>
    <row r="237" spans="7:48" ht="5" customHeight="1" x14ac:dyDescent="0.2">
      <c r="G237" s="1771"/>
      <c r="J237" s="1964"/>
      <c r="AV237" s="1771"/>
    </row>
    <row r="238" spans="7:48" ht="15" customHeight="1" x14ac:dyDescent="0.2">
      <c r="G238" s="1771"/>
      <c r="J238" s="1964"/>
      <c r="AV238" s="1771"/>
    </row>
    <row r="239" spans="7:48" ht="28.5" customHeight="1" x14ac:dyDescent="0.2">
      <c r="G239" s="1771"/>
      <c r="J239" s="1964"/>
      <c r="AV239" s="1771"/>
    </row>
    <row r="240" spans="7:48" ht="5" customHeight="1" x14ac:dyDescent="0.2">
      <c r="G240" s="1771"/>
      <c r="J240" s="1964"/>
      <c r="AV240" s="1771"/>
    </row>
    <row r="241" spans="7:48" ht="20.75" customHeight="1" x14ac:dyDescent="0.2">
      <c r="G241" s="1771"/>
      <c r="J241" s="1964"/>
      <c r="AV241" s="1771"/>
    </row>
    <row r="242" spans="7:48" ht="15" customHeight="1" x14ac:dyDescent="0.2">
      <c r="G242" s="1771"/>
      <c r="J242" s="1964"/>
      <c r="AV242" s="1771"/>
    </row>
    <row r="243" spans="7:48" ht="15" customHeight="1" x14ac:dyDescent="0.2">
      <c r="G243" s="1771"/>
      <c r="J243" s="1964"/>
      <c r="AV243" s="1771"/>
    </row>
    <row r="244" spans="7:48" ht="5" customHeight="1" x14ac:dyDescent="0.2">
      <c r="G244" s="1771"/>
      <c r="J244" s="1964"/>
    </row>
    <row r="245" spans="7:48" ht="20.75" customHeight="1" x14ac:dyDescent="0.2">
      <c r="G245" s="1771"/>
      <c r="J245" s="1964"/>
    </row>
    <row r="246" spans="7:48" ht="15" customHeight="1" x14ac:dyDescent="0.2">
      <c r="G246" s="1771"/>
      <c r="J246" s="1964"/>
    </row>
    <row r="247" spans="7:48" ht="5" customHeight="1" x14ac:dyDescent="0.2">
      <c r="G247" s="1771"/>
      <c r="J247" s="1964"/>
    </row>
    <row r="248" spans="7:48" ht="20.75" customHeight="1" x14ac:dyDescent="0.2">
      <c r="G248" s="1771"/>
      <c r="J248" s="1964"/>
    </row>
    <row r="249" spans="7:48" ht="15" customHeight="1" x14ac:dyDescent="0.2">
      <c r="G249" s="1771"/>
      <c r="J249" s="1964"/>
    </row>
    <row r="250" spans="7:48" ht="5" customHeight="1" x14ac:dyDescent="0.2">
      <c r="G250" s="1771"/>
      <c r="J250" s="1964"/>
    </row>
    <row r="251" spans="7:48" ht="15" customHeight="1" x14ac:dyDescent="0.2">
      <c r="J251" s="1964"/>
    </row>
    <row r="252" spans="7:48" ht="15" customHeight="1" x14ac:dyDescent="0.2">
      <c r="J252" s="1964"/>
    </row>
    <row r="253" spans="7:48" ht="15" customHeight="1" x14ac:dyDescent="0.2">
      <c r="J253" s="1964"/>
    </row>
    <row r="254" spans="7:48" ht="5" customHeight="1" x14ac:dyDescent="0.2">
      <c r="J254" s="1964"/>
    </row>
    <row r="255" spans="7:48" ht="15" customHeight="1" x14ac:dyDescent="0.2">
      <c r="J255" s="1964"/>
    </row>
    <row r="256" spans="7:48" ht="15" customHeight="1" x14ac:dyDescent="0.2">
      <c r="J256" s="1964"/>
    </row>
    <row r="257" spans="10:10" ht="15" customHeight="1" x14ac:dyDescent="0.2">
      <c r="J257" s="1964"/>
    </row>
    <row r="258" spans="10:10" ht="5" customHeight="1" x14ac:dyDescent="0.2">
      <c r="J258" s="1964"/>
    </row>
    <row r="259" spans="10:10" ht="15" customHeight="1" x14ac:dyDescent="0.2">
      <c r="J259" s="1964"/>
    </row>
    <row r="260" spans="10:10" ht="15" customHeight="1" x14ac:dyDescent="0.2">
      <c r="J260" s="1964"/>
    </row>
    <row r="261" spans="10:10" ht="5" customHeight="1" x14ac:dyDescent="0.2">
      <c r="J261" s="1964"/>
    </row>
    <row r="262" spans="10:10" ht="15" customHeight="1" x14ac:dyDescent="0.2">
      <c r="J262" s="1964"/>
    </row>
    <row r="263" spans="10:10" ht="15" customHeight="1" x14ac:dyDescent="0.2">
      <c r="J263" s="1964"/>
    </row>
    <row r="264" spans="10:10" ht="5" customHeight="1" x14ac:dyDescent="0.2">
      <c r="J264" s="1964"/>
    </row>
    <row r="265" spans="10:10" ht="15" customHeight="1" x14ac:dyDescent="0.2">
      <c r="J265" s="1964"/>
    </row>
    <row r="266" spans="10:10" ht="15" customHeight="1" x14ac:dyDescent="0.2">
      <c r="J266" s="1964"/>
    </row>
    <row r="267" spans="10:10" ht="27" customHeight="1" x14ac:dyDescent="0.2">
      <c r="J267" s="1964"/>
    </row>
    <row r="268" spans="10:10" ht="5" customHeight="1" x14ac:dyDescent="0.2">
      <c r="J268" s="1964"/>
    </row>
    <row r="269" spans="10:10" ht="15" customHeight="1" x14ac:dyDescent="0.2">
      <c r="J269" s="1964"/>
    </row>
    <row r="270" spans="10:10" ht="15" customHeight="1" x14ac:dyDescent="0.2">
      <c r="J270" s="1964"/>
    </row>
    <row r="271" spans="10:10" ht="26.75" customHeight="1" x14ac:dyDescent="0.2">
      <c r="J271" s="1964"/>
    </row>
    <row r="272" spans="10:10" ht="5" customHeight="1" x14ac:dyDescent="0.2">
      <c r="J272" s="1964"/>
    </row>
    <row r="273" spans="10:10" ht="15" customHeight="1" x14ac:dyDescent="0.2">
      <c r="J273" s="1964"/>
    </row>
    <row r="274" spans="10:10" ht="15" customHeight="1" x14ac:dyDescent="0.2">
      <c r="J274" s="1964"/>
    </row>
    <row r="275" spans="10:10" ht="15" customHeight="1" x14ac:dyDescent="0.2">
      <c r="J275" s="1964"/>
    </row>
    <row r="276" spans="10:10" ht="51.75" customHeight="1" x14ac:dyDescent="0.2">
      <c r="J276" s="1964"/>
    </row>
    <row r="277" spans="10:10" ht="5" customHeight="1" x14ac:dyDescent="0.2">
      <c r="J277" s="1964"/>
    </row>
    <row r="278" spans="10:10" ht="15" customHeight="1" x14ac:dyDescent="0.2">
      <c r="J278" s="1964"/>
    </row>
    <row r="279" spans="10:10" ht="27" customHeight="1" x14ac:dyDescent="0.2">
      <c r="J279" s="1964"/>
    </row>
    <row r="280" spans="10:10" ht="5" customHeight="1" x14ac:dyDescent="0.2">
      <c r="J280" s="1964"/>
    </row>
    <row r="281" spans="10:10" ht="15" customHeight="1" x14ac:dyDescent="0.2">
      <c r="J281" s="1964"/>
    </row>
    <row r="282" spans="10:10" ht="15" customHeight="1" x14ac:dyDescent="0.2">
      <c r="J282" s="1964"/>
    </row>
    <row r="283" spans="10:10" ht="15" customHeight="1" x14ac:dyDescent="0.2">
      <c r="J283" s="1964"/>
    </row>
    <row r="284" spans="10:10" ht="5" customHeight="1" x14ac:dyDescent="0.2">
      <c r="J284" s="1964"/>
    </row>
    <row r="285" spans="10:10" ht="15" customHeight="1" x14ac:dyDescent="0.2">
      <c r="J285" s="1964"/>
    </row>
    <row r="286" spans="10:10" ht="15" customHeight="1" x14ac:dyDescent="0.2">
      <c r="J286" s="1964"/>
    </row>
    <row r="287" spans="10:10" ht="15" customHeight="1" x14ac:dyDescent="0.2">
      <c r="J287" s="1964"/>
    </row>
    <row r="288" spans="10:10" ht="5" customHeight="1" x14ac:dyDescent="0.2">
      <c r="J288" s="1964"/>
    </row>
    <row r="289" spans="10:10" ht="15" customHeight="1" x14ac:dyDescent="0.2">
      <c r="J289" s="1964"/>
    </row>
    <row r="290" spans="10:10" ht="15" customHeight="1" x14ac:dyDescent="0.2">
      <c r="J290" s="1964"/>
    </row>
    <row r="291" spans="10:10" ht="5" customHeight="1" x14ac:dyDescent="0.2">
      <c r="J291" s="1964"/>
    </row>
    <row r="292" spans="10:10" ht="15" customHeight="1" x14ac:dyDescent="0.2">
      <c r="J292" s="1964"/>
    </row>
    <row r="293" spans="10:10" ht="15" customHeight="1" x14ac:dyDescent="0.2">
      <c r="J293" s="1964"/>
    </row>
    <row r="294" spans="10:10" ht="45" customHeight="1" x14ac:dyDescent="0.2">
      <c r="J294" s="1964"/>
    </row>
    <row r="295" spans="10:10" ht="5" customHeight="1" x14ac:dyDescent="0.2">
      <c r="J295" s="1964"/>
    </row>
    <row r="296" spans="10:10" ht="15" customHeight="1" x14ac:dyDescent="0.2">
      <c r="J296" s="1964"/>
    </row>
    <row r="297" spans="10:10" ht="24.75" customHeight="1" x14ac:dyDescent="0.2">
      <c r="J297" s="1964"/>
    </row>
    <row r="298" spans="10:10" ht="5" customHeight="1" x14ac:dyDescent="0.2">
      <c r="J298" s="1964"/>
    </row>
    <row r="299" spans="10:10" ht="15" customHeight="1" x14ac:dyDescent="0.2">
      <c r="J299" s="1964"/>
    </row>
    <row r="300" spans="10:10" ht="48.75" customHeight="1" x14ac:dyDescent="0.2">
      <c r="J300" s="1964"/>
    </row>
    <row r="301" spans="10:10" ht="5" customHeight="1" x14ac:dyDescent="0.2">
      <c r="J301" s="1964"/>
    </row>
    <row r="302" spans="10:10" ht="33" customHeight="1" x14ac:dyDescent="0.2">
      <c r="J302" s="1964"/>
    </row>
    <row r="303" spans="10:10" ht="5" customHeight="1" x14ac:dyDescent="0.2">
      <c r="J303" s="1964"/>
    </row>
    <row r="304" spans="10:10" ht="15" customHeight="1" x14ac:dyDescent="0.2">
      <c r="J304" s="1964"/>
    </row>
    <row r="305" spans="2:10" ht="15" customHeight="1" x14ac:dyDescent="0.2">
      <c r="J305" s="1964"/>
    </row>
    <row r="306" spans="2:10" ht="44.75" customHeight="1" x14ac:dyDescent="0.2">
      <c r="J306" s="1964"/>
    </row>
    <row r="307" spans="2:10" ht="5" customHeight="1" x14ac:dyDescent="0.2">
      <c r="J307" s="1964"/>
    </row>
    <row r="308" spans="2:10" ht="15" customHeight="1" x14ac:dyDescent="0.2">
      <c r="J308" s="1964"/>
    </row>
    <row r="309" spans="2:10" ht="15" customHeight="1" x14ac:dyDescent="0.2">
      <c r="J309" s="1964"/>
    </row>
    <row r="310" spans="2:10" ht="33" customHeight="1" x14ac:dyDescent="0.2">
      <c r="J310" s="1964"/>
    </row>
    <row r="311" spans="2:10" ht="5" customHeight="1" x14ac:dyDescent="0.2">
      <c r="B311" s="1964"/>
      <c r="C311" s="1964"/>
      <c r="D311" s="1964"/>
      <c r="E311" s="1964"/>
      <c r="F311" s="1964"/>
      <c r="G311" s="1964"/>
      <c r="H311" s="1964"/>
      <c r="I311" s="1964"/>
      <c r="J311" s="1964"/>
    </row>
    <row r="317" spans="2:10" ht="15" customHeight="1" x14ac:dyDescent="0.2">
      <c r="G317" s="1771"/>
    </row>
    <row r="318" spans="2:10" ht="20" customHeight="1" x14ac:dyDescent="0.2"/>
    <row r="319" spans="2:10" ht="15" customHeight="1" x14ac:dyDescent="0.2">
      <c r="G319" s="1771"/>
    </row>
    <row r="320" spans="2:10" ht="15" customHeight="1" x14ac:dyDescent="0.2">
      <c r="G320" s="1771"/>
    </row>
    <row r="321" spans="7:7" ht="15" customHeight="1" x14ac:dyDescent="0.2">
      <c r="G321" s="1771"/>
    </row>
    <row r="322" spans="7:7" ht="15" customHeight="1" x14ac:dyDescent="0.2">
      <c r="G322" s="1771"/>
    </row>
    <row r="323" spans="7:7" ht="15" customHeight="1" x14ac:dyDescent="0.2">
      <c r="G323" s="1771"/>
    </row>
    <row r="325" spans="7:7" ht="15" customHeight="1" x14ac:dyDescent="0.2">
      <c r="G325" s="1771"/>
    </row>
    <row r="326" spans="7:7" ht="15" customHeight="1" x14ac:dyDescent="0.2">
      <c r="G326" s="1771"/>
    </row>
    <row r="327" spans="7:7" ht="15" customHeight="1" x14ac:dyDescent="0.2">
      <c r="G327" s="1771"/>
    </row>
    <row r="328" spans="7:7" ht="15" customHeight="1" x14ac:dyDescent="0.2">
      <c r="G328" s="1771"/>
    </row>
    <row r="329" spans="7:7" ht="15" customHeight="1" x14ac:dyDescent="0.2">
      <c r="G329" s="1771"/>
    </row>
    <row r="330" spans="7:7" ht="15" customHeight="1" x14ac:dyDescent="0.2">
      <c r="G330" s="1771"/>
    </row>
    <row r="331" spans="7:7" ht="15" customHeight="1" x14ac:dyDescent="0.2">
      <c r="G331" s="1771"/>
    </row>
    <row r="332" spans="7:7" ht="15" customHeight="1" x14ac:dyDescent="0.2">
      <c r="G332" s="1771"/>
    </row>
    <row r="333" spans="7:7" ht="15" customHeight="1" x14ac:dyDescent="0.2">
      <c r="G333" s="1771"/>
    </row>
    <row r="334" spans="7:7" ht="15" customHeight="1" x14ac:dyDescent="0.2">
      <c r="G334" s="1771"/>
    </row>
    <row r="335" spans="7:7" ht="15" customHeight="1" x14ac:dyDescent="0.2">
      <c r="G335" s="1771"/>
    </row>
    <row r="336" spans="7:7" ht="15" customHeight="1" x14ac:dyDescent="0.2">
      <c r="G336" s="1771"/>
    </row>
    <row r="337" spans="3:105" ht="15" customHeight="1" x14ac:dyDescent="0.2">
      <c r="G337" s="1771"/>
    </row>
    <row r="338" spans="3:105" ht="15" customHeight="1" x14ac:dyDescent="0.2">
      <c r="G338" s="1771"/>
    </row>
    <row r="339" spans="3:105" ht="15" customHeight="1" x14ac:dyDescent="0.2">
      <c r="G339" s="1771"/>
    </row>
    <row r="340" spans="3:105" ht="15" customHeight="1" x14ac:dyDescent="0.2">
      <c r="G340" s="1771"/>
    </row>
    <row r="341" spans="3:105" ht="15" customHeight="1" x14ac:dyDescent="0.2">
      <c r="G341" s="1771"/>
      <c r="BO341" s="1965"/>
      <c r="BP341" s="1965"/>
      <c r="BQ341" s="1965"/>
      <c r="BR341" s="1965"/>
      <c r="BS341" s="1965"/>
      <c r="BT341" s="1965"/>
      <c r="BU341" s="1965"/>
      <c r="BV341" s="1965"/>
      <c r="BW341" s="1965"/>
      <c r="BX341" s="1965"/>
      <c r="BY341" s="1965"/>
      <c r="BZ341" s="1965"/>
      <c r="CA341" s="1965"/>
      <c r="CB341" s="1965"/>
      <c r="CC341" s="1965"/>
      <c r="CD341" s="1965"/>
      <c r="CE341" s="1965"/>
      <c r="CF341" s="1965"/>
      <c r="CG341" s="1965"/>
      <c r="CH341" s="1965"/>
      <c r="CI341" s="1965"/>
    </row>
    <row r="342" spans="3:105" ht="15" customHeight="1" x14ac:dyDescent="0.2">
      <c r="G342" s="1771"/>
      <c r="BO342" s="1965"/>
      <c r="BP342" s="1965"/>
      <c r="BQ342" s="1965"/>
      <c r="BR342" s="1965"/>
      <c r="BS342" s="1965"/>
      <c r="BT342" s="1965"/>
      <c r="BU342" s="1965"/>
      <c r="BV342" s="1965"/>
      <c r="BW342" s="1965"/>
      <c r="BX342" s="1965"/>
      <c r="BY342" s="1965"/>
      <c r="BZ342" s="1965"/>
      <c r="CA342" s="1965"/>
      <c r="CB342" s="1965"/>
      <c r="CC342" s="1965"/>
      <c r="CD342" s="1965"/>
      <c r="CE342" s="1965"/>
      <c r="CF342" s="1965"/>
      <c r="CG342" s="1965"/>
      <c r="CH342" s="1965"/>
      <c r="CI342" s="1965"/>
    </row>
    <row r="344" spans="3:105" ht="15" customHeight="1" x14ac:dyDescent="0.2">
      <c r="G344" s="1771"/>
    </row>
    <row r="345" spans="3:105" ht="15" customHeight="1" x14ac:dyDescent="0.2">
      <c r="G345" s="1771"/>
      <c r="BN345" s="1965"/>
    </row>
    <row r="346" spans="3:105" ht="15" customHeight="1" x14ac:dyDescent="0.2">
      <c r="C346" s="1965"/>
      <c r="D346" s="1965"/>
      <c r="E346" s="1965"/>
      <c r="F346" s="1965"/>
      <c r="G346" s="1965"/>
      <c r="H346" s="1965"/>
      <c r="I346" s="1965"/>
      <c r="J346" s="1965"/>
      <c r="K346" s="1966"/>
      <c r="L346" s="1965"/>
      <c r="M346" s="1965"/>
      <c r="N346" s="1965"/>
      <c r="O346" s="1965"/>
      <c r="P346" s="1965"/>
      <c r="Q346" s="1965"/>
      <c r="R346" s="1965"/>
      <c r="S346" s="1965"/>
      <c r="T346" s="1965"/>
      <c r="U346" s="1965"/>
      <c r="V346" s="1965"/>
      <c r="W346" s="1965"/>
      <c r="X346" s="1965"/>
      <c r="Y346" s="1965"/>
      <c r="Z346" s="1965"/>
      <c r="AA346" s="1965"/>
      <c r="AB346" s="1965"/>
      <c r="AC346" s="1965"/>
      <c r="AD346" s="1965"/>
      <c r="AE346" s="1965"/>
      <c r="AF346" s="1965"/>
      <c r="AG346" s="1965"/>
      <c r="AH346" s="1965"/>
      <c r="AI346" s="1965"/>
      <c r="AJ346" s="1965"/>
      <c r="AK346" s="1965"/>
      <c r="AL346" s="1965"/>
      <c r="AM346" s="1965"/>
      <c r="AN346" s="1965"/>
      <c r="AW346" s="1965"/>
      <c r="AX346" s="1965"/>
      <c r="AY346" s="1965"/>
      <c r="AZ346" s="1965"/>
      <c r="BA346" s="1965"/>
      <c r="BB346" s="1965"/>
      <c r="BC346" s="1965"/>
      <c r="BD346" s="1965"/>
      <c r="BE346" s="1965"/>
      <c r="BF346" s="1965"/>
      <c r="BG346" s="1965"/>
      <c r="BH346" s="1965"/>
      <c r="BI346" s="1965"/>
      <c r="BJ346" s="1965"/>
      <c r="BL346" s="1965"/>
      <c r="BM346" s="1965"/>
      <c r="BN346" s="1965"/>
    </row>
    <row r="347" spans="3:105" s="1965" customFormat="1" ht="15" customHeight="1" x14ac:dyDescent="0.2">
      <c r="K347" s="1966"/>
      <c r="AV347" s="1967"/>
      <c r="BK347" s="1771"/>
      <c r="BN347" s="1771"/>
      <c r="BO347" s="1771"/>
      <c r="BP347" s="1771"/>
      <c r="BQ347" s="1771"/>
      <c r="BR347" s="1771"/>
      <c r="BS347" s="1771"/>
      <c r="BT347" s="1771"/>
      <c r="BU347" s="1771"/>
      <c r="BV347" s="1771"/>
      <c r="BW347" s="1771"/>
      <c r="BX347" s="1771"/>
      <c r="BY347" s="1771"/>
      <c r="BZ347" s="1771"/>
      <c r="CA347" s="1771"/>
      <c r="CB347" s="1771"/>
      <c r="CC347" s="1771"/>
      <c r="CD347" s="1771"/>
      <c r="CE347" s="1771"/>
      <c r="CF347" s="1771"/>
      <c r="CG347" s="1771"/>
      <c r="CH347" s="1771"/>
      <c r="CI347" s="1771"/>
      <c r="CK347" s="1771"/>
      <c r="CL347" s="1771"/>
      <c r="CM347" s="1771"/>
      <c r="CN347" s="1771"/>
      <c r="CO347" s="1771"/>
      <c r="CP347" s="1771"/>
      <c r="CQ347" s="1771"/>
      <c r="CR347" s="1771"/>
      <c r="CS347" s="1771"/>
      <c r="CT347" s="1771"/>
      <c r="CU347" s="1771"/>
      <c r="CV347" s="1771"/>
      <c r="CW347" s="1771"/>
      <c r="CX347" s="1771"/>
      <c r="CY347" s="1771"/>
      <c r="CZ347" s="1771"/>
      <c r="DA347" s="1771"/>
    </row>
    <row r="348" spans="3:105" s="1965" customFormat="1" ht="15" customHeight="1" x14ac:dyDescent="0.2">
      <c r="C348" s="1771"/>
      <c r="D348" s="1771"/>
      <c r="E348" s="1771"/>
      <c r="F348" s="1771"/>
      <c r="G348" s="1771"/>
      <c r="H348" s="1771"/>
      <c r="I348" s="1771"/>
      <c r="J348" s="1771"/>
      <c r="K348" s="1864"/>
      <c r="L348" s="1771"/>
      <c r="M348" s="1771"/>
      <c r="N348" s="1771"/>
      <c r="O348" s="1771"/>
      <c r="P348" s="1771"/>
      <c r="Q348" s="1771"/>
      <c r="R348" s="1771"/>
      <c r="S348" s="1771"/>
      <c r="T348" s="1771"/>
      <c r="U348" s="1771"/>
      <c r="V348" s="1771"/>
      <c r="W348" s="1771"/>
      <c r="X348" s="1771"/>
      <c r="Y348" s="1771"/>
      <c r="Z348" s="1771"/>
      <c r="AA348" s="1771"/>
      <c r="AB348" s="1771"/>
      <c r="AC348" s="1771"/>
      <c r="AD348" s="1771"/>
      <c r="AE348" s="1771"/>
      <c r="AF348" s="1771"/>
      <c r="AG348" s="1771"/>
      <c r="AH348" s="1771"/>
      <c r="AI348" s="1771"/>
      <c r="AJ348" s="1771"/>
      <c r="AK348" s="1771"/>
      <c r="AL348" s="1771"/>
      <c r="AM348" s="1771"/>
      <c r="AN348" s="1771"/>
      <c r="AV348" s="1967"/>
      <c r="AW348" s="1771"/>
      <c r="AX348" s="1771"/>
      <c r="AY348" s="1771"/>
      <c r="AZ348" s="1771"/>
      <c r="BA348" s="1771"/>
      <c r="BB348" s="1771"/>
      <c r="BC348" s="1771"/>
      <c r="BD348" s="1771"/>
      <c r="BE348" s="1771"/>
      <c r="BF348" s="1771"/>
      <c r="BG348" s="1771"/>
      <c r="BH348" s="1771"/>
      <c r="BI348" s="1771"/>
      <c r="BJ348" s="1771"/>
      <c r="BK348" s="1771"/>
      <c r="BL348" s="1771"/>
      <c r="BM348" s="1771"/>
      <c r="BN348" s="1771"/>
      <c r="BO348" s="1771"/>
      <c r="BP348" s="1771"/>
      <c r="BQ348" s="1771"/>
      <c r="BR348" s="1771"/>
      <c r="BS348" s="1771"/>
      <c r="BT348" s="1771"/>
      <c r="BU348" s="1771"/>
      <c r="BV348" s="1771"/>
      <c r="BW348" s="1771"/>
      <c r="BX348" s="1771"/>
      <c r="BY348" s="1771"/>
      <c r="BZ348" s="1771"/>
      <c r="CA348" s="1771"/>
      <c r="CB348" s="1771"/>
      <c r="CC348" s="1771"/>
      <c r="CD348" s="1771"/>
      <c r="CE348" s="1771"/>
      <c r="CF348" s="1771"/>
      <c r="CG348" s="1771"/>
      <c r="CH348" s="1771"/>
      <c r="CI348" s="1771"/>
      <c r="CK348" s="1771"/>
      <c r="CL348" s="1771"/>
      <c r="CM348" s="1771"/>
      <c r="CN348" s="1771"/>
      <c r="CO348" s="1771"/>
      <c r="CP348" s="1771"/>
      <c r="CQ348" s="1771"/>
      <c r="CR348" s="1771"/>
      <c r="CS348" s="1771"/>
      <c r="CT348" s="1771"/>
      <c r="CU348" s="1771"/>
      <c r="CV348" s="1771"/>
      <c r="CW348" s="1771"/>
      <c r="CX348" s="1771"/>
      <c r="CY348" s="1771"/>
      <c r="CZ348" s="1771"/>
      <c r="DA348" s="1771"/>
    </row>
    <row r="349" spans="3:105" ht="15" customHeight="1" x14ac:dyDescent="0.2">
      <c r="G349" s="1771"/>
      <c r="BK349" s="1965"/>
    </row>
    <row r="350" spans="3:105" ht="15" customHeight="1" x14ac:dyDescent="0.2">
      <c r="G350" s="1771"/>
      <c r="BK350" s="1965"/>
      <c r="CK350" s="1965"/>
      <c r="CL350" s="1965"/>
      <c r="CM350" s="1965"/>
      <c r="CN350" s="1965"/>
      <c r="CO350" s="1965"/>
      <c r="CP350" s="1965"/>
      <c r="CQ350" s="1965"/>
      <c r="CR350" s="1965"/>
      <c r="CS350" s="1965"/>
      <c r="CT350" s="1965"/>
      <c r="CU350" s="1965"/>
      <c r="CV350" s="1965"/>
      <c r="CW350" s="1965"/>
      <c r="CX350" s="1965"/>
      <c r="CY350" s="1965"/>
      <c r="CZ350" s="1965"/>
      <c r="DA350" s="1965"/>
    </row>
    <row r="351" spans="3:105" ht="15" customHeight="1" x14ac:dyDescent="0.2">
      <c r="G351" s="1771"/>
      <c r="CK351" s="1965"/>
      <c r="CL351" s="1965"/>
      <c r="CM351" s="1965"/>
      <c r="CN351" s="1965"/>
      <c r="CO351" s="1965"/>
      <c r="CP351" s="1965"/>
      <c r="CQ351" s="1965"/>
      <c r="CR351" s="1965"/>
      <c r="CS351" s="1965"/>
      <c r="CT351" s="1965"/>
      <c r="CU351" s="1965"/>
      <c r="CV351" s="1965"/>
      <c r="CW351" s="1965"/>
      <c r="CX351" s="1965"/>
      <c r="CY351" s="1965"/>
      <c r="CZ351" s="1965"/>
      <c r="DA351" s="1965"/>
    </row>
    <row r="352" spans="3:105" ht="15" customHeight="1" x14ac:dyDescent="0.2">
      <c r="G352" s="1771"/>
    </row>
    <row r="353" spans="7:7" ht="15" customHeight="1" x14ac:dyDescent="0.2">
      <c r="G353" s="1771"/>
    </row>
    <row r="354" spans="7:7" ht="15" customHeight="1" x14ac:dyDescent="0.2">
      <c r="G354" s="1771"/>
    </row>
    <row r="355" spans="7:7" ht="15" customHeight="1" x14ac:dyDescent="0.2">
      <c r="G355" s="1771"/>
    </row>
    <row r="356" spans="7:7" ht="15" customHeight="1" x14ac:dyDescent="0.2">
      <c r="G356" s="1771"/>
    </row>
    <row r="357" spans="7:7" ht="15" customHeight="1" x14ac:dyDescent="0.2">
      <c r="G357" s="1771"/>
    </row>
    <row r="358" spans="7:7" ht="15" customHeight="1" x14ac:dyDescent="0.2">
      <c r="G358" s="1771"/>
    </row>
    <row r="359" spans="7:7" ht="15" customHeight="1" x14ac:dyDescent="0.2">
      <c r="G359" s="1771"/>
    </row>
    <row r="360" spans="7:7" ht="15" customHeight="1" x14ac:dyDescent="0.2">
      <c r="G360" s="1771"/>
    </row>
    <row r="361" spans="7:7" ht="15" customHeight="1" x14ac:dyDescent="0.2">
      <c r="G361" s="1771"/>
    </row>
    <row r="362" spans="7:7" ht="15" customHeight="1" x14ac:dyDescent="0.2">
      <c r="G362" s="1771"/>
    </row>
    <row r="363" spans="7:7" ht="15" customHeight="1" x14ac:dyDescent="0.2">
      <c r="G363" s="1771"/>
    </row>
    <row r="449" spans="3:4" ht="15" customHeight="1" x14ac:dyDescent="0.2">
      <c r="C449" s="1968"/>
      <c r="D449" s="1968"/>
    </row>
    <row r="503" spans="3:105" s="1969" customFormat="1" ht="20.25" customHeight="1" x14ac:dyDescent="0.2">
      <c r="C503" s="1771"/>
      <c r="D503" s="1771"/>
      <c r="E503" s="1771"/>
      <c r="F503" s="1771"/>
      <c r="G503" s="1863"/>
      <c r="H503" s="1771"/>
      <c r="I503" s="1771"/>
      <c r="J503" s="1771"/>
      <c r="K503" s="1864"/>
      <c r="L503" s="1771"/>
      <c r="M503" s="1771"/>
      <c r="N503" s="1771"/>
      <c r="O503" s="1771"/>
      <c r="P503" s="1771"/>
      <c r="Q503" s="1771"/>
      <c r="R503" s="1771"/>
      <c r="AV503" s="1970"/>
      <c r="CK503" s="1771"/>
      <c r="CL503" s="1771"/>
      <c r="CM503" s="1771"/>
      <c r="CN503" s="1771"/>
      <c r="CO503" s="1771"/>
      <c r="CP503" s="1771"/>
      <c r="CQ503" s="1771"/>
      <c r="CR503" s="1771"/>
      <c r="CS503" s="1771"/>
      <c r="CT503" s="1771"/>
      <c r="CU503" s="1771"/>
      <c r="CV503" s="1771"/>
      <c r="CW503" s="1771"/>
      <c r="CX503" s="1771"/>
      <c r="CY503" s="1771"/>
      <c r="CZ503" s="1771"/>
      <c r="DA503" s="1771"/>
    </row>
    <row r="506" spans="3:105" ht="23" customHeight="1" x14ac:dyDescent="0.2">
      <c r="CK506" s="1969"/>
      <c r="CL506" s="1969"/>
      <c r="CM506" s="1969"/>
      <c r="CN506" s="1969"/>
      <c r="CO506" s="1969"/>
      <c r="CP506" s="1969"/>
      <c r="CQ506" s="1969"/>
      <c r="CR506" s="1969"/>
      <c r="CS506" s="1969"/>
      <c r="CT506" s="1969"/>
      <c r="CU506" s="1969"/>
      <c r="CV506" s="1969"/>
      <c r="CW506" s="1969"/>
      <c r="CX506" s="1969"/>
      <c r="CY506" s="1969"/>
      <c r="CZ506" s="1969"/>
      <c r="DA506" s="1969"/>
    </row>
    <row r="508" spans="3:105" ht="23" customHeight="1" x14ac:dyDescent="0.2"/>
    <row r="541" spans="7:11" ht="15" customHeight="1" x14ac:dyDescent="0.2">
      <c r="G541" s="1771"/>
      <c r="K541" s="1771"/>
    </row>
    <row r="542" spans="7:11" ht="15" customHeight="1" x14ac:dyDescent="0.2">
      <c r="G542" s="1771"/>
      <c r="K542" s="1771"/>
    </row>
    <row r="543" spans="7:11" ht="15" customHeight="1" x14ac:dyDescent="0.2">
      <c r="G543" s="1771"/>
      <c r="K543" s="1771"/>
    </row>
    <row r="544" spans="7:11" ht="15" customHeight="1" x14ac:dyDescent="0.2">
      <c r="G544" s="1771"/>
      <c r="K544" s="1771"/>
    </row>
    <row r="545" spans="7:11" ht="15" customHeight="1" x14ac:dyDescent="0.2">
      <c r="G545" s="1771"/>
      <c r="K545" s="1771"/>
    </row>
    <row r="546" spans="7:11" ht="15" customHeight="1" x14ac:dyDescent="0.2">
      <c r="G546" s="1771"/>
      <c r="K546" s="1771"/>
    </row>
    <row r="547" spans="7:11" ht="15" customHeight="1" x14ac:dyDescent="0.2">
      <c r="G547" s="1771"/>
      <c r="K547" s="1771"/>
    </row>
    <row r="548" spans="7:11" ht="15" customHeight="1" x14ac:dyDescent="0.2">
      <c r="G548" s="1771"/>
      <c r="K548" s="1771"/>
    </row>
    <row r="549" spans="7:11" ht="15" customHeight="1" x14ac:dyDescent="0.2">
      <c r="G549" s="1771"/>
      <c r="K549" s="1771"/>
    </row>
    <row r="550" spans="7:11" ht="15" customHeight="1" x14ac:dyDescent="0.2">
      <c r="G550" s="1771"/>
      <c r="K550" s="1771"/>
    </row>
    <row r="551" spans="7:11" ht="15" customHeight="1" x14ac:dyDescent="0.2">
      <c r="G551" s="1771"/>
      <c r="K551" s="1771"/>
    </row>
    <row r="552" spans="7:11" ht="15" customHeight="1" x14ac:dyDescent="0.2">
      <c r="G552" s="1771"/>
      <c r="K552" s="1771"/>
    </row>
    <row r="553" spans="7:11" ht="15" customHeight="1" x14ac:dyDescent="0.2">
      <c r="G553" s="1771"/>
      <c r="K553" s="1771"/>
    </row>
    <row r="554" spans="7:11" ht="15" customHeight="1" x14ac:dyDescent="0.2">
      <c r="G554" s="1771"/>
      <c r="K554" s="1771"/>
    </row>
    <row r="555" spans="7:11" ht="15" customHeight="1" x14ac:dyDescent="0.2">
      <c r="G555" s="1771"/>
      <c r="K555" s="1771"/>
    </row>
    <row r="556" spans="7:11" ht="15" customHeight="1" x14ac:dyDescent="0.2">
      <c r="G556" s="1771"/>
      <c r="K556" s="1771"/>
    </row>
    <row r="557" spans="7:11" ht="15" customHeight="1" x14ac:dyDescent="0.2">
      <c r="G557" s="1771"/>
      <c r="K557" s="1771"/>
    </row>
    <row r="558" spans="7:11" ht="15" customHeight="1" x14ac:dyDescent="0.2">
      <c r="G558" s="1771"/>
      <c r="K558" s="1771"/>
    </row>
    <row r="559" spans="7:11" ht="15" customHeight="1" x14ac:dyDescent="0.2">
      <c r="G559" s="1771"/>
      <c r="K559" s="1771"/>
    </row>
    <row r="560" spans="7:11" ht="15" customHeight="1" x14ac:dyDescent="0.2">
      <c r="G560" s="1771"/>
      <c r="K560" s="1771"/>
    </row>
    <row r="561" spans="7:11" ht="15" customHeight="1" x14ac:dyDescent="0.2">
      <c r="G561" s="1771"/>
      <c r="K561" s="1771"/>
    </row>
    <row r="562" spans="7:11" ht="15" customHeight="1" x14ac:dyDescent="0.2">
      <c r="G562" s="1771"/>
      <c r="K562" s="1771"/>
    </row>
    <row r="563" spans="7:11" ht="15" customHeight="1" x14ac:dyDescent="0.2">
      <c r="G563" s="1771"/>
      <c r="K563" s="1771"/>
    </row>
    <row r="564" spans="7:11" ht="15" customHeight="1" x14ac:dyDescent="0.2">
      <c r="G564" s="1771"/>
      <c r="K564" s="1771"/>
    </row>
    <row r="565" spans="7:11" ht="15" customHeight="1" x14ac:dyDescent="0.2">
      <c r="G565" s="1771"/>
      <c r="K565" s="1771"/>
    </row>
    <row r="566" spans="7:11" ht="15" customHeight="1" x14ac:dyDescent="0.2">
      <c r="G566" s="1771"/>
      <c r="K566" s="1771"/>
    </row>
    <row r="576" spans="7:11" ht="23" customHeight="1" x14ac:dyDescent="0.2"/>
    <row r="581" ht="23" customHeight="1" x14ac:dyDescent="0.2"/>
    <row r="583" ht="23" customHeight="1" x14ac:dyDescent="0.2"/>
    <row r="584" ht="23" customHeight="1" x14ac:dyDescent="0.2"/>
    <row r="592" ht="23" customHeight="1" x14ac:dyDescent="0.2"/>
    <row r="615" ht="20" customHeight="1" x14ac:dyDescent="0.2"/>
    <row r="618" ht="20" customHeight="1" x14ac:dyDescent="0.2"/>
    <row r="619" ht="20" customHeight="1" x14ac:dyDescent="0.2"/>
    <row r="621" ht="20" customHeight="1" x14ac:dyDescent="0.2"/>
    <row r="622" ht="20" customHeight="1" x14ac:dyDescent="0.2"/>
    <row r="624" ht="20" customHeight="1" x14ac:dyDescent="0.2"/>
    <row r="628" ht="20" customHeight="1" x14ac:dyDescent="0.2"/>
    <row r="630" ht="20" customHeight="1" x14ac:dyDescent="0.2"/>
    <row r="631" ht="20" customHeight="1" x14ac:dyDescent="0.2"/>
    <row r="634" ht="20" customHeight="1" x14ac:dyDescent="0.2"/>
    <row r="636" ht="20" customHeight="1" x14ac:dyDescent="0.2"/>
    <row r="639" ht="20" customHeight="1" x14ac:dyDescent="0.2"/>
    <row r="642" spans="3:21" ht="20" customHeight="1" x14ac:dyDescent="0.2"/>
    <row r="644" spans="3:21" ht="20" customHeight="1" x14ac:dyDescent="0.2"/>
    <row r="645" spans="3:21" ht="20" customHeight="1" x14ac:dyDescent="0.2"/>
    <row r="646" spans="3:21" ht="20" customHeight="1" x14ac:dyDescent="0.2"/>
    <row r="647" spans="3:21" ht="20" customHeight="1" x14ac:dyDescent="0.2">
      <c r="S647" s="1971"/>
      <c r="U647" s="1971"/>
    </row>
    <row r="648" spans="3:21" ht="20" customHeight="1" x14ac:dyDescent="0.2">
      <c r="S648" s="1971"/>
      <c r="U648" s="1971"/>
    </row>
    <row r="649" spans="3:21" ht="20" customHeight="1" x14ac:dyDescent="0.2">
      <c r="S649" s="1971"/>
      <c r="U649" s="1971"/>
    </row>
    <row r="650" spans="3:21" ht="20" customHeight="1" x14ac:dyDescent="0.2">
      <c r="S650" s="1971"/>
      <c r="U650" s="1971"/>
    </row>
    <row r="651" spans="3:21" ht="20" customHeight="1" x14ac:dyDescent="0.2">
      <c r="S651" s="1971"/>
      <c r="U651" s="1971"/>
    </row>
    <row r="652" spans="3:21" ht="20" customHeight="1" x14ac:dyDescent="0.2">
      <c r="S652" s="1971"/>
      <c r="U652" s="1971"/>
    </row>
    <row r="653" spans="3:21" ht="20" customHeight="1" x14ac:dyDescent="0.2">
      <c r="C653" s="1971"/>
      <c r="E653" s="1971"/>
      <c r="G653" s="1971"/>
      <c r="I653" s="1971"/>
      <c r="K653" s="1972"/>
      <c r="M653" s="1971"/>
      <c r="O653" s="1971"/>
      <c r="Q653" s="1971"/>
      <c r="S653" s="1971"/>
      <c r="U653" s="1971"/>
    </row>
    <row r="654" spans="3:21" ht="20" customHeight="1" x14ac:dyDescent="0.2"/>
    <row r="658" spans="7:7" ht="15" customHeight="1" x14ac:dyDescent="0.2">
      <c r="G658" s="1973"/>
    </row>
    <row r="660" spans="7:7" ht="15" customHeight="1" x14ac:dyDescent="0.2">
      <c r="G660" s="1973"/>
    </row>
  </sheetData>
  <sheetProtection algorithmName="SHA-512" hashValue="vfZIplj9BlOUruYOui4xtBdW48N/wWINBVyp3qA/s+6BslhNYDmD3wu0SFBiXjb4BDZWiE2mA1VP+caJZrbKSQ==" saltValue="KjpKyTluiZonOLGpUYlZaQ==" spinCount="100000" sheet="1" formatColumns="0"/>
  <dataConsolidate/>
  <mergeCells count="4">
    <mergeCell ref="BL138:BN140"/>
    <mergeCell ref="BO36:BQ38"/>
    <mergeCell ref="BO96:BQ98"/>
    <mergeCell ref="M61:W62"/>
  </mergeCells>
  <conditionalFormatting sqref="Q37:S37 V37">
    <cfRule type="expression" dxfId="196" priority="8">
      <formula>$Q$37 &lt;&gt; ""</formula>
    </cfRule>
  </conditionalFormatting>
  <conditionalFormatting sqref="Q96:T96">
    <cfRule type="expression" dxfId="195" priority="7">
      <formula>IF($R$96&lt;&gt; $T$96,)</formula>
    </cfRule>
  </conditionalFormatting>
  <conditionalFormatting sqref="Q139:T139">
    <cfRule type="expression" dxfId="194" priority="5">
      <formula>$Q$139&lt;&gt;""</formula>
    </cfRule>
  </conditionalFormatting>
  <conditionalFormatting sqref="Q36:U36">
    <cfRule type="expression" dxfId="193" priority="1">
      <formula>IF($R$96&lt;&gt; $T$96,)</formula>
    </cfRule>
  </conditionalFormatting>
  <dataValidations xWindow="1306" yWindow="560" count="8">
    <dataValidation type="custom" allowBlank="1" showInputMessage="1" showErrorMessage="1" sqref="BG120" xr:uid="{00000000-0002-0000-0600-000000000000}">
      <formula1>"&gt;=0"</formula1>
    </dataValidation>
    <dataValidation type="decimal" operator="greaterThanOrEqual" allowBlank="1" showInputMessage="1" showErrorMessage="1" sqref="M116:M119 M127:M136 AU118:AU119 T127:T137 M14:M17 M25:M34 Q127:Q136 Q25:R34 M56:M59 T25:T34 AS116:AS119 AS127:AS136 AT17 AU127:AU136 AW116:AW119 AW127:AW136 AY116:AY119 AY127:AY136 BA116:BA119 BA127:BA136 BC116:BC119 BC127:BC136 BE116:BE119 BE127:BE136 BG116:BG119 BI116:BI119 BG127:BG136 BI127:BI136 AT25:AT34 AV14:AV17 AV25:AV34 AX14:AX17 AZ14:AZ17 AX25:AX34 AZ25:AZ34 BI14:BI17 BI25:BI34 BB14:BB17 BB25:BB34 BL14:BL17 BL25:BL34 AT56:AT59 AV56:AV59 AZ56:AZ59 BE56:BE59 BG56:BG59 BI56:BI59 BK56:BK59 AT14:AT15 R127:R137 Q87:R94 M87:M94 BI67:BI94 BG67:BG94 BE67:BE94 BC67:BC94 AZ67:AZ94 AV67:AV94 AT67:AT94 BK67:BK94 Q67:R81 T67:T81 T87:T94 M67:M82 M84" xr:uid="{00000000-0002-0000-0600-000001000000}">
      <formula1>0</formula1>
    </dataValidation>
    <dataValidation allowBlank="1" showInputMessage="1" showErrorMessage="1" error="Please correct areas" sqref="R39" xr:uid="{00000000-0002-0000-0600-000002000000}"/>
    <dataValidation type="decimal" operator="equal" allowBlank="1" showErrorMessage="1" errorTitle="Error" error="The total area of annual croppig systems must remain the same at the start, without and with the project scenario. _x000a__x000a_Please correct areas. " sqref="M37" xr:uid="{00000000-0002-0000-0600-000003000000}">
      <formula1>$R$35=$Q$35=$T$35</formula1>
    </dataValidation>
    <dataValidation type="decimal" operator="equal" allowBlank="1" showErrorMessage="1" errorTitle="Error" error="Total area must remain the same at the start, without and with the project scenario. _x000a__x000a_Please correct areas!_x000a_" sqref="R35" xr:uid="{00000000-0002-0000-0600-000004000000}">
      <formula1>$Q$35</formula1>
    </dataValidation>
    <dataValidation type="decimal" operator="equal" allowBlank="1" showErrorMessage="1" errorTitle="Error" error="Total area must remain the same at the start, without and with project scenario!_x000a__x000a_Please correct areas!" sqref="T35" xr:uid="{00000000-0002-0000-0600-000005000000}">
      <formula1>$R$35</formula1>
    </dataValidation>
    <dataValidation type="list" allowBlank="1" showInputMessage="1" showErrorMessage="1" sqref="U95" xr:uid="{00000000-0002-0000-0600-000006000000}">
      <formula1>$I$36:$I$37</formula1>
    </dataValidation>
    <dataValidation type="list" allowBlank="1" showInputMessage="1" showErrorMessage="1" prompt="See Definition for IPCC recomendations on residue management options." sqref="K14:K17 K25:K34" xr:uid="{00000000-0002-0000-0600-000007000000}">
      <formula1>INDIRECT($AA14)</formula1>
    </dataValidation>
  </dataValidations>
  <hyperlinks>
    <hyperlink ref="I113" location="'3. Cropland'!C620" display="During ?" xr:uid="{00000000-0004-0000-0600-000000000000}"/>
  </hyperlink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1306" yWindow="560" count="15">
        <x14:dataValidation type="list" allowBlank="1" showInputMessage="1" showErrorMessage="1" xr:uid="{00000000-0002-0000-0600-000008000000}">
          <x14:formula1>
            <xm:f>list!$L$48:$L$50</xm:f>
          </x14:formula1>
          <xm:sqref>U25:U34 S25:S34</xm:sqref>
        </x14:dataValidation>
        <x14:dataValidation type="list" allowBlank="1" showInputMessage="1" showErrorMessage="1" xr:uid="{00000000-0002-0000-0600-000009000000}">
          <x14:formula1>
            <xm:f>list!$K$33:$K$36</xm:f>
          </x14:formula1>
          <xm:sqref>G25:G34 G14:G17 G56:G59 G67:G69 G75:G77 G79:G81 G87:G94 G71:G73</xm:sqref>
        </x14:dataValidation>
        <x14:dataValidation type="list" allowBlank="1" showInputMessage="1" showErrorMessage="1" xr:uid="{00000000-0002-0000-0600-00000A000000}">
          <x14:formula1>
            <xm:f>list!$I$48:$I$50</xm:f>
          </x14:formula1>
          <xm:sqref>S127:S136 U127:U136 U67:U81 S67:S81 S87:S95 U87:U94</xm:sqref>
        </x14:dataValidation>
        <x14:dataValidation type="list" allowBlank="1" showInputMessage="1" showErrorMessage="1" xr:uid="{00000000-0002-0000-0600-00000B000000}">
          <x14:formula1>
            <xm:f>list!$L$33:$L$37</xm:f>
          </x14:formula1>
          <xm:sqref>I25:I34 K95 I56:I59 I14:I17 I67:I69 I75:I77 I79:I81 I71:I73 I87:I94</xm:sqref>
        </x14:dataValidation>
        <x14:dataValidation type="list" allowBlank="1" showInputMessage="1" showErrorMessage="1" xr:uid="{00000000-0002-0000-0600-00000C000000}">
          <x14:formula1>
            <xm:f>list!$J$41:$J$42</xm:f>
          </x14:formula1>
          <xm:sqref>M95 K56:K59 K75:K77 K71:K73 K79:K81 K87:K94 K67:K69</xm:sqref>
        </x14:dataValidation>
        <x14:dataValidation type="list" allowBlank="1" showInputMessage="1" showErrorMessage="1" xr:uid="{00000000-0002-0000-0600-00000D000000}">
          <x14:formula1>
            <xm:f>list!$I$41:$I$44</xm:f>
          </x14:formula1>
          <xm:sqref>BJ25:BJ34 BJ14:BJ17</xm:sqref>
        </x14:dataValidation>
        <x14:dataValidation type="list" allowBlank="1" showInputMessage="1" showErrorMessage="1" xr:uid="{00000000-0002-0000-0600-00000E000000}">
          <x14:formula1>
            <xm:f>list!$H$90:$H$97</xm:f>
          </x14:formula1>
          <xm:sqref>K116:K119 K127:K136</xm:sqref>
        </x14:dataValidation>
        <x14:dataValidation type="list" allowBlank="1" showInputMessage="1" showErrorMessage="1" xr:uid="{00000000-0002-0000-0600-00000F000000}">
          <x14:formula1>
            <xm:f>OFFSET(list!$F$139, 1, MATCH(clim_moist, list!$F$139:$O$139,0)-1, COUNTA(OFFSET(list!$F$139,1, MATCH(clim_moist, list!$F$139:$O$139,0)-1,15,1)), 1)</xm:f>
          </x14:formula1>
          <xm:sqref>E56:E59</xm:sqref>
        </x14:dataValidation>
        <x14:dataValidation type="whole" operator="lessThanOrEqual" allowBlank="1" showInputMessage="1" showErrorMessage="1" error="The start year of the activity cannot be after the end of the implementation period." xr:uid="{00000000-0002-0000-0600-000010000000}">
          <x14:formula1>
            <xm:f>'1.Description'!$T$13</xm:f>
          </x14:formula1>
          <xm:sqref>BP14:BP17 BP25:BP34 BP56:BP59 BM116:BM119 BM127:BM136 BP67:BP94</xm:sqref>
        </x14:dataValidation>
        <x14:dataValidation type="list" allowBlank="1" showInputMessage="1" showErrorMessage="1" xr:uid="{00000000-0002-0000-0600-000011000000}">
          <x14:formula1>
            <xm:f>list!$F$90:$F$96</xm:f>
          </x14:formula1>
          <xm:sqref>G116:G119 G127:G136</xm:sqref>
        </x14:dataValidation>
        <x14:dataValidation type="list" allowBlank="1" showInputMessage="1" showErrorMessage="1" xr:uid="{00000000-0002-0000-0600-000013000000}">
          <x14:formula1>
            <xm:f>list!$G$90:$G$93</xm:f>
          </x14:formula1>
          <xm:sqref>I116:I119 I127:I136</xm:sqref>
        </x14:dataValidation>
        <x14:dataValidation type="list" allowBlank="1" showInputMessage="1" showErrorMessage="1" xr:uid="{00000000-0002-0000-0600-000015000000}">
          <x14:formula1>
            <xm:f>OFFSET(list!$F$73, 1, MATCH(clim_moist, list!$F$73:$O$73,0)-1,COUNTA(OFFSET(list!$F$73, 1,MATCH(clim_moist, list!$F$73:$O$73,0)-1,15,1)),1)</xm:f>
          </x14:formula1>
          <xm:sqref>E75 E71 E79 E87:E94 E67</xm:sqref>
        </x14:dataValidation>
        <x14:dataValidation type="list" allowBlank="1" showInputMessage="1" showErrorMessage="1" xr:uid="{00000000-0002-0000-0600-000016000000}">
          <x14:formula1>
            <xm:f>list!$G$33:$G$48</xm:f>
          </x14:formula1>
          <xm:sqref>E14:E17 E25:E34</xm:sqref>
        </x14:dataValidation>
        <x14:dataValidation type="list" allowBlank="1" showInputMessage="1" showErrorMessage="1" xr:uid="{00000000-0002-0000-0600-000017000000}">
          <x14:formula1>
            <xm:f>list!$G$32:$G$48</xm:f>
          </x14:formula1>
          <xm:sqref>BH14:BH17 BH25:BH34</xm:sqref>
        </x14:dataValidation>
        <x14:dataValidation type="custom" allowBlank="1" showInputMessage="1" showErrorMessage="1" xr:uid="{00000000-0002-0000-0600-000018000000}">
          <x14:formula1>
            <xm:f>IF(annual!D48=annual!E48, IF(annual!E48=annual!G48,"", "Check areas!"), "Check areas!")</xm:f>
          </x14:formula1>
          <xm:sqref>R38</xm:sqref>
        </x14:dataValidation>
      </x14:dataValidations>
    </ext>
  </extLst>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dimension ref="A1:Q39"/>
  <sheetViews>
    <sheetView topLeftCell="F1" workbookViewId="0">
      <selection activeCell="N31" sqref="N31"/>
    </sheetView>
  </sheetViews>
  <sheetFormatPr baseColWidth="10" defaultColWidth="9.33203125" defaultRowHeight="15" x14ac:dyDescent="0.2"/>
  <cols>
    <col min="1" max="1" width="27.6640625" style="284" customWidth="1"/>
    <col min="2" max="2" width="33.5" style="284" customWidth="1"/>
    <col min="3" max="3" width="24.33203125" style="284" customWidth="1"/>
    <col min="4" max="4" width="33.5" style="284" customWidth="1"/>
    <col min="5" max="5" width="19.6640625" style="284" customWidth="1"/>
    <col min="6" max="6" width="20.5" style="284" customWidth="1"/>
    <col min="7" max="8" width="9.33203125" style="284"/>
    <col min="9" max="9" width="22.5" style="284" customWidth="1"/>
    <col min="10" max="10" width="24.5" style="284" customWidth="1"/>
    <col min="11" max="11" width="9.33203125" style="284"/>
    <col min="12" max="12" width="13.33203125" style="284" customWidth="1"/>
    <col min="13" max="13" width="9.33203125" style="284"/>
    <col min="14" max="14" width="14" style="284" customWidth="1"/>
    <col min="15" max="15" width="13.5" style="284" customWidth="1"/>
    <col min="16" max="16384" width="9.33203125" style="284"/>
  </cols>
  <sheetData>
    <row r="1" spans="1:17" s="946" customFormat="1" x14ac:dyDescent="0.2">
      <c r="A1" s="876" t="s">
        <v>448</v>
      </c>
      <c r="L1" s="899"/>
      <c r="M1" s="899"/>
      <c r="N1" s="899"/>
      <c r="O1" s="899"/>
      <c r="P1" s="899"/>
    </row>
    <row r="2" spans="1:17" s="921" customFormat="1" ht="16" x14ac:dyDescent="0.2">
      <c r="A2" s="953" t="s">
        <v>449</v>
      </c>
      <c r="B2" s="932"/>
      <c r="C2" s="932"/>
      <c r="D2" s="932"/>
      <c r="E2" s="932"/>
      <c r="F2" s="932"/>
      <c r="I2" s="952" t="s">
        <v>450</v>
      </c>
      <c r="L2" s="943"/>
      <c r="M2" s="944" t="s">
        <v>451</v>
      </c>
      <c r="N2" s="943"/>
      <c r="O2" s="943"/>
      <c r="P2" s="943"/>
    </row>
    <row r="3" spans="1:17" s="921" customFormat="1" ht="28" x14ac:dyDescent="0.2">
      <c r="A3" s="942" t="s">
        <v>57</v>
      </c>
      <c r="B3" s="945" t="s">
        <v>452</v>
      </c>
      <c r="C3" s="942" t="s">
        <v>453</v>
      </c>
      <c r="D3" s="945" t="s">
        <v>454</v>
      </c>
      <c r="E3" s="945" t="s">
        <v>455</v>
      </c>
      <c r="F3" s="945" t="s">
        <v>456</v>
      </c>
      <c r="G3" s="945"/>
      <c r="I3" s="951" t="s">
        <v>457</v>
      </c>
      <c r="J3" s="951" t="s">
        <v>458</v>
      </c>
      <c r="L3" s="943"/>
      <c r="M3" s="944"/>
      <c r="N3" s="943"/>
      <c r="O3" s="943"/>
      <c r="P3" s="943"/>
    </row>
    <row r="4" spans="1:17" x14ac:dyDescent="0.2">
      <c r="A4" s="936" t="s">
        <v>459</v>
      </c>
      <c r="B4" s="937" t="s">
        <v>460</v>
      </c>
      <c r="C4" s="936" t="s">
        <v>461</v>
      </c>
      <c r="D4" s="937">
        <f>AVERAGE(800,1600)</f>
        <v>1200</v>
      </c>
      <c r="E4" s="938">
        <f>AVERAGE(100,365)</f>
        <v>232.5</v>
      </c>
      <c r="F4" s="939">
        <f>D4*10000</f>
        <v>12000000</v>
      </c>
      <c r="I4" s="936" t="s">
        <v>459</v>
      </c>
      <c r="J4" s="937" t="s">
        <v>462</v>
      </c>
      <c r="L4" s="940"/>
      <c r="M4" s="940"/>
      <c r="O4" s="940" t="s">
        <v>463</v>
      </c>
      <c r="P4" s="940" t="s">
        <v>464</v>
      </c>
      <c r="Q4" s="940" t="s">
        <v>465</v>
      </c>
    </row>
    <row r="5" spans="1:17" x14ac:dyDescent="0.2">
      <c r="A5" s="936" t="s">
        <v>466</v>
      </c>
      <c r="B5" s="937" t="s">
        <v>467</v>
      </c>
      <c r="C5" s="936" t="s">
        <v>468</v>
      </c>
      <c r="D5" s="937">
        <f>AVERAGE(1200,2200)</f>
        <v>1700</v>
      </c>
      <c r="E5" s="938">
        <f>AVERAGE(300,365)</f>
        <v>332.5</v>
      </c>
      <c r="F5" s="939">
        <f t="shared" ref="F5:F25" si="0">D5*10000</f>
        <v>17000000</v>
      </c>
      <c r="I5" s="936" t="s">
        <v>466</v>
      </c>
      <c r="J5" s="937" t="s">
        <v>469</v>
      </c>
      <c r="L5" s="940"/>
      <c r="M5" s="940" t="s">
        <v>470</v>
      </c>
      <c r="N5" s="940"/>
      <c r="O5" s="941"/>
      <c r="P5" s="940"/>
    </row>
    <row r="6" spans="1:17" x14ac:dyDescent="0.2">
      <c r="A6" s="936" t="s">
        <v>471</v>
      </c>
      <c r="B6" s="937" t="s">
        <v>472</v>
      </c>
      <c r="C6" s="936" t="s">
        <v>461</v>
      </c>
      <c r="D6" s="937">
        <f>AVERAGE(450,650)</f>
        <v>550</v>
      </c>
      <c r="E6" s="938">
        <f>AVERAGE(120,150)</f>
        <v>135</v>
      </c>
      <c r="F6" s="939">
        <f>D6*10000</f>
        <v>5500000</v>
      </c>
      <c r="I6" s="936" t="s">
        <v>471</v>
      </c>
      <c r="J6" s="937" t="s">
        <v>473</v>
      </c>
      <c r="L6" s="940"/>
      <c r="M6" s="940"/>
      <c r="N6" s="940"/>
      <c r="O6" s="941"/>
      <c r="P6" s="940"/>
    </row>
    <row r="7" spans="1:17" x14ac:dyDescent="0.2">
      <c r="A7" s="936" t="s">
        <v>474</v>
      </c>
      <c r="B7" s="937" t="s">
        <v>475</v>
      </c>
      <c r="C7" s="936" t="s">
        <v>476</v>
      </c>
      <c r="D7" s="937">
        <f>AVERAGE(300,500)</f>
        <v>400</v>
      </c>
      <c r="E7" s="938">
        <f>AVERAGE(75,90,95,110)</f>
        <v>92.5</v>
      </c>
      <c r="F7" s="939">
        <f t="shared" si="0"/>
        <v>4000000</v>
      </c>
      <c r="I7" s="936" t="s">
        <v>477</v>
      </c>
      <c r="J7" s="937" t="s">
        <v>478</v>
      </c>
      <c r="L7" s="940"/>
      <c r="M7" s="940"/>
      <c r="N7" s="940"/>
      <c r="O7" s="940"/>
      <c r="P7" s="940"/>
    </row>
    <row r="8" spans="1:17" x14ac:dyDescent="0.2">
      <c r="A8" s="936" t="s">
        <v>479</v>
      </c>
      <c r="B8" s="937" t="s">
        <v>480</v>
      </c>
      <c r="C8" s="936" t="s">
        <v>476</v>
      </c>
      <c r="D8" s="937">
        <f>AVERAGE(350,550)</f>
        <v>450</v>
      </c>
      <c r="E8" s="938">
        <f>AVERAGE(120,140)</f>
        <v>130</v>
      </c>
      <c r="F8" s="939">
        <f t="shared" si="0"/>
        <v>4500000</v>
      </c>
      <c r="I8" s="936" t="s">
        <v>481</v>
      </c>
      <c r="J8" s="937" t="s">
        <v>482</v>
      </c>
      <c r="L8" s="940"/>
      <c r="M8" s="940"/>
      <c r="N8" s="940"/>
      <c r="O8" s="941"/>
      <c r="P8" s="940"/>
    </row>
    <row r="9" spans="1:17" x14ac:dyDescent="0.2">
      <c r="A9" s="936" t="s">
        <v>483</v>
      </c>
      <c r="B9" s="937" t="s">
        <v>484</v>
      </c>
      <c r="C9" s="936" t="s">
        <v>461</v>
      </c>
      <c r="D9" s="937">
        <f>AVERAGE(900,1200)</f>
        <v>1050</v>
      </c>
      <c r="E9" s="938">
        <f>AVERAGE(240,365)</f>
        <v>302.5</v>
      </c>
      <c r="F9" s="939">
        <f>D9*10000</f>
        <v>10500000</v>
      </c>
      <c r="I9" s="936" t="s">
        <v>479</v>
      </c>
      <c r="J9" s="937" t="s">
        <v>485</v>
      </c>
    </row>
    <row r="10" spans="1:17" x14ac:dyDescent="0.2">
      <c r="A10" s="936" t="s">
        <v>486</v>
      </c>
      <c r="B10" s="937" t="s">
        <v>487</v>
      </c>
      <c r="C10" s="936" t="s">
        <v>488</v>
      </c>
      <c r="D10" s="937">
        <f>AVERAGE(700,1300)</f>
        <v>1000</v>
      </c>
      <c r="E10" s="938">
        <f>AVERAGE(180,195)</f>
        <v>187.5</v>
      </c>
      <c r="F10" s="939">
        <f t="shared" si="0"/>
        <v>10000000</v>
      </c>
      <c r="I10" s="936" t="s">
        <v>489</v>
      </c>
      <c r="J10" s="937" t="s">
        <v>490</v>
      </c>
    </row>
    <row r="11" spans="1:17" x14ac:dyDescent="0.2">
      <c r="A11" s="936" t="s">
        <v>491</v>
      </c>
      <c r="B11" s="937" t="s">
        <v>492</v>
      </c>
      <c r="C11" s="936" t="s">
        <v>476</v>
      </c>
      <c r="D11" s="937">
        <f>AVERAGE(500,800)</f>
        <v>650</v>
      </c>
      <c r="E11" s="938">
        <f>AVERAGE(80,110,125,180)</f>
        <v>123.75</v>
      </c>
      <c r="F11" s="939">
        <f t="shared" si="0"/>
        <v>6500000</v>
      </c>
      <c r="I11" s="936" t="s">
        <v>483</v>
      </c>
      <c r="J11" s="937" t="s">
        <v>493</v>
      </c>
    </row>
    <row r="12" spans="1:17" x14ac:dyDescent="0.2">
      <c r="A12" s="936" t="s">
        <v>494</v>
      </c>
      <c r="B12" s="937" t="s">
        <v>495</v>
      </c>
      <c r="C12" s="936" t="s">
        <v>476</v>
      </c>
      <c r="D12" s="937">
        <f>AVERAGE(400,600)</f>
        <v>500</v>
      </c>
      <c r="E12" s="938">
        <f>AVERAGE(120,160)</f>
        <v>140</v>
      </c>
      <c r="F12" s="939">
        <f t="shared" si="0"/>
        <v>5000000</v>
      </c>
      <c r="I12" s="936" t="s">
        <v>486</v>
      </c>
      <c r="J12" s="937" t="s">
        <v>496</v>
      </c>
    </row>
    <row r="13" spans="1:17" x14ac:dyDescent="0.2">
      <c r="A13" s="936" t="s">
        <v>497</v>
      </c>
      <c r="B13" s="937" t="s">
        <v>498</v>
      </c>
      <c r="C13" s="936" t="s">
        <v>476</v>
      </c>
      <c r="D13" s="937">
        <f>AVERAGE(350,550)</f>
        <v>450</v>
      </c>
      <c r="E13" s="938">
        <f>AVERAGE(70,95,150,210)</f>
        <v>131.25</v>
      </c>
      <c r="F13" s="939">
        <f t="shared" si="0"/>
        <v>4500000</v>
      </c>
      <c r="I13" s="936" t="s">
        <v>499</v>
      </c>
      <c r="J13" s="937" t="s">
        <v>500</v>
      </c>
    </row>
    <row r="14" spans="1:17" x14ac:dyDescent="0.2">
      <c r="A14" s="936" t="s">
        <v>501</v>
      </c>
      <c r="B14" s="937" t="s">
        <v>502</v>
      </c>
      <c r="C14" s="936" t="s">
        <v>461</v>
      </c>
      <c r="D14" s="937">
        <f>AVERAGE(500,700)</f>
        <v>600</v>
      </c>
      <c r="E14" s="938">
        <f>AVERAGE(130,140)</f>
        <v>135</v>
      </c>
      <c r="F14" s="939">
        <f t="shared" si="0"/>
        <v>6000000</v>
      </c>
      <c r="I14" s="936" t="s">
        <v>503</v>
      </c>
      <c r="J14" s="937" t="s">
        <v>504</v>
      </c>
    </row>
    <row r="15" spans="1:17" x14ac:dyDescent="0.2">
      <c r="A15" s="936" t="s">
        <v>505</v>
      </c>
      <c r="B15" s="937" t="s">
        <v>480</v>
      </c>
      <c r="C15" s="936" t="s">
        <v>476</v>
      </c>
      <c r="D15" s="937">
        <f>AVERAGE(350,500)</f>
        <v>425</v>
      </c>
      <c r="E15" s="938">
        <f>AVERAGE(90,100)</f>
        <v>95</v>
      </c>
      <c r="F15" s="939">
        <f t="shared" si="0"/>
        <v>4250000</v>
      </c>
      <c r="I15" s="936" t="s">
        <v>506</v>
      </c>
      <c r="J15" s="937" t="s">
        <v>507</v>
      </c>
    </row>
    <row r="16" spans="1:17" x14ac:dyDescent="0.2">
      <c r="A16" s="936" t="s">
        <v>508</v>
      </c>
      <c r="B16" s="937" t="s">
        <v>509</v>
      </c>
      <c r="C16" s="936" t="s">
        <v>476</v>
      </c>
      <c r="D16" s="937">
        <f>AVERAGE(600,900)</f>
        <v>750</v>
      </c>
      <c r="E16" s="938">
        <f>AVERAGE(120,210)</f>
        <v>165</v>
      </c>
      <c r="F16" s="939">
        <f t="shared" si="0"/>
        <v>7500000</v>
      </c>
      <c r="I16" s="936" t="s">
        <v>510</v>
      </c>
      <c r="J16" s="937" t="s">
        <v>511</v>
      </c>
    </row>
    <row r="17" spans="1:10" x14ac:dyDescent="0.2">
      <c r="A17" s="936" t="s">
        <v>512</v>
      </c>
      <c r="B17" s="937" t="s">
        <v>502</v>
      </c>
      <c r="C17" s="936" t="s">
        <v>468</v>
      </c>
      <c r="D17" s="937">
        <f>AVERAGE(500,700)</f>
        <v>600</v>
      </c>
      <c r="E17" s="938">
        <f>AVERAGE(105,145)</f>
        <v>125</v>
      </c>
      <c r="F17" s="939">
        <f t="shared" si="0"/>
        <v>6000000</v>
      </c>
      <c r="I17" s="936" t="s">
        <v>513</v>
      </c>
      <c r="J17" s="937" t="s">
        <v>514</v>
      </c>
    </row>
    <row r="18" spans="1:10" x14ac:dyDescent="0.2">
      <c r="A18" s="936" t="s">
        <v>515</v>
      </c>
      <c r="B18" s="937" t="s">
        <v>516</v>
      </c>
      <c r="C18" s="936" t="s">
        <v>468</v>
      </c>
      <c r="D18" s="937">
        <f>AVERAGE(450,700)</f>
        <v>575</v>
      </c>
      <c r="E18" s="938">
        <f>AVERAGE(90,150)</f>
        <v>120</v>
      </c>
      <c r="F18" s="939">
        <f t="shared" si="0"/>
        <v>5750000</v>
      </c>
      <c r="I18" s="936" t="s">
        <v>517</v>
      </c>
      <c r="J18" s="937" t="s">
        <v>518</v>
      </c>
    </row>
    <row r="19" spans="1:10" x14ac:dyDescent="0.2">
      <c r="A19" s="936" t="s">
        <v>519</v>
      </c>
      <c r="B19" s="937" t="s">
        <v>472</v>
      </c>
      <c r="C19" s="936" t="s">
        <v>488</v>
      </c>
      <c r="D19" s="937">
        <f>AVERAGE(450,650)</f>
        <v>550</v>
      </c>
      <c r="E19" s="938">
        <f>AVERAGE(120,130,105,140)</f>
        <v>123.75</v>
      </c>
      <c r="F19" s="939">
        <f t="shared" si="0"/>
        <v>5500000</v>
      </c>
      <c r="I19" s="936" t="s">
        <v>520</v>
      </c>
      <c r="J19" s="937" t="s">
        <v>521</v>
      </c>
    </row>
    <row r="20" spans="1:10" x14ac:dyDescent="0.2">
      <c r="A20" s="936" t="s">
        <v>522</v>
      </c>
      <c r="B20" s="937" t="s">
        <v>516</v>
      </c>
      <c r="C20" s="936" t="s">
        <v>461</v>
      </c>
      <c r="D20" s="937">
        <f>AVERAGE(450,700)</f>
        <v>575</v>
      </c>
      <c r="E20" s="938">
        <f>AVERAGE(135,150)</f>
        <v>142.5</v>
      </c>
      <c r="F20" s="939">
        <f t="shared" si="0"/>
        <v>5750000</v>
      </c>
      <c r="I20" s="936" t="s">
        <v>523</v>
      </c>
      <c r="J20" s="937" t="s">
        <v>524</v>
      </c>
    </row>
    <row r="21" spans="1:10" x14ac:dyDescent="0.2">
      <c r="A21" s="936" t="s">
        <v>525</v>
      </c>
      <c r="B21" s="937" t="s">
        <v>526</v>
      </c>
      <c r="C21" s="936" t="s">
        <v>461</v>
      </c>
      <c r="D21" s="937">
        <f>AVERAGE(550,750)</f>
        <v>650</v>
      </c>
      <c r="E21" s="938">
        <f>AVERAGE(160,230)</f>
        <v>195</v>
      </c>
      <c r="F21" s="939">
        <f t="shared" si="0"/>
        <v>6500000</v>
      </c>
      <c r="I21" s="936" t="s">
        <v>494</v>
      </c>
      <c r="J21" s="937" t="s">
        <v>527</v>
      </c>
    </row>
    <row r="22" spans="1:10" x14ac:dyDescent="0.2">
      <c r="A22" s="936" t="s">
        <v>528</v>
      </c>
      <c r="B22" s="937" t="s">
        <v>529</v>
      </c>
      <c r="C22" s="936" t="s">
        <v>468</v>
      </c>
      <c r="D22" s="937">
        <f>AVERAGE(1500,2500)</f>
        <v>2000</v>
      </c>
      <c r="E22" s="938">
        <f>AVERAGE(270,365)</f>
        <v>317.5</v>
      </c>
      <c r="F22" s="939">
        <f t="shared" si="0"/>
        <v>20000000</v>
      </c>
      <c r="I22" s="936" t="s">
        <v>530</v>
      </c>
      <c r="J22" s="937" t="s">
        <v>531</v>
      </c>
    </row>
    <row r="23" spans="1:10" x14ac:dyDescent="0.2">
      <c r="A23" s="936" t="s">
        <v>532</v>
      </c>
      <c r="B23" s="937" t="s">
        <v>533</v>
      </c>
      <c r="C23" s="936" t="s">
        <v>461</v>
      </c>
      <c r="D23" s="937">
        <f>AVERAGE(600,1000)</f>
        <v>800</v>
      </c>
      <c r="E23" s="938">
        <f>AVERAGE(125,130)</f>
        <v>127.5</v>
      </c>
      <c r="F23" s="939">
        <f t="shared" si="0"/>
        <v>8000000</v>
      </c>
      <c r="I23" s="936" t="s">
        <v>534</v>
      </c>
      <c r="J23" s="937" t="s">
        <v>535</v>
      </c>
    </row>
    <row r="24" spans="1:10" x14ac:dyDescent="0.2">
      <c r="A24" s="936" t="s">
        <v>536</v>
      </c>
      <c r="B24" s="937" t="s">
        <v>537</v>
      </c>
      <c r="C24" s="936" t="s">
        <v>476</v>
      </c>
      <c r="D24" s="937">
        <f>AVERAGE(400,800)</f>
        <v>600</v>
      </c>
      <c r="E24" s="938">
        <f>AVERAGE(135,180)</f>
        <v>157.5</v>
      </c>
      <c r="F24" s="939">
        <f t="shared" si="0"/>
        <v>6000000</v>
      </c>
      <c r="I24" s="936" t="s">
        <v>538</v>
      </c>
      <c r="J24" s="937" t="s">
        <v>539</v>
      </c>
    </row>
    <row r="25" spans="1:10" x14ac:dyDescent="0.2">
      <c r="A25" s="947" t="s">
        <v>65</v>
      </c>
      <c r="B25" s="948"/>
      <c r="C25" s="948"/>
      <c r="D25" s="949">
        <f>AVERAGE(D4:D24)</f>
        <v>765.47619047619048</v>
      </c>
      <c r="E25" s="949">
        <f>AVERAGE(E4:E24)</f>
        <v>167.20238095238096</v>
      </c>
      <c r="F25" s="950">
        <f t="shared" si="0"/>
        <v>7654761.9047619049</v>
      </c>
      <c r="I25" s="936" t="s">
        <v>540</v>
      </c>
      <c r="J25" s="937" t="s">
        <v>504</v>
      </c>
    </row>
    <row r="26" spans="1:10" x14ac:dyDescent="0.2">
      <c r="I26" s="936" t="s">
        <v>505</v>
      </c>
      <c r="J26" s="937" t="s">
        <v>541</v>
      </c>
    </row>
    <row r="27" spans="1:10" x14ac:dyDescent="0.2">
      <c r="I27" s="936" t="s">
        <v>508</v>
      </c>
      <c r="J27" s="937" t="s">
        <v>542</v>
      </c>
    </row>
    <row r="28" spans="1:10" x14ac:dyDescent="0.2">
      <c r="I28" s="936" t="s">
        <v>512</v>
      </c>
      <c r="J28" s="937" t="s">
        <v>543</v>
      </c>
    </row>
    <row r="29" spans="1:10" x14ac:dyDescent="0.2">
      <c r="I29" s="936" t="s">
        <v>544</v>
      </c>
      <c r="J29" s="937" t="s">
        <v>545</v>
      </c>
    </row>
    <row r="30" spans="1:10" x14ac:dyDescent="0.2">
      <c r="I30" s="936" t="s">
        <v>546</v>
      </c>
      <c r="J30" s="937" t="s">
        <v>547</v>
      </c>
    </row>
    <row r="31" spans="1:10" x14ac:dyDescent="0.2">
      <c r="I31" s="936" t="s">
        <v>548</v>
      </c>
      <c r="J31" s="937" t="s">
        <v>549</v>
      </c>
    </row>
    <row r="32" spans="1:10" x14ac:dyDescent="0.2">
      <c r="I32" s="936" t="s">
        <v>522</v>
      </c>
      <c r="J32" s="937" t="s">
        <v>550</v>
      </c>
    </row>
    <row r="33" spans="9:10" x14ac:dyDescent="0.2">
      <c r="I33" s="936" t="s">
        <v>551</v>
      </c>
      <c r="J33" s="937" t="s">
        <v>552</v>
      </c>
    </row>
    <row r="34" spans="9:10" x14ac:dyDescent="0.2">
      <c r="I34" s="936" t="s">
        <v>553</v>
      </c>
      <c r="J34" s="937" t="s">
        <v>554</v>
      </c>
    </row>
    <row r="35" spans="9:10" x14ac:dyDescent="0.2">
      <c r="I35" s="936" t="s">
        <v>525</v>
      </c>
      <c r="J35" s="937" t="s">
        <v>555</v>
      </c>
    </row>
    <row r="36" spans="9:10" x14ac:dyDescent="0.2">
      <c r="I36" s="936" t="s">
        <v>528</v>
      </c>
      <c r="J36" s="937" t="s">
        <v>556</v>
      </c>
    </row>
    <row r="37" spans="9:10" x14ac:dyDescent="0.2">
      <c r="I37" s="936" t="s">
        <v>532</v>
      </c>
      <c r="J37" s="937" t="s">
        <v>557</v>
      </c>
    </row>
    <row r="38" spans="9:10" x14ac:dyDescent="0.2">
      <c r="I38" s="936" t="s">
        <v>558</v>
      </c>
      <c r="J38" s="937" t="s">
        <v>559</v>
      </c>
    </row>
    <row r="39" spans="9:10" x14ac:dyDescent="0.2">
      <c r="I39" s="936" t="s">
        <v>536</v>
      </c>
      <c r="J39" s="937" t="s">
        <v>560</v>
      </c>
    </row>
  </sheetData>
  <dataValidations count="1">
    <dataValidation allowBlank="1" showInputMessage="1" showErrorMessage="1" prompt="AVERAGE" sqref="A25" xr:uid="{00000000-0002-0000-0700-000000000000}"/>
  </dataValidations>
  <pageMargins left="0.7" right="0.7" top="0.75" bottom="0.75" header="0.3" footer="0.3"/>
  <pageSetup orientation="portrait" r:id="rId1"/>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K52"/>
  <sheetViews>
    <sheetView showGridLines="0" topLeftCell="F1" zoomScale="125" zoomScaleNormal="85" workbookViewId="0">
      <selection activeCell="R18" sqref="R18"/>
    </sheetView>
  </sheetViews>
  <sheetFormatPr baseColWidth="10" defaultColWidth="8.6640625" defaultRowHeight="15" x14ac:dyDescent="0.2"/>
  <cols>
    <col min="1" max="1" width="4.6640625" customWidth="1"/>
    <col min="2" max="2" width="29.6640625" customWidth="1"/>
    <col min="3" max="3" width="14.5" customWidth="1"/>
    <col min="4" max="4" width="16" customWidth="1"/>
    <col min="5" max="5" width="26.5" customWidth="1"/>
    <col min="6" max="6" width="24.6640625" customWidth="1"/>
    <col min="7" max="8" width="16.5" customWidth="1"/>
    <col min="9" max="9" width="14.5" customWidth="1"/>
    <col min="10" max="10" width="11.6640625" customWidth="1"/>
    <col min="11" max="11" width="13.5" customWidth="1"/>
    <col min="12" max="12" width="35.5" customWidth="1"/>
    <col min="13" max="13" width="21.6640625" customWidth="1"/>
    <col min="14" max="14" width="16.6640625" customWidth="1"/>
    <col min="15" max="15" width="24.6640625" bestFit="1" customWidth="1"/>
    <col min="16" max="16" width="16.6640625" bestFit="1" customWidth="1"/>
    <col min="17" max="17" width="14.6640625" bestFit="1" customWidth="1"/>
    <col min="18" max="18" width="16.33203125" customWidth="1"/>
    <col min="19" max="20" width="13.5" customWidth="1"/>
    <col min="21" max="21" width="10.6640625" customWidth="1"/>
    <col min="22" max="22" width="13.6640625" bestFit="1" customWidth="1"/>
    <col min="23" max="23" width="10.6640625" customWidth="1"/>
    <col min="24" max="25" width="8.83203125" bestFit="1" customWidth="1"/>
    <col min="26" max="27" width="9.1640625" bestFit="1" customWidth="1"/>
    <col min="28" max="28" width="12.33203125" customWidth="1"/>
    <col min="29" max="29" width="15.6640625" customWidth="1"/>
    <col min="30" max="30" width="21" customWidth="1"/>
    <col min="31" max="31" width="13.1640625" customWidth="1"/>
    <col min="32" max="32" width="8.6640625" customWidth="1"/>
    <col min="36" max="36" width="29.5" bestFit="1" customWidth="1"/>
    <col min="37" max="37" width="11.5" customWidth="1"/>
    <col min="39" max="39" width="14.33203125" customWidth="1"/>
    <col min="40" max="40" width="12.5" customWidth="1"/>
    <col min="41" max="41" width="25.33203125" bestFit="1" customWidth="1"/>
    <col min="42" max="42" width="23" customWidth="1"/>
    <col min="44" max="44" width="19.5" customWidth="1"/>
    <col min="50" max="50" width="26.33203125" customWidth="1"/>
    <col min="51" max="51" width="10.5" customWidth="1"/>
    <col min="52" max="52" width="14.6640625" customWidth="1"/>
    <col min="53" max="53" width="12.6640625" customWidth="1"/>
  </cols>
  <sheetData>
    <row r="1" spans="1:63" s="284" customFormat="1" x14ac:dyDescent="0.2"/>
    <row r="2" spans="1:63" s="387" customFormat="1" ht="19" x14ac:dyDescent="0.25">
      <c r="A2" s="383"/>
      <c r="B2" s="847" t="s">
        <v>731</v>
      </c>
      <c r="C2" s="842"/>
      <c r="D2" s="3461"/>
      <c r="E2" s="3461"/>
      <c r="F2" s="3461"/>
      <c r="G2" s="3461"/>
      <c r="H2" s="3461"/>
      <c r="I2" s="3461"/>
      <c r="J2" s="3461"/>
      <c r="K2" s="3463"/>
      <c r="L2" s="3463"/>
      <c r="M2" s="3463"/>
      <c r="N2" s="3463"/>
      <c r="O2" s="3463"/>
      <c r="P2" s="3463"/>
      <c r="Q2" s="3463"/>
      <c r="R2" s="3463"/>
      <c r="S2" s="3463"/>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row>
    <row r="3" spans="1:63" s="387" customFormat="1" ht="16" x14ac:dyDescent="0.2">
      <c r="A3" s="284"/>
      <c r="B3" s="383"/>
      <c r="C3" s="383"/>
      <c r="D3" s="3359"/>
      <c r="E3" s="3359"/>
      <c r="F3" s="3360"/>
      <c r="G3" s="871"/>
      <c r="H3" s="871"/>
      <c r="I3" s="3361" t="s">
        <v>732</v>
      </c>
      <c r="J3" s="3660" t="s">
        <v>563</v>
      </c>
      <c r="K3" s="3661" t="s">
        <v>564</v>
      </c>
      <c r="L3" s="3662" t="s">
        <v>564</v>
      </c>
      <c r="M3" s="3372" t="s">
        <v>565</v>
      </c>
      <c r="N3" s="871"/>
      <c r="O3" s="3361" t="s">
        <v>733</v>
      </c>
      <c r="P3" s="3361" t="s">
        <v>733</v>
      </c>
      <c r="Q3" s="4283" t="s">
        <v>734</v>
      </c>
      <c r="R3" s="4283"/>
      <c r="S3" s="4283" t="s">
        <v>399</v>
      </c>
      <c r="T3" s="284"/>
      <c r="U3" s="284"/>
      <c r="V3" s="284"/>
      <c r="W3" s="284"/>
      <c r="X3" s="284"/>
      <c r="Y3" s="284"/>
      <c r="Z3" s="284"/>
      <c r="AA3" s="284"/>
      <c r="AB3" s="284"/>
      <c r="AC3" s="295" t="s">
        <v>1545</v>
      </c>
      <c r="AD3" s="295" t="s">
        <v>3727</v>
      </c>
      <c r="AE3" s="284"/>
      <c r="AF3" s="284" t="s">
        <v>1317</v>
      </c>
      <c r="AG3" s="284">
        <v>2.2061000000000002</v>
      </c>
      <c r="AH3" s="284"/>
      <c r="AI3" s="284"/>
      <c r="AJ3" s="284"/>
      <c r="AK3" s="284"/>
      <c r="AL3" s="284"/>
      <c r="AM3" s="284"/>
      <c r="AN3" s="284"/>
      <c r="AO3" s="284"/>
      <c r="AP3" s="284"/>
      <c r="AQ3" s="284"/>
      <c r="AR3" s="284"/>
      <c r="AS3" s="284"/>
      <c r="AT3" s="284"/>
      <c r="AU3" s="284"/>
      <c r="AV3" s="284"/>
      <c r="AW3" s="284"/>
      <c r="AX3" s="284"/>
      <c r="AY3" s="284"/>
      <c r="AZ3" s="284"/>
      <c r="BA3" s="284"/>
      <c r="BB3" s="284"/>
      <c r="BC3" s="284"/>
      <c r="BD3" s="284"/>
      <c r="BE3" s="284"/>
      <c r="BF3" s="284"/>
      <c r="BG3" s="284"/>
      <c r="BH3" s="284"/>
      <c r="BI3" s="284"/>
      <c r="BJ3" s="284"/>
      <c r="BK3" s="284"/>
    </row>
    <row r="4" spans="1:63" s="387" customFormat="1" ht="16" x14ac:dyDescent="0.2">
      <c r="A4" s="284"/>
      <c r="B4" s="383"/>
      <c r="C4" s="383"/>
      <c r="D4" s="871" t="s">
        <v>735</v>
      </c>
      <c r="E4" s="3359" t="s">
        <v>736</v>
      </c>
      <c r="F4" s="3360"/>
      <c r="G4" s="3362" t="s">
        <v>737</v>
      </c>
      <c r="H4" s="3362"/>
      <c r="I4" s="870" t="s">
        <v>738</v>
      </c>
      <c r="J4" s="3660" t="s">
        <v>199</v>
      </c>
      <c r="K4" s="3661" t="s">
        <v>179</v>
      </c>
      <c r="L4" s="3662" t="s">
        <v>180</v>
      </c>
      <c r="M4" s="3661" t="s">
        <v>179</v>
      </c>
      <c r="N4" s="3662" t="s">
        <v>180</v>
      </c>
      <c r="O4" s="3361" t="s">
        <v>438</v>
      </c>
      <c r="P4" s="3361" t="s">
        <v>438</v>
      </c>
      <c r="Q4" s="4283" t="s">
        <v>739</v>
      </c>
      <c r="R4" s="4283"/>
      <c r="S4" s="3177"/>
      <c r="T4" s="284"/>
      <c r="U4" s="284"/>
      <c r="V4" s="284"/>
      <c r="W4" s="284"/>
      <c r="X4" s="284"/>
      <c r="Y4" s="284"/>
      <c r="Z4" s="284"/>
      <c r="AA4" s="284"/>
      <c r="AB4" s="284"/>
      <c r="AC4" s="368" t="s">
        <v>1547</v>
      </c>
      <c r="AD4" s="365">
        <v>4.2996999999999996</v>
      </c>
      <c r="AE4" s="284"/>
      <c r="AF4" s="369" t="s">
        <v>1552</v>
      </c>
      <c r="AG4" s="284">
        <v>2.5449000000000002</v>
      </c>
      <c r="AH4" s="284"/>
      <c r="AI4" s="284"/>
      <c r="AJ4" s="284"/>
      <c r="AK4" s="284"/>
      <c r="AL4" s="284"/>
      <c r="AM4" s="284"/>
      <c r="AN4" s="284"/>
      <c r="AO4" s="284"/>
      <c r="AP4" s="284"/>
      <c r="AQ4" s="284"/>
      <c r="AR4" s="284"/>
      <c r="AS4" s="284"/>
      <c r="AT4" s="284"/>
      <c r="AU4" s="284"/>
      <c r="AV4" s="284"/>
      <c r="AW4" s="284"/>
      <c r="AX4" s="284"/>
      <c r="AY4" s="284"/>
      <c r="AZ4" s="284"/>
      <c r="BA4" s="284"/>
      <c r="BB4" s="284"/>
      <c r="BC4" s="284"/>
      <c r="BD4" s="284"/>
      <c r="BE4" s="284"/>
      <c r="BF4" s="284"/>
      <c r="BG4" s="284"/>
      <c r="BH4" s="284"/>
      <c r="BI4" s="284"/>
      <c r="BJ4" s="284"/>
      <c r="BK4" s="284"/>
    </row>
    <row r="5" spans="1:63" s="387" customFormat="1" ht="18" x14ac:dyDescent="0.25">
      <c r="A5" s="284"/>
      <c r="B5" s="383"/>
      <c r="C5" s="383"/>
      <c r="D5" s="871" t="s">
        <v>740</v>
      </c>
      <c r="E5" s="3364" t="s">
        <v>741</v>
      </c>
      <c r="F5" s="3365" t="s">
        <v>742</v>
      </c>
      <c r="G5" s="3366" t="s">
        <v>743</v>
      </c>
      <c r="H5" s="3366" t="s">
        <v>399</v>
      </c>
      <c r="I5" s="3367" t="s">
        <v>744</v>
      </c>
      <c r="J5" s="3660" t="s">
        <v>117</v>
      </c>
      <c r="K5" s="3661" t="s">
        <v>117</v>
      </c>
      <c r="L5" s="3373" t="s">
        <v>62</v>
      </c>
      <c r="M5" s="3233" t="s">
        <v>570</v>
      </c>
      <c r="N5" s="3234" t="s">
        <v>570</v>
      </c>
      <c r="O5" s="3369" t="s">
        <v>745</v>
      </c>
      <c r="P5" s="3361" t="s">
        <v>746</v>
      </c>
      <c r="Q5" s="4283" t="s">
        <v>747</v>
      </c>
      <c r="R5" s="4283" t="s">
        <v>748</v>
      </c>
      <c r="S5" s="3177" t="s">
        <v>749</v>
      </c>
      <c r="T5" s="284"/>
      <c r="U5" s="284"/>
      <c r="V5" s="3218" t="s">
        <v>228</v>
      </c>
      <c r="W5" s="3219" t="s">
        <v>218</v>
      </c>
      <c r="X5" s="3219" t="s">
        <v>229</v>
      </c>
      <c r="Y5" s="3219" t="s">
        <v>230</v>
      </c>
      <c r="Z5" s="284"/>
      <c r="AA5" s="284"/>
      <c r="AB5" s="284"/>
      <c r="AC5" s="369" t="s">
        <v>1333</v>
      </c>
      <c r="AD5" s="366">
        <v>4.9066000000000001</v>
      </c>
      <c r="AE5" s="284"/>
      <c r="AF5" s="284" t="s">
        <v>3723</v>
      </c>
      <c r="AG5" s="284">
        <v>1.1161000000000001</v>
      </c>
      <c r="AH5" s="284"/>
      <c r="AI5" s="284"/>
      <c r="AJ5" s="284"/>
      <c r="AK5" s="284"/>
      <c r="AL5" s="284"/>
      <c r="AM5" s="284"/>
      <c r="AN5" s="284"/>
      <c r="AO5" s="284"/>
      <c r="AP5" s="284"/>
      <c r="AQ5" s="284"/>
      <c r="AR5" s="284"/>
      <c r="AS5" s="284"/>
      <c r="AT5" s="284"/>
      <c r="AU5" s="284"/>
      <c r="AV5" s="284"/>
      <c r="AW5" s="284"/>
      <c r="AX5" s="284"/>
      <c r="AY5" s="284"/>
      <c r="AZ5" s="284"/>
      <c r="BA5" s="284"/>
      <c r="BB5" s="284"/>
      <c r="BC5" s="284"/>
      <c r="BD5" s="284"/>
      <c r="BE5" s="284"/>
      <c r="BF5" s="284"/>
      <c r="BG5" s="284"/>
      <c r="BH5" s="284"/>
      <c r="BI5" s="284"/>
      <c r="BJ5" s="284"/>
      <c r="BK5" s="284"/>
    </row>
    <row r="6" spans="1:63" x14ac:dyDescent="0.2">
      <c r="B6" s="3456" t="s">
        <v>439</v>
      </c>
      <c r="C6" s="3375"/>
      <c r="D6" s="3378">
        <f>IF('3.Cropland'!$AS116="", '3.Cropland'!$AR116, '3.Cropland'!AS116)</f>
        <v>123</v>
      </c>
      <c r="E6" s="3374" t="str">
        <f>'3.Cropland'!G116</f>
        <v>Please select</v>
      </c>
      <c r="F6" s="3374" t="str">
        <f>'3.Cropland'!I116</f>
        <v>Please select</v>
      </c>
      <c r="G6" s="3374" t="str">
        <f>'3.Cropland'!K116</f>
        <v>Please select</v>
      </c>
      <c r="H6" s="3374">
        <f>IF('3.Cropland'!M116="", VLOOKUP(continent,rice!$AC$3:$AD$18,2,FALSE), '3.Cropland'!M116)</f>
        <v>6.3765999999999998</v>
      </c>
      <c r="I6" s="3374">
        <f>IF('3.Cropland'!$BI116="", '3.Cropland'!$BH116, '3.Cropland'!$BI116)</f>
        <v>0</v>
      </c>
      <c r="J6" s="3374">
        <f>IFERROR(IF('3.Cropland'!$AU116="",INDEX(IPCC!$B$38:$H$48,MATCH(clim_moist,IPCC!$A$38:$A$48,0),MATCH(soil,IPCC!$B$38:$H$38,0))*VLOOKUP(clim_moist,IPCC!$A$58:$C$68,3), '3.Cropland'!$AU116),0)</f>
        <v>32.400000000000006</v>
      </c>
      <c r="K6" s="3374">
        <f>J6</f>
        <v>32.400000000000006</v>
      </c>
      <c r="L6" s="3374">
        <f>J6</f>
        <v>32.400000000000006</v>
      </c>
      <c r="M6" s="3374">
        <f>(K6-J6)/20*(-44/12)</f>
        <v>0</v>
      </c>
      <c r="N6" s="3374">
        <f>(L6-J6)/20*(-44/12)</f>
        <v>0</v>
      </c>
      <c r="O6" s="3374">
        <f>IF('3.Cropland'!$BG116="", '3.Cropland'!BF116, '3.Cropland'!BG116)</f>
        <v>0</v>
      </c>
      <c r="P6" s="3374">
        <f>D6*O6</f>
        <v>0</v>
      </c>
      <c r="Q6" s="3374">
        <f>IF('3.Cropland'!$K116="Straw burnt", rice!$I6*IPCC!$B$87*(IPCC!$D$76*methane)/1000,0)</f>
        <v>0</v>
      </c>
      <c r="R6" s="3374">
        <f>IF('3.Cropland'!$K116="Straw burnt", rice!$I6*IPCC!$B$87*(IPCC!$E$76*Nitrous)/1000,0)</f>
        <v>0</v>
      </c>
      <c r="S6" s="3374">
        <f>'3.Cropland'!M116</f>
        <v>0</v>
      </c>
      <c r="T6" s="284"/>
      <c r="U6" s="284"/>
      <c r="V6" s="3220" t="s">
        <v>612</v>
      </c>
      <c r="W6" s="3221"/>
      <c r="X6" s="3222"/>
      <c r="Y6" s="3223"/>
      <c r="Z6" s="284"/>
      <c r="AA6" s="284"/>
      <c r="AB6" s="284"/>
      <c r="AC6" s="369" t="s">
        <v>1550</v>
      </c>
      <c r="AD6" s="366">
        <v>3.6901999999999999</v>
      </c>
      <c r="AE6" s="284"/>
      <c r="AF6" t="s">
        <v>1559</v>
      </c>
      <c r="AG6">
        <v>8.6981000000000002</v>
      </c>
      <c r="AH6" s="284"/>
      <c r="AI6" s="284"/>
      <c r="AJ6" s="284"/>
      <c r="AK6" s="284"/>
      <c r="AL6" s="284"/>
      <c r="AM6" s="284"/>
      <c r="AN6" s="284"/>
      <c r="AO6" s="873" t="s">
        <v>573</v>
      </c>
      <c r="AP6" s="874"/>
      <c r="AQ6" s="874"/>
      <c r="AR6" s="284"/>
      <c r="AS6" s="284"/>
      <c r="AT6" s="284"/>
      <c r="AU6" s="284"/>
      <c r="AV6" s="284"/>
      <c r="AW6" s="284"/>
      <c r="AX6" s="284"/>
      <c r="AY6" s="284"/>
      <c r="AZ6" s="284"/>
      <c r="BA6" s="284"/>
      <c r="BB6" s="284"/>
      <c r="BC6" s="284"/>
      <c r="BD6" s="284"/>
      <c r="BE6" s="284"/>
      <c r="BF6" s="284"/>
      <c r="BG6" s="284"/>
      <c r="BH6" s="284"/>
      <c r="BI6" s="284"/>
      <c r="BJ6" s="284"/>
      <c r="BK6" s="284"/>
    </row>
    <row r="7" spans="1:63" x14ac:dyDescent="0.2">
      <c r="B7" s="3297" t="s">
        <v>440</v>
      </c>
      <c r="C7" s="3375"/>
      <c r="D7" s="3379">
        <f>IF('3.Cropland'!$AS117="", '3.Cropland'!$AR117, '3.Cropland'!AS117)</f>
        <v>123</v>
      </c>
      <c r="E7" s="3299" t="str">
        <f>'3.Cropland'!G117</f>
        <v>Please select</v>
      </c>
      <c r="F7" s="3299" t="str">
        <f>'3.Cropland'!I117</f>
        <v>Please select</v>
      </c>
      <c r="G7" s="3299" t="str">
        <f>'3.Cropland'!K117</f>
        <v>Please select</v>
      </c>
      <c r="H7" s="3299">
        <f>IF('3.Cropland'!M117="", VLOOKUP(continent,rice!$AC$3:$AD$18,2,FALSE), '3.Cropland'!M117)</f>
        <v>6.3765999999999998</v>
      </c>
      <c r="I7" s="3299">
        <f>IF('3.Cropland'!$BI117="", '3.Cropland'!$BH117, '3.Cropland'!$BI117)</f>
        <v>0</v>
      </c>
      <c r="J7" s="3299">
        <f>IFERROR(IF('3.Cropland'!$AU117="",INDEX(IPCC!$B$38:$H$48,MATCH(clim_moist,IPCC!$A$38:$A$48,0),MATCH(soil,IPCC!$B$38:$H$38,0))*VLOOKUP(clim_moist,IPCC!$A$58:$C$68,3), '3.Cropland'!$AU117),0)</f>
        <v>32.400000000000006</v>
      </c>
      <c r="K7" s="3299">
        <f>J7</f>
        <v>32.400000000000006</v>
      </c>
      <c r="L7" s="3299">
        <f>J7</f>
        <v>32.400000000000006</v>
      </c>
      <c r="M7" s="3299">
        <f>(K7-J7)/20*(-44/12)</f>
        <v>0</v>
      </c>
      <c r="N7" s="3299">
        <f>(L7-J7)/20*(-44/12)</f>
        <v>0</v>
      </c>
      <c r="O7" s="3299">
        <f>IF('3.Cropland'!$BG117="", '3.Cropland'!BF117, '3.Cropland'!BG117)</f>
        <v>0</v>
      </c>
      <c r="P7" s="3299">
        <f>D7*O7</f>
        <v>0</v>
      </c>
      <c r="Q7" s="3299">
        <f>IF('3.Cropland'!$K117="Straw burnt", rice!$I7*IPCC!$B$87*(IPCC!$D$76*methane)/1000,0)</f>
        <v>0</v>
      </c>
      <c r="R7" s="3299">
        <f>IF('3.Cropland'!$K117="Straw burnt", rice!$I7*IPCC!$B$87*(IPCC!$E$76*Nitrous)/1000,0)</f>
        <v>0</v>
      </c>
      <c r="S7" s="3299">
        <f>'3.Cropland'!M117</f>
        <v>0</v>
      </c>
      <c r="T7" s="284"/>
      <c r="U7" s="284"/>
      <c r="V7" s="3220" t="s">
        <v>619</v>
      </c>
      <c r="W7" s="3224">
        <f>SUM(O30:O43)-SUM(N30:N43)</f>
        <v>0</v>
      </c>
      <c r="X7" s="3225">
        <f>SUM(AP10:AP23)-SUM(AO10:AO23)</f>
        <v>0</v>
      </c>
      <c r="Y7" s="3226">
        <f>W7-X7</f>
        <v>0</v>
      </c>
      <c r="Z7" s="284"/>
      <c r="AA7" s="284"/>
      <c r="AB7" s="284"/>
      <c r="AC7" s="369" t="s">
        <v>1552</v>
      </c>
      <c r="AD7" s="366">
        <v>2.5449000000000002</v>
      </c>
      <c r="AE7" s="284"/>
      <c r="AF7" t="s">
        <v>1565</v>
      </c>
      <c r="AG7">
        <v>2.9177</v>
      </c>
      <c r="AO7" s="390" t="s">
        <v>750</v>
      </c>
      <c r="AP7" s="389"/>
      <c r="AQ7" s="389"/>
      <c r="BK7" s="284"/>
    </row>
    <row r="8" spans="1:63" x14ac:dyDescent="0.2">
      <c r="B8" s="3316" t="s">
        <v>751</v>
      </c>
      <c r="C8" s="3376"/>
      <c r="D8" s="3352">
        <f>IF('3.Cropland'!$AS118="", '3.Cropland'!$AR118, '3.Cropland'!AS118)</f>
        <v>123</v>
      </c>
      <c r="E8" s="3300" t="str">
        <f>'3.Cropland'!G118</f>
        <v>Please select</v>
      </c>
      <c r="F8" s="3300" t="str">
        <f>'3.Cropland'!I118</f>
        <v>Please select</v>
      </c>
      <c r="G8" s="3300" t="str">
        <f>'3.Cropland'!K118</f>
        <v>Please select</v>
      </c>
      <c r="H8" s="3300">
        <f>IF('3.Cropland'!M118="", VLOOKUP(continent,rice!$AC$3:$AD$18,2,FALSE), '3.Cropland'!M118)</f>
        <v>6.3765999999999998</v>
      </c>
      <c r="I8" s="3300">
        <f>IF('3.Cropland'!$BI118="", '3.Cropland'!$BH118, '3.Cropland'!$BI118)</f>
        <v>0</v>
      </c>
      <c r="J8" s="3300">
        <f>IFERROR(IF('3.Cropland'!$AU118="",INDEX(IPCC!$B$38:$H$48,MATCH(clim_moist,IPCC!$A$38:$A$48,0),MATCH(soil,IPCC!$B$38:$H$38,0))*VLOOKUP(clim_moist,IPCC!$A$58:$C$68,3), '3.Cropland'!$AU118),0)</f>
        <v>32.400000000000006</v>
      </c>
      <c r="K8" s="3300">
        <f>J8</f>
        <v>32.400000000000006</v>
      </c>
      <c r="L8" s="3300">
        <f>J8</f>
        <v>32.400000000000006</v>
      </c>
      <c r="M8" s="3300">
        <f>(K8-J8)/20*(-44/12)</f>
        <v>0</v>
      </c>
      <c r="N8" s="3300">
        <f>(L8-J8)/20*(-44/12)</f>
        <v>0</v>
      </c>
      <c r="O8" s="3300">
        <f>IF('3.Cropland'!$BG118="", '3.Cropland'!BF118, '3.Cropland'!BG118)</f>
        <v>0</v>
      </c>
      <c r="P8" s="3300">
        <f>D8*O8</f>
        <v>0</v>
      </c>
      <c r="Q8" s="3300">
        <f>IF('3.Cropland'!$K118="Straw burnt", rice!$I8*IPCC!$B$87*(IPCC!$D$76*methane)/1000,0)</f>
        <v>0</v>
      </c>
      <c r="R8" s="3300">
        <f>IF('3.Cropland'!$K118="Straw burnt", rice!$I8*IPCC!$B$87*(IPCC!$E$76*Nitrous)/1000,0)</f>
        <v>0</v>
      </c>
      <c r="S8" s="3300">
        <f>'3.Cropland'!M118</f>
        <v>0</v>
      </c>
      <c r="V8" s="3220" t="s">
        <v>752</v>
      </c>
      <c r="W8" s="3231">
        <f>SUM(Q30:Q43)-SUM(P30:P43)</f>
        <v>0</v>
      </c>
      <c r="X8" s="3232">
        <f>SUM(AR10:AR23)-SUM(AQ10:AQ23)</f>
        <v>0</v>
      </c>
      <c r="Y8" s="3226">
        <f>W8-X8</f>
        <v>0</v>
      </c>
      <c r="AC8" s="369" t="s">
        <v>1554</v>
      </c>
      <c r="AD8" s="366">
        <v>6.9739000000000004</v>
      </c>
      <c r="AE8" s="284"/>
      <c r="AF8" t="s">
        <v>1569</v>
      </c>
      <c r="AG8">
        <v>1.9235</v>
      </c>
      <c r="AK8" s="3310" t="s">
        <v>753</v>
      </c>
      <c r="AL8" s="3310"/>
      <c r="AM8" s="3310" t="s">
        <v>754</v>
      </c>
      <c r="AN8" s="3311"/>
      <c r="AO8" s="3312" t="s">
        <v>755</v>
      </c>
      <c r="AP8" s="3644"/>
      <c r="AQ8" s="3313" t="s">
        <v>756</v>
      </c>
      <c r="AR8" s="3314"/>
      <c r="AS8" s="3315" t="s">
        <v>753</v>
      </c>
      <c r="AT8" s="3315"/>
      <c r="AU8" s="3310" t="s">
        <v>757</v>
      </c>
      <c r="AV8" s="3311"/>
    </row>
    <row r="9" spans="1:63" x14ac:dyDescent="0.2">
      <c r="B9" s="3267" t="s">
        <v>758</v>
      </c>
      <c r="C9" s="3375"/>
      <c r="D9" s="3380">
        <f>IF('3.Cropland'!$AS119="", '3.Cropland'!$AR119, '3.Cropland'!AS119)</f>
        <v>123</v>
      </c>
      <c r="E9" s="235" t="str">
        <f>'3.Cropland'!G119</f>
        <v>Please select</v>
      </c>
      <c r="F9" s="235" t="str">
        <f>'3.Cropland'!I119</f>
        <v>Please select</v>
      </c>
      <c r="G9" s="235" t="str">
        <f>'3.Cropland'!K119</f>
        <v>Please select</v>
      </c>
      <c r="H9" s="235">
        <f>IF('3.Cropland'!M119="", VLOOKUP(continent,rice!$AC$3:$AD$18,2,FALSE), '3.Cropland'!M119)</f>
        <v>6.3765999999999998</v>
      </c>
      <c r="I9" s="235">
        <f>IF('3.Cropland'!$BI119="", '3.Cropland'!$BH119, '3.Cropland'!$BI119)</f>
        <v>0</v>
      </c>
      <c r="J9" s="3301">
        <f>IFERROR(IF('3.Cropland'!$AU119="",INDEX(IPCC!$B$38:$H$48,MATCH(clim_moist,IPCC!$A$38:$A$48,0),MATCH(soil,IPCC!$B$38:$H$38,0))*VLOOKUP(clim_moist,IPCC!$A$58:$C$68,3), '3.Cropland'!$AU119),0)</f>
        <v>32.400000000000006</v>
      </c>
      <c r="K9" s="3301">
        <f>J9</f>
        <v>32.400000000000006</v>
      </c>
      <c r="L9" s="3301">
        <f>J9</f>
        <v>32.400000000000006</v>
      </c>
      <c r="M9" s="3301">
        <f>(K9-J9)/20*(-44/12)</f>
        <v>0</v>
      </c>
      <c r="N9" s="3301">
        <f>(L9-J9)/20*(-44/12)</f>
        <v>0</v>
      </c>
      <c r="O9" s="3301">
        <f>IF('3.Cropland'!$BG119="", '3.Cropland'!BF119, '3.Cropland'!BG119)</f>
        <v>0</v>
      </c>
      <c r="P9" s="3301">
        <f>D9*O9</f>
        <v>0</v>
      </c>
      <c r="Q9" s="3301">
        <f>IF('3.Cropland'!$K119="Straw burnt", rice!$I9*IPCC!$B$87*(IPCC!$D$76*methane)/1000,0)</f>
        <v>0</v>
      </c>
      <c r="R9" s="3301">
        <f>IF('3.Cropland'!$K119="Straw burnt", rice!$I9*IPCC!$B$87*(IPCC!$E$76*Nitrous)/1000,0)</f>
        <v>0</v>
      </c>
      <c r="S9" s="3301">
        <f>'3.Cropland'!M119</f>
        <v>0</v>
      </c>
      <c r="V9" s="3220" t="s">
        <v>161</v>
      </c>
      <c r="W9" s="3224">
        <f>SUM(AL10:AL23)-SUM(AK10:AK23)</f>
        <v>0</v>
      </c>
      <c r="X9" s="3225">
        <f>SUM(AT10:AT23)-SUM(AS10:AS23)</f>
        <v>0</v>
      </c>
      <c r="Y9" s="3226">
        <f>W9-X9</f>
        <v>0</v>
      </c>
      <c r="AC9" s="369" t="s">
        <v>1555</v>
      </c>
      <c r="AD9" s="366">
        <v>6.3765999999999998</v>
      </c>
      <c r="AE9" s="284"/>
      <c r="AF9" t="s">
        <v>3724</v>
      </c>
      <c r="AG9">
        <v>6.4526000000000003</v>
      </c>
      <c r="AK9" s="3644" t="s">
        <v>265</v>
      </c>
      <c r="AL9" s="3644" t="s">
        <v>180</v>
      </c>
      <c r="AM9" s="3644" t="s">
        <v>759</v>
      </c>
      <c r="AN9" s="3644" t="s">
        <v>180</v>
      </c>
      <c r="AO9" s="3644" t="s">
        <v>759</v>
      </c>
      <c r="AP9" s="3644" t="s">
        <v>180</v>
      </c>
      <c r="AQ9" s="3314" t="s">
        <v>179</v>
      </c>
      <c r="AR9" s="3314" t="s">
        <v>180</v>
      </c>
      <c r="AS9" s="3314" t="s">
        <v>267</v>
      </c>
      <c r="AT9" s="3314" t="s">
        <v>180</v>
      </c>
      <c r="AU9" s="3644" t="s">
        <v>759</v>
      </c>
      <c r="AV9" s="3644" t="s">
        <v>180</v>
      </c>
    </row>
    <row r="10" spans="1:63" ht="19" x14ac:dyDescent="0.25">
      <c r="B10" s="3371" t="s">
        <v>760</v>
      </c>
      <c r="C10" s="3377"/>
      <c r="D10" s="872"/>
      <c r="E10" s="872"/>
      <c r="F10" s="872"/>
      <c r="G10" s="872"/>
      <c r="H10" s="872"/>
      <c r="I10" s="872"/>
      <c r="J10" s="872"/>
      <c r="K10" s="872"/>
      <c r="L10" s="3293"/>
      <c r="M10" s="3293"/>
      <c r="N10" s="3293"/>
      <c r="O10" s="3293"/>
      <c r="P10" s="3293"/>
      <c r="Q10" s="872"/>
      <c r="R10" s="2804"/>
      <c r="V10" s="3220" t="s">
        <v>162</v>
      </c>
      <c r="W10" s="3227">
        <f>SUM(AN10:AN23)-SUM(AM10:AM23)</f>
        <v>0</v>
      </c>
      <c r="X10" s="3228">
        <f>SUM(AV10:AV23)-SUM(AU10:AU23)</f>
        <v>0</v>
      </c>
      <c r="Y10" s="3229">
        <f>W10-X10</f>
        <v>0</v>
      </c>
      <c r="AC10" s="369" t="s">
        <v>1557</v>
      </c>
      <c r="AD10" s="366">
        <v>1.1161000000000001</v>
      </c>
      <c r="AE10" s="284"/>
      <c r="AF10" t="s">
        <v>3714</v>
      </c>
      <c r="AG10">
        <v>8.5397999999999996</v>
      </c>
      <c r="AJ10" s="3456" t="s">
        <v>439</v>
      </c>
      <c r="AK10" s="3302">
        <f>(MIN(C30,D30)*time_tot+ABS(D30-C30)*IF(D30&gt;C30,time_cap+time*(VLOOKUP(E30, list!$J$48:$K$50,2,)),time*(1-(VLOOKUP(E30, list!$J$48:$K$50,2,)))))*IF('3.Cropland'!K116="Straw burnt", rice!I6*IPCC!$B$87*(IPCC!$D$76*methane)/1000,0)</f>
        <v>0</v>
      </c>
      <c r="AL10" s="3303">
        <f>(MIN(C30,F30)*time_tot+ABS(F30-C30)*IF(F30&gt;C30, time_cap + time*(VLOOKUP(G30, list!$J$48:$K$50,2,)),time*(1-(VLOOKUP(G30, list!$J$48:$K$50,2,)))))*IF('3.Cropland'!K116="Straw burnt", rice!I6*IPCC!$B$87*(IPCC!$D$76*methane)/1000,0)</f>
        <v>0</v>
      </c>
      <c r="AM10" s="3303">
        <f>(MIN(C30,D30)*time_tot+ABS(D30-C30)*IF(D30&gt;C30,time_cap+time*(VLOOKUP(E30, list!$J$48:$K$50,2,)),time*(1-(VLOOKUP(E30, list!$J$48:$K$50,2,)))))*IF('3.Cropland'!K116="Straw burnt", rice!I6*IPCC!$B$87*(IPCC!$E$76*Nitrous)/1000,0)</f>
        <v>0</v>
      </c>
      <c r="AN10" s="3303">
        <f>(MIN(C30,F30)*time_tot+ABS(F30-C30)*IF(F30&gt;C30, time_cap + time*(VLOOKUP(G30, list!$J$48:$K$50,2,)),time*(1-(VLOOKUP(G30, list!$J$48:$K$50,2,)))))*IF('3.Cropland'!K116="Straw burnt", rice!I6*IPCC!$B$87*(IPCC!$E$76*Nitrous)/1000,0)</f>
        <v>0</v>
      </c>
      <c r="AO10" s="3303">
        <f>$M6*((MIN($C30,D30)*MIN(20,time))+IF(E30="Immediate",IF(D30 &gt; $C30, D30*MIN(20,time),0),IF($C30&gt;D30,($C30-D30)*IF(time&gt;20,IF(E30="Linear",time-((time-20)^2)/(2*time),(0.215*time)-(time/4.6)*(EXP(-92.1/time)-0.01)),time*(1-VLOOKUP(E30, list!$J$48:$K$50, 2,))), (D30-$C30)*IF(time&gt;time+20,20,IF(time&lt;20,(time*VLOOKUP(E30, list!$J$48:$K$50, 2,))+(time-time),((MIN(20,time)*VLOOKUP(E30, list!$J$48:$K$50, 2,)) +(time-MIN(20,time))-IF(E30="Exponential",time-20+0.217*time*(EXP(4.606*(20-time)/time)-1),((time-20)^2)*(0.5/time))))))))</f>
        <v>0</v>
      </c>
      <c r="AP10" s="3303">
        <f>$N6*((MIN($C30,F30)*MIN(20,time))+IF(K30="Immediate",IF(F30 &gt; $C30, F30*MIN(20,time),0),IF($C30 &gt; F30,($C30-F30)*IF(time&gt;20,IF(K30="Linear",time-((time-20)^2)/(2*time),(0.215*time)-(time/4.6)*(EXP(-92.1/time)-0.01)),time*(1-VLOOKUP(K30, list!$J$48:$K$50, 2,))), (F30-$C30)*IF(time&gt;time+20,20,IF(time&lt;20,(time*VLOOKUP(K30, list!$J$48:$K$50, 2,))+(time-time),((MIN(20,time)*VLOOKUP(K30, list!$J$48:$K$50, 2,)) +(time-MIN(20,time))-IF(K30="Exponential",time-20+0.217*time*(EXP(4.606*(20-time)/time)-1),((time-20)^2)*(0.5/time))))))))</f>
        <v>0</v>
      </c>
      <c r="AQ10" s="3304">
        <f>(MIN(I30,J30)*time+ABS(J30-I30)*IF(J30 &gt; I30, time*(VLOOKUP(K30, list!$J$48:$K$50,2,)),time*(1-(VLOOKUP(K30, list!$J$48:$K$50,2,)))))*$P6*methane/1000</f>
        <v>0</v>
      </c>
      <c r="AR10" s="3303">
        <f>(MIN(I30,L30)*time+ABS(L30-I30)*IF(L30&gt;I30, time*(VLOOKUP(M30, list!$J$48:$K$50,2,)),time*(1-(VLOOKUP(M30, list!$J$48:$K$50,2,)))))*$P6*methane/1000</f>
        <v>0</v>
      </c>
      <c r="AS10" s="3303">
        <f>(MIN(C30,D30)*time+ABS(D30-C30)*IF(D30&gt;C30,time*(VLOOKUP(E30, list!$J$48:$K$50,2,)),time*(1-(VLOOKUP(E30, list!$J$48:$K$50,2,)))))*IF('3.Cropland'!K116="Straw burnt", rice!I6*IPCC!$B$87*(IPCC!$D$76*methane)/1000,0)</f>
        <v>0</v>
      </c>
      <c r="AT10" s="3303">
        <f>(MIN(C30,F30)*time+ABS(F30-C30)*IF(F30&gt;C30,  time*(VLOOKUP(G30, list!$J$48:$K$50,2,)),time*(1-(VLOOKUP(G30, list!$J$48:$K$50,2,)))))*IF('3.Cropland'!K116="Straw burnt", rice!I6*IPCC!$B$87*(IPCC!$D$76*methane)/1000,0)</f>
        <v>0</v>
      </c>
      <c r="AU10" s="3303">
        <f>(MIN(C30,D30)*time+ABS(D30-C30)*IF(D30&gt;C30,time*(VLOOKUP(E30, list!$J$48:$K$50,2,)),time*(1-(VLOOKUP(E30, list!$J$48:$K$50,2,)))))*IF('3.Cropland'!K116="Straw burnt", rice!I6*IPCC!$B$87*(IPCC!$E$76*Nitrous)/1000,0)</f>
        <v>0</v>
      </c>
      <c r="AV10" s="3305">
        <f>(MIN(C30,F30)*time+ABS(F30-C30)*IF(F30&gt;C30,  time*(VLOOKUP(G30, list!$J$48:$K$50,2,)),time*(1-(VLOOKUP(G30, list!$J$48:$K$50,2,)))))*IF('3.Cropland'!K116="Straw burnt", rice!I6*IPCC!$B$87*(IPCC!$E$76*Nitrous)/1000,0)</f>
        <v>0</v>
      </c>
    </row>
    <row r="11" spans="1:63" x14ac:dyDescent="0.2">
      <c r="B11" s="3359"/>
      <c r="C11" s="3375"/>
      <c r="D11" s="3359"/>
      <c r="E11" s="3359"/>
      <c r="F11" s="3360"/>
      <c r="G11" s="871"/>
      <c r="H11" s="871"/>
      <c r="I11" s="3361" t="s">
        <v>732</v>
      </c>
      <c r="J11" s="3361" t="s">
        <v>761</v>
      </c>
      <c r="K11" s="3361" t="s">
        <v>762</v>
      </c>
      <c r="L11" s="3361" t="s">
        <v>3752</v>
      </c>
      <c r="M11" s="3361" t="s">
        <v>733</v>
      </c>
      <c r="N11" s="3361" t="s">
        <v>733</v>
      </c>
      <c r="O11" s="4283" t="s">
        <v>734</v>
      </c>
      <c r="P11" s="4283"/>
      <c r="Q11" s="4283" t="s">
        <v>399</v>
      </c>
      <c r="R11" s="3459"/>
      <c r="V11" s="3217" t="s">
        <v>235</v>
      </c>
      <c r="W11" s="3230">
        <f>SUM(W6:W10)</f>
        <v>0</v>
      </c>
      <c r="X11" s="3230">
        <f>SUM(X6:X10)</f>
        <v>0</v>
      </c>
      <c r="Y11" s="3230">
        <f>SUM(Y6:Y10)</f>
        <v>0</v>
      </c>
      <c r="AC11" s="369" t="s">
        <v>1559</v>
      </c>
      <c r="AD11" s="366">
        <v>8.6981000000000002</v>
      </c>
      <c r="AF11" t="s">
        <v>1333</v>
      </c>
      <c r="AG11">
        <v>4.9066000000000001</v>
      </c>
      <c r="AJ11" s="3297" t="s">
        <v>440</v>
      </c>
      <c r="AK11" s="3306">
        <f>(MIN(C31,D31)*time_tot+ABS(D31-C31)*IF(D31&gt;C31,time_cap+time*(VLOOKUP(E31, list!$J$48:$K$50,2,)),time*(1-(VLOOKUP(E31, list!$J$48:$K$50,2,)))))*IF('3.Cropland'!K117="Straw burnt", rice!I7*IPCC!$B$87*(IPCC!$D$76*methane)/1000,0)</f>
        <v>0</v>
      </c>
      <c r="AL11" s="3296">
        <f>(MIN(C31,F31)*time_tot+ABS(F31-C31)*IF(F31&gt;C31, time_cap + time*(VLOOKUP(G31, list!$J$48:$K$50,2,)),time*(1-(VLOOKUP(G31, list!$J$48:$K$50,2,)))))*IF('3.Cropland'!K117="Straw burnt", rice!I7*IPCC!$B$87*(IPCC!$D$76*methane)/1000,0)</f>
        <v>0</v>
      </c>
      <c r="AM11" s="3296">
        <f>(MIN(C31,D31)*time_tot+ABS(D31-C31)*IF(D31&gt;C31,time_cap+time*(VLOOKUP(E31, list!$J$48:$K$50,2,)),time*(1-(VLOOKUP(E31, list!$J$48:$K$50,2,)))))*IF('3.Cropland'!K117="Straw burnt", rice!I7*IPCC!$B$87*(IPCC!$E$76*Nitrous)/1000,0)</f>
        <v>0</v>
      </c>
      <c r="AN11" s="3296">
        <f>(MIN(C31,F31)*time_tot+ABS(F31-C31)*IF(F31&gt;C31, time_cap + time*(VLOOKUP(G31, list!$J$48:$K$50,2,)),time*(1-(VLOOKUP(G31, list!$J$48:$K$50,2,)))))*IF('3.Cropland'!K117="Straw burnt", rice!I7*IPCC!$B$87*(IPCC!$E$76*Nitrous)/1000,0)</f>
        <v>0</v>
      </c>
      <c r="AO11" s="3296">
        <f>$M7*((MIN($C31,D31)*MIN(20,time))+IF(E31="Immediate",IF(D31 &gt; $C31, D31*MIN(20,time),0),IF($C31&gt;D31,($C31-D31)*IF(time&gt;20,IF(E31="Linear",time-((time-20)^2)/(2*time),(0.215*time)-(time/4.6)*(EXP(-92.1/time)-0.01)),time*(1-VLOOKUP(E31, list!$J$48:$K$50, 2,))), (D31-$C31)*IF(time&gt;time+20,20,IF(time&lt;20,(time*VLOOKUP(E31, list!$J$48:$K$50, 2,))+(time-time),((MIN(20,time)*VLOOKUP(E31, list!$J$48:$K$50, 2,)) +(time-MIN(20,time))-IF(E31="Exponential",time-20+0.217*time*(EXP(4.606*(20-time)/time)-1),((time-20)^2)*(0.5/time))))))))</f>
        <v>0</v>
      </c>
      <c r="AP11" s="3296">
        <f>$N7*((MIN($C31,F31)*MIN(20,time))+IF(K31="Immediate",IF(F31 &gt; $C31, F31*MIN(20,time),0),IF($C31 &gt; F31,($C31-F31)*IF(time&gt;20,IF(K31="Linear",time-((time-20)^2)/(2*time),(0.215*time)-(time/4.6)*(EXP(-92.1/time)-0.01)),time*(1-VLOOKUP(K31, list!$J$48:$K$50, 2,))), (F31-$C31)*IF(time&gt;time+20,20,IF(time&lt;20,(time*VLOOKUP(K31, list!$J$48:$K$50, 2,))+(time-time),((MIN(20,time)*VLOOKUP(K31, list!$J$48:$K$50, 2,)) +(time-MIN(20,time))-IF(K31="Exponential",time-20+0.217*time*(EXP(4.606*(20-time)/time)-1),((time-20)^2)*(0.5/time))))))))</f>
        <v>0</v>
      </c>
      <c r="AQ11" s="3296">
        <f>(MIN(I31,J31)*time+ABS(J31-I31)*IF(J31 &gt; I31, time*(VLOOKUP(K31, list!$J$48:$K$50,2,)),time*(1-(VLOOKUP(K31, list!$J$48:$K$50,2,)))))*$P7*methane/1000</f>
        <v>0</v>
      </c>
      <c r="AR11" s="3296">
        <f>(MIN(I31,L31)*time+ABS(L31-I31)*IF(L31&gt;I31, time*(VLOOKUP(M31, list!$J$48:$K$50,2,)),time*(1-(VLOOKUP(M31, list!$J$48:$K$50,2,)))))*$P7*methane/1000</f>
        <v>0</v>
      </c>
      <c r="AS11" s="3296">
        <f>(MIN(C31,D31)*time+ABS(D31-C31)*IF(D31&gt;C31,time*(VLOOKUP(E31, list!$J$48:$K$50,2,)),time*(1-(VLOOKUP(E31, list!$J$48:$K$50,2,)))))*IF('3.Cropland'!K117="Straw burnt", rice!I7*IPCC!$B$87*(IPCC!$D$76*methane)/1000,0)</f>
        <v>0</v>
      </c>
      <c r="AT11" s="3296">
        <f>(MIN(C31,F31)*time+ABS(F31-C31)*IF(F31&gt;C31,  time*(VLOOKUP(G31, list!$J$48:$K$50,2,)),time*(1-(VLOOKUP(G31, list!$J$48:$K$50,2,)))))*IF('3.Cropland'!K117="Straw burnt", rice!I7*IPCC!$B$87*(IPCC!$D$76*methane)/1000,0)</f>
        <v>0</v>
      </c>
      <c r="AU11" s="3296">
        <f>(MIN(C31,D31)*time+ABS(D31-C31)*IF(D31&gt;C31,time*(VLOOKUP(E31, list!$J$48:$K$50,2,)),time*(1-(VLOOKUP(E31, list!$J$48:$K$50,2,)))))*IF('3.Cropland'!K117="Straw burnt", rice!I7*IPCC!$B$87*(IPCC!$E$76*Nitrous)/1000,0)</f>
        <v>0</v>
      </c>
      <c r="AV11" s="3307">
        <f>(MIN(C31,F31)*time+ABS(F31-C31)*IF(F31&gt;C31,  time*(VLOOKUP(G31, list!$J$48:$K$50,2,)),time*(1-(VLOOKUP(G31, list!$J$48:$K$50,2,)))))*IF('3.Cropland'!K117="Straw burnt", rice!I7*IPCC!$B$87*(IPCC!$E$76*Nitrous)/1000,0)</f>
        <v>0</v>
      </c>
    </row>
    <row r="12" spans="1:63" x14ac:dyDescent="0.2">
      <c r="B12" s="871" t="s">
        <v>394</v>
      </c>
      <c r="C12" s="3375"/>
      <c r="D12" s="871" t="s">
        <v>735</v>
      </c>
      <c r="E12" s="3359" t="s">
        <v>736</v>
      </c>
      <c r="F12" s="3360"/>
      <c r="G12" s="3362" t="s">
        <v>737</v>
      </c>
      <c r="H12" s="3362"/>
      <c r="I12" s="870" t="s">
        <v>738</v>
      </c>
      <c r="J12" s="3361" t="s">
        <v>763</v>
      </c>
      <c r="K12" s="3361" t="s">
        <v>764</v>
      </c>
      <c r="L12" s="3363" t="s">
        <v>299</v>
      </c>
      <c r="M12" s="3361" t="s">
        <v>438</v>
      </c>
      <c r="N12" s="3361" t="s">
        <v>438</v>
      </c>
      <c r="O12" s="4283" t="s">
        <v>739</v>
      </c>
      <c r="P12" s="4283"/>
      <c r="Q12" s="3177"/>
      <c r="R12" s="1202"/>
      <c r="AC12" s="369" t="s">
        <v>1346</v>
      </c>
      <c r="AD12" s="366">
        <v>6.6936999999999998</v>
      </c>
      <c r="AE12" s="284"/>
      <c r="AF12" t="s">
        <v>1547</v>
      </c>
      <c r="AG12">
        <v>4.2996999999999996</v>
      </c>
      <c r="AJ12" s="233" t="s">
        <v>751</v>
      </c>
      <c r="AK12" s="3637">
        <f>(MIN(C32,D32)*time_tot+ABS(D32-C32)*IF(D32&gt;C32,time_cap+time*(VLOOKUP(E32, list!$J$48:$K$50,2,)),time*(1-(VLOOKUP(E32, list!$J$48:$K$50,2,)))))*IF('3.Cropland'!K118="Straw burnt", rice!I8*IPCC!$B$87*(IPCC!$D$76*methane)/1000,0)</f>
        <v>0</v>
      </c>
      <c r="AL12" s="3638">
        <f>(MIN(C32,F32)*time_tot+ABS(F32-C32)*IF(F32&gt;C32, time_cap + time*(VLOOKUP(G32, list!$J$48:$K$50,2,)),time*(1-(VLOOKUP(G32, list!$J$48:$K$50,2,)))))*IF('3.Cropland'!K118="Straw burnt", rice!I8*IPCC!$B$87*(IPCC!$D$76*methane)/1000,0)</f>
        <v>0</v>
      </c>
      <c r="AM12" s="3638">
        <f>(MIN(C32,D32)*time_tot+ABS(D32-C32)*IF(D32&gt;C32,time_cap+time*(VLOOKUP(E32, list!$J$48:$K$50,2,)),time*(1-(VLOOKUP(E32, list!$J$48:$K$50,2,)))))*IF('3.Cropland'!K118="Straw burnt", rice!I8*IPCC!$B$87*(IPCC!$E$76*Nitrous)/1000,0)</f>
        <v>0</v>
      </c>
      <c r="AN12" s="3638">
        <f>(MIN(C32,F32)*time_tot+ABS(F32-C32)*IF(F32&gt;C32, time_cap + time*(VLOOKUP(G32, list!$J$48:$K$50,2,)),time*(1-(VLOOKUP(G32, list!$J$48:$K$50,2,)))))*IF('3.Cropland'!K118="Straw burnt", rice!I8*IPCC!$B$87*(IPCC!$E$76*Nitrous)/1000,0)</f>
        <v>0</v>
      </c>
      <c r="AO12" s="3638">
        <f>$M8*((MIN($C32,D32)*MIN(20,time))+IF(E32="Immediate",IF(D32 &gt; $C32, D32*MIN(20,time),0),IF($C32&gt;D32,($C32-D32)*IF(time&gt;20,IF(E32="Linear",time-((time-20)^2)/(2*time),(0.215*time)-(time/4.6)*(EXP(-92.1/time)-0.01)),time*(1-VLOOKUP(E32, list!$J$48:$K$50, 2,))), (D32-$C32)*IF(time&gt;time+20,20,IF(time&lt;20,(time*VLOOKUP(E32, list!$J$48:$K$50, 2,))+(time-time),((MIN(20,time)*VLOOKUP(E32, list!$J$48:$K$50, 2,)) +(time-MIN(20,time))-IF(E32="Exponential",time-20+0.217*time*(EXP(4.606*(20-time)/time)-1),((time-20)^2)*(0.5/time))))))))</f>
        <v>0</v>
      </c>
      <c r="AP12" s="3638">
        <f>$N8*((MIN($C32,F32)*MIN(20,time))+IF(K32="Immediate",IF(F32 &gt; $C32, F32*MIN(20,time),0),IF($C32 &gt; F32,($C32-F32)*IF(time&gt;20,IF(K32="Linear",time-((time-20)^2)/(2*time),(0.215*time)-(time/4.6)*(EXP(-92.1/time)-0.01)),time*(1-VLOOKUP(K32, list!$J$48:$K$50, 2,))), (F32-$C32)*IF(time&gt;time+20,20,IF(time&lt;20,(time*VLOOKUP(K32, list!$J$48:$K$50, 2,))+(time-time),((MIN(20,time)*VLOOKUP(K32, list!$J$48:$K$50, 2,)) +(time-MIN(20,time))-IF(K32="Exponential",time-20+0.217*time*(EXP(4.606*(20-time)/time)-1),((time-20)^2)*(0.5/time))))))))</f>
        <v>0</v>
      </c>
      <c r="AQ12" s="3638">
        <f>(MIN(I32,J32)*time+ABS(J32-I32)*IF(J32 &gt; I32, time*(VLOOKUP(K32, list!$J$48:$K$50,2,)),time*(1-(VLOOKUP(K32, list!$J$48:$K$50,2,)))))*$P8*methane/1000</f>
        <v>0</v>
      </c>
      <c r="AR12" s="3638">
        <f>(MIN(I32,L32)*time+ABS(L32-I32)*IF(L32&gt;I32, time*(VLOOKUP(M32, list!$J$48:$K$50,2,)),time*(1-(VLOOKUP(M32, list!$J$48:$K$50,2,)))))*$P8*methane/1000</f>
        <v>0</v>
      </c>
      <c r="AS12" s="3638">
        <f>(MIN(C32,D32)*time+ABS(D32-C32)*IF(D32&gt;C32,time*(VLOOKUP(E32, list!$J$48:$K$50,2,)),time*(1-(VLOOKUP(E32, list!$J$48:$K$50,2,)))))*IF('3.Cropland'!K118="Straw burnt", rice!I8*IPCC!$B$87*(IPCC!$D$76*methane)/1000,0)</f>
        <v>0</v>
      </c>
      <c r="AT12" s="3638">
        <f>(MIN(C32,F32)*time+ABS(F32-C32)*IF(F32&gt;C32,  time*(VLOOKUP(G32, list!$J$48:$K$50,2,)),time*(1-(VLOOKUP(G32, list!$J$48:$K$50,2,)))))*IF('3.Cropland'!K118="Straw burnt", rice!I8*IPCC!$B$87*(IPCC!$D$76*methane)/1000,0)</f>
        <v>0</v>
      </c>
      <c r="AU12" s="3638">
        <f>(MIN(C32,D32)*time+ABS(D32-C32)*IF(D32&gt;C32,time*(VLOOKUP(E32, list!$J$48:$K$50,2,)),time*(1-(VLOOKUP(E32, list!$J$48:$K$50,2,)))))*IF('3.Cropland'!K118="Straw burnt", rice!I8*IPCC!$B$87*(IPCC!$E$76*Nitrous)/1000,0)</f>
        <v>0</v>
      </c>
      <c r="AV12" s="3639">
        <f>(MIN(C32,F32)*time+ABS(F32-C32)*IF(F32&gt;C32,  time*(VLOOKUP(G32, list!$J$48:$K$50,2,)),time*(1-(VLOOKUP(G32, list!$J$48:$K$50,2,)))))*IF('3.Cropland'!K118="Straw burnt", rice!I8*IPCC!$B$87*(IPCC!$E$76*Nitrous)/1000,0)</f>
        <v>0</v>
      </c>
    </row>
    <row r="13" spans="1:63" ht="18" x14ac:dyDescent="0.25">
      <c r="B13" s="871"/>
      <c r="C13" s="3375"/>
      <c r="D13" s="871" t="s">
        <v>740</v>
      </c>
      <c r="E13" s="3364" t="s">
        <v>741</v>
      </c>
      <c r="F13" s="3365" t="s">
        <v>742</v>
      </c>
      <c r="G13" s="3366" t="s">
        <v>743</v>
      </c>
      <c r="H13" s="3366" t="s">
        <v>399</v>
      </c>
      <c r="I13" s="3367" t="s">
        <v>744</v>
      </c>
      <c r="J13" s="3367" t="s">
        <v>62</v>
      </c>
      <c r="K13" s="3367" t="s">
        <v>600</v>
      </c>
      <c r="L13" s="3368" t="s">
        <v>765</v>
      </c>
      <c r="M13" s="3369" t="s">
        <v>745</v>
      </c>
      <c r="N13" s="3361" t="s">
        <v>746</v>
      </c>
      <c r="O13" s="4283" t="s">
        <v>747</v>
      </c>
      <c r="P13" s="4283" t="s">
        <v>748</v>
      </c>
      <c r="Q13" s="3177" t="s">
        <v>749</v>
      </c>
      <c r="R13" s="1202"/>
      <c r="V13" s="3218" t="s">
        <v>228</v>
      </c>
      <c r="W13" s="3219" t="s">
        <v>179</v>
      </c>
      <c r="X13" s="3219" t="s">
        <v>180</v>
      </c>
      <c r="AC13" s="369" t="s">
        <v>1349</v>
      </c>
      <c r="AD13" s="366">
        <v>6.1154000000000002</v>
      </c>
      <c r="AE13" s="284"/>
      <c r="AF13" t="s">
        <v>1349</v>
      </c>
      <c r="AG13">
        <v>6.1154000000000002</v>
      </c>
      <c r="AJ13" s="58" t="s">
        <v>758</v>
      </c>
      <c r="AK13" s="3308">
        <f>(MIN(C33,D33)*time_tot+ABS(D33-C33)*IF(D33&gt;C33,time_cap+time*(VLOOKUP(E33, list!$J$48:$K$50,2,)),time*(1-(VLOOKUP(E33, list!$J$48:$K$50,2,)))))*IF('3.Cropland'!K119="Straw burnt", rice!I9*IPCC!$B$87*(IPCC!$D$76*methane)/1000,0)</f>
        <v>0</v>
      </c>
      <c r="AL13" s="2807">
        <f>(MIN(C33,F33)*time_tot+ABS(F33-C33)*IF(F33&gt;C33, time_cap + time*(VLOOKUP(G33, list!$J$48:$K$50,2,)),time*(1-(VLOOKUP(G33, list!$J$48:$K$50,2,)))))*IF('3.Cropland'!K119="Straw burnt", rice!I9*IPCC!$B$87*(IPCC!$D$76*methane)/1000,0)</f>
        <v>0</v>
      </c>
      <c r="AM13" s="2807">
        <f>(MIN(C33,D33)*time_tot+ABS(D33-C33)*IF(D33&gt;C33,time_cap+time*(VLOOKUP(E33, list!$J$48:$K$50,2,)),time*(1-(VLOOKUP(E33, list!$J$48:$K$50,2,)))))*IF('3.Cropland'!K119="Straw burnt", rice!I9*IPCC!$B$87*(IPCC!$E$76*Nitrous)/1000,0)</f>
        <v>0</v>
      </c>
      <c r="AN13" s="2807">
        <f>(MIN(C33,F33)*time_tot+ABS(F33-C33)*IF(F33&gt;C33, time_cap + time*(VLOOKUP(G33, list!$J$48:$K$50,2,)),time*(1-(VLOOKUP(G33, list!$J$48:$K$50,2,)))))*IF('3.Cropland'!K119="Straw burnt", rice!I9*IPCC!$B$87*(IPCC!$E$76*Nitrous)/1000,0)</f>
        <v>0</v>
      </c>
      <c r="AO13" s="2807">
        <f>$M9*((MIN($C33,D33)*MIN(20,time))+IF(E33="Immediate",IF(D33 &gt; $C33, D33*MIN(20,time),0),IF($C33&gt;D33,($C33-D33)*IF(time&gt;20,IF(E33="Linear",time-((time-20)^2)/(2*time),(0.215*time)-(time/4.6)*(EXP(-92.1/time)-0.01)),time*(1-VLOOKUP(E33, list!$J$48:$K$50, 2,))), (D33-$C33)*IF(time&gt;time+20,20,IF(time&lt;20,(time*VLOOKUP(E33, list!$J$48:$K$50, 2,))+(time-time),((MIN(20,time)*VLOOKUP(E33, list!$J$48:$K$50, 2,)) +(time-MIN(20,time))-IF(E33="Exponential",time-20+0.217*time*(EXP(4.606*(20-time)/time)-1),((time-20)^2)*(0.5/time))))))))</f>
        <v>0</v>
      </c>
      <c r="AP13" s="2807">
        <f>$N9*((MIN($C33,F33)*MIN(20,time))+IF(K33="Immediate",IF(F33 &gt; $C33, F33*MIN(20,time),0),IF($C33 &gt; F33,($C33-F33)*IF(time&gt;20,IF(K33="Linear",time-((time-20)^2)/(2*time),(0.215*time)-(time/4.6)*(EXP(-92.1/time)-0.01)),time*(1-VLOOKUP(K33, list!$J$48:$K$50, 2,))), (F33-$C33)*IF(time&gt;time+20,20,IF(time&lt;20,(time*VLOOKUP(K33, list!$J$48:$K$50, 2,))+(time-time),((MIN(20,time)*VLOOKUP(K33, list!$J$48:$K$50, 2,)) +(time-MIN(20,time))-IF(K33="Exponential",time-20+0.217*time*(EXP(4.606*(20-time)/time)-1),((time-20)^2)*(0.5/time))))))))</f>
        <v>0</v>
      </c>
      <c r="AQ13" s="2807">
        <f>(MIN(I33,J33)*time+ABS(J33-I33)*IF(J33 &gt; I33, time*(VLOOKUP(K33, list!$J$48:$K$50,2,)),time*(1-(VLOOKUP(K33, list!$J$48:$K$50,2,)))))*$P9*methane/1000</f>
        <v>0</v>
      </c>
      <c r="AR13" s="2807">
        <f>(MIN(I33,L33)*time+ABS(L33-I33)*IF(L33&gt;I33, time*(VLOOKUP(M33, list!$J$48:$K$50,2,)),time*(1-(VLOOKUP(M33, list!$J$48:$K$50,2,)))))*$P9*methane/1000</f>
        <v>0</v>
      </c>
      <c r="AS13" s="2807">
        <f>(MIN(C33,D33)*time+ABS(D33-C33)*IF(D33&gt;C33,time*(VLOOKUP(E33, list!$J$48:$K$50,2,)),time*(1-(VLOOKUP(E33, list!$J$48:$K$50,2,)))))*IF('3.Cropland'!K119="Straw burnt", rice!I9*IPCC!$B$87*(IPCC!$D$76*methane)/1000,0)</f>
        <v>0</v>
      </c>
      <c r="AT13" s="2807">
        <f>(MIN(C33,F33)*time+ABS(F33-C33)*IF(F33&gt;C33,  time*(VLOOKUP(G33, list!$J$48:$K$50,2,)),time*(1-(VLOOKUP(G33, list!$J$48:$K$50,2,)))))*IF('3.Cropland'!K119="Straw burnt", rice!I9*IPCC!$B$87*(IPCC!$D$76*methane)/1000,0)</f>
        <v>0</v>
      </c>
      <c r="AU13" s="2807">
        <f>(MIN(C33,D33)*time+ABS(D33-C33)*IF(D33&gt;C33,time*(VLOOKUP(E33, list!$J$48:$K$50,2,)),time*(1-(VLOOKUP(E33, list!$J$48:$K$50,2,)))))*IF('3.Cropland'!K119="Straw burnt", rice!I9*IPCC!$B$87*(IPCC!$E$76*Nitrous)/1000,0)</f>
        <v>0</v>
      </c>
      <c r="AV13" s="3643">
        <f>(MIN(C33,F33)*time+ABS(F33-C33)*IF(F33&gt;C33,  time*(VLOOKUP(G33, list!$J$48:$K$50,2,)),time*(1-(VLOOKUP(G33, list!$J$48:$K$50,2,)))))*IF('3.Cropland'!K119="Straw burnt", rice!I9*IPCC!$B$87*(IPCC!$E$76*Nitrous)/1000,0)</f>
        <v>0</v>
      </c>
    </row>
    <row r="14" spans="1:63" x14ac:dyDescent="0.2">
      <c r="B14" s="682">
        <f>'3.Cropland'!C127</f>
        <v>0</v>
      </c>
      <c r="C14" s="3375"/>
      <c r="D14" s="682">
        <f>IF('3.Cropland'!$AS127="", '3.Cropland'!$AR127, '3.Cropland'!AS127)</f>
        <v>123</v>
      </c>
      <c r="E14" s="682" t="str">
        <f>'3.Cropland'!$G127</f>
        <v>Irrigated, Continuously flooded</v>
      </c>
      <c r="F14" s="682" t="str">
        <f>'3.Cropland'!$I127</f>
        <v>Non flooded pre-season &gt;180 d</v>
      </c>
      <c r="G14" s="682" t="str">
        <f>'3.Cropland'!$K127</f>
        <v>Straw burnt</v>
      </c>
      <c r="H14" s="3517">
        <f>IF('3.Cropland'!M127="", VLOOKUP(continent,rice!$AC$3:$AD$18,2,FALSE), '3.Cropland'!M127)</f>
        <v>50</v>
      </c>
      <c r="I14" s="3517">
        <f>IF('3.Cropland'!$BI127="", '3.Cropland'!$BH127, '3.Cropland'!$BI127)</f>
        <v>49.96</v>
      </c>
      <c r="J14" s="2825">
        <f>IF('3.Cropland'!$AU127="", '3.Cropland'!$AT127, '3.Cropland'!$AU127)</f>
        <v>24</v>
      </c>
      <c r="K14" s="2825">
        <f>IF('3.Cropland'!$AW127="", '3.Cropland'!$AV127, '3.Cropland'!$AW127)</f>
        <v>1.35</v>
      </c>
      <c r="L14" s="2825">
        <f>(J14*K14-J14*K14)*(44/12)/20</f>
        <v>0</v>
      </c>
      <c r="M14" s="2825">
        <f>IF('3.Cropland'!$BG127="", '3.Cropland'!BF127, '3.Cropland'!BG127)</f>
        <v>1.3884000000000001</v>
      </c>
      <c r="N14" s="2826">
        <f t="shared" ref="N14:N23" si="0">$M14*$D14</f>
        <v>170.7732</v>
      </c>
      <c r="O14" s="2825">
        <f>IF('3.Cropland'!$K127="Straw burnt", rice!$I14*IPCC!$B$87*(IPCC!$D$76*methane)/1000,0)</f>
        <v>3.0215808000000006</v>
      </c>
      <c r="P14" s="3358">
        <f>IF('3.Cropland'!$K127="Straw burnt", rice!$I14*IPCC!$B$87*(IPCC!$E$76*Nitrous)/1000,0)</f>
        <v>0.74140640000000002</v>
      </c>
      <c r="Q14" s="3370">
        <f>'3.Cropland'!M127</f>
        <v>50</v>
      </c>
      <c r="R14" s="3459"/>
      <c r="V14" s="3220" t="s">
        <v>612</v>
      </c>
      <c r="W14" s="3221">
        <v>0</v>
      </c>
      <c r="X14" s="3222">
        <v>0</v>
      </c>
      <c r="AC14" s="369" t="s">
        <v>1563</v>
      </c>
      <c r="AD14" s="366">
        <v>4.2911000000000001</v>
      </c>
      <c r="AE14" s="284"/>
      <c r="AF14" t="s">
        <v>3321</v>
      </c>
      <c r="AG14">
        <v>4.8170000000000002</v>
      </c>
      <c r="AK14" s="3231">
        <f>(MIN(C34,D34)*time_tot+ABS(D34-C34)*IF(D34&gt;C34,time_cap+time*(VLOOKUP(E34, list!$J$48:$K$50,2,)),time*(1-(VLOOKUP(E34, list!$J$48:$K$50,2,)))))*IF('3.Cropland'!K127="Straw burnt", rice!I14*IPCC!$B$87*(IPCC!$D$76*methane)/1000,0)</f>
        <v>90.647424000000015</v>
      </c>
      <c r="AL14" s="3232">
        <f>(MIN(C34,F34)*time_tot+ABS(F34-C34)*IF(F34&gt;C34, time_cap + time*(VLOOKUP(G34, list!$J$48:$K$50,2,)),time*(1-(VLOOKUP(G34, list!$J$48:$K$50,2,)))))*IF('3.Cropland'!K127="Straw burnt", rice!I14*IPCC!$B$87*(IPCC!$D$76*methane)/1000,0)</f>
        <v>90.647424000000015</v>
      </c>
      <c r="AM14" s="2401">
        <f>(MIN(C34,D34)*time_tot+ABS(D34-C34)*IF(D34&gt;C34,time_cap+time*(VLOOKUP(E34, list!$J$48:$K$50,2,)),time*(1-(VLOOKUP(E34, list!$J$48:$K$50,2,)))))*IF('3.Cropland'!K127="Straw burnt", rice!I14*IPCC!$B$87*(IPCC!$E$76*Nitrous)/1000,0)</f>
        <v>22.242191999999999</v>
      </c>
      <c r="AN14" s="2401">
        <f>(MIN(C34,F34)*time_tot+ABS(F34-C34)*IF(F34&gt;C34, time_cap + time*(VLOOKUP(G34, list!$J$48:$K$50,2,)),time*(1-(VLOOKUP(G34, list!$J$48:$K$50,2,)))))*IF('3.Cropland'!K127="Straw burnt", rice!I14*IPCC!$B$87*(IPCC!$E$76*Nitrous)/1000,0)</f>
        <v>22.242191999999999</v>
      </c>
      <c r="AO14" s="2401">
        <f>-$L14*((MIN($C34,D34)*MIN(20,time))+IF(E34="Immediate",IF(D34&gt;$C34,D34*MIN(20,time),0),IF($C34&gt;D34,($C34-D34)*IF(time&gt;20,IF(E34="Linear",time-((time-20)^2)/(2*time),(0.215*time)-(time/4.6)*(EXP(-92.1/time)-0.01)),time*(1-VLOOKUP(E34, list!$J$48:$K$50,2,))),(D34-$C34)*IF(time&gt;time+20,20,IF(time&lt;20,(time*VLOOKUP(E34, list!$J$48:$K$50,2,))+(time-time),((MIN(20,time)*VLOOKUP(E34, list!$J$48:$K$50,2,))+(time-MIN(20,time))-IF(E34="Exponential",time-20+0.217*time*(EXP(4.606*(20-time)/time)-1),((time-20)^2)*(0.5/time))))))))</f>
        <v>0</v>
      </c>
      <c r="AP14" s="2401">
        <f>-$L14*((MIN($C34,F34)*MIN(20,time))+IF(G34="Immediate",IF(F34&gt;$C34,F34*MIN(20,time),0),IF($C34&gt;F34,($C34-F34)*IF(time&gt;20,IF(G34="Linear",time-((time-20)^2)/(2*time),(0.215*time)-(time/4.6)*(EXP(-92.1/time)-0.01)),time*(1-VLOOKUP(G34, list!$J$48:$K$50,2,))),(F34-$C34)*IF(time&gt;time+20,20,IF(time&lt;20,(time*VLOOKUP(G34, list!$J$48:$K$50,2,))+(time-time),((MIN(20,time)*VLOOKUP(G34, list!$J$48:$K$50,2,))+(time-MIN(20,time))-IF(G34="Exponential",time-20+0.217*time*(EXP(4.606*(20-time)/time)-1),((time-20)^2)*(0.5/time))))))))</f>
        <v>0</v>
      </c>
      <c r="AQ14" s="3232">
        <f>(MIN(I34,J34)*time+ABS(J34-I34)*IF(J34 &gt; I34, time*(VLOOKUP(K34, list!$J$48:$K$50,2,)),time*(1-(VLOOKUP(K34, list!$J$48:$K$50,2,)))))*$N14*methane/1000</f>
        <v>143.449488</v>
      </c>
      <c r="AR14" s="2401">
        <f>(MIN(I34,L34)*time+ABS(L34-I34)*IF(L34&gt;I34, time*(VLOOKUP(M34, list!$J$48:$K$50,2,)),time*(1-(VLOOKUP(M34, list!$J$48:$K$50,2,)))))*$N14*methane/1000</f>
        <v>143.449488</v>
      </c>
      <c r="AS14" s="2401">
        <f>(MIN(C34,D34)*time+ABS(D34-C34)*IF(D34&gt;C34,time*(VLOOKUP(E34, list!$J$48:$K$50,2,)),time*(1-(VLOOKUP(E34, list!$J$48:$K$50,2,)))))*IF('3.Cropland'!K127="Straw burnt", rice!I14*IPCC!$B$87*(IPCC!$D$76*methane)/1000,0)</f>
        <v>90.647424000000015</v>
      </c>
      <c r="AT14" s="2401">
        <f>(MIN(C34,F34)*time+ABS(F34-C34)*IF(F34&gt;C34,  time*(VLOOKUP(G34, list!$J$48:$K$50,2,)),time*(1-(VLOOKUP(G34, list!$J$48:$K$50,2,)))))*IF('3.Cropland'!K127="Straw burnt", rice!I14*IPCC!$B$87*(IPCC!$D$76*methane)/1000,0)</f>
        <v>90.647424000000015</v>
      </c>
      <c r="AU14" s="2401">
        <f>(MIN(C34,D34)*time+ABS(D34-C34)*IF(D34&gt;C34,time*(VLOOKUP(E34, list!$J$48:$K$50,2,)),time*(1-(VLOOKUP(E34, list!$J$48:$K$50,2,)))))*IF('3.Cropland'!K127="Straw burnt", rice!I14*IPCC!$B$87*(IPCC!$E$76*Nitrous)/1000,0)</f>
        <v>22.242191999999999</v>
      </c>
      <c r="AV14" s="2402">
        <f>(MIN(C34,F34)*time+ABS(F34-C34)*IF(F34&gt;C34,  time*(VLOOKUP(G34, list!$J$48:$K$50,2,)),time*(1-(VLOOKUP(G34, list!$J$48:$K$50,2,)))))*IF('3.Cropland'!K127="Straw burnt", rice!I14*IPCC!$B$87*(IPCC!$E$76*Nitrous)/1000,0)</f>
        <v>22.242191999999999</v>
      </c>
    </row>
    <row r="15" spans="1:63" x14ac:dyDescent="0.2">
      <c r="B15" s="682">
        <f>'3.Cropland'!C128</f>
        <v>0</v>
      </c>
      <c r="C15" s="3375"/>
      <c r="D15" s="682">
        <f>IF('3.Cropland'!$AS128="", '3.Cropland'!$AR128, '3.Cropland'!AS128)</f>
        <v>123</v>
      </c>
      <c r="E15" s="682" t="str">
        <f>'3.Cropland'!$G128</f>
        <v>Irrigated, Continuously flooded</v>
      </c>
      <c r="F15" s="682" t="str">
        <f>'3.Cropland'!$I128</f>
        <v>Non flooded pre-season &gt;180 d</v>
      </c>
      <c r="G15" s="682" t="str">
        <f>'3.Cropland'!$K128</f>
        <v>Straw burnt</v>
      </c>
      <c r="H15" s="3658">
        <f>IF('3.Cropland'!M128="", VLOOKUP(continent,rice!$AC$3:$AD$18,2,FALSE), '3.Cropland'!M128)</f>
        <v>50</v>
      </c>
      <c r="I15" s="3658">
        <f>IF('3.Cropland'!$BI128="", '3.Cropland'!$BH128, '3.Cropland'!$BI128)</f>
        <v>49.96</v>
      </c>
      <c r="J15" s="2807">
        <f>IF('3.Cropland'!$AU128="", '3.Cropland'!$AT128, '3.Cropland'!$AU128)</f>
        <v>24</v>
      </c>
      <c r="K15" s="2807">
        <f>IF('3.Cropland'!$AW128="", '3.Cropland'!$AV128, '3.Cropland'!$AW128)</f>
        <v>1.35</v>
      </c>
      <c r="L15" s="2825">
        <f t="shared" ref="L15:L23" si="1">(J15*K15-J15*K15)*(44/12)/20</f>
        <v>0</v>
      </c>
      <c r="M15" s="2807">
        <f>IF('3.Cropland'!$BG128="", '3.Cropland'!BF128, '3.Cropland'!BG128)</f>
        <v>1.3884000000000001</v>
      </c>
      <c r="N15" s="2808">
        <f t="shared" si="0"/>
        <v>170.7732</v>
      </c>
      <c r="O15" s="2807">
        <f>IF('3.Cropland'!$K128="Straw burnt", rice!$I15*IPCC!$B$87*(IPCC!$D$76*methane)/1000,0)</f>
        <v>3.0215808000000006</v>
      </c>
      <c r="P15" s="2401">
        <f>IF('3.Cropland'!$K128="Straw burnt", rice!$I15*IPCC!$B$87*(IPCC!$E$76*Nitrous)/1000,0)</f>
        <v>0.74140640000000002</v>
      </c>
      <c r="Q15" s="2402">
        <f>'3.Cropland'!M128</f>
        <v>50</v>
      </c>
      <c r="R15" s="3459"/>
      <c r="V15" s="3220" t="s">
        <v>619</v>
      </c>
      <c r="W15" s="3224">
        <f>SUM(N30:N43)</f>
        <v>0</v>
      </c>
      <c r="X15" s="3225">
        <f>SUM(O30:O43)</f>
        <v>0</v>
      </c>
      <c r="AC15" s="369" t="s">
        <v>1565</v>
      </c>
      <c r="AD15" s="366">
        <v>2.9177</v>
      </c>
      <c r="AE15" s="284"/>
      <c r="AF15" t="s">
        <v>1550</v>
      </c>
      <c r="AG15">
        <v>3.6901999999999999</v>
      </c>
      <c r="AK15" s="3231">
        <f>(MIN(C35,D35)*time_tot+ABS(D35-C35)*IF(D35&gt;C35,time_cap+time*(VLOOKUP(E35, list!$J$48:$K$50,2,)),time*(1-(VLOOKUP(E35, list!$J$48:$K$50,2,)))))*IF('3.Cropland'!K128="Straw burnt", rice!I15*IPCC!$B$87*(IPCC!$D$76*methane)/1000,0)</f>
        <v>453.23712000000012</v>
      </c>
      <c r="AL15" s="3232">
        <f>(MIN(C35,F35)*time_tot+ABS(F35-C35)*IF(F35&gt;C35, time_cap + time*(VLOOKUP(G35, list!$J$48:$K$50,2,)),time*(1-(VLOOKUP(G35, list!$J$48:$K$50,2,)))))*IF('3.Cropland'!K128="Straw burnt", rice!I15*IPCC!$B$87*(IPCC!$D$76*methane)/1000,0)</f>
        <v>0</v>
      </c>
      <c r="AM15" s="2401">
        <f>(MIN(C35,D35)*time_tot+ABS(D35-C35)*IF(D35&gt;C35,time_cap+time*(VLOOKUP(E35, list!$J$48:$K$50,2,)),time*(1-(VLOOKUP(E35, list!$J$48:$K$50,2,)))))*IF('3.Cropland'!K128="Straw burnt", rice!I15*IPCC!$B$87*(IPCC!$E$76*Nitrous)/1000,0)</f>
        <v>111.21096</v>
      </c>
      <c r="AN15" s="2401">
        <f>(MIN(C35,F35)*time_tot+ABS(F35-C35)*IF(F35&gt;C35, time_cap + time*(VLOOKUP(G35, list!$J$48:$K$50,2,)),time*(1-(VLOOKUP(G35, list!$J$48:$K$50,2,)))))*IF('3.Cropland'!K128="Straw burnt", rice!I15*IPCC!$B$87*(IPCC!$E$76*Nitrous)/1000,0)</f>
        <v>0</v>
      </c>
      <c r="AO15" s="2401">
        <f>-$L15*((MIN($C35,D35)*MIN(20,time))+IF(E35="Immediate",IF(D35&gt;$C35,D35*MIN(20,time),0),IF($C35&gt;D35,($C35-D35)*IF(time&gt;20,IF(E35="Linear",time-((time-20)^2)/(2*time),(0.215*time)-(time/4.6)*(EXP(-92.1/time)-0.01)),time*(1-VLOOKUP(E35, list!$J$48:$K$50,2,))),(D35-$C35)*IF(time&gt;time+20,20,IF(time&lt;20,(time*VLOOKUP(E35, list!$J$48:$K$50,2,))+(time-time),((MIN(20,time)*VLOOKUP(E35, list!$J$48:$K$50,2,))+(time-MIN(20,time))-IF(E35="Exponential",time-20+0.217*time*(EXP(4.606*(20-time)/time)-1),((time-20)^2)*(0.5/time))))))))</f>
        <v>0</v>
      </c>
      <c r="AP15" s="2401">
        <f>-$L15*((MIN($C35,F35)*MIN(20,time))+IF(G35="Immediate",IF(F35&gt;$C35,F35*MIN(20,time),0),IF($C35&gt;F35,($C35-F35)*IF(time&gt;20,IF(G35="Linear",time-((time-20)^2)/(2*time),(0.215*time)-(time/4.6)*(EXP(-92.1/time)-0.01)),time*(1-VLOOKUP(G35, list!$J$48:$K$50,2,))),(F35-$C35)*IF(time&gt;time+20,20,IF(time&lt;20,(time*VLOOKUP(G35, list!$J$48:$K$50,2,))+(time-time),((MIN(20,time)*VLOOKUP(G35, list!$J$48:$K$50,2,))+(time-MIN(20,time))-IF(G35="Exponential",time-20+0.217*time*(EXP(4.606*(20-time)/time)-1),((time-20)^2)*(0.5/time))))))))</f>
        <v>0</v>
      </c>
      <c r="AQ15" s="3232">
        <f>(MIN(I35,J35)*time+ABS(J35-I35)*IF(J35 &gt; I35, time*(VLOOKUP(K35, list!$J$48:$K$50,2,)),time*(1-(VLOOKUP(K35, list!$J$48:$K$50,2,)))))*$N15*methane/1000</f>
        <v>143.449488</v>
      </c>
      <c r="AR15" s="2401">
        <f>(MIN(I35,L35)*time+ABS(L35-I35)*IF(L35&gt;I35, time*(VLOOKUP(M35, list!$J$48:$K$50,2,)),time*(1-(VLOOKUP(M35, list!$J$48:$K$50,2,)))))*$N15*methane/1000</f>
        <v>0</v>
      </c>
      <c r="AS15" s="2401">
        <f>(MIN(C35,D35)*time+ABS(D35-C35)*IF(D35&gt;C35,time*(VLOOKUP(E35, list!$J$48:$K$50,2,)),time*(1-(VLOOKUP(E35, list!$J$48:$K$50,2,)))))*IF('3.Cropland'!K128="Straw burnt", rice!I15*IPCC!$B$87*(IPCC!$D$76*methane)/1000,0)</f>
        <v>90.647424000000015</v>
      </c>
      <c r="AT15" s="2401">
        <f>(MIN(C35,F35)*time+ABS(F35-C35)*IF(F35&gt;C35,  time*(VLOOKUP(G35, list!$J$48:$K$50,2,)),time*(1-(VLOOKUP(G35, list!$J$48:$K$50,2,)))))*IF('3.Cropland'!K128="Straw burnt", rice!I15*IPCC!$B$87*(IPCC!$D$76*methane)/1000,0)</f>
        <v>0</v>
      </c>
      <c r="AU15" s="2401">
        <f>(MIN(C35,D35)*time+ABS(D35-C35)*IF(D35&gt;C35,time*(VLOOKUP(E35, list!$J$48:$K$50,2,)),time*(1-(VLOOKUP(E35, list!$J$48:$K$50,2,)))))*IF('3.Cropland'!K128="Straw burnt", rice!I15*IPCC!$B$87*(IPCC!$E$76*Nitrous)/1000,0)</f>
        <v>22.242191999999999</v>
      </c>
      <c r="AV15" s="2402">
        <f>(MIN(C35,F35)*time+ABS(F35-C35)*IF(F35&gt;C35,  time*(VLOOKUP(G35, list!$J$48:$K$50,2,)),time*(1-(VLOOKUP(G35, list!$J$48:$K$50,2,)))))*IF('3.Cropland'!K128="Straw burnt", rice!I15*IPCC!$B$87*(IPCC!$E$76*Nitrous)/1000,0)</f>
        <v>0</v>
      </c>
    </row>
    <row r="16" spans="1:63" x14ac:dyDescent="0.2">
      <c r="B16" s="682">
        <f>'3.Cropland'!C129</f>
        <v>0</v>
      </c>
      <c r="C16" s="3375"/>
      <c r="D16" s="682">
        <f>IF('3.Cropland'!$AS129="", '3.Cropland'!$AR129, '3.Cropland'!AS129)</f>
        <v>123</v>
      </c>
      <c r="E16" s="682" t="str">
        <f>'3.Cropland'!$G129</f>
        <v>Irrigated, Continuously flooded</v>
      </c>
      <c r="F16" s="682" t="str">
        <f>'3.Cropland'!$I129</f>
        <v>Non flooded pre-season &gt;180 d</v>
      </c>
      <c r="G16" s="682" t="str">
        <f>'3.Cropland'!$K129</f>
        <v>Straw burnt</v>
      </c>
      <c r="H16" s="3658">
        <f>IF('3.Cropland'!M129="", VLOOKUP(continent,rice!$AC$3:$AD$18,2,FALSE), '3.Cropland'!M129)</f>
        <v>50</v>
      </c>
      <c r="I16" s="3658">
        <f>IF('3.Cropland'!$BI129="", '3.Cropland'!$BH129, '3.Cropland'!$BI129)</f>
        <v>49.96</v>
      </c>
      <c r="J16" s="2807">
        <f>IF('3.Cropland'!$AU129="", '3.Cropland'!$AT129, '3.Cropland'!$AU129)</f>
        <v>24</v>
      </c>
      <c r="K16" s="2807">
        <f>IF('3.Cropland'!$AW129="", '3.Cropland'!$AV129, '3.Cropland'!$AW129)</f>
        <v>1.35</v>
      </c>
      <c r="L16" s="2825">
        <f t="shared" si="1"/>
        <v>0</v>
      </c>
      <c r="M16" s="2807">
        <f>IF('3.Cropland'!$BG129="", '3.Cropland'!BF129, '3.Cropland'!BG129)</f>
        <v>1.3884000000000001</v>
      </c>
      <c r="N16" s="2808">
        <f t="shared" si="0"/>
        <v>170.7732</v>
      </c>
      <c r="O16" s="2807">
        <f>IF('3.Cropland'!$K129="Straw burnt", rice!$I16*IPCC!$B$87*(IPCC!$D$76*methane)/1000,0)</f>
        <v>3.0215808000000006</v>
      </c>
      <c r="P16" s="2401">
        <f>IF('3.Cropland'!$K129="Straw burnt", rice!$I16*IPCC!$B$87*(IPCC!$E$76*Nitrous)/1000,0)</f>
        <v>0.74140640000000002</v>
      </c>
      <c r="Q16" s="2402">
        <f>'3.Cropland'!M129</f>
        <v>50</v>
      </c>
      <c r="R16" s="3459"/>
      <c r="V16" s="3220" t="s">
        <v>752</v>
      </c>
      <c r="W16" s="3231">
        <f>SUM(P30:P43)</f>
        <v>860.69692799999996</v>
      </c>
      <c r="X16" s="3231">
        <f>SUM(Q30:Q43)</f>
        <v>860.69692799999996</v>
      </c>
      <c r="AC16" s="369" t="s">
        <v>1567</v>
      </c>
      <c r="AD16" s="366">
        <v>4.0533000000000001</v>
      </c>
      <c r="AF16" t="s">
        <v>1554</v>
      </c>
      <c r="AG16">
        <v>6.9739000000000004</v>
      </c>
      <c r="AK16" s="3231">
        <f>(MIN(C36,D36)*time_tot+ABS(D36-C36)*IF(D36&gt;C36,time_cap+time*(VLOOKUP(E36, list!$J$48:$K$50,2,)),time*(1-(VLOOKUP(E36, list!$J$48:$K$50,2,)))))*IF('3.Cropland'!K129="Straw burnt", rice!I16*IPCC!$B$87*(IPCC!$D$76*methane)/1000,0)</f>
        <v>0</v>
      </c>
      <c r="AL16" s="3232">
        <f>(MIN(C36,F36)*time_tot+ABS(F36-C36)*IF(F36&gt;C36, time_cap + time*(VLOOKUP(G36, list!$J$48:$K$50,2,)),time*(1-(VLOOKUP(G36, list!$J$48:$K$50,2,)))))*IF('3.Cropland'!K129="Straw burnt", rice!I16*IPCC!$B$87*(IPCC!$D$76*methane)/1000,0)</f>
        <v>453.23712000000012</v>
      </c>
      <c r="AM16" s="2401">
        <f>(MIN(C36,D36)*time_tot+ABS(D36-C36)*IF(D36&gt;C36,time_cap+time*(VLOOKUP(E36, list!$J$48:$K$50,2,)),time*(1-(VLOOKUP(E36, list!$J$48:$K$50,2,)))))*IF('3.Cropland'!K129="Straw burnt", rice!I16*IPCC!$B$87*(IPCC!$E$76*Nitrous)/1000,0)</f>
        <v>0</v>
      </c>
      <c r="AN16" s="2401">
        <f>(MIN(C36,F36)*time_tot+ABS(F36-C36)*IF(F36&gt;C36, time_cap + time*(VLOOKUP(G36, list!$J$48:$K$50,2,)),time*(1-(VLOOKUP(G36, list!$J$48:$K$50,2,)))))*IF('3.Cropland'!K129="Straw burnt", rice!I16*IPCC!$B$87*(IPCC!$E$76*Nitrous)/1000,0)</f>
        <v>111.21096</v>
      </c>
      <c r="AO16" s="2401">
        <f>-$L16*((MIN($C36,D36)*MIN(20,time))+IF(E36="Immediate",IF(D36&gt;$C36,D36*MIN(20,time),0),IF($C36&gt;D36,($C36-D36)*IF(time&gt;20,IF(E36="Linear",time-((time-20)^2)/(2*time),(0.215*time)-(time/4.6)*(EXP(-92.1/time)-0.01)),time*(1-VLOOKUP(E36, list!$J$48:$K$50,2,))),(D36-$C36)*IF(time&gt;time+20,20,IF(time&lt;20,(time*VLOOKUP(E36, list!$J$48:$K$50,2,))+(time-time),((MIN(20,time)*VLOOKUP(E36, list!$J$48:$K$50,2,))+(time-MIN(20,time))-IF(E36="Exponential",time-20+0.217*time*(EXP(4.606*(20-time)/time)-1),((time-20)^2)*(0.5/time))))))))</f>
        <v>0</v>
      </c>
      <c r="AP16" s="2401">
        <f>-$L16*((MIN($C36,F36)*MIN(20,time))+IF(G36="Immediate",IF(F36&gt;$C36,F36*MIN(20,time),0),IF($C36&gt;F36,($C36-F36)*IF(time&gt;20,IF(G36="Linear",time-((time-20)^2)/(2*time),(0.215*time)-(time/4.6)*(EXP(-92.1/time)-0.01)),time*(1-VLOOKUP(G36, list!$J$48:$K$50,2,))),(F36-$C36)*IF(time&gt;time+20,20,IF(time&lt;20,(time*VLOOKUP(G36, list!$J$48:$K$50,2,))+(time-time),((MIN(20,time)*VLOOKUP(G36, list!$J$48:$K$50,2,))+(time-MIN(20,time))-IF(G36="Exponential",time-20+0.217*time*(EXP(4.606*(20-time)/time)-1),((time-20)^2)*(0.5/time))))))))</f>
        <v>0</v>
      </c>
      <c r="AQ16" s="3232">
        <f>(MIN(I36,J36)*time+ABS(J36-I36)*IF(J36 &gt; I36, time*(VLOOKUP(K36, list!$J$48:$K$50,2,)),time*(1-(VLOOKUP(K36, list!$J$48:$K$50,2,)))))*$N16*methane/1000</f>
        <v>0</v>
      </c>
      <c r="AR16" s="2401">
        <f>(MIN(I36,L36)*time+ABS(L36-I36)*IF(L36&gt;I36, time*(VLOOKUP(M36, list!$J$48:$K$50,2,)),time*(1-(VLOOKUP(M36, list!$J$48:$K$50,2,)))))*$N16*methane/1000</f>
        <v>143.449488</v>
      </c>
      <c r="AS16" s="2401">
        <f>(MIN(C36,D36)*time+ABS(D36-C36)*IF(D36&gt;C36,time*(VLOOKUP(E36, list!$J$48:$K$50,2,)),time*(1-(VLOOKUP(E36, list!$J$48:$K$50,2,)))))*IF('3.Cropland'!K129="Straw burnt", rice!I16*IPCC!$B$87*(IPCC!$D$76*methane)/1000,0)</f>
        <v>0</v>
      </c>
      <c r="AT16" s="2401">
        <f>(MIN(C36,F36)*time+ABS(F36-C36)*IF(F36&gt;C36,  time*(VLOOKUP(G36, list!$J$48:$K$50,2,)),time*(1-(VLOOKUP(G36, list!$J$48:$K$50,2,)))))*IF('3.Cropland'!K129="Straw burnt", rice!I16*IPCC!$B$87*(IPCC!$D$76*methane)/1000,0)</f>
        <v>90.647424000000015</v>
      </c>
      <c r="AU16" s="2401">
        <f>(MIN(C36,D36)*time+ABS(D36-C36)*IF(D36&gt;C36,time*(VLOOKUP(E36, list!$J$48:$K$50,2,)),time*(1-(VLOOKUP(E36, list!$J$48:$K$50,2,)))))*IF('3.Cropland'!K129="Straw burnt", rice!I16*IPCC!$B$87*(IPCC!$E$76*Nitrous)/1000,0)</f>
        <v>0</v>
      </c>
      <c r="AV16" s="2402">
        <f>(MIN(C36,F36)*time+ABS(F36-C36)*IF(F36&gt;C36,  time*(VLOOKUP(G36, list!$J$48:$K$50,2,)),time*(1-(VLOOKUP(G36, list!$J$48:$K$50,2,)))))*IF('3.Cropland'!K129="Straw burnt", rice!I16*IPCC!$B$87*(IPCC!$E$76*Nitrous)/1000,0)</f>
        <v>22.242191999999999</v>
      </c>
    </row>
    <row r="17" spans="2:48" x14ac:dyDescent="0.2">
      <c r="B17" s="682">
        <f>'3.Cropland'!C130</f>
        <v>0</v>
      </c>
      <c r="C17" s="3375"/>
      <c r="D17" s="682">
        <f>IF('3.Cropland'!$AS130="", '3.Cropland'!$AR130, '3.Cropland'!AS130)</f>
        <v>123</v>
      </c>
      <c r="E17" s="682" t="str">
        <f>'3.Cropland'!$G130</f>
        <v>Please select</v>
      </c>
      <c r="F17" s="682" t="str">
        <f>'3.Cropland'!$I130</f>
        <v>Please select</v>
      </c>
      <c r="G17" s="682" t="str">
        <f>'3.Cropland'!$K130</f>
        <v>Please select</v>
      </c>
      <c r="H17" s="3658">
        <f>IF('3.Cropland'!M130="", VLOOKUP(continent,rice!$AC$3:$AD$18,2,FALSE), '3.Cropland'!M130)</f>
        <v>6.3765999999999998</v>
      </c>
      <c r="I17" s="3658">
        <f>IF('3.Cropland'!$BI130="", '3.Cropland'!$BH130, '3.Cropland'!$BI130)</f>
        <v>0</v>
      </c>
      <c r="J17" s="2807">
        <f>IF('3.Cropland'!$AU130="", '3.Cropland'!$AT130, '3.Cropland'!$AU130)</f>
        <v>0</v>
      </c>
      <c r="K17" s="2807">
        <f>IF('3.Cropland'!$AW130="", '3.Cropland'!$AV130, '3.Cropland'!$AW130)</f>
        <v>0</v>
      </c>
      <c r="L17" s="2825">
        <f t="shared" si="1"/>
        <v>0</v>
      </c>
      <c r="M17" s="2807">
        <f>IF('3.Cropland'!$BG130="", '3.Cropland'!BF130, '3.Cropland'!BG130)</f>
        <v>0</v>
      </c>
      <c r="N17" s="2808">
        <f t="shared" si="0"/>
        <v>0</v>
      </c>
      <c r="O17" s="2807">
        <f>IF('3.Cropland'!$K130="Straw burnt", rice!$I17*IPCC!$B$87*(IPCC!$D$76*methane)/1000,0)</f>
        <v>0</v>
      </c>
      <c r="P17" s="2401">
        <f>IF('3.Cropland'!$K130="Straw burnt", rice!$I17*IPCC!$B$87*(IPCC!$E$76*Nitrous)/1000,0)</f>
        <v>0</v>
      </c>
      <c r="Q17" s="2402">
        <f>'3.Cropland'!M130</f>
        <v>0</v>
      </c>
      <c r="R17" s="3459"/>
      <c r="V17" s="3220" t="s">
        <v>161</v>
      </c>
      <c r="W17" s="3224">
        <f>SUM(AK10:AK23)</f>
        <v>543.88454400000012</v>
      </c>
      <c r="X17" s="3225">
        <f>SUM(AL10:AL23)</f>
        <v>543.88454400000012</v>
      </c>
      <c r="AC17" s="369" t="s">
        <v>1569</v>
      </c>
      <c r="AD17" s="366">
        <v>1.9235</v>
      </c>
      <c r="AE17" s="284"/>
      <c r="AF17" t="s">
        <v>1567</v>
      </c>
      <c r="AG17">
        <v>4.0533000000000001</v>
      </c>
      <c r="AK17" s="3231">
        <f>(MIN(C37,D37)*time_tot+ABS(D37-C37)*IF(D37&gt;C37,time_cap+time*(VLOOKUP(E37, list!$J$48:$K$50,2,)),time*(1-(VLOOKUP(E37, list!$J$48:$K$50,2,)))))*IF('3.Cropland'!K130="Straw burnt", rice!I17*IPCC!$B$87*(IPCC!$D$76*methane)/1000,0)</f>
        <v>0</v>
      </c>
      <c r="AL17" s="3232">
        <f>(MIN(C37,F37)*time_tot+ABS(F37-C37)*IF(F37&gt;C37, time_cap + time*(VLOOKUP(G37, list!$J$48:$K$50,2,)),time*(1-(VLOOKUP(G37, list!$J$48:$K$50,2,)))))*IF('3.Cropland'!K130="Straw burnt", rice!I17*IPCC!$B$87*(IPCC!$D$76*methane)/1000,0)</f>
        <v>0</v>
      </c>
      <c r="AM17" s="2401">
        <f>(MIN(C37,D37)*time_tot+ABS(D37-C37)*IF(D37&gt;C37,time_cap+time*(VLOOKUP(E37, list!$J$48:$K$50,2,)),time*(1-(VLOOKUP(E37, list!$J$48:$K$50,2,)))))*IF('3.Cropland'!K130="Straw burnt", rice!I17*IPCC!$B$87*(IPCC!$E$76*Nitrous)/1000,0)</f>
        <v>0</v>
      </c>
      <c r="AN17" s="2401">
        <f>(MIN(C37,F37)*time_tot+ABS(F37-C37)*IF(F37&gt;C37, time_cap + time*(VLOOKUP(G37, list!$J$48:$K$50,2,)),time*(1-(VLOOKUP(G37, list!$J$48:$K$50,2,)))))*IF('3.Cropland'!K130="Straw burnt", rice!I17*IPCC!$B$87*(IPCC!$E$76*Nitrous)/1000,0)</f>
        <v>0</v>
      </c>
      <c r="AO17" s="2401">
        <f>-$L17*((MIN($C37,D37)*MIN(20,time))+IF(E37="Immediate",IF(D37&gt;$C37,D37*MIN(20,time),0),IF($C37&gt;D37,($C37-D37)*IF(time&gt;20,IF(E37="Linear",time-((time-20)^2)/(2*time),(0.215*time)-(time/4.6)*(EXP(-92.1/time)-0.01)),time*(1-VLOOKUP(E37, list!$J$48:$K$50,2,))),(D37-$C37)*IF(time&gt;time+20,20,IF(time&lt;20,(time*VLOOKUP(E37, list!$J$48:$K$50,2,))+(time-time),((MIN(20,time)*VLOOKUP(E37, list!$J$48:$K$50,2,))+(time-MIN(20,time))-IF(E37="Exponential",time-20+0.217*time*(EXP(4.606*(20-time)/time)-1),((time-20)^2)*(0.5/time))))))))</f>
        <v>0</v>
      </c>
      <c r="AP17" s="2401">
        <f>-$L17*((MIN($C37,F37)*MIN(20,time))+IF(G37="Immediate",IF(F37&gt;$C37,F37*MIN(20,time),0),IF($C37&gt;F37,($C37-F37)*IF(time&gt;20,IF(G37="Linear",time-((time-20)^2)/(2*time),(0.215*time)-(time/4.6)*(EXP(-92.1/time)-0.01)),time*(1-VLOOKUP(G37, list!$J$48:$K$50,2,))),(F37-$C37)*IF(time&gt;time+20,20,IF(time&lt;20,(time*VLOOKUP(G37, list!$J$48:$K$50,2,))+(time-time),((MIN(20,time)*VLOOKUP(G37, list!$J$48:$K$50,2,))+(time-MIN(20,time))-IF(G37="Exponential",time-20+0.217*time*(EXP(4.606*(20-time)/time)-1),((time-20)^2)*(0.5/time))))))))</f>
        <v>0</v>
      </c>
      <c r="AQ17" s="3232">
        <f>(MIN(I37,J37)*time+ABS(J37-I37)*IF(J37 &gt; I37, time*(VLOOKUP(K37, list!$J$48:$K$50,2,)),time*(1-(VLOOKUP(K37, list!$J$48:$K$50,2,)))))*$N17*methane/1000</f>
        <v>0</v>
      </c>
      <c r="AR17" s="2401">
        <f>(MIN(I37,L37)*time+ABS(L37-I37)*IF(L37&gt;I37, time*(VLOOKUP(M37, list!$J$48:$K$50,2,)),time*(1-(VLOOKUP(M37, list!$J$48:$K$50,2,)))))*$N17*methane/1000</f>
        <v>0</v>
      </c>
      <c r="AS17" s="2401">
        <f>(MIN(C37,D37)*time+ABS(D37-C37)*IF(D37&gt;C37,time*(VLOOKUP(E37, list!$J$48:$K$50,2,)),time*(1-(VLOOKUP(E37, list!$J$48:$K$50,2,)))))*IF('3.Cropland'!K130="Straw burnt", rice!I17*IPCC!$B$87*(IPCC!$D$76*methane)/1000,0)</f>
        <v>0</v>
      </c>
      <c r="AT17" s="2401">
        <f>(MIN(C37,F37)*time+ABS(F37-C37)*IF(F37&gt;C37,  time*(VLOOKUP(G37, list!$J$48:$K$50,2,)),time*(1-(VLOOKUP(G37, list!$J$48:$K$50,2,)))))*IF('3.Cropland'!K130="Straw burnt", rice!I17*IPCC!$B$87*(IPCC!$D$76*methane)/1000,0)</f>
        <v>0</v>
      </c>
      <c r="AU17" s="2401">
        <f>(MIN(C37,D37)*time+ABS(D37-C37)*IF(D37&gt;C37,time*(VLOOKUP(E37, list!$J$48:$K$50,2,)),time*(1-(VLOOKUP(E37, list!$J$48:$K$50,2,)))))*IF('3.Cropland'!K130="Straw burnt", rice!I17*IPCC!$B$87*(IPCC!$E$76*Nitrous)/1000,0)</f>
        <v>0</v>
      </c>
      <c r="AV17" s="2402">
        <f>(MIN(C37,F37)*time+ABS(F37-C37)*IF(F37&gt;C37,  time*(VLOOKUP(G37, list!$J$48:$K$50,2,)),time*(1-(VLOOKUP(G37, list!$J$48:$K$50,2,)))))*IF('3.Cropland'!K130="Straw burnt", rice!I17*IPCC!$B$87*(IPCC!$E$76*Nitrous)/1000,0)</f>
        <v>0</v>
      </c>
    </row>
    <row r="18" spans="2:48" x14ac:dyDescent="0.2">
      <c r="B18" s="682">
        <f>'3.Cropland'!C131</f>
        <v>0</v>
      </c>
      <c r="C18" s="3375"/>
      <c r="D18" s="682">
        <f>IF('3.Cropland'!$AS131="", '3.Cropland'!$AR131, '3.Cropland'!AS131)</f>
        <v>123</v>
      </c>
      <c r="E18" s="682" t="str">
        <f>'3.Cropland'!$G131</f>
        <v>Please select</v>
      </c>
      <c r="F18" s="682" t="str">
        <f>'3.Cropland'!$I131</f>
        <v>Please select</v>
      </c>
      <c r="G18" s="682" t="str">
        <f>'3.Cropland'!$K131</f>
        <v>Please select</v>
      </c>
      <c r="H18" s="3658">
        <f>IF('3.Cropland'!M131="", VLOOKUP(continent,rice!$AC$3:$AD$18,2,FALSE), '3.Cropland'!M131)</f>
        <v>6.3765999999999998</v>
      </c>
      <c r="I18" s="3658">
        <f>IF('3.Cropland'!$BI131="", '3.Cropland'!$BH131, '3.Cropland'!$BI131)</f>
        <v>0</v>
      </c>
      <c r="J18" s="2807">
        <f>IF('3.Cropland'!$AU131="", '3.Cropland'!$AT131, '3.Cropland'!$AU131)</f>
        <v>0</v>
      </c>
      <c r="K18" s="2807">
        <f>IF('3.Cropland'!$AW131="", '3.Cropland'!$AV131, '3.Cropland'!$AW131)</f>
        <v>0</v>
      </c>
      <c r="L18" s="2825">
        <f t="shared" si="1"/>
        <v>0</v>
      </c>
      <c r="M18" s="2807">
        <f>IF('3.Cropland'!$BG131="", '3.Cropland'!BF131, '3.Cropland'!BG131)</f>
        <v>0</v>
      </c>
      <c r="N18" s="2808">
        <f t="shared" si="0"/>
        <v>0</v>
      </c>
      <c r="O18" s="2807">
        <f>IF('3.Cropland'!$K131="Straw burnt", rice!$I18*IPCC!$B$87*(IPCC!$D$76*methane)/1000,0)</f>
        <v>0</v>
      </c>
      <c r="P18" s="2401">
        <f>IF('3.Cropland'!$K131="Straw burnt", rice!$I18*IPCC!$B$87*(IPCC!$E$76*Nitrous)/1000,0)</f>
        <v>0</v>
      </c>
      <c r="Q18" s="2402">
        <f>'3.Cropland'!M131</f>
        <v>0</v>
      </c>
      <c r="R18" s="3459"/>
      <c r="V18" s="3220" t="s">
        <v>162</v>
      </c>
      <c r="W18" s="3227">
        <f>SUM(AM10:AM23)</f>
        <v>133.45315199999999</v>
      </c>
      <c r="X18" s="3228">
        <f>SUM(AN10:AN23)</f>
        <v>133.45315199999999</v>
      </c>
      <c r="AC18" s="370" t="s">
        <v>1571</v>
      </c>
      <c r="AD18" s="367">
        <v>6.3167</v>
      </c>
      <c r="AF18" t="s">
        <v>1563</v>
      </c>
      <c r="AG18">
        <v>4.2911000000000001</v>
      </c>
      <c r="AK18" s="3231">
        <f>(MIN(C38,D38)*time_tot+ABS(D38-C38)*IF(D38&gt;C38,time_cap+time*(VLOOKUP(E38, list!$J$48:$K$50,2,)),time*(1-(VLOOKUP(E38, list!$J$48:$K$50,2,)))))*IF('3.Cropland'!K131="Straw burnt", rice!I18*IPCC!$B$87*(IPCC!$D$76*methane)/1000,0)</f>
        <v>0</v>
      </c>
      <c r="AL18" s="3232">
        <f>(MIN(C38,F38)*time_tot+ABS(F38-C38)*IF(F38&gt;C38, time_cap + time*(VLOOKUP(G38, list!$J$48:$K$50,2,)),time*(1-(VLOOKUP(G38, list!$J$48:$K$50,2,)))))*IF('3.Cropland'!K131="Straw burnt", rice!I18*IPCC!$B$87*(IPCC!$D$76*methane)/1000,0)</f>
        <v>0</v>
      </c>
      <c r="AM18" s="2401">
        <f>(MIN(C38,D38)*time_tot+ABS(D38-C38)*IF(D38&gt;C38,time_cap+time*(VLOOKUP(E38, list!$J$48:$K$50,2,)),time*(1-(VLOOKUP(E38, list!$J$48:$K$50,2,)))))*IF('3.Cropland'!K131="Straw burnt", rice!I18*IPCC!$B$87*(IPCC!$E$76*Nitrous)/1000,0)</f>
        <v>0</v>
      </c>
      <c r="AN18" s="2401">
        <f>(MIN(C38,F38)*time_tot+ABS(F38-C38)*IF(F38&gt;C38, time_cap + time*(VLOOKUP(G38, list!$J$48:$K$50,2,)),time*(1-(VLOOKUP(G38, list!$J$48:$K$50,2,)))))*IF('3.Cropland'!K131="Straw burnt", rice!I18*IPCC!$B$87*(IPCC!$E$76*Nitrous)/1000,0)</f>
        <v>0</v>
      </c>
      <c r="AO18" s="2401">
        <f>-$L18*((MIN($C38,D38)*MIN(20,time))+IF(E38="Immediate",IF(D38&gt;$C38,D38*MIN(20,time),0),IF($C38&gt;D38,($C38-D38)*IF(time&gt;20,IF(E38="Linear",time-((time-20)^2)/(2*time),(0.215*time)-(time/4.6)*(EXP(-92.1/time)-0.01)),time*(1-VLOOKUP(E38, list!$J$48:$K$50,2,))),(D38-$C38)*IF(time&gt;time+20,20,IF(time&lt;20,(time*VLOOKUP(E38, list!$J$48:$K$50,2,))+(time-time),((MIN(20,time)*VLOOKUP(E38, list!$J$48:$K$50,2,))+(time-MIN(20,time))-IF(E38="Exponential",time-20+0.217*time*(EXP(4.606*(20-time)/time)-1),((time-20)^2)*(0.5/time))))))))</f>
        <v>0</v>
      </c>
      <c r="AP18" s="2401">
        <f>-$L18*((MIN($C38,F38)*MIN(20,time))+IF(G38="Immediate",IF(F38&gt;$C38,F38*MIN(20,time),0),IF($C38&gt;F38,($C38-F38)*IF(time&gt;20,IF(G38="Linear",time-((time-20)^2)/(2*time),(0.215*time)-(time/4.6)*(EXP(-92.1/time)-0.01)),time*(1-VLOOKUP(G38, list!$J$48:$K$50,2,))),(F38-$C38)*IF(time&gt;time+20,20,IF(time&lt;20,(time*VLOOKUP(G38, list!$J$48:$K$50,2,))+(time-time),((MIN(20,time)*VLOOKUP(G38, list!$J$48:$K$50,2,))+(time-MIN(20,time))-IF(G38="Exponential",time-20+0.217*time*(EXP(4.606*(20-time)/time)-1),((time-20)^2)*(0.5/time))))))))</f>
        <v>0</v>
      </c>
      <c r="AQ18" s="3232">
        <f>(MIN(I38,J38)*time+ABS(J38-I38)*IF(J38 &gt; I38, time*(VLOOKUP(K38, list!$J$48:$K$50,2,)),time*(1-(VLOOKUP(K38, list!$J$48:$K$50,2,)))))*$N18*methane/1000</f>
        <v>0</v>
      </c>
      <c r="AR18" s="2401">
        <f>(MIN(I38,L38)*time+ABS(L38-I38)*IF(L38&gt;I38, time*(VLOOKUP(M38, list!$J$48:$K$50,2,)),time*(1-(VLOOKUP(M38, list!$J$48:$K$50,2,)))))*$N18*methane/1000</f>
        <v>0</v>
      </c>
      <c r="AS18" s="2401">
        <f>(MIN(C38,D38)*time+ABS(D38-C38)*IF(D38&gt;C38,time*(VLOOKUP(E38, list!$J$48:$K$50,2,)),time*(1-(VLOOKUP(E38, list!$J$48:$K$50,2,)))))*IF('3.Cropland'!K131="Straw burnt", rice!I18*IPCC!$B$87*(IPCC!$D$76*methane)/1000,0)</f>
        <v>0</v>
      </c>
      <c r="AT18" s="2401">
        <f>(MIN(C38,F38)*time+ABS(F38-C38)*IF(F38&gt;C38,  time*(VLOOKUP(G38, list!$J$48:$K$50,2,)),time*(1-(VLOOKUP(G38, list!$J$48:$K$50,2,)))))*IF('3.Cropland'!K131="Straw burnt", rice!I18*IPCC!$B$87*(IPCC!$D$76*methane)/1000,0)</f>
        <v>0</v>
      </c>
      <c r="AU18" s="2401">
        <f>(MIN(C38,D38)*time+ABS(D38-C38)*IF(D38&gt;C38,time*(VLOOKUP(E38, list!$J$48:$K$50,2,)),time*(1-(VLOOKUP(E38, list!$J$48:$K$50,2,)))))*IF('3.Cropland'!K131="Straw burnt", rice!I18*IPCC!$B$87*(IPCC!$E$76*Nitrous)/1000,0)</f>
        <v>0</v>
      </c>
      <c r="AV18" s="2402">
        <f>(MIN(C38,F38)*time+ABS(F38-C38)*IF(F38&gt;C38,  time*(VLOOKUP(G38, list!$J$48:$K$50,2,)),time*(1-(VLOOKUP(G38, list!$J$48:$K$50,2,)))))*IF('3.Cropland'!K131="Straw burnt", rice!I18*IPCC!$B$87*(IPCC!$E$76*Nitrous)/1000,0)</f>
        <v>0</v>
      </c>
    </row>
    <row r="19" spans="2:48" x14ac:dyDescent="0.2">
      <c r="B19" s="682">
        <f>'3.Cropland'!C132</f>
        <v>0</v>
      </c>
      <c r="C19" s="3375"/>
      <c r="D19" s="682">
        <f>IF('3.Cropland'!$AS132="", '3.Cropland'!$AR132, '3.Cropland'!AS132)</f>
        <v>123</v>
      </c>
      <c r="E19" s="682" t="str">
        <f>'3.Cropland'!$G132</f>
        <v>Please select</v>
      </c>
      <c r="F19" s="682" t="str">
        <f>'3.Cropland'!$I132</f>
        <v>Please select</v>
      </c>
      <c r="G19" s="682" t="str">
        <f>'3.Cropland'!$K132</f>
        <v>Please select</v>
      </c>
      <c r="H19" s="3658">
        <f>IF('3.Cropland'!M132="", VLOOKUP(continent,rice!$AC$3:$AD$18,2,FALSE), '3.Cropland'!M132)</f>
        <v>6.3765999999999998</v>
      </c>
      <c r="I19" s="3658">
        <f>IF('3.Cropland'!$BI132="", '3.Cropland'!$BH132, '3.Cropland'!$BI132)</f>
        <v>0</v>
      </c>
      <c r="J19" s="2807">
        <f>IF('3.Cropland'!$AU132="", '3.Cropland'!$AT132, '3.Cropland'!$AU132)</f>
        <v>0</v>
      </c>
      <c r="K19" s="2807">
        <f>IF('3.Cropland'!$AW132="", '3.Cropland'!$AV132, '3.Cropland'!$AW132)</f>
        <v>0</v>
      </c>
      <c r="L19" s="2825">
        <f t="shared" si="1"/>
        <v>0</v>
      </c>
      <c r="M19" s="2807">
        <f>IF('3.Cropland'!$BG132="", '3.Cropland'!BF132, '3.Cropland'!BG132)</f>
        <v>0</v>
      </c>
      <c r="N19" s="2808">
        <f t="shared" si="0"/>
        <v>0</v>
      </c>
      <c r="O19" s="2807">
        <f>IF('3.Cropland'!$K132="Straw burnt", rice!$I19*IPCC!$B$87*(IPCC!$D$76*methane)/1000,0)</f>
        <v>0</v>
      </c>
      <c r="P19" s="2401">
        <f>IF('3.Cropland'!$K132="Straw burnt", rice!$I19*IPCC!$B$87*(IPCC!$E$76*Nitrous)/1000,0)</f>
        <v>0</v>
      </c>
      <c r="Q19" s="2402">
        <f>'3.Cropland'!M132</f>
        <v>0</v>
      </c>
      <c r="R19" s="3459"/>
      <c r="V19" s="3217" t="s">
        <v>235</v>
      </c>
      <c r="W19" s="3230">
        <f>SUM(W14:W18)</f>
        <v>1538.0346240000001</v>
      </c>
      <c r="X19" s="3230">
        <f>SUM(X14:X18)</f>
        <v>1538.0346240000001</v>
      </c>
      <c r="Y19" s="388"/>
      <c r="AE19" s="284"/>
      <c r="AF19" t="s">
        <v>1571</v>
      </c>
      <c r="AG19">
        <v>6.3167</v>
      </c>
      <c r="AK19" s="3231">
        <f>(MIN(C39,D39)*time_tot+ABS(D39-C39)*IF(D39&gt;C39,time_cap+time*(VLOOKUP(E39, list!$J$48:$K$50,2,)),time*(1-(VLOOKUP(E39, list!$J$48:$K$50,2,)))))*IF('3.Cropland'!K132="Straw burnt", rice!I19*IPCC!$B$87*(IPCC!$D$76*methane)/1000,0)</f>
        <v>0</v>
      </c>
      <c r="AL19" s="3232">
        <f>(MIN(C39,F39)*time_tot+ABS(F39-C39)*IF(F39&gt;C39, time_cap + time*(VLOOKUP(G39, list!$J$48:$K$50,2,)),time*(1-(VLOOKUP(G39, list!$J$48:$K$50,2,)))))*IF('3.Cropland'!K132="Straw burnt", rice!I19*IPCC!$B$87*(IPCC!$D$76*methane)/1000,0)</f>
        <v>0</v>
      </c>
      <c r="AM19" s="2401">
        <f>(MIN(C39,D39)*time_tot+ABS(D39-C39)*IF(D39&gt;C39,time_cap+time*(VLOOKUP(E39, list!$J$48:$K$50,2,)),time*(1-(VLOOKUP(E39, list!$J$48:$K$50,2,)))))*IF('3.Cropland'!K132="Straw burnt", rice!I19*IPCC!$B$87*(IPCC!$E$76*Nitrous)/1000,0)</f>
        <v>0</v>
      </c>
      <c r="AN19" s="2401">
        <f>(MIN(C39,F39)*time_tot+ABS(F39-C39)*IF(F39&gt;C39, time_cap + time*(VLOOKUP(G39, list!$J$48:$K$50,2,)),time*(1-(VLOOKUP(G39, list!$J$48:$K$50,2,)))))*IF('3.Cropland'!K132="Straw burnt", rice!I19*IPCC!$B$87*(IPCC!$E$76*Nitrous)/1000,0)</f>
        <v>0</v>
      </c>
      <c r="AO19" s="2401">
        <f>-$L19*((MIN($C39,D39)*MIN(20,time))+IF(E39="Immediate",IF(D39&gt;$C39,D39*MIN(20,time),0),IF($C39&gt;D39,($C39-D39)*IF(time&gt;20,IF(E39="Linear",time-((time-20)^2)/(2*time),(0.215*time)-(time/4.6)*(EXP(-92.1/time)-0.01)),time*(1-VLOOKUP(E39, list!$J$48:$K$50,2,))),(D39-$C39)*IF(time&gt;time+20,20,IF(time&lt;20,(time*VLOOKUP(E39, list!$J$48:$K$50,2,))+(time-time),((MIN(20,time)*VLOOKUP(E39, list!$J$48:$K$50,2,))+(time-MIN(20,time))-IF(E39="Exponential",time-20+0.217*time*(EXP(4.606*(20-time)/time)-1),((time-20)^2)*(0.5/time))))))))</f>
        <v>0</v>
      </c>
      <c r="AP19" s="2401">
        <f>-$L19*((MIN($C39,F39)*MIN(20,time))+IF(G39="Immediate",IF(F39&gt;$C39,F39*MIN(20,time),0),IF($C39&gt;F39,($C39-F39)*IF(time&gt;20,IF(G39="Linear",time-((time-20)^2)/(2*time),(0.215*time)-(time/4.6)*(EXP(-92.1/time)-0.01)),time*(1-VLOOKUP(G39, list!$J$48:$K$50,2,))),(F39-$C39)*IF(time&gt;time+20,20,IF(time&lt;20,(time*VLOOKUP(G39, list!$J$48:$K$50,2,))+(time-time),((MIN(20,time)*VLOOKUP(G39, list!$J$48:$K$50,2,))+(time-MIN(20,time))-IF(G39="Exponential",time-20+0.217*time*(EXP(4.606*(20-time)/time)-1),((time-20)^2)*(0.5/time))))))))</f>
        <v>0</v>
      </c>
      <c r="AQ19" s="3232">
        <f>(MIN(I39,J39)*time+ABS(J39-I39)*IF(J39 &gt; I39, time*(VLOOKUP(K39, list!$J$48:$K$50,2,)),time*(1-(VLOOKUP(K39, list!$J$48:$K$50,2,)))))*$N19*methane/1000</f>
        <v>0</v>
      </c>
      <c r="AR19" s="2401">
        <f>(MIN(I39,L39)*time+ABS(L39-I39)*IF(L39&gt;I39, time*(VLOOKUP(M39, list!$J$48:$K$50,2,)),time*(1-(VLOOKUP(M39, list!$J$48:$K$50,2,)))))*$N19*methane/1000</f>
        <v>0</v>
      </c>
      <c r="AS19" s="2401">
        <f>(MIN(C39,D39)*time+ABS(D39-C39)*IF(D39&gt;C39,time*(VLOOKUP(E39, list!$J$48:$K$50,2,)),time*(1-(VLOOKUP(E39, list!$J$48:$K$50,2,)))))*IF('3.Cropland'!K132="Straw burnt", rice!I19*IPCC!$B$87*(IPCC!$D$76*methane)/1000,0)</f>
        <v>0</v>
      </c>
      <c r="AT19" s="2401">
        <f>(MIN(C39,F39)*time+ABS(F39-C39)*IF(F39&gt;C39,  time*(VLOOKUP(G39, list!$J$48:$K$50,2,)),time*(1-(VLOOKUP(G39, list!$J$48:$K$50,2,)))))*IF('3.Cropland'!K132="Straw burnt", rice!I19*IPCC!$B$87*(IPCC!$D$76*methane)/1000,0)</f>
        <v>0</v>
      </c>
      <c r="AU19" s="2401">
        <f>(MIN(C39,D39)*time+ABS(D39-C39)*IF(D39&gt;C39,time*(VLOOKUP(E39, list!$J$48:$K$50,2,)),time*(1-(VLOOKUP(E39, list!$J$48:$K$50,2,)))))*IF('3.Cropland'!K132="Straw burnt", rice!I19*IPCC!$B$87*(IPCC!$E$76*Nitrous)/1000,0)</f>
        <v>0</v>
      </c>
      <c r="AV19" s="2402">
        <f>(MIN(C39,F39)*time+ABS(F39-C39)*IF(F39&gt;C39,  time*(VLOOKUP(G39, list!$J$48:$K$50,2,)),time*(1-(VLOOKUP(G39, list!$J$48:$K$50,2,)))))*IF('3.Cropland'!K132="Straw burnt", rice!I19*IPCC!$B$87*(IPCC!$E$76*Nitrous)/1000,0)</f>
        <v>0</v>
      </c>
    </row>
    <row r="20" spans="2:48" x14ac:dyDescent="0.2">
      <c r="B20" s="682">
        <f>'3.Cropland'!C133</f>
        <v>0</v>
      </c>
      <c r="C20" s="3375"/>
      <c r="D20" s="682">
        <f>IF('3.Cropland'!$AS133="", '3.Cropland'!$AR133, '3.Cropland'!AS133)</f>
        <v>123</v>
      </c>
      <c r="E20" s="682" t="str">
        <f>'3.Cropland'!$G133</f>
        <v>Please select</v>
      </c>
      <c r="F20" s="682" t="str">
        <f>'3.Cropland'!$I133</f>
        <v>Please select</v>
      </c>
      <c r="G20" s="682" t="str">
        <f>'3.Cropland'!$K133</f>
        <v>Please select</v>
      </c>
      <c r="H20" s="3658">
        <f>IF('3.Cropland'!M133="", VLOOKUP(continent,rice!$AC$3:$AD$18,2,FALSE), '3.Cropland'!M133)</f>
        <v>6.3765999999999998</v>
      </c>
      <c r="I20" s="3658">
        <f>IF('3.Cropland'!$BI133="", '3.Cropland'!$BH133, '3.Cropland'!$BI133)</f>
        <v>0</v>
      </c>
      <c r="J20" s="2807">
        <f>IF('3.Cropland'!$AU133="", '3.Cropland'!$AT133, '3.Cropland'!$AU133)</f>
        <v>0</v>
      </c>
      <c r="K20" s="2807">
        <f>IF('3.Cropland'!$AW133="", '3.Cropland'!$AV133, '3.Cropland'!$AW133)</f>
        <v>0</v>
      </c>
      <c r="L20" s="2825">
        <f t="shared" si="1"/>
        <v>0</v>
      </c>
      <c r="M20" s="2807">
        <f>IF('3.Cropland'!$BG133="", '3.Cropland'!BF133, '3.Cropland'!BG133)</f>
        <v>0</v>
      </c>
      <c r="N20" s="2808">
        <f t="shared" si="0"/>
        <v>0</v>
      </c>
      <c r="O20" s="2807">
        <f>IF('3.Cropland'!$K133="Straw burnt", rice!$I20*IPCC!$B$87*(IPCC!$D$76*methane)/1000,0)</f>
        <v>0</v>
      </c>
      <c r="P20" s="2401">
        <f>IF('3.Cropland'!$K133="Straw burnt", rice!$I20*IPCC!$B$87*(IPCC!$E$76*Nitrous)/1000,0)</f>
        <v>0</v>
      </c>
      <c r="Q20" s="2402">
        <f>'3.Cropland'!M133</f>
        <v>0</v>
      </c>
      <c r="R20" s="3459"/>
      <c r="AF20" t="s">
        <v>1555</v>
      </c>
      <c r="AG20">
        <v>6.3765999999999998</v>
      </c>
      <c r="AK20" s="3231">
        <f>(MIN(C40,D40)*time_tot+ABS(D40-C40)*IF(D40&gt;C40,time_cap+time*(VLOOKUP(E40, list!$J$48:$K$50,2,)),time*(1-(VLOOKUP(E40, list!$J$48:$K$50,2,)))))*IF('3.Cropland'!K133="Straw burnt", rice!I20*IPCC!$B$87*(IPCC!$D$76*methane)/1000,0)</f>
        <v>0</v>
      </c>
      <c r="AL20" s="3232">
        <f>(MIN(C40,F40)*time_tot+ABS(F40-C40)*IF(F40&gt;C40, time_cap + time*(VLOOKUP(G40, list!$J$48:$K$50,2,)),time*(1-(VLOOKUP(G40, list!$J$48:$K$50,2,)))))*IF('3.Cropland'!K133="Straw burnt", rice!I20*IPCC!$B$87*(IPCC!$D$76*methane)/1000,0)</f>
        <v>0</v>
      </c>
      <c r="AM20" s="2401">
        <f>(MIN(C40,D40)*time_tot+ABS(D40-C40)*IF(D40&gt;C40,time_cap+time*(VLOOKUP(E40, list!$J$48:$K$50,2,)),time*(1-(VLOOKUP(E40, list!$J$48:$K$50,2,)))))*IF('3.Cropland'!K133="Straw burnt", rice!I20*IPCC!$B$87*(IPCC!$E$76*Nitrous)/1000,0)</f>
        <v>0</v>
      </c>
      <c r="AN20" s="2401">
        <f>(MIN(C40,F40)*time_tot+ABS(F40-C40)*IF(F40&gt;C40, time_cap + time*(VLOOKUP(G40, list!$J$48:$K$50,2,)),time*(1-(VLOOKUP(G40, list!$J$48:$K$50,2,)))))*IF('3.Cropland'!K133="Straw burnt", rice!I20*IPCC!$B$87*(IPCC!$E$76*Nitrous)/1000,0)</f>
        <v>0</v>
      </c>
      <c r="AO20" s="2401">
        <f>-$L20*((MIN($C40,D40)*MIN(20,time))+IF(E40="Immediate",IF(D40&gt;$C40,D40*MIN(20,time),0),IF($C40&gt;D40,($C40-D40)*IF(time&gt;20,IF(E40="Linear",time-((time-20)^2)/(2*time),(0.215*time)-(time/4.6)*(EXP(-92.1/time)-0.01)),time*(1-VLOOKUP(E40, list!$J$48:$K$50,2,))),(D40-$C40)*IF(time&gt;time+20,20,IF(time&lt;20,(time*VLOOKUP(E40, list!$J$48:$K$50,2,))+(time-time),((MIN(20,time)*VLOOKUP(E40, list!$J$48:$K$50,2,))+(time-MIN(20,time))-IF(E40="Exponential",time-20+0.217*time*(EXP(4.606*(20-time)/time)-1),((time-20)^2)*(0.5/time))))))))</f>
        <v>0</v>
      </c>
      <c r="AP20" s="2401">
        <f>-$L20*((MIN($C40,F40)*MIN(20,time))+IF(G40="Immediate",IF(F40&gt;$C40,F40*MIN(20,time),0),IF($C40&gt;F40,($C40-F40)*IF(time&gt;20,IF(G40="Linear",time-((time-20)^2)/(2*time),(0.215*time)-(time/4.6)*(EXP(-92.1/time)-0.01)),time*(1-VLOOKUP(G40, list!$J$48:$K$50,2,))),(F40-$C40)*IF(time&gt;time+20,20,IF(time&lt;20,(time*VLOOKUP(G40, list!$J$48:$K$50,2,))+(time-time),((MIN(20,time)*VLOOKUP(G40, list!$J$48:$K$50,2,))+(time-MIN(20,time))-IF(G40="Exponential",time-20+0.217*time*(EXP(4.606*(20-time)/time)-1),((time-20)^2)*(0.5/time))))))))</f>
        <v>0</v>
      </c>
      <c r="AQ20" s="3232">
        <f>(MIN(I40,J40)*time+ABS(J40-I40)*IF(J40 &gt; I40, time*(VLOOKUP(K40, list!$J$48:$K$50,2,)),time*(1-(VLOOKUP(K40, list!$J$48:$K$50,2,)))))*$N20*methane/1000</f>
        <v>0</v>
      </c>
      <c r="AR20" s="2401">
        <f>(MIN(I40,L40)*time+ABS(L40-I40)*IF(L40&gt;I40, time*(VLOOKUP(M40, list!$J$48:$K$50,2,)),time*(1-(VLOOKUP(M40, list!$J$48:$K$50,2,)))))*$N20*methane/1000</f>
        <v>0</v>
      </c>
      <c r="AS20" s="2401">
        <f>(MIN(C40,D40)*time+ABS(D40-C40)*IF(D40&gt;C40,time*(VLOOKUP(E40, list!$J$48:$K$50,2,)),time*(1-(VLOOKUP(E40, list!$J$48:$K$50,2,)))))*IF('3.Cropland'!K133="Straw burnt", rice!I20*IPCC!$B$87*(IPCC!$D$76*methane)/1000,0)</f>
        <v>0</v>
      </c>
      <c r="AT20" s="2401">
        <f>(MIN(C40,F40)*time+ABS(F40-C40)*IF(F40&gt;C40,  time*(VLOOKUP(G40, list!$J$48:$K$50,2,)),time*(1-(VLOOKUP(G40, list!$J$48:$K$50,2,)))))*IF('3.Cropland'!K133="Straw burnt", rice!I20*IPCC!$B$87*(IPCC!$D$76*methane)/1000,0)</f>
        <v>0</v>
      </c>
      <c r="AU20" s="2401">
        <f>(MIN(C40,D40)*time+ABS(D40-C40)*IF(D40&gt;C40,time*(VLOOKUP(E40, list!$J$48:$K$50,2,)),time*(1-(VLOOKUP(E40, list!$J$48:$K$50,2,)))))*IF('3.Cropland'!K133="Straw burnt", rice!I20*IPCC!$B$87*(IPCC!$E$76*Nitrous)/1000,0)</f>
        <v>0</v>
      </c>
      <c r="AV20" s="2402">
        <f>(MIN(C40,F40)*time+ABS(F40-C40)*IF(F40&gt;C40,  time*(VLOOKUP(G40, list!$J$48:$K$50,2,)),time*(1-(VLOOKUP(G40, list!$J$48:$K$50,2,)))))*IF('3.Cropland'!K133="Straw burnt", rice!I20*IPCC!$B$87*(IPCC!$E$76*Nitrous)/1000,0)</f>
        <v>0</v>
      </c>
    </row>
    <row r="21" spans="2:48" x14ac:dyDescent="0.2">
      <c r="B21" s="682">
        <f>'3.Cropland'!C134</f>
        <v>0</v>
      </c>
      <c r="C21" s="3375"/>
      <c r="D21" s="682">
        <f>IF('3.Cropland'!$AS134="", '3.Cropland'!$AR134, '3.Cropland'!AS134)</f>
        <v>123</v>
      </c>
      <c r="E21" s="682" t="str">
        <f>'3.Cropland'!$G134</f>
        <v>Please select</v>
      </c>
      <c r="F21" s="682" t="str">
        <f>'3.Cropland'!$I134</f>
        <v>Please select</v>
      </c>
      <c r="G21" s="682" t="str">
        <f>'3.Cropland'!$K134</f>
        <v>Please select</v>
      </c>
      <c r="H21" s="3658">
        <f>IF('3.Cropland'!M134="", VLOOKUP(continent,rice!$AC$3:$AD$18,2,FALSE), '3.Cropland'!M134)</f>
        <v>6.3765999999999998</v>
      </c>
      <c r="I21" s="3658">
        <f>IF('3.Cropland'!$BI134="", '3.Cropland'!$BH134, '3.Cropland'!$BI134)</f>
        <v>0</v>
      </c>
      <c r="J21" s="2807">
        <f>IF('3.Cropland'!$AU134="", '3.Cropland'!$AT134, '3.Cropland'!$AU134)</f>
        <v>0</v>
      </c>
      <c r="K21" s="2807">
        <f>IF('3.Cropland'!$AW134="", '3.Cropland'!$AV134, '3.Cropland'!$AW134)</f>
        <v>0</v>
      </c>
      <c r="L21" s="2825">
        <f t="shared" si="1"/>
        <v>0</v>
      </c>
      <c r="M21" s="2807">
        <f>IF('3.Cropland'!$BG134="", '3.Cropland'!BF134, '3.Cropland'!BG134)</f>
        <v>0</v>
      </c>
      <c r="N21" s="2808">
        <f t="shared" si="0"/>
        <v>0</v>
      </c>
      <c r="O21" s="2807">
        <f>IF('3.Cropland'!$K134="Straw burnt", rice!$I21*IPCC!$B$87*(IPCC!$D$76*methane)/1000,0)</f>
        <v>0</v>
      </c>
      <c r="P21" s="2401">
        <f>IF('3.Cropland'!$K134="Straw burnt", rice!$I21*IPCC!$B$87*(IPCC!$E$76*Nitrous)/1000,0)</f>
        <v>0</v>
      </c>
      <c r="Q21" s="2402">
        <f>'3.Cropland'!M134</f>
        <v>0</v>
      </c>
      <c r="R21" s="3459"/>
      <c r="AF21" t="s">
        <v>1337</v>
      </c>
      <c r="AG21">
        <v>5.7106000000000003</v>
      </c>
      <c r="AK21" s="3231">
        <f>(MIN(C41,D41)*time_tot+ABS(D41-C41)*IF(D41&gt;C41,time_cap+time*(VLOOKUP(E41, list!$J$48:$K$50,2,)),time*(1-(VLOOKUP(E41, list!$J$48:$K$50,2,)))))*IF('3.Cropland'!K134="Straw burnt", rice!I21*IPCC!$B$87*(IPCC!$D$76*methane)/1000,0)</f>
        <v>0</v>
      </c>
      <c r="AL21" s="3232">
        <f>(MIN(C41,F41)*time_tot+ABS(F41-C41)*IF(F41&gt;C41, time_cap + time*(VLOOKUP(G41, list!$J$48:$K$50,2,)),time*(1-(VLOOKUP(G41, list!$J$48:$K$50,2,)))))*IF('3.Cropland'!K134="Straw burnt", rice!I21*IPCC!$B$87*(IPCC!$D$76*methane)/1000,0)</f>
        <v>0</v>
      </c>
      <c r="AM21" s="2401">
        <f>(MIN(C41,D41)*time_tot+ABS(D41-C41)*IF(D41&gt;C41,time_cap+time*(VLOOKUP(E41, list!$J$48:$K$50,2,)),time*(1-(VLOOKUP(E41, list!$J$48:$K$50,2,)))))*IF('3.Cropland'!K134="Straw burnt", rice!I21*IPCC!$B$87*(IPCC!$E$76*Nitrous)/1000,0)</f>
        <v>0</v>
      </c>
      <c r="AN21" s="2401">
        <f>(MIN(C41,F41)*time_tot+ABS(F41-C41)*IF(F41&gt;C41, time_cap + time*(VLOOKUP(G41, list!$J$48:$K$50,2,)),time*(1-(VLOOKUP(G41, list!$J$48:$K$50,2,)))))*IF('3.Cropland'!K134="Straw burnt", rice!I21*IPCC!$B$87*(IPCC!$E$76*Nitrous)/1000,0)</f>
        <v>0</v>
      </c>
      <c r="AO21" s="2401">
        <f>-$L21*((MIN($C41,D41)*MIN(20,time))+IF(E41="Immediate",IF(D41&gt;$C41,D41*MIN(20,time),0),IF($C41&gt;D41,($C41-D41)*IF(time&gt;20,IF(E41="Linear",time-((time-20)^2)/(2*time),(0.215*time)-(time/4.6)*(EXP(-92.1/time)-0.01)),time*(1-VLOOKUP(E41, list!$J$48:$K$50,2,))),(D41-$C41)*IF(time&gt;time+20,20,IF(time&lt;20,(time*VLOOKUP(E41, list!$J$48:$K$50,2,))+(time-time),((MIN(20,time)*VLOOKUP(E41, list!$J$48:$K$50,2,))+(time-MIN(20,time))-IF(E41="Exponential",time-20+0.217*time*(EXP(4.606*(20-time)/time)-1),((time-20)^2)*(0.5/time))))))))</f>
        <v>0</v>
      </c>
      <c r="AP21" s="2401">
        <f>-$L21*((MIN($C41,F41)*MIN(20,time))+IF(G41="Immediate",IF(F41&gt;$C41,F41*MIN(20,time),0),IF($C41&gt;F41,($C41-F41)*IF(time&gt;20,IF(G41="Linear",time-((time-20)^2)/(2*time),(0.215*time)-(time/4.6)*(EXP(-92.1/time)-0.01)),time*(1-VLOOKUP(G41, list!$J$48:$K$50,2,))),(F41-$C41)*IF(time&gt;time+20,20,IF(time&lt;20,(time*VLOOKUP(G41, list!$J$48:$K$50,2,))+(time-time),((MIN(20,time)*VLOOKUP(G41, list!$J$48:$K$50,2,))+(time-MIN(20,time))-IF(G41="Exponential",time-20+0.217*time*(EXP(4.606*(20-time)/time)-1),((time-20)^2)*(0.5/time))))))))</f>
        <v>0</v>
      </c>
      <c r="AQ21" s="3232">
        <f>(MIN(I41,J41)*time+ABS(J41-I41)*IF(J41 &gt; I41, time*(VLOOKUP(K41, list!$J$48:$K$50,2,)),time*(1-(VLOOKUP(K41, list!$J$48:$K$50,2,)))))*$N21*methane/1000</f>
        <v>0</v>
      </c>
      <c r="AR21" s="2401">
        <f>(MIN(I41,L41)*time+ABS(L41-I41)*IF(L41&gt;I41, time*(VLOOKUP(M41, list!$J$48:$K$50,2,)),time*(1-(VLOOKUP(M41, list!$J$48:$K$50,2,)))))*$N21*methane/1000</f>
        <v>0</v>
      </c>
      <c r="AS21" s="2401">
        <f>(MIN(C41,D41)*time+ABS(D41-C41)*IF(D41&gt;C41,time*(VLOOKUP(E41, list!$J$48:$K$50,2,)),time*(1-(VLOOKUP(E41, list!$J$48:$K$50,2,)))))*IF('3.Cropland'!K134="Straw burnt", rice!I21*IPCC!$B$87*(IPCC!$D$76*methane)/1000,0)</f>
        <v>0</v>
      </c>
      <c r="AT21" s="2401">
        <f>(MIN(C41,F41)*time+ABS(F41-C41)*IF(F41&gt;C41,  time*(VLOOKUP(G41, list!$J$48:$K$50,2,)),time*(1-(VLOOKUP(G41, list!$J$48:$K$50,2,)))))*IF('3.Cropland'!K134="Straw burnt", rice!I21*IPCC!$B$87*(IPCC!$D$76*methane)/1000,0)</f>
        <v>0</v>
      </c>
      <c r="AU21" s="2401">
        <f>(MIN(C41,D41)*time+ABS(D41-C41)*IF(D41&gt;C41,time*(VLOOKUP(E41, list!$J$48:$K$50,2,)),time*(1-(VLOOKUP(E41, list!$J$48:$K$50,2,)))))*IF('3.Cropland'!K134="Straw burnt", rice!I21*IPCC!$B$87*(IPCC!$E$76*Nitrous)/1000,0)</f>
        <v>0</v>
      </c>
      <c r="AV21" s="2402">
        <f>(MIN(C41,F41)*time+ABS(F41-C41)*IF(F41&gt;C41,  time*(VLOOKUP(G41, list!$J$48:$K$50,2,)),time*(1-(VLOOKUP(G41, list!$J$48:$K$50,2,)))))*IF('3.Cropland'!K134="Straw burnt", rice!I21*IPCC!$B$87*(IPCC!$E$76*Nitrous)/1000,0)</f>
        <v>0</v>
      </c>
    </row>
    <row r="22" spans="2:48" x14ac:dyDescent="0.2">
      <c r="B22" s="682">
        <f>'3.Cropland'!C135</f>
        <v>0</v>
      </c>
      <c r="C22" s="3375"/>
      <c r="D22" s="682">
        <f>IF('3.Cropland'!$AS135="", '3.Cropland'!$AR135, '3.Cropland'!AS135)</f>
        <v>123</v>
      </c>
      <c r="E22" s="682" t="str">
        <f>'3.Cropland'!$G135</f>
        <v>Please select</v>
      </c>
      <c r="F22" s="682" t="str">
        <f>'3.Cropland'!$I135</f>
        <v>Please select</v>
      </c>
      <c r="G22" s="682" t="str">
        <f>'3.Cropland'!$K135</f>
        <v>Please select</v>
      </c>
      <c r="H22" s="3658">
        <f>IF('3.Cropland'!M135="", VLOOKUP(continent,rice!$AC$3:$AD$18,2,FALSE), '3.Cropland'!M135)</f>
        <v>6.3765999999999998</v>
      </c>
      <c r="I22" s="3658">
        <f>IF('3.Cropland'!$BI135="", '3.Cropland'!$BH135, '3.Cropland'!$BI135)</f>
        <v>0</v>
      </c>
      <c r="J22" s="2807">
        <f>IF('3.Cropland'!$AU135="", '3.Cropland'!$AT135, '3.Cropland'!$AU135)</f>
        <v>0</v>
      </c>
      <c r="K22" s="2807">
        <f>IF('3.Cropland'!$AW135="", '3.Cropland'!$AV135, '3.Cropland'!$AW135)</f>
        <v>0</v>
      </c>
      <c r="L22" s="2825">
        <f t="shared" si="1"/>
        <v>0</v>
      </c>
      <c r="M22" s="2807">
        <f>IF('3.Cropland'!$BG135="", '3.Cropland'!BF135, '3.Cropland'!BG135)</f>
        <v>0</v>
      </c>
      <c r="N22" s="2808">
        <f t="shared" si="0"/>
        <v>0</v>
      </c>
      <c r="O22" s="2807">
        <f>IF('3.Cropland'!$K135="Straw burnt", rice!$I22*IPCC!$B$87*(IPCC!$D$76*methane)/1000,0)</f>
        <v>0</v>
      </c>
      <c r="P22" s="2401">
        <f>IF('3.Cropland'!$K135="Straw burnt", rice!$I22*IPCC!$B$87*(IPCC!$E$76*Nitrous)/1000,0)</f>
        <v>0</v>
      </c>
      <c r="Q22" s="2402">
        <f>'3.Cropland'!M135</f>
        <v>0</v>
      </c>
      <c r="R22" s="3459"/>
      <c r="S22" t="s">
        <v>5276</v>
      </c>
      <c r="T22">
        <f>IPCC!$B$21</f>
        <v>0.95</v>
      </c>
      <c r="AF22" t="s">
        <v>3725</v>
      </c>
      <c r="AG22">
        <v>6.8082000000000003</v>
      </c>
      <c r="AK22" s="3231">
        <f>(MIN(C42,D42)*time_tot+ABS(D42-C42)*IF(D42&gt;C42,time_cap+time*(VLOOKUP(E42, list!$J$48:$K$50,2,)),time*(1-(VLOOKUP(E42, list!$J$48:$K$50,2,)))))*IF('3.Cropland'!K135="Straw burnt", rice!I22*IPCC!$B$87*(IPCC!$D$76*methane)/1000,0)</f>
        <v>0</v>
      </c>
      <c r="AL22" s="3232">
        <f>(MIN(C42,F42)*time_tot+ABS(F42-C42)*IF(F42&gt;C42, time_cap + time*(VLOOKUP(G42, list!$J$48:$K$50,2,)),time*(1-(VLOOKUP(G42, list!$J$48:$K$50,2,)))))*IF('3.Cropland'!K135="Straw burnt", rice!I22*IPCC!$B$87*(IPCC!$D$76*methane)/1000,0)</f>
        <v>0</v>
      </c>
      <c r="AM22" s="2401">
        <f>(MIN(C42,D42)*time_tot+ABS(D42-C42)*IF(D42&gt;C42,time_cap+time*(VLOOKUP(E42, list!$J$48:$K$50,2,)),time*(1-(VLOOKUP(E42, list!$J$48:$K$50,2,)))))*IF('3.Cropland'!K135="Straw burnt", rice!I22*IPCC!$B$87*(IPCC!$E$76*Nitrous)/1000,0)</f>
        <v>0</v>
      </c>
      <c r="AN22" s="2401">
        <f>(MIN(C42,F42)*time_tot+ABS(F42-C42)*IF(F42&gt;C42, time_cap + time*(VLOOKUP(G42, list!$J$48:$K$50,2,)),time*(1-(VLOOKUP(G42, list!$J$48:$K$50,2,)))))*IF('3.Cropland'!K135="Straw burnt", rice!I22*IPCC!$B$87*(IPCC!$E$76*Nitrous)/1000,0)</f>
        <v>0</v>
      </c>
      <c r="AO22" s="2401">
        <f>-$L22*((MIN($C42,D42)*MIN(20,time))+IF(E42="Immediate",IF(D42&gt;$C42,D42*MIN(20,time),0),IF($C42&gt;D42,($C42-D42)*IF(time&gt;20,IF(E42="Linear",time-((time-20)^2)/(2*time),(0.215*time)-(time/4.6)*(EXP(-92.1/time)-0.01)),time*(1-VLOOKUP(E42, list!$J$48:$K$50,2,))),(D42-$C42)*IF(time&gt;time+20,20,IF(time&lt;20,(time*VLOOKUP(E42, list!$J$48:$K$50,2,))+(time-time),((MIN(20,time)*VLOOKUP(E42, list!$J$48:$K$50,2,))+(time-MIN(20,time))-IF(E42="Exponential",time-20+0.217*time*(EXP(4.606*(20-time)/time)-1),((time-20)^2)*(0.5/time))))))))</f>
        <v>0</v>
      </c>
      <c r="AP22" s="2401">
        <f>-$L22*((MIN($C42,F42)*MIN(20,time))+IF(G42="Immediate",IF(F42&gt;$C42,F42*MIN(20,time),0),IF($C42&gt;F42,($C42-F42)*IF(time&gt;20,IF(G42="Linear",time-((time-20)^2)/(2*time),(0.215*time)-(time/4.6)*(EXP(-92.1/time)-0.01)),time*(1-VLOOKUP(G42, list!$J$48:$K$50,2,))),(F42-$C42)*IF(time&gt;time+20,20,IF(time&lt;20,(time*VLOOKUP(G42, list!$J$48:$K$50,2,))+(time-time),((MIN(20,time)*VLOOKUP(G42, list!$J$48:$K$50,2,))+(time-MIN(20,time))-IF(G42="Exponential",time-20+0.217*time*(EXP(4.606*(20-time)/time)-1),((time-20)^2)*(0.5/time))))))))</f>
        <v>0</v>
      </c>
      <c r="AQ22" s="3232">
        <f>(MIN(I42,J42)*time+ABS(J42-I42)*IF(J42 &gt; I42, time*(VLOOKUP(K42, list!$J$48:$K$50,2,)),time*(1-(VLOOKUP(K42, list!$J$48:$K$50,2,)))))*$N22*methane/1000</f>
        <v>0</v>
      </c>
      <c r="AR22" s="2401">
        <f>(MIN(I42,L42)*time+ABS(L42-I42)*IF(L42&gt;I42, time*(VLOOKUP(M42, list!$J$48:$K$50,2,)),time*(1-(VLOOKUP(M42, list!$J$48:$K$50,2,)))))*$N22*methane/1000</f>
        <v>0</v>
      </c>
      <c r="AS22" s="2401">
        <f>(MIN(C42,D42)*time+ABS(D42-C42)*IF(D42&gt;C42,time*(VLOOKUP(E42, list!$J$48:$K$50,2,)),time*(1-(VLOOKUP(E42, list!$J$48:$K$50,2,)))))*IF('3.Cropland'!K135="Straw burnt", rice!I22*IPCC!$B$87*(IPCC!$D$76*methane)/1000,0)</f>
        <v>0</v>
      </c>
      <c r="AT22" s="2401">
        <f>(MIN(C42,F42)*time+ABS(F42-C42)*IF(F42&gt;C42,  time*(VLOOKUP(G42, list!$J$48:$K$50,2,)),time*(1-(VLOOKUP(G42, list!$J$48:$K$50,2,)))))*IF('3.Cropland'!K135="Straw burnt", rice!I22*IPCC!$B$87*(IPCC!$D$76*methane)/1000,0)</f>
        <v>0</v>
      </c>
      <c r="AU22" s="2401">
        <f>(MIN(C42,D42)*time+ABS(D42-C42)*IF(D42&gt;C42,time*(VLOOKUP(E42, list!$J$48:$K$50,2,)),time*(1-(VLOOKUP(E42, list!$J$48:$K$50,2,)))))*IF('3.Cropland'!K135="Straw burnt", rice!I22*IPCC!$B$87*(IPCC!$E$76*Nitrous)/1000,0)</f>
        <v>0</v>
      </c>
      <c r="AV22" s="2402">
        <f>(MIN(C42,F42)*time+ABS(F42-C42)*IF(F42&gt;C42,  time*(VLOOKUP(G42, list!$J$48:$K$50,2,)),time*(1-(VLOOKUP(G42, list!$J$48:$K$50,2,)))))*IF('3.Cropland'!K135="Straw burnt", rice!I22*IPCC!$B$87*(IPCC!$E$76*Nitrous)/1000,0)</f>
        <v>0</v>
      </c>
    </row>
    <row r="23" spans="2:48" x14ac:dyDescent="0.2">
      <c r="B23" s="682">
        <f>'3.Cropland'!C136</f>
        <v>0</v>
      </c>
      <c r="C23" s="3375"/>
      <c r="D23" s="682">
        <f>IF('3.Cropland'!$AS136="", '3.Cropland'!$AR136, '3.Cropland'!AS136)</f>
        <v>123</v>
      </c>
      <c r="E23" s="682" t="str">
        <f>'3.Cropland'!$G136</f>
        <v>Please select</v>
      </c>
      <c r="F23" s="682" t="str">
        <f>'3.Cropland'!$I136</f>
        <v>Please select</v>
      </c>
      <c r="G23" s="682" t="str">
        <f>'3.Cropland'!$K136</f>
        <v>Please select</v>
      </c>
      <c r="H23" s="3659">
        <f>IF('3.Cropland'!M136="", VLOOKUP(continent,rice!$AC$3:$AD$18,2,FALSE), '3.Cropland'!M136)</f>
        <v>6.3765999999999998</v>
      </c>
      <c r="I23" s="3659">
        <f>IF('3.Cropland'!$BI136="", '3.Cropland'!$BH136, '3.Cropland'!$BI136)</f>
        <v>0</v>
      </c>
      <c r="J23" s="2829">
        <f>IF('3.Cropland'!$AU136="", '3.Cropland'!$AT136, '3.Cropland'!$AU136)</f>
        <v>0</v>
      </c>
      <c r="K23" s="2829">
        <f>IF('3.Cropland'!$AW136="", '3.Cropland'!$AV136, '3.Cropland'!$AW136)</f>
        <v>0</v>
      </c>
      <c r="L23" s="2825">
        <f t="shared" si="1"/>
        <v>0</v>
      </c>
      <c r="M23" s="2829">
        <f>IF('3.Cropland'!$BG136="", '3.Cropland'!BF136, '3.Cropland'!BG136)</f>
        <v>0</v>
      </c>
      <c r="N23" s="2830">
        <f t="shared" si="0"/>
        <v>0</v>
      </c>
      <c r="O23" s="2829">
        <f>IF('3.Cropland'!$K136="Straw burnt", rice!$I23*IPCC!$B$87*(IPCC!$D$76*methane)/1000,0)</f>
        <v>0</v>
      </c>
      <c r="P23" s="2404">
        <f>IF('3.Cropland'!$K136="Straw burnt", rice!$I23*IPCC!$B$87*(IPCC!$E$76*Nitrous)/1000,0)</f>
        <v>0</v>
      </c>
      <c r="Q23" s="2405">
        <f>'3.Cropland'!M136</f>
        <v>0</v>
      </c>
      <c r="R23" s="3459"/>
      <c r="S23" t="s">
        <v>5277</v>
      </c>
      <c r="T23">
        <f>IPCC!$C$21</f>
        <v>2.46</v>
      </c>
      <c r="AF23" t="s">
        <v>1351</v>
      </c>
      <c r="AG23">
        <v>5.1532999999999998</v>
      </c>
      <c r="AK23" s="2840">
        <f>(MIN(C43,D43)*time_tot+ABS(D43-C43)*IF(D43&gt;C43,time_cap+time*(VLOOKUP(E43, list!$J$48:$K$50,2,)),time*(1-(VLOOKUP(E43, list!$J$48:$K$50,2,)))))*IF('3.Cropland'!K136="Straw burnt", rice!I23*IPCC!$B$87*(IPCC!$D$76*methane)/1000,0)</f>
        <v>0</v>
      </c>
      <c r="AL23" s="3309">
        <f>(MIN(C43,F43)*time_tot+ABS(F43-C43)*IF(F43&gt;C43, time_cap + time*(VLOOKUP(G43, list!$J$48:$K$50,2,)),time*(1-(VLOOKUP(G43, list!$J$48:$K$50,2,)))))*IF('3.Cropland'!K136="Straw burnt", rice!I23*IPCC!$B$87*(IPCC!$D$76*methane)/1000,0)</f>
        <v>0</v>
      </c>
      <c r="AM23" s="2404">
        <f>(MIN(C43,D43)*time_tot+ABS(D43-C43)*IF(D43&gt;C43,time_cap+time*(VLOOKUP(E43, list!$J$48:$K$50,2,)),time*(1-(VLOOKUP(E43, list!$J$48:$K$50,2,)))))*IF('3.Cropland'!K136="Straw burnt", rice!I23*IPCC!$B$87*(IPCC!$E$76*Nitrous)/1000,0)</f>
        <v>0</v>
      </c>
      <c r="AN23" s="2404">
        <f>(MIN(C43,F43)*time_tot+ABS(F43-C43)*IF(F43&gt;C43, time_cap + time*(VLOOKUP(G43, list!$J$48:$K$50,2,)),time*(1-(VLOOKUP(G43, list!$J$48:$K$50,2,)))))*IF('3.Cropland'!K136="Straw burnt", rice!I23*IPCC!$B$87*(IPCC!$E$76*Nitrous)/1000,0)</f>
        <v>0</v>
      </c>
      <c r="AO23" s="2404">
        <f>-$L23*((MIN($C43,D43)*MIN(20,time))+IF(E43="Immediate",IF(D43&gt;$C43,D43*MIN(20,time),0),IF($C43&gt;D43,($C43-D43)*IF(time&gt;20,IF(E43="Linear",time-((time-20)^2)/(2*time),(0.215*time)-(time/4.6)*(EXP(-92.1/time)-0.01)),time*(1-VLOOKUP(E43, list!$J$48:$K$50,2,))),(D43-$C43)*IF(time&gt;time+20,20,IF(time&lt;20,(time*VLOOKUP(E43, list!$J$48:$K$50,2,))+(time-time),((MIN(20,time)*VLOOKUP(E43, list!$J$48:$K$50,2,))+(time-MIN(20,time))-IF(E43="Exponential",time-20+0.217*time*(EXP(4.606*(20-time)/time)-1),((time-20)^2)*(0.5/time))))))))</f>
        <v>0</v>
      </c>
      <c r="AP23" s="2404">
        <f>-$L23*((MIN($C43,F43)*MIN(20,time))+IF(G43="Immediate",IF(F43&gt;$C43,F43*MIN(20,time),0),IF($C43&gt;F43,($C43-F43)*IF(time&gt;20,IF(G43="Linear",time-((time-20)^2)/(2*time),(0.215*time)-(time/4.6)*(EXP(-92.1/time)-0.01)),time*(1-VLOOKUP(G43, list!$J$48:$K$50,2,))),(F43-$C43)*IF(time&gt;time+20,20,IF(time&lt;20,(time*VLOOKUP(G43, list!$J$48:$K$50,2,))+(time-time),((MIN(20,time)*VLOOKUP(G43, list!$J$48:$K$50,2,))+(time-MIN(20,time))-IF(G43="Exponential",time-20+0.217*time*(EXP(4.606*(20-time)/time)-1),((time-20)^2)*(0.5/time))))))))</f>
        <v>0</v>
      </c>
      <c r="AQ23" s="3309">
        <f>(MIN(I43,J43)*time+ABS(J43-I43)*IF(J43 &gt; I43, time*(VLOOKUP(K43, list!$J$48:$K$50,2,)),time*(1-(VLOOKUP(K43, list!$J$48:$K$50,2,)))))*$N23*methane/1000</f>
        <v>0</v>
      </c>
      <c r="AR23" s="2404">
        <f>(MIN(I43,L43)*time+ABS(L43-I43)*IF(L43&gt;I43, time*(VLOOKUP(M43, list!$J$48:$K$50,2,)),time*(1-(VLOOKUP(M43, list!$J$48:$K$50,2,)))))*$N23*methane/1000</f>
        <v>0</v>
      </c>
      <c r="AS23" s="2404">
        <f>(MIN(C43,D43)*time+ABS(D43-C43)*IF(D43&gt;C43,time*(VLOOKUP(E43, list!$J$48:$K$50,2,)),time*(1-(VLOOKUP(E43, list!$J$48:$K$50,2,)))))*IF('3.Cropland'!K136="Straw burnt", rice!I23*IPCC!$B$87*(IPCC!$D$76*methane)/1000,0)</f>
        <v>0</v>
      </c>
      <c r="AT23" s="2404">
        <f>(MIN(C43,F43)*time+ABS(F43-C43)*IF(F43&gt;C43,  time*(VLOOKUP(G43, list!$J$48:$K$50,2,)),time*(1-(VLOOKUP(G43, list!$J$48:$K$50,2,)))))*IF('3.Cropland'!K136="Straw burnt", rice!I23*IPCC!$B$87*(IPCC!$D$76*methane)/1000,0)</f>
        <v>0</v>
      </c>
      <c r="AU23" s="2404">
        <f>(MIN(C43,D43)*time+ABS(D43-C43)*IF(D43&gt;C43,time*(VLOOKUP(E43, list!$J$48:$K$50,2,)),time*(1-(VLOOKUP(E43, list!$J$48:$K$50,2,)))))*IF('3.Cropland'!K136="Straw burnt", rice!I23*IPCC!$B$87*(IPCC!$E$76*Nitrous)/1000,0)</f>
        <v>0</v>
      </c>
      <c r="AV23" s="2405">
        <f>(MIN(C43,F43)*time+ABS(F43-C43)*IF(F43&gt;C43,  time*(VLOOKUP(G43, list!$J$48:$K$50,2,)),time*(1-(VLOOKUP(G43, list!$J$48:$K$50,2,)))))*IF('3.Cropland'!K136="Straw burnt", rice!I23*IPCC!$B$87*(IPCC!$E$76*Nitrous)/1000,0)</f>
        <v>0</v>
      </c>
    </row>
    <row r="24" spans="2:48" x14ac:dyDescent="0.2">
      <c r="AF24" t="s">
        <v>1346</v>
      </c>
      <c r="AG24">
        <v>6.6936999999999998</v>
      </c>
    </row>
    <row r="26" spans="2:48" ht="17" x14ac:dyDescent="0.25">
      <c r="B26" s="3334" t="s">
        <v>766</v>
      </c>
      <c r="C26" s="383"/>
      <c r="D26" s="383"/>
      <c r="E26" s="383"/>
      <c r="F26" s="383"/>
      <c r="G26" s="383"/>
      <c r="H26" s="383"/>
      <c r="I26" s="383"/>
      <c r="J26" s="383"/>
      <c r="K26" s="383"/>
      <c r="L26" s="383"/>
      <c r="M26" s="383"/>
      <c r="N26" s="383"/>
      <c r="O26" s="383"/>
      <c r="P26" s="383"/>
      <c r="Q26" s="383"/>
      <c r="R26" s="383"/>
      <c r="S26" s="383"/>
      <c r="T26" s="383"/>
      <c r="U26" s="383"/>
      <c r="V26" s="383"/>
      <c r="Z26" s="66" t="s">
        <v>605</v>
      </c>
      <c r="AA26" s="384"/>
      <c r="AB26" s="385"/>
      <c r="AK26" s="3318" t="s">
        <v>767</v>
      </c>
      <c r="AL26" s="3319"/>
      <c r="AM26" s="3319"/>
      <c r="AN26" s="921" t="s">
        <v>768</v>
      </c>
      <c r="AO26" s="921"/>
    </row>
    <row r="27" spans="2:48" ht="17" x14ac:dyDescent="0.25">
      <c r="B27" s="284"/>
      <c r="C27" s="3621" t="s">
        <v>323</v>
      </c>
      <c r="D27" s="3335" t="s">
        <v>323</v>
      </c>
      <c r="E27" s="3175"/>
      <c r="F27" s="3621" t="s">
        <v>323</v>
      </c>
      <c r="G27" s="3175"/>
      <c r="H27" s="3175"/>
      <c r="I27" s="3336" t="s">
        <v>769</v>
      </c>
      <c r="J27" s="3337" t="s">
        <v>769</v>
      </c>
      <c r="K27" s="3338"/>
      <c r="L27" s="3337" t="s">
        <v>770</v>
      </c>
      <c r="M27" s="3338"/>
      <c r="N27" s="3339" t="s">
        <v>771</v>
      </c>
      <c r="O27" s="3340"/>
      <c r="P27" s="4550" t="s">
        <v>772</v>
      </c>
      <c r="Q27" s="4550"/>
      <c r="R27" s="3341" t="s">
        <v>773</v>
      </c>
      <c r="S27" s="3342"/>
      <c r="T27" s="3343" t="s">
        <v>218</v>
      </c>
      <c r="U27" s="3343"/>
      <c r="V27" s="4283" t="s">
        <v>618</v>
      </c>
      <c r="Z27" s="66"/>
      <c r="AA27" s="384"/>
      <c r="AB27" s="385"/>
      <c r="AK27" s="3644"/>
      <c r="AL27" s="3644"/>
      <c r="AM27" s="3644"/>
      <c r="AN27" s="3644"/>
      <c r="AO27" s="3644"/>
    </row>
    <row r="28" spans="2:48" x14ac:dyDescent="0.2">
      <c r="B28" s="3268"/>
      <c r="C28" s="3263" t="s">
        <v>615</v>
      </c>
      <c r="D28" s="3344" t="s">
        <v>616</v>
      </c>
      <c r="E28" s="3345"/>
      <c r="F28" s="3346" t="s">
        <v>617</v>
      </c>
      <c r="G28" s="3182"/>
      <c r="H28" s="3182"/>
      <c r="I28" s="3263" t="s">
        <v>615</v>
      </c>
      <c r="J28" s="3344" t="s">
        <v>616</v>
      </c>
      <c r="K28" s="3345"/>
      <c r="L28" s="3346" t="s">
        <v>617</v>
      </c>
      <c r="M28" s="3182"/>
      <c r="N28" s="3204" t="s">
        <v>179</v>
      </c>
      <c r="O28" s="2838" t="s">
        <v>180</v>
      </c>
      <c r="P28" s="3204" t="s">
        <v>179</v>
      </c>
      <c r="Q28" s="2838" t="s">
        <v>180</v>
      </c>
      <c r="R28" s="3204" t="s">
        <v>179</v>
      </c>
      <c r="S28" s="2838" t="s">
        <v>180</v>
      </c>
      <c r="T28" s="3204" t="s">
        <v>179</v>
      </c>
      <c r="U28" s="2838" t="s">
        <v>180</v>
      </c>
      <c r="V28" s="4283" t="s">
        <v>774</v>
      </c>
      <c r="Z28" s="3623" t="s">
        <v>179</v>
      </c>
      <c r="AA28" s="3523" t="s">
        <v>180</v>
      </c>
      <c r="AB28" s="3320" t="s">
        <v>618</v>
      </c>
      <c r="AK28" s="1047" t="str">
        <f>C28</f>
        <v xml:space="preserve">Start </v>
      </c>
      <c r="AL28" s="1047" t="s">
        <v>224</v>
      </c>
      <c r="AM28" s="1047" t="s">
        <v>224</v>
      </c>
      <c r="AN28" s="1047" t="s">
        <v>224</v>
      </c>
      <c r="AO28" s="1047" t="s">
        <v>224</v>
      </c>
    </row>
    <row r="29" spans="2:48" x14ac:dyDescent="0.2">
      <c r="B29" s="3268"/>
      <c r="C29" s="3263"/>
      <c r="D29" s="3183" t="s">
        <v>224</v>
      </c>
      <c r="E29" s="3184" t="s">
        <v>225</v>
      </c>
      <c r="F29" s="3185" t="s">
        <v>224</v>
      </c>
      <c r="G29" s="3185" t="s">
        <v>225</v>
      </c>
      <c r="H29" s="3185"/>
      <c r="I29" s="3263" t="s">
        <v>775</v>
      </c>
      <c r="J29" s="3183" t="s">
        <v>224</v>
      </c>
      <c r="K29" s="3184" t="s">
        <v>225</v>
      </c>
      <c r="L29" s="3185" t="s">
        <v>224</v>
      </c>
      <c r="M29" s="3185" t="s">
        <v>225</v>
      </c>
      <c r="N29" s="3204" t="s">
        <v>198</v>
      </c>
      <c r="O29" s="2838" t="s">
        <v>198</v>
      </c>
      <c r="P29" s="3204" t="s">
        <v>197</v>
      </c>
      <c r="Q29" s="2838" t="s">
        <v>197</v>
      </c>
      <c r="R29" s="3204" t="s">
        <v>776</v>
      </c>
      <c r="S29" s="2838" t="s">
        <v>776</v>
      </c>
      <c r="T29" s="3204" t="s">
        <v>776</v>
      </c>
      <c r="U29" s="2838" t="s">
        <v>776</v>
      </c>
      <c r="V29" s="3347"/>
      <c r="Z29" s="3623" t="s">
        <v>777</v>
      </c>
      <c r="AA29" s="3523" t="s">
        <v>777</v>
      </c>
      <c r="AB29" s="3320"/>
      <c r="AK29" s="1047"/>
      <c r="AL29" s="1047" t="s">
        <v>759</v>
      </c>
      <c r="AM29" s="1047" t="s">
        <v>432</v>
      </c>
      <c r="AN29" s="1047" t="s">
        <v>759</v>
      </c>
      <c r="AO29" s="1047" t="s">
        <v>432</v>
      </c>
    </row>
    <row r="30" spans="2:48" x14ac:dyDescent="0.2">
      <c r="B30" s="3456" t="s">
        <v>439</v>
      </c>
      <c r="C30" s="3298">
        <v>0</v>
      </c>
      <c r="D30" s="3298">
        <f>Matrix!L7</f>
        <v>0</v>
      </c>
      <c r="E30" s="3298" t="s">
        <v>625</v>
      </c>
      <c r="F30" s="3298">
        <f>Matrix!L24</f>
        <v>0</v>
      </c>
      <c r="G30" s="3298" t="s">
        <v>625</v>
      </c>
      <c r="H30" s="3298"/>
      <c r="I30" s="3298">
        <f>$C30</f>
        <v>0</v>
      </c>
      <c r="J30" s="3298">
        <f>$D30</f>
        <v>0</v>
      </c>
      <c r="K30" s="3298" t="s">
        <v>625</v>
      </c>
      <c r="L30" s="3298">
        <f t="shared" ref="L30:L43" si="2">F30</f>
        <v>0</v>
      </c>
      <c r="M30" s="3298" t="s">
        <v>625</v>
      </c>
      <c r="N30" s="3298">
        <f>IF(ABS($M6*((MIN($C30,D30)*MIN(20,time_tot))+IF(E30="Immediate",IF(D30 &gt; $C30, 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+(time_tot-MIN(20,time))-IF(E30="Exponential",time_tot-20+0.217*time*(EXP(4.606*(20-time_tot)/time)-1),((time_tot-20)^2)*(0.5/time)))))))))&gt;=ABS(M6*20*MAX(C30,D30)), M6*20*MAX(C30,D30), $M6*((MIN($C30,D30)*MIN(20,time_tot))+IF(E30="Immediate",IF(D30 &gt; $C30, 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f>
        <v>0</v>
      </c>
      <c r="O30" s="3298">
        <f>IF(ABS($N6*((MIN($C30,F30)*MIN(20,time_tot))+IF(K30="Immediate",IF(F30 &gt; $C30, F30*MIN(20,time_tot),0),IF($C30 &gt; F30,($C30-F30)*IF(time&gt;20,IF(K30="Linear",time-((time-20)^2)/(2*time),(0.215*time)-(time/4.6)*(EXP(-92.1/time)-0.01)),time*(1-VLOOKUP(K30, list!$J$48:$K$50, 2,))), (F30-$C30)*IF(time_tot&gt;time+20,20,IF(time_tot&lt;20,(time*VLOOKUP(K30, list!$J$48:$K$50, 2,))+(time_tot-time),((MIN(20,time)*VLOOKUP(K30, list!$J$48:$K$50, 2,)) +(time_tot-MIN(20,time))-IF(K30="Exponential",time_tot-20+0.217*time*(EXP(4.606*(20-time_tot)/time)-1),((time_tot-20)^2)*(0.5/time)))))))))&gt;=ABS(N6*20*MAX(C30,F30)), N6*20*MAX(C30,F30), $N6*((MIN($C30,F30)*MIN(20,time_tot))+IF(K30="Immediate",IF(F30 &gt; $C30, F30*MIN(20,time_tot),0),IF($C30 &gt; F30,($C30-F30)*IF(time&gt;20,IF(K30="Linear",time-((time-20)^2)/(2*time),(0.215*time)-(time/4.6)*(EXP(-92.1/time)-0.01)),time*(1-VLOOKUP(K30, list!$J$48:$K$50, 2,))), (F30-$C30)*IF(time_tot&gt;time+20,20,IF(time_tot&lt;20,(time*VLOOKUP(K30, list!$J$48:$K$50, 2,))+(time_tot-time),((MIN(20,time)*VLOOKUP(K30, list!$J$48:$K$50, 2,)) +(time_tot-MIN(20,time))-IF(K30="Exponential",time_tot-20+0.217*time*(EXP(4.606*(20-time_tot)/time)-1),((time_tot-20)^2)*(0.5/time)))))))))</f>
        <v>0</v>
      </c>
      <c r="P30" s="3304">
        <f>(MIN(I30,J30)*time_tot+ABS(J30-I30)*IF(J30 &gt; I30, time_cap+time*(VLOOKUP(K30, list!$J$48:$K$50,2,)),time*(1-(VLOOKUP(K30, list!$J$48:$K$50,2,)))))*$P6*methane/1000</f>
        <v>0</v>
      </c>
      <c r="Q30" s="3304">
        <f>(MIN(I30,L30)*time_tot+ABS(L30-I30)*IF(L30&gt;I30, time_cap+time*(VLOOKUP(M30, list!$J$48:$K$50,2,)),time*(1-(VLOOKUP(M30, list!$J$48:$K$50,2,)))))*$P6*methane/1000</f>
        <v>0</v>
      </c>
      <c r="R30" s="3349">
        <f>(MIN(C30,D30)*time_tot+ABS(D30-C30)*IF(D30&gt;C30,time_cap+time*(VLOOKUP(E30, list!$J$48:$K$50,2,)),time*(1-(VLOOKUP(E30, list!$J$48:$K$50,2,)))))*($Q6+R6)</f>
        <v>0</v>
      </c>
      <c r="S30" s="3349">
        <f>(MIN(C30,F30)*time_tot+ABS(F30-C30)*IF(F30&gt;C30, time_cap + time*(VLOOKUP(G30, list!$J$48:$K$50,2,)),time*(1-(VLOOKUP(G30, list!$J$48:$K$50,2,)))))*($Q6+R6)</f>
        <v>0</v>
      </c>
      <c r="T30" s="3349">
        <f t="shared" ref="T30:U33" si="3">N30+P30+R30</f>
        <v>0</v>
      </c>
      <c r="U30" s="3304">
        <f t="shared" si="3"/>
        <v>0</v>
      </c>
      <c r="V30" s="3304">
        <f>IF(AND(OR('3.Cropland'!G116="Please select",'3.Cropland'!I116="Please select", '3.Cropland'!K116="Please select" ), OR('3.Cropland'!T116&lt;&gt;0,'3.Cropland'!R116&lt;&gt;0,'3.Cropland'!Q116&lt;&gt;0)), "MISSING DATA", U30-T30)</f>
        <v>0</v>
      </c>
      <c r="Z30" s="3321">
        <f>$S6*(time*((ABS(D30-C30)*(IF(C30&lt;=D30,VLOOKUP(E30, list!$J$48:$K$50,2,),1-VLOOKUP(E30, list!$J$48:$K$50,2,))))+MIN(D30,C30))+(D30* time_cap))</f>
        <v>0</v>
      </c>
      <c r="AA30" s="3321">
        <f>$S6*(time*((ABS(F30-C30)*(IF(C30&lt;=F30,VLOOKUP(G30, list!$J$48:$K$50,2,),1-VLOOKUP(G30, list!$J$48:$K$50,2,))))+MIN(F30,C30))+(F30* time_cap))</f>
        <v>0</v>
      </c>
      <c r="AB30" s="3321">
        <f>AA30-Z30</f>
        <v>0</v>
      </c>
      <c r="AJ30" s="3456" t="s">
        <v>439</v>
      </c>
      <c r="AK30" s="3317">
        <f>C30*IF(G6="Straw burnt",1,0)</f>
        <v>0</v>
      </c>
      <c r="AL30" s="3630">
        <f>D30*IF(G6="Straw burnt",1,0)</f>
        <v>0</v>
      </c>
      <c r="AM30" s="3630">
        <f>F30*IF(G6="Straw burnt",1,0)</f>
        <v>0</v>
      </c>
      <c r="AN30" s="3630">
        <f>IF(R30&gt;0, R30/$Q6,0)</f>
        <v>0</v>
      </c>
      <c r="AO30" s="3645">
        <f t="shared" ref="AN30:AO33" si="4">IF(S30&gt;0, S30/$Q6,0)</f>
        <v>0</v>
      </c>
    </row>
    <row r="31" spans="2:48" x14ac:dyDescent="0.2">
      <c r="B31" s="3297" t="s">
        <v>440</v>
      </c>
      <c r="C31" s="3299">
        <f>MAX(Matrix!I10,Matrix!I27)</f>
        <v>0</v>
      </c>
      <c r="D31" s="3299">
        <f>C31-Matrix!I10</f>
        <v>0</v>
      </c>
      <c r="E31" s="3299" t="s">
        <v>625</v>
      </c>
      <c r="F31" s="3299">
        <f>C31-Matrix!I27</f>
        <v>0</v>
      </c>
      <c r="G31" s="3299" t="s">
        <v>625</v>
      </c>
      <c r="H31" s="3299"/>
      <c r="I31" s="3299">
        <f t="shared" ref="I31:I43" si="5">$C31</f>
        <v>0</v>
      </c>
      <c r="J31" s="3299">
        <f t="shared" ref="J31:J43" si="6">$D31</f>
        <v>0</v>
      </c>
      <c r="K31" s="3299" t="s">
        <v>625</v>
      </c>
      <c r="L31" s="3299">
        <f t="shared" si="2"/>
        <v>0</v>
      </c>
      <c r="M31" s="3299" t="s">
        <v>625</v>
      </c>
      <c r="N31" s="3299">
        <f>IF(ABS($M7*((MIN($C31,D31)*MIN(20,time_tot))+IF(E31="Immediate",IF(D31 &gt; $C31, 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+(time_tot-MIN(20,time))-IF(E31="Exponential",time_tot-20+0.217*time*(EXP(4.606*(20-time_tot)/time)-1),((time_tot-20)^2)*(0.5/time)))))))))&gt;=ABS(M7*20*MAX(C31,D31)), M7*20*MAX(C31,D31), $M7*((MIN($C31,D31)*MIN(20,time_tot))+IF(E31="Immediate",IF(D31 &gt; $C31, 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f>
        <v>0</v>
      </c>
      <c r="O31" s="3299">
        <f>IF(ABS($N7*((MIN($C31,F31)*MIN(20,time_tot))+IF(K31="Immediate",IF(F31 &gt; $C31, F31*MIN(20,time_tot),0),IF($C31 &gt; F31,($C31-F31)*IF(time&gt;20,IF(K31="Linear",time-((time-20)^2)/(2*time),(0.215*time)-(time/4.6)*(EXP(-92.1/time)-0.01)),time*(1-VLOOKUP(K31, list!$J$48:$K$50, 2,))), (F31-$C31)*IF(time_tot&gt;time+20,20,IF(time_tot&lt;20,(time*VLOOKUP(K31, list!$J$48:$K$50, 2,))+(time_tot-time),((MIN(20,time)*VLOOKUP(K31, list!$J$48:$K$50, 2,)) +(time_tot-MIN(20,time))-IF(K31="Exponential",time_tot-20+0.217*time*(EXP(4.606*(20-time_tot)/time)-1),((time_tot-20)^2)*(0.5/time)))))))))&gt;=ABS(N7*20*MAX(C31,F31)), N7*20*MAX(C31,F31), $N7*((MIN($C31,F31)*MIN(20,time_tot))+IF(K31="Immediate",IF(F31 &gt; $C31, F31*MIN(20,time_tot),0),IF($C31 &gt; F31,($C31-F31)*IF(time&gt;20,IF(K31="Linear",time-((time-20)^2)/(2*time),(0.215*time)-(time/4.6)*(EXP(-92.1/time)-0.01)),time*(1-VLOOKUP(K31, list!$J$48:$K$50, 2,))), (F31-$C31)*IF(time_tot&gt;time+20,20,IF(time_tot&lt;20,(time*VLOOKUP(K31, list!$J$48:$K$50, 2,))+(time_tot-time),((MIN(20,time)*VLOOKUP(K31, list!$J$48:$K$50, 2,)) +(time_tot-MIN(20,time))-IF(K31="Exponential",time_tot-20+0.217*time*(EXP(4.606*(20-time_tot)/time)-1),((time_tot-20)^2)*(0.5/time)))))))))</f>
        <v>0</v>
      </c>
      <c r="P31" s="3296">
        <f>(MIN(I31,J31)*time_tot+ABS(J31-I31)*IF(J31 &gt; I31, time_cap+time*(VLOOKUP(K31, list!$J$48:$K$50,2,)),time*(1-(VLOOKUP(K31, list!$J$48:$K$50,2,)))))*$P7*methane/1000</f>
        <v>0</v>
      </c>
      <c r="Q31" s="3296">
        <f>(MIN(I31,L31)*time_tot+ABS(L31-I31)*IF(L31&gt;I31, time_cap+time*(VLOOKUP(M31, list!$J$48:$K$50,2,)),time*(1-(VLOOKUP(M31, list!$J$48:$K$50,2,)))))*$P7*methane/1000</f>
        <v>0</v>
      </c>
      <c r="R31" s="3296">
        <f>(MIN(C31,D31)*time_tot+ABS(D31-C31)*IF(D31&gt;C31,time_cap+time*(VLOOKUP(E31, list!$J$48:$K$50,2,)),time*(1-(VLOOKUP(E31, list!$J$48:$K$50,2,)))))*($Q7+R7)</f>
        <v>0</v>
      </c>
      <c r="S31" s="3296">
        <f>(MIN(C31,F31)*time_tot+ABS(F31-C31)*IF(F31&gt;C31, time_cap + time*(VLOOKUP(G31, list!$J$48:$K$50,2,)),time*(1-(VLOOKUP(G31, list!$J$48:$K$50,2,)))))*($Q7+R7)</f>
        <v>0</v>
      </c>
      <c r="T31" s="3296">
        <f t="shared" si="3"/>
        <v>0</v>
      </c>
      <c r="U31" s="3296">
        <f t="shared" si="3"/>
        <v>0</v>
      </c>
      <c r="V31" s="3296">
        <f>IF(AND(OR('3.Cropland'!G117="Please select",'3.Cropland'!I117="Please select", '3.Cropland'!K117="Please select" ), OR('3.Cropland'!T117&lt;&gt;0,'3.Cropland'!R117&lt;&gt;0,'3.Cropland'!Q117&lt;&gt;0)), "MISSING DATA", U31-T31)</f>
        <v>0</v>
      </c>
      <c r="Z31" s="3322">
        <f>$S7*(time*((ABS(D31-C31)*(IF(C31&lt;=D31,VLOOKUP(E31, list!$J$48:$K$50,2,),1-VLOOKUP(E31, list!$J$48:$K$50,2,))))+MIN(D31,C31))+(D31* time_cap))</f>
        <v>0</v>
      </c>
      <c r="AA31" s="3322">
        <f>$S7*(time*((ABS(F31-C31)*(IF(C31&lt;=F31,VLOOKUP(G31, list!$J$48:$K$50,2,),1-VLOOKUP(G31, list!$J$48:$K$50,2,))))+MIN(F31,C31))+(F31* time_cap))</f>
        <v>0</v>
      </c>
      <c r="AB31" s="3322">
        <f>AA31-Z31</f>
        <v>0</v>
      </c>
      <c r="AJ31" s="3297" t="s">
        <v>440</v>
      </c>
      <c r="AK31" s="3306">
        <f>C31*IF(G7="Straw burnt",1,0)</f>
        <v>0</v>
      </c>
      <c r="AL31" s="3296">
        <f>D31*IF(G7="Straw burnt",1,0)</f>
        <v>0</v>
      </c>
      <c r="AM31" s="3296">
        <f>F31*IF(G7="Straw burnt",1,0)</f>
        <v>0</v>
      </c>
      <c r="AN31" s="3296">
        <f t="shared" si="4"/>
        <v>0</v>
      </c>
      <c r="AO31" s="3307">
        <f t="shared" si="4"/>
        <v>0</v>
      </c>
    </row>
    <row r="32" spans="2:48" x14ac:dyDescent="0.2">
      <c r="B32" s="3316" t="s">
        <v>751</v>
      </c>
      <c r="C32" s="3300">
        <v>0</v>
      </c>
      <c r="D32" s="3300">
        <f>Matrix!AU16+Matrix!BG16+Matrix!CA16+Matrix!CL16+Matrix!CW16+Matrix!DH16</f>
        <v>0</v>
      </c>
      <c r="E32" s="3300" t="s">
        <v>625</v>
      </c>
      <c r="F32" s="3352">
        <f>Matrix!AU34+Matrix!BG34+Matrix!CA34+Matrix!CL34+Matrix!CW34+Matrix!DH34</f>
        <v>0</v>
      </c>
      <c r="G32" s="3300" t="s">
        <v>625</v>
      </c>
      <c r="H32" s="3300"/>
      <c r="I32" s="3300">
        <f t="shared" si="5"/>
        <v>0</v>
      </c>
      <c r="J32" s="3300">
        <f t="shared" si="6"/>
        <v>0</v>
      </c>
      <c r="K32" s="3300" t="s">
        <v>625</v>
      </c>
      <c r="L32" s="3300">
        <f t="shared" si="2"/>
        <v>0</v>
      </c>
      <c r="M32" s="3300" t="s">
        <v>625</v>
      </c>
      <c r="N32" s="3300">
        <f>IF(ABS($M8*((MIN($C32,D32)*MIN(20,time_tot))+IF(E32="Immediate",IF(D32 &gt; $C32, 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+(time_tot-MIN(20,time))-IF(E32="Exponential",time_tot-20+0.217*time*(EXP(4.606*(20-time_tot)/time)-1),((time_tot-20)^2)*(0.5/time)))))))))&gt;=ABS(M8*20*MAX(C32,D32)), M8*20*MAX(C32,D32), $M8*((MIN($C32,D32)*MIN(20,time_tot))+IF(E32="Immediate",IF(D32 &gt; $C32, 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f>
        <v>0</v>
      </c>
      <c r="O32" s="3300">
        <f>IF(ABS($N8*((MIN($C32,F32)*MIN(20,time_tot))+IF(K32="Immediate",IF(F32 &gt; $C32, F32*MIN(20,time_tot),0),IF($C32 &gt; F32,($C32-F32)*IF(time&gt;20,IF(K32="Linear",time-((time-20)^2)/(2*time),(0.215*time)-(time/4.6)*(EXP(-92.1/time)-0.01)),time*(1-VLOOKUP(K32, list!$J$48:$K$50, 2,))), (F32-$C32)*IF(time_tot&gt;time+20,20,IF(time_tot&lt;20,(time*VLOOKUP(K32, list!$J$48:$K$50, 2,))+(time_tot-time),((MIN(20,time)*VLOOKUP(K32, list!$J$48:$K$50, 2,)) +(time_tot-MIN(20,time))-IF(K32="Exponential",time_tot-20+0.217*time*(EXP(4.606*(20-time_tot)/time)-1),((time_tot-20)^2)*(0.5/time)))))))))&gt;=ABS(N8*20*MAX(C32,F32)), N8*20*MAX(C32,F32), $N8*((MIN($C32,F32)*MIN(20,time_tot))+IF(K32="Immediate",IF(F32 &gt; $C32, F32*MIN(20,time_tot),0),IF($C32 &gt; F32,($C32-F32)*IF(time&gt;20,IF(K32="Linear",time-((time-20)^2)/(2*time),(0.215*time)-(time/4.6)*(EXP(-92.1/time)-0.01)),time*(1-VLOOKUP(K32, list!$J$48:$K$50, 2,))), (F32-$C32)*IF(time_tot&gt;time+20,20,IF(time_tot&lt;20,(time*VLOOKUP(K32, list!$J$48:$K$50, 2,))+(time_tot-time),((MIN(20,time)*VLOOKUP(K32, list!$J$48:$K$50, 2,)) +(time_tot-MIN(20,time))-IF(K32="Exponential",time_tot-20+0.217*time*(EXP(4.606*(20-time_tot)/time)-1),((time_tot-20)^2)*(0.5/time)))))))))</f>
        <v>0</v>
      </c>
      <c r="P32" s="3638">
        <f>(MIN(I32,J32)*time_tot+ABS(J32-I32)*IF(J32 &gt; I32, time_cap+time*(VLOOKUP(K32, list!$J$48:$K$50,2,)),time*(1-(VLOOKUP(K32, list!$J$48:$K$50,2,)))))*$P8*methane/1000</f>
        <v>0</v>
      </c>
      <c r="Q32" s="3638">
        <f>(MIN(I32,L32)*time_tot+ABS(L32-I32)*IF(L32&gt;I32, time_cap+time*(VLOOKUP(M32, list!$J$48:$K$50,2,)),time*(1-(VLOOKUP(M32, list!$J$48:$K$50,2,)))))*$P8*methane/1000</f>
        <v>0</v>
      </c>
      <c r="R32" s="3638">
        <f>(MIN(C32,D32)*time_tot+ABS(D32-C32)*IF(D32&gt;C32,time_cap+time*(VLOOKUP(E32, list!$J$48:$K$50,2,)),time*(1-(VLOOKUP(E32, list!$J$48:$K$50,2,)))))*($Q8+R8)</f>
        <v>0</v>
      </c>
      <c r="S32" s="3638">
        <f>(MIN(C32,F32)*time_tot+ABS(F32-C32)*IF(F32&gt;C32, time_cap + time*(VLOOKUP(G32, list!$J$48:$K$50,2,)),time*(1-(VLOOKUP(G32, list!$J$48:$K$50,2,)))))*($Q8+R8)</f>
        <v>0</v>
      </c>
      <c r="T32" s="3638">
        <f t="shared" si="3"/>
        <v>0</v>
      </c>
      <c r="U32" s="3638">
        <f t="shared" si="3"/>
        <v>0</v>
      </c>
      <c r="V32" s="3638">
        <f>IF(AND(OR('3.Cropland'!G118="Please select",'3.Cropland'!I118="Please select", '3.Cropland'!K118="Please select" ), OR('3.Cropland'!T118&lt;&gt;0,'3.Cropland'!R118&lt;&gt;0,'3.Cropland'!Q118&lt;&gt;0)), "MISSING DATA", U32-T32)</f>
        <v>0</v>
      </c>
      <c r="Z32" s="3323">
        <f>$S8*(time*((ABS(D32-C32)*(IF(C32&lt;=D32,VLOOKUP(E32, list!$J$48:$K$50,2,),1-VLOOKUP(E32, list!$J$48:$K$50,2,))))+MIN(D32,C32))+(D32* time_cap))</f>
        <v>0</v>
      </c>
      <c r="AA32" s="3323">
        <f>$S8*(time*((ABS(F32-C32)*(IF(C32&lt;=F32,VLOOKUP(G32, list!$J$48:$K$50,2,),1-VLOOKUP(G32, list!$J$48:$K$50,2,))))+MIN(F32,C32))+(F32* time_cap))</f>
        <v>0</v>
      </c>
      <c r="AB32" s="3323">
        <f>AA32-Z32</f>
        <v>0</v>
      </c>
      <c r="AJ32" s="3267" t="s">
        <v>751</v>
      </c>
      <c r="AK32" s="3637">
        <f>C32*IF(G8="Straw burnt",1,0)</f>
        <v>0</v>
      </c>
      <c r="AL32" s="3638">
        <f>D32*IF(G8="Straw burnt",1,0)</f>
        <v>0</v>
      </c>
      <c r="AM32" s="3638">
        <f>F32*IF(G8="Straw burnt",1,0)</f>
        <v>0</v>
      </c>
      <c r="AN32" s="3638">
        <f t="shared" si="4"/>
        <v>0</v>
      </c>
      <c r="AO32" s="3639">
        <f t="shared" si="4"/>
        <v>0</v>
      </c>
    </row>
    <row r="33" spans="2:41" x14ac:dyDescent="0.2">
      <c r="B33" s="3742" t="s">
        <v>758</v>
      </c>
      <c r="C33" s="4056">
        <f>MAX(SUM(Matrix!BO16:BT16),SUM(Matrix!BO34:BT34))</f>
        <v>0</v>
      </c>
      <c r="D33" s="4056">
        <f>C33-SUM(Matrix!BO16:BT16)</f>
        <v>0</v>
      </c>
      <c r="E33" s="4056" t="s">
        <v>625</v>
      </c>
      <c r="F33" s="4056">
        <f>C33-SUM(Matrix!BO34:BT34)</f>
        <v>0</v>
      </c>
      <c r="G33" s="4056" t="s">
        <v>625</v>
      </c>
      <c r="H33" s="4056"/>
      <c r="I33" s="4056">
        <f t="shared" si="5"/>
        <v>0</v>
      </c>
      <c r="J33" s="4056">
        <f t="shared" si="6"/>
        <v>0</v>
      </c>
      <c r="K33" s="4056" t="s">
        <v>625</v>
      </c>
      <c r="L33" s="4056">
        <f t="shared" si="2"/>
        <v>0</v>
      </c>
      <c r="M33" s="4056" t="s">
        <v>625</v>
      </c>
      <c r="N33" s="4056">
        <f>IF(ABS($M9*((MIN($C33,D33)*MIN(20,time_tot))+IF(E33="Immediate",IF(D33 &gt; $C33, 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+(time_tot-MIN(20,time))-IF(E33="Exponential",time_tot-20+0.217*time*(EXP(4.606*(20-time_tot)/time)-1),((time_tot-20)^2)*(0.5/time)))))))))&gt;=ABS(M9*20*MAX(C33,D33)), M9*20*MAX(C33,D33), $M9*((MIN($C33,D33)*MIN(20,time_tot))+IF(E33="Immediate",IF(D33 &gt; $C33, 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f>
        <v>0</v>
      </c>
      <c r="O33" s="4056">
        <f>IF(ABS($N9*((MIN($C33,F33)*MIN(20,time_tot))+IF(K33="Immediate",IF(F33 &gt; $C33, F33*MIN(20,time_tot),0),IF($C33 &gt; F33,($C33-F33)*IF(time&gt;20,IF(K33="Linear",time-((time-20)^2)/(2*time),(0.215*time)-(time/4.6)*(EXP(-92.1/time)-0.01)),time*(1-VLOOKUP(K33, list!$J$48:$K$50, 2,))), (F33-$C33)*IF(time_tot&gt;time+20,20,IF(time_tot&lt;20,(time*VLOOKUP(K33, list!$J$48:$K$50, 2,))+(time_tot-time),((MIN(20,time)*VLOOKUP(K33, list!$J$48:$K$50, 2,)) +(time_tot-MIN(20,time))-IF(K33="Exponential",time_tot-20+0.217*time*(EXP(4.606*(20-time_tot)/time)-1),((time_tot-20)^2)*(0.5/time)))))))))&gt;=ABS(N9*20*MAX(C33,F33)), N9*20*MAX(C33,F33), $N9*((MIN($C33,F33)*MIN(20,time_tot))+IF(K33="Immediate",IF(F33 &gt; $C33, F33*MIN(20,time_tot),0),IF($C33 &gt; F33,($C33-F33)*IF(time&gt;20,IF(K33="Linear",time-((time-20)^2)/(2*time),(0.215*time)-(time/4.6)*(EXP(-92.1/time)-0.01)),time*(1-VLOOKUP(K33, list!$J$48:$K$50, 2,))), (F33-$C33)*IF(time_tot&gt;time+20,20,IF(time_tot&lt;20,(time*VLOOKUP(K33, list!$J$48:$K$50, 2,))+(time_tot-time),((MIN(20,time)*VLOOKUP(K33, list!$J$48:$K$50, 2,)) +(time_tot-MIN(20,time))-IF(K33="Exponential",time_tot-20+0.217*time*(EXP(4.606*(20-time_tot)/time)-1),((time_tot-20)^2)*(0.5/time)))))))))</f>
        <v>0</v>
      </c>
      <c r="P33" s="3640">
        <f>(MIN(I33,J33)*time_tot+ABS(J33-I33)*IF(J33 &gt; I33, time_cap+time*(VLOOKUP(K33, list!$J$48:$K$50,2,)),time*(1-(VLOOKUP(K33, list!$J$48:$K$50,2,)))))*$P9*methane/1000</f>
        <v>0</v>
      </c>
      <c r="Q33" s="3640">
        <f>(MIN(I33,L33)*time_tot+ABS(L33-I33)*IF(L33&gt;I33, time_cap+time*(VLOOKUP(M33, list!$J$48:$K$50,2,)),time*(1-(VLOOKUP(M33, list!$J$48:$K$50,2,)))))*$P9*methane/1000</f>
        <v>0</v>
      </c>
      <c r="R33" s="3640">
        <f>(MIN(C33,D33)*time_tot+ABS(D33-C33)*IF(D33&gt;C33,time_cap+time*(VLOOKUP(E33, list!$J$48:$K$50,2,)),time*(1-(VLOOKUP(E33, list!$J$48:$K$50,2,)))))*($Q9+R9)</f>
        <v>0</v>
      </c>
      <c r="S33" s="3640">
        <f>(MIN(C33,F33)*time_tot+ABS(F33-C33)*IF(F33&gt;C33, time_cap + time*(VLOOKUP(G33, list!$J$48:$K$50,2,)),time*(1-(VLOOKUP(G33, list!$J$48:$K$50,2,)))))*($Q9+R9)</f>
        <v>0</v>
      </c>
      <c r="T33" s="3640">
        <f t="shared" si="3"/>
        <v>0</v>
      </c>
      <c r="U33" s="3640">
        <f t="shared" si="3"/>
        <v>0</v>
      </c>
      <c r="V33" s="3640">
        <f>IF(AND(OR('3.Cropland'!G119="Please select",'3.Cropland'!I119="Please select", '3.Cropland'!K119="Please select" ), OR('3.Cropland'!T119&lt;&gt;0,'3.Cropland'!R119&lt;&gt;0,'3.Cropland'!Q119&lt;&gt;0)), "MISSING DATA", U33-T33)</f>
        <v>0</v>
      </c>
      <c r="Z33" s="3324">
        <f>$S9*(time*((ABS(D33-C33)*(IF(C33&lt;=D33,VLOOKUP(E33, list!$J$48:$K$50,2,),1-VLOOKUP(E33, list!$J$48:$K$50,2,))))+MIN(D33,C33))+(D33* time_cap))</f>
        <v>0</v>
      </c>
      <c r="AA33" s="3324">
        <f>$S9*(time*((ABS(F33-C33)*(IF(C33&lt;=F33,VLOOKUP(G33, list!$J$48:$K$50,2,),1-VLOOKUP(G33, list!$J$48:$K$50,2,))))+MIN(F33,C33))+(F33* time_cap))</f>
        <v>0</v>
      </c>
      <c r="AB33" s="3324">
        <f>AA33-Z33</f>
        <v>0</v>
      </c>
      <c r="AJ33" s="3267" t="s">
        <v>758</v>
      </c>
      <c r="AK33" s="3655">
        <f>C33*IF(G9="Straw burnt",1,0)</f>
        <v>0</v>
      </c>
      <c r="AL33" s="3640">
        <f>D33*IF(G9="Straw burnt",1,0)</f>
        <v>0</v>
      </c>
      <c r="AM33" s="3640">
        <f>F33*IF(G9="Straw burnt",1,0)</f>
        <v>0</v>
      </c>
      <c r="AN33" s="3640">
        <f t="shared" si="4"/>
        <v>0</v>
      </c>
      <c r="AO33" s="3656">
        <f t="shared" si="4"/>
        <v>0</v>
      </c>
    </row>
    <row r="34" spans="2:41" x14ac:dyDescent="0.2">
      <c r="B34" s="3284">
        <f>B14</f>
        <v>0</v>
      </c>
      <c r="C34" s="3285">
        <f>'3.Cropland'!Q127</f>
        <v>12</v>
      </c>
      <c r="D34" s="3285">
        <f>'3.Cropland'!R127</f>
        <v>0</v>
      </c>
      <c r="E34" s="3284" t="str">
        <f>VLOOKUP('3.Cropland'!S127, list!$I$48:$J$50,2, FALSE)</f>
        <v>Linear</v>
      </c>
      <c r="F34" s="3285">
        <f>'3.Cropland'!T127</f>
        <v>0</v>
      </c>
      <c r="G34" s="3284" t="str">
        <f>VLOOKUP('3.Cropland'!U127, list!$I$48:$J$50,2, FALSE)</f>
        <v>Linear</v>
      </c>
      <c r="H34" s="3284"/>
      <c r="I34" s="3285">
        <f t="shared" si="5"/>
        <v>12</v>
      </c>
      <c r="J34" s="3285">
        <f t="shared" si="6"/>
        <v>0</v>
      </c>
      <c r="K34" s="3284" t="str">
        <f t="shared" ref="K34:K43" si="7">E34</f>
        <v>Linear</v>
      </c>
      <c r="L34" s="3285">
        <f t="shared" si="2"/>
        <v>0</v>
      </c>
      <c r="M34" s="3284" t="str">
        <f t="shared" ref="M34:M43" si="8">G34</f>
        <v>Linear</v>
      </c>
      <c r="N34" s="3270">
        <f>IF(ABS(-$L14*((MIN($C34,D34)*MIN(20,time_tot))+IF(E34="Immediate",IF(D34&gt;$C34,D34*MIN(20,time_tot),0),IF($C34&gt;D34,($C34-D34)*IF(time&gt;20,IF(E34="Linear",time-((time-20)^2)/(2*time),(0.215*time)-(time/4.6)*(EXP(-92.1/time)-0.01)),time*(1-VLOOKUP(E34, list!$J$48:$K$50,2,))),(D34-$C34)*IF(time_tot&gt;time+20,20,IF(time_tot&lt;20,(time*VLOOKUP(E34, list!$J$48:$K$50,2,))+(time_tot-time),((MIN(20,time)*VLOOKUP(E34, list!$J$48:$K$50,2,))+(time_tot-MIN(20,time))-IF(E34="Exponential",time_tot-20+0.217*time*(EXP(4.606*(20-time_tot)/time)-1),((time_tot-20)^2)*(0.5/time)))))))))&gt;=ABS(L14*20*MAX(D34,C34)), -L14*20*MAX(D34,C34), -$L14*((MIN($C34,D34)*MIN(20,time_tot))+IF(E34="Immediate",IF(D34&gt;$C34,D34*MIN(20,time_tot),0),IF($C34&gt;D34,($C34-D34)*IF(time&gt;20,IF(E34="Linear",time-((time-20)^2)/(2*time),(0.215*time)-(time/4.6)*(EXP(-92.1/time)-0.01)),time*(1-VLOOKUP(E34, list!$J$48:$K$50,2,))),(D34-$C34)*IF(time_tot&gt;time+20,20,IF(time_tot&lt;20,(time*VLOOKUP(E34, list!$J$48:$K$50,2,))+(time_tot-time),((MIN(20,time)*VLOOKUP(E34, list!$J$48:$K$50,2,))+(time_tot-MIN(20,time))-IF(E34="Exponential",time_tot-20+0.217*time*(EXP(4.606*(20-time_tot)/time)-1),((time_tot-20)^2)*(0.5/time)))))))))</f>
        <v>0</v>
      </c>
      <c r="O34" s="3271">
        <f>IF(ABS(-$L14*((MIN($C34,F34)*MIN(20,time_tot))+IF(G34="Immediate",IF(F34&gt;$C34,F34*MIN(20,time_tot),0),IF($C34&gt;F34,($C34-F34)*IF(time&gt;20,IF(G34="Linear",time-((time-20)^2)/(2*time),(0.215*time)-(time/4.6)*(EXP(-92.1/time)-0.01)),time*(1-VLOOKUP(G34, list!$J$48:$K$50,2,))),(F34-$C34)*IF(time_tot&gt;time+20,20,IF(time_tot&lt;20,(time*VLOOKUP(G34, list!$J$48:$K$50,2,))+(time_tot-time),((MIN(20,time)*VLOOKUP(G34, list!$J$48:$K$50,2,))+(time_tot-MIN(20,time))-IF(G34="Exponential",time_tot-20+0.217*time*(EXP(4.606*(20-time_tot)/time)-1),((time_tot-20)^2)*(0.5/time)))))))))&gt;=ABS(L14*20*MAX(C34,F34)), -L14*20*MAX(C34,F34), -$L14*((MIN($C34,F34)*MIN(20,time_tot))+IF(G34="Immediate",IF(F34&gt;$C34,F34*MIN(20,time_tot),0),IF($C34&gt;F34,($C34-F34)*IF(time&gt;20,IF(G34="Linear",time-((time-20)^2)/(2*time),(0.215*time)-(time/4.6)*(EXP(-92.1/time)-0.01)),time*(1-VLOOKUP(G34, list!$J$48:$K$50,2,))),(F34-$C34)*IF(time_tot&gt;time+20,20,IF(time_tot&lt;20,(time*VLOOKUP(G34, list!$J$48:$K$50,2,))+(time_tot-time),((MIN(20,time)*VLOOKUP(G34, list!$J$48:$K$50,2,))+(time_tot-MIN(20,time))-IF(G34="Exponential",time_tot-20+0.217*time*(EXP(4.606*(20-time_tot)/time)-1),((time_tot-20)^2)*(0.5/time)))))))))</f>
        <v>0</v>
      </c>
      <c r="P34" s="3271">
        <f>(MIN(I34,J34)*time_tot+ABS(J34-I34)*IF(J34 &gt; I34, time_cap+time*(VLOOKUP(K34, list!$J$48:$K$50,2,)),time*(1-(VLOOKUP(K34, list!$J$48:$K$50,2,)))))*$N14*methane/1000</f>
        <v>143.449488</v>
      </c>
      <c r="Q34" s="3271">
        <f>(MIN(I34,L34)*time_tot+ABS(L34-I34)*IF(L34&gt;I34, time_cap+time*(VLOOKUP(M34, list!$J$48:$K$50,2,)),time*(1-(VLOOKUP(M34, list!$J$48:$K$50,2,)))))*$N14*methane/1000</f>
        <v>143.449488</v>
      </c>
      <c r="R34" s="3271">
        <f>(MIN(C34,D34)*time_tot+ABS(D34-C34)*IF(D34&gt;C34,time_cap+time*(VLOOKUP(E34, list!$J$48:$K$50,2,)),time*(1-(VLOOKUP(E34, list!$J$48:$K$50,2,)))))*($O14+P14)</f>
        <v>112.88961600000002</v>
      </c>
      <c r="S34" s="3271">
        <f>(MIN(C34,F34)*time_tot+ABS(F34-C34)*IF(F34&gt;C34, time_cap + time*(VLOOKUP(G34, list!$J$48:$K$50,2,)),time*(1-(VLOOKUP(G34, list!$J$48:$K$50,2,)))))*($O14+P14)</f>
        <v>112.88961600000002</v>
      </c>
      <c r="T34" s="3641">
        <f>SUM(N34,P34,R34)</f>
        <v>256.33910400000002</v>
      </c>
      <c r="U34" s="3641">
        <f>SUM(O34,Q34,S34)</f>
        <v>256.33910400000002</v>
      </c>
      <c r="V34" s="3353">
        <f>U34-T34</f>
        <v>0</v>
      </c>
      <c r="Z34" s="3325">
        <f>$Q14*(time*((ABS(D34-C34)*(IF(C34&lt;=D34,VLOOKUP(E34, list!$J$48:$K$50,2,),1-VLOOKUP(E34, list!$J$48:$K$50,2,))))+MIN(D34,C34))+(D34* time_cap))</f>
        <v>1500</v>
      </c>
      <c r="AA34" s="3326">
        <f>$Q14*(time*((ABS(F34-C34)*(IF(C34&lt;=F34,VLOOKUP(G34, list!$J$48:$K$50,2,),1-VLOOKUP(G34, list!$J$48:$K$50,2,))))+MIN(F34,C34))+(F34* time_cap))</f>
        <v>1500</v>
      </c>
      <c r="AB34" s="3327">
        <f>AA34-Z34</f>
        <v>0</v>
      </c>
      <c r="AK34" s="3652">
        <f t="shared" ref="AK34:AK43" si="9">C34*IF(G14="Straw burnt",1,0)</f>
        <v>12</v>
      </c>
      <c r="AL34" s="3653">
        <f t="shared" ref="AL34:AL43" si="10">D34*IF(G14="Straw burnt",1,0)</f>
        <v>0</v>
      </c>
      <c r="AM34" s="3653">
        <f t="shared" ref="AM34:AM43" si="11">F34*IF(G14="Straw burnt",1,0)</f>
        <v>0</v>
      </c>
      <c r="AN34" s="3653">
        <f>IF(R34&gt;0, R34/$O14,0)</f>
        <v>37.361111111111107</v>
      </c>
      <c r="AO34" s="3654">
        <f>IF(S34&gt;0, S34/$O14,0)</f>
        <v>37.361111111111107</v>
      </c>
    </row>
    <row r="35" spans="2:41" x14ac:dyDescent="0.2">
      <c r="B35" s="3284">
        <f t="shared" ref="B35:B43" si="12">B15</f>
        <v>0</v>
      </c>
      <c r="C35" s="3285">
        <f>'3.Cropland'!Q128</f>
        <v>0</v>
      </c>
      <c r="D35" s="3285">
        <f>'3.Cropland'!R128</f>
        <v>12</v>
      </c>
      <c r="E35" s="3284" t="str">
        <f>VLOOKUP('3.Cropland'!S128, list!$I$48:$J$50,2, FALSE)</f>
        <v>Linear</v>
      </c>
      <c r="F35" s="3285">
        <f>'3.Cropland'!T128</f>
        <v>0</v>
      </c>
      <c r="G35" s="3284" t="str">
        <f>VLOOKUP('3.Cropland'!U128, list!$I$48:$J$50,2, FALSE)</f>
        <v>Linear</v>
      </c>
      <c r="H35" s="3284"/>
      <c r="I35" s="3285">
        <f t="shared" si="5"/>
        <v>0</v>
      </c>
      <c r="J35" s="3285">
        <f t="shared" si="6"/>
        <v>12</v>
      </c>
      <c r="K35" s="3284" t="str">
        <f t="shared" si="7"/>
        <v>Linear</v>
      </c>
      <c r="L35" s="3285">
        <f t="shared" si="2"/>
        <v>0</v>
      </c>
      <c r="M35" s="3284" t="str">
        <f t="shared" si="8"/>
        <v>Linear</v>
      </c>
      <c r="N35" s="3270">
        <f>IF(ABS(-$L15*((MIN($C35,D35)*MIN(20,time_tot))+IF(E35="Immediate",IF(D35&gt;$C35,D35*MIN(20,time_tot),0),IF($C35&gt;D35,($C35-D35)*IF(time&gt;20,IF(E35="Linear",time-((time-20)^2)/(2*time),(0.215*time)-(time/4.6)*(EXP(-92.1/time)-0.01)),time*(1-VLOOKUP(E35, list!$J$48:$K$50,2,))),(D35-$C35)*IF(time_tot&gt;time+20,20,IF(time_tot&lt;20,(time*VLOOKUP(E35, list!$J$48:$K$50,2,))+(time_tot-time),((MIN(20,time)*VLOOKUP(E35, list!$J$48:$K$50,2,))+(time_tot-MIN(20,time))-IF(E35="Exponential",time_tot-20+0.217*time*(EXP(4.606*(20-time_tot)/time)-1),((time_tot-20)^2)*(0.5/time)))))))))&gt;=ABS(L15*20*MAX(D35,C35)), -L15*20*MAX(D35,C35), -$L15*((MIN($C35,D35)*MIN(20,time_tot))+IF(E35="Immediate",IF(D35&gt;$C35,D35*MIN(20,time_tot),0),IF($C35&gt;D35,($C35-D35)*IF(time&gt;20,IF(E35="Linear",time-((time-20)^2)/(2*time),(0.215*time)-(time/4.6)*(EXP(-92.1/time)-0.01)),time*(1-VLOOKUP(E35, list!$J$48:$K$50,2,))),(D35-$C35)*IF(time_tot&gt;time+20,20,IF(time_tot&lt;20,(time*VLOOKUP(E35, list!$J$48:$K$50,2,))+(time_tot-time),((MIN(20,time)*VLOOKUP(E35, list!$J$48:$K$50,2,))+(time_tot-MIN(20,time))-IF(E35="Exponential",time_tot-20+0.217*time*(EXP(4.606*(20-time_tot)/time)-1),((time_tot-20)^2)*(0.5/time)))))))))</f>
        <v>0</v>
      </c>
      <c r="O35" s="3271">
        <f>IF(ABS(-$L15*((MIN($C35,F35)*MIN(20,time_tot))+IF(G35="Immediate",IF(F35&gt;$C35,F35*MIN(20,time_tot),0),IF($C35&gt;F35,($C35-F35)*IF(time&gt;20,IF(G35="Linear",time-((time-20)^2)/(2*time),(0.215*time)-(time/4.6)*(EXP(-92.1/time)-0.01)),time*(1-VLOOKUP(G35, list!$J$48:$K$50,2,))),(F35-$C35)*IF(time_tot&gt;time+20,20,IF(time_tot&lt;20,(time*VLOOKUP(G35, list!$J$48:$K$50,2,))+(time_tot-time),((MIN(20,time)*VLOOKUP(G35, list!$J$48:$K$50,2,))+(time_tot-MIN(20,time))-IF(G35="Exponential",time_tot-20+0.217*time*(EXP(4.606*(20-time_tot)/time)-1),((time_tot-20)^2)*(0.5/time)))))))))&gt;=ABS(L15*20*MAX(C35,F35)), -L15*20*MAX(C35,F35), -$L15*((MIN($C35,F35)*MIN(20,time_tot))+IF(G35="Immediate",IF(F35&gt;$C35,F35*MIN(20,time_tot),0),IF($C35&gt;F35,($C35-F35)*IF(time&gt;20,IF(G35="Linear",time-((time-20)^2)/(2*time),(0.215*time)-(time/4.6)*(EXP(-92.1/time)-0.01)),time*(1-VLOOKUP(G35, list!$J$48:$K$50,2,))),(F35-$C35)*IF(time_tot&gt;time+20,20,IF(time_tot&lt;20,(time*VLOOKUP(G35, list!$J$48:$K$50,2,))+(time_tot-time),((MIN(20,time)*VLOOKUP(G35, list!$J$48:$K$50,2,))+(time_tot-MIN(20,time))-IF(G35="Exponential",time_tot-20+0.217*time*(EXP(4.606*(20-time_tot)/time)-1),((time_tot-20)^2)*(0.5/time)))))))))</f>
        <v>0</v>
      </c>
      <c r="P35" s="3256">
        <f>(MIN(I35,J35)*time_tot+ABS(J35-I35)*IF(J35 &gt; I35, time_cap+time*(VLOOKUP(K35, list!$J$48:$K$50,2,)),time*(1-(VLOOKUP(K35, list!$J$48:$K$50,2,)))))*$N15*methane/1000</f>
        <v>717.24743999999998</v>
      </c>
      <c r="Q35" s="3256">
        <f>(MIN(I35,L35)*time_tot+ABS(L35-I35)*IF(L35&gt;I35, time_cap+time*(VLOOKUP(M35, list!$J$48:$K$50,2,)),time*(1-(VLOOKUP(M35, list!$J$48:$K$50,2,)))))*$N15*methane/1000</f>
        <v>0</v>
      </c>
      <c r="R35" s="3256">
        <f>(MIN(C35,D35)*time_tot+ABS(D35-C35)*IF(D35&gt;C35,time_cap+time*(VLOOKUP(E35, list!$J$48:$K$50,2,)),time*(1-(VLOOKUP(E35, list!$J$48:$K$50,2,)))))*($O15+P15)</f>
        <v>564.44808000000012</v>
      </c>
      <c r="S35" s="3256">
        <f>(MIN(C35,F35)*time_tot+ABS(F35-C35)*IF(F35&gt;C35, time_cap + time*(VLOOKUP(G35, list!$J$48:$K$50,2,)),time*(1-(VLOOKUP(G35, list!$J$48:$K$50,2,)))))*($O15+P15)</f>
        <v>0</v>
      </c>
      <c r="T35" s="3642">
        <f>SUM(N35,P35,R35)</f>
        <v>1281.6955200000002</v>
      </c>
      <c r="U35" s="3642">
        <f>SUM(O35,Q35,S35)</f>
        <v>0</v>
      </c>
      <c r="V35" s="3354">
        <f t="shared" ref="V35:V43" si="13">U35-T35</f>
        <v>-1281.6955200000002</v>
      </c>
      <c r="Z35" s="3328">
        <f>$Q15*(time*((ABS(D35-C35)*(IF(C35&lt;=D35,VLOOKUP(E35, list!$J$48:$K$50,2,),1-VLOOKUP(E35, list!$J$48:$K$50,2,))))+MIN(D35,C35))+(D35* time_cap))</f>
        <v>7500</v>
      </c>
      <c r="AA35" s="3329">
        <f>$Q15*(time*((ABS(F35-C35)*(IF(C35&lt;=F35,VLOOKUP(G35, list!$J$48:$K$50,2,),1-VLOOKUP(G35, list!$J$48:$K$50,2,))))+MIN(F35,C35))+(F35* time_cap))</f>
        <v>0</v>
      </c>
      <c r="AB35" s="3330">
        <f t="shared" ref="AB35:AB43" si="14">AA35-Z35</f>
        <v>-7500</v>
      </c>
      <c r="AK35" s="3646">
        <f t="shared" si="9"/>
        <v>0</v>
      </c>
      <c r="AL35" s="3647">
        <f t="shared" si="10"/>
        <v>12</v>
      </c>
      <c r="AM35" s="3647">
        <f t="shared" si="11"/>
        <v>0</v>
      </c>
      <c r="AN35" s="3647">
        <f t="shared" ref="AN35:AN43" si="15">IF(R35&gt;0, R35/$O15,0)</f>
        <v>186.80555555555554</v>
      </c>
      <c r="AO35" s="3648">
        <f t="shared" ref="AO35:AO43" si="16">IF(S35&gt;0, S35/$O15,0)</f>
        <v>0</v>
      </c>
    </row>
    <row r="36" spans="2:41" x14ac:dyDescent="0.2">
      <c r="B36" s="3284">
        <f t="shared" si="12"/>
        <v>0</v>
      </c>
      <c r="C36" s="3285">
        <f>'3.Cropland'!Q129</f>
        <v>0</v>
      </c>
      <c r="D36" s="3285">
        <f>'3.Cropland'!R129</f>
        <v>0</v>
      </c>
      <c r="E36" s="3284" t="str">
        <f>VLOOKUP('3.Cropland'!S129, list!$I$48:$J$50,2, FALSE)</f>
        <v>Linear</v>
      </c>
      <c r="F36" s="3285">
        <f>'3.Cropland'!T129</f>
        <v>12</v>
      </c>
      <c r="G36" s="3284" t="str">
        <f>VLOOKUP('3.Cropland'!U129, list!$I$48:$J$50,2, FALSE)</f>
        <v>Linear</v>
      </c>
      <c r="H36" s="3284"/>
      <c r="I36" s="3285">
        <f t="shared" si="5"/>
        <v>0</v>
      </c>
      <c r="J36" s="3285">
        <f t="shared" si="6"/>
        <v>0</v>
      </c>
      <c r="K36" s="3284" t="str">
        <f t="shared" si="7"/>
        <v>Linear</v>
      </c>
      <c r="L36" s="3285">
        <f t="shared" si="2"/>
        <v>12</v>
      </c>
      <c r="M36" s="3284" t="str">
        <f t="shared" si="8"/>
        <v>Linear</v>
      </c>
      <c r="N36" s="3270">
        <f>IF(ABS(-$L16*((MIN($C36,D36)*MIN(20,time_tot))+IF(E36="Immediate",IF(D36&gt;$C36,D36*MIN(20,time_tot),0),IF($C36&gt;D36,($C36-D36)*IF(time&gt;20,IF(E36="Linear",time-((time-20)^2)/(2*time),(0.215*time)-(time/4.6)*(EXP(-92.1/time)-0.01)),time*(1-VLOOKUP(E36, list!$J$48:$K$50,2,))),(D36-$C36)*IF(time_tot&gt;time+20,20,IF(time_tot&lt;20,(time*VLOOKUP(E36, list!$J$48:$K$50,2,))+(time_tot-time),((MIN(20,time)*VLOOKUP(E36, list!$J$48:$K$50,2,))+(time_tot-MIN(20,time))-IF(E36="Exponential",time_tot-20+0.217*time*(EXP(4.606*(20-time_tot)/time)-1),((time_tot-20)^2)*(0.5/time)))))))))&gt;=ABS(L16*20*MAX(D36,C36)), -L16*20*MAX(D36,C36), -$L16*((MIN($C36,D36)*MIN(20,time_tot))+IF(E36="Immediate",IF(D36&gt;$C36,D36*MIN(20,time_tot),0),IF($C36&gt;D36,($C36-D36)*IF(time&gt;20,IF(E36="Linear",time-((time-20)^2)/(2*time),(0.215*time)-(time/4.6)*(EXP(-92.1/time)-0.01)),time*(1-VLOOKUP(E36, list!$J$48:$K$50,2,))),(D36-$C36)*IF(time_tot&gt;time+20,20,IF(time_tot&lt;20,(time*VLOOKUP(E36, list!$J$48:$K$50,2,))+(time_tot-time),((MIN(20,time)*VLOOKUP(E36, list!$J$48:$K$50,2,))+(time_tot-MIN(20,time))-IF(E36="Exponential",time_tot-20+0.217*time*(EXP(4.606*(20-time_tot)/time)-1),((time_tot-20)^2)*(0.5/time)))))))))</f>
        <v>0</v>
      </c>
      <c r="O36" s="3271">
        <f>IF(ABS(-$L16*((MIN($C36,F36)*MIN(20,time_tot))+IF(G36="Immediate",IF(F36&gt;$C36,F36*MIN(20,time_tot),0),IF($C36&gt;F36,($C36-F36)*IF(time&gt;20,IF(G36="Linear",time-((time-20)^2)/(2*time),(0.215*time)-(time/4.6)*(EXP(-92.1/time)-0.01)),time*(1-VLOOKUP(G36, list!$J$48:$K$50,2,))),(F36-$C36)*IF(time_tot&gt;time+20,20,IF(time_tot&lt;20,(time*VLOOKUP(G36, list!$J$48:$K$50,2,))+(time_tot-time),((MIN(20,time)*VLOOKUP(G36, list!$J$48:$K$50,2,))+(time_tot-MIN(20,time))-IF(G36="Exponential",time_tot-20+0.217*time*(EXP(4.606*(20-time_tot)/time)-1),((time_tot-20)^2)*(0.5/time)))))))))&gt;=ABS(L16*20*MAX(C36,F36)), -L16*20*MAX(C36,F36), -$L16*((MIN($C36,F36)*MIN(20,time_tot))+IF(G36="Immediate",IF(F36&gt;$C36,F36*MIN(20,time_tot),0),IF($C36&gt;F36,($C36-F36)*IF(time&gt;20,IF(G36="Linear",time-((time-20)^2)/(2*time),(0.215*time)-(time/4.6)*(EXP(-92.1/time)-0.01)),time*(1-VLOOKUP(G36, list!$J$48:$K$50,2,))),(F36-$C36)*IF(time_tot&gt;time+20,20,IF(time_tot&lt;20,(time*VLOOKUP(G36, list!$J$48:$K$50,2,))+(time_tot-time),((MIN(20,time)*VLOOKUP(G36, list!$J$48:$K$50,2,))+(time_tot-MIN(20,time))-IF(G36="Exponential",time_tot-20+0.217*time*(EXP(4.606*(20-time_tot)/time)-1),((time_tot-20)^2)*(0.5/time)))))))))</f>
        <v>0</v>
      </c>
      <c r="P36" s="3256">
        <f>(MIN(I36,J36)*time_tot+ABS(J36-I36)*IF(J36 &gt; I36, time_cap+time*(VLOOKUP(K36, list!$J$48:$K$50,2,)),time*(1-(VLOOKUP(K36, list!$J$48:$K$50,2,)))))*$N16*methane/1000</f>
        <v>0</v>
      </c>
      <c r="Q36" s="3256">
        <f>(MIN(I36,L36)*time_tot+ABS(L36-I36)*IF(L36&gt;I36, time_cap+time*(VLOOKUP(M36, list!$J$48:$K$50,2,)),time*(1-(VLOOKUP(M36, list!$J$48:$K$50,2,)))))*$N16*methane/1000</f>
        <v>717.24743999999998</v>
      </c>
      <c r="R36" s="3256">
        <f>(MIN(C36,D36)*time_tot+ABS(D36-C36)*IF(D36&gt;C36,time_cap+time*(VLOOKUP(E36, list!$J$48:$K$50,2,)),time*(1-(VLOOKUP(E36, list!$J$48:$K$50,2,)))))*($O16+P16)</f>
        <v>0</v>
      </c>
      <c r="S36" s="3256">
        <f>(MIN(C36,F36)*time_tot+ABS(F36-C36)*IF(F36&gt;C36, time_cap + time*(VLOOKUP(G36, list!$J$48:$K$50,2,)),time*(1-(VLOOKUP(G36, list!$J$48:$K$50,2,)))))*($O16+P16)</f>
        <v>564.44808000000012</v>
      </c>
      <c r="T36" s="3642">
        <f t="shared" ref="T36:T43" si="17">SUM(N36,P36,R36)</f>
        <v>0</v>
      </c>
      <c r="U36" s="3642">
        <f>SUM(O36,Q36,S36)</f>
        <v>1281.6955200000002</v>
      </c>
      <c r="V36" s="3354">
        <f t="shared" si="13"/>
        <v>1281.6955200000002</v>
      </c>
      <c r="Z36" s="3328">
        <f>$Q16*(time*((ABS(D36-C36)*(IF(C36&lt;=D36,VLOOKUP(E36, list!$J$48:$K$50,2,),1-VLOOKUP(E36, list!$J$48:$K$50,2,))))+MIN(D36,C36))+(D36* time_cap))</f>
        <v>0</v>
      </c>
      <c r="AA36" s="3329">
        <f>$Q16*(time*((ABS(F36-C36)*(IF(C36&lt;=F36,VLOOKUP(G36, list!$J$48:$K$50,2,),1-VLOOKUP(G36, list!$J$48:$K$50,2,))))+MIN(F36,C36))+(F36* time_cap))</f>
        <v>7500</v>
      </c>
      <c r="AB36" s="3330">
        <f t="shared" si="14"/>
        <v>7500</v>
      </c>
      <c r="AK36" s="3646">
        <f t="shared" si="9"/>
        <v>0</v>
      </c>
      <c r="AL36" s="3647">
        <f t="shared" si="10"/>
        <v>0</v>
      </c>
      <c r="AM36" s="3647">
        <f t="shared" si="11"/>
        <v>12</v>
      </c>
      <c r="AN36" s="3647">
        <f t="shared" si="15"/>
        <v>0</v>
      </c>
      <c r="AO36" s="3648">
        <f t="shared" si="16"/>
        <v>186.80555555555554</v>
      </c>
    </row>
    <row r="37" spans="2:41" x14ac:dyDescent="0.2">
      <c r="B37" s="3284">
        <f t="shared" si="12"/>
        <v>0</v>
      </c>
      <c r="C37" s="3285">
        <f>'3.Cropland'!Q130</f>
        <v>0</v>
      </c>
      <c r="D37" s="3285">
        <f>'3.Cropland'!R130</f>
        <v>0</v>
      </c>
      <c r="E37" s="3284" t="str">
        <f>VLOOKUP('3.Cropland'!S130, list!$I$48:$J$50,2, FALSE)</f>
        <v>Linear</v>
      </c>
      <c r="F37" s="3285">
        <f>'3.Cropland'!T130</f>
        <v>0</v>
      </c>
      <c r="G37" s="3284" t="str">
        <f>VLOOKUP('3.Cropland'!U130, list!$I$48:$J$50,2, FALSE)</f>
        <v>Linear</v>
      </c>
      <c r="H37" s="3284"/>
      <c r="I37" s="3285">
        <f t="shared" si="5"/>
        <v>0</v>
      </c>
      <c r="J37" s="3285">
        <f t="shared" si="6"/>
        <v>0</v>
      </c>
      <c r="K37" s="3284" t="str">
        <f t="shared" si="7"/>
        <v>Linear</v>
      </c>
      <c r="L37" s="3285">
        <f t="shared" si="2"/>
        <v>0</v>
      </c>
      <c r="M37" s="3284" t="str">
        <f t="shared" si="8"/>
        <v>Linear</v>
      </c>
      <c r="N37" s="3270">
        <f>IF(ABS(-$L17*((MIN($C37,D37)*MIN(20,time_tot))+IF(E37="Immediate",IF(D37&gt;$C37,D37*MIN(20,time_tot),0),IF($C37&gt;D37,($C37-D37)*IF(time&gt;20,IF(E37="Linear",time-((time-20)^2)/(2*time),(0.215*time)-(time/4.6)*(EXP(-92.1/time)-0.01)),time*(1-VLOOKUP(E37, list!$J$48:$K$50,2,))),(D37-$C37)*IF(time_tot&gt;time+20,20,IF(time_tot&lt;20,(time*VLOOKUP(E37, list!$J$48:$K$50,2,))+(time_tot-time),((MIN(20,time)*VLOOKUP(E37, list!$J$48:$K$50,2,))+(time_tot-MIN(20,time))-IF(E37="Exponential",time_tot-20+0.217*time*(EXP(4.606*(20-time_tot)/time)-1),((time_tot-20)^2)*(0.5/time)))))))))&gt;=ABS(L17*20*MAX(D37,C37)), -L17*20*MAX(D37,C37), -$L17*((MIN($C37,D37)*MIN(20,time_tot))+IF(E37="Immediate",IF(D37&gt;$C37,D37*MIN(20,time_tot),0),IF($C37&gt;D37,($C37-D37)*IF(time&gt;20,IF(E37="Linear",time-((time-20)^2)/(2*time),(0.215*time)-(time/4.6)*(EXP(-92.1/time)-0.01)),time*(1-VLOOKUP(E37, list!$J$48:$K$50,2,))),(D37-$C37)*IF(time_tot&gt;time+20,20,IF(time_tot&lt;20,(time*VLOOKUP(E37, list!$J$48:$K$50,2,))+(time_tot-time),((MIN(20,time)*VLOOKUP(E37, list!$J$48:$K$50,2,))+(time_tot-MIN(20,time))-IF(E37="Exponential",time_tot-20+0.217*time*(EXP(4.606*(20-time_tot)/time)-1),((time_tot-20)^2)*(0.5/time)))))))))</f>
        <v>0</v>
      </c>
      <c r="O37" s="3271">
        <f>IF(ABS(-$L17*((MIN($C37,F37)*MIN(20,time_tot))+IF(G37="Immediate",IF(F37&gt;$C37,F37*MIN(20,time_tot),0),IF($C37&gt;F37,($C37-F37)*IF(time&gt;20,IF(G37="Linear",time-((time-20)^2)/(2*time),(0.215*time)-(time/4.6)*(EXP(-92.1/time)-0.01)),time*(1-VLOOKUP(G37, list!$J$48:$K$50,2,))),(F37-$C37)*IF(time_tot&gt;time+20,20,IF(time_tot&lt;20,(time*VLOOKUP(G37, list!$J$48:$K$50,2,))+(time_tot-time),((MIN(20,time)*VLOOKUP(G37, list!$J$48:$K$50,2,))+(time_tot-MIN(20,time))-IF(G37="Exponential",time_tot-20+0.217*time*(EXP(4.606*(20-time_tot)/time)-1),((time_tot-20)^2)*(0.5/time)))))))))&gt;=ABS(L17*20*MAX(C37,F37)), -L17*20*MAX(C37,F37), -$L17*((MIN($C37,F37)*MIN(20,time_tot))+IF(G37="Immediate",IF(F37&gt;$C37,F37*MIN(20,time_tot),0),IF($C37&gt;F37,($C37-F37)*IF(time&gt;20,IF(G37="Linear",time-((time-20)^2)/(2*time),(0.215*time)-(time/4.6)*(EXP(-92.1/time)-0.01)),time*(1-VLOOKUP(G37, list!$J$48:$K$50,2,))),(F37-$C37)*IF(time_tot&gt;time+20,20,IF(time_tot&lt;20,(time*VLOOKUP(G37, list!$J$48:$K$50,2,))+(time_tot-time),((MIN(20,time)*VLOOKUP(G37, list!$J$48:$K$50,2,))+(time_tot-MIN(20,time))-IF(G37="Exponential",time_tot-20+0.217*time*(EXP(4.606*(20-time_tot)/time)-1),((time_tot-20)^2)*(0.5/time)))))))))</f>
        <v>0</v>
      </c>
      <c r="P37" s="3256">
        <f>(MIN(I37,J37)*time_tot+ABS(J37-I37)*IF(J37 &gt; I37, time_cap+time*(VLOOKUP(K37, list!$J$48:$K$50,2,)),time*(1-(VLOOKUP(K37, list!$J$48:$K$50,2,)))))*$N17*methane/1000</f>
        <v>0</v>
      </c>
      <c r="Q37" s="3256">
        <f>(MIN(I37,L37)*time_tot+ABS(L37-I37)*IF(L37&gt;I37, time_cap+time*(VLOOKUP(M37, list!$J$48:$K$50,2,)),time*(1-(VLOOKUP(M37, list!$J$48:$K$50,2,)))))*$N17*methane/1000</f>
        <v>0</v>
      </c>
      <c r="R37" s="3256">
        <f>(MIN(C37,D37)*time_tot+ABS(D37-C37)*IF(D37&gt;C37,time_cap+time*(VLOOKUP(E37, list!$J$48:$K$50,2,)),time*(1-(VLOOKUP(E37, list!$J$48:$K$50,2,)))))*($O17+P17)</f>
        <v>0</v>
      </c>
      <c r="S37" s="3256">
        <f>(MIN(C37,F37)*time_tot+ABS(F37-C37)*IF(F37&gt;C37, time_cap + time*(VLOOKUP(G37, list!$J$48:$K$50,2,)),time*(1-(VLOOKUP(G37, list!$J$48:$K$50,2,)))))*($O17+P17)</f>
        <v>0</v>
      </c>
      <c r="T37" s="3642">
        <f t="shared" si="17"/>
        <v>0</v>
      </c>
      <c r="U37" s="3642">
        <f t="shared" ref="U37:U43" si="18">SUM(O37,Q37,S37)</f>
        <v>0</v>
      </c>
      <c r="V37" s="3354">
        <f t="shared" si="13"/>
        <v>0</v>
      </c>
      <c r="Z37" s="3328">
        <f>$Q17*(time*((ABS(D37-C37)*(IF(C37&lt;=D37,VLOOKUP(E37, list!$J$48:$K$50,2,),1-VLOOKUP(E37, list!$J$48:$K$50,2,))))+MIN(D37,C37))+(D37* time_cap))</f>
        <v>0</v>
      </c>
      <c r="AA37" s="3329">
        <f>$Q17*(time*((ABS(F37-C37)*(IF(C37&lt;=F37,VLOOKUP(G37, list!$J$48:$K$50,2,),1-VLOOKUP(G37, list!$J$48:$K$50,2,))))+MIN(F37,C37))+(F37* time_cap))</f>
        <v>0</v>
      </c>
      <c r="AB37" s="3330">
        <f t="shared" si="14"/>
        <v>0</v>
      </c>
      <c r="AK37" s="3646">
        <f t="shared" si="9"/>
        <v>0</v>
      </c>
      <c r="AL37" s="3647">
        <f t="shared" si="10"/>
        <v>0</v>
      </c>
      <c r="AM37" s="3647">
        <f t="shared" si="11"/>
        <v>0</v>
      </c>
      <c r="AN37" s="3647">
        <f t="shared" si="15"/>
        <v>0</v>
      </c>
      <c r="AO37" s="3648">
        <f t="shared" si="16"/>
        <v>0</v>
      </c>
    </row>
    <row r="38" spans="2:41" x14ac:dyDescent="0.2">
      <c r="B38" s="3284">
        <f t="shared" si="12"/>
        <v>0</v>
      </c>
      <c r="C38" s="3285">
        <f>'3.Cropland'!Q131</f>
        <v>0</v>
      </c>
      <c r="D38" s="3285">
        <f>'3.Cropland'!R131</f>
        <v>0</v>
      </c>
      <c r="E38" s="3284" t="str">
        <f>VLOOKUP('3.Cropland'!S131, list!$I$48:$J$50,2, FALSE)</f>
        <v>Linear</v>
      </c>
      <c r="F38" s="3285">
        <f>'3.Cropland'!T131</f>
        <v>0</v>
      </c>
      <c r="G38" s="3284" t="str">
        <f>VLOOKUP('3.Cropland'!U131, list!$I$48:$J$50,2, FALSE)</f>
        <v>Linear</v>
      </c>
      <c r="H38" s="3284"/>
      <c r="I38" s="3285">
        <f t="shared" si="5"/>
        <v>0</v>
      </c>
      <c r="J38" s="3285">
        <f t="shared" si="6"/>
        <v>0</v>
      </c>
      <c r="K38" s="3284" t="str">
        <f t="shared" si="7"/>
        <v>Linear</v>
      </c>
      <c r="L38" s="3285">
        <f t="shared" si="2"/>
        <v>0</v>
      </c>
      <c r="M38" s="3284" t="str">
        <f t="shared" si="8"/>
        <v>Linear</v>
      </c>
      <c r="N38" s="3270">
        <f>IF(ABS(-$L18*((MIN($C38,D38)*MIN(20,time_tot))+IF(E38="Immediate",IF(D38&gt;$C38,D38*MIN(20,time_tot),0),IF($C38&gt;D38,($C38-D38)*IF(time&gt;20,IF(E38="Linear",time-((time-20)^2)/(2*time),(0.215*time)-(time/4.6)*(EXP(-92.1/time)-0.01)),time*(1-VLOOKUP(E38, list!$J$48:$K$50,2,))),(D38-$C38)*IF(time_tot&gt;time+20,20,IF(time_tot&lt;20,(time*VLOOKUP(E38, list!$J$48:$K$50,2,))+(time_tot-time),((MIN(20,time)*VLOOKUP(E38, list!$J$48:$K$50,2,))+(time_tot-MIN(20,time))-IF(E38="Exponential",time_tot-20+0.217*time*(EXP(4.606*(20-time_tot)/time)-1),((time_tot-20)^2)*(0.5/time)))))))))&gt;=ABS(L18*20*MAX(D38,C38)), -L18*20*MAX(D38,C38), -$L18*((MIN($C38,D38)*MIN(20,time_tot))+IF(E38="Immediate",IF(D38&gt;$C38,D38*MIN(20,time_tot),0),IF($C38&gt;D38,($C38-D38)*IF(time&gt;20,IF(E38="Linear",time-((time-20)^2)/(2*time),(0.215*time)-(time/4.6)*(EXP(-92.1/time)-0.01)),time*(1-VLOOKUP(E38, list!$J$48:$K$50,2,))),(D38-$C38)*IF(time_tot&gt;time+20,20,IF(time_tot&lt;20,(time*VLOOKUP(E38, list!$J$48:$K$50,2,))+(time_tot-time),((MIN(20,time)*VLOOKUP(E38, list!$J$48:$K$50,2,))+(time_tot-MIN(20,time))-IF(E38="Exponential",time_tot-20+0.217*time*(EXP(4.606*(20-time_tot)/time)-1),((time_tot-20)^2)*(0.5/time)))))))))</f>
        <v>0</v>
      </c>
      <c r="O38" s="3271">
        <f>IF(ABS(-$L18*((MIN($C38,F38)*MIN(20,time_tot))+IF(G38="Immediate",IF(F38&gt;$C38,F38*MIN(20,time_tot),0),IF($C38&gt;F38,($C38-F38)*IF(time&gt;20,IF(G38="Linear",time-((time-20)^2)/(2*time),(0.215*time)-(time/4.6)*(EXP(-92.1/time)-0.01)),time*(1-VLOOKUP(G38, list!$J$48:$K$50,2,))),(F38-$C38)*IF(time_tot&gt;time+20,20,IF(time_tot&lt;20,(time*VLOOKUP(G38, list!$J$48:$K$50,2,))+(time_tot-time),((MIN(20,time)*VLOOKUP(G38, list!$J$48:$K$50,2,))+(time_tot-MIN(20,time))-IF(G38="Exponential",time_tot-20+0.217*time*(EXP(4.606*(20-time_tot)/time)-1),((time_tot-20)^2)*(0.5/time)))))))))&gt;=ABS(L18*20*MAX(C38,F38)), -L18*20*MAX(C38,F38), -$L18*((MIN($C38,F38)*MIN(20,time_tot))+IF(G38="Immediate",IF(F38&gt;$C38,F38*MIN(20,time_tot),0),IF($C38&gt;F38,($C38-F38)*IF(time&gt;20,IF(G38="Linear",time-((time-20)^2)/(2*time),(0.215*time)-(time/4.6)*(EXP(-92.1/time)-0.01)),time*(1-VLOOKUP(G38, list!$J$48:$K$50,2,))),(F38-$C38)*IF(time_tot&gt;time+20,20,IF(time_tot&lt;20,(time*VLOOKUP(G38, list!$J$48:$K$50,2,))+(time_tot-time),((MIN(20,time)*VLOOKUP(G38, list!$J$48:$K$50,2,))+(time_tot-MIN(20,time))-IF(G38="Exponential",time_tot-20+0.217*time*(EXP(4.606*(20-time_tot)/time)-1),((time_tot-20)^2)*(0.5/time)))))))))</f>
        <v>0</v>
      </c>
      <c r="P38" s="3256">
        <f>(MIN(I38,J38)*time_tot+ABS(J38-I38)*IF(J38 &gt; I38, time_cap+time*(VLOOKUP(K38, list!$J$48:$K$50,2,)),time*(1-(VLOOKUP(K38, list!$J$48:$K$50,2,)))))*$N18*methane/1000</f>
        <v>0</v>
      </c>
      <c r="Q38" s="3256">
        <f>(MIN(I38,L38)*time_tot+ABS(L38-I38)*IF(L38&gt;I38, time_cap+time*(VLOOKUP(M38, list!$J$48:$K$50,2,)),time*(1-(VLOOKUP(M38, list!$J$48:$K$50,2,)))))*$N18*methane/1000</f>
        <v>0</v>
      </c>
      <c r="R38" s="3256">
        <f>(MIN(C38,D38)*time_tot+ABS(D38-C38)*IF(D38&gt;C38,time_cap+time*(VLOOKUP(E38, list!$J$48:$K$50,2,)),time*(1-(VLOOKUP(E38, list!$J$48:$K$50,2,)))))*($O18+P18)</f>
        <v>0</v>
      </c>
      <c r="S38" s="3256">
        <f>(MIN(C38,F38)*time_tot+ABS(F38-C38)*IF(F38&gt;C38, time_cap + time*(VLOOKUP(G38, list!$J$48:$K$50,2,)),time*(1-(VLOOKUP(G38, list!$J$48:$K$50,2,)))))*($O18+P18)</f>
        <v>0</v>
      </c>
      <c r="T38" s="3642">
        <f t="shared" si="17"/>
        <v>0</v>
      </c>
      <c r="U38" s="3642">
        <f t="shared" si="18"/>
        <v>0</v>
      </c>
      <c r="V38" s="3354">
        <f t="shared" si="13"/>
        <v>0</v>
      </c>
      <c r="Z38" s="3328">
        <f>$Q18*(time*((ABS(D38-C38)*(IF(C38&lt;=D38,VLOOKUP(E38, list!$J$48:$K$50,2,),1-VLOOKUP(E38, list!$J$48:$K$50,2,))))+MIN(D38,C38))+(D38* time_cap))</f>
        <v>0</v>
      </c>
      <c r="AA38" s="3329">
        <f>$Q18*(time*((ABS(F38-C38)*(IF(C38&lt;=F38,VLOOKUP(G38, list!$J$48:$K$50,2,),1-VLOOKUP(G38, list!$J$48:$K$50,2,))))+MIN(F38,C38))+(F38* time_cap))</f>
        <v>0</v>
      </c>
      <c r="AB38" s="3330">
        <f t="shared" si="14"/>
        <v>0</v>
      </c>
      <c r="AK38" s="3646">
        <f t="shared" si="9"/>
        <v>0</v>
      </c>
      <c r="AL38" s="3647">
        <f t="shared" si="10"/>
        <v>0</v>
      </c>
      <c r="AM38" s="3647">
        <f t="shared" si="11"/>
        <v>0</v>
      </c>
      <c r="AN38" s="3647">
        <f t="shared" si="15"/>
        <v>0</v>
      </c>
      <c r="AO38" s="3648">
        <f t="shared" si="16"/>
        <v>0</v>
      </c>
    </row>
    <row r="39" spans="2:41" x14ac:dyDescent="0.2">
      <c r="B39" s="3284">
        <f t="shared" si="12"/>
        <v>0</v>
      </c>
      <c r="C39" s="3285">
        <f>'3.Cropland'!Q132</f>
        <v>0</v>
      </c>
      <c r="D39" s="3285">
        <f>'3.Cropland'!R132</f>
        <v>0</v>
      </c>
      <c r="E39" s="3284" t="str">
        <f>VLOOKUP('3.Cropland'!S132, list!$I$48:$J$50,2, FALSE)</f>
        <v>Linear</v>
      </c>
      <c r="F39" s="3285">
        <f>'3.Cropland'!T132</f>
        <v>0</v>
      </c>
      <c r="G39" s="3284" t="str">
        <f>VLOOKUP('3.Cropland'!U132, list!$I$48:$J$50,2, FALSE)</f>
        <v>Linear</v>
      </c>
      <c r="H39" s="3284"/>
      <c r="I39" s="3285">
        <f t="shared" si="5"/>
        <v>0</v>
      </c>
      <c r="J39" s="3285">
        <f t="shared" si="6"/>
        <v>0</v>
      </c>
      <c r="K39" s="3284" t="str">
        <f t="shared" si="7"/>
        <v>Linear</v>
      </c>
      <c r="L39" s="3285">
        <f t="shared" si="2"/>
        <v>0</v>
      </c>
      <c r="M39" s="3284" t="str">
        <f t="shared" si="8"/>
        <v>Linear</v>
      </c>
      <c r="N39" s="3270">
        <f>IF(ABS(-$L19*((MIN($C39,D39)*MIN(20,time_tot))+IF(E39="Immediate",IF(D39&gt;$C39,D39*MIN(20,time_tot),0),IF($C39&gt;D39,($C39-D39)*IF(time&gt;20,IF(E39="Linear",time-((time-20)^2)/(2*time),(0.215*time)-(time/4.6)*(EXP(-92.1/time)-0.01)),time*(1-VLOOKUP(E39, list!$J$48:$K$50,2,))),(D39-$C39)*IF(time_tot&gt;time+20,20,IF(time_tot&lt;20,(time*VLOOKUP(E39, list!$J$48:$K$50,2,))+(time_tot-time),((MIN(20,time)*VLOOKUP(E39, list!$J$48:$K$50,2,))+(time_tot-MIN(20,time))-IF(E39="Exponential",time_tot-20+0.217*time*(EXP(4.606*(20-time_tot)/time)-1),((time_tot-20)^2)*(0.5/time)))))))))&gt;=ABS(L19*20*MAX(D39,C39)), -L19*20*MAX(D39,C39), -$L19*((MIN($C39,D39)*MIN(20,time_tot))+IF(E39="Immediate",IF(D39&gt;$C39,D39*MIN(20,time_tot),0),IF($C39&gt;D39,($C39-D39)*IF(time&gt;20,IF(E39="Linear",time-((time-20)^2)/(2*time),(0.215*time)-(time/4.6)*(EXP(-92.1/time)-0.01)),time*(1-VLOOKUP(E39, list!$J$48:$K$50,2,))),(D39-$C39)*IF(time_tot&gt;time+20,20,IF(time_tot&lt;20,(time*VLOOKUP(E39, list!$J$48:$K$50,2,))+(time_tot-time),((MIN(20,time)*VLOOKUP(E39, list!$J$48:$K$50,2,))+(time_tot-MIN(20,time))-IF(E39="Exponential",time_tot-20+0.217*time*(EXP(4.606*(20-time_tot)/time)-1),((time_tot-20)^2)*(0.5/time)))))))))</f>
        <v>0</v>
      </c>
      <c r="O39" s="3271">
        <f>IF(ABS(-$L19*((MIN($C39,F39)*MIN(20,time_tot))+IF(G39="Immediate",IF(F39&gt;$C39,F39*MIN(20,time_tot),0),IF($C39&gt;F39,($C39-F39)*IF(time&gt;20,IF(G39="Linear",time-((time-20)^2)/(2*time),(0.215*time)-(time/4.6)*(EXP(-92.1/time)-0.01)),time*(1-VLOOKUP(G39, list!$J$48:$K$50,2,))),(F39-$C39)*IF(time_tot&gt;time+20,20,IF(time_tot&lt;20,(time*VLOOKUP(G39, list!$J$48:$K$50,2,))+(time_tot-time),((MIN(20,time)*VLOOKUP(G39, list!$J$48:$K$50,2,))+(time_tot-MIN(20,time))-IF(G39="Exponential",time_tot-20+0.217*time*(EXP(4.606*(20-time_tot)/time)-1),((time_tot-20)^2)*(0.5/time)))))))))&gt;=ABS(L19*20*MAX(C39,F39)), -L19*20*MAX(C39,F39), -$L19*((MIN($C39,F39)*MIN(20,time_tot))+IF(G39="Immediate",IF(F39&gt;$C39,F39*MIN(20,time_tot),0),IF($C39&gt;F39,($C39-F39)*IF(time&gt;20,IF(G39="Linear",time-((time-20)^2)/(2*time),(0.215*time)-(time/4.6)*(EXP(-92.1/time)-0.01)),time*(1-VLOOKUP(G39, list!$J$48:$K$50,2,))),(F39-$C39)*IF(time_tot&gt;time+20,20,IF(time_tot&lt;20,(time*VLOOKUP(G39, list!$J$48:$K$50,2,))+(time_tot-time),((MIN(20,time)*VLOOKUP(G39, list!$J$48:$K$50,2,))+(time_tot-MIN(20,time))-IF(G39="Exponential",time_tot-20+0.217*time*(EXP(4.606*(20-time_tot)/time)-1),((time_tot-20)^2)*(0.5/time)))))))))</f>
        <v>0</v>
      </c>
      <c r="P39" s="3256">
        <f>(MIN(I39,J39)*time_tot+ABS(J39-I39)*IF(J39 &gt; I39, time_cap+time*(VLOOKUP(K39, list!$J$48:$K$50,2,)),time*(1-(VLOOKUP(K39, list!$J$48:$K$50,2,)))))*$N19*methane/1000</f>
        <v>0</v>
      </c>
      <c r="Q39" s="3256">
        <f>(MIN(I39,L39)*time_tot+ABS(L39-I39)*IF(L39&gt;I39, time_cap+time*(VLOOKUP(M39, list!$J$48:$K$50,2,)),time*(1-(VLOOKUP(M39, list!$J$48:$K$50,2,)))))*$N19*methane/1000</f>
        <v>0</v>
      </c>
      <c r="R39" s="3256">
        <f>(MIN(C39,D39)*time_tot+ABS(D39-C39)*IF(D39&gt;C39,time_cap+time*(VLOOKUP(E39, list!$J$48:$K$50,2,)),time*(1-(VLOOKUP(E39, list!$J$48:$K$50,2,)))))*($O19+P19)</f>
        <v>0</v>
      </c>
      <c r="S39" s="3256">
        <f>(MIN(C39,F39)*time_tot+ABS(F39-C39)*IF(F39&gt;C39, time_cap + time*(VLOOKUP(G39, list!$J$48:$K$50,2,)),time*(1-(VLOOKUP(G39, list!$J$48:$K$50,2,)))))*($O19+P19)</f>
        <v>0</v>
      </c>
      <c r="T39" s="3642">
        <f t="shared" si="17"/>
        <v>0</v>
      </c>
      <c r="U39" s="3642">
        <f t="shared" si="18"/>
        <v>0</v>
      </c>
      <c r="V39" s="3354">
        <f t="shared" si="13"/>
        <v>0</v>
      </c>
      <c r="Z39" s="3328">
        <f>$Q19*(time*((ABS(D39-C39)*(IF(C39&lt;=D39,VLOOKUP(E39, list!$J$48:$K$50,2,),1-VLOOKUP(E39, list!$J$48:$K$50,2,))))+MIN(D39,C39))+(D39* time_cap))</f>
        <v>0</v>
      </c>
      <c r="AA39" s="3329">
        <f>$Q19*(time*((ABS(F39-C39)*(IF(C39&lt;=F39,VLOOKUP(G39, list!$J$48:$K$50,2,),1-VLOOKUP(G39, list!$J$48:$K$50,2,))))+MIN(F39,C39))+(F39* time_cap))</f>
        <v>0</v>
      </c>
      <c r="AB39" s="3330">
        <f t="shared" si="14"/>
        <v>0</v>
      </c>
      <c r="AK39" s="3646">
        <f t="shared" si="9"/>
        <v>0</v>
      </c>
      <c r="AL39" s="3647">
        <f t="shared" si="10"/>
        <v>0</v>
      </c>
      <c r="AM39" s="3647">
        <f t="shared" si="11"/>
        <v>0</v>
      </c>
      <c r="AN39" s="3647">
        <f t="shared" si="15"/>
        <v>0</v>
      </c>
      <c r="AO39" s="3648">
        <f t="shared" si="16"/>
        <v>0</v>
      </c>
    </row>
    <row r="40" spans="2:41" x14ac:dyDescent="0.2">
      <c r="B40" s="3284">
        <f t="shared" si="12"/>
        <v>0</v>
      </c>
      <c r="C40" s="3285">
        <f>'3.Cropland'!Q133</f>
        <v>0</v>
      </c>
      <c r="D40" s="3285">
        <f>'3.Cropland'!R133</f>
        <v>0</v>
      </c>
      <c r="E40" s="3284" t="str">
        <f>VLOOKUP('3.Cropland'!S133, list!$I$48:$J$50,2, FALSE)</f>
        <v>Linear</v>
      </c>
      <c r="F40" s="3285">
        <f>'3.Cropland'!T133</f>
        <v>0</v>
      </c>
      <c r="G40" s="3284" t="str">
        <f>VLOOKUP('3.Cropland'!U133, list!$I$48:$J$50,2, FALSE)</f>
        <v>Linear</v>
      </c>
      <c r="H40" s="3284"/>
      <c r="I40" s="3285">
        <f t="shared" si="5"/>
        <v>0</v>
      </c>
      <c r="J40" s="3285">
        <f t="shared" si="6"/>
        <v>0</v>
      </c>
      <c r="K40" s="3284" t="str">
        <f t="shared" si="7"/>
        <v>Linear</v>
      </c>
      <c r="L40" s="3285">
        <f t="shared" si="2"/>
        <v>0</v>
      </c>
      <c r="M40" s="3284" t="str">
        <f t="shared" si="8"/>
        <v>Linear</v>
      </c>
      <c r="N40" s="3270">
        <f>IF(ABS(-$L20*((MIN($C40,D40)*MIN(20,time_tot))+IF(E40="Immediate",IF(D40&gt;$C40,D40*MIN(20,time_tot),0),IF($C40&gt;D40,($C40-D40)*IF(time&gt;20,IF(E40="Linear",time-((time-20)^2)/(2*time),(0.215*time)-(time/4.6)*(EXP(-92.1/time)-0.01)),time*(1-VLOOKUP(E40, list!$J$48:$K$50,2,))),(D40-$C40)*IF(time_tot&gt;time+20,20,IF(time_tot&lt;20,(time*VLOOKUP(E40, list!$J$48:$K$50,2,))+(time_tot-time),((MIN(20,time)*VLOOKUP(E40, list!$J$48:$K$50,2,))+(time_tot-MIN(20,time))-IF(E40="Exponential",time_tot-20+0.217*time*(EXP(4.606*(20-time_tot)/time)-1),((time_tot-20)^2)*(0.5/time)))))))))&gt;=ABS(L20*20*MAX(D40,C40)), -L20*20*MAX(D40,C40), -$L20*((MIN($C40,D40)*MIN(20,time_tot))+IF(E40="Immediate",IF(D40&gt;$C40,D40*MIN(20,time_tot),0),IF($C40&gt;D40,($C40-D40)*IF(time&gt;20,IF(E40="Linear",time-((time-20)^2)/(2*time),(0.215*time)-(time/4.6)*(EXP(-92.1/time)-0.01)),time*(1-VLOOKUP(E40, list!$J$48:$K$50,2,))),(D40-$C40)*IF(time_tot&gt;time+20,20,IF(time_tot&lt;20,(time*VLOOKUP(E40, list!$J$48:$K$50,2,))+(time_tot-time),((MIN(20,time)*VLOOKUP(E40, list!$J$48:$K$50,2,))+(time_tot-MIN(20,time))-IF(E40="Exponential",time_tot-20+0.217*time*(EXP(4.606*(20-time_tot)/time)-1),((time_tot-20)^2)*(0.5/time)))))))))</f>
        <v>0</v>
      </c>
      <c r="O40" s="3271">
        <f>IF(ABS(-$L20*((MIN($C40,F40)*MIN(20,time_tot))+IF(G40="Immediate",IF(F40&gt;$C40,F40*MIN(20,time_tot),0),IF($C40&gt;F40,($C40-F40)*IF(time&gt;20,IF(G40="Linear",time-((time-20)^2)/(2*time),(0.215*time)-(time/4.6)*(EXP(-92.1/time)-0.01)),time*(1-VLOOKUP(G40, list!$J$48:$K$50,2,))),(F40-$C40)*IF(time_tot&gt;time+20,20,IF(time_tot&lt;20,(time*VLOOKUP(G40, list!$J$48:$K$50,2,))+(time_tot-time),((MIN(20,time)*VLOOKUP(G40, list!$J$48:$K$50,2,))+(time_tot-MIN(20,time))-IF(G40="Exponential",time_tot-20+0.217*time*(EXP(4.606*(20-time_tot)/time)-1),((time_tot-20)^2)*(0.5/time)))))))))&gt;=ABS(L20*20*MAX(C40,F40)), -L20*20*MAX(C40,F40), -$L20*((MIN($C40,F40)*MIN(20,time_tot))+IF(G40="Immediate",IF(F40&gt;$C40,F40*MIN(20,time_tot),0),IF($C40&gt;F40,($C40-F40)*IF(time&gt;20,IF(G40="Linear",time-((time-20)^2)/(2*time),(0.215*time)-(time/4.6)*(EXP(-92.1/time)-0.01)),time*(1-VLOOKUP(G40, list!$J$48:$K$50,2,))),(F40-$C40)*IF(time_tot&gt;time+20,20,IF(time_tot&lt;20,(time*VLOOKUP(G40, list!$J$48:$K$50,2,))+(time_tot-time),((MIN(20,time)*VLOOKUP(G40, list!$J$48:$K$50,2,))+(time_tot-MIN(20,time))-IF(G40="Exponential",time_tot-20+0.217*time*(EXP(4.606*(20-time_tot)/time)-1),((time_tot-20)^2)*(0.5/time)))))))))</f>
        <v>0</v>
      </c>
      <c r="P40" s="3256">
        <f>(MIN(I40,J40)*time_tot+ABS(J40-I40)*IF(J40 &gt; I40, time_cap+time*(VLOOKUP(K40, list!$J$48:$K$50,2,)),time*(1-(VLOOKUP(K40, list!$J$48:$K$50,2,)))))*$N20*methane/1000</f>
        <v>0</v>
      </c>
      <c r="Q40" s="3256">
        <f>(MIN(I40,L40)*time_tot+ABS(L40-I40)*IF(L40&gt;I40, time_cap+time*(VLOOKUP(M40, list!$J$48:$K$50,2,)),time*(1-(VLOOKUP(M40, list!$J$48:$K$50,2,)))))*$N20*methane/1000</f>
        <v>0</v>
      </c>
      <c r="R40" s="3256">
        <f>(MIN(C40,D40)*time_tot+ABS(D40-C40)*IF(D40&gt;C40,time_cap+time*(VLOOKUP(E40, list!$J$48:$K$50,2,)),time*(1-(VLOOKUP(E40, list!$J$48:$K$50,2,)))))*($O20+P20)</f>
        <v>0</v>
      </c>
      <c r="S40" s="3256">
        <f>(MIN(C40,F40)*time_tot+ABS(F40-C40)*IF(F40&gt;C40, time_cap + time*(VLOOKUP(G40, list!$J$48:$K$50,2,)),time*(1-(VLOOKUP(G40, list!$J$48:$K$50,2,)))))*($O20+P20)</f>
        <v>0</v>
      </c>
      <c r="T40" s="3642">
        <f t="shared" si="17"/>
        <v>0</v>
      </c>
      <c r="U40" s="3642">
        <f t="shared" si="18"/>
        <v>0</v>
      </c>
      <c r="V40" s="3354">
        <f t="shared" si="13"/>
        <v>0</v>
      </c>
      <c r="Z40" s="3328">
        <f>$Q20*(time*((ABS(D40-C40)*(IF(C40&lt;=D40,VLOOKUP(E40, list!$J$48:$K$50,2,),1-VLOOKUP(E40, list!$J$48:$K$50,2,))))+MIN(D40,C40))+(D40* time_cap))</f>
        <v>0</v>
      </c>
      <c r="AA40" s="3329">
        <f>$Q20*(time*((ABS(F40-C40)*(IF(C40&lt;=F40,VLOOKUP(G40, list!$J$48:$K$50,2,),1-VLOOKUP(G40, list!$J$48:$K$50,2,))))+MIN(F40,C40))+(F40* time_cap))</f>
        <v>0</v>
      </c>
      <c r="AB40" s="3330">
        <f t="shared" si="14"/>
        <v>0</v>
      </c>
      <c r="AK40" s="3646">
        <f t="shared" si="9"/>
        <v>0</v>
      </c>
      <c r="AL40" s="3647">
        <f t="shared" si="10"/>
        <v>0</v>
      </c>
      <c r="AM40" s="3647">
        <f t="shared" si="11"/>
        <v>0</v>
      </c>
      <c r="AN40" s="3647">
        <f t="shared" si="15"/>
        <v>0</v>
      </c>
      <c r="AO40" s="3648">
        <f t="shared" si="16"/>
        <v>0</v>
      </c>
    </row>
    <row r="41" spans="2:41" x14ac:dyDescent="0.2">
      <c r="B41" s="3284">
        <f t="shared" si="12"/>
        <v>0</v>
      </c>
      <c r="C41" s="3285">
        <f>'3.Cropland'!Q134</f>
        <v>0</v>
      </c>
      <c r="D41" s="3285">
        <f>'3.Cropland'!R134</f>
        <v>0</v>
      </c>
      <c r="E41" s="3284" t="str">
        <f>VLOOKUP('3.Cropland'!S134, list!$I$48:$J$50,2, FALSE)</f>
        <v>Linear</v>
      </c>
      <c r="F41" s="3285">
        <f>'3.Cropland'!T134</f>
        <v>0</v>
      </c>
      <c r="G41" s="3284" t="str">
        <f>VLOOKUP('3.Cropland'!U134, list!$I$48:$J$50,2, FALSE)</f>
        <v>Linear</v>
      </c>
      <c r="H41" s="3284"/>
      <c r="I41" s="3285">
        <f t="shared" si="5"/>
        <v>0</v>
      </c>
      <c r="J41" s="3285">
        <f t="shared" si="6"/>
        <v>0</v>
      </c>
      <c r="K41" s="3284" t="str">
        <f t="shared" si="7"/>
        <v>Linear</v>
      </c>
      <c r="L41" s="3285">
        <f t="shared" si="2"/>
        <v>0</v>
      </c>
      <c r="M41" s="3284" t="str">
        <f t="shared" si="8"/>
        <v>Linear</v>
      </c>
      <c r="N41" s="3270">
        <f>IF(ABS(-$L21*((MIN($C41,D41)*MIN(20,time_tot))+IF(E41="Immediate",IF(D41&gt;$C41,D41*MIN(20,time_tot),0),IF($C41&gt;D41,($C41-D41)*IF(time&gt;20,IF(E41="Linear",time-((time-20)^2)/(2*time),(0.215*time)-(time/4.6)*(EXP(-92.1/time)-0.01)),time*(1-VLOOKUP(E41, list!$J$48:$K$50,2,))),(D41-$C41)*IF(time_tot&gt;time+20,20,IF(time_tot&lt;20,(time*VLOOKUP(E41, list!$J$48:$K$50,2,))+(time_tot-time),((MIN(20,time)*VLOOKUP(E41, list!$J$48:$K$50,2,))+(time_tot-MIN(20,time))-IF(E41="Exponential",time_tot-20+0.217*time*(EXP(4.606*(20-time_tot)/time)-1),((time_tot-20)^2)*(0.5/time)))))))))&gt;=ABS(L21*20*MAX(D41,C41)), -L21*20*MAX(D41,C41), -$L21*((MIN($C41,D41)*MIN(20,time_tot))+IF(E41="Immediate",IF(D41&gt;$C41,D41*MIN(20,time_tot),0),IF($C41&gt;D41,($C41-D41)*IF(time&gt;20,IF(E41="Linear",time-((time-20)^2)/(2*time),(0.215*time)-(time/4.6)*(EXP(-92.1/time)-0.01)),time*(1-VLOOKUP(E41, list!$J$48:$K$50,2,))),(D41-$C41)*IF(time_tot&gt;time+20,20,IF(time_tot&lt;20,(time*VLOOKUP(E41, list!$J$48:$K$50,2,))+(time_tot-time),((MIN(20,time)*VLOOKUP(E41, list!$J$48:$K$50,2,))+(time_tot-MIN(20,time))-IF(E41="Exponential",time_tot-20+0.217*time*(EXP(4.606*(20-time_tot)/time)-1),((time_tot-20)^2)*(0.5/time)))))))))</f>
        <v>0</v>
      </c>
      <c r="O41" s="3271">
        <f>IF(ABS(-$L21*((MIN($C41,F41)*MIN(20,time_tot))+IF(G41="Immediate",IF(F41&gt;$C41,F41*MIN(20,time_tot),0),IF($C41&gt;F41,($C41-F41)*IF(time&gt;20,IF(G41="Linear",time-((time-20)^2)/(2*time),(0.215*time)-(time/4.6)*(EXP(-92.1/time)-0.01)),time*(1-VLOOKUP(G41, list!$J$48:$K$50,2,))),(F41-$C41)*IF(time_tot&gt;time+20,20,IF(time_tot&lt;20,(time*VLOOKUP(G41, list!$J$48:$K$50,2,))+(time_tot-time),((MIN(20,time)*VLOOKUP(G41, list!$J$48:$K$50,2,))+(time_tot-MIN(20,time))-IF(G41="Exponential",time_tot-20+0.217*time*(EXP(4.606*(20-time_tot)/time)-1),((time_tot-20)^2)*(0.5/time)))))))))&gt;=ABS(L21*20*MAX(C41,F41)), -L21*20*MAX(C41,F41), -$L21*((MIN($C41,F41)*MIN(20,time_tot))+IF(G41="Immediate",IF(F41&gt;$C41,F41*MIN(20,time_tot),0),IF($C41&gt;F41,($C41-F41)*IF(time&gt;20,IF(G41="Linear",time-((time-20)^2)/(2*time),(0.215*time)-(time/4.6)*(EXP(-92.1/time)-0.01)),time*(1-VLOOKUP(G41, list!$J$48:$K$50,2,))),(F41-$C41)*IF(time_tot&gt;time+20,20,IF(time_tot&lt;20,(time*VLOOKUP(G41, list!$J$48:$K$50,2,))+(time_tot-time),((MIN(20,time)*VLOOKUP(G41, list!$J$48:$K$50,2,))+(time_tot-MIN(20,time))-IF(G41="Exponential",time_tot-20+0.217*time*(EXP(4.606*(20-time_tot)/time)-1),((time_tot-20)^2)*(0.5/time)))))))))</f>
        <v>0</v>
      </c>
      <c r="P41" s="3256">
        <f>(MIN(I41,J41)*time_tot+ABS(J41-I41)*IF(J41 &gt; I41, time_cap+time*(VLOOKUP(K41, list!$J$48:$K$50,2,)),time*(1-(VLOOKUP(K41, list!$J$48:$K$50,2,)))))*$N21*methane/1000</f>
        <v>0</v>
      </c>
      <c r="Q41" s="3256">
        <f>(MIN(I41,L41)*time_tot+ABS(L41-I41)*IF(L41&gt;I41, time_cap+time*(VLOOKUP(M41, list!$J$48:$K$50,2,)),time*(1-(VLOOKUP(M41, list!$J$48:$K$50,2,)))))*$N21*methane/1000</f>
        <v>0</v>
      </c>
      <c r="R41" s="3256">
        <f>(MIN(C41,D41)*time_tot+ABS(D41-C41)*IF(D41&gt;C41,time_cap+time*(VLOOKUP(E41, list!$J$48:$K$50,2,)),time*(1-(VLOOKUP(E41, list!$J$48:$K$50,2,)))))*($O21+P21)</f>
        <v>0</v>
      </c>
      <c r="S41" s="3256">
        <f>(MIN(C41,F41)*time_tot+ABS(F41-C41)*IF(F41&gt;C41, time_cap + time*(VLOOKUP(G41, list!$J$48:$K$50,2,)),time*(1-(VLOOKUP(G41, list!$J$48:$K$50,2,)))))*($O21+P21)</f>
        <v>0</v>
      </c>
      <c r="T41" s="3642">
        <f t="shared" si="17"/>
        <v>0</v>
      </c>
      <c r="U41" s="3642">
        <f t="shared" si="18"/>
        <v>0</v>
      </c>
      <c r="V41" s="3354">
        <f t="shared" si="13"/>
        <v>0</v>
      </c>
      <c r="Z41" s="3328">
        <f>$Q21*(time*((ABS(D41-C41)*(IF(C41&lt;=D41,VLOOKUP(E41, list!$J$48:$K$50,2,),1-VLOOKUP(E41, list!$J$48:$K$50,2,))))+MIN(D41,C41))+(D41* time_cap))</f>
        <v>0</v>
      </c>
      <c r="AA41" s="3329">
        <f>$Q21*(time*((ABS(F41-C41)*(IF(C41&lt;=F41,VLOOKUP(G41, list!$J$48:$K$50,2,),1-VLOOKUP(G41, list!$J$48:$K$50,2,))))+MIN(F41,C41))+(F41* time_cap))</f>
        <v>0</v>
      </c>
      <c r="AB41" s="3330">
        <f t="shared" si="14"/>
        <v>0</v>
      </c>
      <c r="AK41" s="3646">
        <f t="shared" si="9"/>
        <v>0</v>
      </c>
      <c r="AL41" s="3647">
        <f t="shared" si="10"/>
        <v>0</v>
      </c>
      <c r="AM41" s="3647">
        <f t="shared" si="11"/>
        <v>0</v>
      </c>
      <c r="AN41" s="3647">
        <f t="shared" si="15"/>
        <v>0</v>
      </c>
      <c r="AO41" s="3648">
        <f t="shared" si="16"/>
        <v>0</v>
      </c>
    </row>
    <row r="42" spans="2:41" x14ac:dyDescent="0.2">
      <c r="B42" s="3284">
        <f t="shared" si="12"/>
        <v>0</v>
      </c>
      <c r="C42" s="3285">
        <f>'3.Cropland'!Q135</f>
        <v>0</v>
      </c>
      <c r="D42" s="3285">
        <f>'3.Cropland'!R135</f>
        <v>0</v>
      </c>
      <c r="E42" s="3284" t="str">
        <f>VLOOKUP('3.Cropland'!S135, list!$I$48:$J$50,2, FALSE)</f>
        <v>Linear</v>
      </c>
      <c r="F42" s="3285">
        <f>'3.Cropland'!T135</f>
        <v>0</v>
      </c>
      <c r="G42" s="3284" t="str">
        <f>VLOOKUP('3.Cropland'!U135, list!$I$48:$J$50,2, FALSE)</f>
        <v>Linear</v>
      </c>
      <c r="H42" s="3284"/>
      <c r="I42" s="3285">
        <f t="shared" si="5"/>
        <v>0</v>
      </c>
      <c r="J42" s="3285">
        <f t="shared" si="6"/>
        <v>0</v>
      </c>
      <c r="K42" s="3284" t="str">
        <f t="shared" si="7"/>
        <v>Linear</v>
      </c>
      <c r="L42" s="3285">
        <f t="shared" si="2"/>
        <v>0</v>
      </c>
      <c r="M42" s="3284" t="str">
        <f t="shared" si="8"/>
        <v>Linear</v>
      </c>
      <c r="N42" s="3270">
        <f>IF(ABS(-$L22*((MIN($C42,D42)*MIN(20,time_tot))+IF(E42="Immediate",IF(D42&gt;$C42,D42*MIN(20,time_tot),0),IF($C42&gt;D42,($C42-D42)*IF(time&gt;20,IF(E42="Linear",time-((time-20)^2)/(2*time),(0.215*time)-(time/4.6)*(EXP(-92.1/time)-0.01)),time*(1-VLOOKUP(E42, list!$J$48:$K$50,2,))),(D42-$C42)*IF(time_tot&gt;time+20,20,IF(time_tot&lt;20,(time*VLOOKUP(E42, list!$J$48:$K$50,2,))+(time_tot-time),((MIN(20,time)*VLOOKUP(E42, list!$J$48:$K$50,2,))+(time_tot-MIN(20,time))-IF(E42="Exponential",time_tot-20+0.217*time*(EXP(4.606*(20-time_tot)/time)-1),((time_tot-20)^2)*(0.5/time)))))))))&gt;=ABS(L22*20*MAX(D42,C42)), -L22*20*MAX(D42,C42), -$L22*((MIN($C42,D42)*MIN(20,time_tot))+IF(E42="Immediate",IF(D42&gt;$C42,D42*MIN(20,time_tot),0),IF($C42&gt;D42,($C42-D42)*IF(time&gt;20,IF(E42="Linear",time-((time-20)^2)/(2*time),(0.215*time)-(time/4.6)*(EXP(-92.1/time)-0.01)),time*(1-VLOOKUP(E42, list!$J$48:$K$50,2,))),(D42-$C42)*IF(time_tot&gt;time+20,20,IF(time_tot&lt;20,(time*VLOOKUP(E42, list!$J$48:$K$50,2,))+(time_tot-time),((MIN(20,time)*VLOOKUP(E42, list!$J$48:$K$50,2,))+(time_tot-MIN(20,time))-IF(E42="Exponential",time_tot-20+0.217*time*(EXP(4.606*(20-time_tot)/time)-1),((time_tot-20)^2)*(0.5/time)))))))))</f>
        <v>0</v>
      </c>
      <c r="O42" s="3271">
        <f>IF(ABS(-$L22*((MIN($C42,F42)*MIN(20,time_tot))+IF(G42="Immediate",IF(F42&gt;$C42,F42*MIN(20,time_tot),0),IF($C42&gt;F42,($C42-F42)*IF(time&gt;20,IF(G42="Linear",time-((time-20)^2)/(2*time),(0.215*time)-(time/4.6)*(EXP(-92.1/time)-0.01)),time*(1-VLOOKUP(G42, list!$J$48:$K$50,2,))),(F42-$C42)*IF(time_tot&gt;time+20,20,IF(time_tot&lt;20,(time*VLOOKUP(G42, list!$J$48:$K$50,2,))+(time_tot-time),((MIN(20,time)*VLOOKUP(G42, list!$J$48:$K$50,2,))+(time_tot-MIN(20,time))-IF(G42="Exponential",time_tot-20+0.217*time*(EXP(4.606*(20-time_tot)/time)-1),((time_tot-20)^2)*(0.5/time)))))))))&gt;=ABS(L22*20*MAX(C42,F42)), -L22*20*MAX(C42,F42), -$L22*((MIN($C42,F42)*MIN(20,time_tot))+IF(G42="Immediate",IF(F42&gt;$C42,F42*MIN(20,time_tot),0),IF($C42&gt;F42,($C42-F42)*IF(time&gt;20,IF(G42="Linear",time-((time-20)^2)/(2*time),(0.215*time)-(time/4.6)*(EXP(-92.1/time)-0.01)),time*(1-VLOOKUP(G42, list!$J$48:$K$50,2,))),(F42-$C42)*IF(time_tot&gt;time+20,20,IF(time_tot&lt;20,(time*VLOOKUP(G42, list!$J$48:$K$50,2,))+(time_tot-time),((MIN(20,time)*VLOOKUP(G42, list!$J$48:$K$50,2,))+(time_tot-MIN(20,time))-IF(G42="Exponential",time_tot-20+0.217*time*(EXP(4.606*(20-time_tot)/time)-1),((time_tot-20)^2)*(0.5/time)))))))))</f>
        <v>0</v>
      </c>
      <c r="P42" s="3256">
        <f>(MIN(I42,J42)*time_tot+ABS(J42-I42)*IF(J42 &gt; I42, time_cap+time*(VLOOKUP(K42, list!$J$48:$K$50,2,)),time*(1-(VLOOKUP(K42, list!$J$48:$K$50,2,)))))*$N22*methane/1000</f>
        <v>0</v>
      </c>
      <c r="Q42" s="3256">
        <f>(MIN(I42,L42)*time_tot+ABS(L42-I42)*IF(L42&gt;I42, time_cap+time*(VLOOKUP(M42, list!$J$48:$K$50,2,)),time*(1-(VLOOKUP(M42, list!$J$48:$K$50,2,)))))*$N22*methane/1000</f>
        <v>0</v>
      </c>
      <c r="R42" s="3256">
        <f>(MIN(C42,D42)*time_tot+ABS(D42-C42)*IF(D42&gt;C42,time_cap+time*(VLOOKUP(E42, list!$J$48:$K$50,2,)),time*(1-(VLOOKUP(E42, list!$J$48:$K$50,2,)))))*($O22+P22)</f>
        <v>0</v>
      </c>
      <c r="S42" s="3256">
        <f>(MIN(C42,F42)*time_tot+ABS(F42-C42)*IF(F42&gt;C42, time_cap + time*(VLOOKUP(G42, list!$J$48:$K$50,2,)),time*(1-(VLOOKUP(G42, list!$J$48:$K$50,2,)))))*($O22+P22)</f>
        <v>0</v>
      </c>
      <c r="T42" s="3642">
        <f t="shared" si="17"/>
        <v>0</v>
      </c>
      <c r="U42" s="3642">
        <f t="shared" si="18"/>
        <v>0</v>
      </c>
      <c r="V42" s="3354">
        <f t="shared" si="13"/>
        <v>0</v>
      </c>
      <c r="Z42" s="3328">
        <f>$Q22*(time*((ABS(D42-C42)*(IF(C42&lt;=D42,VLOOKUP(E42, list!$J$48:$K$50,2,),1-VLOOKUP(E42, list!$J$48:$K$50,2,))))+MIN(D42,C42))+(D42* time_cap))</f>
        <v>0</v>
      </c>
      <c r="AA42" s="3329">
        <f>$Q22*(time*((ABS(F42-C42)*(IF(C42&lt;=F42,VLOOKUP(G42, list!$J$48:$K$50,2,),1-VLOOKUP(G42, list!$J$48:$K$50,2,))))+MIN(F42,C42))+(F42* time_cap))</f>
        <v>0</v>
      </c>
      <c r="AB42" s="3330">
        <f t="shared" si="14"/>
        <v>0</v>
      </c>
      <c r="AK42" s="3646">
        <f t="shared" si="9"/>
        <v>0</v>
      </c>
      <c r="AL42" s="3647">
        <f t="shared" si="10"/>
        <v>0</v>
      </c>
      <c r="AM42" s="3647">
        <f t="shared" si="11"/>
        <v>0</v>
      </c>
      <c r="AN42" s="3647">
        <f t="shared" si="15"/>
        <v>0</v>
      </c>
      <c r="AO42" s="3648">
        <f t="shared" si="16"/>
        <v>0</v>
      </c>
    </row>
    <row r="43" spans="2:41" x14ac:dyDescent="0.2">
      <c r="B43" s="3284">
        <f t="shared" si="12"/>
        <v>0</v>
      </c>
      <c r="C43" s="3285">
        <f>'3.Cropland'!Q136</f>
        <v>0</v>
      </c>
      <c r="D43" s="3285">
        <f>'3.Cropland'!R136</f>
        <v>0</v>
      </c>
      <c r="E43" s="3284" t="str">
        <f>VLOOKUP('3.Cropland'!S136, list!$I$48:$J$50,2, FALSE)</f>
        <v>Linear</v>
      </c>
      <c r="F43" s="3285">
        <f>'3.Cropland'!T136</f>
        <v>0</v>
      </c>
      <c r="G43" s="3284" t="str">
        <f>VLOOKUP('3.Cropland'!U136, list!$I$48:$J$50,2, FALSE)</f>
        <v>Linear</v>
      </c>
      <c r="H43" s="3284"/>
      <c r="I43" s="3285">
        <f t="shared" si="5"/>
        <v>0</v>
      </c>
      <c r="J43" s="3285">
        <f t="shared" si="6"/>
        <v>0</v>
      </c>
      <c r="K43" s="3284" t="str">
        <f t="shared" si="7"/>
        <v>Linear</v>
      </c>
      <c r="L43" s="3285">
        <f t="shared" si="2"/>
        <v>0</v>
      </c>
      <c r="M43" s="3284" t="str">
        <f t="shared" si="8"/>
        <v>Linear</v>
      </c>
      <c r="N43" s="3270">
        <f>IF(ABS(-$L23*((MIN($C43,D43)*MIN(20,time_tot))+IF(E43="Immediate",IF(D43&gt;$C43,D43*MIN(20,time_tot),0),IF($C43&gt;D43,($C43-D43)*IF(time&gt;20,IF(E43="Linear",time-((time-20)^2)/(2*time),(0.215*time)-(time/4.6)*(EXP(-92.1/time)-0.01)),time*(1-VLOOKUP(E43,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list!$J$48:$K$50,2,))+(time_tot-MIN(20,time))-IF(E43="Exponential",time_tot-20+0.217*time*(EXP(4.606*(20-time_tot)/time)-1),((time_tot-20)^2)*(0.5/time)))))))))&gt;=ABS(L23*20*MAX(D43,C43)), -L23*20*MAX(D43,C43), -$L23*((MIN($C43,D43)*MIN(20,time_tot))+IF(E43="Immediate",IF(D43&gt;$C43,D43*MIN(20,time_tot),0),IF($C43&gt;D43,($C43-D43)*IF(time&gt;20,IF(E43="Linear",time-((time-20)^2)/(2*time),(0.215*time)-(time/4.6)*(EXP(-92.1/time)-0.01)),time*(1-VLOOKUP(E43,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f>
        <v>0</v>
      </c>
      <c r="O43" s="3271">
        <f>IF(ABS(-$L23*((MIN($C43,F43)*MIN(20,time_tot))+IF(G43="Immediate",IF(F43&gt;$C43,F43*MIN(20,time_tot),0),IF($C43&gt;F43,($C43-F43)*IF(time&gt;20,IF(G43="Linear",time-((time-20)^2)/(2*time),(0.215*time)-(time/4.6)*(EXP(-92.1/time)-0.01)),time*(1-VLOOKUP(G43,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list!$J$48:$K$50,2,))+(time_tot-MIN(20,time))-IF(G43="Exponential",time_tot-20+0.217*time*(EXP(4.606*(20-time_tot)/time)-1),((time_tot-20)^2)*(0.5/time)))))))))&gt;=ABS(L23*20*MAX(C43,F43)), -L23*20*MAX(C43,F43), -$L23*((MIN($C43,F43)*MIN(20,time_tot))+IF(G43="Immediate",IF(F43&gt;$C43,F43*MIN(20,time_tot),0),IF($C43&gt;F43,($C43-F43)*IF(time&gt;20,IF(G43="Linear",time-((time-20)^2)/(2*time),(0.215*time)-(time/4.6)*(EXP(-92.1/time)-0.01)),time*(1-VLOOKUP(G43,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f>
        <v>0</v>
      </c>
      <c r="P43" s="3260">
        <f>(MIN(I43,J43)*time_tot+ABS(J43-I43)*IF(J43 &gt; I43, time_cap+time*(VLOOKUP(K43, list!$J$48:$K$50,2,)),time*(1-(VLOOKUP(K43, list!$J$48:$K$50,2,)))))*$N23*methane/1000</f>
        <v>0</v>
      </c>
      <c r="Q43" s="3260">
        <f>(MIN(I43,L43)*time_tot+ABS(L43-I43)*IF(L43&gt;I43, time_cap+time*(VLOOKUP(M43, list!$J$48:$K$50,2,)),time*(1-(VLOOKUP(M43, list!$J$48:$K$50,2,)))))*$N23*methane/1000</f>
        <v>0</v>
      </c>
      <c r="R43" s="3260">
        <f>(MIN(C43,D43)*time_tot+ABS(D43-C43)*IF(D43&gt;C43,time_cap+time*(VLOOKUP(E43, list!$J$48:$K$50,2,)),time*(1-(VLOOKUP(E43, list!$J$48:$K$50,2,)))))*($O23+P23)</f>
        <v>0</v>
      </c>
      <c r="S43" s="3260">
        <f>(MIN(C43,F43)*time_tot+ABS(F43-C43)*IF(F43&gt;C43, time_cap + time*(VLOOKUP(G43, list!$J$48:$K$50,2,)),time*(1-(VLOOKUP(G43, list!$J$48:$K$50,2,)))))*($O23+P23)</f>
        <v>0</v>
      </c>
      <c r="T43" s="3657">
        <f t="shared" si="17"/>
        <v>0</v>
      </c>
      <c r="U43" s="3657">
        <f t="shared" si="18"/>
        <v>0</v>
      </c>
      <c r="V43" s="3355">
        <f t="shared" si="13"/>
        <v>0</v>
      </c>
      <c r="Z43" s="3331">
        <f>$Q23*(time*((ABS(D43-C43)*(IF(C43&lt;=D43,VLOOKUP(E43, list!$J$48:$K$50,2,),1-VLOOKUP(E43, list!$J$48:$K$50,2,))))+MIN(D43,C43))+(D43* time_cap))</f>
        <v>0</v>
      </c>
      <c r="AA43" s="3332">
        <f>$Q23*(time*((ABS(F43-C43)*(IF(C43&lt;=F43,VLOOKUP(G43, list!$J$48:$K$50,2,),1-VLOOKUP(G43, list!$J$48:$K$50,2,))))+MIN(F43,C43))+(F43* time_cap))</f>
        <v>0</v>
      </c>
      <c r="AB43" s="3333">
        <f t="shared" si="14"/>
        <v>0</v>
      </c>
      <c r="AK43" s="3649">
        <f t="shared" si="9"/>
        <v>0</v>
      </c>
      <c r="AL43" s="3650">
        <f t="shared" si="10"/>
        <v>0</v>
      </c>
      <c r="AM43" s="3650">
        <f t="shared" si="11"/>
        <v>0</v>
      </c>
      <c r="AN43" s="3650">
        <f t="shared" si="15"/>
        <v>0</v>
      </c>
      <c r="AO43" s="3651">
        <f t="shared" si="16"/>
        <v>0</v>
      </c>
    </row>
    <row r="44" spans="2:41" x14ac:dyDescent="0.2">
      <c r="B44" s="3348" t="s">
        <v>778</v>
      </c>
      <c r="C44" s="3382">
        <f>SUM(C34:C43)</f>
        <v>12</v>
      </c>
      <c r="D44" s="3382">
        <f>SUM(D34:D43)</f>
        <v>12</v>
      </c>
      <c r="E44" s="738"/>
      <c r="F44" s="3382">
        <f>SUM(F34:F43)</f>
        <v>12</v>
      </c>
      <c r="G44" s="3381" t="str">
        <f>IF(C44=D44, IF(D44=F44, "", "            Please check areas!"), "            Please check areas!")</f>
        <v/>
      </c>
      <c r="H44" s="3381"/>
      <c r="I44" s="3383">
        <f>SUM(I34:I43)</f>
        <v>12</v>
      </c>
      <c r="J44" s="3384">
        <f>SUM(J34:J43)</f>
        <v>12</v>
      </c>
      <c r="K44" s="3384"/>
      <c r="L44" s="3383">
        <f>SUM(L34:L43)</f>
        <v>12</v>
      </c>
      <c r="M44" s="3385"/>
      <c r="N44" s="3528"/>
      <c r="O44" s="3528"/>
      <c r="P44" s="3528"/>
      <c r="Q44" s="3528"/>
      <c r="R44" s="3528"/>
      <c r="S44" s="3528"/>
      <c r="T44" s="3528"/>
      <c r="U44" s="3528"/>
      <c r="V44" s="3528"/>
      <c r="AJ44" s="461" t="s">
        <v>235</v>
      </c>
      <c r="AK44" s="811">
        <f>SUM(AK30:AK43)</f>
        <v>12</v>
      </c>
      <c r="AL44" s="811">
        <f>SUM(AL30:AL43)</f>
        <v>12</v>
      </c>
      <c r="AM44" s="811">
        <f>SUM(AM30:AM43)</f>
        <v>12</v>
      </c>
      <c r="AN44" s="811">
        <f>SUM(AN30:AN43)</f>
        <v>224.16666666666666</v>
      </c>
      <c r="AO44" s="811">
        <f>SUM(AO30:AO43)</f>
        <v>224.16666666666666</v>
      </c>
    </row>
    <row r="45" spans="2:41" x14ac:dyDescent="0.2">
      <c r="R45" s="2809"/>
      <c r="S45" s="3356" t="s">
        <v>779</v>
      </c>
      <c r="T45" s="3357">
        <f>IF(COUNTIF(V30:V33,"MISSING DATA")&gt;0,"MISSING DATA",SUM(T30:T43))</f>
        <v>1538.0346240000003</v>
      </c>
      <c r="U45" s="3357">
        <f>IF(COUNTIF(V30:V33,"MISSING DATA")&gt;0,"MISSING DATA",SUM(U30:U43))</f>
        <v>1538.0346240000003</v>
      </c>
      <c r="V45" s="3357">
        <f>IF(COUNTIF(V30:V33,"MISSING DATA")&gt;0,"MISSING DATA",SUM(V30:V43))</f>
        <v>0</v>
      </c>
    </row>
    <row r="47" spans="2:41" x14ac:dyDescent="0.2">
      <c r="I47" s="386"/>
      <c r="K47" s="71"/>
      <c r="L47" s="71"/>
      <c r="M47" s="71"/>
      <c r="N47" s="71"/>
      <c r="O47" s="71"/>
      <c r="P47" s="71"/>
      <c r="Q47" s="71"/>
      <c r="U47" s="1079" t="s">
        <v>629</v>
      </c>
      <c r="V47" s="1079">
        <f>SUM('3.Cropland'!BG127:BG136)</f>
        <v>0</v>
      </c>
    </row>
    <row r="48" spans="2:41" x14ac:dyDescent="0.2">
      <c r="I48" s="337"/>
      <c r="J48" s="58"/>
      <c r="K48" s="2263"/>
      <c r="L48" s="2264"/>
      <c r="M48" s="71"/>
      <c r="N48" s="71"/>
      <c r="O48" s="71"/>
      <c r="P48" s="71"/>
      <c r="Q48" s="71"/>
    </row>
    <row r="49" spans="11:17" x14ac:dyDescent="0.2">
      <c r="K49" s="2265"/>
      <c r="L49" s="2266"/>
      <c r="M49" s="2267"/>
      <c r="N49" s="71"/>
      <c r="O49" s="2263"/>
      <c r="P49" s="71"/>
      <c r="Q49" s="71"/>
    </row>
    <row r="50" spans="11:17" x14ac:dyDescent="0.2">
      <c r="K50" s="2266"/>
      <c r="L50" s="2263"/>
      <c r="M50" s="2267"/>
      <c r="N50" s="2263"/>
      <c r="O50" s="2268"/>
      <c r="P50" s="71"/>
      <c r="Q50" s="71"/>
    </row>
    <row r="51" spans="11:17" x14ac:dyDescent="0.2">
      <c r="K51" s="2266"/>
      <c r="L51" s="2267"/>
      <c r="M51" s="71"/>
      <c r="N51" s="2269"/>
      <c r="O51" s="71"/>
      <c r="P51" s="71"/>
      <c r="Q51" s="71"/>
    </row>
    <row r="52" spans="11:17" x14ac:dyDescent="0.2">
      <c r="K52" s="2263"/>
      <c r="L52" s="71"/>
      <c r="M52" s="71"/>
      <c r="N52" s="71"/>
      <c r="O52" s="71"/>
      <c r="P52" s="71"/>
      <c r="Q52" s="71"/>
    </row>
  </sheetData>
  <mergeCells count="1">
    <mergeCell ref="P27:Q27"/>
  </mergeCells>
  <pageMargins left="0.7" right="0.7" top="0.75" bottom="0.75" header="0.3" footer="0.3"/>
  <pageSetup paperSize="9" orientation="portrait" r:id="rId1"/>
</worksheet>
</file>

<file path=xl/worksheets/sheet1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theme="0" tint="-4.9989318521683403E-2"/>
  </sheetPr>
  <dimension ref="A2:AS90"/>
  <sheetViews>
    <sheetView showGridLines="0" topLeftCell="U2" zoomScale="88" zoomScaleNormal="70" workbookViewId="0">
      <selection activeCell="AH15" sqref="AH15"/>
    </sheetView>
  </sheetViews>
  <sheetFormatPr baseColWidth="10" defaultColWidth="8.6640625" defaultRowHeight="15" x14ac:dyDescent="0.2"/>
  <cols>
    <col min="1" max="1" width="2.5" customWidth="1"/>
    <col min="2" max="2" width="24.5" customWidth="1"/>
    <col min="3" max="3" width="41.5" customWidth="1"/>
    <col min="4" max="4" width="11.5" customWidth="1"/>
    <col min="5" max="5" width="27.5" customWidth="1"/>
    <col min="6" max="6" width="13.6640625" customWidth="1"/>
    <col min="7" max="7" width="21.5" customWidth="1"/>
    <col min="8" max="8" width="17.6640625" customWidth="1"/>
    <col min="9" max="9" width="17.33203125" customWidth="1"/>
    <col min="10" max="10" width="19.33203125" customWidth="1"/>
    <col min="11" max="11" width="24.6640625" customWidth="1"/>
    <col min="12" max="12" width="17.5" customWidth="1"/>
    <col min="13" max="13" width="15.5" customWidth="1"/>
    <col min="14" max="14" width="14.6640625" customWidth="1"/>
    <col min="15" max="15" width="19" customWidth="1"/>
    <col min="16" max="16" width="34.5" bestFit="1" customWidth="1"/>
    <col min="17" max="17" width="26.33203125" customWidth="1"/>
    <col min="18" max="18" width="18.5" bestFit="1" customWidth="1"/>
    <col min="19" max="19" width="20.5" customWidth="1"/>
    <col min="20" max="20" width="18" customWidth="1"/>
    <col min="21" max="21" width="20.5" customWidth="1"/>
    <col min="22" max="22" width="26.5" customWidth="1"/>
    <col min="23" max="23" width="16.33203125" customWidth="1"/>
    <col min="24" max="24" width="20.5" customWidth="1"/>
    <col min="25" max="25" width="8.5" customWidth="1"/>
    <col min="26" max="26" width="7.33203125" customWidth="1"/>
    <col min="27" max="27" width="6.6640625" customWidth="1"/>
    <col min="28" max="29" width="5.5" customWidth="1"/>
    <col min="30" max="30" width="24.33203125" bestFit="1" customWidth="1"/>
    <col min="31" max="33" width="13.33203125" customWidth="1"/>
    <col min="34" max="35" width="15.5" customWidth="1"/>
    <col min="36" max="36" width="9.5" customWidth="1"/>
    <col min="37" max="37" width="12.5" customWidth="1"/>
    <col min="38" max="38" width="15.5" customWidth="1"/>
    <col min="39" max="40" width="13.33203125" customWidth="1"/>
    <col min="41" max="41" width="11.5" customWidth="1"/>
    <col min="42" max="42" width="15.5" customWidth="1"/>
    <col min="43" max="43" width="12.5" customWidth="1"/>
    <col min="44" max="44" width="13.5" customWidth="1"/>
    <col min="45" max="45" width="12.33203125" customWidth="1"/>
    <col min="48" max="48" width="13.5" customWidth="1"/>
  </cols>
  <sheetData>
    <row r="2" spans="1:45" ht="66.5" customHeight="1" x14ac:dyDescent="0.55000000000000004">
      <c r="A2" s="4014"/>
      <c r="B2" s="4019" t="s">
        <v>561</v>
      </c>
      <c r="C2" s="4014"/>
      <c r="D2" s="4014"/>
      <c r="E2" s="4014"/>
      <c r="F2" s="4014"/>
      <c r="G2" s="4014"/>
      <c r="H2" s="4014"/>
      <c r="I2" s="4014"/>
      <c r="J2" s="4014"/>
      <c r="K2" s="4014"/>
      <c r="L2" s="4014"/>
      <c r="M2" s="4014"/>
      <c r="N2" s="4014"/>
      <c r="O2" s="4014"/>
      <c r="P2" s="4014"/>
      <c r="Q2" s="4014"/>
      <c r="R2" s="4014"/>
      <c r="S2" s="4014"/>
      <c r="T2" s="4014"/>
      <c r="U2" s="4014"/>
      <c r="V2" s="4014"/>
      <c r="W2" s="4014"/>
      <c r="X2" s="4014"/>
      <c r="Y2" s="4014"/>
      <c r="Z2" s="4014"/>
      <c r="AA2" s="4014"/>
      <c r="AB2" s="4014"/>
      <c r="AC2" s="4014"/>
      <c r="AD2" s="4014"/>
      <c r="AE2" s="4014"/>
      <c r="AF2" s="4014"/>
      <c r="AG2" s="4014"/>
      <c r="AH2" s="4014"/>
      <c r="AI2" s="4014"/>
      <c r="AJ2" s="4014"/>
      <c r="AK2" s="4014"/>
      <c r="AL2" s="4014"/>
      <c r="AM2" s="4014"/>
      <c r="AN2" s="4014"/>
      <c r="AO2" s="4014"/>
      <c r="AP2" s="4014"/>
      <c r="AQ2" s="4014"/>
      <c r="AR2" s="4014"/>
      <c r="AS2" s="4014"/>
    </row>
    <row r="4" spans="1:45" s="284" customFormat="1" ht="23" customHeight="1" x14ac:dyDescent="0.25">
      <c r="I4" s="682"/>
      <c r="K4"/>
      <c r="L4" s="847" t="s">
        <v>562</v>
      </c>
      <c r="M4" s="3462"/>
      <c r="N4" s="3462"/>
      <c r="O4" s="846"/>
      <c r="P4" s="843"/>
      <c r="Q4" s="865"/>
      <c r="R4" s="865"/>
      <c r="S4" s="861" t="s">
        <v>562</v>
      </c>
      <c r="T4" s="843"/>
      <c r="U4" s="844"/>
    </row>
    <row r="5" spans="1:45" s="284" customFormat="1" ht="23" customHeight="1" x14ac:dyDescent="0.25">
      <c r="C5" s="4015"/>
      <c r="D5" s="4015"/>
      <c r="E5" s="4015"/>
      <c r="F5" s="4015"/>
      <c r="G5" s="4016"/>
      <c r="I5" s="682"/>
      <c r="K5"/>
      <c r="L5" s="852" t="s">
        <v>563</v>
      </c>
      <c r="M5" s="853" t="s">
        <v>564</v>
      </c>
      <c r="N5" s="854" t="s">
        <v>564</v>
      </c>
      <c r="O5" s="866" t="s">
        <v>565</v>
      </c>
      <c r="P5" s="867"/>
      <c r="Q5" s="864"/>
      <c r="R5" s="864"/>
      <c r="S5" s="837" t="s">
        <v>566</v>
      </c>
      <c r="T5" s="838"/>
      <c r="U5" s="839"/>
    </row>
    <row r="6" spans="1:45" s="284" customFormat="1" ht="23" customHeight="1" x14ac:dyDescent="0.25">
      <c r="I6" s="682"/>
      <c r="K6"/>
      <c r="L6" s="855" t="s">
        <v>199</v>
      </c>
      <c r="M6" s="856" t="s">
        <v>179</v>
      </c>
      <c r="N6" s="857" t="s">
        <v>180</v>
      </c>
      <c r="O6" s="868" t="s">
        <v>179</v>
      </c>
      <c r="P6" s="854" t="s">
        <v>180</v>
      </c>
      <c r="Q6" s="864"/>
      <c r="R6" s="864"/>
      <c r="S6" s="698" t="s">
        <v>567</v>
      </c>
      <c r="T6" s="698" t="s">
        <v>568</v>
      </c>
      <c r="U6" s="698" t="s">
        <v>569</v>
      </c>
    </row>
    <row r="7" spans="1:45" s="284" customFormat="1" ht="23" customHeight="1" x14ac:dyDescent="0.2">
      <c r="I7" s="682"/>
      <c r="K7"/>
      <c r="L7" s="858" t="s">
        <v>117</v>
      </c>
      <c r="M7" s="859" t="s">
        <v>117</v>
      </c>
      <c r="N7" s="860" t="s">
        <v>62</v>
      </c>
      <c r="O7" s="869" t="s">
        <v>570</v>
      </c>
      <c r="P7" s="845" t="s">
        <v>570</v>
      </c>
      <c r="Q7" s="864"/>
      <c r="R7" s="864"/>
      <c r="S7" s="697" t="s">
        <v>571</v>
      </c>
      <c r="T7" s="697" t="s">
        <v>571</v>
      </c>
      <c r="U7" s="699" t="s">
        <v>389</v>
      </c>
    </row>
    <row r="8" spans="1:45" s="940" customFormat="1" ht="18.75" customHeight="1" x14ac:dyDescent="0.2">
      <c r="E8" s="284"/>
      <c r="F8" s="4017"/>
      <c r="I8" s="4018"/>
      <c r="K8" s="720" t="s">
        <v>572</v>
      </c>
      <c r="L8" s="4022">
        <f>IF('3.Cropland'!$AT$14="", IF('3.Cropland'!$G$14 &lt;&gt;"Please select", SOCref*VLOOKUP(clim_moist,IPCC!$A$57:$B$68,2,FALSE), 0), '3.Cropland'!$AT$14)</f>
        <v>0</v>
      </c>
      <c r="M8" s="4022">
        <f>$L$8*IF('3.Cropland'!$AX$14="", '3.Cropland'!$AW$14,'3.Cropland'!$AX$14)*IF('3.Cropland'!$AZ$14="", '3.Cropland'!$AY$14,'3.Cropland'!$AZ$14)</f>
        <v>0</v>
      </c>
      <c r="N8" s="4022">
        <f>$L$8*IF('3.Cropland'!$AX$14="", '3.Cropland'!$AW$14,'3.Cropland'!$AX$14)*IF('3.Cropland'!$AZ$14="", '3.Cropland'!$AY$14,'3.Cropland'!$AZ$14)</f>
        <v>0</v>
      </c>
      <c r="O8" s="4023">
        <f>(M8-L8)/20*(-44/12)</f>
        <v>0</v>
      </c>
      <c r="P8" s="4024">
        <f>(N8-L8)/20*(-44/12)</f>
        <v>0</v>
      </c>
      <c r="Q8" s="864"/>
      <c r="R8" s="864"/>
      <c r="S8" s="3208">
        <f>_xlfn.IFNA(IF($H12="Burned",$I12*IPCC!$D$76,0)*IF(OR('3.Cropland'!$E14 = "Maize",'3.Cropland'!$E14="Wheat"),VLOOKUP('3.Cropland'!$E14, IPCC!$A$85:$B$89,2,FALSE),IPCC!$B$89) +
IF(AND('3.Cropland'!$BJ14="Burned", $O64 &lt;&gt;"None"), $T64 *IPCC!$D$76,0)*IF(OR('3.Cropland'!$BH14="Maize", '3.Cropland'!$BH14="Wheat"),VLOOKUP('3.Cropland'!$BH14, IPCC!$A$85:$B$89,2,FALSE),IPCC!$B$89),0)</f>
        <v>0</v>
      </c>
      <c r="T8" s="3209">
        <f>_xlfn.IFNA(IF($H12="Burned",($I12*IPCC!$E$76*IF(OR('3.Cropland'!$E14="Maize", '3.Cropland'!$E14="Wheat"),VLOOKUP('3.Cropland'!$E14,IPCC!$A$83:$B$89,2,FALSE),IPCC!$B$89)),
IF($H12="Retained",($M64*IF(OR(moist_type="Moist",moist_type="Wet",moist_type="Dry"),VLOOKUP(moist_type,IPCC!$B$99:$C$101,2,FALSE),IPCC!$C$96)*N2O_N_conversion),0))+
IF($O64="None", 0, IF('3.Cropland'!$BJ14="Burned", ($T64*IPCC!$E$76*IF(OR('3.Cropland'!$BH14="Maize", '3.Cropland'!$BH14="Wheat"),VLOOKUP('3.Cropland'!$BH14,IPCC!$A$83:$B$89,2,FALSE),IPCC!$B$89)),
IF('3.Cropland'!$BJ14="Retained", (annual!$X64*IF(OR(moist_type="Moist",moist_type="Wet",moist_type="Dry"),VLOOKUP(moist_type,IPCC!$B$99:$C$101,2,FALSE),IPCC!$C$96)*N2O_N_conversion),0))),0)</f>
        <v>0</v>
      </c>
      <c r="U8" s="3209">
        <f>($S8*methane+$T8*Nitrous)/1000</f>
        <v>0</v>
      </c>
      <c r="AM8" s="4011" t="s">
        <v>573</v>
      </c>
    </row>
    <row r="9" spans="1:45" s="940" customFormat="1" ht="18" customHeight="1" x14ac:dyDescent="0.2">
      <c r="E9" s="284"/>
      <c r="F9" s="4017"/>
      <c r="H9" s="80" t="s">
        <v>574</v>
      </c>
      <c r="I9" s="81"/>
      <c r="J9" s="82"/>
      <c r="K9" s="701" t="s">
        <v>575</v>
      </c>
      <c r="L9" s="4025">
        <f>IF('3.Cropland'!$AT$15="",IF('3.Cropland'!$G$15 &lt;&gt;"Please select", SOCref*VLOOKUP(clim_moist,IPCC!$A$57:$B$68,2,FALSE), 0),'3.Cropland'!$AT$15)</f>
        <v>0</v>
      </c>
      <c r="M9" s="4025">
        <f>$L$9*IF('3.Cropland'!$AX$15="", '3.Cropland'!$AW$15,'3.Cropland'!$AX$15)*IF('3.Cropland'!$AZ$15="", '3.Cropland'!$AY$15,'3.Cropland'!$AZ$15)</f>
        <v>0</v>
      </c>
      <c r="N9" s="4025">
        <f>$L$9*IF('3.Cropland'!$AX$15="", '3.Cropland'!$AW$15,'3.Cropland'!$AX$15)*IF('3.Cropland'!$AZ$15="", '3.Cropland'!$AY$15,'3.Cropland'!$AZ$15)</f>
        <v>0</v>
      </c>
      <c r="O9" s="4025">
        <f>(M9-L9)/20*(-44/12)</f>
        <v>0</v>
      </c>
      <c r="P9" s="4026">
        <f>(N9-L9)/20*(-44/12)</f>
        <v>0</v>
      </c>
      <c r="Q9" s="864"/>
      <c r="R9" s="864"/>
      <c r="S9" s="3210">
        <f>_xlfn.IFNA(IF($H13="Burned",$I13*IPCC!$D$76,0)*IF(OR('3.Cropland'!$E15 = "Maize",'3.Cropland'!$E15="Wheat"),VLOOKUP('3.Cropland'!$E15, IPCC!$A$85:$B$89,2,FALSE),IPCC!$B$89) +
IF(AND('3.Cropland'!$BJ15="Burned", $O65 &lt;&gt;"None"), $T65 *IPCC!$D$76,0)*IF(OR('3.Cropland'!$BH15="Maize", '3.Cropland'!$BH15="Wheat"),VLOOKUP('3.Cropland'!$BH15, IPCC!$A$85:$B$89,2,FALSE),IPCC!$B$89),0)</f>
        <v>0</v>
      </c>
      <c r="T9" s="3211">
        <f>_xlfn.IFNA(IF($H13="Burned",($I13*IPCC!$E$76*IF(OR('3.Cropland'!$E15="Maize", '3.Cropland'!$E15="Wheat"),VLOOKUP('3.Cropland'!$E15,IPCC!$A$83:$B$89,2,FALSE),IPCC!$B$89)),
IF($H13="Retained",($M65*IF(OR(moist_type="Moist",moist_type="Wet",moist_type="Dry"),VLOOKUP(moist_type,IPCC!$B$99:$C$101,2,FALSE),IPCC!$C$96)*N2O_N_conversion),0))+
IF($O65="None", 0, IF('3.Cropland'!$BJ15="Burned", ($T65*IPCC!$E$76*IF(OR('3.Cropland'!$BH15="Maize", '3.Cropland'!$BH15="Wheat"),VLOOKUP('3.Cropland'!$BH15,IPCC!$A$83:$B$89,2,FALSE),IPCC!$B$89)),
IF('3.Cropland'!$BJ15="Retained", (annual!$X65*IF(OR(moist_type="Moist",moist_type="Wet",moist_type="Dry"),VLOOKUP(moist_type,IPCC!$B$99:$C$101,2,FALSE),IPCC!$C$96)*N2O_N_conversion),0))),0)</f>
        <v>0</v>
      </c>
      <c r="U9" s="3211">
        <f>($S9*methane+$T9*Nitrous)/1000</f>
        <v>0</v>
      </c>
      <c r="AM9" s="4012" t="s">
        <v>246</v>
      </c>
      <c r="AP9" s="4013"/>
      <c r="AQ9" s="4013"/>
      <c r="AR9" s="4013"/>
      <c r="AS9" s="4013"/>
    </row>
    <row r="10" spans="1:45" ht="52.5" customHeight="1" x14ac:dyDescent="0.2">
      <c r="C10" s="72"/>
      <c r="D10" s="76" t="s">
        <v>576</v>
      </c>
      <c r="E10" s="74"/>
      <c r="F10" s="74" t="s">
        <v>396</v>
      </c>
      <c r="G10" s="74" t="s">
        <v>577</v>
      </c>
      <c r="H10" s="78" t="s">
        <v>578</v>
      </c>
      <c r="I10" s="74" t="s">
        <v>579</v>
      </c>
      <c r="J10" s="74" t="s">
        <v>399</v>
      </c>
      <c r="K10" s="787" t="s">
        <v>580</v>
      </c>
      <c r="L10" s="4027">
        <f>IF('3.Cropland'!$AT$16="", IF('3.Cropland'!$G$16 &lt;&gt;"Please select", SOCref*VLOOKUP(clim_moist,IPCC!$A$57:$B$68,2,FALSE), 0), '3.Cropland'!$AT$16)</f>
        <v>18.240000000000002</v>
      </c>
      <c r="M10" s="4027">
        <f>$L$10*IF('3.Cropland'!$AX$16="", '3.Cropland'!$AW$16,'3.Cropland'!$AX$16)*IF('3.Cropland'!$AZ$16="", '3.Cropland'!$AY$16,'3.Cropland'!$AZ$16)</f>
        <v>18.969600000000003</v>
      </c>
      <c r="N10" s="4027">
        <f>$L$10*IF('3.Cropland'!$AX$16="", '3.Cropland'!$AW$16,'3.Cropland'!$AX$16)*IF('3.Cropland'!$AZ$16="", '3.Cropland'!$AY$16,'3.Cropland'!$AZ$16)</f>
        <v>18.969600000000003</v>
      </c>
      <c r="O10" s="4027">
        <f>(M10-L10)/20*(-44/12)</f>
        <v>-0.13376000000000024</v>
      </c>
      <c r="P10" s="4028">
        <f>(N10-L10)/20*(-44/12)</f>
        <v>-0.13376000000000024</v>
      </c>
      <c r="Q10" s="864"/>
      <c r="R10" s="864"/>
      <c r="S10" s="3212">
        <f>_xlfn.IFNA(IF($H14="Burned",$I14*IPCC!$D$76,0)*IF(OR('3.Cropland'!$E16 = "Maize",'3.Cropland'!$E16="Wheat"),VLOOKUP('3.Cropland'!$E16, IPCC!$A$85:$B$89,2,FALSE),IPCC!$B$89) +
IF(AND('3.Cropland'!$BJ16="Burned", $O66 &lt;&gt;"None"), $T66 *IPCC!$D$76,0)*IF(OR('3.Cropland'!$BH16="Maize", '3.Cropland'!$BH16="Wheat"),VLOOKUP('3.Cropland'!$BH16, IPCC!$A$85:$B$89,2,FALSE),IPCC!$B$89),0)</f>
        <v>0</v>
      </c>
      <c r="T10" s="3212">
        <f>_xlfn.IFNA(IF($H14="Burned",($I14*IPCC!$E$76*IF(OR('3.Cropland'!$E16="Maize", '3.Cropland'!$E16="Wheat"),VLOOKUP('3.Cropland'!$E16,IPCC!$A$83:$B$89,2,FALSE),IPCC!$B$89)),
IF($H14="Retained",($M66*IF(OR(moist_type="Moist",moist_type="Wet",moist_type="Dry"),VLOOKUP(moist_type,IPCC!$B$99:$C$101,2,FALSE),IPCC!$C$96)*N2O_N_conversion),0))+
IF($O66="None", 0, IF('3.Cropland'!$BJ16="Burned", ($T66*IPCC!$E$76*IF(OR('3.Cropland'!$BH16="Maize", '3.Cropland'!$BH16="Wheat"),VLOOKUP('3.Cropland'!$BH16,IPCC!$A$83:$B$89,2,FALSE),IPCC!$B$89)),
IF('3.Cropland'!$BJ16="Retained", (annual!$X66*IF(OR(moist_type="Moist",moist_type="Wet",moist_type="Dry"),VLOOKUP(moist_type,IPCC!$B$99:$C$101,2,FALSE),IPCC!$C$96)*N2O_N_conversion),0))),0)</f>
        <v>0.50138586004571428</v>
      </c>
      <c r="U10" s="3212">
        <f>($S10*methane+$T10*Nitrous)/1000</f>
        <v>0.13286725291211429</v>
      </c>
      <c r="AE10" s="3418" t="s">
        <v>581</v>
      </c>
      <c r="AF10" s="3419"/>
      <c r="AG10" s="3420" t="s">
        <v>582</v>
      </c>
      <c r="AH10" s="3315"/>
      <c r="AI10" s="4551" t="s">
        <v>583</v>
      </c>
      <c r="AJ10" s="4551"/>
      <c r="AM10" s="3408" t="s">
        <v>259</v>
      </c>
      <c r="AN10" s="3409"/>
      <c r="AO10" s="3408" t="s">
        <v>584</v>
      </c>
      <c r="AP10" s="3408"/>
      <c r="AQ10" s="3408" t="s">
        <v>585</v>
      </c>
      <c r="AR10" s="3408"/>
    </row>
    <row r="11" spans="1:45" x14ac:dyDescent="0.2">
      <c r="C11" s="73"/>
      <c r="D11" s="77" t="s">
        <v>586</v>
      </c>
      <c r="E11" s="75"/>
      <c r="F11" s="75" t="s">
        <v>402</v>
      </c>
      <c r="G11" s="75" t="s">
        <v>587</v>
      </c>
      <c r="H11" s="79" t="s">
        <v>588</v>
      </c>
      <c r="I11" s="75" t="s">
        <v>192</v>
      </c>
      <c r="J11" s="75" t="s">
        <v>389</v>
      </c>
      <c r="K11" s="791" t="s">
        <v>589</v>
      </c>
      <c r="L11" s="4029">
        <f>IF('3.Cropland'!$AT$17="",IF('3.Cropland'!$G$17 &lt;&gt;"Please select", SOCref*VLOOKUP(clim_moist,IPCC!$A$57:$B$68,2,FALSE), 0),'3.Cropland'!$AT$17)</f>
        <v>0</v>
      </c>
      <c r="M11" s="4029">
        <f>$L$11*IF('3.Cropland'!$AX$17="", '3.Cropland'!$AW$17,'3.Cropland'!$AX$17)*IF('3.Cropland'!$AZ$17="", '3.Cropland'!$AY$17,'3.Cropland'!$AZ$17)</f>
        <v>0</v>
      </c>
      <c r="N11" s="4029">
        <f>$L$11*IF('3.Cropland'!$AX$17="", '3.Cropland'!$AW$17,'3.Cropland'!$AX$17)*IF('3.Cropland'!$AZ$17="", '3.Cropland'!$AY$17,'3.Cropland'!$AZ$17)</f>
        <v>0</v>
      </c>
      <c r="O11" s="4029">
        <f>(M11-L11)/20*(-44/12)</f>
        <v>0</v>
      </c>
      <c r="P11" s="4030">
        <f>(N11-L11)/20*(-44/12)</f>
        <v>0</v>
      </c>
      <c r="Q11" s="864"/>
      <c r="R11" s="864"/>
      <c r="S11" s="85">
        <f>_xlfn.IFNA(IF($H15="Burned",$I15*IPCC!$D$76,0)*IF(OR('3.Cropland'!$E17 = "Maize",'3.Cropland'!$E17="Wheat"),VLOOKUP('3.Cropland'!$E17, IPCC!$A$85:$B$89,2,FALSE),IPCC!$B$89) +
IF(AND('3.Cropland'!$BJ17="Burned", $O67 &lt;&gt;"None"), $T67 *IPCC!$D$76,0)*IF(OR('3.Cropland'!$BH17="Maize", '3.Cropland'!$BH17="Wheat"),VLOOKUP('3.Cropland'!$BH17, IPCC!$A$85:$B$89,2,FALSE),IPCC!$B$89),0)</f>
        <v>0</v>
      </c>
      <c r="T11" s="85">
        <f>_xlfn.IFNA(IF($H15="Burned",($I15*IPCC!$E$76*IF(OR('3.Cropland'!$E17="Maize", '3.Cropland'!$E17="Wheat"),VLOOKUP('3.Cropland'!$E17,IPCC!$A$83:$B$89,2,FALSE),IPCC!$B$89)),
IF($H15="Retained",($M67*IF(OR(moist_type="Moist",moist_type="Wet",moist_type="Dry"),VLOOKUP(moist_type,IPCC!$B$99:$C$101,2,FALSE),IPCC!$C$96)*N2O_N_conversion),0))+
IF($O67="None", 0, IF('3.Cropland'!$BJ17="Burned", ($T67*IPCC!$E$76*IF(OR('3.Cropland'!$BH17="Maize", '3.Cropland'!$BH17="Wheat"),VLOOKUP('3.Cropland'!$BH17,IPCC!$A$83:$B$89,2,FALSE),IPCC!$B$89)),
IF('3.Cropland'!$BJ17="Retained", (annual!$X67*IF(OR(moist_type="Moist",moist_type="Wet",moist_type="Dry"),VLOOKUP(moist_type,IPCC!$B$99:$C$101,2,FALSE),IPCC!$C$96)*N2O_N_conversion),0))),0)</f>
        <v>0</v>
      </c>
      <c r="U11" s="85">
        <f>($S11*methane+$T11*Nitrous)/1000</f>
        <v>0</v>
      </c>
      <c r="AE11" s="3311" t="s">
        <v>265</v>
      </c>
      <c r="AF11" s="3421" t="s">
        <v>266</v>
      </c>
      <c r="AG11" s="3311" t="s">
        <v>265</v>
      </c>
      <c r="AH11" s="3421" t="s">
        <v>266</v>
      </c>
      <c r="AI11" s="3311" t="s">
        <v>265</v>
      </c>
      <c r="AJ11" s="3421" t="s">
        <v>266</v>
      </c>
      <c r="AM11" s="3213" t="s">
        <v>265</v>
      </c>
      <c r="AN11" s="3214" t="s">
        <v>266</v>
      </c>
      <c r="AO11" s="3213" t="s">
        <v>265</v>
      </c>
      <c r="AP11" s="3214" t="s">
        <v>266</v>
      </c>
      <c r="AQ11" s="3213" t="s">
        <v>265</v>
      </c>
      <c r="AR11" s="3214" t="s">
        <v>266</v>
      </c>
    </row>
    <row r="12" spans="1:45" ht="19" x14ac:dyDescent="0.25">
      <c r="B12" s="720" t="s">
        <v>572</v>
      </c>
      <c r="C12" s="723" t="str">
        <f>'3.Cropland'!AP14</f>
        <v>Annuals after deforestation</v>
      </c>
      <c r="D12" s="723"/>
      <c r="E12" s="723"/>
      <c r="F12" s="723" t="str">
        <f>'3.Cropland'!G14</f>
        <v>Please select</v>
      </c>
      <c r="G12" s="723" t="str">
        <f>'3.Cropland'!I14</f>
        <v>Please select</v>
      </c>
      <c r="H12" s="723" t="str">
        <f>'3.Cropland'!$K14</f>
        <v>Please select</v>
      </c>
      <c r="I12" s="724">
        <f>$H64/1000</f>
        <v>7.6193788355317897</v>
      </c>
      <c r="J12" s="725">
        <f>'3.Cropland'!$M14</f>
        <v>0</v>
      </c>
      <c r="L12" s="847" t="s">
        <v>590</v>
      </c>
      <c r="M12" s="842"/>
      <c r="N12" s="3461"/>
      <c r="O12" s="3461"/>
      <c r="P12" s="3461"/>
      <c r="Q12" s="3461"/>
      <c r="R12" s="3461"/>
      <c r="S12" s="840"/>
      <c r="T12" s="840"/>
      <c r="U12" s="841"/>
      <c r="V12" s="841"/>
      <c r="AD12" s="720" t="s">
        <v>572</v>
      </c>
      <c r="AE12" s="3415">
        <f>(MIN(D34,E34)*time_tot+ABS(E34-D34)*IF(E34&gt;D34, time_cap + time*(VLOOKUP(F34, list!$J$48:$K$50, 2, FALSE)), time*(1-(VLOOKUP(F34, list!$J$48:$K$50, 2, FALSE)))))*annual!S8*methane/1000</f>
        <v>0</v>
      </c>
      <c r="AF12" s="3416">
        <f>(MIN(D34,G34)*time_tot+ABS(G34-D34)*IF(G34&gt;D34, time_cap + time*(VLOOKUP(H34, list!$J$48:$K$50, 2, FALSE)), time*(1-(VLOOKUP(annual!H34, list!$J$48:$K$50, 2, FALSE)))))*annual!S8* methane/1000</f>
        <v>0</v>
      </c>
      <c r="AG12" s="3416">
        <f>(MIN(D34,E34)*time_tot+ABS(E34-D34)*IF(E34&gt;D34, time_cap + time*(VLOOKUP(F34, list!$J$48:$K$50, 2, FALSE)), time*(1-(VLOOKUP(F34, list!$J$48:$K$50, 2, FALSE)))))*T8*Nitrous/1000</f>
        <v>0</v>
      </c>
      <c r="AH12" s="3416">
        <f>(MIN(D34,G34)*time_tot+ABS(G34-D34)*IF(G34&gt;D34, time_cap + time*(VLOOKUP(H34, list!$J$48:$K$50, 2, FALSE)), time*(1-(VLOOKUP(annual!H34, list!$J$48:$K$50, 2, FALSE)))))*T8*Nitrous/1000</f>
        <v>0</v>
      </c>
      <c r="AI12" s="3416">
        <f>M34</f>
        <v>0</v>
      </c>
      <c r="AJ12" s="3417">
        <f>N34</f>
        <v>0</v>
      </c>
      <c r="AM12" s="3236">
        <f>-$R8*((MIN($D34,E34)*MIN(20,time)) +
IF(F34="Immediate",IF(E34&gt;$D34,E34*MIN(20,time),0),IF($D34&gt;E34,($D34-$E34)* IF(time&gt;20,
IF(F34="Linear",time-((time-20)^2)/(2*time),(0.215*time)-(time/4.6)*(EXP(-92.1/time)-0.01)),time*(1-VLOOKUP(F34,list!$J$48:$K$50,2,))),(E34-$D34)*IF(time&gt;time+20,20,IF(time&lt;20,(time*VLOOKUP(F34,list!$J$48:$K$50,2,))+(time-time),((MIN(20,time)*VLOOKUP(F34,list!$J$48:$K$50,2,)) + (time-MIN(20,time)) -
IF(F34="Exponential",time-20+0.217*time*(EXP(4.606*(20-time)/time)-1),((time-20)^2)*(0.5/time))))))))</f>
        <v>0</v>
      </c>
      <c r="AN12" s="3237">
        <f>-$R8*((MIN($D34,G34)*MIN(20,time))+IF(H34="Immediate",IF(G34&gt;$D34,G34*MIN(20,time),0),IF($D34&gt;G34,($D34-G34)*IF(time&gt;20,IF(H34="Linear",time-((time-20)^2)/(2*time),(0.215*time)-(time/4.6)*(EXP(-92.1/time)-0.01)),time*(1-VLOOKUP(H34,list!$J$48:$K$50,2,))),(G34-$D34)*IF(time&gt;time+20,20,IF(time&lt;20,(time*VLOOKUP(H34,list!$J$48:$K$50,2,))+(time-time),((MIN(20,time)*VLOOKUP(H34,list!$J$48:$K$50,2,))+(time-MIN(20,time))-IF(H34="Exponential",time-20+0.217*time*(EXP(4.606*(20-time)/time)-1),((time-20)^2)*(0.5/time))))))))</f>
        <v>0</v>
      </c>
      <c r="AO12" s="3237">
        <f>(MIN(D34,E34)*time+ABS(E34-D34)*IF(E34&gt;D34,  + time*(VLOOKUP(F34, list!$J$48:$K$50, 2, FALSE)), time*(1-(VLOOKUP(F34, list!$J$48:$K$50, 2, FALSE)))))*annual!S8*methane/1000</f>
        <v>0</v>
      </c>
      <c r="AP12" s="3237">
        <f>(MIN(D34,G34)*time+ABS(G34-D34)*IF(G34&gt;D34,  + time*(VLOOKUP(H34, list!$J$48:$K$50, 2, FALSE)), time*(1-(VLOOKUP(annual!H34, list!$J$48:$K$50, 2, FALSE)))))*annual!S8*methane/1000</f>
        <v>0</v>
      </c>
      <c r="AQ12" s="3237">
        <f>IFERROR(IF(M8&lt;L8,(M8-L8)/20/10*1000*VLOOKUP(moist_type, IPCC!$B$99:$C$101, 2, FALSE)*N2O_N_conversion*Nitrous/1000*(MIN(D34,E34)*time+ABS(E34-D34)*IF(E34&gt;D34,time*(VLOOKUP($F34,list!$J$47:$K$50,2,FALSE)),time*(1-(VLOOKUP(F34,list!$J$47:$K$50,2,FALSE))))),0),0)</f>
        <v>0</v>
      </c>
      <c r="AR12" s="3238">
        <f>IFERROR(IF(N8&lt;L8,(N8-L8)/20/10*1000*VLOOKUP(moist_type, IPCC!$B$99:$C$101, 2, FALSE)*N2O_N_conversion*Nitrous/1000*(MIN(D34,G34)*time+ABS(G34-D34)*IF(G34&gt;D34,time*(VLOOKUP($G34,list!$J$47:$K$50,2,FALSE)),time*(1-(VLOOKUP(H34,list!$J$47:$K$50,2,FALSE))))),0),0)</f>
        <v>0</v>
      </c>
    </row>
    <row r="13" spans="1:45" ht="15.5" customHeight="1" x14ac:dyDescent="0.2">
      <c r="B13" s="701" t="s">
        <v>575</v>
      </c>
      <c r="C13" s="717" t="str">
        <f>'3.Cropland'!AP15</f>
        <v>Annuals converted to forest land</v>
      </c>
      <c r="D13" s="717"/>
      <c r="E13" s="717"/>
      <c r="F13" s="717" t="str">
        <f>'3.Cropland'!G15</f>
        <v>Please select</v>
      </c>
      <c r="G13" s="717" t="str">
        <f>'3.Cropland'!I15</f>
        <v>Please select</v>
      </c>
      <c r="H13" s="717" t="str">
        <f>'3.Cropland'!K15</f>
        <v>Please select</v>
      </c>
      <c r="I13" s="718">
        <f>H65/1000</f>
        <v>7.6193788355317897</v>
      </c>
      <c r="J13" s="719">
        <f>'3.Cropland'!$M15</f>
        <v>0</v>
      </c>
      <c r="L13" s="827"/>
      <c r="M13" s="827"/>
      <c r="N13" s="827"/>
      <c r="O13" s="827"/>
      <c r="P13" s="827"/>
      <c r="Q13" s="4552" t="s">
        <v>3750</v>
      </c>
      <c r="R13" s="817" t="s">
        <v>299</v>
      </c>
      <c r="S13" s="832" t="s">
        <v>566</v>
      </c>
      <c r="T13" s="835"/>
      <c r="U13" s="836"/>
      <c r="V13" s="3158" t="s">
        <v>163</v>
      </c>
      <c r="AD13" s="701" t="s">
        <v>575</v>
      </c>
      <c r="AE13" s="3411">
        <f>(MIN(D35,E35)*time_tot+ABS(E35-D35)*IF(E35&gt;D35, time_cap + time*(VLOOKUP(F35, list!$J$48:$K$50, 2, FALSE)), time*(1-(VLOOKUP(F35, list!$J$48:$K$50, 2, FALSE)))))*annual!$S9*methane/1000</f>
        <v>0</v>
      </c>
      <c r="AF13" s="3215">
        <f>(MIN(D35,G35)*time_tot+ABS(G35-D35)*IF(G35&gt;D35, time_cap + time*(VLOOKUP(H35, list!$J$48:$K$50, 2, FALSE)), time*(1-(VLOOKUP(annual!H35, list!$J$48:$K$50, 2, FALSE)))))*annual!$S9* methane/1000</f>
        <v>0</v>
      </c>
      <c r="AG13" s="3215">
        <f>(MIN(D35,E35)*time_tot+ABS(E35-D35)*IF(E35&gt;D35, time_cap + time*(VLOOKUP(F35, list!$J$48:$K$50, 2, FALSE)), time*(1-(VLOOKUP(F35, list!$J$48:$K$50, 2, FALSE)))))*T9*Nitrous/1000</f>
        <v>0</v>
      </c>
      <c r="AH13" s="3215">
        <f>(MIN(D35,G35)*time_tot+ABS(G35-D35)*IF(G35&gt;D35, time_cap + time*(VLOOKUP(H35, list!$J$48:$K$50, 2, FALSE)), time*(1-(VLOOKUP(annual!H35, list!$J$48:$K$50, 2, FALSE)))))*T9*Nitrous/1000</f>
        <v>0</v>
      </c>
      <c r="AI13" s="3215">
        <f t="shared" ref="AI13:AI25" si="0">M35</f>
        <v>0</v>
      </c>
      <c r="AJ13" s="3412">
        <f t="shared" ref="AJ13:AJ25" si="1">N35</f>
        <v>0</v>
      </c>
      <c r="AM13" s="3173">
        <f>-$R9*((MIN($D35,E35)*MIN(20,time)) +
IF(F35="Immediate",IF(E35&gt;$D35,E35*MIN(20,time),0),IF($D35&gt;E35,($D35-$E35)* IF(time&gt;20,
IF(F35="Linear",time-((time-20)^2)/(2*time),(0.215*time)-(time/4.6)*(EXP(-92.1/time)-0.01)),time*(1-VLOOKUP(F35,list!$J$48:$K$50,2,))),(E35-$D35)*IF(time&gt;time+20,20,IF(time&lt;20,(time*VLOOKUP(F35,list!$J$48:$K$50,2,))+(time-time),((MIN(20,time)*VLOOKUP(F35,list!$J$48:$K$50,2,)) + (time-MIN(20,time)) -
IF(F35="Exponential",time-20+0.217*time*(EXP(4.606*(20-time)/time)-1),((time-20)^2)*(0.5/time))))))))</f>
        <v>0</v>
      </c>
      <c r="AN13" s="3168">
        <f>-$R9*((MIN($D35,G35)*MIN(20,time))+IF(H35="Immediate",IF(G35&gt;$D35,G35*MIN(20,time),0),IF($D35&gt;G35,($D35-G35)*IF(time&gt;20,IF(H35="Linear",time-((time-20)^2)/(2*time),(0.215*time)-(time/4.6)*(EXP(-92.1/time)-0.01)),time*(1-VLOOKUP(H35,list!$J$48:$K$50,2,))),(G35-$D35)*IF(time&gt;time+20,20,IF(time&lt;20,(time*VLOOKUP(H35,list!$J$48:$K$50,2,))+(time-time),((MIN(20,time)*VLOOKUP(H35,list!$J$48:$K$50,2,))+(time-MIN(20,time))-IF(H35="Exponential",time-20+0.217*time*(EXP(4.606*(20-time)/time)-1),((time-20)^2)*(0.5/time))))))))</f>
        <v>0</v>
      </c>
      <c r="AO13" s="3429">
        <f>(MIN(D35,E35)*time+ABS(E35-D35)*IF(E35&gt;D35,  + time*(VLOOKUP(F35, list!$J$48:$K$50, 2, FALSE)), time*(1-(VLOOKUP(F35, list!$J$48:$K$50, 2, FALSE)))))*annual!S9*methane/1000</f>
        <v>0</v>
      </c>
      <c r="AP13" s="3429">
        <f>(MIN(D35,G35)*time+ABS(G35-D35)*IF(G35&gt;D35,  + time*(VLOOKUP(H35, list!$J$48:$K$50, 2, FALSE)), time*(1-(VLOOKUP(annual!H35, list!$J$48:$K$50, 2, FALSE)))))*annual!$S9*methane/1000</f>
        <v>0</v>
      </c>
      <c r="AQ13" s="3429">
        <f>IFERROR(IF(M9&lt;L9,(M9-L9)/20/10*1000*VLOOKUP(moist_type, IPCC!$B$99:$C$101, 2, FALSE)*N2O_N_conversion*Nitrous/1000*(MIN(D35,E35)*time+ABS(E35-D35)*IF(E35&gt;D35,time*(VLOOKUP($F35,list!$J$47:$K$50,2,FALSE)),time*(1-(VLOOKUP(F35,list!$J$47:$K$50,2,FALSE))))),0),0)</f>
        <v>0</v>
      </c>
      <c r="AR13" s="3430">
        <f>IFERROR(IF(N9&lt;L9,(N9-L9)/20/10*1000*VLOOKUP(moist_type, IPCC!$B$99:$C$101, 2, FALSE)*N2O_N_conversion*Nitrous/1000*(MIN(D35,G35)*time+ABS(G35-D35)*IF(G35&gt;D35,time*(VLOOKUP($G35,list!$J$47:$K$50,2,FALSE)),time*(1-(VLOOKUP(H35,list!$J$47:$K$50,2,FALSE))))),0),0)</f>
        <v>0</v>
      </c>
    </row>
    <row r="14" spans="1:45" ht="17" x14ac:dyDescent="0.25">
      <c r="B14" s="787" t="s">
        <v>591</v>
      </c>
      <c r="C14" s="785" t="str">
        <f>'3.Cropland'!AP16</f>
        <v>Annuals converted from non-forest LUs</v>
      </c>
      <c r="D14" s="785"/>
      <c r="E14" s="785"/>
      <c r="F14" s="785" t="str">
        <f>'3.Cropland'!G16</f>
        <v>Full tillage</v>
      </c>
      <c r="G14" s="785" t="str">
        <f>'3.Cropland'!I16</f>
        <v>High C input, no manure</v>
      </c>
      <c r="H14" s="785" t="str">
        <f>'3.Cropland'!K16</f>
        <v>Retained</v>
      </c>
      <c r="I14" s="789">
        <f>H66/1000</f>
        <v>7.0628255999999991</v>
      </c>
      <c r="J14" s="786">
        <f>'3.Cropland'!$M16</f>
        <v>0</v>
      </c>
      <c r="L14" s="828" t="s">
        <v>592</v>
      </c>
      <c r="M14" s="828" t="s">
        <v>593</v>
      </c>
      <c r="N14" s="828" t="s">
        <v>594</v>
      </c>
      <c r="O14" s="828" t="s">
        <v>595</v>
      </c>
      <c r="P14" s="830" t="s">
        <v>596</v>
      </c>
      <c r="Q14" s="4553"/>
      <c r="R14" s="831" t="s">
        <v>596</v>
      </c>
      <c r="S14" s="834" t="s">
        <v>597</v>
      </c>
      <c r="T14" s="834" t="s">
        <v>359</v>
      </c>
      <c r="U14" s="833" t="s">
        <v>598</v>
      </c>
      <c r="V14" s="833" t="s">
        <v>599</v>
      </c>
      <c r="AD14" s="787" t="s">
        <v>591</v>
      </c>
      <c r="AE14" s="3413">
        <f>(MIN(D36,E36)*time_tot+ABS(E36-D36)*IF(E36&gt;D36, time_cap + time*(VLOOKUP(F36, list!$J$48:$K$50, 2, FALSE)), time*(1-(VLOOKUP(F36, list!$J$48:$K$50, 2, FALSE)))))*annual!$S10*methane/1000</f>
        <v>0</v>
      </c>
      <c r="AF14" s="3216">
        <f>(MIN(D36,G36)*time_tot+ABS(G36-D36)*IF(G36&gt;D36, time_cap + time*(VLOOKUP(H36, list!$J$48:$K$50, 2, FALSE)), time*(1-(VLOOKUP(annual!H36, list!$J$48:$K$50, 2, FALSE)))))*annual!$S10* methane/1000</f>
        <v>0</v>
      </c>
      <c r="AG14" s="3216">
        <f>(MIN(D36,E36)*time_tot+ABS(E36-D36)*IF(E36&gt;D36, time_cap + time*(VLOOKUP(F36, list!$J$48:$K$50, 2, FALSE)), time*(1-(VLOOKUP(F36, list!$J$48:$K$50, 2, FALSE)))))*T10*Nitrous/1000</f>
        <v>249.12609921021428</v>
      </c>
      <c r="AH14" s="3216">
        <f>(MIN(D36,G36)*time_tot+ABS(G36-D36)*IF(G36&gt;D36, time_cap + time*(VLOOKUP(H36, list!$J$48:$K$50, 2, FALSE)), time*(1-(VLOOKUP(annual!H36, list!$J$48:$K$50, 2, FALSE)))))*T10*Nitrous/1000</f>
        <v>249.12609921021428</v>
      </c>
      <c r="AI14" s="3216">
        <f t="shared" si="0"/>
        <v>0</v>
      </c>
      <c r="AJ14" s="3414">
        <f t="shared" si="1"/>
        <v>0</v>
      </c>
      <c r="AM14" s="3413">
        <f>-$R10*((MIN($D36,E36)*MIN(20,time)) +
IF(F36="Immediate",IF(E36&gt;$D36,E36*MIN(20,time),0),IF($D36&gt;E36,($D36-$E36)* IF(time&gt;20,
IF(F36="Linear",time-((time-20)^2)/(2*time),(0.215*time)-(time/4.6)*(EXP(-92.1/time)-0.01)),time*(1-VLOOKUP(F36,list!$J$48:$K$50,2,))),(E36-$D36)*IF(time&gt;time+20,20,IF(time&lt;20,(time*VLOOKUP(F36,list!$J$48:$K$50,2,))+(time-time),((MIN(20,time)*VLOOKUP(F36,list!$J$48:$K$50,2,)) + (time-MIN(20,time)) -
IF(F36="Exponential",time-20+0.217*time*(EXP(4.606*(20-time)/time)-1),((time-20)^2)*(0.5/time))))))))</f>
        <v>0</v>
      </c>
      <c r="AN14" s="3216">
        <f>-$R10*((MIN($D36,G36)*MIN(20,time))+IF(H36="Immediate",IF(G36&gt;$D36,G36*MIN(20,time),0),IF($D36&gt;G36,($D36-G36)*IF(time&gt;20,IF(H36="Linear",time-((time-20)^2)/(2*time),(0.215*time)-(time/4.6)*(EXP(-92.1/time)-0.01)),time*(1-VLOOKUP(H36,list!$J$48:$K$50,2,))),(G36-$D36)*IF(time&gt;time+20,20,IF(time&lt;20,(time*VLOOKUP(H36,list!$J$48:$K$50,2,))+(time-time),((MIN(20,time)*VLOOKUP(H36,list!$J$48:$K$50,2,))+(time-MIN(20,time))-IF(H36="Exponential",time-20+0.217*time*(EXP(4.606*(20-time)/time)-1),((time-20)^2)*(0.5/time))))))))</f>
        <v>0</v>
      </c>
      <c r="AO14" s="3216">
        <f>(MIN(D36,E36)*time+ABS(E36-D36)*IF(E36&gt;D36,  + time*(VLOOKUP(F36, list!$J$48:$K$50, 2, FALSE)), time*(1-(VLOOKUP(F36, list!$J$48:$K$50, 2, FALSE)))))*annual!S10*methane/1000</f>
        <v>0</v>
      </c>
      <c r="AP14" s="3216">
        <f>(MIN(D36,G36)*time+ABS(G36-D36)*IF(G36&gt;D36,  + time*(VLOOKUP(H36, list!$J$48:$K$50, 2, FALSE)), time*(1-(VLOOKUP(annual!H36, list!$J$48:$K$50, 2, FALSE)))))*annual!$S10*methane/1000</f>
        <v>0</v>
      </c>
      <c r="AQ14" s="3216">
        <f>IFERROR(IF(M10&lt;L10,(M10-L10)/20/10*1000*VLOOKUP(moist_type, IPCC!$B$99:$C$101, 2, FALSE)*N2O_N_conversion*Nitrous/1000*(MIN(D36,E36)*time+ABS(E36-D36)*IF(E36&gt;D36,time*(VLOOKUP($F36,list!$J$47:$K$50,2,FALSE)),time*(1-(VLOOKUP(F36,list!$J$47:$K$50,2,FALSE))))),0),0)</f>
        <v>0</v>
      </c>
      <c r="AR14" s="3414">
        <f>IFERROR(IF(N10&lt;L10,(N10-L10)/20/10*1000*VLOOKUP(moist_type, IPCC!$B$99:$C$101, 2, FALSE)*N2O_N_conversion*Nitrous/1000*(MIN(D36,G36)*time+ABS(G36-D36)*IF(G36&gt;D36,time*(VLOOKUP($G36,list!$J$47:$K$50,2,FALSE)),time*(1-(VLOOKUP(H36,list!$J$47:$K$50,2,FALSE))))),0),0)</f>
        <v>0</v>
      </c>
    </row>
    <row r="15" spans="1:45" x14ac:dyDescent="0.2">
      <c r="C15" s="791" t="str">
        <f>'3.Cropland'!AP17</f>
        <v>Annuals converted to non-forest Lus</v>
      </c>
      <c r="D15" s="696"/>
      <c r="E15" s="696"/>
      <c r="F15" s="696" t="str">
        <f>'3.Cropland'!G17</f>
        <v>Please select</v>
      </c>
      <c r="G15" s="696" t="str">
        <f>'3.Cropland'!I17</f>
        <v>Please select</v>
      </c>
      <c r="H15" s="696" t="str">
        <f>'3.Cropland'!K17</f>
        <v>Please select</v>
      </c>
      <c r="I15" s="88">
        <f>H67/1000</f>
        <v>7.6193788355317897</v>
      </c>
      <c r="J15" s="697">
        <f>'3.Cropland'!$M17</f>
        <v>0</v>
      </c>
      <c r="L15" s="829" t="s">
        <v>62</v>
      </c>
      <c r="M15" s="829" t="s">
        <v>600</v>
      </c>
      <c r="N15" s="829" t="s">
        <v>600</v>
      </c>
      <c r="O15" s="829" t="s">
        <v>600</v>
      </c>
      <c r="P15" s="829" t="s">
        <v>62</v>
      </c>
      <c r="Q15" s="829" t="s">
        <v>601</v>
      </c>
      <c r="R15" s="829" t="s">
        <v>602</v>
      </c>
      <c r="S15" s="829" t="s">
        <v>571</v>
      </c>
      <c r="T15" s="829" t="s">
        <v>571</v>
      </c>
      <c r="U15" s="826" t="s">
        <v>389</v>
      </c>
      <c r="V15" s="826"/>
      <c r="AE15" s="3253">
        <f>(MIN(D37,E37)*time_tot+ABS(E37-D37)*IF(E37&gt;D37, time_cap + time*(VLOOKUP(F37, list!$J$48:$K$50, 2, FALSE)), time*(1-(VLOOKUP(F37, list!$J$48:$K$50, 2, FALSE)))))*annual!$S11*methane/1000</f>
        <v>0</v>
      </c>
      <c r="AF15" s="3625">
        <f>(MIN(D37,G37)*time_tot+ABS(G37-D37)*IF(G37&gt;D37, time_cap + time*(VLOOKUP(H37, list!$J$48:$K$50, 2, FALSE)), time*(1-(VLOOKUP(annual!H37, list!$J$48:$K$50, 2, FALSE)))))*annual!$S11* methane/1000</f>
        <v>0</v>
      </c>
      <c r="AG15" s="3625">
        <f>(MIN(D37,E37)*time_tot+ABS(E37-D37)*IF(E37&gt;D37, time_cap + time*(VLOOKUP(F37, list!$J$48:$K$50, 2, FALSE)), time*(1-(VLOOKUP(F37, list!$J$48:$K$50, 2, FALSE)))))*T11*Nitrous/1000</f>
        <v>0</v>
      </c>
      <c r="AH15" s="3625">
        <f>(MIN(D37,G37)*time_tot+ABS(G37-D37)*IF(G37&gt;D37, time_cap + time*(VLOOKUP(H37, list!$J$48:$K$50, 2, FALSE)), time*(1-(VLOOKUP(annual!H37, list!$J$48:$K$50, 2, FALSE)))))*T11*Nitrous/1000</f>
        <v>0</v>
      </c>
      <c r="AI15" s="3625">
        <f t="shared" si="0"/>
        <v>0</v>
      </c>
      <c r="AJ15" s="3629">
        <f t="shared" si="1"/>
        <v>0</v>
      </c>
      <c r="AM15" s="3253">
        <f>-$R11*((MIN($D37,E37)*MIN(20,time)) +
IF(F37="Immediate",IF(E37&gt;$D37,E37*MIN(20,time),0),IF($D37&gt;E37,($D37-$E37)* IF(time&gt;20,
IF(F37="Linear",time-((time-20)^2)/(2*time),(0.215*time)-(time/4.6)*(EXP(-92.1/time)-0.01)),time*(1-VLOOKUP(F37,list!$J$48:$K$50,2,))),(E37-$D37)*IF(time&gt;time+20,20,IF(time&lt;20,(time*VLOOKUP(F37,list!$J$48:$K$50,2,))+(time-time),((MIN(20,time)*VLOOKUP(F37,list!$J$48:$K$50,2,)) + (time-MIN(20,time)) -
IF(F37="Exponential",time-20+0.217*time*(EXP(4.606*(20-time)/time)-1),((time-20)^2)*(0.5/time))))))))</f>
        <v>0</v>
      </c>
      <c r="AN15" s="3625">
        <f>-$R11*((MIN($D37,G37)*MIN(20,time))+IF(H37="Immediate",IF(G37&gt;$D37,G37*MIN(20,time),0),IF($D37&gt;G37,($D37-G37)*IF(time&gt;20,IF(H37="Linear",time-((time-20)^2)/(2*time),(0.215*time)-(time/4.6)*(EXP(-92.1/time)-0.01)),time*(1-VLOOKUP(H37,list!$J$48:$K$50,2,))),(G37-$D37)*IF(time&gt;time+20,20,IF(time&lt;20,(time*VLOOKUP(H37,list!$J$48:$K$50,2,))+(time-time),((MIN(20,time)*VLOOKUP(H37,list!$J$48:$K$50,2,))+(time-MIN(20,time))-IF(H37="Exponential",time-20+0.217*time*(EXP(4.606*(20-time)/time)-1),((time-20)^2)*(0.5/time))))))))</f>
        <v>0</v>
      </c>
      <c r="AO15" s="3625">
        <f>(MIN(D37,E37)*time+ABS(E37-D37)*IF(E37&gt;D37,  + time*(VLOOKUP(F37, list!$J$48:$K$50, 2, FALSE)), time*(1-(VLOOKUP(F37, list!$J$48:$K$50, 2, FALSE)))))*annual!S11*methane/1000</f>
        <v>0</v>
      </c>
      <c r="AP15" s="3625">
        <f>(MIN(D37,G37)*time+ABS(G37-D37)*IF(G37&gt;D37,  + time*(VLOOKUP(H37, list!$J$48:$K$50, 2, FALSE)), time*(1-(VLOOKUP(annual!H37, list!$J$48:$K$50, 2, FALSE)))))*annual!$S11*methane/1000</f>
        <v>0</v>
      </c>
      <c r="AQ15" s="3625">
        <f>IFERROR(IF(M11&lt;L11,(M11-L11)/20/10*1000*VLOOKUP(moist_type, IPCC!$B$99:$C$101, 2, FALSE)*N2O_N_conversion*Nitrous/1000*(MIN(D37,E37)*time+ABS(E37-D37)*IF(E37&gt;D37,time*(VLOOKUP($F37,list!$J$47:$K$50,2,FALSE)),time*(1-(VLOOKUP(F37,list!$J$47:$K$50,2,FALSE))))),0),0)</f>
        <v>0</v>
      </c>
      <c r="AR15" s="3629">
        <f>IFERROR(IF(N11&lt;L11,(N11-L11)/20/10*1000*VLOOKUP(moist_type, IPCC!$B$99:$C$101, 2, FALSE)*N2O_N_conversion*Nitrous/1000*(MIN(D37,G37)*time+ABS(G37-D37)*IF(G37&gt;D37,time*(VLOOKUP($G37,list!$J$47:$K$50,2,FALSE)),time*(1-(VLOOKUP(H37,list!$J$47:$K$50,2,FALSE))))),0),0)</f>
        <v>0</v>
      </c>
    </row>
    <row r="16" spans="1:45" ht="15" customHeight="1" x14ac:dyDescent="0.2">
      <c r="C16" s="702" t="str">
        <f>IF('3.Cropland'!C25="", "", '3.Cropland'!C25)</f>
        <v/>
      </c>
      <c r="D16" s="702"/>
      <c r="E16" s="739"/>
      <c r="F16" s="739" t="str">
        <f>'3.Cropland'!G25</f>
        <v>Full tillage</v>
      </c>
      <c r="G16" s="739" t="str">
        <f>'3.Cropland'!I25</f>
        <v>High C input, with manure</v>
      </c>
      <c r="H16" s="708" t="str">
        <f>'3.Cropland'!K25</f>
        <v>Burned</v>
      </c>
      <c r="I16" s="848">
        <f>$H68/1000</f>
        <v>7.0628255999999991</v>
      </c>
      <c r="J16" s="702">
        <f>'3.Cropland'!$M25</f>
        <v>0</v>
      </c>
      <c r="K16" s="58"/>
      <c r="L16" s="4113">
        <f>(IF('3.Cropland'!$G25&lt;&gt;"Please select",IF('3.Cropland'!AT25&lt;&gt;"",'3.Cropland'!AT25,'3.Cropland'!AS25),0))</f>
        <v>24</v>
      </c>
      <c r="M16" s="4113">
        <f>(IF('3.Cropland'!G25&lt;&gt;"Please select",IF('3.Cropland'!AV25&lt;&gt;"",'3.Cropland'!AV25,VLOOKUP(clim_moist,IPCC!$A$57:$B$68,2,FALSE)),0))</f>
        <v>0.76</v>
      </c>
      <c r="N16" s="4114">
        <f>_xlfn.IFNA(IF('3.Cropland'!AX25&lt;&gt;"",'3.Cropland'!AX25,INDEX(IPCC!$B$58:$L$68,MATCH(clim_moist,IPCC!$A$58:$A$68,0),MATCH('3.Cropland'!G25,IPCC!$B$58:$L$58,0))),)</f>
        <v>1</v>
      </c>
      <c r="O16" s="4115">
        <f>_xlfn.IFNA(IF( '3.Cropland'!AZ25&lt;&gt;"", '3.Cropland'!AZ25, INDEX(IPCC!$B$58:$L$68,MATCH(clim_moist,IPCC!$A$58:$A$68,0),MATCH('3.Cropland'!I25,IPCC!$B$58:$L$58,0))),0)</f>
        <v>1.37</v>
      </c>
      <c r="P16" s="4116">
        <f>L16*M16*N16*O16</f>
        <v>24.988800000000005</v>
      </c>
      <c r="Q16" s="4117">
        <f>(P16-L16*M16)*(44/12)</f>
        <v>24.74560000000001</v>
      </c>
      <c r="R16" s="4114">
        <f>Q16/20</f>
        <v>1.2372800000000006</v>
      </c>
      <c r="S16" s="4109">
        <f>_xlfn.IFNA(IF($H16="Burned",$I16*IPCC!$D$76,0)*IF(OR('3.Cropland'!$E25="Maize",'3.Cropland'!$E25="Wheat"),VLOOKUP('3.Cropland'!$E25, IPCC!$A$85:$B$89,2,FALSE),IPCC!$B$89) +
IF(AND('3.Cropland'!$BJ25="Burned", $O68&lt;&gt;"None"), $T68*IPCC!$D$76,0)*IF(OR('3.Cropland'!$BH25="Maize", '3.Cropland'!$BH25="Wheat"),VLOOKUP('3.Cropland'!$BH25, IPCC!$A$85:$B$89,2,FALSE),IPCC!$B$89),0)</f>
        <v>15.255703296</v>
      </c>
      <c r="T16" s="4110">
        <f>_xlfn.IFNA(IF($H16="Burned",($I16*IPCC!$E$76*IF(OR('3.Cropland'!$E25="Maize",'3.Cropland'!$E25="Wheat"),VLOOKUP('3.Cropland'!$E25,IPCC!$A$83:$B$89,2,FALSE),IPCC!$B$89)),
IF($H16="Retained",($M68*IF(OR(moist_type="Moist",moist_type="Wet",moist_type="Dry"),VLOOKUP(moist_type,IPCC!$B$99:$C$101,2,FALSE),IPCC!$C$96)*N2O_N_conversion),0))+
IF($O68="None", 0, IF('3.Cropland'!$BJ25="Burned", ($T68*IPCC!$E$76*IF(OR('3.Cropland'!$BH25="Maize", '3.Cropland'!$BH25="Wheat"),VLOOKUP('3.Cropland'!$BH25,IPCC!$A$83:$B$89,2,FALSE),IPCC!$B$89)),
IF('3.Cropland'!$BJ25="Retained", ($X68*IF(OR(moist_type="Moist",moist_type="Wet",moist_type="Dry"),VLOOKUP(moist_type,IPCC!$B$99:$C$101,2,FALSE),IPCC!$C$96)*N2O_N_conversion),0))),0)</f>
        <v>0.39551823360000005</v>
      </c>
      <c r="U16" s="3159">
        <f>($S16*methane+$T16*Nitrous)/1000</f>
        <v>0.53197202419199996</v>
      </c>
      <c r="V16" s="3159">
        <f>IFERROR(IF((P16-L16*M16)&lt;0,(P16-L16*M16)/20/10*1000,0)*VLOOKUP(moist_type, IPCC!$B$99:$C$101, 2, FALSE)*N2O_N_conversion*Nitrous/1000,0)</f>
        <v>0</v>
      </c>
      <c r="X16" s="174"/>
      <c r="Y16" s="16"/>
      <c r="AE16" s="3422">
        <f>(MIN(D38,E38)*time_tot+ABS(E38-D38)*IF(E38&gt;D38, time_cap + time*(VLOOKUP(F38, list!$J$48:$K$50, 2, FALSE)), time*(1-(VLOOKUP(F38, list!$J$48:$K$50, 2, FALSE)))))*annual!S16*methane/1000</f>
        <v>961.10930764799991</v>
      </c>
      <c r="AF16" s="3410">
        <f>(MIN(D38,G38)*time_tot+ABS(G38-D38)*IF(G38&gt;D38, time_cap + time*(VLOOKUP(H38, list!$J$48:$K$50, 2, FALSE)), time*(1-(VLOOKUP(annual!H38, list!$J$48:$K$50, 2, FALSE)))))*annual!S16*methane/1000</f>
        <v>961.10930764799991</v>
      </c>
      <c r="AG16" s="3410">
        <f>(MIN(D38,E38)*time_tot+ABS(E38-D38)*IF(E38&gt;D38, time_cap + time*(VLOOKUP(F38, list!$J$48:$K$50, 2, FALSE)), time*(1-(VLOOKUP(F38, list!$J$48:$K$50, 2, FALSE)))))*T16*Nitrous/1000</f>
        <v>235.82774678400006</v>
      </c>
      <c r="AH16" s="3410">
        <f>(MIN(D38,G38)*time_tot+ABS(G38-D38)*IF(G38&gt;D38, time_cap + time*(VLOOKUP(H38, list!$J$48:$K$50, 2, FALSE)), time*(1-(VLOOKUP(annual!H38, list!$J$48:$K$50, 2, FALSE)))))*T16*Nitrous/1000</f>
        <v>235.82774678400006</v>
      </c>
      <c r="AI16" s="3410">
        <f t="shared" si="0"/>
        <v>0</v>
      </c>
      <c r="AJ16" s="3423">
        <f t="shared" si="1"/>
        <v>0</v>
      </c>
      <c r="AM16" s="3447">
        <f>-$R16*((MIN($D38,E38)*MIN(20,time)) +
IF(F38="Immediate",IF(E38&gt;$D38,E38*MIN(20,time),0),IF($D38&gt;E38,($D38-E38)* IF(time&gt;20,
IF(F38="Linear",time-((time-20)^2)/(2*time),(0.215*time)-(time/4.6)*(EXP(-92.1/time)-0.01)),time*(1-VLOOKUP(F38,list!$J$48:$K$50,2,))),(E38-$D38)*IF(time&gt;time+20,20,IF(time&lt;20,(time*VLOOKUP(F38,list!$J$48:$K$50,2,))+(time-time),((MIN(20,time)*VLOOKUP(F38,list!$J$48:$K$50,2,)) + (time-MIN(20,time)) -
IF(F38="Exponential",time-20+0.217*time*(EXP(4.606*(20-time)/time)-1),((time-20)^2)*(0.5/time))))))))</f>
        <v>-927.96000000000049</v>
      </c>
      <c r="AN16" s="3448">
        <f>-$R16*((MIN($D38,G38)*MIN(20,time))+IF(H38="Immediate",IF(G38&gt;$D38,G38*MIN(20,time),0),IF($D38&gt;G38,($D38-G38)*IF(time&gt;20,IF(H38="Linear",time-((time-20)^2)/(2*time),(0.215*time)-(time/4.6)*(EXP(-92.1/time)-0.01)),time*(1-VLOOKUP(H38,list!$J$48:$K$50,2,))),(G38-$D38)*IF(time&gt;time+20,20,IF(time&lt;20,(time*VLOOKUP(H38,list!$J$48:$K$50,2,))+(time-time),((MIN(20,time)*VLOOKUP(H38,list!$J$48:$K$50,2,))+(time-MIN(20,time))-IF(H38="Exponential",time-20+0.217*time*(EXP(4.606*(20-time)/time)-1),((time-20)^2)*(0.5/time))))))))</f>
        <v>-927.96000000000049</v>
      </c>
      <c r="AO16" s="3448">
        <f>(MIN(D38,E38)*time+ABS(E38-D38)*IF(E38&gt;D38,  + time*(VLOOKUP(F38, list!$J$48:$K$50, 2, FALSE)), time*(1-(VLOOKUP(F38, list!$J$48:$K$50, 2, FALSE)))))*annual!S16*methane/1000</f>
        <v>320.36976921600001</v>
      </c>
      <c r="AP16" s="3448">
        <f>(MIN(D38,G38)*time+ABS(G38-D38)*IF(G38&gt;D38,  + time*(VLOOKUP(H38, list!$J$48:$K$50, 2, FALSE)), time*(1-(VLOOKUP(annual!H38, list!$J$48:$K$50, 2, FALSE)))))*annual!S16*methane/1000</f>
        <v>320.36976921600001</v>
      </c>
      <c r="AQ16" s="3448">
        <f>(MIN(D38,E38)*time+ABS(E38-D38)*IF(E38&gt;D38,  + time*(VLOOKUP(F38, list!$J$48:$K$50, 2, FALSE)), time*(1-(VLOOKUP(F38, list!$J$48:$K$50, 2, FALSE)))))*V16</f>
        <v>0</v>
      </c>
      <c r="AR16" s="3449">
        <f>(MIN(D38,G38)*time+ABS(G38-D38)*IF(G38&gt;D38,+time*(VLOOKUP(H38,list!$J$48:$K$50,2,FALSE)),time*(1-(VLOOKUP(annual!H38,list!$J$48:$K$50,2,FALSE)))))*W16</f>
        <v>0</v>
      </c>
    </row>
    <row r="17" spans="3:45" x14ac:dyDescent="0.2">
      <c r="C17" s="702" t="str">
        <f>IF('3.Cropland'!C26="", "", '3.Cropland'!C26)</f>
        <v/>
      </c>
      <c r="D17" s="728"/>
      <c r="E17" s="728"/>
      <c r="F17" s="728" t="str">
        <f>'3.Cropland'!G26</f>
        <v>Please select</v>
      </c>
      <c r="G17" s="728" t="str">
        <f>'3.Cropland'!I26</f>
        <v>Please select</v>
      </c>
      <c r="H17" s="711" t="str">
        <f>'3.Cropland'!K26</f>
        <v>Please select</v>
      </c>
      <c r="I17" s="849">
        <f t="shared" ref="I17:I25" si="2">$H69/1000</f>
        <v>7.6193788355317897</v>
      </c>
      <c r="J17" s="703">
        <f>'3.Cropland'!$M26</f>
        <v>0</v>
      </c>
      <c r="L17" s="4113">
        <f>(IF('3.Cropland'!$G26&lt;&gt;"Please select",IF('3.Cropland'!AT26&lt;&gt;"",'3.Cropland'!AT26,'3.Cropland'!AS26),0))</f>
        <v>0</v>
      </c>
      <c r="M17" s="4113">
        <f>(IF('3.Cropland'!G26&lt;&gt;"Please select",IF('3.Cropland'!AV26&lt;&gt;"",'3.Cropland'!AV26,VLOOKUP(clim_moist,IPCC!$A$57:$B$68,2,FALSE)),0))</f>
        <v>0</v>
      </c>
      <c r="N17" s="4114">
        <f>_xlfn.IFNA(IF('3.Cropland'!AX26&lt;&gt;"",'3.Cropland'!AX26,INDEX(IPCC!$B$58:$L$68,MATCH(clim_moist,IPCC!$A$58:$A$68,0),MATCH('3.Cropland'!G26,IPCC!$B$58:$L$58,0))),)</f>
        <v>0</v>
      </c>
      <c r="O17" s="4115">
        <f>_xlfn.IFNA(IF( '3.Cropland'!AZ26&lt;&gt;"", '3.Cropland'!AZ26, INDEX(IPCC!$B$58:$L$68,MATCH(clim_moist,IPCC!$A$58:$A$68,0),MATCH('3.Cropland'!I26,IPCC!$B$58:$L$58,0))),0)</f>
        <v>0</v>
      </c>
      <c r="P17" s="4116">
        <f>L17*M17*N17*O17</f>
        <v>0</v>
      </c>
      <c r="Q17" s="4117">
        <f>(P17-L17*M17)*(44/12)</f>
        <v>0</v>
      </c>
      <c r="R17" s="4114">
        <f>Q17/20</f>
        <v>0</v>
      </c>
      <c r="S17" s="4109">
        <f>_xlfn.IFNA(IF($H17="Burned",$I17*IPCC!$D$76,0)*IF(OR('3.Cropland'!$E26="Maize",'3.Cropland'!$E26="Wheat"),VLOOKUP('3.Cropland'!$E26, IPCC!$A$85:$B$89,2,FALSE),IPCC!$B$89) +
IF(AND('3.Cropland'!$BJ26="Burned", $O69&lt;&gt;"None"), $T69*IPCC!$D$76,0)*IF(OR('3.Cropland'!$BH26="Maize", '3.Cropland'!$BH26="Wheat"),VLOOKUP('3.Cropland'!$BH26, IPCC!$A$85:$B$89,2,FALSE),IPCC!$B$89),0)</f>
        <v>0</v>
      </c>
      <c r="T17" s="4110">
        <f>_xlfn.IFNA(IF($H17="Burned",($I17*IPCC!$E$76*IF(OR('3.Cropland'!$E26="Maize",'3.Cropland'!$E26="Wheat"),VLOOKUP('3.Cropland'!$E26,IPCC!$A$83:$B$89,2,FALSE),IPCC!$B$89)),
IF($H17="Retained",($M69*IF(OR(moist_type="Moist",moist_type="Wet",moist_type="Dry"),VLOOKUP(moist_type,IPCC!$B$99:$C$101,2,FALSE),IPCC!$C$96)*N2O_N_conversion),0))+
IF($O69="None", 0, IF('3.Cropland'!$BJ26="Burned", ($T69*IPCC!$E$76*IF(OR('3.Cropland'!$BH26="Maize", '3.Cropland'!$BH26="Wheat"),VLOOKUP('3.Cropland'!$BH26,IPCC!$A$83:$B$89,2,FALSE),IPCC!$B$89)),
IF('3.Cropland'!$BJ26="Retained", ($X69*IF(OR(moist_type="Moist",moist_type="Wet",moist_type="Dry"),VLOOKUP(moist_type,IPCC!$B$99:$C$101,2,FALSE),IPCC!$C$96)*N2O_N_conversion),0))),0)</f>
        <v>0</v>
      </c>
      <c r="U17" s="3159">
        <f t="shared" ref="U17:U25" si="3">($S17*methane+$T17*Nitrous)/1000</f>
        <v>0</v>
      </c>
      <c r="V17" s="3159">
        <f>IFERROR(IF((P17-L17*M17)&lt;0,(P17-L17*M17)/20/10*1000,0)*VLOOKUP(moist_type, IPCC!$B$99:$C$101, 2, FALSE)*N2O_N_conversion*Nitrous/1000,0)</f>
        <v>0</v>
      </c>
      <c r="AE17" s="3424">
        <f>(MIN(D39,E39)*time_tot+ABS(E39-D39)*IF(E39&gt;D39, time_cap + time*(VLOOKUP(F39, list!$J$48:$K$50, 2, FALSE)), time*(1-(VLOOKUP(F39, list!$J$48:$K$50, 2, FALSE)))))*annual!S17*methane/1000</f>
        <v>0</v>
      </c>
      <c r="AF17" s="3406">
        <f>(MIN(D39,G39)*time_tot+ABS(G39-D39)*IF(G39&gt;D39, time_cap + time*(VLOOKUP(H39, list!$J$48:$K$50, 2, FALSE)), time*(1-(VLOOKUP(annual!H39, list!$J$48:$K$50, 2, FALSE)))))*annual!S17*methane/1000</f>
        <v>0</v>
      </c>
      <c r="AG17" s="3406">
        <f>(MIN(D39,E39)*time_tot+ABS(E39-D39)*IF(E39&gt;D39, time_cap + time*(VLOOKUP(F39, list!$J$48:$K$50, 2, FALSE)), time*(1-(VLOOKUP(F39, list!$J$48:$K$50, 2, FALSE)))))*T17*Nitrous/1000</f>
        <v>0</v>
      </c>
      <c r="AH17" s="3406">
        <f>(MIN(D39,G39)*time_tot+ABS(G39-D39)*IF(G39&gt;D39, time_cap + time*(VLOOKUP(H39, list!$J$48:$K$50, 2, FALSE)), time*(1-(VLOOKUP(annual!H39, list!$J$48:$K$50, 2, FALSE)))))*T17*Nitrous/1000</f>
        <v>0</v>
      </c>
      <c r="AI17" s="3406">
        <f t="shared" si="0"/>
        <v>0</v>
      </c>
      <c r="AJ17" s="3425">
        <f t="shared" si="1"/>
        <v>0</v>
      </c>
      <c r="AM17" s="3431">
        <f>-$R17*((MIN($D39,E39)*MIN(20,time)) +
IF(F39="Immediate",IF(E39&gt;$D39,E39*MIN(20,time),0),IF($D39&gt;E39,($D39-E39)* IF(time&gt;20,
IF(F39="Linear",time-((time-20)^2)/(2*time),(0.215*time)-(time/4.6)*(EXP(-92.1/time)-0.01)),time*(1-VLOOKUP(F39,list!$J$48:$K$50,2,))),(E39-$D39)*IF(time&gt;time+20,20,IF(time&lt;20,(time*VLOOKUP(F39,list!$J$48:$K$50,2,))+(time-time),((MIN(20,time)*VLOOKUP(F39,list!$J$48:$K$50,2,)) + (time-MIN(20,time)) -
IF(F39="Exponential",time-20+0.217*time*(EXP(4.606*(20-time)/time)-1),((time-20)^2)*(0.5/time))))))))</f>
        <v>0</v>
      </c>
      <c r="AN17" s="3407">
        <f>-$R17*((MIN($D39,G39)*MIN(20,time))+IF(H39="Immediate",IF(G39&gt;$D39,G39*MIN(20,time),0),IF($D39&gt;G39,($D39-G39)*IF(time&gt;20,IF(H39="Linear",time-((time-20)^2)/(2*time),(0.215*time)-(time/4.6)*(EXP(-92.1/time)-0.01)),time*(1-VLOOKUP(H39,list!$J$48:$K$50,2,))),(G39-$D39)*IF(time&gt;time+20,20,IF(time&lt;20,(time*VLOOKUP(H39,list!$J$48:$K$50,2,))+(time-time),((MIN(20,time)*VLOOKUP(H39,list!$J$48:$K$50,2,))+(time-MIN(20,time))-IF(H39="Exponential",time-20+0.217*time*(EXP(4.606*(20-time)/time)-1),((time-20)^2)*(0.5/time))))))))</f>
        <v>0</v>
      </c>
      <c r="AO17" s="3407">
        <f>(MIN(D39,E39)*time+ABS(E39-D39)*IF(E39&gt;D39,  + time*(VLOOKUP(F39, list!$J$48:$K$50, 2, FALSE)), time*(1-(VLOOKUP(F39, list!$J$48:$K$50, 2, FALSE)))))*annual!S17*methane/1000</f>
        <v>0</v>
      </c>
      <c r="AP17" s="3407">
        <f>(MIN(D39,G39)*time+ABS(G39-D39)*IF(G39&gt;D39,  + time*(VLOOKUP(H39, list!$J$48:$K$50, 2, FALSE)), time*(1-(VLOOKUP(annual!H39, list!$J$48:$K$50, 2, FALSE)))))*annual!S17*methane/1000</f>
        <v>0</v>
      </c>
      <c r="AQ17" s="3407">
        <f>(MIN(D39,E39)*time+ABS(E39-D39)*IF(E39&gt;D39,  + time*(VLOOKUP(F39, list!$J$48:$K$50, 2, FALSE)), time*(1-(VLOOKUP(F39, list!$J$48:$K$50, 2, FALSE)))))*V17</f>
        <v>0</v>
      </c>
      <c r="AR17" s="3432">
        <f>(MIN(D39,G39)*time+ABS(G39-D39)*IF(G39&gt;D39,+time*(VLOOKUP(H39,list!$J$48:$K$50,2,FALSE)),time*(1-(VLOOKUP(annual!H39,list!$J$48:$K$50,2,FALSE)))))*W17</f>
        <v>0</v>
      </c>
    </row>
    <row r="18" spans="3:45" x14ac:dyDescent="0.2">
      <c r="C18" s="702" t="str">
        <f>IF('3.Cropland'!C27="", "", '3.Cropland'!C27)</f>
        <v/>
      </c>
      <c r="D18" s="703"/>
      <c r="E18" s="703"/>
      <c r="F18" s="703" t="str">
        <f>'3.Cropland'!G27</f>
        <v>Please select</v>
      </c>
      <c r="G18" s="703" t="str">
        <f>'3.Cropland'!I27</f>
        <v>Please select</v>
      </c>
      <c r="H18" s="711" t="str">
        <f>'3.Cropland'!K27</f>
        <v>Please select</v>
      </c>
      <c r="I18" s="849">
        <f t="shared" si="2"/>
        <v>7.6193788355317897</v>
      </c>
      <c r="J18" s="703">
        <f>'3.Cropland'!$M27</f>
        <v>0</v>
      </c>
      <c r="L18" s="4113">
        <f>(IF('3.Cropland'!$G27&lt;&gt;"Please select",IF('3.Cropland'!AT27&lt;&gt;"",'3.Cropland'!AT27,'3.Cropland'!AS27),0))</f>
        <v>0</v>
      </c>
      <c r="M18" s="4113">
        <f>(IF('3.Cropland'!G27&lt;&gt;"Please select",IF('3.Cropland'!AV27&lt;&gt;"",'3.Cropland'!AV27,VLOOKUP(clim_moist,IPCC!$A$57:$B$68,2,FALSE)),0))</f>
        <v>0</v>
      </c>
      <c r="N18" s="4114">
        <f>_xlfn.IFNA(IF('3.Cropland'!AX27&lt;&gt;"",'3.Cropland'!AX27,INDEX(IPCC!$B$58:$L$68,MATCH(clim_moist,IPCC!$A$58:$A$68,0),MATCH('3.Cropland'!G27,IPCC!$B$58:$L$58,0))),)</f>
        <v>0</v>
      </c>
      <c r="O18" s="4115">
        <f>_xlfn.IFNA(IF( '3.Cropland'!AZ27&lt;&gt;"", '3.Cropland'!AZ27, INDEX(IPCC!$B$58:$L$68,MATCH(clim_moist,IPCC!$A$58:$A$68,0),MATCH('3.Cropland'!I27,IPCC!$B$58:$L$58,0))),0)</f>
        <v>0</v>
      </c>
      <c r="P18" s="4116">
        <f>L18*M18*N18*O18</f>
        <v>0</v>
      </c>
      <c r="Q18" s="4117">
        <f t="shared" ref="Q18:Q25" si="4">(P18-L18*M18)*(44/12)</f>
        <v>0</v>
      </c>
      <c r="R18" s="4114">
        <f t="shared" ref="R18:R25" si="5">Q18/20</f>
        <v>0</v>
      </c>
      <c r="S18" s="4109">
        <f>_xlfn.IFNA(IF($H18="Burned",$I18*IPCC!$D$76,0)*IF(OR('3.Cropland'!$E27="Maize",'3.Cropland'!$E27="Wheat"),VLOOKUP('3.Cropland'!$E27, IPCC!$A$85:$B$89,2,FALSE),IPCC!$B$89) +
IF(AND('3.Cropland'!$BJ27="Burned", $O70&lt;&gt;"None"), $T70*IPCC!$D$76,0)*IF(OR('3.Cropland'!$BH27="Maize", '3.Cropland'!$BH27="Wheat"),VLOOKUP('3.Cropland'!$BH27, IPCC!$A$85:$B$89,2,FALSE),IPCC!$B$89),0)</f>
        <v>0</v>
      </c>
      <c r="T18" s="4110">
        <f>_xlfn.IFNA(IF($H18="Burned",($I18*IPCC!$E$76*IF(OR('3.Cropland'!$E27="Maize",'3.Cropland'!$E27="Wheat"),VLOOKUP('3.Cropland'!$E27,IPCC!$A$83:$B$89,2,FALSE),IPCC!$B$89)),
IF($H18="Retained",($M70*IF(OR(moist_type="Moist",moist_type="Wet",moist_type="Dry"),VLOOKUP(moist_type,IPCC!$B$99:$C$101,2,FALSE),IPCC!$C$96)*N2O_N_conversion),0))+
IF($O70="None", 0, IF('3.Cropland'!$BJ27="Burned", ($T70*IPCC!$E$76*IF(OR('3.Cropland'!$BH27="Maize", '3.Cropland'!$BH27="Wheat"),VLOOKUP('3.Cropland'!$BH27,IPCC!$A$83:$B$89,2,FALSE),IPCC!$B$89)),
IF('3.Cropland'!$BJ27="Retained", ($X70*IF(OR(moist_type="Moist",moist_type="Wet",moist_type="Dry"),VLOOKUP(moist_type,IPCC!$B$99:$C$101,2,FALSE),IPCC!$C$96)*N2O_N_conversion),0))),0)</f>
        <v>0</v>
      </c>
      <c r="U18" s="3159">
        <f t="shared" si="3"/>
        <v>0</v>
      </c>
      <c r="V18" s="3159">
        <f>IFERROR(IF((P18-L18*M18)&lt;0,(P18-L18*M18)/20/10*1000,0)*VLOOKUP(moist_type, IPCC!$B$99:$C$101, 2, FALSE)*N2O_N_conversion*Nitrous/1000,0)</f>
        <v>0</v>
      </c>
      <c r="AE18" s="3424">
        <f>(MIN(D40,E40)*time_tot+ABS(E40-D40)*IF(E40&gt;D40, time_cap + time*(VLOOKUP(F40, list!$J$48:$K$50, 2, FALSE)), time*(1-(VLOOKUP(F40, list!$J$48:$K$50, 2, FALSE)))))*annual!S18*methane/1000</f>
        <v>0</v>
      </c>
      <c r="AF18" s="3406">
        <f>(MIN(D40,G40)*time_tot+ABS(G40-D40)*IF(G40&gt;D40, time_cap + time*(VLOOKUP(H40, list!$J$48:$K$50, 2, FALSE)), time*(1-(VLOOKUP(annual!H40, list!$J$48:$K$50, 2, FALSE)))))*annual!S18*methane/1000</f>
        <v>0</v>
      </c>
      <c r="AG18" s="3406">
        <f>(MIN(D40,E40)*time_tot+ABS(E40-D40)*IF(E40&gt;D40, time_cap + time*(VLOOKUP(F40, list!$J$48:$K$50, 2, FALSE)), time*(1-(VLOOKUP(F40, list!$J$48:$K$50, 2, FALSE)))))*T18*Nitrous/1000</f>
        <v>0</v>
      </c>
      <c r="AH18" s="3406">
        <f>(MIN(D40,G40)*time_tot+ABS(G40-D40)*IF(G40&gt;D40, time_cap + time*(VLOOKUP(H40, list!$J$48:$K$50, 2, FALSE)), time*(1-(VLOOKUP(annual!H40, list!$J$48:$K$50, 2, FALSE)))))*T18*Nitrous/1000</f>
        <v>0</v>
      </c>
      <c r="AI18" s="3406">
        <f t="shared" si="0"/>
        <v>0</v>
      </c>
      <c r="AJ18" s="3425">
        <f t="shared" si="1"/>
        <v>0</v>
      </c>
      <c r="AM18" s="3431">
        <f>-$R18*((MIN($D40,E40)*MIN(20,time)) +
IF(F40="Immediate",IF(E40&gt;$D40,E40*MIN(20,time),0),IF($D40&gt;E40,($D40-E40)* IF(time&gt;20,
IF(F40="Linear",time-((time-20)^2)/(2*time),(0.215*time)-(time/4.6)*(EXP(-92.1/time)-0.01)),time*(1-VLOOKUP(F40,list!$J$48:$K$50,2,))),(E40-$D40)*IF(time&gt;time+20,20,IF(time&lt;20,(time*VLOOKUP(F40,list!$J$48:$K$50,2,))+(time-time),((MIN(20,time)*VLOOKUP(F40,list!$J$48:$K$50,2,)) + (time-MIN(20,time)) -
IF(F40="Exponential",time-20+0.217*time*(EXP(4.606*(20-time)/time)-1),((time-20)^2)*(0.5/time))))))))</f>
        <v>0</v>
      </c>
      <c r="AN18" s="3407">
        <f>-$R18*((MIN($D40,G40)*MIN(20,time))+IF(H40="Immediate",IF(G40&gt;$D40,G40*MIN(20,time),0),IF($D40&gt;G40,($D40-G40)*IF(time&gt;20,IF(H40="Linear",time-((time-20)^2)/(2*time),(0.215*time)-(time/4.6)*(EXP(-92.1/time)-0.01)),time*(1-VLOOKUP(H40,list!$J$48:$K$50,2,))),(G40-$D40)*IF(time&gt;time+20,20,IF(time&lt;20,(time*VLOOKUP(H40,list!$J$48:$K$50,2,))+(time-time),((MIN(20,time)*VLOOKUP(H40,list!$J$48:$K$50,2,))+(time-MIN(20,time))-IF(H40="Exponential",time-20+0.217*time*(EXP(4.606*(20-time)/time)-1),((time-20)^2)*(0.5/time))))))))</f>
        <v>0</v>
      </c>
      <c r="AO18" s="3407">
        <f>(MIN(D40,E40)*time+ABS(E40-D40)*IF(E40&gt;D40,  + time*(VLOOKUP(F40, list!$J$48:$K$50, 2, FALSE)), time*(1-(VLOOKUP(F40, list!$J$48:$K$50, 2, FALSE)))))*annual!S18*methane/1000</f>
        <v>0</v>
      </c>
      <c r="AP18" s="3407">
        <f>(MIN(D40,G40)*time+ABS(G40-D40)*IF(G40&gt;D40,  + time*(VLOOKUP(H40, list!$J$48:$K$50, 2, FALSE)), time*(1-(VLOOKUP(annual!H40, list!$J$48:$K$50, 2, FALSE)))))*annual!S18*methane/1000</f>
        <v>0</v>
      </c>
      <c r="AQ18" s="3407">
        <f>(MIN(D40,E40)*time+ABS(E40-D40)*IF(E40&gt;D40,  + time*(VLOOKUP(F40, list!$J$48:$K$50, 2, FALSE)), time*(1-(VLOOKUP(F40, list!$J$48:$K$50, 2, FALSE)))))*V18</f>
        <v>0</v>
      </c>
      <c r="AR18" s="3432">
        <f>(MIN(D40,G40)*time+ABS(G40-D40)*IF(G40&gt;D40,+time*(VLOOKUP(H40,list!$J$48:$K$50,2,FALSE)),time*(1-(VLOOKUP(annual!H40,list!$J$48:$K$50,2,FALSE)))))*W18</f>
        <v>0</v>
      </c>
    </row>
    <row r="19" spans="3:45" x14ac:dyDescent="0.2">
      <c r="C19" s="702" t="str">
        <f>IF('3.Cropland'!C28="", "", '3.Cropland'!C28)</f>
        <v/>
      </c>
      <c r="D19" s="703"/>
      <c r="E19" s="703"/>
      <c r="F19" s="703" t="str">
        <f>'3.Cropland'!G28</f>
        <v>Please select</v>
      </c>
      <c r="G19" s="703" t="str">
        <f>'3.Cropland'!I28</f>
        <v>Please select</v>
      </c>
      <c r="H19" s="711" t="str">
        <f>'3.Cropland'!K28</f>
        <v>Please select</v>
      </c>
      <c r="I19" s="849">
        <f t="shared" si="2"/>
        <v>7.6193788355317897</v>
      </c>
      <c r="J19" s="703">
        <f>'3.Cropland'!$M28</f>
        <v>0</v>
      </c>
      <c r="L19" s="4113">
        <f>(IF('3.Cropland'!$G28&lt;&gt;"Please select",IF('3.Cropland'!AT28&lt;&gt;"",'3.Cropland'!AT28,'3.Cropland'!AS28),0))</f>
        <v>0</v>
      </c>
      <c r="M19" s="4113">
        <f>(IF('3.Cropland'!G28&lt;&gt;"Please select",IF('3.Cropland'!AV28&lt;&gt;"",'3.Cropland'!AV28,VLOOKUP(clim_moist,IPCC!$A$57:$B$68,2,FALSE)),0))</f>
        <v>0</v>
      </c>
      <c r="N19" s="4114">
        <f>_xlfn.IFNA(IF('3.Cropland'!AX28&lt;&gt;"",'3.Cropland'!AX28,INDEX(IPCC!$B$58:$L$68,MATCH(clim_moist,IPCC!$A$58:$A$68,0),MATCH('3.Cropland'!G28,IPCC!$B$58:$L$58,0))),)</f>
        <v>0</v>
      </c>
      <c r="O19" s="4115">
        <f>_xlfn.IFNA(IF( '3.Cropland'!AZ28&lt;&gt;"", '3.Cropland'!AZ28, INDEX(IPCC!$B$58:$L$68,MATCH(clim_moist,IPCC!$A$58:$A$68,0),MATCH('3.Cropland'!I28,IPCC!$B$58:$L$58,0))),0)</f>
        <v>0</v>
      </c>
      <c r="P19" s="4116">
        <f t="shared" ref="P19:P25" si="6">L19*M19*N19*O19</f>
        <v>0</v>
      </c>
      <c r="Q19" s="4117">
        <f t="shared" si="4"/>
        <v>0</v>
      </c>
      <c r="R19" s="4114">
        <f t="shared" si="5"/>
        <v>0</v>
      </c>
      <c r="S19" s="4109">
        <f>_xlfn.IFNA(IF($H19="Burned",$I19*IPCC!$D$76,0)*IF(OR('3.Cropland'!$E28="Maize",'3.Cropland'!$E28="Wheat"),VLOOKUP('3.Cropland'!$E28, IPCC!$A$85:$B$89,2,FALSE),IPCC!$B$89) +
IF(AND('3.Cropland'!$BJ28="Burned", $O71&lt;&gt;"None"), $T71*IPCC!$D$76,0)*IF(OR('3.Cropland'!$BH28="Maize", '3.Cropland'!$BH28="Wheat"),VLOOKUP('3.Cropland'!$BH28, IPCC!$A$85:$B$89,2,FALSE),IPCC!$B$89),0)</f>
        <v>0</v>
      </c>
      <c r="T19" s="4110">
        <f>_xlfn.IFNA(IF($H19="Burned",($I19*IPCC!$E$76*IF(OR('3.Cropland'!$E28="Maize",'3.Cropland'!$E28="Wheat"),VLOOKUP('3.Cropland'!$E28,IPCC!$A$83:$B$89,2,FALSE),IPCC!$B$89)),
IF($H19="Retained",($M71*IF(OR(moist_type="Moist",moist_type="Wet",moist_type="Dry"),VLOOKUP(moist_type,IPCC!$B$99:$C$101,2,FALSE),IPCC!$C$96)*N2O_N_conversion),0))+
IF($O71="None", 0, IF('3.Cropland'!$BJ28="Burned", ($T71*IPCC!$E$76*IF(OR('3.Cropland'!$BH28="Maize", '3.Cropland'!$BH28="Wheat"),VLOOKUP('3.Cropland'!$BH28,IPCC!$A$83:$B$89,2,FALSE),IPCC!$B$89)),
IF('3.Cropland'!$BJ28="Retained", ($X71*IF(OR(moist_type="Moist",moist_type="Wet",moist_type="Dry"),VLOOKUP(moist_type,IPCC!$B$99:$C$101,2,FALSE),IPCC!$C$96)*N2O_N_conversion),0))),0)</f>
        <v>0</v>
      </c>
      <c r="U19" s="3159">
        <f t="shared" si="3"/>
        <v>0</v>
      </c>
      <c r="V19" s="3159">
        <f>IFERROR(IF((P19-L19*M19)&lt;0,(P19-L19*M19)/20/10*1000,0)*VLOOKUP(moist_type, IPCC!$B$99:$C$101, 2, FALSE)*N2O_N_conversion*Nitrous/1000,0)</f>
        <v>0</v>
      </c>
      <c r="AE19" s="3424">
        <f>(MIN(D41,E41)*time_tot+ABS(E41-D41)*IF(E41&gt;D41, time_cap + time*(VLOOKUP(F41, list!$J$48:$K$50, 2, FALSE)), time*(1-(VLOOKUP(F41, list!$J$48:$K$50, 2, FALSE)))))*annual!S19*methane/1000</f>
        <v>0</v>
      </c>
      <c r="AF19" s="3406">
        <f>(MIN(D41,G41)*time_tot+ABS(G41-D41)*IF(G41&gt;D41, time_cap + time*(VLOOKUP(H41, list!$J$48:$K$50, 2, FALSE)), time*(1-(VLOOKUP(annual!H41, list!$J$48:$K$50, 2, FALSE)))))*annual!S19*methane/1000</f>
        <v>0</v>
      </c>
      <c r="AG19" s="3406">
        <f>(MIN(D41,E41)*time_tot+ABS(E41-D41)*IF(E41&gt;D41, time_cap + time*(VLOOKUP(F41, list!$J$48:$K$50, 2, FALSE)), time*(1-(VLOOKUP(F41, list!$J$48:$K$50, 2, FALSE)))))*T19*Nitrous/1000</f>
        <v>0</v>
      </c>
      <c r="AH19" s="3406">
        <f>(MIN(D41,G41)*time_tot+ABS(G41-D41)*IF(G41&gt;D41, time_cap + time*(VLOOKUP(H41, list!$J$48:$K$50, 2, FALSE)), time*(1-(VLOOKUP(annual!H41, list!$J$48:$K$50, 2, FALSE)))))*T19*Nitrous/1000</f>
        <v>0</v>
      </c>
      <c r="AI19" s="3406">
        <f t="shared" si="0"/>
        <v>0</v>
      </c>
      <c r="AJ19" s="3425">
        <f t="shared" si="1"/>
        <v>0</v>
      </c>
      <c r="AM19" s="3431">
        <f>-$R19*((MIN($D41,E41)*MIN(20,time)) +
IF(F41="Immediate",IF(E41&gt;$D41,E41*MIN(20,time),0),IF($D41&gt;E41,($D41-E41)* IF(time&gt;20,
IF(F41="Linear",time-((time-20)^2)/(2*time),(0.215*time)-(time/4.6)*(EXP(-92.1/time)-0.01)),time*(1-VLOOKUP(F41,list!$J$48:$K$50,2,))),(E41-$D41)*IF(time&gt;time+20,20,IF(time&lt;20,(time*VLOOKUP(F41,list!$J$48:$K$50,2,))+(time-time),((MIN(20,time)*VLOOKUP(F41,list!$J$48:$K$50,2,)) + (time-MIN(20,time)) -
IF(F41="Exponential",time-20+0.217*time*(EXP(4.606*(20-time)/time)-1),((time-20)^2)*(0.5/time))))))))</f>
        <v>0</v>
      </c>
      <c r="AN19" s="3407">
        <f>-$R19*((MIN($D41,G41)*MIN(20,time))+IF(H41="Immediate",IF(G41&gt;$D41,G41*MIN(20,time),0),IF($D41&gt;G41,($D41-G41)*IF(time&gt;20,IF(H41="Linear",time-((time-20)^2)/(2*time),(0.215*time)-(time/4.6)*(EXP(-92.1/time)-0.01)),time*(1-VLOOKUP(H41,list!$J$48:$K$50,2,))),(G41-$D41)*IF(time&gt;time+20,20,IF(time&lt;20,(time*VLOOKUP(H41,list!$J$48:$K$50,2,))+(time-time),((MIN(20,time)*VLOOKUP(H41,list!$J$48:$K$50,2,))+(time-MIN(20,time))-IF(H41="Exponential",time-20+0.217*time*(EXP(4.606*(20-time)/time)-1),((time-20)^2)*(0.5/time))))))))</f>
        <v>0</v>
      </c>
      <c r="AO19" s="3407">
        <f>(MIN(D41,E41)*time+ABS(E41-D41)*IF(E41&gt;D41,  + time*(VLOOKUP(F41, list!$J$48:$K$50, 2, FALSE)), time*(1-(VLOOKUP(F41, list!$J$48:$K$50, 2, FALSE)))))*annual!S19*methane/1000</f>
        <v>0</v>
      </c>
      <c r="AP19" s="3407">
        <f>(MIN(D41,G41)*time+ABS(G41-D41)*IF(G41&gt;D41,  + time*(VLOOKUP(H41, list!$J$48:$K$50, 2, FALSE)), time*(1-(VLOOKUP(annual!H41, list!$J$48:$K$50, 2, FALSE)))))*annual!S19*methane/1000</f>
        <v>0</v>
      </c>
      <c r="AQ19" s="3407">
        <f>(MIN(D41,E41)*time+ABS(E41-D41)*IF(E41&gt;D41,  + time*(VLOOKUP(F41, list!$J$48:$K$50, 2, FALSE)), time*(1-(VLOOKUP(F41, list!$J$48:$K$50, 2, FALSE)))))*V19</f>
        <v>0</v>
      </c>
      <c r="AR19" s="3432">
        <f>(MIN(D41,G41)*time+ABS(G41-D41)*IF(G41&gt;D41,+time*(VLOOKUP(H41,list!$J$48:$K$50,2,FALSE)),time*(1-(VLOOKUP(annual!H41,list!$J$48:$K$50,2,FALSE)))))*W19</f>
        <v>0</v>
      </c>
    </row>
    <row r="20" spans="3:45" x14ac:dyDescent="0.2">
      <c r="C20" s="702" t="str">
        <f>IF('3.Cropland'!C29="", "", '3.Cropland'!C29)</f>
        <v/>
      </c>
      <c r="D20" s="703"/>
      <c r="E20" s="703"/>
      <c r="F20" s="703" t="str">
        <f>'3.Cropland'!G29</f>
        <v>Please select</v>
      </c>
      <c r="G20" s="703" t="str">
        <f>'3.Cropland'!I29</f>
        <v>Please select</v>
      </c>
      <c r="H20" s="711" t="str">
        <f>'3.Cropland'!K29</f>
        <v>Please select</v>
      </c>
      <c r="I20" s="849">
        <f t="shared" si="2"/>
        <v>7.6193788355317897</v>
      </c>
      <c r="J20" s="703">
        <f>'3.Cropland'!$M29</f>
        <v>0</v>
      </c>
      <c r="L20" s="4113">
        <f>(IF('3.Cropland'!$G29&lt;&gt;"Please select",IF('3.Cropland'!AT29&lt;&gt;"",'3.Cropland'!AT29,'3.Cropland'!AS29),0))</f>
        <v>0</v>
      </c>
      <c r="M20" s="4113">
        <f>(IF('3.Cropland'!G29&lt;&gt;"Please select",IF('3.Cropland'!AV29&lt;&gt;"",'3.Cropland'!AV29,VLOOKUP(clim_moist,IPCC!$A$57:$B$68,2,FALSE)),0))</f>
        <v>0</v>
      </c>
      <c r="N20" s="4114">
        <f>_xlfn.IFNA(IF('3.Cropland'!AX29&lt;&gt;"",'3.Cropland'!AX29,INDEX(IPCC!$B$58:$L$68,MATCH(clim_moist,IPCC!$A$58:$A$68,0),MATCH('3.Cropland'!G29,IPCC!$B$58:$L$58,0))),)</f>
        <v>0</v>
      </c>
      <c r="O20" s="4115">
        <f>_xlfn.IFNA(IF( '3.Cropland'!AZ29&lt;&gt;"", '3.Cropland'!AZ29, INDEX(IPCC!$B$58:$L$68,MATCH(clim_moist,IPCC!$A$58:$A$68,0),MATCH('3.Cropland'!I29,IPCC!$B$58:$L$58,0))),0)</f>
        <v>0</v>
      </c>
      <c r="P20" s="4116">
        <f t="shared" si="6"/>
        <v>0</v>
      </c>
      <c r="Q20" s="4117">
        <f t="shared" si="4"/>
        <v>0</v>
      </c>
      <c r="R20" s="4114">
        <f t="shared" si="5"/>
        <v>0</v>
      </c>
      <c r="S20" s="4109">
        <f>_xlfn.IFNA(IF($H20="Burned",$I20*IPCC!$D$76,0)*IF(OR('3.Cropland'!$E29="Maize",'3.Cropland'!$E29="Wheat"),VLOOKUP('3.Cropland'!$E29, IPCC!$A$85:$B$89,2,FALSE),IPCC!$B$89) +
IF(AND('3.Cropland'!$BJ29="Burned", $O72&lt;&gt;"None"), $T72*IPCC!$D$76,0)*IF(OR('3.Cropland'!$BH29="Maize", '3.Cropland'!$BH29="Wheat"),VLOOKUP('3.Cropland'!$BH29, IPCC!$A$85:$B$89,2,FALSE),IPCC!$B$89),0)</f>
        <v>0</v>
      </c>
      <c r="T20" s="4110">
        <f>_xlfn.IFNA(IF($H20="Burned",($I20*IPCC!$E$76*IF(OR('3.Cropland'!$E29="Maize",'3.Cropland'!$E29="Wheat"),VLOOKUP('3.Cropland'!$E29,IPCC!$A$83:$B$89,2,FALSE),IPCC!$B$89)),
IF($H20="Retained",($M72*IF(OR(moist_type="Moist",moist_type="Wet",moist_type="Dry"),VLOOKUP(moist_type,IPCC!$B$99:$C$101,2,FALSE),IPCC!$C$96)*N2O_N_conversion),0))+
IF($O72="None", 0, IF('3.Cropland'!$BJ29="Burned", ($T72*IPCC!$E$76*IF(OR('3.Cropland'!$BH29="Maize", '3.Cropland'!$BH29="Wheat"),VLOOKUP('3.Cropland'!$BH29,IPCC!$A$83:$B$89,2,FALSE),IPCC!$B$89)),
IF('3.Cropland'!$BJ29="Retained", ($X72*IF(OR(moist_type="Moist",moist_type="Wet",moist_type="Dry"),VLOOKUP(moist_type,IPCC!$B$99:$C$101,2,FALSE),IPCC!$C$96)*N2O_N_conversion),0))),0)</f>
        <v>0</v>
      </c>
      <c r="U20" s="3159">
        <f>($S20*methane+$T20*Nitrous)/1000</f>
        <v>0</v>
      </c>
      <c r="V20" s="3159">
        <f>IFERROR(IF((P20-L20*M20)&lt;0,(P20-L20*M20)/20/10*1000,0)*VLOOKUP(moist_type, IPCC!$B$99:$C$101, 2, FALSE)*N2O_N_conversion*Nitrous/1000,0)</f>
        <v>0</v>
      </c>
      <c r="AE20" s="3424">
        <f>(MIN(D42,E42)*time_tot+ABS(E42-D42)*IF(E42&gt;D42, time_cap + time*(VLOOKUP(F42, list!$J$48:$K$50, 2, FALSE)), time*(1-(VLOOKUP(F42, list!$J$48:$K$50, 2, FALSE)))))*annual!S20*methane/1000</f>
        <v>0</v>
      </c>
      <c r="AF20" s="3406">
        <f>(MIN(D42,G42)*time_tot+ABS(G42-D42)*IF(G42&gt;D42, time_cap + time*(VLOOKUP(H42, list!$J$48:$K$50, 2, FALSE)), time*(1-(VLOOKUP(annual!H42, list!$J$48:$K$50, 2, FALSE)))))*annual!S20*methane/1000</f>
        <v>0</v>
      </c>
      <c r="AG20" s="3406">
        <f>(MIN(D42,E42)*time_tot+ABS(E42-D42)*IF(E42&gt;D42, time_cap + time*(VLOOKUP(F42, list!$J$48:$K$50, 2, FALSE)), time*(1-(VLOOKUP(F42, list!$J$48:$K$50, 2, FALSE)))))*T20*Nitrous/1000</f>
        <v>0</v>
      </c>
      <c r="AH20" s="3406">
        <f>(MIN(D42,G42)*time_tot+ABS(G42-D42)*IF(G42&gt;D42, time_cap + time*(VLOOKUP(H42, list!$J$48:$K$50, 2, FALSE)), time*(1-(VLOOKUP(annual!H42, list!$J$48:$K$50, 2, FALSE)))))*T20*Nitrous/1000</f>
        <v>0</v>
      </c>
      <c r="AI20" s="3406">
        <f t="shared" si="0"/>
        <v>0</v>
      </c>
      <c r="AJ20" s="3425">
        <f t="shared" si="1"/>
        <v>0</v>
      </c>
      <c r="AM20" s="3431">
        <f>-$R20*((MIN($D42,E42)*MIN(20,time)) +
IF(F42="Immediate",IF(E42&gt;$D42,E42*MIN(20,time),0),IF($D42&gt;E42,($D42-E42)* IF(time&gt;20,
IF(F42="Linear",time-((time-20)^2)/(2*time),(0.215*time)-(time/4.6)*(EXP(-92.1/time)-0.01)),time*(1-VLOOKUP(F42,list!$J$48:$K$50,2,))),(E42-$D42)*IF(time&gt;time+20,20,IF(time&lt;20,(time*VLOOKUP(F42,list!$J$48:$K$50,2,))+(time-time),((MIN(20,time)*VLOOKUP(F42,list!$J$48:$K$50,2,)) + (time-MIN(20,time)) -
IF(F42="Exponential",time-20+0.217*time*(EXP(4.606*(20-time)/time)-1),((time-20)^2)*(0.5/time))))))))</f>
        <v>0</v>
      </c>
      <c r="AN20" s="3407">
        <f>-$R20*((MIN($D42,G42)*MIN(20,time))+IF(H42="Immediate",IF(G42&gt;$D42,G42*MIN(20,time),0),IF($D42&gt;G42,($D42-G42)*IF(time&gt;20,IF(H42="Linear",time-((time-20)^2)/(2*time),(0.215*time)-(time/4.6)*(EXP(-92.1/time)-0.01)),time*(1-VLOOKUP(H42,list!$J$48:$K$50,2,))),(G42-$D42)*IF(time&gt;time+20,20,IF(time&lt;20,(time*VLOOKUP(H42,list!$J$48:$K$50,2,))+(time-time),((MIN(20,time)*VLOOKUP(H42,list!$J$48:$K$50,2,))+(time-MIN(20,time))-IF(H42="Exponential",time-20+0.217*time*(EXP(4.606*(20-time)/time)-1),((time-20)^2)*(0.5/time))))))))</f>
        <v>0</v>
      </c>
      <c r="AO20" s="3407">
        <f>(MIN(D42,E42)*time+ABS(E42-D42)*IF(E42&gt;D42,  + time*(VLOOKUP(F42, list!$J$48:$K$50, 2, FALSE)), time*(1-(VLOOKUP(F42, list!$J$48:$K$50, 2, FALSE)))))*annual!S20*methane/1000</f>
        <v>0</v>
      </c>
      <c r="AP20" s="3407">
        <f>(MIN(D42,G42)*time+ABS(G42-D42)*IF(G42&gt;D42,  + time*(VLOOKUP(H42, list!$J$48:$K$50, 2, FALSE)), time*(1-(VLOOKUP(annual!H42, list!$J$48:$K$50, 2, FALSE)))))*annual!S20*methane/1000</f>
        <v>0</v>
      </c>
      <c r="AQ20" s="3407">
        <f>(MIN(D42,E42)*time+ABS(E42-D42)*IF(E42&gt;D42,  + time*(VLOOKUP(F42, list!$J$48:$K$50, 2, FALSE)), time*(1-(VLOOKUP(F42, list!$J$48:$K$50, 2, FALSE)))))*V20</f>
        <v>0</v>
      </c>
      <c r="AR20" s="3432">
        <f>(MIN(D42,G42)*time+ABS(G42-D42)*IF(G42&gt;D42,+time*(VLOOKUP(H42,list!$J$48:$K$50,2,FALSE)),time*(1-(VLOOKUP(annual!H42,list!$J$48:$K$50,2,FALSE)))))*W20</f>
        <v>0</v>
      </c>
    </row>
    <row r="21" spans="3:45" x14ac:dyDescent="0.2">
      <c r="C21" s="702" t="str">
        <f>IF('3.Cropland'!C30="", "", '3.Cropland'!C30)</f>
        <v/>
      </c>
      <c r="D21" s="703"/>
      <c r="E21" s="703"/>
      <c r="F21" s="703" t="str">
        <f>'3.Cropland'!G30</f>
        <v>Please select</v>
      </c>
      <c r="G21" s="703" t="str">
        <f>'3.Cropland'!I30</f>
        <v>Please select</v>
      </c>
      <c r="H21" s="711" t="str">
        <f>'3.Cropland'!K30</f>
        <v>Please select</v>
      </c>
      <c r="I21" s="849">
        <f t="shared" si="2"/>
        <v>7.6193788355317897</v>
      </c>
      <c r="J21" s="703">
        <f>'3.Cropland'!$M30</f>
        <v>0</v>
      </c>
      <c r="L21" s="4113">
        <f>(IF('3.Cropland'!$G30&lt;&gt;"Please select",IF('3.Cropland'!AT30&lt;&gt;"",'3.Cropland'!AT30,'3.Cropland'!AS30),0))</f>
        <v>0</v>
      </c>
      <c r="M21" s="4113">
        <f>(IF('3.Cropland'!G30&lt;&gt;"Please select",IF('3.Cropland'!AV30&lt;&gt;"",'3.Cropland'!AV30,VLOOKUP(clim_moist,IPCC!$A$57:$B$68,2,FALSE)),0))</f>
        <v>0</v>
      </c>
      <c r="N21" s="4114">
        <f>_xlfn.IFNA(IF('3.Cropland'!AX30&lt;&gt;"",'3.Cropland'!AX30,INDEX(IPCC!$B$58:$L$68,MATCH(clim_moist,IPCC!$A$58:$A$68,0),MATCH('3.Cropland'!G30,IPCC!$B$58:$L$58,0))),)</f>
        <v>0</v>
      </c>
      <c r="O21" s="4115">
        <f>_xlfn.IFNA(IF( '3.Cropland'!AZ30&lt;&gt;"", '3.Cropland'!AZ30, INDEX(IPCC!$B$58:$L$68,MATCH(clim_moist,IPCC!$A$58:$A$68,0),MATCH('3.Cropland'!I30,IPCC!$B$58:$L$58,0))),0)</f>
        <v>0</v>
      </c>
      <c r="P21" s="4116">
        <f t="shared" si="6"/>
        <v>0</v>
      </c>
      <c r="Q21" s="4117">
        <f t="shared" si="4"/>
        <v>0</v>
      </c>
      <c r="R21" s="4114">
        <f t="shared" si="5"/>
        <v>0</v>
      </c>
      <c r="S21" s="4109">
        <f>_xlfn.IFNA(IF($H21="Burned",$I21*IPCC!$D$76,0)*IF(OR('3.Cropland'!$E30="Maize",'3.Cropland'!$E30="Wheat"),VLOOKUP('3.Cropland'!$E30, IPCC!$A$85:$B$89,2,FALSE),IPCC!$B$89) +
IF(AND('3.Cropland'!$BJ30="Burned", $O73&lt;&gt;"None"), $T73*IPCC!$D$76,0)*IF(OR('3.Cropland'!$BH30="Maize", '3.Cropland'!$BH30="Wheat"),VLOOKUP('3.Cropland'!$BH30, IPCC!$A$85:$B$89,2,FALSE),IPCC!$B$89),0)</f>
        <v>0</v>
      </c>
      <c r="T21" s="4110">
        <f>_xlfn.IFNA(IF($H21="Burned",($I21*IPCC!$E$76*IF(OR('3.Cropland'!$E30="Maize",'3.Cropland'!$E30="Wheat"),VLOOKUP('3.Cropland'!$E30,IPCC!$A$83:$B$89,2,FALSE),IPCC!$B$89)),
IF($H21="Retained",($M73*IF(OR(moist_type="Moist",moist_type="Wet",moist_type="Dry"),VLOOKUP(moist_type,IPCC!$B$99:$C$101,2,FALSE),IPCC!$C$96)*N2O_N_conversion),0))+
IF($O73="None", 0, IF('3.Cropland'!$BJ30="Burned", ($T73*IPCC!$E$76*IF(OR('3.Cropland'!$BH30="Maize", '3.Cropland'!$BH30="Wheat"),VLOOKUP('3.Cropland'!$BH30,IPCC!$A$83:$B$89,2,FALSE),IPCC!$B$89)),
IF('3.Cropland'!$BJ30="Retained", ($X73*IF(OR(moist_type="Moist",moist_type="Wet",moist_type="Dry"),VLOOKUP(moist_type,IPCC!$B$99:$C$101,2,FALSE),IPCC!$C$96)*N2O_N_conversion),0))),0)</f>
        <v>0</v>
      </c>
      <c r="U21" s="3159">
        <f t="shared" si="3"/>
        <v>0</v>
      </c>
      <c r="V21" s="3159">
        <f>IFERROR(IF((P21-L21*M21)&lt;0,(P21-L21*M21)/20/10*1000,0)*VLOOKUP(moist_type, IPCC!$B$99:$C$101, 2, FALSE)*N2O_N_conversion*Nitrous/1000,0)</f>
        <v>0</v>
      </c>
      <c r="AE21" s="3424">
        <f>(MIN(D43,E43)*time_tot+ABS(E43-D43)*IF(E43&gt;D43, time_cap + time*(VLOOKUP(F43, list!$J$48:$K$50, 2, FALSE)), time*(1-(VLOOKUP(F43, list!$J$48:$K$50, 2, FALSE)))))*annual!S21*methane/1000</f>
        <v>0</v>
      </c>
      <c r="AF21" s="3406">
        <f>(MIN(D43,G43)*time_tot+ABS(G43-D43)*IF(G43&gt;D43, time_cap + time*(VLOOKUP(H43, list!$J$48:$K$50, 2, FALSE)), time*(1-(VLOOKUP(annual!H43, list!$J$48:$K$50, 2, FALSE)))))*annual!S21*methane/1000</f>
        <v>0</v>
      </c>
      <c r="AG21" s="3406">
        <f>(MIN(D43,E43)*time_tot+ABS(E43-D43)*IF(E43&gt;D43, time_cap + time*(VLOOKUP(F43, list!$J$48:$K$50, 2, FALSE)), time*(1-(VLOOKUP(F43, list!$J$48:$K$50, 2, FALSE)))))*T21*Nitrous/1000</f>
        <v>0</v>
      </c>
      <c r="AH21" s="3406">
        <f>(MIN(D43,G43)*time_tot+ABS(G43-D43)*IF(G43&gt;D43, time_cap + time*(VLOOKUP(H43, list!$J$48:$K$50, 2, FALSE)), time*(1-(VLOOKUP(annual!H43, list!$J$48:$K$50, 2, FALSE)))))*T21*Nitrous/1000</f>
        <v>0</v>
      </c>
      <c r="AI21" s="3406">
        <f t="shared" si="0"/>
        <v>0</v>
      </c>
      <c r="AJ21" s="3425">
        <f t="shared" si="1"/>
        <v>0</v>
      </c>
      <c r="AM21" s="3431">
        <f>-$R21*((MIN($D43,E43)*MIN(20,time)) +
IF(F43="Immediate",IF(E43&gt;$D43,E43*MIN(20,time),0),IF($D43&gt;E43,($D43-E43)* IF(time&gt;20,
IF(F43="Linear",time-((time-20)^2)/(2*time),(0.215*time)-(time/4.6)*(EXP(-92.1/time)-0.01)),time*(1-VLOOKUP(F43,list!$J$48:$K$50,2,))),(E43-$D43)*IF(time&gt;time+20,20,IF(time&lt;20,(time*VLOOKUP(F43,list!$J$48:$K$50,2,))+(time-time),((MIN(20,time)*VLOOKUP(F43,list!$J$48:$K$50,2,)) + (time-MIN(20,time)) -
IF(F43="Exponential",time-20+0.217*time*(EXP(4.606*(20-time)/time)-1),((time-20)^2)*(0.5/time))))))))</f>
        <v>0</v>
      </c>
      <c r="AN21" s="3407">
        <f>-$R21*((MIN($D43,G43)*MIN(20,time))+IF(H43="Immediate",IF(G43&gt;$D43,G43*MIN(20,time),0),IF($D43&gt;G43,($D43-G43)*IF(time&gt;20,IF(H43="Linear",time-((time-20)^2)/(2*time),(0.215*time)-(time/4.6)*(EXP(-92.1/time)-0.01)),time*(1-VLOOKUP(H43,list!$J$48:$K$50,2,))),(G43-$D43)*IF(time&gt;time+20,20,IF(time&lt;20,(time*VLOOKUP(H43,list!$J$48:$K$50,2,))+(time-time),((MIN(20,time)*VLOOKUP(H43,list!$J$48:$K$50,2,))+(time-MIN(20,time))-IF(H43="Exponential",time-20+0.217*time*(EXP(4.606*(20-time)/time)-1),((time-20)^2)*(0.5/time))))))))</f>
        <v>0</v>
      </c>
      <c r="AO21" s="3407">
        <f>(MIN(D43,E43)*time+ABS(E43-D43)*IF(E43&gt;D43,  + time*(VLOOKUP(F43, list!$J$48:$K$50, 2, FALSE)), time*(1-(VLOOKUP(F43, list!$J$48:$K$50, 2, FALSE)))))*annual!S21*methane/1000</f>
        <v>0</v>
      </c>
      <c r="AP21" s="3407">
        <f>(MIN(D43,G43)*time+ABS(G43-D43)*IF(G43&gt;D43,  + time*(VLOOKUP(H43, list!$J$48:$K$50, 2, FALSE)), time*(1-(VLOOKUP(annual!H43, list!$J$48:$K$50, 2, FALSE)))))*annual!S21*methane/1000</f>
        <v>0</v>
      </c>
      <c r="AQ21" s="3407">
        <f>(MIN(D43,E43)*time+ABS(E43-D43)*IF(E43&gt;D43,  + time*(VLOOKUP(F43, list!$J$48:$K$50, 2, FALSE)), time*(1-(VLOOKUP(F43, list!$J$48:$K$50, 2, FALSE)))))*V21</f>
        <v>0</v>
      </c>
      <c r="AR21" s="3432">
        <f>(MIN(D43,G43)*time+ABS(G43-D43)*IF(G43&gt;D43,+time*(VLOOKUP(H43,list!$J$48:$K$50,2,FALSE)),time*(1-(VLOOKUP(annual!H43,list!$J$48:$K$50,2,FALSE)))))*W21</f>
        <v>0</v>
      </c>
    </row>
    <row r="22" spans="3:45" x14ac:dyDescent="0.2">
      <c r="C22" s="702" t="str">
        <f>IF('3.Cropland'!C31="", "", '3.Cropland'!C31)</f>
        <v/>
      </c>
      <c r="D22" s="703"/>
      <c r="E22" s="703"/>
      <c r="F22" s="703" t="str">
        <f>'3.Cropland'!G31</f>
        <v>Please select</v>
      </c>
      <c r="G22" s="703" t="str">
        <f>'3.Cropland'!I31</f>
        <v>Please select</v>
      </c>
      <c r="H22" s="711" t="str">
        <f>'3.Cropland'!K31</f>
        <v>Please select</v>
      </c>
      <c r="I22" s="849">
        <f t="shared" si="2"/>
        <v>7.6193788355317897</v>
      </c>
      <c r="J22" s="703">
        <f>'3.Cropland'!$M31</f>
        <v>0</v>
      </c>
      <c r="L22" s="4113">
        <f>(IF('3.Cropland'!$G31&lt;&gt;"Please select",IF('3.Cropland'!AT31&lt;&gt;"",'3.Cropland'!AT31,'3.Cropland'!AS31),0))</f>
        <v>0</v>
      </c>
      <c r="M22" s="4113">
        <f>(IF('3.Cropland'!G31&lt;&gt;"Please select",IF('3.Cropland'!AV31&lt;&gt;"",'3.Cropland'!AV31,VLOOKUP(clim_moist,IPCC!$A$57:$B$68,2,FALSE)),0))</f>
        <v>0</v>
      </c>
      <c r="N22" s="4114">
        <f>_xlfn.IFNA(IF('3.Cropland'!AX31&lt;&gt;"",'3.Cropland'!AX31,INDEX(IPCC!$B$58:$L$68,MATCH(clim_moist,IPCC!$A$58:$A$68,0),MATCH('3.Cropland'!G31,IPCC!$B$58:$L$58,0))),)</f>
        <v>0</v>
      </c>
      <c r="O22" s="4115">
        <f>_xlfn.IFNA(IF( '3.Cropland'!AZ31&lt;&gt;"", '3.Cropland'!AZ31, INDEX(IPCC!$B$58:$L$68,MATCH(clim_moist,IPCC!$A$58:$A$68,0),MATCH('3.Cropland'!I31,IPCC!$B$58:$L$58,0))),0)</f>
        <v>0</v>
      </c>
      <c r="P22" s="4116">
        <f t="shared" si="6"/>
        <v>0</v>
      </c>
      <c r="Q22" s="4117">
        <f t="shared" si="4"/>
        <v>0</v>
      </c>
      <c r="R22" s="4114">
        <f t="shared" si="5"/>
        <v>0</v>
      </c>
      <c r="S22" s="4109">
        <f>_xlfn.IFNA(IF($H22="Burned",$I22*IPCC!$D$76,0)*IF(OR('3.Cropland'!$E31="Maize",'3.Cropland'!$E31="Wheat"),VLOOKUP('3.Cropland'!$E31, IPCC!$A$85:$B$89,2,FALSE),IPCC!$B$89) +
IF(AND('3.Cropland'!$BJ31="Burned", $O74&lt;&gt;"None"), $T74*IPCC!$D$76,0)*IF(OR('3.Cropland'!$BH31="Maize", '3.Cropland'!$BH31="Wheat"),VLOOKUP('3.Cropland'!$BH31, IPCC!$A$85:$B$89,2,FALSE),IPCC!$B$89),0)</f>
        <v>0</v>
      </c>
      <c r="T22" s="4110">
        <f>_xlfn.IFNA(IF($H22="Burned",($I22*IPCC!$E$76*IF(OR('3.Cropland'!$E31="Maize",'3.Cropland'!$E31="Wheat"),VLOOKUP('3.Cropland'!$E31,IPCC!$A$83:$B$89,2,FALSE),IPCC!$B$89)),
IF($H22="Retained",($M74*IF(OR(moist_type="Moist",moist_type="Wet",moist_type="Dry"),VLOOKUP(moist_type,IPCC!$B$99:$C$101,2,FALSE),IPCC!$C$96)*N2O_N_conversion),0))+
IF($O74="None", 0, IF('3.Cropland'!$BJ31="Burned", ($T74*IPCC!$E$76*IF(OR('3.Cropland'!$BH31="Maize", '3.Cropland'!$BH31="Wheat"),VLOOKUP('3.Cropland'!$BH31,IPCC!$A$83:$B$89,2,FALSE),IPCC!$B$89)),
IF('3.Cropland'!$BJ31="Retained", ($X74*IF(OR(moist_type="Moist",moist_type="Wet",moist_type="Dry"),VLOOKUP(moist_type,IPCC!$B$99:$C$101,2,FALSE),IPCC!$C$96)*N2O_N_conversion),0))),0)</f>
        <v>0</v>
      </c>
      <c r="U22" s="3159">
        <f t="shared" si="3"/>
        <v>0</v>
      </c>
      <c r="V22" s="3159">
        <f>IFERROR(IF((P22-L22*M22)&lt;0,(P22-L22*M22)/20/10*1000,0)*VLOOKUP(moist_type, IPCC!$B$99:$C$101, 2, FALSE)*N2O_N_conversion*Nitrous/1000,0)</f>
        <v>0</v>
      </c>
      <c r="AE22" s="3424">
        <f>(MIN(D44,E44)*time_tot+ABS(E44-D44)*IF(E44&gt;D44, time_cap + time*(VLOOKUP(F44, list!$J$48:$K$50, 2, FALSE)), time*(1-(VLOOKUP(F44, list!$J$48:$K$50, 2, FALSE)))))*annual!S22*methane/1000</f>
        <v>0</v>
      </c>
      <c r="AF22" s="3406">
        <f>(MIN(D44,G44)*time_tot+ABS(G44-D44)*IF(G44&gt;D44, time_cap + time*(VLOOKUP(H44, list!$J$48:$K$50, 2, FALSE)), time*(1-(VLOOKUP(annual!H44, list!$J$48:$K$50, 2, FALSE)))))*annual!S22*methane/1000</f>
        <v>0</v>
      </c>
      <c r="AG22" s="3406">
        <f>(MIN(D44,E44)*time_tot+ABS(E44-D44)*IF(E44&gt;D44, time_cap + time*(VLOOKUP(F44, list!$J$48:$K$50, 2, FALSE)), time*(1-(VLOOKUP(F44, list!$J$48:$K$50, 2, FALSE)))))*T22*Nitrous/1000</f>
        <v>0</v>
      </c>
      <c r="AH22" s="3406">
        <f>(MIN(D44,G44)*time_tot+ABS(G44-D44)*IF(G44&gt;D44, time_cap + time*(VLOOKUP(H44, list!$J$48:$K$50, 2, FALSE)), time*(1-(VLOOKUP(annual!H44, list!$J$48:$K$50, 2, FALSE)))))*T22*Nitrous/1000</f>
        <v>0</v>
      </c>
      <c r="AI22" s="3406">
        <f t="shared" si="0"/>
        <v>0</v>
      </c>
      <c r="AJ22" s="3425">
        <f t="shared" si="1"/>
        <v>0</v>
      </c>
      <c r="AM22" s="3431">
        <f>-$R22*((MIN($D44,E44)*MIN(20,time)) +
IF(F44="Immediate",IF(E44&gt;$D44,E44*MIN(20,time),0),IF($D44&gt;E44,($D44-E44)* IF(time&gt;20,
IF(F44="Linear",time-((time-20)^2)/(2*time),(0.215*time)-(time/4.6)*(EXP(-92.1/time)-0.01)),time*(1-VLOOKUP(F44,list!$J$48:$K$50,2,))),(E44-$D44)*IF(time&gt;time+20,20,IF(time&lt;20,(time*VLOOKUP(F44,list!$J$48:$K$50,2,))+(time-time),((MIN(20,time)*VLOOKUP(F44,list!$J$48:$K$50,2,)) + (time-MIN(20,time)) -
IF(F44="Exponential",time-20+0.217*time*(EXP(4.606*(20-time)/time)-1),((time-20)^2)*(0.5/time))))))))</f>
        <v>0</v>
      </c>
      <c r="AN22" s="3407">
        <f>-$R22*((MIN($D44,G44)*MIN(20,time))+IF(H44="Immediate",IF(G44&gt;$D44,G44*MIN(20,time),0),IF($D44&gt;G44,($D44-G44)*IF(time&gt;20,IF(H44="Linear",time-((time-20)^2)/(2*time),(0.215*time)-(time/4.6)*(EXP(-92.1/time)-0.01)),time*(1-VLOOKUP(H44,list!$J$48:$K$50,2,))),(G44-$D44)*IF(time&gt;time+20,20,IF(time&lt;20,(time*VLOOKUP(H44,list!$J$48:$K$50,2,))+(time-time),((MIN(20,time)*VLOOKUP(H44,list!$J$48:$K$50,2,))+(time-MIN(20,time))-IF(H44="Exponential",time-20+0.217*time*(EXP(4.606*(20-time)/time)-1),((time-20)^2)*(0.5/time))))))))</f>
        <v>0</v>
      </c>
      <c r="AO22" s="3407">
        <f>(MIN(D44,E44)*time+ABS(E44-D44)*IF(E44&gt;D44,  + time*(VLOOKUP(F44, list!$J$48:$K$50, 2, FALSE)), time*(1-(VLOOKUP(F44, list!$J$48:$K$50, 2, FALSE)))))*annual!S22*methane/1000</f>
        <v>0</v>
      </c>
      <c r="AP22" s="3407">
        <f>(MIN(D44,G44)*time+ABS(G44-D44)*IF(G44&gt;D44,  + time*(VLOOKUP(H44, list!$J$48:$K$50, 2, FALSE)), time*(1-(VLOOKUP(annual!H44, list!$J$48:$K$50, 2, FALSE)))))*annual!S22*methane/1000</f>
        <v>0</v>
      </c>
      <c r="AQ22" s="3407">
        <f>(MIN(D44,E44)*time+ABS(E44-D44)*IF(E44&gt;D44,  + time*(VLOOKUP(F44, list!$J$48:$K$50, 2, FALSE)), time*(1-(VLOOKUP(F44, list!$J$48:$K$50, 2, FALSE)))))*V22</f>
        <v>0</v>
      </c>
      <c r="AR22" s="3432">
        <f>(MIN(D44,G44)*time+ABS(G44-D44)*IF(G44&gt;D44,+time*(VLOOKUP(H44,list!$J$48:$K$50,2,FALSE)),time*(1-(VLOOKUP(annual!H44,list!$J$48:$K$50,2,FALSE)))))*W22</f>
        <v>0</v>
      </c>
    </row>
    <row r="23" spans="3:45" x14ac:dyDescent="0.2">
      <c r="C23" s="702" t="str">
        <f>IF('3.Cropland'!C32="", "", '3.Cropland'!C32)</f>
        <v/>
      </c>
      <c r="D23" s="703"/>
      <c r="E23" s="703"/>
      <c r="F23" s="703" t="str">
        <f>'3.Cropland'!G32</f>
        <v>Please select</v>
      </c>
      <c r="G23" s="703" t="str">
        <f>'3.Cropland'!I32</f>
        <v>Please select</v>
      </c>
      <c r="H23" s="711" t="str">
        <f>'3.Cropland'!K32</f>
        <v>Please select</v>
      </c>
      <c r="I23" s="849">
        <f t="shared" si="2"/>
        <v>7.6193788355317897</v>
      </c>
      <c r="J23" s="703">
        <f>'3.Cropland'!$M32</f>
        <v>0</v>
      </c>
      <c r="L23" s="4113">
        <f>(IF('3.Cropland'!$G32&lt;&gt;"Please select",IF('3.Cropland'!AT32&lt;&gt;"",'3.Cropland'!AT32,'3.Cropland'!AS32),0))</f>
        <v>0</v>
      </c>
      <c r="M23" s="4113">
        <f>(IF('3.Cropland'!G32&lt;&gt;"Please select",IF('3.Cropland'!AV32&lt;&gt;"",'3.Cropland'!AV32,VLOOKUP(clim_moist,IPCC!$A$57:$B$68,2,FALSE)),0))</f>
        <v>0</v>
      </c>
      <c r="N23" s="4114">
        <f>_xlfn.IFNA(IF('3.Cropland'!AX32&lt;&gt;"",'3.Cropland'!AX32,INDEX(IPCC!$B$58:$L$68,MATCH(clim_moist,IPCC!$A$58:$A$68,0),MATCH('3.Cropland'!G32,IPCC!$B$58:$L$58,0))),)</f>
        <v>0</v>
      </c>
      <c r="O23" s="4115">
        <f>_xlfn.IFNA(IF( '3.Cropland'!AZ32&lt;&gt;"", '3.Cropland'!AZ32, INDEX(IPCC!$B$58:$L$68,MATCH(clim_moist,IPCC!$A$58:$A$68,0),MATCH('3.Cropland'!I32,IPCC!$B$58:$L$58,0))),0)</f>
        <v>0</v>
      </c>
      <c r="P23" s="4116">
        <f t="shared" si="6"/>
        <v>0</v>
      </c>
      <c r="Q23" s="4117">
        <f t="shared" si="4"/>
        <v>0</v>
      </c>
      <c r="R23" s="4114">
        <f t="shared" si="5"/>
        <v>0</v>
      </c>
      <c r="S23" s="4109">
        <f>_xlfn.IFNA(IF($H23="Burned",$I23*IPCC!$D$76,0)*IF(OR('3.Cropland'!$E32="Maize",'3.Cropland'!$E32="Wheat"),VLOOKUP('3.Cropland'!$E32, IPCC!$A$85:$B$89,2,FALSE),IPCC!$B$89) +
IF(AND('3.Cropland'!$BJ32="Burned", $O75&lt;&gt;"None"), $T75*IPCC!$D$76,0)*IF(OR('3.Cropland'!$BH32="Maize", '3.Cropland'!$BH32="Wheat"),VLOOKUP('3.Cropland'!$BH32, IPCC!$A$85:$B$89,2,FALSE),IPCC!$B$89),0)</f>
        <v>0</v>
      </c>
      <c r="T23" s="4110">
        <f>_xlfn.IFNA(IF($H23="Burned",($I23*IPCC!$E$76*IF(OR('3.Cropland'!$E32="Maize",'3.Cropland'!$E32="Wheat"),VLOOKUP('3.Cropland'!$E32,IPCC!$A$83:$B$89,2,FALSE),IPCC!$B$89)),
IF($H23="Retained",($M75*IF(OR(moist_type="Moist",moist_type="Wet",moist_type="Dry"),VLOOKUP(moist_type,IPCC!$B$99:$C$101,2,FALSE),IPCC!$C$96)*N2O_N_conversion),0))+
IF($O75="None", 0, IF('3.Cropland'!$BJ32="Burned", ($T75*IPCC!$E$76*IF(OR('3.Cropland'!$BH32="Maize", '3.Cropland'!$BH32="Wheat"),VLOOKUP('3.Cropland'!$BH32,IPCC!$A$83:$B$89,2,FALSE),IPCC!$B$89)),
IF('3.Cropland'!$BJ32="Retained", ($X75*IF(OR(moist_type="Moist",moist_type="Wet",moist_type="Dry"),VLOOKUP(moist_type,IPCC!$B$99:$C$101,2,FALSE),IPCC!$C$96)*N2O_N_conversion),0))),0)</f>
        <v>0</v>
      </c>
      <c r="U23" s="3159">
        <f t="shared" si="3"/>
        <v>0</v>
      </c>
      <c r="V23" s="3159">
        <f>IFERROR(IF((P23-L23*M23)&lt;0,(P23-L23*M23)/20/10*1000,0)*VLOOKUP(moist_type, IPCC!$B$99:$C$101, 2, FALSE)*N2O_N_conversion*Nitrous/1000,0)</f>
        <v>0</v>
      </c>
      <c r="AE23" s="3424">
        <f>(MIN(D45,E45)*time_tot+ABS(E45-D45)*IF(E45&gt;D45, time_cap + time*(VLOOKUP(F45, list!$J$48:$K$50, 2, FALSE)), time*(1-(VLOOKUP(F45, list!$J$48:$K$50, 2, FALSE)))))*annual!S23*methane/1000</f>
        <v>0</v>
      </c>
      <c r="AF23" s="3406">
        <f>(MIN(D45,G45)*time_tot+ABS(G45-D45)*IF(G45&gt;D45, time_cap + time*(VLOOKUP(H45, list!$J$48:$K$50, 2, FALSE)), time*(1-(VLOOKUP(annual!H45, list!$J$48:$K$50, 2, FALSE)))))*annual!S23*methane/1000</f>
        <v>0</v>
      </c>
      <c r="AG23" s="3406">
        <f>(MIN(D45,E45)*time_tot+ABS(E45-D45)*IF(E45&gt;D45, time_cap + time*(VLOOKUP(F45, list!$J$48:$K$50, 2, FALSE)), time*(1-(VLOOKUP(F45, list!$J$48:$K$50, 2, FALSE)))))*T23*Nitrous/1000</f>
        <v>0</v>
      </c>
      <c r="AH23" s="3406">
        <f>(MIN(D45,G45)*time_tot+ABS(G45-D45)*IF(G45&gt;D45, time_cap + time*(VLOOKUP(H45, list!$J$48:$K$50, 2, FALSE)), time*(1-(VLOOKUP(annual!H45, list!$J$48:$K$50, 2, FALSE)))))*T23*Nitrous/1000</f>
        <v>0</v>
      </c>
      <c r="AI23" s="3406">
        <f t="shared" si="0"/>
        <v>0</v>
      </c>
      <c r="AJ23" s="3425">
        <f t="shared" si="1"/>
        <v>0</v>
      </c>
      <c r="AM23" s="3431">
        <f>-$R23*((MIN($D45,E45)*MIN(20,time)) +
IF(F45="Immediate",IF(E45&gt;$D45,E45*MIN(20,time),0),IF($D45&gt;E45,($D45-E45)* IF(time&gt;20,
IF(F45="Linear",time-((time-20)^2)/(2*time),(0.215*time)-(time/4.6)*(EXP(-92.1/time)-0.01)),time*(1-VLOOKUP(F45,list!$J$48:$K$50,2,))),(E45-$D45)*IF(time&gt;time+20,20,IF(time&lt;20,(time*VLOOKUP(F45,list!$J$48:$K$50,2,))+(time-time),((MIN(20,time)*VLOOKUP(F45,list!$J$48:$K$50,2,)) + (time-MIN(20,time)) -
IF(F45="Exponential",time-20+0.217*time*(EXP(4.606*(20-time)/time)-1),((time-20)^2)*(0.5/time))))))))</f>
        <v>0</v>
      </c>
      <c r="AN23" s="3407">
        <f>-$R23*((MIN($D45,G45)*MIN(20,time))+IF(H45="Immediate",IF(G45&gt;$D45,G45*MIN(20,time),0),IF($D45&gt;G45,($D45-G45)*IF(time&gt;20,IF(H45="Linear",time-((time-20)^2)/(2*time),(0.215*time)-(time/4.6)*(EXP(-92.1/time)-0.01)),time*(1-VLOOKUP(H45,list!$J$48:$K$50,2,))),(G45-$D45)*IF(time&gt;time+20,20,IF(time&lt;20,(time*VLOOKUP(H45,list!$J$48:$K$50,2,))+(time-time),((MIN(20,time)*VLOOKUP(H45,list!$J$48:$K$50,2,))+(time-MIN(20,time))-IF(H45="Exponential",time-20+0.217*time*(EXP(4.606*(20-time)/time)-1),((time-20)^2)*(0.5/time))))))))</f>
        <v>0</v>
      </c>
      <c r="AO23" s="3407">
        <f>(MIN(D45,E45)*time+ABS(E45-D45)*IF(E45&gt;D45,  + time*(VLOOKUP(F45, list!$J$48:$K$50, 2, FALSE)), time*(1-(VLOOKUP(F45, list!$J$48:$K$50, 2, FALSE)))))*annual!S23*methane/1000</f>
        <v>0</v>
      </c>
      <c r="AP23" s="3407">
        <f>(MIN(D45,G45)*time+ABS(G45-D45)*IF(G45&gt;D45,  + time*(VLOOKUP(H45, list!$J$48:$K$50, 2, FALSE)), time*(1-(VLOOKUP(annual!H45, list!$J$48:$K$50, 2, FALSE)))))*annual!S23*methane/1000</f>
        <v>0</v>
      </c>
      <c r="AQ23" s="3407">
        <f>(MIN(D45,E45)*time+ABS(E45-D45)*IF(E45&gt;D45,  + time*(VLOOKUP(F45, list!$J$48:$K$50, 2, FALSE)), time*(1-(VLOOKUP(F45, list!$J$48:$K$50, 2, FALSE)))))*V23</f>
        <v>0</v>
      </c>
      <c r="AR23" s="3432">
        <f>(MIN(D45,G45)*time+ABS(G45-D45)*IF(G45&gt;D45,+time*(VLOOKUP(H45,list!$J$48:$K$50,2,FALSE)),time*(1-(VLOOKUP(annual!H45,list!$J$48:$K$50,2,FALSE)))))*W23</f>
        <v>0</v>
      </c>
    </row>
    <row r="24" spans="3:45" x14ac:dyDescent="0.2">
      <c r="C24" s="702" t="str">
        <f>IF('3.Cropland'!C33="", "", '3.Cropland'!C33)</f>
        <v/>
      </c>
      <c r="D24" s="703"/>
      <c r="E24" s="703"/>
      <c r="F24" s="703" t="str">
        <f>'3.Cropland'!G33</f>
        <v>Please select</v>
      </c>
      <c r="G24" s="703" t="str">
        <f>'3.Cropland'!I33</f>
        <v>Please select</v>
      </c>
      <c r="H24" s="711" t="str">
        <f>'3.Cropland'!K33</f>
        <v>Please select</v>
      </c>
      <c r="I24" s="849">
        <f t="shared" si="2"/>
        <v>7.6193788355317897</v>
      </c>
      <c r="J24" s="703">
        <f>'3.Cropland'!$M33</f>
        <v>0</v>
      </c>
      <c r="L24" s="4113">
        <f>(IF('3.Cropland'!$G33&lt;&gt;"Please select",IF('3.Cropland'!AT33&lt;&gt;"",'3.Cropland'!AT33,'3.Cropland'!AS33),0))</f>
        <v>0</v>
      </c>
      <c r="M24" s="4113">
        <f>(IF('3.Cropland'!G33&lt;&gt;"Please select",IF('3.Cropland'!AV33&lt;&gt;"",'3.Cropland'!AV33,VLOOKUP(clim_moist,IPCC!$A$57:$B$68,2,FALSE)),0))</f>
        <v>0</v>
      </c>
      <c r="N24" s="4114">
        <f>_xlfn.IFNA(IF('3.Cropland'!AX33&lt;&gt;"",'3.Cropland'!AX33,INDEX(IPCC!$B$58:$L$68,MATCH(clim_moist,IPCC!$A$58:$A$68,0),MATCH('3.Cropland'!G33,IPCC!$B$58:$L$58,0))),)</f>
        <v>0</v>
      </c>
      <c r="O24" s="4115">
        <f>_xlfn.IFNA(IF( '3.Cropland'!AZ33&lt;&gt;"", '3.Cropland'!AZ33, INDEX(IPCC!$B$58:$L$68,MATCH(clim_moist,IPCC!$A$58:$A$68,0),MATCH('3.Cropland'!I33,IPCC!$B$58:$L$58,0))),0)</f>
        <v>0</v>
      </c>
      <c r="P24" s="4116">
        <f t="shared" si="6"/>
        <v>0</v>
      </c>
      <c r="Q24" s="4117">
        <f t="shared" si="4"/>
        <v>0</v>
      </c>
      <c r="R24" s="4114">
        <f t="shared" si="5"/>
        <v>0</v>
      </c>
      <c r="S24" s="4109">
        <f>_xlfn.IFNA(IF($H24="Burned",$I24*IPCC!$D$76,0)*IF(OR('3.Cropland'!$E33="Maize",'3.Cropland'!$E33="Wheat"),VLOOKUP('3.Cropland'!$E33, IPCC!$A$85:$B$89,2,FALSE),IPCC!$B$89) +
IF(AND('3.Cropland'!$BJ33="Burned", $O76&lt;&gt;"None"), $T76*IPCC!$D$76,0)*IF(OR('3.Cropland'!$BH33="Maize", '3.Cropland'!$BH33="Wheat"),VLOOKUP('3.Cropland'!$BH33, IPCC!$A$85:$B$89,2,FALSE),IPCC!$B$89),0)</f>
        <v>0</v>
      </c>
      <c r="T24" s="4110">
        <f>_xlfn.IFNA(IF($H24="Burned",($I24*IPCC!$E$76*IF(OR('3.Cropland'!$E33="Maize",'3.Cropland'!$E33="Wheat"),VLOOKUP('3.Cropland'!$E33,IPCC!$A$83:$B$89,2,FALSE),IPCC!$B$89)),
IF($H24="Retained",($M76*IF(OR(moist_type="Moist",moist_type="Wet",moist_type="Dry"),VLOOKUP(moist_type,IPCC!$B$99:$C$101,2,FALSE),IPCC!$C$96)*N2O_N_conversion),0))+
IF($O76="None", 0, IF('3.Cropland'!$BJ33="Burned", ($T76*IPCC!$E$76*IF(OR('3.Cropland'!$BH33="Maize", '3.Cropland'!$BH33="Wheat"),VLOOKUP('3.Cropland'!$BH33,IPCC!$A$83:$B$89,2,FALSE),IPCC!$B$89)),
IF('3.Cropland'!$BJ33="Retained", ($X76*IF(OR(moist_type="Moist",moist_type="Wet",moist_type="Dry"),VLOOKUP(moist_type,IPCC!$B$99:$C$101,2,FALSE),IPCC!$C$96)*N2O_N_conversion),0))),0)</f>
        <v>0</v>
      </c>
      <c r="U24" s="3159">
        <f t="shared" si="3"/>
        <v>0</v>
      </c>
      <c r="V24" s="3159">
        <f>IFERROR(IF((P24-L24*M24)&lt;0,(P24-L24*M24)/20/10*1000,0)*VLOOKUP(moist_type, IPCC!$B$99:$C$101, 2, FALSE)*N2O_N_conversion*Nitrous/1000,0)</f>
        <v>0</v>
      </c>
      <c r="AE24" s="3424">
        <f>(MIN(D46,E46)*time_tot+ABS(E46-D46)*IF(E46&gt;D46, time_cap + time*(VLOOKUP(F46, list!$J$48:$K$50, 2, FALSE)), time*(1-(VLOOKUP(F46, list!$J$48:$K$50, 2, FALSE)))))*annual!S24*methane/1000</f>
        <v>0</v>
      </c>
      <c r="AF24" s="3406">
        <f>(MIN(D46,G46)*time_tot+ABS(G46-D46)*IF(G46&gt;D46, time_cap + time*(VLOOKUP(H46, list!$J$48:$K$50, 2, FALSE)), time*(1-(VLOOKUP(annual!H46, list!$J$48:$K$50, 2, FALSE)))))*annual!S24*methane/1000</f>
        <v>0</v>
      </c>
      <c r="AG24" s="3406">
        <f>(MIN(D46,E46)*time_tot+ABS(E46-D46)*IF(E46&gt;D46, time_cap + time*(VLOOKUP(F46, list!$J$48:$K$50, 2, FALSE)), time*(1-(VLOOKUP(F46, list!$J$48:$K$50, 2, FALSE)))))*T24*Nitrous/1000</f>
        <v>0</v>
      </c>
      <c r="AH24" s="3406">
        <f>(MIN(D46,G46)*time_tot+ABS(G46-D46)*IF(G46&gt;D46, time_cap + time*(VLOOKUP(H46, list!$J$48:$K$50, 2, FALSE)), time*(1-(VLOOKUP(annual!H46, list!$J$48:$K$50, 2, FALSE)))))*T24*Nitrous/1000</f>
        <v>0</v>
      </c>
      <c r="AI24" s="3406">
        <f t="shared" si="0"/>
        <v>0</v>
      </c>
      <c r="AJ24" s="3425">
        <f t="shared" si="1"/>
        <v>0</v>
      </c>
      <c r="AM24" s="3431">
        <f>-$R24*((MIN($D46,E46)*MIN(20,time)) +
IF(F46="Immediate",IF(E46&gt;$D46,E46*MIN(20,time),0),IF($D46&gt;E46,($D46-E46)* IF(time&gt;20,
IF(F46="Linear",time-((time-20)^2)/(2*time),(0.215*time)-(time/4.6)*(EXP(-92.1/time)-0.01)),time*(1-VLOOKUP(F46,list!$J$48:$K$50,2,))),(E46-$D46)*IF(time&gt;time+20,20,IF(time&lt;20,(time*VLOOKUP(F46,list!$J$48:$K$50,2,))+(time-time),((MIN(20,time)*VLOOKUP(F46,list!$J$48:$K$50,2,)) + (time-MIN(20,time)) -
IF(F46="Exponential",time-20+0.217*time*(EXP(4.606*(20-time)/time)-1),((time-20)^2)*(0.5/time))))))))</f>
        <v>0</v>
      </c>
      <c r="AN24" s="3407">
        <f>-$R24*((MIN($D46,G46)*MIN(20,time))+IF(H46="Immediate",IF(G46&gt;$D46,G46*MIN(20,time),0),IF($D46&gt;G46,($D46-G46)*IF(time&gt;20,IF(H46="Linear",time-((time-20)^2)/(2*time),(0.215*time)-(time/4.6)*(EXP(-92.1/time)-0.01)),time*(1-VLOOKUP(H46,list!$J$48:$K$50,2,))),(G46-$D46)*IF(time&gt;time+20,20,IF(time&lt;20,(time*VLOOKUP(H46,list!$J$48:$K$50,2,))+(time-time),((MIN(20,time)*VLOOKUP(H46,list!$J$48:$K$50,2,))+(time-MIN(20,time))-IF(H46="Exponential",time-20+0.217*time*(EXP(4.606*(20-time)/time)-1),((time-20)^2)*(0.5/time))))))))</f>
        <v>0</v>
      </c>
      <c r="AO24" s="3407">
        <f>(MIN(D46,E46)*time+ABS(E46-D46)*IF(E46&gt;D46,  + time*(VLOOKUP(F46, list!$J$48:$K$50, 2, FALSE)), time*(1-(VLOOKUP(F46, list!$J$48:$K$50, 2, FALSE)))))*annual!S24*methane/1000</f>
        <v>0</v>
      </c>
      <c r="AP24" s="3407">
        <f>(MIN(D46,G46)*time+ABS(G46-D46)*IF(G46&gt;D46,  + time*(VLOOKUP(H46, list!$J$48:$K$50, 2, FALSE)), time*(1-(VLOOKUP(annual!H46, list!$J$48:$K$50, 2, FALSE)))))*annual!S24*methane/1000</f>
        <v>0</v>
      </c>
      <c r="AQ24" s="3407">
        <f>(MIN(D46,E46)*time+ABS(E46-D46)*IF(E46&gt;D46,  + time*(VLOOKUP(F46, list!$J$48:$K$50, 2, FALSE)), time*(1-(VLOOKUP(F46, list!$J$48:$K$50, 2, FALSE)))))*V24</f>
        <v>0</v>
      </c>
      <c r="AR24" s="3432">
        <f>(MIN(D46,G46)*time+ABS(G46-D46)*IF(G46&gt;D46,+time*(VLOOKUP(H46,list!$J$48:$K$50,2,FALSE)),time*(1-(VLOOKUP(annual!H46,list!$J$48:$K$50,2,FALSE)))))*W24</f>
        <v>0</v>
      </c>
    </row>
    <row r="25" spans="3:45" x14ac:dyDescent="0.2">
      <c r="C25" s="862" t="str">
        <f>IF('3.Cropland'!C34="", "", '3.Cropland'!C34)</f>
        <v/>
      </c>
      <c r="D25" s="704"/>
      <c r="E25" s="704"/>
      <c r="F25" s="704" t="str">
        <f>'3.Cropland'!G34</f>
        <v>Please select</v>
      </c>
      <c r="G25" s="704" t="str">
        <f>'3.Cropland'!I34</f>
        <v>Please select</v>
      </c>
      <c r="H25" s="714" t="str">
        <f>'3.Cropland'!K34</f>
        <v>Please select</v>
      </c>
      <c r="I25" s="850">
        <f t="shared" si="2"/>
        <v>7.6193788355317897</v>
      </c>
      <c r="J25" s="704">
        <f>'3.Cropland'!$M34</f>
        <v>0</v>
      </c>
      <c r="L25" s="4113">
        <f>(IF('3.Cropland'!$G34&lt;&gt;"Please select",IF('3.Cropland'!AT34&lt;&gt;"",'3.Cropland'!AT34,'3.Cropland'!AS34),0))</f>
        <v>0</v>
      </c>
      <c r="M25" s="826">
        <f>(IF('3.Cropland'!G34&lt;&gt;"Please select",IF('3.Cropland'!AV34&lt;&gt;"",'3.Cropland'!AV34,VLOOKUP(clim_moist,IPCC!$A$57:$B$68,2,FALSE)),0))</f>
        <v>0</v>
      </c>
      <c r="N25" s="4118">
        <f>_xlfn.IFNA(IF('3.Cropland'!AX34&lt;&gt;"",'3.Cropland'!AX34,INDEX(IPCC!$B$58:$L$68,MATCH(clim_moist,IPCC!$A$58:$A$68,0),MATCH('3.Cropland'!G34,IPCC!$B$58:$L$58,0))),)</f>
        <v>0</v>
      </c>
      <c r="O25" s="4119">
        <f>_xlfn.IFNA(IF( '3.Cropland'!AZ34&lt;&gt;"", '3.Cropland'!AZ34, INDEX(IPCC!$B$58:$L$68,MATCH(clim_moist,IPCC!$A$58:$A$68,0),MATCH('3.Cropland'!I34,IPCC!$B$58:$L$58,0))),0)</f>
        <v>0</v>
      </c>
      <c r="P25" s="4120">
        <f t="shared" si="6"/>
        <v>0</v>
      </c>
      <c r="Q25" s="4117">
        <f t="shared" si="4"/>
        <v>0</v>
      </c>
      <c r="R25" s="4118">
        <f t="shared" si="5"/>
        <v>0</v>
      </c>
      <c r="S25" s="4111">
        <f>_xlfn.IFNA(IF($H25="Burned",$I25*IPCC!$D$76,0)*IF(OR('3.Cropland'!$E34="Maize",'3.Cropland'!$E34="Wheat"),VLOOKUP('3.Cropland'!$E34, IPCC!$A$85:$B$89,2,FALSE),IPCC!$B$89) +
IF(AND('3.Cropland'!$BJ34="Burned", $O77&lt;&gt;"None"), $T77*IPCC!$D$76,0)*IF(OR('3.Cropland'!$BH34="Maize", '3.Cropland'!$BH34="Wheat"),VLOOKUP('3.Cropland'!$BH34, IPCC!$A$85:$B$89,2,FALSE),IPCC!$B$89),0)</f>
        <v>0</v>
      </c>
      <c r="T25" s="4112">
        <f>_xlfn.IFNA(IF($H25="Burned",($I25*IPCC!$E$76*IF(OR('3.Cropland'!$E34="Maize",'3.Cropland'!$E34="Wheat"),VLOOKUP('3.Cropland'!$E34,IPCC!$A$83:$B$89,2,FALSE),IPCC!$B$89)),
IF($H25="Retained",($M77*IF(OR(moist_type="Moist",moist_type="Wet",moist_type="Dry"),VLOOKUP(moist_type,IPCC!$B$99:$C$101,2,FALSE),IPCC!$C$96)*N2O_N_conversion),0))+
IF($O77="None", 0, IF('3.Cropland'!$BJ34="Burned", ($T77*IPCC!$E$76*IF(OR('3.Cropland'!$BH34="Maize", '3.Cropland'!$BH34="Wheat"),VLOOKUP('3.Cropland'!$BH34,IPCC!$A$83:$B$89,2,FALSE),IPCC!$B$89)),
IF('3.Cropland'!$BJ34="Retained", ($X77*IF(OR(moist_type="Moist",moist_type="Wet",moist_type="Dry"),VLOOKUP(moist_type,IPCC!$B$99:$C$101,2,FALSE),IPCC!$C$96)*N2O_N_conversion),0))),0)</f>
        <v>0</v>
      </c>
      <c r="U25" s="3160">
        <f t="shared" si="3"/>
        <v>0</v>
      </c>
      <c r="V25" s="3159">
        <f>IFERROR(IF((P25-L25*M25)&lt;0,(P25-L25*M25)/20/10*1000,0)*VLOOKUP(moist_type, IPCC!$B$99:$C$101, 2, FALSE)*N2O_N_conversion*Nitrous/1000,0)</f>
        <v>0</v>
      </c>
      <c r="AE25" s="3426">
        <f>(MIN(D47,E47)*time_tot+ABS(E47-D47)*IF(E47&gt;D47, time_cap + time*(VLOOKUP(F47, list!$J$48:$K$50, 2, FALSE)), time*(1-(VLOOKUP(F47, list!$J$48:$K$50, 2, FALSE)))))*annual!S25*methane/1000</f>
        <v>0</v>
      </c>
      <c r="AF25" s="3427">
        <f>(MIN(D47,G47)*time_tot+ABS(G47-D47)*IF(G47&gt;D47, time_cap + time*(VLOOKUP(H47, list!$J$48:$K$50, 2, FALSE)), time*(1-(VLOOKUP(annual!H47, list!$J$48:$K$50, 2, FALSE)))))*annual!S25*methane/1000</f>
        <v>0</v>
      </c>
      <c r="AG25" s="3427">
        <f>(MIN(D47,E47)*time_tot+ABS(E47-D47)*IF(E47&gt;D47, time_cap + time*(VLOOKUP(F47, list!$J$48:$K$50, 2, FALSE)), time*(1-(VLOOKUP(F47, list!$J$48:$K$50, 2, FALSE)))))*T25*Nitrous/1000</f>
        <v>0</v>
      </c>
      <c r="AH25" s="3427">
        <f>(MIN(D47,G47)*time_tot+ABS(G47-D47)*IF(G47&gt;D47, time_cap + time*(VLOOKUP(H47, list!$J$48:$K$50, 2, FALSE)), time*(1-(VLOOKUP(annual!H47, list!$J$48:$K$50, 2, FALSE)))))*T25*Nitrous/1000</f>
        <v>0</v>
      </c>
      <c r="AI25" s="3427">
        <f t="shared" si="0"/>
        <v>0</v>
      </c>
      <c r="AJ25" s="3428">
        <f t="shared" si="1"/>
        <v>0</v>
      </c>
      <c r="AM25" s="3433">
        <f>-$R25*((MIN($D47,E47)*MIN(20,time)) +
IF(F47="Immediate",IF(E47&gt;$D47,E47*MIN(20,time),0),IF($D47&gt;E47,($D47-E47)* IF(time&gt;20,
IF(F47="Linear",time-((time-20)^2)/(2*time),(0.215*time)-(time/4.6)*(EXP(-92.1/time)-0.01)),time*(1-VLOOKUP(F47,list!$J$48:$K$50,2,))),(E47-$D47)*IF(time&gt;time+20,20,IF(time&lt;20,(time*VLOOKUP(F47,list!$J$48:$K$50,2,))+(time-time),((MIN(20,time)*VLOOKUP(F47,list!$J$48:$K$50,2,)) + (time-MIN(20,time)) -
IF(F47="Exponential",time-20+0.217*time*(EXP(4.606*(20-time)/time)-1),((time-20)^2)*(0.5/time))))))))</f>
        <v>0</v>
      </c>
      <c r="AN25" s="3434">
        <f>-$R25*((MIN($D47,G47)*MIN(20,time))+IF(H47="Immediate",IF(G47&gt;$D47,G47*MIN(20,time),0),IF($D47&gt;G47,($D47-G47)*IF(time&gt;20,IF(H47="Linear",time-((time-20)^2)/(2*time),(0.215*time)-(time/4.6)*(EXP(-92.1/time)-0.01)),time*(1-VLOOKUP(H47,list!$J$48:$K$50,2,))),(G47-$D47)*IF(time&gt;time+20,20,IF(time&lt;20,(time*VLOOKUP(H47,list!$J$48:$K$50,2,))+(time-time),((MIN(20,time)*VLOOKUP(H47,list!$J$48:$K$50,2,))+(time-MIN(20,time))-IF(H47="Exponential",time-20+0.217*time*(EXP(4.606*(20-time)/time)-1),((time-20)^2)*(0.5/time))))))))</f>
        <v>0</v>
      </c>
      <c r="AO25" s="3434">
        <f>(MIN(D47,E47)*time+ABS(E47-D47)*IF(E47&gt;D47,  + time*(VLOOKUP(F47, list!$J$48:$K$50, 2, FALSE)), time*(1-(VLOOKUP(F47, list!$J$48:$K$50, 2, FALSE)))))*annual!S25*methane/1000</f>
        <v>0</v>
      </c>
      <c r="AP25" s="3434">
        <f>(MIN(D47,G47)*time+ABS(G47-D47)*IF(G47&gt;D47,  + time*(VLOOKUP(H47, list!$J$48:$K$50, 2, FALSE)), time*(1-(VLOOKUP(annual!H47, list!$J$48:$K$50, 2, FALSE)))))*annual!S25*methane/1000</f>
        <v>0</v>
      </c>
      <c r="AQ25" s="3434">
        <f>(MIN(D47,E47)*time+ABS(E47-D47)*IF(E47&gt;D47,  + time*(VLOOKUP(F47, list!$J$48:$K$50, 2, FALSE)), time*(1-(VLOOKUP(F47, list!$J$48:$K$50, 2, FALSE)))))*V25</f>
        <v>0</v>
      </c>
      <c r="AR25" s="3435">
        <f>(MIN(D47,G47)*time+ABS(G47-D47)*IF(G47&gt;D47,+time*(VLOOKUP(H47,list!$J$48:$K$50,2,FALSE)),time*(1-(VLOOKUP(annual!H47,list!$J$48:$K$50,2,FALSE)))))*W25</f>
        <v>0</v>
      </c>
    </row>
    <row r="26" spans="3:45" x14ac:dyDescent="0.2">
      <c r="I26" s="71" t="s">
        <v>603</v>
      </c>
      <c r="L26" s="4021"/>
      <c r="M26" s="84"/>
      <c r="N26" s="84"/>
      <c r="O26" s="84"/>
      <c r="P26" s="84"/>
      <c r="Q26" s="84"/>
      <c r="R26" s="84"/>
    </row>
    <row r="27" spans="3:45" x14ac:dyDescent="0.2">
      <c r="L27" s="84"/>
      <c r="M27" s="84"/>
      <c r="N27" s="84"/>
      <c r="O27" s="84"/>
      <c r="P27" s="84"/>
      <c r="Q27" s="84"/>
      <c r="R27" s="84"/>
      <c r="S27" s="58"/>
    </row>
    <row r="28" spans="3:45" x14ac:dyDescent="0.2">
      <c r="R28" s="175"/>
      <c r="S28" s="58"/>
    </row>
    <row r="29" spans="3:45" x14ac:dyDescent="0.2">
      <c r="R29" s="84"/>
      <c r="S29" s="58"/>
      <c r="U29" s="174"/>
    </row>
    <row r="30" spans="3:45" x14ac:dyDescent="0.2">
      <c r="C30" s="3619" t="s">
        <v>604</v>
      </c>
      <c r="D30" s="3619"/>
      <c r="E30" s="3619"/>
      <c r="F30" s="3619"/>
      <c r="G30" s="3619"/>
      <c r="H30" s="3619"/>
      <c r="I30" s="3619"/>
      <c r="J30" s="3619"/>
      <c r="K30" s="3619"/>
      <c r="L30" s="3619"/>
      <c r="M30" s="3619"/>
      <c r="N30" s="3619"/>
      <c r="O30" s="3619"/>
      <c r="P30" s="3619"/>
      <c r="Q30" s="3619"/>
      <c r="S30" s="66" t="s">
        <v>605</v>
      </c>
      <c r="T30" s="8"/>
      <c r="U30" s="8"/>
      <c r="W30" s="3218" t="s">
        <v>228</v>
      </c>
      <c r="X30" s="3219" t="s">
        <v>218</v>
      </c>
      <c r="Y30" s="3219" t="s">
        <v>229</v>
      </c>
      <c r="Z30" s="3219" t="s">
        <v>230</v>
      </c>
      <c r="AE30" s="689" t="s">
        <v>199</v>
      </c>
      <c r="AF30" s="690"/>
      <c r="AG30" s="690"/>
      <c r="AH30" s="694"/>
      <c r="AI30" s="689" t="s">
        <v>606</v>
      </c>
      <c r="AJ30" s="690"/>
      <c r="AK30" s="690"/>
      <c r="AL30" s="694"/>
      <c r="AM30" s="676" t="s">
        <v>607</v>
      </c>
      <c r="AN30" s="362"/>
      <c r="AO30" s="362"/>
      <c r="AP30" s="365"/>
    </row>
    <row r="31" spans="3:45" ht="17" x14ac:dyDescent="0.25">
      <c r="C31" s="461"/>
      <c r="D31" s="3620" t="s">
        <v>323</v>
      </c>
      <c r="E31" s="3621" t="s">
        <v>323</v>
      </c>
      <c r="F31" s="3175"/>
      <c r="G31" s="3176" t="s">
        <v>323</v>
      </c>
      <c r="H31" s="3175"/>
      <c r="I31" s="3198" t="s">
        <v>608</v>
      </c>
      <c r="J31" s="3199"/>
      <c r="K31" s="3200" t="s">
        <v>609</v>
      </c>
      <c r="L31" s="3201"/>
      <c r="M31" s="3200" t="s">
        <v>610</v>
      </c>
      <c r="N31" s="3202"/>
      <c r="O31" s="3203" t="s">
        <v>611</v>
      </c>
      <c r="P31" s="3202"/>
      <c r="Q31" s="3621" t="s">
        <v>376</v>
      </c>
      <c r="S31" s="3626"/>
      <c r="T31" s="3626"/>
      <c r="U31" s="3626"/>
      <c r="W31" s="3220" t="s">
        <v>612</v>
      </c>
      <c r="X31" s="3221">
        <v>0</v>
      </c>
      <c r="Y31" s="3222">
        <v>0</v>
      </c>
      <c r="Z31" s="3223">
        <f>X31-Y31</f>
        <v>0</v>
      </c>
      <c r="AE31" s="339" t="s">
        <v>613</v>
      </c>
      <c r="AF31" s="340"/>
      <c r="AG31" s="340"/>
      <c r="AH31" s="695"/>
      <c r="AI31" s="339" t="s">
        <v>613</v>
      </c>
      <c r="AJ31" s="340"/>
      <c r="AK31" s="340"/>
      <c r="AL31" s="695"/>
      <c r="AM31" s="693" t="s">
        <v>613</v>
      </c>
      <c r="AN31" s="341"/>
      <c r="AO31" s="341"/>
      <c r="AP31" s="367"/>
    </row>
    <row r="32" spans="3:45" x14ac:dyDescent="0.2">
      <c r="C32" s="3177" t="s">
        <v>614</v>
      </c>
      <c r="D32" s="3178" t="s">
        <v>615</v>
      </c>
      <c r="E32" s="3179" t="s">
        <v>616</v>
      </c>
      <c r="F32" s="3180"/>
      <c r="G32" s="3181" t="s">
        <v>617</v>
      </c>
      <c r="H32" s="3182"/>
      <c r="I32" s="3623" t="s">
        <v>179</v>
      </c>
      <c r="J32" s="3523" t="s">
        <v>180</v>
      </c>
      <c r="K32" s="3623" t="s">
        <v>179</v>
      </c>
      <c r="L32" s="3523" t="s">
        <v>180</v>
      </c>
      <c r="M32" s="3623" t="s">
        <v>179</v>
      </c>
      <c r="N32" s="3523" t="s">
        <v>180</v>
      </c>
      <c r="O32" s="3623" t="s">
        <v>179</v>
      </c>
      <c r="P32" s="3523" t="s">
        <v>180</v>
      </c>
      <c r="Q32" s="3624"/>
      <c r="S32" s="3233" t="s">
        <v>179</v>
      </c>
      <c r="T32" s="3234" t="s">
        <v>180</v>
      </c>
      <c r="U32" s="3235" t="s">
        <v>618</v>
      </c>
      <c r="W32" s="3220" t="s">
        <v>619</v>
      </c>
      <c r="X32" s="3224">
        <f>SUM(J34:J47)-SUM(I34:I47)</f>
        <v>0</v>
      </c>
      <c r="Y32" s="3225">
        <f>SUM(AN12:AN25)-SUM(AM12:AM25)</f>
        <v>0</v>
      </c>
      <c r="Z32" s="3226">
        <f>X32-Y32</f>
        <v>0</v>
      </c>
      <c r="AE32" s="627" t="s">
        <v>620</v>
      </c>
      <c r="AF32" s="627" t="s">
        <v>396</v>
      </c>
      <c r="AG32" s="627" t="s">
        <v>577</v>
      </c>
      <c r="AH32" s="691" t="s">
        <v>578</v>
      </c>
      <c r="AI32" s="627" t="s">
        <v>620</v>
      </c>
      <c r="AJ32" s="627" t="s">
        <v>396</v>
      </c>
      <c r="AK32" s="627" t="s">
        <v>577</v>
      </c>
      <c r="AL32" s="691" t="s">
        <v>578</v>
      </c>
      <c r="AM32" s="627" t="s">
        <v>620</v>
      </c>
      <c r="AN32" s="627" t="s">
        <v>396</v>
      </c>
      <c r="AO32" s="627" t="s">
        <v>577</v>
      </c>
      <c r="AP32" s="691" t="s">
        <v>578</v>
      </c>
      <c r="AR32" s="342" t="s">
        <v>621</v>
      </c>
      <c r="AS32" s="343"/>
    </row>
    <row r="33" spans="2:45" ht="17" x14ac:dyDescent="0.25">
      <c r="C33" s="3177" t="s">
        <v>622</v>
      </c>
      <c r="D33" s="3178"/>
      <c r="E33" s="3183" t="s">
        <v>224</v>
      </c>
      <c r="F33" s="3184" t="s">
        <v>225</v>
      </c>
      <c r="G33" s="3185" t="s">
        <v>224</v>
      </c>
      <c r="H33" s="3185" t="s">
        <v>225</v>
      </c>
      <c r="I33" s="3204" t="s">
        <v>623</v>
      </c>
      <c r="J33" s="2838" t="s">
        <v>623</v>
      </c>
      <c r="K33" s="3204" t="s">
        <v>623</v>
      </c>
      <c r="L33" s="2838" t="s">
        <v>623</v>
      </c>
      <c r="M33" s="3204" t="s">
        <v>623</v>
      </c>
      <c r="N33" s="2838" t="s">
        <v>623</v>
      </c>
      <c r="O33" s="3204" t="s">
        <v>623</v>
      </c>
      <c r="P33" s="2838" t="s">
        <v>623</v>
      </c>
      <c r="Q33" s="3624" t="s">
        <v>623</v>
      </c>
      <c r="S33" s="3623" t="s">
        <v>624</v>
      </c>
      <c r="T33" s="3523" t="s">
        <v>624</v>
      </c>
      <c r="U33" s="3621"/>
      <c r="W33" s="3220" t="s">
        <v>338</v>
      </c>
      <c r="X33" s="3231">
        <f>SUM(N34:N47)-SUM(M34:M47)</f>
        <v>0</v>
      </c>
      <c r="Y33" s="3232">
        <f>SUM(AR12:AR25)-SUM(AQ12:AQ25)</f>
        <v>0</v>
      </c>
      <c r="Z33" s="3226">
        <f>X33-Y33</f>
        <v>0</v>
      </c>
      <c r="AE33" s="628" t="s">
        <v>402</v>
      </c>
      <c r="AF33" s="628" t="s">
        <v>402</v>
      </c>
      <c r="AG33" s="628" t="s">
        <v>587</v>
      </c>
      <c r="AH33" s="692" t="s">
        <v>588</v>
      </c>
      <c r="AI33" s="628" t="s">
        <v>402</v>
      </c>
      <c r="AJ33" s="628" t="s">
        <v>402</v>
      </c>
      <c r="AK33" s="628" t="s">
        <v>587</v>
      </c>
      <c r="AL33" s="692" t="s">
        <v>588</v>
      </c>
      <c r="AM33" s="628" t="s">
        <v>402</v>
      </c>
      <c r="AN33" s="628" t="s">
        <v>402</v>
      </c>
      <c r="AO33" s="628" t="s">
        <v>587</v>
      </c>
      <c r="AP33" s="692" t="s">
        <v>588</v>
      </c>
      <c r="AR33" s="344" t="s">
        <v>267</v>
      </c>
      <c r="AS33" s="344" t="s">
        <v>180</v>
      </c>
    </row>
    <row r="34" spans="2:45" x14ac:dyDescent="0.2">
      <c r="B34" s="720" t="s">
        <v>572</v>
      </c>
      <c r="C34" s="3186" t="str">
        <f>'3.Cropland'!C14</f>
        <v>Annuals after deforestation</v>
      </c>
      <c r="D34" s="3188">
        <v>0</v>
      </c>
      <c r="E34" s="4073">
        <f>Matrix!$J$7</f>
        <v>0</v>
      </c>
      <c r="F34" s="3188" t="s">
        <v>625</v>
      </c>
      <c r="G34" s="4073">
        <f>Matrix!$J$24</f>
        <v>0</v>
      </c>
      <c r="H34" s="3188" t="s">
        <v>625</v>
      </c>
      <c r="I34" s="3188">
        <f>IF(ABS($O8*((MIN($D34,E34)*MIN(20,time_tot))+IF(F34="Immediate",IF(E34 &gt; $D34, E34*MIN(20,time_tot),0),IF($D34&gt;E34,($D34-E34)*IF(time&gt;20,IF(F34="Linear",time-((time-20)^2)/(2*time),(0.215*time)-(time/4.6)*(EXP(-92.1/time)-0.01)),time*(1-VLOOKUP(F34, list!$J$48:$K$50, 2,))), (E34-$D34)*IF(time_tot&gt;time+20,20,IF(time_tot&lt;20,(time*VLOOKUP(F34, list!$J$48:$K$50, 2,))+(time_tot-time),((MIN(20,time)*VLOOKUP(F34, list!$J$48:$K$50, 2,)) +(time_tot-MIN(20,time))-IF(F34="Exponential",time_tot-20+0.217*time*(EXP(4.606*(20-time_tot)/time)-1),((time_tot-20)^2)*(0.5/time)))))))))&gt;=ABS(O8*20*MAX(E34,D34)),O8*20*MAX(E34,D34),$O8*((MIN($D34,E34)*MIN(20,time_tot))+IF(F34="Immediate",IF(E34 &gt; $D34, E34*MIN(20,time_tot),0),IF($D34&gt;E34,($D34-E34)*IF(time&gt;20,IF(F34="Linear",time-((time-20)^2)/(2*time),(0.215*time)-(time/4.6)*(EXP(-92.1/time)-0.01)),time*(1-VLOOKUP(F34, list!$J$48:$K$50, 2,))), (E34-$D34)*IF(time_tot&gt;time+20,20,IF(time_tot&lt;20,(time*VLOOKUP(F34, list!$J$48:$K$50, 2,))+(time_tot-time),((MIN(20,time)*VLOOKUP(F34, list!$J$48:$K$50, 2,)) +(time_tot-MIN(20,time))-IF(F34="Exponential",time_tot-20+0.217*time*(EXP(4.606*(20-time_tot)/time)-1),((time_tot-20)^2)*(0.5/time)))))))))</f>
        <v>0</v>
      </c>
      <c r="J34" s="3188">
        <f>IF(ABS($P8*((MIN($D34,G34)*MIN(20,time_tot))+IF(H34="Immediate",IF(G34 &gt; $D34, G34*MIN(20,time_tot),0),IF($D34 &gt; G34,($D34-G34)*IF(time&gt;20,IF(H34="Linear",time-((time-20)^2)/(2*time),(0.215*time)-(time/4.6)*(EXP(-92.1/time)-0.01)),time*(1-VLOOKUP(H34, list!$J$48:$K$50, 2,))), (G34-$D34)*IF(time_tot&gt;time+20,20,IF(time_tot&lt;20,(time*VLOOKUP(H34, list!$J$48:$K$50, 2,))+(time_tot-time),((MIN(20,time)*VLOOKUP(H34, list!$J$48:$K$50, 2,)) +(time_tot-MIN(20,time))-IF(H34="Exponential",time_tot-20+0.217*time*(EXP(4.606*(20-time_tot)/time)-1),((time_tot-20)^2)*(0.5/time)))))))))&gt;=ABS(P8*20*MAX(G34,D34)), P8*20*MAX(G34,D34),$P8*((MIN($D34,G34)*MIN(20,time_tot))+IF(H34="Immediate",IF(G34 &gt; $D34, G34*MIN(20,time_tot),0),IF($D34 &gt; G34,($D34-G34)*IF(time&gt;20,IF(H34="Linear",time-((time-20)^2)/(2*time),(0.215*time)-(time/4.6)*(EXP(-92.1/time)-0.01)),time*(1-VLOOKUP(H34, list!$J$48:$K$50, 2,))), (G34-$D34)*IF(time_tot&gt;time+20,20,IF(time_tot&lt;20,(time*VLOOKUP(H34, list!$J$48:$K$50, 2,))+(time_tot-time),((MIN(20,time)*VLOOKUP(H34, list!$J$48:$K$50, 2,)) +(time_tot-MIN(20,time))-IF(H34="Exponential",time_tot-20+0.217*time*(EXP(4.606*(20-time_tot)/time)-1),((time_tot-20)^2)*(0.5/time)))))))))</f>
        <v>0</v>
      </c>
      <c r="K34" s="3172">
        <f>(MIN(D34,E34)*time_tot+ABS(E34-D34)*IF(E34&gt;D34,time_cap+time*(VLOOKUP($F34,list!$J$47:$K$50,2,FALSE)),time*(1-(VLOOKUP(F34, list!$J$47:$K$50, 2, FALSE)))))*annual!$U8</f>
        <v>0</v>
      </c>
      <c r="L34" s="3172">
        <f>(MIN(D34, G34) * time_tot + ABS(G34-D34) * IF(G34&gt;D34, time_cap + time*(VLOOKUP(H34, list!$J$48:$K$50, 2, FALSE)), time*(1-(VLOOKUP(H34, list!$J$48:$K$50, 2, FALSE)))))*annual!U8</f>
        <v>0</v>
      </c>
      <c r="M34" s="3172">
        <f>IFERROR(IF(M8&lt;L8,(M8-L8)/20/10*1000*VLOOKUP(moist_type, IPCC!$B$99:$C$101, 2, FALSE)*N2O_N_conversion*Nitrous/1000*(MIN(D34,E34)*time_tot+ABS(E34-D34)*IF(E34&gt;D34,time_cap+time*(VLOOKUP($F34,list!$J$47:$K$50,2,FALSE)),time*(1-(VLOOKUP(F34,list!$J$47:$K$50,2,FALSE))))),0),0)</f>
        <v>0</v>
      </c>
      <c r="N34" s="3172">
        <f>IFERROR(IF(N8&lt;L8,(N8-L8)/20/10*1000*VLOOKUP(moist_type, IPCC!$B$99:$C$101, 2, FALSE)*N2O_N_conversion*Nitrous/1000*(MIN(D34,G34)*time_tot+ABS(G34-D34)*IF(G34&gt;D34,time_cap+time*(VLOOKUP($G34,list!$J$47:$K$50,2,FALSE)),time*(1-(VLOOKUP(H34,list!$J$47:$K$50,2,FALSE))))),0),0)</f>
        <v>0</v>
      </c>
      <c r="O34" s="3172">
        <f t="shared" ref="O34:P38" si="7">I34+K34+M34</f>
        <v>0</v>
      </c>
      <c r="P34" s="3172">
        <f t="shared" si="7"/>
        <v>0</v>
      </c>
      <c r="Q34" s="3172">
        <f>IF(AND(OR('3.Cropland'!G14="Please select",'3.Cropland'!I14="Please select", '3.Cropland'!K14="Please select" ), OR('3.Cropland'!T14&lt;&gt;0,'3.Cropland'!R14&lt;&gt;0,'3.Cropland'!Q14&lt;&gt;0)), "MISSING DATA", P34-O34)</f>
        <v>0</v>
      </c>
      <c r="S34" s="3236">
        <f>$J12*(time*((ABS(E34-D34)*(IF(D34&lt;=E34, VLOOKUP(F34, list!$J$48:$K$50, 2, FALSE),1-VLOOKUP(F34, list!$J$48:$K$50, 2, FALSE))))+ MIN(E34,D34))+(annual!E34*time_cap))</f>
        <v>0</v>
      </c>
      <c r="T34" s="3237">
        <f>$J12 *(time*((ABS(G34-D34)*(IF(D34&lt;=G34, VLOOKUP(H34, list!$J$48:$K$50, 2, FALSE),1-VLOOKUP(annual!H34, list!$J$48:$K$50, 2, FALSE))))+MIN(G34,D34))+(G34*time_cap))</f>
        <v>0</v>
      </c>
      <c r="U34" s="3238">
        <f>T34-S34</f>
        <v>0</v>
      </c>
      <c r="W34" s="3220" t="s">
        <v>161</v>
      </c>
      <c r="X34" s="3224">
        <f>SUM(AF12:AF25)-SUM(AE12:AE25)</f>
        <v>0</v>
      </c>
      <c r="Y34" s="3225">
        <f>SUM(AP12:AP25)-SUM(AO12:AO25)</f>
        <v>0</v>
      </c>
      <c r="Z34" s="3226">
        <f>X34-Y34</f>
        <v>0</v>
      </c>
      <c r="AD34" s="720" t="s">
        <v>572</v>
      </c>
      <c r="AE34" s="721">
        <f>IF($M8 &gt;0, $D34, 0)</f>
        <v>0</v>
      </c>
      <c r="AF34" s="3436">
        <f>IF($F12&lt;&gt;"Please select", $D34,0)</f>
        <v>0</v>
      </c>
      <c r="AG34" s="3436">
        <f>IF($G12&lt;&gt;"Please select", $D34,0)</f>
        <v>0</v>
      </c>
      <c r="AH34" s="3436">
        <f>IF($H12&lt;&gt;"Please select", $D34,0)</f>
        <v>0</v>
      </c>
      <c r="AI34" s="3436">
        <f>IF($M8 &gt;0, $E34, 0)</f>
        <v>0</v>
      </c>
      <c r="AJ34" s="3436">
        <f>IF($F12&lt;&gt;"Please select", $E34,0)</f>
        <v>0</v>
      </c>
      <c r="AK34" s="3436">
        <f>IF($G12 &lt;&gt;"Please select", $E34,0)</f>
        <v>0</v>
      </c>
      <c r="AL34" s="3436">
        <f>IF($H12 &lt;&gt;"Please select", $E34,0)</f>
        <v>0</v>
      </c>
      <c r="AM34" s="3436">
        <f>IF($M8 &gt; 0, $G34, 0)</f>
        <v>0</v>
      </c>
      <c r="AN34" s="3436">
        <f>IF($F12 &lt;&gt;"Please select", $G34,0)</f>
        <v>0</v>
      </c>
      <c r="AO34" s="3436">
        <f>IF($G12 &lt;&gt;"Please select", $G34,0)</f>
        <v>0</v>
      </c>
      <c r="AP34" s="3436">
        <f>IF($H12&lt;&gt;"Please select", $G34,0)</f>
        <v>0</v>
      </c>
      <c r="AR34" s="721">
        <f>IF($U8&gt;0, $K34/$U8,0)</f>
        <v>0</v>
      </c>
      <c r="AS34" s="722">
        <f>IF(U8&gt;0, L34/$U8,0)</f>
        <v>0</v>
      </c>
    </row>
    <row r="35" spans="2:45" x14ac:dyDescent="0.2">
      <c r="B35" s="701" t="s">
        <v>575</v>
      </c>
      <c r="C35" s="3457" t="str">
        <f>'3.Cropland'!C15</f>
        <v>Annuals converted to forest land</v>
      </c>
      <c r="D35" s="4074">
        <f>MAX(Matrix!$I$8,Matrix!$I$25)</f>
        <v>0</v>
      </c>
      <c r="E35" s="4074">
        <f>MAX(Matrix!$I$25,Matrix!$I$8)-Matrix!$I$8</f>
        <v>0</v>
      </c>
      <c r="F35" s="3189" t="s">
        <v>625</v>
      </c>
      <c r="G35" s="4074">
        <f>MAX(Matrix!$I$25,Matrix!$I$8)-Matrix!$I$25</f>
        <v>0</v>
      </c>
      <c r="H35" s="3189" t="s">
        <v>625</v>
      </c>
      <c r="I35" s="3189">
        <f>IF(ABS($O9*((MIN($D35,E35)*MIN(20,time_tot))+IF(F35="Immediate",IF(E35 &gt; $D35, E35*MIN(20,time_tot),0),IF($D35&gt;E35,($D35-E35)*IF(time&gt;20,IF(F35="Linear",time-((time-20)^2)/(2*time),(0.215*time)-(time/4.6)*(EXP(-92.1/time)-0.01)),time*(1-VLOOKUP(F35, list!$J$48:$K$50, 2,))), (E35-$D35)*IF(time_tot&gt;time+20,20,IF(time_tot&lt;20,(time*VLOOKUP(F35, list!$J$48:$K$50, 2,))+(time_tot-time),((MIN(20,time)*VLOOKUP(F35, list!$J$48:$K$50, 2,)) +(time_tot-MIN(20,time))-IF(F35="Exponential",time_tot-20+0.217*time*(EXP(4.606*(20-time_tot)/time)-1),((time_tot-20)^2)*(0.5/time)))))))))&gt;=ABS(O9*20*MAX(E35,D35)),O9*20*MAX(E35,D35),$O9*((MIN($D35,E35)*MIN(20,time_tot))+IF(F35="Immediate",IF(E35 &gt; $D35, E35*MIN(20,time_tot),0),IF($D35&gt;E35,($D35-E35)*IF(time&gt;20,IF(F35="Linear",time-((time-20)^2)/(2*time),(0.215*time)-(time/4.6)*(EXP(-92.1/time)-0.01)),time*(1-VLOOKUP(F35, list!$J$48:$K$50, 2,))), (E35-$D35)*IF(time_tot&gt;time+20,20,IF(time_tot&lt;20,(time*VLOOKUP(F35, list!$J$48:$K$50, 2,))+(time_tot-time),((MIN(20,time)*VLOOKUP(F35, list!$J$48:$K$50, 2,)) +(time_tot-MIN(20,time))-IF(F35="Exponential",time_tot-20+0.217*time*(EXP(4.606*(20-time_tot)/time)-1),((time_tot-20)^2)*(0.5/time)))))))))</f>
        <v>0</v>
      </c>
      <c r="J35" s="3189">
        <f>IF(ABS($P9*((MIN($D35,G35)*MIN(20,time_tot))+IF(H35="Immediate",IF(G35 &gt; $D35, G35*MIN(20,time_tot),0),IF($D35 &gt; G35,($D35-G35)*IF(time&gt;20,IF(H35="Linear",time-((time-20)^2)/(2*time),(0.215*time)-(time/4.6)*(EXP(-92.1/time)-0.01)),time*(1-VLOOKUP(H35, list!$J$48:$K$50, 2,))), (G35-$D35)*IF(time_tot&gt;time+20,20,IF(time_tot&lt;20,(time*VLOOKUP(H35, list!$J$48:$K$50, 2,))+(time_tot-time),((MIN(20,time)*VLOOKUP(H35, list!$J$48:$K$50, 2,)) +(time_tot-MIN(20,time))-IF(H35="Exponential",time_tot-20+0.217*time*(EXP(4.606*(20-time_tot)/time)-1),((time_tot-20)^2)*(0.5/time)))))))))&gt;=ABS(P9*20*MAX(G35,D35)), P9*20*MAX(G35,D35),$P9*((MIN($D35,G35)*MIN(20,time_tot))+IF(H35="Immediate",IF(G35 &gt; $D35, G35*MIN(20,time_tot),0),IF($D35 &gt; G35,($D35-G35)*IF(time&gt;20,IF(H35="Linear",time-((time-20)^2)/(2*time),(0.215*time)-(time/4.6)*(EXP(-92.1/time)-0.01)),time*(1-VLOOKUP(H35, list!$J$48:$K$50, 2,))), (G35-$D35)*IF(time_tot&gt;time+20,20,IF(time_tot&lt;20,(time*VLOOKUP(H35, list!$J$48:$K$50, 2,))+(time_tot-time),((MIN(20,time)*VLOOKUP(H35, list!$J$48:$K$50, 2,)) +(time_tot-MIN(20,time))-IF(H35="Exponential",time_tot-20+0.217*time*(EXP(4.606*(20-time_tot)/time)-1),((time_tot-20)^2)*(0.5/time)))))))))</f>
        <v>0</v>
      </c>
      <c r="K35" s="3168">
        <f>(MIN(D35,E35)*time_tot+ABS(E35-D35)*IF(E35&gt;D35,time_cap+time*(VLOOKUP($F35,list!$J$47:$K$50,2,FALSE)),time*(1-(VLOOKUP(F35, list!$J$47:$K$50, 2, FALSE)))))*annual!$U9</f>
        <v>0</v>
      </c>
      <c r="L35" s="3168">
        <f>(MIN(D35, G35) * time_tot + ABS(G35-D35) * IF(G35&gt;D35, time_cap + time*(VLOOKUP(H35, list!$J$48:$K$50, 2, FALSE)), time*(1-(VLOOKUP(H35, list!$J$48:$K$50, 2, FALSE)))))*annual!$U9</f>
        <v>0</v>
      </c>
      <c r="M35" s="3168">
        <f>IFERROR(IF(M9&lt;L9,(M9-L9)/20/10*1000*VLOOKUP(moist_type, IPCC!$B$99:$C$101, 2, FALSE)*N2O_N_conversion*Nitrous/1000*(MIN(D35,E35)*time_tot+ABS(E35-D35)*IF(E35&gt;D35,time_cap+time*(VLOOKUP($F35,list!$J$47:$K$50,2,FALSE)),time*(1-(VLOOKUP(F35,list!$J$47:$K$50,2,FALSE))))),0),0)</f>
        <v>0</v>
      </c>
      <c r="N35" s="3168">
        <f>IFERROR(IF(N9&lt;L9,(N9-L9)/20/10*1000*VLOOKUP(moist_type, IPCC!$B$99:$C$101, 2, FALSE)*N2O_N_conversion*Nitrous/1000*(MIN(D35,G35)*time_tot+ABS(G35-D35)*IF(G35&gt;D35,time_cap+time*(VLOOKUP($G35,list!$J$47:$K$50,2,FALSE)),time*(1-(VLOOKUP(H35,list!$J$47:$K$50,2,FALSE))))),0),0)</f>
        <v>0</v>
      </c>
      <c r="O35" s="3168">
        <f t="shared" si="7"/>
        <v>0</v>
      </c>
      <c r="P35" s="3168">
        <f t="shared" si="7"/>
        <v>0</v>
      </c>
      <c r="Q35" s="3168">
        <f>IF(AND(OR('3.Cropland'!G15="Please select",'3.Cropland'!I15="Please select", '3.Cropland'!K15="Please select" ), OR('3.Cropland'!T15&lt;&gt;0,'3.Cropland'!R15&lt;&gt;0,'3.Cropland'!Q15&lt;&gt;0)), "MISSING DATA", P35-O35)</f>
        <v>0</v>
      </c>
      <c r="S35" s="3627">
        <f>$J13*(time*((ABS(E35-D35)*(IF(D35&lt;=E35, VLOOKUP(F35, list!$J$48:$K$50, 2, FALSE),1-VLOOKUP(F35, list!$J$48:$K$50, 2, FALSE))))+ MIN(E35,D35))+(annual!E35*time_cap))</f>
        <v>0</v>
      </c>
      <c r="T35" s="3628">
        <f>$J13 *(time*((ABS(G35-D35)*(IF(D35&lt;=G35, VLOOKUP(H35, list!$J$48:$K$50, 2, FALSE),1-VLOOKUP(annual!H35, list!$J$48:$K$50, 2, FALSE))))+MIN(G35,D35))+(G35*time_cap))</f>
        <v>0</v>
      </c>
      <c r="U35" s="3239">
        <f>T35-S35</f>
        <v>0</v>
      </c>
      <c r="W35" s="3220" t="s">
        <v>626</v>
      </c>
      <c r="X35" s="3227">
        <f>SUM(AH12:AH25)-SUM(AG12:AG25)</f>
        <v>0</v>
      </c>
      <c r="Y35" s="3228">
        <f>SUM(AR12:AR25)-SUM(AQ12:AQ25)</f>
        <v>0</v>
      </c>
      <c r="Z35" s="3229">
        <f>X35-Y35</f>
        <v>0</v>
      </c>
      <c r="AD35" s="701" t="s">
        <v>575</v>
      </c>
      <c r="AE35" s="727">
        <f>IF($M9 &gt;0, $D35, 0)</f>
        <v>0</v>
      </c>
      <c r="AF35" s="727">
        <f>IF($F13&lt;&gt;"Please select", $D35,0)</f>
        <v>0</v>
      </c>
      <c r="AG35" s="727">
        <f>IF($G13&lt;&gt;"Please select", $D35,0)</f>
        <v>0</v>
      </c>
      <c r="AH35" s="727">
        <f>IF($H13&lt;&gt;"Please select", $D35,0)</f>
        <v>0</v>
      </c>
      <c r="AI35" s="727">
        <f>IF($M9 &gt;0, $E35, 0)</f>
        <v>0</v>
      </c>
      <c r="AJ35" s="727">
        <f>IF($F13&lt;&gt;"Please select", $E35,0)</f>
        <v>0</v>
      </c>
      <c r="AK35" s="727">
        <f>IF($G13 &lt;&gt;"Please select", $E35,0)</f>
        <v>0</v>
      </c>
      <c r="AL35" s="727">
        <f>IF($H13 &lt;&gt;"Please select", $E35,0)</f>
        <v>0</v>
      </c>
      <c r="AM35" s="727">
        <f>IF($M9 &gt; 0, $G35, 0)</f>
        <v>0</v>
      </c>
      <c r="AN35" s="727">
        <f>IF($F13 &lt;&gt;"Please select", $G35,0)</f>
        <v>0</v>
      </c>
      <c r="AO35" s="727">
        <f>IF($G13 &lt;&gt;"Please select", $G35,0)</f>
        <v>0</v>
      </c>
      <c r="AP35" s="727">
        <f>IF($H13&lt;&gt;"Please select", $G35,0)</f>
        <v>0</v>
      </c>
      <c r="AR35" s="726">
        <f>IF($U9&gt;0, $K35/$U9,0)</f>
        <v>0</v>
      </c>
      <c r="AS35" s="726">
        <f>IF(U9&gt;0, L35/$U9,0)</f>
        <v>0</v>
      </c>
    </row>
    <row r="36" spans="2:45" x14ac:dyDescent="0.2">
      <c r="B36" s="787" t="s">
        <v>591</v>
      </c>
      <c r="C36" s="3622" t="str">
        <f>'3.Cropland'!C16</f>
        <v>Annuals converted from non-forest LUs</v>
      </c>
      <c r="D36" s="3190">
        <v>0</v>
      </c>
      <c r="E36" s="3190">
        <f>SUM(Matrix!$BD$16+Matrix!$BO$16+Matrix!$BZ$16+Matrix!$CK$16+Matrix!$CV$16+Matrix!$DG$16)</f>
        <v>150</v>
      </c>
      <c r="F36" s="3190" t="s">
        <v>625</v>
      </c>
      <c r="G36" s="3190">
        <f>SUM(Matrix!$BD$34,Matrix!$BO$34,Matrix!$BZ$34,Matrix!$CK$34,Matrix!$CV$34,Matrix!$DG$34)</f>
        <v>150</v>
      </c>
      <c r="H36" s="3190" t="s">
        <v>625</v>
      </c>
      <c r="I36" s="3190">
        <f>IF(ABS($O10*((MIN($D36,E36)*MIN(20,time_tot))+IF(F36="Immediate",IF(E36 &gt; $D36, E36*MIN(20,time_tot),0),IF($D36&gt;E36,($D36-E36)*IF(time&gt;20,IF(F36="Linear",time-((time-20)^2)/(2*time),(0.215*time)-(time/4.6)*(EXP(-92.1/time)-0.01)),time*(1-VLOOKUP(F36, list!$J$48:$K$50, 2,))), (E36-$D36)*IF(time_tot&gt;time+20,20,IF(time_tot&lt;20,(time*VLOOKUP(F36, list!$J$48:$K$50, 2,))+(time_tot-time),((MIN(20,time)*VLOOKUP(F36, list!$J$48:$K$50, 2,)) +(time_tot-MIN(20,time))-IF(F36="Exponential",time_tot-20+0.217*time*(EXP(4.606*(20-time_tot)/time)-1),((time_tot-20)^2)*(0.5/time)))))))))&gt;=ABS(O10*20*MAX(E36,D36)),O10*20*MAX(E36,D36),$O10*((MIN($D36,E36)*MIN(20,time_tot))+IF(F36="Immediate",IF(E36 &gt; $D36, E36*MIN(20,time_tot),0),IF($D36&gt;E36,($D36-E36)*IF(time&gt;20,IF(F36="Linear",time-((time-20)^2)/(2*time),(0.215*time)-(time/4.6)*(EXP(-92.1/time)-0.01)),time*(1-VLOOKUP(F36, list!$J$48:$K$50, 2,))), (E36-$D36)*IF(time_tot&gt;time+20,20,IF(time_tot&lt;20,(time*VLOOKUP(F36, list!$J$48:$K$50, 2,))+(time_tot-time),((MIN(20,time)*VLOOKUP(F36, list!$J$48:$K$50, 2,)) +(time_tot-MIN(20,time))-IF(F36="Exponential",time_tot-20+0.217*time*(EXP(4.606*(20-time_tot)/time)-1),((time_tot-20)^2)*(0.5/time)))))))))</f>
        <v>-250.80000000000044</v>
      </c>
      <c r="J36" s="3190">
        <f>IF(ABS($P10*((MIN($D36,G36)*MIN(20,time_tot))+IF(H36="Immediate",IF(G36 &gt; $D36, G36*MIN(20,time_tot),0),IF($D36 &gt; G36,($D36-G36)*IF(time&gt;20,IF(H36="Linear",time-((time-20)^2)/(2*time),(0.215*time)-(time/4.6)*(EXP(-92.1/time)-0.01)),time*(1-VLOOKUP(H36, list!$J$48:$K$50, 2,))), (G36-$D36)*IF(time_tot&gt;time+20,20,IF(time_tot&lt;20,(time*VLOOKUP(H36, list!$J$48:$K$50, 2,))+(time_tot-time),((MIN(20,time)*VLOOKUP(H36, list!$J$48:$K$50, 2,)) +(time_tot-MIN(20,time))-IF(H36="Exponential",time_tot-20+0.217*time*(EXP(4.606*(20-time_tot)/time)-1),((time_tot-20)^2)*(0.5/time)))))))))&gt;=ABS(P10*20*MAX(G36,D36)), P10*20*MAX(G36,D36),$P10*((MIN($D36,G36)*MIN(20,time_tot))+IF(H36="Immediate",IF(G36 &gt; $D36, G36*MIN(20,time_tot),0),IF($D36 &gt; G36,($D36-G36)*IF(time&gt;20,IF(H36="Linear",time-((time-20)^2)/(2*time),(0.215*time)-(time/4.6)*(EXP(-92.1/time)-0.01)),time*(1-VLOOKUP(H36, list!$J$48:$K$50, 2,))), (G36-$D36)*IF(time_tot&gt;time+20,20,IF(time_tot&lt;20,(time*VLOOKUP(H36, list!$J$48:$K$50, 2,))+(time_tot-time),((MIN(20,time)*VLOOKUP(H36, list!$J$48:$K$50, 2,)) +(time_tot-MIN(20,time))-IF(H36="Exponential",time_tot-20+0.217*time*(EXP(4.606*(20-time_tot)/time)-1),((time_tot-20)^2)*(0.5/time)))))))))</f>
        <v>-250.80000000000044</v>
      </c>
      <c r="K36" s="3169">
        <f>(MIN(D36,E36)*time_tot+ABS(E36-D36)*IF(E36&gt;D36,time_cap+time*(VLOOKUP($F36,list!$J$47:$K$50,2,FALSE)),time*(1-(VLOOKUP(F36, list!$J$47:$K$50, 2, FALSE)))))*annual!$U10</f>
        <v>249.12609921021431</v>
      </c>
      <c r="L36" s="3169">
        <f>(MIN(D36, G36) * time_tot + ABS(G36-D36) * IF(G36&gt;D36, time_cap + time*(VLOOKUP(H36, list!$J$48:$K$50, 2, FALSE)), time*(1-(VLOOKUP(H36, list!$J$48:$K$50, 2, FALSE)))))*annual!$U10</f>
        <v>249.12609921021431</v>
      </c>
      <c r="M36" s="3169">
        <f>IFERROR(IF(M10&lt;L10,(M10-L10)/20/10*1000*VLOOKUP(moist_type, IPCC!$B$99:$C$101, 2, FALSE)*N2O_N_conversion*Nitrous/1000*(MIN(D36,E36)*time_tot+ABS(E36-D36)*IF(E36&gt;D36,time_cap+time*(VLOOKUP($F36,list!$J$47:$K$50,2,FALSE)),time*(1-(VLOOKUP(F36,list!$J$47:$K$50,2,FALSE))))),0),0)</f>
        <v>0</v>
      </c>
      <c r="N36" s="3169">
        <f>IFERROR(IF(N10&lt;L10,(N10-L10)/20/10*1000*VLOOKUP(moist_type, IPCC!$B$99:$C$101, 2, FALSE)*N2O_N_conversion*Nitrous/1000*(MIN(D36,G36)*time_tot+ABS(G36-D36)*IF(G36&gt;D36,time_cap+time*(VLOOKUP($G36,list!$J$47:$K$50,2,FALSE)),time*(1-(VLOOKUP(H36,list!$J$47:$K$50,2,FALSE))))),0),0)</f>
        <v>0</v>
      </c>
      <c r="O36" s="3169">
        <f t="shared" si="7"/>
        <v>-1.6739007897861313</v>
      </c>
      <c r="P36" s="3169">
        <f t="shared" si="7"/>
        <v>-1.6739007897861313</v>
      </c>
      <c r="Q36" s="3169">
        <f>IF(AND(OR('3.Cropland'!G16="Please select",'3.Cropland'!I16="Please select", '3.Cropland'!K16="Please select" ), OR('3.Cropland'!T16&lt;&gt;0,'3.Cropland'!R16&lt;&gt;0,'3.Cropland'!Q16&lt;&gt;0)), "MISSING DATA", P36-O36)</f>
        <v>0</v>
      </c>
      <c r="S36" s="3240">
        <f>$J14*(time*((ABS(E36-D36)*(IF(D36&lt;=E36, VLOOKUP(F36, list!$J$48:$K$50, 2, FALSE),1-VLOOKUP(F36, list!$J$48:$K$50, 2, FALSE))))+ MIN(E36,D36))+(annual!E36*time_cap))</f>
        <v>0</v>
      </c>
      <c r="T36" s="3241">
        <f>$J14 *(time*((ABS(G36-D36)*(IF(D36&lt;=G36, VLOOKUP(H36, list!$J$48:$K$50, 2, FALSE),1-VLOOKUP(annual!H36, list!$J$48:$K$50, 2, FALSE))))+MIN(G36,D36))+(G36*time_cap))</f>
        <v>0</v>
      </c>
      <c r="U36" s="3242">
        <f>T36-S36</f>
        <v>0</v>
      </c>
      <c r="W36" s="3217" t="s">
        <v>235</v>
      </c>
      <c r="X36" s="3230">
        <f>SUM(X31:X35)</f>
        <v>0</v>
      </c>
      <c r="Y36" s="3230">
        <f>SUM(Y31:Y35)</f>
        <v>0</v>
      </c>
      <c r="Z36" s="3230">
        <f>SUM(Z31:Z35)</f>
        <v>0</v>
      </c>
      <c r="AA36" s="388"/>
      <c r="AD36" s="787" t="s">
        <v>591</v>
      </c>
      <c r="AE36" s="782">
        <f>IF($M10 &gt;0, $D36, 0)</f>
        <v>0</v>
      </c>
      <c r="AF36" s="782">
        <f>IF($F14&lt;&gt;"Please select", $D36,0)</f>
        <v>0</v>
      </c>
      <c r="AG36" s="782">
        <f>IF($G14&lt;&gt;"Please select", $D36,0)</f>
        <v>0</v>
      </c>
      <c r="AH36" s="782">
        <f>IF($H14&lt;&gt;"Please select", $D36,0)</f>
        <v>0</v>
      </c>
      <c r="AI36" s="3437">
        <f>IF($M10 &gt;0, $E36, 0)</f>
        <v>150</v>
      </c>
      <c r="AJ36" s="3437">
        <f>IF($F14&lt;&gt;"Please select", $E36,0)</f>
        <v>150</v>
      </c>
      <c r="AK36" s="3437">
        <f>IF($G14 &lt;&gt;"Please select", $E36,0)</f>
        <v>150</v>
      </c>
      <c r="AL36" s="782">
        <f>IF($H14 &lt;&gt;"Please select", $E36,0)</f>
        <v>150</v>
      </c>
      <c r="AM36" s="782">
        <f>IF($M10 &gt; 0, $G36, 0)</f>
        <v>150</v>
      </c>
      <c r="AN36" s="782">
        <f>IF($F14 &lt;&gt;"Please select", $G36,0)</f>
        <v>150</v>
      </c>
      <c r="AO36" s="782">
        <f>IF($G14 &lt;&gt;"Please select", $G36,0)</f>
        <v>150</v>
      </c>
      <c r="AP36" s="782">
        <f>IF($H14&lt;&gt;"Please select", $G36,0)</f>
        <v>150</v>
      </c>
      <c r="AR36" s="782">
        <f>IF($U10&gt;0, $K36/$U10,0)</f>
        <v>1875</v>
      </c>
      <c r="AS36" s="782">
        <f>IF(U10&gt;0, L36/$U10,0)</f>
        <v>1875</v>
      </c>
    </row>
    <row r="37" spans="2:45" x14ac:dyDescent="0.2">
      <c r="C37" s="3187" t="str">
        <f>'3.Cropland'!C17</f>
        <v>Annuals converted to non-forest Lus</v>
      </c>
      <c r="D37" s="3191">
        <f>MAX(SUM(Matrix!$AS$16:$AX$16), SUM(Matrix!$AS$34:$AX$34))</f>
        <v>0</v>
      </c>
      <c r="E37" s="3191">
        <f>MAX(SUM(Matrix!$AS$16:$AX$16), SUM(Matrix!$AS$34:$AX$34))-SUM(Matrix!$AS$16:$AX$16)</f>
        <v>0</v>
      </c>
      <c r="F37" s="3191" t="s">
        <v>625</v>
      </c>
      <c r="G37" s="3191">
        <f>MAX(SUM(Matrix!$AS$16:$AX$16), SUM(Matrix!$AS$34:$AX$34))-SUM(Matrix!$AS$34:$AX$34)</f>
        <v>0</v>
      </c>
      <c r="H37" s="3191" t="s">
        <v>625</v>
      </c>
      <c r="I37" s="3191">
        <f>IF(ABS($O11*((MIN($D37,E37)*MIN(20,time_tot))+IF(F37="Immediate",IF(E37 &gt; $D37, E37*MIN(20,time_tot),0),IF($D37&gt;E37,($D37-E37)*IF(time&gt;20,IF(F37="Linear",time-((time-20)^2)/(2*time),(0.215*time)-(time/4.6)*(EXP(-92.1/time)-0.01)),time*(1-VLOOKUP(F37, list!$J$48:$K$50, 2,))), (E37-$D37)*IF(time_tot&gt;time+20,20,IF(time_tot&lt;20,(time*VLOOKUP(F37, list!$J$48:$K$50, 2,))+(time_tot-time),((MIN(20,time)*VLOOKUP(F37, list!$J$48:$K$50, 2,)) +(time_tot-MIN(20,time))-IF(F37="Exponential",time_tot-20+0.217*time*(EXP(4.606*(20-time_tot)/time)-1),((time_tot-20)^2)*(0.5/time)))))))))&gt;=ABS(O11*20*MAX(E37,D37)),O11*20*MAX(E37,D37),$O11*((MIN($D37,E37)*MIN(20,time_tot))+IF(F37="Immediate",IF(E37 &gt; $D37, E37*MIN(20,time_tot),0),IF($D37&gt;E37,($D37-E37)*IF(time&gt;20,IF(F37="Linear",time-((time-20)^2)/(2*time),(0.215*time)-(time/4.6)*(EXP(-92.1/time)-0.01)),time*(1-VLOOKUP(F37, list!$J$48:$K$50, 2,))), (E37-$D37)*IF(time_tot&gt;time+20,20,IF(time_tot&lt;20,(time*VLOOKUP(F37, list!$J$48:$K$50, 2,))+(time_tot-time),((MIN(20,time)*VLOOKUP(F37, list!$J$48:$K$50, 2,)) +(time_tot-MIN(20,time))-IF(F37="Exponential",time_tot-20+0.217*time*(EXP(4.606*(20-time_tot)/time)-1),((time_tot-20)^2)*(0.5/time)))))))))</f>
        <v>0</v>
      </c>
      <c r="J37" s="3191">
        <f>IF(ABS($P11*((MIN($D37,G37)*MIN(20,time_tot))+IF(H37="Immediate",IF(G37 &gt; $D37, G37*MIN(20,time_tot),0),IF($D37 &gt; G37,($D37-G37)*IF(time&gt;20,IF(H37="Linear",time-((time-20)^2)/(2*time),(0.215*time)-(time/4.6)*(EXP(-92.1/time)-0.01)),time*(1-VLOOKUP(H37, list!$J$48:$K$50, 2,))), (G37-$D37)*IF(time_tot&gt;time+20,20,IF(time_tot&lt;20,(time*VLOOKUP(H37, list!$J$48:$K$50, 2,))+(time_tot-time),((MIN(20,time)*VLOOKUP(H37, list!$J$48:$K$50, 2,)) +(time_tot-MIN(20,time))-IF(H37="Exponential",time_tot-20+0.217*time*(EXP(4.606*(20-time_tot)/time)-1),((time_tot-20)^2)*(0.5/time)))))))))&gt;=ABS(P11*20*MAX(G37,D37)), P11*20*MAX(G37,D37),$P11*((MIN($D37,G37)*MIN(20,time_tot))+IF(H37="Immediate",IF(G37 &gt; $D37, G37*MIN(20,time_tot),0),IF($D37 &gt; G37,($D37-G37)*IF(time&gt;20,IF(H37="Linear",time-((time-20)^2)/(2*time),(0.215*time)-(time/4.6)*(EXP(-92.1/time)-0.01)),time*(1-VLOOKUP(H37, list!$J$48:$K$50, 2,))), (G37-$D37)*IF(time_tot&gt;time+20,20,IF(time_tot&lt;20,(time*VLOOKUP(H37, list!$J$48:$K$50, 2,))+(time_tot-time),((MIN(20,time)*VLOOKUP(H37, list!$J$48:$K$50, 2,)) +(time_tot-MIN(20,time))-IF(H37="Exponential",time_tot-20+0.217*time*(EXP(4.606*(20-time_tot)/time)-1),((time_tot-20)^2)*(0.5/time)))))))))</f>
        <v>0</v>
      </c>
      <c r="K37" s="3174">
        <f>(MIN(D37,E37)*time_tot+ABS(E37-D37)*IF(E37&gt;D37,time_cap+time*(VLOOKUP($F37,list!$J$47:$K$50,2,FALSE)),time*(1-(VLOOKUP(F37, list!$J$47:$K$50, 2, FALSE)))))*annual!$U11</f>
        <v>0</v>
      </c>
      <c r="L37" s="3174">
        <f>(MIN(D37, G37) * time_tot + ABS(G37-D37) * IF(G37&gt;D37, time_cap + time*(VLOOKUP(H37, list!$J$48:$K$50, 2, FALSE)), time*(1-(VLOOKUP(H37, list!$J$48:$K$50, 2, FALSE)))))*annual!$U11</f>
        <v>0</v>
      </c>
      <c r="M37" s="3174">
        <f>IFERROR(IF(M11&lt;L11,(M11-L11)/20/10*1000*VLOOKUP(moist_type, IPCC!$B$99:$C$101, 2, FALSE)*N2O_N_conversion*Nitrous/1000*(MIN(D37,E37)*time_tot+ABS(E37-D37)*IF(E37&gt;D37,time_cap+time*(VLOOKUP($F37,list!$J$47:$K$50,2,FALSE)),time*(1-(VLOOKUP(F37,list!$J$47:$K$50,2,FALSE))))),0),0)</f>
        <v>0</v>
      </c>
      <c r="N37" s="3174">
        <f>IFERROR(IF(N11&lt;L11,(N11-L11)/20/10*1000*VLOOKUP(moist_type, IPCC!$B$99:$C$101, 2, FALSE)*N2O_N_conversion*Nitrous/1000*(MIN(D37,G37)*time_tot+ABS(G37-D37)*IF(G37&gt;D37,time_cap+time*(VLOOKUP($G37,list!$J$47:$K$50,2,FALSE)),time*(1-(VLOOKUP(H37,list!$J$47:$K$50,2,FALSE))))),0),0)</f>
        <v>0</v>
      </c>
      <c r="O37" s="3174">
        <f t="shared" si="7"/>
        <v>0</v>
      </c>
      <c r="P37" s="3174">
        <f t="shared" si="7"/>
        <v>0</v>
      </c>
      <c r="Q37" s="3174">
        <f>IF(AND(OR('3.Cropland'!G17="Please select",'3.Cropland'!I17="Please select", '3.Cropland'!K17="Please select" ), OR('3.Cropland'!T17&lt;&gt;0,'3.Cropland'!R17&lt;&gt;0,'3.Cropland'!Q17&lt;&gt;0)), "MISSING DATA", P37-O37)</f>
        <v>0</v>
      </c>
      <c r="S37" s="3253">
        <f>$J15*(time*((ABS(E37-D37)*(IF(D37&lt;=E37, VLOOKUP(F37, list!$J$48:$K$50, 2, FALSE),1-VLOOKUP(F37, list!$J$48:$K$50, 2, FALSE))))+ MIN(E37,D37))+(annual!E37*time_cap))</f>
        <v>0</v>
      </c>
      <c r="T37" s="3625">
        <f>$J15 *(time*((ABS(G37-D37)*(IF(D37&lt;=G37, VLOOKUP(H37, list!$J$48:$K$50, 2, FALSE),1-VLOOKUP(annual!H37, list!$J$48:$K$50, 2, FALSE))))+MIN(G37,D37))+(G37*time_cap))</f>
        <v>0</v>
      </c>
      <c r="U37" s="3629">
        <f>T37-S37</f>
        <v>0</v>
      </c>
      <c r="AE37" s="793">
        <f>IF($M11 &gt;0, $D37, 0)</f>
        <v>0</v>
      </c>
      <c r="AF37" s="793">
        <f>IF($F15&lt;&gt;"Please select", $D37,0)</f>
        <v>0</v>
      </c>
      <c r="AG37" s="793">
        <f>IF($G15&lt;&gt;"Please select", $D37,0)</f>
        <v>0</v>
      </c>
      <c r="AH37" s="793">
        <f>IF($H15&lt;&gt;"Please select", $D37,0)</f>
        <v>0</v>
      </c>
      <c r="AI37" s="793">
        <f>IF($M11 &gt;0, $E37, 0)</f>
        <v>0</v>
      </c>
      <c r="AJ37" s="793">
        <f>IF($F15&lt;&gt;"Please select", $E37,0)</f>
        <v>0</v>
      </c>
      <c r="AK37" s="793">
        <f>IF($G15 &lt;&gt;"Please select", $E37,0)</f>
        <v>0</v>
      </c>
      <c r="AL37" s="793">
        <f>IF($H15 &lt;&gt;"Please select", $E37,0)</f>
        <v>0</v>
      </c>
      <c r="AM37" s="793">
        <f>IF($M11 &gt; 0, $G37, 0)</f>
        <v>0</v>
      </c>
      <c r="AN37" s="793">
        <f>IF($F15 &lt;&gt;"Please select", $G37,0)</f>
        <v>0</v>
      </c>
      <c r="AO37" s="793">
        <f>IF($G15 &lt;&gt;"Please select", $G37,0)</f>
        <v>0</v>
      </c>
      <c r="AP37" s="793">
        <f>IF($H15&lt;&gt;"Please select", $G37,0)</f>
        <v>0</v>
      </c>
      <c r="AR37" s="793">
        <f>IF($U11&gt;0, $K37/$U11,0)</f>
        <v>0</v>
      </c>
      <c r="AS37" s="793">
        <f>IF(U11&gt;0, L37/$U11,0)</f>
        <v>0</v>
      </c>
    </row>
    <row r="38" spans="2:45" x14ac:dyDescent="0.2">
      <c r="C38" s="704" t="str">
        <f t="shared" ref="C38:C47" si="8">C16</f>
        <v/>
      </c>
      <c r="D38" s="3192">
        <f>'3.Cropland'!Q25</f>
        <v>150</v>
      </c>
      <c r="E38" s="3193">
        <f>'3.Cropland'!R25</f>
        <v>150</v>
      </c>
      <c r="F38" s="3193" t="str">
        <f>VLOOKUP('3.Cropland'!S25, list!$I$48:$J$50, 2, FALSE)</f>
        <v>Linear</v>
      </c>
      <c r="G38" s="3193">
        <f>'3.Cropland'!T25</f>
        <v>150</v>
      </c>
      <c r="H38" s="3205" t="str">
        <f>VLOOKUP('3.Cropland'!U25, list!$I$48:$J$50, 2, FALSE)</f>
        <v>Linear</v>
      </c>
      <c r="I38" s="3170">
        <f>IF(ABS(-$R16*((MIN($D38,E38)*MIN(20,time_tot)) +IF(F38="Immediate",IF(E38&gt;$D38,E38*MIN(20,time_tot),0),IF($D38&gt;E38,($D38-E38)* IF(time&gt;20,IF(F38="Linear",time-((time-20)^2)/(2*time),(0.215*time)-(time/4.6)*(EXP(-92.1/time)-0.01)),time*(1-VLOOKUP(F38,list!$J$48:$K$50,2,))),(E38-$D38)*IF(time_tot&gt;time+20,20,IF(time_tot&lt;20,(time*VLOOKUP(F38,list!$J$48:$K$50,2,))+(time_tot-time),((MIN(20,time)*VLOOKUP(F38,list!$J$48:$K$50,2,)) + (time_tot-MIN(20,time)) -IF(F38="Exponential",time_tot-20+0.217*time*(EXP(4.606*(20-time_tot)/time)-1),((time_tot-20)^2)*(0.5/time)))))))))&gt;=ABS(-Q16*MAX(E38,D38)),-Q16*MAX(E38,D38),-$R16*((MIN($D38,E38)*MIN(20,time_tot)) +IF(F38="Immediate",IF(E38&gt;$D38,E38*MIN(20,time_tot),0),IF($D38&gt;E38,($D38-E38)* IF(time&gt;20,IF(F38="Linear",time-((time-20)^2)/(2*time),(0.215*time)-(time/4.6)*(EXP(-92.1/time)-0.01)),time*(1-VLOOKUP(F38,list!$J$48:$K$50,2,))),(E38-$D38)*IF(time_tot&gt;time+20,20,IF(time_tot&lt;20,(time*VLOOKUP(F38,list!$J$48:$K$50,2,))+(time_tot-time),((MIN(20,time)*VLOOKUP(F38,list!$J$48:$K$50,2,)) + (time_tot-MIN(20,time)) -IF(F38="Exponential",time_tot-20+0.217*time*(EXP(4.606*(20-time_tot)/time)-1),((time_tot-20)^2)*(0.5/time)))))))))</f>
        <v>-2783.8800000000015</v>
      </c>
      <c r="J38" s="3170">
        <f>IF(ABS(-$R16*((MIN($D38,G38)*MIN(20,time_tot))+IF(H38="Immediate",IF(G38&gt;$D38,G38*MIN(20,time_tot),0),IF($D38&gt;G38,($D38-G38)*IF(time&gt;20,IF(H38="Linear",time-((time-20)^2)/(2*time),(0.215*time)-(time/4.6)*(EXP(-92.1/time)-0.01)),time*(1-VLOOKUP(H38,list!$J$48:$K$50,2,))),(G38-$D38)*IF(time_tot&gt;time+20,20,IF(time_tot&lt;20,(time*VLOOKUP(H38,list!$J$48:$K$50,2,))+(time_tot-time),((MIN(20,time)*VLOOKUP(H38,list!$J$48:$K$50,2,))+(time_tot-MIN(20,time))-IF(H38="Exponential",time_tot-20+0.217*time*(EXP(4.606*(20-time_tot)/time)-1),((time_tot-20)^2)*(0.5/time)))))))))&gt;=ABS(-Q16*MAX(G38,D38)), -Q16*MAX(G38,D38), -$R16*((MIN($D38,G38)*MIN(20,time_tot))+IF(H38="Immediate",IF(G38&gt;$D38,G38*MIN(20,time_tot),0),IF($D38&gt;G38,($D38-G38)*IF(time&gt;20,IF(H38="Linear",time-((time-20)^2)/(2*time),(0.215*time)-(time/4.6)*(EXP(-92.1/time)-0.01)),time*(1-VLOOKUP(H38,list!$J$48:$K$50,2,))),(G38-$D38)*IF(time_tot&gt;time+20,20,IF(time_tot&lt;20,(time*VLOOKUP(H38,list!$J$48:$K$50,2,))+(time_tot-time),((MIN(20,time)*VLOOKUP(H38,list!$J$48:$K$50,2,))+(time_tot-MIN(20,time))-IF(H38="Exponential",time_tot-20+0.217*time*(EXP(4.606*(20-time_tot)/time)-1),((time_tot-20)^2)*(0.5/time)))))))))</f>
        <v>-2783.8800000000015</v>
      </c>
      <c r="K38" s="3519">
        <f>(MIN(D38,E38)*time_tot+ABS(E38-D38)*IF(E38&gt;D38,time_cap+time*(VLOOKUP(F38,list!$J$47:$K$50,2,FALSE)),time*(1-(VLOOKUP(F38, list!$J$47:$K$50, 2, FALSE)))))*annual!$U16</f>
        <v>1196.937054432</v>
      </c>
      <c r="L38" s="3519">
        <f>(MIN(D38, G38) * time_tot + ABS(G38-D38) * IF(G38&gt;D38, time_cap + time*(VLOOKUP(H38, list!$J$48:$K$50, 2, FALSE)), time*(1-(VLOOKUP(H38, list!$J$48:$K$50, 2, FALSE)))))*annual!U16</f>
        <v>1196.937054432</v>
      </c>
      <c r="M38" s="3519">
        <f>-V16*(MIN(D38,E38)*time_tot+ABS(E38-D38)*IF(E38&gt;D38,time_cap+time*(VLOOKUP(F38,list!$J$47:$K$50,2,FALSE)),time*(1-(VLOOKUP(F38, list!$J$47:$K$50, 2, FALSE)))))</f>
        <v>0</v>
      </c>
      <c r="N38" s="3519">
        <f>-V16*(MIN(D38, G38) * time_tot + ABS(G38-D38) * IF(G38&gt;D38, time_cap + time*(VLOOKUP(H38, list!$J$48:$K$50, 2, FALSE)), time*(1-(VLOOKUP(H38, list!$J$48:$K$50, 2, FALSE)))))</f>
        <v>0</v>
      </c>
      <c r="O38" s="3519">
        <f t="shared" si="7"/>
        <v>-1586.9429455680015</v>
      </c>
      <c r="P38" s="3519">
        <f>J38+L38+N38</f>
        <v>-1586.9429455680015</v>
      </c>
      <c r="Q38" s="3171">
        <f>P38-O38</f>
        <v>0</v>
      </c>
      <c r="S38" s="3250">
        <f>$J16*(time*((ABS(E38-D38)*(IF(D38&lt;=E38, VLOOKUP(F38, list!$J$48:$K$50, 2, FALSE),1-VLOOKUP(F38, list!$J$48:$K$50, 2, FALSE))))+ MIN(E38,D38))+(annual!E38*time_cap))</f>
        <v>0</v>
      </c>
      <c r="T38" s="3251">
        <f>$J16*(time*((ABS(G38-D38)*(IF(D38&lt;=G38, VLOOKUP(H38, list!$J$48:$K$50, 2, FALSE),1-VLOOKUP(annual!H38, list!$J$48:$K$50, 2, FALSE))))+MIN(G38,D38))+(G38*time_cap))</f>
        <v>0</v>
      </c>
      <c r="U38" s="3252">
        <f t="shared" ref="U38:U47" si="9">T38-S38</f>
        <v>0</v>
      </c>
      <c r="AE38" s="3438">
        <f>IF($M16 &gt;0, $D38, 0)</f>
        <v>150</v>
      </c>
      <c r="AF38" s="3438">
        <f>IF($F16&lt;&gt;"Please select", $D38,0)</f>
        <v>150</v>
      </c>
      <c r="AG38" s="3438">
        <f>IF($G16&lt;&gt;"Please select", $D38,0)</f>
        <v>150</v>
      </c>
      <c r="AH38" s="3438">
        <f>IF($H16&lt;&gt;"Please select", $D38,0)</f>
        <v>150</v>
      </c>
      <c r="AI38" s="3438">
        <f>IF($M16 &gt;0, $E38, 0)</f>
        <v>150</v>
      </c>
      <c r="AJ38" s="3438">
        <f>IF($F16&lt;&gt;"Please select", $E38,0)</f>
        <v>150</v>
      </c>
      <c r="AK38" s="3438">
        <f>IF($G16&lt;&gt;"Please select", $E38,0)</f>
        <v>150</v>
      </c>
      <c r="AL38" s="3438">
        <f>IF($H16&lt;&gt;"Please select", $E38,0)</f>
        <v>150</v>
      </c>
      <c r="AM38" s="3438">
        <f>IF($M16 &gt;0, $G38, 0)</f>
        <v>150</v>
      </c>
      <c r="AN38" s="3438">
        <f>IF($F16&lt;&gt;"Please select", $G38,0)</f>
        <v>150</v>
      </c>
      <c r="AO38" s="3438">
        <f>IF($G16&lt;&gt;"Please select", $G38,0)</f>
        <v>150</v>
      </c>
      <c r="AP38" s="3438">
        <f>IF($H16&lt;&gt;"Please select", $G38,0)</f>
        <v>150</v>
      </c>
      <c r="AQ38" s="235"/>
      <c r="AR38" s="3438">
        <f t="shared" ref="AR38:AR47" si="10">IF(U16&gt;0, K38/$U16,0)</f>
        <v>2250</v>
      </c>
      <c r="AS38" s="3439">
        <f t="shared" ref="AS38:AS47" si="11">IF(U16&gt;0, L38/$U16,0)</f>
        <v>2250</v>
      </c>
    </row>
    <row r="39" spans="2:45" x14ac:dyDescent="0.2">
      <c r="C39" s="862" t="str">
        <f t="shared" si="8"/>
        <v/>
      </c>
      <c r="D39" s="3194">
        <f>'3.Cropland'!Q26</f>
        <v>0</v>
      </c>
      <c r="E39" s="3195">
        <f>'3.Cropland'!R26</f>
        <v>0</v>
      </c>
      <c r="F39" s="3195" t="str">
        <f>VLOOKUP('3.Cropland'!S26, list!$I$48:$J$50, 2, FALSE)</f>
        <v>Linear</v>
      </c>
      <c r="G39" s="3195">
        <f>'3.Cropland'!T26</f>
        <v>0</v>
      </c>
      <c r="H39" s="3206" t="str">
        <f>VLOOKUP('3.Cropland'!U26, list!$I$48:$J$50, 2, FALSE)</f>
        <v>Linear</v>
      </c>
      <c r="I39" s="3170">
        <f>IF(ABS(-$R17*((MIN($D39,E39)*MIN(20,time_tot)) +IF(F39="Immediate",IF(E39&gt;$D39,E39*MIN(20,time_tot),0),IF($D39&gt;E39,($D39-E39)* IF(time&gt;20,IF(F39="Linear",time-((time-20)^2)/(2*time),(0.215*time)-(time/4.6)*(EXP(-92.1/time)-0.01)),time*(1-VLOOKUP(F39,list!$J$48:$K$50,2,))),(E39-$D39)*IF(time_tot&gt;time+20,20,IF(time_tot&lt;20,(time*VLOOKUP(F39,list!$J$48:$K$50,2,))+(time_tot-time),((MIN(20,time)*VLOOKUP(F39,list!$J$48:$K$50,2,)) + (time_tot-MIN(20,time)) -IF(F39="Exponential",time_tot-20+0.217*time*(EXP(4.606*(20-time_tot)/time)-1),((time_tot-20)^2)*(0.5/time)))))))))&gt;=ABS(-Q17*MAX(E39,D39)),-Q17*MAX(E39,D39),-$R17*((MIN($D39,E39)*MIN(20,time_tot)) +IF(F39="Immediate",IF(E39&gt;$D39,E39*MIN(20,time_tot),0),IF($D39&gt;E39,($D39-E39)* IF(time&gt;20,IF(F39="Linear",time-((time-20)^2)/(2*time),(0.215*time)-(time/4.6)*(EXP(-92.1/time)-0.01)),time*(1-VLOOKUP(F39,list!$J$48:$K$50,2,))),(E39-$D39)*IF(time_tot&gt;time+20,20,IF(time_tot&lt;20,(time*VLOOKUP(F39,list!$J$48:$K$50,2,))+(time_tot-time),((MIN(20,time)*VLOOKUP(F39,list!$J$48:$K$50,2,)) + (time_tot-MIN(20,time)) -IF(F39="Exponential",time_tot-20+0.217*time*(EXP(4.606*(20-time_tot)/time)-1),((time_tot-20)^2)*(0.5/time)))))))))</f>
        <v>0</v>
      </c>
      <c r="J39" s="3170">
        <f>IF(ABS(-$R17*((MIN($D39,G39)*MIN(20,time_tot))+IF(H39="Immediate",IF(G39&gt;$D39,G39*MIN(20,time_tot),0),IF($D39&gt;G39,($D39-G39)*IF(time&gt;20,IF(H39="Linear",time-((time-20)^2)/(2*time),(0.215*time)-(time/4.6)*(EXP(-92.1/time)-0.01)),time*(1-VLOOKUP(H39,list!$J$48:$K$50,2,))),(G39-$D39)*IF(time_tot&gt;time+20,20,IF(time_tot&lt;20,(time*VLOOKUP(H39,list!$J$48:$K$50,2,))+(time_tot-time),((MIN(20,time)*VLOOKUP(H39,list!$J$48:$K$50,2,))+(time_tot-MIN(20,time))-IF(H39="Exponential",time_tot-20+0.217*time*(EXP(4.606*(20-time_tot)/time)-1),((time_tot-20)^2)*(0.5/time)))))))))&gt;=ABS(-Q17*MAX(G39,D39)), -Q17*MAX(G39,D39), -$R17*((MIN($D39,G39)*MIN(20,time_tot))+IF(H39="Immediate",IF(G39&gt;$D39,G39*MIN(20,time_tot),0),IF($D39&gt;G39,($D39-G39)*IF(time&gt;20,IF(H39="Linear",time-((time-20)^2)/(2*time),(0.215*time)-(time/4.6)*(EXP(-92.1/time)-0.01)),time*(1-VLOOKUP(H39,list!$J$48:$K$50,2,))),(G39-$D39)*IF(time_tot&gt;time+20,20,IF(time_tot&lt;20,(time*VLOOKUP(H39,list!$J$48:$K$50,2,))+(time_tot-time),((MIN(20,time)*VLOOKUP(H39,list!$J$48:$K$50,2,))+(time_tot-MIN(20,time))-IF(H39="Exponential",time_tot-20+0.217*time*(EXP(4.606*(20-time_tot)/time)-1),((time_tot-20)^2)*(0.5/time)))))))))</f>
        <v>0</v>
      </c>
      <c r="K39" s="3232">
        <f>(MIN(D39,E39)*time_tot+ABS(E39-D39)*IF(E39&gt;D39,time_cap+time*(VLOOKUP(F39,list!$J$47:$K$50,2,FALSE)),time*(1-(VLOOKUP(F39, list!$J$47:$K$50, 2, FALSE)))))*annual!U17</f>
        <v>0</v>
      </c>
      <c r="L39" s="3232">
        <f>(MIN(D39, G39) * time_tot + ABS(G39-D39) * IF(G39&gt;D39, time_cap + time*(VLOOKUP(H39, list!$J$48:$K$50, 2, FALSE)), time*(1-(VLOOKUP(H39, list!$J$48:$K$50, 2, FALSE)))))*annual!U17</f>
        <v>0</v>
      </c>
      <c r="M39" s="3519">
        <f>-V17*(MIN(D39,E39)*time_tot+ABS(E39-D39)*IF(E39&gt;D39,time_cap+time*(VLOOKUP(F39,list!$J$47:$K$50,2,FALSE)),time*(1-(VLOOKUP(F39, list!$J$47:$K$50, 2, FALSE)))))</f>
        <v>0</v>
      </c>
      <c r="N39" s="3519">
        <f>-V17*(MIN(D39, G39) * time_tot + ABS(G39-D39) * IF(G39&gt;D39, time_cap + time*(VLOOKUP(H39, list!$J$48:$K$50, 2, FALSE)), time*(1-(VLOOKUP(H39, list!$J$48:$K$50, 2, FALSE)))))</f>
        <v>0</v>
      </c>
      <c r="O39" s="3232">
        <f t="shared" ref="O39:O47" si="12">I39+K39+M39</f>
        <v>0</v>
      </c>
      <c r="P39" s="3232">
        <f t="shared" ref="P39:P47" si="13">J39+L39+N39</f>
        <v>0</v>
      </c>
      <c r="Q39" s="3166">
        <f>P39-O39</f>
        <v>0</v>
      </c>
      <c r="S39" s="3243">
        <f>$J17*(time*((ABS(E39-D39)*(IF(D39&lt;=E39, VLOOKUP(F39, list!$J$48:$K$50, 2, FALSE),1-VLOOKUP(F39, list!$J$48:$K$50, 2, FALSE))))+ MIN(E39,D39))+(annual!E39*time_cap))</f>
        <v>0</v>
      </c>
      <c r="T39" s="3244">
        <f>$J17*(time*((ABS(G39-D39)*(IF(D39&lt;=G39, VLOOKUP(H39, list!$J$48:$K$50, 2, FALSE),1-VLOOKUP(annual!H39, list!$J$48:$K$50, 2, FALSE))))+MIN(G39,D39))+(G39*time_cap))</f>
        <v>0</v>
      </c>
      <c r="U39" s="3245">
        <f t="shared" si="9"/>
        <v>0</v>
      </c>
      <c r="W39" s="3218" t="s">
        <v>228</v>
      </c>
      <c r="X39" s="3219" t="s">
        <v>179</v>
      </c>
      <c r="Y39" s="3219" t="s">
        <v>180</v>
      </c>
      <c r="AE39" s="3440">
        <f t="shared" ref="AE39:AE47" si="14">IF($M17 &gt;0, $D39, 0)</f>
        <v>0</v>
      </c>
      <c r="AF39" s="3440">
        <f t="shared" ref="AF39:AF47" si="15">IF($F17&lt;&gt;"Please select", $D39,0)</f>
        <v>0</v>
      </c>
      <c r="AG39" s="3440">
        <f t="shared" ref="AG39:AG47" si="16">IF($G17&lt;&gt;"Please select", $D39,0)</f>
        <v>0</v>
      </c>
      <c r="AH39" s="3440">
        <f t="shared" ref="AH39:AH47" si="17">IF($H17&lt;&gt;"Please select", $D39,0)</f>
        <v>0</v>
      </c>
      <c r="AI39" s="3440">
        <f t="shared" ref="AI39:AI47" si="18">IF($M17 &gt;0, $E39, 0)</f>
        <v>0</v>
      </c>
      <c r="AJ39" s="3440">
        <f t="shared" ref="AJ39:AJ47" si="19">IF($F17&lt;&gt;"Please select", $E39,0)</f>
        <v>0</v>
      </c>
      <c r="AK39" s="3440">
        <f t="shared" ref="AK39:AK47" si="20">IF($G17&lt;&gt;"Please select", $E39,0)</f>
        <v>0</v>
      </c>
      <c r="AL39" s="3440">
        <f t="shared" ref="AL39:AL47" si="21">IF($H17&lt;&gt;"Please select", $E39,0)</f>
        <v>0</v>
      </c>
      <c r="AM39" s="3440">
        <f t="shared" ref="AM39:AM47" si="22">IF($M17 &gt;0, $G39, 0)</f>
        <v>0</v>
      </c>
      <c r="AN39" s="3440">
        <f t="shared" ref="AN39:AN47" si="23">IF($F17&lt;&gt;"Please select", $G39,0)</f>
        <v>0</v>
      </c>
      <c r="AO39" s="3440">
        <f t="shared" ref="AO39:AO47" si="24">IF($G17&lt;&gt;"Please select", $G39,0)</f>
        <v>0</v>
      </c>
      <c r="AP39" s="3440">
        <f t="shared" ref="AP39:AP47" si="25">IF($H17&lt;&gt;"Please select", $G39,0)</f>
        <v>0</v>
      </c>
      <c r="AQ39" s="235"/>
      <c r="AR39" s="3440">
        <f t="shared" si="10"/>
        <v>0</v>
      </c>
      <c r="AS39" s="3441">
        <f t="shared" si="11"/>
        <v>0</v>
      </c>
    </row>
    <row r="40" spans="2:45" x14ac:dyDescent="0.2">
      <c r="C40" s="862" t="str">
        <f t="shared" si="8"/>
        <v/>
      </c>
      <c r="D40" s="3194">
        <f>'3.Cropland'!Q27</f>
        <v>0</v>
      </c>
      <c r="E40" s="3195">
        <f>'3.Cropland'!R27</f>
        <v>0</v>
      </c>
      <c r="F40" s="3195" t="str">
        <f>VLOOKUP('3.Cropland'!S27, list!$I$48:$J$50, 2, FALSE)</f>
        <v>Linear</v>
      </c>
      <c r="G40" s="3195">
        <f>'3.Cropland'!T27</f>
        <v>0</v>
      </c>
      <c r="H40" s="3206" t="str">
        <f>VLOOKUP('3.Cropland'!U27, list!$I$48:$J$50, 2, FALSE)</f>
        <v>Linear</v>
      </c>
      <c r="I40" s="3170">
        <f>IF(ABS(-$R18*((MIN($D40,E40)*MIN(20,time_tot)) +IF(F40="Immediate",IF(E40&gt;$D40,E40*MIN(20,time_tot),0),IF($D40&gt;E40,($D40-E40)* IF(time&gt;20,IF(F40="Linear",time-((time-20)^2)/(2*time),(0.215*time)-(time/4.6)*(EXP(-92.1/time)-0.01)),time*(1-VLOOKUP(F40,list!$J$48:$K$50,2,))),(E40-$D40)*IF(time_tot&gt;time+20,20,IF(time_tot&lt;20,(time*VLOOKUP(F40,list!$J$48:$K$50,2,))+(time_tot-time),((MIN(20,time)*VLOOKUP(F40,list!$J$48:$K$50,2,)) + (time_tot-MIN(20,time)) -IF(F40="Exponential",time_tot-20+0.217*time*(EXP(4.606*(20-time_tot)/time)-1),((time_tot-20)^2)*(0.5/time)))))))))&gt;=ABS(-Q18*MAX(E40,D40)),-Q18*MAX(E40,D40),-$R18*((MIN($D40,E40)*MIN(20,time_tot)) +IF(F40="Immediate",IF(E40&gt;$D40,E40*MIN(20,time_tot),0),IF($D40&gt;E40,($D40-E40)* IF(time&gt;20,IF(F40="Linear",time-((time-20)^2)/(2*time),(0.215*time)-(time/4.6)*(EXP(-92.1/time)-0.01)),time*(1-VLOOKUP(F40,list!$J$48:$K$50,2,))),(E40-$D40)*IF(time_tot&gt;time+20,20,IF(time_tot&lt;20,(time*VLOOKUP(F40,list!$J$48:$K$50,2,))+(time_tot-time),((MIN(20,time)*VLOOKUP(F40,list!$J$48:$K$50,2,)) + (time_tot-MIN(20,time)) -IF(F40="Exponential",time_tot-20+0.217*time*(EXP(4.606*(20-time_tot)/time)-1),((time_tot-20)^2)*(0.5/time)))))))))</f>
        <v>0</v>
      </c>
      <c r="J40" s="3170">
        <f>IF(ABS(-$R18*((MIN($D40,G40)*MIN(20,time_tot))+IF(H40="Immediate",IF(G40&gt;$D40,G40*MIN(20,time_tot),0),IF($D40&gt;G40,($D40-G40)*IF(time&gt;20,IF(H40="Linear",time-((time-20)^2)/(2*time),(0.215*time)-(time/4.6)*(EXP(-92.1/time)-0.01)),time*(1-VLOOKUP(H40,list!$J$48:$K$50,2,))),(G40-$D40)*IF(time_tot&gt;time+20,20,IF(time_tot&lt;20,(time*VLOOKUP(H40,list!$J$48:$K$50,2,))+(time_tot-time),((MIN(20,time)*VLOOKUP(H40,list!$J$48:$K$50,2,))+(time_tot-MIN(20,time))-IF(H40="Exponential",time_tot-20+0.217*time*(EXP(4.606*(20-time_tot)/time)-1),((time_tot-20)^2)*(0.5/time)))))))))&gt;=ABS(-Q18*MAX(G40,D40)), -Q18*MAX(G40,D40), -$R18*((MIN($D40,G40)*MIN(20,time_tot))+IF(H40="Immediate",IF(G40&gt;$D40,G40*MIN(20,time_tot),0),IF($D40&gt;G40,($D40-G40)*IF(time&gt;20,IF(H40="Linear",time-((time-20)^2)/(2*time),(0.215*time)-(time/4.6)*(EXP(-92.1/time)-0.01)),time*(1-VLOOKUP(H40,list!$J$48:$K$50,2,))),(G40-$D40)*IF(time_tot&gt;time+20,20,IF(time_tot&lt;20,(time*VLOOKUP(H40,list!$J$48:$K$50,2,))+(time_tot-time),((MIN(20,time)*VLOOKUP(H40,list!$J$48:$K$50,2,))+(time_tot-MIN(20,time))-IF(H40="Exponential",time_tot-20+0.217*time*(EXP(4.606*(20-time_tot)/time)-1),((time_tot-20)^2)*(0.5/time)))))))))</f>
        <v>0</v>
      </c>
      <c r="K40" s="3232">
        <f>(MIN(D40,E40)*time_tot+ABS(E40-D40)*IF(E40&gt;D40,time_cap+time*(VLOOKUP(F40,list!$J$47:$K$50,2,FALSE)),time*(1-(VLOOKUP(F40, list!$J$47:$K$50, 2, FALSE)))))*annual!U18</f>
        <v>0</v>
      </c>
      <c r="L40" s="3232">
        <f>(MIN(D40, G40) * time_tot + ABS(G40-D40) * IF(G40&gt;D40, time_cap + time*(VLOOKUP(H40, list!$J$48:$K$50, 2, FALSE)), time*(1-(VLOOKUP(H40, list!$J$48:$K$50, 2, FALSE)))))*annual!U18</f>
        <v>0</v>
      </c>
      <c r="M40" s="3519">
        <f>-V18*(MIN(D40,E40)*time_tot+ABS(E40-D40)*IF(E40&gt;D40,time_cap+time*(VLOOKUP(F40,list!$J$47:$K$50,2,FALSE)),time*(1-(VLOOKUP(F40, list!$J$47:$K$50, 2, FALSE)))))</f>
        <v>0</v>
      </c>
      <c r="N40" s="3519">
        <f>-V18*(MIN(D40, G40) * time_tot + ABS(G40-D40) * IF(G40&gt;D40, time_cap + time*(VLOOKUP(H40, list!$J$48:$K$50, 2, FALSE)), time*(1-(VLOOKUP(H40, list!$J$48:$K$50, 2, FALSE)))))</f>
        <v>0</v>
      </c>
      <c r="O40" s="3232">
        <f t="shared" si="12"/>
        <v>0</v>
      </c>
      <c r="P40" s="3232">
        <f t="shared" si="13"/>
        <v>0</v>
      </c>
      <c r="Q40" s="3166">
        <f t="shared" ref="Q40:Q47" si="26">P40-O40</f>
        <v>0</v>
      </c>
      <c r="S40" s="3243">
        <f>$J18*(time*((ABS(E40-D40)*(IF(D40&lt;=E40, VLOOKUP(F40, list!$J$48:$K$50, 2, FALSE),1-VLOOKUP(F40, list!$J$48:$K$50, 2, FALSE))))+ MIN(E40,D40))+(annual!E40*time_cap))</f>
        <v>0</v>
      </c>
      <c r="T40" s="3244">
        <f>$J18*(time*((ABS(G40-D40)*(IF(D40&lt;=G40, VLOOKUP(H40, list!$J$48:$K$50, 2, FALSE),1-VLOOKUP(annual!H40, list!$J$48:$K$50, 2, FALSE))))+MIN(G40,D40))+(G40*time_cap))</f>
        <v>0</v>
      </c>
      <c r="U40" s="3245">
        <f t="shared" si="9"/>
        <v>0</v>
      </c>
      <c r="W40" s="3220" t="s">
        <v>313</v>
      </c>
      <c r="X40" s="3221">
        <v>0</v>
      </c>
      <c r="Y40" s="3222">
        <v>0</v>
      </c>
      <c r="AE40" s="3440">
        <f t="shared" si="14"/>
        <v>0</v>
      </c>
      <c r="AF40" s="3440">
        <f t="shared" si="15"/>
        <v>0</v>
      </c>
      <c r="AG40" s="3440">
        <f t="shared" si="16"/>
        <v>0</v>
      </c>
      <c r="AH40" s="3440">
        <f t="shared" si="17"/>
        <v>0</v>
      </c>
      <c r="AI40" s="3440">
        <f t="shared" si="18"/>
        <v>0</v>
      </c>
      <c r="AJ40" s="3440">
        <f t="shared" si="19"/>
        <v>0</v>
      </c>
      <c r="AK40" s="3440">
        <f t="shared" si="20"/>
        <v>0</v>
      </c>
      <c r="AL40" s="3440">
        <f t="shared" si="21"/>
        <v>0</v>
      </c>
      <c r="AM40" s="3440">
        <f t="shared" si="22"/>
        <v>0</v>
      </c>
      <c r="AN40" s="3440">
        <f t="shared" si="23"/>
        <v>0</v>
      </c>
      <c r="AO40" s="3440">
        <f t="shared" si="24"/>
        <v>0</v>
      </c>
      <c r="AP40" s="3440">
        <f t="shared" si="25"/>
        <v>0</v>
      </c>
      <c r="AQ40" s="235"/>
      <c r="AR40" s="3440">
        <f t="shared" si="10"/>
        <v>0</v>
      </c>
      <c r="AS40" s="3441">
        <f t="shared" si="11"/>
        <v>0</v>
      </c>
    </row>
    <row r="41" spans="2:45" x14ac:dyDescent="0.2">
      <c r="C41" s="862" t="str">
        <f t="shared" si="8"/>
        <v/>
      </c>
      <c r="D41" s="3194">
        <f>'3.Cropland'!Q28</f>
        <v>0</v>
      </c>
      <c r="E41" s="3195">
        <f>'3.Cropland'!R28</f>
        <v>0</v>
      </c>
      <c r="F41" s="3195" t="str">
        <f>VLOOKUP('3.Cropland'!S28, list!$I$48:$J$50, 2, FALSE)</f>
        <v>Linear</v>
      </c>
      <c r="G41" s="3195">
        <f>'3.Cropland'!T28</f>
        <v>0</v>
      </c>
      <c r="H41" s="3206" t="str">
        <f>VLOOKUP('3.Cropland'!U28, list!$I$48:$J$50, 2, FALSE)</f>
        <v>Linear</v>
      </c>
      <c r="I41" s="3170">
        <f>IF(ABS(-$R19*((MIN($D41,E41)*MIN(20,time_tot)) +IF(F41="Immediate",IF(E41&gt;$D41,E41*MIN(20,time_tot),0),IF($D41&gt;E41,($D41-E41)* IF(time&gt;20,IF(F41="Linear",time-((time-20)^2)/(2*time),(0.215*time)-(time/4.6)*(EXP(-92.1/time)-0.01)),time*(1-VLOOKUP(F41,list!$J$48:$K$50,2,))),(E41-$D41)*IF(time_tot&gt;time+20,20,IF(time_tot&lt;20,(time*VLOOKUP(F41,list!$J$48:$K$50,2,))+(time_tot-time),((MIN(20,time)*VLOOKUP(F41,list!$J$48:$K$50,2,)) + (time_tot-MIN(20,time)) -IF(F41="Exponential",time_tot-20+0.217*time*(EXP(4.606*(20-time_tot)/time)-1),((time_tot-20)^2)*(0.5/time)))))))))&gt;=ABS(-Q19*MAX(E41,D41)),-Q19*MAX(E41,D41),-$R19*((MIN($D41,E41)*MIN(20,time_tot)) +IF(F41="Immediate",IF(E41&gt;$D41,E41*MIN(20,time_tot),0),IF($D41&gt;E41,($D41-E41)* IF(time&gt;20,IF(F41="Linear",time-((time-20)^2)/(2*time),(0.215*time)-(time/4.6)*(EXP(-92.1/time)-0.01)),time*(1-VLOOKUP(F41,list!$J$48:$K$50,2,))),(E41-$D41)*IF(time_tot&gt;time+20,20,IF(time_tot&lt;20,(time*VLOOKUP(F41,list!$J$48:$K$50,2,))+(time_tot-time),((MIN(20,time)*VLOOKUP(F41,list!$J$48:$K$50,2,)) + (time_tot-MIN(20,time)) -IF(F41="Exponential",time_tot-20+0.217*time*(EXP(4.606*(20-time_tot)/time)-1),((time_tot-20)^2)*(0.5/time)))))))))</f>
        <v>0</v>
      </c>
      <c r="J41" s="3170">
        <f>IF(ABS(-$R19*((MIN($D41,G41)*MIN(20,time_tot))+IF(H41="Immediate",IF(G41&gt;$D41,G41*MIN(20,time_tot),0),IF($D41&gt;G41,($D41-G41)*IF(time&gt;20,IF(H41="Linear",time-((time-20)^2)/(2*time),(0.215*time)-(time/4.6)*(EXP(-92.1/time)-0.01)),time*(1-VLOOKUP(H41,list!$J$48:$K$50,2,))),(G41-$D41)*IF(time_tot&gt;time+20,20,IF(time_tot&lt;20,(time*VLOOKUP(H41,list!$J$48:$K$50,2,))+(time_tot-time),((MIN(20,time)*VLOOKUP(H41,list!$J$48:$K$50,2,))+(time_tot-MIN(20,time))-IF(H41="Exponential",time_tot-20+0.217*time*(EXP(4.606*(20-time_tot)/time)-1),((time_tot-20)^2)*(0.5/time)))))))))&gt;=ABS(-Q19*MAX(G41,D41)), -Q19*MAX(G41,D41), -$R19*((MIN($D41,G41)*MIN(20,time_tot))+IF(H41="Immediate",IF(G41&gt;$D41,G41*MIN(20,time_tot),0),IF($D41&gt;G41,($D41-G41)*IF(time&gt;20,IF(H41="Linear",time-((time-20)^2)/(2*time),(0.215*time)-(time/4.6)*(EXP(-92.1/time)-0.01)),time*(1-VLOOKUP(H41,list!$J$48:$K$50,2,))),(G41-$D41)*IF(time_tot&gt;time+20,20,IF(time_tot&lt;20,(time*VLOOKUP(H41,list!$J$48:$K$50,2,))+(time_tot-time),((MIN(20,time)*VLOOKUP(H41,list!$J$48:$K$50,2,))+(time_tot-MIN(20,time))-IF(H41="Exponential",time_tot-20+0.217*time*(EXP(4.606*(20-time_tot)/time)-1),((time_tot-20)^2)*(0.5/time)))))))))</f>
        <v>0</v>
      </c>
      <c r="K41" s="3232">
        <f>(MIN(D41,E41)*time_tot+ABS(E41-D41)*IF(E41&gt;D41,time_cap+time*(VLOOKUP(F41,list!$J$47:$K$50,2,FALSE)),time*(1-(VLOOKUP(F41, list!$J$47:$K$50, 2, FALSE)))))*annual!U19</f>
        <v>0</v>
      </c>
      <c r="L41" s="3232">
        <f>(MIN(D41, G41) * time_tot + ABS(G41-D41) * IF(G41&gt;D41, time_cap + time*(VLOOKUP(H41, list!$J$48:$K$50, 2, FALSE)), time*(1-(VLOOKUP(H41, list!$J$48:$K$50, 2, FALSE)))))*annual!U19</f>
        <v>0</v>
      </c>
      <c r="M41" s="3519">
        <f>-V19*(MIN(D41,E41)*time_tot+ABS(E41-D41)*IF(E41&gt;D41,time_cap+time*(VLOOKUP(F41,list!$J$47:$K$50,2,FALSE)),time*(1-(VLOOKUP(F41, list!$J$47:$K$50, 2, FALSE)))))</f>
        <v>0</v>
      </c>
      <c r="N41" s="3519">
        <f>-V19*(MIN(D41, G41) * time_tot + ABS(G41-D41) * IF(G41&gt;D41, time_cap + time*(VLOOKUP(H41, list!$J$48:$K$50, 2, FALSE)), time*(1-(VLOOKUP(H41, list!$J$48:$K$50, 2, FALSE)))))</f>
        <v>0</v>
      </c>
      <c r="O41" s="3232">
        <f t="shared" si="12"/>
        <v>0</v>
      </c>
      <c r="P41" s="3232">
        <f t="shared" si="13"/>
        <v>0</v>
      </c>
      <c r="Q41" s="3166">
        <f t="shared" si="26"/>
        <v>0</v>
      </c>
      <c r="S41" s="3243">
        <f>$J19*(time*((ABS(E41-D41)*(IF(D41&lt;=E41, VLOOKUP(F41, list!$J$48:$K$50, 2, FALSE),1-VLOOKUP(F41, list!$J$48:$K$50, 2, FALSE))))+ MIN(E41,D41))+(annual!E41*time_cap))</f>
        <v>0</v>
      </c>
      <c r="T41" s="3244">
        <f>$J19*(time*((ABS(G41-D41)*(IF(D41&lt;=G41, VLOOKUP(H41, list!$J$48:$K$50, 2, FALSE),1-VLOOKUP(annual!H41, list!$J$48:$K$50, 2, FALSE))))+MIN(G41,D41))+(G41*time_cap))</f>
        <v>0</v>
      </c>
      <c r="U41" s="3245">
        <f t="shared" si="9"/>
        <v>0</v>
      </c>
      <c r="W41" s="3220" t="s">
        <v>315</v>
      </c>
      <c r="X41" s="3224">
        <f>SUM(I34:I47)</f>
        <v>-3034.6800000000021</v>
      </c>
      <c r="Y41" s="3225">
        <f>SUM(J34:J47)</f>
        <v>-3034.6800000000021</v>
      </c>
      <c r="AE41" s="3440">
        <f t="shared" si="14"/>
        <v>0</v>
      </c>
      <c r="AF41" s="3440">
        <f t="shared" si="15"/>
        <v>0</v>
      </c>
      <c r="AG41" s="3440">
        <f t="shared" si="16"/>
        <v>0</v>
      </c>
      <c r="AH41" s="3440">
        <f t="shared" si="17"/>
        <v>0</v>
      </c>
      <c r="AI41" s="3440">
        <f t="shared" si="18"/>
        <v>0</v>
      </c>
      <c r="AJ41" s="3440">
        <f t="shared" si="19"/>
        <v>0</v>
      </c>
      <c r="AK41" s="3440">
        <f t="shared" si="20"/>
        <v>0</v>
      </c>
      <c r="AL41" s="3440">
        <f t="shared" si="21"/>
        <v>0</v>
      </c>
      <c r="AM41" s="3440">
        <f t="shared" si="22"/>
        <v>0</v>
      </c>
      <c r="AN41" s="3440">
        <f t="shared" si="23"/>
        <v>0</v>
      </c>
      <c r="AO41" s="3440">
        <f t="shared" si="24"/>
        <v>0</v>
      </c>
      <c r="AP41" s="3440">
        <f t="shared" si="25"/>
        <v>0</v>
      </c>
      <c r="AQ41" s="235"/>
      <c r="AR41" s="3440">
        <f t="shared" si="10"/>
        <v>0</v>
      </c>
      <c r="AS41" s="3441">
        <f t="shared" si="11"/>
        <v>0</v>
      </c>
    </row>
    <row r="42" spans="2:45" x14ac:dyDescent="0.2">
      <c r="C42" s="862" t="str">
        <f t="shared" si="8"/>
        <v/>
      </c>
      <c r="D42" s="3194">
        <f>'3.Cropland'!Q29</f>
        <v>0</v>
      </c>
      <c r="E42" s="3195">
        <f>'3.Cropland'!R29</f>
        <v>0</v>
      </c>
      <c r="F42" s="3195" t="str">
        <f>VLOOKUP('3.Cropland'!S29, list!$I$48:$J$50, 2, FALSE)</f>
        <v>Linear</v>
      </c>
      <c r="G42" s="3195">
        <f>'3.Cropland'!T29</f>
        <v>0</v>
      </c>
      <c r="H42" s="3206" t="str">
        <f>VLOOKUP('3.Cropland'!U29, list!$I$48:$J$50, 2, FALSE)</f>
        <v>Linear</v>
      </c>
      <c r="I42" s="3170">
        <f>IF(ABS(-$R20*((MIN($D42,E42)*MIN(20,time_tot)) +IF(F42="Immediate",IF(E42&gt;$D42,E42*MIN(20,time_tot),0),IF($D42&gt;E42,($D42-E42)* IF(time&gt;20,IF(F42="Linear",time-((time-20)^2)/(2*time),(0.215*time)-(time/4.6)*(EXP(-92.1/time)-0.01)),time*(1-VLOOKUP(F42,list!$J$48:$K$50,2,))),(E42-$D42)*IF(time_tot&gt;time+20,20,IF(time_tot&lt;20,(time*VLOOKUP(F42,list!$J$48:$K$50,2,))+(time_tot-time),((MIN(20,time)*VLOOKUP(F42,list!$J$48:$K$50,2,)) + (time_tot-MIN(20,time)) -IF(F42="Exponential",time_tot-20+0.217*time*(EXP(4.606*(20-time_tot)/time)-1),((time_tot-20)^2)*(0.5/time)))))))))&gt;=ABS(-Q20*MAX(E42,D42)),-Q20*MAX(E42,D42),-$R20*((MIN($D42,E42)*MIN(20,time_tot)) +IF(F42="Immediate",IF(E42&gt;$D42,E42*MIN(20,time_tot),0),IF($D42&gt;E42,($D42-E42)* IF(time&gt;20,IF(F42="Linear",time-((time-20)^2)/(2*time),(0.215*time)-(time/4.6)*(EXP(-92.1/time)-0.01)),time*(1-VLOOKUP(F42,list!$J$48:$K$50,2,))),(E42-$D42)*IF(time_tot&gt;time+20,20,IF(time_tot&lt;20,(time*VLOOKUP(F42,list!$J$48:$K$50,2,))+(time_tot-time),((MIN(20,time)*VLOOKUP(F42,list!$J$48:$K$50,2,)) + (time_tot-MIN(20,time)) -IF(F42="Exponential",time_tot-20+0.217*time*(EXP(4.606*(20-time_tot)/time)-1),((time_tot-20)^2)*(0.5/time)))))))))</f>
        <v>0</v>
      </c>
      <c r="J42" s="3170">
        <f>IF(ABS(-$R20*((MIN($D42,G42)*MIN(20,time_tot))+IF(H42="Immediate",IF(G42&gt;$D42,G42*MIN(20,time_tot),0),IF($D42&gt;G42,($D42-G42)*IF(time&gt;20,IF(H42="Linear",time-((time-20)^2)/(2*time),(0.215*time)-(time/4.6)*(EXP(-92.1/time)-0.01)),time*(1-VLOOKUP(H42,list!$J$48:$K$50,2,))),(G42-$D42)*IF(time_tot&gt;time+20,20,IF(time_tot&lt;20,(time*VLOOKUP(H42,list!$J$48:$K$50,2,))+(time_tot-time),((MIN(20,time)*VLOOKUP(H42,list!$J$48:$K$50,2,))+(time_tot-MIN(20,time))-IF(H42="Exponential",time_tot-20+0.217*time*(EXP(4.606*(20-time_tot)/time)-1),((time_tot-20)^2)*(0.5/time)))))))))&gt;=ABS(-Q20*MAX(G42,D42)), -Q20*MAX(G42,D42), -$R20*((MIN($D42,G42)*MIN(20,time_tot))+IF(H42="Immediate",IF(G42&gt;$D42,G42*MIN(20,time_tot),0),IF($D42&gt;G42,($D42-G42)*IF(time&gt;20,IF(H42="Linear",time-((time-20)^2)/(2*time),(0.215*time)-(time/4.6)*(EXP(-92.1/time)-0.01)),time*(1-VLOOKUP(H42,list!$J$48:$K$50,2,))),(G42-$D42)*IF(time_tot&gt;time+20,20,IF(time_tot&lt;20,(time*VLOOKUP(H42,list!$J$48:$K$50,2,))+(time_tot-time),((MIN(20,time)*VLOOKUP(H42,list!$J$48:$K$50,2,))+(time_tot-MIN(20,time))-IF(H42="Exponential",time_tot-20+0.217*time*(EXP(4.606*(20-time_tot)/time)-1),((time_tot-20)^2)*(0.5/time)))))))))</f>
        <v>0</v>
      </c>
      <c r="K42" s="3232">
        <f>(MIN(D42,E42)*time_tot+ABS(E42-D42)*IF(E42&gt;D42,time_cap+time*(VLOOKUP(F42,list!$J$47:$K$50,2,FALSE)),time*(1-(VLOOKUP(F42, list!$J$47:$K$50, 2, FALSE)))))*annual!U20</f>
        <v>0</v>
      </c>
      <c r="L42" s="3232">
        <f>(MIN(D42, G42) * time_tot + ABS(G42-D42) * IF(G42&gt;D42, time_cap + time*(VLOOKUP(H42, list!$J$48:$K$50, 2, FALSE)), time*(1-(VLOOKUP(H42, list!$J$48:$K$50, 2, FALSE)))))*annual!U20</f>
        <v>0</v>
      </c>
      <c r="M42" s="3519">
        <f>-V20*(MIN(D42,E42)*time_tot+ABS(E42-D42)*IF(E42&gt;D42,time_cap+time*(VLOOKUP(F42,list!$J$47:$K$50,2,FALSE)),time*(1-(VLOOKUP(F42, list!$J$47:$K$50, 2, FALSE)))))</f>
        <v>0</v>
      </c>
      <c r="N42" s="3519">
        <f>-V20*(MIN(D42, G42) * time_tot + ABS(G42-D42) * IF(G42&gt;D42, time_cap + time*(VLOOKUP(H42, list!$J$48:$K$50, 2, FALSE)), time*(1-(VLOOKUP(H42, list!$J$48:$K$50, 2, FALSE)))))</f>
        <v>0</v>
      </c>
      <c r="O42" s="3232">
        <f t="shared" si="12"/>
        <v>0</v>
      </c>
      <c r="P42" s="3232">
        <f t="shared" si="13"/>
        <v>0</v>
      </c>
      <c r="Q42" s="3166">
        <f t="shared" si="26"/>
        <v>0</v>
      </c>
      <c r="S42" s="3243">
        <f>$J20*(time*((ABS(E42-D42)*(IF(D42&lt;=E42, VLOOKUP(F42, list!$J$48:$K$50, 2, FALSE),1-VLOOKUP(F42, list!$J$48:$K$50, 2, FALSE))))+ MIN(E42,D42))+(annual!E42*time_cap))</f>
        <v>0</v>
      </c>
      <c r="T42" s="3244">
        <f>$J20*(time*((ABS(G42-D42)*(IF(D42&lt;=G42, VLOOKUP(H42, list!$J$48:$K$50, 2, FALSE),1-VLOOKUP(annual!H42, list!$J$48:$K$50, 2, FALSE))))+MIN(G42,D42))+(G42*time_cap))</f>
        <v>0</v>
      </c>
      <c r="U42" s="3245">
        <f t="shared" si="9"/>
        <v>0</v>
      </c>
      <c r="W42" s="3220" t="s">
        <v>338</v>
      </c>
      <c r="X42" s="3231">
        <f>SUM(M34:M47)</f>
        <v>0</v>
      </c>
      <c r="Y42" s="3231">
        <f>SUM(N34:N47)</f>
        <v>0</v>
      </c>
      <c r="Z42" s="388"/>
      <c r="AE42" s="3440">
        <f t="shared" si="14"/>
        <v>0</v>
      </c>
      <c r="AF42" s="3440">
        <f t="shared" si="15"/>
        <v>0</v>
      </c>
      <c r="AG42" s="3440">
        <f t="shared" si="16"/>
        <v>0</v>
      </c>
      <c r="AH42" s="3440">
        <f t="shared" si="17"/>
        <v>0</v>
      </c>
      <c r="AI42" s="3440">
        <f t="shared" si="18"/>
        <v>0</v>
      </c>
      <c r="AJ42" s="3440">
        <f t="shared" si="19"/>
        <v>0</v>
      </c>
      <c r="AK42" s="3440">
        <f t="shared" si="20"/>
        <v>0</v>
      </c>
      <c r="AL42" s="3440">
        <f t="shared" si="21"/>
        <v>0</v>
      </c>
      <c r="AM42" s="3440">
        <f t="shared" si="22"/>
        <v>0</v>
      </c>
      <c r="AN42" s="3440">
        <f t="shared" si="23"/>
        <v>0</v>
      </c>
      <c r="AO42" s="3440">
        <f t="shared" si="24"/>
        <v>0</v>
      </c>
      <c r="AP42" s="3440">
        <f t="shared" si="25"/>
        <v>0</v>
      </c>
      <c r="AQ42" s="235"/>
      <c r="AR42" s="3440">
        <f t="shared" si="10"/>
        <v>0</v>
      </c>
      <c r="AS42" s="3441">
        <f t="shared" si="11"/>
        <v>0</v>
      </c>
    </row>
    <row r="43" spans="2:45" x14ac:dyDescent="0.2">
      <c r="C43" s="862" t="str">
        <f t="shared" si="8"/>
        <v/>
      </c>
      <c r="D43" s="3194">
        <f>'3.Cropland'!Q30</f>
        <v>0</v>
      </c>
      <c r="E43" s="3195">
        <f>'3.Cropland'!R30</f>
        <v>0</v>
      </c>
      <c r="F43" s="3195" t="str">
        <f>VLOOKUP('3.Cropland'!S30, list!$I$48:$J$50, 2, FALSE)</f>
        <v>Linear</v>
      </c>
      <c r="G43" s="3195">
        <f>'3.Cropland'!T30</f>
        <v>0</v>
      </c>
      <c r="H43" s="3206" t="str">
        <f>VLOOKUP('3.Cropland'!U30, list!$I$48:$J$50, 2, FALSE)</f>
        <v>Linear</v>
      </c>
      <c r="I43" s="3170">
        <f>IF(ABS(-$R21*((MIN($D43,E43)*MIN(20,time_tot)) +IF(F43="Immediate",IF(E43&gt;$D43,E43*MIN(20,time_tot),0),IF($D43&gt;E43,($D43-E43)* IF(time&gt;20,IF(F43="Linear",time-((time-20)^2)/(2*time),(0.215*time)-(time/4.6)*(EXP(-92.1/time)-0.01)),time*(1-VLOOKUP(F43,list!$J$48:$K$50,2,))),(E43-$D43)*IF(time_tot&gt;time+20,20,IF(time_tot&lt;20,(time*VLOOKUP(F43,list!$J$48:$K$50,2,))+(time_tot-time),((MIN(20,time)*VLOOKUP(F43,list!$J$48:$K$50,2,)) + (time_tot-MIN(20,time)) -IF(F43="Exponential",time_tot-20+0.217*time*(EXP(4.606*(20-time_tot)/time)-1),((time_tot-20)^2)*(0.5/time)))))))))&gt;=ABS(-Q21*MAX(E43,D43)),-Q21*MAX(E43,D43),-$R21*((MIN($D43,E43)*MIN(20,time_tot)) +IF(F43="Immediate",IF(E43&gt;$D43,E43*MIN(20,time_tot),0),IF($D43&gt;E43,($D43-E43)* IF(time&gt;20,IF(F43="Linear",time-((time-20)^2)/(2*time),(0.215*time)-(time/4.6)*(EXP(-92.1/time)-0.01)),time*(1-VLOOKUP(F43,list!$J$48:$K$50,2,))),(E43-$D43)*IF(time_tot&gt;time+20,20,IF(time_tot&lt;20,(time*VLOOKUP(F43,list!$J$48:$K$50,2,))+(time_tot-time),((MIN(20,time)*VLOOKUP(F43,list!$J$48:$K$50,2,)) + (time_tot-MIN(20,time)) -IF(F43="Exponential",time_tot-20+0.217*time*(EXP(4.606*(20-time_tot)/time)-1),((time_tot-20)^2)*(0.5/time)))))))))</f>
        <v>0</v>
      </c>
      <c r="J43" s="3170">
        <f>IF(ABS(-$R21*((MIN($D43,G43)*MIN(20,time_tot))+IF(H43="Immediate",IF(G43&gt;$D43,G43*MIN(20,time_tot),0),IF($D43&gt;G43,($D43-G43)*IF(time&gt;20,IF(H43="Linear",time-((time-20)^2)/(2*time),(0.215*time)-(time/4.6)*(EXP(-92.1/time)-0.01)),time*(1-VLOOKUP(H43,list!$J$48:$K$50,2,))),(G43-$D43)*IF(time_tot&gt;time+20,20,IF(time_tot&lt;20,(time*VLOOKUP(H43,list!$J$48:$K$50,2,))+(time_tot-time),((MIN(20,time)*VLOOKUP(H43,list!$J$48:$K$50,2,))+(time_tot-MIN(20,time))-IF(H43="Exponential",time_tot-20+0.217*time*(EXP(4.606*(20-time_tot)/time)-1),((time_tot-20)^2)*(0.5/time)))))))))&gt;=ABS(-Q21*MAX(G43,D43)), -Q21*MAX(G43,D43), -$R21*((MIN($D43,G43)*MIN(20,time_tot))+IF(H43="Immediate",IF(G43&gt;$D43,G43*MIN(20,time_tot),0),IF($D43&gt;G43,($D43-G43)*IF(time&gt;20,IF(H43="Linear",time-((time-20)^2)/(2*time),(0.215*time)-(time/4.6)*(EXP(-92.1/time)-0.01)),time*(1-VLOOKUP(H43,list!$J$48:$K$50,2,))),(G43-$D43)*IF(time_tot&gt;time+20,20,IF(time_tot&lt;20,(time*VLOOKUP(H43,list!$J$48:$K$50,2,))+(time_tot-time),((MIN(20,time)*VLOOKUP(H43,list!$J$48:$K$50,2,))+(time_tot-MIN(20,time))-IF(H43="Exponential",time_tot-20+0.217*time*(EXP(4.606*(20-time_tot)/time)-1),((time_tot-20)^2)*(0.5/time)))))))))</f>
        <v>0</v>
      </c>
      <c r="K43" s="3232">
        <f>(MIN(D43,E43)*time_tot+ABS(E43-D43)*IF(E43&gt;D43,time_cap+time*(VLOOKUP(F43,list!$J$47:$K$50,2,FALSE)),time*(1-(VLOOKUP(F43, list!$J$47:$K$50, 2, FALSE)))))*annual!U21</f>
        <v>0</v>
      </c>
      <c r="L43" s="3232">
        <f>(MIN(D43, G43) * time_tot + ABS(G43-D43) * IF(G43&gt;D43, time_cap + time*(VLOOKUP(H43, list!$J$48:$K$50, 2, FALSE)), time*(1-(VLOOKUP(H43, list!$J$48:$K$50, 2, FALSE)))))*annual!U21</f>
        <v>0</v>
      </c>
      <c r="M43" s="3519">
        <f>-V21*(MIN(D43,E43)*time_tot+ABS(E43-D43)*IF(E43&gt;D43,time_cap+time*(VLOOKUP(F43,list!$J$47:$K$50,2,FALSE)),time*(1-(VLOOKUP(F43, list!$J$47:$K$50, 2, FALSE)))))</f>
        <v>0</v>
      </c>
      <c r="N43" s="3519">
        <f>-V21*(MIN(D43, G43) * time_tot + ABS(G43-D43) * IF(G43&gt;D43, time_cap + time*(VLOOKUP(H43, list!$J$48:$K$50, 2, FALSE)), time*(1-(VLOOKUP(H43, list!$J$48:$K$50, 2, FALSE)))))</f>
        <v>0</v>
      </c>
      <c r="O43" s="3232">
        <f t="shared" si="12"/>
        <v>0</v>
      </c>
      <c r="P43" s="3232">
        <f t="shared" si="13"/>
        <v>0</v>
      </c>
      <c r="Q43" s="3166">
        <f t="shared" si="26"/>
        <v>0</v>
      </c>
      <c r="S43" s="3243">
        <f>$J21*(time*((ABS(E43-D43)*(IF(D43&lt;=E43, VLOOKUP(F43, list!$J$48:$K$50, 2, FALSE),1-VLOOKUP(F43, list!$J$48:$K$50, 2, FALSE))))+ MIN(E43,D43))+(annual!E43*time_cap))</f>
        <v>0</v>
      </c>
      <c r="T43" s="3244">
        <f>$J21*(time*((ABS(G43-D43)*(IF(D43&lt;=G43, VLOOKUP(H43, list!$J$48:$K$50, 2, FALSE),1-VLOOKUP(annual!H43, list!$J$48:$K$50, 2, FALSE))))+MIN(G43,D43))+(G43*time_cap))</f>
        <v>0</v>
      </c>
      <c r="U43" s="3245">
        <f t="shared" si="9"/>
        <v>0</v>
      </c>
      <c r="W43" s="3220" t="s">
        <v>161</v>
      </c>
      <c r="X43" s="3224">
        <f>SUM(AE12:AE25)</f>
        <v>961.10930764799991</v>
      </c>
      <c r="Y43" s="3225">
        <f>SUM(AF12:AF25)</f>
        <v>961.10930764799991</v>
      </c>
      <c r="AE43" s="3440">
        <f t="shared" si="14"/>
        <v>0</v>
      </c>
      <c r="AF43" s="3440">
        <f t="shared" si="15"/>
        <v>0</v>
      </c>
      <c r="AG43" s="3440">
        <f t="shared" si="16"/>
        <v>0</v>
      </c>
      <c r="AH43" s="3440">
        <f t="shared" si="17"/>
        <v>0</v>
      </c>
      <c r="AI43" s="3440">
        <f t="shared" si="18"/>
        <v>0</v>
      </c>
      <c r="AJ43" s="3440">
        <f t="shared" si="19"/>
        <v>0</v>
      </c>
      <c r="AK43" s="3440">
        <f t="shared" si="20"/>
        <v>0</v>
      </c>
      <c r="AL43" s="3440">
        <f t="shared" si="21"/>
        <v>0</v>
      </c>
      <c r="AM43" s="3440">
        <f t="shared" si="22"/>
        <v>0</v>
      </c>
      <c r="AN43" s="3440">
        <f t="shared" si="23"/>
        <v>0</v>
      </c>
      <c r="AO43" s="3440">
        <f t="shared" si="24"/>
        <v>0</v>
      </c>
      <c r="AP43" s="3440">
        <f t="shared" si="25"/>
        <v>0</v>
      </c>
      <c r="AQ43" s="235"/>
      <c r="AR43" s="3440">
        <f t="shared" si="10"/>
        <v>0</v>
      </c>
      <c r="AS43" s="3441">
        <f t="shared" si="11"/>
        <v>0</v>
      </c>
    </row>
    <row r="44" spans="2:45" x14ac:dyDescent="0.2">
      <c r="C44" s="862" t="str">
        <f t="shared" si="8"/>
        <v/>
      </c>
      <c r="D44" s="3194">
        <f>'3.Cropland'!Q31</f>
        <v>0</v>
      </c>
      <c r="E44" s="3195">
        <f>'3.Cropland'!R31</f>
        <v>0</v>
      </c>
      <c r="F44" s="3195" t="str">
        <f>VLOOKUP('3.Cropland'!S31, list!$I$48:$J$50, 2, FALSE)</f>
        <v>Linear</v>
      </c>
      <c r="G44" s="3195">
        <f>'3.Cropland'!T31</f>
        <v>0</v>
      </c>
      <c r="H44" s="3206" t="str">
        <f>VLOOKUP('3.Cropland'!U31, list!$I$48:$J$50, 2, FALSE)</f>
        <v>Linear</v>
      </c>
      <c r="I44" s="3170">
        <f>IF(ABS(-$R22*((MIN($D44,E44)*MIN(20,time_tot)) +IF(F44="Immediate",IF(E44&gt;$D44,E44*MIN(20,time_tot),0),IF($D44&gt;E44,($D44-E44)* IF(time&gt;20,IF(F44="Linear",time-((time-20)^2)/(2*time),(0.215*time)-(time/4.6)*(EXP(-92.1/time)-0.01)),time*(1-VLOOKUP(F44,list!$J$48:$K$50,2,))),(E44-$D44)*IF(time_tot&gt;time+20,20,IF(time_tot&lt;20,(time*VLOOKUP(F44,list!$J$48:$K$50,2,))+(time_tot-time),((MIN(20,time)*VLOOKUP(F44,list!$J$48:$K$50,2,)) + (time_tot-MIN(20,time)) -IF(F44="Exponential",time_tot-20+0.217*time*(EXP(4.606*(20-time_tot)/time)-1),((time_tot-20)^2)*(0.5/time)))))))))&gt;=ABS(-Q22*MAX(E44,D44)),-Q22*MAX(E44,D44),-$R22*((MIN($D44,E44)*MIN(20,time_tot)) +IF(F44="Immediate",IF(E44&gt;$D44,E44*MIN(20,time_tot),0),IF($D44&gt;E44,($D44-E44)* IF(time&gt;20,IF(F44="Linear",time-((time-20)^2)/(2*time),(0.215*time)-(time/4.6)*(EXP(-92.1/time)-0.01)),time*(1-VLOOKUP(F44,list!$J$48:$K$50,2,))),(E44-$D44)*IF(time_tot&gt;time+20,20,IF(time_tot&lt;20,(time*VLOOKUP(F44,list!$J$48:$K$50,2,))+(time_tot-time),((MIN(20,time)*VLOOKUP(F44,list!$J$48:$K$50,2,)) + (time_tot-MIN(20,time)) -IF(F44="Exponential",time_tot-20+0.217*time*(EXP(4.606*(20-time_tot)/time)-1),((time_tot-20)^2)*(0.5/time)))))))))</f>
        <v>0</v>
      </c>
      <c r="J44" s="3170">
        <f>IF(ABS(-$R22*((MIN($D44,G44)*MIN(20,time_tot))+IF(H44="Immediate",IF(G44&gt;$D44,G44*MIN(20,time_tot),0),IF($D44&gt;G44,($D44-G44)*IF(time&gt;20,IF(H44="Linear",time-((time-20)^2)/(2*time),(0.215*time)-(time/4.6)*(EXP(-92.1/time)-0.01)),time*(1-VLOOKUP(H44,list!$J$48:$K$50,2,))),(G44-$D44)*IF(time_tot&gt;time+20,20,IF(time_tot&lt;20,(time*VLOOKUP(H44,list!$J$48:$K$50,2,))+(time_tot-time),((MIN(20,time)*VLOOKUP(H44,list!$J$48:$K$50,2,))+(time_tot-MIN(20,time))-IF(H44="Exponential",time_tot-20+0.217*time*(EXP(4.606*(20-time_tot)/time)-1),((time_tot-20)^2)*(0.5/time)))))))))&gt;=ABS(-Q22*MAX(G44,D44)), -Q22*MAX(G44,D44), -$R22*((MIN($D44,G44)*MIN(20,time_tot))+IF(H44="Immediate",IF(G44&gt;$D44,G44*MIN(20,time_tot),0),IF($D44&gt;G44,($D44-G44)*IF(time&gt;20,IF(H44="Linear",time-((time-20)^2)/(2*time),(0.215*time)-(time/4.6)*(EXP(-92.1/time)-0.01)),time*(1-VLOOKUP(H44,list!$J$48:$K$50,2,))),(G44-$D44)*IF(time_tot&gt;time+20,20,IF(time_tot&lt;20,(time*VLOOKUP(H44,list!$J$48:$K$50,2,))+(time_tot-time),((MIN(20,time)*VLOOKUP(H44,list!$J$48:$K$50,2,))+(time_tot-MIN(20,time))-IF(H44="Exponential",time_tot-20+0.217*time*(EXP(4.606*(20-time_tot)/time)-1),((time_tot-20)^2)*(0.5/time)))))))))</f>
        <v>0</v>
      </c>
      <c r="K44" s="3232">
        <f>(MIN(D44,E44)*time_tot+ABS(E44-D44)*IF(E44&gt;D44,time_cap+time*(VLOOKUP(F44,list!$J$47:$K$50,2,FALSE)),time*(1-(VLOOKUP(F44, list!$J$47:$K$50, 2, FALSE)))))*annual!U22</f>
        <v>0</v>
      </c>
      <c r="L44" s="3232">
        <f>(MIN(D44, G44) * time_tot + ABS(G44-D44) * IF(G44&gt;D44, time_cap + time*(VLOOKUP(H44, list!$J$48:$K$50, 2, FALSE)), time*(1-(VLOOKUP(H44, list!$J$48:$K$50, 2, FALSE)))))*annual!U22</f>
        <v>0</v>
      </c>
      <c r="M44" s="3519">
        <f>-V22*(MIN(D44,E44)*time_tot+ABS(E44-D44)*IF(E44&gt;D44,time_cap+time*(VLOOKUP(F44,list!$J$47:$K$50,2,FALSE)),time*(1-(VLOOKUP(F44, list!$J$47:$K$50, 2, FALSE)))))</f>
        <v>0</v>
      </c>
      <c r="N44" s="3519">
        <f>-V22*(MIN(D44, G44) * time_tot + ABS(G44-D44) * IF(G44&gt;D44, time_cap + time*(VLOOKUP(H44, list!$J$48:$K$50, 2, FALSE)), time*(1-(VLOOKUP(H44, list!$J$48:$K$50, 2, FALSE)))))</f>
        <v>0</v>
      </c>
      <c r="O44" s="3232">
        <f t="shared" si="12"/>
        <v>0</v>
      </c>
      <c r="P44" s="3232">
        <f t="shared" si="13"/>
        <v>0</v>
      </c>
      <c r="Q44" s="3166">
        <f t="shared" si="26"/>
        <v>0</v>
      </c>
      <c r="S44" s="3243">
        <f>$J22*(time*((ABS(E44-D44)*(IF(D44&lt;=E44, VLOOKUP(F44, list!$J$48:$K$50, 2, FALSE),1-VLOOKUP(F44, list!$J$48:$K$50, 2, FALSE))))+ MIN(E44,D44))+(annual!E44*time_cap))</f>
        <v>0</v>
      </c>
      <c r="T44" s="3244">
        <f>$J22*(time*((ABS(G44-D44)*(IF(D44&lt;=G44, VLOOKUP(H44, list!$J$48:$K$50, 2, FALSE),1-VLOOKUP(annual!H44, list!$J$48:$K$50, 2, FALSE))))+MIN(G44,D44))+(G44*time_cap))</f>
        <v>0</v>
      </c>
      <c r="U44" s="3245">
        <f t="shared" si="9"/>
        <v>0</v>
      </c>
      <c r="W44" s="3220" t="s">
        <v>626</v>
      </c>
      <c r="X44" s="3227">
        <f>SUM(AG12:AG25)</f>
        <v>484.95384599421436</v>
      </c>
      <c r="Y44" s="3228">
        <f>SUM(AH12:AH25)</f>
        <v>484.95384599421436</v>
      </c>
      <c r="AE44" s="3440">
        <f t="shared" si="14"/>
        <v>0</v>
      </c>
      <c r="AF44" s="3440">
        <f t="shared" si="15"/>
        <v>0</v>
      </c>
      <c r="AG44" s="3440">
        <f t="shared" si="16"/>
        <v>0</v>
      </c>
      <c r="AH44" s="3440">
        <f t="shared" si="17"/>
        <v>0</v>
      </c>
      <c r="AI44" s="3440">
        <f t="shared" si="18"/>
        <v>0</v>
      </c>
      <c r="AJ44" s="3440">
        <f t="shared" si="19"/>
        <v>0</v>
      </c>
      <c r="AK44" s="3440">
        <f t="shared" si="20"/>
        <v>0</v>
      </c>
      <c r="AL44" s="3440">
        <f t="shared" si="21"/>
        <v>0</v>
      </c>
      <c r="AM44" s="3440">
        <f t="shared" si="22"/>
        <v>0</v>
      </c>
      <c r="AN44" s="3440">
        <f t="shared" si="23"/>
        <v>0</v>
      </c>
      <c r="AO44" s="3440">
        <f t="shared" si="24"/>
        <v>0</v>
      </c>
      <c r="AP44" s="3440">
        <f t="shared" si="25"/>
        <v>0</v>
      </c>
      <c r="AQ44" s="235"/>
      <c r="AR44" s="3440">
        <f t="shared" si="10"/>
        <v>0</v>
      </c>
      <c r="AS44" s="3441">
        <f t="shared" si="11"/>
        <v>0</v>
      </c>
    </row>
    <row r="45" spans="2:45" x14ac:dyDescent="0.2">
      <c r="C45" s="862" t="str">
        <f t="shared" si="8"/>
        <v/>
      </c>
      <c r="D45" s="3194">
        <f>'3.Cropland'!Q32</f>
        <v>0</v>
      </c>
      <c r="E45" s="3195">
        <f>'3.Cropland'!R32</f>
        <v>0</v>
      </c>
      <c r="F45" s="3195" t="str">
        <f>VLOOKUP('3.Cropland'!S32, list!$I$48:$J$50, 2, FALSE)</f>
        <v>Linear</v>
      </c>
      <c r="G45" s="3195">
        <f>'3.Cropland'!T32</f>
        <v>0</v>
      </c>
      <c r="H45" s="3206" t="str">
        <f>VLOOKUP('3.Cropland'!U32, list!$I$48:$J$50, 2, FALSE)</f>
        <v>Linear</v>
      </c>
      <c r="I45" s="3170">
        <f>IF(ABS(-$R23*((MIN($D45,E45)*MIN(20,time_tot)) +IF(F45="Immediate",IF(E45&gt;$D45,E45*MIN(20,time_tot),0),IF($D45&gt;E45,($D45-E45)* IF(time&gt;20,IF(F45="Linear",time-((time-20)^2)/(2*time),(0.215*time)-(time/4.6)*(EXP(-92.1/time)-0.01)),time*(1-VLOOKUP(F45,list!$J$48:$K$50,2,))),(E45-$D45)*IF(time_tot&gt;time+20,20,IF(time_tot&lt;20,(time*VLOOKUP(F45,list!$J$48:$K$50,2,))+(time_tot-time),((MIN(20,time)*VLOOKUP(F45,list!$J$48:$K$50,2,)) + (time_tot-MIN(20,time)) -IF(F45="Exponential",time_tot-20+0.217*time*(EXP(4.606*(20-time_tot)/time)-1),((time_tot-20)^2)*(0.5/time)))))))))&gt;=ABS(-Q23*MAX(E45,D45)),-Q23*MAX(E45,D45),-$R23*((MIN($D45,E45)*MIN(20,time_tot)) +IF(F45="Immediate",IF(E45&gt;$D45,E45*MIN(20,time_tot),0),IF($D45&gt;E45,($D45-E45)* IF(time&gt;20,IF(F45="Linear",time-((time-20)^2)/(2*time),(0.215*time)-(time/4.6)*(EXP(-92.1/time)-0.01)),time*(1-VLOOKUP(F45,list!$J$48:$K$50,2,))),(E45-$D45)*IF(time_tot&gt;time+20,20,IF(time_tot&lt;20,(time*VLOOKUP(F45,list!$J$48:$K$50,2,))+(time_tot-time),((MIN(20,time)*VLOOKUP(F45,list!$J$48:$K$50,2,)) + (time_tot-MIN(20,time)) -IF(F45="Exponential",time_tot-20+0.217*time*(EXP(4.606*(20-time_tot)/time)-1),((time_tot-20)^2)*(0.5/time)))))))))</f>
        <v>0</v>
      </c>
      <c r="J45" s="3170">
        <f>IF(ABS(-$R23*((MIN($D45,G45)*MIN(20,time_tot))+IF(H45="Immediate",IF(G45&gt;$D45,G45*MIN(20,time_tot),0),IF($D45&gt;G45,($D45-G45)*IF(time&gt;20,IF(H45="Linear",time-((time-20)^2)/(2*time),(0.215*time)-(time/4.6)*(EXP(-92.1/time)-0.01)),time*(1-VLOOKUP(H45,list!$J$48:$K$50,2,))),(G45-$D45)*IF(time_tot&gt;time+20,20,IF(time_tot&lt;20,(time*VLOOKUP(H45,list!$J$48:$K$50,2,))+(time_tot-time),((MIN(20,time)*VLOOKUP(H45,list!$J$48:$K$50,2,))+(time_tot-MIN(20,time))-IF(H45="Exponential",time_tot-20+0.217*time*(EXP(4.606*(20-time_tot)/time)-1),((time_tot-20)^2)*(0.5/time)))))))))&gt;=ABS(-Q23*MAX(G45,D45)), -Q23*MAX(G45,D45), -$R23*((MIN($D45,G45)*MIN(20,time_tot))+IF(H45="Immediate",IF(G45&gt;$D45,G45*MIN(20,time_tot),0),IF($D45&gt;G45,($D45-G45)*IF(time&gt;20,IF(H45="Linear",time-((time-20)^2)/(2*time),(0.215*time)-(time/4.6)*(EXP(-92.1/time)-0.01)),time*(1-VLOOKUP(H45,list!$J$48:$K$50,2,))),(G45-$D45)*IF(time_tot&gt;time+20,20,IF(time_tot&lt;20,(time*VLOOKUP(H45,list!$J$48:$K$50,2,))+(time_tot-time),((MIN(20,time)*VLOOKUP(H45,list!$J$48:$K$50,2,))+(time_tot-MIN(20,time))-IF(H45="Exponential",time_tot-20+0.217*time*(EXP(4.606*(20-time_tot)/time)-1),((time_tot-20)^2)*(0.5/time)))))))))</f>
        <v>0</v>
      </c>
      <c r="K45" s="3232">
        <f>(MIN(D45,E45)*time_tot+ABS(E45-D45)*IF(E45&gt;D45,time_cap+time*(VLOOKUP(F45,list!$J$47:$K$50,2,FALSE)),time*(1-(VLOOKUP(F45, list!$J$47:$K$50, 2, FALSE)))))*annual!U23</f>
        <v>0</v>
      </c>
      <c r="L45" s="3232">
        <f>(MIN(D45, G45) * time_tot + ABS(G45-D45) * IF(G45&gt;D45, time_cap + time*(VLOOKUP(H45, list!$J$48:$K$50, 2, FALSE)), time*(1-(VLOOKUP(H45, list!$J$48:$K$50, 2, FALSE)))))*annual!U23</f>
        <v>0</v>
      </c>
      <c r="M45" s="3519">
        <f>-V23*(MIN(D45,E45)*time_tot+ABS(E45-D45)*IF(E45&gt;D45,time_cap+time*(VLOOKUP(F45,list!$J$47:$K$50,2,FALSE)),time*(1-(VLOOKUP(F45, list!$J$47:$K$50, 2, FALSE)))))</f>
        <v>0</v>
      </c>
      <c r="N45" s="3519">
        <f>-V23*(MIN(D45, G45) * time_tot + ABS(G45-D45) * IF(G45&gt;D45, time_cap + time*(VLOOKUP(H45, list!$J$48:$K$50, 2, FALSE)), time*(1-(VLOOKUP(H45, list!$J$48:$K$50, 2, FALSE)))))</f>
        <v>0</v>
      </c>
      <c r="O45" s="3232">
        <f t="shared" si="12"/>
        <v>0</v>
      </c>
      <c r="P45" s="3232">
        <f t="shared" si="13"/>
        <v>0</v>
      </c>
      <c r="Q45" s="3166">
        <f t="shared" si="26"/>
        <v>0</v>
      </c>
      <c r="S45" s="3243">
        <f>$J23*(time*((ABS(E45-D45)*(IF(D45&lt;=E45, VLOOKUP(F45, list!$J$48:$K$50, 2, FALSE),1-VLOOKUP(F45, list!$J$48:$K$50, 2, FALSE))))+ MIN(E45,D45))+(annual!E45*time_cap))</f>
        <v>0</v>
      </c>
      <c r="T45" s="3244">
        <f>$J23*(time*((ABS(G45-D45)*(IF(D45&lt;=G45, VLOOKUP(H45, list!$J$48:$K$50, 2, FALSE),1-VLOOKUP(annual!H45, list!$J$48:$K$50, 2, FALSE))))+MIN(G45,D45))+(G45*time_cap))</f>
        <v>0</v>
      </c>
      <c r="U45" s="3245">
        <f t="shared" si="9"/>
        <v>0</v>
      </c>
      <c r="W45" s="3217" t="s">
        <v>235</v>
      </c>
      <c r="X45" s="3230">
        <f>SUM(X40:X44)</f>
        <v>-1588.6168463577876</v>
      </c>
      <c r="Y45" s="3230">
        <f>SUM(Y40:Y44)</f>
        <v>-1588.6168463577876</v>
      </c>
      <c r="Z45" s="388"/>
      <c r="AE45" s="3440">
        <f t="shared" si="14"/>
        <v>0</v>
      </c>
      <c r="AF45" s="3440">
        <f t="shared" si="15"/>
        <v>0</v>
      </c>
      <c r="AG45" s="3440">
        <f t="shared" si="16"/>
        <v>0</v>
      </c>
      <c r="AH45" s="3440">
        <f t="shared" si="17"/>
        <v>0</v>
      </c>
      <c r="AI45" s="3440">
        <f t="shared" si="18"/>
        <v>0</v>
      </c>
      <c r="AJ45" s="3440">
        <f t="shared" si="19"/>
        <v>0</v>
      </c>
      <c r="AK45" s="3440">
        <f t="shared" si="20"/>
        <v>0</v>
      </c>
      <c r="AL45" s="3440">
        <f t="shared" si="21"/>
        <v>0</v>
      </c>
      <c r="AM45" s="3440">
        <f t="shared" si="22"/>
        <v>0</v>
      </c>
      <c r="AN45" s="3440">
        <f t="shared" si="23"/>
        <v>0</v>
      </c>
      <c r="AO45" s="3440">
        <f t="shared" si="24"/>
        <v>0</v>
      </c>
      <c r="AP45" s="3440">
        <f t="shared" si="25"/>
        <v>0</v>
      </c>
      <c r="AQ45" s="235"/>
      <c r="AR45" s="3440">
        <f t="shared" si="10"/>
        <v>0</v>
      </c>
      <c r="AS45" s="3441">
        <f t="shared" si="11"/>
        <v>0</v>
      </c>
    </row>
    <row r="46" spans="2:45" x14ac:dyDescent="0.2">
      <c r="C46" s="862" t="str">
        <f t="shared" si="8"/>
        <v/>
      </c>
      <c r="D46" s="3194">
        <f>'3.Cropland'!Q33</f>
        <v>0</v>
      </c>
      <c r="E46" s="3195">
        <f>'3.Cropland'!R33</f>
        <v>0</v>
      </c>
      <c r="F46" s="3195" t="str">
        <f>VLOOKUP('3.Cropland'!S33, list!$I$48:$J$50, 2, FALSE)</f>
        <v>Linear</v>
      </c>
      <c r="G46" s="3195">
        <f>'3.Cropland'!T33</f>
        <v>0</v>
      </c>
      <c r="H46" s="3206" t="str">
        <f>VLOOKUP('3.Cropland'!U33, list!$I$48:$J$50, 2, FALSE)</f>
        <v>Linear</v>
      </c>
      <c r="I46" s="3170">
        <f>IF(ABS(-$R24*((MIN($D46,E46)*MIN(20,time_tot)) +IF(F46="Immediate",IF(E46&gt;$D46,E46*MIN(20,time_tot),0),IF($D46&gt;E46,($D46-E46)* IF(time&gt;20,IF(F46="Linear",time-((time-20)^2)/(2*time),(0.215*time)-(time/4.6)*(EXP(-92.1/time)-0.01)),time*(1-VLOOKUP(F46,list!$J$48:$K$50,2,))),(E46-$D46)*IF(time_tot&gt;time+20,20,IF(time_tot&lt;20,(time*VLOOKUP(F46,list!$J$48:$K$50,2,))+(time_tot-time),((MIN(20,time)*VLOOKUP(F46,list!$J$48:$K$50,2,)) + (time_tot-MIN(20,time)) -IF(F46="Exponential",time_tot-20+0.217*time*(EXP(4.606*(20-time_tot)/time)-1),((time_tot-20)^2)*(0.5/time)))))))))&gt;=ABS(-Q24*MAX(E46,D46)),-Q24*MAX(E46,D46),-$R24*((MIN($D46,E46)*MIN(20,time_tot)) +IF(F46="Immediate",IF(E46&gt;$D46,E46*MIN(20,time_tot),0),IF($D46&gt;E46,($D46-E46)* IF(time&gt;20,IF(F46="Linear",time-((time-20)^2)/(2*time),(0.215*time)-(time/4.6)*(EXP(-92.1/time)-0.01)),time*(1-VLOOKUP(F46,list!$J$48:$K$50,2,))),(E46-$D46)*IF(time_tot&gt;time+20,20,IF(time_tot&lt;20,(time*VLOOKUP(F46,list!$J$48:$K$50,2,))+(time_tot-time),((MIN(20,time)*VLOOKUP(F46,list!$J$48:$K$50,2,)) + (time_tot-MIN(20,time)) -IF(F46="Exponential",time_tot-20+0.217*time*(EXP(4.606*(20-time_tot)/time)-1),((time_tot-20)^2)*(0.5/time)))))))))</f>
        <v>0</v>
      </c>
      <c r="J46" s="3170">
        <f>IF(ABS(-$R24*((MIN($D46,G46)*MIN(20,time_tot))+IF(H46="Immediate",IF(G46&gt;$D46,G46*MIN(20,time_tot),0),IF($D46&gt;G46,($D46-G46)*IF(time&gt;20,IF(H46="Linear",time-((time-20)^2)/(2*time),(0.215*time)-(time/4.6)*(EXP(-92.1/time)-0.01)),time*(1-VLOOKUP(H46,list!$J$48:$K$50,2,))),(G46-$D46)*IF(time_tot&gt;time+20,20,IF(time_tot&lt;20,(time*VLOOKUP(H46,list!$J$48:$K$50,2,))+(time_tot-time),((MIN(20,time)*VLOOKUP(H46,list!$J$48:$K$50,2,))+(time_tot-MIN(20,time))-IF(H46="Exponential",time_tot-20+0.217*time*(EXP(4.606*(20-time_tot)/time)-1),((time_tot-20)^2)*(0.5/time)))))))))&gt;=ABS(-Q24*MAX(G46,D46)), -Q24*MAX(G46,D46), -$R24*((MIN($D46,G46)*MIN(20,time_tot))+IF(H46="Immediate",IF(G46&gt;$D46,G46*MIN(20,time_tot),0),IF($D46&gt;G46,($D46-G46)*IF(time&gt;20,IF(H46="Linear",time-((time-20)^2)/(2*time),(0.215*time)-(time/4.6)*(EXP(-92.1/time)-0.01)),time*(1-VLOOKUP(H46,list!$J$48:$K$50,2,))),(G46-$D46)*IF(time_tot&gt;time+20,20,IF(time_tot&lt;20,(time*VLOOKUP(H46,list!$J$48:$K$50,2,))+(time_tot-time),((MIN(20,time)*VLOOKUP(H46,list!$J$48:$K$50,2,))+(time_tot-MIN(20,time))-IF(H46="Exponential",time_tot-20+0.217*time*(EXP(4.606*(20-time_tot)/time)-1),((time_tot-20)^2)*(0.5/time)))))))))</f>
        <v>0</v>
      </c>
      <c r="K46" s="3232">
        <f>(MIN(D46,E46)*time_tot+ABS(E46-D46)*IF(E46&gt;D46,time_cap+time*(VLOOKUP(F46,list!$J$47:$K$50,2,FALSE)),time*(1-(VLOOKUP(F46, list!$J$47:$K$50, 2, FALSE)))))*annual!U24</f>
        <v>0</v>
      </c>
      <c r="L46" s="3232">
        <f>(MIN(D46, G46) * time_tot + ABS(G46-D46) * IF(G46&gt;D46, time_cap + time*(VLOOKUP(H46, list!$J$48:$K$50, 2, FALSE)), time*(1-(VLOOKUP(H46, list!$J$48:$K$50, 2, FALSE)))))*annual!U24</f>
        <v>0</v>
      </c>
      <c r="M46" s="3519">
        <f>-V24*(MIN(D46,E46)*time_tot+ABS(E46-D46)*IF(E46&gt;D46,time_cap+time*(VLOOKUP(F46,list!$J$47:$K$50,2,FALSE)),time*(1-(VLOOKUP(F46, list!$J$47:$K$50, 2, FALSE)))))</f>
        <v>0</v>
      </c>
      <c r="N46" s="3519">
        <f>-V24*(MIN(D46, G46) * time_tot + ABS(G46-D46) * IF(G46&gt;D46, time_cap + time*(VLOOKUP(H46, list!$J$48:$K$50, 2, FALSE)), time*(1-(VLOOKUP(H46, list!$J$48:$K$50, 2, FALSE)))))</f>
        <v>0</v>
      </c>
      <c r="O46" s="3232">
        <f t="shared" si="12"/>
        <v>0</v>
      </c>
      <c r="P46" s="3232">
        <f t="shared" si="13"/>
        <v>0</v>
      </c>
      <c r="Q46" s="3166">
        <f t="shared" si="26"/>
        <v>0</v>
      </c>
      <c r="S46" s="3243">
        <f>$J24*(time*((ABS(E46-D46)*(IF(D46&lt;=E46, VLOOKUP(F46, list!$J$48:$K$50, 2, FALSE),1-VLOOKUP(F46, list!$J$48:$K$50, 2, FALSE))))+ MIN(E46,D46))+(annual!E46*time_cap))</f>
        <v>0</v>
      </c>
      <c r="T46" s="3244">
        <f>$J24*(time*((ABS(G46-D46)*(IF(D46&lt;=G46, VLOOKUP(H46, list!$J$48:$K$50, 2, FALSE),1-VLOOKUP(annual!H46, list!$J$48:$K$50, 2, FALSE))))+MIN(G46,D46))+(G46*time_cap))</f>
        <v>0</v>
      </c>
      <c r="U46" s="3245">
        <f t="shared" si="9"/>
        <v>0</v>
      </c>
      <c r="AE46" s="3440">
        <f t="shared" si="14"/>
        <v>0</v>
      </c>
      <c r="AF46" s="3440">
        <f t="shared" si="15"/>
        <v>0</v>
      </c>
      <c r="AG46" s="3440">
        <f t="shared" si="16"/>
        <v>0</v>
      </c>
      <c r="AH46" s="3440">
        <f t="shared" si="17"/>
        <v>0</v>
      </c>
      <c r="AI46" s="3440">
        <f t="shared" si="18"/>
        <v>0</v>
      </c>
      <c r="AJ46" s="3440">
        <f t="shared" si="19"/>
        <v>0</v>
      </c>
      <c r="AK46" s="3440">
        <f t="shared" si="20"/>
        <v>0</v>
      </c>
      <c r="AL46" s="3440">
        <f t="shared" si="21"/>
        <v>0</v>
      </c>
      <c r="AM46" s="3440">
        <f t="shared" si="22"/>
        <v>0</v>
      </c>
      <c r="AN46" s="3440">
        <f t="shared" si="23"/>
        <v>0</v>
      </c>
      <c r="AO46" s="3440">
        <f t="shared" si="24"/>
        <v>0</v>
      </c>
      <c r="AP46" s="3440">
        <f t="shared" si="25"/>
        <v>0</v>
      </c>
      <c r="AQ46" s="235"/>
      <c r="AR46" s="3440">
        <f t="shared" si="10"/>
        <v>0</v>
      </c>
      <c r="AS46" s="3441">
        <f t="shared" si="11"/>
        <v>0</v>
      </c>
    </row>
    <row r="47" spans="2:45" x14ac:dyDescent="0.2">
      <c r="C47" s="702" t="str">
        <f t="shared" si="8"/>
        <v/>
      </c>
      <c r="D47" s="3196">
        <f>'3.Cropland'!Q34</f>
        <v>0</v>
      </c>
      <c r="E47" s="3197">
        <f>'3.Cropland'!R34</f>
        <v>0</v>
      </c>
      <c r="F47" s="3197" t="str">
        <f>VLOOKUP('3.Cropland'!S34, list!$I$48:$J$50, 2, FALSE)</f>
        <v>Linear</v>
      </c>
      <c r="G47" s="3197">
        <f>'3.Cropland'!T34</f>
        <v>0</v>
      </c>
      <c r="H47" s="3207" t="str">
        <f>VLOOKUP('3.Cropland'!U34, list!$I$48:$J$50, 2, FALSE)</f>
        <v>Linear</v>
      </c>
      <c r="I47" s="3170">
        <f>IF(ABS(-$R25*((MIN($D47,E47)*MIN(20,time_tot)) +IF(F47="Immediate",IF(E47&gt;$D47,E47*MIN(20,time_tot),0),IF($D47&gt;E47,($D47-E47)* IF(time&gt;20,IF(F47="Linear",time-((time-20)^2)/(2*time),(0.215*time)-(time/4.6)*(EXP(-92.1/time)-0.01)),time*(1-VLOOKUP(F47,list!$J$48:$K$50,2,))),(E47-$D47)*IF(time_tot&gt;time+20,20,IF(time_tot&lt;20,(time*VLOOKUP(F47,list!$J$48:$K$50,2,))+(time_tot-time),((MIN(20,time)*VLOOKUP(F47,list!$J$48:$K$50,2,)) + (time_tot-MIN(20,time)) -IF(F47="Exponential",time_tot-20+0.217*time*(EXP(4.606*(20-time_tot)/time)-1),((time_tot-20)^2)*(0.5/time)))))))))&gt;=ABS(-Q25*MAX(E47,D47)),-Q25*MAX(E47,D47),-$R25*((MIN($D47,E47)*MIN(20,time_tot)) +IF(F47="Immediate",IF(E47&gt;$D47,E47*MIN(20,time_tot),0),IF($D47&gt;E47,($D47-E47)* IF(time&gt;20,IF(F47="Linear",time-((time-20)^2)/(2*time),(0.215*time)-(time/4.6)*(EXP(-92.1/time)-0.01)),time*(1-VLOOKUP(F47,list!$J$48:$K$50,2,))),(E47-$D47)*IF(time_tot&gt;time+20,20,IF(time_tot&lt;20,(time*VLOOKUP(F47,list!$J$48:$K$50,2,))+(time_tot-time),((MIN(20,time)*VLOOKUP(F47,list!$J$48:$K$50,2,)) + (time_tot-MIN(20,time)) -IF(F47="Exponential",time_tot-20+0.217*time*(EXP(4.606*(20-time_tot)/time)-1),((time_tot-20)^2)*(0.5/time)))))))))</f>
        <v>0</v>
      </c>
      <c r="J47" s="3170">
        <f>IF(ABS(-$R25*((MIN($D47,G47)*MIN(20,time_tot))+IF(H47="Immediate",IF(G47&gt;$D47,G47*MIN(20,time_tot),0),IF($D47&gt;G47,($D47-G47)*IF(time&gt;20,IF(H47="Linear",time-((time-20)^2)/(2*time),(0.215*time)-(time/4.6)*(EXP(-92.1/time)-0.01)),time*(1-VLOOKUP(H47,list!$J$48:$K$50,2,))),(G47-$D47)*IF(time_tot&gt;time+20,20,IF(time_tot&lt;20,(time*VLOOKUP(H47,list!$J$48:$K$50,2,))+(time_tot-time),((MIN(20,time)*VLOOKUP(H47,list!$J$48:$K$50,2,))+(time_tot-MIN(20,time))-IF(H47="Exponential",time_tot-20+0.217*time*(EXP(4.606*(20-time_tot)/time)-1),((time_tot-20)^2)*(0.5/time)))))))))&gt;=ABS(-Q25*MAX(G47,D47)), -Q25*MAX(G47,D47), -$R25*((MIN($D47,G47)*MIN(20,time_tot))+IF(H47="Immediate",IF(G47&gt;$D47,G47*MIN(20,time_tot),0),IF($D47&gt;G47,($D47-G47)*IF(time&gt;20,IF(H47="Linear",time-((time-20)^2)/(2*time),(0.215*time)-(time/4.6)*(EXP(-92.1/time)-0.01)),time*(1-VLOOKUP(H47,list!$J$48:$K$50,2,))),(G47-$D47)*IF(time_tot&gt;time+20,20,IF(time_tot&lt;20,(time*VLOOKUP(H47,list!$J$48:$K$50,2,))+(time_tot-time),((MIN(20,time)*VLOOKUP(H47,list!$J$48:$K$50,2,))+(time_tot-MIN(20,time))-IF(H47="Exponential",time_tot-20+0.217*time*(EXP(4.606*(20-time_tot)/time)-1),((time_tot-20)^2)*(0.5/time)))))))))</f>
        <v>0</v>
      </c>
      <c r="K47" s="3309">
        <f>(MIN(D47,E47)*time_tot+ABS(E47-D47)*IF(E47&gt;D47,time_cap+time*(VLOOKUP(F47,list!$J$47:$K$50,2,FALSE)),time*(1-(VLOOKUP(F47, list!$J$47:$K$50, 2, FALSE)))))*annual!U25</f>
        <v>0</v>
      </c>
      <c r="L47" s="3309">
        <f>(MIN(D47, G47) * time_tot + ABS(G47-D47) * IF(G47&gt;D47, time_cap + time*(VLOOKUP(H47, list!$J$48:$K$50, 2, FALSE)), time*(1-(VLOOKUP(H47, list!$J$48:$K$50, 2, FALSE)))))*annual!U25</f>
        <v>0</v>
      </c>
      <c r="M47" s="3519">
        <f>-V25*(MIN(D47,E47)*time_tot+ABS(E47-D47)*IF(E47&gt;D47,time_cap+time*(VLOOKUP(F47,list!$J$47:$K$50,2,FALSE)),time*(1-(VLOOKUP(F47, list!$J$47:$K$50, 2, FALSE)))))</f>
        <v>0</v>
      </c>
      <c r="N47" s="3519">
        <f>-V25*(MIN(D47, G47) * time_tot + ABS(G47-D47) * IF(G47&gt;D47, time_cap + time*(VLOOKUP(H47, list!$J$48:$K$50, 2, FALSE)), time*(1-(VLOOKUP(H47, list!$J$48:$K$50, 2, FALSE)))))</f>
        <v>0</v>
      </c>
      <c r="O47" s="3309">
        <f t="shared" si="12"/>
        <v>0</v>
      </c>
      <c r="P47" s="3309">
        <f t="shared" si="13"/>
        <v>0</v>
      </c>
      <c r="Q47" s="3167">
        <f t="shared" si="26"/>
        <v>0</v>
      </c>
      <c r="S47" s="3246">
        <f>$J25*(time*((ABS(E47-D47)*(IF(D47&lt;=E47, VLOOKUP(F47, list!$J$48:$K$50, 2, FALSE),1-VLOOKUP(F47, list!$J$48:$K$50, 2, FALSE))))+ MIN(E47,D47))+(annual!E47*time_cap))</f>
        <v>0</v>
      </c>
      <c r="T47" s="3247">
        <f>$J25*(time*((ABS(G47-D47)*(IF(D47&lt;=G47, VLOOKUP(H47, list!$J$48:$K$50, 2, FALSE),1-VLOOKUP(annual!H47, list!$J$48:$K$50, 2, FALSE))))+MIN(G47,D47))+(G47*time_cap))</f>
        <v>0</v>
      </c>
      <c r="U47" s="3248">
        <f t="shared" si="9"/>
        <v>0</v>
      </c>
      <c r="AE47" s="3440">
        <f t="shared" si="14"/>
        <v>0</v>
      </c>
      <c r="AF47" s="3440">
        <f t="shared" si="15"/>
        <v>0</v>
      </c>
      <c r="AG47" s="3440">
        <f t="shared" si="16"/>
        <v>0</v>
      </c>
      <c r="AH47" s="3440">
        <f t="shared" si="17"/>
        <v>0</v>
      </c>
      <c r="AI47" s="3440">
        <f t="shared" si="18"/>
        <v>0</v>
      </c>
      <c r="AJ47" s="3440">
        <f t="shared" si="19"/>
        <v>0</v>
      </c>
      <c r="AK47" s="3440">
        <f t="shared" si="20"/>
        <v>0</v>
      </c>
      <c r="AL47" s="3440">
        <f t="shared" si="21"/>
        <v>0</v>
      </c>
      <c r="AM47" s="3440">
        <f t="shared" si="22"/>
        <v>0</v>
      </c>
      <c r="AN47" s="3440">
        <f t="shared" si="23"/>
        <v>0</v>
      </c>
      <c r="AO47" s="3440">
        <f t="shared" si="24"/>
        <v>0</v>
      </c>
      <c r="AP47" s="3440">
        <f t="shared" si="25"/>
        <v>0</v>
      </c>
      <c r="AQ47" s="235"/>
      <c r="AR47" s="3442">
        <f t="shared" si="10"/>
        <v>0</v>
      </c>
      <c r="AS47" s="3443">
        <f t="shared" si="11"/>
        <v>0</v>
      </c>
    </row>
    <row r="48" spans="2:45" x14ac:dyDescent="0.2">
      <c r="C48" s="3161" t="s">
        <v>627</v>
      </c>
      <c r="D48" s="3162">
        <f>SUM(D38:D47)</f>
        <v>150</v>
      </c>
      <c r="E48" s="3162">
        <f>SUM(E38:E47)</f>
        <v>150</v>
      </c>
      <c r="F48" s="3162"/>
      <c r="G48" s="3162">
        <f>SUM(G38:G47)</f>
        <v>150</v>
      </c>
      <c r="H48" s="3860" t="str">
        <f>IF(D48=E48, IF(E48=G48,"", "Check areas!"), "Check areas!")</f>
        <v/>
      </c>
      <c r="I48" s="3861"/>
      <c r="J48" s="3861"/>
      <c r="K48" s="3861"/>
      <c r="L48" s="3861"/>
      <c r="M48" s="3861"/>
      <c r="N48" s="3861"/>
      <c r="O48" s="3861"/>
      <c r="P48" s="3861"/>
      <c r="Q48" s="3861"/>
      <c r="S48" s="3249">
        <f>SUM(S34:S47)</f>
        <v>0</v>
      </c>
      <c r="T48" s="3249">
        <f>SUM(T34:T47)</f>
        <v>0</v>
      </c>
      <c r="U48" s="3249">
        <f>SUM(U34:U47)</f>
        <v>0</v>
      </c>
      <c r="AE48" s="3444">
        <f t="shared" ref="AE48:AP48" si="27">SUM(AE34:AE47)</f>
        <v>150</v>
      </c>
      <c r="AF48" s="3445">
        <f t="shared" si="27"/>
        <v>150</v>
      </c>
      <c r="AG48" s="3444">
        <f t="shared" si="27"/>
        <v>150</v>
      </c>
      <c r="AH48" s="3444">
        <f t="shared" si="27"/>
        <v>150</v>
      </c>
      <c r="AI48" s="3444">
        <f t="shared" si="27"/>
        <v>300</v>
      </c>
      <c r="AJ48" s="3445">
        <f t="shared" si="27"/>
        <v>300</v>
      </c>
      <c r="AK48" s="3444">
        <f t="shared" si="27"/>
        <v>300</v>
      </c>
      <c r="AL48" s="3444">
        <f t="shared" si="27"/>
        <v>300</v>
      </c>
      <c r="AM48" s="3444">
        <f t="shared" si="27"/>
        <v>300</v>
      </c>
      <c r="AN48" s="3445">
        <f t="shared" si="27"/>
        <v>300</v>
      </c>
      <c r="AO48" s="3444">
        <f t="shared" si="27"/>
        <v>300</v>
      </c>
      <c r="AP48" s="3444">
        <f t="shared" si="27"/>
        <v>300</v>
      </c>
      <c r="AR48" s="3444">
        <f>SUM(AR34:AR47)</f>
        <v>4125</v>
      </c>
      <c r="AS48" s="3446">
        <f>SUM(AS34:AS47)</f>
        <v>4125</v>
      </c>
    </row>
    <row r="49" spans="2:24" x14ac:dyDescent="0.2">
      <c r="L49" s="3165"/>
      <c r="N49" s="3163" t="s">
        <v>628</v>
      </c>
      <c r="O49" s="3516">
        <f>IF(COUNTIF(Q34:Q37,"MISSING DATA")&gt;0,"MISSING DATA",SUM(O34:O47))</f>
        <v>-1588.6168463577876</v>
      </c>
      <c r="P49" s="3516">
        <f>IF(COUNTIF(Q34:Q37,"MISSING DATA")&gt;0,"MISSING DATA",SUM(P34:P47))</f>
        <v>-1588.6168463577876</v>
      </c>
      <c r="Q49" s="3516">
        <f>IF(COUNTIF(Q34:Q37,"MISSING DATA")&gt;0,"MISSING DATA",SUM(Q34:Q47))</f>
        <v>0</v>
      </c>
    </row>
    <row r="50" spans="2:24" x14ac:dyDescent="0.2">
      <c r="I50" s="87"/>
      <c r="J50" s="17"/>
    </row>
    <row r="51" spans="2:24" x14ac:dyDescent="0.2">
      <c r="P51" s="1079" t="s">
        <v>629</v>
      </c>
      <c r="Q51" s="1079">
        <f>SUM('3.Cropland'!AT25:AT34)</f>
        <v>0</v>
      </c>
    </row>
    <row r="52" spans="2:24" ht="15" customHeight="1" x14ac:dyDescent="0.2"/>
    <row r="56" spans="2:24" ht="15" customHeight="1" thickBot="1" x14ac:dyDescent="0.25">
      <c r="C56" s="8"/>
      <c r="D56" s="8"/>
      <c r="E56" s="8"/>
      <c r="F56" s="8"/>
      <c r="G56" s="8"/>
      <c r="H56" s="8"/>
      <c r="I56" s="8"/>
      <c r="J56" s="8"/>
      <c r="K56" s="8"/>
      <c r="L56" s="8"/>
      <c r="M56" s="8"/>
      <c r="O56" s="8"/>
      <c r="P56" s="8"/>
      <c r="Q56" s="8"/>
      <c r="R56" s="8"/>
      <c r="S56" s="8"/>
      <c r="T56" s="8"/>
      <c r="U56" s="8"/>
      <c r="V56" s="8"/>
      <c r="W56" s="8"/>
      <c r="X56" s="8"/>
    </row>
    <row r="57" spans="2:24" ht="15" customHeight="1" thickBot="1" x14ac:dyDescent="0.25">
      <c r="C57" s="228"/>
      <c r="D57" s="159"/>
      <c r="E57" s="159"/>
      <c r="F57" s="159"/>
      <c r="G57" s="159"/>
      <c r="H57" s="229" t="s">
        <v>630</v>
      </c>
      <c r="I57" s="229"/>
      <c r="J57" s="159"/>
      <c r="K57" s="159"/>
      <c r="L57" s="230"/>
      <c r="M57" s="161"/>
      <c r="O57" s="110"/>
      <c r="P57" s="159"/>
      <c r="Q57" s="159"/>
      <c r="R57" s="159"/>
      <c r="S57" s="160" t="s">
        <v>631</v>
      </c>
      <c r="T57" s="159"/>
      <c r="U57" s="159"/>
      <c r="V57" s="159"/>
      <c r="W57" s="159"/>
      <c r="X57" s="161"/>
    </row>
    <row r="58" spans="2:24" ht="18" customHeight="1" x14ac:dyDescent="0.2">
      <c r="C58" s="88"/>
      <c r="D58" s="89"/>
      <c r="E58" s="112" t="s">
        <v>632</v>
      </c>
      <c r="F58" s="111" t="s">
        <v>633</v>
      </c>
      <c r="G58" s="90"/>
      <c r="H58" s="94" t="s">
        <v>634</v>
      </c>
      <c r="I58" s="94" t="s">
        <v>634</v>
      </c>
      <c r="J58" s="94" t="s">
        <v>635</v>
      </c>
      <c r="K58" s="94" t="s">
        <v>636</v>
      </c>
      <c r="L58" s="122" t="s">
        <v>637</v>
      </c>
      <c r="M58" s="94" t="s">
        <v>638</v>
      </c>
      <c r="O58" s="112"/>
      <c r="P58" s="112" t="s">
        <v>632</v>
      </c>
      <c r="Q58" s="157" t="s">
        <v>633</v>
      </c>
      <c r="R58" s="158"/>
      <c r="S58" s="94" t="s">
        <v>634</v>
      </c>
      <c r="T58" s="94" t="s">
        <v>634</v>
      </c>
      <c r="U58" s="94" t="s">
        <v>635</v>
      </c>
      <c r="V58" s="94" t="s">
        <v>636</v>
      </c>
      <c r="W58" s="94" t="s">
        <v>637</v>
      </c>
      <c r="X58" s="94" t="s">
        <v>638</v>
      </c>
    </row>
    <row r="59" spans="2:24" ht="15" customHeight="1" x14ac:dyDescent="0.2">
      <c r="C59" s="88"/>
      <c r="D59" s="94" t="s">
        <v>639</v>
      </c>
      <c r="E59" s="95" t="s">
        <v>640</v>
      </c>
      <c r="F59" s="99" t="s">
        <v>641</v>
      </c>
      <c r="G59" s="92"/>
      <c r="H59" s="101" t="s">
        <v>642</v>
      </c>
      <c r="I59" s="101" t="s">
        <v>642</v>
      </c>
      <c r="J59" s="94" t="s">
        <v>643</v>
      </c>
      <c r="K59" s="94" t="s">
        <v>644</v>
      </c>
      <c r="L59" s="122" t="s">
        <v>643</v>
      </c>
      <c r="M59" s="94" t="s">
        <v>645</v>
      </c>
      <c r="O59" s="113" t="s">
        <v>639</v>
      </c>
      <c r="P59" s="114" t="s">
        <v>646</v>
      </c>
      <c r="Q59" s="119" t="s">
        <v>641</v>
      </c>
      <c r="R59" s="120"/>
      <c r="S59" s="101" t="s">
        <v>642</v>
      </c>
      <c r="T59" s="101" t="s">
        <v>642</v>
      </c>
      <c r="U59" s="94" t="s">
        <v>643</v>
      </c>
      <c r="V59" s="94" t="s">
        <v>644</v>
      </c>
      <c r="W59" s="94" t="s">
        <v>643</v>
      </c>
      <c r="X59" s="94" t="s">
        <v>645</v>
      </c>
    </row>
    <row r="60" spans="2:24" ht="15" customHeight="1" x14ac:dyDescent="0.2">
      <c r="C60" s="88"/>
      <c r="D60" s="94" t="s">
        <v>647</v>
      </c>
      <c r="E60" s="226" t="s">
        <v>648</v>
      </c>
      <c r="F60" s="85" t="s">
        <v>649</v>
      </c>
      <c r="G60" s="96" t="s">
        <v>399</v>
      </c>
      <c r="H60" s="97" t="s">
        <v>650</v>
      </c>
      <c r="I60" s="97" t="s">
        <v>650</v>
      </c>
      <c r="J60" s="94" t="s">
        <v>651</v>
      </c>
      <c r="K60" s="94" t="s">
        <v>652</v>
      </c>
      <c r="L60" s="122" t="s">
        <v>653</v>
      </c>
      <c r="M60" s="94" t="s">
        <v>654</v>
      </c>
      <c r="O60" s="113" t="s">
        <v>647</v>
      </c>
      <c r="P60" s="115" t="s">
        <v>655</v>
      </c>
      <c r="Q60" s="117" t="s">
        <v>649</v>
      </c>
      <c r="R60" s="117" t="s">
        <v>399</v>
      </c>
      <c r="S60" s="97" t="s">
        <v>650</v>
      </c>
      <c r="T60" s="97" t="s">
        <v>650</v>
      </c>
      <c r="U60" s="94" t="s">
        <v>651</v>
      </c>
      <c r="V60" s="94" t="s">
        <v>652</v>
      </c>
      <c r="W60" s="94" t="s">
        <v>653</v>
      </c>
      <c r="X60" s="94" t="s">
        <v>654</v>
      </c>
    </row>
    <row r="61" spans="2:24" ht="15" customHeight="1" x14ac:dyDescent="0.2">
      <c r="C61" s="88"/>
      <c r="D61" s="89"/>
      <c r="E61" s="95"/>
      <c r="F61" s="85" t="s">
        <v>399</v>
      </c>
      <c r="G61" s="96" t="s">
        <v>656</v>
      </c>
      <c r="H61" s="97" t="s">
        <v>657</v>
      </c>
      <c r="I61" s="97" t="s">
        <v>657</v>
      </c>
      <c r="J61" s="101" t="s">
        <v>658</v>
      </c>
      <c r="K61" s="101"/>
      <c r="L61" s="122" t="s">
        <v>658</v>
      </c>
      <c r="M61" s="101" t="s">
        <v>659</v>
      </c>
      <c r="O61" s="116"/>
      <c r="P61" s="115" t="s">
        <v>660</v>
      </c>
      <c r="Q61" s="85" t="s">
        <v>399</v>
      </c>
      <c r="R61" s="85" t="s">
        <v>656</v>
      </c>
      <c r="S61" s="97" t="s">
        <v>657</v>
      </c>
      <c r="T61" s="97" t="s">
        <v>657</v>
      </c>
      <c r="U61" s="101" t="s">
        <v>658</v>
      </c>
      <c r="V61" s="101"/>
      <c r="W61" s="101" t="s">
        <v>658</v>
      </c>
      <c r="X61" s="101" t="s">
        <v>659</v>
      </c>
    </row>
    <row r="62" spans="2:24" ht="28.5" customHeight="1" x14ac:dyDescent="0.2">
      <c r="C62" s="93"/>
      <c r="D62" s="91"/>
      <c r="E62" s="91"/>
      <c r="F62" s="4403" t="s">
        <v>3716</v>
      </c>
      <c r="G62" s="96" t="s">
        <v>661</v>
      </c>
      <c r="H62" s="224" t="s">
        <v>662</v>
      </c>
      <c r="I62" s="224" t="s">
        <v>662</v>
      </c>
      <c r="J62" s="86" t="s">
        <v>663</v>
      </c>
      <c r="K62" s="86" t="s">
        <v>663</v>
      </c>
      <c r="L62" s="100" t="s">
        <v>663</v>
      </c>
      <c r="M62" s="100" t="s">
        <v>664</v>
      </c>
      <c r="O62" s="113"/>
      <c r="P62" s="113"/>
      <c r="Q62" s="83" t="s">
        <v>3716</v>
      </c>
      <c r="R62" s="85" t="s">
        <v>661</v>
      </c>
      <c r="S62" s="98" t="s">
        <v>662</v>
      </c>
      <c r="T62" s="98" t="s">
        <v>662</v>
      </c>
      <c r="U62" s="86" t="s">
        <v>663</v>
      </c>
      <c r="V62" s="86" t="s">
        <v>663</v>
      </c>
      <c r="W62" s="100" t="s">
        <v>663</v>
      </c>
      <c r="X62" s="100" t="s">
        <v>664</v>
      </c>
    </row>
    <row r="63" spans="2:24" ht="15" customHeight="1" x14ac:dyDescent="0.2">
      <c r="C63" s="88"/>
      <c r="D63" s="88"/>
      <c r="E63" s="93"/>
      <c r="F63" s="86" t="s">
        <v>665</v>
      </c>
      <c r="G63" s="100" t="s">
        <v>665</v>
      </c>
      <c r="H63" s="86" t="s">
        <v>666</v>
      </c>
      <c r="I63" s="86" t="s">
        <v>667</v>
      </c>
      <c r="J63" s="86" t="s">
        <v>668</v>
      </c>
      <c r="K63" s="123" t="s">
        <v>669</v>
      </c>
      <c r="L63" s="118" t="s">
        <v>668</v>
      </c>
      <c r="M63" s="100" t="s">
        <v>670</v>
      </c>
      <c r="O63" s="121"/>
      <c r="P63" s="121"/>
      <c r="Q63" s="100" t="s">
        <v>665</v>
      </c>
      <c r="R63" s="100" t="s">
        <v>665</v>
      </c>
      <c r="S63" s="86" t="s">
        <v>666</v>
      </c>
      <c r="T63" s="86" t="s">
        <v>671</v>
      </c>
      <c r="U63" s="86" t="s">
        <v>668</v>
      </c>
      <c r="V63" s="123" t="s">
        <v>669</v>
      </c>
      <c r="W63" s="118" t="s">
        <v>668</v>
      </c>
      <c r="X63" s="100" t="s">
        <v>670</v>
      </c>
    </row>
    <row r="64" spans="2:24" ht="15" customHeight="1" x14ac:dyDescent="0.2">
      <c r="B64" s="700" t="s">
        <v>672</v>
      </c>
      <c r="C64" s="622" t="str">
        <f>'3.Cropland'!C14</f>
        <v>Annuals after deforestation</v>
      </c>
      <c r="D64" s="621" t="str">
        <f>'3.Cropland'!E14</f>
        <v>Default</v>
      </c>
      <c r="E64" s="623" t="str">
        <f>IF($D64&lt;&gt;"Default", CONCATENATE(continent_selected,VLOOKUP($D64, list_region_country!$C$29:$D$46, 2, FALSE)), CONCATENATE(continent_selected,annual!$D$80))</f>
        <v>EuropeDefault</v>
      </c>
      <c r="F64" s="624">
        <f>IFERROR(VLOOKUP(E64,Stats_yield_ton_per_ha!$A$9:$L$289, 12, FALSE)*1000,0)</f>
        <v>6989.4484729649448</v>
      </c>
      <c r="G64" s="624">
        <f>IF('3.Cropland'!$M14&lt;&gt;"", '3.Cropland'!$M14*1000, annual!$F64)</f>
        <v>6989.4484729649448</v>
      </c>
      <c r="H64" s="625">
        <f>_xlfn.IFNA(IF('3.Cropland'!$BB14 &lt;&gt;"", '3.Cropland'!$BB14 *1000,IF($D64&lt;&gt;"Default",($G64*VLOOKUP($D64,IPCC!$A$8:$C$32,2,FALSE)+VLOOKUP($D64,IPCC!$A$8:$C$32,3,FALSE)),(($G64*VLOOKUP(annual!$D$79,IPCC!$A$8:$C$32,2,FALSE)+VLOOKUP($D$79,IPCC!$A$8:$C$32,3,FALSE))))),0)</f>
        <v>7619.3788355317902</v>
      </c>
      <c r="I64" s="625">
        <f>$H64/1000</f>
        <v>7.6193788355317897</v>
      </c>
      <c r="J64" s="625">
        <f>IF(OR(D64="Oilseeds",D64="Vegetables"),VLOOKUP($D$79,IPCC!$A$8:$D$34,4,FALSE),IF($D64&lt;&gt;"Default",VLOOKUP($D64,IPCC!$A$8:$D$34,4,FALSE),VLOOKUP($D$79,IPCC!$A$8:$D$34,4,FALSE)))</f>
        <v>6.0000000000000001E-3</v>
      </c>
      <c r="K64" s="625">
        <f>IF(OR(D64="Oilseeds",D64="Vegetables"), VLOOKUP($D$79, IPCC!$A$8:$E$34, 5, FALSE),IF($D64&lt;&gt;"Default", VLOOKUP($D64, IPCC!$A$8:$E$34, 5, FALSE), VLOOKUP($D$79, IPCC!$A$8:$E$34, 5, FALSE)))</f>
        <v>0.22</v>
      </c>
      <c r="L64" s="625">
        <f>IF(OR(D64="Oilseeds",D64="Vegetables"),VLOOKUP($D$79, IPCC!$A$8:$F$34, 6, FALSE),IF($D64&lt;&gt;"Default", VLOOKUP($D64, IPCC!$A$8:$F$34, 6, FALSE), VLOOKUP($D$79, IPCC!$A$8:$F$34, 6, FALSE)))</f>
        <v>8.9999999999999993E-3</v>
      </c>
      <c r="M64" s="792">
        <f>$H64*$J64+(($G64+$H64)*$K64)*$L64</f>
        <v>74.641751084014274</v>
      </c>
      <c r="O64" s="626" t="str">
        <f>'3.Cropland'!BH14</f>
        <v xml:space="preserve">None </v>
      </c>
      <c r="P64" s="4020">
        <f>IFERROR(IF($O64 &lt;&gt;"Default", CONCATENATE(continent_selected,VLOOKUP($O64, list_region_country!$C$29:$D$46, 2, FALSE)), CONCATENATE(continent_selected,annual!$D$80)),0)</f>
        <v>0</v>
      </c>
      <c r="Q64" s="626" t="e">
        <f>(VLOOKUP($P64, Stats_yield_ton_per_ha!A2:L289, 12,FALSE )*1000)</f>
        <v>#N/A</v>
      </c>
      <c r="R64" s="626" t="e">
        <f>IF('3.Cropland'!$BI14 &lt;&gt; "", '3.Cropland'!$BI14*1000, annual!$Q64)</f>
        <v>#N/A</v>
      </c>
      <c r="S64" s="626">
        <f>_xlfn.IFNA(IF('3.Cropland'!$BL14 &lt;&gt;"", '3.Cropland'!$BL14*1000, IF($O64 &lt;&gt;"Default",($R64 *VLOOKUP($O64,IPCC!$A$8:$C$32,2,FALSE)+VLOOKUP($O64,IPCC!$A$8:$C$32,3,FALSE)),(($R64*VLOOKUP(annual!$D$79,IPCC!$A$8:$C$32,2,FALSE)+VLOOKUP($D$79,IPCC!$A$8:$C$32,3,FALSE))))),0)</f>
        <v>0</v>
      </c>
      <c r="T64" s="626">
        <f>$S64/1000</f>
        <v>0</v>
      </c>
      <c r="U64" s="626" t="e">
        <f>IF(OR(O64="Oilseeds",O64="Vegetables"),VLOOKUP($D$79,IPCC!$A$8:$D$34,4,FALSE),IF($O64&lt;&gt;"Default",VLOOKUP($O64,IPCC!$A$8:$D$34,4,FALSE),VLOOKUP($D$79,IPCC!$A$8:$D$34,4,FALSE)))</f>
        <v>#N/A</v>
      </c>
      <c r="V64" s="716" t="e">
        <f>IF(OR(O64="Oilseeds",O64="Vegetables"),VLOOKUP($D$79, IPCC!$A$8:$E$34, 5, FALSE),IF($O64 &lt;&gt;"Default", VLOOKUP($O64, IPCC!$A$8:$E$34, 5, FALSE), VLOOKUP($D$79, IPCC!$A$8:$E$34, 5, FALSE)))</f>
        <v>#N/A</v>
      </c>
      <c r="W64" s="626" t="e">
        <f>IF(OR(O64="Oilseeds",O64="Vegetables"),VLOOKUP($D$79, IPCC!$A$8:$F$34, 6, FALSE),IF($O64 &lt;&gt;"Default", VLOOKUP($O64, IPCC!$A$8:$F$34, 6, FALSE), VLOOKUP($D$79, IPCC!$A$8:$F$34, 6, FALSE)))</f>
        <v>#N/A</v>
      </c>
      <c r="X64" s="626" t="e">
        <f t="shared" ref="X64:X69" si="28">($S64*$U64+(($R64+$S64)*$V64)*$W64)</f>
        <v>#N/A</v>
      </c>
    </row>
    <row r="65" spans="2:24" ht="15" customHeight="1" x14ac:dyDescent="0.2">
      <c r="B65" s="701" t="s">
        <v>673</v>
      </c>
      <c r="C65" s="686" t="str">
        <f>'3.Cropland'!C15</f>
        <v>Annuals converted to forest land</v>
      </c>
      <c r="D65" s="688" t="str">
        <f>'3.Cropland'!E15</f>
        <v>Default</v>
      </c>
      <c r="E65" s="688" t="str">
        <f>IF($D65&lt;&gt;"Default", CONCATENATE(continent_selected,VLOOKUP($D65, list_region_country!$C$29:$D$46, 2, FALSE)), CONCATENATE(continent_selected,annual!$D$80))</f>
        <v>EuropeDefault</v>
      </c>
      <c r="F65" s="4121">
        <f>IFERROR(VLOOKUP(E65,Stats_yield_ton_per_ha!$A$9:$L$289, 12, FALSE)*1000,0)</f>
        <v>6989.4484729649448</v>
      </c>
      <c r="G65" s="4121">
        <f>IF('3.Cropland'!$M15&lt;&gt;"", '3.Cropland'!$M15*1000, annual!$F65)</f>
        <v>6989.4484729649448</v>
      </c>
      <c r="H65" s="4122">
        <f>_xlfn.IFNA(IF('3.Cropland'!$BB15 &lt;&gt;"", '3.Cropland'!$BB15 *1000,IF($D65&lt;&gt;"Default",($G65*VLOOKUP($D65,IPCC!$A$8:$C$32,2,FALSE)+VLOOKUP($D65,IPCC!$A$8:$C$32,3,FALSE)),(($G65*VLOOKUP(annual!$D$79,IPCC!$A$8:$C$32,2,FALSE)+VLOOKUP($D$79,IPCC!$A$8:$C$32,3,FALSE))))),0)</f>
        <v>7619.3788355317902</v>
      </c>
      <c r="I65" s="4122">
        <f>$H65/1000</f>
        <v>7.6193788355317897</v>
      </c>
      <c r="J65" s="4122">
        <f>IF(OR(D65="Oilseeds",D65="Vegetables"),VLOOKUP($D$79,IPCC!$A$8:$D$34,4,FALSE),IF($D65&lt;&gt;"Default",VLOOKUP($D65,IPCC!$A$8:$D$34,4,FALSE),VLOOKUP($D$79,IPCC!$A$8:$D$34,4,FALSE)))</f>
        <v>6.0000000000000001E-3</v>
      </c>
      <c r="K65" s="4122">
        <f>IF(OR(D65="Oilseeds",D65="Vegetables"), VLOOKUP($D$79, IPCC!$A$8:$E$34, 5, FALSE),IF($D65&lt;&gt;"Default", VLOOKUP($D65, IPCC!$A$8:$E$34, 5, FALSE), VLOOKUP($D$79, IPCC!$A$8:$E$34, 5, FALSE)))</f>
        <v>0.22</v>
      </c>
      <c r="L65" s="4122">
        <f>IF(OR(D65="Oilseeds",D65="Vegetables"),VLOOKUP($D$79, IPCC!$A$8:$F$34, 6, FALSE),IF($D65&lt;&gt;"Default", VLOOKUP($D65, IPCC!$A$8:$F$34, 6, FALSE), VLOOKUP($D$79, IPCC!$A$8:$F$34, 6, FALSE)))</f>
        <v>8.9999999999999993E-3</v>
      </c>
      <c r="M65" s="4123">
        <f>$H65*$J65+(($G65+$H65)*$K65)*$L65</f>
        <v>74.641751084014274</v>
      </c>
      <c r="O65" s="687" t="str">
        <f>'3.Cropland'!BH15</f>
        <v xml:space="preserve">None </v>
      </c>
      <c r="P65" s="687">
        <f>IFERROR(IF($O65 &lt;&gt;"Default", CONCATENATE(continent_selected,VLOOKUP($O65, list_region_country!$C$29:$D$46, 2, FALSE)), CONCATENATE(continent_selected,annual!$D$80)),0)</f>
        <v>0</v>
      </c>
      <c r="Q65" s="687" t="e">
        <f>(VLOOKUP($P65, Stats_yield_ton_per_ha!$A$2:$L$289, 12,FALSE )*1000)</f>
        <v>#N/A</v>
      </c>
      <c r="R65" s="687" t="e">
        <f>IF('3.Cropland'!$BI15 &lt;&gt; "", '3.Cropland'!$BI15*1000, annual!$Q65)</f>
        <v>#N/A</v>
      </c>
      <c r="S65" s="687">
        <f>_xlfn.IFNA(IF('3.Cropland'!$BL15&lt;&gt;"", '3.Cropland'!$BL15*1000, IF($O65 &lt;&gt;"Default",($R65 *VLOOKUP($O65,IPCC!$A$8:$C$32,2,FALSE)+VLOOKUP($O65,IPCC!$A$8:$C$32,3,FALSE)),(($R65*VLOOKUP(annual!$D$79,IPCC!$A$8:$C$32,2,FALSE)+VLOOKUP($D$79,IPCC!$A$8:$C$32,3,FALSE))))),0)</f>
        <v>0</v>
      </c>
      <c r="T65" s="687">
        <f>$S65/1000</f>
        <v>0</v>
      </c>
      <c r="U65" s="687" t="e">
        <f>IF(OR(O65="Oilseeds",O65="Vegetables"),VLOOKUP($D$79,IPCC!$A$8:$D$34,4,FALSE),IF($O65&lt;&gt;"Default",VLOOKUP($O65,IPCC!$A$8:$D$34,4,FALSE),VLOOKUP($D$79,IPCC!$A$8:$D$34,4,FALSE)))</f>
        <v>#N/A</v>
      </c>
      <c r="V65" s="687" t="e">
        <f>IF(OR(O65="Oilseeds",O65="Vegetables"),VLOOKUP($D$79, IPCC!$A$8:$E$34, 5, FALSE),IF($O65 &lt;&gt;"Default", VLOOKUP($O65, IPCC!$A$8:$E$34, 5, FALSE), VLOOKUP($D$79, IPCC!$A$8:$E$34, 5, FALSE)))</f>
        <v>#N/A</v>
      </c>
      <c r="W65" s="687" t="e">
        <f>IF(OR(O65="Oilseeds",O65="Vegetables"),VLOOKUP($D$79, IPCC!$A$8:$F$34, 6, FALSE),IF($O65 &lt;&gt;"Default", VLOOKUP($O65, IPCC!$A$8:$F$34, 6, FALSE), VLOOKUP($D$79, IPCC!$A$8:$F$34, 6, FALSE)))</f>
        <v>#N/A</v>
      </c>
      <c r="X65" s="687" t="e">
        <f t="shared" si="28"/>
        <v>#N/A</v>
      </c>
    </row>
    <row r="66" spans="2:24" ht="15" customHeight="1" x14ac:dyDescent="0.2">
      <c r="B66" s="787" t="s">
        <v>591</v>
      </c>
      <c r="C66" s="785" t="str">
        <f>'3.Cropland'!C16</f>
        <v>Annuals converted from non-forest LUs</v>
      </c>
      <c r="D66" s="790" t="str">
        <f>'3.Cropland'!E16</f>
        <v>Maize</v>
      </c>
      <c r="E66" s="790" t="str">
        <f>IF($D66&lt;&gt;"Default", CONCATENATE(continent_selected,VLOOKUP($D66, list_region_country!$C$29:$D$46, 2, FALSE)), CONCATENATE(continent_selected,annual!$D$80))</f>
        <v>EuropeMaize</v>
      </c>
      <c r="F66" s="786">
        <f>IFERROR(VLOOKUP(E66,Stats_yield_ton_per_ha!$A$9:$L$289, 12, FALSE)*1000,0)</f>
        <v>6856.5199999999995</v>
      </c>
      <c r="G66" s="786">
        <f>IF('3.Cropland'!$M16&lt;&gt;"", '3.Cropland'!$M16*1000, annual!$F66)</f>
        <v>6856.5199999999995</v>
      </c>
      <c r="H66" s="4124">
        <f>_xlfn.IFNA(IF('3.Cropland'!$BB16 &lt;&gt;"", '3.Cropland'!$BB16 *1000,IF($D66&lt;&gt;"Default",($G66*VLOOKUP($D66,IPCC!$A$8:$C$32,2,FALSE)+VLOOKUP($D66,IPCC!$A$8:$C$32,3,FALSE)),(($G66*VLOOKUP(annual!$D$79,IPCC!$A$8:$C$32,2,FALSE)+VLOOKUP($D$79,IPCC!$A$8:$C$32,3,FALSE))))),0)</f>
        <v>7062.8255999999992</v>
      </c>
      <c r="I66" s="4124">
        <f>$H66/1000</f>
        <v>7.0628255999999991</v>
      </c>
      <c r="J66" s="4124">
        <f>IF(OR(D66="Oilseeds",D66="Vegetables"),VLOOKUP($D$79,IPCC!$A$8:$D$34,4,FALSE),IF($D66&lt;&gt;"Default",VLOOKUP($D66,IPCC!$A$8:$D$34,4,FALSE),VLOOKUP($D$79,IPCC!$A$8:$D$34,4,FALSE)))</f>
        <v>6.0000000000000001E-3</v>
      </c>
      <c r="K66" s="4124">
        <f>IF(OR(D66="Oilseeds",D66="Vegetables"), VLOOKUP($D$79, IPCC!$A$8:$E$34, 5, FALSE),IF($D66&lt;&gt;"Default", VLOOKUP($D66, IPCC!$A$8:$E$34, 5, FALSE), VLOOKUP($D$79, IPCC!$A$8:$E$34, 5, FALSE)))</f>
        <v>0.22</v>
      </c>
      <c r="L66" s="4124">
        <f>IF(OR(D66="Oilseeds",D66="Vegetables"),VLOOKUP($D$79, IPCC!$A$8:$F$34, 6, FALSE),IF($D66&lt;&gt;"Default", VLOOKUP($D66, IPCC!$A$8:$F$34, 6, FALSE), VLOOKUP($D$79, IPCC!$A$8:$F$34, 6, FALSE)))</f>
        <v>7.0000000000000001E-3</v>
      </c>
      <c r="M66" s="4125">
        <f>$H66*$J66+(($G66+$H66)*$K66)*$L66</f>
        <v>63.81274582399999</v>
      </c>
      <c r="O66" s="788" t="str">
        <f>'3.Cropland'!BH16</f>
        <v xml:space="preserve">None </v>
      </c>
      <c r="P66" s="788">
        <f>IFERROR(IF($O66 &lt;&gt;"Default", CONCATENATE(continent_selected,VLOOKUP($O66, list_region_country!$C$29:$D$46, 2, FALSE)), CONCATENATE(continent_selected,annual!$D$80)),0)</f>
        <v>0</v>
      </c>
      <c r="Q66" s="788" t="e">
        <f>(VLOOKUP($P66, Stats_yield_ton_per_ha!$A$2:$L$289, 12,FALSE )*1000)</f>
        <v>#N/A</v>
      </c>
      <c r="R66" s="788" t="e">
        <f>IF('3.Cropland'!$BI16 &lt;&gt; "", '3.Cropland'!$BI16*1000, annual!$Q66)</f>
        <v>#N/A</v>
      </c>
      <c r="S66" s="788">
        <f>_xlfn.IFNA(IF('3.Cropland'!$BL16&lt;&gt;"", '3.Cropland'!$BL16*1000, IF($O66 &lt;&gt;"Default",($R66 *VLOOKUP($O66,IPCC!$A$8:$C$32,2,FALSE)+VLOOKUP($O66,IPCC!$A$8:$C$32,3,FALSE)),(($R66*VLOOKUP(annual!$D$79,IPCC!$A$8:$C$32,2,FALSE)+VLOOKUP($D$79,IPCC!$A$8:$C$32,3,FALSE))))),0)</f>
        <v>0</v>
      </c>
      <c r="T66" s="788">
        <f>$S66/1000</f>
        <v>0</v>
      </c>
      <c r="U66" s="788" t="e">
        <f>IF(OR(O66="Oilseeds",O66="Vegetables"),VLOOKUP($D$79,IPCC!$A$8:$D$34,4,FALSE),IF($O66&lt;&gt;"Default",VLOOKUP($O66,IPCC!$A$8:$D$34,4,FALSE),VLOOKUP($D$79,IPCC!$A$8:$D$34,4,FALSE)))</f>
        <v>#N/A</v>
      </c>
      <c r="V66" s="788" t="e">
        <f>IF(OR(O66="Oilseeds",O66="Vegetables"),VLOOKUP($D$79, IPCC!$A$8:$E$34, 5, FALSE),IF($O66 &lt;&gt;"Default", VLOOKUP($O66, IPCC!$A$8:$E$34, 5, FALSE), VLOOKUP($D$79, IPCC!$A$8:$E$34, 5, FALSE)))</f>
        <v>#N/A</v>
      </c>
      <c r="W66" s="788" t="e">
        <f>IF(OR(O66="Oilseeds",O66="Vegetables"),VLOOKUP($D$79, IPCC!$A$8:$F$34, 6, FALSE),IF($O66 &lt;&gt;"Default", VLOOKUP($O66, IPCC!$A$8:$F$34, 6, FALSE), VLOOKUP($D$79, IPCC!$A$8:$F$34, 6, FALSE)))</f>
        <v>#N/A</v>
      </c>
      <c r="X66" s="788" t="e">
        <f t="shared" si="28"/>
        <v>#N/A</v>
      </c>
    </row>
    <row r="67" spans="2:24" ht="15" customHeight="1" x14ac:dyDescent="0.2">
      <c r="C67" s="186" t="str">
        <f>'3.Cropland'!C17</f>
        <v>Annuals converted to non-forest Lus</v>
      </c>
      <c r="D67" s="706" t="str">
        <f>'3.Cropland'!E17</f>
        <v>Default</v>
      </c>
      <c r="E67" s="705" t="str">
        <f>IF($D67&lt;&gt;"Default", CONCATENATE(continent_selected,VLOOKUP($D67, list_region_country!$C$29:$D$46, 2, FALSE)), CONCATENATE(continent_selected,annual!$D$80))</f>
        <v>EuropeDefault</v>
      </c>
      <c r="F67" s="826">
        <f>IFERROR(VLOOKUP(E67,Stats_yield_ton_per_ha!$A$9:$L$289, 12, FALSE)*1000,0)</f>
        <v>6989.4484729649448</v>
      </c>
      <c r="G67" s="4113">
        <f>IF('3.Cropland'!$M17&lt;&gt;"", '3.Cropland'!$M17*1000, annual!$F67)</f>
        <v>6989.4484729649448</v>
      </c>
      <c r="H67" s="4114">
        <f>_xlfn.IFNA(IF('3.Cropland'!$BB17 &lt;&gt;"", '3.Cropland'!$BB17 *1000,IF($D67&lt;&gt;"Default",($G67*VLOOKUP($D67,IPCC!$A$8:$C$32,2,FALSE)+VLOOKUP($D67,IPCC!$A$8:$C$32,3,FALSE)),(($G67*VLOOKUP(annual!$D$79,IPCC!$A$8:$C$32,2,FALSE)+VLOOKUP($D$79,IPCC!$A$8:$C$32,3,FALSE))))),0)</f>
        <v>7619.3788355317902</v>
      </c>
      <c r="I67" s="4114">
        <f>$H67/1000</f>
        <v>7.6193788355317897</v>
      </c>
      <c r="J67" s="4114">
        <f>IF(OR(D67="Oilseeds",D67="Vegetables"),VLOOKUP($D$79,IPCC!$A$8:$D$34,4,FALSE),IF($D67&lt;&gt;"Default",VLOOKUP($D67,IPCC!$A$8:$D$34,4,FALSE),VLOOKUP($D$79,IPCC!$A$8:$D$34,4,FALSE)))</f>
        <v>6.0000000000000001E-3</v>
      </c>
      <c r="K67" s="4114">
        <f>IF(OR(D67="Oilseeds",D67="Vegetables"), VLOOKUP($D$79, IPCC!$A$8:$E$34, 5, FALSE),IF($D67&lt;&gt;"Default", VLOOKUP($D67, IPCC!$A$8:$E$34, 5, FALSE), VLOOKUP($D$79, IPCC!$A$8:$E$34, 5, FALSE)))</f>
        <v>0.22</v>
      </c>
      <c r="L67" s="4114">
        <f>IF(OR(D67="Oilseeds",D67="Vegetables"),VLOOKUP($D$79, IPCC!$A$8:$F$34, 6, FALSE),IF($D67&lt;&gt;"Default", VLOOKUP($D67, IPCC!$A$8:$F$34, 6, FALSE), VLOOKUP($D$79, IPCC!$A$8:$F$34, 6, FALSE)))</f>
        <v>8.9999999999999993E-3</v>
      </c>
      <c r="M67" s="4126">
        <f>$H67*$J67+(($G67+$H67)*$K67)*$L67</f>
        <v>74.641751084014274</v>
      </c>
      <c r="O67" s="703" t="str">
        <f>'3.Cropland'!BH17</f>
        <v xml:space="preserve">None </v>
      </c>
      <c r="P67" s="703">
        <f>IFERROR(IF($O67 &lt;&gt;"Default", CONCATENATE(continent_selected,VLOOKUP($O67, list_region_country!$C$29:$D$46, 2, FALSE)), CONCATENATE(continent_selected,annual!$D$80)),0)</f>
        <v>0</v>
      </c>
      <c r="Q67" s="703" t="e">
        <f>(VLOOKUP($P67, Stats_yield_ton_per_ha!$A$2:$L$289, 12,FALSE )*1000)</f>
        <v>#N/A</v>
      </c>
      <c r="R67" s="703" t="e">
        <f>IF('3.Cropland'!$BI17 &lt;&gt; "", '3.Cropland'!$BI17*1000, annual!$Q67)</f>
        <v>#N/A</v>
      </c>
      <c r="S67" s="703">
        <f>_xlfn.IFNA(IF('3.Cropland'!$BL17&lt;&gt;"", '3.Cropland'!$BL17*1000, IF($O67 &lt;&gt;"Default",($R67 *VLOOKUP($O67,IPCC!$A$8:$C$32,2,FALSE)+VLOOKUP($O67,IPCC!$A$8:$C$32,3,FALSE)),(($R67*VLOOKUP(annual!$D$79,IPCC!$A$8:$C$32,2,FALSE)+VLOOKUP($D$79,IPCC!$A$8:$C$32,3,FALSE))))),0)</f>
        <v>0</v>
      </c>
      <c r="T67" s="703">
        <f>$S67/1000</f>
        <v>0</v>
      </c>
      <c r="U67" s="703" t="e">
        <f>IF(OR(O67="Oilseeds",O67="Vegetables"),VLOOKUP($D$79,IPCC!$A$8:$D$34,4,FALSE),IF($O67&lt;&gt;"Default",VLOOKUP($O67,IPCC!$A$8:$D$34,4,FALSE),VLOOKUP($D$79,IPCC!$A$8:$D$34,4,FALSE)))</f>
        <v>#N/A</v>
      </c>
      <c r="V67" s="703" t="e">
        <f>IF(OR(O67="Oilseeds",O67="Vegetables"),VLOOKUP($D$79, IPCC!$A$8:$E$34, 5, FALSE),IF($O67 &lt;&gt;"Default", VLOOKUP($O67, IPCC!$A$8:$E$34, 5, FALSE), VLOOKUP($D$79, IPCC!$A$8:$E$34, 5, FALSE)))</f>
        <v>#N/A</v>
      </c>
      <c r="W67" s="703" t="e">
        <f>IF(OR(O67="Oilseeds",O67="Vegetables"),VLOOKUP($D$79, IPCC!$A$8:$F$34, 6, FALSE),IF($O67 &lt;&gt;"Default", VLOOKUP($O67, IPCC!$A$8:$F$34, 6, FALSE), VLOOKUP($D$79, IPCC!$A$8:$F$34, 6, FALSE)))</f>
        <v>#N/A</v>
      </c>
      <c r="X67" s="703" t="e">
        <f t="shared" si="28"/>
        <v>#N/A</v>
      </c>
    </row>
    <row r="68" spans="2:24" ht="15" customHeight="1" x14ac:dyDescent="0.2">
      <c r="C68" s="862" t="str">
        <f t="shared" ref="C68:C77" si="29">C16</f>
        <v/>
      </c>
      <c r="D68" s="711" t="str">
        <f>'3.Cropland'!E25</f>
        <v>Maize</v>
      </c>
      <c r="E68" s="702" t="str">
        <f>IF(D68&lt;&gt;"Default", CONCATENATE(continent_selected,VLOOKUP(D68, list_region_country!$C$29:$D$46, 2, FALSE)), CONCATENATE(continent_selected,annual!$D$80))</f>
        <v>EuropeMaize</v>
      </c>
      <c r="F68" s="4406">
        <f>IFERROR(VLOOKUP(E68,Stats_yield_ton_per_ha!$A$9:$L$289, 12, FALSE)*1000,0)</f>
        <v>6856.5199999999995</v>
      </c>
      <c r="G68" s="4127">
        <f>IF('3.Cropland'!$M25&lt;&gt;"", '3.Cropland'!$M25*1000, annual!$F68)</f>
        <v>6856.5199999999995</v>
      </c>
      <c r="H68" s="4128">
        <f>_xlfn.IFNA(IF('3.Cropland'!$BB25 &lt;&gt;"", '3.Cropland'!$BB25 *1000,IF($D68&lt;&gt;"Default",($G68*VLOOKUP($D68,IPCC!$A$8:$C$32,2,FALSE)+VLOOKUP($D68,IPCC!$A$8:$C$32,3,FALSE)),(($G68*VLOOKUP(annual!$D$79,IPCC!$A$8:$C$32,2,FALSE)+VLOOKUP($D$79,IPCC!$A$8:$C$32,3,FALSE))))),0)</f>
        <v>7062.8255999999992</v>
      </c>
      <c r="I68" s="4408">
        <f>$H68/1000</f>
        <v>7.0628255999999991</v>
      </c>
      <c r="J68" s="4408">
        <f>IF(OR(D68="Oilseeds",D68="Vegetables"),VLOOKUP($D$79,IPCC!$A$8:$D$34,4,FALSE),IF($D68&lt;&gt;"Default",VLOOKUP($D68,IPCC!$A$8:$D$34,4,FALSE),VLOOKUP($D$79,IPCC!$A$8:$D$34,4,FALSE)))</f>
        <v>6.0000000000000001E-3</v>
      </c>
      <c r="K68" s="4408">
        <f>IF(OR(D68="Oilseeds",D68="Vegetables"), VLOOKUP($D$79, IPCC!$A$8:$E$34, 5, FALSE),IF($D68&lt;&gt;"Default", VLOOKUP($D68, IPCC!$A$8:$E$34, 5, FALSE), VLOOKUP($D$79, IPCC!$A$8:$E$34, 5, FALSE)))</f>
        <v>0.22</v>
      </c>
      <c r="L68" s="4128">
        <f>IF(OR(D68="Oilseeds",D68="Vegetables"),VLOOKUP($D$79, IPCC!$A$8:$F$34, 6, FALSE),IF($D68&lt;&gt;"Default", VLOOKUP($D68, IPCC!$A$8:$F$34, 6, FALSE), VLOOKUP($D$79, IPCC!$A$8:$F$34, 6, FALSE)))</f>
        <v>7.0000000000000001E-3</v>
      </c>
      <c r="M68" s="4411">
        <f>$H68*$J68+(($G68+$H68)*$K68)*$L68</f>
        <v>63.81274582399999</v>
      </c>
      <c r="N68" s="231"/>
      <c r="O68" s="707" t="str">
        <f>'3.Cropland'!$BH25</f>
        <v xml:space="preserve">None </v>
      </c>
      <c r="P68" s="707">
        <f>IFERROR(IF($O68 &lt;&gt;"Default", CONCATENATE(continent_selected,VLOOKUP($O68, list_region_country!$C$29:$D$46, 2, FALSE)), CONCATENATE(continent_selected,annual!$D$80)),0)</f>
        <v>0</v>
      </c>
      <c r="Q68" s="707" t="e">
        <f>(VLOOKUP($P68, Stats_yield_ton_per_ha!$A$2:$L$289, 12,FALSE )*1000)</f>
        <v>#N/A</v>
      </c>
      <c r="R68" s="707" t="e">
        <f>IF('3.Cropland'!$BI25&lt;&gt; "", '3.Cropland'!$BI25*1000, annual!$Q68)</f>
        <v>#N/A</v>
      </c>
      <c r="S68" s="707">
        <f>_xlfn.IFNA(IF('3.Cropland'!$BL25 &lt;&gt;"", '3.Cropland'!$BL25*1000, IF($O68&lt;&gt;"Default",($R68*VLOOKUP($O68,IPCC!$A$8:$C$32,2,FALSE)+VLOOKUP($O68,IPCC!$A$8:$C$32,3,FALSE)),(($R68*VLOOKUP(annual!$D$79,IPCC!$A$8:$C$32,2,FALSE)+VLOOKUP($D$79,IPCC!$A$8:$C$32,3,FALSE))))),0)</f>
        <v>0</v>
      </c>
      <c r="T68" s="707">
        <f>$S68/1000</f>
        <v>0</v>
      </c>
      <c r="U68" s="707" t="e">
        <f>IF(OR(O68="Oilseeds",O68="Vegetables"),VLOOKUP($D$79,IPCC!$A$8:$D$34,4,FALSE),IF($O68&lt;&gt;"Default",VLOOKUP($O68,IPCC!$A$8:$D$34,4,FALSE),VLOOKUP($D$79,IPCC!$A$8:$D$34,4,FALSE)))</f>
        <v>#N/A</v>
      </c>
      <c r="V68" s="707" t="e">
        <f>IF(OR(O68="Oilseeds",O68="Vegetables"),VLOOKUP($D$79, IPCC!$A$8:$E$34, 5, FALSE),IF($O68 &lt;&gt;"Default", VLOOKUP($O68, IPCC!$A$8:$E$34, 5, FALSE), VLOOKUP($D$79, IPCC!$A$8:$E$34, 5, FALSE)))</f>
        <v>#N/A</v>
      </c>
      <c r="W68" s="707" t="e">
        <f>IF(OR(O68="Oilseeds",O68="Vegetables"),VLOOKUP($D$79, IPCC!$A$8:$F$34, 6, FALSE),IF($O68 &lt;&gt;"Default", VLOOKUP($O68, IPCC!$A$8:$F$34, 6, FALSE), VLOOKUP($D$79, IPCC!$A$8:$F$34, 6, FALSE)))</f>
        <v>#N/A</v>
      </c>
      <c r="X68" s="709" t="e">
        <f t="shared" si="28"/>
        <v>#N/A</v>
      </c>
    </row>
    <row r="69" spans="2:24" ht="15" customHeight="1" x14ac:dyDescent="0.2">
      <c r="C69" s="862" t="str">
        <f t="shared" si="29"/>
        <v/>
      </c>
      <c r="D69" s="711" t="str">
        <f>'3.Cropland'!E26</f>
        <v>Default</v>
      </c>
      <c r="E69" s="703" t="str">
        <f>IF(D69&lt;&gt;"Default", CONCATENATE(continent_selected,VLOOKUP(D69, list_region_country!$C$29:$D$46, 2, FALSE)), CONCATENATE(continent_selected,annual!$D$80))</f>
        <v>EuropeDefault</v>
      </c>
      <c r="F69" s="4406">
        <f>IFERROR(VLOOKUP(E69,Stats_yield_ton_per_ha!$A$9:$L$289, 12, FALSE)*1000,0)</f>
        <v>6989.4484729649448</v>
      </c>
      <c r="G69" s="4113">
        <f>IF('3.Cropland'!$M26&lt;&gt;"", '3.Cropland'!$M26*1000, annual!$F69)</f>
        <v>6989.4484729649448</v>
      </c>
      <c r="H69" s="4129">
        <f>_xlfn.IFNA(IF('3.Cropland'!$BB26 &lt;&gt;"", '3.Cropland'!$BB26 *1000,IF($D69&lt;&gt;"Default",($G69*VLOOKUP($D69,IPCC!$A$8:$C$32,2,FALSE)+VLOOKUP($D69,IPCC!$A$8:$C$32,3,FALSE)),(($G69*VLOOKUP(annual!$D$79,IPCC!$A$8:$C$32,2,FALSE)+VLOOKUP($D$79,IPCC!$A$8:$C$32,3,FALSE))))),0)</f>
        <v>7619.3788355317902</v>
      </c>
      <c r="I69" s="4409">
        <f t="shared" ref="I69:I77" si="30">$H69/1000</f>
        <v>7.6193788355317897</v>
      </c>
      <c r="J69" s="4409">
        <f>IF(OR(D69="Oilseeds",D69="Vegetables"),VLOOKUP($D$79,IPCC!$A$8:$D$34,4,FALSE),IF($D69&lt;&gt;"Default",VLOOKUP($D69,IPCC!$A$8:$D$34,4,FALSE),VLOOKUP($D$79,IPCC!$A$8:$D$34,4,FALSE)))</f>
        <v>6.0000000000000001E-3</v>
      </c>
      <c r="K69" s="4409">
        <f>IF(OR(D69="Oilseeds",D69="Vegetables"), VLOOKUP($D$79, IPCC!$A$8:$E$34, 5, FALSE),IF($D69&lt;&gt;"Default", VLOOKUP($D69, IPCC!$A$8:$E$34, 5, FALSE), VLOOKUP($D$79, IPCC!$A$8:$E$34, 5, FALSE)))</f>
        <v>0.22</v>
      </c>
      <c r="L69" s="4129">
        <f>IF(OR(D69="Oilseeds",D69="Vegetables"),VLOOKUP($D$79, IPCC!$A$8:$F$34, 6, FALSE),IF($D69&lt;&gt;"Default", VLOOKUP($D69, IPCC!$A$8:$F$34, 6, FALSE), VLOOKUP($D$79, IPCC!$A$8:$F$34, 6, FALSE)))</f>
        <v>8.9999999999999993E-3</v>
      </c>
      <c r="M69" s="4412">
        <f t="shared" ref="M69:M77" si="31">$H69*$J69+(($G69+$H69)*$K69)*$L69</f>
        <v>74.641751084014274</v>
      </c>
      <c r="O69" s="710" t="str">
        <f>'3.Cropland'!$BH26</f>
        <v xml:space="preserve">None </v>
      </c>
      <c r="P69" s="710">
        <f>IFERROR(IF($O69 &lt;&gt;"Default", CONCATENATE(continent_selected,VLOOKUP($O69, list_region_country!$C$29:$D$46, 2, FALSE)), CONCATENATE(continent_selected,annual!$D$80)),0)</f>
        <v>0</v>
      </c>
      <c r="Q69" s="710" t="e">
        <f>(VLOOKUP($P69, Stats_yield_ton_per_ha!$A$2:$L$289, 12,FALSE )*1000)</f>
        <v>#N/A</v>
      </c>
      <c r="R69" s="710" t="e">
        <f>IF('3.Cropland'!$BI26&lt;&gt; "", '3.Cropland'!$BI26*1000, annual!$Q69)</f>
        <v>#N/A</v>
      </c>
      <c r="S69" s="710">
        <f>_xlfn.IFNA(IF('3.Cropland'!$BL26 &lt;&gt;"", '3.Cropland'!$BL26*1000, IF($O69&lt;&gt;"Default",($R69*VLOOKUP($O69,IPCC!$A$8:$C$32,2,FALSE)+VLOOKUP($O69,IPCC!$A$8:$C$32,3,FALSE)),(($R69*VLOOKUP(annual!$D$79,IPCC!$A$8:$C$32,2,FALSE)+VLOOKUP($D$79,IPCC!$A$8:$C$32,3,FALSE))))),0)</f>
        <v>0</v>
      </c>
      <c r="T69" s="710">
        <f t="shared" ref="T69:T77" si="32">$S69/1000</f>
        <v>0</v>
      </c>
      <c r="U69" s="710" t="e">
        <f>IF(OR(O69="Oilseeds",O69="Vegetables"),VLOOKUP($D$79,IPCC!$A$8:$D$34,4,FALSE),IF($O69&lt;&gt;"Default",VLOOKUP($O69,IPCC!$A$8:$D$34,4,FALSE),VLOOKUP($D$79,IPCC!$A$8:$D$34,4,FALSE)))</f>
        <v>#N/A</v>
      </c>
      <c r="V69" s="710" t="e">
        <f>IF(OR(O69="Oilseeds",O69="Vegetables"),VLOOKUP($D$79, IPCC!$A$8:$E$34, 5, FALSE),IF($O69 &lt;&gt;"Default", VLOOKUP($O69, IPCC!$A$8:$E$34, 5, FALSE), VLOOKUP($D$79, IPCC!$A$8:$E$34, 5, FALSE)))</f>
        <v>#N/A</v>
      </c>
      <c r="W69" s="710" t="e">
        <f>IF(OR(O69="Oilseeds",O69="Vegetables"),VLOOKUP($D$79, IPCC!$A$8:$F$34, 6, FALSE),IF($O69 &lt;&gt;"Default", VLOOKUP($O69, IPCC!$A$8:$F$34, 6, FALSE), VLOOKUP($D$79, IPCC!$A$8:$F$34, 6, FALSE)))</f>
        <v>#N/A</v>
      </c>
      <c r="X69" s="712" t="e">
        <f t="shared" si="28"/>
        <v>#N/A</v>
      </c>
    </row>
    <row r="70" spans="2:24" ht="15" customHeight="1" x14ac:dyDescent="0.2">
      <c r="C70" s="862" t="str">
        <f t="shared" si="29"/>
        <v/>
      </c>
      <c r="D70" s="711" t="str">
        <f>'3.Cropland'!E27</f>
        <v>Default</v>
      </c>
      <c r="E70" s="703" t="str">
        <f>IF(D70&lt;&gt;"Default", CONCATENATE(continent_selected,VLOOKUP(D70, list_region_country!$C$29:$D$46, 2, FALSE)), CONCATENATE(continent_selected,annual!$D$80))</f>
        <v>EuropeDefault</v>
      </c>
      <c r="F70" s="4406">
        <f>IFERROR(VLOOKUP(E70,Stats_yield_ton_per_ha!$A$9:$L$289, 12, FALSE)*1000,0)</f>
        <v>6989.4484729649448</v>
      </c>
      <c r="G70" s="4113">
        <f>IF('3.Cropland'!$M27&lt;&gt;"", '3.Cropland'!$M27*1000, annual!$F70)</f>
        <v>6989.4484729649448</v>
      </c>
      <c r="H70" s="4129">
        <f>_xlfn.IFNA(IF('3.Cropland'!$BB27 &lt;&gt;"", '3.Cropland'!$BB27 *1000,IF($D70&lt;&gt;"Default",($G70*VLOOKUP($D70,IPCC!$A$8:$C$32,2,FALSE)+VLOOKUP($D70,IPCC!$A$8:$C$32,3,FALSE)),(($G70*VLOOKUP(annual!$D$79,IPCC!$A$8:$C$32,2,FALSE)+VLOOKUP($D$79,IPCC!$A$8:$C$32,3,FALSE))))),0)</f>
        <v>7619.3788355317902</v>
      </c>
      <c r="I70" s="4409">
        <f t="shared" si="30"/>
        <v>7.6193788355317897</v>
      </c>
      <c r="J70" s="4409">
        <f>IF(OR(D70="Oilseeds",D70="Vegetables"),VLOOKUP($D$79,IPCC!$A$8:$D$34,4,FALSE),IF($D70&lt;&gt;"Default",VLOOKUP($D70,IPCC!$A$8:$D$34,4,FALSE),VLOOKUP($D$79,IPCC!$A$8:$D$34,4,FALSE)))</f>
        <v>6.0000000000000001E-3</v>
      </c>
      <c r="K70" s="4409">
        <f>IF(OR(D70="Oilseeds",D70="Vegetables"), VLOOKUP($D$79, IPCC!$A$8:$E$34, 5, FALSE),IF($D70&lt;&gt;"Default", VLOOKUP($D70, IPCC!$A$8:$E$34, 5, FALSE), VLOOKUP($D$79, IPCC!$A$8:$E$34, 5, FALSE)))</f>
        <v>0.22</v>
      </c>
      <c r="L70" s="4129">
        <f>IF(OR(D70="Oilseeds",D70="Vegetables"),VLOOKUP($D$79, IPCC!$A$8:$F$34, 6, FALSE),IF($D70&lt;&gt;"Default", VLOOKUP($D70, IPCC!$A$8:$F$34, 6, FALSE), VLOOKUP($D$79, IPCC!$A$8:$F$34, 6, FALSE)))</f>
        <v>8.9999999999999993E-3</v>
      </c>
      <c r="M70" s="4412">
        <f t="shared" si="31"/>
        <v>74.641751084014274</v>
      </c>
      <c r="O70" s="710" t="str">
        <f>'3.Cropland'!$BH27</f>
        <v xml:space="preserve">None </v>
      </c>
      <c r="P70" s="710">
        <f>IFERROR(IF($O70 &lt;&gt;"Default", CONCATENATE(continent_selected,VLOOKUP($O70, list_region_country!$C$29:$D$46, 2, FALSE)), CONCATENATE(continent_selected,annual!$D$80)),0)</f>
        <v>0</v>
      </c>
      <c r="Q70" s="710" t="e">
        <f>(VLOOKUP($P70, Stats_yield_ton_per_ha!$A$2:$L$289, 12,FALSE )*1000)</f>
        <v>#N/A</v>
      </c>
      <c r="R70" s="710" t="e">
        <f>IF('3.Cropland'!$BI27&lt;&gt; "", '3.Cropland'!$BI27*1000, annual!$Q70)</f>
        <v>#N/A</v>
      </c>
      <c r="S70" s="710">
        <f>_xlfn.IFNA(IF('3.Cropland'!$BL27 &lt;&gt;"", '3.Cropland'!$BL27*1000, IF($O70&lt;&gt;"Default",($R70*VLOOKUP($O70,IPCC!$A$8:$C$32,2,FALSE)+VLOOKUP($O70,IPCC!$A$8:$C$32,3,FALSE)),(($R70*VLOOKUP(annual!$D$79,IPCC!$A$8:$C$32,2,FALSE)+VLOOKUP($D$79,IPCC!$A$8:$C$32,3,FALSE))))),0)</f>
        <v>0</v>
      </c>
      <c r="T70" s="710">
        <f t="shared" si="32"/>
        <v>0</v>
      </c>
      <c r="U70" s="710" t="e">
        <f>IF(OR(O70="Oilseeds",O70="Vegetables"),VLOOKUP($D$79,IPCC!$A$8:$D$34,4,FALSE),IF($O70&lt;&gt;"Default",VLOOKUP($O70,IPCC!$A$8:$D$34,4,FALSE),VLOOKUP($D$79,IPCC!$A$8:$D$34,4,FALSE)))</f>
        <v>#N/A</v>
      </c>
      <c r="V70" s="710" t="e">
        <f>IF(OR(O70="Oilseeds",O70="Vegetables"),VLOOKUP($D$79, IPCC!$A$8:$E$34, 5, FALSE),IF($O70 &lt;&gt;"Default", VLOOKUP($O70, IPCC!$A$8:$E$34, 5, FALSE), VLOOKUP($D$79, IPCC!$A$8:$E$34, 5, FALSE)))</f>
        <v>#N/A</v>
      </c>
      <c r="W70" s="710" t="e">
        <f>IF(OR(O70="Oilseeds",O70="Vegetables"),VLOOKUP($D$79, IPCC!$A$8:$F$34, 6, FALSE),IF($O70 &lt;&gt;"Default", VLOOKUP($O70, IPCC!$A$8:$F$34, 6, FALSE), VLOOKUP($D$79, IPCC!$A$8:$F$34, 6, FALSE)))</f>
        <v>#N/A</v>
      </c>
      <c r="X70" s="712" t="e">
        <f t="shared" ref="X70:X77" si="33">($S70*$U70+(($R70+$S70)*$V70)*$W70)</f>
        <v>#N/A</v>
      </c>
    </row>
    <row r="71" spans="2:24" ht="15" customHeight="1" x14ac:dyDescent="0.2">
      <c r="C71" s="863" t="str">
        <f t="shared" si="29"/>
        <v/>
      </c>
      <c r="D71" s="851" t="str">
        <f>'3.Cropland'!E28</f>
        <v>Default</v>
      </c>
      <c r="E71" s="703" t="str">
        <f>IF(D71&lt;&gt;"Default", CONCATENATE(continent_selected,VLOOKUP(D71, list_region_country!$C$29:$D$46, 2, FALSE)), CONCATENATE(continent_selected,annual!$D$80))</f>
        <v>EuropeDefault</v>
      </c>
      <c r="F71" s="4406">
        <f>IFERROR(VLOOKUP(E71,Stats_yield_ton_per_ha!$A$9:$L$289, 12, FALSE)*1000,0)</f>
        <v>6989.4484729649448</v>
      </c>
      <c r="G71" s="4113">
        <f>IF('3.Cropland'!$M28&lt;&gt;"", '3.Cropland'!$M28*1000, annual!$F71)</f>
        <v>6989.4484729649448</v>
      </c>
      <c r="H71" s="4129">
        <f>_xlfn.IFNA(IF('3.Cropland'!$BB28 &lt;&gt;"", '3.Cropland'!$BB28 *1000,IF($D71&lt;&gt;"Default",($G71*VLOOKUP($D71,IPCC!$A$8:$C$32,2,FALSE)+VLOOKUP($D71,IPCC!$A$8:$C$32,3,FALSE)),(($G71*VLOOKUP(annual!$D$79,IPCC!$A$8:$C$32,2,FALSE)+VLOOKUP($D$79,IPCC!$A$8:$C$32,3,FALSE))))),0)</f>
        <v>7619.3788355317902</v>
      </c>
      <c r="I71" s="4409">
        <f t="shared" si="30"/>
        <v>7.6193788355317897</v>
      </c>
      <c r="J71" s="4409">
        <f>IF(OR(D71="Oilseeds",D71="Vegetables"),VLOOKUP($D$79,IPCC!$A$8:$D$34,4,FALSE),IF($D71&lt;&gt;"Default",VLOOKUP($D71,IPCC!$A$8:$D$34,4,FALSE),VLOOKUP($D$79,IPCC!$A$8:$D$34,4,FALSE)))</f>
        <v>6.0000000000000001E-3</v>
      </c>
      <c r="K71" s="4409">
        <f>IF(OR(D71="Oilseeds",D71="Vegetables"), VLOOKUP($D$79, IPCC!$A$8:$E$34, 5, FALSE),IF($D71&lt;&gt;"Default", VLOOKUP($D71, IPCC!$A$8:$E$34, 5, FALSE), VLOOKUP($D$79, IPCC!$A$8:$E$34, 5, FALSE)))</f>
        <v>0.22</v>
      </c>
      <c r="L71" s="4129">
        <f>IF(OR(D71="Oilseeds",D71="Vegetables"),VLOOKUP($D$79, IPCC!$A$8:$F$34, 6, FALSE),IF($D71&lt;&gt;"Default", VLOOKUP($D71, IPCC!$A$8:$F$34, 6, FALSE), VLOOKUP($D$79, IPCC!$A$8:$F$34, 6, FALSE)))</f>
        <v>8.9999999999999993E-3</v>
      </c>
      <c r="M71" s="4412">
        <f t="shared" si="31"/>
        <v>74.641751084014274</v>
      </c>
      <c r="O71" s="710" t="str">
        <f>'3.Cropland'!$BH28</f>
        <v xml:space="preserve">None </v>
      </c>
      <c r="P71" s="710">
        <f>IFERROR(IF($O71 &lt;&gt;"Default", CONCATENATE(continent_selected,VLOOKUP($O71, list_region_country!$C$29:$D$46, 2, FALSE)), CONCATENATE(continent_selected,annual!$D$80)),0)</f>
        <v>0</v>
      </c>
      <c r="Q71" s="710" t="e">
        <f>(VLOOKUP($P71, Stats_yield_ton_per_ha!$A$2:$L$289, 12,FALSE )*1000)</f>
        <v>#N/A</v>
      </c>
      <c r="R71" s="710" t="e">
        <f>IF('3.Cropland'!$BI28&lt;&gt; "", '3.Cropland'!$BI28*1000, annual!$Q71)</f>
        <v>#N/A</v>
      </c>
      <c r="S71" s="710">
        <f>_xlfn.IFNA(IF('3.Cropland'!$BL28 &lt;&gt;"", '3.Cropland'!$BL28*1000, IF($O71&lt;&gt;"Default",($R71*VLOOKUP($O71,IPCC!$A$8:$C$32,2,FALSE)+VLOOKUP($O71,IPCC!$A$8:$C$32,3,FALSE)),(($R71*VLOOKUP(annual!$D$79,IPCC!$A$8:$C$32,2,FALSE)+VLOOKUP($D$79,IPCC!$A$8:$C$32,3,FALSE))))),0)</f>
        <v>0</v>
      </c>
      <c r="T71" s="710">
        <f t="shared" si="32"/>
        <v>0</v>
      </c>
      <c r="U71" s="710" t="e">
        <f>IF(OR(O71="Oilseeds",O71="Vegetables"),VLOOKUP($D$79,IPCC!$A$8:$D$34,4,FALSE),IF($O71&lt;&gt;"Default",VLOOKUP($O71,IPCC!$A$8:$D$34,4,FALSE),VLOOKUP($D$79,IPCC!$A$8:$D$34,4,FALSE)))</f>
        <v>#N/A</v>
      </c>
      <c r="V71" s="710" t="e">
        <f>IF(OR(O71="Oilseeds",O71="Vegetables"),VLOOKUP($D$79, IPCC!$A$8:$E$34, 5, FALSE),IF($O71 &lt;&gt;"Default", VLOOKUP($O71, IPCC!$A$8:$E$34, 5, FALSE), VLOOKUP($D$79, IPCC!$A$8:$E$34, 5, FALSE)))</f>
        <v>#N/A</v>
      </c>
      <c r="W71" s="710" t="e">
        <f>IF(OR(O71="Oilseeds",O71="Vegetables"),VLOOKUP($D$79, IPCC!$A$8:$F$34, 6, FALSE),IF($O71 &lt;&gt;"Default", VLOOKUP($O71, IPCC!$A$8:$F$34, 6, FALSE), VLOOKUP($D$79, IPCC!$A$8:$F$34, 6, FALSE)))</f>
        <v>#N/A</v>
      </c>
      <c r="X71" s="712" t="e">
        <f t="shared" si="33"/>
        <v>#N/A</v>
      </c>
    </row>
    <row r="72" spans="2:24" ht="15" customHeight="1" x14ac:dyDescent="0.2">
      <c r="C72" s="863" t="str">
        <f t="shared" si="29"/>
        <v/>
      </c>
      <c r="D72" s="851" t="str">
        <f>'3.Cropland'!E29</f>
        <v>Default</v>
      </c>
      <c r="E72" s="703" t="str">
        <f>IF(D72&lt;&gt;"Default", CONCATENATE(continent_selected,VLOOKUP(D72, list_region_country!$C$29:$D$46, 2, FALSE)), CONCATENATE(continent_selected,annual!$D$80))</f>
        <v>EuropeDefault</v>
      </c>
      <c r="F72" s="4406">
        <f>IFERROR(VLOOKUP(E72,Stats_yield_ton_per_ha!$A$9:$L$289, 12, FALSE)*1000,0)</f>
        <v>6989.4484729649448</v>
      </c>
      <c r="G72" s="4113">
        <f>IF('3.Cropland'!$M29&lt;&gt;"", '3.Cropland'!$M29*1000, annual!$F72)</f>
        <v>6989.4484729649448</v>
      </c>
      <c r="H72" s="4129">
        <f>_xlfn.IFNA(IF('3.Cropland'!$BB29 &lt;&gt;"", '3.Cropland'!$BB29 *1000,IF($D72&lt;&gt;"Default",($G72*VLOOKUP($D72,IPCC!$A$8:$C$32,2,FALSE)+VLOOKUP($D72,IPCC!$A$8:$C$32,3,FALSE)),(($G72*VLOOKUP(annual!$D$79,IPCC!$A$8:$C$32,2,FALSE)+VLOOKUP($D$79,IPCC!$A$8:$C$32,3,FALSE))))),0)</f>
        <v>7619.3788355317902</v>
      </c>
      <c r="I72" s="4409">
        <f t="shared" si="30"/>
        <v>7.6193788355317897</v>
      </c>
      <c r="J72" s="4409">
        <f>IF(OR(D72="Oilseeds",D72="Vegetables"),VLOOKUP($D$79,IPCC!$A$8:$D$34,4,FALSE),IF($D72&lt;&gt;"Default",VLOOKUP($D72,IPCC!$A$8:$D$34,4,FALSE),VLOOKUP($D$79,IPCC!$A$8:$D$34,4,FALSE)))</f>
        <v>6.0000000000000001E-3</v>
      </c>
      <c r="K72" s="4409">
        <f>IF(OR(D72="Oilseeds",D72="Vegetables"), VLOOKUP($D$79, IPCC!$A$8:$E$34, 5, FALSE),IF($D72&lt;&gt;"Default", VLOOKUP($D72, IPCC!$A$8:$E$34, 5, FALSE), VLOOKUP($D$79, IPCC!$A$8:$E$34, 5, FALSE)))</f>
        <v>0.22</v>
      </c>
      <c r="L72" s="4129">
        <f>IF(OR(D72="Oilseeds",D72="Vegetables"),VLOOKUP($D$79, IPCC!$A$8:$F$34, 6, FALSE),IF($D72&lt;&gt;"Default", VLOOKUP($D72, IPCC!$A$8:$F$34, 6, FALSE), VLOOKUP($D$79, IPCC!$A$8:$F$34, 6, FALSE)))</f>
        <v>8.9999999999999993E-3</v>
      </c>
      <c r="M72" s="4412">
        <f t="shared" si="31"/>
        <v>74.641751084014274</v>
      </c>
      <c r="O72" s="710" t="str">
        <f>'3.Cropland'!$BH29</f>
        <v xml:space="preserve">None </v>
      </c>
      <c r="P72" s="710">
        <f>IFERROR(IF($O72 &lt;&gt;"Default", CONCATENATE(continent_selected,VLOOKUP($O72, list_region_country!$C$29:$D$46, 2, FALSE)), CONCATENATE(continent_selected,annual!$D$80)),0)</f>
        <v>0</v>
      </c>
      <c r="Q72" s="710" t="e">
        <f>(VLOOKUP($P72, Stats_yield_ton_per_ha!$A$2:$L$289, 12,FALSE )*1000)</f>
        <v>#N/A</v>
      </c>
      <c r="R72" s="710" t="e">
        <f>IF('3.Cropland'!$BI29&lt;&gt; "", '3.Cropland'!$BI29*1000, annual!$Q72)</f>
        <v>#N/A</v>
      </c>
      <c r="S72" s="710">
        <f>_xlfn.IFNA(IF('3.Cropland'!$BL29 &lt;&gt;"", '3.Cropland'!$BL29*1000, IF($O72&lt;&gt;"Default",($R72*VLOOKUP($O72,IPCC!$A$8:$C$32,2,FALSE)+VLOOKUP($O72,IPCC!$A$8:$C$32,3,FALSE)),(($R72*VLOOKUP(annual!$D$79,IPCC!$A$8:$C$32,2,FALSE)+VLOOKUP($D$79,IPCC!$A$8:$C$32,3,FALSE))))),0)</f>
        <v>0</v>
      </c>
      <c r="T72" s="710">
        <f t="shared" si="32"/>
        <v>0</v>
      </c>
      <c r="U72" s="710" t="e">
        <f>IF(OR(O72="Oilseeds",O72="Vegetables"),VLOOKUP($D$79,IPCC!$A$8:$D$34,4,FALSE),IF($O72&lt;&gt;"Default",VLOOKUP($O72,IPCC!$A$8:$D$34,4,FALSE),VLOOKUP($D$79,IPCC!$A$8:$D$34,4,FALSE)))</f>
        <v>#N/A</v>
      </c>
      <c r="V72" s="710" t="e">
        <f>IF(OR(O72="Oilseeds",O72="Vegetables"),VLOOKUP($D$79, IPCC!$A$8:$E$34, 5, FALSE),IF($O72 &lt;&gt;"Default", VLOOKUP($O72, IPCC!$A$8:$E$34, 5, FALSE), VLOOKUP($D$79, IPCC!$A$8:$E$34, 5, FALSE)))</f>
        <v>#N/A</v>
      </c>
      <c r="W72" s="710" t="e">
        <f>IF(OR(O72="Oilseeds",O72="Vegetables"),VLOOKUP($D$79, IPCC!$A$8:$F$34, 6, FALSE),IF($O72 &lt;&gt;"Default", VLOOKUP($O72, IPCC!$A$8:$F$34, 6, FALSE), VLOOKUP($D$79, IPCC!$A$8:$F$34, 6, FALSE)))</f>
        <v>#N/A</v>
      </c>
      <c r="X72" s="712" t="e">
        <f t="shared" si="33"/>
        <v>#N/A</v>
      </c>
    </row>
    <row r="73" spans="2:24" ht="15" customHeight="1" x14ac:dyDescent="0.2">
      <c r="C73" s="862" t="str">
        <f t="shared" si="29"/>
        <v/>
      </c>
      <c r="D73" s="711" t="str">
        <f>'3.Cropland'!E30</f>
        <v>Default</v>
      </c>
      <c r="E73" s="703" t="str">
        <f>IF(D73&lt;&gt;"Default", CONCATENATE(continent_selected,VLOOKUP(D73, list_region_country!$C$29:$D$46, 2, FALSE)), CONCATENATE(continent_selected,annual!$D$80))</f>
        <v>EuropeDefault</v>
      </c>
      <c r="F73" s="4406">
        <f>IFERROR(VLOOKUP(E73,Stats_yield_ton_per_ha!$A$9:$L$289, 12, FALSE)*1000,0)</f>
        <v>6989.4484729649448</v>
      </c>
      <c r="G73" s="4113">
        <f>IF('3.Cropland'!$M30&lt;&gt;"", '3.Cropland'!$M30*1000, annual!$F73)</f>
        <v>6989.4484729649448</v>
      </c>
      <c r="H73" s="4129">
        <f>_xlfn.IFNA(IF('3.Cropland'!$BB30 &lt;&gt;"", '3.Cropland'!$BB30 *1000,IF($D73&lt;&gt;"Default",($G73*VLOOKUP($D73,IPCC!$A$8:$C$32,2,FALSE)+VLOOKUP($D73,IPCC!$A$8:$C$32,3,FALSE)),(($G73*VLOOKUP(annual!$D$79,IPCC!$A$8:$C$32,2,FALSE)+VLOOKUP($D$79,IPCC!$A$8:$C$32,3,FALSE))))),0)</f>
        <v>7619.3788355317902</v>
      </c>
      <c r="I73" s="4409">
        <f t="shared" si="30"/>
        <v>7.6193788355317897</v>
      </c>
      <c r="J73" s="4409">
        <f>IF(OR(D73="Oilseeds",D73="Vegetables"),VLOOKUP($D$79,IPCC!$A$8:$D$34,4,FALSE),IF($D73&lt;&gt;"Default",VLOOKUP($D73,IPCC!$A$8:$D$34,4,FALSE),VLOOKUP($D$79,IPCC!$A$8:$D$34,4,FALSE)))</f>
        <v>6.0000000000000001E-3</v>
      </c>
      <c r="K73" s="4409">
        <f>IF(OR(D73="Oilseeds",D73="Vegetables"), VLOOKUP($D$79, IPCC!$A$8:$E$34, 5, FALSE),IF($D73&lt;&gt;"Default", VLOOKUP($D73, IPCC!$A$8:$E$34, 5, FALSE), VLOOKUP($D$79, IPCC!$A$8:$E$34, 5, FALSE)))</f>
        <v>0.22</v>
      </c>
      <c r="L73" s="4129">
        <f>IF(OR(D73="Oilseeds",D73="Vegetables"),VLOOKUP($D$79, IPCC!$A$8:$F$34, 6, FALSE),IF($D73&lt;&gt;"Default", VLOOKUP($D73, IPCC!$A$8:$F$34, 6, FALSE), VLOOKUP($D$79, IPCC!$A$8:$F$34, 6, FALSE)))</f>
        <v>8.9999999999999993E-3</v>
      </c>
      <c r="M73" s="4412">
        <f t="shared" si="31"/>
        <v>74.641751084014274</v>
      </c>
      <c r="O73" s="710" t="str">
        <f>'3.Cropland'!$BH30</f>
        <v xml:space="preserve">None </v>
      </c>
      <c r="P73" s="710">
        <f>IFERROR(IF($O73 &lt;&gt;"Default", CONCATENATE(continent_selected,VLOOKUP($O73, list_region_country!$C$29:$D$46, 2, FALSE)), CONCATENATE(continent_selected,annual!$D$80)),0)</f>
        <v>0</v>
      </c>
      <c r="Q73" s="710" t="e">
        <f>(VLOOKUP($P73, Stats_yield_ton_per_ha!$A$2:$L$289, 12,FALSE )*1000)</f>
        <v>#N/A</v>
      </c>
      <c r="R73" s="710" t="e">
        <f>IF('3.Cropland'!$BI30&lt;&gt; "", '3.Cropland'!$BI30*1000, annual!$Q73)</f>
        <v>#N/A</v>
      </c>
      <c r="S73" s="710">
        <f>_xlfn.IFNA(IF('3.Cropland'!$BL30 &lt;&gt;"", '3.Cropland'!$BL30*1000, IF($O73&lt;&gt;"Default",($R73*VLOOKUP($O73,IPCC!$A$8:$C$32,2,FALSE)+VLOOKUP($O73,IPCC!$A$8:$C$32,3,FALSE)),(($R73*VLOOKUP(annual!$D$79,IPCC!$A$8:$C$32,2,FALSE)+VLOOKUP($D$79,IPCC!$A$8:$C$32,3,FALSE))))),0)</f>
        <v>0</v>
      </c>
      <c r="T73" s="710">
        <f t="shared" si="32"/>
        <v>0</v>
      </c>
      <c r="U73" s="710" t="e">
        <f>IF(OR(O73="Oilseeds",O73="Vegetables"),VLOOKUP($D$79,IPCC!$A$8:$D$34,4,FALSE),IF($O73&lt;&gt;"Default",VLOOKUP($O73,IPCC!$A$8:$D$34,4,FALSE),VLOOKUP($D$79,IPCC!$A$8:$D$34,4,FALSE)))</f>
        <v>#N/A</v>
      </c>
      <c r="V73" s="710" t="e">
        <f>IF(OR(O73="Oilseeds",O73="Vegetables"),VLOOKUP($D$79, IPCC!$A$8:$E$34, 5, FALSE),IF($O73 &lt;&gt;"Default", VLOOKUP($O73, IPCC!$A$8:$E$34, 5, FALSE), VLOOKUP($D$79, IPCC!$A$8:$E$34, 5, FALSE)))</f>
        <v>#N/A</v>
      </c>
      <c r="W73" s="710" t="e">
        <f>IF(OR(O73="Oilseeds",O73="Vegetables"),VLOOKUP($D$79, IPCC!$A$8:$F$34, 6, FALSE),IF($O73 &lt;&gt;"Default", VLOOKUP($O73, IPCC!$A$8:$F$34, 6, FALSE), VLOOKUP($D$79, IPCC!$A$8:$F$34, 6, FALSE)))</f>
        <v>#N/A</v>
      </c>
      <c r="X73" s="712" t="e">
        <f t="shared" si="33"/>
        <v>#N/A</v>
      </c>
    </row>
    <row r="74" spans="2:24" ht="15" customHeight="1" x14ac:dyDescent="0.2">
      <c r="C74" s="862" t="str">
        <f t="shared" si="29"/>
        <v/>
      </c>
      <c r="D74" s="711" t="str">
        <f>'3.Cropland'!E31</f>
        <v>Default</v>
      </c>
      <c r="E74" s="703" t="str">
        <f>IF(D74&lt;&gt;"Default", CONCATENATE(continent_selected,VLOOKUP(D74, list_region_country!$C$29:$D$46, 2, FALSE)), CONCATENATE(continent_selected,annual!$D$80))</f>
        <v>EuropeDefault</v>
      </c>
      <c r="F74" s="4406">
        <f>IFERROR(VLOOKUP(E74,Stats_yield_ton_per_ha!$A$9:$L$289, 12, FALSE)*1000,0)</f>
        <v>6989.4484729649448</v>
      </c>
      <c r="G74" s="4113">
        <f>IF('3.Cropland'!$M31&lt;&gt;"", '3.Cropland'!$M31*1000, annual!$F74)</f>
        <v>6989.4484729649448</v>
      </c>
      <c r="H74" s="4129">
        <f>_xlfn.IFNA(IF('3.Cropland'!$BB31 &lt;&gt;"", '3.Cropland'!$BB31 *1000,IF($D74&lt;&gt;"Default",($G74*VLOOKUP($D74,IPCC!$A$8:$C$32,2,FALSE)+VLOOKUP($D74,IPCC!$A$8:$C$32,3,FALSE)),(($G74*VLOOKUP(annual!$D$79,IPCC!$A$8:$C$32,2,FALSE)+VLOOKUP($D$79,IPCC!$A$8:$C$32,3,FALSE))))),0)</f>
        <v>7619.3788355317902</v>
      </c>
      <c r="I74" s="4409">
        <f t="shared" si="30"/>
        <v>7.6193788355317897</v>
      </c>
      <c r="J74" s="4409">
        <f>IF(OR(D74="Oilseeds",D74="Vegetables"),VLOOKUP($D$79,IPCC!$A$8:$D$34,4,FALSE),IF($D74&lt;&gt;"Default",VLOOKUP($D74,IPCC!$A$8:$D$34,4,FALSE),VLOOKUP($D$79,IPCC!$A$8:$D$34,4,FALSE)))</f>
        <v>6.0000000000000001E-3</v>
      </c>
      <c r="K74" s="4409">
        <f>IF(OR(D74="Oilseeds",D74="Vegetables"), VLOOKUP($D$79, IPCC!$A$8:$E$34, 5, FALSE),IF($D74&lt;&gt;"Default", VLOOKUP($D74, IPCC!$A$8:$E$34, 5, FALSE), VLOOKUP($D$79, IPCC!$A$8:$E$34, 5, FALSE)))</f>
        <v>0.22</v>
      </c>
      <c r="L74" s="4129">
        <f>IF(OR(D74="Oilseeds",D74="Vegetables"),VLOOKUP($D$79, IPCC!$A$8:$F$34, 6, FALSE),IF($D74&lt;&gt;"Default", VLOOKUP($D74, IPCC!$A$8:$F$34, 6, FALSE), VLOOKUP($D$79, IPCC!$A$8:$F$34, 6, FALSE)))</f>
        <v>8.9999999999999993E-3</v>
      </c>
      <c r="M74" s="4412">
        <f t="shared" si="31"/>
        <v>74.641751084014274</v>
      </c>
      <c r="O74" s="710" t="str">
        <f>'3.Cropland'!$BH31</f>
        <v xml:space="preserve">None </v>
      </c>
      <c r="P74" s="710">
        <f>IFERROR(IF($O74 &lt;&gt;"Default", CONCATENATE(continent_selected,VLOOKUP($O74, list_region_country!$C$29:$D$46, 2, FALSE)), CONCATENATE(continent_selected,annual!$D$80)),0)</f>
        <v>0</v>
      </c>
      <c r="Q74" s="710" t="e">
        <f>(VLOOKUP($P74, Stats_yield_ton_per_ha!$A$2:$L$289, 12,FALSE )*1000)</f>
        <v>#N/A</v>
      </c>
      <c r="R74" s="710" t="e">
        <f>IF('3.Cropland'!$BI31&lt;&gt; "", '3.Cropland'!$BI31*1000, annual!$Q74)</f>
        <v>#N/A</v>
      </c>
      <c r="S74" s="710">
        <f>_xlfn.IFNA(IF('3.Cropland'!$BL31 &lt;&gt;"", '3.Cropland'!$BL31*1000, IF($O74&lt;&gt;"Default",($R74*VLOOKUP($O74,IPCC!$A$8:$C$32,2,FALSE)+VLOOKUP($O74,IPCC!$A$8:$C$32,3,FALSE)),(($R74*VLOOKUP(annual!$D$79,IPCC!$A$8:$C$32,2,FALSE)+VLOOKUP($D$79,IPCC!$A$8:$C$32,3,FALSE))))),0)</f>
        <v>0</v>
      </c>
      <c r="T74" s="710">
        <f t="shared" si="32"/>
        <v>0</v>
      </c>
      <c r="U74" s="710" t="e">
        <f>IF(OR(O74="Oilseeds",O74="Vegetables"),VLOOKUP($D$79,IPCC!$A$8:$D$34,4,FALSE),IF($O74&lt;&gt;"Default",VLOOKUP($O74,IPCC!$A$8:$D$34,4,FALSE),VLOOKUP($D$79,IPCC!$A$8:$D$34,4,FALSE)))</f>
        <v>#N/A</v>
      </c>
      <c r="V74" s="710" t="e">
        <f>IF(OR(O74="Oilseeds",O74="Vegetables"),VLOOKUP($D$79, IPCC!$A$8:$E$34, 5, FALSE),IF($O74 &lt;&gt;"Default", VLOOKUP($O74, IPCC!$A$8:$E$34, 5, FALSE), VLOOKUP($D$79, IPCC!$A$8:$E$34, 5, FALSE)))</f>
        <v>#N/A</v>
      </c>
      <c r="W74" s="710" t="e">
        <f>IF(OR(O74="Oilseeds",O74="Vegetables"),VLOOKUP($D$79, IPCC!$A$8:$F$34, 6, FALSE),IF($O74 &lt;&gt;"Default", VLOOKUP($O74, IPCC!$A$8:$F$34, 6, FALSE), VLOOKUP($D$79, IPCC!$A$8:$F$34, 6, FALSE)))</f>
        <v>#N/A</v>
      </c>
      <c r="X74" s="712" t="e">
        <f t="shared" si="33"/>
        <v>#N/A</v>
      </c>
    </row>
    <row r="75" spans="2:24" ht="15" customHeight="1" x14ac:dyDescent="0.2">
      <c r="C75" s="862" t="str">
        <f t="shared" si="29"/>
        <v/>
      </c>
      <c r="D75" s="711" t="str">
        <f>'3.Cropland'!E32</f>
        <v>Default</v>
      </c>
      <c r="E75" s="703" t="str">
        <f>IF(D75&lt;&gt;"Default", CONCATENATE(continent_selected,VLOOKUP(D75, list_region_country!$C$29:$D$46, 2, FALSE)), CONCATENATE(continent_selected,annual!$D$80))</f>
        <v>EuropeDefault</v>
      </c>
      <c r="F75" s="4406">
        <f>IFERROR(VLOOKUP(E75,Stats_yield_ton_per_ha!$A$9:$L$289, 12, FALSE)*1000,0)</f>
        <v>6989.4484729649448</v>
      </c>
      <c r="G75" s="4113">
        <f>IF('3.Cropland'!$M32&lt;&gt;"", '3.Cropland'!$M32*1000, annual!$F75)</f>
        <v>6989.4484729649448</v>
      </c>
      <c r="H75" s="4129">
        <f>_xlfn.IFNA(IF('3.Cropland'!$BB32 &lt;&gt;"", '3.Cropland'!$BB32 *1000,IF($D75&lt;&gt;"Default",($G75*VLOOKUP($D75,IPCC!$A$8:$C$32,2,FALSE)+VLOOKUP($D75,IPCC!$A$8:$C$32,3,FALSE)),(($G75*VLOOKUP(annual!$D$79,IPCC!$A$8:$C$32,2,FALSE)+VLOOKUP($D$79,IPCC!$A$8:$C$32,3,FALSE))))),0)</f>
        <v>7619.3788355317902</v>
      </c>
      <c r="I75" s="4409">
        <f t="shared" si="30"/>
        <v>7.6193788355317897</v>
      </c>
      <c r="J75" s="4409">
        <f>IF(OR(D75="Oilseeds",D75="Vegetables"),VLOOKUP($D$79,IPCC!$A$8:$D$34,4,FALSE),IF($D75&lt;&gt;"Default",VLOOKUP($D75,IPCC!$A$8:$D$34,4,FALSE),VLOOKUP($D$79,IPCC!$A$8:$D$34,4,FALSE)))</f>
        <v>6.0000000000000001E-3</v>
      </c>
      <c r="K75" s="4409">
        <f>IF(OR(D75="Oilseeds",D75="Vegetables"), VLOOKUP($D$79, IPCC!$A$8:$E$34, 5, FALSE),IF($D75&lt;&gt;"Default", VLOOKUP($D75, IPCC!$A$8:$E$34, 5, FALSE), VLOOKUP($D$79, IPCC!$A$8:$E$34, 5, FALSE)))</f>
        <v>0.22</v>
      </c>
      <c r="L75" s="4129">
        <f>IF(OR(D75="Oilseeds",D75="Vegetables"),VLOOKUP($D$79, IPCC!$A$8:$F$34, 6, FALSE),IF($D75&lt;&gt;"Default", VLOOKUP($D75, IPCC!$A$8:$F$34, 6, FALSE), VLOOKUP($D$79, IPCC!$A$8:$F$34, 6, FALSE)))</f>
        <v>8.9999999999999993E-3</v>
      </c>
      <c r="M75" s="4412">
        <f t="shared" si="31"/>
        <v>74.641751084014274</v>
      </c>
      <c r="O75" s="710" t="str">
        <f>'3.Cropland'!$BH32</f>
        <v xml:space="preserve">None </v>
      </c>
      <c r="P75" s="710">
        <f>IFERROR(IF($O75 &lt;&gt;"Default", CONCATENATE(continent_selected,VLOOKUP($O75, list_region_country!$C$29:$D$46, 2, FALSE)), CONCATENATE(continent_selected,annual!$D$80)),0)</f>
        <v>0</v>
      </c>
      <c r="Q75" s="710" t="e">
        <f>(VLOOKUP($P75, Stats_yield_ton_per_ha!$A$2:$L$289, 12,FALSE )*1000)</f>
        <v>#N/A</v>
      </c>
      <c r="R75" s="710" t="e">
        <f>IF('3.Cropland'!$BI32&lt;&gt; "", '3.Cropland'!$BI32*1000, annual!$Q75)</f>
        <v>#N/A</v>
      </c>
      <c r="S75" s="710">
        <f>_xlfn.IFNA(IF('3.Cropland'!$BL32 &lt;&gt;"", '3.Cropland'!$BL32*1000, IF($O75&lt;&gt;"Default",($R75*VLOOKUP($O75,IPCC!$A$8:$C$32,2,FALSE)+VLOOKUP($O75,IPCC!$A$8:$C$32,3,FALSE)),(($R75*VLOOKUP(annual!$D$79,IPCC!$A$8:$C$32,2,FALSE)+VLOOKUP($D$79,IPCC!$A$8:$C$32,3,FALSE))))),0)</f>
        <v>0</v>
      </c>
      <c r="T75" s="710">
        <f t="shared" si="32"/>
        <v>0</v>
      </c>
      <c r="U75" s="710" t="e">
        <f>IF(OR(O75="Oilseeds",O75="Vegetables"),VLOOKUP($D$79,IPCC!$A$8:$D$34,4,FALSE),IF($O75&lt;&gt;"Default",VLOOKUP($O75,IPCC!$A$8:$D$34,4,FALSE),VLOOKUP($D$79,IPCC!$A$8:$D$34,4,FALSE)))</f>
        <v>#N/A</v>
      </c>
      <c r="V75" s="710" t="e">
        <f>IF(OR(O75="Oilseeds",O75="Vegetables"),VLOOKUP($D$79, IPCC!$A$8:$E$34, 5, FALSE),IF($O75 &lt;&gt;"Default", VLOOKUP($O75, IPCC!$A$8:$E$34, 5, FALSE), VLOOKUP($D$79, IPCC!$A$8:$E$34, 5, FALSE)))</f>
        <v>#N/A</v>
      </c>
      <c r="W75" s="710" t="e">
        <f>IF(OR(O75="Oilseeds",O75="Vegetables"),VLOOKUP($D$79, IPCC!$A$8:$F$34, 6, FALSE),IF($O75 &lt;&gt;"Default", VLOOKUP($O75, IPCC!$A$8:$F$34, 6, FALSE), VLOOKUP($D$79, IPCC!$A$8:$F$34, 6, FALSE)))</f>
        <v>#N/A</v>
      </c>
      <c r="X75" s="712" t="e">
        <f t="shared" si="33"/>
        <v>#N/A</v>
      </c>
    </row>
    <row r="76" spans="2:24" ht="15" customHeight="1" x14ac:dyDescent="0.2">
      <c r="C76" s="862" t="str">
        <f t="shared" si="29"/>
        <v/>
      </c>
      <c r="D76" s="711" t="str">
        <f>'3.Cropland'!E33</f>
        <v>Default</v>
      </c>
      <c r="E76" s="703" t="str">
        <f>IF(D76&lt;&gt;"Default", CONCATENATE(continent_selected,VLOOKUP(D76, list_region_country!$C$29:$D$46, 2, FALSE)), CONCATENATE(continent_selected,annual!$D$80))</f>
        <v>EuropeDefault</v>
      </c>
      <c r="F76" s="4406">
        <f>IFERROR(VLOOKUP(E76,Stats_yield_ton_per_ha!$A$9:$L$289, 12, FALSE)*1000,0)</f>
        <v>6989.4484729649448</v>
      </c>
      <c r="G76" s="4113">
        <f>IF('3.Cropland'!$M33&lt;&gt;"", '3.Cropland'!$M33*1000, annual!$F76)</f>
        <v>6989.4484729649448</v>
      </c>
      <c r="H76" s="4129">
        <f>_xlfn.IFNA(IF('3.Cropland'!$BB33 &lt;&gt;"", '3.Cropland'!$BB33 *1000,IF($D76&lt;&gt;"Default",($G76*VLOOKUP($D76,IPCC!$A$8:$C$32,2,FALSE)+VLOOKUP($D76,IPCC!$A$8:$C$32,3,FALSE)),(($G76*VLOOKUP(annual!$D$79,IPCC!$A$8:$C$32,2,FALSE)+VLOOKUP($D$79,IPCC!$A$8:$C$32,3,FALSE))))),0)</f>
        <v>7619.3788355317902</v>
      </c>
      <c r="I76" s="4409">
        <f t="shared" si="30"/>
        <v>7.6193788355317897</v>
      </c>
      <c r="J76" s="4409">
        <f>IF(OR(D76="Oilseeds",D76="Vegetables"),VLOOKUP($D$79,IPCC!$A$8:$D$34,4,FALSE),IF($D76&lt;&gt;"Default",VLOOKUP($D76,IPCC!$A$8:$D$34,4,FALSE),VLOOKUP($D$79,IPCC!$A$8:$D$34,4,FALSE)))</f>
        <v>6.0000000000000001E-3</v>
      </c>
      <c r="K76" s="4409">
        <f>IF(OR(D76="Oilseeds",D76="Vegetables"), VLOOKUP($D$79, IPCC!$A$8:$E$34, 5, FALSE),IF($D76&lt;&gt;"Default", VLOOKUP($D76, IPCC!$A$8:$E$34, 5, FALSE), VLOOKUP($D$79, IPCC!$A$8:$E$34, 5, FALSE)))</f>
        <v>0.22</v>
      </c>
      <c r="L76" s="4129">
        <f>IF(OR(D76="Oilseeds",D76="Vegetables"),VLOOKUP($D$79, IPCC!$A$8:$F$34, 6, FALSE),IF($D76&lt;&gt;"Default", VLOOKUP($D76, IPCC!$A$8:$F$34, 6, FALSE), VLOOKUP($D$79, IPCC!$A$8:$F$34, 6, FALSE)))</f>
        <v>8.9999999999999993E-3</v>
      </c>
      <c r="M76" s="4412">
        <f t="shared" si="31"/>
        <v>74.641751084014274</v>
      </c>
      <c r="O76" s="710" t="str">
        <f>'3.Cropland'!$BH33</f>
        <v xml:space="preserve">None </v>
      </c>
      <c r="P76" s="710">
        <f>IFERROR(IF($O76 &lt;&gt;"Default", CONCATENATE(continent_selected,VLOOKUP($O76, list_region_country!$C$29:$D$46, 2, FALSE)), CONCATENATE(continent_selected,annual!$D$80)),0)</f>
        <v>0</v>
      </c>
      <c r="Q76" s="710" t="e">
        <f>(VLOOKUP($P76, Stats_yield_ton_per_ha!$A$2:$L$289, 12,FALSE )*1000)</f>
        <v>#N/A</v>
      </c>
      <c r="R76" s="710" t="e">
        <f>IF('3.Cropland'!$BI33&lt;&gt; "", '3.Cropland'!$BI33*1000, annual!$Q76)</f>
        <v>#N/A</v>
      </c>
      <c r="S76" s="710">
        <f>_xlfn.IFNA(IF('3.Cropland'!$BL33 &lt;&gt;"", '3.Cropland'!$BL33*1000, IF($O76&lt;&gt;"Default",($R76*VLOOKUP($O76,IPCC!$A$8:$C$32,2,FALSE)+VLOOKUP($O76,IPCC!$A$8:$C$32,3,FALSE)),(($R76*VLOOKUP(annual!$D$79,IPCC!$A$8:$C$32,2,FALSE)+VLOOKUP($D$79,IPCC!$A$8:$C$32,3,FALSE))))),0)</f>
        <v>0</v>
      </c>
      <c r="T76" s="710">
        <f t="shared" si="32"/>
        <v>0</v>
      </c>
      <c r="U76" s="710" t="e">
        <f>IF(OR(O76="Oilseeds",O76="Vegetables"),VLOOKUP($D$79,IPCC!$A$8:$D$34,4,FALSE),IF($O76&lt;&gt;"Default",VLOOKUP($O76,IPCC!$A$8:$D$34,4,FALSE),VLOOKUP($D$79,IPCC!$A$8:$D$34,4,FALSE)))</f>
        <v>#N/A</v>
      </c>
      <c r="V76" s="710" t="e">
        <f>IF(OR(O76="Oilseeds",O76="Vegetables"),VLOOKUP($D$79, IPCC!$A$8:$E$34, 5, FALSE),IF($O76 &lt;&gt;"Default", VLOOKUP($O76, IPCC!$A$8:$E$34, 5, FALSE), VLOOKUP($D$79, IPCC!$A$8:$E$34, 5, FALSE)))</f>
        <v>#N/A</v>
      </c>
      <c r="W76" s="710" t="e">
        <f>IF(OR(O76="Oilseeds",O76="Vegetables"),VLOOKUP($D$79, IPCC!$A$8:$F$34, 6, FALSE),IF($O76 &lt;&gt;"Default", VLOOKUP($O76, IPCC!$A$8:$F$34, 6, FALSE), VLOOKUP($D$79, IPCC!$A$8:$F$34, 6, FALSE)))</f>
        <v>#N/A</v>
      </c>
      <c r="X76" s="712" t="e">
        <f t="shared" si="33"/>
        <v>#N/A</v>
      </c>
    </row>
    <row r="77" spans="2:24" x14ac:dyDescent="0.2">
      <c r="C77" s="862" t="str">
        <f t="shared" si="29"/>
        <v/>
      </c>
      <c r="D77" s="714" t="str">
        <f>'3.Cropland'!E34</f>
        <v>Default</v>
      </c>
      <c r="E77" s="704" t="str">
        <f>IF(D77&lt;&gt;"Default", CONCATENATE(continent_selected,VLOOKUP(D77, list_region_country!$C$29:$D$46, 2, FALSE)), CONCATENATE(continent_selected,annual!$D$80))</f>
        <v>EuropeDefault</v>
      </c>
      <c r="F77" s="4407">
        <f>IFERROR(VLOOKUP(E77,Stats_yield_ton_per_ha!$A$9:$L$289, 12, FALSE)*1000,0)</f>
        <v>6989.4484729649448</v>
      </c>
      <c r="G77" s="826">
        <f>IF('3.Cropland'!$M34&lt;&gt;"", '3.Cropland'!$M34*1000, annual!$F77)</f>
        <v>6989.4484729649448</v>
      </c>
      <c r="H77" s="4130">
        <f>_xlfn.IFNA(IF('3.Cropland'!$BB34 &lt;&gt;"", '3.Cropland'!$BB34 *1000,IF($D77&lt;&gt;"Default",($G77*VLOOKUP($D77,IPCC!$A$8:$C$32,2,FALSE)+VLOOKUP($D77,IPCC!$A$8:$C$32,3,FALSE)),(($G77*VLOOKUP(annual!$D$79,IPCC!$A$8:$C$32,2,FALSE)+VLOOKUP($D$79,IPCC!$A$8:$C$32,3,FALSE))))),0)</f>
        <v>7619.3788355317902</v>
      </c>
      <c r="I77" s="4410">
        <f t="shared" si="30"/>
        <v>7.6193788355317897</v>
      </c>
      <c r="J77" s="4410">
        <f>IF(OR(D77="Oilseeds",D77="Vegetables"),VLOOKUP($D$79,IPCC!$A$8:$D$34,4,FALSE),IF($D77&lt;&gt;"Default",VLOOKUP($D77,IPCC!$A$8:$D$34,4,FALSE),VLOOKUP($D$79,IPCC!$A$8:$D$34,4,FALSE)))</f>
        <v>6.0000000000000001E-3</v>
      </c>
      <c r="K77" s="4410">
        <f>IF(OR(D77="Oilseeds",D77="Vegetables"), VLOOKUP($D$79, IPCC!$A$8:$E$34, 5, FALSE),IF($D77&lt;&gt;"Default", VLOOKUP($D77, IPCC!$A$8:$E$34, 5, FALSE), VLOOKUP($D$79, IPCC!$A$8:$E$34, 5, FALSE)))</f>
        <v>0.22</v>
      </c>
      <c r="L77" s="4130">
        <f>IF(OR(D77="Oilseeds",D77="Vegetables"),VLOOKUP($D$79, IPCC!$A$8:$F$34, 6, FALSE),IF($D77&lt;&gt;"Default", VLOOKUP($D77, IPCC!$A$8:$F$34, 6, FALSE), VLOOKUP($D$79, IPCC!$A$8:$F$34, 6, FALSE)))</f>
        <v>8.9999999999999993E-3</v>
      </c>
      <c r="M77" s="4413">
        <f t="shared" si="31"/>
        <v>74.641751084014274</v>
      </c>
      <c r="O77" s="713" t="str">
        <f>'3.Cropland'!$BH34</f>
        <v xml:space="preserve">None </v>
      </c>
      <c r="P77" s="713">
        <f>IFERROR(IF($O77 &lt;&gt;"Default", CONCATENATE(continent_selected,VLOOKUP($O77, list_region_country!$C$29:$D$46, 2, FALSE)), CONCATENATE(continent_selected,annual!$D$80)),0)</f>
        <v>0</v>
      </c>
      <c r="Q77" s="713" t="e">
        <f>(VLOOKUP($P77, Stats_yield_ton_per_ha!$A$2:$L$289, 12,FALSE )*1000)</f>
        <v>#N/A</v>
      </c>
      <c r="R77" s="713" t="e">
        <f>IF('3.Cropland'!$BI34&lt;&gt; "", '3.Cropland'!$BI34*1000, annual!$Q77)</f>
        <v>#N/A</v>
      </c>
      <c r="S77" s="713">
        <f>_xlfn.IFNA(IF('3.Cropland'!$BL34 &lt;&gt;"", '3.Cropland'!$BL34*1000, IF($O77&lt;&gt;"Default",($R77*VLOOKUP($O77,IPCC!$A$8:$C$32,2,FALSE)+VLOOKUP($O77,IPCC!$A$8:$C$32,3,FALSE)),(($R77*VLOOKUP(annual!$D$79,IPCC!$A$8:$C$32,2,FALSE)+VLOOKUP($D$79,IPCC!$A$8:$C$32,3,FALSE))))),0)</f>
        <v>0</v>
      </c>
      <c r="T77" s="713">
        <f t="shared" si="32"/>
        <v>0</v>
      </c>
      <c r="U77" s="713" t="e">
        <f>IF(OR(O77="Oilseeds",O77="Vegetables"),VLOOKUP($D$79,IPCC!$A$8:$D$34,4,FALSE),IF($O77&lt;&gt;"Default",VLOOKUP($O77,IPCC!$A$8:$D$34,4,FALSE),VLOOKUP($D$79,IPCC!$A$8:$D$34,4,FALSE)))</f>
        <v>#N/A</v>
      </c>
      <c r="V77" s="713" t="e">
        <f>IF(OR(O77="Oilseeds",O77="Vegetables"),VLOOKUP($D$79, IPCC!$A$8:$E$34, 5, FALSE),IF($O77 &lt;&gt;"Default", VLOOKUP($O77, IPCC!$A$8:$E$34, 5, FALSE), VLOOKUP($D$79, IPCC!$A$8:$E$34, 5, FALSE)))</f>
        <v>#N/A</v>
      </c>
      <c r="W77" s="713" t="e">
        <f>IF(OR(O77="Oilseeds",O77="Vegetables"),VLOOKUP($D$79, IPCC!$A$8:$F$34, 6, FALSE),IF($O77 &lt;&gt;"Default", VLOOKUP($O77, IPCC!$A$8:$F$34, 6, FALSE), VLOOKUP($D$79, IPCC!$A$8:$F$34, 6, FALSE)))</f>
        <v>#N/A</v>
      </c>
      <c r="X77" s="715" t="e">
        <f t="shared" si="33"/>
        <v>#N/A</v>
      </c>
    </row>
    <row r="78" spans="2:24" x14ac:dyDescent="0.2">
      <c r="D78" s="9" t="s">
        <v>674</v>
      </c>
      <c r="F78" s="9" t="s">
        <v>674</v>
      </c>
      <c r="G78" s="223"/>
      <c r="H78" s="9" t="s">
        <v>674</v>
      </c>
      <c r="I78" s="227"/>
    </row>
    <row r="79" spans="2:24" x14ac:dyDescent="0.2">
      <c r="D79" s="9" t="s">
        <v>675</v>
      </c>
      <c r="F79" s="9" t="s">
        <v>675</v>
      </c>
      <c r="G79" s="223"/>
      <c r="H79" s="9" t="s">
        <v>675</v>
      </c>
      <c r="I79" s="227"/>
      <c r="L79" s="58"/>
      <c r="M79" s="311">
        <f>H69*J69</f>
        <v>45.716273013190744</v>
      </c>
      <c r="V79" s="174"/>
    </row>
    <row r="80" spans="2:24" x14ac:dyDescent="0.2">
      <c r="D80" s="9" t="s">
        <v>65</v>
      </c>
      <c r="F80" s="9" t="s">
        <v>65</v>
      </c>
      <c r="G80" s="223"/>
      <c r="H80" s="9" t="s">
        <v>676</v>
      </c>
      <c r="I80" s="227"/>
      <c r="M80">
        <f>((G69+H69)*K69)*L69</f>
        <v>28.92547807082353</v>
      </c>
    </row>
    <row r="81" spans="6:20" x14ac:dyDescent="0.2">
      <c r="G81" s="223"/>
      <c r="H81" s="16"/>
      <c r="T81" s="174"/>
    </row>
    <row r="83" spans="6:20" x14ac:dyDescent="0.2">
      <c r="F83" s="17"/>
      <c r="H83" s="223"/>
      <c r="I83" s="232" t="s">
        <v>677</v>
      </c>
      <c r="J83" s="232"/>
      <c r="K83" s="58"/>
    </row>
    <row r="84" spans="6:20" x14ac:dyDescent="0.2">
      <c r="F84" s="17"/>
      <c r="H84" s="223"/>
      <c r="I84" s="233" t="s">
        <v>678</v>
      </c>
      <c r="J84" s="232">
        <f>H68*J68</f>
        <v>42.376953599999993</v>
      </c>
    </row>
    <row r="85" spans="6:20" x14ac:dyDescent="0.2">
      <c r="F85" s="17"/>
      <c r="H85" s="223"/>
      <c r="I85" s="232" t="s">
        <v>679</v>
      </c>
      <c r="J85" s="232">
        <f>((G68+H68)*K68)*L68</f>
        <v>21.435792224</v>
      </c>
    </row>
    <row r="86" spans="6:20" x14ac:dyDescent="0.2">
      <c r="H86" s="223"/>
      <c r="I86" s="58"/>
    </row>
    <row r="87" spans="6:20" x14ac:dyDescent="0.2">
      <c r="H87" s="433"/>
    </row>
    <row r="90" spans="6:20" x14ac:dyDescent="0.2">
      <c r="F90" s="16"/>
    </row>
  </sheetData>
  <mergeCells count="2">
    <mergeCell ref="AI10:AJ10"/>
    <mergeCell ref="Q13:Q14"/>
  </mergeCells>
  <pageMargins left="0.7" right="0.7" top="0.75" bottom="0.75" header="0.3" footer="0.3"/>
  <pageSetup paperSize="9" orientation="portrait" r:id="rId1"/>
  <drawing r:id="rId2"/>
  <mc:AlternateContent xmlns:mc="http://schemas.openxmlformats.org/markup-compatibility/2006">
    <mc:Choice Requires="v">
      <legacyDrawing r:id="rId3"/>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800-000000000000}">
          <x14:formula1>
            <xm:f>list!$J$48:$J$50</xm:f>
          </x14:formula1>
          <xm:sqref>F34:F37 H34:H37</xm:sqref>
        </x14:dataValidation>
      </x14:dataValidations>
    </ext>
  </extLst>
</worksheet>
</file>

<file path=xl/worksheets/sheet1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2:AY73"/>
  <sheetViews>
    <sheetView showGridLines="0" topLeftCell="C1" zoomScale="85" zoomScaleNormal="85" workbookViewId="0">
      <selection activeCell="J60" sqref="J60"/>
    </sheetView>
  </sheetViews>
  <sheetFormatPr baseColWidth="10" defaultColWidth="8.6640625" defaultRowHeight="15" x14ac:dyDescent="0.2"/>
  <cols>
    <col min="1" max="1" width="29.5" customWidth="1"/>
    <col min="2" max="2" width="34.5" bestFit="1" customWidth="1"/>
    <col min="3" max="3" width="14.5" customWidth="1"/>
    <col min="6" max="6" width="19.5" customWidth="1"/>
    <col min="7" max="7" width="9.5" customWidth="1"/>
    <col min="8" max="8" width="13.5" customWidth="1"/>
    <col min="9" max="9" width="11.5" customWidth="1"/>
    <col min="10" max="10" width="12" customWidth="1"/>
    <col min="11" max="11" width="17.6640625" customWidth="1"/>
    <col min="12" max="12" width="11.5" customWidth="1"/>
    <col min="13" max="13" width="14.5" customWidth="1"/>
    <col min="14" max="14" width="30.5" customWidth="1"/>
    <col min="15" max="15" width="17" customWidth="1"/>
    <col min="16" max="16" width="27.5" customWidth="1"/>
    <col min="17" max="17" width="22.6640625" customWidth="1"/>
    <col min="18" max="18" width="26" bestFit="1" customWidth="1"/>
    <col min="19" max="19" width="21.5" bestFit="1" customWidth="1"/>
    <col min="20" max="20" width="36" customWidth="1"/>
    <col min="21" max="21" width="15.5" customWidth="1"/>
    <col min="23" max="23" width="12.5" bestFit="1" customWidth="1"/>
    <col min="27" max="27" width="12.5" customWidth="1"/>
    <col min="33" max="33" width="33" bestFit="1" customWidth="1"/>
    <col min="35" max="35" width="14.5" customWidth="1"/>
    <col min="40" max="40" width="12.6640625" customWidth="1"/>
    <col min="41" max="41" width="12.5" customWidth="1"/>
    <col min="42" max="42" width="9.6640625" customWidth="1"/>
    <col min="43" max="43" width="13.5" customWidth="1"/>
    <col min="44" max="44" width="19.5" customWidth="1"/>
    <col min="46" max="46" width="14.5" customWidth="1"/>
    <col min="47" max="47" width="15.33203125" customWidth="1"/>
    <col min="48" max="48" width="13.5" bestFit="1" customWidth="1"/>
    <col min="50" max="50" width="14.6640625" bestFit="1" customWidth="1"/>
    <col min="51" max="51" width="11.6640625" bestFit="1" customWidth="1"/>
  </cols>
  <sheetData>
    <row r="2" spans="1:51" ht="52.5" customHeight="1" x14ac:dyDescent="0.2">
      <c r="A2" s="4031" t="s">
        <v>407</v>
      </c>
      <c r="B2" s="383"/>
      <c r="C2" s="383"/>
      <c r="D2" s="383"/>
      <c r="E2" s="383"/>
      <c r="F2" s="383"/>
      <c r="G2" s="383"/>
      <c r="H2" s="383"/>
      <c r="I2" s="383"/>
      <c r="J2" s="383"/>
      <c r="K2" s="383"/>
      <c r="L2" s="383"/>
      <c r="M2" s="383"/>
      <c r="N2" s="383"/>
      <c r="O2" s="383"/>
      <c r="P2" s="383"/>
      <c r="Q2" s="383"/>
      <c r="R2" s="383"/>
      <c r="S2" s="383"/>
      <c r="T2" s="383"/>
      <c r="U2" s="383"/>
      <c r="V2" s="383"/>
      <c r="W2" s="383"/>
      <c r="X2" s="383"/>
      <c r="Y2" s="383"/>
      <c r="Z2" s="383"/>
      <c r="AA2" s="383"/>
      <c r="AB2" s="383"/>
      <c r="AC2" s="383"/>
      <c r="AD2" s="383"/>
      <c r="AE2" s="383"/>
      <c r="AF2" s="383"/>
      <c r="AG2" s="383"/>
      <c r="AH2" s="383"/>
      <c r="AI2" s="383"/>
      <c r="AJ2" s="383"/>
      <c r="AK2" s="383"/>
      <c r="AL2" s="383"/>
      <c r="AM2" s="383"/>
      <c r="AN2" s="383"/>
      <c r="AO2" s="383"/>
      <c r="AP2" s="383"/>
      <c r="AQ2" s="383"/>
      <c r="AR2" s="383"/>
      <c r="AS2" s="383"/>
      <c r="AT2" s="383"/>
      <c r="AU2" s="383"/>
      <c r="AV2" s="383"/>
      <c r="AW2" s="383"/>
      <c r="AX2" s="383"/>
      <c r="AY2" s="383"/>
    </row>
    <row r="3" spans="1:51" s="284" customFormat="1" x14ac:dyDescent="0.2">
      <c r="N3"/>
      <c r="O3"/>
      <c r="P3"/>
      <c r="Q3"/>
      <c r="R3"/>
      <c r="S3"/>
      <c r="T3"/>
      <c r="U3"/>
      <c r="V3"/>
      <c r="W3"/>
      <c r="X3"/>
      <c r="Y3"/>
    </row>
    <row r="4" spans="1:51" s="284" customFormat="1" ht="19" x14ac:dyDescent="0.25">
      <c r="B4" s="3746"/>
      <c r="C4" s="3746"/>
      <c r="D4" s="3746"/>
      <c r="E4" s="3746"/>
      <c r="F4" s="3746"/>
      <c r="G4" s="3746" t="s">
        <v>680</v>
      </c>
      <c r="H4" s="3746"/>
      <c r="I4" s="3746"/>
      <c r="J4" s="3746"/>
      <c r="K4" s="3746"/>
      <c r="O4"/>
      <c r="P4" s="847" t="s">
        <v>681</v>
      </c>
      <c r="Q4" s="3462"/>
      <c r="R4" s="3462"/>
      <c r="S4" s="3462"/>
      <c r="T4" s="3722"/>
      <c r="U4"/>
      <c r="V4"/>
      <c r="W4" s="847" t="s">
        <v>682</v>
      </c>
      <c r="X4" s="3461"/>
      <c r="Y4" s="3463"/>
      <c r="Z4" s="3463"/>
    </row>
    <row r="5" spans="1:51" s="284" customFormat="1" ht="16" x14ac:dyDescent="0.2">
      <c r="O5"/>
      <c r="P5" s="3660" t="s">
        <v>563</v>
      </c>
      <c r="Q5" s="3661" t="s">
        <v>564</v>
      </c>
      <c r="R5" s="3662" t="s">
        <v>564</v>
      </c>
      <c r="S5" s="3723" t="s">
        <v>565</v>
      </c>
      <c r="T5" s="3453"/>
      <c r="U5"/>
      <c r="V5"/>
      <c r="W5" s="3759" t="s">
        <v>566</v>
      </c>
      <c r="X5" s="3760"/>
      <c r="Y5" s="3761"/>
      <c r="Z5" s="3761"/>
    </row>
    <row r="6" spans="1:51" s="284" customFormat="1" ht="16" x14ac:dyDescent="0.2">
      <c r="O6"/>
      <c r="P6" s="3660" t="s">
        <v>199</v>
      </c>
      <c r="Q6" s="3661" t="s">
        <v>179</v>
      </c>
      <c r="R6" s="3662" t="s">
        <v>180</v>
      </c>
      <c r="S6" s="3661" t="s">
        <v>179</v>
      </c>
      <c r="T6" s="3662" t="s">
        <v>180</v>
      </c>
      <c r="U6"/>
      <c r="V6"/>
      <c r="W6" s="3635" t="s">
        <v>567</v>
      </c>
      <c r="X6" s="3635" t="s">
        <v>683</v>
      </c>
      <c r="Y6" s="3635" t="s">
        <v>569</v>
      </c>
      <c r="Z6" s="3635" t="s">
        <v>684</v>
      </c>
    </row>
    <row r="7" spans="1:51" s="284" customFormat="1" ht="16" x14ac:dyDescent="0.2">
      <c r="O7"/>
      <c r="P7" s="3660" t="s">
        <v>117</v>
      </c>
      <c r="Q7" s="3661" t="s">
        <v>117</v>
      </c>
      <c r="R7" s="3662" t="s">
        <v>62</v>
      </c>
      <c r="S7" s="3233" t="s">
        <v>570</v>
      </c>
      <c r="T7" s="3234" t="s">
        <v>570</v>
      </c>
      <c r="U7"/>
      <c r="V7"/>
      <c r="W7" s="3635" t="s">
        <v>571</v>
      </c>
      <c r="X7" s="3635" t="s">
        <v>571</v>
      </c>
      <c r="Y7" s="3635" t="s">
        <v>570</v>
      </c>
      <c r="Z7" s="3635" t="s">
        <v>388</v>
      </c>
    </row>
    <row r="8" spans="1:51" x14ac:dyDescent="0.2">
      <c r="O8" s="720" t="s">
        <v>685</v>
      </c>
      <c r="P8" s="3278">
        <f>IF($C$12&lt;&gt; "Please select", IF('3.Cropland'!$AZ$56="",  '3.Cropland'!$AY$56, '3.Cropland'!$AZ$56),0)</f>
        <v>0</v>
      </c>
      <c r="Q8" s="3278">
        <f>$P$8*(IF('3.Cropland'!$BE$56="",'3.Cropland'!$BD$56,'3.Cropland'!$BE$56)*IF('3.Cropland'!$BG$56="",'3.Cropland'!$BF$56,'3.Cropland'!$BG$56))</f>
        <v>0</v>
      </c>
      <c r="R8" s="3278">
        <f>Q8</f>
        <v>0</v>
      </c>
      <c r="S8" s="3724">
        <f>(Q8-P8)/20*(-44/12)</f>
        <v>0</v>
      </c>
      <c r="T8" s="3724">
        <f>(R8-P8)/20*(-44/12)</f>
        <v>0</v>
      </c>
      <c r="U8" s="3725"/>
      <c r="V8" s="3725"/>
      <c r="W8" s="3724">
        <f>IF($D12="YES", $F12*IPCC!$D$75,0)*IPCC!$B$89/$E12</f>
        <v>0</v>
      </c>
      <c r="X8" s="3724">
        <f>IF($D12="YES", $F12* IPCC!$E$75,0)*IPCC!$B$89/$E12</f>
        <v>0</v>
      </c>
      <c r="Y8" s="3724">
        <f>(W8*methane+X8*Nitrous)/1000</f>
        <v>0</v>
      </c>
      <c r="Z8" s="3726">
        <f>'3.Cropland'!M56</f>
        <v>0</v>
      </c>
      <c r="AI8" s="3696" t="s">
        <v>686</v>
      </c>
      <c r="AJ8" s="3697"/>
      <c r="AP8" s="3676" t="s">
        <v>573</v>
      </c>
      <c r="AQ8" s="3677"/>
      <c r="AR8" s="3677"/>
      <c r="AS8" s="3677"/>
      <c r="AT8" s="3677"/>
      <c r="AU8" s="3677"/>
      <c r="AV8" s="3677"/>
      <c r="AW8" s="3677"/>
      <c r="AX8" s="3677"/>
      <c r="AY8" s="3677"/>
    </row>
    <row r="9" spans="1:51" x14ac:dyDescent="0.2">
      <c r="B9" s="875"/>
      <c r="C9" s="1015"/>
      <c r="D9" s="3758" t="s">
        <v>578</v>
      </c>
      <c r="E9" s="1013"/>
      <c r="F9" s="3735" t="s">
        <v>687</v>
      </c>
      <c r="G9" s="4554" t="s">
        <v>688</v>
      </c>
      <c r="H9" s="4554"/>
      <c r="I9" s="4554" t="s">
        <v>689</v>
      </c>
      <c r="J9" s="4554"/>
      <c r="K9" s="1013" t="s">
        <v>690</v>
      </c>
      <c r="L9" s="1013" t="s">
        <v>691</v>
      </c>
      <c r="M9" s="1013" t="s">
        <v>691</v>
      </c>
      <c r="N9" s="1013" t="s">
        <v>692</v>
      </c>
      <c r="O9" s="701" t="s">
        <v>693</v>
      </c>
      <c r="P9" s="3727">
        <f>IF($C$12&lt;&gt; "Please select", IF('3.Cropland'!$AZ$57="",  '3.Cropland'!$AY$57, '3.Cropland'!$AZ$57),0)</f>
        <v>0</v>
      </c>
      <c r="Q9" s="3727">
        <f>$P$9*(IF('3.Cropland'!$BE$57="",'3.Cropland'!$BD$57,'3.Cropland'!$BE$57)*IF('3.Cropland'!$BG$57="",'3.Cropland'!$BF$57,'3.Cropland'!$BG$57))</f>
        <v>0</v>
      </c>
      <c r="R9" s="3727">
        <f>Q9</f>
        <v>0</v>
      </c>
      <c r="S9" s="3727">
        <f>(Q9-P9)/20*(-44/12)</f>
        <v>0</v>
      </c>
      <c r="T9" s="3727">
        <f>(R9-P9)/20*(-44/12)</f>
        <v>0</v>
      </c>
      <c r="U9" s="3728"/>
      <c r="V9" s="3728"/>
      <c r="W9" s="3727">
        <f>IF($D13="YES", $F13*IPCC!$D$75,0)*IPCC!$B$89/$E13</f>
        <v>0</v>
      </c>
      <c r="X9" s="3727">
        <f>IF($D13="YES", $F13* IPCC!$E$75,0)*IPCC!$B$89/$E13</f>
        <v>0</v>
      </c>
      <c r="Y9" s="3727">
        <f>(W9*methane+X9*Nitrous)/1000</f>
        <v>0</v>
      </c>
      <c r="Z9" s="3729">
        <f>'3.Cropland'!M57</f>
        <v>0</v>
      </c>
      <c r="AP9" s="3676" t="s">
        <v>694</v>
      </c>
      <c r="AQ9" s="3677"/>
      <c r="AR9" s="3677"/>
      <c r="AS9" s="3677"/>
      <c r="AT9" s="3677"/>
      <c r="AU9" s="3677"/>
      <c r="AV9" s="3677"/>
      <c r="AW9" s="3677"/>
      <c r="AX9" s="3677"/>
      <c r="AY9" s="3677"/>
    </row>
    <row r="10" spans="1:51" x14ac:dyDescent="0.2">
      <c r="B10" s="875" t="s">
        <v>695</v>
      </c>
      <c r="C10" s="1013" t="str">
        <f>'3.Cropland'!E65</f>
        <v xml:space="preserve"> Agroforestry </v>
      </c>
      <c r="D10" s="1013" t="s">
        <v>588</v>
      </c>
      <c r="E10" s="1013" t="s">
        <v>696</v>
      </c>
      <c r="F10" s="1013" t="s">
        <v>697</v>
      </c>
      <c r="G10" s="4554" t="s">
        <v>698</v>
      </c>
      <c r="H10" s="4554"/>
      <c r="I10" s="4554" t="s">
        <v>698</v>
      </c>
      <c r="J10" s="4554"/>
      <c r="K10" s="1013" t="s">
        <v>699</v>
      </c>
      <c r="L10" s="1013" t="s">
        <v>700</v>
      </c>
      <c r="M10" s="1013" t="s">
        <v>5189</v>
      </c>
      <c r="N10" s="1013"/>
      <c r="O10" s="787" t="s">
        <v>701</v>
      </c>
      <c r="P10" s="3730">
        <f>IF($C$12&lt;&gt; "Please select", IF('3.Cropland'!$AZ$58="",  '3.Cropland'!$AY$58, '3.Cropland'!$AZ$58),0)</f>
        <v>0</v>
      </c>
      <c r="Q10" s="3730">
        <f>$P$10*(IF('3.Cropland'!$BE$58="",'3.Cropland'!$BD$58,'3.Cropland'!$BE$58)*IF('3.Cropland'!$BG$58="",'3.Cropland'!$BF$58,'3.Cropland'!$BG$58))</f>
        <v>0</v>
      </c>
      <c r="R10" s="3638">
        <f>Q10</f>
        <v>0</v>
      </c>
      <c r="S10" s="3638">
        <f>(Q10-P10)/20*(-44/12)</f>
        <v>0</v>
      </c>
      <c r="T10" s="3638">
        <f>(R10-P10)/20*(-44/12)</f>
        <v>0</v>
      </c>
      <c r="U10" s="3728"/>
      <c r="V10" s="3728"/>
      <c r="W10" s="3638">
        <f>IF($D14="YES", $F14*IPCC!$D$75,0)*IPCC!$B$89/$E14</f>
        <v>0</v>
      </c>
      <c r="X10" s="3638">
        <f>IF($D14="YES", $F14* IPCC!$E$75,0)*IPCC!$B$89/$E14</f>
        <v>0</v>
      </c>
      <c r="Y10" s="3638">
        <f>(W10*methane+X10*Nitrous)/1000</f>
        <v>0</v>
      </c>
      <c r="Z10" s="3639">
        <f>'3.Cropland'!M58</f>
        <v>0</v>
      </c>
      <c r="AI10" s="3698" t="s">
        <v>581</v>
      </c>
      <c r="AJ10" s="3273"/>
      <c r="AK10" s="3699" t="s">
        <v>582</v>
      </c>
      <c r="AL10" s="223"/>
      <c r="AP10" s="3678" t="s">
        <v>702</v>
      </c>
      <c r="AQ10" s="3679"/>
      <c r="AR10" s="3678" t="s">
        <v>703</v>
      </c>
      <c r="AS10" s="3680"/>
      <c r="AT10" s="3681" t="s">
        <v>704</v>
      </c>
      <c r="AU10" s="3682"/>
      <c r="AV10" s="3683" t="s">
        <v>705</v>
      </c>
      <c r="AW10" s="3679"/>
      <c r="AX10" s="3683" t="s">
        <v>705</v>
      </c>
      <c r="AY10" s="3679"/>
    </row>
    <row r="11" spans="1:51" x14ac:dyDescent="0.2">
      <c r="B11" s="875"/>
      <c r="C11" s="1013" t="str">
        <f>'3.Cropland'!E66</f>
        <v>systems</v>
      </c>
      <c r="D11" s="1015"/>
      <c r="E11" s="1013" t="s">
        <v>706</v>
      </c>
      <c r="F11" s="1013" t="s">
        <v>707</v>
      </c>
      <c r="G11" s="1013" t="s">
        <v>65</v>
      </c>
      <c r="H11" s="1013" t="s">
        <v>66</v>
      </c>
      <c r="I11" s="1013" t="s">
        <v>65</v>
      </c>
      <c r="J11" s="1013" t="s">
        <v>66</v>
      </c>
      <c r="K11" s="1013" t="s">
        <v>708</v>
      </c>
      <c r="L11" s="1013" t="s">
        <v>253</v>
      </c>
      <c r="M11" s="1013" t="s">
        <v>253</v>
      </c>
      <c r="N11" s="1013"/>
      <c r="O11" s="3721" t="s">
        <v>709</v>
      </c>
      <c r="P11" s="3731">
        <f>IF($C$12&lt;&gt; "Please select", IF('3.Cropland'!$AZ$59="",  '3.Cropland'!$AY$59, '3.Cropland'!$AZ$59),0)</f>
        <v>0</v>
      </c>
      <c r="Q11" s="3731">
        <f>$P$11*(IF('3.Cropland'!$BE$59="",'3.Cropland'!$BD$59,'3.Cropland'!$BE$59)*IF('3.Cropland'!$BG$59="",'3.Cropland'!$BF$59,'3.Cropland'!$BG$59))</f>
        <v>0</v>
      </c>
      <c r="R11" s="3732">
        <f>Q11</f>
        <v>0</v>
      </c>
      <c r="S11" s="3732">
        <f>(Q11-P11)/20*(-44/12)</f>
        <v>0</v>
      </c>
      <c r="T11" s="3732">
        <f>(R11-P11)/20*(-44/12)</f>
        <v>0</v>
      </c>
      <c r="U11" s="3733"/>
      <c r="V11" s="3733"/>
      <c r="W11" s="3732">
        <f>IF($D15="YES", $F15*IPCC!$D$75,0)*IPCC!$B$89/$E15</f>
        <v>0</v>
      </c>
      <c r="X11" s="3732">
        <f>IF($D15="YES", $F15* IPCC!$E$75,0)*IPCC!$B$89/$E15</f>
        <v>0</v>
      </c>
      <c r="Y11" s="3732">
        <f>(W11*methane+X11*Nitrous)/1000</f>
        <v>0</v>
      </c>
      <c r="Z11" s="3734">
        <f>'3.Cropland'!M59</f>
        <v>0</v>
      </c>
      <c r="AB11" s="284"/>
      <c r="AC11" s="284"/>
      <c r="AD11" s="284"/>
      <c r="AE11" s="284"/>
      <c r="AF11" s="284"/>
      <c r="AG11" s="284"/>
      <c r="AI11" s="3273" t="s">
        <v>265</v>
      </c>
      <c r="AJ11" s="3274" t="s">
        <v>266</v>
      </c>
      <c r="AK11" s="3273" t="s">
        <v>265</v>
      </c>
      <c r="AL11" s="3274" t="s">
        <v>266</v>
      </c>
      <c r="AP11" s="3684" t="s">
        <v>265</v>
      </c>
      <c r="AQ11" s="3685" t="s">
        <v>266</v>
      </c>
      <c r="AR11" s="3686" t="s">
        <v>267</v>
      </c>
      <c r="AS11" s="3686" t="s">
        <v>180</v>
      </c>
      <c r="AT11" s="3686" t="s">
        <v>265</v>
      </c>
      <c r="AU11" s="3686" t="s">
        <v>180</v>
      </c>
      <c r="AV11" s="3686" t="s">
        <v>265</v>
      </c>
      <c r="AW11" s="3686" t="s">
        <v>180</v>
      </c>
      <c r="AX11" s="3686" t="s">
        <v>265</v>
      </c>
      <c r="AY11" s="3686" t="s">
        <v>180</v>
      </c>
    </row>
    <row r="12" spans="1:51" ht="19" x14ac:dyDescent="0.25">
      <c r="A12" s="720" t="s">
        <v>685</v>
      </c>
      <c r="B12" s="3743" t="s">
        <v>710</v>
      </c>
      <c r="C12" s="3743" t="str">
        <f>'3.Cropland'!$E56</f>
        <v>Please select</v>
      </c>
      <c r="D12" s="3706" t="str">
        <f>'3.Cropland'!$K56</f>
        <v>NO</v>
      </c>
      <c r="E12" s="3254">
        <f>IF('3.Cropland'!$BK56="", '3.Cropland'!$BJ56, '3.Cropland'!$BK56)</f>
        <v>1</v>
      </c>
      <c r="F12" s="3254">
        <f>IF('3.Cropland'!$BI56="", '3.Cropland'!$BH56, '3.Cropland'!$BI56)</f>
        <v>0</v>
      </c>
      <c r="G12" s="4045">
        <f>(IF('3.Cropland'!$E56&lt;&gt;"Please select", INDEX(IPCC!$E$105:$T$298,MATCH(clim_moist_cont,IPCC!$C$105:$C$298,0),MATCH('3.Cropland'!$E56,IPCC!$E$105:$T$105,0))*(44/12), 0))</f>
        <v>0</v>
      </c>
      <c r="H12" s="4045">
        <f>IF('3.Cropland'!$AT56&lt;&gt;"", '3.Cropland'!$AT56*(44/12), '3.Cropland'!$AS56*(44/12))</f>
        <v>0</v>
      </c>
      <c r="I12" s="4045">
        <f>(IF('3.Cropland'!$E56&lt;&gt;"Please select",INDEX(IPCC!$E$308:$T$501,MATCH(clim_moist_cont,IPCC!$C$308:$C$501,0),MATCH('3.Cropland'!$E56,IPCC!$E$308:$T$308,0))*(44/12),0))</f>
        <v>0</v>
      </c>
      <c r="J12" s="4045">
        <f>IF('3.Cropland'!$AV56&lt;&gt;"", '3.Cropland'!$AV56*(44/12), '3.Cropland'!$AU56*(44/12))</f>
        <v>0</v>
      </c>
      <c r="K12" s="4046">
        <f t="shared" ref="K12:K18" si="0">H12+J12</f>
        <v>0</v>
      </c>
      <c r="L12" s="4046">
        <f>IF(OR(C12="Please select",G12&lt;H12),0, INDEX(IPCC!$A$3235:$Q$3241,MATCH(climate,IPCC!$A$3235:$A$3241,0),MATCH(perennial!C12,IPCC!$A$3235:$Q$3235,0)))*44/12</f>
        <v>0</v>
      </c>
      <c r="M12" s="3172">
        <f>IF('3.Cropland'!$AX56&lt;&gt;"", '3.Cropland'!$AX56*44/12, L12)</f>
        <v>0</v>
      </c>
      <c r="N12" s="3172">
        <f t="shared" ref="N12:N29" si="1">IFERROR(L12/H12,0)</f>
        <v>0</v>
      </c>
      <c r="P12" s="3287" t="s">
        <v>711</v>
      </c>
      <c r="Q12" s="3288"/>
      <c r="R12" s="872"/>
      <c r="S12" s="872"/>
      <c r="T12" s="872"/>
      <c r="U12" s="872"/>
      <c r="V12" s="872"/>
      <c r="W12" s="872"/>
      <c r="X12" s="872"/>
      <c r="Y12" s="3293"/>
      <c r="Z12" s="872"/>
      <c r="AB12" s="284"/>
      <c r="AC12" s="284"/>
      <c r="AD12" s="284"/>
      <c r="AE12" s="284"/>
      <c r="AF12" s="284"/>
      <c r="AG12" s="284"/>
      <c r="AH12" s="3456" t="s">
        <v>710</v>
      </c>
      <c r="AI12" s="3700">
        <f>(MIN(C43,D43)*time_tot+ABS(D43-C43)*IF(D43&gt;C43,time_cap+time*(VLOOKUP(E43, list!$J$48:$K$50,2,)),time*(1-(VLOOKUP(E43, list!$J$48:$K$50,2,)))))*perennial!W8*methane/1000</f>
        <v>0</v>
      </c>
      <c r="AJ12" s="3700">
        <f>(($C43*time)+((F43-$C43))*(VLOOKUP(G43, list!$J$48:$K$50,2,)*time)+(F43*time_cap))*perennial!W8*methane/1000</f>
        <v>0</v>
      </c>
      <c r="AK12" s="3700">
        <f>(MIN(C43,D43)*time_tot+ABS(D43-C43)*IF(D43&gt;C43,time_cap+time*(VLOOKUP(E43, list!$J$48:$K$50,2,)),time*(1-(VLOOKUP(E43, list!$J$48:$K$50,2,)))))*X8*Nitrous/1000</f>
        <v>0</v>
      </c>
      <c r="AL12" s="3701">
        <f>(($C43*time)+((F43-$C43))*(VLOOKUP(G43, list!$J$48:$K$50,2,)*time)+(F43*time_cap))*X8*Nitrous/1000</f>
        <v>0</v>
      </c>
      <c r="AP12" s="3275">
        <f>-(MIN(C43,D43)*time+ABS(D43-C43)*IF(D43&gt;C43,0+(time-1)*(VLOOKUP(E43, list!$J$48:$K$50,2,)),(time-1)*(1-(VLOOKUP(E43, list!$J$48:$K$50,2,)))))*$K12</f>
        <v>0</v>
      </c>
      <c r="AQ12" s="3276">
        <f>-(MIN(C43,F43)*time+ABS(F43-C43)*IF(F43&gt;C43, 0+(time-1)*(VLOOKUP(G43,list!$J$48:$K$50,2,)),(time-1)*(1-(VLOOKUP(G43, list!$J$48:$K$50,2,)))))*K12</f>
        <v>0</v>
      </c>
      <c r="AR12" s="3276">
        <f>-$S8*((MIN($C43,D43)*MIN(20,time))+IF(E43="Immediate",IF(D43&gt;$C43,D43*MIN(20,time),0),IF($C43&gt;D43,($C43-D43)*IF(time&gt;20,IF(E43="Linear",time-((time-20)^2)/(2*time),(0.215*time)-(time/4.6)*(EXP(-92.1/time)-0.01)),time*(1-VLOOKUP(E43, list!$J$48:$K$50,2,))),(D43-$C43)*IF(time&gt;time+20,20,IF(time&lt;20,(time*VLOOKUP(E43, list!$J$48:$K$50,2,))+(time-time),((MIN(20,time)*VLOOKUP(E43, list!$J$48:$K$50,2,))+(time-MIN(20,time))-IF(E43="Exponential",time-20+0.217*time*(EXP(4.606*(20-time)/time)-1),((time-20)^2)*(0.5/time))))))))</f>
        <v>0</v>
      </c>
      <c r="AS12" s="3276">
        <f>-$T8*((MIN($C43,F43)*MIN(20,time))+IF(G43="Immediate",IF(F43&gt;$C43,F43*MIN(20,time),0),IF($C43&gt;F43,($C43-F43)*IF(time&gt;20,IF(G43="Linear",time-((time-20)^2)/(2*time),(0.215*time)-(time/4.6)*(EXP(-92.1/time)-0.01)),time*(1-VLOOKUP(G43, list!$J$48:$K$50,2,))),(F43-$C43)*IF(time&gt;time+20,20,IF(time&lt;20,(time*VLOOKUP(G43, list!$J$48:$K$50,2,))+(time-time),((MIN(20,time)*VLOOKUP(G43, list!$J$48:$K$50,2,))+(time-MIN(20,time))-IF(G43="Exponential",time-20+0.217*time*(EXP(4.606*(20-time)/time)-1),((time-20)^2)*(0.5/time))))))))</f>
        <v>0</v>
      </c>
      <c r="AT12" s="3276">
        <f>(MIN(C43,D43)*time+ABS(D43-C43)*IF(D43&gt;C43,0+time*(VLOOKUP(E43, list!$J$48:$K$50,2,)),time*(1-(VLOOKUP(E43, list!$J$48:$K$50,2,)))))*perennial!W8*methane/1000</f>
        <v>0</v>
      </c>
      <c r="AU12" s="3276">
        <f>(($C43*time)+((F43-$C43))*(VLOOKUP(G43, list!$J$48:$K$50,2,)*time)+(F43*0))*perennial!W8*methane/1000</f>
        <v>0</v>
      </c>
      <c r="AV12" s="3276">
        <f>(MIN(C43,D43)*time+ABS(D43-C43)*IF(D43&gt;C43,0+time*(VLOOKUP(E43, list!$J$48:$K$50,2,)),time*(1-(VLOOKUP(E43, list!$J$48:$K$50,2,)))))*X8*Nitrous/1000</f>
        <v>0</v>
      </c>
      <c r="AW12" s="3276">
        <f>(($C43*time)+((F43-$C43))*(VLOOKUP(G43, list!$J$48:$K$50,2,)*time)+(F43*0))*X8*Nitrous/1000</f>
        <v>0</v>
      </c>
      <c r="AX12" s="3276">
        <f>IF(Q8&lt;P8,(P8-Q8)/20/10*1000*N2O_N_conversion/1000*((MIN($C43,D43)*MIN(20,time))+IF(E43="Immediate",IF(D43&gt;$C43,D43*MIN(20,time),0),IF($C43&gt;D43,($C43-D43)*IF(time&gt;20,IF(E43="Linear",time-((time-20)^2)/(2*time),(0.215*time)-(time/4.6)*(EXP(-92.1/time)-0.01)),time*(1-VLOOKUP(E43, list!$J$48:$K$50,2,))),(D43-$C43)*IF(time&gt;time+20,20,IF(time&lt;20,(time*VLOOKUP(E43, list!$J$48:$K$50,2,))+(time-time),((MIN(20,time)*VLOOKUP(E43, list!$J$48:$K$50,2,))+(time-MIN(20,time))-IF(E43="Exponential",time-20+0.217*time*(EXP(4.606*(20-time)/time)-1),((time_tot-20)^2)*(0.5/time)))))))),0)</f>
        <v>0</v>
      </c>
      <c r="AY12" s="3277">
        <f>IF(R8&lt;P8,(P8-R8)/20/10*1000*N2O_N_conversion/1000*((MIN($C43,F43)*MIN(20,time))+IF(G43="Immediate",IF(F43&gt;$C43,F43*MIN(20,time),0),IF($C43&gt;F43,($C43-F43)*IF(time&gt;20,IF(G43="Linear",time-((time-20)^2)/(2*time),(0.215*time)-(time/4.6)*(EXP(-92.1/time)-0.01)),time*(1-VLOOKUP(G43, list!$J$48:$K$50,2,))),(F43-$C43)*IF(time&gt;time+20,20,IF(time&lt;20,(time*VLOOKUP(G43, list!$J$48:$K$50,2,))+(time-time),((MIN(20,time)*VLOOKUP(G43, list!$J$48:$K$50,2,))+(time-MIN(20,time))-IF(G43="Exponential",time-20+0.217*time*(EXP(4.606*(20-tim)/time)-1),((time-20)^2)*(0.5/time)))))))),0)</f>
        <v>0</v>
      </c>
    </row>
    <row r="13" spans="1:51" x14ac:dyDescent="0.2">
      <c r="A13" s="701" t="s">
        <v>712</v>
      </c>
      <c r="B13" s="3457" t="s">
        <v>713</v>
      </c>
      <c r="C13" s="3457" t="str">
        <f>'3.Cropland'!$E57</f>
        <v>Please select</v>
      </c>
      <c r="D13" s="3627" t="str">
        <f>'3.Cropland'!$K57</f>
        <v>NO</v>
      </c>
      <c r="E13" s="3628">
        <f>IF('3.Cropland'!$BK57="", '3.Cropland'!$BJ57, '3.Cropland'!$BK57)</f>
        <v>1</v>
      </c>
      <c r="F13" s="3628">
        <f>IF('3.Cropland'!$BI57="", '3.Cropland'!$BH57, '3.Cropland'!$BI57)</f>
        <v>0</v>
      </c>
      <c r="G13" s="4047">
        <f>(IF('3.Cropland'!$E57&lt;&gt;"Please select", INDEX(IPCC!$E$105:$T$298,MATCH(clim_moist_cont,IPCC!$C$105:$C$298,0),MATCH('3.Cropland'!$E57,IPCC!$E$105:$T$105,0))*(44/12), 0))</f>
        <v>0</v>
      </c>
      <c r="H13" s="4047">
        <f>IF('3.Cropland'!$AT57&lt;&gt;"", '3.Cropland'!$AT57*(44/12), '3.Cropland'!$AS57*(44/12))</f>
        <v>0</v>
      </c>
      <c r="I13" s="4047">
        <f>(IF('3.Cropland'!$E57&lt;&gt;"Please select",INDEX(IPCC!$E$308:$T$501,MATCH(clim_moist_cont,IPCC!$C$308:$C$501,0),MATCH('3.Cropland'!$E57,IPCC!$E$308:$T$308,0))*(44/12),0))</f>
        <v>0</v>
      </c>
      <c r="J13" s="4047">
        <f>IF('3.Cropland'!$AV57&lt;&gt;"", '3.Cropland'!$AV57*(44/12), '3.Cropland'!$AU57*(44/12))</f>
        <v>0</v>
      </c>
      <c r="K13" s="4048">
        <f t="shared" si="0"/>
        <v>0</v>
      </c>
      <c r="L13" s="4048">
        <f>IF(OR(C13="Please select",G13&lt;H13),0, INDEX(IPCC!$A$3235:$Q$3241,MATCH(climate,IPCC!$A$3235:$A$3241,0),MATCH(perennial!C13,IPCC!$A$3235:$Q$3235,0)))*44/12</f>
        <v>0</v>
      </c>
      <c r="M13" s="3168">
        <f>IF('3.Cropland'!$AX57&lt;&gt;"", '3.Cropland'!$AX57*44/12, L13)</f>
        <v>0</v>
      </c>
      <c r="N13" s="3168">
        <f t="shared" si="1"/>
        <v>0</v>
      </c>
      <c r="P13" s="3644" t="s">
        <v>714</v>
      </c>
      <c r="Q13" s="3644" t="s">
        <v>715</v>
      </c>
      <c r="R13" s="3644" t="s">
        <v>716</v>
      </c>
      <c r="S13" s="3644" t="s">
        <v>717</v>
      </c>
      <c r="T13" s="3644" t="s">
        <v>718</v>
      </c>
      <c r="U13" s="3644" t="s">
        <v>3751</v>
      </c>
      <c r="V13" s="3644" t="s">
        <v>718</v>
      </c>
      <c r="W13" s="3716" t="s">
        <v>566</v>
      </c>
      <c r="X13" s="3717"/>
      <c r="Y13" s="3718"/>
      <c r="Z13" s="3718"/>
      <c r="AB13" s="284"/>
      <c r="AC13" s="284"/>
      <c r="AD13" s="284"/>
      <c r="AE13" s="284"/>
      <c r="AF13" s="284"/>
      <c r="AG13" s="284"/>
      <c r="AH13" s="3457" t="s">
        <v>713</v>
      </c>
      <c r="AI13" s="3634">
        <f>(MIN(C44,D44)*time_tot+ABS(D44-C44)*IF(D44&gt;C44,time_cap+time*(VLOOKUP(E44, list!$J$48:$K$50,2,)),time*(1-(VLOOKUP(E44, list!$J$48:$K$50,2,)))))*perennial!W9*methane/1000</f>
        <v>0</v>
      </c>
      <c r="AJ13" s="3634">
        <f>(($C44*time)+((F44-$C44))*(VLOOKUP(G44, list!$J$48:$K$50,2,)*time)+(F44*time_cap))*perennial!W9*methane/1000</f>
        <v>0</v>
      </c>
      <c r="AK13" s="3634">
        <f>(MIN(C44,D44)*time_tot+ABS(D44-C44)*IF(D44&gt;C44,time_cap+time*(VLOOKUP(E44, list!$J$48:$K$50,2,)),time*(1-(VLOOKUP(E44, list!$J$48:$K$50,2,)))))*X9*Nitrous/1000</f>
        <v>0</v>
      </c>
      <c r="AL13" s="3634">
        <f>(($C44*time)+((F44-$C44))*(VLOOKUP(G44, list!$J$48:$K$50,2,)*time)+(F44*time_cap))*X9*Nitrous/1000</f>
        <v>0</v>
      </c>
      <c r="AP13" s="3632">
        <f>-(MIN(C44,D44)*time+ABS(D44-C44)*IF(D44&gt;C44,0+(time-1)*(VLOOKUP(E44, list!$J$48:$K$50,2,)),(time-1)*(1-(VLOOKUP(E44, list!$J$48:$K$50,2,)))))*$K13</f>
        <v>0</v>
      </c>
      <c r="AQ13" s="3631">
        <f>-(MIN(C44,F44)*time+ABS(F44-C44)*IF(F44&gt;C44, 0+(time-1)*(VLOOKUP(G44,list!$J$48:$K$50,2,)),(time-1)*(1-(VLOOKUP(G44, list!$J$48:$K$50,2,)))))*K13</f>
        <v>0</v>
      </c>
      <c r="AR13" s="3631">
        <f>-$S9*((MIN($C44,D44)*MIN(20,time))+IF(E44="Immediate",IF(D44&gt;$C44,D44*MIN(20,time),0),IF($C44&gt;D44,($C44-D44)*IF(time&gt;20,IF(E44="Linear",time-((time-20)^2)/(2*time),(0.215*time)-(time/4.6)*(EXP(-92.1/time)-0.01)),time*(1-VLOOKUP(E44, list!$J$48:$K$50,2,))),(D44-$C44)*IF(time&gt;time+20,20,IF(time&lt;20,(time*VLOOKUP(E44, list!$J$48:$K$50,2,))+(time-time),((MIN(20,time)*VLOOKUP(E44, list!$J$48:$K$50,2,))+(time-MIN(20,time))-IF(E44="Exponential",time-20+0.217*time*(EXP(4.606*(20-time)/time)-1),((time-20)^2)*(0.5/time))))))))</f>
        <v>0</v>
      </c>
      <c r="AS13" s="3631">
        <f>-$T9*((MIN($C44,F44)*MIN(20,time))+IF(G44="Immediate",IF(F44&gt;$C44,F44*MIN(20,time),0),IF($C44&gt;F44,($C44-F44)*IF(time&gt;20,IF(G44="Linear",time-((time-20)^2)/(2*time),(0.215*time)-(time/4.6)*(EXP(-92.1/time)-0.01)),time*(1-VLOOKUP(G44, list!$J$48:$K$50,2,))),(F44-$C44)*IF(time&gt;time+20,20,IF(time&lt;20,(time*VLOOKUP(G44, list!$J$48:$K$50,2,))+(time-time),((MIN(20,time)*VLOOKUP(G44, list!$J$48:$K$50,2,))+(time-MIN(20,time))-IF(G44="Exponential",time-20+0.217*time*(EXP(4.606*(20-time)/time)-1),((time-20)^2)*(0.5/time))))))))</f>
        <v>0</v>
      </c>
      <c r="AT13" s="3631">
        <f>(MIN(C44,D44)*time+ABS(D44-C44)*IF(D44&gt;C44,0+time*(VLOOKUP(E44, list!$J$48:$K$50,2,)),time*(1-(VLOOKUP(E44, list!$J$48:$K$50,2,)))))*perennial!W9*methane/1000</f>
        <v>0</v>
      </c>
      <c r="AU13" s="3631">
        <f>(($C44*time)+((F44-$C44))*(VLOOKUP(G44, list!$J$48:$K$50,2,)*time)+(F44*0))*perennial!W9*methane/1000</f>
        <v>0</v>
      </c>
      <c r="AV13" s="3631">
        <f>(MIN(C44,D44)*time+ABS(D44-C44)*IF(D44&gt;C44,0+time*(VLOOKUP(E44, list!$J$48:$K$50,2,)),time*(1-(VLOOKUP(E44, list!$J$48:$K$50,2,)))))*X9*Nitrous/1000</f>
        <v>0</v>
      </c>
      <c r="AW13" s="3631">
        <f>(($C44*time)+((F44-$C44))*(VLOOKUP(G44, list!$J$48:$K$50,2,)*time)+(F44*0))*X9*Nitrous/1000</f>
        <v>0</v>
      </c>
      <c r="AX13" s="3631">
        <f>IF(Q9&lt;P9,(P9-Q9)/20/10*1000*N2O_N_conversion/1000*((MIN($C44,D44)*MIN(20,time))+IF(E44="Immediate",IF(D44&gt;$C44,D44*MIN(20,time),0),IF($C44&gt;D44,($C44-D44)*IF(time&gt;20,IF(E44="Linear",time-((time-20)^2)/(2*time),(0.215*time)-(time/4.6)*(EXP(-92.1/time)-0.01)),time*(1-VLOOKUP(E44, list!$J$48:$K$50,2,))),(D44-$C44)*IF(time&gt;time+20,20,IF(time&lt;20,(time*VLOOKUP(E44, list!$J$48:$K$50,2,))+(time-time),((MIN(20,time)*VLOOKUP(E44, list!$J$48:$K$50,2,))+(time-MIN(20,time))-IF(E44="Exponential",time-20+0.217*time*(EXP(4.606*(20-time)/time)-1),((time_tot-20)^2)*(0.5/time)))))))),0)</f>
        <v>0</v>
      </c>
      <c r="AY13" s="3633">
        <f>IF(R9&lt;P9,(P9-R9)/20/10*1000*N2O_N_conversion/1000*((MIN($C44,F44)*MIN(20,time))+IF(G44="Immediate",IF(F44&gt;$C44,F44*MIN(20,time),0),IF($C44&gt;F44,($C44-F44)*IF(time&gt;20,IF(G44="Linear",time-((time-20)^2)/(2*time),(0.215*time)-(time/4.6)*(EXP(-92.1/time)-0.01)),time*(1-VLOOKUP(G44, list!$J$48:$K$50,2,))),(F44-$C44)*IF(time&gt;time+20,20,IF(time&lt;20,(time*VLOOKUP(G44, list!$J$48:$K$50,2,))+(time-time),((MIN(20,time)*VLOOKUP(G44, list!$J$48:$K$50,2,))+(time-MIN(20,time))-IF(G44="Exponential",time-20+0.217*time*(EXP(4.606*(20-tim)/time)-1),((time-20)^2)*(0.5/time)))))))),0)</f>
        <v>0</v>
      </c>
    </row>
    <row r="14" spans="1:51" x14ac:dyDescent="0.2">
      <c r="A14" s="787" t="s">
        <v>719</v>
      </c>
      <c r="B14" s="3622" t="s">
        <v>720</v>
      </c>
      <c r="C14" s="3622" t="str">
        <f>'3.Cropland'!$E58</f>
        <v>Please select</v>
      </c>
      <c r="D14" s="3707" t="str">
        <f>'3.Cropland'!$K58</f>
        <v>NO</v>
      </c>
      <c r="E14" s="3255">
        <f>IF('3.Cropland'!$BK58="", '3.Cropland'!$BJ58, '3.Cropland'!$BK58)</f>
        <v>1</v>
      </c>
      <c r="F14" s="3255">
        <f>IF('3.Cropland'!$BI58="", '3.Cropland'!$BH58, '3.Cropland'!$BI58)</f>
        <v>0</v>
      </c>
      <c r="G14" s="4049">
        <f>(IF('3.Cropland'!$E58&lt;&gt;"Please select", INDEX(IPCC!$E$105:$T$298,MATCH(clim_moist_cont,IPCC!$C$105:$C$298,0),MATCH('3.Cropland'!$E58,IPCC!$E$105:$T$105,0))*(44/12), 0))</f>
        <v>0</v>
      </c>
      <c r="H14" s="4049">
        <f>IF('3.Cropland'!$AT58&lt;&gt;"", '3.Cropland'!$AT58*(44/12), '3.Cropland'!$AS58*(44/12))</f>
        <v>0</v>
      </c>
      <c r="I14" s="4049">
        <f>(IF('3.Cropland'!$E58&lt;&gt;"Please select",INDEX(IPCC!$E$308:$T$501,MATCH(clim_moist_cont,IPCC!$C$308:$C$501,0),MATCH('3.Cropland'!$E58,IPCC!$E$308:$T$308,0))*(44/12),0))</f>
        <v>0</v>
      </c>
      <c r="J14" s="4049">
        <f>IF('3.Cropland'!$AV58&lt;&gt;"", '3.Cropland'!$AV58*(44/12), '3.Cropland'!$AU58*(44/12))</f>
        <v>0</v>
      </c>
      <c r="K14" s="4050">
        <f t="shared" si="0"/>
        <v>0</v>
      </c>
      <c r="L14" s="4050">
        <f>IF(OR(C14="Please select",G14&lt;H14),0, INDEX(IPCC!$A$3235:$Q$3241,MATCH(climate,IPCC!$A$3235:$A$3241,0),MATCH(perennial!C14,IPCC!$A$3235:$Q$3235,0)))*44/12</f>
        <v>0</v>
      </c>
      <c r="M14" s="3169">
        <f>IF('3.Cropland'!$AX58&lt;&gt;"", '3.Cropland'!$AX58*44/12, L14)</f>
        <v>0</v>
      </c>
      <c r="N14" s="3169">
        <f t="shared" si="1"/>
        <v>0</v>
      </c>
      <c r="P14" s="3719" t="s">
        <v>62</v>
      </c>
      <c r="Q14" s="3644" t="s">
        <v>600</v>
      </c>
      <c r="R14" s="3644" t="s">
        <v>600</v>
      </c>
      <c r="S14" s="3644" t="s">
        <v>600</v>
      </c>
      <c r="T14" s="3644" t="s">
        <v>62</v>
      </c>
      <c r="U14" s="3644" t="s">
        <v>253</v>
      </c>
      <c r="V14" s="3644" t="s">
        <v>602</v>
      </c>
      <c r="W14" s="3644" t="s">
        <v>567</v>
      </c>
      <c r="X14" s="3644" t="s">
        <v>683</v>
      </c>
      <c r="Y14" s="3644" t="s">
        <v>569</v>
      </c>
      <c r="Z14" s="3644" t="s">
        <v>684</v>
      </c>
      <c r="AB14" s="4131"/>
      <c r="AC14" s="4131"/>
      <c r="AD14" s="4131"/>
      <c r="AE14" s="4131"/>
      <c r="AF14" s="4131"/>
      <c r="AG14" s="4131"/>
      <c r="AH14" s="787" t="s">
        <v>719</v>
      </c>
      <c r="AI14" s="3702">
        <f>(MIN(C45,D45)*time_tot+ABS(D45-C45)*IF(D45&gt;C45,time_cap+time*(VLOOKUP(E45, list!$J$48:$K$50,2,)),time*(1-(VLOOKUP(E45, list!$J$48:$K$50,2,)))))*perennial!W10*methane/1000</f>
        <v>0</v>
      </c>
      <c r="AJ14" s="3702">
        <f>(($C45*time)+((F45-$C45))*(VLOOKUP(G45, list!$J$48:$K$50,2,)*time)+(F45*time_cap))*perennial!W10*methane/1000</f>
        <v>0</v>
      </c>
      <c r="AK14" s="3702">
        <f>(MIN(C45,D45)*time_tot+ABS(D45-C45)*IF(D45&gt;C45,time_cap+time*(VLOOKUP(E45, list!$J$48:$K$50,2,)),time*(1-(VLOOKUP(E45, list!$J$48:$K$50,2,)))))*X10*Nitrous/1000</f>
        <v>0</v>
      </c>
      <c r="AL14" s="3702">
        <f>(($C45*time)+((F45-$C45))*(VLOOKUP(G45, list!$J$48:$K$50,2,)*time)+(F45*time_cap))*X10*Nitrous/1000</f>
        <v>0</v>
      </c>
      <c r="AP14" s="3280">
        <f>-(MIN(C45,D45)*time+ABS(D45-C45)*IF(D45&gt;C45,0+(time-1)*(VLOOKUP(E45, list!$J$48:$K$50,2,)),(time-1)*(1-(VLOOKUP(E45, list!$J$48:$K$50,2,)))))*$K14</f>
        <v>0</v>
      </c>
      <c r="AQ14" s="3281">
        <f>-(MIN(C45,F45)*time+ABS(F45-C45)*IF(F45&gt;C45, 0+(time-1)*(VLOOKUP(G45,list!$J$48:$K$50,2,)),(time-1)*(1-(VLOOKUP(G45, list!$J$48:$K$50,2,)))))*K14</f>
        <v>0</v>
      </c>
      <c r="AR14" s="3281">
        <f>-$S10*((MIN($C45,D45)*MIN(20,time))+IF(E45="Immediate",IF(D45&gt;$C45,D45*MIN(20,time),0),IF($C45&gt;D45,($C45-D45)*IF(time&gt;20,IF(E45="Linear",time-((time-20)^2)/(2*time),(0.215*time)-(time/4.6)*(EXP(-92.1/time)-0.01)),time*(1-VLOOKUP(E45, list!$J$48:$K$50,2,))),(D45-$C45)*IF(time&gt;time+20,20,IF(time&lt;20,(time*VLOOKUP(E45, list!$J$48:$K$50,2,))+(time-time),((MIN(20,time)*VLOOKUP(E45, list!$J$48:$K$50,2,))+(time-MIN(20,time))-IF(E45="Exponential",time-20+0.217*time*(EXP(4.606*(20-time)/time)-1),((time-20)^2)*(0.5/time))))))))</f>
        <v>0</v>
      </c>
      <c r="AS14" s="3281">
        <f>-$T10*((MIN($C45,F45)*MIN(20,time))+IF(G45="Immediate",IF(F45&gt;$C45,F45*MIN(20,time),0),IF($C45&gt;F45,($C45-F45)*IF(time&gt;20,IF(G45="Linear",time-((time-20)^2)/(2*time),(0.215*time)-(time/4.6)*(EXP(-92.1/time)-0.01)),time*(1-VLOOKUP(G45, list!$J$48:$K$50,2,))),(F45-$C45)*IF(time&gt;time+20,20,IF(time&lt;20,(time*VLOOKUP(G45, list!$J$48:$K$50,2,))+(time-time),((MIN(20,time)*VLOOKUP(G45, list!$J$48:$K$50,2,))+(time-MIN(20,time))-IF(G45="Exponential",time-20+0.217*time*(EXP(4.606*(20-time)/time)-1),((time-20)^2)*(0.5/time))))))))</f>
        <v>0</v>
      </c>
      <c r="AT14" s="3281">
        <f>(MIN(C45,D45)*time+ABS(D45-C45)*IF(D45&gt;C45,0+time*(VLOOKUP(E45, list!$J$48:$K$50,2,)),time*(1-(VLOOKUP(E45, list!$J$48:$K$50,2,)))))*perennial!W10*methane/1000</f>
        <v>0</v>
      </c>
      <c r="AU14" s="3281">
        <f>(($C45*time)+((F45-$C45))*(VLOOKUP(G45, list!$J$48:$K$50,2,)*time)+(F45*0))*perennial!W10*methane/1000</f>
        <v>0</v>
      </c>
      <c r="AV14" s="3281">
        <f>(MIN(C45,D45)*time+ABS(D45-C45)*IF(D45&gt;C45,0+time*(VLOOKUP(E45, list!$J$48:$K$50,2,)),time*(1-(VLOOKUP(E45, list!$J$48:$K$50,2,)))))*X10*Nitrous/1000</f>
        <v>0</v>
      </c>
      <c r="AW14" s="3281">
        <f>(($C45*time)+((F45-$C45))*(VLOOKUP(G45, list!$J$48:$K$50,2,)*time)+(F45*0))*X10*Nitrous/1000</f>
        <v>0</v>
      </c>
      <c r="AX14" s="3281">
        <f>IF(Q10&lt;P10,(P10-Q10)/20/10*1000*N2O_N_conversion/1000*((MIN($C45,D45)*MIN(20,time))+IF(E45="Immediate",IF(D45&gt;$C45,D45*MIN(20,time),0),IF($C45&gt;D45,($C45-D45)*IF(time&gt;20,IF(E45="Linear",time-((time-20)^2)/(2*time),(0.215*time)-(time/4.6)*(EXP(-92.1/time)-0.01)),time*(1-VLOOKUP(E45, list!$J$48:$K$50,2,))),(D45-$C45)*IF(time&gt;time+20,20,IF(time&lt;20,(time*VLOOKUP(E45, list!$J$48:$K$50,2,))+(time-time),((MIN(20,time)*VLOOKUP(E45, list!$J$48:$K$50,2,))+(time-MIN(20,time))-IF(E45="Exponential",time-20+0.217*time*(EXP(4.606*(20-time)/time)-1),((time_tot-20)^2)*(0.5/time)))))))),0)</f>
        <v>0</v>
      </c>
      <c r="AY14" s="3282">
        <f>IF(R10&lt;P10,(P10-R10)/20/10*1000*N2O_N_conversion/1000*((MIN($C45,F45)*MIN(20,time))+IF(G45="Immediate",IF(F45&gt;$C45,F45*MIN(20,time),0),IF($C45&gt;F45,($C45-F45)*IF(time&gt;20,IF(G45="Linear",time-((time-20)^2)/(2*time),(0.215*time)-(time/4.6)*(EXP(-92.1/time)-0.01)),time*(1-VLOOKUP(G45, list!$J$48:$K$50,2,))),(F45-$C45)*IF(time&gt;time+20,20,IF(time&lt;20,(time*VLOOKUP(G45, list!$J$48:$K$50,2,))+(time-time),((MIN(20,time)*VLOOKUP(G45, list!$J$48:$K$50,2,))+(time-MIN(20,time))-IF(G45="Exponential",time-20+0.217*time*(EXP(4.606*(20-tim)/time)-1),((time-20)^2)*(0.5/time)))))))),0)</f>
        <v>0</v>
      </c>
    </row>
    <row r="15" spans="1:51" x14ac:dyDescent="0.2">
      <c r="A15" s="461"/>
      <c r="B15" s="3742" t="s">
        <v>721</v>
      </c>
      <c r="C15" s="3742" t="str">
        <f>'3.Cropland'!$E59</f>
        <v>Please select</v>
      </c>
      <c r="D15" s="3655" t="str">
        <f>'3.Cropland'!$K59</f>
        <v>NO</v>
      </c>
      <c r="E15" s="3640">
        <f>IF('3.Cropland'!$BK59="", '3.Cropland'!$BJ59, '3.Cropland'!$BK59)</f>
        <v>1</v>
      </c>
      <c r="F15" s="3640">
        <f>IF('3.Cropland'!$BI59="", '3.Cropland'!$BH59, '3.Cropland'!$BI59)</f>
        <v>0</v>
      </c>
      <c r="G15" s="4051">
        <f>(IF('3.Cropland'!$E59&lt;&gt;"Please select", INDEX(IPCC!$E$105:$T$298,MATCH(clim_moist_cont,IPCC!$C$105:$C$298,0),MATCH('3.Cropland'!$E59,IPCC!$E$105:$T$105,0))*(44/12), 0))</f>
        <v>0</v>
      </c>
      <c r="H15" s="4051">
        <f>IF('3.Cropland'!$AT59&lt;&gt;"", '3.Cropland'!$AT59*(44/12), '3.Cropland'!$AS59*(44/12))</f>
        <v>0</v>
      </c>
      <c r="I15" s="4051">
        <f>(IF('3.Cropland'!$E59&lt;&gt;"Please select",INDEX(IPCC!$E$308:$T$501,MATCH(clim_moist_cont,IPCC!$C$308:$C$501,0),MATCH('3.Cropland'!$E59,IPCC!$E$308:$T$308,0))*(44/12),0))</f>
        <v>0</v>
      </c>
      <c r="J15" s="4051">
        <f>IF('3.Cropland'!$AV59&lt;&gt;"", '3.Cropland'!$AV59*(44/12), '3.Cropland'!$AU59*(44/12))</f>
        <v>0</v>
      </c>
      <c r="K15" s="4052">
        <f t="shared" si="0"/>
        <v>0</v>
      </c>
      <c r="L15" s="4052">
        <f>IF(OR(C15="Please select",G15&lt;H15),0, INDEX(IPCC!$A$3235:$Q$3241,MATCH(climate,IPCC!$A$3235:$A$3241,0),MATCH(perennial!C15,IPCC!$A$3235:$Q$3235,0)))*44/12</f>
        <v>0</v>
      </c>
      <c r="M15" s="4043">
        <f>IF('3.Cropland'!$AX59&lt;&gt;"", '3.Cropland'!$AX59*44/12, L15)</f>
        <v>0</v>
      </c>
      <c r="N15" s="4043">
        <f t="shared" si="1"/>
        <v>0</v>
      </c>
      <c r="P15" s="3312" t="s">
        <v>722</v>
      </c>
      <c r="Q15" s="3312" t="s">
        <v>722</v>
      </c>
      <c r="R15" s="3312" t="s">
        <v>722</v>
      </c>
      <c r="S15" s="3312" t="s">
        <v>722</v>
      </c>
      <c r="T15" s="3312"/>
      <c r="U15" s="3644"/>
      <c r="V15" s="3720" t="s">
        <v>723</v>
      </c>
      <c r="W15" s="3644" t="s">
        <v>571</v>
      </c>
      <c r="X15" s="3644" t="s">
        <v>571</v>
      </c>
      <c r="Y15" s="3644" t="s">
        <v>570</v>
      </c>
      <c r="Z15" s="3644" t="s">
        <v>388</v>
      </c>
      <c r="AB15" s="4131"/>
      <c r="AC15" s="4131"/>
      <c r="AD15" s="284"/>
      <c r="AE15" s="284"/>
      <c r="AF15" s="284"/>
      <c r="AG15" s="284"/>
      <c r="AH15" s="3704" t="s">
        <v>721</v>
      </c>
      <c r="AI15" s="3705">
        <f>(MIN(C46,D46)*time_tot+ABS(D46-C46)*IF(D46&gt;C46,time_cap+time*(VLOOKUP(E46, list!$J$48:$K$50,2,)),time*(1-(VLOOKUP(E46, list!$J$48:$K$50,2,)))))*perennial!W11*methane/1000</f>
        <v>0</v>
      </c>
      <c r="AJ15" s="3705">
        <f>(($C46*time)+((F46-$C46))*(VLOOKUP(G46, list!$J$48:$K$50,2,)*time)+(F46*time_cap))*perennial!W11*methane/1000</f>
        <v>0</v>
      </c>
      <c r="AK15" s="3705">
        <f>(MIN(C46,D46)*time_tot+ABS(D46-C46)*IF(D46&gt;C46,time_cap+time*(VLOOKUP(E46, list!$J$48:$K$50,2,)),time*(1-(VLOOKUP(E46, list!$J$48:$K$50,2,)))))*X11*Nitrous/1000</f>
        <v>0</v>
      </c>
      <c r="AL15" s="3705">
        <f>(($C46*time)+((F46-$C46))*(VLOOKUP(G46, list!$J$48:$K$50,2,)*time)+(F46*time_cap))*X11*Nitrous/1000</f>
        <v>0</v>
      </c>
      <c r="AP15" s="3395">
        <f>-(MIN(C46,D46)*time+ABS(D46-C46)*IF(D46&gt;C46,0+(time-1)*(VLOOKUP(E46, list!$J$48:$K$50,2,)),(time-1)*(1-(VLOOKUP(E46, list!$J$48:$K$50,2,)))))*$K15</f>
        <v>0</v>
      </c>
      <c r="AQ15" s="3396">
        <f>-(MIN(C46,F46)*time+ABS(F46-C46)*IF(F46&gt;C46, 0+(time-1)*(VLOOKUP(G46,list!$J$48:$K$50,2,)),(time-1)*(1-(VLOOKUP(G46, list!$J$48:$K$50,2,)))))*K15</f>
        <v>0</v>
      </c>
      <c r="AR15" s="3396">
        <f>-$S11*((MIN($C46,D46)*MIN(20,time))+IF(E46="Immediate",IF(D46&gt;$C46,D46*MIN(20,time),0),IF($C46&gt;D46,($C46-D46)*IF(time&gt;20,IF(E46="Linear",time-((time-20)^2)/(2*time),(0.215*time)-(time/4.6)*(EXP(-92.1/time)-0.01)),time*(1-VLOOKUP(E46, list!$J$48:$K$50,2,))),(D46-$C46)*IF(time&gt;time+20,20,IF(time&lt;20,(time*VLOOKUP(E46, list!$J$48:$K$50,2,))+(time-time),((MIN(20,time)*VLOOKUP(E46, list!$J$48:$K$50,2,))+(time-MIN(20,time))-IF(E46="Exponential",time-20+0.217*time*(EXP(4.606*(20-time)/time)-1),((time-20)^2)*(0.5/time))))))))</f>
        <v>0</v>
      </c>
      <c r="AS15" s="3396">
        <f>-$T11*((MIN($C46,F46)*MIN(20,time))+IF(G46="Immediate",IF(F46&gt;$C46,F46*MIN(20,time),0),IF($C46&gt;F46,($C46-F46)*IF(time&gt;20,IF(G46="Linear",time-((time-20)^2)/(2*time),(0.215*time)-(time/4.6)*(EXP(-92.1/time)-0.01)),time*(1-VLOOKUP(G46, list!$J$48:$K$50,2,))),(F46-$C46)*IF(time&gt;time+20,20,IF(time&lt;20,(time*VLOOKUP(G46, list!$J$48:$K$50,2,))+(time-time),((MIN(20,time)*VLOOKUP(G46, list!$J$48:$K$50,2,))+(time-MIN(20,time))-IF(G46="Exponential",time-20+0.217*time*(EXP(4.606*(20-time)/time)-1),((time-20)^2)*(0.5/time))))))))</f>
        <v>0</v>
      </c>
      <c r="AT15" s="3396">
        <f>(MIN(C46,D46)*time+ABS(D46-C46)*IF(D46&gt;C46,0+time*(VLOOKUP(E46, list!$J$48:$K$50,2,)),time*(1-(VLOOKUP(E46, list!$J$48:$K$50,2,)))))*perennial!W11*methane/1000</f>
        <v>0</v>
      </c>
      <c r="AU15" s="3396">
        <f>(($C46*time)+((F46-$C46))*(VLOOKUP(G46, list!$J$48:$K$50,2,)*time)+(F46*0))*perennial!W11*methane/1000</f>
        <v>0</v>
      </c>
      <c r="AV15" s="3396">
        <f>(MIN(C46,D46)*time+ABS(D46-C46)*IF(D46&gt;C46,0+time*(VLOOKUP(E46, list!$J$48:$K$50,2,)),time*(1-(VLOOKUP(E46, list!$J$48:$K$50,2,)))))*X11*Nitrous/1000</f>
        <v>0</v>
      </c>
      <c r="AW15" s="3396">
        <f>(($C46*time)+((F46-$C46))*(VLOOKUP(G46, list!$J$48:$K$50,2,)*time)+(F46*0))*X11*Nitrous/1000</f>
        <v>0</v>
      </c>
      <c r="AX15" s="3396">
        <f>IF(Q11&lt;P11,(P11-Q11)/20/10*1000*N2O_N_conversion/1000*((MIN($C46,D46)*MIN(20,time))+IF(E46="Immediate",IF(D46&gt;$C46,D46*MIN(20,time),0),IF($C46&gt;D46,($C46-D46)*IF(time&gt;20,IF(E46="Linear",time-((time-20)^2)/(2*time),(0.215*time)-(time/4.6)*(EXP(-92.1/time)-0.01)),time*(1-VLOOKUP(E46, list!$J$48:$K$50,2,))),(D46-$C46)*IF(time&gt;time+20,20,IF(time&lt;20,(time*VLOOKUP(E46, list!$J$48:$K$50,2,))+(time-time),((MIN(20,time)*VLOOKUP(E46, list!$J$48:$K$50,2,))+(time-MIN(20,time))-IF(E46="Exponential",time-20+0.217*time*(EXP(4.606*(20-time)/time)-1),((time_tot-20)^2)*(0.5/time)))))))),0)</f>
        <v>0</v>
      </c>
      <c r="AY15" s="3397">
        <f>IF(R11&lt;P11,(P11-R11)/20/10*1000*N2O_N_conversion/1000*((MIN($C46,F46)*MIN(20,time))+IF(G46="Immediate",IF(F46&gt;$C46,F46*MIN(20,time),0),IF($C46&gt;F46,($C46-F46)*IF(time&gt;20,IF(G46="Linear",time-((time-20)^2)/(2*time),(0.215*time)-(time/4.6)*(EXP(-92.1/time)-0.01)),time*(1-VLOOKUP(G46, list!$J$48:$K$50,2,))),(F46-$C46)*IF(time&gt;time+20,20,IF(time&lt;20,(time*VLOOKUP(G46, list!$J$48:$K$50,2,))+(time-time),((MIN(20,time)*VLOOKUP(G46, list!$J$48:$K$50,2,))+(time-MIN(20,time))-IF(G46="Exponential",time-20+0.217*time*(EXP(4.606*(20-tim)/time)-1),((time-20)^2)*(0.5/time)))))))),0)</f>
        <v>0</v>
      </c>
    </row>
    <row r="16" spans="1:51" x14ac:dyDescent="0.2">
      <c r="B16" s="4451">
        <f>'3.Cropland'!C67</f>
        <v>0</v>
      </c>
      <c r="C16" s="4457" t="str">
        <f>'3.Cropland'!$E67</f>
        <v>Please select</v>
      </c>
      <c r="D16" s="4458" t="str">
        <f>'3.Cropland'!$K67</f>
        <v>NO</v>
      </c>
      <c r="E16" s="4460">
        <f>IF('3.Cropland'!$BK67="", '3.Cropland'!$BJ67, '3.Cropland'!$BK67)</f>
        <v>1</v>
      </c>
      <c r="F16" s="4460">
        <f>IF('3.Cropland'!$BI67="", '3.Cropland'!$BH67, '3.Cropland'!$BI67)</f>
        <v>0</v>
      </c>
      <c r="G16" s="4032">
        <f>(IF(C16&lt;&gt;"Please select", INDEX(IPCC!$E$105:$T$298,MATCH(clim_moist_cont,IPCC!$C$105:$C$298,0),MATCH('3.Cropland'!$E67,IPCC!$E$105:$T$105,0))*(44/12), 0))</f>
        <v>0</v>
      </c>
      <c r="H16" s="4462">
        <f>IF('3.Cropland'!$AT67&lt;&gt;"", '3.Cropland'!$AT67*(44/12), '3.Cropland'!$AS67*(44/12))</f>
        <v>0</v>
      </c>
      <c r="I16" s="4032">
        <f>(IF('3.Cropland'!$E67&lt;&gt;"Please select",INDEX(IPCC!$E$308:$T$501,MATCH(clim_moist_cont,IPCC!$C$308:$C$501,0),MATCH('3.Cropland'!$E67,IPCC!$E$308:$T$308,0))*(44/12),0))</f>
        <v>0</v>
      </c>
      <c r="J16" s="4464">
        <f>IF('3.Cropland'!$AV67&lt;&gt;"", '3.Cropland'!$AV67*(44/12), '3.Cropland'!$AU67*(44/12))</f>
        <v>0</v>
      </c>
      <c r="K16" s="4465">
        <f t="shared" si="0"/>
        <v>0</v>
      </c>
      <c r="L16" s="4041">
        <f>IF(OR(C16="Please select",G16&lt;H16),0, INDEX(IPCC!$A$3235:$Q$3241,MATCH(climate,IPCC!$A$3235:$A$3241,0),MATCH(perennial!C16,IPCC!$A$3235:$Q$3235,0)))*44/12</f>
        <v>0</v>
      </c>
      <c r="M16" s="4044">
        <f>IF('3.Cropland'!$AX67&lt;&gt;"", '3.Cropland'!$AX67*44/12, L16)</f>
        <v>0</v>
      </c>
      <c r="N16" s="4044">
        <f t="shared" si="1"/>
        <v>0</v>
      </c>
      <c r="P16" s="4475">
        <f>IF('3.Cropland'!$E67&lt;&gt; "Please select", IF('3.Cropland'!$AZ67&lt;&gt;"", '3.Cropland'!$AZ67,'3.Cropland'!$AY67),0)</f>
        <v>0</v>
      </c>
      <c r="Q16" s="4476">
        <f>(IF('3.Cropland'!$E67&lt;&gt;"Please select",IF('3.Cropland'!$BC67&lt;&gt;"", '3.Cropland'!$BC67,VLOOKUP(clim_moist, IPCC!$A$57:$D$68, 4,FALSE)),0))</f>
        <v>0</v>
      </c>
      <c r="R16" s="4476">
        <f>_xlfn.IFNA(IF('3.Cropland'!$BE67&lt;&gt;"",'3.Cropland'!$BE67,INDEX(IPCC!$F$58:$H$68,MATCH(clim_moist, IPCC!$A$58:$A$68,0),MATCH('3.Cropland'!$G67, IPCC!$F$58:$H$58,0))),)</f>
        <v>0</v>
      </c>
      <c r="S16" s="4476">
        <f>_xlfn.IFNA(IF('3.Cropland'!$BG67&lt;&gt;"", '3.Cropland'!$BG67, INDEX(IPCC!$B$58:$L$68,MATCH(clim_moist,IPCC!$A$58:$A$68,0),MATCH('3.Cropland'!$I67,IPCC!$B$58:$L$58,0))),0)</f>
        <v>0</v>
      </c>
      <c r="T16" s="4476">
        <f>P16*Q16*R16*S16</f>
        <v>0</v>
      </c>
      <c r="U16" s="4477">
        <f>(T16-P16*Q16)*(44/12)</f>
        <v>0</v>
      </c>
      <c r="V16" s="4477">
        <f>U16/20</f>
        <v>0</v>
      </c>
      <c r="W16" s="4477">
        <f>IF($D16="YES", $F16*IPCC!$D$75,0)*IPCC!$B$89/$E16</f>
        <v>0</v>
      </c>
      <c r="X16" s="4477">
        <f>IF($D16="YES", $F16* IPCC!$E$75,0)*IPCC!$B$89/$E16</f>
        <v>0</v>
      </c>
      <c r="Y16" s="4477">
        <f>(W16*methane+X16*Nitrous)/1000</f>
        <v>0</v>
      </c>
      <c r="Z16" s="4478">
        <f>'3.Cropland'!$M67</f>
        <v>0</v>
      </c>
      <c r="AB16" s="284"/>
      <c r="AC16" s="284"/>
      <c r="AD16" s="284"/>
      <c r="AE16" s="284"/>
      <c r="AF16" s="284"/>
      <c r="AG16" s="2804"/>
      <c r="AI16" s="3703">
        <f>(MIN(C47,D47)*time_tot+ABS(D47-C47)*IF(D47&gt;C47,time_cap+time*(VLOOKUP(E47, list!$J$48:$K$50,2,)),time*(1-(VLOOKUP(E47, list!$J$48:$K$50,2,)))))*perennial!W16*methane/1000</f>
        <v>0</v>
      </c>
      <c r="AJ16" s="3703">
        <f>(($C47*time)+((F47-$C47))*(VLOOKUP(G47, list!$J$48:$K$50,2,)*time)+(F47*time_cap))*perennial!W16*methane/1000</f>
        <v>0</v>
      </c>
      <c r="AK16" s="3703">
        <f>(MIN(C47,D47)*time_tot+ABS(D47-C47)*IF(D47&gt;C47,time_cap+time*(VLOOKUP(E47, list!$J$48:$K$50,2,)),time*(1-(VLOOKUP(E47, list!$J$48:$K$50,2,)))))*X16*Nitrous/1000</f>
        <v>0</v>
      </c>
      <c r="AL16" s="3703">
        <f>(($C47*time)+((F47-$C47))*(VLOOKUP(G47, list!$J$48:$K$50,2,)*time)+(F47*time_cap))*X16*Nitrous/1000</f>
        <v>0</v>
      </c>
      <c r="AP16" s="3398">
        <f>-(MIN(C47,D47)*time+ABS(D47-C47)*IF(D47&gt;C47,time*(VLOOKUP(E47, list!$J$48:$K$50,2,)),time*(1-(VLOOKUP(E47, list!$J$48:$K$50,2,)))))*(IF($H16&gt;0,$H16,$G16)+IF($J16&gt;0,$J16,$I16))</f>
        <v>0</v>
      </c>
      <c r="AQ16" s="3399">
        <f>-(MIN(C47,F47)*time+ABS(F47-C47)*IF(F47&gt;C47,time*(VLOOKUP(G47, list!$J$48:$K$50,2,)),time*(1-(VLOOKUP(G47, list!$J$48:$K$50,2,)))))*(IF($H16&gt;0,$H16,$G16)+IF($J16&gt;0,$J16,$I16))</f>
        <v>0</v>
      </c>
      <c r="AR16" s="3399">
        <f>-$V16*((MIN($C47,D47)*MIN(20,time))+IF(E47="Immediate",IF(D47&gt;$C47,D47*MIN(20,time),0),IF($C47&gt;D47,($C47-D47)*IF(time&gt;20,IF(E47="Linear",time-((time-20)^2)/(2*time),(0.215*time)-(time/4.6)*(EXP(-92.1/time)-0.01)),time*(1-VLOOKUP(E47, list!$J$48:$K$50,2,))),(D47-$C47)*IF(time&gt;time+20,20,IF(time&lt;20,(time*VLOOKUP(E47, list!$J$48:$K$50,2,))+(time-time),((MIN(20,time)*VLOOKUP(E47, list!$J$48:$K$50,2,))+(time-MIN(20,time))-IF(E47="Exponential",time-20+0.217*time*(EXP(4.606*(20-time)/time)-1),((time-20)^2)*(0.5/time))))))))</f>
        <v>0</v>
      </c>
      <c r="AS16" s="3399">
        <f>-$V16*((MIN($C47,F47)*MIN(20,time))+IF(G47="Immediate",IF(F47&gt;$C47,F47*MIN(20,time),0),IF($C47&gt;F47,($C47-F47)*IF(time&gt;20,IF(G47="Linear",time-((time-20)^2)/(2*time),(0.215*time)-(time/4.6)*(EXP(-92.1/time)-0.01)),time*(1-VLOOKUP(G47, list!$J$48:$K$50,2,))),(F47-$C47)*IF(time&gt;time+20,20,IF(time&lt;20,(time*VLOOKUP(G47, list!$J$48:$K$50,2,))+(time-time),((MIN(20,time)*VLOOKUP(G47, list!$J$48:$K$50,2,))+(time-MIN(20,time))-IF(G47="Exponential",time-20+0.217*time*(EXP(4.606*(20-time)/time)-1),((time-20)^2)*(0.5/time))))))))</f>
        <v>0</v>
      </c>
      <c r="AT16" s="3399">
        <f>(MIN(C47,D47)*time+ABS(D47-C47)*IF(D47&gt;C47,time*(VLOOKUP(E47, list!$J$48:$K$50,2,)),time*(1-(VLOOKUP(E47, list!$J$48:$K$50,2,)))))*perennial!W16*methane/1000</f>
        <v>0</v>
      </c>
      <c r="AU16" s="3399">
        <f>(($C47*time)+((F47-$C47))*(VLOOKUP(G47, list!$J$48:$K$50,2,)*time)+(F47*0))*perennial!W16*methane/1000</f>
        <v>0</v>
      </c>
      <c r="AV16" s="3399">
        <f>(MIN(C47,D47)*time+ABS(D47-C47)*IF(D47&gt;C47,+time*(VLOOKUP(E47, list!$J$48:$K$50,2,)),time*(1-(VLOOKUP(E47, list!$J$48:$K$50,2,)))))*X16*Nitrous/1000</f>
        <v>0</v>
      </c>
      <c r="AW16" s="3399">
        <f>(($C47*time)+((F47-$C47))*(VLOOKUP(G47, list!$J$48:$K$50,2,)*time)+(F47*0))*X16*Nitrous/1000</f>
        <v>0</v>
      </c>
      <c r="AX16" s="3399">
        <f>IF(T16&lt;P16,(P16-T16)/20/10*1000*N2O_N_conversion/1000*((MIN($C47,D47)*MIN(20,time))+IF(E47="Immediate",IF(D47&gt;$C47,D47*MIN(20,time),0),IF($C47&gt;D47,($C47-D47)*IF(time&gt;20,IF(E47="Linear",time-((time-20)^2)/(2*time),(0.215*time)-(time/4.6)*(EXP(-92.1/time)-0.01)),time*(1-VLOOKUP(E47, list!$J$48:$K$50,2,))),(D47-$C47)*IF(time&gt;time+20,20,IF(time&lt;20,(time*VLOOKUP(E47, list!$J$48:$K$50,2,))+(time-time),((MIN(20,time)*VLOOKUP(E47, list!$J$48:$K$50,2,))+(time-MIN(20,time))-IF(E47="Exponential",time-20+0.217*time*(EXP(4.606*(20-time)/time)-1),((time-20)^2)*(0.5/time)))))))),0)</f>
        <v>0</v>
      </c>
      <c r="AY16" s="3400">
        <f>IF(T16&lt;P16,(P16-T16)/20/10*1000*N2O_N_conversion/1000*((MIN($C47,F47)*MIN(20,time))+IF(G47="Immediate",IF(F47&gt;$C47,F47*MIN(20,time),0),IF($C47&gt;F47,($C47-F47)*IF(time&gt;20,IF(G47="Linear",time-((time-20)^2)/(2*time),(0.215*time)-(time/4.6)*(EXP(-92.1/time)-0.01)),time*(1-VLOOKUP(G47, list!$J$48:$K$50,2,))),(F47-$C47)*IF(time&gt;time+20,20,IF(time&lt;20,(time*VLOOKUP(G47, list!$J$48:$K$50,2,))+(time-time),((MIN(20,time)*VLOOKUP(G47, list!$J$48:$K$50,2,))+(time-MIN(20,time))-IF(G47="Exponential",time-20+0.217*time*(EXP(4.606*(20-time)/time)-1),((time-20)^2)*(0.5/time)))))))),0)</f>
        <v>0</v>
      </c>
    </row>
    <row r="17" spans="2:51" x14ac:dyDescent="0.2">
      <c r="B17" s="4451">
        <f>'3.Cropland'!C68</f>
        <v>0</v>
      </c>
      <c r="C17" s="4457" t="str">
        <f>'3.Cropland'!$E68</f>
        <v>Please select</v>
      </c>
      <c r="D17" s="4458" t="str">
        <f>'3.Cropland'!$K68</f>
        <v>NO</v>
      </c>
      <c r="E17" s="4460">
        <f>IF('3.Cropland'!$BK68="", '3.Cropland'!$BJ68, '3.Cropland'!$BK68)</f>
        <v>1</v>
      </c>
      <c r="F17" s="4460">
        <f>IF('3.Cropland'!$BI68="", '3.Cropland'!$BH68, '3.Cropland'!$BI68)</f>
        <v>0</v>
      </c>
      <c r="G17" s="4032">
        <f>(IF(C17&lt;&gt;"Please select", INDEX(IPCC!$E$105:$T$298,MATCH(clim_moist_cont,IPCC!$C$105:$C$298,0),MATCH('3.Cropland'!$E68,IPCC!$E$105:$T$105,0))*(44/12), 0))</f>
        <v>0</v>
      </c>
      <c r="H17" s="4462">
        <f>IF('3.Cropland'!$AT68&lt;&gt;"", '3.Cropland'!$AT68*(44/12), '3.Cropland'!$AS68*(44/12))</f>
        <v>0</v>
      </c>
      <c r="I17" s="4032">
        <f>(IF('3.Cropland'!$E68&lt;&gt;"Please select",INDEX(IPCC!$E$308:$T$501,MATCH(clim_moist_cont,IPCC!$C$308:$C$501,0),MATCH('3.Cropland'!$E68,IPCC!$E$308:$T$308,0))*(44/12),0))</f>
        <v>0</v>
      </c>
      <c r="J17" s="4464">
        <f>IF('3.Cropland'!$AV68&lt;&gt;"", '3.Cropland'!$AV68*(44/12), '3.Cropland'!$AU68*(44/12))</f>
        <v>0</v>
      </c>
      <c r="K17" s="4465">
        <f t="shared" si="0"/>
        <v>0</v>
      </c>
      <c r="L17" s="4041">
        <f>IF(OR(C17="Please select",G17&lt;H17),0, INDEX(IPCC!$A$3235:$Q$3241,MATCH(climate,IPCC!$A$3235:$A$3241,0),MATCH(perennial!C17,IPCC!$A$3235:$Q$3235,0)))*44/12</f>
        <v>0</v>
      </c>
      <c r="M17" s="4044">
        <f>IF('3.Cropland'!$AX68&lt;&gt;"", '3.Cropland'!$AX68*44/12, L17)</f>
        <v>0</v>
      </c>
      <c r="N17" s="4044">
        <f t="shared" si="1"/>
        <v>0</v>
      </c>
      <c r="P17" s="4475">
        <f>IF('3.Cropland'!$E68&lt;&gt; "Please select", IF('3.Cropland'!$AZ68&lt;&gt;"", '3.Cropland'!$AZ68,'3.Cropland'!$AY68),0)</f>
        <v>0</v>
      </c>
      <c r="Q17" s="4476">
        <f>(IF('3.Cropland'!$E68&lt;&gt;"Please select",IF('3.Cropland'!$BC68&lt;&gt;"", '3.Cropland'!$BC68,VLOOKUP(clim_moist, IPCC!$A$57:$D$68, 4,FALSE)),0))</f>
        <v>0</v>
      </c>
      <c r="R17" s="4476">
        <f>_xlfn.IFNA(IF('3.Cropland'!$BE68&lt;&gt;"",'3.Cropland'!$BE68,INDEX(IPCC!$F$58:$H$68,MATCH(clim_moist, IPCC!$A$58:$A$68,0),MATCH('3.Cropland'!$G68, IPCC!$F$58:$H$58,0))),)</f>
        <v>0</v>
      </c>
      <c r="S17" s="4476">
        <f>_xlfn.IFNA(IF('3.Cropland'!$BG68&lt;&gt;"", '3.Cropland'!$BG68, INDEX(IPCC!$B$58:$L$68,MATCH(clim_moist,IPCC!$A$58:$A$68,0),MATCH('3.Cropland'!$I68,IPCC!$B$58:$L$58,0))),0)</f>
        <v>0</v>
      </c>
      <c r="T17" s="4476">
        <f>P17*Q17*R17*S17</f>
        <v>0</v>
      </c>
      <c r="U17" s="4477">
        <f>(T17-P17*Q17)*(44/12)</f>
        <v>0</v>
      </c>
      <c r="V17" s="4477">
        <f>U17/20</f>
        <v>0</v>
      </c>
      <c r="W17" s="4477">
        <f>IF($D17="YES", $F17*IPCC!$D$75,0)*IPCC!$B$89/$E17</f>
        <v>0</v>
      </c>
      <c r="X17" s="4477">
        <f>IF($D17="YES", $F17* IPCC!$E$75,0)*IPCC!$B$89/$E17</f>
        <v>0</v>
      </c>
      <c r="Y17" s="4477">
        <f>(W17*methane+X17*Nitrous)/1000</f>
        <v>0</v>
      </c>
      <c r="Z17" s="4478">
        <f>'3.Cropland'!$M68</f>
        <v>0</v>
      </c>
      <c r="AB17" s="284"/>
      <c r="AC17" s="284"/>
      <c r="AD17" s="284"/>
      <c r="AE17" s="284"/>
      <c r="AF17" s="284"/>
      <c r="AG17" s="2804"/>
      <c r="AI17" s="3703">
        <f>(MIN(C48,D48)*time_tot+ABS(D48-C48)*IF(D48&gt;C48,time_cap+time*(VLOOKUP(E48, list!$J$48:$K$50,2,)),time*(1-(VLOOKUP(E48, list!$J$48:$K$50,2,)))))*perennial!W17*methane/1000</f>
        <v>0</v>
      </c>
      <c r="AJ17" s="3703">
        <f>(($C48*time)+((F48-$C48))*(VLOOKUP(G48, list!$J$48:$K$50,2,)*time)+(F48*time_cap))*perennial!W17*methane/1000</f>
        <v>0</v>
      </c>
      <c r="AK17" s="3703">
        <f>(MIN(C48,D48)*time_tot+ABS(D48-C48)*IF(D48&gt;C48,time_cap+time*(VLOOKUP(E48, list!$J$48:$K$50,2,)),time*(1-(VLOOKUP(E48, list!$J$48:$K$50,2,)))))*X17*Nitrous/1000</f>
        <v>0</v>
      </c>
      <c r="AL17" s="3703">
        <f>(($C48*time)+((F48-$C48))*(VLOOKUP(G48, list!$J$48:$K$50,2,)*time)+(F48*time_cap))*X17*Nitrous/1000</f>
        <v>0</v>
      </c>
      <c r="AP17" s="3398"/>
      <c r="AQ17" s="3399"/>
      <c r="AR17" s="3399"/>
      <c r="AS17" s="3399"/>
      <c r="AT17" s="3399"/>
      <c r="AU17" s="3399"/>
      <c r="AV17" s="3399">
        <f>(MIN(C48,D48)*time+ABS(D48-C48)*IF(D48&gt;C48,+time*(VLOOKUP(E48, list!$J$48:$K$50,2,)),time*(1-(VLOOKUP(E48, list!$J$48:$K$50,2,)))))*X17*Nitrous/1000</f>
        <v>0</v>
      </c>
      <c r="AW17" s="3399">
        <f>(($C48*time)+((F48-$C48))*(VLOOKUP(G48, list!$J$48:$K$50,2,)*time)+(F48*0))*X17*Nitrous/1000</f>
        <v>0</v>
      </c>
      <c r="AX17" s="3399">
        <f>IF(T17&lt;P17,(P17-T17)/20/10*1000*N2O_N_conversion/1000*((MIN($C48,D48)*MIN(20,time))+IF(E48="Immediate",IF(D48&gt;$C48,D48*MIN(20,time),0),IF($C48&gt;D48,($C48-D48)*IF(time&gt;20,IF(E48="Linear",time-((time-20)^2)/(2*time),(0.215*time)-(time/4.6)*(EXP(-92.1/time)-0.01)),time*(1-VLOOKUP(E48, list!$J$48:$K$50,2,))),(D48-$C48)*IF(time&gt;time+20,20,IF(time&lt;20,(time*VLOOKUP(E48, list!$J$48:$K$50,2,))+(time-time),((MIN(20,time)*VLOOKUP(E48, list!$J$48:$K$50,2,))+(time-MIN(20,time))-IF(E48="Exponential",time-20+0.217*time*(EXP(4.606*(20-time)/time)-1),((time-20)^2)*(0.5/time)))))))),0)</f>
        <v>0</v>
      </c>
      <c r="AY17" s="3400">
        <f>IF(T17&lt;P17,(P17-T17)/20/10*1000*N2O_N_conversion/1000*((MIN($C48,F48)*MIN(20,time))+IF(G48="Immediate",IF(F48&gt;$C48,F48*MIN(20,time),0),IF($C48&gt;F48,($C48-F48)*IF(time&gt;20,IF(G48="Linear",time-((time-20)^2)/(2*time),(0.215*time)-(time/4.6)*(EXP(-92.1/time)-0.01)),time*(1-VLOOKUP(G48, list!$J$48:$K$50,2,))),(F48-$C48)*IF(time&gt;time+20,20,IF(time&lt;20,(time*VLOOKUP(G48, list!$J$48:$K$50,2,))+(time-time),((MIN(20,time)*VLOOKUP(G48, list!$J$48:$K$50,2,))+(time-MIN(20,time))-IF(G48="Exponential",time-20+0.217*time*(EXP(4.606*(20-time)/time)-1),((time-20)^2)*(0.5/time)))))))),0)</f>
        <v>0</v>
      </c>
    </row>
    <row r="18" spans="2:51" x14ac:dyDescent="0.2">
      <c r="B18" s="4451">
        <f>'3.Cropland'!C69</f>
        <v>0</v>
      </c>
      <c r="C18" s="4457" t="str">
        <f>'3.Cropland'!$E69</f>
        <v>Please select</v>
      </c>
      <c r="D18" s="4459" t="str">
        <f>'3.Cropland'!$K69</f>
        <v>NO</v>
      </c>
      <c r="E18" s="4461">
        <f>IF('3.Cropland'!$BK69="", '3.Cropland'!$BJ69, '3.Cropland'!$BK69)</f>
        <v>1</v>
      </c>
      <c r="F18" s="4461">
        <f>IF('3.Cropland'!$BI69="", '3.Cropland'!$BH69, '3.Cropland'!$BI69)</f>
        <v>0</v>
      </c>
      <c r="G18" s="4032">
        <f>(IF(C18&lt;&gt;"Please select", INDEX(IPCC!$E$105:$T$298,MATCH(clim_moist_cont,IPCC!$C$105:$C$298,0),MATCH('3.Cropland'!$E69,IPCC!$E$105:$T$105,0))*(44/12), 0))</f>
        <v>0</v>
      </c>
      <c r="H18" s="4463">
        <f>IF('3.Cropland'!$AT69&lt;&gt;"", '3.Cropland'!$AT69*(44/12), '3.Cropland'!$AS69*(44/12))</f>
        <v>0</v>
      </c>
      <c r="I18" s="4032">
        <f>(IF('3.Cropland'!$E69&lt;&gt;"Please select",INDEX(IPCC!$E$308:$T$501,MATCH(clim_moist_cont,IPCC!$C$308:$C$501,0),MATCH('3.Cropland'!$E69,IPCC!$E$308:$T$308,0))*(44/12),0))</f>
        <v>0</v>
      </c>
      <c r="J18" s="4466">
        <f>IF('3.Cropland'!$AV69&lt;&gt;"", '3.Cropland'!$AV69*(44/12), '3.Cropland'!$AU69*(44/12))</f>
        <v>0</v>
      </c>
      <c r="K18" s="4467">
        <f t="shared" si="0"/>
        <v>0</v>
      </c>
      <c r="L18" s="4041">
        <f>IF(OR(C18="Please select",G18&lt;H18),0, INDEX(IPCC!$A$3235:$Q$3241,MATCH(climate,IPCC!$A$3235:$A$3241,0),MATCH(perennial!C18,IPCC!$A$3235:$Q$3235,0)))*44/12</f>
        <v>0</v>
      </c>
      <c r="M18" s="4044">
        <f>IF('3.Cropland'!$AX69&lt;&gt;"", '3.Cropland'!$AX69*44/12, L18)</f>
        <v>0</v>
      </c>
      <c r="N18" s="4044">
        <f t="shared" si="1"/>
        <v>0</v>
      </c>
      <c r="P18" s="4475">
        <f>IF('3.Cropland'!$E69&lt;&gt; "Please select", IF('3.Cropland'!$AZ69&lt;&gt;"", '3.Cropland'!$AZ69,'3.Cropland'!$AY69),0)</f>
        <v>0</v>
      </c>
      <c r="Q18" s="4479">
        <f>(IF('3.Cropland'!$E69&lt;&gt;"Please select",IF('3.Cropland'!$BC69&lt;&gt;"", '3.Cropland'!$BC69,VLOOKUP(clim_moist, IPCC!$A$57:$D$68, 4,FALSE)),0))</f>
        <v>0</v>
      </c>
      <c r="R18" s="4479">
        <f>_xlfn.IFNA(IF('3.Cropland'!$BE69&lt;&gt;"",'3.Cropland'!$BE69,INDEX(IPCC!$F$58:$H$68,MATCH(clim_moist, IPCC!$A$58:$A$68,0),MATCH('3.Cropland'!$G69, IPCC!$F$58:$H$58,0))),)</f>
        <v>0</v>
      </c>
      <c r="S18" s="4479">
        <f>_xlfn.IFNA(IF('3.Cropland'!$BG69&lt;&gt;"", '3.Cropland'!$BG69, INDEX(IPCC!$B$58:$L$68,MATCH(clim_moist,IPCC!$A$58:$A$68,0),MATCH('3.Cropland'!$I69,IPCC!$B$58:$L$58,0))),0)</f>
        <v>0</v>
      </c>
      <c r="T18" s="4479">
        <f>P18*Q18*R18*S18</f>
        <v>0</v>
      </c>
      <c r="U18" s="4477">
        <f t="shared" ref="U18:U29" si="2">(T18-P18*Q18)*(44/12)</f>
        <v>0</v>
      </c>
      <c r="V18" s="4480">
        <f>U18/20</f>
        <v>0</v>
      </c>
      <c r="W18" s="4480">
        <f>IF($D18="YES", $F18*IPCC!$D$75,0)*IPCC!$B$89/$E18</f>
        <v>0</v>
      </c>
      <c r="X18" s="4480">
        <f>IF($D18="YES", $F18* IPCC!$E$75,0)*IPCC!$B$89/$E18</f>
        <v>0</v>
      </c>
      <c r="Y18" s="4480">
        <f t="shared" ref="Y18:Y29" si="3">(W18*methane+X18*Nitrous)/1000</f>
        <v>0</v>
      </c>
      <c r="Z18" s="4481">
        <f>'3.Cropland'!$M69</f>
        <v>0</v>
      </c>
      <c r="AB18" s="284"/>
      <c r="AC18" s="284"/>
      <c r="AD18" s="284"/>
      <c r="AE18" s="284"/>
      <c r="AF18" s="284"/>
      <c r="AG18" s="284"/>
      <c r="AI18" s="3703">
        <f>(MIN(C49,D49)*time_tot+ABS(D49-C49)*IF(D49&gt;C49,time_cap+time*(VLOOKUP(E49, list!$J$48:$K$50,2,)),time*(1-(VLOOKUP(E49, list!$J$48:$K$50,2,)))))*perennial!W18*methane/1000</f>
        <v>0</v>
      </c>
      <c r="AJ18" s="3703">
        <f>(($C49*time)+((F49-$C49))*(VLOOKUP(G49, list!$J$48:$K$50,2,)*time)+(F49*time_cap))*perennial!W18*methane/1000</f>
        <v>0</v>
      </c>
      <c r="AK18" s="3703">
        <f>(MIN(C49,D49)*time_tot+ABS(D49-C49)*IF(D49&gt;C49,time_cap+time*(VLOOKUP(E49, list!$J$48:$K$50,2,)),time*(1-(VLOOKUP(E49, list!$J$48:$K$50,2,)))))*X18*Nitrous/1000</f>
        <v>0</v>
      </c>
      <c r="AL18" s="3703">
        <f>(($C49*time)+((F49-$C49))*(VLOOKUP(G49, list!$J$48:$K$50,2,)*time)+(F49*time_cap))*X18*Nitrous/1000</f>
        <v>0</v>
      </c>
      <c r="AP18" s="3401">
        <f>-(MIN(C49,D49)*time+ABS(D49-C49)*IF(D49&gt;C49,time*(VLOOKUP(E49, list!$J$48:$K$50,2,)),time*(1-(VLOOKUP(E49, list!$J$48:$K$50,2,)))))*(IF($H18&gt;0,$H18,$G18)+IF($J18&gt;0,$J18,$I18))</f>
        <v>0</v>
      </c>
      <c r="AQ18" s="3402">
        <f>-(MIN(C49,F49)*time+ABS(F49-C49)*IF(F49&gt;C49,time*(VLOOKUP(G49, list!$J$48:$K$50,2,)),time*(1-(VLOOKUP(G49, list!$J$48:$K$50,2,)))))*(IF($H18&gt;0,$H18,$G18)+IF($J18&gt;0,$J18,$I18))</f>
        <v>0</v>
      </c>
      <c r="AR18" s="3402">
        <f>-$V18*((MIN($C49,D49)*MIN(20,time))+IF(E49="Immediate",IF(D49&gt;$C49,D49*MIN(20,time),0),IF($C49&gt;D49,($C49-D49)*IF(time&gt;20,IF(E49="Linear",time-((time-20)^2)/(2*time),(0.215*time)-(time/4.6)*(EXP(-92.1/time)-0.01)),time*(1-VLOOKUP(E49, list!$J$48:$K$50,2,))),(D49-$C49)*IF(time&gt;time+20,20,IF(time&lt;20,(time*VLOOKUP(E49, list!$J$48:$K$50,2,))+(time-time),((MIN(20,time)*VLOOKUP(E49, list!$J$48:$K$50,2,))+(time-MIN(20,time))-IF(E49="Exponential",time-20+0.217*time*(EXP(4.606*(20-time)/time)-1),((time-20)^2)*(0.5/time))))))))</f>
        <v>0</v>
      </c>
      <c r="AS18" s="3402">
        <f>-$V18*((MIN($C49,F49)*MIN(20,time))+IF(G49="Immediate",IF(F49&gt;$C49,F49*MIN(20,time),0),IF($C49&gt;F49,($C49-F49)*IF(time&gt;20,IF(G49="Linear",time-((time-20)^2)/(2*time),(0.215*time)-(time/4.6)*(EXP(-92.1/time)-0.01)),time*(1-VLOOKUP(G49, list!$J$48:$K$50,2,))),(F49-$C49)*IF(time&gt;time+20,20,IF(time&lt;20,(time*VLOOKUP(G49, list!$J$48:$K$50,2,))+(time-time),((MIN(20,time)*VLOOKUP(G49, list!$J$48:$K$50,2,))+(time-MIN(20,time))-IF(G49="Exponential",time-20+0.217*time*(EXP(4.606*(20-time)/time)-1),((time-20)^2)*(0.5/time))))))))</f>
        <v>0</v>
      </c>
      <c r="AT18" s="3402">
        <f>(MIN(C49,D49)*time+ABS(D49-C49)*IF(D49&gt;C49,time*(VLOOKUP(E49, list!$J$48:$K$50,2,)),time*(1-(VLOOKUP(E49, list!$J$48:$K$50,2,)))))*perennial!W18*methane/1000</f>
        <v>0</v>
      </c>
      <c r="AU18" s="3402">
        <f>(($C49*time)+((F49-$C49))*(VLOOKUP(G49, list!$J$48:$K$50,2,)*time)+(F49*0))*perennial!W18*methane/1000</f>
        <v>0</v>
      </c>
      <c r="AV18" s="3399">
        <f>(MIN(C49,D49)*time+ABS(D49-C49)*IF(D49&gt;C49,+time*(VLOOKUP(E49, list!$J$48:$K$50,2,)),time*(1-(VLOOKUP(E49, list!$J$48:$K$50,2,)))))*X18*Nitrous/1000</f>
        <v>0</v>
      </c>
      <c r="AW18" s="3399">
        <f>(($C49*time)+((F49-$C49))*(VLOOKUP(G49, list!$J$48:$K$50,2,)*time)+(F49*0))*X18*Nitrous/1000</f>
        <v>0</v>
      </c>
      <c r="AX18" s="3399">
        <f>IF(T18&lt;P18,(P18-T18)/20/10*1000*N2O_N_conversion/1000*((MIN($C49,D49)*MIN(20,time))+IF(E49="Immediate",IF(D49&gt;$C49,D49*MIN(20,time),0),IF($C49&gt;D49,($C49-D49)*IF(time&gt;20,IF(E49="Linear",time-((time-20)^2)/(2*time),(0.215*time)-(time/4.6)*(EXP(-92.1/time)-0.01)),time*(1-VLOOKUP(E49, list!$J$48:$K$50,2,))),(D49-$C49)*IF(time&gt;time+20,20,IF(time&lt;20,(time*VLOOKUP(E49, list!$J$48:$K$50,2,))+(time-time),((MIN(20,time)*VLOOKUP(E49, list!$J$48:$K$50,2,))+(time-MIN(20,time))-IF(E49="Exponential",time-20+0.217*time*(EXP(4.606*(20-time)/time)-1),((time-20)^2)*(0.5/time)))))))),0)</f>
        <v>0</v>
      </c>
      <c r="AY18" s="3400">
        <f>IF(T18&lt;P18,(P18-T18)/20/10*1000*N2O_N_conversion/1000*((MIN($C49,F49)*MIN(20,time))+IF(G49="Immediate",IF(F49&gt;$C49,F49*MIN(20,time),0),IF($C49&gt;F49,($C49-F49)*IF(time&gt;20,IF(G49="Linear",time-((time-20)^2)/(2*time),(0.215*time)-(time/4.6)*(EXP(-92.1/time)-0.01)),time*(1-VLOOKUP(G49, list!$J$48:$K$50,2,))),(F49-$C49)*IF(time&gt;time+20,20,IF(time&lt;20,(time*VLOOKUP(G49, list!$J$48:$K$50,2,))+(time-time),((MIN(20,time)*VLOOKUP(G49, list!$J$48:$K$50,2,))+(time-MIN(20,time))-IF(G49="Exponential",time-20+0.217*time*(EXP(4.606*(20-time)/time)-1),((time-20)^2)*(0.5/time)))))))),0)</f>
        <v>0</v>
      </c>
    </row>
    <row r="19" spans="2:51" x14ac:dyDescent="0.2">
      <c r="B19" s="4451">
        <f>'3.Cropland'!C71</f>
        <v>0</v>
      </c>
      <c r="C19" s="4457" t="str">
        <f>'3.Cropland'!$E71</f>
        <v>Please select</v>
      </c>
      <c r="D19" s="4459" t="str">
        <f>'3.Cropland'!$K71</f>
        <v>NO</v>
      </c>
      <c r="E19" s="4461">
        <f>IF('3.Cropland'!$BK71="", '3.Cropland'!$BJ71, '3.Cropland'!$BK71)</f>
        <v>1</v>
      </c>
      <c r="F19" s="4461">
        <f>IF('3.Cropland'!$BI71="", '3.Cropland'!$BH71, '3.Cropland'!$BI71)</f>
        <v>0</v>
      </c>
      <c r="G19" s="4032">
        <f>(IF(C19&lt;&gt;"Please select", INDEX(IPCC!$E$105:$T$298,MATCH(clim_moist_cont,IPCC!$C$105:$C$298,0),MATCH('3.Cropland'!$E71,IPCC!$E$105:$T$105,0))*(44/12), 0))</f>
        <v>0</v>
      </c>
      <c r="H19" s="4463">
        <f>IF('3.Cropland'!$AT71&lt;&gt;"", '3.Cropland'!$AT71*(44/12), '3.Cropland'!$AS71*(44/12))</f>
        <v>0</v>
      </c>
      <c r="I19" s="4032">
        <f>(IF('3.Cropland'!$E71&lt;&gt;"Please select",INDEX(IPCC!$E$308:$T$501,MATCH(clim_moist_cont,IPCC!$C$308:$C$501,0),MATCH('3.Cropland'!$E71,IPCC!$E$308:$T$308,0))*(44/12),0))</f>
        <v>0</v>
      </c>
      <c r="J19" s="4466">
        <f>IF('3.Cropland'!$AV71&lt;&gt;"", '3.Cropland'!$AV71*(44/12), '3.Cropland'!$AU71*(44/12))</f>
        <v>0</v>
      </c>
      <c r="K19" s="4468">
        <f t="shared" ref="K19:K29" si="4">H19+J19</f>
        <v>0</v>
      </c>
      <c r="L19" s="4041">
        <f>IF(OR(C19="Please select",G19&lt;H19),0, INDEX(IPCC!$A$3235:$Q$3241,MATCH(climate,IPCC!$A$3235:$A$3241,0),MATCH(perennial!C19,IPCC!$A$3235:$Q$3235,0)))*44/12</f>
        <v>0</v>
      </c>
      <c r="M19" s="4044">
        <f>IF('3.Cropland'!$AX71&lt;&gt;"", '3.Cropland'!$AX71*44/12, L19)</f>
        <v>0</v>
      </c>
      <c r="N19" s="4044">
        <f t="shared" si="1"/>
        <v>0</v>
      </c>
      <c r="P19" s="4475">
        <f>IF('3.Cropland'!$E71&lt;&gt; "Please select", IF('3.Cropland'!$AZ71&lt;&gt;"", '3.Cropland'!$AZ71,'3.Cropland'!$AY71),0)</f>
        <v>0</v>
      </c>
      <c r="Q19" s="4479">
        <f>(IF('3.Cropland'!$E71&lt;&gt;"Please select",IF('3.Cropland'!$BC71&lt;&gt;"", '3.Cropland'!$BC71,VLOOKUP(clim_moist, IPCC!$A$57:$D$68, 4,FALSE)),0))</f>
        <v>0</v>
      </c>
      <c r="R19" s="4479">
        <f>_xlfn.IFNA(IF('3.Cropland'!$BE71&lt;&gt;"",'3.Cropland'!$BE71,INDEX(IPCC!$F$58:$H$68,MATCH(clim_moist, IPCC!$A$58:$A$68,0),MATCH('3.Cropland'!$G71, IPCC!$F$58:$H$58,0))),)</f>
        <v>0</v>
      </c>
      <c r="S19" s="4479">
        <f>_xlfn.IFNA(IF('3.Cropland'!$BG71&lt;&gt;"", '3.Cropland'!$BG71, INDEX(IPCC!$B$58:$L$68,MATCH(clim_moist,IPCC!$A$58:$A$68,0),MATCH('3.Cropland'!$I71,IPCC!$B$58:$L$58,0))),0)</f>
        <v>0</v>
      </c>
      <c r="T19" s="4479">
        <f t="shared" ref="T19:T29" si="5">P19*Q19*R19*S19</f>
        <v>0</v>
      </c>
      <c r="U19" s="4477">
        <f t="shared" si="2"/>
        <v>0</v>
      </c>
      <c r="V19" s="4480">
        <f t="shared" ref="V19:V29" si="6">U19/20</f>
        <v>0</v>
      </c>
      <c r="W19" s="4480">
        <f>IF($D19="YES", $F19*IPCC!$D$75,0)*IPCC!$B$89/$E19</f>
        <v>0</v>
      </c>
      <c r="X19" s="4480">
        <f>IF($D19="YES", $F19* IPCC!$E$75,0)*IPCC!$B$89/$E19</f>
        <v>0</v>
      </c>
      <c r="Y19" s="4480">
        <f t="shared" si="3"/>
        <v>0</v>
      </c>
      <c r="Z19" s="4481">
        <f>'3.Cropland'!$M71</f>
        <v>0</v>
      </c>
      <c r="AB19" s="284"/>
      <c r="AC19" s="284"/>
      <c r="AD19" s="284"/>
      <c r="AE19" s="284"/>
      <c r="AF19" s="284"/>
      <c r="AG19" s="284"/>
      <c r="AI19" s="3703">
        <f>(MIN(C50,D50)*time_tot+ABS(D50-C50)*IF(D50&gt;C50,time_cap+time*(VLOOKUP(E50, list!$J$48:$K$50,2,)),time*(1-(VLOOKUP(E50, list!$J$48:$K$50,2,)))))*perennial!W19*methane/1000</f>
        <v>0</v>
      </c>
      <c r="AJ19" s="3703">
        <f>(($C50*time)+((F50-$C50))*(VLOOKUP(G50, list!$J$48:$K$50,2,)*time)+(F50*time_cap))*perennial!W19*methane/1000</f>
        <v>0</v>
      </c>
      <c r="AK19" s="3703">
        <f>(MIN(C50,D50)*time_tot+ABS(D50-C50)*IF(D50&gt;C50,time_cap+time*(VLOOKUP(E50, list!$J$48:$K$50,2,)),time*(1-(VLOOKUP(E50, list!$J$48:$K$50,2,)))))*X19*Nitrous/1000</f>
        <v>0</v>
      </c>
      <c r="AL19" s="3703">
        <f>(($C50*time)+((F50-$C50))*(VLOOKUP(G50, list!$J$48:$K$50,2,)*time)+(F50*time_cap))*X19*Nitrous/1000</f>
        <v>0</v>
      </c>
      <c r="AP19" s="3401">
        <f>-(MIN(C50,D50)*time+ABS(D50-C50)*IF(D50&gt;C50,time*(VLOOKUP(E50, list!$J$48:$K$50,2,)),time*(1-(VLOOKUP(E50, list!$J$48:$K$50,2,)))))*(IF($H19&gt;0,$H19,$G19)+IF($J19&gt;0,$J19,$I19))</f>
        <v>0</v>
      </c>
      <c r="AQ19" s="3402">
        <f>-(MIN(C50,F50)*time+ABS(F50-C50)*IF(F50&gt;C50,time*(VLOOKUP(G50, list!$J$48:$K$50,2,)),time*(1-(VLOOKUP(G50, list!$J$48:$K$50,2,)))))*(IF($H19&gt;0,$H19,$G19)+IF($J19&gt;0,$J19,$I19))</f>
        <v>0</v>
      </c>
      <c r="AR19" s="3402">
        <f>-$V19*((MIN($C50,D50)*MIN(20,time))+IF(E50="Immediate",IF(D50&gt;$C50,D50*MIN(20,time),0),IF($C50&gt;D50,($C50-D50)*IF(time&gt;20,IF(E50="Linear",time-((time-20)^2)/(2*time),(0.215*time)-(time/4.6)*(EXP(-92.1/time)-0.01)),time*(1-VLOOKUP(E50, list!$J$48:$K$50,2,))),(D50-$C50)*IF(time&gt;time+20,20,IF(time&lt;20,(time*VLOOKUP(E50, list!$J$48:$K$50,2,))+(time-time),((MIN(20,time)*VLOOKUP(E50, list!$J$48:$K$50,2,))+(time-MIN(20,time))-IF(E50="Exponential",time-20+0.217*time*(EXP(4.606*(20-time)/time)-1),((time-20)^2)*(0.5/time))))))))</f>
        <v>0</v>
      </c>
      <c r="AS19" s="3402">
        <f>-$V19*((MIN($C50,F50)*MIN(20,time))+IF(G50="Immediate",IF(F50&gt;$C50,F50*MIN(20,time),0),IF($C50&gt;F50,($C50-F50)*IF(time&gt;20,IF(G50="Linear",time-((time-20)^2)/(2*time),(0.215*time)-(time/4.6)*(EXP(-92.1/time)-0.01)),time*(1-VLOOKUP(G50, list!$J$48:$K$50,2,))),(F50-$C50)*IF(time&gt;time+20,20,IF(time&lt;20,(time*VLOOKUP(G50, list!$J$48:$K$50,2,))+(time-time),((MIN(20,time)*VLOOKUP(G50, list!$J$48:$K$50,2,))+(time-MIN(20,time))-IF(G50="Exponential",time-20+0.217*time*(EXP(4.606*(20-time)/time)-1),((time-20)^2)*(0.5/time))))))))</f>
        <v>0</v>
      </c>
      <c r="AT19" s="3402">
        <f>(MIN(C50,D50)*time+ABS(D50-C50)*IF(D50&gt;C50,time*(VLOOKUP(E50, list!$J$48:$K$50,2,)),time*(1-(VLOOKUP(E50, list!$J$48:$K$50,2,)))))*perennial!W19*methane/1000</f>
        <v>0</v>
      </c>
      <c r="AU19" s="3402">
        <f>(($C50*time)+((F50-$C50))*(VLOOKUP(G50, list!$J$48:$K$50,2,)*time)+(F50*0))*perennial!W19*methane/1000</f>
        <v>0</v>
      </c>
      <c r="AV19" s="3399">
        <f>(MIN(C50,D50)*time+ABS(D50-C50)*IF(D50&gt;C50,+time*(VLOOKUP(E50, list!$J$48:$K$50,2,)),time*(1-(VLOOKUP(E50, list!$J$48:$K$50,2,)))))*X19*Nitrous/1000</f>
        <v>0</v>
      </c>
      <c r="AW19" s="3399">
        <f>(($C50*time)+((F50-$C50))*(VLOOKUP(G50, list!$J$48:$K$50,2,)*time)+(F50*0))*X19*Nitrous/1000</f>
        <v>0</v>
      </c>
      <c r="AX19" s="3399">
        <f>IF(T19&lt;P19,(P19-T19)/20/10*1000*N2O_N_conversion/1000*((MIN($C50,D50)*MIN(20,time))+IF(E50="Immediate",IF(D50&gt;$C50,D50*MIN(20,time),0),IF($C50&gt;D50,($C50-D50)*IF(time&gt;20,IF(E50="Linear",time-((time-20)^2)/(2*time),(0.215*time)-(time/4.6)*(EXP(-92.1/time)-0.01)),time*(1-VLOOKUP(E50, list!$J$48:$K$50,2,))),(D50-$C50)*IF(time&gt;time+20,20,IF(time&lt;20,(time*VLOOKUP(E50, list!$J$48:$K$50,2,))+(time-time),((MIN(20,time)*VLOOKUP(E50, list!$J$48:$K$50,2,))+(time-MIN(20,time))-IF(E50="Exponential",time-20+0.217*time*(EXP(4.606*(20-time)/time)-1),((time-20)^2)*(0.5/time)))))))),0)</f>
        <v>0</v>
      </c>
      <c r="AY19" s="3400">
        <f>IF(T19&lt;P19,(P19-T19)/20/10*1000*N2O_N_conversion/1000*((MIN($C50,F50)*MIN(20,time))+IF(G50="Immediate",IF(F50&gt;$C50,F50*MIN(20,time),0),IF($C50&gt;F50,($C50-F50)*IF(time&gt;20,IF(G50="Linear",time-((time-20)^2)/(2*time),(0.215*time)-(time/4.6)*(EXP(-92.1/time)-0.01)),time*(1-VLOOKUP(G50, list!$J$48:$K$50,2,))),(F50-$C50)*IF(time&gt;time+20,20,IF(time&lt;20,(time*VLOOKUP(G50, list!$J$48:$K$50,2,))+(time-time),((MIN(20,time)*VLOOKUP(G50, list!$J$48:$K$50,2,))+(time-MIN(20,time))-IF(G50="Exponential",time-20+0.217*time*(EXP(4.606*(20-time)/time)-1),((time-20)^2)*(0.5/time)))))))),0)</f>
        <v>0</v>
      </c>
    </row>
    <row r="20" spans="2:51" x14ac:dyDescent="0.2">
      <c r="B20" s="4451">
        <f>'3.Cropland'!C72</f>
        <v>0</v>
      </c>
      <c r="C20" s="4457" t="str">
        <f>'3.Cropland'!$E72</f>
        <v>Please select</v>
      </c>
      <c r="D20" s="4459" t="str">
        <f>'3.Cropland'!$K72</f>
        <v>NO</v>
      </c>
      <c r="E20" s="4461">
        <f>IF('3.Cropland'!$BK72="", '3.Cropland'!$BJ72, '3.Cropland'!$BK72)</f>
        <v>1</v>
      </c>
      <c r="F20" s="4461">
        <f>IF('3.Cropland'!$BI72="", '3.Cropland'!$BH72, '3.Cropland'!$BI72)</f>
        <v>0</v>
      </c>
      <c r="G20" s="4032">
        <f>(IF(C20&lt;&gt;"Please select", INDEX(IPCC!$E$105:$T$298,MATCH(clim_moist_cont,IPCC!$C$105:$C$298,0),MATCH('3.Cropland'!$E72,IPCC!$E$105:$T$105,0))*(44/12), 0))</f>
        <v>0</v>
      </c>
      <c r="H20" s="4463">
        <f>IF('3.Cropland'!$AT72&lt;&gt;"", '3.Cropland'!$AT72*(44/12), '3.Cropland'!$AS72*(44/12))</f>
        <v>0</v>
      </c>
      <c r="I20" s="4032">
        <f>(IF('3.Cropland'!$E72&lt;&gt;"Please select",INDEX(IPCC!$E$308:$T$501,MATCH(clim_moist_cont,IPCC!$C$308:$C$501,0),MATCH('3.Cropland'!$E72,IPCC!$E$308:$T$308,0))*(44/12),0))</f>
        <v>0</v>
      </c>
      <c r="J20" s="4466">
        <f>IF('3.Cropland'!$AV72&lt;&gt;"", '3.Cropland'!$AV72*(44/12), '3.Cropland'!$AU72*(44/12))</f>
        <v>0</v>
      </c>
      <c r="K20" s="4468">
        <f t="shared" si="4"/>
        <v>0</v>
      </c>
      <c r="L20" s="4041">
        <f>IF(OR(C20="Please select",G20&lt;H20),0, INDEX(IPCC!$A$3235:$Q$3241,MATCH(climate,IPCC!$A$3235:$A$3241,0),MATCH(perennial!C20,IPCC!$A$3235:$Q$3235,0)))*44/12</f>
        <v>0</v>
      </c>
      <c r="M20" s="4044">
        <f>IF('3.Cropland'!$AX72&lt;&gt;"", '3.Cropland'!$AX72*44/12, L20)</f>
        <v>0</v>
      </c>
      <c r="N20" s="4044">
        <f t="shared" si="1"/>
        <v>0</v>
      </c>
      <c r="P20" s="4475">
        <f>IF('3.Cropland'!$E72&lt;&gt; "Please select", IF('3.Cropland'!$AZ72&lt;&gt;"", '3.Cropland'!$AZ72,'3.Cropland'!$AY72),0)</f>
        <v>0</v>
      </c>
      <c r="Q20" s="4479">
        <f>(IF('3.Cropland'!$E72&lt;&gt;"Please select",IF('3.Cropland'!$BC72&lt;&gt;"", '3.Cropland'!$BC72,VLOOKUP(clim_moist, IPCC!$A$57:$D$68, 4,FALSE)),0))</f>
        <v>0</v>
      </c>
      <c r="R20" s="4479">
        <f>_xlfn.IFNA(IF('3.Cropland'!$BE72&lt;&gt;"",'3.Cropland'!$BE72,INDEX(IPCC!$F$58:$H$68,MATCH(clim_moist, IPCC!$A$58:$A$68,0),MATCH('3.Cropland'!$G72, IPCC!$F$58:$H$58,0))),)</f>
        <v>0</v>
      </c>
      <c r="S20" s="4479">
        <f>_xlfn.IFNA(IF('3.Cropland'!$BG72&lt;&gt;"", '3.Cropland'!$BG72, INDEX(IPCC!$B$58:$L$68,MATCH(clim_moist,IPCC!$A$58:$A$68,0),MATCH('3.Cropland'!$I72,IPCC!$B$58:$L$58,0))),0)</f>
        <v>0</v>
      </c>
      <c r="T20" s="4479">
        <f>P20*Q20*R20*S20</f>
        <v>0</v>
      </c>
      <c r="U20" s="4477">
        <f>(T20-P20*Q20)*(44/12)</f>
        <v>0</v>
      </c>
      <c r="V20" s="4480">
        <f>U20/20</f>
        <v>0</v>
      </c>
      <c r="W20" s="4480">
        <f>IF($D20="YES", $F20*IPCC!$D$75,0)*IPCC!$B$89/$E20</f>
        <v>0</v>
      </c>
      <c r="X20" s="4480">
        <f>IF($D20="YES", $F20* IPCC!$E$75,0)*IPCC!$B$89/$E20</f>
        <v>0</v>
      </c>
      <c r="Y20" s="4480">
        <f>(W20*methane+X20*Nitrous)/1000</f>
        <v>0</v>
      </c>
      <c r="Z20" s="4481">
        <f>'3.Cropland'!$M72</f>
        <v>0</v>
      </c>
      <c r="AB20" s="284"/>
      <c r="AC20" s="284"/>
      <c r="AD20" s="284"/>
      <c r="AE20" s="284"/>
      <c r="AF20" s="284"/>
      <c r="AG20" s="284"/>
      <c r="AI20" s="3703">
        <f>(MIN(C51,D51)*time_tot+ABS(D51-C51)*IF(D51&gt;C51,time_cap+time*(VLOOKUP(E51, list!$J$48:$K$50,2,)),time*(1-(VLOOKUP(E51, list!$J$48:$K$50,2,)))))*perennial!W20*methane/1000</f>
        <v>0</v>
      </c>
      <c r="AJ20" s="3703">
        <f>(($C51*time)+((F51-$C51))*(VLOOKUP(G51, list!$J$48:$K$50,2,)*time)+(F51*time_cap))*perennial!W20*methane/1000</f>
        <v>0</v>
      </c>
      <c r="AK20" s="3703">
        <f>(MIN(C51,D51)*time_tot+ABS(D51-C51)*IF(D51&gt;C51,time_cap+time*(VLOOKUP(E51, list!$J$48:$K$50,2,)),time*(1-(VLOOKUP(E51, list!$J$48:$K$50,2,)))))*X20*Nitrous/1000</f>
        <v>0</v>
      </c>
      <c r="AL20" s="3703">
        <f>(($C51*time)+((F51-$C51))*(VLOOKUP(G51, list!$J$48:$K$50,2,)*time)+(F51*time_cap))*X20*Nitrous/1000</f>
        <v>0</v>
      </c>
      <c r="AP20" s="3401"/>
      <c r="AQ20" s="3402"/>
      <c r="AR20" s="3402"/>
      <c r="AS20" s="3402"/>
      <c r="AT20" s="3402"/>
      <c r="AU20" s="3402"/>
      <c r="AV20" s="3399">
        <f>(MIN(C51,D51)*time+ABS(D51-C51)*IF(D51&gt;C51,+time*(VLOOKUP(E51, list!$J$48:$K$50,2,)),time*(1-(VLOOKUP(E51, list!$J$48:$K$50,2,)))))*X20*Nitrous/1000</f>
        <v>0</v>
      </c>
      <c r="AW20" s="3399">
        <f>(($C51*time)+((F51-$C51))*(VLOOKUP(G51, list!$J$48:$K$50,2,)*time)+(F51*0))*X20*Nitrous/1000</f>
        <v>0</v>
      </c>
      <c r="AX20" s="3399">
        <f>IF(T20&lt;P20,(P20-T20)/20/10*1000*N2O_N_conversion/1000*((MIN($C51,D51)*MIN(20,time))+IF(E51="Immediate",IF(D51&gt;$C51,D51*MIN(20,time),0),IF($C51&gt;D51,($C51-D51)*IF(time&gt;20,IF(E51="Linear",time-((time-20)^2)/(2*time),(0.215*time)-(time/4.6)*(EXP(-92.1/time)-0.01)),time*(1-VLOOKUP(E51, list!$J$48:$K$50,2,))),(D51-$C51)*IF(time&gt;time+20,20,IF(time&lt;20,(time*VLOOKUP(E51, list!$J$48:$K$50,2,))+(time-time),((MIN(20,time)*VLOOKUP(E51, list!$J$48:$K$50,2,))+(time-MIN(20,time))-IF(E51="Exponential",time-20+0.217*time*(EXP(4.606*(20-time)/time)-1),((time-20)^2)*(0.5/time)))))))),0)</f>
        <v>0</v>
      </c>
      <c r="AY20" s="3400">
        <f>IF(T20&lt;P20,(P20-T20)/20/10*1000*N2O_N_conversion/1000*((MIN($C51,F51)*MIN(20,time))+IF(G51="Immediate",IF(F51&gt;$C51,F51*MIN(20,time),0),IF($C51&gt;F51,($C51-F51)*IF(time&gt;20,IF(G51="Linear",time-((time-20)^2)/(2*time),(0.215*time)-(time/4.6)*(EXP(-92.1/time)-0.01)),time*(1-VLOOKUP(G51, list!$J$48:$K$50,2,))),(F51-$C51)*IF(time&gt;time+20,20,IF(time&lt;20,(time*VLOOKUP(G51, list!$J$48:$K$50,2,))+(time-time),((MIN(20,time)*VLOOKUP(G51, list!$J$48:$K$50,2,))+(time-MIN(20,time))-IF(G51="Exponential",time-20+0.217*time*(EXP(4.606*(20-time)/time)-1),((time-20)^2)*(0.5/time)))))))),0)</f>
        <v>0</v>
      </c>
    </row>
    <row r="21" spans="2:51" x14ac:dyDescent="0.2">
      <c r="B21" s="4451">
        <f>'3.Cropland'!C73</f>
        <v>0</v>
      </c>
      <c r="C21" s="4457" t="str">
        <f>'3.Cropland'!$E73</f>
        <v>Please select</v>
      </c>
      <c r="D21" s="4459" t="str">
        <f>'3.Cropland'!$K73</f>
        <v>NO</v>
      </c>
      <c r="E21" s="4461">
        <f>IF('3.Cropland'!$BK73="", '3.Cropland'!$BJ73, '3.Cropland'!$BK73)</f>
        <v>1</v>
      </c>
      <c r="F21" s="4461">
        <f>IF('3.Cropland'!$BI73="", '3.Cropland'!$BH73, '3.Cropland'!$BI73)</f>
        <v>0</v>
      </c>
      <c r="G21" s="4032">
        <f>(IF(C21&lt;&gt;"Please select", INDEX(IPCC!$E$105:$T$298,MATCH(clim_moist_cont,IPCC!$C$105:$C$298,0),MATCH('3.Cropland'!$E73,IPCC!$E$105:$T$105,0))*(44/12), 0))</f>
        <v>0</v>
      </c>
      <c r="H21" s="4463">
        <f>IF('3.Cropland'!$AT73&lt;&gt;"", '3.Cropland'!$AT73*(44/12), '3.Cropland'!$AS73*(44/12))</f>
        <v>0</v>
      </c>
      <c r="I21" s="4032">
        <f>(IF('3.Cropland'!$E73&lt;&gt;"Please select",INDEX(IPCC!$E$308:$T$501,MATCH(clim_moist_cont,IPCC!$C$308:$C$501,0),MATCH('3.Cropland'!$E73,IPCC!$E$308:$T$308,0))*(44/12),0))</f>
        <v>0</v>
      </c>
      <c r="J21" s="4466">
        <f>IF('3.Cropland'!$AV73&lt;&gt;"", '3.Cropland'!$AV73*(44/12), '3.Cropland'!$AU73*(44/12))</f>
        <v>0</v>
      </c>
      <c r="K21" s="4468">
        <f t="shared" si="4"/>
        <v>0</v>
      </c>
      <c r="L21" s="4041">
        <f>IF(OR(C21="Please select",G21&lt;H21),0, INDEX(IPCC!$A$3235:$Q$3241,MATCH(climate,IPCC!$A$3235:$A$3241,0),MATCH(perennial!C21,IPCC!$A$3235:$Q$3235,0)))*44/12</f>
        <v>0</v>
      </c>
      <c r="M21" s="4044">
        <f>IF('3.Cropland'!$AX73&lt;&gt;"", '3.Cropland'!$AX73*44/12, L21)</f>
        <v>0</v>
      </c>
      <c r="N21" s="4044">
        <f t="shared" si="1"/>
        <v>0</v>
      </c>
      <c r="P21" s="4475">
        <f>IF('3.Cropland'!$E73&lt;&gt; "Please select", IF('3.Cropland'!$AZ73&lt;&gt;"", '3.Cropland'!$AZ73,'3.Cropland'!$AY73),0)</f>
        <v>0</v>
      </c>
      <c r="Q21" s="4479">
        <f>(IF('3.Cropland'!$E73&lt;&gt;"Please select",IF('3.Cropland'!$BC73&lt;&gt;"", '3.Cropland'!$BC73,VLOOKUP(clim_moist, IPCC!$A$57:$D$68, 4,FALSE)),0))</f>
        <v>0</v>
      </c>
      <c r="R21" s="4479">
        <f>_xlfn.IFNA(IF('3.Cropland'!$BE73&lt;&gt;"",'3.Cropland'!$BE73,INDEX(IPCC!$F$58:$H$68,MATCH(clim_moist, IPCC!$A$58:$A$68,0),MATCH('3.Cropland'!$G73, IPCC!$F$58:$H$58,0))),)</f>
        <v>0</v>
      </c>
      <c r="S21" s="4479">
        <f>_xlfn.IFNA(IF('3.Cropland'!$BG73&lt;&gt;"", '3.Cropland'!$BG73, INDEX(IPCC!$B$58:$L$68,MATCH(clim_moist,IPCC!$A$58:$A$68,0),MATCH('3.Cropland'!$I73,IPCC!$B$58:$L$58,0))),0)</f>
        <v>0</v>
      </c>
      <c r="T21" s="4479">
        <f t="shared" si="5"/>
        <v>0</v>
      </c>
      <c r="U21" s="4477">
        <f t="shared" si="2"/>
        <v>0</v>
      </c>
      <c r="V21" s="4480">
        <f t="shared" si="6"/>
        <v>0</v>
      </c>
      <c r="W21" s="4480">
        <f>IF($D21="YES", $F21*IPCC!$D$75,0)*IPCC!$B$89/$E21</f>
        <v>0</v>
      </c>
      <c r="X21" s="4480">
        <f>IF($D21="YES", $F21* IPCC!$E$75,0)*IPCC!$B$89/$E21</f>
        <v>0</v>
      </c>
      <c r="Y21" s="4480">
        <f t="shared" si="3"/>
        <v>0</v>
      </c>
      <c r="Z21" s="4481">
        <f>'3.Cropland'!$M73</f>
        <v>0</v>
      </c>
      <c r="AB21" s="284"/>
      <c r="AC21" s="284"/>
      <c r="AD21" s="284"/>
      <c r="AE21" s="284"/>
      <c r="AF21" s="284"/>
      <c r="AG21" s="284"/>
      <c r="AI21" s="3703">
        <f>(MIN(C52,D52)*time_tot+ABS(D52-C52)*IF(D52&gt;C52,time_cap+time*(VLOOKUP(E52, list!$J$48:$K$50,2,)),time*(1-(VLOOKUP(E52, list!$J$48:$K$50,2,)))))*perennial!W21*methane/1000</f>
        <v>0</v>
      </c>
      <c r="AJ21" s="3703">
        <f>(($C52*time)+((F52-$C52))*(VLOOKUP(G52, list!$J$48:$K$50,2,)*time)+(F52*time_cap))*perennial!W21*methane/1000</f>
        <v>0</v>
      </c>
      <c r="AK21" s="3703">
        <f>(MIN(C52,D52)*time_tot+ABS(D52-C52)*IF(D52&gt;C52,time_cap+time*(VLOOKUP(E52, list!$J$48:$K$50,2,)),time*(1-(VLOOKUP(E52, list!$J$48:$K$50,2,)))))*X21*Nitrous/1000</f>
        <v>0</v>
      </c>
      <c r="AL21" s="3703">
        <f>(($C52*time)+((F52-$C52))*(VLOOKUP(G52, list!$J$48:$K$50,2,)*time)+(F52*time_cap))*X21*Nitrous/1000</f>
        <v>0</v>
      </c>
      <c r="AP21" s="3401">
        <f>-(MIN(C52,D52)*time+ABS(D52-C52)*IF(D52&gt;C52,time*(VLOOKUP(E52, list!$J$48:$K$50,2,)),time*(1-(VLOOKUP(E52, list!$J$48:$K$50,2,)))))*(IF($H21&gt;0,$H21,$G21)+IF($J21&gt;0,$J21,$I21))</f>
        <v>0</v>
      </c>
      <c r="AQ21" s="3402">
        <f>-(MIN(C52,F52)*time+ABS(F52-C52)*IF(F52&gt;C52,time*(VLOOKUP(G52, list!$J$48:$K$50,2,)),time*(1-(VLOOKUP(G52, list!$J$48:$K$50,2,)))))*(IF($H21&gt;0,$H21,$G21)+IF($J21&gt;0,$J21,$I21))</f>
        <v>0</v>
      </c>
      <c r="AR21" s="3402">
        <f>-$V21*((MIN($C52,D52)*MIN(20,time))+IF(E52="Immediate",IF(D52&gt;$C52,D52*MIN(20,time),0),IF($C52&gt;D52,($C52-D52)*IF(time&gt;20,IF(E52="Linear",time-((time-20)^2)/(2*time),(0.215*time)-(time/4.6)*(EXP(-92.1/time)-0.01)),time*(1-VLOOKUP(E52, list!$J$48:$K$50,2,))),(D52-$C52)*IF(time&gt;time+20,20,IF(time&lt;20,(time*VLOOKUP(E52, list!$J$48:$K$50,2,))+(time-time),((MIN(20,time)*VLOOKUP(E52, list!$J$48:$K$50,2,))+(time-MIN(20,time))-IF(E52="Exponential",time-20+0.217*time*(EXP(4.606*(20-time)/time)-1),((time-20)^2)*(0.5/time))))))))</f>
        <v>0</v>
      </c>
      <c r="AS21" s="3402">
        <f>-$V21*((MIN($C52,F52)*MIN(20,time))+IF(G52="Immediate",IF(F52&gt;$C52,F52*MIN(20,time),0),IF($C52&gt;F52,($C52-F52)*IF(time&gt;20,IF(G52="Linear",time-((time-20)^2)/(2*time),(0.215*time)-(time/4.6)*(EXP(-92.1/time)-0.01)),time*(1-VLOOKUP(G52, list!$J$48:$K$50,2,))),(F52-$C52)*IF(time&gt;time+20,20,IF(time&lt;20,(time*VLOOKUP(G52, list!$J$48:$K$50,2,))+(time-time),((MIN(20,time)*VLOOKUP(G52, list!$J$48:$K$50,2,))+(time-MIN(20,time))-IF(G52="Exponential",time-20+0.217*time*(EXP(4.606*(20-time)/time)-1),((time-20)^2)*(0.5/time))))))))</f>
        <v>0</v>
      </c>
      <c r="AT21" s="3402">
        <f>(MIN(C52,D52)*time+ABS(D52-C52)*IF(D52&gt;C52,time*(VLOOKUP(E52, list!$J$48:$K$50,2,)),time*(1-(VLOOKUP(E52, list!$J$48:$K$50,2,)))))*perennial!W21*methane/1000</f>
        <v>0</v>
      </c>
      <c r="AU21" s="3402">
        <f>(($C52*time)+((F52-$C52))*(VLOOKUP(G52, list!$J$48:$K$50,2,)*time)+(F52*0))*perennial!W21*methane/1000</f>
        <v>0</v>
      </c>
      <c r="AV21" s="3399">
        <f>(MIN(C52,D52)*time+ABS(D52-C52)*IF(D52&gt;C52,+time*(VLOOKUP(E52, list!$J$48:$K$50,2,)),time*(1-(VLOOKUP(E52, list!$J$48:$K$50,2,)))))*X21*Nitrous/1000</f>
        <v>0</v>
      </c>
      <c r="AW21" s="3399">
        <f>(($C52*time)+((F52-$C52))*(VLOOKUP(G52, list!$J$48:$K$50,2,)*time)+(F52*0))*X21*Nitrous/1000</f>
        <v>0</v>
      </c>
      <c r="AX21" s="3399">
        <f>IF(T21&lt;P21,(P21-T21)/20/10*1000*N2O_N_conversion/1000*((MIN($C52,D52)*MIN(20,time))+IF(E52="Immediate",IF(D52&gt;$C52,D52*MIN(20,time),0),IF($C52&gt;D52,($C52-D52)*IF(time&gt;20,IF(E52="Linear",time-((time-20)^2)/(2*time),(0.215*time)-(time/4.6)*(EXP(-92.1/time)-0.01)),time*(1-VLOOKUP(E52, list!$J$48:$K$50,2,))),(D52-$C52)*IF(time&gt;time+20,20,IF(time&lt;20,(time*VLOOKUP(E52, list!$J$48:$K$50,2,))+(time-time),((MIN(20,time)*VLOOKUP(E52, list!$J$48:$K$50,2,))+(time-MIN(20,time))-IF(E52="Exponential",time-20+0.217*time*(EXP(4.606*(20-time)/time)-1),((time-20)^2)*(0.5/time)))))))),0)</f>
        <v>0</v>
      </c>
      <c r="AY21" s="3400">
        <f>IF(T21&lt;P21,(P21-T21)/20/10*1000*N2O_N_conversion/1000*((MIN($C52,F52)*MIN(20,time))+IF(G52="Immediate",IF(F52&gt;$C52,F52*MIN(20,time),0),IF($C52&gt;F52,($C52-F52)*IF(time&gt;20,IF(G52="Linear",time-((time-20)^2)/(2*time),(0.215*time)-(time/4.6)*(EXP(-92.1/time)-0.01)),time*(1-VLOOKUP(G52, list!$J$48:$K$50,2,))),(F52-$C52)*IF(time&gt;time+20,20,IF(time&lt;20,(time*VLOOKUP(G52, list!$J$48:$K$50,2,))+(time-time),((MIN(20,time)*VLOOKUP(G52, list!$J$48:$K$50,2,))+(time-MIN(20,time))-IF(G52="Exponential",time-20+0.217*time*(EXP(4.606*(20-time)/time)-1),((time-20)^2)*(0.5/time)))))))),0)</f>
        <v>0</v>
      </c>
    </row>
    <row r="22" spans="2:51" x14ac:dyDescent="0.2">
      <c r="B22" s="4451">
        <f>'3.Cropland'!C75</f>
        <v>0</v>
      </c>
      <c r="C22" s="4457" t="str">
        <f>'3.Cropland'!$E75</f>
        <v>Please select</v>
      </c>
      <c r="D22" s="4459" t="str">
        <f>'3.Cropland'!$K75</f>
        <v>NO</v>
      </c>
      <c r="E22" s="4461">
        <f>IF('3.Cropland'!$BK75="", '3.Cropland'!$BJ75, '3.Cropland'!$BK75)</f>
        <v>1</v>
      </c>
      <c r="F22" s="4461">
        <f>IF('3.Cropland'!$BI75="", '3.Cropland'!$BH75, '3.Cropland'!$BI75)</f>
        <v>0</v>
      </c>
      <c r="G22" s="4032">
        <f>(IF(C22&lt;&gt;"Please select", INDEX(IPCC!$E$105:$T$298,MATCH(clim_moist_cont,IPCC!$C$105:$C$298,0),MATCH('3.Cropland'!$E75,IPCC!$E$105:$T$105,0))*(44/12), 0))</f>
        <v>0</v>
      </c>
      <c r="H22" s="4463">
        <f>IF('3.Cropland'!$AT75&lt;&gt;"", '3.Cropland'!$AT75*(44/12), '3.Cropland'!$AS75*(44/12))</f>
        <v>0</v>
      </c>
      <c r="I22" s="4032">
        <f>(IF('3.Cropland'!$E75&lt;&gt;"Please select",INDEX(IPCC!$E$308:$T$501,MATCH(clim_moist_cont,IPCC!$C$308:$C$501,0),MATCH('3.Cropland'!$E75,IPCC!$E$308:$T$308,0))*(44/12),0))</f>
        <v>0</v>
      </c>
      <c r="J22" s="4466">
        <f>IF('3.Cropland'!$AV75&lt;&gt;"", '3.Cropland'!$AV75*(44/12), '3.Cropland'!$AU75*(44/12))</f>
        <v>0</v>
      </c>
      <c r="K22" s="4468">
        <f t="shared" si="4"/>
        <v>0</v>
      </c>
      <c r="L22" s="4041">
        <f>IF(OR(C22="Please select",G22&lt;H22),0, INDEX(IPCC!$A$3235:$Q$3241,MATCH(climate,IPCC!$A$3235:$A$3241,0),MATCH(perennial!C22,IPCC!$A$3235:$Q$3235,0)))*44/12</f>
        <v>0</v>
      </c>
      <c r="M22" s="4044">
        <f>IF('3.Cropland'!$AX75&lt;&gt;"", '3.Cropland'!$AX75*44/12, L22)</f>
        <v>0</v>
      </c>
      <c r="N22" s="4044">
        <f t="shared" si="1"/>
        <v>0</v>
      </c>
      <c r="P22" s="4475">
        <f>IF('3.Cropland'!$E75&lt;&gt; "Please select", IF('3.Cropland'!$AZ75&lt;&gt;"", '3.Cropland'!$AZ75,'3.Cropland'!$AY75),0)</f>
        <v>0</v>
      </c>
      <c r="Q22" s="4479">
        <f>(IF('3.Cropland'!$E75&lt;&gt;"Please select",IF('3.Cropland'!$BC75&lt;&gt;"", '3.Cropland'!$BC75,VLOOKUP(clim_moist, IPCC!$A$57:$D$68, 4,FALSE)),0))</f>
        <v>0</v>
      </c>
      <c r="R22" s="4479">
        <f>_xlfn.IFNA(IF('3.Cropland'!$BE75&lt;&gt;"",'3.Cropland'!$BE75,INDEX(IPCC!$F$58:$H$68,MATCH(clim_moist, IPCC!$A$58:$A$68,0),MATCH('3.Cropland'!$G75, IPCC!$F$58:$H$58,0))),)</f>
        <v>0</v>
      </c>
      <c r="S22" s="4479">
        <f>_xlfn.IFNA(IF('3.Cropland'!$BG75&lt;&gt;"", '3.Cropland'!$BG75, INDEX(IPCC!$B$58:$L$68,MATCH(clim_moist,IPCC!$A$58:$A$68,0),MATCH('3.Cropland'!$I75,IPCC!$B$58:$L$58,0))),0)</f>
        <v>0</v>
      </c>
      <c r="T22" s="4479">
        <f t="shared" si="5"/>
        <v>0</v>
      </c>
      <c r="U22" s="4477">
        <f t="shared" si="2"/>
        <v>0</v>
      </c>
      <c r="V22" s="4480">
        <f t="shared" si="6"/>
        <v>0</v>
      </c>
      <c r="W22" s="4480">
        <f>IF($D22="YES", $F22*IPCC!$D$75,0)*IPCC!$B$89/$E22</f>
        <v>0</v>
      </c>
      <c r="X22" s="4480">
        <f>IF($D22="YES", $F22* IPCC!$E$75,0)*IPCC!$B$89/$E22</f>
        <v>0</v>
      </c>
      <c r="Y22" s="4480">
        <f t="shared" si="3"/>
        <v>0</v>
      </c>
      <c r="Z22" s="4481">
        <f>'3.Cropland'!$M75</f>
        <v>0</v>
      </c>
      <c r="AB22" s="284"/>
      <c r="AC22" s="284"/>
      <c r="AD22" s="284"/>
      <c r="AE22" s="284"/>
      <c r="AF22" s="284"/>
      <c r="AG22" s="284"/>
      <c r="AI22" s="3703">
        <f>(MIN(C53,D53)*time_tot+ABS(D53-C53)*IF(D53&gt;C53,time_cap+time*(VLOOKUP(E53, list!$J$48:$K$50,2,)),time*(1-(VLOOKUP(E53, list!$J$48:$K$50,2,)))))*perennial!W22*methane/1000</f>
        <v>0</v>
      </c>
      <c r="AJ22" s="3703">
        <f>(($C53*time)+((F53-$C53))*(VLOOKUP(G53, list!$J$48:$K$50,2,)*time)+(F53*time_cap))*perennial!W22*methane/1000</f>
        <v>0</v>
      </c>
      <c r="AK22" s="3703">
        <f>(MIN(C53,D53)*time_tot+ABS(D53-C53)*IF(D53&gt;C53,time_cap+time*(VLOOKUP(E53, list!$J$48:$K$50,2,)),time*(1-(VLOOKUP(E53, list!$J$48:$K$50,2,)))))*X22*Nitrous/1000</f>
        <v>0</v>
      </c>
      <c r="AL22" s="3703">
        <f>(($C53*time)+((F53-$C53))*(VLOOKUP(G53, list!$J$48:$K$50,2,)*time)+(F53*time_cap))*X22*Nitrous/1000</f>
        <v>0</v>
      </c>
      <c r="AP22" s="3401">
        <f>-(MIN(C53,D53)*time+ABS(D53-C53)*IF(D53&gt;C53,time*(VLOOKUP(E53, list!$J$48:$K$50,2,)),time*(1-(VLOOKUP(E53, list!$J$48:$K$50,2,)))))*(IF($H22&gt;0,$H22,$G22)+IF($J22&gt;0,$J22,$I22))</f>
        <v>0</v>
      </c>
      <c r="AQ22" s="3402">
        <f>-(MIN(C53,F53)*time+ABS(F53-C53)*IF(F53&gt;C53,time*(VLOOKUP(G53, list!$J$48:$K$50,2,)),time*(1-(VLOOKUP(G53, list!$J$48:$K$50,2,)))))*(IF($H22&gt;0,$H22,$G22)+IF($J22&gt;0,$J22,$I22))</f>
        <v>0</v>
      </c>
      <c r="AR22" s="3402">
        <f>-$V22*((MIN($C53,D53)*MIN(20,time))+IF(E53="Immediate",IF(D53&gt;$C53,D53*MIN(20,time),0),IF($C53&gt;D53,($C53-D53)*IF(time&gt;20,IF(E53="Linear",time-((time-20)^2)/(2*time),(0.215*time)-(time/4.6)*(EXP(-92.1/time)-0.01)),time*(1-VLOOKUP(E53, list!$J$48:$K$50,2,))),(D53-$C53)*IF(time&gt;time+20,20,IF(time&lt;20,(time*VLOOKUP(E53, list!$J$48:$K$50,2,))+(time-time),((MIN(20,time)*VLOOKUP(E53, list!$J$48:$K$50,2,))+(time-MIN(20,time))-IF(E53="Exponential",time-20+0.217*time*(EXP(4.606*(20-time)/time)-1),((time-20)^2)*(0.5/time))))))))</f>
        <v>0</v>
      </c>
      <c r="AS22" s="3402">
        <f>-$V22*((MIN($C53,F53)*MIN(20,time))+IF(G53="Immediate",IF(F53&gt;$C53,F53*MIN(20,time),0),IF($C53&gt;F53,($C53-F53)*IF(time&gt;20,IF(G53="Linear",time-((time-20)^2)/(2*time),(0.215*time)-(time/4.6)*(EXP(-92.1/time)-0.01)),time*(1-VLOOKUP(G53, list!$J$48:$K$50,2,))),(F53-$C53)*IF(time&gt;time+20,20,IF(time&lt;20,(time*VLOOKUP(G53, list!$J$48:$K$50,2,))+(time-time),((MIN(20,time)*VLOOKUP(G53, list!$J$48:$K$50,2,))+(time-MIN(20,time))-IF(G53="Exponential",time-20+0.217*time*(EXP(4.606*(20-time)/time)-1),((time-20)^2)*(0.5/time))))))))</f>
        <v>0</v>
      </c>
      <c r="AT22" s="3402">
        <f>(MIN(C53,D53)*time+ABS(D53-C53)*IF(D53&gt;C53,time*(VLOOKUP(E53, list!$J$48:$K$50,2,)),time*(1-(VLOOKUP(E53, list!$J$48:$K$50,2,)))))*perennial!W22*methane/1000</f>
        <v>0</v>
      </c>
      <c r="AU22" s="3402">
        <f>(($C53*time)+((F53-$C53))*(VLOOKUP(G53, list!$J$48:$K$50,2,)*time)+(F53*0))*perennial!W22*methane/1000</f>
        <v>0</v>
      </c>
      <c r="AV22" s="3399">
        <f>(MIN(C53,D53)*time+ABS(D53-C53)*IF(D53&gt;C53,+time*(VLOOKUP(E53, list!$J$48:$K$50,2,)),time*(1-(VLOOKUP(E53, list!$J$48:$K$50,2,)))))*X22*Nitrous/1000</f>
        <v>0</v>
      </c>
      <c r="AW22" s="3399">
        <f>(($C53*time)+((F53-$C53))*(VLOOKUP(G53, list!$J$48:$K$50,2,)*time)+(F53*0))*X22*Nitrous/1000</f>
        <v>0</v>
      </c>
      <c r="AX22" s="3399">
        <f>IF(T22&lt;P22,(P22-T22)/20/10*1000*N2O_N_conversion/1000*((MIN($C53,D53)*MIN(20,time))+IF(E53="Immediate",IF(D53&gt;$C53,D53*MIN(20,time),0),IF($C53&gt;D53,($C53-D53)*IF(time&gt;20,IF(E53="Linear",time-((time-20)^2)/(2*time),(0.215*time)-(time/4.6)*(EXP(-92.1/time)-0.01)),time*(1-VLOOKUP(E53, list!$J$48:$K$50,2,))),(D53-$C53)*IF(time&gt;time+20,20,IF(time&lt;20,(time*VLOOKUP(E53, list!$J$48:$K$50,2,))+(time-time),((MIN(20,time)*VLOOKUP(E53, list!$J$48:$K$50,2,))+(time-MIN(20,time))-IF(E53="Exponential",time-20+0.217*time*(EXP(4.606*(20-time)/time)-1),((time-20)^2)*(0.5/time)))))))),0)</f>
        <v>0</v>
      </c>
      <c r="AY22" s="3400">
        <f>IF(T22&lt;P22,(P22-T22)/20/10*1000*N2O_N_conversion/1000*((MIN($C53,F53)*MIN(20,time))+IF(G53="Immediate",IF(F53&gt;$C53,F53*MIN(20,time),0),IF($C53&gt;F53,($C53-F53)*IF(time&gt;20,IF(G53="Linear",time-((time-20)^2)/(2*time),(0.215*time)-(time/4.6)*(EXP(-92.1/time)-0.01)),time*(1-VLOOKUP(G53, list!$J$48:$K$50,2,))),(F53-$C53)*IF(time&gt;time+20,20,IF(time&lt;20,(time*VLOOKUP(G53, list!$J$48:$K$50,2,))+(time-time),((MIN(20,time)*VLOOKUP(G53, list!$J$48:$K$50,2,))+(time-MIN(20,time))-IF(G53="Exponential",time-20+0.217*time*(EXP(4.606*(20-time)/time)-1),((time-20)^2)*(0.5/time)))))))),0)</f>
        <v>0</v>
      </c>
    </row>
    <row r="23" spans="2:51" x14ac:dyDescent="0.2">
      <c r="B23" s="4451">
        <f>'3.Cropland'!C76</f>
        <v>0</v>
      </c>
      <c r="C23" s="4457" t="str">
        <f>'3.Cropland'!$E76</f>
        <v>Please select</v>
      </c>
      <c r="D23" s="4459" t="str">
        <f>'3.Cropland'!$K76</f>
        <v>NO</v>
      </c>
      <c r="E23" s="4461">
        <f>IF('3.Cropland'!$BK76="", '3.Cropland'!$BJ76, '3.Cropland'!$BK76)</f>
        <v>1</v>
      </c>
      <c r="F23" s="4461">
        <f>IF('3.Cropland'!$BI76="", '3.Cropland'!$BH76, '3.Cropland'!$BI76)</f>
        <v>0</v>
      </c>
      <c r="G23" s="4032">
        <f>(IF(C23&lt;&gt;"Please select", INDEX(IPCC!$E$105:$T$298,MATCH(clim_moist_cont,IPCC!$C$105:$C$298,0),MATCH('3.Cropland'!$E76,IPCC!$E$105:$T$105,0))*(44/12), 0))</f>
        <v>0</v>
      </c>
      <c r="H23" s="4463">
        <f>IF('3.Cropland'!$AT76&lt;&gt;"", '3.Cropland'!$AT76*(44/12), '3.Cropland'!$AS76*(44/12))</f>
        <v>0</v>
      </c>
      <c r="I23" s="4032">
        <f>(IF('3.Cropland'!$E76&lt;&gt;"Please select",INDEX(IPCC!$E$308:$T$501,MATCH(clim_moist_cont,IPCC!$C$308:$C$501,0),MATCH('3.Cropland'!$E76,IPCC!$E$308:$T$308,0))*(44/12),0))</f>
        <v>0</v>
      </c>
      <c r="J23" s="4466">
        <f>IF('3.Cropland'!$AV76&lt;&gt;"", '3.Cropland'!$AV76*(44/12), '3.Cropland'!$AU76*(44/12))</f>
        <v>0</v>
      </c>
      <c r="K23" s="4468">
        <f t="shared" si="4"/>
        <v>0</v>
      </c>
      <c r="L23" s="4041">
        <f>IF(OR(C23="Please select",G23&lt;H23),0, INDEX(IPCC!$A$3235:$Q$3241,MATCH(climate,IPCC!$A$3235:$A$3241,0),MATCH(perennial!C23,IPCC!$A$3235:$Q$3235,0)))*44/12</f>
        <v>0</v>
      </c>
      <c r="M23" s="4044">
        <f>IF('3.Cropland'!$AX76&lt;&gt;"", '3.Cropland'!$AX76*44/12, L23)</f>
        <v>0</v>
      </c>
      <c r="N23" s="4044">
        <f t="shared" si="1"/>
        <v>0</v>
      </c>
      <c r="P23" s="4475">
        <f>IF('3.Cropland'!$E76&lt;&gt; "Please select", IF('3.Cropland'!$AZ76&lt;&gt;"", '3.Cropland'!$AZ76,'3.Cropland'!$AY76),0)</f>
        <v>0</v>
      </c>
      <c r="Q23" s="4479">
        <f>(IF('3.Cropland'!$E76&lt;&gt;"Please select",IF('3.Cropland'!$BC76&lt;&gt;"", '3.Cropland'!$BC76,VLOOKUP(clim_moist, IPCC!$A$57:$D$68, 4,FALSE)),0))</f>
        <v>0</v>
      </c>
      <c r="R23" s="4479">
        <f>_xlfn.IFNA(IF('3.Cropland'!$BE76&lt;&gt;"",'3.Cropland'!$BE76,INDEX(IPCC!$F$58:$H$68,MATCH(clim_moist, IPCC!$A$58:$A$68,0),MATCH('3.Cropland'!$G76, IPCC!$F$58:$H$58,0))),)</f>
        <v>0</v>
      </c>
      <c r="S23" s="4479">
        <f>_xlfn.IFNA(IF('3.Cropland'!$BG76&lt;&gt;"", '3.Cropland'!$BG76, INDEX(IPCC!$B$58:$L$68,MATCH(clim_moist,IPCC!$A$58:$A$68,0),MATCH('3.Cropland'!$I76,IPCC!$B$58:$L$58,0))),0)</f>
        <v>0</v>
      </c>
      <c r="T23" s="4479">
        <f>P23*Q23*R23*S23</f>
        <v>0</v>
      </c>
      <c r="U23" s="4477">
        <f>(T23-P23*Q23)*(44/12)</f>
        <v>0</v>
      </c>
      <c r="V23" s="4480">
        <f>U23/20</f>
        <v>0</v>
      </c>
      <c r="W23" s="4480">
        <f>IF($D23="YES", $F23*IPCC!$D$75,0)*IPCC!$B$89/$E23</f>
        <v>0</v>
      </c>
      <c r="X23" s="4480">
        <f>IF($D23="YES", $F23* IPCC!$E$75,0)*IPCC!$B$89/$E23</f>
        <v>0</v>
      </c>
      <c r="Y23" s="4480">
        <f>(W23*methane+X23*Nitrous)/1000</f>
        <v>0</v>
      </c>
      <c r="Z23" s="4481">
        <f>'3.Cropland'!$M76</f>
        <v>0</v>
      </c>
      <c r="AB23" s="284"/>
      <c r="AC23" s="284"/>
      <c r="AD23" s="284"/>
      <c r="AE23" s="284"/>
      <c r="AF23" s="284"/>
      <c r="AG23" s="284"/>
      <c r="AI23" s="3703">
        <f>(MIN(C54,D54)*time_tot+ABS(D54-C54)*IF(D54&gt;C54,time_cap+time*(VLOOKUP(E54, list!$J$48:$K$50,2,)),time*(1-(VLOOKUP(E54, list!$J$48:$K$50,2,)))))*perennial!W23*methane/1000</f>
        <v>0</v>
      </c>
      <c r="AJ23" s="3703">
        <f>(($C54*time)+((F54-$C54))*(VLOOKUP(G54, list!$J$48:$K$50,2,)*time)+(F54*time_cap))*perennial!W23*methane/1000</f>
        <v>0</v>
      </c>
      <c r="AK23" s="3703">
        <f>(MIN(C54,D54)*time_tot+ABS(D54-C54)*IF(D54&gt;C54,time_cap+time*(VLOOKUP(E54, list!$J$48:$K$50,2,)),time*(1-(VLOOKUP(E54, list!$J$48:$K$50,2,)))))*X23*Nitrous/1000</f>
        <v>0</v>
      </c>
      <c r="AL23" s="3703">
        <f>(($C54*time)+((F54-$C54))*(VLOOKUP(G54, list!$J$48:$K$50,2,)*time)+(F54*time_cap))*X23*Nitrous/1000</f>
        <v>0</v>
      </c>
      <c r="AP23" s="3401"/>
      <c r="AQ23" s="3402"/>
      <c r="AR23" s="3402"/>
      <c r="AS23" s="3402"/>
      <c r="AT23" s="3402"/>
      <c r="AU23" s="3402"/>
      <c r="AV23" s="3399">
        <f>(MIN(C54,D54)*time+ABS(D54-C54)*IF(D54&gt;C54,+time*(VLOOKUP(E54, list!$J$48:$K$50,2,)),time*(1-(VLOOKUP(E54, list!$J$48:$K$50,2,)))))*X23*Nitrous/1000</f>
        <v>0</v>
      </c>
      <c r="AW23" s="3399">
        <f>(($C54*time)+((F54-$C54))*(VLOOKUP(G54, list!$J$48:$K$50,2,)*time)+(F54*0))*X23*Nitrous/1000</f>
        <v>0</v>
      </c>
      <c r="AX23" s="3399">
        <f>IF(T23&lt;P23,(P23-T23)/20/10*1000*N2O_N_conversion/1000*((MIN($C54,D54)*MIN(20,time))+IF(E54="Immediate",IF(D54&gt;$C54,D54*MIN(20,time),0),IF($C54&gt;D54,($C54-D54)*IF(time&gt;20,IF(E54="Linear",time-((time-20)^2)/(2*time),(0.215*time)-(time/4.6)*(EXP(-92.1/time)-0.01)),time*(1-VLOOKUP(E54, list!$J$48:$K$50,2,))),(D54-$C54)*IF(time&gt;time+20,20,IF(time&lt;20,(time*VLOOKUP(E54, list!$J$48:$K$50,2,))+(time-time),((MIN(20,time)*VLOOKUP(E54, list!$J$48:$K$50,2,))+(time-MIN(20,time))-IF(E54="Exponential",time-20+0.217*time*(EXP(4.606*(20-time)/time)-1),((time-20)^2)*(0.5/time)))))))),0)</f>
        <v>0</v>
      </c>
      <c r="AY23" s="3400">
        <f>IF(T23&lt;P23,(P23-T23)/20/10*1000*N2O_N_conversion/1000*((MIN($C54,F54)*MIN(20,time))+IF(G54="Immediate",IF(F54&gt;$C54,F54*MIN(20,time),0),IF($C54&gt;F54,($C54-F54)*IF(time&gt;20,IF(G54="Linear",time-((time-20)^2)/(2*time),(0.215*time)-(time/4.6)*(EXP(-92.1/time)-0.01)),time*(1-VLOOKUP(G54, list!$J$48:$K$50,2,))),(F54-$C54)*IF(time&gt;time+20,20,IF(time&lt;20,(time*VLOOKUP(G54, list!$J$48:$K$50,2,))+(time-time),((MIN(20,time)*VLOOKUP(G54, list!$J$48:$K$50,2,))+(time-MIN(20,time))-IF(G54="Exponential",time-20+0.217*time*(EXP(4.606*(20-time)/time)-1),((time-20)^2)*(0.5/time)))))))),0)</f>
        <v>0</v>
      </c>
    </row>
    <row r="24" spans="2:51" x14ac:dyDescent="0.2">
      <c r="B24" s="4451">
        <f>'3.Cropland'!C77</f>
        <v>0</v>
      </c>
      <c r="C24" s="4457" t="str">
        <f>'3.Cropland'!$E77</f>
        <v>Please select</v>
      </c>
      <c r="D24" s="4459" t="str">
        <f>'3.Cropland'!$K77</f>
        <v>NO</v>
      </c>
      <c r="E24" s="4461">
        <f>IF('3.Cropland'!$BK77="", '3.Cropland'!$BJ77, '3.Cropland'!$BK77)</f>
        <v>1</v>
      </c>
      <c r="F24" s="4461">
        <f>IF('3.Cropland'!$BI77="", '3.Cropland'!$BH77, '3.Cropland'!$BI77)</f>
        <v>0</v>
      </c>
      <c r="G24" s="4032">
        <f>(IF(C24&lt;&gt;"Please select", INDEX(IPCC!$E$105:$T$298,MATCH(clim_moist_cont,IPCC!$C$105:$C$298,0),MATCH('3.Cropland'!$E77,IPCC!$E$105:$T$105,0))*(44/12), 0))</f>
        <v>0</v>
      </c>
      <c r="H24" s="4463">
        <f>IF('3.Cropland'!$AT77&lt;&gt;"", '3.Cropland'!$AT77*(44/12), '3.Cropland'!$AS77*(44/12))</f>
        <v>0</v>
      </c>
      <c r="I24" s="4032">
        <f>(IF('3.Cropland'!$E77&lt;&gt;"Please select",INDEX(IPCC!$E$308:$T$501,MATCH(clim_moist_cont,IPCC!$C$308:$C$501,0),MATCH('3.Cropland'!$E77,IPCC!$E$308:$T$308,0))*(44/12),0))</f>
        <v>0</v>
      </c>
      <c r="J24" s="4466">
        <f>IF('3.Cropland'!$AV77&lt;&gt;"", '3.Cropland'!$AV77*(44/12), '3.Cropland'!$AU77*(44/12))</f>
        <v>0</v>
      </c>
      <c r="K24" s="4468">
        <f t="shared" si="4"/>
        <v>0</v>
      </c>
      <c r="L24" s="4041">
        <f>IF(OR(C24="Please select",G24&lt;H24),0, INDEX(IPCC!$A$3235:$Q$3241,MATCH(climate,IPCC!$A$3235:$A$3241,0),MATCH(perennial!C24,IPCC!$A$3235:$Q$3235,0)))*44/12</f>
        <v>0</v>
      </c>
      <c r="M24" s="4044">
        <f>IF('3.Cropland'!$AX77&lt;&gt;"", '3.Cropland'!$AX77*44/12, L24)</f>
        <v>0</v>
      </c>
      <c r="N24" s="4044">
        <f t="shared" si="1"/>
        <v>0</v>
      </c>
      <c r="P24" s="4475">
        <f>IF('3.Cropland'!$E77&lt;&gt; "Please select", IF('3.Cropland'!$AZ77&lt;&gt;"", '3.Cropland'!$AZ77,'3.Cropland'!$AY77),0)</f>
        <v>0</v>
      </c>
      <c r="Q24" s="4479">
        <f>(IF('3.Cropland'!$E77&lt;&gt;"Please select",IF('3.Cropland'!$BC77&lt;&gt;"", '3.Cropland'!$BC77,VLOOKUP(clim_moist, IPCC!$A$57:$D$68, 4,FALSE)),0))</f>
        <v>0</v>
      </c>
      <c r="R24" s="4479">
        <f>_xlfn.IFNA(IF('3.Cropland'!$BE77&lt;&gt;"",'3.Cropland'!$BE77,INDEX(IPCC!$F$58:$H$68,MATCH(clim_moist, IPCC!$A$58:$A$68,0),MATCH('3.Cropland'!$G77, IPCC!$F$58:$H$58,0))),)</f>
        <v>0</v>
      </c>
      <c r="S24" s="4479">
        <f>_xlfn.IFNA(IF('3.Cropland'!$BG77&lt;&gt;"", '3.Cropland'!$BG77, INDEX(IPCC!$B$58:$L$68,MATCH(clim_moist,IPCC!$A$58:$A$68,0),MATCH('3.Cropland'!$I77,IPCC!$B$58:$L$58,0))),0)</f>
        <v>0</v>
      </c>
      <c r="T24" s="4479">
        <f t="shared" si="5"/>
        <v>0</v>
      </c>
      <c r="U24" s="4477">
        <f t="shared" si="2"/>
        <v>0</v>
      </c>
      <c r="V24" s="4480">
        <f t="shared" si="6"/>
        <v>0</v>
      </c>
      <c r="W24" s="4480">
        <f>IF($D24="YES", $F24*IPCC!$D$75,0)*IPCC!$B$89/$E24</f>
        <v>0</v>
      </c>
      <c r="X24" s="4480">
        <f>IF($D24="YES", $F24* IPCC!$E$75,0)*IPCC!$B$89/$E24</f>
        <v>0</v>
      </c>
      <c r="Y24" s="4480">
        <f t="shared" si="3"/>
        <v>0</v>
      </c>
      <c r="Z24" s="4481">
        <f>'3.Cropland'!$M77</f>
        <v>0</v>
      </c>
      <c r="AI24" s="3703">
        <f>(MIN(C55,D55)*time_tot+ABS(D55-C55)*IF(D55&gt;C55,time_cap+time*(VLOOKUP(E55, list!$J$48:$K$50,2,)),time*(1-(VLOOKUP(E55, list!$J$48:$K$50,2,)))))*perennial!W24*methane/1000</f>
        <v>0</v>
      </c>
      <c r="AJ24" s="3703">
        <f>(($C55*time)+((F55-$C55))*(VLOOKUP(G55, list!$J$48:$K$50,2,)*time)+(F55*time_cap))*perennial!W24*methane/1000</f>
        <v>0</v>
      </c>
      <c r="AK24" s="3703">
        <f>(MIN(C55,D55)*time_tot+ABS(D55-C55)*IF(D55&gt;C55,time_cap+time*(VLOOKUP(E55, list!$J$48:$K$50,2,)),time*(1-(VLOOKUP(E55, list!$J$48:$K$50,2,)))))*X24*Nitrous/1000</f>
        <v>0</v>
      </c>
      <c r="AL24" s="3703">
        <f>(($C55*time)+((F55-$C55))*(VLOOKUP(G55, list!$J$48:$K$50,2,)*time)+(F55*time_cap))*X24*Nitrous/1000</f>
        <v>0</v>
      </c>
      <c r="AP24" s="3401">
        <f>-(MIN(C55,D55)*time+ABS(D55-C55)*IF(D55&gt;C55,time*(VLOOKUP(E55, list!$J$48:$K$50,2,)),time*(1-(VLOOKUP(E55, list!$J$48:$K$50,2,)))))*(IF($H24&gt;0,$H24,$G24)+IF($J24&gt;0,$J24,$I24))</f>
        <v>0</v>
      </c>
      <c r="AQ24" s="3402">
        <f>-(MIN(C55,F55)*time+ABS(F55-C55)*IF(F55&gt;C55,time*(VLOOKUP(G55, list!$J$48:$K$50,2,)),time*(1-(VLOOKUP(G55, list!$J$48:$K$50,2,)))))*(IF($H24&gt;0,$H24,$G24)+IF($J24&gt;0,$J24,$I24))</f>
        <v>0</v>
      </c>
      <c r="AR24" s="3402">
        <f>-$V24*((MIN($C55,D55)*MIN(20,time))+IF(E55="Immediate",IF(D55&gt;$C55,D55*MIN(20,time),0),IF($C55&gt;D55,($C55-D55)*IF(time&gt;20,IF(E55="Linear",time-((time-20)^2)/(2*time),(0.215*time)-(time/4.6)*(EXP(-92.1/time)-0.01)),time*(1-VLOOKUP(E55, list!$J$48:$K$50,2,))),(D55-$C55)*IF(time&gt;time+20,20,IF(time&lt;20,(time*VLOOKUP(E55, list!$J$48:$K$50,2,))+(time-time),((MIN(20,time)*VLOOKUP(E55, list!$J$48:$K$50,2,))+(time-MIN(20,time))-IF(E55="Exponential",time-20+0.217*time*(EXP(4.606*(20-time)/time)-1),((time-20)^2)*(0.5/time))))))))</f>
        <v>0</v>
      </c>
      <c r="AS24" s="3402">
        <f>-$V24*((MIN($C55,F55)*MIN(20,time))+IF(G55="Immediate",IF(F55&gt;$C55,F55*MIN(20,time),0),IF($C55&gt;F55,($C55-F55)*IF(time&gt;20,IF(G55="Linear",time-((time-20)^2)/(2*time),(0.215*time)-(time/4.6)*(EXP(-92.1/time)-0.01)),time*(1-VLOOKUP(G55, list!$J$48:$K$50,2,))),(F55-$C55)*IF(time&gt;time+20,20,IF(time&lt;20,(time*VLOOKUP(G55, list!$J$48:$K$50,2,))+(time-time),((MIN(20,time)*VLOOKUP(G55, list!$J$48:$K$50,2,))+(time-MIN(20,time))-IF(G55="Exponential",time-20+0.217*time*(EXP(4.606*(20-time)/time)-1),((time-20)^2)*(0.5/time))))))))</f>
        <v>0</v>
      </c>
      <c r="AT24" s="3402">
        <f>(MIN(C55,D55)*time+ABS(D55-C55)*IF(D55&gt;C55,time*(VLOOKUP(E55, list!$J$48:$K$50,2,)),time*(1-(VLOOKUP(E55, list!$J$48:$K$50,2,)))))*perennial!W24*methane/1000</f>
        <v>0</v>
      </c>
      <c r="AU24" s="3402">
        <f>(($C55*time)+((F55-$C55))*(VLOOKUP(G55, list!$J$48:$K$50,2,)*time)+(F55*0))*perennial!W24*methane/1000</f>
        <v>0</v>
      </c>
      <c r="AV24" s="3399">
        <f>(MIN(C55,D55)*time+ABS(D55-C55)*IF(D55&gt;C55,+time*(VLOOKUP(E55, list!$J$48:$K$50,2,)),time*(1-(VLOOKUP(E55, list!$J$48:$K$50,2,)))))*X24*Nitrous/1000</f>
        <v>0</v>
      </c>
      <c r="AW24" s="3399">
        <f>(($C55*time)+((F55-$C55))*(VLOOKUP(G55, list!$J$48:$K$50,2,)*time)+(F55*0))*X24*Nitrous/1000</f>
        <v>0</v>
      </c>
      <c r="AX24" s="3399">
        <f>IF(T24&lt;P24,(P24-T24)/20/10*1000*N2O_N_conversion/1000*((MIN($C55,D55)*MIN(20,time))+IF(E55="Immediate",IF(D55&gt;$C55,D55*MIN(20,time),0),IF($C55&gt;D55,($C55-D55)*IF(time&gt;20,IF(E55="Linear",time-((time-20)^2)/(2*time),(0.215*time)-(time/4.6)*(EXP(-92.1/time)-0.01)),time*(1-VLOOKUP(E55, list!$J$48:$K$50,2,))),(D55-$C55)*IF(time&gt;time+20,20,IF(time&lt;20,(time*VLOOKUP(E55, list!$J$48:$K$50,2,))+(time-time),((MIN(20,time)*VLOOKUP(E55, list!$J$48:$K$50,2,))+(time-MIN(20,time))-IF(E55="Exponential",time-20+0.217*time*(EXP(4.606*(20-time)/time)-1),((time-20)^2)*(0.5/time)))))))),0)</f>
        <v>0</v>
      </c>
      <c r="AY24" s="3400">
        <f>IF(T24&lt;P24,(P24-T24)/20/10*1000*N2O_N_conversion/1000*((MIN($C55,F55)*MIN(20,time))+IF(G55="Immediate",IF(F55&gt;$C55,F55*MIN(20,time),0),IF($C55&gt;F55,($C55-F55)*IF(time&gt;20,IF(G55="Linear",time-((time-20)^2)/(2*time),(0.215*time)-(time/4.6)*(EXP(-92.1/time)-0.01)),time*(1-VLOOKUP(G55, list!$J$48:$K$50,2,))),(F55-$C55)*IF(time&gt;time+20,20,IF(time&lt;20,(time*VLOOKUP(G55, list!$J$48:$K$50,2,))+(time-time),((MIN(20,time)*VLOOKUP(G55, list!$J$48:$K$50,2,))+(time-MIN(20,time))-IF(G55="Exponential",time-20+0.217*time*(EXP(4.606*(20-time)/time)-1),((time-20)^2)*(0.5/time)))))))),0)</f>
        <v>0</v>
      </c>
    </row>
    <row r="25" spans="2:51" x14ac:dyDescent="0.2">
      <c r="B25" s="4451">
        <f>'3.Cropland'!C79</f>
        <v>0</v>
      </c>
      <c r="C25" s="4457" t="str">
        <f>'3.Cropland'!$E79</f>
        <v>Please select</v>
      </c>
      <c r="D25" s="4459" t="str">
        <f>'3.Cropland'!$K79</f>
        <v>NO</v>
      </c>
      <c r="E25" s="4461">
        <f>IF('3.Cropland'!$BK79="", '3.Cropland'!$BJ79, '3.Cropland'!$BK79)</f>
        <v>1</v>
      </c>
      <c r="F25" s="4461">
        <f>IF('3.Cropland'!$BI79="", '3.Cropland'!$BH79, '3.Cropland'!$BI79)</f>
        <v>0</v>
      </c>
      <c r="G25" s="4032">
        <f>(IF(C25&lt;&gt;"Please select", INDEX(IPCC!$E$105:$T$298,MATCH(clim_moist_cont,IPCC!$C$105:$C$298,0),MATCH('3.Cropland'!$E79,IPCC!$E$105:$T$105,0))*(44/12), 0))</f>
        <v>0</v>
      </c>
      <c r="H25" s="4463">
        <f>IF('3.Cropland'!$AT79&lt;&gt;"", '3.Cropland'!$AT79*(44/12), '3.Cropland'!$AS79*(44/12))</f>
        <v>0</v>
      </c>
      <c r="I25" s="4032">
        <f>(IF('3.Cropland'!$E79&lt;&gt;"Please select",INDEX(IPCC!$E$308:$T$501,MATCH(clim_moist_cont,IPCC!$C$308:$C$501,0),MATCH('3.Cropland'!$E79,IPCC!$E$308:$T$308,0))*(44/12),0))</f>
        <v>0</v>
      </c>
      <c r="J25" s="4466">
        <f>IF('3.Cropland'!$AV79&lt;&gt;"", '3.Cropland'!$AV79*(44/12), '3.Cropland'!$AU79*(44/12))</f>
        <v>0</v>
      </c>
      <c r="K25" s="4468">
        <f t="shared" si="4"/>
        <v>0</v>
      </c>
      <c r="L25" s="4041">
        <f>IF(OR(C25="Please select",G25&lt;H25),0, INDEX(IPCC!$A$3235:$Q$3241,MATCH(climate,IPCC!$A$3235:$A$3241,0),MATCH(perennial!C25,IPCC!$A$3235:$Q$3235,0)))*44/12</f>
        <v>0</v>
      </c>
      <c r="M25" s="4044">
        <f>IF('3.Cropland'!$AX79&lt;&gt;"", '3.Cropland'!$AX79*44/12, L25)</f>
        <v>0</v>
      </c>
      <c r="N25" s="4044">
        <f t="shared" si="1"/>
        <v>0</v>
      </c>
      <c r="P25" s="4475">
        <f>IF('3.Cropland'!$E79&lt;&gt; "Please select", IF('3.Cropland'!$AZ79&lt;&gt;"", '3.Cropland'!$AZ79,'3.Cropland'!$AY79),0)</f>
        <v>0</v>
      </c>
      <c r="Q25" s="4479">
        <f>(IF('3.Cropland'!$E79&lt;&gt;"Please select",IF('3.Cropland'!$BC79&lt;&gt;"", '3.Cropland'!$BC79,VLOOKUP(clim_moist, IPCC!$A$57:$D$68, 4,FALSE)),0))</f>
        <v>0</v>
      </c>
      <c r="R25" s="4479">
        <f>_xlfn.IFNA(IF('3.Cropland'!$BE79&lt;&gt;"",'3.Cropland'!$BE79,INDEX(IPCC!$F$58:$H$68,MATCH(clim_moist, IPCC!$A$58:$A$68,0),MATCH('3.Cropland'!$G79, IPCC!$F$58:$H$58,0))),)</f>
        <v>0</v>
      </c>
      <c r="S25" s="4479">
        <f>_xlfn.IFNA(IF('3.Cropland'!$BG79&lt;&gt;"", '3.Cropland'!$BG79, INDEX(IPCC!$B$58:$L$68,MATCH(clim_moist,IPCC!$A$58:$A$68,0),MATCH('3.Cropland'!$I79,IPCC!$B$58:$L$58,0))),0)</f>
        <v>0</v>
      </c>
      <c r="T25" s="4479">
        <f t="shared" si="5"/>
        <v>0</v>
      </c>
      <c r="U25" s="4477">
        <f t="shared" si="2"/>
        <v>0</v>
      </c>
      <c r="V25" s="4480">
        <f t="shared" si="6"/>
        <v>0</v>
      </c>
      <c r="W25" s="4480">
        <f>IF($D25="YES", $F25*IPCC!$D$75,0)*IPCC!$B$89/$E25</f>
        <v>0</v>
      </c>
      <c r="X25" s="4480">
        <f>IF($D25="YES", $F25* IPCC!$E$75,0)*IPCC!$B$89/$E25</f>
        <v>0</v>
      </c>
      <c r="Y25" s="4480">
        <f t="shared" si="3"/>
        <v>0</v>
      </c>
      <c r="Z25" s="4481">
        <f>'3.Cropland'!$M79</f>
        <v>0</v>
      </c>
      <c r="AI25" s="3703">
        <f>(MIN(C56,D56)*time_tot+ABS(D56-C56)*IF(D56&gt;C56,time_cap+time*(VLOOKUP(E56, list!$J$48:$K$50,2,)),time*(1-(VLOOKUP(E56, list!$J$48:$K$50,2,)))))*perennial!W25*methane/1000</f>
        <v>0</v>
      </c>
      <c r="AJ25" s="3703">
        <f>(($C56*time)+((F56-$C56))*(VLOOKUP(G56, list!$J$48:$K$50,2,)*time)+(F56*time_cap))*perennial!W25*methane/1000</f>
        <v>0</v>
      </c>
      <c r="AK25" s="3703">
        <f>(MIN(C56,D56)*time_tot+ABS(D56-C56)*IF(D56&gt;C56,time_cap+time*(VLOOKUP(E56, list!$J$48:$K$50,2,)),time*(1-(VLOOKUP(E56, list!$J$48:$K$50,2,)))))*X25*Nitrous/1000</f>
        <v>0</v>
      </c>
      <c r="AL25" s="3703">
        <f>(($C56*time)+((F56-$C56))*(VLOOKUP(G56, list!$J$48:$K$50,2,)*time)+(F56*time_cap))*X25*Nitrous/1000</f>
        <v>0</v>
      </c>
      <c r="AP25" s="3401">
        <f>-(MIN(C56,D56)*time+ABS(D56-C56)*IF(D56&gt;C56,time*(VLOOKUP(E56, list!$J$48:$K$50,2,)),time*(1-(VLOOKUP(E56, list!$J$48:$K$50,2,)))))*(IF($H25&gt;0,$H25,$G25)+IF($J25&gt;0,$J25,$I25))</f>
        <v>0</v>
      </c>
      <c r="AQ25" s="3402">
        <f>-(MIN(C56,F56)*time+ABS(F56-C56)*IF(F56&gt;C56,time*(VLOOKUP(G56, list!$J$48:$K$50,2,)),time*(1-(VLOOKUP(G56, list!$J$48:$K$50,2,)))))*(IF($H25&gt;0,$H25,$G25)+IF($J25&gt;0,$J25,$I25))</f>
        <v>0</v>
      </c>
      <c r="AR25" s="3402">
        <f>-$V25*((MIN($C56,D56)*MIN(20,time))+IF(E56="Immediate",IF(D56&gt;$C56,D56*MIN(20,time),0),IF($C56&gt;D56,($C56-D56)*IF(time&gt;20,IF(E56="Linear",time-((time-20)^2)/(2*time),(0.215*time)-(time/4.6)*(EXP(-92.1/time)-0.01)),time*(1-VLOOKUP(E56, list!$J$48:$K$50,2,))),(D56-$C56)*IF(time&gt;time+20,20,IF(time&lt;20,(time*VLOOKUP(E56, list!$J$48:$K$50,2,))+(time-time),((MIN(20,time)*VLOOKUP(E56, list!$J$48:$K$50,2,))+(time-MIN(20,time))-IF(E56="Exponential",time-20+0.217*time*(EXP(4.606*(20-time)/time)-1),((time-20)^2)*(0.5/time))))))))</f>
        <v>0</v>
      </c>
      <c r="AS25" s="3402">
        <f>-$V25*((MIN($C56,F56)*MIN(20,time))+IF(G56="Immediate",IF(F56&gt;$C56,F56*MIN(20,time),0),IF($C56&gt;F56,($C56-F56)*IF(time&gt;20,IF(G56="Linear",time-((time-20)^2)/(2*time),(0.215*time)-(time/4.6)*(EXP(-92.1/time)-0.01)),time*(1-VLOOKUP(G56, list!$J$48:$K$50,2,))),(F56-$C56)*IF(time&gt;time+20,20,IF(time&lt;20,(time*VLOOKUP(G56, list!$J$48:$K$50,2,))+(time-time),((MIN(20,time)*VLOOKUP(G56, list!$J$48:$K$50,2,))+(time-MIN(20,time))-IF(G56="Exponential",time-20+0.217*time*(EXP(4.606*(20-time)/time)-1),((time-20)^2)*(0.5/time))))))))</f>
        <v>0</v>
      </c>
      <c r="AT25" s="3402">
        <f>(MIN(C56,D56)*time+ABS(D56-C56)*IF(D56&gt;C56,time*(VLOOKUP(E56, list!$J$48:$K$50,2,)),time*(1-(VLOOKUP(E56, list!$J$48:$K$50,2,)))))*perennial!W25*methane/1000</f>
        <v>0</v>
      </c>
      <c r="AU25" s="3402">
        <f>(($C56*time)+((F56-$C56))*(VLOOKUP(G56, list!$J$48:$K$50,2,)*time)+(F56*0))*perennial!W25*methane/1000</f>
        <v>0</v>
      </c>
      <c r="AV25" s="3399">
        <f>(MIN(C56,D56)*time+ABS(D56-C56)*IF(D56&gt;C56,+time*(VLOOKUP(E56, list!$J$48:$K$50,2,)),time*(1-(VLOOKUP(E56, list!$J$48:$K$50,2,)))))*X25*Nitrous/1000</f>
        <v>0</v>
      </c>
      <c r="AW25" s="3399">
        <f>(($C56*time)+((F56-$C56))*(VLOOKUP(G56, list!$J$48:$K$50,2,)*time)+(F56*0))*X25*Nitrous/1000</f>
        <v>0</v>
      </c>
      <c r="AX25" s="3399">
        <f>IF(T25&lt;P25,(P25-T25)/20/10*1000*N2O_N_conversion/1000*((MIN($C56,D56)*MIN(20,time))+IF(E56="Immediate",IF(D56&gt;$C56,D56*MIN(20,time),0),IF($C56&gt;D56,($C56-D56)*IF(time&gt;20,IF(E56="Linear",time-((time-20)^2)/(2*time),(0.215*time)-(time/4.6)*(EXP(-92.1/time)-0.01)),time*(1-VLOOKUP(E56, list!$J$48:$K$50,2,))),(D56-$C56)*IF(time&gt;time+20,20,IF(time&lt;20,(time*VLOOKUP(E56, list!$J$48:$K$50,2,))+(time-time),((MIN(20,time)*VLOOKUP(E56, list!$J$48:$K$50,2,))+(time-MIN(20,time))-IF(E56="Exponential",time-20+0.217*time*(EXP(4.606*(20-time)/time)-1),((time-20)^2)*(0.5/time)))))))),0)</f>
        <v>0</v>
      </c>
      <c r="AY25" s="3400">
        <f>IF(T25&lt;P25,(P25-T25)/20/10*1000*N2O_N_conversion/1000*((MIN($C56,F56)*MIN(20,time))+IF(G56="Immediate",IF(F56&gt;$C56,F56*MIN(20,time),0),IF($C56&gt;F56,($C56-F56)*IF(time&gt;20,IF(G56="Linear",time-((time-20)^2)/(2*time),(0.215*time)-(time/4.6)*(EXP(-92.1/time)-0.01)),time*(1-VLOOKUP(G56, list!$J$48:$K$50,2,))),(F56-$C56)*IF(time&gt;time+20,20,IF(time&lt;20,(time*VLOOKUP(G56, list!$J$48:$K$50,2,))+(time-time),((MIN(20,time)*VLOOKUP(G56, list!$J$48:$K$50,2,))+(time-MIN(20,time))-IF(G56="Exponential",time-20+0.217*time*(EXP(4.606*(20-time)/time)-1),((time-20)^2)*(0.5/time)))))))),0)</f>
        <v>0</v>
      </c>
    </row>
    <row r="26" spans="2:51" x14ac:dyDescent="0.2">
      <c r="B26" s="4451">
        <f>'3.Cropland'!C80</f>
        <v>0</v>
      </c>
      <c r="C26" s="4457" t="str">
        <f>'3.Cropland'!$E80</f>
        <v>Please select</v>
      </c>
      <c r="D26" s="4459" t="str">
        <f>'3.Cropland'!$K80</f>
        <v>NO</v>
      </c>
      <c r="E26" s="4461">
        <f>IF('3.Cropland'!$BK80="", '3.Cropland'!$BJ80, '3.Cropland'!$BK80)</f>
        <v>1</v>
      </c>
      <c r="F26" s="4461">
        <f>IF('3.Cropland'!$BI80="", '3.Cropland'!$BH80, '3.Cropland'!$BI80)</f>
        <v>0</v>
      </c>
      <c r="G26" s="4032">
        <f>(IF(C26&lt;&gt;"Please select", INDEX(IPCC!$E$105:$T$298,MATCH(clim_moist_cont,IPCC!$C$105:$C$298,0),MATCH('3.Cropland'!$E80,IPCC!$E$105:$T$105,0))*(44/12), 0))</f>
        <v>0</v>
      </c>
      <c r="H26" s="4463">
        <f>IF('3.Cropland'!$AT80&lt;&gt;"", '3.Cropland'!$AT80*(44/12), '3.Cropland'!$AS80*(44/12))</f>
        <v>0</v>
      </c>
      <c r="I26" s="4032">
        <f>(IF('3.Cropland'!$E80&lt;&gt;"Please select",INDEX(IPCC!$E$308:$T$501,MATCH(clim_moist_cont,IPCC!$C$308:$C$501,0),MATCH('3.Cropland'!$E80,IPCC!$E$308:$T$308,0))*(44/12),0))</f>
        <v>0</v>
      </c>
      <c r="J26" s="4466">
        <f>IF('3.Cropland'!$AV80&lt;&gt;"", '3.Cropland'!$AV80*(44/12), '3.Cropland'!$AU80*(44/12))</f>
        <v>0</v>
      </c>
      <c r="K26" s="4468">
        <f t="shared" si="4"/>
        <v>0</v>
      </c>
      <c r="L26" s="4041">
        <f>IF(OR(C26="Please select",G26&lt;H26),0, INDEX(IPCC!$A$3235:$Q$3241,MATCH(climate,IPCC!$A$3235:$A$3241,0),MATCH(perennial!C26,IPCC!$A$3235:$Q$3235,0)))*44/12</f>
        <v>0</v>
      </c>
      <c r="M26" s="4044">
        <f>IF('3.Cropland'!$AX80&lt;&gt;"", '3.Cropland'!$AX80*44/12, L26)</f>
        <v>0</v>
      </c>
      <c r="N26" s="4044">
        <f t="shared" si="1"/>
        <v>0</v>
      </c>
      <c r="P26" s="4475">
        <f>IF('3.Cropland'!$E80&lt;&gt; "Please select", IF('3.Cropland'!$AZ80&lt;&gt;"", '3.Cropland'!$AZ80,'3.Cropland'!$AY80),0)</f>
        <v>0</v>
      </c>
      <c r="Q26" s="4479">
        <f>(IF('3.Cropland'!$E80&lt;&gt;"Please select",IF('3.Cropland'!$BC80&lt;&gt;"", '3.Cropland'!$BC80,VLOOKUP(clim_moist, IPCC!$A$57:$D$68, 4,FALSE)),0))</f>
        <v>0</v>
      </c>
      <c r="R26" s="4479">
        <f>_xlfn.IFNA(IF('3.Cropland'!$BE80&lt;&gt;"",'3.Cropland'!$BE80,INDEX(IPCC!$F$58:$H$68,MATCH(clim_moist, IPCC!$A$58:$A$68,0),MATCH('3.Cropland'!$G80, IPCC!$F$58:$H$58,0))),)</f>
        <v>0</v>
      </c>
      <c r="S26" s="4479">
        <f>_xlfn.IFNA(IF('3.Cropland'!$BG80&lt;&gt;"", '3.Cropland'!$BG80, INDEX(IPCC!$B$58:$L$68,MATCH(clim_moist,IPCC!$A$58:$A$68,0),MATCH('3.Cropland'!$I80,IPCC!$B$58:$L$58,0))),0)</f>
        <v>0</v>
      </c>
      <c r="T26" s="4479">
        <f>P26*Q26*R26*S26</f>
        <v>0</v>
      </c>
      <c r="U26" s="4477">
        <f>(T26-P26*Q26)*(44/12)</f>
        <v>0</v>
      </c>
      <c r="V26" s="4480">
        <f>U26/20</f>
        <v>0</v>
      </c>
      <c r="W26" s="4480">
        <f>IF($D26="YES", $F26*IPCC!$D$75,0)*IPCC!$B$89/$E26</f>
        <v>0</v>
      </c>
      <c r="X26" s="4480">
        <f>IF($D26="YES", $F26* IPCC!$E$75,0)*IPCC!$B$89/$E26</f>
        <v>0</v>
      </c>
      <c r="Y26" s="4480">
        <f>(W26*methane+X26*Nitrous)/1000</f>
        <v>0</v>
      </c>
      <c r="Z26" s="4481">
        <f>'3.Cropland'!$M80</f>
        <v>0</v>
      </c>
      <c r="AI26" s="3703">
        <f>(MIN(C57,D57)*time_tot+ABS(D57-C57)*IF(D57&gt;C57,time_cap+time*(VLOOKUP(E57, list!$J$48:$K$50,2,)),time*(1-(VLOOKUP(E57, list!$J$48:$K$50,2,)))))*perennial!W26*methane/1000</f>
        <v>0</v>
      </c>
      <c r="AJ26" s="3703">
        <f>(($C57*time)+((F57-$C57))*(VLOOKUP(G57, list!$J$48:$K$50,2,)*time)+(F57*time_cap))*perennial!W26*methane/1000</f>
        <v>0</v>
      </c>
      <c r="AK26" s="3703">
        <f>(MIN(C57,D57)*time_tot+ABS(D57-C57)*IF(D57&gt;C57,time_cap+time*(VLOOKUP(E57, list!$J$48:$K$50,2,)),time*(1-(VLOOKUP(E57, list!$J$48:$K$50,2,)))))*X26*Nitrous/1000</f>
        <v>0</v>
      </c>
      <c r="AL26" s="3703">
        <f>(($C57*time)+((F57-$C57))*(VLOOKUP(G57, list!$J$48:$K$50,2,)*time)+(F57*time_cap))*X26*Nitrous/1000</f>
        <v>0</v>
      </c>
      <c r="AP26" s="3401"/>
      <c r="AQ26" s="3402"/>
      <c r="AR26" s="3402"/>
      <c r="AS26" s="3402"/>
      <c r="AT26" s="3402"/>
      <c r="AU26" s="3402"/>
      <c r="AV26" s="3399">
        <f>(MIN(C57,D57)*time+ABS(D57-C57)*IF(D57&gt;C57,+time*(VLOOKUP(E57, list!$J$48:$K$50,2,)),time*(1-(VLOOKUP(E57, list!$J$48:$K$50,2,)))))*X26*Nitrous/1000</f>
        <v>0</v>
      </c>
      <c r="AW26" s="3399">
        <f>(($C57*time)+((F57-$C57))*(VLOOKUP(G57, list!$J$48:$K$50,2,)*time)+(F57*0))*X26*Nitrous/1000</f>
        <v>0</v>
      </c>
      <c r="AX26" s="3399">
        <f>IF(T26&lt;P26,(P26-T26)/20/10*1000*N2O_N_conversion/1000*((MIN($C57,D57)*MIN(20,time))+IF(E57="Immediate",IF(D57&gt;$C57,D57*MIN(20,time),0),IF($C57&gt;D57,($C57-D57)*IF(time&gt;20,IF(E57="Linear",time-((time-20)^2)/(2*time),(0.215*time)-(time/4.6)*(EXP(-92.1/time)-0.01)),time*(1-VLOOKUP(E57, list!$J$48:$K$50,2,))),(D57-$C57)*IF(time&gt;time+20,20,IF(time&lt;20,(time*VLOOKUP(E57, list!$J$48:$K$50,2,))+(time-time),((MIN(20,time)*VLOOKUP(E57, list!$J$48:$K$50,2,))+(time-MIN(20,time))-IF(E57="Exponential",time-20+0.217*time*(EXP(4.606*(20-time)/time)-1),((time-20)^2)*(0.5/time)))))))),0)</f>
        <v>0</v>
      </c>
      <c r="AY26" s="3400">
        <f>IF(T26&lt;P26,(P26-T26)/20/10*1000*N2O_N_conversion/1000*((MIN($C57,F57)*MIN(20,time))+IF(G57="Immediate",IF(F57&gt;$C57,F57*MIN(20,time),0),IF($C57&gt;F57,($C57-F57)*IF(time&gt;20,IF(G57="Linear",time-((time-20)^2)/(2*time),(0.215*time)-(time/4.6)*(EXP(-92.1/time)-0.01)),time*(1-VLOOKUP(G57, list!$J$48:$K$50,2,))),(F57-$C57)*IF(time&gt;time+20,20,IF(time&lt;20,(time*VLOOKUP(G57, list!$J$48:$K$50,2,))+(time-time),((MIN(20,time)*VLOOKUP(G57, list!$J$48:$K$50,2,))+(time-MIN(20,time))-IF(G57="Exponential",time-20+0.217*time*(EXP(4.606*(20-time)/time)-1),((time-20)^2)*(0.5/time)))))))),0)</f>
        <v>0</v>
      </c>
    </row>
    <row r="27" spans="2:51" x14ac:dyDescent="0.2">
      <c r="B27" s="4451">
        <f>'3.Cropland'!C81</f>
        <v>0</v>
      </c>
      <c r="C27" s="4457" t="str">
        <f>'3.Cropland'!$E81</f>
        <v>Please select</v>
      </c>
      <c r="D27" s="4459" t="str">
        <f>'3.Cropland'!$K81</f>
        <v>NO</v>
      </c>
      <c r="E27" s="4461">
        <f>IF('3.Cropland'!$BK81="", '3.Cropland'!$BJ81, '3.Cropland'!$BK81)</f>
        <v>1</v>
      </c>
      <c r="F27" s="4461">
        <f>IF('3.Cropland'!$BI81="", '3.Cropland'!$BH81, '3.Cropland'!$BI81)</f>
        <v>0</v>
      </c>
      <c r="G27" s="4032">
        <f>(IF(C27&lt;&gt;"Please select", INDEX(IPCC!$E$105:$T$298,MATCH(clim_moist_cont,IPCC!$C$105:$C$298,0),MATCH('3.Cropland'!$E81,IPCC!$E$105:$T$105,0))*(44/12), 0))</f>
        <v>0</v>
      </c>
      <c r="H27" s="4463">
        <f>IF('3.Cropland'!$AT81&lt;&gt;"", '3.Cropland'!$AT81*(44/12), '3.Cropland'!$AS81*(44/12))</f>
        <v>0</v>
      </c>
      <c r="I27" s="4032">
        <f>(IF('3.Cropland'!$E81&lt;&gt;"Please select",INDEX(IPCC!$E$308:$T$501,MATCH(clim_moist_cont,IPCC!$C$308:$C$501,0),MATCH('3.Cropland'!$E81,IPCC!$E$308:$T$308,0))*(44/12),0))</f>
        <v>0</v>
      </c>
      <c r="J27" s="4466">
        <f>IF('3.Cropland'!$AV81&lt;&gt;"", '3.Cropland'!$AV81*(44/12), '3.Cropland'!$AU81*(44/12))</f>
        <v>0</v>
      </c>
      <c r="K27" s="4468">
        <f t="shared" si="4"/>
        <v>0</v>
      </c>
      <c r="L27" s="4041">
        <f>IF(OR(C27="Please select",G27&lt;H27),0, INDEX(IPCC!$A$3235:$Q$3241,MATCH(climate,IPCC!$A$3235:$A$3241,0),MATCH(perennial!C27,IPCC!$A$3235:$Q$3235,0)))*44/12</f>
        <v>0</v>
      </c>
      <c r="M27" s="4044">
        <f>IF('3.Cropland'!$AX81&lt;&gt;"", '3.Cropland'!$AX81*44/12, L27)</f>
        <v>0</v>
      </c>
      <c r="N27" s="4044">
        <f t="shared" si="1"/>
        <v>0</v>
      </c>
      <c r="P27" s="4475">
        <f>IF('3.Cropland'!$E81&lt;&gt; "Please select", IF('3.Cropland'!$AZ81&lt;&gt;"", '3.Cropland'!$AZ81,'3.Cropland'!$AY81),0)</f>
        <v>0</v>
      </c>
      <c r="Q27" s="4479">
        <f>(IF('3.Cropland'!$E81&lt;&gt;"Please select",IF('3.Cropland'!$BC81&lt;&gt;"", '3.Cropland'!$BC81,VLOOKUP(clim_moist, IPCC!$A$57:$D$68, 4,FALSE)),0))</f>
        <v>0</v>
      </c>
      <c r="R27" s="4479">
        <f>_xlfn.IFNA(IF('3.Cropland'!$BE81&lt;&gt;"",'3.Cropland'!$BE81,INDEX(IPCC!$F$58:$H$68,MATCH(clim_moist, IPCC!$A$58:$A$68,0),MATCH('3.Cropland'!$G81, IPCC!$F$58:$H$58,0))),)</f>
        <v>0</v>
      </c>
      <c r="S27" s="4479">
        <f>_xlfn.IFNA(IF('3.Cropland'!$BG81&lt;&gt;"", '3.Cropland'!$BG81, INDEX(IPCC!$B$58:$L$68,MATCH(clim_moist,IPCC!$A$58:$A$68,0),MATCH('3.Cropland'!$I81,IPCC!$B$58:$L$58,0))),0)</f>
        <v>0</v>
      </c>
      <c r="T27" s="4479">
        <f t="shared" si="5"/>
        <v>0</v>
      </c>
      <c r="U27" s="4477">
        <f t="shared" si="2"/>
        <v>0</v>
      </c>
      <c r="V27" s="4480">
        <f t="shared" si="6"/>
        <v>0</v>
      </c>
      <c r="W27" s="4480">
        <f>IF($D27="YES", $F27*IPCC!$D$75,0)*IPCC!$B$89/$E27</f>
        <v>0</v>
      </c>
      <c r="X27" s="4480">
        <f>IF($D27="YES", $F27* IPCC!$E$75,0)*IPCC!$B$89/$E27</f>
        <v>0</v>
      </c>
      <c r="Y27" s="4480">
        <f t="shared" si="3"/>
        <v>0</v>
      </c>
      <c r="Z27" s="4481">
        <f>'3.Cropland'!$M81</f>
        <v>0</v>
      </c>
      <c r="AI27" s="3703">
        <f>(MIN(C58,D58)*time_tot+ABS(D58-C58)*IF(D58&gt;C58,time_cap+time*(VLOOKUP(E58, list!$J$48:$K$50,2,)),time*(1-(VLOOKUP(E58, list!$J$48:$K$50,2,)))))*perennial!W27*methane/1000</f>
        <v>0</v>
      </c>
      <c r="AJ27" s="3703">
        <f>(($C58*time)+((F58-$C58))*(VLOOKUP(G58, list!$J$48:$K$50,2,)*time)+(F58*time_cap))*perennial!W27*methane/1000</f>
        <v>0</v>
      </c>
      <c r="AK27" s="3703">
        <f>(MIN(C58,D58)*time_tot+ABS(D58-C58)*IF(D58&gt;C58,time_cap+time*(VLOOKUP(E58, list!$J$48:$K$50,2,)),time*(1-(VLOOKUP(E58, list!$J$48:$K$50,2,)))))*X27*Nitrous/1000</f>
        <v>0</v>
      </c>
      <c r="AL27" s="3703">
        <f>(($C58*time)+((F58-$C58))*(VLOOKUP(G58, list!$J$48:$K$50,2,)*time)+(F58*time_cap))*X27*Nitrous/1000</f>
        <v>0</v>
      </c>
      <c r="AP27" s="3401">
        <f>-(MIN(C58,D58)*time+ABS(D58-C58)*IF(D58&gt;C58,time*(VLOOKUP(E58, list!$J$48:$K$50,2,)),time*(1-(VLOOKUP(E58, list!$J$48:$K$50,2,)))))*(IF($H27&gt;0,$H27,$G27)+IF($J27&gt;0,$J27,$I27))</f>
        <v>0</v>
      </c>
      <c r="AQ27" s="3402">
        <f>-(MIN(C58,F58)*time+ABS(F58-C58)*IF(F58&gt;C58,time*(VLOOKUP(G58, list!$J$48:$K$50,2,)),time*(1-(VLOOKUP(G58, list!$J$48:$K$50,2,)))))*(IF($H27&gt;0,$H27,$G27)+IF($J27&gt;0,$J27,$I27))</f>
        <v>0</v>
      </c>
      <c r="AR27" s="3402">
        <f>-$V27*((MIN($C58,D58)*MIN(20,time))+IF(E58="Immediate",IF(D58&gt;$C58,D58*MIN(20,time),0),IF($C58&gt;D58,($C58-D58)*IF(time&gt;20,IF(E58="Linear",time-((time-20)^2)/(2*time),(0.215*time)-(time/4.6)*(EXP(-92.1/time)-0.01)),time*(1-VLOOKUP(E58, list!$J$48:$K$50,2,))),(D58-$C58)*IF(time&gt;time+20,20,IF(time&lt;20,(time*VLOOKUP(E58, list!$J$48:$K$50,2,))+(time-time),((MIN(20,time)*VLOOKUP(E58, list!$J$48:$K$50,2,))+(time-MIN(20,time))-IF(E58="Exponential",time-20+0.217*time*(EXP(4.606*(20-time)/time)-1),((time-20)^2)*(0.5/time))))))))</f>
        <v>0</v>
      </c>
      <c r="AS27" s="3402">
        <f>-$V27*((MIN($C58,F58)*MIN(20,time))+IF(G58="Immediate",IF(F58&gt;$C58,F58*MIN(20,time),0),IF($C58&gt;F58,($C58-F58)*IF(time&gt;20,IF(G58="Linear",time-((time-20)^2)/(2*time),(0.215*time)-(time/4.6)*(EXP(-92.1/time)-0.01)),time*(1-VLOOKUP(G58, list!$J$48:$K$50,2,))),(F58-$C58)*IF(time&gt;time+20,20,IF(time&lt;20,(time*VLOOKUP(G58, list!$J$48:$K$50,2,))+(time-time),((MIN(20,time)*VLOOKUP(G58, list!$J$48:$K$50,2,))+(time-MIN(20,time))-IF(G58="Exponential",time-20+0.217*time*(EXP(4.606*(20-time)/time)-1),((time-20)^2)*(0.5/time))))))))</f>
        <v>0</v>
      </c>
      <c r="AT27" s="3402">
        <f>(MIN(C58,D58)*time+ABS(D58-C58)*IF(D58&gt;C58,time*(VLOOKUP(E58, list!$J$48:$K$50,2,)),time*(1-(VLOOKUP(E58, list!$J$48:$K$50,2,)))))*perennial!W27*methane/1000</f>
        <v>0</v>
      </c>
      <c r="AU27" s="3402">
        <f>(($C58*time)+((F58-$C58))*(VLOOKUP(G58, list!$J$48:$K$50,2,)*time)+(F58*0))*perennial!W27*methane/1000</f>
        <v>0</v>
      </c>
      <c r="AV27" s="3399">
        <f>(MIN(C58,D58)*time+ABS(D58-C58)*IF(D58&gt;C58,+time*(VLOOKUP(E58, list!$J$48:$K$50,2,)),time*(1-(VLOOKUP(E58, list!$J$48:$K$50,2,)))))*X27*Nitrous/1000</f>
        <v>0</v>
      </c>
      <c r="AW27" s="3399">
        <f>(($C58*time)+((F58-$C58))*(VLOOKUP(G58, list!$J$48:$K$50,2,)*time)+(F58*0))*X27*Nitrous/1000</f>
        <v>0</v>
      </c>
      <c r="AX27" s="3399">
        <f>IF(T27&lt;P27,(P27-T27)/20/10*1000*N2O_N_conversion/1000*((MIN($C58,D58)*MIN(20,time))+IF(E58="Immediate",IF(D58&gt;$C58,D58*MIN(20,time),0),IF($C58&gt;D58,($C58-D58)*IF(time&gt;20,IF(E58="Linear",time-((time-20)^2)/(2*time),(0.215*time)-(time/4.6)*(EXP(-92.1/time)-0.01)),time*(1-VLOOKUP(E58, list!$J$48:$K$50,2,))),(D58-$C58)*IF(time&gt;time+20,20,IF(time&lt;20,(time*VLOOKUP(E58, list!$J$48:$K$50,2,))+(time-time),((MIN(20,time)*VLOOKUP(E58, list!$J$48:$K$50,2,))+(time-MIN(20,time))-IF(E58="Exponential",time-20+0.217*time*(EXP(4.606*(20-time)/time)-1),((time-20)^2)*(0.5/time)))))))),0)</f>
        <v>0</v>
      </c>
      <c r="AY27" s="3400">
        <f>IF(T27&lt;P27,(P27-T27)/20/10*1000*N2O_N_conversion/1000*((MIN($C58,F58)*MIN(20,time))+IF(G58="Immediate",IF(F58&gt;$C58,F58*MIN(20,time),0),IF($C58&gt;F58,($C58-F58)*IF(time&gt;20,IF(G58="Linear",time-((time-20)^2)/(2*time),(0.215*time)-(time/4.6)*(EXP(-92.1/time)-0.01)),time*(1-VLOOKUP(G58, list!$J$48:$K$50,2,))),(F58-$C58)*IF(time&gt;time+20,20,IF(time&lt;20,(time*VLOOKUP(G58, list!$J$48:$K$50,2,))+(time-time),((MIN(20,time)*VLOOKUP(G58, list!$J$48:$K$50,2,))+(time-MIN(20,time))-IF(G58="Exponential",time-20+0.217*time*(EXP(4.606*(20-time)/time)-1),((time-20)^2)*(0.5/time)))))))),0)</f>
        <v>0</v>
      </c>
    </row>
    <row r="28" spans="2:51" x14ac:dyDescent="0.2">
      <c r="B28" s="3272">
        <f>'3.Cropland'!C87</f>
        <v>0</v>
      </c>
      <c r="C28" s="875" t="str">
        <f>'3.Cropland'!$E87</f>
        <v>Hedgerow</v>
      </c>
      <c r="D28" s="3744" t="str">
        <f>'3.Cropland'!$K87</f>
        <v>NO</v>
      </c>
      <c r="E28" s="3736">
        <f>IF('3.Cropland'!$BK87="", '3.Cropland'!$BJ87, '3.Cropland'!$BK87)</f>
        <v>1</v>
      </c>
      <c r="F28" s="3736">
        <f>IF('3.Cropland'!$BI87="", '3.Cropland'!$BH87, '3.Cropland'!$BI87)</f>
        <v>0.92553191489361708</v>
      </c>
      <c r="G28" s="4032">
        <f>(IF(C28&lt;&gt;"Please select", INDEX(IPCC!$E$105:$T$298,MATCH(clim_moist_cont,IPCC!$C$105:$C$298,0),MATCH('3.Cropland'!$E87,IPCC!$E$105:$T$105,0))*(44/12), 0))</f>
        <v>3.19</v>
      </c>
      <c r="H28" s="3737">
        <f>IF('3.Cropland'!$AT87&lt;&gt;"", '3.Cropland'!$AT87*(44/12), '3.Cropland'!$AS87*(44/12))</f>
        <v>3.19</v>
      </c>
      <c r="I28" s="4032">
        <f>(IF('3.Cropland'!$E87&lt;&gt;"Please select",INDEX(IPCC!$E$308:$T$501,MATCH(clim_moist_cont,IPCC!$C$308:$C$501,0),MATCH('3.Cropland'!$E87,IPCC!$E$308:$T$308,0))*(44/12),0))</f>
        <v>0.84333333333333338</v>
      </c>
      <c r="J28" s="3405">
        <f>IF('3.Cropland'!$AV87&lt;&gt;"", '3.Cropland'!$AV87*(44/12), '3.Cropland'!$AU87*(44/12))</f>
        <v>0.84333333333333338</v>
      </c>
      <c r="K28" s="3643">
        <f t="shared" si="4"/>
        <v>4.0333333333333332</v>
      </c>
      <c r="L28" s="4041">
        <f>IF(OR(C28="Please select",G28&lt;H28),0, INDEX(IPCC!$A$3235:$Q$3241,MATCH(climate,IPCC!$A$3235:$A$3241,0),MATCH(perennial!C28,IPCC!$A$3235:$Q$3235,0)))*44/12</f>
        <v>95.7</v>
      </c>
      <c r="M28" s="4044">
        <f>IF('3.Cropland'!$AX87&lt;&gt;"", '3.Cropland'!$AX87*44/12, L28)</f>
        <v>95.7</v>
      </c>
      <c r="N28" s="4044">
        <f t="shared" si="1"/>
        <v>30</v>
      </c>
      <c r="P28" s="3294">
        <f>IF('3.Cropland'!$E87&lt;&gt; "Please select", IF('3.Cropland'!$AZ87&lt;&gt;"", '3.Cropland'!$AZ87,'3.Cropland'!$AY87),0)</f>
        <v>24</v>
      </c>
      <c r="Q28" s="3286">
        <f>(IF('3.Cropland'!$E87&lt;&gt;"Please select",IF('3.Cropland'!$BC87&lt;&gt;"", '3.Cropland'!$BC87,VLOOKUP(clim_moist, IPCC!$A$57:$D$68, 4,FALSE)),0))</f>
        <v>0.72</v>
      </c>
      <c r="R28" s="3286">
        <f>_xlfn.IFNA(IF('3.Cropland'!$BE87&lt;&gt;"",'3.Cropland'!$BE87,INDEX(IPCC!$F$58:$H$68,MATCH(clim_moist, IPCC!$A$58:$A$68,0),MATCH('3.Cropland'!$G87, IPCC!$F$58:$H$58,0))),)</f>
        <v>1</v>
      </c>
      <c r="S28" s="3286">
        <f>_xlfn.IFNA(IF('3.Cropland'!$BG87&lt;&gt;"", '3.Cropland'!$BG87, INDEX(IPCC!$B$58:$L$68,MATCH(clim_moist,IPCC!$A$58:$A$68,0),MATCH('3.Cropland'!$I87,IPCC!$B$58:$L$58,0))),0)</f>
        <v>1.04</v>
      </c>
      <c r="T28" s="3286">
        <f t="shared" si="5"/>
        <v>17.971200000000003</v>
      </c>
      <c r="U28" s="3295">
        <f t="shared" si="2"/>
        <v>2.5344000000000073</v>
      </c>
      <c r="V28" s="3279">
        <f t="shared" si="6"/>
        <v>0.12672000000000036</v>
      </c>
      <c r="W28" s="3279">
        <f>IF($D28="YES", $F28*IPCC!$D$75,0)*IPCC!$B$89/$E28</f>
        <v>0</v>
      </c>
      <c r="X28" s="3279">
        <f>IF($D28="YES", $F28* IPCC!$E$75,0)*IPCC!$B$89/$E28</f>
        <v>0</v>
      </c>
      <c r="Y28" s="3279">
        <f t="shared" si="3"/>
        <v>0</v>
      </c>
      <c r="Z28" s="3289">
        <f>'3.Cropland'!$M87</f>
        <v>12</v>
      </c>
      <c r="AI28" s="3703">
        <f>(MIN(C59,D59)*time_tot+ABS(D59-C59)*IF(D59&gt;C59,time_cap+time*(VLOOKUP(E59, list!$J$48:$K$50,2,)),time*(1-(VLOOKUP(E59, list!$J$48:$K$50,2,)))))*perennial!W28*methane/1000</f>
        <v>0</v>
      </c>
      <c r="AJ28" s="3703">
        <f>(($C59*time)+((F59-$C59))*(VLOOKUP(G59, list!$J$48:$K$50,2,)*time)+(F59*time_cap))*perennial!W28*methane/1000</f>
        <v>0</v>
      </c>
      <c r="AK28" s="3703">
        <f>(MIN(C59,D59)*time_tot+ABS(D59-C59)*IF(D59&gt;C59,time_cap+time*(VLOOKUP(E59, list!$J$48:$K$50,2,)),time*(1-(VLOOKUP(E59, list!$J$48:$K$50,2,)))))*X28*Nitrous/1000</f>
        <v>0</v>
      </c>
      <c r="AL28" s="3703">
        <f>(($C59*time)+((F59-$C59))*(VLOOKUP(G59, list!$J$48:$K$50,2,)*time)+(F59*time_cap))*X28*Nitrous/1000</f>
        <v>0</v>
      </c>
      <c r="AP28" s="3401">
        <f>-(MIN(C59,D59)*time+ABS(D59-C59)*IF(D59&gt;C59,time*(VLOOKUP(E59, list!$J$48:$K$50,2,)),time*(1-(VLOOKUP(E59, list!$J$48:$K$50,2,)))))*(IF($H28&gt;0,$H28,$G28)+IF($J28&gt;0,$J28,$I28))</f>
        <v>-887.33333333333326</v>
      </c>
      <c r="AQ28" s="3402">
        <f>-(MIN(C59,F59)*time+ABS(F59-C59)*IF(F59&gt;C59,time*(VLOOKUP(G59, list!$J$48:$K$50,2,)),time*(1-(VLOOKUP(G59, list!$J$48:$K$50,2,)))))*(IF($H28&gt;0,$H28,$G28)+IF($J28&gt;0,$J28,$I28))</f>
        <v>-887.33333333333326</v>
      </c>
      <c r="AR28" s="3402">
        <f>-$V28*((MIN($C59,D59)*MIN(20,time))+IF(E59="Immediate",IF(D59&gt;$C59,D59*MIN(20,time),0),IF($C59&gt;D59,($C59-D59)*IF(time&gt;20,IF(E59="Linear",time-((time-20)^2)/(2*time),(0.215*time)-(time/4.6)*(EXP(-92.1/time)-0.01)),time*(1-VLOOKUP(E59, list!$J$48:$K$50,2,))),(D59-$C59)*IF(time&gt;time+20,20,IF(time&lt;20,(time*VLOOKUP(E59, list!$J$48:$K$50,2,))+(time-time),((MIN(20,time)*VLOOKUP(E59, list!$J$48:$K$50,2,))+(time-MIN(20,time))-IF(E59="Exponential",time-20+0.217*time*(EXP(4.606*(20-time)/time)-1),((time-20)^2)*(0.5/time))))))))</f>
        <v>-27.878400000000081</v>
      </c>
      <c r="AS28" s="3402">
        <f>-$V28*((MIN($C59,F59)*MIN(20,time))+IF(G59="Immediate",IF(F59&gt;$C59,F59*MIN(20,time),0),IF($C59&gt;F59,($C59-F59)*IF(time&gt;20,IF(G59="Linear",time-((time-20)^2)/(2*time),(0.215*time)-(time/4.6)*(EXP(-92.1/time)-0.01)),time*(1-VLOOKUP(G59, list!$J$48:$K$50,2,))),(F59-$C59)*IF(time&gt;time+20,20,IF(time&lt;20,(time*VLOOKUP(G59, list!$J$48:$K$50,2,))+(time-time),((MIN(20,time)*VLOOKUP(G59, list!$J$48:$K$50,2,))+(time-MIN(20,time))-IF(G59="Exponential",time-20+0.217*time*(EXP(4.606*(20-time)/time)-1),((time-20)^2)*(0.5/time))))))))</f>
        <v>-27.878400000000081</v>
      </c>
      <c r="AT28" s="3402">
        <f>(MIN(C59,D59)*time+ABS(D59-C59)*IF(D59&gt;C59,time*(VLOOKUP(E59, list!$J$48:$K$50,2,)),time*(1-(VLOOKUP(E59, list!$J$48:$K$50,2,)))))*perennial!W28*methane/1000</f>
        <v>0</v>
      </c>
      <c r="AU28" s="3402">
        <f>(($C59*time)+((F59-$C59))*(VLOOKUP(G59, list!$J$48:$K$50,2,)*time)+(F59*0))*perennial!W28*methane/1000</f>
        <v>0</v>
      </c>
      <c r="AV28" s="3399">
        <f>(MIN(C59,D59)*time+ABS(D59-C59)*IF(D59&gt;C59,+time*(VLOOKUP(E59, list!$J$48:$K$50,2,)),time*(1-(VLOOKUP(E59, list!$J$48:$K$50,2,)))))*X28*Nitrous/1000</f>
        <v>0</v>
      </c>
      <c r="AW28" s="3399">
        <f>(($C59*time)+((F59-$C59))*(VLOOKUP(G59, list!$J$48:$K$50,2,)*time)+(F59*0))*X28*Nitrous/1000</f>
        <v>0</v>
      </c>
      <c r="AX28" s="3399">
        <f>IF(T28&lt;P28,(P28-T28)/20/10*1000*N2O_N_conversion/1000*((MIN($C59,D59)*MIN(20,time))+IF(E59="Immediate",IF(D59&gt;$C59,D59*MIN(20,time),0),IF($C59&gt;D59,($C59-D59)*IF(time&gt;20,IF(E59="Linear",time-((time-20)^2)/(2*time),(0.215*time)-(time/4.6)*(EXP(-92.1/time)-0.01)),time*(1-VLOOKUP(E59, list!$J$48:$K$50,2,))),(D59-$C59)*IF(time&gt;time+20,20,IF(time&lt;20,(time*VLOOKUP(E59, list!$J$48:$K$50,2,))+(time-time),((MIN(20,time)*VLOOKUP(E59, list!$J$48:$K$50,2,))+(time-MIN(20,time))-IF(E59="Exponential",time-20+0.217*time*(EXP(4.606*(20-time)/time)-1),((time-20)^2)*(0.5/time)))))))),0)</f>
        <v>10.421211428571423</v>
      </c>
      <c r="AY28" s="3400">
        <f>IF(T28&lt;P28,(P28-T28)/20/10*1000*N2O_N_conversion/1000*((MIN($C59,F59)*MIN(20,time))+IF(G59="Immediate",IF(F59&gt;$C59,F59*MIN(20,time),0),IF($C59&gt;F59,($C59-F59)*IF(time&gt;20,IF(G59="Linear",time-((time-20)^2)/(2*time),(0.215*time)-(time/4.6)*(EXP(-92.1/time)-0.01)),time*(1-VLOOKUP(G59, list!$J$48:$K$50,2,))),(F59-$C59)*IF(time&gt;time+20,20,IF(time&lt;20,(time*VLOOKUP(G59, list!$J$48:$K$50,2,))+(time-time),((MIN(20,time)*VLOOKUP(G59, list!$J$48:$K$50,2,))+(time-MIN(20,time))-IF(G59="Exponential",time-20+0.217*time*(EXP(4.606*(20-time)/time)-1),((time-20)^2)*(0.5/time)))))))),0)</f>
        <v>10.421211428571423</v>
      </c>
    </row>
    <row r="29" spans="2:51" x14ac:dyDescent="0.2">
      <c r="B29" s="3272">
        <f>'3.Cropland'!C88</f>
        <v>0</v>
      </c>
      <c r="C29" s="875" t="str">
        <f>'3.Cropland'!$E88</f>
        <v>Silvoarable</v>
      </c>
      <c r="D29" s="3745" t="str">
        <f>'3.Cropland'!$K88</f>
        <v>NO</v>
      </c>
      <c r="E29" s="3738">
        <f>IF('3.Cropland'!$BK88="", '3.Cropland'!$BJ88, '3.Cropland'!$BK88)</f>
        <v>1</v>
      </c>
      <c r="F29" s="3738">
        <f>IF('3.Cropland'!$BI88="", '3.Cropland'!$BH88, '3.Cropland'!$BI88)</f>
        <v>0.55319148936170215</v>
      </c>
      <c r="G29" s="4032">
        <f>(IF(C29&lt;&gt;"Please select", INDEX(IPCC!$E$105:$T$298,MATCH(clim_moist_cont,IPCC!$C$105:$C$298,0),MATCH('3.Cropland'!$E88,IPCC!$E$105:$T$105,0))*(44/12), 0))</f>
        <v>1.9066666666666667</v>
      </c>
      <c r="H29" s="3739">
        <f>IF('3.Cropland'!$AT88&lt;&gt;"", '3.Cropland'!$AT88*(44/12), '3.Cropland'!$AS88*(44/12))</f>
        <v>1.9066666666666667</v>
      </c>
      <c r="I29" s="4032">
        <f>(IF('3.Cropland'!$E88&lt;&gt;"Please select",INDEX(IPCC!$E$308:$T$501,MATCH(clim_moist_cont,IPCC!$C$308:$C$501,0),MATCH('3.Cropland'!$E88,IPCC!$E$308:$T$308,0))*(44/12),0))</f>
        <v>0.51333333333333331</v>
      </c>
      <c r="J29" s="3740">
        <f>IF('3.Cropland'!$AV88&lt;&gt;"", '3.Cropland'!$AV88*(44/12), '3.Cropland'!$AU88*(44/12))</f>
        <v>0.51333333333333331</v>
      </c>
      <c r="K29" s="3741">
        <f t="shared" si="4"/>
        <v>2.42</v>
      </c>
      <c r="L29" s="4041">
        <f>IF(OR(C29="Please select",G29&lt;H29),0, INDEX(IPCC!$A$3235:$Q$3241,MATCH(climate,IPCC!$A$3235:$A$3241,0),MATCH(perennial!C29,IPCC!$A$3235:$Q$3235,0)))*44/12</f>
        <v>100.10000000000001</v>
      </c>
      <c r="M29" s="4044">
        <f>IF('3.Cropland'!$AX88&lt;&gt;"", '3.Cropland'!$AX88*44/12, L29)</f>
        <v>100.10000000000001</v>
      </c>
      <c r="N29" s="4044">
        <f t="shared" si="1"/>
        <v>52.5</v>
      </c>
      <c r="P29" s="3294">
        <f>IF('3.Cropland'!$E88&lt;&gt; "Please select", IF('3.Cropland'!$AZ88&lt;&gt;"", '3.Cropland'!$AZ88,'3.Cropland'!$AY88),0)</f>
        <v>24</v>
      </c>
      <c r="Q29" s="3290">
        <f>(IF('3.Cropland'!$E88&lt;&gt;"Please select",IF('3.Cropland'!$BC88&lt;&gt;"", '3.Cropland'!$BC88,VLOOKUP(clim_moist, IPCC!$A$57:$D$68, 4,FALSE)),0))</f>
        <v>0.72</v>
      </c>
      <c r="R29" s="3290">
        <f>_xlfn.IFNA(IF('3.Cropland'!$BE88&lt;&gt;"",'3.Cropland'!$BE88,INDEX(IPCC!$F$58:$H$68,MATCH(clim_moist, IPCC!$A$58:$A$68,0),MATCH('3.Cropland'!$G88, IPCC!$F$58:$H$58,0))),)</f>
        <v>0.99</v>
      </c>
      <c r="S29" s="3290">
        <f>_xlfn.IFNA(IF('3.Cropland'!$BG88&lt;&gt;"", '3.Cropland'!$BG88, INDEX(IPCC!$B$58:$L$68,MATCH(clim_moist,IPCC!$A$58:$A$68,0),MATCH('3.Cropland'!$I88,IPCC!$B$58:$L$58,0))),0)</f>
        <v>1.37</v>
      </c>
      <c r="T29" s="3290">
        <f t="shared" si="5"/>
        <v>23.436864000000003</v>
      </c>
      <c r="U29" s="3295">
        <f t="shared" si="2"/>
        <v>22.575168000000009</v>
      </c>
      <c r="V29" s="3291">
        <f t="shared" si="6"/>
        <v>1.1287584000000004</v>
      </c>
      <c r="W29" s="3291">
        <f>IF($D29="YES", $F29*IPCC!$D$75,0)*IPCC!$B$89/$E29</f>
        <v>0</v>
      </c>
      <c r="X29" s="3291">
        <f>IF($D29="YES", $F29* IPCC!$E$75,0)*IPCC!$B$89/$E29</f>
        <v>0</v>
      </c>
      <c r="Y29" s="3291">
        <f t="shared" si="3"/>
        <v>0</v>
      </c>
      <c r="Z29" s="3292">
        <f>'3.Cropland'!$M88</f>
        <v>13</v>
      </c>
      <c r="AI29" s="3703">
        <f>(MIN(C60,D60)*time_tot+ABS(D60-C60)*IF(D60&gt;C60,time_cap+time*(VLOOKUP(E60, list!$J$48:$K$50,2,)),time*(1-(VLOOKUP(E60, list!$J$48:$K$50,2,)))))*perennial!W29*methane/1000</f>
        <v>0</v>
      </c>
      <c r="AJ29" s="3703">
        <f>(($C60*time)+((F60-$C60))*(VLOOKUP(G60, list!$J$48:$K$50,2,)*time)+(F60*time_cap))*perennial!W29*methane/1000</f>
        <v>0</v>
      </c>
      <c r="AK29" s="3703">
        <f>(MIN(C60,D60)*time_tot+ABS(D60-C60)*IF(D60&gt;C60,time_cap+time*(VLOOKUP(E60, list!$J$48:$K$50,2,)),time*(1-(VLOOKUP(E60, list!$J$48:$K$50,2,)))))*X29*Nitrous/1000</f>
        <v>0</v>
      </c>
      <c r="AL29" s="3703">
        <f>(($C60*time)+((F60-$C60))*(VLOOKUP(G60, list!$J$48:$K$50,2,)*time)+(F60*time_cap))*X29*Nitrous/1000</f>
        <v>0</v>
      </c>
      <c r="AP29" s="3403">
        <f>-(MIN(C60,D60)*time+ABS(D60-C60)*IF(D60&gt;C60,time*(VLOOKUP(E60, list!$J$48:$K$50,2,)),time*(1-(VLOOKUP(E60, list!$J$48:$K$50,2,)))))*(IF($H29&gt;0,$H29,$G29)+IF($J29&gt;0,$J29,$I29))</f>
        <v>-532.4</v>
      </c>
      <c r="AQ29" s="3404">
        <f>-(MIN(C60,F60)*time+ABS(F60-C60)*IF(F60&gt;C60,time*(VLOOKUP(G60, list!$J$48:$K$50,2,)),time*(1-(VLOOKUP(G60, list!$J$48:$K$50,2,)))))*(IF($H29&gt;0,$H29,$G29)+IF($J29&gt;0,$J29,$I29))</f>
        <v>0</v>
      </c>
      <c r="AR29" s="3404">
        <f>-$V29*((MIN($C60,D60)*MIN(20,time))+IF(E60="Immediate",IF(D60&gt;$C60,D60*MIN(20,time),0),IF($C60&gt;D60,($C60-D60)*IF(time&gt;20,IF(E60="Linear",time-((time-20)^2)/(2*time),(0.215*time)-(time/4.6)*(EXP(-92.1/time)-0.01)),time*(1-VLOOKUP(E60, list!$J$48:$K$50,2,))),(D60-$C60)*IF(time&gt;time+20,20,IF(time&lt;20,(time*VLOOKUP(E60, list!$J$48:$K$50,2,))+(time-time),((MIN(20,time)*VLOOKUP(E60, list!$J$48:$K$50,2,))+(time-MIN(20,time))-IF(E60="Exponential",time-20+0.217*time*(EXP(4.606*(20-time)/time)-1),((time-20)^2)*(0.5/time))))))))</f>
        <v>-248.3268480000001</v>
      </c>
      <c r="AS29" s="3404">
        <f>-$V29*((MIN($C60,F60)*MIN(20,time))+IF(G60="Immediate",IF(F60&gt;$C60,F60*MIN(20,time),0),IF($C60&gt;F60,($C60-F60)*IF(time&gt;20,IF(G60="Linear",time-((time-20)^2)/(2*time),(0.215*time)-(time/4.6)*(EXP(-92.1/time)-0.01)),time*(1-VLOOKUP(G60, list!$J$48:$K$50,2,))),(F60-$C60)*IF(time&gt;time+20,20,IF(time&lt;20,(time*VLOOKUP(G60, list!$J$48:$K$50,2,))+(time-time),((MIN(20,time)*VLOOKUP(G60, list!$J$48:$K$50,2,))+(time-MIN(20,time))-IF(G60="Exponential",time-20+0.217*time*(EXP(4.606*(20-time)/time)-1),((time-20)^2)*(0.5/time))))))))</f>
        <v>0</v>
      </c>
      <c r="AT29" s="3404">
        <f>(MIN(C60,D60)*time+ABS(D60-C60)*IF(D60&gt;C60,time*(VLOOKUP(E60, list!$J$48:$K$50,2,)),time*(1-(VLOOKUP(E60, list!$J$48:$K$50,2,)))))*perennial!W29*methane/1000</f>
        <v>0</v>
      </c>
      <c r="AU29" s="3404">
        <f>(($C60*time)+((F60-$C60))*(VLOOKUP(G60, list!$J$48:$K$50,2,)*time)+(F60*0))*perennial!W29*methane/1000</f>
        <v>0</v>
      </c>
      <c r="AV29" s="3399">
        <f>(MIN(C60,D60)*time+ABS(D60-C60)*IF(D60&gt;C60,+time*(VLOOKUP(E60, list!$J$48:$K$50,2,)),time*(1-(VLOOKUP(E60, list!$J$48:$K$50,2,)))))*X29*Nitrous/1000</f>
        <v>0</v>
      </c>
      <c r="AW29" s="3399">
        <f>(($C60*time)+((F60-$C60))*(VLOOKUP(G60, list!$J$48:$K$50,2,)*time)+(F60*0))*X29*Nitrous/1000</f>
        <v>0</v>
      </c>
      <c r="AX29" s="3399">
        <f>IF(T29&lt;P29,(P29-T29)/20/10*1000*N2O_N_conversion/1000*((MIN($C60,D60)*MIN(20,time))+IF(E60="Immediate",IF(D60&gt;$C60,D60*MIN(20,time),0),IF($C60&gt;D60,($C60-D60)*IF(time&gt;20,IF(E60="Linear",time-((time-20)^2)/(2*time),(0.215*time)-(time/4.6)*(EXP(-92.1/time)-0.01)),time*(1-VLOOKUP(E60, list!$J$48:$K$50,2,))),(D60-$C60)*IF(time&gt;time+20,20,IF(time&lt;20,(time*VLOOKUP(E60, list!$J$48:$K$50,2,))+(time-time),((MIN(20,time)*VLOOKUP(E60, list!$J$48:$K$50,2,))+(time-MIN(20,time))-IF(E60="Exponential",time-20+0.217*time*(EXP(4.606*(20-time)/time)-1),((time-20)^2)*(0.5/time)))))))),0)</f>
        <v>0.97342079999999398</v>
      </c>
      <c r="AY29" s="3400">
        <f>IF(T29&lt;P29,(P29-T29)/20/10*1000*N2O_N_conversion/1000*((MIN($C60,F60)*MIN(20,time))+IF(G60="Immediate",IF(F60&gt;$C60,F60*MIN(20,time),0),IF($C60&gt;F60,($C60-F60)*IF(time&gt;20,IF(G60="Linear",time-((time-20)^2)/(2*time),(0.215*time)-(time/4.6)*(EXP(-92.1/time)-0.01)),time*(1-VLOOKUP(G60, list!$J$48:$K$50,2,))),(F60-$C60)*IF(time&gt;time+20,20,IF(time&lt;20,(time*VLOOKUP(G60, list!$J$48:$K$50,2,))+(time-time),((MIN(20,time)*VLOOKUP(G60, list!$J$48:$K$50,2,))+(time-MIN(20,time))-IF(G60="Exponential",time-20+0.217*time*(EXP(4.606*(20-time)/time)-1),((time-20)^2)*(0.5/time)))))))),0)</f>
        <v>0</v>
      </c>
    </row>
    <row r="30" spans="2:51" x14ac:dyDescent="0.2">
      <c r="B30" s="3272">
        <f>'3.Cropland'!C89</f>
        <v>0</v>
      </c>
      <c r="C30" s="875" t="str">
        <f>'3.Cropland'!$E89</f>
        <v>Hedgerow</v>
      </c>
      <c r="D30" s="3745" t="str">
        <f>'3.Cropland'!$K89</f>
        <v>NO</v>
      </c>
      <c r="E30" s="3738">
        <f>IF('3.Cropland'!$BK89="", '3.Cropland'!$BJ89, '3.Cropland'!$BK89)</f>
        <v>1</v>
      </c>
      <c r="F30" s="3738">
        <f>IF('3.Cropland'!$BI89="", '3.Cropland'!$BH89, '3.Cropland'!$BI89)</f>
        <v>0.92553191489361708</v>
      </c>
      <c r="G30" s="4032">
        <f>(IF(C30&lt;&gt;"Please select", INDEX(IPCC!$E$105:$T$298,MATCH(clim_moist_cont,IPCC!$C$105:$C$298,0),MATCH('3.Cropland'!$E89,IPCC!$E$105:$T$105,0))*(44/12), 0))</f>
        <v>3.19</v>
      </c>
      <c r="H30" s="3739">
        <f>IF('3.Cropland'!$AT89&lt;&gt;"", '3.Cropland'!$AT89*(44/12), '3.Cropland'!$AS89*(44/12))</f>
        <v>3.19</v>
      </c>
      <c r="I30" s="4032">
        <f>(IF('3.Cropland'!$E89&lt;&gt;"Please select",INDEX(IPCC!$E$308:$T$501,MATCH(clim_moist_cont,IPCC!$C$308:$C$501,0),MATCH('3.Cropland'!$E89,IPCC!$E$308:$T$308,0))*(44/12),0))</f>
        <v>0.84333333333333338</v>
      </c>
      <c r="J30" s="3740">
        <f>IF('3.Cropland'!$AV89&lt;&gt;"", '3.Cropland'!$AV89*(44/12), '3.Cropland'!$AU89*(44/12))</f>
        <v>0.84333333333333338</v>
      </c>
      <c r="K30" s="3741">
        <f t="shared" ref="K30:K35" si="7">H30+J30</f>
        <v>4.0333333333333332</v>
      </c>
      <c r="L30" s="4041">
        <f>IF(OR(C30="Please select",G30&lt;H30),0, INDEX(IPCC!$A$3235:$Q$3241,MATCH(climate,IPCC!$A$3235:$A$3241,0),MATCH(perennial!C30,IPCC!$A$3235:$Q$3235,0)))*44/12</f>
        <v>95.7</v>
      </c>
      <c r="M30" s="4044">
        <f>IF('3.Cropland'!$AX89&lt;&gt;"", '3.Cropland'!$AX89*44/12, L30)</f>
        <v>95.7</v>
      </c>
      <c r="N30" s="4044">
        <f t="shared" ref="N30:N35" si="8">IFERROR(L30/H30,0)</f>
        <v>30</v>
      </c>
      <c r="P30" s="3294">
        <f>IF('3.Cropland'!$E89&lt;&gt; "Please select", IF('3.Cropland'!$AZ89&lt;&gt;"", '3.Cropland'!$AZ89,'3.Cropland'!$AY89),0)</f>
        <v>24</v>
      </c>
      <c r="Q30" s="3290">
        <f>(IF('3.Cropland'!$E89&lt;&gt;"Please select",IF('3.Cropland'!$BC89&lt;&gt;"", '3.Cropland'!$BC89,VLOOKUP(clim_moist, IPCC!$A$57:$D$68, 4,FALSE)),0))</f>
        <v>0.72</v>
      </c>
      <c r="R30" s="3290">
        <f>_xlfn.IFNA(IF('3.Cropland'!$BE89&lt;&gt;"",'3.Cropland'!$BE89,INDEX(IPCC!$F$58:$H$68,MATCH(clim_moist, IPCC!$A$58:$A$68,0),MATCH('3.Cropland'!$G89, IPCC!$F$58:$H$58,0))),)</f>
        <v>1.04</v>
      </c>
      <c r="S30" s="3290">
        <f>_xlfn.IFNA(IF('3.Cropland'!$BG89&lt;&gt;"", '3.Cropland'!$BG89, INDEX(IPCC!$B$58:$L$68,MATCH(clim_moist,IPCC!$A$58:$A$68,0),MATCH('3.Cropland'!$I89,IPCC!$B$58:$L$58,0))),0)</f>
        <v>1</v>
      </c>
      <c r="T30" s="3290">
        <f t="shared" ref="T30:T35" si="9">P30*Q30*R30*S30</f>
        <v>17.971200000000003</v>
      </c>
      <c r="U30" s="3295">
        <f t="shared" ref="U30:U35" si="10">(T30-P30*Q30)*(44/12)</f>
        <v>2.5344000000000073</v>
      </c>
      <c r="V30" s="3291">
        <f t="shared" ref="V30:V35" si="11">U30/20</f>
        <v>0.12672000000000036</v>
      </c>
      <c r="W30" s="3291">
        <f>IF($D30="YES", $F30*IPCC!$D$75,0)*IPCC!$B$89/$E30</f>
        <v>0</v>
      </c>
      <c r="X30" s="3291">
        <f>IF($D30="YES", $F30* IPCC!$E$75,0)*IPCC!$B$89/$E30</f>
        <v>0</v>
      </c>
      <c r="Y30" s="3291">
        <f t="shared" ref="Y30:Y35" si="12">(W30*methane+X30*Nitrous)/1000</f>
        <v>0</v>
      </c>
      <c r="Z30" s="3292">
        <f>'3.Cropland'!$M89</f>
        <v>14</v>
      </c>
      <c r="AI30" s="3703"/>
      <c r="AJ30" s="3703"/>
      <c r="AK30" s="3703"/>
      <c r="AL30" s="3703"/>
      <c r="AP30" s="4449"/>
      <c r="AQ30" s="4449"/>
      <c r="AR30" s="4449"/>
      <c r="AS30" s="4449"/>
      <c r="AT30" s="4449"/>
      <c r="AU30" s="4449"/>
      <c r="AV30" s="3399">
        <f>(MIN(C61,D61)*time+ABS(D61-C61)*IF(D61&gt;C61,+time*(VLOOKUP(E61, list!$J$48:$K$50,2,)),time*(1-(VLOOKUP(E61, list!$J$48:$K$50,2,)))))*X30*Nitrous/1000</f>
        <v>0</v>
      </c>
      <c r="AW30" s="3399">
        <f>(($C61*time)+((F61-$C61))*(VLOOKUP(G61, list!$J$48:$K$50,2,)*time)+(F61*0))*X30*Nitrous/1000</f>
        <v>0</v>
      </c>
      <c r="AX30" s="3399">
        <f>IF(T30&lt;P30,(P30-T30)/20/10*1000*N2O_N_conversion/1000*((MIN($C61,D61)*MIN(20,time))+IF(E61="Immediate",IF(D61&gt;$C61,D61*MIN(20,time),0),IF($C61&gt;D61,($C61-D61)*IF(time&gt;20,IF(E61="Linear",time-((time-20)^2)/(2*time),(0.215*time)-(time/4.6)*(EXP(-92.1/time)-0.01)),time*(1-VLOOKUP(E61, list!$J$48:$K$50,2,))),(D61-$C61)*IF(time&gt;time+20,20,IF(time&lt;20,(time*VLOOKUP(E61, list!$J$48:$K$50,2,))+(time-time),((MIN(20,time)*VLOOKUP(E61, list!$J$48:$K$50,2,))+(time-MIN(20,time))-IF(E61="Exponential",time-20+0.217*time*(EXP(4.606*(20-time)/time)-1),((time-20)^2)*(0.5/time)))))))),0)</f>
        <v>0</v>
      </c>
      <c r="AY30" s="3400">
        <f>IF(T30&lt;P30,(P30-T30)/20/10*1000*N2O_N_conversion/1000*((MIN($C61,F61)*MIN(20,time))+IF(G61="Immediate",IF(F61&gt;$C61,F61*MIN(20,time),0),IF($C61&gt;F61,($C61-F61)*IF(time&gt;20,IF(G61="Linear",time-((time-20)^2)/(2*time),(0.215*time)-(time/4.6)*(EXP(-92.1/time)-0.01)),time*(1-VLOOKUP(G61, list!$J$48:$K$50,2,))),(F61-$C61)*IF(time&gt;time+20,20,IF(time&lt;20,(time*VLOOKUP(G61, list!$J$48:$K$50,2,))+(time-time),((MIN(20,time)*VLOOKUP(G61, list!$J$48:$K$50,2,))+(time-MIN(20,time))-IF(G61="Exponential",time-20+0.217*time*(EXP(4.606*(20-time)/time)-1),((time-20)^2)*(0.5/time)))))))),0)</f>
        <v>10.421211428571423</v>
      </c>
    </row>
    <row r="31" spans="2:51" x14ac:dyDescent="0.2">
      <c r="B31" s="3272">
        <f>'3.Cropland'!C90</f>
        <v>0</v>
      </c>
      <c r="C31" s="875" t="str">
        <f>'3.Cropland'!$E90</f>
        <v>Please select</v>
      </c>
      <c r="D31" s="3745" t="str">
        <f>'3.Cropland'!$K90</f>
        <v>NO</v>
      </c>
      <c r="E31" s="3738">
        <f>IF('3.Cropland'!$BK90="", '3.Cropland'!$BJ90, '3.Cropland'!$BK90)</f>
        <v>1</v>
      </c>
      <c r="F31" s="3738">
        <f>IF('3.Cropland'!$BI90="", '3.Cropland'!$BH90, '3.Cropland'!$BI90)</f>
        <v>0</v>
      </c>
      <c r="G31" s="4032">
        <f>(IF(C31&lt;&gt;"Please select", INDEX(IPCC!$E$105:$T$298,MATCH(clim_moist_cont,IPCC!$C$105:$C$298,0),MATCH('3.Cropland'!$E90,IPCC!$E$105:$T$105,0))*(44/12), 0))</f>
        <v>0</v>
      </c>
      <c r="H31" s="3739">
        <f>IF('3.Cropland'!$AT90&lt;&gt;"", '3.Cropland'!$AT90*(44/12), '3.Cropland'!$AS90*(44/12))</f>
        <v>0</v>
      </c>
      <c r="I31" s="4032">
        <f>(IF('3.Cropland'!$E90&lt;&gt;"Please select",INDEX(IPCC!$E$308:$T$501,MATCH(clim_moist_cont,IPCC!$C$308:$C$501,0),MATCH('3.Cropland'!$E90,IPCC!$E$308:$T$308,0))*(44/12),0))</f>
        <v>0</v>
      </c>
      <c r="J31" s="3740">
        <f>IF('3.Cropland'!$AV90&lt;&gt;"", '3.Cropland'!$AV90*(44/12), '3.Cropland'!$AU90*(44/12))</f>
        <v>0</v>
      </c>
      <c r="K31" s="3741">
        <f t="shared" si="7"/>
        <v>0</v>
      </c>
      <c r="L31" s="4041">
        <f>IF(OR(C31="Please select",G31&lt;H31),0, INDEX(IPCC!$A$3235:$Q$3241,MATCH(climate,IPCC!$A$3235:$A$3241,0),MATCH(perennial!C31,IPCC!$A$3235:$Q$3235,0)))*44/12</f>
        <v>0</v>
      </c>
      <c r="M31" s="4044">
        <f>IF('3.Cropland'!$AX90&lt;&gt;"", '3.Cropland'!$AX90*44/12, L31)</f>
        <v>0</v>
      </c>
      <c r="N31" s="4044">
        <f t="shared" si="8"/>
        <v>0</v>
      </c>
      <c r="P31" s="3294">
        <f>IF('3.Cropland'!$E90&lt;&gt; "Please select", IF('3.Cropland'!$AZ90&lt;&gt;"", '3.Cropland'!$AZ90,'3.Cropland'!$AY90),0)</f>
        <v>0</v>
      </c>
      <c r="Q31" s="3290">
        <f>(IF('3.Cropland'!$E90&lt;&gt;"Please select",IF('3.Cropland'!$BC90&lt;&gt;"", '3.Cropland'!$BC90,VLOOKUP(clim_moist, IPCC!$A$57:$D$68, 4,FALSE)),0))</f>
        <v>0</v>
      </c>
      <c r="R31" s="3290">
        <f>_xlfn.IFNA(IF('3.Cropland'!$BE90&lt;&gt;"",'3.Cropland'!$BE90,INDEX(IPCC!$F$58:$H$68,MATCH(clim_moist, IPCC!$A$58:$A$68,0),MATCH('3.Cropland'!$G90, IPCC!$F$58:$H$58,0))),)</f>
        <v>0</v>
      </c>
      <c r="S31" s="3290">
        <f>_xlfn.IFNA(IF('3.Cropland'!$BG90&lt;&gt;"", '3.Cropland'!$BG90, INDEX(IPCC!$B$58:$L$68,MATCH(clim_moist,IPCC!$A$58:$A$68,0),MATCH('3.Cropland'!$I90,IPCC!$B$58:$L$58,0))),0)</f>
        <v>0</v>
      </c>
      <c r="T31" s="3290">
        <f t="shared" si="9"/>
        <v>0</v>
      </c>
      <c r="U31" s="3295">
        <f t="shared" si="10"/>
        <v>0</v>
      </c>
      <c r="V31" s="3291">
        <f t="shared" si="11"/>
        <v>0</v>
      </c>
      <c r="W31" s="3291">
        <f>IF($D31="YES", $F31*IPCC!$D$75,0)*IPCC!$B$89/$E31</f>
        <v>0</v>
      </c>
      <c r="X31" s="3291">
        <f>IF($D31="YES", $F31* IPCC!$E$75,0)*IPCC!$B$89/$E31</f>
        <v>0</v>
      </c>
      <c r="Y31" s="3291">
        <f t="shared" si="12"/>
        <v>0</v>
      </c>
      <c r="Z31" s="3292">
        <f>'3.Cropland'!$M90</f>
        <v>0</v>
      </c>
      <c r="AI31" s="3703"/>
      <c r="AJ31" s="3703"/>
      <c r="AK31" s="3703"/>
      <c r="AL31" s="3703"/>
      <c r="AP31" s="4449"/>
      <c r="AQ31" s="4449"/>
      <c r="AR31" s="4449"/>
      <c r="AS31" s="4449"/>
      <c r="AT31" s="4449"/>
      <c r="AU31" s="4449"/>
      <c r="AV31" s="3399">
        <f>(MIN(C62,D62)*time+ABS(D62-C62)*IF(D62&gt;C62,+time*(VLOOKUP(E62, list!$J$48:$K$50,2,)),time*(1-(VLOOKUP(E62, list!$J$48:$K$50,2,)))))*X31*Nitrous/1000</f>
        <v>0</v>
      </c>
      <c r="AW31" s="3399">
        <f>(($C62*time)+((F62-$C62))*(VLOOKUP(G62, list!$J$48:$K$50,2,)*time)+(F62*0))*X31*Nitrous/1000</f>
        <v>0</v>
      </c>
      <c r="AX31" s="3399">
        <f>IF(T31&lt;P31,(P31-T31)/20/10*1000*N2O_N_conversion/1000*((MIN($C62,D62)*MIN(20,time))+IF(E62="Immediate",IF(D62&gt;$C62,D62*MIN(20,time),0),IF($C62&gt;D62,($C62-D62)*IF(time&gt;20,IF(E62="Linear",time-((time-20)^2)/(2*time),(0.215*time)-(time/4.6)*(EXP(-92.1/time)-0.01)),time*(1-VLOOKUP(E62, list!$J$48:$K$50,2,))),(D62-$C62)*IF(time&gt;time+20,20,IF(time&lt;20,(time*VLOOKUP(E62, list!$J$48:$K$50,2,))+(time-time),((MIN(20,time)*VLOOKUP(E62, list!$J$48:$K$50,2,))+(time-MIN(20,time))-IF(E62="Exponential",time-20+0.217*time*(EXP(4.606*(20-time)/time)-1),((time-20)^2)*(0.5/time)))))))),0)</f>
        <v>0</v>
      </c>
      <c r="AY31" s="3400">
        <f>IF(T31&lt;P31,(P31-T31)/20/10*1000*N2O_N_conversion/1000*((MIN($C62,F62)*MIN(20,time))+IF(G62="Immediate",IF(F62&gt;$C62,F62*MIN(20,time),0),IF($C62&gt;F62,($C62-F62)*IF(time&gt;20,IF(G62="Linear",time-((time-20)^2)/(2*time),(0.215*time)-(time/4.6)*(EXP(-92.1/time)-0.01)),time*(1-VLOOKUP(G62, list!$J$48:$K$50,2,))),(F62-$C62)*IF(time&gt;time+20,20,IF(time&lt;20,(time*VLOOKUP(G62, list!$J$48:$K$50,2,))+(time-time),((MIN(20,time)*VLOOKUP(G62, list!$J$48:$K$50,2,))+(time-MIN(20,time))-IF(G62="Exponential",time-20+0.217*time*(EXP(4.606*(20-time)/time)-1),((time-20)^2)*(0.5/time)))))))),0)</f>
        <v>0</v>
      </c>
    </row>
    <row r="32" spans="2:51" x14ac:dyDescent="0.2">
      <c r="B32" s="3272">
        <f>'3.Cropland'!C91</f>
        <v>0</v>
      </c>
      <c r="C32" s="875" t="str">
        <f>'3.Cropland'!$E91</f>
        <v>Please select</v>
      </c>
      <c r="D32" s="3745" t="str">
        <f>'3.Cropland'!$K91</f>
        <v>NO</v>
      </c>
      <c r="E32" s="3738">
        <f>IF('3.Cropland'!$BK91="", '3.Cropland'!$BJ91, '3.Cropland'!$BK91)</f>
        <v>1</v>
      </c>
      <c r="F32" s="3738">
        <f>IF('3.Cropland'!$BI91="", '3.Cropland'!$BH91, '3.Cropland'!$BI91)</f>
        <v>0</v>
      </c>
      <c r="G32" s="4032">
        <f>(IF(C32&lt;&gt;"Please select", INDEX(IPCC!$E$105:$T$298,MATCH(clim_moist_cont,IPCC!$C$105:$C$298,0),MATCH('3.Cropland'!$E91,IPCC!$E$105:$T$105,0))*(44/12), 0))</f>
        <v>0</v>
      </c>
      <c r="H32" s="3739">
        <f>IF('3.Cropland'!$AT91&lt;&gt;"", '3.Cropland'!$AT91*(44/12), '3.Cropland'!$AS91*(44/12))</f>
        <v>0</v>
      </c>
      <c r="I32" s="4032">
        <f>(IF('3.Cropland'!$E91&lt;&gt;"Please select",INDEX(IPCC!$E$308:$T$501,MATCH(clim_moist_cont,IPCC!$C$308:$C$501,0),MATCH('3.Cropland'!$E91,IPCC!$E$308:$T$308,0))*(44/12),0))</f>
        <v>0</v>
      </c>
      <c r="J32" s="3740">
        <f>IF('3.Cropland'!$AV91&lt;&gt;"", '3.Cropland'!$AV91*(44/12), '3.Cropland'!$AU91*(44/12))</f>
        <v>0</v>
      </c>
      <c r="K32" s="3741">
        <f t="shared" si="7"/>
        <v>0</v>
      </c>
      <c r="L32" s="4041">
        <f>IF(OR(C32="Please select",G32&lt;H32),0, INDEX(IPCC!$A$3235:$Q$3241,MATCH(climate,IPCC!$A$3235:$A$3241,0),MATCH(perennial!C32,IPCC!$A$3235:$Q$3235,0)))*44/12</f>
        <v>0</v>
      </c>
      <c r="M32" s="4044">
        <f>IF('3.Cropland'!$AX91&lt;&gt;"", '3.Cropland'!$AX91*44/12, L32)</f>
        <v>0</v>
      </c>
      <c r="N32" s="4044">
        <f t="shared" si="8"/>
        <v>0</v>
      </c>
      <c r="P32" s="3294">
        <f>IF('3.Cropland'!$E91&lt;&gt; "Please select", IF('3.Cropland'!$AZ91&lt;&gt;"", '3.Cropland'!$AZ91,'3.Cropland'!$AY91),0)</f>
        <v>0</v>
      </c>
      <c r="Q32" s="3290">
        <f>(IF('3.Cropland'!$E91&lt;&gt;"Please select",IF('3.Cropland'!$BC91&lt;&gt;"", '3.Cropland'!$BC91,VLOOKUP(clim_moist, IPCC!$A$57:$D$68, 4,FALSE)),0))</f>
        <v>0</v>
      </c>
      <c r="R32" s="3290">
        <f>_xlfn.IFNA(IF('3.Cropland'!$BE91&lt;&gt;"",'3.Cropland'!$BE91,INDEX(IPCC!$F$58:$H$68,MATCH(clim_moist, IPCC!$A$58:$A$68,0),MATCH('3.Cropland'!$G91, IPCC!$F$58:$H$58,0))),)</f>
        <v>0</v>
      </c>
      <c r="S32" s="3290">
        <f>_xlfn.IFNA(IF('3.Cropland'!$BG91&lt;&gt;"", '3.Cropland'!$BG91, INDEX(IPCC!$B$58:$L$68,MATCH(clim_moist,IPCC!$A$58:$A$68,0),MATCH('3.Cropland'!$I91,IPCC!$B$58:$L$58,0))),0)</f>
        <v>0</v>
      </c>
      <c r="T32" s="3290">
        <f t="shared" si="9"/>
        <v>0</v>
      </c>
      <c r="U32" s="3295">
        <f t="shared" si="10"/>
        <v>0</v>
      </c>
      <c r="V32" s="3291">
        <f t="shared" si="11"/>
        <v>0</v>
      </c>
      <c r="W32" s="3291">
        <f>IF($D32="YES", $F32*IPCC!$D$75,0)*IPCC!$B$89/$E32</f>
        <v>0</v>
      </c>
      <c r="X32" s="3291">
        <f>IF($D32="YES", $F32* IPCC!$E$75,0)*IPCC!$B$89/$E32</f>
        <v>0</v>
      </c>
      <c r="Y32" s="3291">
        <f t="shared" si="12"/>
        <v>0</v>
      </c>
      <c r="Z32" s="3292">
        <f>'3.Cropland'!$M91</f>
        <v>0</v>
      </c>
      <c r="AI32" s="3703"/>
      <c r="AJ32" s="3703"/>
      <c r="AK32" s="3703"/>
      <c r="AL32" s="3703"/>
      <c r="AP32" s="4449"/>
      <c r="AQ32" s="4449"/>
      <c r="AR32" s="4449"/>
      <c r="AS32" s="4449"/>
      <c r="AT32" s="4449"/>
      <c r="AU32" s="4449"/>
      <c r="AV32" s="3399">
        <f>(MIN(C63,D63)*time+ABS(D63-C63)*IF(D63&gt;C63,+time*(VLOOKUP(E63, list!$J$48:$K$50,2,)),time*(1-(VLOOKUP(E63, list!$J$48:$K$50,2,)))))*X32*Nitrous/1000</f>
        <v>0</v>
      </c>
      <c r="AW32" s="3399">
        <f>(($C63*time)+((F63-$C63))*(VLOOKUP(G63, list!$J$48:$K$50,2,)*time)+(F63*0))*X32*Nitrous/1000</f>
        <v>0</v>
      </c>
      <c r="AX32" s="3399">
        <f>IF(T32&lt;P32,(P32-T32)/20/10*1000*N2O_N_conversion/1000*((MIN($C63,D63)*MIN(20,time))+IF(E63="Immediate",IF(D63&gt;$C63,D63*MIN(20,time),0),IF($C63&gt;D63,($C63-D63)*IF(time&gt;20,IF(E63="Linear",time-((time-20)^2)/(2*time),(0.215*time)-(time/4.6)*(EXP(-92.1/time)-0.01)),time*(1-VLOOKUP(E63, list!$J$48:$K$50,2,))),(D63-$C63)*IF(time&gt;time+20,20,IF(time&lt;20,(time*VLOOKUP(E63, list!$J$48:$K$50,2,))+(time-time),((MIN(20,time)*VLOOKUP(E63, list!$J$48:$K$50,2,))+(time-MIN(20,time))-IF(E63="Exponential",time-20+0.217*time*(EXP(4.606*(20-time)/time)-1),((time-20)^2)*(0.5/time)))))))),0)</f>
        <v>0</v>
      </c>
      <c r="AY32" s="3400">
        <f>IF(T32&lt;P32,(P32-T32)/20/10*1000*N2O_N_conversion/1000*((MIN($C63,F63)*MIN(20,time))+IF(G63="Immediate",IF(F63&gt;$C63,F63*MIN(20,time),0),IF($C63&gt;F63,($C63-F63)*IF(time&gt;20,IF(G63="Linear",time-((time-20)^2)/(2*time),(0.215*time)-(time/4.6)*(EXP(-92.1/time)-0.01)),time*(1-VLOOKUP(G63, list!$J$48:$K$50,2,))),(F63-$C63)*IF(time&gt;time+20,20,IF(time&lt;20,(time*VLOOKUP(G63, list!$J$48:$K$50,2,))+(time-time),((MIN(20,time)*VLOOKUP(G63, list!$J$48:$K$50,2,))+(time-MIN(20,time))-IF(G63="Exponential",time-20+0.217*time*(EXP(4.606*(20-time)/time)-1),((time-20)^2)*(0.5/time)))))))),0)</f>
        <v>0</v>
      </c>
    </row>
    <row r="33" spans="1:51" x14ac:dyDescent="0.2">
      <c r="B33" s="3272">
        <f>'3.Cropland'!C92</f>
        <v>0</v>
      </c>
      <c r="C33" s="875" t="str">
        <f>'3.Cropland'!$E92</f>
        <v>Please select</v>
      </c>
      <c r="D33" s="3745" t="str">
        <f>'3.Cropland'!$K92</f>
        <v>NO</v>
      </c>
      <c r="E33" s="3738">
        <f>IF('3.Cropland'!$BK92="", '3.Cropland'!$BJ92, '3.Cropland'!$BK92)</f>
        <v>1</v>
      </c>
      <c r="F33" s="3738">
        <f>IF('3.Cropland'!$BI92="", '3.Cropland'!$BH92, '3.Cropland'!$BI92)</f>
        <v>0</v>
      </c>
      <c r="G33" s="4032">
        <f>(IF(C33&lt;&gt;"Please select", INDEX(IPCC!$E$105:$T$298,MATCH(clim_moist_cont,IPCC!$C$105:$C$298,0),MATCH('3.Cropland'!$E92,IPCC!$E$105:$T$105,0))*(44/12), 0))</f>
        <v>0</v>
      </c>
      <c r="H33" s="3739">
        <f>IF('3.Cropland'!$AT92&lt;&gt;"", '3.Cropland'!$AT92*(44/12), '3.Cropland'!$AS92*(44/12))</f>
        <v>0</v>
      </c>
      <c r="I33" s="4032">
        <f>(IF('3.Cropland'!$E92&lt;&gt;"Please select",INDEX(IPCC!$E$308:$T$501,MATCH(clim_moist_cont,IPCC!$C$308:$C$501,0),MATCH('3.Cropland'!$E92,IPCC!$E$308:$T$308,0))*(44/12),0))</f>
        <v>0</v>
      </c>
      <c r="J33" s="3740">
        <f>IF('3.Cropland'!$AV92&lt;&gt;"", '3.Cropland'!$AV92*(44/12), '3.Cropland'!$AU92*(44/12))</f>
        <v>0</v>
      </c>
      <c r="K33" s="3741">
        <f t="shared" si="7"/>
        <v>0</v>
      </c>
      <c r="L33" s="4041">
        <f>IF(OR(C33="Please select",G33&lt;H33),0, INDEX(IPCC!$A$3235:$Q$3241,MATCH(climate,IPCC!$A$3235:$A$3241,0),MATCH(perennial!C33,IPCC!$A$3235:$Q$3235,0)))*44/12</f>
        <v>0</v>
      </c>
      <c r="M33" s="4044">
        <f>IF('3.Cropland'!$AX92&lt;&gt;"", '3.Cropland'!$AX92*44/12, L33)</f>
        <v>0</v>
      </c>
      <c r="N33" s="4044">
        <f t="shared" si="8"/>
        <v>0</v>
      </c>
      <c r="P33" s="3294">
        <f>IF('3.Cropland'!$E92&lt;&gt; "Please select", IF('3.Cropland'!$AZ92&lt;&gt;"", '3.Cropland'!$AZ92,'3.Cropland'!$AY92),0)</f>
        <v>0</v>
      </c>
      <c r="Q33" s="3290">
        <f>(IF('3.Cropland'!$E92&lt;&gt;"Please select",IF('3.Cropland'!$BC92&lt;&gt;"", '3.Cropland'!$BC92,VLOOKUP(clim_moist, IPCC!$A$57:$D$68, 4,FALSE)),0))</f>
        <v>0</v>
      </c>
      <c r="R33" s="3290">
        <f>_xlfn.IFNA(IF('3.Cropland'!$BE92&lt;&gt;"",'3.Cropland'!$BE92,INDEX(IPCC!$F$58:$H$68,MATCH(clim_moist, IPCC!$A$58:$A$68,0),MATCH('3.Cropland'!$G92, IPCC!$F$58:$H$58,0))),)</f>
        <v>0</v>
      </c>
      <c r="S33" s="3290">
        <f>_xlfn.IFNA(IF('3.Cropland'!$BG92&lt;&gt;"", '3.Cropland'!$BG92, INDEX(IPCC!$B$58:$L$68,MATCH(clim_moist,IPCC!$A$58:$A$68,0),MATCH('3.Cropland'!$I92,IPCC!$B$58:$L$58,0))),0)</f>
        <v>0</v>
      </c>
      <c r="T33" s="3290">
        <f t="shared" si="9"/>
        <v>0</v>
      </c>
      <c r="U33" s="3295">
        <f t="shared" si="10"/>
        <v>0</v>
      </c>
      <c r="V33" s="3291">
        <f t="shared" si="11"/>
        <v>0</v>
      </c>
      <c r="W33" s="3291">
        <f>IF($D33="YES", $F33*IPCC!$D$75,0)*IPCC!$B$89/$E33</f>
        <v>0</v>
      </c>
      <c r="X33" s="3291">
        <f>IF($D33="YES", $F33* IPCC!$E$75,0)*IPCC!$B$89/$E33</f>
        <v>0</v>
      </c>
      <c r="Y33" s="3291">
        <f t="shared" si="12"/>
        <v>0</v>
      </c>
      <c r="Z33" s="3292">
        <f>'3.Cropland'!$M92</f>
        <v>0</v>
      </c>
      <c r="AI33" s="3703"/>
      <c r="AJ33" s="3703"/>
      <c r="AK33" s="3703"/>
      <c r="AL33" s="3703"/>
      <c r="AP33" s="4449"/>
      <c r="AQ33" s="4449"/>
      <c r="AR33" s="4449"/>
      <c r="AS33" s="4449"/>
      <c r="AT33" s="4449"/>
      <c r="AU33" s="4449"/>
      <c r="AV33" s="3399">
        <f>(MIN(C64,D64)*time+ABS(D64-C64)*IF(D64&gt;C64,+time*(VLOOKUP(E64, list!$J$48:$K$50,2,)),time*(1-(VLOOKUP(E64, list!$J$48:$K$50,2,)))))*X33*Nitrous/1000</f>
        <v>0</v>
      </c>
      <c r="AW33" s="3399">
        <f>(($C64*time)+((F64-$C64))*(VLOOKUP(G64, list!$J$48:$K$50,2,)*time)+(F64*0))*X33*Nitrous/1000</f>
        <v>0</v>
      </c>
      <c r="AX33" s="3399">
        <f>IF(T33&lt;P33,(P33-T33)/20/10*1000*N2O_N_conversion/1000*((MIN($C64,D64)*MIN(20,time))+IF(E64="Immediate",IF(D64&gt;$C64,D64*MIN(20,time),0),IF($C64&gt;D64,($C64-D64)*IF(time&gt;20,IF(E64="Linear",time-((time-20)^2)/(2*time),(0.215*time)-(time/4.6)*(EXP(-92.1/time)-0.01)),time*(1-VLOOKUP(E64, list!$J$48:$K$50,2,))),(D64-$C64)*IF(time&gt;time+20,20,IF(time&lt;20,(time*VLOOKUP(E64, list!$J$48:$K$50,2,))+(time-time),((MIN(20,time)*VLOOKUP(E64, list!$J$48:$K$50,2,))+(time-MIN(20,time))-IF(E64="Exponential",time-20+0.217*time*(EXP(4.606*(20-time)/time)-1),((time-20)^2)*(0.5/time)))))))),0)</f>
        <v>0</v>
      </c>
      <c r="AY33" s="3400">
        <f>IF(T33&lt;P33,(P33-T33)/20/10*1000*N2O_N_conversion/1000*((MIN($C64,F64)*MIN(20,time))+IF(G64="Immediate",IF(F64&gt;$C64,F64*MIN(20,time),0),IF($C64&gt;F64,($C64-F64)*IF(time&gt;20,IF(G64="Linear",time-((time-20)^2)/(2*time),(0.215*time)-(time/4.6)*(EXP(-92.1/time)-0.01)),time*(1-VLOOKUP(G64, list!$J$48:$K$50,2,))),(F64-$C64)*IF(time&gt;time+20,20,IF(time&lt;20,(time*VLOOKUP(G64, list!$J$48:$K$50,2,))+(time-time),((MIN(20,time)*VLOOKUP(G64, list!$J$48:$K$50,2,))+(time-MIN(20,time))-IF(G64="Exponential",time-20+0.217*time*(EXP(4.606*(20-time)/time)-1),((time-20)^2)*(0.5/time)))))))),0)</f>
        <v>0</v>
      </c>
    </row>
    <row r="34" spans="1:51" x14ac:dyDescent="0.2">
      <c r="B34" s="3272">
        <f>'3.Cropland'!C93</f>
        <v>0</v>
      </c>
      <c r="C34" s="875" t="str">
        <f>'3.Cropland'!$E93</f>
        <v>Please select</v>
      </c>
      <c r="D34" s="3745" t="str">
        <f>'3.Cropland'!$K93</f>
        <v>NO</v>
      </c>
      <c r="E34" s="3738">
        <f>IF('3.Cropland'!$BK93="", '3.Cropland'!$BJ93, '3.Cropland'!$BK93)</f>
        <v>1</v>
      </c>
      <c r="F34" s="3738">
        <f>IF('3.Cropland'!$BI93="", '3.Cropland'!$BH93, '3.Cropland'!$BI93)</f>
        <v>0</v>
      </c>
      <c r="G34" s="4032">
        <f>(IF(C34&lt;&gt;"Please select", INDEX(IPCC!$E$105:$T$298,MATCH(clim_moist_cont,IPCC!$C$105:$C$298,0),MATCH('3.Cropland'!$E93,IPCC!$E$105:$T$105,0))*(44/12), 0))</f>
        <v>0</v>
      </c>
      <c r="H34" s="3739">
        <f>IF('3.Cropland'!$AT93&lt;&gt;"", '3.Cropland'!$AT93*(44/12), '3.Cropland'!$AS93*(44/12))</f>
        <v>0</v>
      </c>
      <c r="I34" s="4032">
        <f>(IF('3.Cropland'!$E93&lt;&gt;"Please select",INDEX(IPCC!$E$308:$T$501,MATCH(clim_moist_cont,IPCC!$C$308:$C$501,0),MATCH('3.Cropland'!$E93,IPCC!$E$308:$T$308,0))*(44/12),0))</f>
        <v>0</v>
      </c>
      <c r="J34" s="3740">
        <f>IF('3.Cropland'!$AV93&lt;&gt;"", '3.Cropland'!$AV93*(44/12), '3.Cropland'!$AU93*(44/12))</f>
        <v>0</v>
      </c>
      <c r="K34" s="3741">
        <f t="shared" si="7"/>
        <v>0</v>
      </c>
      <c r="L34" s="4041">
        <f>IF(OR(C34="Please select",G34&lt;H34),0, INDEX(IPCC!$A$3235:$Q$3241,MATCH(climate,IPCC!$A$3235:$A$3241,0),MATCH(perennial!C34,IPCC!$A$3235:$Q$3235,0)))*44/12</f>
        <v>0</v>
      </c>
      <c r="M34" s="4044">
        <f>IF('3.Cropland'!$AX93&lt;&gt;"", '3.Cropland'!$AX93*44/12, L34)</f>
        <v>0</v>
      </c>
      <c r="N34" s="4044">
        <f t="shared" si="8"/>
        <v>0</v>
      </c>
      <c r="P34" s="3294">
        <f>IF('3.Cropland'!$E93&lt;&gt; "Please select", IF('3.Cropland'!$AZ93&lt;&gt;"", '3.Cropland'!$AZ93,'3.Cropland'!$AY93),0)</f>
        <v>0</v>
      </c>
      <c r="Q34" s="3290">
        <f>(IF('3.Cropland'!$E93&lt;&gt;"Please select",IF('3.Cropland'!$BC93&lt;&gt;"", '3.Cropland'!$BC93,VLOOKUP(clim_moist, IPCC!$A$57:$D$68, 4,FALSE)),0))</f>
        <v>0</v>
      </c>
      <c r="R34" s="3290">
        <f>_xlfn.IFNA(IF('3.Cropland'!$BE93&lt;&gt;"",'3.Cropland'!$BE93,INDEX(IPCC!$F$58:$H$68,MATCH(clim_moist, IPCC!$A$58:$A$68,0),MATCH('3.Cropland'!$G93, IPCC!$F$58:$H$58,0))),)</f>
        <v>0</v>
      </c>
      <c r="S34" s="3290">
        <f>_xlfn.IFNA(IF('3.Cropland'!$BG93&lt;&gt;"", '3.Cropland'!$BG93, INDEX(IPCC!$B$58:$L$68,MATCH(clim_moist,IPCC!$A$58:$A$68,0),MATCH('3.Cropland'!$I93,IPCC!$B$58:$L$58,0))),0)</f>
        <v>0</v>
      </c>
      <c r="T34" s="3290">
        <f t="shared" si="9"/>
        <v>0</v>
      </c>
      <c r="U34" s="3295">
        <f t="shared" si="10"/>
        <v>0</v>
      </c>
      <c r="V34" s="3291">
        <f t="shared" si="11"/>
        <v>0</v>
      </c>
      <c r="W34" s="3291">
        <f>IF($D34="YES", $F34*IPCC!$D$75,0)*IPCC!$B$89/$E34</f>
        <v>0</v>
      </c>
      <c r="X34" s="3291">
        <f>IF($D34="YES", $F34* IPCC!$E$75,0)*IPCC!$B$89/$E34</f>
        <v>0</v>
      </c>
      <c r="Y34" s="3291">
        <f t="shared" si="12"/>
        <v>0</v>
      </c>
      <c r="Z34" s="3292">
        <f>'3.Cropland'!$M93</f>
        <v>0</v>
      </c>
      <c r="AI34" s="3703"/>
      <c r="AJ34" s="3703"/>
      <c r="AK34" s="3703"/>
      <c r="AL34" s="3703"/>
      <c r="AP34" s="4449"/>
      <c r="AQ34" s="4449"/>
      <c r="AR34" s="4449"/>
      <c r="AS34" s="4449"/>
      <c r="AT34" s="4449"/>
      <c r="AU34" s="4449"/>
      <c r="AV34" s="3399">
        <f>(MIN(C65,D65)*time+ABS(D65-C65)*IF(D65&gt;C65,+time*(VLOOKUP(E65, list!$J$48:$K$50,2,)),time*(1-(VLOOKUP(E65, list!$J$48:$K$50,2,)))))*X34*Nitrous/1000</f>
        <v>0</v>
      </c>
      <c r="AW34" s="3399">
        <f>(($C65*time)+((F65-$C65))*(VLOOKUP(G65, list!$J$48:$K$50,2,)*time)+(F65*0))*X34*Nitrous/1000</f>
        <v>0</v>
      </c>
      <c r="AX34" s="3399">
        <f>IF(T34&lt;P34,(P34-T34)/20/10*1000*N2O_N_conversion/1000*((MIN($C65,D65)*MIN(20,time))+IF(E65="Immediate",IF(D65&gt;$C65,D65*MIN(20,time),0),IF($C65&gt;D65,($C65-D65)*IF(time&gt;20,IF(E65="Linear",time-((time-20)^2)/(2*time),(0.215*time)-(time/4.6)*(EXP(-92.1/time)-0.01)),time*(1-VLOOKUP(E65, list!$J$48:$K$50,2,))),(D65-$C65)*IF(time&gt;time+20,20,IF(time&lt;20,(time*VLOOKUP(E65, list!$J$48:$K$50,2,))+(time-time),((MIN(20,time)*VLOOKUP(E65, list!$J$48:$K$50,2,))+(time-MIN(20,time))-IF(E65="Exponential",time-20+0.217*time*(EXP(4.606*(20-time)/time)-1),((time-20)^2)*(0.5/time)))))))),0)</f>
        <v>0</v>
      </c>
      <c r="AY34" s="3400">
        <f>IF(T34&lt;P34,(P34-T34)/20/10*1000*N2O_N_conversion/1000*((MIN($C65,F65)*MIN(20,time))+IF(G65="Immediate",IF(F65&gt;$C65,F65*MIN(20,time),0),IF($C65&gt;F65,($C65-F65)*IF(time&gt;20,IF(G65="Linear",time-((time-20)^2)/(2*time),(0.215*time)-(time/4.6)*(EXP(-92.1/time)-0.01)),time*(1-VLOOKUP(G65, list!$J$48:$K$50,2,))),(F65-$C65)*IF(time&gt;time+20,20,IF(time&lt;20,(time*VLOOKUP(G65, list!$J$48:$K$50,2,))+(time-time),((MIN(20,time)*VLOOKUP(G65, list!$J$48:$K$50,2,))+(time-MIN(20,time))-IF(G65="Exponential",time-20+0.217*time*(EXP(4.606*(20-time)/time)-1),((time-20)^2)*(0.5/time)))))))),0)</f>
        <v>0</v>
      </c>
    </row>
    <row r="35" spans="1:51" x14ac:dyDescent="0.2">
      <c r="B35" s="3272">
        <f>'3.Cropland'!C94</f>
        <v>0</v>
      </c>
      <c r="C35" s="875" t="str">
        <f>'3.Cropland'!$E94</f>
        <v>Please select</v>
      </c>
      <c r="D35" s="3745" t="str">
        <f>'3.Cropland'!$K94</f>
        <v>NO</v>
      </c>
      <c r="E35" s="3738">
        <f>IF('3.Cropland'!$BK94="", '3.Cropland'!$BJ94, '3.Cropland'!$BK94)</f>
        <v>1</v>
      </c>
      <c r="F35" s="3738">
        <f>IF('3.Cropland'!$BI94="", '3.Cropland'!$BH94, '3.Cropland'!$BI94)</f>
        <v>0</v>
      </c>
      <c r="G35" s="4032">
        <f>(IF(C35&lt;&gt;"Please select", INDEX(IPCC!$E$105:$T$298,MATCH(clim_moist_cont,IPCC!$C$105:$C$298,0),MATCH('3.Cropland'!$E94,IPCC!$E$105:$T$105,0))*(44/12), 0))</f>
        <v>0</v>
      </c>
      <c r="H35" s="3739">
        <f>IF('3.Cropland'!$AT94&lt;&gt;"", '3.Cropland'!$AT94*(44/12), '3.Cropland'!$AS94*(44/12))</f>
        <v>0</v>
      </c>
      <c r="I35" s="4032">
        <f>(IF('3.Cropland'!$E94&lt;&gt;"Please select",INDEX(IPCC!$E$308:$T$501,MATCH(clim_moist_cont,IPCC!$C$308:$C$501,0),MATCH('3.Cropland'!$E94,IPCC!$E$308:$T$308,0))*(44/12),0))</f>
        <v>0</v>
      </c>
      <c r="J35" s="3740">
        <f>IF('3.Cropland'!$AV94&lt;&gt;"", '3.Cropland'!$AV94*(44/12), '3.Cropland'!$AU94*(44/12))</f>
        <v>0</v>
      </c>
      <c r="K35" s="3741">
        <f t="shared" si="7"/>
        <v>0</v>
      </c>
      <c r="L35" s="4041">
        <f>IF(OR(C35="Please select",G35&lt;H35),0, INDEX(IPCC!$A$3235:$Q$3241,MATCH(climate,IPCC!$A$3235:$A$3241,0),MATCH(perennial!C35,IPCC!$A$3235:$Q$3235,0)))*44/12</f>
        <v>0</v>
      </c>
      <c r="M35" s="4044">
        <f>IF('3.Cropland'!$AX94&lt;&gt;"", '3.Cropland'!$AX94*44/12, L35)</f>
        <v>0</v>
      </c>
      <c r="N35" s="4044">
        <f t="shared" si="8"/>
        <v>0</v>
      </c>
      <c r="P35" s="3294">
        <f>IF('3.Cropland'!$E94&lt;&gt; "Please select", IF('3.Cropland'!$AZ94&lt;&gt;"", '3.Cropland'!$AZ94,'3.Cropland'!$AY94),0)</f>
        <v>0</v>
      </c>
      <c r="Q35" s="3290">
        <f>(IF('3.Cropland'!$E94&lt;&gt;"Please select",IF('3.Cropland'!$BC94&lt;&gt;"", '3.Cropland'!$BC94,VLOOKUP(clim_moist, IPCC!$A$57:$D$68, 4,FALSE)),0))</f>
        <v>0</v>
      </c>
      <c r="R35" s="3290">
        <f>_xlfn.IFNA(IF('3.Cropland'!$BE94&lt;&gt;"",'3.Cropland'!$BE94,INDEX(IPCC!$F$58:$H$68,MATCH(clim_moist, IPCC!$A$58:$A$68,0),MATCH('3.Cropland'!$G94, IPCC!$F$58:$H$58,0))),)</f>
        <v>0</v>
      </c>
      <c r="S35" s="3290">
        <f>_xlfn.IFNA(IF('3.Cropland'!$BG94&lt;&gt;"", '3.Cropland'!$BG94, INDEX(IPCC!$B$58:$L$68,MATCH(clim_moist,IPCC!$A$58:$A$68,0),MATCH('3.Cropland'!$I94,IPCC!$B$58:$L$58,0))),0)</f>
        <v>0</v>
      </c>
      <c r="T35" s="3290">
        <f t="shared" si="9"/>
        <v>0</v>
      </c>
      <c r="U35" s="3295">
        <f t="shared" si="10"/>
        <v>0</v>
      </c>
      <c r="V35" s="3291">
        <f t="shared" si="11"/>
        <v>0</v>
      </c>
      <c r="W35" s="3291">
        <f>IF($D35="YES", $F35*IPCC!$D$75,0)*IPCC!$B$89/$E35</f>
        <v>0</v>
      </c>
      <c r="X35" s="3291">
        <f>IF($D35="YES", $F35* IPCC!$E$75,0)*IPCC!$B$89/$E35</f>
        <v>0</v>
      </c>
      <c r="Y35" s="3291">
        <f t="shared" si="12"/>
        <v>0</v>
      </c>
      <c r="Z35" s="3292">
        <f>'3.Cropland'!$M94</f>
        <v>0</v>
      </c>
      <c r="AI35" s="3703"/>
      <c r="AJ35" s="3703"/>
      <c r="AK35" s="3703"/>
      <c r="AL35" s="3703"/>
      <c r="AP35" s="4449"/>
      <c r="AQ35" s="4449"/>
      <c r="AR35" s="4449"/>
      <c r="AS35" s="4449"/>
      <c r="AT35" s="4449"/>
      <c r="AU35" s="4449"/>
      <c r="AV35" s="3399">
        <f>(MIN(C66,D66)*time+ABS(D66-C66)*IF(D66&gt;C66,+time*(VLOOKUP(E66, list!$J$48:$K$50,2,)),time*(1-(VLOOKUP(E66, list!$J$48:$K$50,2,)))))*X35*Nitrous/1000</f>
        <v>0</v>
      </c>
      <c r="AW35" s="3399">
        <f>(($C66*time)+((F66-$C66))*(VLOOKUP(G66, list!$J$48:$K$50,2,)*time)+(F66*0))*X35*Nitrous/1000</f>
        <v>0</v>
      </c>
      <c r="AX35" s="3399">
        <f>IF(T35&lt;P35,(P35-T35)/20/10*1000*N2O_N_conversion/1000*((MIN($C66,D66)*MIN(20,time))+IF(E66="Immediate",IF(D66&gt;$C66,D66*MIN(20,time),0),IF($C66&gt;D66,($C66-D66)*IF(time&gt;20,IF(E66="Linear",time-((time-20)^2)/(2*time),(0.215*time)-(time/4.6)*(EXP(-92.1/time)-0.01)),time*(1-VLOOKUP(E66, list!$J$48:$K$50,2,))),(D66-$C66)*IF(time&gt;time+20,20,IF(time&lt;20,(time*VLOOKUP(E66, list!$J$48:$K$50,2,))+(time-time),((MIN(20,time)*VLOOKUP(E66, list!$J$48:$K$50,2,))+(time-MIN(20,time))-IF(E66="Exponential",time-20+0.217*time*(EXP(4.606*(20-time)/time)-1),((time-20)^2)*(0.5/time)))))))),0)</f>
        <v>0</v>
      </c>
      <c r="AY35" s="3400">
        <f>IF(T35&lt;P35,(P35-T35)/20/10*1000*N2O_N_conversion/1000*((MIN($C66,F66)*MIN(20,time))+IF(G66="Immediate",IF(F66&gt;$C66,F66*MIN(20,time),0),IF($C66&gt;F66,($C66-F66)*IF(time&gt;20,IF(G66="Linear",time-((time-20)^2)/(2*time),(0.215*time)-(time/4.6)*(EXP(-92.1/time)-0.01)),time*(1-VLOOKUP(G66, list!$J$48:$K$50,2,))),(F66-$C66)*IF(time&gt;time+20,20,IF(time&lt;20,(time*VLOOKUP(G66, list!$J$48:$K$50,2,))+(time-time),((MIN(20,time)*VLOOKUP(G66, list!$J$48:$K$50,2,))+(time-MIN(20,time))-IF(G66="Exponential",time-20+0.217*time*(EXP(4.606*(20-time)/time)-1),((time-20)^2)*(0.5/time)))))))),0)</f>
        <v>0</v>
      </c>
    </row>
    <row r="36" spans="1:51" x14ac:dyDescent="0.2">
      <c r="Q36" s="179"/>
      <c r="R36" s="179"/>
      <c r="S36" s="179"/>
    </row>
    <row r="38" spans="1:51" x14ac:dyDescent="0.2">
      <c r="H38" s="388"/>
      <c r="I38" s="388"/>
      <c r="AA38" s="3218" t="s">
        <v>228</v>
      </c>
      <c r="AB38" s="3219" t="s">
        <v>218</v>
      </c>
      <c r="AC38" s="3219" t="s">
        <v>229</v>
      </c>
      <c r="AD38" s="3219" t="s">
        <v>230</v>
      </c>
    </row>
    <row r="39" spans="1:51" x14ac:dyDescent="0.2">
      <c r="B39" s="3619" t="s">
        <v>604</v>
      </c>
      <c r="C39" s="3619"/>
      <c r="D39" s="3619"/>
      <c r="E39" s="3619"/>
      <c r="F39" s="3619"/>
      <c r="G39" s="3619"/>
      <c r="H39" s="3619"/>
      <c r="I39" s="3619"/>
      <c r="J39" s="3619"/>
      <c r="K39" s="3619"/>
      <c r="L39" s="3619"/>
      <c r="M39" s="3619"/>
      <c r="N39" s="3619"/>
      <c r="O39" s="3619"/>
      <c r="P39" s="3619"/>
      <c r="Q39" s="3619"/>
      <c r="R39" s="3619"/>
      <c r="U39" s="3619" t="s">
        <v>605</v>
      </c>
      <c r="V39" s="3619"/>
      <c r="W39" s="3619"/>
      <c r="AA39" s="3220" t="s">
        <v>313</v>
      </c>
      <c r="AB39" s="3221">
        <f>SUM(I43:I66)-SUM(H43:H66)</f>
        <v>-1774.666666666667</v>
      </c>
      <c r="AC39" s="3222">
        <f>SUM(AQ12:AQ29)-SUM(AP12:AP29)</f>
        <v>532.39999999999986</v>
      </c>
      <c r="AD39" s="3223">
        <f t="shared" ref="AD39:AD44" si="13">AB39-AC39</f>
        <v>-2307.0666666666666</v>
      </c>
    </row>
    <row r="40" spans="1:51" ht="17" x14ac:dyDescent="0.25">
      <c r="B40" s="284"/>
      <c r="C40" s="811" t="s">
        <v>323</v>
      </c>
      <c r="D40" s="3749" t="s">
        <v>323</v>
      </c>
      <c r="E40" s="3528"/>
      <c r="F40" s="3750" t="s">
        <v>323</v>
      </c>
      <c r="G40" s="3528"/>
      <c r="H40" s="3751" t="s">
        <v>724</v>
      </c>
      <c r="I40" s="3752"/>
      <c r="J40" s="3753" t="s">
        <v>725</v>
      </c>
      <c r="K40" s="3754"/>
      <c r="L40" s="3755" t="s">
        <v>726</v>
      </c>
      <c r="M40" s="3756"/>
      <c r="N40" s="3756" t="s">
        <v>727</v>
      </c>
      <c r="O40" s="3756"/>
      <c r="P40" s="3751" t="s">
        <v>611</v>
      </c>
      <c r="Q40" s="3757"/>
      <c r="R40" s="811" t="s">
        <v>618</v>
      </c>
      <c r="U40" s="3626"/>
      <c r="V40" s="3626"/>
      <c r="W40" s="3626"/>
      <c r="AA40" s="3220" t="s">
        <v>315</v>
      </c>
      <c r="AB40" s="3224">
        <f>SUM(K43:K66)-SUM(J43:J66)</f>
        <v>1102.2422399999998</v>
      </c>
      <c r="AC40" s="3225">
        <f>SUM(AS12:AS29)-SUM(AR12:AR29)</f>
        <v>248.32684800000007</v>
      </c>
      <c r="AD40" s="3226">
        <f t="shared" si="13"/>
        <v>853.91539199999977</v>
      </c>
      <c r="AN40" s="3687" t="s">
        <v>728</v>
      </c>
      <c r="AO40" s="3688"/>
      <c r="AP40" s="3689"/>
    </row>
    <row r="41" spans="1:51" x14ac:dyDescent="0.2">
      <c r="B41" s="3459" t="s">
        <v>614</v>
      </c>
      <c r="C41" s="3263" t="s">
        <v>615</v>
      </c>
      <c r="D41" s="3264" t="s">
        <v>616</v>
      </c>
      <c r="E41" s="3180"/>
      <c r="F41" s="3265" t="s">
        <v>617</v>
      </c>
      <c r="G41" s="3182"/>
      <c r="H41" s="3623" t="s">
        <v>179</v>
      </c>
      <c r="I41" s="3523" t="s">
        <v>180</v>
      </c>
      <c r="J41" s="3623" t="s">
        <v>179</v>
      </c>
      <c r="K41" s="3523" t="s">
        <v>180</v>
      </c>
      <c r="L41" s="3623" t="s">
        <v>179</v>
      </c>
      <c r="M41" s="3523" t="s">
        <v>180</v>
      </c>
      <c r="N41" s="3623" t="s">
        <v>179</v>
      </c>
      <c r="O41" s="3523" t="s">
        <v>180</v>
      </c>
      <c r="P41" s="3623" t="s">
        <v>179</v>
      </c>
      <c r="Q41" s="3523" t="s">
        <v>180</v>
      </c>
      <c r="R41" s="3624"/>
      <c r="U41" s="3623" t="s">
        <v>179</v>
      </c>
      <c r="V41" s="3523" t="s">
        <v>180</v>
      </c>
      <c r="W41" s="3621" t="s">
        <v>618</v>
      </c>
      <c r="AA41" s="3220" t="s">
        <v>338</v>
      </c>
      <c r="AB41" s="3231">
        <f>SUM(O43:O66)-SUM(N43:N66)</f>
        <v>0</v>
      </c>
      <c r="AC41" s="3232">
        <f>SUM(AY12:AY29)-SUM(AX12:AX29)</f>
        <v>-0.9734207999999942</v>
      </c>
      <c r="AD41" s="3226">
        <f t="shared" si="13"/>
        <v>0.9734207999999942</v>
      </c>
      <c r="AO41" s="3690" t="s">
        <v>179</v>
      </c>
      <c r="AP41" s="3690" t="s">
        <v>180</v>
      </c>
    </row>
    <row r="42" spans="1:51" ht="17" x14ac:dyDescent="0.25">
      <c r="B42" s="3459" t="s">
        <v>622</v>
      </c>
      <c r="C42" s="3266" t="s">
        <v>223</v>
      </c>
      <c r="D42" s="3183" t="s">
        <v>224</v>
      </c>
      <c r="E42" s="3184" t="s">
        <v>225</v>
      </c>
      <c r="F42" s="3185" t="s">
        <v>224</v>
      </c>
      <c r="G42" s="3185" t="s">
        <v>225</v>
      </c>
      <c r="H42" s="3204" t="s">
        <v>623</v>
      </c>
      <c r="I42" s="2838" t="s">
        <v>623</v>
      </c>
      <c r="J42" s="3204" t="s">
        <v>623</v>
      </c>
      <c r="K42" s="2838" t="s">
        <v>623</v>
      </c>
      <c r="L42" s="3204" t="s">
        <v>623</v>
      </c>
      <c r="M42" s="2838" t="s">
        <v>623</v>
      </c>
      <c r="N42" s="3204" t="s">
        <v>623</v>
      </c>
      <c r="O42" s="2838" t="s">
        <v>623</v>
      </c>
      <c r="P42" s="3204" t="s">
        <v>623</v>
      </c>
      <c r="Q42" s="2838" t="s">
        <v>623</v>
      </c>
      <c r="R42" s="3624" t="s">
        <v>623</v>
      </c>
      <c r="U42" s="3623" t="s">
        <v>624</v>
      </c>
      <c r="V42" s="3523" t="s">
        <v>624</v>
      </c>
      <c r="W42" s="3621"/>
      <c r="AA42" s="3220" t="s">
        <v>161</v>
      </c>
      <c r="AB42" s="3224">
        <f>SUM(AJ12:AJ29)-SUM(AI12:AI29)</f>
        <v>0</v>
      </c>
      <c r="AC42" s="3225">
        <f>SUM(AU12:AU29)-SUM(AT12:AT29)</f>
        <v>0</v>
      </c>
      <c r="AD42" s="3226">
        <f t="shared" si="13"/>
        <v>0</v>
      </c>
      <c r="AN42" s="4006" t="s">
        <v>710</v>
      </c>
      <c r="AO42" s="3691">
        <f>IF(Y8&gt;0, L43/$Y8,0)/E12</f>
        <v>0</v>
      </c>
      <c r="AP42" s="3691">
        <f>IF(Y8&gt;0, M43/$Y8,0)/E12</f>
        <v>0</v>
      </c>
    </row>
    <row r="43" spans="1:51" x14ac:dyDescent="0.2">
      <c r="A43" s="720" t="s">
        <v>685</v>
      </c>
      <c r="B43" s="3186" t="s">
        <v>710</v>
      </c>
      <c r="C43" s="3701">
        <v>0</v>
      </c>
      <c r="D43" s="4072">
        <f>Matrix!$K$7</f>
        <v>0</v>
      </c>
      <c r="E43" s="4042" t="s">
        <v>625</v>
      </c>
      <c r="F43" s="4072">
        <f>Matrix!$K$24</f>
        <v>0</v>
      </c>
      <c r="G43" s="4042" t="s">
        <v>625</v>
      </c>
      <c r="H43" s="3257">
        <f>IF(AND(M12&lt;&gt;0, D43&lt;&gt;0), IF(AND(G12&gt;=H12,D43-C43&gt;=0),-1*MIN((MIN($K12*((MIN($C43,D43)*time_tot)),(M12+J12*N12)*MIN($C43,D43))+$K12*(ABS(D43-$C43)*(time*(VLOOKUP(E43,list!$J$48:$K$50,2,))+IF(D43-C43&lt;0,0,time_cap)))),(M12+J12*N12)*D43),-1*MIN($K12*((MIN($C43,D43)*time_tot)),((M12+J12*N12)*C43))+-1*MIN($K12*(ABS(D43-$C43)*(time*(VLOOKUP(E43,list!$J$48:$K$50,2,))+IF(D43-C43&lt;0,0,time_cap))), (M12+J12*N12)*D43)), -1*($K12*((MIN($C43,D43)*time_tot)))+-1*$K12*(ABS(D43-$C43)*(time*(1-VLOOKUP(E43,list!$J$48:$K$50,2,))+IF(D43-C43&lt;0,0,time_cap))))</f>
        <v>0</v>
      </c>
      <c r="I43" s="3257">
        <f>IF(AND(M12&lt;&gt;0, F43&lt;&gt;0), IF(AND(G12&gt;=H12,F43-C43&gt;=0),-1*MIN((MIN($K12*((MIN($C43,F43)*time_tot)),(M12+J12*N12)*MIN($C43,F43))+$K12*(ABS(F43-$C43)*(time*(VLOOKUP(G43,list!$J$48:$K$50,2,))+IF(F43-C43&lt;0,0,time_cap)))),((M12+J12*N12)*F43)),-1*MIN($K12*((MIN($C43,F43)*time_tot)),(M12+J12*N12)*C43)+-1*MIN($K12*(ABS(F43-$C43)*(time*(VLOOKUP(G43,list!$J$48:$K$50,2,))+IF(F43-C43&lt;0,0,time_cap))), (M12+J12*N12)*F43)), -1*($K12*((MIN($C43,F43)*time_tot)))+-1*$K12*(ABS(F43-$C43)*(time*(1-VLOOKUP(G43,list!$J$48:$K$50,2,))+IF(F43-C43&lt;0,0,time_cap))))</f>
        <v>0</v>
      </c>
      <c r="J43" s="3257">
        <f>IF(ABS($S8*((MIN($C43,D43)*MIN(20,time_tot))+IF(E43="Immediate",IF(D43&gt;$C43,(D43-$C43)*MIN(20,time_tot),0),IF($C43&gt;D43,($C43-D43)*IF(time&gt;20,IF(E43="Linear",time-((time-20)^2)/(2*time),(0.215*time)-(time/4.6)*(EXP(-92.1/time)-0.01)),time*(1-VLOOKUP(E43,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list!$J$48:$K$50,2,))+(time_tot-MIN(20,time))-IF(E43="Exponential",time_tot-20+0.217*time*(EXP(4.606*(20-time_tot)/time)-1),((time_tot-20)^2)*(0.5/time)))))))))&gt;=ABS(S8*20*MAX(C43,D43)), S8*20*MAX(C43,D43), $S8*((MIN($C43,D43)*MIN(20,time_tot))+IF(E43="Immediate",IF(D43&gt;$C43,(D43-$C43)*MIN(20,time_tot),0),IF($C43&gt;D43,($C43-D43)*IF(time&gt;20,IF(E43="Linear",time-((time-20)^2)/(2*time),(0.215*time)-(time/4.6)*(EXP(-92.1/time)-0.01)),time*(1-VLOOKUP(E43,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f>
        <v>0</v>
      </c>
      <c r="K43" s="3257">
        <f>IF(ABS($T8*((MIN($C43,F43)*MIN(20,time_tot))+IF(G43="Immediate",IF(F43&gt;$C43,(F43-$C43)*MIN(20,time_tot),0),IF($C43&gt;F43,($C43-F43)*IF(time&gt;20,IF(G43="Linear",time-((time-20)^2)/(2*time),(0.215*time)-(time/4.6)*(EXP(-92.1/time)-0.01)),time*(1-VLOOKUP(G43,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list!$J$48:$K$50,2,))+(time_tot-MIN(20,time))-IF(G43="Exponential",time_tot-20+0.217*time*(EXP(4.606*(20-time_tot)/time)-1),((time_tot-20)^2)*(0.5/time)))))))))&gt;=ABS(T8*20*MAX(F43,C43)),T8*20*MAX(F43,C43), $T8*((MIN($C43,F43)*MIN(20,time_tot))+IF(G43="Immediate",IF(F43&gt;$C43,(F43-$C43)*MIN(20,time_tot),0),IF($C43&gt;F43,($C43-F43)*IF(time&gt;20,IF(G43="Linear",time-((time-20)^2)/(2*time),(0.215*time)-(time/4.6)*(EXP(-92.1/time)-0.01)),time*(1-VLOOKUP(G43,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f>
        <v>0</v>
      </c>
      <c r="L43" s="3258">
        <f>(MIN(C43,D43)*time_tot+ABS(D43-C43)*IF(D43&gt;C43,time_cap+time*(VLOOKUP(E43, list!$J$48:$K$50,2,)),time*(1-(VLOOKUP(E43, list!$J$48:$K$50,2,)))))*$Y8</f>
        <v>0</v>
      </c>
      <c r="M43" s="3258">
        <f>(MIN(C43,F43)*time_tot+ABS(F43-C43)*IF(F43&gt;C43, time_cap+time*(VLOOKUP(G43,  list!$J$48:$K$50,2,)),time*(1-(VLOOKUP(G43, list!$J$48:$K$50,2,)))))*$Y8</f>
        <v>0</v>
      </c>
      <c r="N43" s="3258">
        <f>IF(Q8&lt;P8,(P8-Q8)/20/10*1000*N2O_N_conversion/1000*((MIN($C43,D43)*MIN(20,time_tot))+IF(E43="Immediate",IF(D43&gt;$C43,(D43-$C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list!$J$48:$K$50,2,))+(time_tot-MIN(20,time))-IF(E43="Exponential",time_tot-20+0.217*time*(EXP(4.606*(20-time_tot)/time)-1),((time_tot-20)^2)*(0.5/time)))))))),0)</f>
        <v>0</v>
      </c>
      <c r="O43" s="3258">
        <f>IF(R8&lt;P8,(P8-R8)/20/10*1000*N2O_N_conversion/1000*((MIN($C43,F43)*MIN(20,time_tot))+IF(G43="Immediate",IF(F43&gt;$C43,(F43-$C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list!$J$48:$K$50,2,))+(time_tot-MIN(20,time))-IF(G43="Exponential",time_tot-20+0.217*time*(EXP(4.606*(20-time_tot)/time)-1),((time_tot-20)^2)*(0.5/time)))))))),0)</f>
        <v>0</v>
      </c>
      <c r="P43" s="3258">
        <f>$H43+$J43+$L43+N43</f>
        <v>0</v>
      </c>
      <c r="Q43" s="3258">
        <f>$I43+$K43+$M43+O43</f>
        <v>0</v>
      </c>
      <c r="R43" s="3258">
        <f>IF(AND(OR('3.Cropland'!G56="Please select",'3.Cropland'!I56="Please select", '3.Cropland'!K56="Please select" ), OR('3.Cropland'!T56&lt;&gt;0,'3.Cropland'!R56&lt;&gt;0,'3.Cropland'!Q56&lt;&gt;0)), "MISSING DATA",Q43-P43)</f>
        <v>0</v>
      </c>
      <c r="U43" s="3706">
        <f>$Z8*(time*((ABS(D43-C43)*(IF(C43&lt;=D43,VLOOKUP(E43, list!$J$48:$K$50,2,),1-VLOOKUP(E43, list!$J$48:$K$50,2,))))+MIN(D43,C43))+(D43*time_cap))</f>
        <v>0</v>
      </c>
      <c r="V43" s="3630">
        <f>$Z8*(time*((ABS(F43-C43)*(IF(C43&lt;=F43,VLOOKUP(G43, list!$J$48:$K$50,2,),1-VLOOKUP(G43, list!$J$48:$K$50,2,))))+MIN(F43,C43))+(F43*time_cap))</f>
        <v>0</v>
      </c>
      <c r="W43" s="3645">
        <f>V43-U43</f>
        <v>0</v>
      </c>
      <c r="AA43" s="3220" t="s">
        <v>162</v>
      </c>
      <c r="AB43" s="3227">
        <f>SUM(AL12:AL29)-SUM(AK12:AK29)</f>
        <v>0</v>
      </c>
      <c r="AC43" s="3228">
        <f>SUM(AW12:AW29)-SUM(AV12:AV29)</f>
        <v>0</v>
      </c>
      <c r="AD43" s="3229">
        <f t="shared" si="13"/>
        <v>0</v>
      </c>
      <c r="AN43" s="4007" t="s">
        <v>713</v>
      </c>
      <c r="AO43" s="3692">
        <f>IF(Y9&gt;0, L44/$Y9,0)/E13</f>
        <v>0</v>
      </c>
      <c r="AP43" s="3692">
        <f>IF(Y9&gt;0, M44/$Y9,0)/E13</f>
        <v>0</v>
      </c>
    </row>
    <row r="44" spans="1:51" x14ac:dyDescent="0.2">
      <c r="A44" s="701" t="s">
        <v>712</v>
      </c>
      <c r="B44" s="3457" t="s">
        <v>713</v>
      </c>
      <c r="C44" s="4071">
        <f>SUM(Matrix!$I$9,Matrix!$I$26)</f>
        <v>0</v>
      </c>
      <c r="D44" s="4071">
        <f>SUM(Matrix!$I$9,Matrix!$I$26)-Matrix!$I$9</f>
        <v>0</v>
      </c>
      <c r="E44" s="3634" t="s">
        <v>625</v>
      </c>
      <c r="F44" s="4071">
        <f>SUM(Matrix!$I$9,Matrix!$I$26)-Matrix!$I$26</f>
        <v>0</v>
      </c>
      <c r="G44" s="3634" t="s">
        <v>625</v>
      </c>
      <c r="H44" s="3631">
        <f>IF(AND(M13&lt;&gt;0, D44&lt;&gt;0), IF(AND(G13&gt;=H13,D44-C44&gt;=0),-1*MIN((MIN($K13*((MIN($C44,D44)*time_tot)),(M13+J13*N13)*MIN($C44,D44))+$K13*(ABS(D44-$C44)*(time*(VLOOKUP(E44,list!$J$48:$K$50,2,))+IF(D44-C44&lt;0,0,time_cap)))),(M13+J13*N13)*D44),-1*MIN($K13*((MIN($C44,D44)*time_tot)),((M13+J13*N13)*C44))+-1*MIN($K13*(ABS(D44-$C44)*(time*(VLOOKUP(E44,list!$J$48:$K$50,2,))+IF(D44-C44&lt;0,0,time_cap))), (M13+J13*N13)*D44)), -1*($K13*((MIN($C44,D44)*time_tot)))+-1*$K13*(ABS(D44-$C44)*(time*(1-VLOOKUP(E44,list!$J$48:$K$50,2,))+IF(D44-C44&lt;0,0,time_cap))))</f>
        <v>0</v>
      </c>
      <c r="I44" s="3631">
        <f>IF(AND(M13&lt;&gt;0, F44&lt;&gt;0), IF(AND(G13&gt;=H13,F44-C44&gt;=0),-1*MIN((MIN($K13*((MIN($C44,F44)*time_tot)),(M13+J13*N13)*MIN($C44,F44))+$K13*(ABS(F44-$C44)*(time*(VLOOKUP(G44,list!$J$48:$K$50,2,))+IF(F44-C44&lt;0,0,time_cap)))),((M13+J13*N13)*F44)),-1*MIN($K13*((MIN($C44,F44)*time_tot)),(M13+J13*N13)*C44)+-1*MIN($K13*(ABS(F44-$C44)*(time*(VLOOKUP(G44,list!$J$48:$K$50,2,))+IF(F44-C44&lt;0,0,time_cap))), (M13+J13*N13)*F44)), -1*($K13*((MIN($C44,F44)*time_tot)))+-1*$K13*(ABS(F44-$C44)*(time*(1-VLOOKUP(G44,list!$J$48:$K$50,2,))+IF(F44-C44&lt;0,0,time_cap))))</f>
        <v>0</v>
      </c>
      <c r="J44" s="3631">
        <f>IF(ABS($S9*((MIN($C44,D44)*MIN(20,time_tot))+IF(E44="Immediate",IF(D44&gt;$C44,(D44-$C44)*MIN(20,time_tot),0),IF($C44&gt;D44,($C44-D44)*IF(time&gt;20,IF(E44="Linear",time-((time-20)^2)/(2*time),(0.215*time)-(time/4.6)*(EXP(-92.1/time)-0.01)),time*(1-VLOOKUP(E44, list!$J$48:$K$50,2,))),(D44-$C44)*IF(time_tot&gt;time+20,20,IF(time_tot&lt;20,(time*VLOOKUP(E44, list!$J$48:$K$50,2,))+(time_tot-time),((MIN(20,time)*VLOOKUP(E44, list!$J$48:$K$50,2,))+(time_tot-MIN(20,time))-IF(E44="Exponential",time_tot-20+0.217*time*(EXP(4.606*(20-time_tot)/time)-1),((time_tot-20)^2)*(0.5/time)))))))))&gt;=ABS(S9*20*MAX(C44,D44)), S9*20*MAX(C44,D44), $S9*((MIN($C44,D44)*MIN(20,time_tot))+IF(E44="Immediate",IF(D44&gt;$C44,(D44-$C44)*MIN(20,time_tot),0),IF($C44&gt;D44,($C44-D44)*IF(time&gt;20,IF(E44="Linear",time-((time-20)^2)/(2*time),(0.215*time)-(time/4.6)*(EXP(-92.1/time)-0.01)),time*(1-VLOOKUP(E44, list!$J$48:$K$50,2,))),(D44-$C44)*IF(time_tot&gt;time+20,20,IF(time_tot&lt;20,(time*VLOOKUP(E44, list!$J$48:$K$50,2,))+(time_tot-time),((MIN(20,time)*VLOOKUP(E44, list!$J$48:$K$50,2,))+(time_tot-MIN(20,time))-IF(E44="Exponential",time_tot-20+0.217*time*(EXP(4.606*(20-time_tot)/time)-1),((time_tot-20)^2)*(0.5/time)))))))))</f>
        <v>0</v>
      </c>
      <c r="K44" s="3631">
        <f>IF(ABS($T9*((MIN($C44,F44)*MIN(20,time_tot))+IF(G44="Immediate",IF(F44&gt;$C44,(F44-$C44)*MIN(20,time_tot),0),IF($C44&gt;F44,($C44-F44)*IF(time&gt;20,IF(G44="Linear",time-((time-20)^2)/(2*time),(0.215*time)-(time/4.6)*(EXP(-92.1/time)-0.01)),time*(1-VLOOKUP(G44, list!$J$48:$K$50,2,))),(F44-$C44)*IF(time_tot&gt;time+20,20,IF(time_tot&lt;20,(time*VLOOKUP(G44, list!$J$48:$K$50,2,))+(time_tot-time),((MIN(20,time)*VLOOKUP(G44, list!$J$48:$K$50,2,))+(time_tot-MIN(20,time))-IF(G44="Exponential",time_tot-20+0.217*time*(EXP(4.606*(20-time_tot)/time)-1),((time_tot-20)^2)*(0.5/time)))))))))&gt;=ABS(T9*20*MAX(F44,C44)),T9*20*MAX(F44,C44), $T9*((MIN($C44,F44)*MIN(20,time_tot))+IF(G44="Immediate",IF(F44&gt;$C44,(F44-$C44)*MIN(20,time_tot),0),IF($C44&gt;F44,($C44-F44)*IF(time&gt;20,IF(G44="Linear",time-((time-20)^2)/(2*time),(0.215*time)-(time/4.6)*(EXP(-92.1/time)-0.01)),time*(1-VLOOKUP(G44, list!$J$48:$K$50,2,))),(F44-$C44)*IF(time_tot&gt;time+20,20,IF(time_tot&lt;20,(time*VLOOKUP(G44, list!$J$48:$K$50,2,))+(time_tot-time),((MIN(20,time)*VLOOKUP(G44, list!$J$48:$K$50,2,))+(time_tot-MIN(20,time))-IF(G44="Exponential",time_tot-20+0.217*time*(EXP(4.606*(20-time_tot)/time)-1),((time_tot-20)^2)*(0.5/time)))))))))</f>
        <v>0</v>
      </c>
      <c r="L44" s="3631">
        <f>(MIN(C44,D44)*time_tot+ABS(D44-C44)*IF(D44&gt;C44,time_cap+time*(VLOOKUP(E44, list!$J$48:$K$50,2,)),time*(1-(VLOOKUP(E44, list!$J$48:$K$50,2,)))))*$Y9</f>
        <v>0</v>
      </c>
      <c r="M44" s="3631">
        <f>(MIN(C44,F44)*time_tot+ABS(F44-C44)*IF(F44&gt;C44, time_cap+time*(VLOOKUP(G44,  list!$J$48:$K$50,2,)),time*(1-(VLOOKUP(G44, list!$J$48:$K$50,2,)))))*$Y9</f>
        <v>0</v>
      </c>
      <c r="N44" s="3631">
        <f>IF(Q9&lt;P9,(P9-Q9)/20/10*1000*N2O_N_conversion/1000*((MIN($C44,D44)*MIN(20,time_tot))+IF(E44="Immediate",IF(D44&gt;$C44,(D44-$C44)*MIN(20,time_tot),0),IF($C44&gt;D44,($C44-D44)*IF(time&gt;20,IF(E44="Linear",time-((time-20)^2)/(2*time),(0.215*time)-(time/4.6)*(EXP(-92.1/time)-0.01)),time*(1-VLOOKUP(E44, list!$J$48:$K$50,2,))),(D44-$C44)*IF(time_tot&gt;time+20,20,IF(time_tot&lt;20,(time*VLOOKUP(E44, list!$J$48:$K$50,2,))+(time_tot-time),((MIN(20,time)*VLOOKUP(E44, list!$J$48:$K$50,2,))+(time_tot-MIN(20,time))-IF(E44="Exponential",time_tot-20+0.217*time*(EXP(4.606*(20-time_tot)/time)-1),((time_tot-20)^2)*(0.5/time)))))))),0)</f>
        <v>0</v>
      </c>
      <c r="O44" s="3631">
        <f>IF(R9&lt;P9,(P9-R9)/20/10*1000*N2O_N_conversion/1000*((MIN($C44,F44)*MIN(20,time_tot))+IF(G44="Immediate",IF(F44&gt;$C44,(F44-$C44)*MIN(20,time_tot),0),IF($C44&gt;F44,($C44-F44)*IF(time&gt;20,IF(G44="Linear",time-((time-20)^2)/(2*time),(0.215*time)-(time/4.6)*(EXP(-92.1/time)-0.01)),time*(1-VLOOKUP(G44, list!$J$48:$K$50,2,))),(F44-$C44)*IF(time_tot&gt;time+20,20,IF(time_tot&lt;20,(time*VLOOKUP(G44, list!$J$48:$K$50,2,))+(time_tot-time),((MIN(20,time)*VLOOKUP(G44, list!$J$48:$K$50,2,))+(time_tot-MIN(20,time))-IF(G44="Exponential",time_tot-20+0.217*time*(EXP(4.606*(20-time_tot)/time)-1),((time_tot-20)^2)*(0.5/time)))))))),0)</f>
        <v>0</v>
      </c>
      <c r="P44" s="3631">
        <f t="shared" ref="P44:P60" si="14">$H44+$J44+$L44+N44</f>
        <v>0</v>
      </c>
      <c r="Q44" s="3631">
        <f t="shared" ref="Q44:Q60" si="15">$I44+$K44+$M44+O44</f>
        <v>0</v>
      </c>
      <c r="R44" s="3631">
        <f>IF(AND(OR('3.Cropland'!G57="Please select",'3.Cropland'!I57="Please select", '3.Cropland'!K57="Please select" ), OR('3.Cropland'!T57&lt;&gt;0,'3.Cropland'!R57&lt;&gt;0,'3.Cropland'!Q57&lt;&gt;0)), "MISSING DATA",Q44-P44)</f>
        <v>0</v>
      </c>
      <c r="U44" s="3632">
        <f>$Z9*(time*((ABS(D44-C44)*(IF(C44&lt;=D44,VLOOKUP(E44, list!$J$48:$K$50,2,),1-VLOOKUP(E44, list!$J$48:$K$50,2,))))+MIN(D44,C44))+(D44*time_cap))</f>
        <v>0</v>
      </c>
      <c r="V44" s="3631">
        <f>$Z9*(time*((ABS(F44-C44)*(IF(C44&lt;=F44,VLOOKUP(G44, list!$J$48:$K$50,2,),1-VLOOKUP(G44, list!$J$48:$K$50,2,))))+MIN(F44,C44))+(F44*time_cap))</f>
        <v>0</v>
      </c>
      <c r="W44" s="3633">
        <f>V44-U44</f>
        <v>0</v>
      </c>
      <c r="AA44" s="3217" t="s">
        <v>235</v>
      </c>
      <c r="AB44" s="3230">
        <f>SUM(AB39:AB43)</f>
        <v>-672.42442666666716</v>
      </c>
      <c r="AC44" s="3230">
        <f>SUM(AC39:AC43)</f>
        <v>779.75342719999992</v>
      </c>
      <c r="AD44" s="3230">
        <f t="shared" si="13"/>
        <v>-1452.1778538666672</v>
      </c>
      <c r="AN44" s="4008" t="s">
        <v>719</v>
      </c>
      <c r="AO44" s="3693">
        <f>IF(Y10&gt;0, L45/$Y10,0)/E14</f>
        <v>0</v>
      </c>
      <c r="AP44" s="3693">
        <f>IF(Y10&gt;0, M45/$Y10,0)/E14</f>
        <v>0</v>
      </c>
    </row>
    <row r="45" spans="1:51" x14ac:dyDescent="0.2">
      <c r="A45" s="787" t="s">
        <v>719</v>
      </c>
      <c r="B45" s="3622" t="s">
        <v>720</v>
      </c>
      <c r="C45" s="3190">
        <v>0</v>
      </c>
      <c r="D45" s="3190">
        <f>SUM(Matrix!$AX$16,Matrix!$BR$16,Matrix!$CC$16,Matrix!$CN$16,Matrix!$CY$16,Matrix!$DJ$16)</f>
        <v>0</v>
      </c>
      <c r="E45" s="3190" t="s">
        <v>625</v>
      </c>
      <c r="F45" s="3190">
        <f>SUM(Matrix!$AX$34,Matrix!$BR$34,Matrix!$CC$34,Matrix!CN34,Matrix!$CY$34,Matrix!$DJ$34)</f>
        <v>0</v>
      </c>
      <c r="G45" s="3190" t="s">
        <v>625</v>
      </c>
      <c r="H45" s="3241">
        <f>IF(AND(M14&lt;&gt;0, D45&lt;&gt;0), IF(AND(G14&gt;=H14,D45-C45&gt;=0),-1*MIN((MIN($K14*((MIN($C45,D45)*time_tot)),(M14+J14*N14)*MIN($C45,D45))+$K14*(ABS(D45-$C45)*(time*(VLOOKUP(E45,list!$J$48:$K$50,2,))+IF(D45-C45&lt;0,0,time_cap)))),(M14+J14*N14)*D45),-1*MIN($K14*((MIN($C45,D45)*time_tot)),((M14+J14*N14)*C45))+-1*MIN($K14*(ABS(D45-$C45)*(time*(VLOOKUP(E45,list!$J$48:$K$50,2,))+IF(D45-C45&lt;0,0,time_cap))), (M14+J14*N14)*D45)), -1*($K14*((MIN($C45,D45)*time_tot)))+-1*$K14*(ABS(D45-$C45)*(time*(1-VLOOKUP(E45,list!$J$48:$K$50,2,))+IF(D45-C45&lt;0,0,time_cap))))</f>
        <v>0</v>
      </c>
      <c r="I45" s="3241">
        <f>IF(AND(M14&lt;&gt;0, F45&lt;&gt;0), IF(AND(G14&gt;=H14,F45-C45&gt;=0),-1*MIN((MIN($K14*((MIN($C45,F45)*time_tot)),(M14+J14*N14)*MIN($C45,F45))+$K14*(ABS(F45-$C45)*(time*(VLOOKUP(G45,list!$J$48:$K$50,2,))+IF(F45-C45&lt;0,0,time_cap)))),((M14+J14*N14)*F45)),-1*MIN($K14*((MIN($C45,F45)*time_tot)),(M14+J14*N14)*C45)+-1*MIN($K14*(ABS(F45-$C45)*(time*(VLOOKUP(G45,list!$J$48:$K$50,2,))+IF(F45-C45&lt;0,0,time_cap))), (M14+J14*N14)*F45)), -1*($K14*((MIN($C45,F45)*time_tot)))+-1*$K14*(ABS(F45-$C45)*(time*(1-VLOOKUP(G45,list!$J$48:$K$50,2,))+IF(F45-C45&lt;0,0,time_cap))))</f>
        <v>0</v>
      </c>
      <c r="J45" s="3241">
        <f>IF(ABS($S10*((MIN($C45,D45)*MIN(20,time_tot))+IF(E45="Immediate",IF(D45&gt;$C45,(D45-$C45)*MIN(20,time_tot),0),IF($C45&gt;D45,($C45-D45)*IF(time&gt;20,IF(E45="Linear",time-((time-20)^2)/(2*time),(0.215*time)-(time/4.6)*(EXP(-92.1/time)-0.01)),time*(1-VLOOKUP(E45, list!$J$48:$K$50,2,))),(D45-$C45)*IF(time_tot&gt;time+20,20,IF(time_tot&lt;20,(time*VLOOKUP(E45, list!$J$48:$K$50,2,))+(time_tot-time),((MIN(20,time)*VLOOKUP(E45, list!$J$48:$K$50,2,))+(time_tot-MIN(20,time))-IF(E45="Exponential",time_tot-20+0.217*time*(EXP(4.606*(20-time_tot)/time)-1),((time_tot-20)^2)*(0.5/time)))))))))&gt;=ABS(S10*20*MAX(C45,D45)), S10*20*MAX(C45,D45), $S10*((MIN($C45,D45)*MIN(20,time_tot))+IF(E45="Immediate",IF(D45&gt;$C45,(D45-$C45)*MIN(20,time_tot),0),IF($C45&gt;D45,($C45-D45)*IF(time&gt;20,IF(E45="Linear",time-((time-20)^2)/(2*time),(0.215*time)-(time/4.6)*(EXP(-92.1/time)-0.01)),time*(1-VLOOKUP(E45, list!$J$48:$K$50,2,))),(D45-$C45)*IF(time_tot&gt;time+20,20,IF(time_tot&lt;20,(time*VLOOKUP(E45, list!$J$48:$K$50,2,))+(time_tot-time),((MIN(20,time)*VLOOKUP(E45, list!$J$48:$K$50,2,))+(time_tot-MIN(20,time))-IF(E45="Exponential",time_tot-20+0.217*time*(EXP(4.606*(20-time_tot)/time)-1),((time_tot-20)^2)*(0.5/time)))))))))</f>
        <v>0</v>
      </c>
      <c r="K45" s="3241">
        <f>IF(ABS($T10*((MIN($C45,F45)*MIN(20,time_tot))+IF(G45="Immediate",IF(F45&gt;$C45,(F45-$C45)*MIN(20,time_tot),0),IF($C45&gt;F45,($C45-F45)*IF(time&gt;20,IF(G45="Linear",time-((time-20)^2)/(2*time),(0.215*time)-(time/4.6)*(EXP(-92.1/time)-0.01)),time*(1-VLOOKUP(G45, list!$J$48:$K$50,2,))),(F45-$C45)*IF(time_tot&gt;time+20,20,IF(time_tot&lt;20,(time*VLOOKUP(G45, list!$J$48:$K$50,2,))+(time_tot-time),((MIN(20,time)*VLOOKUP(G45, list!$J$48:$K$50,2,))+(time_tot-MIN(20,time))-IF(G45="Exponential",time_tot-20+0.217*time*(EXP(4.606*(20-time_tot)/time)-1),((time_tot-20)^2)*(0.5/time)))))))))&gt;=ABS(T10*20*MAX(F45,C45)),T10*20*MAX(F45,C45), $T10*((MIN($C45,F45)*MIN(20,time_tot))+IF(G45="Immediate",IF(F45&gt;$C45,(F45-$C45)*MIN(20,time_tot),0),IF($C45&gt;F45,($C45-F45)*IF(time&gt;20,IF(G45="Linear",time-((time-20)^2)/(2*time),(0.215*time)-(time/4.6)*(EXP(-92.1/time)-0.01)),time*(1-VLOOKUP(G45, list!$J$48:$K$50,2,))),(F45-$C45)*IF(time_tot&gt;time+20,20,IF(time_tot&lt;20,(time*VLOOKUP(G45, list!$J$48:$K$50,2,))+(time_tot-time),((MIN(20,time)*VLOOKUP(G45, list!$J$48:$K$50,2,))+(time_tot-MIN(20,time))-IF(G45="Exponential",time_tot-20+0.217*time*(EXP(4.606*(20-time_tot)/time)-1),((time_tot-20)^2)*(0.5/time)))))))))</f>
        <v>0</v>
      </c>
      <c r="L45" s="3241">
        <f>(MIN(C45,D45)*time_tot+ABS(D45-C45)*IF(D45&gt;C45,time_cap+time*(VLOOKUP(E45, list!$J$48:$K$50,2,)),time*(1-(VLOOKUP(E45, list!$J$48:$K$50,2,)))))*$Y10</f>
        <v>0</v>
      </c>
      <c r="M45" s="3241">
        <f>(MIN(C45,F45)*time_tot+ABS(F45-C45)*IF(F45&gt;C45, time_cap+time*(VLOOKUP(G45,  list!$J$48:$K$50,2,)),time*(1-(VLOOKUP(G45, list!$J$48:$K$50,2,)))))*$Y10</f>
        <v>0</v>
      </c>
      <c r="N45" s="3241">
        <f>IF(Q10&lt;P10,(P10-Q10)/20/10*1000*N2O_N_conversion/1000*((MIN($C45,D45)*MIN(20,time_tot))+IF(E45="Immediate",IF(D45&gt;$C45,(D45-$C45)*MIN(20,time_tot),0),IF($C45&gt;D45,($C45-D45)*IF(time&gt;20,IF(E45="Linear",time-((time-20)^2)/(2*time),(0.215*time)-(time/4.6)*(EXP(-92.1/time)-0.01)),time*(1-VLOOKUP(E45, list!$J$48:$K$50,2,))),(D45-$C45)*IF(time_tot&gt;time+20,20,IF(time_tot&lt;20,(time*VLOOKUP(E45, list!$J$48:$K$50,2,))+(time_tot-time),((MIN(20,time)*VLOOKUP(E45, list!$J$48:$K$50,2,))+(time_tot-MIN(20,time))-IF(E45="Exponential",time_tot-20+0.217*time*(EXP(4.606*(20-time_tot)/time)-1),((time_tot-20)^2)*(0.5/time)))))))),0)</f>
        <v>0</v>
      </c>
      <c r="O45" s="3241">
        <f>IF(R10&lt;P10,(P10-R10)/20/10*1000*N2O_N_conversion/1000*((MIN($C45,F45)*MIN(20,time_tot))+IF(G45="Immediate",IF(F45&gt;$C45,(F45-$C45)*MIN(20,time_tot),0),IF($C45&gt;F45,($C45-F45)*IF(time&gt;20,IF(G45="Linear",time-((time-20)^2)/(2*time),(0.215*time)-(time/4.6)*(EXP(-92.1/time)-0.01)),time*(1-VLOOKUP(G45, list!$J$48:$K$50,2,))),(F45-$C45)*IF(time_tot&gt;time+20,20,IF(time_tot&lt;20,(time*VLOOKUP(G45, list!$J$48:$K$50,2,))+(time_tot-time),((MIN(20,time)*VLOOKUP(G45, list!$J$48:$K$50,2,))+(time_tot-MIN(20,time))-IF(G45="Exponential",time_tot-20+0.217*time*(EXP(4.606*(20-time_tot)/time)-1),((time_tot-20)^2)*(0.5/time)))))))),0)</f>
        <v>0</v>
      </c>
      <c r="P45" s="3241">
        <f t="shared" si="14"/>
        <v>0</v>
      </c>
      <c r="Q45" s="3241">
        <f t="shared" si="15"/>
        <v>0</v>
      </c>
      <c r="R45" s="3241">
        <f>IF(AND(OR('3.Cropland'!G58="Please select",'3.Cropland'!I58="Please select", '3.Cropland'!K58="Please select" ), OR('3.Cropland'!T58&lt;&gt;0,'3.Cropland'!R58&lt;&gt;0,'3.Cropland'!Q58&lt;&gt;0)), "MISSING DATA",Q45-P45)</f>
        <v>0</v>
      </c>
      <c r="U45" s="3707">
        <f>$Z10*(time*((ABS(D45-C45)*(IF(C45&lt;=D45,VLOOKUP(E45, list!$J$48:$K$50,2,),1-VLOOKUP(E45, list!$J$48:$K$50,2,))))+MIN(D45,C45))+(D45*time_cap))</f>
        <v>0</v>
      </c>
      <c r="V45" s="3255">
        <f>$Z10*(time*((ABS(F45-C45)*(IF(C45&lt;=F45,VLOOKUP(G45, list!$J$48:$K$50,2,),1-VLOOKUP(G45, list!$J$48:$K$50,2,))))+MIN(F45,C45))+(F45*time_cap))</f>
        <v>0</v>
      </c>
      <c r="W45" s="3708">
        <f>V45-U45</f>
        <v>0</v>
      </c>
      <c r="AN45" s="4009" t="s">
        <v>729</v>
      </c>
      <c r="AO45" s="3695">
        <f>IF(Y11&gt;0, L46/$Y11,0)/E15</f>
        <v>0</v>
      </c>
      <c r="AP45" s="3695">
        <f>IF(Y11&gt;0, M46/$Y11,0)/E15</f>
        <v>0</v>
      </c>
    </row>
    <row r="46" spans="1:51" x14ac:dyDescent="0.2">
      <c r="B46" s="3747" t="s">
        <v>721</v>
      </c>
      <c r="C46" s="3748">
        <f>MAX(SUM(Matrix!$BD$16:$BI$16),SUM(Matrix!$BD$34:$BI$34))</f>
        <v>0</v>
      </c>
      <c r="D46" s="3748">
        <f>MAX(SUM(Matrix!$BD$16:$BI$16),SUM(Matrix!$BD$34:$BI$34))-SUM(Matrix!$BD$16:$BI$16)</f>
        <v>0</v>
      </c>
      <c r="E46" s="3748" t="s">
        <v>625</v>
      </c>
      <c r="F46" s="3748">
        <f>MAX(SUM(Matrix!$BD$16:$BI$16),SUM(Matrix!$BD$34:$BI$34))-SUM(Matrix!$BD$34:$BI$34)</f>
        <v>0</v>
      </c>
      <c r="G46" s="3748" t="s">
        <v>625</v>
      </c>
      <c r="H46" s="3625">
        <f>IF(AND(M15&lt;&gt;0, D46&lt;&gt;0), IF(AND(G15&gt;=H15,D46-C46&gt;=0),-1*MIN((MIN($K15*((MIN($C46,D46)*time_tot)),(M15+J15*N15)*MIN($C46,D46))+$K15*(ABS(D46-$C46)*(time*(VLOOKUP(E46,list!$J$48:$K$50,2,))+IF(D46-C46&lt;0,0,time_cap)))),(M15+J15*N15)*D46),-1*MIN($K15*((MIN($C46,D46)*time_tot)),((M15+J15*N15)*C46))+-1*MIN($K15*(ABS(D46-$C46)*(time*(VLOOKUP(E46,list!$J$48:$K$50,2,))+IF(D46-C46&lt;0,0,time_cap))), (M15+J15*N15)*D46)), -1*($K15*((MIN($C46,D46)*time_tot)))+-1*$K15*(ABS(D46-$C46)*(time*(1-VLOOKUP(E46,list!$J$48:$K$50,2,))+IF(D46-C46&lt;0,0,time_cap))))</f>
        <v>0</v>
      </c>
      <c r="I46" s="3625">
        <f>IF(AND(M15&lt;&gt;0, F46&lt;&gt;0), IF(AND(G15&gt;=H15,F46-C46&gt;=0),-1*MIN((MIN($K15*((MIN($C46,F46)*time_tot)),(M15+J15*N15)*MIN($C46,F46))+$K15*(ABS(F46-$C46)*(time*(VLOOKUP(G46,list!$J$48:$K$50,2,))+IF(F46-C46&lt;0,0,time_cap)))),((M15+J15*N15)*F46)),-1*MIN($K15*((MIN($C46,F46)*time_tot)),(M15+J15*N15)*C46)+-1*MIN($K15*(ABS(F46-$C46)*(time*(VLOOKUP(G46,list!$J$48:$K$50,2,))+IF(F46-C46&lt;0,0,time_cap))), (M15+J15*N15)*F46)), -1*($K15*((MIN($C46,F46)*time_tot)))+-1*$K15*(ABS(F46-$C46)*(time*(1-VLOOKUP(G46,list!$J$48:$K$50,2,))+IF(F46-C46&lt;0,0,time_cap))))</f>
        <v>0</v>
      </c>
      <c r="J46" s="3625">
        <f>IF(ABS($S11*((MIN($C46,D46)*MIN(20,time_tot))+IF(E46="Immediate",IF(D46&gt;$C46,(D46-$C46)*MIN(20,time_tot),0),IF($C46&gt;D46,($C46-D46)*IF(time&gt;20,IF(E46="Linear",time-((time-20)^2)/(2*time),(0.215*time)-(time/4.6)*(EXP(-92.1/time)-0.01)),time*(1-VLOOKUP(E46, list!$J$48:$K$50,2,))),(D46-$C46)*IF(time_tot&gt;time+20,20,IF(time_tot&lt;20,(time*VLOOKUP(E46, list!$J$48:$K$50,2,))+(time_tot-time),((MIN(20,time)*VLOOKUP(E46, list!$J$48:$K$50,2,))+(time_tot-MIN(20,time))-IF(E46="Exponential",time_tot-20+0.217*time*(EXP(4.606*(20-time_tot)/time)-1),((time_tot-20)^2)*(0.5/time)))))))))&gt;=ABS(S11*20*MAX(C46,D46)), S11*20*MAX(C46,D46), $S11*((MIN($C46,D46)*MIN(20,time_tot))+IF(E46="Immediate",IF(D46&gt;$C46,(D46-$C46)*MIN(20,time_tot),0),IF($C46&gt;D46,($C46-D46)*IF(time&gt;20,IF(E46="Linear",time-((time-20)^2)/(2*time),(0.215*time)-(time/4.6)*(EXP(-92.1/time)-0.01)),time*(1-VLOOKUP(E46, list!$J$48:$K$50,2,))),(D46-$C46)*IF(time_tot&gt;time+20,20,IF(time_tot&lt;20,(time*VLOOKUP(E46, list!$J$48:$K$50,2,))+(time_tot-time),((MIN(20,time)*VLOOKUP(E46, list!$J$48:$K$50,2,))+(time_tot-MIN(20,time))-IF(E46="Exponential",time_tot-20+0.217*time*(EXP(4.606*(20-time_tot)/time)-1),((time_tot-20)^2)*(0.5/time)))))))))</f>
        <v>0</v>
      </c>
      <c r="K46" s="3625">
        <f>IF(ABS($T11*((MIN($C46,F46)*MIN(20,time_tot))+IF(G46="Immediate",IF(F46&gt;$C46,(F46-$C46)*MIN(20,time_tot),0),IF($C46&gt;F46,($C46-F46)*IF(time&gt;20,IF(G46="Linear",time-((time-20)^2)/(2*time),(0.215*time)-(time/4.6)*(EXP(-92.1/time)-0.01)),time*(1-VLOOKUP(G46, list!$J$48:$K$50,2,))),(F46-$C46)*IF(time_tot&gt;time+20,20,IF(time_tot&lt;20,(time*VLOOKUP(G46, list!$J$48:$K$50,2,))+(time_tot-time),((MIN(20,time)*VLOOKUP(G46, list!$J$48:$K$50,2,))+(time_tot-MIN(20,time))-IF(G46="Exponential",time_tot-20+0.217*time*(EXP(4.606*(20-time_tot)/time)-1),((time_tot-20)^2)*(0.5/time)))))))))&gt;=ABS(T11*20*MAX(F46,C46)),T11*20*MAX(F46,C46), $T11*((MIN($C46,F46)*MIN(20,time_tot))+IF(G46="Immediate",IF(F46&gt;$C46,(F46-$C46)*MIN(20,time_tot),0),IF($C46&gt;F46,($C46-F46)*IF(time&gt;20,IF(G46="Linear",time-((time-20)^2)/(2*time),(0.215*time)-(time/4.6)*(EXP(-92.1/time)-0.01)),time*(1-VLOOKUP(G46, list!$J$48:$K$50,2,))),(F46-$C46)*IF(time_tot&gt;time+20,20,IF(time_tot&lt;20,(time*VLOOKUP(G46, list!$J$48:$K$50,2,))+(time_tot-time),((MIN(20,time)*VLOOKUP(G46, list!$J$48:$K$50,2,))+(time_tot-MIN(20,time))-IF(G46="Exponential",time_tot-20+0.217*time*(EXP(4.606*(20-time_tot)/time)-1),((time_tot-20)^2)*(0.5/time)))))))))</f>
        <v>0</v>
      </c>
      <c r="L46" s="3625">
        <f>(MIN(C46,D46)*time_tot+ABS(D46-C46)*IF(D46&gt;C46,time_cap+time*(VLOOKUP(E46, list!$J$48:$K$50,2,)),time*(1-(VLOOKUP(E46, list!$J$48:$K$50,2,)))))*$Y11</f>
        <v>0</v>
      </c>
      <c r="M46" s="3625">
        <f>(MIN(C46,F46)*time_tot+ABS(F46-C46)*IF(F46&gt;C46, time_cap+time*(VLOOKUP(G46,  list!$J$48:$K$50,2,)),time*(1-(VLOOKUP(G46, list!$J$48:$K$50,2,)))))*$Y11</f>
        <v>0</v>
      </c>
      <c r="N46" s="3625">
        <f>IF(Q11&lt;P11,(P11-Q11)/20/10*1000*N2O_N_conversion/1000*((MIN($C46,D46)*MIN(20,time_tot))+IF(E46="Immediate",IF(D46&gt;$C46,(D46-$C46)*MIN(20,time_tot),0),IF($C46&gt;D46,($C46-D46)*IF(time&gt;20,IF(E46="Linear",time-((time-20)^2)/(2*time),(0.215*time)-(time/4.6)*(EXP(-92.1/time)-0.01)),time*(1-VLOOKUP(E46, list!$J$48:$K$50,2,))),(D46-$C46)*IF(time_tot&gt;time+20,20,IF(time_tot&lt;20,(time*VLOOKUP(E46, list!$J$48:$K$50,2,))+(time_tot-time),((MIN(20,time)*VLOOKUP(E46, list!$J$48:$K$50,2,))+(time_tot-MIN(20,time))-IF(E46="Exponential",time_tot-20+0.217*time*(EXP(4.606*(20-time_tot)/time)-1),((time_tot-20)^2)*(0.5/time)))))))),0)</f>
        <v>0</v>
      </c>
      <c r="O46" s="3625">
        <f>IF(R11&lt;P11,(P11-R11)/20/10*1000*N2O_N_conversion/1000*((MIN($C46,F46)*MIN(20,time_tot))+IF(G46="Immediate",IF(F46&gt;$C46,(F46-$C46)*MIN(20,time_tot),0),IF($C46&gt;F46,($C46-F46)*IF(time&gt;20,IF(G46="Linear",time-((time-20)^2)/(2*time),(0.215*time)-(time/4.6)*(EXP(-92.1/time)-0.01)),time*(1-VLOOKUP(G46, list!$J$48:$K$50,2,))),(F46-$C46)*IF(time_tot&gt;time+20,20,IF(time_tot&lt;20,(time*VLOOKUP(G46, list!$J$48:$K$50,2,))+(time_tot-time),((MIN(20,time)*VLOOKUP(G46, list!$J$48:$K$50,2,))+(time_tot-MIN(20,time))-IF(G46="Exponential",time_tot-20+0.217*time*(EXP(4.606*(20-time_tot)/time)-1),((time_tot-20)^2)*(0.5/time)))))))),0)</f>
        <v>0</v>
      </c>
      <c r="P46" s="3625">
        <f t="shared" si="14"/>
        <v>0</v>
      </c>
      <c r="Q46" s="3625">
        <f t="shared" si="15"/>
        <v>0</v>
      </c>
      <c r="R46" s="3625">
        <f>IF(AND(OR('3.Cropland'!G59="Please select",'3.Cropland'!I59="Please select", '3.Cropland'!K59="Please select" ), OR('3.Cropland'!T59&lt;&gt;0,'3.Cropland'!R59&lt;&gt;0,'3.Cropland'!Q59&lt;&gt;0)), "MISSING DATA",Q46-P46)</f>
        <v>0</v>
      </c>
      <c r="U46" s="3655">
        <f>$Z11*(time*((ABS(D46-C46)*(IF(C46&lt;=D46,VLOOKUP(E46, list!$J$48:$K$50,2,),1-VLOOKUP(E46, list!$J$48:$K$50,2,))))+MIN(D46,C46))+(D46*time_cap))</f>
        <v>0</v>
      </c>
      <c r="V46" s="3640">
        <f>$Z11*(time*((ABS(F46-C46)*(IF(C46&lt;=F46,VLOOKUP(G46, list!$J$48:$K$50,2,),1-VLOOKUP(G46, list!$J$48:$K$50,2,))))+MIN(F46,C46))+(F46*time_cap))</f>
        <v>0</v>
      </c>
      <c r="W46" s="3656">
        <f>V46-U46</f>
        <v>0</v>
      </c>
      <c r="AO46" s="235">
        <f>IF(Y16&gt;0, L47/$Y16,0)/E16</f>
        <v>0</v>
      </c>
      <c r="AP46" s="235">
        <f>IF(Y16&gt;0, M47/$Y16,0)/E16</f>
        <v>0</v>
      </c>
    </row>
    <row r="47" spans="1:51" x14ac:dyDescent="0.2">
      <c r="B47" s="4451">
        <f t="shared" ref="B47:B60" si="16">B16</f>
        <v>0</v>
      </c>
      <c r="C47" s="4452">
        <f>'3.Cropland'!Q67</f>
        <v>0</v>
      </c>
      <c r="D47" s="4452">
        <f>'3.Cropland'!R67</f>
        <v>0</v>
      </c>
      <c r="E47" s="4452" t="str">
        <f>VLOOKUP('3.Cropland'!S67, list!$I$48:$J$50, 2, FALSE)</f>
        <v>Linear</v>
      </c>
      <c r="F47" s="4452">
        <f>'3.Cropland'!T67</f>
        <v>0</v>
      </c>
      <c r="G47" s="4452" t="str">
        <f>VLOOKUP('3.Cropland'!U67, list!$I$48:$J$50, 2, FALSE)</f>
        <v>Linear</v>
      </c>
      <c r="H47" s="4453">
        <f t="shared" ref="H47:H58" si="17">IF(AND(M16&lt;&gt;0, G16&gt;=H16),-1*MIN(($K16*(D47)*time_tot),((M16+J16*N16)*D47)),-1*($K16*D47*time_tot))</f>
        <v>0</v>
      </c>
      <c r="I47" s="4453">
        <f t="shared" ref="I47:I58" si="18">IF(AND(M16&lt;&gt;0, G16&gt;=H16),-1*MIN(($K16*(F47)*time_tot),((M16+J16*N16)*F47)),-1*($K16*F47*time_tot))</f>
        <v>0</v>
      </c>
      <c r="J47" s="4453">
        <f>IF(ABS(-$V16*((MIN($C47,D47)*MIN(20,time_tot))+IF(E47="Immediate",IF(D47&gt;$C47,(D47-$C47)*MIN(20,time_tot),0),IF($C47&gt;D47,($C47-D47)*IF(time&gt;20,IF(E47="Linear",time-((time-20)^2)/(2*time),(0.215*time)-(time/4.6)*(EXP(-92.1/time)-0.01)),time*(1-VLOOKUP(E47, list!$J$48:$K$50,2,))),(D47-$C47)*IF(time_tot&gt;time+20,20,IF(time_tot&lt;20,(time*VLOOKUP(E47, list!$J$48:$K$50,2,))+(time_tot-time),((MIN(20,time)*VLOOKUP(E47, list!$J$48:$K$50,2,))+(time_tot-MIN(20,time))-IF(E47="Exponential",time_tot-20+0.217*time*(EXP(4.606*(20-time_tot)/time)-1),((time_tot-20)^2)*(0.5/time)))))))))&gt;=ABS(U16*MAX(C47,D47)),-U16*MAX(C47,D47),-$V16*((MIN($C47,D47)*MIN(20,time_tot))+IF(E47="Immediate",IF(D47&gt;$C47,(D47-$C47)*MIN(20,time_tot),0),IF($C47&gt;D47,($C47-D47)*IF(time&gt;20,IF(E47="Linear",time-((time-20)^2)/(2*time),(0.215*time)-(time/4.6)*(EXP(-92.1/time)-0.01)),time*(1-VLOOKUP(E47, list!$J$48:$K$50,2,))),(D47-$C47)*IF(time_tot&gt;time+20,20,IF(time_tot&lt;20,(time*VLOOKUP(E47, list!$J$48:$K$50,2,))+(time_tot-time),((MIN(20,time)*VLOOKUP(E47, list!$J$48:$K$50,2,))+(time_tot-MIN(20,time))-IF(E47="Exponential",time_tot-20+0.217*time*(EXP(4.606*(20-time_tot)/time)-1),((time_tot-20)^2)*(0.5/time)))))))))</f>
        <v>0</v>
      </c>
      <c r="K47" s="4453">
        <f>IF(ABS(-$V16*((MIN($C47,F47)*MIN(20,time_tot))+IF(G47="Immediate",IF(F47&gt;$C47,(F47-$C47)*MIN(20,time_tot),0),IF($C47&gt;F47,($C47-F47)*IF(time&gt;20,IF(G47="Linear",time-((time-20)^2)/(2*time),(0.215*time)-(time/4.6)*(EXP(-92.1/time)-0.01)),time*(1-VLOOKUP(G47, list!$J$48:$K$50,2,))),(F47-$C47)*IF(time_tot&gt;time+20,20,IF(time_tot&lt;20,(time*VLOOKUP(G47, list!$J$48:$K$50,2,))+(time_tot-time),((MIN(20,time)*VLOOKUP(G47, list!$J$48:$K$50,2,))+(time_tot-MIN(20,time))-IF(G47="Exponential",time_tot-20+0.217*time*(EXP(4.606*(20-time_tot)/time)-1),((time_tot-20)^2)*(0.5/time)))))))))&gt;=ABS(U16*MAX(F47,C47)),-U16*MAX(F47,C47), -$V16*((MIN($C47,F47)*MIN(20,time_tot))+IF(G47="Immediate",IF(F47&gt;$C47,(F47-$C47)*MIN(20,time_tot),0),IF($C47&gt;F47,($C47-F47)*IF(time&gt;20,IF(G47="Linear",time-((time-20)^2)/(2*time),(0.215*time)-(time/4.6)*(EXP(-92.1/time)-0.01)),time*(1-VLOOKUP(G47, list!$J$48:$K$50,2,))),(F47-$C47)*IF(time_tot&gt;time+20,20,IF(time_tot&lt;20,(time*VLOOKUP(G47, list!$J$48:$K$50,2,))+(time_tot-time),((MIN(20,time)*VLOOKUP(G47, list!$J$48:$K$50,2,))+(time_tot-MIN(20,time))-IF(G47="Exponential",time_tot-20+0.217*time*(EXP(4.606*(20-time_tot)/time)-1),((time_tot-20)^2)*(0.5/time)))))))))</f>
        <v>0</v>
      </c>
      <c r="L47" s="4453">
        <f>(MIN(C47,D47)*time_tot+ABS(D47-C47)*IF(D47&gt;C47,time_cap+time*(VLOOKUP(E47, list!$J$48:$K$50,2,)),time*(1-(VLOOKUP(E47, list!$J$48:$K$50,2,)))))*$Y16</f>
        <v>0</v>
      </c>
      <c r="M47" s="4453">
        <f>(MIN(C47,F47)*time_tot+ABS(F47-C47)*IF(F47&gt;C47, time_cap+time*(VLOOKUP(G47,  list!$J$48:$K$50,2,)),time*(1-(VLOOKUP(G47, list!$J$48:$K$50,2,)))))*$Y16</f>
        <v>0</v>
      </c>
      <c r="N47" s="4453">
        <f>IF(T16&lt;P16*Q16,(P16*Q16-T16)/20/10*1000*N2O_N_conversion/1000*((MIN($C47,D47)*MIN(20,time_tot))+IF(E47="Immediate",IF(D47&gt;$C47,(D47-$C47)*MIN(20,time_tot),0),IF($C47&gt;D47,($C47-D47)*IF(time&gt;20,IF(E47="Linear",time-((time-20)^2)/(2*time),(0.215*time)-(time/4.6)*(EXP(-92.1/time)-0.01)),time*(1-VLOOKUP(E47, list!$J$48:$K$50,2,))),(D47-$C47)*IF(time_tot&gt;time+20,20,IF(time_tot&lt;20,(time*VLOOKUP(E47, list!$J$48:$K$50,2,))+(time_tot-time),((MIN(20,time)*VLOOKUP(E47, list!$J$48:$K$50,2,))+(time_tot-MIN(20,time))-IF(E47="Exponential",time_tot-20+0.217*time*(EXP(4.606*(20-time_tot)/time)-1),((time_tot-20)^2)*(0.5/time)))))))),0)</f>
        <v>0</v>
      </c>
      <c r="O47" s="4453">
        <f>IF(T16&lt;P16*Q16,(P16*Q16-T16)/20/10*1000*N2O_N_conversion/1000*((MIN($C47,F47)*MIN(20,time_tot))+IF(G47="Immediate",IF(F47&gt;$C47,(F47-$C47)*MIN(20,time_tot),0),IF($C47&gt;F47,($C47-F47)*IF(time&gt;20,IF(G47="Linear",time-((time-20)^2)/(2*time),(0.215*time)-(time/4.6)*(EXP(-92.1/time)-0.01)),time*(1-VLOOKUP(G47, list!$J$48:$K$50,2,))),(F47-$C47)*IF(time_tot&gt;time+20,20,IF(time_tot&lt;20,(time*VLOOKUP(G47, list!$J$48:$K$50,2,))+(time_tot-time),((MIN(20,time)*VLOOKUP(G47, list!$J$48:$K$50,2,))+(time_tot-MIN(20,time))-IF(G47="Exponential",time_tot-20+0.217*time*(EXP(4.606*(20-time_tot)/time)-1),((time_tot-20)^2)*(0.5/time)))))))),0)</f>
        <v>0</v>
      </c>
      <c r="P47" s="4453">
        <f t="shared" si="14"/>
        <v>0</v>
      </c>
      <c r="Q47" s="4453">
        <f t="shared" si="15"/>
        <v>0</v>
      </c>
      <c r="R47" s="4454">
        <f>Q47-P47</f>
        <v>0</v>
      </c>
      <c r="S47" s="388"/>
      <c r="U47" s="4469">
        <f>$Z16*(time*((ABS(D47-C47)*(IF(C47&lt;=D47,VLOOKUP(E47, list!$J$48:$K$50,2,),1-VLOOKUP(E47, list!$J$48:$K$50,2,))))+MIN(D47,C47))+(D47*time_cap))</f>
        <v>0</v>
      </c>
      <c r="V47" s="4470">
        <f>$Z16*(time*((ABS(F47-C47)*(IF(C47&lt;=F47,VLOOKUP(G47, list!$J$48:$K$50,2,),1-VLOOKUP(G47, list!$J$48:$K$50,2,))))+MIN(F47,C47))+(F47*time_cap))</f>
        <v>0</v>
      </c>
      <c r="W47" s="4471">
        <f>V47-U47</f>
        <v>0</v>
      </c>
      <c r="AA47" s="3218" t="s">
        <v>228</v>
      </c>
      <c r="AB47" s="3219" t="s">
        <v>179</v>
      </c>
      <c r="AC47" s="3219" t="s">
        <v>180</v>
      </c>
      <c r="AO47" s="235">
        <f>IF(Y18&gt;0, L49/$Y18,0)/E18</f>
        <v>0</v>
      </c>
      <c r="AP47" s="235">
        <f>IF(Y18&gt;0, M49/$Y18,0)/E18</f>
        <v>0</v>
      </c>
    </row>
    <row r="48" spans="1:51" x14ac:dyDescent="0.2">
      <c r="B48" s="4451">
        <f t="shared" si="16"/>
        <v>0</v>
      </c>
      <c r="C48" s="4452">
        <f>'3.Cropland'!Q68</f>
        <v>0</v>
      </c>
      <c r="D48" s="4452">
        <f>'3.Cropland'!R68</f>
        <v>0</v>
      </c>
      <c r="E48" s="4452" t="str">
        <f>VLOOKUP('3.Cropland'!S68, list!$I$48:$J$50, 2, FALSE)</f>
        <v>Linear</v>
      </c>
      <c r="F48" s="4452">
        <f>'3.Cropland'!T68</f>
        <v>0</v>
      </c>
      <c r="G48" s="4452" t="str">
        <f>VLOOKUP('3.Cropland'!U68, list!$I$48:$J$50, 2, FALSE)</f>
        <v>Linear</v>
      </c>
      <c r="H48" s="4453">
        <f t="shared" si="17"/>
        <v>0</v>
      </c>
      <c r="I48" s="4453">
        <f t="shared" si="18"/>
        <v>0</v>
      </c>
      <c r="J48" s="4453">
        <f>IF(ABS(-$V17*((MIN($C48,D48)*MIN(20,time_tot))+IF(E48="Immediate",IF(D48&gt;$C48,(D48-$C48)*MIN(20,time_tot),0),IF($C48&gt;D48,($C48-D48)*IF(time&gt;20,IF(E48="Linear",time-((time-20)^2)/(2*time),(0.215*time)-(time/4.6)*(EXP(-92.1/time)-0.01)),time*(1-VLOOKUP(E48, list!$J$48:$K$50,2,))),(D48-$C48)*IF(time_tot&gt;time+20,20,IF(time_tot&lt;20,(time*VLOOKUP(E48, list!$J$48:$K$50,2,))+(time_tot-time),((MIN(20,time)*VLOOKUP(E48, list!$J$48:$K$50,2,))+(time_tot-MIN(20,time))-IF(E48="Exponential",time_tot-20+0.217*time*(EXP(4.606*(20-time_tot)/time)-1),((time_tot-20)^2)*(0.5/time)))))))))&gt;=ABS(U17*MAX(C48,D48)),-U17*MAX(C48,D48),-$V17*((MIN($C48,D48)*MIN(20,time_tot))+IF(E48="Immediate",IF(D48&gt;$C48,(D48-$C48)*MIN(20,time_tot),0),IF($C48&gt;D48,($C48-D48)*IF(time&gt;20,IF(E48="Linear",time-((time-20)^2)/(2*time),(0.215*time)-(time/4.6)*(EXP(-92.1/time)-0.01)),time*(1-VLOOKUP(E48, list!$J$48:$K$50,2,))),(D48-$C48)*IF(time_tot&gt;time+20,20,IF(time_tot&lt;20,(time*VLOOKUP(E48, list!$J$48:$K$50,2,))+(time_tot-time),((MIN(20,time)*VLOOKUP(E48, list!$J$48:$K$50,2,))+(time_tot-MIN(20,time))-IF(E48="Exponential",time_tot-20+0.217*time*(EXP(4.606*(20-time_tot)/time)-1),((time_tot-20)^2)*(0.5/time)))))))))</f>
        <v>0</v>
      </c>
      <c r="K48" s="4453">
        <f>IF(ABS(-$V17*((MIN($C48,F48)*MIN(20,time_tot))+IF(G48="Immediate",IF(F48&gt;$C48,(F48-$C48)*MIN(20,time_tot),0),IF($C48&gt;F48,($C48-F48)*IF(time&gt;20,IF(G48="Linear",time-((time-20)^2)/(2*time),(0.215*time)-(time/4.6)*(EXP(-92.1/time)-0.01)),time*(1-VLOOKUP(G48, list!$J$48:$K$50,2,))),(F48-$C48)*IF(time_tot&gt;time+20,20,IF(time_tot&lt;20,(time*VLOOKUP(G48, list!$J$48:$K$50,2,))+(time_tot-time),((MIN(20,time)*VLOOKUP(G48, list!$J$48:$K$50,2,))+(time_tot-MIN(20,time))-IF(G48="Exponential",time_tot-20+0.217*time*(EXP(4.606*(20-time_tot)/time)-1),((time_tot-20)^2)*(0.5/time)))))))))&gt;=ABS(U17*MAX(F48,C48)),-U17*MAX(F48,C48), -$V17*((MIN($C48,F48)*MIN(20,time_tot))+IF(G48="Immediate",IF(F48&gt;$C48,(F48-$C48)*MIN(20,time_tot),0),IF($C48&gt;F48,($C48-F48)*IF(time&gt;20,IF(G48="Linear",time-((time-20)^2)/(2*time),(0.215*time)-(time/4.6)*(EXP(-92.1/time)-0.01)),time*(1-VLOOKUP(G48, list!$J$48:$K$50,2,))),(F48-$C48)*IF(time_tot&gt;time+20,20,IF(time_tot&lt;20,(time*VLOOKUP(G48, list!$J$48:$K$50,2,))+(time_tot-time),((MIN(20,time)*VLOOKUP(G48, list!$J$48:$K$50,2,))+(time_tot-MIN(20,time))-IF(G48="Exponential",time_tot-20+0.217*time*(EXP(4.606*(20-time_tot)/time)-1),((time_tot-20)^2)*(0.5/time)))))))))</f>
        <v>0</v>
      </c>
      <c r="L48" s="4453">
        <f>(MIN(C48,D48)*time_tot+ABS(D48-C48)*IF(D48&gt;C48,time_cap+time*(VLOOKUP(E48, list!$J$48:$K$50,2,)),time*(1-(VLOOKUP(E48, list!$J$48:$K$50,2,)))))*$Y17</f>
        <v>0</v>
      </c>
      <c r="M48" s="4453">
        <f>(MIN(C48,F48)*time_tot+ABS(F48-C48)*IF(F48&gt;C48, time_cap+time*(VLOOKUP(G48,  list!$J$48:$K$50,2,)),time*(1-(VLOOKUP(G48, list!$J$48:$K$50,2,)))))*$Y17</f>
        <v>0</v>
      </c>
      <c r="N48" s="4453">
        <f>IF(T17&lt;P17*Q17,(P17*Q17-T17)/20/10*1000*N2O_N_conversion/1000*((MIN($C48,D48)*MIN(20,time_tot))+IF(E48="Immediate",IF(D48&gt;$C48,(D48-$C48)*MIN(20,time_tot),0),IF($C48&gt;D48,($C48-D48)*IF(time&gt;20,IF(E48="Linear",time-((time-20)^2)/(2*time),(0.215*time)-(time/4.6)*(EXP(-92.1/time)-0.01)),time*(1-VLOOKUP(E48, list!$J$48:$K$50,2,))),(D48-$C48)*IF(time_tot&gt;time+20,20,IF(time_tot&lt;20,(time*VLOOKUP(E48, list!$J$48:$K$50,2,))+(time_tot-time),((MIN(20,time)*VLOOKUP(E48, list!$J$48:$K$50,2,))+(time_tot-MIN(20,time))-IF(E48="Exponential",time_tot-20+0.217*time*(EXP(4.606*(20-time_tot)/time)-1),((time_tot-20)^2)*(0.5/time)))))))),0)</f>
        <v>0</v>
      </c>
      <c r="O48" s="4453">
        <f>IF(T17&lt;P17*Q17,(P17*Q17-T17)/20/10*1000*N2O_N_conversion/1000*((MIN($C48,F48)*MIN(20,time_tot))+IF(G48="Immediate",IF(F48&gt;$C48,(F48-$C48)*MIN(20,time_tot),0),IF($C48&gt;F48,($C48-F48)*IF(time&gt;20,IF(G48="Linear",time-((time-20)^2)/(2*time),(0.215*time)-(time/4.6)*(EXP(-92.1/time)-0.01)),time*(1-VLOOKUP(G48, list!$J$48:$K$50,2,))),(F48-$C48)*IF(time_tot&gt;time+20,20,IF(time_tot&lt;20,(time*VLOOKUP(G48, list!$J$48:$K$50,2,))+(time_tot-time),((MIN(20,time)*VLOOKUP(G48, list!$J$48:$K$50,2,))+(time_tot-MIN(20,time))-IF(G48="Exponential",time_tot-20+0.217*time*(EXP(4.606*(20-time_tot)/time)-1),((time_tot-20)^2)*(0.5/time)))))))),0)</f>
        <v>0</v>
      </c>
      <c r="P48" s="4453">
        <f>$H48+$J48+$L48+N48</f>
        <v>0</v>
      </c>
      <c r="Q48" s="4453">
        <f>$I48+$K48+$M48+O48</f>
        <v>0</v>
      </c>
      <c r="R48" s="4454">
        <f>Q48-P48</f>
        <v>0</v>
      </c>
      <c r="U48" s="4469"/>
      <c r="V48" s="4470"/>
      <c r="W48" s="4471"/>
      <c r="AA48" s="3220"/>
      <c r="AB48" s="4482"/>
      <c r="AC48" s="4482"/>
      <c r="AO48" s="235"/>
      <c r="AP48" s="235"/>
    </row>
    <row r="49" spans="2:42" x14ac:dyDescent="0.2">
      <c r="B49" s="4451">
        <f t="shared" si="16"/>
        <v>0</v>
      </c>
      <c r="C49" s="4452">
        <f>'3.Cropland'!Q69</f>
        <v>0</v>
      </c>
      <c r="D49" s="4452">
        <f>'3.Cropland'!R69</f>
        <v>0</v>
      </c>
      <c r="E49" s="4452" t="str">
        <f>VLOOKUP('3.Cropland'!S69, list!$I$48:$J$50, 2, FALSE)</f>
        <v>Linear</v>
      </c>
      <c r="F49" s="4452">
        <f>'3.Cropland'!T69</f>
        <v>0</v>
      </c>
      <c r="G49" s="4452" t="str">
        <f>VLOOKUP('3.Cropland'!U69, list!$I$48:$J$50, 2, FALSE)</f>
        <v>Linear</v>
      </c>
      <c r="H49" s="4453">
        <f t="shared" si="17"/>
        <v>0</v>
      </c>
      <c r="I49" s="4453">
        <f t="shared" si="18"/>
        <v>0</v>
      </c>
      <c r="J49" s="4453">
        <f>IF(ABS(-$V18*((MIN($C49,D49)*MIN(20,time_tot))+IF(E49="Immediate",IF(D49&gt;$C49,(D49-$C49)*MIN(20,time_tot),0),IF($C49&gt;D49,($C49-D49)*IF(time&gt;20,IF(E49="Linear",time-((time-20)^2)/(2*time),(0.215*time)-(time/4.6)*(EXP(-92.1/time)-0.01)),time*(1-VLOOKUP(E49, list!$J$48:$K$50,2,))),(D49-$C49)*IF(time_tot&gt;time+20,20,IF(time_tot&lt;20,(time*VLOOKUP(E49, list!$J$48:$K$50,2,))+(time_tot-time),((MIN(20,time)*VLOOKUP(E49, list!$J$48:$K$50,2,))+(time_tot-MIN(20,time))-IF(E49="Exponential",time_tot-20+0.217*time*(EXP(4.606*(20-time_tot)/time)-1),((time_tot-20)^2)*(0.5/time)))))))))&gt;=ABS(U18*MAX(C49,D49)),-U18*MAX(C49,D49),-$V18*((MIN($C49,D49)*MIN(20,time_tot))+IF(E49="Immediate",IF(D49&gt;$C49,(D49-$C49)*MIN(20,time_tot),0),IF($C49&gt;D49,($C49-D49)*IF(time&gt;20,IF(E49="Linear",time-((time-20)^2)/(2*time),(0.215*time)-(time/4.6)*(EXP(-92.1/time)-0.01)),time*(1-VLOOKUP(E49, list!$J$48:$K$50,2,))),(D49-$C49)*IF(time_tot&gt;time+20,20,IF(time_tot&lt;20,(time*VLOOKUP(E49, list!$J$48:$K$50,2,))+(time_tot-time),((MIN(20,time)*VLOOKUP(E49, list!$J$48:$K$50,2,))+(time_tot-MIN(20,time))-IF(E49="Exponential",time_tot-20+0.217*time*(EXP(4.606*(20-time_tot)/time)-1),((time_tot-20)^2)*(0.5/time)))))))))</f>
        <v>0</v>
      </c>
      <c r="K49" s="4453">
        <f>IF(ABS(-$V18*((MIN($C49,F49)*MIN(20,time_tot))+IF(G49="Immediate",IF(F49&gt;$C49,(F49-$C49)*MIN(20,time_tot),0),IF($C49&gt;F49,($C49-F49)*IF(time&gt;20,IF(G49="Linear",time-((time-20)^2)/(2*time),(0.215*time)-(time/4.6)*(EXP(-92.1/time)-0.01)),time*(1-VLOOKUP(G49, list!$J$48:$K$50,2,))),(F49-$C49)*IF(time_tot&gt;time+20,20,IF(time_tot&lt;20,(time*VLOOKUP(G49, list!$J$48:$K$50,2,))+(time_tot-time),((MIN(20,time)*VLOOKUP(G49, list!$J$48:$K$50,2,))+(time_tot-MIN(20,time))-IF(G49="Exponential",time_tot-20+0.217*time*(EXP(4.606*(20-time_tot)/time)-1),((time_tot-20)^2)*(0.5/time)))))))))&gt;=ABS(U18*MAX(F49,C49)),-U18*MAX(F49,C49), -$V18*((MIN($C49,F49)*MIN(20,time_tot))+IF(G49="Immediate",IF(F49&gt;$C49,(F49-$C49)*MIN(20,time_tot),0),IF($C49&gt;F49,($C49-F49)*IF(time&gt;20,IF(G49="Linear",time-((time-20)^2)/(2*time),(0.215*time)-(time/4.6)*(EXP(-92.1/time)-0.01)),time*(1-VLOOKUP(G49, list!$J$48:$K$50,2,))),(F49-$C49)*IF(time_tot&gt;time+20,20,IF(time_tot&lt;20,(time*VLOOKUP(G49, list!$J$48:$K$50,2,))+(time_tot-time),((MIN(20,time)*VLOOKUP(G49, list!$J$48:$K$50,2,))+(time_tot-MIN(20,time))-IF(G49="Exponential",time_tot-20+0.217*time*(EXP(4.606*(20-time_tot)/time)-1),((time_tot-20)^2)*(0.5/time)))))))))</f>
        <v>0</v>
      </c>
      <c r="L49" s="4455">
        <f>(MIN(C49,D49)*time_tot+ABS(D49-C49)*IF(D49&gt;C49,time_cap+time*(VLOOKUP(E49, list!$J$48:$K$50,2,)),time*(1-(VLOOKUP(E49, list!$J$48:$K$50,2,)))))*$Y18</f>
        <v>0</v>
      </c>
      <c r="M49" s="4455">
        <f>(MIN(C49,F49)*time_tot+ABS(F49-C49)*IF(F49&gt;C49, time_cap+time*(VLOOKUP(G49,  list!$J$48:$K$50,2,)),time*(1-(VLOOKUP(G49, list!$J$48:$K$50,2,)))))*$Y18</f>
        <v>0</v>
      </c>
      <c r="N49" s="4453">
        <f>IF(T18&lt;P18*Q18,(P18*Q18-T18)/20/10*1000*N2O_N_conversion/1000*((MIN($C49,D49)*MIN(20,time_tot))+IF(E49="Immediate",IF(D49&gt;$C49,(D49-$C49)*MIN(20,time_tot),0),IF($C49&gt;D49,($C49-D49)*IF(time&gt;20,IF(E49="Linear",time-((time-20)^2)/(2*time),(0.215*time)-(time/4.6)*(EXP(-92.1/time)-0.01)),time*(1-VLOOKUP(E49, list!$J$48:$K$50,2,))),(D49-$C49)*IF(time_tot&gt;time+20,20,IF(time_tot&lt;20,(time*VLOOKUP(E49, list!$J$48:$K$50,2,))+(time_tot-time),((MIN(20,time)*VLOOKUP(E49, list!$J$48:$K$50,2,))+(time_tot-MIN(20,time))-IF(E49="Exponential",time_tot-20+0.217*time*(EXP(4.606*(20-time_tot)/time)-1),((time_tot-20)^2)*(0.5/time)))))))),0)</f>
        <v>0</v>
      </c>
      <c r="O49" s="4453">
        <f>IF(T18&lt;P18*Q18,(P18*Q18-T18)/20/10*1000*N2O_N_conversion/1000*((MIN($C49,F49)*MIN(20,time_tot))+IF(G49="Immediate",IF(F49&gt;$C49,(F49-$C49)*MIN(20,time_tot),0),IF($C49&gt;F49,($C49-F49)*IF(time&gt;20,IF(G49="Linear",time-((time-20)^2)/(2*time),(0.215*time)-(time/4.6)*(EXP(-92.1/time)-0.01)),time*(1-VLOOKUP(G49, list!$J$48:$K$50,2,))),(F49-$C49)*IF(time_tot&gt;time+20,20,IF(time_tot&lt;20,(time*VLOOKUP(G49, list!$J$48:$K$50,2,))+(time_tot-time),((MIN(20,time)*VLOOKUP(G49, list!$J$48:$K$50,2,))+(time_tot-MIN(20,time))-IF(G49="Exponential",time_tot-20+0.217*time*(EXP(4.606*(20-time_tot)/time)-1),((time_tot-20)^2)*(0.5/time)))))))),0)</f>
        <v>0</v>
      </c>
      <c r="P49" s="4455">
        <f t="shared" si="14"/>
        <v>0</v>
      </c>
      <c r="Q49" s="4455">
        <f t="shared" si="15"/>
        <v>0</v>
      </c>
      <c r="R49" s="4456">
        <f t="shared" ref="R49:R60" si="19">Q49-P49</f>
        <v>0</v>
      </c>
      <c r="U49" s="4472">
        <f>$Z18*(time*((ABS(D49-C49)*(IF(C49&lt;=D49,VLOOKUP(E49, list!$J$48:$K$50,2,),1-VLOOKUP(E49, list!$J$48:$K$50,2,))))+MIN(D49,C49))+(D49*time_cap))</f>
        <v>0</v>
      </c>
      <c r="V49" s="4473">
        <f>$Z18*(time*((ABS(F49-C49)*(IF(C49&lt;=F49,VLOOKUP(G49, list!$J$48:$K$50,2,),1-VLOOKUP(G49, list!$J$48:$K$50,2,))))+MIN(F49,C49))+(F49*time_cap))</f>
        <v>0</v>
      </c>
      <c r="W49" s="4474">
        <f t="shared" ref="W49:W60" si="20">V49-U49</f>
        <v>0</v>
      </c>
      <c r="AA49" s="3220" t="s">
        <v>313</v>
      </c>
      <c r="AB49" s="3221">
        <f>SUM(H43:H66)</f>
        <v>-3549.333333333333</v>
      </c>
      <c r="AC49" s="3222">
        <f>SUM(I43:I66)</f>
        <v>-5324</v>
      </c>
      <c r="AO49" s="235">
        <f>IF(Y19&gt;0, L50/$Y19,0)/E19</f>
        <v>0</v>
      </c>
      <c r="AP49" s="235">
        <f>IF(Y19&gt;0, M50/$Y19,0)/E19</f>
        <v>0</v>
      </c>
    </row>
    <row r="50" spans="2:42" x14ac:dyDescent="0.2">
      <c r="B50" s="4451">
        <f t="shared" si="16"/>
        <v>0</v>
      </c>
      <c r="C50" s="4452">
        <f>'3.Cropland'!Q71</f>
        <v>0</v>
      </c>
      <c r="D50" s="4452">
        <f>'3.Cropland'!R71</f>
        <v>0</v>
      </c>
      <c r="E50" s="4452" t="str">
        <f>VLOOKUP('3.Cropland'!S71, list!$I$48:$J$50, 2, FALSE)</f>
        <v>Linear</v>
      </c>
      <c r="F50" s="4452">
        <f>'3.Cropland'!T71</f>
        <v>0</v>
      </c>
      <c r="G50" s="4452" t="str">
        <f>VLOOKUP('3.Cropland'!U71, list!$I$48:$J$50, 2, FALSE)</f>
        <v>Linear</v>
      </c>
      <c r="H50" s="4453">
        <f t="shared" si="17"/>
        <v>0</v>
      </c>
      <c r="I50" s="4453">
        <f t="shared" si="18"/>
        <v>0</v>
      </c>
      <c r="J50" s="4453">
        <f>IF(ABS(-$V19*((MIN($C50,D50)*MIN(20,time_tot))+IF(E50="Immediate",IF(D50&gt;$C50,(D50-$C50)*MIN(20,time_tot),0),IF($C50&gt;D50,($C50-D50)*IF(time&gt;20,IF(E50="Linear",time-((time-20)^2)/(2*time),(0.215*time)-(time/4.6)*(EXP(-92.1/time)-0.01)),time*(1-VLOOKUP(E50, list!$J$48:$K$50,2,))),(D50-$C50)*IF(time_tot&gt;time+20,20,IF(time_tot&lt;20,(time*VLOOKUP(E50, list!$J$48:$K$50,2,))+(time_tot-time),((MIN(20,time)*VLOOKUP(E50, list!$J$48:$K$50,2,))+(time_tot-MIN(20,time))-IF(E50="Exponential",time_tot-20+0.217*time*(EXP(4.606*(20-time_tot)/time)-1),((time_tot-20)^2)*(0.5/time)))))))))&gt;=ABS(U19*MAX(C50,D50)),-U19*MAX(C50,D50),-$V19*((MIN($C50,D50)*MIN(20,time_tot))+IF(E50="Immediate",IF(D50&gt;$C50,(D50-$C50)*MIN(20,time_tot),0),IF($C50&gt;D50,($C50-D50)*IF(time&gt;20,IF(E50="Linear",time-((time-20)^2)/(2*time),(0.215*time)-(time/4.6)*(EXP(-92.1/time)-0.01)),time*(1-VLOOKUP(E50, list!$J$48:$K$50,2,))),(D50-$C50)*IF(time_tot&gt;time+20,20,IF(time_tot&lt;20,(time*VLOOKUP(E50, list!$J$48:$K$50,2,))+(time_tot-time),((MIN(20,time)*VLOOKUP(E50, list!$J$48:$K$50,2,))+(time_tot-MIN(20,time))-IF(E50="Exponential",time_tot-20+0.217*time*(EXP(4.606*(20-time_tot)/time)-1),((time_tot-20)^2)*(0.5/time)))))))))</f>
        <v>0</v>
      </c>
      <c r="K50" s="4453">
        <f>IF(ABS(-$V19*((MIN($C50,F50)*MIN(20,time_tot))+IF(G50="Immediate",IF(F50&gt;$C50,(F50-$C50)*MIN(20,time_tot),0),IF($C50&gt;F50,($C50-F50)*IF(time&gt;20,IF(G50="Linear",time-((time-20)^2)/(2*time),(0.215*time)-(time/4.6)*(EXP(-92.1/time)-0.01)),time*(1-VLOOKUP(G50, list!$J$48:$K$50,2,))),(F50-$C50)*IF(time_tot&gt;time+20,20,IF(time_tot&lt;20,(time*VLOOKUP(G50, list!$J$48:$K$50,2,))+(time_tot-time),((MIN(20,time)*VLOOKUP(G50, list!$J$48:$K$50,2,))+(time_tot-MIN(20,time))-IF(G50="Exponential",time_tot-20+0.217*time*(EXP(4.606*(20-time_tot)/time)-1),((time_tot-20)^2)*(0.5/time)))))))))&gt;=ABS(U19*MAX(F50,C50)),-U19*MAX(F50,C50), -$V19*((MIN($C50,F50)*MIN(20,time_tot))+IF(G50="Immediate",IF(F50&gt;$C50,(F50-$C50)*MIN(20,time_tot),0),IF($C50&gt;F50,($C50-F50)*IF(time&gt;20,IF(G50="Linear",time-((time-20)^2)/(2*time),(0.215*time)-(time/4.6)*(EXP(-92.1/time)-0.01)),time*(1-VLOOKUP(G50, list!$J$48:$K$50,2,))),(F50-$C50)*IF(time_tot&gt;time+20,20,IF(time_tot&lt;20,(time*VLOOKUP(G50, list!$J$48:$K$50,2,))+(time_tot-time),((MIN(20,time)*VLOOKUP(G50, list!$J$48:$K$50,2,))+(time_tot-MIN(20,time))-IF(G50="Exponential",time_tot-20+0.217*time*(EXP(4.606*(20-time_tot)/time)-1),((time_tot-20)^2)*(0.5/time)))))))))</f>
        <v>0</v>
      </c>
      <c r="L50" s="4455">
        <f>(MIN(C50,D50)*time_tot+ABS(D50-C50)*IF(D50&gt;C50,time_cap+time*(VLOOKUP(E50, list!$J$48:$K$50,2,)),time*(1-(VLOOKUP(E50, list!$J$48:$K$50,2,)))))*$Y19</f>
        <v>0</v>
      </c>
      <c r="M50" s="4455">
        <f>(MIN(C50,F50)*time_tot+ABS(F50-C50)*IF(F50&gt;C50, time_cap+time*(VLOOKUP(G50,  list!$J$48:$K$50,2,)),time*(1-(VLOOKUP(G50, list!$J$48:$K$50,2,)))))*$Y19</f>
        <v>0</v>
      </c>
      <c r="N50" s="4453">
        <f>IF(T19&lt;P19*Q19,(P19*Q19-T19)/20/10*1000*N2O_N_conversion/1000*((MIN($C50,D50)*MIN(20,time_tot))+IF(E50="Immediate",IF(D50&gt;$C50,(D50-$C50)*MIN(20,time_tot),0),IF($C50&gt;D50,($C50-D50)*IF(time&gt;20,IF(E50="Linear",time-((time-20)^2)/(2*time),(0.215*time)-(time/4.6)*(EXP(-92.1/time)-0.01)),time*(1-VLOOKUP(E50, list!$J$48:$K$50,2,))),(D50-$C50)*IF(time_tot&gt;time+20,20,IF(time_tot&lt;20,(time*VLOOKUP(E50, list!$J$48:$K$50,2,))+(time_tot-time),((MIN(20,time)*VLOOKUP(E50, list!$J$48:$K$50,2,))+(time_tot-MIN(20,time))-IF(E50="Exponential",time_tot-20+0.217*time*(EXP(4.606*(20-time_tot)/time)-1),((time_tot-20)^2)*(0.5/time)))))))),0)</f>
        <v>0</v>
      </c>
      <c r="O50" s="4453">
        <f>IF(T19&lt;P19*Q19,(P19*Q19-T19)/20/10*1000*N2O_N_conversion/1000*((MIN($C50,F50)*MIN(20,time_tot))+IF(G50="Immediate",IF(F50&gt;$C50,(F50-$C50)*MIN(20,time_tot),0),IF($C50&gt;F50,($C50-F50)*IF(time&gt;20,IF(G50="Linear",time-((time-20)^2)/(2*time),(0.215*time)-(time/4.6)*(EXP(-92.1/time)-0.01)),time*(1-VLOOKUP(G50, list!$J$48:$K$50,2,))),(F50-$C50)*IF(time_tot&gt;time+20,20,IF(time_tot&lt;20,(time*VLOOKUP(G50, list!$J$48:$K$50,2,))+(time_tot-time),((MIN(20,time)*VLOOKUP(G50, list!$J$48:$K$50,2,))+(time_tot-MIN(20,time))-IF(G50="Exponential",time_tot-20+0.217*time*(EXP(4.606*(20-time_tot)/time)-1),((time_tot-20)^2)*(0.5/time)))))))),0)</f>
        <v>0</v>
      </c>
      <c r="P50" s="4455">
        <f t="shared" si="14"/>
        <v>0</v>
      </c>
      <c r="Q50" s="4455">
        <f t="shared" si="15"/>
        <v>0</v>
      </c>
      <c r="R50" s="4456">
        <f t="shared" si="19"/>
        <v>0</v>
      </c>
      <c r="U50" s="4472">
        <f>$Z19*(time*((ABS(D50-C50)*(IF(C50&lt;=D50,VLOOKUP(E50, list!$J$48:$K$50,2,),1-VLOOKUP(E50, list!$J$48:$K$50,2,))))+MIN(D50,C50))+(D50*time_cap))</f>
        <v>0</v>
      </c>
      <c r="V50" s="4473">
        <f>$Z19*(time*((ABS(F50-C50)*(IF(C50&lt;=F50,VLOOKUP(G50, list!$J$48:$K$50,2,),1-VLOOKUP(G50, list!$J$48:$K$50,2,))))+MIN(F50,C50))+(F50*time_cap))</f>
        <v>0</v>
      </c>
      <c r="W50" s="4474">
        <f t="shared" si="20"/>
        <v>0</v>
      </c>
      <c r="AA50" s="3220" t="s">
        <v>315</v>
      </c>
      <c r="AB50" s="3224">
        <f>SUM(J43:J66)</f>
        <v>-1269.5126400000004</v>
      </c>
      <c r="AC50" s="3225">
        <f>SUM(K43:K66)</f>
        <v>-167.27040000000048</v>
      </c>
      <c r="AO50" s="235">
        <f>IF(Y21&gt;0, L52/$Y21,0)/E21</f>
        <v>0</v>
      </c>
      <c r="AP50" s="235">
        <f>IF(Y21&gt;0, M52/$Y21,0)/E21</f>
        <v>0</v>
      </c>
    </row>
    <row r="51" spans="2:42" x14ac:dyDescent="0.2">
      <c r="B51" s="4451">
        <f t="shared" si="16"/>
        <v>0</v>
      </c>
      <c r="C51" s="4452">
        <f>'3.Cropland'!Q72</f>
        <v>0</v>
      </c>
      <c r="D51" s="4452">
        <f>'3.Cropland'!R72</f>
        <v>0</v>
      </c>
      <c r="E51" s="4452" t="str">
        <f>VLOOKUP('3.Cropland'!S72, list!$I$48:$J$50, 2, FALSE)</f>
        <v>Linear</v>
      </c>
      <c r="F51" s="4452">
        <f>'3.Cropland'!T72</f>
        <v>0</v>
      </c>
      <c r="G51" s="4452" t="str">
        <f>VLOOKUP('3.Cropland'!U72, list!$I$48:$J$50, 2, FALSE)</f>
        <v>Linear</v>
      </c>
      <c r="H51" s="4453">
        <f t="shared" si="17"/>
        <v>0</v>
      </c>
      <c r="I51" s="4453">
        <f t="shared" si="18"/>
        <v>0</v>
      </c>
      <c r="J51" s="4453">
        <f>IF(ABS(-$V20*((MIN($C51,D51)*MIN(20,time_tot))+IF(E51="Immediate",IF(D51&gt;$C51,(D51-$C51)*MIN(20,time_tot),0),IF($C51&gt;D51,($C51-D51)*IF(time&gt;20,IF(E51="Linear",time-((time-20)^2)/(2*time),(0.215*time)-(time/4.6)*(EXP(-92.1/time)-0.01)),time*(1-VLOOKUP(E51, list!$J$48:$K$50,2,))),(D51-$C51)*IF(time_tot&gt;time+20,20,IF(time_tot&lt;20,(time*VLOOKUP(E51, list!$J$48:$K$50,2,))+(time_tot-time),((MIN(20,time)*VLOOKUP(E51, list!$J$48:$K$50,2,))+(time_tot-MIN(20,time))-IF(E51="Exponential",time_tot-20+0.217*time*(EXP(4.606*(20-time_tot)/time)-1),((time_tot-20)^2)*(0.5/time)))))))))&gt;=ABS(U20*MAX(C51,D51)),-U20*MAX(C51,D51),-$V20*((MIN($C51,D51)*MIN(20,time_tot))+IF(E51="Immediate",IF(D51&gt;$C51,(D51-$C51)*MIN(20,time_tot),0),IF($C51&gt;D51,($C51-D51)*IF(time&gt;20,IF(E51="Linear",time-((time-20)^2)/(2*time),(0.215*time)-(time/4.6)*(EXP(-92.1/time)-0.01)),time*(1-VLOOKUP(E51, list!$J$48:$K$50,2,))),(D51-$C51)*IF(time_tot&gt;time+20,20,IF(time_tot&lt;20,(time*VLOOKUP(E51, list!$J$48:$K$50,2,))+(time_tot-time),((MIN(20,time)*VLOOKUP(E51, list!$J$48:$K$50,2,))+(time_tot-MIN(20,time))-IF(E51="Exponential",time_tot-20+0.217*time*(EXP(4.606*(20-time_tot)/time)-1),((time_tot-20)^2)*(0.5/time)))))))))</f>
        <v>0</v>
      </c>
      <c r="K51" s="4453">
        <f>IF(ABS(-$V20*((MIN($C51,F51)*MIN(20,time_tot))+IF(G51="Immediate",IF(F51&gt;$C51,(F51-$C51)*MIN(20,time_tot),0),IF($C51&gt;F51,($C51-F51)*IF(time&gt;20,IF(G51="Linear",time-((time-20)^2)/(2*time),(0.215*time)-(time/4.6)*(EXP(-92.1/time)-0.01)),time*(1-VLOOKUP(G51, list!$J$48:$K$50,2,))),(F51-$C51)*IF(time_tot&gt;time+20,20,IF(time_tot&lt;20,(time*VLOOKUP(G51, list!$J$48:$K$50,2,))+(time_tot-time),((MIN(20,time)*VLOOKUP(G51, list!$J$48:$K$50,2,))+(time_tot-MIN(20,time))-IF(G51="Exponential",time_tot-20+0.217*time*(EXP(4.606*(20-time_tot)/time)-1),((time_tot-20)^2)*(0.5/time)))))))))&gt;=ABS(U20*MAX(F51,C51)),-U20*MAX(F51,C51), -$V20*((MIN($C51,F51)*MIN(20,time_tot))+IF(G51="Immediate",IF(F51&gt;$C51,(F51-$C51)*MIN(20,time_tot),0),IF($C51&gt;F51,($C51-F51)*IF(time&gt;20,IF(G51="Linear",time-((time-20)^2)/(2*time),(0.215*time)-(time/4.6)*(EXP(-92.1/time)-0.01)),time*(1-VLOOKUP(G51, list!$J$48:$K$50,2,))),(F51-$C51)*IF(time_tot&gt;time+20,20,IF(time_tot&lt;20,(time*VLOOKUP(G51, list!$J$48:$K$50,2,))+(time_tot-time),((MIN(20,time)*VLOOKUP(G51, list!$J$48:$K$50,2,))+(time_tot-MIN(20,time))-IF(G51="Exponential",time_tot-20+0.217*time*(EXP(4.606*(20-time_tot)/time)-1),((time_tot-20)^2)*(0.5/time)))))))))</f>
        <v>0</v>
      </c>
      <c r="L51" s="4455">
        <f>(MIN(C51,D51)*time_tot+ABS(D51-C51)*IF(D51&gt;C51,time_cap+time*(VLOOKUP(E51, list!$J$48:$K$50,2,)),time*(1-(VLOOKUP(E51, list!$J$48:$K$50,2,)))))*$Y20</f>
        <v>0</v>
      </c>
      <c r="M51" s="4455">
        <f>(MIN(C51,F51)*time_tot+ABS(F51-C51)*IF(F51&gt;C51, time_cap+time*(VLOOKUP(G51,  list!$J$48:$K$50,2,)),time*(1-(VLOOKUP(G51, list!$J$48:$K$50,2,)))))*$Y20</f>
        <v>0</v>
      </c>
      <c r="N51" s="4453">
        <f>IF(T20&lt;P20*Q20,(P20*Q20-T20)/20/10*1000*N2O_N_conversion/1000*((MIN($C51,D51)*MIN(20,time_tot))+IF(E51="Immediate",IF(D51&gt;$C51,(D51-$C51)*MIN(20,time_tot),0),IF($C51&gt;D51,($C51-D51)*IF(time&gt;20,IF(E51="Linear",time-((time-20)^2)/(2*time),(0.215*time)-(time/4.6)*(EXP(-92.1/time)-0.01)),time*(1-VLOOKUP(E51, list!$J$48:$K$50,2,))),(D51-$C51)*IF(time_tot&gt;time+20,20,IF(time_tot&lt;20,(time*VLOOKUP(E51, list!$J$48:$K$50,2,))+(time_tot-time),((MIN(20,time)*VLOOKUP(E51, list!$J$48:$K$50,2,))+(time_tot-MIN(20,time))-IF(E51="Exponential",time_tot-20+0.217*time*(EXP(4.606*(20-time_tot)/time)-1),((time_tot-20)^2)*(0.5/time)))))))),0)</f>
        <v>0</v>
      </c>
      <c r="O51" s="4453">
        <f>IF(T20&lt;P20*Q20,(P20*Q20-T20)/20/10*1000*N2O_N_conversion/1000*((MIN($C51,F51)*MIN(20,time_tot))+IF(G51="Immediate",IF(F51&gt;$C51,(F51-$C51)*MIN(20,time_tot),0),IF($C51&gt;F51,($C51-F51)*IF(time&gt;20,IF(G51="Linear",time-((time-20)^2)/(2*time),(0.215*time)-(time/4.6)*(EXP(-92.1/time)-0.01)),time*(1-VLOOKUP(G51, list!$J$48:$K$50,2,))),(F51-$C51)*IF(time_tot&gt;time+20,20,IF(time_tot&lt;20,(time*VLOOKUP(G51, list!$J$48:$K$50,2,))+(time_tot-time),((MIN(20,time)*VLOOKUP(G51, list!$J$48:$K$50,2,))+(time_tot-MIN(20,time))-IF(G51="Exponential",time_tot-20+0.217*time*(EXP(4.606*(20-time_tot)/time)-1),((time_tot-20)^2)*(0.5/time)))))))),0)</f>
        <v>0</v>
      </c>
      <c r="P51" s="4455">
        <f>$H51+$J51+$L51+N51</f>
        <v>0</v>
      </c>
      <c r="Q51" s="4455">
        <f>$I51+$K51+$M51+O51</f>
        <v>0</v>
      </c>
      <c r="R51" s="4456">
        <f>Q51-P51</f>
        <v>0</v>
      </c>
      <c r="U51" s="4472"/>
      <c r="V51" s="4473"/>
      <c r="W51" s="4474"/>
      <c r="AA51" s="3220"/>
      <c r="AB51" s="3224"/>
      <c r="AC51" s="3224"/>
      <c r="AO51" s="235"/>
      <c r="AP51" s="235"/>
    </row>
    <row r="52" spans="2:42" x14ac:dyDescent="0.2">
      <c r="B52" s="4451">
        <f t="shared" si="16"/>
        <v>0</v>
      </c>
      <c r="C52" s="4452">
        <f>'3.Cropland'!Q73</f>
        <v>0</v>
      </c>
      <c r="D52" s="4452">
        <f>'3.Cropland'!R73</f>
        <v>0</v>
      </c>
      <c r="E52" s="4452" t="str">
        <f>VLOOKUP('3.Cropland'!S73, list!$I$48:$J$50, 2, FALSE)</f>
        <v>Linear</v>
      </c>
      <c r="F52" s="4452">
        <f>'3.Cropland'!T73</f>
        <v>0</v>
      </c>
      <c r="G52" s="4452" t="str">
        <f>VLOOKUP('3.Cropland'!U73, list!$I$48:$J$50, 2, FALSE)</f>
        <v>Linear</v>
      </c>
      <c r="H52" s="4453">
        <f t="shared" si="17"/>
        <v>0</v>
      </c>
      <c r="I52" s="4453">
        <f t="shared" si="18"/>
        <v>0</v>
      </c>
      <c r="J52" s="4453">
        <f>IF(ABS(-$V21*((MIN($C52,D52)*MIN(20,time_tot))+IF(E52="Immediate",IF(D52&gt;$C52,(D52-$C52)*MIN(20,time_tot),0),IF($C52&gt;D52,($C52-D52)*IF(time&gt;20,IF(E52="Linear",time-((time-20)^2)/(2*time),(0.215*time)-(time/4.6)*(EXP(-92.1/time)-0.01)),time*(1-VLOOKUP(E52, list!$J$48:$K$50,2,))),(D52-$C52)*IF(time_tot&gt;time+20,20,IF(time_tot&lt;20,(time*VLOOKUP(E52, list!$J$48:$K$50,2,))+(time_tot-time),((MIN(20,time)*VLOOKUP(E52, list!$J$48:$K$50,2,))+(time_tot-MIN(20,time))-IF(E52="Exponential",time_tot-20+0.217*time*(EXP(4.606*(20-time_tot)/time)-1),((time_tot-20)^2)*(0.5/time)))))))))&gt;=ABS(U21*MAX(C52,D52)),-U21*MAX(C52,D52),-$V21*((MIN($C52,D52)*MIN(20,time_tot))+IF(E52="Immediate",IF(D52&gt;$C52,(D52-$C52)*MIN(20,time_tot),0),IF($C52&gt;D52,($C52-D52)*IF(time&gt;20,IF(E52="Linear",time-((time-20)^2)/(2*time),(0.215*time)-(time/4.6)*(EXP(-92.1/time)-0.01)),time*(1-VLOOKUP(E52, list!$J$48:$K$50,2,))),(D52-$C52)*IF(time_tot&gt;time+20,20,IF(time_tot&lt;20,(time*VLOOKUP(E52, list!$J$48:$K$50,2,))+(time_tot-time),((MIN(20,time)*VLOOKUP(E52, list!$J$48:$K$50,2,))+(time_tot-MIN(20,time))-IF(E52="Exponential",time_tot-20+0.217*time*(EXP(4.606*(20-time_tot)/time)-1),((time_tot-20)^2)*(0.5/time)))))))))</f>
        <v>0</v>
      </c>
      <c r="K52" s="4453">
        <f>IF(ABS(-$V21*((MIN($C52,F52)*MIN(20,time_tot))+IF(G52="Immediate",IF(F52&gt;$C52,(F52-$C52)*MIN(20,time_tot),0),IF($C52&gt;F52,($C52-F52)*IF(time&gt;20,IF(G52="Linear",time-((time-20)^2)/(2*time),(0.215*time)-(time/4.6)*(EXP(-92.1/time)-0.01)),time*(1-VLOOKUP(G52, list!$J$48:$K$50,2,))),(F52-$C52)*IF(time_tot&gt;time+20,20,IF(time_tot&lt;20,(time*VLOOKUP(G52, list!$J$48:$K$50,2,))+(time_tot-time),((MIN(20,time)*VLOOKUP(G52, list!$J$48:$K$50,2,))+(time_tot-MIN(20,time))-IF(G52="Exponential",time_tot-20+0.217*time*(EXP(4.606*(20-time_tot)/time)-1),((time_tot-20)^2)*(0.5/time)))))))))&gt;=ABS(U21*MAX(F52,C52)),-U21*MAX(F52,C52), -$V21*((MIN($C52,F52)*MIN(20,time_tot))+IF(G52="Immediate",IF(F52&gt;$C52,(F52-$C52)*MIN(20,time_tot),0),IF($C52&gt;F52,($C52-F52)*IF(time&gt;20,IF(G52="Linear",time-((time-20)^2)/(2*time),(0.215*time)-(time/4.6)*(EXP(-92.1/time)-0.01)),time*(1-VLOOKUP(G52, list!$J$48:$K$50,2,))),(F52-$C52)*IF(time_tot&gt;time+20,20,IF(time_tot&lt;20,(time*VLOOKUP(G52, list!$J$48:$K$50,2,))+(time_tot-time),((MIN(20,time)*VLOOKUP(G52, list!$J$48:$K$50,2,))+(time_tot-MIN(20,time))-IF(G52="Exponential",time_tot-20+0.217*time*(EXP(4.606*(20-time_tot)/time)-1),((time_tot-20)^2)*(0.5/time)))))))))</f>
        <v>0</v>
      </c>
      <c r="L52" s="4455">
        <f>(MIN(C52,D52)*time_tot+ABS(D52-C52)*IF(D52&gt;C52,time_cap+time*(VLOOKUP(E52, list!$J$48:$K$50,2,)),time*(1-(VLOOKUP(E52, list!$J$48:$K$50,2,)))))*$Y21</f>
        <v>0</v>
      </c>
      <c r="M52" s="4455">
        <f>(MIN(C52,F52)*time_tot+ABS(F52-C52)*IF(F52&gt;C52, time_cap+time*(VLOOKUP(G52,  list!$J$48:$K$50,2,)),time*(1-(VLOOKUP(G52, list!$J$48:$K$50,2,)))))*$Y21</f>
        <v>0</v>
      </c>
      <c r="N52" s="4453">
        <f>IF(T21&lt;P21*Q21,(P21*Q21-T21)/20/10*1000*N2O_N_conversion/1000*((MIN($C52,D52)*MIN(20,time_tot))+IF(E52="Immediate",IF(D52&gt;$C52,(D52-$C52)*MIN(20,time_tot),0),IF($C52&gt;D52,($C52-D52)*IF(time&gt;20,IF(E52="Linear",time-((time-20)^2)/(2*time),(0.215*time)-(time/4.6)*(EXP(-92.1/time)-0.01)),time*(1-VLOOKUP(E52, list!$J$48:$K$50,2,))),(D52-$C52)*IF(time_tot&gt;time+20,20,IF(time_tot&lt;20,(time*VLOOKUP(E52, list!$J$48:$K$50,2,))+(time_tot-time),((MIN(20,time)*VLOOKUP(E52, list!$J$48:$K$50,2,))+(time_tot-MIN(20,time))-IF(E52="Exponential",time_tot-20+0.217*time*(EXP(4.606*(20-time_tot)/time)-1),((time_tot-20)^2)*(0.5/time)))))))),0)</f>
        <v>0</v>
      </c>
      <c r="O52" s="4453">
        <f>IF(T21&lt;P21*Q21,(P21*Q21-T21)/20/10*1000*N2O_N_conversion/1000*((MIN($C52,F52)*MIN(20,time_tot))+IF(G52="Immediate",IF(F52&gt;$C52,(F52-$C52)*MIN(20,time_tot),0),IF($C52&gt;F52,($C52-F52)*IF(time&gt;20,IF(G52="Linear",time-((time-20)^2)/(2*time),(0.215*time)-(time/4.6)*(EXP(-92.1/time)-0.01)),time*(1-VLOOKUP(G52, list!$J$48:$K$50,2,))),(F52-$C52)*IF(time_tot&gt;time+20,20,IF(time_tot&lt;20,(time*VLOOKUP(G52, list!$J$48:$K$50,2,))+(time_tot-time),((MIN(20,time)*VLOOKUP(G52, list!$J$48:$K$50,2,))+(time_tot-MIN(20,time))-IF(G52="Exponential",time_tot-20+0.217*time*(EXP(4.606*(20-time_tot)/time)-1),((time_tot-20)^2)*(0.5/time)))))))),0)</f>
        <v>0</v>
      </c>
      <c r="P52" s="4455">
        <f t="shared" si="14"/>
        <v>0</v>
      </c>
      <c r="Q52" s="4455">
        <f t="shared" si="15"/>
        <v>0</v>
      </c>
      <c r="R52" s="4456">
        <f t="shared" si="19"/>
        <v>0</v>
      </c>
      <c r="U52" s="4472">
        <f>$Z21*(time*((ABS(D52-C52)*(IF(C52&lt;=D52,VLOOKUP(E52, list!$J$48:$K$50,2,),1-VLOOKUP(E52, list!$J$48:$K$50,2,))))+MIN(D52,C52))+(D52*time_cap))</f>
        <v>0</v>
      </c>
      <c r="V52" s="4473">
        <f>$Z21*(time*((ABS(F52-C52)*(IF(C52&lt;=F52,VLOOKUP(G52, list!$J$48:$K$50,2,),1-VLOOKUP(G52, list!$J$48:$K$50,2,))))+MIN(F52,C52))+(F52*time_cap))</f>
        <v>0</v>
      </c>
      <c r="W52" s="4474">
        <f t="shared" si="20"/>
        <v>0</v>
      </c>
      <c r="AA52" s="3220" t="s">
        <v>338</v>
      </c>
      <c r="AB52" s="3231">
        <f>SUM(N43:N66)</f>
        <v>0</v>
      </c>
      <c r="AC52" s="3231">
        <f>SUM(O43:O66)</f>
        <v>0</v>
      </c>
      <c r="AO52" s="235">
        <f>IF(Y22&gt;0, L53/$Y22,0)/E22</f>
        <v>0</v>
      </c>
      <c r="AP52" s="235">
        <f>IF(Y22&gt;0, M53/$Y22,0)/E22</f>
        <v>0</v>
      </c>
    </row>
    <row r="53" spans="2:42" x14ac:dyDescent="0.2">
      <c r="B53" s="4451">
        <f t="shared" si="16"/>
        <v>0</v>
      </c>
      <c r="C53" s="4452">
        <f>'3.Cropland'!Q75</f>
        <v>0</v>
      </c>
      <c r="D53" s="4452">
        <f>'3.Cropland'!R75</f>
        <v>0</v>
      </c>
      <c r="E53" s="4452" t="str">
        <f>VLOOKUP('3.Cropland'!S75, list!$I$48:$J$50, 2, FALSE)</f>
        <v>Linear</v>
      </c>
      <c r="F53" s="4452">
        <f>'3.Cropland'!T75</f>
        <v>0</v>
      </c>
      <c r="G53" s="4452" t="str">
        <f>VLOOKUP('3.Cropland'!U75, list!$I$48:$J$50, 2, FALSE)</f>
        <v>Linear</v>
      </c>
      <c r="H53" s="4453">
        <f t="shared" si="17"/>
        <v>0</v>
      </c>
      <c r="I53" s="4453">
        <f t="shared" si="18"/>
        <v>0</v>
      </c>
      <c r="J53" s="4453">
        <f>IF(ABS(-$V22*((MIN($C53,D53)*MIN(20,time_tot))+IF(E53="Immediate",IF(D53&gt;$C53,(D53-$C53)*MIN(20,time_tot),0),IF($C53&gt;D53,($C53-D53)*IF(time&gt;20,IF(E53="Linear",time-((time-20)^2)/(2*time),(0.215*time)-(time/4.6)*(EXP(-92.1/time)-0.01)),time*(1-VLOOKUP(E53, list!$J$48:$K$50,2,))),(D53-$C53)*IF(time_tot&gt;time+20,20,IF(time_tot&lt;20,(time*VLOOKUP(E53, list!$J$48:$K$50,2,))+(time_tot-time),((MIN(20,time)*VLOOKUP(E53, list!$J$48:$K$50,2,))+(time_tot-MIN(20,time))-IF(E53="Exponential",time_tot-20+0.217*time*(EXP(4.606*(20-time_tot)/time)-1),((time_tot-20)^2)*(0.5/time)))))))))&gt;=ABS(U22*MAX(C53,D53)),-U22*MAX(C53,D53),-$V22*((MIN($C53,D53)*MIN(20,time_tot))+IF(E53="Immediate",IF(D53&gt;$C53,(D53-$C53)*MIN(20,time_tot),0),IF($C53&gt;D53,($C53-D53)*IF(time&gt;20,IF(E53="Linear",time-((time-20)^2)/(2*time),(0.215*time)-(time/4.6)*(EXP(-92.1/time)-0.01)),time*(1-VLOOKUP(E53, list!$J$48:$K$50,2,))),(D53-$C53)*IF(time_tot&gt;time+20,20,IF(time_tot&lt;20,(time*VLOOKUP(E53, list!$J$48:$K$50,2,))+(time_tot-time),((MIN(20,time)*VLOOKUP(E53, list!$J$48:$K$50,2,))+(time_tot-MIN(20,time))-IF(E53="Exponential",time_tot-20+0.217*time*(EXP(4.606*(20-time_tot)/time)-1),((time_tot-20)^2)*(0.5/time)))))))))</f>
        <v>0</v>
      </c>
      <c r="K53" s="4453">
        <f>IF(ABS(-$V22*((MIN($C53,F53)*MIN(20,time_tot))+IF(G53="Immediate",IF(F53&gt;$C53,(F53-$C53)*MIN(20,time_tot),0),IF($C53&gt;F53,($C53-F53)*IF(time&gt;20,IF(G53="Linear",time-((time-20)^2)/(2*time),(0.215*time)-(time/4.6)*(EXP(-92.1/time)-0.01)),time*(1-VLOOKUP(G53, list!$J$48:$K$50,2,))),(F53-$C53)*IF(time_tot&gt;time+20,20,IF(time_tot&lt;20,(time*VLOOKUP(G53, list!$J$48:$K$50,2,))+(time_tot-time),((MIN(20,time)*VLOOKUP(G53, list!$J$48:$K$50,2,))+(time_tot-MIN(20,time))-IF(G53="Exponential",time_tot-20+0.217*time*(EXP(4.606*(20-time_tot)/time)-1),((time_tot-20)^2)*(0.5/time)))))))))&gt;=ABS(U22*MAX(F53,C53)),-U22*MAX(F53,C53), -$V22*((MIN($C53,F53)*MIN(20,time_tot))+IF(G53="Immediate",IF(F53&gt;$C53,(F53-$C53)*MIN(20,time_tot),0),IF($C53&gt;F53,($C53-F53)*IF(time&gt;20,IF(G53="Linear",time-((time-20)^2)/(2*time),(0.215*time)-(time/4.6)*(EXP(-92.1/time)-0.01)),time*(1-VLOOKUP(G53, list!$J$48:$K$50,2,))),(F53-$C53)*IF(time_tot&gt;time+20,20,IF(time_tot&lt;20,(time*VLOOKUP(G53, list!$J$48:$K$50,2,))+(time_tot-time),((MIN(20,time)*VLOOKUP(G53, list!$J$48:$K$50,2,))+(time_tot-MIN(20,time))-IF(G53="Exponential",time_tot-20+0.217*time*(EXP(4.606*(20-time_tot)/time)-1),((time_tot-20)^2)*(0.5/time)))))))))</f>
        <v>0</v>
      </c>
      <c r="L53" s="4455">
        <f>(MIN(C53,D53)*time_tot+ABS(D53-C53)*IF(D53&gt;C53,time_cap+time*(VLOOKUP(E53, list!$J$48:$K$50,2,)),time*(1-(VLOOKUP(E53, list!$J$48:$K$50,2,)))))*$Y22</f>
        <v>0</v>
      </c>
      <c r="M53" s="4455">
        <f>(MIN(C53,F53)*time_tot+ABS(F53-C53)*IF(F53&gt;C53, time_cap+time*(VLOOKUP(G53,  list!$J$48:$K$50,2,)),time*(1-(VLOOKUP(G53, list!$J$48:$K$50,2,)))))*$Y22</f>
        <v>0</v>
      </c>
      <c r="N53" s="4453">
        <f>IF(T22&lt;P22*Q22,(P22*Q22-T22)/20/10*1000*N2O_N_conversion/1000*((MIN($C53,D53)*MIN(20,time_tot))+IF(E53="Immediate",IF(D53&gt;$C53,(D53-$C53)*MIN(20,time_tot),0),IF($C53&gt;D53,($C53-D53)*IF(time&gt;20,IF(E53="Linear",time-((time-20)^2)/(2*time),(0.215*time)-(time/4.6)*(EXP(-92.1/time)-0.01)),time*(1-VLOOKUP(E53, list!$J$48:$K$50,2,))),(D53-$C53)*IF(time_tot&gt;time+20,20,IF(time_tot&lt;20,(time*VLOOKUP(E53, list!$J$48:$K$50,2,))+(time_tot-time),((MIN(20,time)*VLOOKUP(E53, list!$J$48:$K$50,2,))+(time_tot-MIN(20,time))-IF(E53="Exponential",time_tot-20+0.217*time*(EXP(4.606*(20-time_tot)/time)-1),((time_tot-20)^2)*(0.5/time)))))))),0)</f>
        <v>0</v>
      </c>
      <c r="O53" s="4453">
        <f>IF(T22&lt;P22*Q22,(P22*Q22-T22)/20/10*1000*N2O_N_conversion/1000*((MIN($C53,F53)*MIN(20,time_tot))+IF(G53="Immediate",IF(F53&gt;$C53,(F53-$C53)*MIN(20,time_tot),0),IF($C53&gt;F53,($C53-F53)*IF(time&gt;20,IF(G53="Linear",time-((time-20)^2)/(2*time),(0.215*time)-(time/4.6)*(EXP(-92.1/time)-0.01)),time*(1-VLOOKUP(G53, list!$J$48:$K$50,2,))),(F53-$C53)*IF(time_tot&gt;time+20,20,IF(time_tot&lt;20,(time*VLOOKUP(G53, list!$J$48:$K$50,2,))+(time_tot-time),((MIN(20,time)*VLOOKUP(G53, list!$J$48:$K$50,2,))+(time_tot-MIN(20,time))-IF(G53="Exponential",time_tot-20+0.217*time*(EXP(4.606*(20-time_tot)/time)-1),((time_tot-20)^2)*(0.5/time)))))))),0)</f>
        <v>0</v>
      </c>
      <c r="P53" s="4455">
        <f t="shared" si="14"/>
        <v>0</v>
      </c>
      <c r="Q53" s="4455">
        <f t="shared" si="15"/>
        <v>0</v>
      </c>
      <c r="R53" s="4456">
        <f t="shared" si="19"/>
        <v>0</v>
      </c>
      <c r="U53" s="4472">
        <f>$Z22*(time*((ABS(D53-C53)*(IF(C53&lt;=D53,VLOOKUP(E53, list!$J$48:$K$50,2,),1-VLOOKUP(E53, list!$J$48:$K$50,2,))))+MIN(D53,C53))+(D53*time_cap))</f>
        <v>0</v>
      </c>
      <c r="V53" s="4473">
        <f>$Z22*(time*((ABS(F53-C53)*(IF(C53&lt;=F53,VLOOKUP(G53, list!$J$48:$K$50,2,),1-VLOOKUP(G53, list!$J$48:$K$50,2,))))+MIN(F53,C53))+(F53*time_cap))</f>
        <v>0</v>
      </c>
      <c r="W53" s="4474">
        <f t="shared" si="20"/>
        <v>0</v>
      </c>
      <c r="AA53" s="3220" t="s">
        <v>161</v>
      </c>
      <c r="AB53" s="3224">
        <f>SUM(AI12:AI29)</f>
        <v>0</v>
      </c>
      <c r="AC53" s="3225">
        <f>SUM(AJ12:AJ29)</f>
        <v>0</v>
      </c>
      <c r="AO53" s="235">
        <f>IF(Y24&gt;0, L55/$Y24,0)/E24</f>
        <v>0</v>
      </c>
      <c r="AP53" s="235">
        <f>IF(Y24&gt;0, M55/$Y24,0)/E24</f>
        <v>0</v>
      </c>
    </row>
    <row r="54" spans="2:42" x14ac:dyDescent="0.2">
      <c r="B54" s="4451">
        <f t="shared" si="16"/>
        <v>0</v>
      </c>
      <c r="C54" s="4452">
        <f>'3.Cropland'!Q76</f>
        <v>0</v>
      </c>
      <c r="D54" s="4452">
        <f>'3.Cropland'!R76</f>
        <v>0</v>
      </c>
      <c r="E54" s="4452" t="str">
        <f>VLOOKUP('3.Cropland'!S76, list!$I$48:$J$50, 2, FALSE)</f>
        <v>Linear</v>
      </c>
      <c r="F54" s="4452">
        <f>'3.Cropland'!T76</f>
        <v>0</v>
      </c>
      <c r="G54" s="4452" t="str">
        <f>VLOOKUP('3.Cropland'!U76, list!$I$48:$J$50, 2, FALSE)</f>
        <v>Linear</v>
      </c>
      <c r="H54" s="4453">
        <f t="shared" si="17"/>
        <v>0</v>
      </c>
      <c r="I54" s="4453">
        <f t="shared" si="18"/>
        <v>0</v>
      </c>
      <c r="J54" s="4453">
        <f>IF(ABS(-$V23*((MIN($C54,D54)*MIN(20,time_tot))+IF(E54="Immediate",IF(D54&gt;$C54,(D54-$C54)*MIN(20,time_tot),0),IF($C54&gt;D54,($C54-D54)*IF(time&gt;20,IF(E54="Linear",time-((time-20)^2)/(2*time),(0.215*time)-(time/4.6)*(EXP(-92.1/time)-0.01)),time*(1-VLOOKUP(E54, list!$J$48:$K$50,2,))),(D54-$C54)*IF(time_tot&gt;time+20,20,IF(time_tot&lt;20,(time*VLOOKUP(E54, list!$J$48:$K$50,2,))+(time_tot-time),((MIN(20,time)*VLOOKUP(E54, list!$J$48:$K$50,2,))+(time_tot-MIN(20,time))-IF(E54="Exponential",time_tot-20+0.217*time*(EXP(4.606*(20-time_tot)/time)-1),((time_tot-20)^2)*(0.5/time)))))))))&gt;=ABS(U23*MAX(C54,D54)),-U23*MAX(C54,D54),-$V23*((MIN($C54,D54)*MIN(20,time_tot))+IF(E54="Immediate",IF(D54&gt;$C54,(D54-$C54)*MIN(20,time_tot),0),IF($C54&gt;D54,($C54-D54)*IF(time&gt;20,IF(E54="Linear",time-((time-20)^2)/(2*time),(0.215*time)-(time/4.6)*(EXP(-92.1/time)-0.01)),time*(1-VLOOKUP(E54, list!$J$48:$K$50,2,))),(D54-$C54)*IF(time_tot&gt;time+20,20,IF(time_tot&lt;20,(time*VLOOKUP(E54, list!$J$48:$K$50,2,))+(time_tot-time),((MIN(20,time)*VLOOKUP(E54, list!$J$48:$K$50,2,))+(time_tot-MIN(20,time))-IF(E54="Exponential",time_tot-20+0.217*time*(EXP(4.606*(20-time_tot)/time)-1),((time_tot-20)^2)*(0.5/time)))))))))</f>
        <v>0</v>
      </c>
      <c r="K54" s="4453">
        <f>IF(ABS(-$V23*((MIN($C54,F54)*MIN(20,time_tot))+IF(G54="Immediate",IF(F54&gt;$C54,(F54-$C54)*MIN(20,time_tot),0),IF($C54&gt;F54,($C54-F54)*IF(time&gt;20,IF(G54="Linear",time-((time-20)^2)/(2*time),(0.215*time)-(time/4.6)*(EXP(-92.1/time)-0.01)),time*(1-VLOOKUP(G54, list!$J$48:$K$50,2,))),(F54-$C54)*IF(time_tot&gt;time+20,20,IF(time_tot&lt;20,(time*VLOOKUP(G54, list!$J$48:$K$50,2,))+(time_tot-time),((MIN(20,time)*VLOOKUP(G54, list!$J$48:$K$50,2,))+(time_tot-MIN(20,time))-IF(G54="Exponential",time_tot-20+0.217*time*(EXP(4.606*(20-time_tot)/time)-1),((time_tot-20)^2)*(0.5/time)))))))))&gt;=ABS(U23*MAX(F54,C54)),-U23*MAX(F54,C54), -$V23*((MIN($C54,F54)*MIN(20,time_tot))+IF(G54="Immediate",IF(F54&gt;$C54,(F54-$C54)*MIN(20,time_tot),0),IF($C54&gt;F54,($C54-F54)*IF(time&gt;20,IF(G54="Linear",time-((time-20)^2)/(2*time),(0.215*time)-(time/4.6)*(EXP(-92.1/time)-0.01)),time*(1-VLOOKUP(G54, list!$J$48:$K$50,2,))),(F54-$C54)*IF(time_tot&gt;time+20,20,IF(time_tot&lt;20,(time*VLOOKUP(G54, list!$J$48:$K$50,2,))+(time_tot-time),((MIN(20,time)*VLOOKUP(G54, list!$J$48:$K$50,2,))+(time_tot-MIN(20,time))-IF(G54="Exponential",time_tot-20+0.217*time*(EXP(4.606*(20-time_tot)/time)-1),((time_tot-20)^2)*(0.5/time)))))))))</f>
        <v>0</v>
      </c>
      <c r="L54" s="4455">
        <f>(MIN(C54,D54)*time_tot+ABS(D54-C54)*IF(D54&gt;C54,time_cap+time*(VLOOKUP(E54, list!$J$48:$K$50,2,)),time*(1-(VLOOKUP(E54, list!$J$48:$K$50,2,)))))*$Y23</f>
        <v>0</v>
      </c>
      <c r="M54" s="4455">
        <f>(MIN(C54,F54)*time_tot+ABS(F54-C54)*IF(F54&gt;C54, time_cap+time*(VLOOKUP(G54,  list!$J$48:$K$50,2,)),time*(1-(VLOOKUP(G54, list!$J$48:$K$50,2,)))))*$Y23</f>
        <v>0</v>
      </c>
      <c r="N54" s="4453">
        <f>IF(T23&lt;P23*Q23,(P23*Q23-T23)/20/10*1000*N2O_N_conversion/1000*((MIN($C54,D54)*MIN(20,time_tot))+IF(E54="Immediate",IF(D54&gt;$C54,(D54-$C54)*MIN(20,time_tot),0),IF($C54&gt;D54,($C54-D54)*IF(time&gt;20,IF(E54="Linear",time-((time-20)^2)/(2*time),(0.215*time)-(time/4.6)*(EXP(-92.1/time)-0.01)),time*(1-VLOOKUP(E54, list!$J$48:$K$50,2,))),(D54-$C54)*IF(time_tot&gt;time+20,20,IF(time_tot&lt;20,(time*VLOOKUP(E54, list!$J$48:$K$50,2,))+(time_tot-time),((MIN(20,time)*VLOOKUP(E54, list!$J$48:$K$50,2,))+(time_tot-MIN(20,time))-IF(E54="Exponential",time_tot-20+0.217*time*(EXP(4.606*(20-time_tot)/time)-1),((time_tot-20)^2)*(0.5/time)))))))),0)</f>
        <v>0</v>
      </c>
      <c r="O54" s="4453">
        <f>IF(T23&lt;P23*Q23,(P23*Q23-T23)/20/10*1000*N2O_N_conversion/1000*((MIN($C54,F54)*MIN(20,time_tot))+IF(G54="Immediate",IF(F54&gt;$C54,(F54-$C54)*MIN(20,time_tot),0),IF($C54&gt;F54,($C54-F54)*IF(time&gt;20,IF(G54="Linear",time-((time-20)^2)/(2*time),(0.215*time)-(time/4.6)*(EXP(-92.1/time)-0.01)),time*(1-VLOOKUP(G54, list!$J$48:$K$50,2,))),(F54-$C54)*IF(time_tot&gt;time+20,20,IF(time_tot&lt;20,(time*VLOOKUP(G54, list!$J$48:$K$50,2,))+(time_tot-time),((MIN(20,time)*VLOOKUP(G54, list!$J$48:$K$50,2,))+(time_tot-MIN(20,time))-IF(G54="Exponential",time_tot-20+0.217*time*(EXP(4.606*(20-time_tot)/time)-1),((time_tot-20)^2)*(0.5/time)))))))),0)</f>
        <v>0</v>
      </c>
      <c r="P54" s="4455">
        <f>$H54+$J54+$L54+N54</f>
        <v>0</v>
      </c>
      <c r="Q54" s="4455">
        <f>$I54+$K54+$M54+O54</f>
        <v>0</v>
      </c>
      <c r="R54" s="4456">
        <f>Q54-P54</f>
        <v>0</v>
      </c>
      <c r="U54" s="4472"/>
      <c r="V54" s="4473"/>
      <c r="W54" s="4474"/>
      <c r="AA54" s="3220"/>
      <c r="AB54" s="4483"/>
      <c r="AC54" s="4484"/>
      <c r="AO54" s="235"/>
      <c r="AP54" s="235"/>
    </row>
    <row r="55" spans="2:42" x14ac:dyDescent="0.2">
      <c r="B55" s="4451">
        <f t="shared" si="16"/>
        <v>0</v>
      </c>
      <c r="C55" s="4452">
        <f>'3.Cropland'!Q77</f>
        <v>0</v>
      </c>
      <c r="D55" s="4452">
        <f>'3.Cropland'!R77</f>
        <v>0</v>
      </c>
      <c r="E55" s="4452" t="str">
        <f>VLOOKUP('3.Cropland'!S77, list!$I$48:$J$50, 2, FALSE)</f>
        <v>Linear</v>
      </c>
      <c r="F55" s="4452">
        <f>'3.Cropland'!T77</f>
        <v>0</v>
      </c>
      <c r="G55" s="4452" t="str">
        <f>VLOOKUP('3.Cropland'!U77, list!$I$48:$J$50, 2, FALSE)</f>
        <v>Linear</v>
      </c>
      <c r="H55" s="4453">
        <f t="shared" si="17"/>
        <v>0</v>
      </c>
      <c r="I55" s="4453">
        <f t="shared" si="18"/>
        <v>0</v>
      </c>
      <c r="J55" s="4453">
        <f>IF(ABS(-$V24*((MIN($C55,D55)*MIN(20,time_tot))+IF(E55="Immediate",IF(D55&gt;$C55,(D55-$C55)*MIN(20,time_tot),0),IF($C55&gt;D55,($C55-D55)*IF(time&gt;20,IF(E55="Linear",time-((time-20)^2)/(2*time),(0.215*time)-(time/4.6)*(EXP(-92.1/time)-0.01)),time*(1-VLOOKUP(E55, list!$J$48:$K$50,2,))),(D55-$C55)*IF(time_tot&gt;time+20,20,IF(time_tot&lt;20,(time*VLOOKUP(E55, list!$J$48:$K$50,2,))+(time_tot-time),((MIN(20,time)*VLOOKUP(E55, list!$J$48:$K$50,2,))+(time_tot-MIN(20,time))-IF(E55="Exponential",time_tot-20+0.217*time*(EXP(4.606*(20-time_tot)/time)-1),((time_tot-20)^2)*(0.5/time)))))))))&gt;=ABS(U24*MAX(C55,D55)),-U24*MAX(C55,D55),-$V24*((MIN($C55,D55)*MIN(20,time_tot))+IF(E55="Immediate",IF(D55&gt;$C55,(D55-$C55)*MIN(20,time_tot),0),IF($C55&gt;D55,($C55-D55)*IF(time&gt;20,IF(E55="Linear",time-((time-20)^2)/(2*time),(0.215*time)-(time/4.6)*(EXP(-92.1/time)-0.01)),time*(1-VLOOKUP(E55, list!$J$48:$K$50,2,))),(D55-$C55)*IF(time_tot&gt;time+20,20,IF(time_tot&lt;20,(time*VLOOKUP(E55, list!$J$48:$K$50,2,))+(time_tot-time),((MIN(20,time)*VLOOKUP(E55, list!$J$48:$K$50,2,))+(time_tot-MIN(20,time))-IF(E55="Exponential",time_tot-20+0.217*time*(EXP(4.606*(20-time_tot)/time)-1),((time_tot-20)^2)*(0.5/time)))))))))</f>
        <v>0</v>
      </c>
      <c r="K55" s="4453">
        <f>IF(ABS(-$V24*((MIN($C55,F55)*MIN(20,time_tot))+IF(G55="Immediate",IF(F55&gt;$C55,(F55-$C55)*MIN(20,time_tot),0),IF($C55&gt;F55,($C55-F55)*IF(time&gt;20,IF(G55="Linear",time-((time-20)^2)/(2*time),(0.215*time)-(time/4.6)*(EXP(-92.1/time)-0.01)),time*(1-VLOOKUP(G55, list!$J$48:$K$50,2,))),(F55-$C55)*IF(time_tot&gt;time+20,20,IF(time_tot&lt;20,(time*VLOOKUP(G55, list!$J$48:$K$50,2,))+(time_tot-time),((MIN(20,time)*VLOOKUP(G55, list!$J$48:$K$50,2,))+(time_tot-MIN(20,time))-IF(G55="Exponential",time_tot-20+0.217*time*(EXP(4.606*(20-time_tot)/time)-1),((time_tot-20)^2)*(0.5/time)))))))))&gt;=ABS(U24*MAX(F55,C55)),-U24*MAX(F55,C55), -$V24*((MIN($C55,F55)*MIN(20,time_tot))+IF(G55="Immediate",IF(F55&gt;$C55,(F55-$C55)*MIN(20,time_tot),0),IF($C55&gt;F55,($C55-F55)*IF(time&gt;20,IF(G55="Linear",time-((time-20)^2)/(2*time),(0.215*time)-(time/4.6)*(EXP(-92.1/time)-0.01)),time*(1-VLOOKUP(G55, list!$J$48:$K$50,2,))),(F55-$C55)*IF(time_tot&gt;time+20,20,IF(time_tot&lt;20,(time*VLOOKUP(G55, list!$J$48:$K$50,2,))+(time_tot-time),((MIN(20,time)*VLOOKUP(G55, list!$J$48:$K$50,2,))+(time_tot-MIN(20,time))-IF(G55="Exponential",time_tot-20+0.217*time*(EXP(4.606*(20-time_tot)/time)-1),((time_tot-20)^2)*(0.5/time)))))))))</f>
        <v>0</v>
      </c>
      <c r="L55" s="4455">
        <f>(MIN(C55,D55)*time_tot+ABS(D55-C55)*IF(D55&gt;C55,time_cap+time*(VLOOKUP(E55, list!$J$48:$K$50,2,)),time*(1-(VLOOKUP(E55, list!$J$48:$K$50,2,)))))*$Y24</f>
        <v>0</v>
      </c>
      <c r="M55" s="4455">
        <f>(MIN(C55,F55)*time_tot+ABS(F55-C55)*IF(F55&gt;C55, time_cap+time*(VLOOKUP(G55,  list!$J$48:$K$50,2,)),time*(1-(VLOOKUP(G55, list!$J$48:$K$50,2,)))))*$Y24</f>
        <v>0</v>
      </c>
      <c r="N55" s="4453">
        <f>IF(T24&lt;P24*Q24,(P24*Q24-T24)/20/10*1000*N2O_N_conversion/1000*((MIN($C55,D55)*MIN(20,time_tot))+IF(E55="Immediate",IF(D55&gt;$C55,(D55-$C55)*MIN(20,time_tot),0),IF($C55&gt;D55,($C55-D55)*IF(time&gt;20,IF(E55="Linear",time-((time-20)^2)/(2*time),(0.215*time)-(time/4.6)*(EXP(-92.1/time)-0.01)),time*(1-VLOOKUP(E55, list!$J$48:$K$50,2,))),(D55-$C55)*IF(time_tot&gt;time+20,20,IF(time_tot&lt;20,(time*VLOOKUP(E55, list!$J$48:$K$50,2,))+(time_tot-time),((MIN(20,time)*VLOOKUP(E55, list!$J$48:$K$50,2,))+(time_tot-MIN(20,time))-IF(E55="Exponential",time_tot-20+0.217*time*(EXP(4.606*(20-time_tot)/time)-1),((time_tot-20)^2)*(0.5/time)))))))),0)</f>
        <v>0</v>
      </c>
      <c r="O55" s="4453">
        <f>IF(T24&lt;P24*Q24,(P24*Q24-T24)/20/10*1000*N2O_N_conversion/1000*((MIN($C55,F55)*MIN(20,time_tot))+IF(G55="Immediate",IF(F55&gt;$C55,(F55-$C55)*MIN(20,time_tot),0),IF($C55&gt;F55,($C55-F55)*IF(time&gt;20,IF(G55="Linear",time-((time-20)^2)/(2*time),(0.215*time)-(time/4.6)*(EXP(-92.1/time)-0.01)),time*(1-VLOOKUP(G55, list!$J$48:$K$50,2,))),(F55-$C55)*IF(time_tot&gt;time+20,20,IF(time_tot&lt;20,(time*VLOOKUP(G55, list!$J$48:$K$50,2,))+(time_tot-time),((MIN(20,time)*VLOOKUP(G55, list!$J$48:$K$50,2,))+(time_tot-MIN(20,time))-IF(G55="Exponential",time_tot-20+0.217*time*(EXP(4.606*(20-time_tot)/time)-1),((time_tot-20)^2)*(0.5/time)))))))),0)</f>
        <v>0</v>
      </c>
      <c r="P55" s="4455">
        <f t="shared" si="14"/>
        <v>0</v>
      </c>
      <c r="Q55" s="4455">
        <f t="shared" si="15"/>
        <v>0</v>
      </c>
      <c r="R55" s="4456">
        <f t="shared" si="19"/>
        <v>0</v>
      </c>
      <c r="U55" s="4472">
        <f>$Z24*(time*((ABS(D55-C55)*(IF(C55&lt;=D55,VLOOKUP(E55, list!$J$48:$K$50,2,),1-VLOOKUP(E55, list!$J$48:$K$50,2,))))+MIN(D55,C55))+(D55*time_cap))</f>
        <v>0</v>
      </c>
      <c r="V55" s="4473">
        <f>$Z24*(time*((ABS(F55-C55)*(IF(C55&lt;=F55,VLOOKUP(G55, list!$J$48:$K$50,2,),1-VLOOKUP(G55, list!$J$48:$K$50,2,))))+MIN(F55,C55))+(F55*time_cap))</f>
        <v>0</v>
      </c>
      <c r="W55" s="4474">
        <f t="shared" si="20"/>
        <v>0</v>
      </c>
      <c r="AA55" s="3220" t="s">
        <v>162</v>
      </c>
      <c r="AB55" s="3227">
        <f>SUM(AK12:AK29)</f>
        <v>0</v>
      </c>
      <c r="AC55" s="3228">
        <f>SUM(AL12:AL29)</f>
        <v>0</v>
      </c>
      <c r="AO55" s="235">
        <f>IF(Y25&gt;0, L56/$Y25,0)/E25</f>
        <v>0</v>
      </c>
      <c r="AP55" s="235">
        <f>IF(Y25&gt;0, M56/$Y25,0)/E25</f>
        <v>0</v>
      </c>
    </row>
    <row r="56" spans="2:42" x14ac:dyDescent="0.2">
      <c r="B56" s="4451">
        <f t="shared" si="16"/>
        <v>0</v>
      </c>
      <c r="C56" s="4452">
        <f>'3.Cropland'!Q79</f>
        <v>0</v>
      </c>
      <c r="D56" s="4452">
        <f>'3.Cropland'!R79</f>
        <v>0</v>
      </c>
      <c r="E56" s="4452" t="str">
        <f>VLOOKUP('3.Cropland'!S79, list!$I$48:$J$50, 2, FALSE)</f>
        <v>Linear</v>
      </c>
      <c r="F56" s="4452">
        <f>'3.Cropland'!T79</f>
        <v>0</v>
      </c>
      <c r="G56" s="4452" t="str">
        <f>VLOOKUP('3.Cropland'!U79, list!$I$48:$J$50, 2, FALSE)</f>
        <v>Linear</v>
      </c>
      <c r="H56" s="4453">
        <f t="shared" si="17"/>
        <v>0</v>
      </c>
      <c r="I56" s="4453">
        <f t="shared" si="18"/>
        <v>0</v>
      </c>
      <c r="J56" s="4453">
        <f>IF(ABS(-$V25*((MIN($C56,D56)*MIN(20,time_tot))+IF(E56="Immediate",IF(D56&gt;$C56,(D56-$C56)*MIN(20,time_tot),0),IF($C56&gt;D56,($C56-D56)*IF(time&gt;20,IF(E56="Linear",time-((time-20)^2)/(2*time),(0.215*time)-(time/4.6)*(EXP(-92.1/time)-0.01)),time*(1-VLOOKUP(E56, list!$J$48:$K$50,2,))),(D56-$C56)*IF(time_tot&gt;time+20,20,IF(time_tot&lt;20,(time*VLOOKUP(E56, list!$J$48:$K$50,2,))+(time_tot-time),((MIN(20,time)*VLOOKUP(E56, list!$J$48:$K$50,2,))+(time_tot-MIN(20,time))-IF(E56="Exponential",time_tot-20+0.217*time*(EXP(4.606*(20-time_tot)/time)-1),((time_tot-20)^2)*(0.5/time)))))))))&gt;=ABS(U25*MAX(C56,D56)),-U25*MAX(C56,D56),-$V25*((MIN($C56,D56)*MIN(20,time_tot))+IF(E56="Immediate",IF(D56&gt;$C56,(D56-$C56)*MIN(20,time_tot),0),IF($C56&gt;D56,($C56-D56)*IF(time&gt;20,IF(E56="Linear",time-((time-20)^2)/(2*time),(0.215*time)-(time/4.6)*(EXP(-92.1/time)-0.01)),time*(1-VLOOKUP(E56, list!$J$48:$K$50,2,))),(D56-$C56)*IF(time_tot&gt;time+20,20,IF(time_tot&lt;20,(time*VLOOKUP(E56, list!$J$48:$K$50,2,))+(time_tot-time),((MIN(20,time)*VLOOKUP(E56, list!$J$48:$K$50,2,))+(time_tot-MIN(20,time))-IF(E56="Exponential",time_tot-20+0.217*time*(EXP(4.606*(20-time_tot)/time)-1),((time_tot-20)^2)*(0.5/time)))))))))</f>
        <v>0</v>
      </c>
      <c r="K56" s="4453">
        <f>IF(ABS(-$V25*((MIN($C56,F56)*MIN(20,time_tot))+IF(G56="Immediate",IF(F56&gt;$C56,(F56-$C56)*MIN(20,time_tot),0),IF($C56&gt;F56,($C56-F56)*IF(time&gt;20,IF(G56="Linear",time-((time-20)^2)/(2*time),(0.215*time)-(time/4.6)*(EXP(-92.1/time)-0.01)),time*(1-VLOOKUP(G56, list!$J$48:$K$50,2,))),(F56-$C56)*IF(time_tot&gt;time+20,20,IF(time_tot&lt;20,(time*VLOOKUP(G56, list!$J$48:$K$50,2,))+(time_tot-time),((MIN(20,time)*VLOOKUP(G56, list!$J$48:$K$50,2,))+(time_tot-MIN(20,time))-IF(G56="Exponential",time_tot-20+0.217*time*(EXP(4.606*(20-time_tot)/time)-1),((time_tot-20)^2)*(0.5/time)))))))))&gt;=ABS(U25*MAX(F56,C56)),-U25*MAX(F56,C56), -$V25*((MIN($C56,F56)*MIN(20,time_tot))+IF(G56="Immediate",IF(F56&gt;$C56,(F56-$C56)*MIN(20,time_tot),0),IF($C56&gt;F56,($C56-F56)*IF(time&gt;20,IF(G56="Linear",time-((time-20)^2)/(2*time),(0.215*time)-(time/4.6)*(EXP(-92.1/time)-0.01)),time*(1-VLOOKUP(G56, list!$J$48:$K$50,2,))),(F56-$C56)*IF(time_tot&gt;time+20,20,IF(time_tot&lt;20,(time*VLOOKUP(G56, list!$J$48:$K$50,2,))+(time_tot-time),((MIN(20,time)*VLOOKUP(G56, list!$J$48:$K$50,2,))+(time_tot-MIN(20,time))-IF(G56="Exponential",time_tot-20+0.217*time*(EXP(4.606*(20-time_tot)/time)-1),((time_tot-20)^2)*(0.5/time)))))))))</f>
        <v>0</v>
      </c>
      <c r="L56" s="4455">
        <f>(MIN(C56,D56)*time_tot+ABS(D56-C56)*IF(D56&gt;C56,time_cap+time*(VLOOKUP(E56, list!$J$48:$K$50,2,)),time*(1-(VLOOKUP(E56, list!$J$48:$K$50,2,)))))*$Y25</f>
        <v>0</v>
      </c>
      <c r="M56" s="4455">
        <f>(MIN(C56,F56)*time_tot+ABS(F56-C56)*IF(F56&gt;C56, time_cap+time*(VLOOKUP(G56,  list!$J$48:$K$50,2,)),time*(1-(VLOOKUP(G56, list!$J$48:$K$50,2,)))))*$Y25</f>
        <v>0</v>
      </c>
      <c r="N56" s="4453">
        <f>IF(T25&lt;P25*Q25,(P25*Q25-T25)/20/10*1000*N2O_N_conversion/1000*((MIN($C56,D56)*MIN(20,time_tot))+IF(E56="Immediate",IF(D56&gt;$C56,(D56-$C56)*MIN(20,time_tot),0),IF($C56&gt;D56,($C56-D56)*IF(time&gt;20,IF(E56="Linear",time-((time-20)^2)/(2*time),(0.215*time)-(time/4.6)*(EXP(-92.1/time)-0.01)),time*(1-VLOOKUP(E56, list!$J$48:$K$50,2,))),(D56-$C56)*IF(time_tot&gt;time+20,20,IF(time_tot&lt;20,(time*VLOOKUP(E56, list!$J$48:$K$50,2,))+(time_tot-time),((MIN(20,time)*VLOOKUP(E56, list!$J$48:$K$50,2,))+(time_tot-MIN(20,time))-IF(E56="Exponential",time_tot-20+0.217*time*(EXP(4.606*(20-time_tot)/time)-1),((time_tot-20)^2)*(0.5/time)))))))),0)</f>
        <v>0</v>
      </c>
      <c r="O56" s="4453">
        <f>IF(T25&lt;P25*Q25,(P25*Q25-T25)/20/10*1000*N2O_N_conversion/1000*((MIN($C56,F56)*MIN(20,time_tot))+IF(G56="Immediate",IF(F56&gt;$C56,(F56-$C56)*MIN(20,time_tot),0),IF($C56&gt;F56,($C56-F56)*IF(time&gt;20,IF(G56="Linear",time-((time-20)^2)/(2*time),(0.215*time)-(time/4.6)*(EXP(-92.1/time)-0.01)),time*(1-VLOOKUP(G56, list!$J$48:$K$50,2,))),(F56-$C56)*IF(time_tot&gt;time+20,20,IF(time_tot&lt;20,(time*VLOOKUP(G56, list!$J$48:$K$50,2,))+(time_tot-time),((MIN(20,time)*VLOOKUP(G56, list!$J$48:$K$50,2,))+(time_tot-MIN(20,time))-IF(G56="Exponential",time_tot-20+0.217*time*(EXP(4.606*(20-time_tot)/time)-1),((time_tot-20)^2)*(0.5/time)))))))),0)</f>
        <v>0</v>
      </c>
      <c r="P56" s="4455">
        <f t="shared" si="14"/>
        <v>0</v>
      </c>
      <c r="Q56" s="4455">
        <f t="shared" si="15"/>
        <v>0</v>
      </c>
      <c r="R56" s="4456">
        <f t="shared" si="19"/>
        <v>0</v>
      </c>
      <c r="U56" s="4472">
        <f>$Z25*(time*((ABS(D56-C56)*(IF(C56&lt;=D56,VLOOKUP(E56, list!$J$48:$K$50,2,),1-VLOOKUP(E56, list!$J$48:$K$50,2,))))+MIN(D56,C56))+(D56*time_cap))</f>
        <v>0</v>
      </c>
      <c r="V56" s="4473">
        <f>$Z25*(time*((ABS(F56-C56)*(IF(C56&lt;=F56,VLOOKUP(G56, list!$J$48:$K$50,2,),1-VLOOKUP(G56, list!$J$48:$K$50,2,))))+MIN(F56,C56))+(F56*time_cap))</f>
        <v>0</v>
      </c>
      <c r="W56" s="4474">
        <f t="shared" si="20"/>
        <v>0</v>
      </c>
      <c r="AA56" s="3217" t="s">
        <v>235</v>
      </c>
      <c r="AB56" s="3230">
        <f>SUM(AB49:AB55)</f>
        <v>-4818.8459733333329</v>
      </c>
      <c r="AC56" s="3230">
        <f>SUM(AC49:AC55)</f>
        <v>-5491.2704000000003</v>
      </c>
      <c r="AD56" s="388"/>
      <c r="AO56" s="235">
        <f>IF(Y27&gt;0, L58/$Y27,0)/E27</f>
        <v>0</v>
      </c>
      <c r="AP56" s="235">
        <f>IF(Y27&gt;0, M58/$Y27,0)/E27</f>
        <v>0</v>
      </c>
    </row>
    <row r="57" spans="2:42" x14ac:dyDescent="0.2">
      <c r="B57" s="4451">
        <f t="shared" si="16"/>
        <v>0</v>
      </c>
      <c r="C57" s="4452">
        <f>'3.Cropland'!Q80</f>
        <v>0</v>
      </c>
      <c r="D57" s="4452">
        <f>'3.Cropland'!R80</f>
        <v>0</v>
      </c>
      <c r="E57" s="4452" t="str">
        <f>VLOOKUP('3.Cropland'!S80, list!$I$48:$J$50, 2, FALSE)</f>
        <v>Linear</v>
      </c>
      <c r="F57" s="4452">
        <f>'3.Cropland'!T80</f>
        <v>0</v>
      </c>
      <c r="G57" s="4452" t="str">
        <f>VLOOKUP('3.Cropland'!U80, list!$I$48:$J$50, 2, FALSE)</f>
        <v>Linear</v>
      </c>
      <c r="H57" s="4453">
        <f t="shared" si="17"/>
        <v>0</v>
      </c>
      <c r="I57" s="4453">
        <f t="shared" si="18"/>
        <v>0</v>
      </c>
      <c r="J57" s="4453">
        <f>IF(ABS(-$V26*((MIN($C57,D57)*MIN(20,time_tot))+IF(E57="Immediate",IF(D57&gt;$C57,(D57-$C57)*MIN(20,time_tot),0),IF($C57&gt;D57,($C57-D57)*IF(time&gt;20,IF(E57="Linear",time-((time-20)^2)/(2*time),(0.215*time)-(time/4.6)*(EXP(-92.1/time)-0.01)),time*(1-VLOOKUP(E57, list!$J$48:$K$50,2,))),(D57-$C57)*IF(time_tot&gt;time+20,20,IF(time_tot&lt;20,(time*VLOOKUP(E57, list!$J$48:$K$50,2,))+(time_tot-time),((MIN(20,time)*VLOOKUP(E57, list!$J$48:$K$50,2,))+(time_tot-MIN(20,time))-IF(E57="Exponential",time_tot-20+0.217*time*(EXP(4.606*(20-time_tot)/time)-1),((time_tot-20)^2)*(0.5/time)))))))))&gt;=ABS(U26*MAX(C57,D57)),-U26*MAX(C57,D57),-$V26*((MIN($C57,D57)*MIN(20,time_tot))+IF(E57="Immediate",IF(D57&gt;$C57,(D57-$C57)*MIN(20,time_tot),0),IF($C57&gt;D57,($C57-D57)*IF(time&gt;20,IF(E57="Linear",time-((time-20)^2)/(2*time),(0.215*time)-(time/4.6)*(EXP(-92.1/time)-0.01)),time*(1-VLOOKUP(E57, list!$J$48:$K$50,2,))),(D57-$C57)*IF(time_tot&gt;time+20,20,IF(time_tot&lt;20,(time*VLOOKUP(E57, list!$J$48:$K$50,2,))+(time_tot-time),((MIN(20,time)*VLOOKUP(E57, list!$J$48:$K$50,2,))+(time_tot-MIN(20,time))-IF(E57="Exponential",time_tot-20+0.217*time*(EXP(4.606*(20-time_tot)/time)-1),((time_tot-20)^2)*(0.5/time)))))))))</f>
        <v>0</v>
      </c>
      <c r="K57" s="4453">
        <f>IF(ABS(-$V26*((MIN($C57,F57)*MIN(20,time_tot))+IF(G57="Immediate",IF(F57&gt;$C57,(F57-$C57)*MIN(20,time_tot),0),IF($C57&gt;F57,($C57-F57)*IF(time&gt;20,IF(G57="Linear",time-((time-20)^2)/(2*time),(0.215*time)-(time/4.6)*(EXP(-92.1/time)-0.01)),time*(1-VLOOKUP(G57, list!$J$48:$K$50,2,))),(F57-$C57)*IF(time_tot&gt;time+20,20,IF(time_tot&lt;20,(time*VLOOKUP(G57, list!$J$48:$K$50,2,))+(time_tot-time),((MIN(20,time)*VLOOKUP(G57, list!$J$48:$K$50,2,))+(time_tot-MIN(20,time))-IF(G57="Exponential",time_tot-20+0.217*time*(EXP(4.606*(20-time_tot)/time)-1),((time_tot-20)^2)*(0.5/time)))))))))&gt;=ABS(U26*MAX(F57,C57)),-U26*MAX(F57,C57), -$V26*((MIN($C57,F57)*MIN(20,time_tot))+IF(G57="Immediate",IF(F57&gt;$C57,(F57-$C57)*MIN(20,time_tot),0),IF($C57&gt;F57,($C57-F57)*IF(time&gt;20,IF(G57="Linear",time-((time-20)^2)/(2*time),(0.215*time)-(time/4.6)*(EXP(-92.1/time)-0.01)),time*(1-VLOOKUP(G57, list!$J$48:$K$50,2,))),(F57-$C57)*IF(time_tot&gt;time+20,20,IF(time_tot&lt;20,(time*VLOOKUP(G57, list!$J$48:$K$50,2,))+(time_tot-time),((MIN(20,time)*VLOOKUP(G57, list!$J$48:$K$50,2,))+(time_tot-MIN(20,time))-IF(G57="Exponential",time_tot-20+0.217*time*(EXP(4.606*(20-time_tot)/time)-1),((time_tot-20)^2)*(0.5/time)))))))))</f>
        <v>0</v>
      </c>
      <c r="L57" s="4455">
        <f>(MIN(C57,D57)*time_tot+ABS(D57-C57)*IF(D57&gt;C57,time_cap+time*(VLOOKUP(E57, list!$J$48:$K$50,2,)),time*(1-(VLOOKUP(E57, list!$J$48:$K$50,2,)))))*$Y26</f>
        <v>0</v>
      </c>
      <c r="M57" s="4455">
        <f>(MIN(C57,F57)*time_tot+ABS(F57-C57)*IF(F57&gt;C57, time_cap+time*(VLOOKUP(G57,  list!$J$48:$K$50,2,)),time*(1-(VLOOKUP(G57, list!$J$48:$K$50,2,)))))*$Y26</f>
        <v>0</v>
      </c>
      <c r="N57" s="4453">
        <f>IF(T26&lt;P26*Q26,(P26*Q26-T26)/20/10*1000*N2O_N_conversion/1000*((MIN($C57,D57)*MIN(20,time_tot))+IF(E57="Immediate",IF(D57&gt;$C57,(D57-$C57)*MIN(20,time_tot),0),IF($C57&gt;D57,($C57-D57)*IF(time&gt;20,IF(E57="Linear",time-((time-20)^2)/(2*time),(0.215*time)-(time/4.6)*(EXP(-92.1/time)-0.01)),time*(1-VLOOKUP(E57, list!$J$48:$K$50,2,))),(D57-$C57)*IF(time_tot&gt;time+20,20,IF(time_tot&lt;20,(time*VLOOKUP(E57, list!$J$48:$K$50,2,))+(time_tot-time),((MIN(20,time)*VLOOKUP(E57, list!$J$48:$K$50,2,))+(time_tot-MIN(20,time))-IF(E57="Exponential",time_tot-20+0.217*time*(EXP(4.606*(20-time_tot)/time)-1),((time_tot-20)^2)*(0.5/time)))))))),0)</f>
        <v>0</v>
      </c>
      <c r="O57" s="4453">
        <f>IF(T26&lt;P26*Q26,(P26*Q26-T26)/20/10*1000*N2O_N_conversion/1000*((MIN($C57,F57)*MIN(20,time_tot))+IF(G57="Immediate",IF(F57&gt;$C57,(F57-$C57)*MIN(20,time_tot),0),IF($C57&gt;F57,($C57-F57)*IF(time&gt;20,IF(G57="Linear",time-((time-20)^2)/(2*time),(0.215*time)-(time/4.6)*(EXP(-92.1/time)-0.01)),time*(1-VLOOKUP(G57, list!$J$48:$K$50,2,))),(F57-$C57)*IF(time_tot&gt;time+20,20,IF(time_tot&lt;20,(time*VLOOKUP(G57, list!$J$48:$K$50,2,))+(time_tot-time),((MIN(20,time)*VLOOKUP(G57, list!$J$48:$K$50,2,))+(time_tot-MIN(20,time))-IF(G57="Exponential",time_tot-20+0.217*time*(EXP(4.606*(20-time_tot)/time)-1),((time_tot-20)^2)*(0.5/time)))))))),0)</f>
        <v>0</v>
      </c>
      <c r="P57" s="4455">
        <f>$H57+$J57+$L57+N57</f>
        <v>0</v>
      </c>
      <c r="Q57" s="4455">
        <f>$I57+$K57+$M57+O57</f>
        <v>0</v>
      </c>
      <c r="R57" s="4456">
        <f>Q57-P57</f>
        <v>0</v>
      </c>
      <c r="U57" s="4472"/>
      <c r="V57" s="4473"/>
      <c r="W57" s="4474"/>
      <c r="AA57" s="4485"/>
      <c r="AB57" s="4486"/>
      <c r="AC57" s="4486"/>
      <c r="AD57" s="388"/>
      <c r="AO57" s="235"/>
      <c r="AP57" s="235"/>
    </row>
    <row r="58" spans="2:42" x14ac:dyDescent="0.2">
      <c r="B58" s="4451">
        <f t="shared" si="16"/>
        <v>0</v>
      </c>
      <c r="C58" s="4452">
        <f>'3.Cropland'!Q81</f>
        <v>0</v>
      </c>
      <c r="D58" s="4452">
        <f>'3.Cropland'!R81</f>
        <v>0</v>
      </c>
      <c r="E58" s="4452" t="str">
        <f>VLOOKUP('3.Cropland'!S81, list!$I$48:$J$50, 2, FALSE)</f>
        <v>Linear</v>
      </c>
      <c r="F58" s="4452">
        <f>'3.Cropland'!T81</f>
        <v>0</v>
      </c>
      <c r="G58" s="4452" t="str">
        <f>VLOOKUP('3.Cropland'!U81, list!$I$48:$J$50, 2, FALSE)</f>
        <v>Linear</v>
      </c>
      <c r="H58" s="4453">
        <f t="shared" si="17"/>
        <v>0</v>
      </c>
      <c r="I58" s="4453">
        <f t="shared" si="18"/>
        <v>0</v>
      </c>
      <c r="J58" s="4453">
        <f>IF(ABS(-$V27*((MIN($C58,D58)*MIN(20,time_tot))+IF(E58="Immediate",IF(D58&gt;$C58,(D58-$C58)*MIN(20,time_tot),0),IF($C58&gt;D58,($C58-D58)*IF(time&gt;20,IF(E58="Linear",time-((time-20)^2)/(2*time),(0.215*time)-(time/4.6)*(EXP(-92.1/time)-0.01)),time*(1-VLOOKUP(E58, list!$J$48:$K$50,2,))),(D58-$C58)*IF(time_tot&gt;time+20,20,IF(time_tot&lt;20,(time*VLOOKUP(E58, list!$J$48:$K$50,2,))+(time_tot-time),((MIN(20,time)*VLOOKUP(E58, list!$J$48:$K$50,2,))+(time_tot-MIN(20,time))-IF(E58="Exponential",time_tot-20+0.217*time*(EXP(4.606*(20-time_tot)/time)-1),((time_tot-20)^2)*(0.5/time)))))))))&gt;=ABS(U27*MAX(C58,D58)),-U27*MAX(C58,D58),-$V27*((MIN($C58,D58)*MIN(20,time_tot))+IF(E58="Immediate",IF(D58&gt;$C58,(D58-$C58)*MIN(20,time_tot),0),IF($C58&gt;D58,($C58-D58)*IF(time&gt;20,IF(E58="Linear",time-((time-20)^2)/(2*time),(0.215*time)-(time/4.6)*(EXP(-92.1/time)-0.01)),time*(1-VLOOKUP(E58, list!$J$48:$K$50,2,))),(D58-$C58)*IF(time_tot&gt;time+20,20,IF(time_tot&lt;20,(time*VLOOKUP(E58, list!$J$48:$K$50,2,))+(time_tot-time),((MIN(20,time)*VLOOKUP(E58, list!$J$48:$K$50,2,))+(time_tot-MIN(20,time))-IF(E58="Exponential",time_tot-20+0.217*time*(EXP(4.606*(20-time_tot)/time)-1),((time_tot-20)^2)*(0.5/time)))))))))</f>
        <v>0</v>
      </c>
      <c r="K58" s="4453">
        <f>IF(ABS(-$V27*((MIN($C58,F58)*MIN(20,time_tot))+IF(G58="Immediate",IF(F58&gt;$C58,(F58-$C58)*MIN(20,time_tot),0),IF($C58&gt;F58,($C58-F58)*IF(time&gt;20,IF(G58="Linear",time-((time-20)^2)/(2*time),(0.215*time)-(time/4.6)*(EXP(-92.1/time)-0.01)),time*(1-VLOOKUP(G58, list!$J$48:$K$50,2,))),(F58-$C58)*IF(time_tot&gt;time+20,20,IF(time_tot&lt;20,(time*VLOOKUP(G58, list!$J$48:$K$50,2,))+(time_tot-time),((MIN(20,time)*VLOOKUP(G58, list!$J$48:$K$50,2,))+(time_tot-MIN(20,time))-IF(G58="Exponential",time_tot-20+0.217*time*(EXP(4.606*(20-time_tot)/time)-1),((time_tot-20)^2)*(0.5/time)))))))))&gt;=ABS(U27*MAX(F58,C58)),-U27*MAX(F58,C58), -$V27*((MIN($C58,F58)*MIN(20,time_tot))+IF(G58="Immediate",IF(F58&gt;$C58,(F58-$C58)*MIN(20,time_tot),0),IF($C58&gt;F58,($C58-F58)*IF(time&gt;20,IF(G58="Linear",time-((time-20)^2)/(2*time),(0.215*time)-(time/4.6)*(EXP(-92.1/time)-0.01)),time*(1-VLOOKUP(G58, list!$J$48:$K$50,2,))),(F58-$C58)*IF(time_tot&gt;time+20,20,IF(time_tot&lt;20,(time*VLOOKUP(G58, list!$J$48:$K$50,2,))+(time_tot-time),((MIN(20,time)*VLOOKUP(G58, list!$J$48:$K$50,2,))+(time_tot-MIN(20,time))-IF(G58="Exponential",time_tot-20+0.217*time*(EXP(4.606*(20-time_tot)/time)-1),((time_tot-20)^2)*(0.5/time)))))))))</f>
        <v>0</v>
      </c>
      <c r="L58" s="4455">
        <f>(MIN(C58,D58)*time_tot+ABS(D58-C58)*IF(D58&gt;C58,time_cap+time*(VLOOKUP(E58, list!$J$48:$K$50,2,)),time*(1-(VLOOKUP(E58, list!$J$48:$K$50,2,)))))*$Y27</f>
        <v>0</v>
      </c>
      <c r="M58" s="4455">
        <f>(MIN(C58,F58)*time_tot+ABS(F58-C58)*IF(F58&gt;C58, time_cap+time*(VLOOKUP(G58,  list!$J$48:$K$50,2,)),time*(1-(VLOOKUP(G58, list!$J$48:$K$50,2,)))))*$Y27</f>
        <v>0</v>
      </c>
      <c r="N58" s="4453">
        <f>IF(T27&lt;P27*Q27,(P27*Q27-T27)/20/10*1000*N2O_N_conversion/1000*((MIN($C58,D58)*MIN(20,time_tot))+IF(E58="Immediate",IF(D58&gt;$C58,(D58-$C58)*MIN(20,time_tot),0),IF($C58&gt;D58,($C58-D58)*IF(time&gt;20,IF(E58="Linear",time-((time-20)^2)/(2*time),(0.215*time)-(time/4.6)*(EXP(-92.1/time)-0.01)),time*(1-VLOOKUP(E58, list!$J$48:$K$50,2,))),(D58-$C58)*IF(time_tot&gt;time+20,20,IF(time_tot&lt;20,(time*VLOOKUP(E58, list!$J$48:$K$50,2,))+(time_tot-time),((MIN(20,time)*VLOOKUP(E58, list!$J$48:$K$50,2,))+(time_tot-MIN(20,time))-IF(E58="Exponential",time_tot-20+0.217*time*(EXP(4.606*(20-time_tot)/time)-1),((time_tot-20)^2)*(0.5/time)))))))),0)</f>
        <v>0</v>
      </c>
      <c r="O58" s="4453">
        <f>IF(T27&lt;P27*Q27,(P27*Q27-T27)/20/10*1000*N2O_N_conversion/1000*((MIN($C58,F58)*MIN(20,time_tot))+IF(G58="Immediate",IF(F58&gt;$C58,(F58-$C58)*MIN(20,time_tot),0),IF($C58&gt;F58,($C58-F58)*IF(time&gt;20,IF(G58="Linear",time-((time-20)^2)/(2*time),(0.215*time)-(time/4.6)*(EXP(-92.1/time)-0.01)),time*(1-VLOOKUP(G58, list!$J$48:$K$50,2,))),(F58-$C58)*IF(time_tot&gt;time+20,20,IF(time_tot&lt;20,(time*VLOOKUP(G58, list!$J$48:$K$50,2,))+(time_tot-time),((MIN(20,time)*VLOOKUP(G58, list!$J$48:$K$50,2,))+(time_tot-MIN(20,time))-IF(G58="Exponential",time_tot-20+0.217*time*(EXP(4.606*(20-time_tot)/time)-1),((time_tot-20)^2)*(0.5/time)))))))),0)</f>
        <v>0</v>
      </c>
      <c r="P58" s="4455">
        <f t="shared" si="14"/>
        <v>0</v>
      </c>
      <c r="Q58" s="4455">
        <f t="shared" si="15"/>
        <v>0</v>
      </c>
      <c r="R58" s="4456">
        <f t="shared" si="19"/>
        <v>0</v>
      </c>
      <c r="U58" s="4472">
        <f>$Z27*(time*((ABS(D58-C58)*(IF(C58&lt;=D58,VLOOKUP(E58, list!$J$48:$K$50,2,),1-VLOOKUP(E58, list!$J$48:$K$50,2,))))+MIN(D58,C58))+(D58*time_cap))</f>
        <v>0</v>
      </c>
      <c r="V58" s="4473">
        <f>$Z27*(time*((ABS(F58-C58)*(IF(C58&lt;=F58,VLOOKUP(G58, list!$J$48:$K$50,2,),1-VLOOKUP(G58, list!$J$48:$K$50,2,))))+MIN(F58,C58))+(F58*time_cap))</f>
        <v>0</v>
      </c>
      <c r="W58" s="4474">
        <f t="shared" si="20"/>
        <v>0</v>
      </c>
      <c r="AO58" s="235">
        <f>IF(Y28&gt;0, L59/$Y28,0)/E28</f>
        <v>0</v>
      </c>
      <c r="AP58" s="235">
        <f>IF(Y28&gt;0, M59/$Y28,0)/E28</f>
        <v>0</v>
      </c>
    </row>
    <row r="59" spans="2:42" x14ac:dyDescent="0.2">
      <c r="B59" s="3272">
        <f t="shared" si="16"/>
        <v>0</v>
      </c>
      <c r="C59" s="3269">
        <f>'3.Cropland'!Q87</f>
        <v>88</v>
      </c>
      <c r="D59" s="3269">
        <f>'3.Cropland'!R87</f>
        <v>0</v>
      </c>
      <c r="E59" s="3269" t="str">
        <f>VLOOKUP('3.Cropland'!S87, list!$I$48:$J$50, 2, FALSE)</f>
        <v>Linear</v>
      </c>
      <c r="F59" s="3269">
        <f>'3.Cropland'!T87</f>
        <v>0</v>
      </c>
      <c r="G59" s="3269" t="str">
        <f>VLOOKUP('3.Cropland'!U87, list!$I$48:$J$50, 2, FALSE)</f>
        <v>Linear</v>
      </c>
      <c r="H59" s="3271">
        <f>IF(AND(M28&lt;&gt;0, D59&lt;&gt;0), IF(AND(G28&gt;=H28,D59-C59&gt;=0),-1*MIN((MIN($K28*((MIN($C59,D59)*time_tot)),(M28+J28*N28)*MIN($C59,D59))+$K28*(ABS(D59-$C59)*(time*(VLOOKUP(E59,list!$J$48:$K$50,2,))+IF(D59-C59&lt;0,0,time_cap)))),(M28+J28*N28)*D59),-1*MIN($K28*((MIN($C59,D59)*time_tot)),((M28+J28*N28)*C59))+-1*MIN($K28*(ABS(D59-$C59)*(time*(VLOOKUP(E59,list!$J$48:$K$50,2,))+IF(D59-C59&lt;0,0,time_cap))), (M28+J28*N28)*D59)), -1*($K28*((MIN($C59,D59)*time_tot)))+-1*$K28*(ABS(D59-$C59)*(time*(1-VLOOKUP(E59,list!$J$48:$K$50,2,))+IF(D59-C59&lt;0,0,time_cap))))</f>
        <v>-887.33333333333326</v>
      </c>
      <c r="I59" s="3271">
        <f>IF(AND(M28&lt;&gt;0, F59&lt;&gt;0), IF(AND(G28&gt;=H28,F59-C59&gt;=0),-1*MIN((MIN($K28*((MIN($C59,F59)*time_tot)),(M28+J28*N28)*MIN($C59,F59))+$K28*(ABS(F59-$C59)*(time*(VLOOKUP(G59,list!$J$48:$K$50,2,))+IF(F59-C59&lt;0,0,time_cap)))),((M28+J28*N28)*F59)),-1*MIN($K28*((MIN($C59,F59)*time_tot)),(M28+J28*N28)*C59)+-1*MIN($K28*(ABS(F59-$C59)*(time*(VLOOKUP(G59,list!$J$48:$K$50,2,))+IF(F59-C59&lt;0,0,time_cap))), (M28+J28*N28)*F59)), -1*($K28*((MIN($C59,F59)*time_tot)))+-1*$K28*(ABS(F59-$C59)*(time*(1-VLOOKUP(G59,list!$J$48:$K$50,2,))+IF(F59-C59&lt;0,0,time_cap))))</f>
        <v>-887.33333333333326</v>
      </c>
      <c r="J59" s="3271">
        <f>IF(ABS(-$V28*((MIN($C59,D59)*MIN(20,time_tot))+IF(E59="Immediate",IF(D59&gt;$C59,(D59-$C59)*MIN(20,time_tot),0),IF($C59&gt;D59,($C59-D59)*IF(time&gt;20,IF(E59="Linear",time-((time-20)^2)/(2*time),(0.215*time)-(time/4.6)*(EXP(-92.1/time)-0.01)),time*(1-VLOOKUP(E59, list!$J$48:$K$50,2,))),(D59-$C59)*IF(time_tot&gt;time+20,20,IF(time_tot&lt;20,(time*VLOOKUP(E59, list!$J$48:$K$50,2,))+(time_tot-time),((MIN(20,time)*VLOOKUP(E59, list!$J$48:$K$50,2,))+(time_tot-MIN(20,time))-IF(E59="Exponential",time_tot-20+0.217*time*(EXP(4.606*(20-time_tot)/time)-1),((time_tot-20)^2)*(0.5/time)))))))))&gt;=ABS(U28*MAX(C59,D59)),-U28*MAX(C59,D59),-$V28*((MIN($C59,D59)*MIN(20,time_tot))+IF(E59="Immediate",IF(D59&gt;$C59,(D59-$C59)*MIN(20,time_tot),0),IF($C59&gt;D59,($C59-D59)*IF(time&gt;20,IF(E59="Linear",time-((time-20)^2)/(2*time),(0.215*time)-(time/4.6)*(EXP(-92.1/time)-0.01)),time*(1-VLOOKUP(E59, list!$J$48:$K$50,2,))),(D59-$C59)*IF(time_tot&gt;time+20,20,IF(time_tot&lt;20,(time*VLOOKUP(E59, list!$J$48:$K$50,2,))+(time_tot-time),((MIN(20,time)*VLOOKUP(E59, list!$J$48:$K$50,2,))+(time_tot-MIN(20,time))-IF(E59="Exponential",time_tot-20+0.217*time*(EXP(4.606*(20-time_tot)/time)-1),((time_tot-20)^2)*(0.5/time)))))))))</f>
        <v>-27.878400000000081</v>
      </c>
      <c r="K59" s="3271">
        <f>IF(ABS(-$V28*((MIN($C59,F59)*MIN(20,time_tot))+IF(G59="Immediate",IF(F59&gt;$C59,(F59-$C59)*MIN(20,time_tot),0),IF($C59&gt;F59,($C59-F59)*IF(time&gt;20,IF(G59="Linear",time-((time-20)^2)/(2*time),(0.215*time)-(time/4.6)*(EXP(-92.1/time)-0.01)),time*(1-VLOOKUP(G59, list!$J$48:$K$50,2,))),(F59-$C59)*IF(time_tot&gt;time+20,20,IF(time_tot&lt;20,(time*VLOOKUP(G59, list!$J$48:$K$50,2,))+(time_tot-time),((MIN(20,time)*VLOOKUP(G59, list!$J$48:$K$50,2,))+(time_tot-MIN(20,time))-IF(G59="Exponential",time_tot-20+0.217*time*(EXP(4.606*(20-time_tot)/time)-1),((time_tot-20)^2)*(0.5/time)))))))))&gt;=ABS(U28*MAX(F59,C59)),-U28*MAX(F59,C59), -$V28*((MIN($C59,F59)*MIN(20,time_tot))+IF(G59="Immediate",IF(F59&gt;$C59,(F59-$C59)*MIN(20,time_tot),0),IF($C59&gt;F59,($C59-F59)*IF(time&gt;20,IF(G59="Linear",time-((time-20)^2)/(2*time),(0.215*time)-(time/4.6)*(EXP(-92.1/time)-0.01)),time*(1-VLOOKUP(G59, list!$J$48:$K$50,2,))),(F59-$C59)*IF(time_tot&gt;time+20,20,IF(time_tot&lt;20,(time*VLOOKUP(G59, list!$J$48:$K$50,2,))+(time_tot-time),((MIN(20,time)*VLOOKUP(G59, list!$J$48:$K$50,2,))+(time_tot-MIN(20,time))-IF(G59="Exponential",time_tot-20+0.217*time*(EXP(4.606*(20-time_tot)/time)-1),((time_tot-20)^2)*(0.5/time)))))))))</f>
        <v>-27.878400000000081</v>
      </c>
      <c r="L59" s="3256">
        <f>(MIN(C59,D59)*time_tot+ABS(D59-C59)*IF(D59&gt;C59,time_cap+time*(VLOOKUP(E59, list!$J$48:$K$50,2,)),time*(1-(VLOOKUP(E59, list!$J$48:$K$50,2,)))))*$Y28</f>
        <v>0</v>
      </c>
      <c r="M59" s="3256">
        <f>(MIN(C59,F59)*time_tot+ABS(F59-C59)*IF(F59&gt;C59, time_cap+time*(VLOOKUP(G59,  list!$J$48:$K$50,2,)),time*(1-(VLOOKUP(G59, list!$J$48:$K$50,2,)))))*$Y28</f>
        <v>0</v>
      </c>
      <c r="N59" s="3271">
        <f>IF(T28&lt;P28*Q28,(P28*Q28-T28)/20/10*1000*N2O_N_conversion/1000*((MIN($C59,D59)*MIN(20,time_tot))+IF(E59="Immediate",IF(D59&gt;$C59,(D59-$C59)*MIN(20,time_tot),0),IF($C59&gt;D59,($C59-D59)*IF(time&gt;20,IF(E59="Linear",time-((time-20)^2)/(2*time),(0.215*time)-(time/4.6)*(EXP(-92.1/time)-0.01)),time*(1-VLOOKUP(E59, list!$J$48:$K$50,2,))),(D59-$C59)*IF(time_tot&gt;time+20,20,IF(time_tot&lt;20,(time*VLOOKUP(E59, list!$J$48:$K$50,2,))+(time_tot-time),((MIN(20,time)*VLOOKUP(E59, list!$J$48:$K$50,2,))+(time_tot-MIN(20,time))-IF(E59="Exponential",time_tot-20+0.217*time*(EXP(4.606*(20-time_tot)/time)-1),((time_tot-20)^2)*(0.5/time)))))))),0)</f>
        <v>0</v>
      </c>
      <c r="O59" s="3271">
        <f>IF(T28&lt;P28*Q28,(P28*Q28-T28)/20/10*1000*N2O_N_conversion/1000*((MIN($C59,F59)*MIN(20,time_tot))+IF(G59="Immediate",IF(F59&gt;$C59,(F59-$C59)*MIN(20,time_tot),0),IF($C59&gt;F59,($C59-F59)*IF(time&gt;20,IF(G59="Linear",time-((time-20)^2)/(2*time),(0.215*time)-(time/4.6)*(EXP(-92.1/time)-0.01)),time*(1-VLOOKUP(G59, list!$J$48:$K$50,2,))),(F59-$C59)*IF(time_tot&gt;time+20,20,IF(time_tot&lt;20,(time*VLOOKUP(G59, list!$J$48:$K$50,2,))+(time_tot-time),((MIN(20,time)*VLOOKUP(G59, list!$J$48:$K$50,2,))+(time_tot-MIN(20,time))-IF(G59="Exponential",time_tot-20+0.217*time*(EXP(4.606*(20-time_tot)/time)-1),((time_tot-20)^2)*(0.5/time)))))))),0)</f>
        <v>0</v>
      </c>
      <c r="P59" s="3256">
        <f t="shared" si="14"/>
        <v>-915.21173333333331</v>
      </c>
      <c r="Q59" s="3256">
        <f t="shared" si="15"/>
        <v>-915.21173333333331</v>
      </c>
      <c r="R59" s="3259">
        <f t="shared" si="19"/>
        <v>0</v>
      </c>
      <c r="U59" s="3709">
        <f>$Z28*(time*((ABS(D59-C59)*(IF(C59&lt;=D59,VLOOKUP(E59, list!$J$48:$K$50,2,),1-VLOOKUP(E59, list!$J$48:$K$50,2,))))+MIN(D59,C59))+(D59*time_cap))</f>
        <v>2640</v>
      </c>
      <c r="V59" s="3710">
        <f>$Z28*(time*((ABS(F59-C59)*(IF(C59&lt;=F59,VLOOKUP(G59, list!$J$48:$K$50,2,),1-VLOOKUP(G59, list!$J$48:$K$50,2,))))+MIN(F59,C59))+(F59*time_cap))</f>
        <v>2640</v>
      </c>
      <c r="W59" s="3711">
        <f t="shared" si="20"/>
        <v>0</v>
      </c>
      <c r="AO59" s="235">
        <f>IF(Y29&gt;0, L60/$Y29,0)/E29</f>
        <v>0</v>
      </c>
      <c r="AP59" s="235">
        <f>IF(Y29&gt;0, M60/$Y29,0)/E29</f>
        <v>0</v>
      </c>
    </row>
    <row r="60" spans="2:42" x14ac:dyDescent="0.2">
      <c r="B60" s="3272">
        <f t="shared" si="16"/>
        <v>0</v>
      </c>
      <c r="C60" s="3269">
        <f>'3.Cropland'!Q88</f>
        <v>0</v>
      </c>
      <c r="D60" s="3269">
        <f>'3.Cropland'!R88</f>
        <v>88</v>
      </c>
      <c r="E60" s="3269" t="str">
        <f>VLOOKUP('3.Cropland'!S88, list!$I$48:$J$50, 2, FALSE)</f>
        <v>Linear</v>
      </c>
      <c r="F60" s="3269">
        <f>'3.Cropland'!T88</f>
        <v>0</v>
      </c>
      <c r="G60" s="3269" t="str">
        <f>VLOOKUP('3.Cropland'!U88, list!$I$48:$J$50, 2, FALSE)</f>
        <v>Linear</v>
      </c>
      <c r="H60" s="3271">
        <f>IF(AND(M29&lt;&gt;0, D60&lt;&gt;0), IF(AND(G29&gt;=H29,D60-C60&gt;=0),-1*MIN((MIN($K29*((MIN($C60,D60)*time_tot)),(M29+J29*N29)*MIN($C60,D60))+$K29*(ABS(D60-$C60)*(time*(VLOOKUP(E60,list!$J$48:$K$50,2,))+IF(D60-C60&lt;0,0,time_cap)))),(M29+J29*N29)*D60),-1*MIN($K29*((MIN($C60,D60)*time_tot)),((M29+J29*N29)*C60))+-1*MIN($K29*(ABS(D60-$C60)*(time*(VLOOKUP(E60,list!$J$48:$K$50,2,))+IF(D60-C60&lt;0,0,time_cap))), (M29+J29*N29)*D60)), -1*($K29*((MIN($C60,D60)*time_tot)))+-1*$K29*(ABS(D60-$C60)*(time*(1-VLOOKUP(E60,list!$J$48:$K$50,2,))+IF(D60-C60&lt;0,0,time_cap))))</f>
        <v>-2662</v>
      </c>
      <c r="I60" s="3271">
        <f>IF(AND(M29&lt;&gt;0, F60&lt;&gt;0), IF(AND(G29&gt;=H29,F60-C60&gt;=0),-1*MIN((MIN($K29*((MIN($C60,F60)*time_tot)),(M29+J29*N29)*MIN($C60,F60))+$K29*(ABS(F60-$C60)*(time*(VLOOKUP(G60,list!$J$48:$K$50,2,))+IF(F60-C60&lt;0,0,time_cap)))),((M29+J29*N29)*F60)),-1*MIN($K29*((MIN($C60,F60)*time_tot)),(M29+J29*N29)*C60)+-1*MIN($K29*(ABS(F60-$C60)*(time*(VLOOKUP(G60,list!$J$48:$K$50,2,))+IF(F60-C60&lt;0,0,time_cap))), (M29+J29*N29)*F60)), -1*($K29*((MIN($C60,F60)*time_tot)))+-1*$K29*(ABS(F60-$C60)*(time*(1-VLOOKUP(G60,list!$J$48:$K$50,2,))+IF(F60-C60&lt;0,0,time_cap))))</f>
        <v>0</v>
      </c>
      <c r="J60" s="3271">
        <f>IF(ABS(-$V29*((MIN($C60,D60)*MIN(20,time_tot))+IF(E60="Immediate",IF(D60&gt;$C60,(D60-$C60)*MIN(20,time_tot),0),IF($C60&gt;D60,($C60-D60)*IF(time&gt;20,IF(E60="Linear",time-((time-20)^2)/(2*time),(0.215*time)-(time/4.6)*(EXP(-92.1/time)-0.01)),time*(1-VLOOKUP(E60, list!$J$48:$K$50,2,))),(D60-$C60)*IF(time_tot&gt;time+20,20,IF(time_tot&lt;20,(time*VLOOKUP(E60, list!$J$48:$K$50,2,))+(time_tot-time),((MIN(20,time)*VLOOKUP(E60, list!$J$48:$K$50,2,))+(time_tot-MIN(20,time))-IF(E60="Exponential",time_tot-20+0.217*time*(EXP(4.606*(20-time_tot)/time)-1),((time_tot-20)^2)*(0.5/time)))))))))&gt;=ABS(U29*MAX(C60,D60)),-U29*MAX(C60,D60),-$V29*((MIN($C60,D60)*MIN(20,time_tot))+IF(E60="Immediate",IF(D60&gt;$C60,(D60-$C60)*MIN(20,time_tot),0),IF($C60&gt;D60,($C60-D60)*IF(time&gt;20,IF(E60="Linear",time-((time-20)^2)/(2*time),(0.215*time)-(time/4.6)*(EXP(-92.1/time)-0.01)),time*(1-VLOOKUP(E60, list!$J$48:$K$50,2,))),(D60-$C60)*IF(time_tot&gt;time+20,20,IF(time_tot&lt;20,(time*VLOOKUP(E60, list!$J$48:$K$50,2,))+(time_tot-time),((MIN(20,time)*VLOOKUP(E60, list!$J$48:$K$50,2,))+(time_tot-MIN(20,time))-IF(E60="Exponential",time_tot-20+0.217*time*(EXP(4.606*(20-time_tot)/time)-1),((time_tot-20)^2)*(0.5/time)))))))))</f>
        <v>-1241.6342400000003</v>
      </c>
      <c r="K60" s="3271">
        <f>IF(ABS(-$V29*((MIN($C60,F60)*MIN(20,time_tot))+IF(G60="Immediate",IF(F60&gt;$C60,(F60-$C60)*MIN(20,time_tot),0),IF($C60&gt;F60,($C60-F60)*IF(time&gt;20,IF(G60="Linear",time-((time-20)^2)/(2*time),(0.215*time)-(time/4.6)*(EXP(-92.1/time)-0.01)),time*(1-VLOOKUP(G60, list!$J$48:$K$50,2,))),(F60-$C60)*IF(time_tot&gt;time+20,20,IF(time_tot&lt;20,(time*VLOOKUP(G60, list!$J$48:$K$50,2,))+(time_tot-time),((MIN(20,time)*VLOOKUP(G60, list!$J$48:$K$50,2,))+(time_tot-MIN(20,time))-IF(G60="Exponential",time_tot-20+0.217*time*(EXP(4.606*(20-time_tot)/time)-1),((time_tot-20)^2)*(0.5/time)))))))))&gt;=ABS(U29*MAX(F60,C60)),-U29*MAX(F60,C60), -$V29*((MIN($C60,F60)*MIN(20,time_tot))+IF(G60="Immediate",IF(F60&gt;$C60,(F60-$C60)*MIN(20,time_tot),0),IF($C60&gt;F60,($C60-F60)*IF(time&gt;20,IF(G60="Linear",time-((time-20)^2)/(2*time),(0.215*time)-(time/4.6)*(EXP(-92.1/time)-0.01)),time*(1-VLOOKUP(G60, list!$J$48:$K$50,2,))),(F60-$C60)*IF(time_tot&gt;time+20,20,IF(time_tot&lt;20,(time*VLOOKUP(G60, list!$J$48:$K$50,2,))+(time_tot-time),((MIN(20,time)*VLOOKUP(G60, list!$J$48:$K$50,2,))+(time_tot-MIN(20,time))-IF(G60="Exponential",time_tot-20+0.217*time*(EXP(4.606*(20-time_tot)/time)-1),((time_tot-20)^2)*(0.5/time)))))))))</f>
        <v>0</v>
      </c>
      <c r="L60" s="3260">
        <f>(MIN(C60,D60)*time_tot+ABS(D60-C60)*IF(D60&gt;C60,time_cap+time*(VLOOKUP(E60, list!$J$48:$K$50,2,)),time*(1-(VLOOKUP(E60, list!$J$48:$K$50,2,)))))*$Y29</f>
        <v>0</v>
      </c>
      <c r="M60" s="3260">
        <f>(MIN(C60,F60)*time_tot+ABS(F60-C60)*IF(F60&gt;C60, time_cap+time*(VLOOKUP(G60,  list!$J$48:$K$50,2,)),time*(1-(VLOOKUP(G60, list!$J$48:$K$50,2,)))))*$Y29</f>
        <v>0</v>
      </c>
      <c r="N60" s="3271">
        <f>IF(T29&lt;P29*Q29,(P29*Q29-T29)/20/10*1000*N2O_N_conversion/1000*((MIN($C60,D60)*MIN(20,time_tot))+IF(E60="Immediate",IF(D60&gt;$C60,(D60-$C60)*MIN(20,time_tot),0),IF($C60&gt;D60,($C60-D60)*IF(time&gt;20,IF(E60="Linear",time-((time-20)^2)/(2*time),(0.215*time)-(time/4.6)*(EXP(-92.1/time)-0.01)),time*(1-VLOOKUP(E60, list!$J$48:$K$50,2,))),(D60-$C60)*IF(time_tot&gt;time+20,20,IF(time_tot&lt;20,(time*VLOOKUP(E60, list!$J$48:$K$50,2,))+(time_tot-time),((MIN(20,time)*VLOOKUP(E60, list!$J$48:$K$50,2,))+(time_tot-MIN(20,time))-IF(E60="Exponential",time_tot-20+0.217*time*(EXP(4.606*(20-time_tot)/time)-1),((time_tot-20)^2)*(0.5/time)))))))),0)</f>
        <v>0</v>
      </c>
      <c r="O60" s="3271">
        <f>IF(T29&lt;P29*Q29,(P29*Q29-T29)/20/10*1000*N2O_N_conversion/1000*((MIN($C60,F60)*MIN(20,time_tot))+IF(G60="Immediate",IF(F60&gt;$C60,(F60-$C60)*MIN(20,time_tot),0),IF($C60&gt;F60,($C60-F60)*IF(time&gt;20,IF(G60="Linear",time-((time-20)^2)/(2*time),(0.215*time)-(time/4.6)*(EXP(-92.1/time)-0.01)),time*(1-VLOOKUP(G60, list!$J$48:$K$50,2,))),(F60-$C60)*IF(time_tot&gt;time+20,20,IF(time_tot&lt;20,(time*VLOOKUP(G60, list!$J$48:$K$50,2,))+(time_tot-time),((MIN(20,time)*VLOOKUP(G60, list!$J$48:$K$50,2,))+(time_tot-MIN(20,time))-IF(G60="Exponential",time_tot-20+0.217*time*(EXP(4.606*(20-time_tot)/time)-1),((time_tot-20)^2)*(0.5/time)))))))),0)</f>
        <v>0</v>
      </c>
      <c r="P60" s="3260">
        <f t="shared" si="14"/>
        <v>-3903.6342400000003</v>
      </c>
      <c r="Q60" s="3260">
        <f t="shared" si="15"/>
        <v>0</v>
      </c>
      <c r="R60" s="3261">
        <f t="shared" si="19"/>
        <v>3903.6342400000003</v>
      </c>
      <c r="U60" s="3712">
        <f>$Z29*(time*((ABS(D60-C60)*(IF(C60&lt;=D60,VLOOKUP(E60, list!$J$48:$K$50,2,),1-VLOOKUP(E60, list!$J$48:$K$50,2,))))+MIN(D60,C60))+(D60*time_cap))</f>
        <v>14300</v>
      </c>
      <c r="V60" s="3713">
        <f>$Z29*(time*((ABS(F60-C60)*(IF(C60&lt;=F60,VLOOKUP(G60, list!$J$48:$K$50,2,),1-VLOOKUP(G60, list!$J$48:$K$50,2,))))+MIN(F60,C60))+(F60*time_cap))</f>
        <v>0</v>
      </c>
      <c r="W60" s="3714">
        <f t="shared" si="20"/>
        <v>-14300</v>
      </c>
      <c r="AN60" s="3694" t="s">
        <v>235</v>
      </c>
      <c r="AO60" s="3694">
        <f>SUM(AO42:AO59)</f>
        <v>0</v>
      </c>
      <c r="AP60" s="3694">
        <f>SUM(AP42:AP59)</f>
        <v>0</v>
      </c>
    </row>
    <row r="61" spans="2:42" x14ac:dyDescent="0.2">
      <c r="B61" s="3272">
        <f t="shared" ref="B61:B66" si="21">B30</f>
        <v>0</v>
      </c>
      <c r="C61" s="3269">
        <f>'3.Cropland'!Q89</f>
        <v>0</v>
      </c>
      <c r="D61" s="3269">
        <f>'3.Cropland'!R89</f>
        <v>0</v>
      </c>
      <c r="E61" s="3269" t="str">
        <f>VLOOKUP('3.Cropland'!S89, list!$I$48:$J$50, 2, FALSE)</f>
        <v>Linear</v>
      </c>
      <c r="F61" s="3269">
        <f>'3.Cropland'!T89</f>
        <v>88</v>
      </c>
      <c r="G61" s="3269" t="str">
        <f>VLOOKUP('3.Cropland'!U89, list!$I$48:$J$50, 2, FALSE)</f>
        <v>Linear</v>
      </c>
      <c r="H61" s="3271">
        <f>IF(AND(M30&lt;&gt;0, D61&lt;&gt;0), IF(AND(G30&gt;=H30,D61-C61&gt;=0),-1*MIN((MIN($K30*((MIN($C61,D61)*time_tot)),(M30+J30*N30)*MIN($C61,D61))+$K30*(ABS(D61-$C61)*(time*(VLOOKUP(E61,list!$J$48:$K$50,2,))+IF(D61-C61&lt;0,0,time_cap)))),(M30+J30*N30)*D61),-1*MIN($K30*((MIN($C61,D61)*time_tot)),((M30+J30*N30)*C61))+-1*MIN($K30*(ABS(D61-$C61)*(time*(VLOOKUP(E61,list!$J$48:$K$50,2,))+IF(D61-C61&lt;0,0,time_cap))), (M30+J30*N30)*D61)), -1*($K30*((MIN($C61,D61)*time_tot)))+-1*$K30*(ABS(D61-$C61)*(time*(1-VLOOKUP(E61,list!$J$48:$K$50,2,))+IF(D61-C61&lt;0,0,time_cap))))</f>
        <v>0</v>
      </c>
      <c r="I61" s="3271">
        <f>IF(AND(M30&lt;&gt;0, F61&lt;&gt;0), IF(AND(G30&gt;=H30,F61-C61&gt;=0),-1*MIN((MIN($K30*((MIN($C61,F61)*time_tot)),(M30+J30*N30)*MIN($C61,F61))+$K30*(ABS(F61-$C61)*(time*(VLOOKUP(G61,list!$J$48:$K$50,2,))+IF(F61-C61&lt;0,0,time_cap)))),((M30+J30*N30)*F61)),-1*MIN($K30*((MIN($C61,F61)*time_tot)),(M30+J30*N30)*C61)+-1*MIN($K30*(ABS(F61-$C61)*(time*(VLOOKUP(G61,list!$J$48:$K$50,2,))+IF(F61-C61&lt;0,0,time_cap))), (M30+J30*N30)*F61)), -1*($K30*((MIN($C61,F61)*time_tot)))+-1*$K30*(ABS(F61-$C61)*(time*(1-VLOOKUP(G61,list!$J$48:$K$50,2,))+IF(F61-C61&lt;0,0,time_cap))))</f>
        <v>-4436.666666666667</v>
      </c>
      <c r="J61" s="3271">
        <f>IF(ABS(-$V30*((MIN($C61,D61)*MIN(20,time_tot))+IF(E61="Immediate",IF(D61&gt;$C61,(D61-$C61)*MIN(20,time_tot),0),IF($C61&gt;D61,($C61-D61)*IF(time&gt;20,IF(E61="Linear",time-((time-20)^2)/(2*time),(0.215*time)-(time/4.6)*(EXP(-92.1/time)-0.01)),time*(1-VLOOKUP(E61, list!$J$48:$K$50,2,))),(D61-$C61)*IF(time_tot&gt;time+20,20,IF(time_tot&lt;20,(time*VLOOKUP(E61, list!$J$48:$K$50,2,))+(time_tot-time),((MIN(20,time)*VLOOKUP(E61, list!$J$48:$K$50,2,))+(time_tot-MIN(20,time))-IF(E61="Exponential",time_tot-20+0.217*time*(EXP(4.606*(20-time_tot)/time)-1),((time_tot-20)^2)*(0.5/time)))))))))&gt;=ABS(U30*MAX(C61,D61)),-U30*MAX(C61,D61),-$V30*((MIN($C61,D61)*MIN(20,time_tot))+IF(E61="Immediate",IF(D61&gt;$C61,(D61-$C61)*MIN(20,time_tot),0),IF($C61&gt;D61,($C61-D61)*IF(time&gt;20,IF(E61="Linear",time-((time-20)^2)/(2*time),(0.215*time)-(time/4.6)*(EXP(-92.1/time)-0.01)),time*(1-VLOOKUP(E61, list!$J$48:$K$50,2,))),(D61-$C61)*IF(time_tot&gt;time+20,20,IF(time_tot&lt;20,(time*VLOOKUP(E61, list!$J$48:$K$50,2,))+(time_tot-time),((MIN(20,time)*VLOOKUP(E61, list!$J$48:$K$50,2,))+(time_tot-MIN(20,time))-IF(E61="Exponential",time_tot-20+0.217*time*(EXP(4.606*(20-time_tot)/time)-1),((time_tot-20)^2)*(0.5/time)))))))))</f>
        <v>0</v>
      </c>
      <c r="K61" s="3271">
        <f>IF(ABS(-$V30*((MIN($C61,F61)*MIN(20,time_tot))+IF(G61="Immediate",IF(F61&gt;$C61,(F61-$C61)*MIN(20,time_tot),0),IF($C61&gt;F61,($C61-F61)*IF(time&gt;20,IF(G61="Linear",time-((time-20)^2)/(2*time),(0.215*time)-(time/4.6)*(EXP(-92.1/time)-0.01)),time*(1-VLOOKUP(G61, list!$J$48:$K$50,2,))),(F61-$C61)*IF(time_tot&gt;time+20,20,IF(time_tot&lt;20,(time*VLOOKUP(G61, list!$J$48:$K$50,2,))+(time_tot-time),((MIN(20,time)*VLOOKUP(G61, list!$J$48:$K$50,2,))+(time_tot-MIN(20,time))-IF(G61="Exponential",time_tot-20+0.217*time*(EXP(4.606*(20-time_tot)/time)-1),((time_tot-20)^2)*(0.5/time)))))))))&gt;=ABS(U30*MAX(F61,C61)),-U30*MAX(F61,C61), -$V30*((MIN($C61,F61)*MIN(20,time_tot))+IF(G61="Immediate",IF(F61&gt;$C61,(F61-$C61)*MIN(20,time_tot),0),IF($C61&gt;F61,($C61-F61)*IF(time&gt;20,IF(G61="Linear",time-((time-20)^2)/(2*time),(0.215*time)-(time/4.6)*(EXP(-92.1/time)-0.01)),time*(1-VLOOKUP(G61, list!$J$48:$K$50,2,))),(F61-$C61)*IF(time_tot&gt;time+20,20,IF(time_tot&lt;20,(time*VLOOKUP(G61, list!$J$48:$K$50,2,))+(time_tot-time),((MIN(20,time)*VLOOKUP(G61, list!$J$48:$K$50,2,))+(time_tot-MIN(20,time))-IF(G61="Exponential",time_tot-20+0.217*time*(EXP(4.606*(20-time_tot)/time)-1),((time_tot-20)^2)*(0.5/time)))))))))</f>
        <v>-139.39200000000039</v>
      </c>
      <c r="L61" s="3260">
        <f>(MIN(C61,D61)*time_tot+ABS(D61-C61)*IF(D61&gt;C61,time_cap+time*(VLOOKUP(E61, list!$J$48:$K$50,2,)),time*(1-(VLOOKUP(E61, list!$J$48:$K$50,2,)))))*$Y30</f>
        <v>0</v>
      </c>
      <c r="M61" s="3260">
        <f>(MIN(C61,F61)*time_tot+ABS(F61-C61)*IF(F61&gt;C61, time_cap+time*(VLOOKUP(G61,  list!$J$48:$K$50,2,)),time*(1-(VLOOKUP(G61, list!$J$48:$K$50,2,)))))*$Y30</f>
        <v>0</v>
      </c>
      <c r="N61" s="3271">
        <f>IF(T30&lt;P30*Q30,(P30*Q30-T30)/20/10*1000*N2O_N_conversion/1000*((MIN($C61,D61)*MIN(20,time_tot))+IF(E61="Immediate",IF(D61&gt;$C61,(D61-$C61)*MIN(20,time_tot),0),IF($C61&gt;D61,($C61-D61)*IF(time&gt;20,IF(E61="Linear",time-((time-20)^2)/(2*time),(0.215*time)-(time/4.6)*(EXP(-92.1/time)-0.01)),time*(1-VLOOKUP(E61, list!$J$48:$K$50,2,))),(D61-$C61)*IF(time_tot&gt;time+20,20,IF(time_tot&lt;20,(time*VLOOKUP(E61, list!$J$48:$K$50,2,))+(time_tot-time),((MIN(20,time)*VLOOKUP(E61, list!$J$48:$K$50,2,))+(time_tot-MIN(20,time))-IF(E61="Exponential",time_tot-20+0.217*time*(EXP(4.606*(20-time_tot)/time)-1),((time_tot-20)^2)*(0.5/time)))))))),0)</f>
        <v>0</v>
      </c>
      <c r="O61" s="3271">
        <f>IF(T30&lt;P30*Q30,(P30*Q30-T30)/20/10*1000*N2O_N_conversion/1000*((MIN($C61,F61)*MIN(20,time_tot))+IF(G61="Immediate",IF(F61&gt;$C61,(F61-$C61)*MIN(20,time_tot),0),IF($C61&gt;F61,($C61-F61)*IF(time&gt;20,IF(G61="Linear",time-((time-20)^2)/(2*time),(0.215*time)-(time/4.6)*(EXP(-92.1/time)-0.01)),time*(1-VLOOKUP(G61, list!$J$48:$K$50,2,))),(F61-$C61)*IF(time_tot&gt;time+20,20,IF(time_tot&lt;20,(time*VLOOKUP(G61, list!$J$48:$K$50,2,))+(time_tot-time),((MIN(20,time)*VLOOKUP(G61, list!$J$48:$K$50,2,))+(time_tot-MIN(20,time))-IF(G61="Exponential",time_tot-20+0.217*time*(EXP(4.606*(20-time_tot)/time)-1),((time_tot-20)^2)*(0.5/time)))))))),0)</f>
        <v>0</v>
      </c>
      <c r="P61" s="3260">
        <f t="shared" ref="P61:P66" si="22">$H61+$J61+$L61+N61</f>
        <v>0</v>
      </c>
      <c r="Q61" s="3260">
        <f t="shared" ref="Q61:Q66" si="23">$I61+$K61+$M61+O61</f>
        <v>-4576.0586666666677</v>
      </c>
      <c r="R61" s="3261">
        <f t="shared" ref="R61:R66" si="24">Q61-P61</f>
        <v>-4576.0586666666677</v>
      </c>
      <c r="U61" s="3712">
        <f>$Z30*(time*((ABS(D61-C61)*(IF(C61&lt;=D61,VLOOKUP(E61, list!$J$48:$K$50,2,),1-VLOOKUP(E61, list!$J$48:$K$50,2,))))+MIN(D61,C61))+(D61*time_cap))</f>
        <v>0</v>
      </c>
      <c r="V61" s="3713">
        <f>$Z30*(time*((ABS(F61-C61)*(IF(C61&lt;=F61,VLOOKUP(G61, list!$J$48:$K$50,2,),1-VLOOKUP(G61, list!$J$48:$K$50,2,))))+MIN(F61,C61))+(F61*time_cap))</f>
        <v>15400</v>
      </c>
      <c r="W61" s="3714">
        <f t="shared" ref="W61:W66" si="25">V61-U61</f>
        <v>15400</v>
      </c>
      <c r="AN61" s="4450"/>
      <c r="AO61" s="4450"/>
      <c r="AP61" s="4450"/>
    </row>
    <row r="62" spans="2:42" x14ac:dyDescent="0.2">
      <c r="B62" s="3272">
        <f t="shared" si="21"/>
        <v>0</v>
      </c>
      <c r="C62" s="3269">
        <f>'3.Cropland'!Q90</f>
        <v>0</v>
      </c>
      <c r="D62" s="3269">
        <f>'3.Cropland'!R90</f>
        <v>0</v>
      </c>
      <c r="E62" s="3269" t="str">
        <f>VLOOKUP('3.Cropland'!S90, list!$I$48:$J$50, 2, FALSE)</f>
        <v>Linear</v>
      </c>
      <c r="F62" s="3269">
        <f>'3.Cropland'!T90</f>
        <v>0</v>
      </c>
      <c r="G62" s="3269" t="str">
        <f>VLOOKUP('3.Cropland'!U90, list!$I$48:$J$50, 2, FALSE)</f>
        <v>Linear</v>
      </c>
      <c r="H62" s="3271">
        <f>IF(AND(M31&lt;&gt;0, D62&lt;&gt;0), IF(AND(G31&gt;=H31,D62-C62&gt;=0),-1*MIN((MIN($K31*((MIN($C62,D62)*time_tot)),(M31+J31*N31)*MIN($C62,D62))+$K31*(ABS(D62-$C62)*(time*(VLOOKUP(E62,list!$J$48:$K$50,2,))+IF(D62-C62&lt;0,0,time_cap)))),(M31+J31*N31)*D62),-1*MIN($K31*((MIN($C62,D62)*time_tot)),((M31+J31*N31)*C62))+-1*MIN($K31*(ABS(D62-$C62)*(time*(VLOOKUP(E62,list!$J$48:$K$50,2,))+IF(D62-C62&lt;0,0,time_cap))), (M31+J31*N31)*D62)), -1*($K31*((MIN($C62,D62)*time_tot)))+-1*$K31*(ABS(D62-$C62)*(time*(1-VLOOKUP(E62,list!$J$48:$K$50,2,))+IF(D62-C62&lt;0,0,time_cap))))</f>
        <v>0</v>
      </c>
      <c r="I62" s="3271">
        <f>IF(AND(M31&lt;&gt;0, F62&lt;&gt;0), IF(AND(G31&gt;=H31,F62-C62&gt;=0),-1*MIN((MIN($K31*((MIN($C62,F62)*time_tot)),(M31+J31*N31)*MIN($C62,F62))+$K31*(ABS(F62-$C62)*(time*(VLOOKUP(G62,list!$J$48:$K$50,2,))+IF(F62-C62&lt;0,0,time_cap)))),((M31+J31*N31)*F62)),-1*MIN($K31*((MIN($C62,F62)*time_tot)),(M31+J31*N31)*C62)+-1*MIN($K31*(ABS(F62-$C62)*(time*(VLOOKUP(G62,list!$J$48:$K$50,2,))+IF(F62-C62&lt;0,0,time_cap))), (M31+J31*N31)*F62)), -1*($K31*((MIN($C62,F62)*time_tot)))+-1*$K31*(ABS(F62-$C62)*(time*(1-VLOOKUP(G62,list!$J$48:$K$50,2,))+IF(F62-C62&lt;0,0,time_cap))))</f>
        <v>0</v>
      </c>
      <c r="J62" s="3271">
        <f>IF(ABS(-$V31*((MIN($C62,D62)*MIN(20,time_tot))+IF(E62="Immediate",IF(D62&gt;$C62,(D62-$C62)*MIN(20,time_tot),0),IF($C62&gt;D62,($C62-D62)*IF(time&gt;20,IF(E62="Linear",time-((time-20)^2)/(2*time),(0.215*time)-(time/4.6)*(EXP(-92.1/time)-0.01)),time*(1-VLOOKUP(E62, list!$J$48:$K$50,2,))),(D62-$C62)*IF(time_tot&gt;time+20,20,IF(time_tot&lt;20,(time*VLOOKUP(E62, list!$J$48:$K$50,2,))+(time_tot-time),((MIN(20,time)*VLOOKUP(E62, list!$J$48:$K$50,2,))+(time_tot-MIN(20,time))-IF(E62="Exponential",time_tot-20+0.217*time*(EXP(4.606*(20-time_tot)/time)-1),((time_tot-20)^2)*(0.5/time)))))))))&gt;=ABS(U31*MAX(C62,D62)),-U31*MAX(C62,D62),-$V31*((MIN($C62,D62)*MIN(20,time_tot))+IF(E62="Immediate",IF(D62&gt;$C62,(D62-$C62)*MIN(20,time_tot),0),IF($C62&gt;D62,($C62-D62)*IF(time&gt;20,IF(E62="Linear",time-((time-20)^2)/(2*time),(0.215*time)-(time/4.6)*(EXP(-92.1/time)-0.01)),time*(1-VLOOKUP(E62, list!$J$48:$K$50,2,))),(D62-$C62)*IF(time_tot&gt;time+20,20,IF(time_tot&lt;20,(time*VLOOKUP(E62, list!$J$48:$K$50,2,))+(time_tot-time),((MIN(20,time)*VLOOKUP(E62, list!$J$48:$K$50,2,))+(time_tot-MIN(20,time))-IF(E62="Exponential",time_tot-20+0.217*time*(EXP(4.606*(20-time_tot)/time)-1),((time_tot-20)^2)*(0.5/time)))))))))</f>
        <v>0</v>
      </c>
      <c r="K62" s="3271">
        <f>IF(ABS(-$V31*((MIN($C62,F62)*MIN(20,time_tot))+IF(G62="Immediate",IF(F62&gt;$C62,(F62-$C62)*MIN(20,time_tot),0),IF($C62&gt;F62,($C62-F62)*IF(time&gt;20,IF(G62="Linear",time-((time-20)^2)/(2*time),(0.215*time)-(time/4.6)*(EXP(-92.1/time)-0.01)),time*(1-VLOOKUP(G62, list!$J$48:$K$50,2,))),(F62-$C62)*IF(time_tot&gt;time+20,20,IF(time_tot&lt;20,(time*VLOOKUP(G62, list!$J$48:$K$50,2,))+(time_tot-time),((MIN(20,time)*VLOOKUP(G62, list!$J$48:$K$50,2,))+(time_tot-MIN(20,time))-IF(G62="Exponential",time_tot-20+0.217*time*(EXP(4.606*(20-time_tot)/time)-1),((time_tot-20)^2)*(0.5/time)))))))))&gt;=ABS(U31*MAX(F62,C62)),-U31*MAX(F62,C62), -$V31*((MIN($C62,F62)*MIN(20,time_tot))+IF(G62="Immediate",IF(F62&gt;$C62,(F62-$C62)*MIN(20,time_tot),0),IF($C62&gt;F62,($C62-F62)*IF(time&gt;20,IF(G62="Linear",time-((time-20)^2)/(2*time),(0.215*time)-(time/4.6)*(EXP(-92.1/time)-0.01)),time*(1-VLOOKUP(G62, list!$J$48:$K$50,2,))),(F62-$C62)*IF(time_tot&gt;time+20,20,IF(time_tot&lt;20,(time*VLOOKUP(G62, list!$J$48:$K$50,2,))+(time_tot-time),((MIN(20,time)*VLOOKUP(G62, list!$J$48:$K$50,2,))+(time_tot-MIN(20,time))-IF(G62="Exponential",time_tot-20+0.217*time*(EXP(4.606*(20-time_tot)/time)-1),((time_tot-20)^2)*(0.5/time)))))))))</f>
        <v>0</v>
      </c>
      <c r="L62" s="3260">
        <f>(MIN(C62,D62)*time_tot+ABS(D62-C62)*IF(D62&gt;C62,time_cap+time*(VLOOKUP(E62, list!$J$48:$K$50,2,)),time*(1-(VLOOKUP(E62, list!$J$48:$K$50,2,)))))*$Y31</f>
        <v>0</v>
      </c>
      <c r="M62" s="3260">
        <f>(MIN(C62,F62)*time_tot+ABS(F62-C62)*IF(F62&gt;C62, time_cap+time*(VLOOKUP(G62,  list!$J$48:$K$50,2,)),time*(1-(VLOOKUP(G62, list!$J$48:$K$50,2,)))))*$Y31</f>
        <v>0</v>
      </c>
      <c r="N62" s="3271">
        <f>IF(T31&lt;P31*Q31,(P31*Q31-T31)/20/10*1000*N2O_N_conversion/1000*((MIN($C62,D62)*MIN(20,time_tot))+IF(E62="Immediate",IF(D62&gt;$C62,(D62-$C62)*MIN(20,time_tot),0),IF($C62&gt;D62,($C62-D62)*IF(time&gt;20,IF(E62="Linear",time-((time-20)^2)/(2*time),(0.215*time)-(time/4.6)*(EXP(-92.1/time)-0.01)),time*(1-VLOOKUP(E62, list!$J$48:$K$50,2,))),(D62-$C62)*IF(time_tot&gt;time+20,20,IF(time_tot&lt;20,(time*VLOOKUP(E62, list!$J$48:$K$50,2,))+(time_tot-time),((MIN(20,time)*VLOOKUP(E62, list!$J$48:$K$50,2,))+(time_tot-MIN(20,time))-IF(E62="Exponential",time_tot-20+0.217*time*(EXP(4.606*(20-time_tot)/time)-1),((time_tot-20)^2)*(0.5/time)))))))),0)</f>
        <v>0</v>
      </c>
      <c r="O62" s="3271">
        <f>IF(T31&lt;P31*Q31,(P31*Q31-T31)/20/10*1000*N2O_N_conversion/1000*((MIN($C62,F62)*MIN(20,time_tot))+IF(G62="Immediate",IF(F62&gt;$C62,(F62-$C62)*MIN(20,time_tot),0),IF($C62&gt;F62,($C62-F62)*IF(time&gt;20,IF(G62="Linear",time-((time-20)^2)/(2*time),(0.215*time)-(time/4.6)*(EXP(-92.1/time)-0.01)),time*(1-VLOOKUP(G62, list!$J$48:$K$50,2,))),(F62-$C62)*IF(time_tot&gt;time+20,20,IF(time_tot&lt;20,(time*VLOOKUP(G62, list!$J$48:$K$50,2,))+(time_tot-time),((MIN(20,time)*VLOOKUP(G62, list!$J$48:$K$50,2,))+(time_tot-MIN(20,time))-IF(G62="Exponential",time_tot-20+0.217*time*(EXP(4.606*(20-time_tot)/time)-1),((time_tot-20)^2)*(0.5/time)))))))),0)</f>
        <v>0</v>
      </c>
      <c r="P62" s="3260">
        <f t="shared" si="22"/>
        <v>0</v>
      </c>
      <c r="Q62" s="3260">
        <f t="shared" si="23"/>
        <v>0</v>
      </c>
      <c r="R62" s="3261">
        <f t="shared" si="24"/>
        <v>0</v>
      </c>
      <c r="U62" s="3712">
        <f>$Z31*(time*((ABS(D62-C62)*(IF(C62&lt;=D62,VLOOKUP(E62, list!$J$48:$K$50,2,),1-VLOOKUP(E62, list!$J$48:$K$50,2,))))+MIN(D62,C62))+(D62*time_cap))</f>
        <v>0</v>
      </c>
      <c r="V62" s="3713">
        <f>$Z31*(time*((ABS(F62-C62)*(IF(C62&lt;=F62,VLOOKUP(G62, list!$J$48:$K$50,2,),1-VLOOKUP(G62, list!$J$48:$K$50,2,))))+MIN(F62,C62))+(F62*time_cap))</f>
        <v>0</v>
      </c>
      <c r="W62" s="3714">
        <f t="shared" si="25"/>
        <v>0</v>
      </c>
      <c r="AN62" s="4450"/>
      <c r="AO62" s="4450"/>
      <c r="AP62" s="4450"/>
    </row>
    <row r="63" spans="2:42" x14ac:dyDescent="0.2">
      <c r="B63" s="3272">
        <f t="shared" si="21"/>
        <v>0</v>
      </c>
      <c r="C63" s="3269">
        <f>'3.Cropland'!Q91</f>
        <v>0</v>
      </c>
      <c r="D63" s="3269">
        <f>'3.Cropland'!R91</f>
        <v>0</v>
      </c>
      <c r="E63" s="3269" t="str">
        <f>VLOOKUP('3.Cropland'!S91, list!$I$48:$J$50, 2, FALSE)</f>
        <v>Linear</v>
      </c>
      <c r="F63" s="3269">
        <f>'3.Cropland'!T91</f>
        <v>0</v>
      </c>
      <c r="G63" s="3269" t="str">
        <f>VLOOKUP('3.Cropland'!U91, list!$I$48:$J$50, 2, FALSE)</f>
        <v>Linear</v>
      </c>
      <c r="H63" s="3271">
        <f>IF(AND(M32&lt;&gt;0, D63&lt;&gt;0), IF(AND(G32&gt;=H32,D63-C63&gt;=0),-1*MIN((MIN($K32*((MIN($C63,D63)*time_tot)),(M32+J32*N32)*MIN($C63,D63))+$K32*(ABS(D63-$C63)*(time*(VLOOKUP(E63,list!$J$48:$K$50,2,))+IF(D63-C63&lt;0,0,time_cap)))),(M32+J32*N32)*D63),-1*MIN($K32*((MIN($C63,D63)*time_tot)),((M32+J32*N32)*C63))+-1*MIN($K32*(ABS(D63-$C63)*(time*(VLOOKUP(E63,list!$J$48:$K$50,2,))+IF(D63-C63&lt;0,0,time_cap))), (M32+J32*N32)*D63)), -1*($K32*((MIN($C63,D63)*time_tot)))+-1*$K32*(ABS(D63-$C63)*(time*(1-VLOOKUP(E63,list!$J$48:$K$50,2,))+IF(D63-C63&lt;0,0,time_cap))))</f>
        <v>0</v>
      </c>
      <c r="I63" s="3271">
        <f>IF(AND(M32&lt;&gt;0, F63&lt;&gt;0), IF(AND(G32&gt;=H32,F63-C63&gt;=0),-1*MIN((MIN($K32*((MIN($C63,F63)*time_tot)),(M32+J32*N32)*MIN($C63,F63))+$K32*(ABS(F63-$C63)*(time*(VLOOKUP(G63,list!$J$48:$K$50,2,))+IF(F63-C63&lt;0,0,time_cap)))),((M32+J32*N32)*F63)),-1*MIN($K32*((MIN($C63,F63)*time_tot)),(M32+J32*N32)*C63)+-1*MIN($K32*(ABS(F63-$C63)*(time*(VLOOKUP(G63,list!$J$48:$K$50,2,))+IF(F63-C63&lt;0,0,time_cap))), (M32+J32*N32)*F63)), -1*($K32*((MIN($C63,F63)*time_tot)))+-1*$K32*(ABS(F63-$C63)*(time*(1-VLOOKUP(G63,list!$J$48:$K$50,2,))+IF(F63-C63&lt;0,0,time_cap))))</f>
        <v>0</v>
      </c>
      <c r="J63" s="3271">
        <f>IF(ABS(-$V32*((MIN($C63,D63)*MIN(20,time_tot))+IF(E63="Immediate",IF(D63&gt;$C63,(D63-$C63)*MIN(20,time_tot),0),IF($C63&gt;D63,($C63-D63)*IF(time&gt;20,IF(E63="Linear",time-((time-20)^2)/(2*time),(0.215*time)-(time/4.6)*(EXP(-92.1/time)-0.01)),time*(1-VLOOKUP(E63, list!$J$48:$K$50,2,))),(D63-$C63)*IF(time_tot&gt;time+20,20,IF(time_tot&lt;20,(time*VLOOKUP(E63, list!$J$48:$K$50,2,))+(time_tot-time),((MIN(20,time)*VLOOKUP(E63, list!$J$48:$K$50,2,))+(time_tot-MIN(20,time))-IF(E63="Exponential",time_tot-20+0.217*time*(EXP(4.606*(20-time_tot)/time)-1),((time_tot-20)^2)*(0.5/time)))))))))&gt;=ABS(U32*MAX(C63,D63)),-U32*MAX(C63,D63),-$V32*((MIN($C63,D63)*MIN(20,time_tot))+IF(E63="Immediate",IF(D63&gt;$C63,(D63-$C63)*MIN(20,time_tot),0),IF($C63&gt;D63,($C63-D63)*IF(time&gt;20,IF(E63="Linear",time-((time-20)^2)/(2*time),(0.215*time)-(time/4.6)*(EXP(-92.1/time)-0.01)),time*(1-VLOOKUP(E63, list!$J$48:$K$50,2,))),(D63-$C63)*IF(time_tot&gt;time+20,20,IF(time_tot&lt;20,(time*VLOOKUP(E63, list!$J$48:$K$50,2,))+(time_tot-time),((MIN(20,time)*VLOOKUP(E63, list!$J$48:$K$50,2,))+(time_tot-MIN(20,time))-IF(E63="Exponential",time_tot-20+0.217*time*(EXP(4.606*(20-time_tot)/time)-1),((time_tot-20)^2)*(0.5/time)))))))))</f>
        <v>0</v>
      </c>
      <c r="K63" s="3271">
        <f>IF(ABS(-$V32*((MIN($C63,F63)*MIN(20,time_tot))+IF(G63="Immediate",IF(F63&gt;$C63,(F63-$C63)*MIN(20,time_tot),0),IF($C63&gt;F63,($C63-F63)*IF(time&gt;20,IF(G63="Linear",time-((time-20)^2)/(2*time),(0.215*time)-(time/4.6)*(EXP(-92.1/time)-0.01)),time*(1-VLOOKUP(G63, list!$J$48:$K$50,2,))),(F63-$C63)*IF(time_tot&gt;time+20,20,IF(time_tot&lt;20,(time*VLOOKUP(G63, list!$J$48:$K$50,2,))+(time_tot-time),((MIN(20,time)*VLOOKUP(G63, list!$J$48:$K$50,2,))+(time_tot-MIN(20,time))-IF(G63="Exponential",time_tot-20+0.217*time*(EXP(4.606*(20-time_tot)/time)-1),((time_tot-20)^2)*(0.5/time)))))))))&gt;=ABS(U32*MAX(F63,C63)),-U32*MAX(F63,C63), -$V32*((MIN($C63,F63)*MIN(20,time_tot))+IF(G63="Immediate",IF(F63&gt;$C63,(F63-$C63)*MIN(20,time_tot),0),IF($C63&gt;F63,($C63-F63)*IF(time&gt;20,IF(G63="Linear",time-((time-20)^2)/(2*time),(0.215*time)-(time/4.6)*(EXP(-92.1/time)-0.01)),time*(1-VLOOKUP(G63, list!$J$48:$K$50,2,))),(F63-$C63)*IF(time_tot&gt;time+20,20,IF(time_tot&lt;20,(time*VLOOKUP(G63, list!$J$48:$K$50,2,))+(time_tot-time),((MIN(20,time)*VLOOKUP(G63, list!$J$48:$K$50,2,))+(time_tot-MIN(20,time))-IF(G63="Exponential",time_tot-20+0.217*time*(EXP(4.606*(20-time_tot)/time)-1),((time_tot-20)^2)*(0.5/time)))))))))</f>
        <v>0</v>
      </c>
      <c r="L63" s="3260">
        <f>(MIN(C63,D63)*time_tot+ABS(D63-C63)*IF(D63&gt;C63,time_cap+time*(VLOOKUP(E63, list!$J$48:$K$50,2,)),time*(1-(VLOOKUP(E63, list!$J$48:$K$50,2,)))))*$Y32</f>
        <v>0</v>
      </c>
      <c r="M63" s="3260">
        <f>(MIN(C63,F63)*time_tot+ABS(F63-C63)*IF(F63&gt;C63, time_cap+time*(VLOOKUP(G63,  list!$J$48:$K$50,2,)),time*(1-(VLOOKUP(G63, list!$J$48:$K$50,2,)))))*$Y32</f>
        <v>0</v>
      </c>
      <c r="N63" s="3271">
        <f>IF(T32&lt;P32*Q32,(P32*Q32-T32)/20/10*1000*N2O_N_conversion/1000*((MIN($C63,D63)*MIN(20,time_tot))+IF(E63="Immediate",IF(D63&gt;$C63,(D63-$C63)*MIN(20,time_tot),0),IF($C63&gt;D63,($C63-D63)*IF(time&gt;20,IF(E63="Linear",time-((time-20)^2)/(2*time),(0.215*time)-(time/4.6)*(EXP(-92.1/time)-0.01)),time*(1-VLOOKUP(E63, list!$J$48:$K$50,2,))),(D63-$C63)*IF(time_tot&gt;time+20,20,IF(time_tot&lt;20,(time*VLOOKUP(E63, list!$J$48:$K$50,2,))+(time_tot-time),((MIN(20,time)*VLOOKUP(E63, list!$J$48:$K$50,2,))+(time_tot-MIN(20,time))-IF(E63="Exponential",time_tot-20+0.217*time*(EXP(4.606*(20-time_tot)/time)-1),((time_tot-20)^2)*(0.5/time)))))))),0)</f>
        <v>0</v>
      </c>
      <c r="O63" s="3271">
        <f>IF(T32&lt;P32*Q32,(P32*Q32-T32)/20/10*1000*N2O_N_conversion/1000*((MIN($C63,F63)*MIN(20,time_tot))+IF(G63="Immediate",IF(F63&gt;$C63,(F63-$C63)*MIN(20,time_tot),0),IF($C63&gt;F63,($C63-F63)*IF(time&gt;20,IF(G63="Linear",time-((time-20)^2)/(2*time),(0.215*time)-(time/4.6)*(EXP(-92.1/time)-0.01)),time*(1-VLOOKUP(G63, list!$J$48:$K$50,2,))),(F63-$C63)*IF(time_tot&gt;time+20,20,IF(time_tot&lt;20,(time*VLOOKUP(G63, list!$J$48:$K$50,2,))+(time_tot-time),((MIN(20,time)*VLOOKUP(G63, list!$J$48:$K$50,2,))+(time_tot-MIN(20,time))-IF(G63="Exponential",time_tot-20+0.217*time*(EXP(4.606*(20-time_tot)/time)-1),((time_tot-20)^2)*(0.5/time)))))))),0)</f>
        <v>0</v>
      </c>
      <c r="P63" s="3260">
        <f t="shared" si="22"/>
        <v>0</v>
      </c>
      <c r="Q63" s="3260">
        <f t="shared" si="23"/>
        <v>0</v>
      </c>
      <c r="R63" s="3261">
        <f t="shared" si="24"/>
        <v>0</v>
      </c>
      <c r="U63" s="3712">
        <f>$Z32*(time*((ABS(D63-C63)*(IF(C63&lt;=D63,VLOOKUP(E63, list!$J$48:$K$50,2,),1-VLOOKUP(E63, list!$J$48:$K$50,2,))))+MIN(D63,C63))+(D63*time_cap))</f>
        <v>0</v>
      </c>
      <c r="V63" s="3713">
        <f>$Z32*(time*((ABS(F63-C63)*(IF(C63&lt;=F63,VLOOKUP(G63, list!$J$48:$K$50,2,),1-VLOOKUP(G63, list!$J$48:$K$50,2,))))+MIN(F63,C63))+(F63*time_cap))</f>
        <v>0</v>
      </c>
      <c r="W63" s="3714">
        <f t="shared" si="25"/>
        <v>0</v>
      </c>
      <c r="AN63" s="4450"/>
      <c r="AO63" s="4450"/>
      <c r="AP63" s="4450"/>
    </row>
    <row r="64" spans="2:42" x14ac:dyDescent="0.2">
      <c r="B64" s="3272">
        <f t="shared" si="21"/>
        <v>0</v>
      </c>
      <c r="C64" s="3269">
        <f>'3.Cropland'!Q92</f>
        <v>0</v>
      </c>
      <c r="D64" s="3269">
        <f>'3.Cropland'!R92</f>
        <v>0</v>
      </c>
      <c r="E64" s="3269" t="str">
        <f>VLOOKUP('3.Cropland'!S92, list!$I$48:$J$50, 2, FALSE)</f>
        <v>Linear</v>
      </c>
      <c r="F64" s="3269">
        <f>'3.Cropland'!T92</f>
        <v>0</v>
      </c>
      <c r="G64" s="3269" t="str">
        <f>VLOOKUP('3.Cropland'!U92, list!$I$48:$J$50, 2, FALSE)</f>
        <v>Linear</v>
      </c>
      <c r="H64" s="3271">
        <f>IF(AND(M33&lt;&gt;0, D64&lt;&gt;0), IF(AND(G33&gt;=H33,D64-C64&gt;=0),-1*MIN((MIN($K33*((MIN($C64,D64)*time_tot)),(M33+J33*N33)*MIN($C64,D64))+$K33*(ABS(D64-$C64)*(time*(VLOOKUP(E64,list!$J$48:$K$50,2,))+IF(D64-C64&lt;0,0,time_cap)))),(M33+J33*N33)*D64),-1*MIN($K33*((MIN($C64,D64)*time_tot)),((M33+J33*N33)*C64))+-1*MIN($K33*(ABS(D64-$C64)*(time*(VLOOKUP(E64,list!$J$48:$K$50,2,))+IF(D64-C64&lt;0,0,time_cap))), (M33+J33*N33)*D64)), -1*($K33*((MIN($C64,D64)*time_tot)))+-1*$K33*(ABS(D64-$C64)*(time*(1-VLOOKUP(E64,list!$J$48:$K$50,2,))+IF(D64-C64&lt;0,0,time_cap))))</f>
        <v>0</v>
      </c>
      <c r="I64" s="3271">
        <f>IF(AND(M33&lt;&gt;0, F64&lt;&gt;0), IF(AND(G33&gt;=H33,F64-C64&gt;=0),-1*MIN((MIN($K33*((MIN($C64,F64)*time_tot)),(M33+J33*N33)*MIN($C64,F64))+$K33*(ABS(F64-$C64)*(time*(VLOOKUP(G64,list!$J$48:$K$50,2,))+IF(F64-C64&lt;0,0,time_cap)))),((M33+J33*N33)*F64)),-1*MIN($K33*((MIN($C64,F64)*time_tot)),(M33+J33*N33)*C64)+-1*MIN($K33*(ABS(F64-$C64)*(time*(VLOOKUP(G64,list!$J$48:$K$50,2,))+IF(F64-C64&lt;0,0,time_cap))), (M33+J33*N33)*F64)), -1*($K33*((MIN($C64,F64)*time_tot)))+-1*$K33*(ABS(F64-$C64)*(time*(1-VLOOKUP(G64,list!$J$48:$K$50,2,))+IF(F64-C64&lt;0,0,time_cap))))</f>
        <v>0</v>
      </c>
      <c r="J64" s="3271">
        <f>IF(ABS(-$V33*((MIN($C64,D64)*MIN(20,time_tot))+IF(E64="Immediate",IF(D64&gt;$C64,(D64-$C64)*MIN(20,time_tot),0),IF($C64&gt;D64,($C64-D64)*IF(time&gt;20,IF(E64="Linear",time-((time-20)^2)/(2*time),(0.215*time)-(time/4.6)*(EXP(-92.1/time)-0.01)),time*(1-VLOOKUP(E64, list!$J$48:$K$50,2,))),(D64-$C64)*IF(time_tot&gt;time+20,20,IF(time_tot&lt;20,(time*VLOOKUP(E64, list!$J$48:$K$50,2,))+(time_tot-time),((MIN(20,time)*VLOOKUP(E64, list!$J$48:$K$50,2,))+(time_tot-MIN(20,time))-IF(E64="Exponential",time_tot-20+0.217*time*(EXP(4.606*(20-time_tot)/time)-1),((time_tot-20)^2)*(0.5/time)))))))))&gt;=ABS(U33*MAX(C64,D64)),-U33*MAX(C64,D64),-$V33*((MIN($C64,D64)*MIN(20,time_tot))+IF(E64="Immediate",IF(D64&gt;$C64,(D64-$C64)*MIN(20,time_tot),0),IF($C64&gt;D64,($C64-D64)*IF(time&gt;20,IF(E64="Linear",time-((time-20)^2)/(2*time),(0.215*time)-(time/4.6)*(EXP(-92.1/time)-0.01)),time*(1-VLOOKUP(E64, list!$J$48:$K$50,2,))),(D64-$C64)*IF(time_tot&gt;time+20,20,IF(time_tot&lt;20,(time*VLOOKUP(E64, list!$J$48:$K$50,2,))+(time_tot-time),((MIN(20,time)*VLOOKUP(E64, list!$J$48:$K$50,2,))+(time_tot-MIN(20,time))-IF(E64="Exponential",time_tot-20+0.217*time*(EXP(4.606*(20-time_tot)/time)-1),((time_tot-20)^2)*(0.5/time)))))))))</f>
        <v>0</v>
      </c>
      <c r="K64" s="3271">
        <f>IF(ABS(-$V33*((MIN($C64,F64)*MIN(20,time_tot))+IF(G64="Immediate",IF(F64&gt;$C64,(F64-$C64)*MIN(20,time_tot),0),IF($C64&gt;F64,($C64-F64)*IF(time&gt;20,IF(G64="Linear",time-((time-20)^2)/(2*time),(0.215*time)-(time/4.6)*(EXP(-92.1/time)-0.01)),time*(1-VLOOKUP(G64, list!$J$48:$K$50,2,))),(F64-$C64)*IF(time_tot&gt;time+20,20,IF(time_tot&lt;20,(time*VLOOKUP(G64, list!$J$48:$K$50,2,))+(time_tot-time),((MIN(20,time)*VLOOKUP(G64, list!$J$48:$K$50,2,))+(time_tot-MIN(20,time))-IF(G64="Exponential",time_tot-20+0.217*time*(EXP(4.606*(20-time_tot)/time)-1),((time_tot-20)^2)*(0.5/time)))))))))&gt;=ABS(U33*MAX(F64,C64)),-U33*MAX(F64,C64), -$V33*((MIN($C64,F64)*MIN(20,time_tot))+IF(G64="Immediate",IF(F64&gt;$C64,(F64-$C64)*MIN(20,time_tot),0),IF($C64&gt;F64,($C64-F64)*IF(time&gt;20,IF(G64="Linear",time-((time-20)^2)/(2*time),(0.215*time)-(time/4.6)*(EXP(-92.1/time)-0.01)),time*(1-VLOOKUP(G64, list!$J$48:$K$50,2,))),(F64-$C64)*IF(time_tot&gt;time+20,20,IF(time_tot&lt;20,(time*VLOOKUP(G64, list!$J$48:$K$50,2,))+(time_tot-time),((MIN(20,time)*VLOOKUP(G64, list!$J$48:$K$50,2,))+(time_tot-MIN(20,time))-IF(G64="Exponential",time_tot-20+0.217*time*(EXP(4.606*(20-time_tot)/time)-1),((time_tot-20)^2)*(0.5/time)))))))))</f>
        <v>0</v>
      </c>
      <c r="L64" s="3260">
        <f>(MIN(C64,D64)*time_tot+ABS(D64-C64)*IF(D64&gt;C64,time_cap+time*(VLOOKUP(E64, list!$J$48:$K$50,2,)),time*(1-(VLOOKUP(E64, list!$J$48:$K$50,2,)))))*$Y33</f>
        <v>0</v>
      </c>
      <c r="M64" s="3260">
        <f>(MIN(C64,F64)*time_tot+ABS(F64-C64)*IF(F64&gt;C64, time_cap+time*(VLOOKUP(G64,  list!$J$48:$K$50,2,)),time*(1-(VLOOKUP(G64, list!$J$48:$K$50,2,)))))*$Y33</f>
        <v>0</v>
      </c>
      <c r="N64" s="3271">
        <f>IF(T33&lt;P33*Q33,(P33*Q33-T33)/20/10*1000*N2O_N_conversion/1000*((MIN($C64,D64)*MIN(20,time_tot))+IF(E64="Immediate",IF(D64&gt;$C64,(D64-$C64)*MIN(20,time_tot),0),IF($C64&gt;D64,($C64-D64)*IF(time&gt;20,IF(E64="Linear",time-((time-20)^2)/(2*time),(0.215*time)-(time/4.6)*(EXP(-92.1/time)-0.01)),time*(1-VLOOKUP(E64, list!$J$48:$K$50,2,))),(D64-$C64)*IF(time_tot&gt;time+20,20,IF(time_tot&lt;20,(time*VLOOKUP(E64, list!$J$48:$K$50,2,))+(time_tot-time),((MIN(20,time)*VLOOKUP(E64, list!$J$48:$K$50,2,))+(time_tot-MIN(20,time))-IF(E64="Exponential",time_tot-20+0.217*time*(EXP(4.606*(20-time_tot)/time)-1),((time_tot-20)^2)*(0.5/time)))))))),0)</f>
        <v>0</v>
      </c>
      <c r="O64" s="3271">
        <f>IF(T33&lt;P33*Q33,(P33*Q33-T33)/20/10*1000*N2O_N_conversion/1000*((MIN($C64,F64)*MIN(20,time_tot))+IF(G64="Immediate",IF(F64&gt;$C64,(F64-$C64)*MIN(20,time_tot),0),IF($C64&gt;F64,($C64-F64)*IF(time&gt;20,IF(G64="Linear",time-((time-20)^2)/(2*time),(0.215*time)-(time/4.6)*(EXP(-92.1/time)-0.01)),time*(1-VLOOKUP(G64, list!$J$48:$K$50,2,))),(F64-$C64)*IF(time_tot&gt;time+20,20,IF(time_tot&lt;20,(time*VLOOKUP(G64, list!$J$48:$K$50,2,))+(time_tot-time),((MIN(20,time)*VLOOKUP(G64, list!$J$48:$K$50,2,))+(time_tot-MIN(20,time))-IF(G64="Exponential",time_tot-20+0.217*time*(EXP(4.606*(20-time_tot)/time)-1),((time_tot-20)^2)*(0.5/time)))))))),0)</f>
        <v>0</v>
      </c>
      <c r="P64" s="3260">
        <f t="shared" si="22"/>
        <v>0</v>
      </c>
      <c r="Q64" s="3260">
        <f t="shared" si="23"/>
        <v>0</v>
      </c>
      <c r="R64" s="3261">
        <f t="shared" si="24"/>
        <v>0</v>
      </c>
      <c r="U64" s="3712">
        <f>$Z33*(time*((ABS(D64-C64)*(IF(C64&lt;=D64,VLOOKUP(E64, list!$J$48:$K$50,2,),1-VLOOKUP(E64, list!$J$48:$K$50,2,))))+MIN(D64,C64))+(D64*time_cap))</f>
        <v>0</v>
      </c>
      <c r="V64" s="3713">
        <f>$Z33*(time*((ABS(F64-C64)*(IF(C64&lt;=F64,VLOOKUP(G64, list!$J$48:$K$50,2,),1-VLOOKUP(G64, list!$J$48:$K$50,2,))))+MIN(F64,C64))+(F64*time_cap))</f>
        <v>0</v>
      </c>
      <c r="W64" s="3714">
        <f t="shared" si="25"/>
        <v>0</v>
      </c>
      <c r="AN64" s="4450"/>
      <c r="AO64" s="4450"/>
      <c r="AP64" s="4450"/>
    </row>
    <row r="65" spans="2:42" x14ac:dyDescent="0.2">
      <c r="B65" s="3272">
        <f t="shared" si="21"/>
        <v>0</v>
      </c>
      <c r="C65" s="3269">
        <f>'3.Cropland'!Q93</f>
        <v>0</v>
      </c>
      <c r="D65" s="3269">
        <f>'3.Cropland'!R93</f>
        <v>0</v>
      </c>
      <c r="E65" s="3269" t="str">
        <f>VLOOKUP('3.Cropland'!S93, list!$I$48:$J$50, 2, FALSE)</f>
        <v>Linear</v>
      </c>
      <c r="F65" s="3269">
        <f>'3.Cropland'!T93</f>
        <v>0</v>
      </c>
      <c r="G65" s="3269" t="str">
        <f>VLOOKUP('3.Cropland'!U93, list!$I$48:$J$50, 2, FALSE)</f>
        <v>Linear</v>
      </c>
      <c r="H65" s="3271">
        <f>IF(AND(M34&lt;&gt;0, D65&lt;&gt;0), IF(AND(G34&gt;=H34,D65-C65&gt;=0),-1*MIN((MIN($K34*((MIN($C65,D65)*time_tot)),(M34+J34*N34)*MIN($C65,D65))+$K34*(ABS(D65-$C65)*(time*(VLOOKUP(E65,list!$J$48:$K$50,2,))+IF(D65-C65&lt;0,0,time_cap)))),(M34+J34*N34)*D65),-1*MIN($K34*((MIN($C65,D65)*time_tot)),((M34+J34*N34)*C65))+-1*MIN($K34*(ABS(D65-$C65)*(time*(VLOOKUP(E65,list!$J$48:$K$50,2,))+IF(D65-C65&lt;0,0,time_cap))), (M34+J34*N34)*D65)), -1*($K34*((MIN($C65,D65)*time_tot)))+-1*$K34*(ABS(D65-$C65)*(time*(1-VLOOKUP(E65,list!$J$48:$K$50,2,))+IF(D65-C65&lt;0,0,time_cap))))</f>
        <v>0</v>
      </c>
      <c r="I65" s="3271">
        <f>IF(AND(M34&lt;&gt;0, F65&lt;&gt;0), IF(AND(G34&gt;=H34,F65-C65&gt;=0),-1*MIN((MIN($K34*((MIN($C65,F65)*time_tot)),(M34+J34*N34)*MIN($C65,F65))+$K34*(ABS(F65-$C65)*(time*(VLOOKUP(G65,list!$J$48:$K$50,2,))+IF(F65-C65&lt;0,0,time_cap)))),((M34+J34*N34)*F65)),-1*MIN($K34*((MIN($C65,F65)*time_tot)),(M34+J34*N34)*C65)+-1*MIN($K34*(ABS(F65-$C65)*(time*(VLOOKUP(G65,list!$J$48:$K$50,2,))+IF(F65-C65&lt;0,0,time_cap))), (M34+J34*N34)*F65)), -1*($K34*((MIN($C65,F65)*time_tot)))+-1*$K34*(ABS(F65-$C65)*(time*(1-VLOOKUP(G65,list!$J$48:$K$50,2,))+IF(F65-C65&lt;0,0,time_cap))))</f>
        <v>0</v>
      </c>
      <c r="J65" s="3271">
        <f>IF(ABS(-$V34*((MIN($C65,D65)*MIN(20,time_tot))+IF(E65="Immediate",IF(D65&gt;$C65,(D65-$C65)*MIN(20,time_tot),0),IF($C65&gt;D65,($C65-D65)*IF(time&gt;20,IF(E65="Linear",time-((time-20)^2)/(2*time),(0.215*time)-(time/4.6)*(EXP(-92.1/time)-0.01)),time*(1-VLOOKUP(E65, list!$J$48:$K$50,2,))),(D65-$C65)*IF(time_tot&gt;time+20,20,IF(time_tot&lt;20,(time*VLOOKUP(E65, list!$J$48:$K$50,2,))+(time_tot-time),((MIN(20,time)*VLOOKUP(E65, list!$J$48:$K$50,2,))+(time_tot-MIN(20,time))-IF(E65="Exponential",time_tot-20+0.217*time*(EXP(4.606*(20-time_tot)/time)-1),((time_tot-20)^2)*(0.5/time)))))))))&gt;=ABS(U34*MAX(C65,D65)),-U34*MAX(C65,D65),-$V34*((MIN($C65,D65)*MIN(20,time_tot))+IF(E65="Immediate",IF(D65&gt;$C65,(D65-$C65)*MIN(20,time_tot),0),IF($C65&gt;D65,($C65-D65)*IF(time&gt;20,IF(E65="Linear",time-((time-20)^2)/(2*time),(0.215*time)-(time/4.6)*(EXP(-92.1/time)-0.01)),time*(1-VLOOKUP(E65, list!$J$48:$K$50,2,))),(D65-$C65)*IF(time_tot&gt;time+20,20,IF(time_tot&lt;20,(time*VLOOKUP(E65, list!$J$48:$K$50,2,))+(time_tot-time),((MIN(20,time)*VLOOKUP(E65, list!$J$48:$K$50,2,))+(time_tot-MIN(20,time))-IF(E65="Exponential",time_tot-20+0.217*time*(EXP(4.606*(20-time_tot)/time)-1),((time_tot-20)^2)*(0.5/time)))))))))</f>
        <v>0</v>
      </c>
      <c r="K65" s="3271">
        <f>IF(ABS(-$V34*((MIN($C65,F65)*MIN(20,time_tot))+IF(G65="Immediate",IF(F65&gt;$C65,(F65-$C65)*MIN(20,time_tot),0),IF($C65&gt;F65,($C65-F65)*IF(time&gt;20,IF(G65="Linear",time-((time-20)^2)/(2*time),(0.215*time)-(time/4.6)*(EXP(-92.1/time)-0.01)),time*(1-VLOOKUP(G65, list!$J$48:$K$50,2,))),(F65-$C65)*IF(time_tot&gt;time+20,20,IF(time_tot&lt;20,(time*VLOOKUP(G65, list!$J$48:$K$50,2,))+(time_tot-time),((MIN(20,time)*VLOOKUP(G65, list!$J$48:$K$50,2,))+(time_tot-MIN(20,time))-IF(G65="Exponential",time_tot-20+0.217*time*(EXP(4.606*(20-time_tot)/time)-1),((time_tot-20)^2)*(0.5/time)))))))))&gt;=ABS(U34*MAX(F65,C65)),-U34*MAX(F65,C65), -$V34*((MIN($C65,F65)*MIN(20,time_tot))+IF(G65="Immediate",IF(F65&gt;$C65,(F65-$C65)*MIN(20,time_tot),0),IF($C65&gt;F65,($C65-F65)*IF(time&gt;20,IF(G65="Linear",time-((time-20)^2)/(2*time),(0.215*time)-(time/4.6)*(EXP(-92.1/time)-0.01)),time*(1-VLOOKUP(G65, list!$J$48:$K$50,2,))),(F65-$C65)*IF(time_tot&gt;time+20,20,IF(time_tot&lt;20,(time*VLOOKUP(G65, list!$J$48:$K$50,2,))+(time_tot-time),((MIN(20,time)*VLOOKUP(G65, list!$J$48:$K$50,2,))+(time_tot-MIN(20,time))-IF(G65="Exponential",time_tot-20+0.217*time*(EXP(4.606*(20-time_tot)/time)-1),((time_tot-20)^2)*(0.5/time)))))))))</f>
        <v>0</v>
      </c>
      <c r="L65" s="3260">
        <f>(MIN(C65,D65)*time_tot+ABS(D65-C65)*IF(D65&gt;C65,time_cap+time*(VLOOKUP(E65, list!$J$48:$K$50,2,)),time*(1-(VLOOKUP(E65, list!$J$48:$K$50,2,)))))*$Y34</f>
        <v>0</v>
      </c>
      <c r="M65" s="3260">
        <f>(MIN(C65,F65)*time_tot+ABS(F65-C65)*IF(F65&gt;C65, time_cap+time*(VLOOKUP(G65,  list!$J$48:$K$50,2,)),time*(1-(VLOOKUP(G65, list!$J$48:$K$50,2,)))))*$Y34</f>
        <v>0</v>
      </c>
      <c r="N65" s="3271">
        <f>IF(T34&lt;P34*Q34,(P34*Q34-T34)/20/10*1000*N2O_N_conversion/1000*((MIN($C65,D65)*MIN(20,time_tot))+IF(E65="Immediate",IF(D65&gt;$C65,(D65-$C65)*MIN(20,time_tot),0),IF($C65&gt;D65,($C65-D65)*IF(time&gt;20,IF(E65="Linear",time-((time-20)^2)/(2*time),(0.215*time)-(time/4.6)*(EXP(-92.1/time)-0.01)),time*(1-VLOOKUP(E65, list!$J$48:$K$50,2,))),(D65-$C65)*IF(time_tot&gt;time+20,20,IF(time_tot&lt;20,(time*VLOOKUP(E65, list!$J$48:$K$50,2,))+(time_tot-time),((MIN(20,time)*VLOOKUP(E65, list!$J$48:$K$50,2,))+(time_tot-MIN(20,time))-IF(E65="Exponential",time_tot-20+0.217*time*(EXP(4.606*(20-time_tot)/time)-1),((time_tot-20)^2)*(0.5/time)))))))),0)</f>
        <v>0</v>
      </c>
      <c r="O65" s="3271">
        <f>IF(T34&lt;P34*Q34,(P34*Q34-T34)/20/10*1000*N2O_N_conversion/1000*((MIN($C65,F65)*MIN(20,time_tot))+IF(G65="Immediate",IF(F65&gt;$C65,(F65-$C65)*MIN(20,time_tot),0),IF($C65&gt;F65,($C65-F65)*IF(time&gt;20,IF(G65="Linear",time-((time-20)^2)/(2*time),(0.215*time)-(time/4.6)*(EXP(-92.1/time)-0.01)),time*(1-VLOOKUP(G65, list!$J$48:$K$50,2,))),(F65-$C65)*IF(time_tot&gt;time+20,20,IF(time_tot&lt;20,(time*VLOOKUP(G65, list!$J$48:$K$50,2,))+(time_tot-time),((MIN(20,time)*VLOOKUP(G65, list!$J$48:$K$50,2,))+(time_tot-MIN(20,time))-IF(G65="Exponential",time_tot-20+0.217*time*(EXP(4.606*(20-time_tot)/time)-1),((time_tot-20)^2)*(0.5/time)))))))),0)</f>
        <v>0</v>
      </c>
      <c r="P65" s="3260">
        <f t="shared" si="22"/>
        <v>0</v>
      </c>
      <c r="Q65" s="3260">
        <f t="shared" si="23"/>
        <v>0</v>
      </c>
      <c r="R65" s="3261">
        <f t="shared" si="24"/>
        <v>0</v>
      </c>
      <c r="U65" s="3712">
        <f>$Z34*(time*((ABS(D65-C65)*(IF(C65&lt;=D65,VLOOKUP(E65, list!$J$48:$K$50,2,),1-VLOOKUP(E65, list!$J$48:$K$50,2,))))+MIN(D65,C65))+(D65*time_cap))</f>
        <v>0</v>
      </c>
      <c r="V65" s="3713">
        <f>$Z34*(time*((ABS(F65-C65)*(IF(C65&lt;=F65,VLOOKUP(G65, list!$J$48:$K$50,2,),1-VLOOKUP(G65, list!$J$48:$K$50,2,))))+MIN(F65,C65))+(F65*time_cap))</f>
        <v>0</v>
      </c>
      <c r="W65" s="3714">
        <f t="shared" si="25"/>
        <v>0</v>
      </c>
      <c r="AN65" s="4450"/>
      <c r="AO65" s="4450"/>
      <c r="AP65" s="4450"/>
    </row>
    <row r="66" spans="2:42" x14ac:dyDescent="0.2">
      <c r="B66" s="3272">
        <f t="shared" si="21"/>
        <v>0</v>
      </c>
      <c r="C66" s="3269">
        <f>'3.Cropland'!Q94</f>
        <v>0</v>
      </c>
      <c r="D66" s="3269">
        <f>'3.Cropland'!R94</f>
        <v>0</v>
      </c>
      <c r="E66" s="3269" t="str">
        <f>VLOOKUP('3.Cropland'!S94, list!$I$48:$J$50, 2, FALSE)</f>
        <v>Linear</v>
      </c>
      <c r="F66" s="3269">
        <f>'3.Cropland'!T94</f>
        <v>0</v>
      </c>
      <c r="G66" s="3269" t="str">
        <f>VLOOKUP('3.Cropland'!U94, list!$I$48:$J$50, 2, FALSE)</f>
        <v>Linear</v>
      </c>
      <c r="H66" s="3271">
        <f>IF(AND(M35&lt;&gt;0, D66&lt;&gt;0), IF(AND(G35&gt;=H35,D66-C66&gt;=0),-1*MIN((MIN($K35*((MIN($C66,D66)*time_tot)),(M35+J35*N35)*MIN($C66,D66))+$K35*(ABS(D66-$C66)*(time*(VLOOKUP(E66,list!$J$48:$K$50,2,))+IF(D66-C66&lt;0,0,time_cap)))),(M35+J35*N35)*D66),-1*MIN($K35*((MIN($C66,D66)*time_tot)),((M35+J35*N35)*C66))+-1*MIN($K35*(ABS(D66-$C66)*(time*(VLOOKUP(E66,list!$J$48:$K$50,2,))+IF(D66-C66&lt;0,0,time_cap))), (M35+J35*N35)*D66)), -1*($K35*((MIN($C66,D66)*time_tot)))+-1*$K35*(ABS(D66-$C66)*(time*(1-VLOOKUP(E66,list!$J$48:$K$50,2,))+IF(D66-C66&lt;0,0,time_cap))))</f>
        <v>0</v>
      </c>
      <c r="I66" s="3271">
        <f>IF(AND(M35&lt;&gt;0, F66&lt;&gt;0), IF(AND(G35&gt;=H35,F66-C66&gt;=0),-1*MIN((MIN($K35*((MIN($C66,F66)*time_tot)),(M35+J35*N35)*MIN($C66,F66))+$K35*(ABS(F66-$C66)*(time*(VLOOKUP(G66,list!$J$48:$K$50,2,))+IF(F66-C66&lt;0,0,time_cap)))),((M35+J35*N35)*F66)),-1*MIN($K35*((MIN($C66,F66)*time_tot)),(M35+J35*N35)*C66)+-1*MIN($K35*(ABS(F66-$C66)*(time*(VLOOKUP(G66,list!$J$48:$K$50,2,))+IF(F66-C66&lt;0,0,time_cap))), (M35+J35*N35)*F66)), -1*($K35*((MIN($C66,F66)*time_tot)))+-1*$K35*(ABS(F66-$C66)*(time*(1-VLOOKUP(G66,list!$J$48:$K$50,2,))+IF(F66-C66&lt;0,0,time_cap))))</f>
        <v>0</v>
      </c>
      <c r="J66" s="3271">
        <f>IF(ABS(-$V35*((MIN($C66,D66)*MIN(20,time_tot))+IF(E66="Immediate",IF(D66&gt;$C66,(D66-$C66)*MIN(20,time_tot),0),IF($C66&gt;D66,($C66-D66)*IF(time&gt;20,IF(E66="Linear",time-((time-20)^2)/(2*time),(0.215*time)-(time/4.6)*(EXP(-92.1/time)-0.01)),time*(1-VLOOKUP(E66, list!$J$48:$K$50,2,))),(D66-$C66)*IF(time_tot&gt;time+20,20,IF(time_tot&lt;20,(time*VLOOKUP(E66, list!$J$48:$K$50,2,))+(time_tot-time),((MIN(20,time)*VLOOKUP(E66, list!$J$48:$K$50,2,))+(time_tot-MIN(20,time))-IF(E66="Exponential",time_tot-20+0.217*time*(EXP(4.606*(20-time_tot)/time)-1),((time_tot-20)^2)*(0.5/time)))))))))&gt;=ABS(U35*MAX(C66,D66)),-U35*MAX(C66,D66),-$V35*((MIN($C66,D66)*MIN(20,time_tot))+IF(E66="Immediate",IF(D66&gt;$C66,(D66-$C66)*MIN(20,time_tot),0),IF($C66&gt;D66,($C66-D66)*IF(time&gt;20,IF(E66="Linear",time-((time-20)^2)/(2*time),(0.215*time)-(time/4.6)*(EXP(-92.1/time)-0.01)),time*(1-VLOOKUP(E66, list!$J$48:$K$50,2,))),(D66-$C66)*IF(time_tot&gt;time+20,20,IF(time_tot&lt;20,(time*VLOOKUP(E66, list!$J$48:$K$50,2,))+(time_tot-time),((MIN(20,time)*VLOOKUP(E66, list!$J$48:$K$50,2,))+(time_tot-MIN(20,time))-IF(E66="Exponential",time_tot-20+0.217*time*(EXP(4.606*(20-time_tot)/time)-1),((time_tot-20)^2)*(0.5/time)))))))))</f>
        <v>0</v>
      </c>
      <c r="K66" s="3271">
        <f>IF(ABS(-$V35*((MIN($C66,F66)*MIN(20,time_tot))+IF(G66="Immediate",IF(F66&gt;$C66,(F66-$C66)*MIN(20,time_tot),0),IF($C66&gt;F66,($C66-F66)*IF(time&gt;20,IF(G66="Linear",time-((time-20)^2)/(2*time),(0.215*time)-(time/4.6)*(EXP(-92.1/time)-0.01)),time*(1-VLOOKUP(G66, list!$J$48:$K$50,2,))),(F66-$C66)*IF(time_tot&gt;time+20,20,IF(time_tot&lt;20,(time*VLOOKUP(G66, list!$J$48:$K$50,2,))+(time_tot-time),((MIN(20,time)*VLOOKUP(G66, list!$J$48:$K$50,2,))+(time_tot-MIN(20,time))-IF(G66="Exponential",time_tot-20+0.217*time*(EXP(4.606*(20-time_tot)/time)-1),((time_tot-20)^2)*(0.5/time)))))))))&gt;=ABS(U35*MAX(F66,C66)),-U35*MAX(F66,C66), -$V35*((MIN($C66,F66)*MIN(20,time_tot))+IF(G66="Immediate",IF(F66&gt;$C66,(F66-$C66)*MIN(20,time_tot),0),IF($C66&gt;F66,($C66-F66)*IF(time&gt;20,IF(G66="Linear",time-((time-20)^2)/(2*time),(0.215*time)-(time/4.6)*(EXP(-92.1/time)-0.01)),time*(1-VLOOKUP(G66, list!$J$48:$K$50,2,))),(F66-$C66)*IF(time_tot&gt;time+20,20,IF(time_tot&lt;20,(time*VLOOKUP(G66, list!$J$48:$K$50,2,))+(time_tot-time),((MIN(20,time)*VLOOKUP(G66, list!$J$48:$K$50,2,))+(time_tot-MIN(20,time))-IF(G66="Exponential",time_tot-20+0.217*time*(EXP(4.606*(20-time_tot)/time)-1),((time_tot-20)^2)*(0.5/time)))))))))</f>
        <v>0</v>
      </c>
      <c r="L66" s="3260">
        <f>(MIN(C66,D66)*time_tot+ABS(D66-C66)*IF(D66&gt;C66,time_cap+time*(VLOOKUP(E66, list!$J$48:$K$50,2,)),time*(1-(VLOOKUP(E66, list!$J$48:$K$50,2,)))))*$Y35</f>
        <v>0</v>
      </c>
      <c r="M66" s="3260">
        <f>(MIN(C66,F66)*time_tot+ABS(F66-C66)*IF(F66&gt;C66, time_cap+time*(VLOOKUP(G66,  list!$J$48:$K$50,2,)),time*(1-(VLOOKUP(G66, list!$J$48:$K$50,2,)))))*$Y35</f>
        <v>0</v>
      </c>
      <c r="N66" s="3271">
        <f>IF(T35&lt;P35*Q35,(P35*Q35-T35)/20/10*1000*N2O_N_conversion/1000*((MIN($C66,D66)*MIN(20,time_tot))+IF(E66="Immediate",IF(D66&gt;$C66,(D66-$C66)*MIN(20,time_tot),0),IF($C66&gt;D66,($C66-D66)*IF(time&gt;20,IF(E66="Linear",time-((time-20)^2)/(2*time),(0.215*time)-(time/4.6)*(EXP(-92.1/time)-0.01)),time*(1-VLOOKUP(E66, list!$J$48:$K$50,2,))),(D66-$C66)*IF(time_tot&gt;time+20,20,IF(time_tot&lt;20,(time*VLOOKUP(E66, list!$J$48:$K$50,2,))+(time_tot-time),((MIN(20,time)*VLOOKUP(E66, list!$J$48:$K$50,2,))+(time_tot-MIN(20,time))-IF(E66="Exponential",time_tot-20+0.217*time*(EXP(4.606*(20-time_tot)/time)-1),((time_tot-20)^2)*(0.5/time)))))))),0)</f>
        <v>0</v>
      </c>
      <c r="O66" s="3271">
        <f>IF(T35&lt;P35*Q35,(P35*Q35-T35)/20/10*1000*N2O_N_conversion/1000*((MIN($C66,F66)*MIN(20,time_tot))+IF(G66="Immediate",IF(F66&gt;$C66,(F66-$C66)*MIN(20,time_tot),0),IF($C66&gt;F66,($C66-F66)*IF(time&gt;20,IF(G66="Linear",time-((time-20)^2)/(2*time),(0.215*time)-(time/4.6)*(EXP(-92.1/time)-0.01)),time*(1-VLOOKUP(G66, list!$J$48:$K$50,2,))),(F66-$C66)*IF(time_tot&gt;time+20,20,IF(time_tot&lt;20,(time*VLOOKUP(G66, list!$J$48:$K$50,2,))+(time_tot-time),((MIN(20,time)*VLOOKUP(G66, list!$J$48:$K$50,2,))+(time_tot-MIN(20,time))-IF(G66="Exponential",time_tot-20+0.217*time*(EXP(4.606*(20-time_tot)/time)-1),((time_tot-20)^2)*(0.5/time)))))))),0)</f>
        <v>0</v>
      </c>
      <c r="P66" s="3260">
        <f t="shared" si="22"/>
        <v>0</v>
      </c>
      <c r="Q66" s="3260">
        <f t="shared" si="23"/>
        <v>0</v>
      </c>
      <c r="R66" s="3261">
        <f t="shared" si="24"/>
        <v>0</v>
      </c>
      <c r="U66" s="3712">
        <f>$Z35*(time*((ABS(D66-C66)*(IF(C66&lt;=D66,VLOOKUP(E66, list!$J$48:$K$50,2,),1-VLOOKUP(E66, list!$J$48:$K$50,2,))))+MIN(D66,C66))+(D66*time_cap))</f>
        <v>0</v>
      </c>
      <c r="V66" s="3713">
        <f>$Z35*(time*((ABS(F66-C66)*(IF(C66&lt;=F66,VLOOKUP(G66, list!$J$48:$K$50,2,),1-VLOOKUP(G66, list!$J$48:$K$50,2,))))+MIN(F66,C66))+(F66*time_cap))</f>
        <v>0</v>
      </c>
      <c r="W66" s="3714">
        <f t="shared" si="25"/>
        <v>0</v>
      </c>
      <c r="AN66" s="4450"/>
      <c r="AO66" s="4450"/>
      <c r="AP66" s="4450"/>
    </row>
    <row r="67" spans="2:42" x14ac:dyDescent="0.2">
      <c r="B67" s="3161" t="s">
        <v>5195</v>
      </c>
      <c r="C67" s="3636">
        <f>C47+C50+C53+C56+SUM(C59:C66)</f>
        <v>88</v>
      </c>
      <c r="D67" s="3636">
        <f>SUM(D47:D66)</f>
        <v>88</v>
      </c>
      <c r="E67" s="3636"/>
      <c r="F67" s="3636">
        <f>SUM(F47:F66)</f>
        <v>88</v>
      </c>
      <c r="G67" s="662"/>
    </row>
    <row r="68" spans="2:42" x14ac:dyDescent="0.2">
      <c r="N68" s="3262" t="s">
        <v>730</v>
      </c>
      <c r="O68" s="21"/>
      <c r="P68" s="3164">
        <f>IF(COUNTIF(R43:R46,"MISSING DATA")&gt;0,"MISSING DATA",SUM(P43:P66))</f>
        <v>-4818.8459733333339</v>
      </c>
      <c r="Q68" s="3164">
        <f>IF(COUNTIF(R43:R46,"MISSING DATA")&gt;0,"MISSING DATA",SUM(Q43:Q66))</f>
        <v>-5491.2704000000012</v>
      </c>
      <c r="R68" s="3164">
        <f>IF(COUNTIF(R43:R46,"MISSING DATA")&gt;0,"MISSING DATA",SUM(R43:R66))</f>
        <v>-672.42442666666739</v>
      </c>
      <c r="U68" s="3715">
        <f>SUM(U43:U66)</f>
        <v>16940</v>
      </c>
      <c r="V68" s="3715">
        <f>SUM(V43:V66)</f>
        <v>18040</v>
      </c>
      <c r="W68" s="3715">
        <f>SUM(W43:W66)</f>
        <v>1100</v>
      </c>
    </row>
    <row r="70" spans="2:42" x14ac:dyDescent="0.2">
      <c r="O70" s="1079" t="s">
        <v>629</v>
      </c>
      <c r="P70" s="1079">
        <f>SUM('3.Cropland'!AT67:AT88)</f>
        <v>0</v>
      </c>
    </row>
    <row r="73" spans="2:42" ht="15" customHeight="1" x14ac:dyDescent="0.2">
      <c r="D73" s="317"/>
    </row>
  </sheetData>
  <mergeCells count="4">
    <mergeCell ref="G9:H9"/>
    <mergeCell ref="I9:J9"/>
    <mergeCell ref="G10:H10"/>
    <mergeCell ref="I10:J10"/>
  </mergeCells>
  <dataValidations count="1">
    <dataValidation type="decimal" operator="greaterThanOrEqual" allowBlank="1" showInputMessage="1" showErrorMessage="1" sqref="E12:F35 J12:J35 H12:H35 K12:K15 T16:T35" xr:uid="{00000000-0002-0000-0900-000000000000}">
      <formula1>0</formula1>
    </dataValidation>
  </dataValidations>
  <pageMargins left="0.7" right="0.7" top="0.75" bottom="0.75" header="0.3" footer="0.3"/>
  <pageSetup paperSize="9" orientation="portrait" r:id="rId1"/>
  <drawing r:id="rId2"/>
  <mc:AlternateContent xmlns:mc="http://schemas.openxmlformats.org/markup-compatibility/2006">
    <mc:Choice Requires="v">
      <legacyDrawing r:id="rId3"/>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1000000}">
          <x14:formula1>
            <xm:f>list!$J$48:$J$50</xm:f>
          </x14:formula1>
          <xm:sqref>E44:E45</xm:sqref>
        </x14:dataValidation>
      </x14:dataValidations>
    </ext>
  </extLst>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rgb="FF172735"/>
  </sheetPr>
  <dimension ref="B1:CH573"/>
  <sheetViews>
    <sheetView tabSelected="1" topLeftCell="G29" zoomScaleNormal="80" workbookViewId="0">
      <selection activeCell="AG76" sqref="AG76"/>
    </sheetView>
  </sheetViews>
  <sheetFormatPr baseColWidth="10" defaultColWidth="8.5" defaultRowHeight="14" x14ac:dyDescent="0.2"/>
  <cols>
    <col min="1" max="1" width="7.5" style="1771" customWidth="1"/>
    <col min="2" max="2" width="1.5" style="1771" customWidth="1"/>
    <col min="3" max="3" width="3.33203125" style="1771" customWidth="1"/>
    <col min="4" max="4" width="29" style="1771" customWidth="1"/>
    <col min="5" max="5" width="12" style="1771" customWidth="1"/>
    <col min="6" max="6" width="1.5" style="1771" customWidth="1"/>
    <col min="7" max="7" width="30.5" style="1771" customWidth="1"/>
    <col min="8" max="8" width="1.5" style="1771" customWidth="1"/>
    <col min="9" max="9" width="29.6640625" style="1771" customWidth="1"/>
    <col min="10" max="10" width="1.5" style="1771" customWidth="1"/>
    <col min="11" max="11" width="29.5" style="1771" customWidth="1"/>
    <col min="12" max="12" width="5.5" style="1771" customWidth="1"/>
    <col min="13" max="13" width="8.5" style="1771"/>
    <col min="14" max="14" width="8.5" style="1771" customWidth="1"/>
    <col min="15" max="15" width="0.5" style="1771" customWidth="1"/>
    <col min="16" max="17" width="8.5" style="1771" customWidth="1"/>
    <col min="18" max="18" width="5.5" style="1771" customWidth="1"/>
    <col min="19" max="19" width="11.33203125" style="1771" customWidth="1"/>
    <col min="20" max="20" width="10.5" style="1771" customWidth="1"/>
    <col min="21" max="21" width="10.33203125" style="1771" customWidth="1"/>
    <col min="22" max="22" width="5.5" style="1771" customWidth="1"/>
    <col min="23" max="23" width="12.33203125" style="1771" customWidth="1"/>
    <col min="24" max="24" width="11.5" style="1771" customWidth="1"/>
    <col min="25" max="25" width="3.33203125" style="1771" customWidth="1"/>
    <col min="26" max="26" width="11.5" style="1771" customWidth="1"/>
    <col min="27" max="27" width="3.5" style="1771" customWidth="1"/>
    <col min="28" max="28" width="6.5" style="1771" customWidth="1"/>
    <col min="29" max="29" width="7.5" style="1771" customWidth="1"/>
    <col min="30" max="30" width="19.5" style="1771" customWidth="1"/>
    <col min="31" max="31" width="15" style="1771" customWidth="1"/>
    <col min="32" max="32" width="10" style="1771" customWidth="1"/>
    <col min="33" max="33" width="18.5" style="1771" customWidth="1"/>
    <col min="34" max="35" width="8.5" style="1771"/>
    <col min="36" max="45" width="8.5" style="1771" customWidth="1"/>
    <col min="46" max="46" width="17.33203125" style="1771" customWidth="1"/>
    <col min="47" max="51" width="8.5" style="1771" customWidth="1"/>
    <col min="52" max="52" width="1.5" style="1771" customWidth="1"/>
    <col min="53" max="53" width="34.6640625" style="1771" customWidth="1"/>
    <col min="54" max="54" width="50.33203125" style="1771" customWidth="1"/>
    <col min="55" max="55" width="8.5" style="1897" customWidth="1"/>
    <col min="56" max="56" width="8.5" style="1771"/>
    <col min="57" max="57" width="8.5" style="1771" customWidth="1"/>
    <col min="58" max="58" width="8.5" style="1771"/>
    <col min="59" max="59" width="8.5" style="1771" customWidth="1"/>
    <col min="60" max="60" width="8.5" style="1771"/>
    <col min="61" max="61" width="8.5" style="1771" customWidth="1"/>
    <col min="62" max="62" width="8.5" style="1771"/>
    <col min="63" max="64" width="8.5" style="1771" customWidth="1"/>
    <col min="65" max="65" width="8.5" style="1771"/>
    <col min="66" max="66" width="8.5" style="1771" customWidth="1"/>
    <col min="67" max="67" width="8.5" style="1771"/>
    <col min="68" max="69" width="8.5" style="1771" customWidth="1"/>
    <col min="70" max="70" width="8.5" style="1771"/>
    <col min="71" max="71" width="12.5" style="1771" customWidth="1"/>
    <col min="72" max="72" width="8.5" style="1771"/>
    <col min="73" max="73" width="11.5" style="1771" customWidth="1"/>
    <col min="74" max="74" width="10.6640625" style="1771" customWidth="1"/>
    <col min="75" max="75" width="25" style="1771" customWidth="1"/>
    <col min="76" max="76" width="3.5" style="1771" customWidth="1"/>
    <col min="77" max="77" width="10.5" style="1771" customWidth="1"/>
    <col min="78" max="78" width="11.33203125" style="1771" customWidth="1"/>
    <col min="79" max="79" width="3.5" style="1771" customWidth="1"/>
    <col min="80" max="81" width="10.33203125" style="1771" customWidth="1"/>
    <col min="82" max="16384" width="8.5" style="1771"/>
  </cols>
  <sheetData>
    <row r="1" spans="2:71" s="1767" customFormat="1" ht="100.5" customHeight="1" x14ac:dyDescent="0.2">
      <c r="BC1" s="2282"/>
    </row>
    <row r="5" spans="2:71" ht="44.75" customHeight="1" x14ac:dyDescent="0.2">
      <c r="B5" s="2053"/>
      <c r="C5" s="2168" t="str">
        <f>Languages!B223</f>
        <v>4.1. GRASSLAND MANAGEMENT</v>
      </c>
      <c r="D5" s="1769"/>
      <c r="E5" s="1769"/>
      <c r="F5" s="2053"/>
      <c r="G5" s="2053"/>
      <c r="H5" s="1769"/>
      <c r="I5" s="1769"/>
      <c r="J5" s="2053"/>
      <c r="K5" s="2053"/>
      <c r="L5" s="1769"/>
      <c r="M5" s="1769"/>
      <c r="N5" s="2053"/>
      <c r="O5" s="2053"/>
      <c r="P5" s="1769"/>
      <c r="Q5" s="1769"/>
      <c r="R5" s="2053"/>
      <c r="S5" s="2053"/>
      <c r="T5" s="1769"/>
      <c r="U5" s="1767"/>
      <c r="V5" s="2053"/>
      <c r="W5" s="2053"/>
      <c r="X5" s="1769"/>
      <c r="Y5" s="1769"/>
      <c r="Z5" s="2053"/>
      <c r="AA5" s="2053"/>
      <c r="AB5" s="1769"/>
      <c r="AC5" s="1769"/>
      <c r="AD5" s="2053"/>
      <c r="AE5" s="2175" t="str">
        <f>Languages!B22</f>
        <v>If country-specific data are available, please go to Tier 2:</v>
      </c>
      <c r="AF5" s="2175"/>
      <c r="AG5" s="1769"/>
      <c r="AH5" s="2053"/>
      <c r="AT5" s="4555" t="str">
        <f>Languages!B269</f>
        <v>Soil organic carbon content per grassland degradation level</v>
      </c>
      <c r="AU5" s="4555"/>
      <c r="AV5" s="4555"/>
      <c r="AZ5" s="1767"/>
      <c r="BA5" s="2053" t="str">
        <f>C5</f>
        <v>4.1. GRASSLAND MANAGEMENT</v>
      </c>
      <c r="BB5" s="1767"/>
      <c r="BC5" s="2282"/>
      <c r="BD5" s="1767"/>
      <c r="BE5" s="1767"/>
      <c r="BF5" s="1767"/>
      <c r="BG5" s="1767"/>
      <c r="BH5" s="1767"/>
      <c r="BI5" s="1767"/>
      <c r="BJ5" s="1767"/>
      <c r="BK5" s="1767"/>
      <c r="BL5" s="1767"/>
      <c r="BM5" s="1767"/>
      <c r="BN5" s="1767"/>
      <c r="BO5" s="1767"/>
      <c r="BQ5" s="4366" t="s">
        <v>71</v>
      </c>
      <c r="BR5" s="4366"/>
      <c r="BS5" s="4366"/>
    </row>
    <row r="6" spans="2:71" ht="5.25" customHeight="1" x14ac:dyDescent="0.2">
      <c r="AT6" s="4356"/>
      <c r="AU6" s="4356"/>
      <c r="AV6" s="4356"/>
      <c r="AZ6" s="1868"/>
      <c r="BA6" s="2283"/>
      <c r="BB6" s="1868"/>
      <c r="BC6" s="2284"/>
      <c r="BD6" s="1868"/>
      <c r="BE6" s="1868"/>
      <c r="BF6" s="1868"/>
      <c r="BG6" s="1868"/>
      <c r="BH6" s="1868"/>
      <c r="BI6" s="1868"/>
      <c r="BJ6" s="1868"/>
      <c r="BK6" s="1868"/>
      <c r="BL6" s="1868"/>
      <c r="BM6" s="1868"/>
      <c r="BN6" s="1868"/>
      <c r="BO6" s="1868"/>
      <c r="BQ6" s="1915"/>
      <c r="BR6" s="1915"/>
    </row>
    <row r="7" spans="2:71" ht="20.25" customHeight="1" x14ac:dyDescent="0.2">
      <c r="B7" s="1766"/>
      <c r="C7" s="1977" t="str">
        <f>Languages!B224</f>
        <v xml:space="preserve">4.1.1. Grassland systems from other land-use  or converted to other land-use (please fill 'Land-use change' module)  </v>
      </c>
      <c r="D7" s="1766"/>
      <c r="E7" s="1766"/>
      <c r="F7" s="1766"/>
      <c r="G7" s="1766"/>
      <c r="H7" s="1766"/>
      <c r="I7" s="1766"/>
      <c r="J7" s="1766"/>
      <c r="K7" s="1766"/>
      <c r="L7" s="1766"/>
      <c r="M7" s="1766"/>
      <c r="N7" s="1766"/>
      <c r="O7" s="1766"/>
      <c r="P7" s="1766"/>
      <c r="Q7" s="1766"/>
      <c r="R7" s="1766"/>
      <c r="S7" s="1766"/>
      <c r="T7" s="1766"/>
      <c r="U7" s="1766"/>
      <c r="V7" s="1766"/>
      <c r="W7" s="1766"/>
      <c r="X7" s="1766"/>
      <c r="Y7" s="1766"/>
      <c r="Z7" s="1766"/>
      <c r="AA7" s="1766"/>
      <c r="AB7" s="1766"/>
      <c r="AC7" s="1766"/>
      <c r="AD7" s="1766"/>
      <c r="AE7" s="1766"/>
      <c r="AF7" s="1766"/>
      <c r="AG7" s="1766"/>
      <c r="AH7" s="1766"/>
      <c r="AT7" s="2024" t="str">
        <f>Languages!B270</f>
        <v>Degradation level</v>
      </c>
      <c r="AU7" s="2029"/>
      <c r="AV7" s="2029" t="s">
        <v>782</v>
      </c>
      <c r="AZ7" s="2285"/>
      <c r="BA7" s="1766" t="str">
        <f>C7</f>
        <v xml:space="preserve">4.1.1. Grassland systems from other land-use  or converted to other land-use (please fill 'Land-use change' module)  </v>
      </c>
      <c r="BB7" s="1766"/>
      <c r="BC7" s="2139"/>
      <c r="BD7" s="1766"/>
      <c r="BE7" s="1766"/>
      <c r="BF7" s="1766"/>
      <c r="BG7" s="1766"/>
      <c r="BH7" s="1766"/>
      <c r="BI7" s="1766"/>
      <c r="BJ7" s="1766"/>
      <c r="BK7" s="1766"/>
      <c r="BL7" s="1766"/>
      <c r="BM7" s="1766"/>
      <c r="BN7" s="1766"/>
      <c r="BO7" s="1766"/>
      <c r="BQ7" s="1766"/>
      <c r="BR7" s="1766"/>
      <c r="BS7" s="1766"/>
    </row>
    <row r="8" spans="2:71" ht="15" customHeight="1" x14ac:dyDescent="0.2">
      <c r="B8" s="1781"/>
      <c r="C8" s="1826"/>
      <c r="D8" s="1781"/>
      <c r="E8" s="1781"/>
      <c r="F8" s="1781"/>
      <c r="G8" s="1781"/>
      <c r="H8" s="1781"/>
      <c r="I8" s="1827"/>
      <c r="J8" s="2080"/>
      <c r="K8" s="2080"/>
      <c r="L8" s="2286"/>
      <c r="M8" s="1780"/>
      <c r="N8" s="1780"/>
      <c r="O8" s="1780"/>
      <c r="P8" s="1780"/>
      <c r="Q8" s="1780"/>
      <c r="R8" s="1780"/>
      <c r="S8" s="1780"/>
      <c r="T8" s="1780"/>
      <c r="U8" s="1826"/>
      <c r="V8" s="1781"/>
      <c r="W8" s="1781"/>
      <c r="X8" s="1781"/>
      <c r="Y8" s="1781"/>
      <c r="Z8" s="1781"/>
      <c r="AA8" s="1781"/>
      <c r="AB8" s="1781"/>
      <c r="AC8" s="1781"/>
      <c r="AD8" s="1781"/>
      <c r="AE8" s="1781"/>
      <c r="AF8" s="1781"/>
      <c r="AG8" s="1781"/>
      <c r="AH8" s="1781"/>
      <c r="AT8" s="2029"/>
      <c r="AU8" s="2029"/>
      <c r="AV8" s="2029" t="str">
        <f>Languages!B90</f>
        <v>tC/ha</v>
      </c>
      <c r="AZ8" s="2287"/>
      <c r="BA8" s="1782"/>
      <c r="BB8" s="1782"/>
      <c r="BC8" s="2151"/>
      <c r="BD8" s="1782"/>
      <c r="BE8" s="1782"/>
      <c r="BF8" s="1782"/>
      <c r="BG8" s="1782"/>
      <c r="BH8" s="1782"/>
      <c r="BI8" s="1782"/>
      <c r="BJ8" s="1782"/>
      <c r="BK8" s="1782"/>
      <c r="BL8" s="1782"/>
      <c r="BM8" s="1782"/>
      <c r="BN8" s="1782"/>
      <c r="BO8" s="2287"/>
      <c r="BQ8" s="1889" t="s">
        <v>74</v>
      </c>
      <c r="BR8" s="1889"/>
      <c r="BS8" s="1996"/>
    </row>
    <row r="9" spans="2:71" ht="15" customHeight="1" x14ac:dyDescent="0.2">
      <c r="B9" s="1781"/>
      <c r="C9" s="2288" t="str">
        <f>Languages!B234</f>
        <v>Description</v>
      </c>
      <c r="D9" s="1781"/>
      <c r="E9" s="1781"/>
      <c r="F9" s="1781"/>
      <c r="G9" s="1789"/>
      <c r="H9" s="1789"/>
      <c r="I9" s="2135" t="str">
        <f>Languages!B230</f>
        <v>Grassland management</v>
      </c>
      <c r="J9" s="2136"/>
      <c r="K9" s="2136"/>
      <c r="L9" s="2286"/>
      <c r="M9" s="2289" t="str">
        <f>Languages!B231</f>
        <v>Fire management &amp; periodicity</v>
      </c>
      <c r="N9" s="2290"/>
      <c r="O9" s="2290"/>
      <c r="P9" s="2123"/>
      <c r="Q9" s="2123"/>
      <c r="R9" s="1780"/>
      <c r="S9" s="2291" t="str">
        <f>Languages!B232</f>
        <v>Yield (t/ha/year)</v>
      </c>
      <c r="T9" s="2292"/>
      <c r="U9" s="2123"/>
      <c r="V9" s="1781"/>
      <c r="W9" s="2094"/>
      <c r="X9" s="2090" t="str">
        <f>Languages!B115</f>
        <v>Area (ha)</v>
      </c>
      <c r="Y9" s="2091"/>
      <c r="Z9" s="2092"/>
      <c r="AA9" s="1781"/>
      <c r="AB9" s="1781"/>
      <c r="AC9" s="2117"/>
      <c r="AD9" s="2293" t="str">
        <f>Languages!B9</f>
        <v>Total emissions (tCO2-e)</v>
      </c>
      <c r="AE9" s="1789"/>
      <c r="AF9" s="1781"/>
      <c r="AG9" s="2077" t="str">
        <f>Languages!B10</f>
        <v>Balance</v>
      </c>
      <c r="AH9" s="1781"/>
      <c r="AT9" s="2024" t="str">
        <f>Languages!B271</f>
        <v>Non-degraded</v>
      </c>
      <c r="AU9" s="2024"/>
      <c r="AV9" s="2030">
        <f>IFERROR(grass!Y28, 0)</f>
        <v>24</v>
      </c>
      <c r="AZ9" s="2287"/>
      <c r="BA9" s="2294" t="str">
        <f>C9</f>
        <v>Description</v>
      </c>
      <c r="BB9" s="1847"/>
      <c r="BC9" s="2027" t="str">
        <f>Languages!B277</f>
        <v>Soil carbon stocks (tC/ha)</v>
      </c>
      <c r="BD9" s="2295"/>
      <c r="BE9" s="2027"/>
      <c r="BF9" s="2296"/>
      <c r="BG9" s="2297"/>
      <c r="BH9" s="2297"/>
      <c r="BI9" s="2027" t="str">
        <f>Languages!B237</f>
        <v>AGB (t d.m./ha)</v>
      </c>
      <c r="BJ9" s="2297"/>
      <c r="BK9" s="2287"/>
      <c r="BL9" s="2027" t="str">
        <f>Languages!B238</f>
        <v>Combustion factor (%)</v>
      </c>
      <c r="BM9" s="2298"/>
      <c r="BN9" s="2287"/>
      <c r="BO9" s="2287"/>
      <c r="BQ9" s="2014" t="s">
        <v>82</v>
      </c>
      <c r="BR9" s="2014"/>
      <c r="BS9" s="1996"/>
    </row>
    <row r="10" spans="2:71" ht="15" customHeight="1" x14ac:dyDescent="0.2">
      <c r="B10" s="1781"/>
      <c r="C10" s="2299"/>
      <c r="D10" s="1781"/>
      <c r="E10" s="1781"/>
      <c r="F10" s="1781"/>
      <c r="G10" s="1781"/>
      <c r="H10" s="1781"/>
      <c r="I10" s="2080"/>
      <c r="J10" s="2080"/>
      <c r="K10" s="2080"/>
      <c r="L10" s="2286"/>
      <c r="M10" s="1780"/>
      <c r="N10" s="1780"/>
      <c r="O10" s="1780"/>
      <c r="P10" s="1780"/>
      <c r="Q10" s="1780"/>
      <c r="R10" s="1780"/>
      <c r="S10" s="2084"/>
      <c r="T10" s="2084"/>
      <c r="U10" s="2082"/>
      <c r="V10" s="1781"/>
      <c r="W10" s="2099"/>
      <c r="X10" s="2099"/>
      <c r="Y10" s="2099"/>
      <c r="Z10" s="2099"/>
      <c r="AA10" s="1781"/>
      <c r="AB10" s="1781"/>
      <c r="AC10" s="1781"/>
      <c r="AD10" s="1781"/>
      <c r="AE10" s="1781"/>
      <c r="AF10" s="1781"/>
      <c r="AG10" s="1781"/>
      <c r="AH10" s="1781"/>
      <c r="AT10" s="2024" t="str">
        <f>Languages!B272</f>
        <v>High intensity grazing</v>
      </c>
      <c r="AU10" s="2024"/>
      <c r="AV10" s="2030">
        <f>IFERROR(grass!Y29, 0)</f>
        <v>21.6</v>
      </c>
      <c r="AZ10" s="2287"/>
      <c r="BA10" s="1847"/>
      <c r="BB10" s="1847"/>
      <c r="BC10" s="2300" t="str">
        <f>G11</f>
        <v>Start</v>
      </c>
      <c r="BD10" s="2024"/>
      <c r="BE10" s="2301" t="str">
        <f>I11</f>
        <v>Without</v>
      </c>
      <c r="BF10" s="2024"/>
      <c r="BG10" s="2300" t="str">
        <f>K11</f>
        <v>With</v>
      </c>
      <c r="BH10" s="2024"/>
      <c r="BI10" s="2287"/>
      <c r="BJ10" s="2287"/>
      <c r="BK10" s="2287"/>
      <c r="BL10" s="2287"/>
      <c r="BM10" s="2287"/>
      <c r="BN10" s="2287"/>
      <c r="BO10" s="2287"/>
      <c r="BQ10" s="1996"/>
      <c r="BR10" s="1893"/>
      <c r="BS10" s="1996"/>
    </row>
    <row r="11" spans="2:71" ht="15" customHeight="1" x14ac:dyDescent="0.2">
      <c r="B11" s="1781"/>
      <c r="C11" s="2302" t="str">
        <f>Languages!B235</f>
        <v>Grassland systems from (or to) other LU</v>
      </c>
      <c r="D11" s="1781"/>
      <c r="E11" s="1781"/>
      <c r="F11" s="1781"/>
      <c r="G11" s="1928" t="str">
        <f>Languages!B11</f>
        <v>Start</v>
      </c>
      <c r="H11" s="2082"/>
      <c r="I11" s="1928" t="str">
        <f>Languages!B12</f>
        <v>Without</v>
      </c>
      <c r="J11" s="2137"/>
      <c r="K11" s="1928" t="str">
        <f>Languages!B13</f>
        <v>With</v>
      </c>
      <c r="L11" s="2286"/>
      <c r="M11" s="2084" t="str">
        <f>I11</f>
        <v>Without</v>
      </c>
      <c r="N11" s="2081"/>
      <c r="O11" s="2081"/>
      <c r="P11" s="2303" t="str">
        <f>K11</f>
        <v>With</v>
      </c>
      <c r="Q11" s="2082"/>
      <c r="R11" s="2077"/>
      <c r="S11" s="1928" t="str">
        <f>G11</f>
        <v>Start</v>
      </c>
      <c r="T11" s="1928" t="str">
        <f>I11</f>
        <v>Without</v>
      </c>
      <c r="U11" s="1928" t="str">
        <f>K11</f>
        <v>With</v>
      </c>
      <c r="V11" s="2082"/>
      <c r="W11" s="1928" t="str">
        <f>S11</f>
        <v>Start</v>
      </c>
      <c r="X11" s="1928" t="str">
        <f>T11</f>
        <v>Without</v>
      </c>
      <c r="Y11" s="1928"/>
      <c r="Z11" s="1928" t="str">
        <f>U11</f>
        <v>With</v>
      </c>
      <c r="AA11" s="1806"/>
      <c r="AB11" s="1781"/>
      <c r="AC11" s="2304"/>
      <c r="AD11" s="1928" t="str">
        <f>T11</f>
        <v>Without</v>
      </c>
      <c r="AE11" s="1928" t="str">
        <f>Z11</f>
        <v>With</v>
      </c>
      <c r="AF11" s="1781"/>
      <c r="AG11" s="1781"/>
      <c r="AH11" s="1781"/>
      <c r="AT11" s="2024" t="str">
        <f>Languages!B273</f>
        <v>Severely degraded</v>
      </c>
      <c r="AU11" s="2024"/>
      <c r="AV11" s="2030">
        <f>IFERROR(grass!Y30, 0)</f>
        <v>16.799999999999997</v>
      </c>
      <c r="AZ11" s="2287"/>
      <c r="BA11" s="2305" t="str">
        <f>C11</f>
        <v>Grassland systems from (or to) other LU</v>
      </c>
      <c r="BB11" s="1847"/>
      <c r="BC11" s="2029" t="str">
        <f>Languages!B16</f>
        <v>Default</v>
      </c>
      <c r="BD11" s="2029" t="str">
        <f>Languages!B17</f>
        <v>Tier 2</v>
      </c>
      <c r="BE11" s="2024" t="str">
        <f t="shared" ref="BE11:BJ11" si="0">BC11</f>
        <v>Default</v>
      </c>
      <c r="BF11" s="2029" t="str">
        <f t="shared" si="0"/>
        <v>Tier 2</v>
      </c>
      <c r="BG11" s="2024" t="str">
        <f t="shared" si="0"/>
        <v>Default</v>
      </c>
      <c r="BH11" s="2029" t="str">
        <f t="shared" si="0"/>
        <v>Tier 2</v>
      </c>
      <c r="BI11" s="2029" t="str">
        <f t="shared" si="0"/>
        <v>Default</v>
      </c>
      <c r="BJ11" s="2029" t="str">
        <f t="shared" si="0"/>
        <v>Tier 2</v>
      </c>
      <c r="BK11" s="2306"/>
      <c r="BL11" s="2029" t="str">
        <f>BI11</f>
        <v>Default</v>
      </c>
      <c r="BM11" s="2029" t="str">
        <f>BJ11</f>
        <v>Tier 2</v>
      </c>
      <c r="BN11" s="2287"/>
      <c r="BO11" s="2306"/>
      <c r="BQ11" s="1996"/>
      <c r="BR11" s="1893"/>
      <c r="BS11" s="1996"/>
    </row>
    <row r="12" spans="2:71" ht="15" customHeight="1" x14ac:dyDescent="0.2">
      <c r="B12" s="1781"/>
      <c r="C12" s="1781"/>
      <c r="D12" s="1781"/>
      <c r="E12" s="1781"/>
      <c r="F12" s="1781"/>
      <c r="G12" s="1781"/>
      <c r="H12" s="1781"/>
      <c r="I12" s="1827"/>
      <c r="J12" s="2080"/>
      <c r="K12" s="2080"/>
      <c r="L12" s="2286"/>
      <c r="M12" s="1806" t="str">
        <f>Languages!B62</f>
        <v>(y/n)</v>
      </c>
      <c r="N12" s="1806" t="str">
        <f>Languages!B30</f>
        <v>Year</v>
      </c>
      <c r="O12" s="1943"/>
      <c r="P12" s="1806" t="str">
        <f>M12</f>
        <v>(y/n)</v>
      </c>
      <c r="Q12" s="1806" t="str">
        <f>N12</f>
        <v>Year</v>
      </c>
      <c r="R12" s="1780"/>
      <c r="S12" s="2084"/>
      <c r="T12" s="2084"/>
      <c r="U12" s="2082"/>
      <c r="V12" s="1781"/>
      <c r="W12" s="1806"/>
      <c r="X12" s="1806"/>
      <c r="Y12" s="1781"/>
      <c r="Z12" s="1806"/>
      <c r="AA12" s="1806"/>
      <c r="AB12" s="1781"/>
      <c r="AC12" s="1781"/>
      <c r="AD12" s="1806"/>
      <c r="AE12" s="1806"/>
      <c r="AF12" s="1781"/>
      <c r="AG12" s="1781"/>
      <c r="AH12" s="1781"/>
      <c r="AT12" s="2024" t="str">
        <f>Languages!B274</f>
        <v>Improved with medium inputs</v>
      </c>
      <c r="AU12" s="2024"/>
      <c r="AV12" s="2030">
        <f>IFERROR(grass!Y31, 0)</f>
        <v>27.36</v>
      </c>
      <c r="AZ12" s="2287"/>
      <c r="BA12" s="1847"/>
      <c r="BB12" s="1847"/>
      <c r="BC12" s="2068"/>
      <c r="BD12" s="1886"/>
      <c r="BE12" s="1886"/>
      <c r="BF12" s="1886"/>
      <c r="BG12" s="1886"/>
      <c r="BH12" s="1886"/>
      <c r="BI12" s="2287"/>
      <c r="BJ12" s="2287"/>
      <c r="BK12" s="2287"/>
      <c r="BL12" s="2287"/>
      <c r="BM12" s="2287"/>
      <c r="BN12" s="2287"/>
      <c r="BO12" s="2287"/>
      <c r="BQ12" s="1996"/>
      <c r="BR12" s="1893"/>
      <c r="BS12" s="1996"/>
    </row>
    <row r="13" spans="2:71" ht="15" customHeight="1" x14ac:dyDescent="0.2">
      <c r="B13" s="1781"/>
      <c r="C13" s="1814" t="str">
        <f>Languages!B226</f>
        <v>Grasslands after deforestation</v>
      </c>
      <c r="D13" s="1781"/>
      <c r="E13" s="1781"/>
      <c r="F13" s="1781"/>
      <c r="G13" s="2138" t="s">
        <v>57</v>
      </c>
      <c r="H13" s="1781"/>
      <c r="I13" s="2138" t="s">
        <v>845</v>
      </c>
      <c r="J13" s="2080"/>
      <c r="K13" s="2138" t="s">
        <v>57</v>
      </c>
      <c r="L13" s="2286"/>
      <c r="M13" s="2138" t="s">
        <v>85</v>
      </c>
      <c r="N13" s="2138">
        <v>5</v>
      </c>
      <c r="O13" s="2081"/>
      <c r="P13" s="2138" t="s">
        <v>85</v>
      </c>
      <c r="Q13" s="2138">
        <v>5</v>
      </c>
      <c r="R13" s="1780"/>
      <c r="S13" s="2145"/>
      <c r="T13" s="2146"/>
      <c r="U13" s="2147"/>
      <c r="V13" s="1781"/>
      <c r="W13" s="1896">
        <v>0</v>
      </c>
      <c r="X13" s="1841">
        <f>grass!$D30</f>
        <v>0</v>
      </c>
      <c r="Y13" s="2130"/>
      <c r="Z13" s="1841">
        <f>grass!$F30</f>
        <v>0</v>
      </c>
      <c r="AA13" s="1806"/>
      <c r="AB13" s="1781"/>
      <c r="AC13" s="1781"/>
      <c r="AD13" s="1841">
        <f>grass!$L30</f>
        <v>0</v>
      </c>
      <c r="AE13" s="1841">
        <f>grass!M30</f>
        <v>0</v>
      </c>
      <c r="AF13" s="1781"/>
      <c r="AG13" s="1816">
        <f>grass!$N30</f>
        <v>0</v>
      </c>
      <c r="AH13" s="1781"/>
      <c r="AT13" s="2024" t="str">
        <f>Languages!B275</f>
        <v>Improved grassland</v>
      </c>
      <c r="AU13" s="2024"/>
      <c r="AV13" s="2030">
        <f>IFERROR(grass!Y32, 0)</f>
        <v>27.36</v>
      </c>
      <c r="AZ13" s="2287"/>
      <c r="BA13" s="1801" t="str">
        <f>C13</f>
        <v>Grasslands after deforestation</v>
      </c>
      <c r="BB13" s="1847"/>
      <c r="BC13" s="2030">
        <f>IFERROR(grass!K10, 0)</f>
        <v>24</v>
      </c>
      <c r="BD13" s="2348"/>
      <c r="BE13" s="2000">
        <f>grass!M10</f>
        <v>21.6</v>
      </c>
      <c r="BF13" s="4319"/>
      <c r="BG13" s="2000">
        <f>grass!O10</f>
        <v>24</v>
      </c>
      <c r="BH13" s="4319"/>
      <c r="BI13" s="1795">
        <f>IF(AND(W13=0, X13=0, Z13=0), 0, VLOOKUP(clim_moist, IPCC!$A$553:$B$562,2, FALSE))</f>
        <v>0</v>
      </c>
      <c r="BJ13" s="2349"/>
      <c r="BK13" s="2287"/>
      <c r="BL13" s="4387">
        <v>0.77</v>
      </c>
      <c r="BM13" s="4388"/>
      <c r="BN13" s="2287"/>
      <c r="BO13" s="2287"/>
      <c r="BQ13" s="4363">
        <v>1</v>
      </c>
      <c r="BR13" s="4364"/>
      <c r="BS13" s="1996"/>
    </row>
    <row r="14" spans="2:71" ht="15" customHeight="1" x14ac:dyDescent="0.2">
      <c r="B14" s="1781"/>
      <c r="C14" s="1814" t="str">
        <f>Languages!B228</f>
        <v>Grasslands converted to forest land</v>
      </c>
      <c r="D14" s="1781"/>
      <c r="E14" s="1781"/>
      <c r="F14" s="1781"/>
      <c r="G14" s="2138" t="s">
        <v>57</v>
      </c>
      <c r="H14" s="1781"/>
      <c r="I14" s="2138" t="s">
        <v>57</v>
      </c>
      <c r="J14" s="2080"/>
      <c r="K14" s="2138" t="s">
        <v>57</v>
      </c>
      <c r="L14" s="2286"/>
      <c r="M14" s="2138" t="s">
        <v>85</v>
      </c>
      <c r="N14" s="2138">
        <v>5</v>
      </c>
      <c r="O14" s="2081"/>
      <c r="P14" s="2138" t="s">
        <v>85</v>
      </c>
      <c r="Q14" s="2138">
        <v>5</v>
      </c>
      <c r="R14" s="1780"/>
      <c r="S14" s="2145"/>
      <c r="T14" s="2146"/>
      <c r="U14" s="2147"/>
      <c r="V14" s="1781"/>
      <c r="W14" s="1841">
        <f>grass!$C31</f>
        <v>0</v>
      </c>
      <c r="X14" s="1841">
        <f>grass!$D31</f>
        <v>0</v>
      </c>
      <c r="Y14" s="2130"/>
      <c r="Z14" s="1841">
        <f>grass!$F31</f>
        <v>0</v>
      </c>
      <c r="AA14" s="1806"/>
      <c r="AB14" s="1781"/>
      <c r="AC14" s="1781"/>
      <c r="AD14" s="1841">
        <f>grass!$L31</f>
        <v>0</v>
      </c>
      <c r="AE14" s="1841">
        <f>grass!M31</f>
        <v>0</v>
      </c>
      <c r="AF14" s="1781"/>
      <c r="AG14" s="1816">
        <f>grass!$N31</f>
        <v>0</v>
      </c>
      <c r="AH14" s="1781"/>
      <c r="AT14" s="2024" t="str">
        <f>Languages!B276</f>
        <v>Improved with high inputs</v>
      </c>
      <c r="AU14" s="2024"/>
      <c r="AV14" s="2030">
        <f>IFERROR(grass!Y33, 0)</f>
        <v>30.369600000000002</v>
      </c>
      <c r="AZ14" s="2287"/>
      <c r="BA14" s="1801" t="str">
        <f>C14</f>
        <v>Grasslands converted to forest land</v>
      </c>
      <c r="BB14" s="1847"/>
      <c r="BC14" s="2030">
        <f>grass!K11</f>
        <v>24</v>
      </c>
      <c r="BD14" s="2348"/>
      <c r="BE14" s="2000">
        <f>grass!M11</f>
        <v>24</v>
      </c>
      <c r="BF14" s="4319"/>
      <c r="BG14" s="2000">
        <f>grass!O11</f>
        <v>24</v>
      </c>
      <c r="BH14" s="4319"/>
      <c r="BI14" s="1795">
        <f>IF(AND(W14=0, X14=0, Z14=0), 0, VLOOKUP(clim_moist, IPCC!$A$553:$B$562,2, FALSE))</f>
        <v>0</v>
      </c>
      <c r="BJ14" s="2349"/>
      <c r="BK14" s="2287"/>
      <c r="BL14" s="4387">
        <v>0.77</v>
      </c>
      <c r="BM14" s="4388"/>
      <c r="BN14" s="2287"/>
      <c r="BO14" s="2287"/>
      <c r="BQ14" s="4363">
        <v>1</v>
      </c>
      <c r="BR14" s="4364"/>
      <c r="BS14" s="1996"/>
    </row>
    <row r="15" spans="2:71" ht="15" customHeight="1" x14ac:dyDescent="0.2">
      <c r="B15" s="1781"/>
      <c r="C15" s="1814" t="str">
        <f>Languages!B227</f>
        <v>Grasslands after non-forest LUs</v>
      </c>
      <c r="D15" s="1781"/>
      <c r="E15" s="1781"/>
      <c r="F15" s="1781"/>
      <c r="G15" s="2138" t="s">
        <v>57</v>
      </c>
      <c r="H15" s="1781"/>
      <c r="I15" s="2138" t="s">
        <v>57</v>
      </c>
      <c r="J15" s="2080"/>
      <c r="K15" s="2138" t="s">
        <v>57</v>
      </c>
      <c r="L15" s="2286"/>
      <c r="M15" s="2138" t="s">
        <v>85</v>
      </c>
      <c r="N15" s="2138">
        <v>5</v>
      </c>
      <c r="O15" s="2081"/>
      <c r="P15" s="2138" t="s">
        <v>85</v>
      </c>
      <c r="Q15" s="2138">
        <v>5</v>
      </c>
      <c r="R15" s="1780"/>
      <c r="S15" s="2145"/>
      <c r="T15" s="2146"/>
      <c r="U15" s="2147"/>
      <c r="V15" s="1781"/>
      <c r="W15" s="1896">
        <v>0</v>
      </c>
      <c r="X15" s="1841">
        <f>grass!$D32</f>
        <v>0</v>
      </c>
      <c r="Y15" s="2130"/>
      <c r="Z15" s="1841">
        <f>grass!$F32</f>
        <v>0</v>
      </c>
      <c r="AA15" s="1806"/>
      <c r="AB15" s="1781"/>
      <c r="AC15" s="1781"/>
      <c r="AD15" s="1841">
        <f>grass!$L32</f>
        <v>0</v>
      </c>
      <c r="AE15" s="1841">
        <f>grass!M32</f>
        <v>0</v>
      </c>
      <c r="AF15" s="1781"/>
      <c r="AG15" s="1816">
        <f>grass!$N32</f>
        <v>0</v>
      </c>
      <c r="AH15" s="1781"/>
      <c r="AZ15" s="2287"/>
      <c r="BA15" s="1801" t="str">
        <f>C15</f>
        <v>Grasslands after non-forest LUs</v>
      </c>
      <c r="BB15" s="1847"/>
      <c r="BC15" s="2030">
        <f>IFERROR(grass!K12, 0)</f>
        <v>24</v>
      </c>
      <c r="BD15" s="2348"/>
      <c r="BE15" s="2000">
        <f>grass!M12</f>
        <v>24</v>
      </c>
      <c r="BF15" s="4319"/>
      <c r="BG15" s="2000">
        <f>grass!O12</f>
        <v>24</v>
      </c>
      <c r="BH15" s="4319"/>
      <c r="BI15" s="1795">
        <f>IF(AND(W15=0, X15=0, Z15=0), 0, VLOOKUP(clim_moist, IPCC!$A$553:$B$562,2, FALSE))</f>
        <v>0</v>
      </c>
      <c r="BJ15" s="2349"/>
      <c r="BK15" s="2287"/>
      <c r="BL15" s="4387">
        <v>0.77</v>
      </c>
      <c r="BM15" s="4388"/>
      <c r="BN15" s="2287"/>
      <c r="BO15" s="2287"/>
      <c r="BQ15" s="4363">
        <v>1</v>
      </c>
      <c r="BR15" s="4364"/>
      <c r="BS15" s="1996"/>
    </row>
    <row r="16" spans="2:71" ht="15" customHeight="1" x14ac:dyDescent="0.2">
      <c r="B16" s="1781"/>
      <c r="C16" s="1814" t="str">
        <f>Languages!B229</f>
        <v xml:space="preserve">Grasslands converted to non-forest LUs   </v>
      </c>
      <c r="D16" s="1781"/>
      <c r="E16" s="1781"/>
      <c r="F16" s="1781"/>
      <c r="G16" s="2138" t="s">
        <v>845</v>
      </c>
      <c r="H16" s="1781"/>
      <c r="I16" s="2138" t="s">
        <v>57</v>
      </c>
      <c r="J16" s="2080"/>
      <c r="K16" s="2138" t="s">
        <v>57</v>
      </c>
      <c r="L16" s="2286"/>
      <c r="M16" s="2138" t="s">
        <v>85</v>
      </c>
      <c r="N16" s="2138">
        <v>5</v>
      </c>
      <c r="O16" s="2081"/>
      <c r="P16" s="2138" t="s">
        <v>85</v>
      </c>
      <c r="Q16" s="2138">
        <v>5</v>
      </c>
      <c r="R16" s="1780"/>
      <c r="S16" s="2145"/>
      <c r="T16" s="2146"/>
      <c r="U16" s="2147"/>
      <c r="V16" s="1781"/>
      <c r="W16" s="1841">
        <f>grass!$C33</f>
        <v>150</v>
      </c>
      <c r="X16" s="1841">
        <f>grass!$D33</f>
        <v>0</v>
      </c>
      <c r="Y16" s="2130"/>
      <c r="Z16" s="1841">
        <f>grass!$F33</f>
        <v>0</v>
      </c>
      <c r="AA16" s="1806"/>
      <c r="AB16" s="1781"/>
      <c r="AC16" s="1781"/>
      <c r="AD16" s="1841">
        <f>grass!$L33</f>
        <v>0</v>
      </c>
      <c r="AE16" s="1841">
        <f>grass!M33</f>
        <v>0</v>
      </c>
      <c r="AF16" s="1781"/>
      <c r="AG16" s="1816">
        <f>grass!$N33</f>
        <v>0</v>
      </c>
      <c r="AH16" s="1781"/>
      <c r="AZ16" s="2287"/>
      <c r="BA16" s="1801" t="str">
        <f>C16</f>
        <v xml:space="preserve">Grasslands converted to non-forest LUs   </v>
      </c>
      <c r="BB16" s="1847"/>
      <c r="BC16" s="2030">
        <f>grass!K13</f>
        <v>21.6</v>
      </c>
      <c r="BD16" s="2348"/>
      <c r="BE16" s="2000">
        <f>grass!M13</f>
        <v>24</v>
      </c>
      <c r="BF16" s="4319"/>
      <c r="BG16" s="2000">
        <f>grass!O13</f>
        <v>24</v>
      </c>
      <c r="BH16" s="4319"/>
      <c r="BI16" s="1795">
        <f>IF(AND(W16=0, X16=0, Z16=0), 0, VLOOKUP(clim_moist, IPCC!$A$553:$B$562,2, FALSE))</f>
        <v>1.6</v>
      </c>
      <c r="BJ16" s="2349"/>
      <c r="BK16" s="2287"/>
      <c r="BL16" s="4387">
        <v>0.77</v>
      </c>
      <c r="BM16" s="4388"/>
      <c r="BN16" s="2287"/>
      <c r="BO16" s="2287"/>
      <c r="BQ16" s="4363">
        <v>1</v>
      </c>
      <c r="BR16" s="4364"/>
      <c r="BS16" s="1996"/>
    </row>
    <row r="17" spans="2:71" ht="15" customHeight="1" x14ac:dyDescent="0.2">
      <c r="B17" s="1781"/>
      <c r="C17" s="1781"/>
      <c r="D17" s="1781"/>
      <c r="E17" s="1781"/>
      <c r="F17" s="1781"/>
      <c r="G17" s="1781"/>
      <c r="H17" s="1781"/>
      <c r="I17" s="1781"/>
      <c r="J17" s="1781"/>
      <c r="K17" s="1781"/>
      <c r="L17" s="1781"/>
      <c r="M17" s="1781"/>
      <c r="N17" s="1781"/>
      <c r="O17" s="1781"/>
      <c r="P17" s="1781"/>
      <c r="Q17" s="1781"/>
      <c r="R17" s="1781"/>
      <c r="S17" s="1781"/>
      <c r="T17" s="1781"/>
      <c r="U17" s="1781"/>
      <c r="V17" s="1781"/>
      <c r="W17" s="1781"/>
      <c r="X17" s="1781"/>
      <c r="Y17" s="1781"/>
      <c r="Z17" s="1781"/>
      <c r="AA17" s="1781"/>
      <c r="AB17" s="1781"/>
      <c r="AC17" s="1781"/>
      <c r="AD17" s="1806"/>
      <c r="AE17" s="1806"/>
      <c r="AF17" s="1781"/>
      <c r="AG17" s="1806"/>
      <c r="AH17" s="1781"/>
      <c r="AZ17" s="2287"/>
      <c r="BA17" s="1847"/>
      <c r="BB17" s="1847"/>
      <c r="BC17" s="2029"/>
      <c r="BD17" s="2287"/>
      <c r="BE17" s="2307"/>
      <c r="BF17" s="2287"/>
      <c r="BG17" s="2307"/>
      <c r="BH17" s="2287"/>
      <c r="BI17" s="2287"/>
      <c r="BJ17" s="2287"/>
      <c r="BK17" s="2287"/>
      <c r="BL17" s="2287"/>
      <c r="BM17" s="2287"/>
      <c r="BN17" s="2287"/>
      <c r="BO17" s="2287"/>
      <c r="BQ17" s="1996"/>
      <c r="BR17" s="1893"/>
      <c r="BS17" s="1996"/>
    </row>
    <row r="18" spans="2:71" ht="5.25" customHeight="1" x14ac:dyDescent="0.2">
      <c r="AD18" s="1897"/>
      <c r="AE18" s="1897"/>
      <c r="AG18" s="1897"/>
      <c r="AZ18" s="1782"/>
      <c r="BA18" s="1782"/>
      <c r="BB18" s="1782"/>
      <c r="BC18" s="2151"/>
      <c r="BD18" s="1782"/>
      <c r="BE18" s="1782"/>
      <c r="BF18" s="1782"/>
      <c r="BG18" s="1782"/>
      <c r="BH18" s="1782"/>
      <c r="BI18" s="1782"/>
      <c r="BJ18" s="1782"/>
      <c r="BK18" s="1782"/>
      <c r="BL18" s="1782"/>
      <c r="BM18" s="1782"/>
      <c r="BN18" s="1782"/>
      <c r="BO18" s="1782"/>
      <c r="BQ18" s="1996"/>
      <c r="BR18" s="1893"/>
      <c r="BS18" s="1996"/>
    </row>
    <row r="19" spans="2:71" ht="20.25" customHeight="1" x14ac:dyDescent="0.2">
      <c r="B19" s="1766"/>
      <c r="C19" s="1977" t="str">
        <f>Languages!B233</f>
        <v>4.1.2. Grassland systems  remaining grassland systems  (total area must remain constant)</v>
      </c>
      <c r="D19" s="1766"/>
      <c r="E19" s="1766"/>
      <c r="F19" s="1766"/>
      <c r="G19" s="1766"/>
      <c r="H19" s="1766"/>
      <c r="I19" s="1766"/>
      <c r="J19" s="1766"/>
      <c r="K19" s="1766"/>
      <c r="L19" s="1766"/>
      <c r="M19" s="1766"/>
      <c r="N19" s="1766"/>
      <c r="O19" s="1766"/>
      <c r="P19" s="1766"/>
      <c r="Q19" s="1766"/>
      <c r="R19" s="1766"/>
      <c r="S19" s="1766"/>
      <c r="T19" s="1766"/>
      <c r="U19" s="1766"/>
      <c r="V19" s="1766"/>
      <c r="W19" s="1766"/>
      <c r="X19" s="1766"/>
      <c r="Y19" s="1766"/>
      <c r="Z19" s="1766"/>
      <c r="AA19" s="1766"/>
      <c r="AB19" s="1766"/>
      <c r="AC19" s="1766"/>
      <c r="AD19" s="2139"/>
      <c r="AE19" s="2139"/>
      <c r="AF19" s="1766"/>
      <c r="AG19" s="2139"/>
      <c r="AH19" s="1766"/>
      <c r="AZ19" s="2308"/>
      <c r="BA19" s="1766" t="str">
        <f>C19</f>
        <v>4.1.2. Grassland systems  remaining grassland systems  (total area must remain constant)</v>
      </c>
      <c r="BB19" s="2308"/>
      <c r="BC19" s="2309"/>
      <c r="BD19" s="2308"/>
      <c r="BE19" s="2308"/>
      <c r="BF19" s="2308"/>
      <c r="BG19" s="2308"/>
      <c r="BH19" s="2308"/>
      <c r="BI19" s="2308"/>
      <c r="BJ19" s="2308"/>
      <c r="BK19" s="2308"/>
      <c r="BL19" s="2308"/>
      <c r="BM19" s="2308"/>
      <c r="BN19" s="2308"/>
      <c r="BO19" s="2308"/>
      <c r="BQ19" s="2308"/>
      <c r="BR19" s="2308"/>
      <c r="BS19" s="2308"/>
    </row>
    <row r="20" spans="2:71" ht="15" customHeight="1" x14ac:dyDescent="0.2">
      <c r="B20" s="2077"/>
      <c r="C20" s="2078"/>
      <c r="D20" s="2082"/>
      <c r="E20" s="2082"/>
      <c r="F20" s="2082"/>
      <c r="G20" s="2077"/>
      <c r="H20" s="2079"/>
      <c r="I20" s="2080"/>
      <c r="J20" s="2080"/>
      <c r="K20" s="2080"/>
      <c r="L20" s="2081"/>
      <c r="M20" s="2078"/>
      <c r="N20" s="2081"/>
      <c r="O20" s="2081"/>
      <c r="P20" s="2082"/>
      <c r="Q20" s="2082"/>
      <c r="R20" s="2083"/>
      <c r="S20" s="2084"/>
      <c r="T20" s="2084"/>
      <c r="U20" s="2082"/>
      <c r="V20" s="2087"/>
      <c r="W20" s="2099"/>
      <c r="X20" s="2099"/>
      <c r="Y20" s="2099"/>
      <c r="Z20" s="2099"/>
      <c r="AA20" s="2085"/>
      <c r="AB20" s="2085"/>
      <c r="AC20" s="2085"/>
      <c r="AD20" s="2086"/>
      <c r="AE20" s="2086"/>
      <c r="AF20" s="2085"/>
      <c r="AG20" s="2086"/>
      <c r="AH20" s="2085"/>
      <c r="AZ20" s="1782"/>
      <c r="BA20" s="1782"/>
      <c r="BB20" s="1782"/>
      <c r="BC20" s="2151"/>
      <c r="BD20" s="1782"/>
      <c r="BE20" s="1782"/>
      <c r="BF20" s="1782"/>
      <c r="BG20" s="1782"/>
      <c r="BH20" s="1782"/>
      <c r="BI20" s="1782"/>
      <c r="BJ20" s="1782"/>
      <c r="BK20" s="1782"/>
      <c r="BL20" s="1782"/>
      <c r="BM20" s="1782"/>
      <c r="BN20" s="1782"/>
      <c r="BO20" s="1782"/>
      <c r="BQ20" s="4385"/>
      <c r="BR20" s="4385"/>
      <c r="BS20" s="4385"/>
    </row>
    <row r="21" spans="2:71" ht="15" customHeight="1" x14ac:dyDescent="0.2">
      <c r="B21" s="2077"/>
      <c r="C21" s="2078"/>
      <c r="D21" s="2082"/>
      <c r="E21" s="2082"/>
      <c r="F21" s="2082"/>
      <c r="G21" s="2087"/>
      <c r="H21" s="2079"/>
      <c r="I21" s="2080"/>
      <c r="J21" s="2080"/>
      <c r="K21" s="2080"/>
      <c r="L21" s="2081"/>
      <c r="M21" s="2078"/>
      <c r="N21" s="2081"/>
      <c r="O21" s="2081"/>
      <c r="P21" s="2082"/>
      <c r="Q21" s="2082"/>
      <c r="R21" s="2083"/>
      <c r="S21" s="2084"/>
      <c r="T21" s="2084"/>
      <c r="U21" s="2082"/>
      <c r="V21" s="2087"/>
      <c r="W21" s="2099"/>
      <c r="X21" s="2099"/>
      <c r="Y21" s="2099"/>
      <c r="Z21" s="2099"/>
      <c r="AA21" s="2085"/>
      <c r="AB21" s="2085"/>
      <c r="AC21" s="2085"/>
      <c r="AD21" s="2086"/>
      <c r="AE21" s="2086"/>
      <c r="AF21" s="2085"/>
      <c r="AG21" s="2086"/>
      <c r="AH21" s="2085"/>
      <c r="AZ21" s="1782"/>
      <c r="BA21" s="1782"/>
      <c r="BB21" s="1782"/>
      <c r="BC21" s="2151"/>
      <c r="BD21" s="1782"/>
      <c r="BE21" s="1782"/>
      <c r="BF21" s="1782"/>
      <c r="BG21" s="1782"/>
      <c r="BH21" s="1782"/>
      <c r="BI21" s="1782"/>
      <c r="BJ21" s="1782"/>
      <c r="BK21" s="1782"/>
      <c r="BL21" s="1782"/>
      <c r="BM21" s="1782"/>
      <c r="BN21" s="1782"/>
      <c r="BO21" s="1782"/>
      <c r="BQ21" s="4385"/>
      <c r="BR21" s="4385"/>
      <c r="BS21" s="4385"/>
    </row>
    <row r="22" spans="2:71" ht="15" customHeight="1" x14ac:dyDescent="0.2">
      <c r="B22" s="2077"/>
      <c r="C22" s="2098"/>
      <c r="D22" s="2039" t="str">
        <f>'3.Cropland'!C22</f>
        <v>User notes</v>
      </c>
      <c r="E22" s="2082"/>
      <c r="F22" s="2082"/>
      <c r="G22" s="2090"/>
      <c r="H22" s="2090"/>
      <c r="I22" s="2135" t="str">
        <f>I9</f>
        <v>Grassland management</v>
      </c>
      <c r="J22" s="2135"/>
      <c r="K22" s="2135"/>
      <c r="L22" s="2081"/>
      <c r="M22" s="2289" t="str">
        <f>M9</f>
        <v>Fire management &amp; periodicity</v>
      </c>
      <c r="N22" s="2290"/>
      <c r="O22" s="2290"/>
      <c r="P22" s="2123"/>
      <c r="Q22" s="2123"/>
      <c r="R22" s="2083"/>
      <c r="S22" s="2291" t="str">
        <f>S9</f>
        <v>Yield (t/ha/year)</v>
      </c>
      <c r="T22" s="2292"/>
      <c r="U22" s="2123"/>
      <c r="V22" s="2087"/>
      <c r="W22" s="2092"/>
      <c r="X22" s="2090" t="str">
        <f>X9</f>
        <v>Area (ha)</v>
      </c>
      <c r="Y22" s="2091"/>
      <c r="Z22" s="2092"/>
      <c r="AA22" s="2093"/>
      <c r="AB22" s="2085"/>
      <c r="AC22" s="2114"/>
      <c r="AD22" s="2310" t="str">
        <f>AD9</f>
        <v>Total emissions (tCO2-e)</v>
      </c>
      <c r="AE22" s="2090"/>
      <c r="AF22" s="2085"/>
      <c r="AG22" s="2077" t="str">
        <f>AG9</f>
        <v>Balance</v>
      </c>
      <c r="AH22" s="2078"/>
      <c r="AZ22" s="1782"/>
      <c r="BA22" s="1782"/>
      <c r="BB22" s="1782"/>
      <c r="BC22" s="2027" t="str">
        <f>BC9</f>
        <v>Soil carbon stocks (tC/ha)</v>
      </c>
      <c r="BD22" s="2027"/>
      <c r="BE22" s="2027"/>
      <c r="BF22" s="2027"/>
      <c r="BG22" s="2027"/>
      <c r="BH22" s="2027"/>
      <c r="BI22" s="2027" t="str">
        <f>BI9</f>
        <v>AGB (t d.m./ha)</v>
      </c>
      <c r="BJ22" s="2027"/>
      <c r="BK22" s="2026"/>
      <c r="BL22" s="2027" t="str">
        <f>BL9</f>
        <v>Combustion factor (%)</v>
      </c>
      <c r="BM22" s="2027"/>
      <c r="BN22" s="2026"/>
      <c r="BO22" s="1782"/>
      <c r="BQ22" s="1996"/>
      <c r="BR22" s="1893"/>
      <c r="BS22" s="1996"/>
    </row>
    <row r="23" spans="2:71" ht="15" customHeight="1" x14ac:dyDescent="0.2">
      <c r="B23" s="2077"/>
      <c r="C23" s="2098"/>
      <c r="D23" s="2082"/>
      <c r="E23" s="2082"/>
      <c r="F23" s="2082"/>
      <c r="G23" s="2311"/>
      <c r="H23" s="2079"/>
      <c r="I23" s="2080"/>
      <c r="J23" s="2080"/>
      <c r="K23" s="2080"/>
      <c r="L23" s="2081"/>
      <c r="M23" s="2078"/>
      <c r="N23" s="2081"/>
      <c r="O23" s="2081"/>
      <c r="P23" s="2082"/>
      <c r="Q23" s="2082"/>
      <c r="R23" s="2083"/>
      <c r="S23" s="2084"/>
      <c r="T23" s="2084"/>
      <c r="U23" s="2082"/>
      <c r="V23" s="2087"/>
      <c r="W23" s="2099"/>
      <c r="X23" s="2099"/>
      <c r="Y23" s="2099"/>
      <c r="Z23" s="2099"/>
      <c r="AA23" s="2085"/>
      <c r="AB23" s="2085"/>
      <c r="AC23" s="2085"/>
      <c r="AD23" s="2086"/>
      <c r="AE23" s="2086"/>
      <c r="AF23" s="2085"/>
      <c r="AG23" s="2086"/>
      <c r="AH23" s="2085"/>
      <c r="AZ23" s="1782"/>
      <c r="BA23" s="1782"/>
      <c r="BB23" s="1782"/>
      <c r="BC23" s="2312" t="str">
        <f>BC10</f>
        <v>Start</v>
      </c>
      <c r="BD23" s="2024"/>
      <c r="BE23" s="2313" t="str">
        <f>BE10</f>
        <v>Without</v>
      </c>
      <c r="BF23" s="2024"/>
      <c r="BG23" s="2313" t="str">
        <f>BG10</f>
        <v>With</v>
      </c>
      <c r="BH23" s="2024"/>
      <c r="BI23" s="2024"/>
      <c r="BJ23" s="2024"/>
      <c r="BK23" s="2024"/>
      <c r="BL23" s="2024"/>
      <c r="BM23" s="2024"/>
      <c r="BN23" s="2024"/>
      <c r="BO23" s="1782"/>
      <c r="BQ23" s="1996"/>
      <c r="BR23" s="1893"/>
      <c r="BS23" s="1996"/>
    </row>
    <row r="24" spans="2:71" ht="15" customHeight="1" x14ac:dyDescent="0.2">
      <c r="B24" s="2077"/>
      <c r="C24" s="1779"/>
      <c r="D24" s="2082"/>
      <c r="E24" s="2082"/>
      <c r="F24" s="2082"/>
      <c r="G24" s="1928" t="str">
        <f>G11</f>
        <v>Start</v>
      </c>
      <c r="H24" s="2314"/>
      <c r="I24" s="1928" t="str">
        <f>I11</f>
        <v>Without</v>
      </c>
      <c r="J24" s="2137"/>
      <c r="K24" s="1928" t="str">
        <f>K11</f>
        <v>With</v>
      </c>
      <c r="L24" s="2081"/>
      <c r="M24" s="2084" t="str">
        <f>M11</f>
        <v>Without</v>
      </c>
      <c r="N24" s="2081"/>
      <c r="O24" s="2081"/>
      <c r="P24" s="2303" t="str">
        <f>P11</f>
        <v>With</v>
      </c>
      <c r="Q24" s="2082"/>
      <c r="R24" s="2083"/>
      <c r="S24" s="1928" t="str">
        <f>S11</f>
        <v>Start</v>
      </c>
      <c r="T24" s="1928" t="str">
        <f>T11</f>
        <v>Without</v>
      </c>
      <c r="U24" s="1928" t="str">
        <f>U11</f>
        <v>With</v>
      </c>
      <c r="V24" s="2087"/>
      <c r="W24" s="1928" t="str">
        <f>W11</f>
        <v>Start</v>
      </c>
      <c r="X24" s="1928" t="str">
        <f>X11</f>
        <v>Without</v>
      </c>
      <c r="Y24" s="1928"/>
      <c r="Z24" s="1928" t="str">
        <f>Z11</f>
        <v>With</v>
      </c>
      <c r="AA24" s="1806"/>
      <c r="AB24" s="2086"/>
      <c r="AC24" s="2304"/>
      <c r="AD24" s="1928" t="str">
        <f>AD11</f>
        <v>Without</v>
      </c>
      <c r="AE24" s="1928" t="str">
        <f>AE11</f>
        <v>With</v>
      </c>
      <c r="AF24" s="2303"/>
      <c r="AG24" s="2086"/>
      <c r="AH24" s="2085"/>
      <c r="AZ24" s="2287"/>
      <c r="BA24" s="2305" t="str">
        <f>Languages!B239</f>
        <v>Grasslands remaining grasslands</v>
      </c>
      <c r="BB24" s="1847"/>
      <c r="BC24" s="2029" t="str">
        <f>BC11</f>
        <v>Default</v>
      </c>
      <c r="BD24" s="2029" t="str">
        <f>BD11</f>
        <v>Tier 2</v>
      </c>
      <c r="BE24" s="2029" t="str">
        <f>BE11</f>
        <v>Default</v>
      </c>
      <c r="BF24" s="2029" t="str">
        <f>BF11</f>
        <v>Tier 2</v>
      </c>
      <c r="BG24" s="2029" t="str">
        <f>BG11</f>
        <v>Default</v>
      </c>
      <c r="BH24" s="2029" t="str">
        <f>BH11</f>
        <v>Tier 2</v>
      </c>
      <c r="BI24" s="2029" t="str">
        <f>BI11</f>
        <v>Default</v>
      </c>
      <c r="BJ24" s="2029" t="str">
        <f>BJ11</f>
        <v>Tier 2</v>
      </c>
      <c r="BK24" s="2029"/>
      <c r="BL24" s="2029" t="str">
        <f>BL11</f>
        <v>Default</v>
      </c>
      <c r="BM24" s="2029" t="str">
        <f>BM11</f>
        <v>Tier 2</v>
      </c>
      <c r="BN24" s="2024"/>
      <c r="BO24" s="2287"/>
      <c r="BQ24" s="1996"/>
      <c r="BR24" s="1996"/>
      <c r="BS24" s="1996"/>
    </row>
    <row r="25" spans="2:71" ht="15" customHeight="1" x14ac:dyDescent="0.2">
      <c r="B25" s="2077"/>
      <c r="C25" s="2078"/>
      <c r="D25" s="2082"/>
      <c r="E25" s="2082"/>
      <c r="F25" s="2082"/>
      <c r="G25" s="2077"/>
      <c r="H25" s="2079"/>
      <c r="I25" s="2080"/>
      <c r="J25" s="2080"/>
      <c r="K25" s="2080"/>
      <c r="L25" s="2081"/>
      <c r="M25" s="1806" t="s">
        <v>91</v>
      </c>
      <c r="N25" s="1806" t="str">
        <f>N12</f>
        <v>Year</v>
      </c>
      <c r="O25" s="1943"/>
      <c r="P25" s="1806" t="s">
        <v>91</v>
      </c>
      <c r="Q25" s="1806" t="str">
        <f>Q12</f>
        <v>Year</v>
      </c>
      <c r="R25" s="2083"/>
      <c r="S25" s="2084"/>
      <c r="T25" s="2084"/>
      <c r="U25" s="2082"/>
      <c r="V25" s="2087"/>
      <c r="W25" s="2099"/>
      <c r="X25" s="2099"/>
      <c r="Y25" s="1928" t="s">
        <v>83</v>
      </c>
      <c r="Z25" s="2099"/>
      <c r="AA25" s="2085"/>
      <c r="AB25" s="2085"/>
      <c r="AC25" s="2085"/>
      <c r="AD25" s="2086"/>
      <c r="AE25" s="2086"/>
      <c r="AF25" s="2085"/>
      <c r="AG25" s="2086"/>
      <c r="AH25" s="2085"/>
      <c r="AZ25" s="2287"/>
      <c r="BA25" s="1847"/>
      <c r="BB25" s="1847"/>
      <c r="BC25" s="2029"/>
      <c r="BD25" s="2287"/>
      <c r="BE25" s="2307"/>
      <c r="BF25" s="2287"/>
      <c r="BG25" s="2307"/>
      <c r="BH25" s="2287"/>
      <c r="BI25" s="2287"/>
      <c r="BJ25" s="2287"/>
      <c r="BK25" s="2287"/>
      <c r="BL25" s="2287"/>
      <c r="BM25" s="2287"/>
      <c r="BN25" s="2287"/>
      <c r="BO25" s="2287"/>
      <c r="BQ25" s="1996"/>
      <c r="BR25" s="1996"/>
      <c r="BS25" s="1996"/>
    </row>
    <row r="26" spans="2:71" ht="15" customHeight="1" x14ac:dyDescent="0.2">
      <c r="B26" s="2077"/>
      <c r="C26" s="1820"/>
      <c r="D26" s="2140"/>
      <c r="E26" s="2140"/>
      <c r="F26" s="2082"/>
      <c r="G26" s="2141" t="s">
        <v>845</v>
      </c>
      <c r="H26" s="1820"/>
      <c r="I26" s="2141" t="s">
        <v>57</v>
      </c>
      <c r="J26" s="2142"/>
      <c r="K26" s="2143" t="s">
        <v>57</v>
      </c>
      <c r="L26" s="2081"/>
      <c r="M26" s="2144" t="s">
        <v>85</v>
      </c>
      <c r="N26" s="2103">
        <v>2</v>
      </c>
      <c r="O26" s="2081"/>
      <c r="P26" s="2144" t="s">
        <v>85</v>
      </c>
      <c r="Q26" s="2103">
        <v>2</v>
      </c>
      <c r="R26" s="2083"/>
      <c r="S26" s="2145"/>
      <c r="T26" s="2146"/>
      <c r="U26" s="2147"/>
      <c r="V26" s="2087"/>
      <c r="W26" s="2103">
        <v>150</v>
      </c>
      <c r="X26" s="1806">
        <f>grass!$D34</f>
        <v>150</v>
      </c>
      <c r="Y26" s="2104" t="s">
        <v>86</v>
      </c>
      <c r="Z26" s="1806">
        <f>grass!$F34</f>
        <v>150</v>
      </c>
      <c r="AA26" s="2104" t="s">
        <v>86</v>
      </c>
      <c r="AB26" s="2085"/>
      <c r="AC26" s="2085"/>
      <c r="AD26" s="1841">
        <f>grass!L34</f>
        <v>-824.99999999999943</v>
      </c>
      <c r="AE26" s="1841">
        <f>grass!M34</f>
        <v>-824.99999999999943</v>
      </c>
      <c r="AF26" s="1780"/>
      <c r="AG26" s="1816">
        <f>grass!N34</f>
        <v>0</v>
      </c>
      <c r="AH26" s="2085"/>
      <c r="AZ26" s="2287"/>
      <c r="BA26" s="2315" t="str">
        <f>IF(D26="","",D26)</f>
        <v/>
      </c>
      <c r="BB26" s="2316"/>
      <c r="BC26" s="2030">
        <f>grass!K14</f>
        <v>21.6</v>
      </c>
      <c r="BD26" s="2349"/>
      <c r="BE26" s="2030">
        <f>grass!M14</f>
        <v>24</v>
      </c>
      <c r="BF26" s="2349"/>
      <c r="BG26" s="2030">
        <f>grass!O14</f>
        <v>24</v>
      </c>
      <c r="BH26" s="2349"/>
      <c r="BI26" s="2030">
        <f>IF($G26&lt;&gt; "Please select", VLOOKUP(clim_moist, IPCC!$A$553:$B$562,2, FALSE),0)</f>
        <v>1.6</v>
      </c>
      <c r="BJ26" s="2349"/>
      <c r="BK26" s="2287"/>
      <c r="BL26" s="4387">
        <v>0.77</v>
      </c>
      <c r="BM26" s="4388"/>
      <c r="BN26" s="2287"/>
      <c r="BO26" s="2287"/>
      <c r="BQ26" s="4363">
        <v>1</v>
      </c>
      <c r="BR26" s="4364"/>
      <c r="BS26" s="1996"/>
    </row>
    <row r="27" spans="2:71" ht="15" customHeight="1" x14ac:dyDescent="0.2">
      <c r="B27" s="2077"/>
      <c r="C27" s="1820"/>
      <c r="D27" s="2148"/>
      <c r="E27" s="2148"/>
      <c r="F27" s="2082"/>
      <c r="G27" s="2141" t="s">
        <v>57</v>
      </c>
      <c r="H27" s="1820"/>
      <c r="I27" s="2141" t="s">
        <v>846</v>
      </c>
      <c r="J27" s="2142"/>
      <c r="K27" s="2143" t="s">
        <v>57</v>
      </c>
      <c r="L27" s="2081"/>
      <c r="M27" s="2144" t="s">
        <v>1415</v>
      </c>
      <c r="N27" s="2103">
        <v>2</v>
      </c>
      <c r="O27" s="2081"/>
      <c r="P27" s="2144" t="s">
        <v>85</v>
      </c>
      <c r="Q27" s="2103">
        <v>2</v>
      </c>
      <c r="R27" s="2083"/>
      <c r="S27" s="2145"/>
      <c r="T27" s="2146"/>
      <c r="U27" s="2147"/>
      <c r="V27" s="2087"/>
      <c r="W27" s="2103">
        <v>150</v>
      </c>
      <c r="X27" s="1806">
        <f>grass!$D35</f>
        <v>150</v>
      </c>
      <c r="Y27" s="2104" t="s">
        <v>86</v>
      </c>
      <c r="Z27" s="1806">
        <f>grass!$F35</f>
        <v>150</v>
      </c>
      <c r="AA27" s="2104" t="s">
        <v>86</v>
      </c>
      <c r="AB27" s="2085"/>
      <c r="AC27" s="2085"/>
      <c r="AD27" s="1841">
        <f>grass!L35</f>
        <v>2475.0000000000009</v>
      </c>
      <c r="AE27" s="1841">
        <f>grass!M35</f>
        <v>0</v>
      </c>
      <c r="AF27" s="1780"/>
      <c r="AG27" s="1816">
        <f>grass!N35</f>
        <v>-2475.0000000000009</v>
      </c>
      <c r="AH27" s="2085"/>
      <c r="AZ27" s="2287"/>
      <c r="BA27" s="2315" t="str">
        <f t="shared" ref="BA27:BA35" si="1">IF(D27="","",D27)</f>
        <v/>
      </c>
      <c r="BB27" s="2316"/>
      <c r="BC27" s="2030">
        <f>grass!K15</f>
        <v>24</v>
      </c>
      <c r="BD27" s="2349"/>
      <c r="BE27" s="2030">
        <f>grass!M15</f>
        <v>16.799999999999997</v>
      </c>
      <c r="BF27" s="2349"/>
      <c r="BG27" s="2030">
        <f>grass!O15</f>
        <v>24</v>
      </c>
      <c r="BH27" s="2349"/>
      <c r="BI27" s="2030">
        <f>IF($G27&lt;&gt; "Please select", VLOOKUP(clim_moist, IPCC!$A$553:$B$562,2, FALSE),0)</f>
        <v>0</v>
      </c>
      <c r="BJ27" s="2349"/>
      <c r="BK27" s="2287"/>
      <c r="BL27" s="4387">
        <v>0.77</v>
      </c>
      <c r="BM27" s="4388"/>
      <c r="BN27" s="2287"/>
      <c r="BO27" s="2287"/>
      <c r="BQ27" s="4363">
        <v>1</v>
      </c>
      <c r="BR27" s="4364"/>
      <c r="BS27" s="1996"/>
    </row>
    <row r="28" spans="2:71" ht="15" customHeight="1" x14ac:dyDescent="0.2">
      <c r="B28" s="2077"/>
      <c r="C28" s="1820"/>
      <c r="D28" s="2148"/>
      <c r="E28" s="2148"/>
      <c r="F28" s="2082"/>
      <c r="G28" s="2141" t="s">
        <v>57</v>
      </c>
      <c r="H28" s="1820"/>
      <c r="I28" s="2141" t="s">
        <v>57</v>
      </c>
      <c r="J28" s="2142"/>
      <c r="K28" s="2143" t="s">
        <v>57</v>
      </c>
      <c r="L28" s="2081"/>
      <c r="M28" s="2144" t="s">
        <v>85</v>
      </c>
      <c r="N28" s="2103">
        <v>5</v>
      </c>
      <c r="O28" s="2081"/>
      <c r="P28" s="2144" t="s">
        <v>85</v>
      </c>
      <c r="Q28" s="2103">
        <v>5</v>
      </c>
      <c r="R28" s="2083"/>
      <c r="S28" s="2145"/>
      <c r="T28" s="2146"/>
      <c r="U28" s="2147"/>
      <c r="V28" s="2087"/>
      <c r="W28" s="2103">
        <v>0</v>
      </c>
      <c r="X28" s="1806">
        <f>grass!$D36</f>
        <v>0</v>
      </c>
      <c r="Y28" s="2104" t="s">
        <v>86</v>
      </c>
      <c r="Z28" s="1806">
        <f>grass!$F36</f>
        <v>0</v>
      </c>
      <c r="AA28" s="2104" t="s">
        <v>86</v>
      </c>
      <c r="AB28" s="2085"/>
      <c r="AC28" s="2085"/>
      <c r="AD28" s="1841">
        <f>grass!L36</f>
        <v>0</v>
      </c>
      <c r="AE28" s="1841">
        <f>grass!M36</f>
        <v>0</v>
      </c>
      <c r="AF28" s="1780"/>
      <c r="AG28" s="1816">
        <f>grass!N36</f>
        <v>0</v>
      </c>
      <c r="AH28" s="2085"/>
      <c r="AZ28" s="2287"/>
      <c r="BA28" s="2315" t="str">
        <f t="shared" si="1"/>
        <v/>
      </c>
      <c r="BB28" s="2316"/>
      <c r="BC28" s="2030">
        <f>grass!K16</f>
        <v>24</v>
      </c>
      <c r="BD28" s="2349"/>
      <c r="BE28" s="2030">
        <f>grass!M16</f>
        <v>24</v>
      </c>
      <c r="BF28" s="2349"/>
      <c r="BG28" s="2030">
        <f>grass!O16</f>
        <v>24</v>
      </c>
      <c r="BH28" s="2349"/>
      <c r="BI28" s="2030">
        <f>IF($G28&lt;&gt; "Please select", VLOOKUP(clim_moist, IPCC!$A$553:$B$562,2, FALSE),0)</f>
        <v>0</v>
      </c>
      <c r="BJ28" s="2349"/>
      <c r="BK28" s="2287"/>
      <c r="BL28" s="4387">
        <v>0.77</v>
      </c>
      <c r="BM28" s="4388"/>
      <c r="BN28" s="2287"/>
      <c r="BO28" s="2287"/>
      <c r="BQ28" s="4363">
        <v>1</v>
      </c>
      <c r="BR28" s="4364"/>
      <c r="BS28" s="1996"/>
    </row>
    <row r="29" spans="2:71" ht="15" customHeight="1" x14ac:dyDescent="0.2">
      <c r="B29" s="2077"/>
      <c r="C29" s="1820"/>
      <c r="D29" s="2148"/>
      <c r="E29" s="2148"/>
      <c r="F29" s="2082"/>
      <c r="G29" s="2141" t="s">
        <v>57</v>
      </c>
      <c r="H29" s="1820"/>
      <c r="I29" s="2141" t="s">
        <v>57</v>
      </c>
      <c r="J29" s="2142"/>
      <c r="K29" s="2143" t="s">
        <v>57</v>
      </c>
      <c r="L29" s="2081"/>
      <c r="M29" s="2144" t="s">
        <v>85</v>
      </c>
      <c r="N29" s="2103">
        <v>5</v>
      </c>
      <c r="O29" s="2081"/>
      <c r="P29" s="2144" t="s">
        <v>85</v>
      </c>
      <c r="Q29" s="2103">
        <v>5</v>
      </c>
      <c r="R29" s="2083"/>
      <c r="S29" s="2145"/>
      <c r="T29" s="2146"/>
      <c r="U29" s="2147"/>
      <c r="V29" s="2087"/>
      <c r="W29" s="2103">
        <v>0</v>
      </c>
      <c r="X29" s="1806">
        <f>grass!$D37</f>
        <v>0</v>
      </c>
      <c r="Y29" s="2104" t="s">
        <v>86</v>
      </c>
      <c r="Z29" s="1806">
        <f>grass!$F37</f>
        <v>0</v>
      </c>
      <c r="AA29" s="2104" t="s">
        <v>86</v>
      </c>
      <c r="AB29" s="2085"/>
      <c r="AC29" s="2085"/>
      <c r="AD29" s="1841">
        <f>grass!L37</f>
        <v>0</v>
      </c>
      <c r="AE29" s="1841">
        <f>grass!M37</f>
        <v>0</v>
      </c>
      <c r="AF29" s="1780"/>
      <c r="AG29" s="1816">
        <f>grass!N37</f>
        <v>0</v>
      </c>
      <c r="AH29" s="2085"/>
      <c r="AZ29" s="2287"/>
      <c r="BA29" s="2315" t="str">
        <f t="shared" si="1"/>
        <v/>
      </c>
      <c r="BB29" s="2316"/>
      <c r="BC29" s="2030">
        <f>grass!K17</f>
        <v>24</v>
      </c>
      <c r="BD29" s="2349"/>
      <c r="BE29" s="2030">
        <f>grass!M17</f>
        <v>24</v>
      </c>
      <c r="BF29" s="2349"/>
      <c r="BG29" s="2030">
        <f>grass!O17</f>
        <v>24</v>
      </c>
      <c r="BH29" s="2349"/>
      <c r="BI29" s="2030">
        <f>IF($G29&lt;&gt; "Please select", VLOOKUP(clim_moist, IPCC!$A$553:$B$562,2, FALSE),0)</f>
        <v>0</v>
      </c>
      <c r="BJ29" s="2349"/>
      <c r="BK29" s="2287"/>
      <c r="BL29" s="4387">
        <v>0.77</v>
      </c>
      <c r="BM29" s="4388"/>
      <c r="BN29" s="2287"/>
      <c r="BO29" s="2287"/>
      <c r="BQ29" s="4363">
        <v>1</v>
      </c>
      <c r="BR29" s="4364"/>
      <c r="BS29" s="1996"/>
    </row>
    <row r="30" spans="2:71" ht="15" customHeight="1" x14ac:dyDescent="0.2">
      <c r="B30" s="2077"/>
      <c r="C30" s="1820"/>
      <c r="D30" s="2148"/>
      <c r="E30" s="2148"/>
      <c r="F30" s="2082"/>
      <c r="G30" s="2141" t="s">
        <v>57</v>
      </c>
      <c r="H30" s="1820"/>
      <c r="I30" s="2141" t="s">
        <v>57</v>
      </c>
      <c r="J30" s="2142"/>
      <c r="K30" s="2143" t="s">
        <v>57</v>
      </c>
      <c r="L30" s="2081"/>
      <c r="M30" s="2144" t="s">
        <v>85</v>
      </c>
      <c r="N30" s="2103">
        <v>5</v>
      </c>
      <c r="O30" s="2081"/>
      <c r="P30" s="2144" t="s">
        <v>85</v>
      </c>
      <c r="Q30" s="2103">
        <v>5</v>
      </c>
      <c r="R30" s="2083"/>
      <c r="S30" s="2145"/>
      <c r="T30" s="2146"/>
      <c r="U30" s="2147"/>
      <c r="V30" s="2087"/>
      <c r="W30" s="2103">
        <v>0</v>
      </c>
      <c r="X30" s="1806">
        <f>grass!$D38</f>
        <v>0</v>
      </c>
      <c r="Y30" s="2104" t="s">
        <v>86</v>
      </c>
      <c r="Z30" s="1806">
        <f>grass!$F38</f>
        <v>0</v>
      </c>
      <c r="AA30" s="2104" t="s">
        <v>86</v>
      </c>
      <c r="AB30" s="2085"/>
      <c r="AC30" s="2085"/>
      <c r="AD30" s="1841">
        <f>grass!L38</f>
        <v>0</v>
      </c>
      <c r="AE30" s="1841">
        <f>grass!M38</f>
        <v>0</v>
      </c>
      <c r="AF30" s="1780"/>
      <c r="AG30" s="1816">
        <f>grass!N38</f>
        <v>0</v>
      </c>
      <c r="AH30" s="2085"/>
      <c r="AZ30" s="2287"/>
      <c r="BA30" s="2315" t="str">
        <f t="shared" si="1"/>
        <v/>
      </c>
      <c r="BB30" s="2316"/>
      <c r="BC30" s="2030">
        <f>grass!K18</f>
        <v>24</v>
      </c>
      <c r="BD30" s="2349"/>
      <c r="BE30" s="2030">
        <f>grass!M18</f>
        <v>24</v>
      </c>
      <c r="BF30" s="2349"/>
      <c r="BG30" s="2030">
        <f>grass!O18</f>
        <v>24</v>
      </c>
      <c r="BH30" s="2349"/>
      <c r="BI30" s="2030">
        <f>IF($G30&lt;&gt; "Please select", VLOOKUP(clim_moist, IPCC!$A$553:$B$562,2, FALSE),0)</f>
        <v>0</v>
      </c>
      <c r="BJ30" s="2349"/>
      <c r="BK30" s="2287"/>
      <c r="BL30" s="4387">
        <v>0.77</v>
      </c>
      <c r="BM30" s="4388"/>
      <c r="BN30" s="2287"/>
      <c r="BO30" s="2287"/>
      <c r="BQ30" s="4363">
        <v>1</v>
      </c>
      <c r="BR30" s="4364"/>
      <c r="BS30" s="1996"/>
    </row>
    <row r="31" spans="2:71" ht="15" customHeight="1" x14ac:dyDescent="0.2">
      <c r="B31" s="2077"/>
      <c r="C31" s="1820"/>
      <c r="D31" s="2148"/>
      <c r="E31" s="2148"/>
      <c r="F31" s="2082"/>
      <c r="G31" s="2141" t="s">
        <v>57</v>
      </c>
      <c r="H31" s="1820"/>
      <c r="I31" s="2141" t="s">
        <v>57</v>
      </c>
      <c r="J31" s="2142"/>
      <c r="K31" s="2143" t="s">
        <v>57</v>
      </c>
      <c r="L31" s="2081"/>
      <c r="M31" s="2144" t="s">
        <v>85</v>
      </c>
      <c r="N31" s="2103">
        <v>5</v>
      </c>
      <c r="O31" s="2081"/>
      <c r="P31" s="2144" t="s">
        <v>85</v>
      </c>
      <c r="Q31" s="2103">
        <v>5</v>
      </c>
      <c r="R31" s="2083"/>
      <c r="S31" s="2145"/>
      <c r="T31" s="2146"/>
      <c r="U31" s="2147"/>
      <c r="V31" s="2087"/>
      <c r="W31" s="2103">
        <v>0</v>
      </c>
      <c r="X31" s="1806">
        <f>grass!$D39</f>
        <v>0</v>
      </c>
      <c r="Y31" s="2104" t="s">
        <v>86</v>
      </c>
      <c r="Z31" s="1806">
        <f>grass!$F39</f>
        <v>0</v>
      </c>
      <c r="AA31" s="2104" t="s">
        <v>86</v>
      </c>
      <c r="AB31" s="2085"/>
      <c r="AC31" s="2085"/>
      <c r="AD31" s="1841">
        <f>grass!L39</f>
        <v>0</v>
      </c>
      <c r="AE31" s="1841">
        <f>grass!M39</f>
        <v>0</v>
      </c>
      <c r="AF31" s="1780"/>
      <c r="AG31" s="1816">
        <f>grass!N39</f>
        <v>0</v>
      </c>
      <c r="AH31" s="2085"/>
      <c r="AZ31" s="2287"/>
      <c r="BA31" s="2315" t="str">
        <f t="shared" si="1"/>
        <v/>
      </c>
      <c r="BB31" s="2316"/>
      <c r="BC31" s="2030">
        <f>grass!K19</f>
        <v>24</v>
      </c>
      <c r="BD31" s="2349"/>
      <c r="BE31" s="2030">
        <f>grass!M19</f>
        <v>24</v>
      </c>
      <c r="BF31" s="2349"/>
      <c r="BG31" s="2030">
        <f>grass!O19</f>
        <v>24</v>
      </c>
      <c r="BH31" s="2349"/>
      <c r="BI31" s="2030">
        <f>IF($G31&lt;&gt; "Please select", VLOOKUP(clim_moist, IPCC!$A$553:$B$562,2, FALSE),0)</f>
        <v>0</v>
      </c>
      <c r="BJ31" s="2349"/>
      <c r="BK31" s="2287"/>
      <c r="BL31" s="4387">
        <v>0.77</v>
      </c>
      <c r="BM31" s="4388"/>
      <c r="BN31" s="2287"/>
      <c r="BO31" s="2287"/>
      <c r="BQ31" s="4363">
        <v>1</v>
      </c>
      <c r="BR31" s="4364"/>
      <c r="BS31" s="1996"/>
    </row>
    <row r="32" spans="2:71" ht="15" customHeight="1" x14ac:dyDescent="0.2">
      <c r="B32" s="2077"/>
      <c r="C32" s="1820"/>
      <c r="D32" s="2148"/>
      <c r="E32" s="2148"/>
      <c r="F32" s="2082"/>
      <c r="G32" s="2141" t="s">
        <v>57</v>
      </c>
      <c r="H32" s="1820"/>
      <c r="I32" s="2141" t="s">
        <v>57</v>
      </c>
      <c r="J32" s="2142"/>
      <c r="K32" s="2143" t="s">
        <v>57</v>
      </c>
      <c r="L32" s="2081"/>
      <c r="M32" s="2144" t="s">
        <v>85</v>
      </c>
      <c r="N32" s="2103">
        <v>5</v>
      </c>
      <c r="O32" s="2081"/>
      <c r="P32" s="2144" t="s">
        <v>85</v>
      </c>
      <c r="Q32" s="2103">
        <v>5</v>
      </c>
      <c r="R32" s="2083"/>
      <c r="S32" s="2145"/>
      <c r="T32" s="2146"/>
      <c r="U32" s="2147"/>
      <c r="V32" s="2087"/>
      <c r="W32" s="2103">
        <v>0</v>
      </c>
      <c r="X32" s="1806">
        <f>grass!$D40</f>
        <v>0</v>
      </c>
      <c r="Y32" s="2104" t="s">
        <v>86</v>
      </c>
      <c r="Z32" s="1806">
        <f>grass!$F40</f>
        <v>0</v>
      </c>
      <c r="AA32" s="2104" t="s">
        <v>86</v>
      </c>
      <c r="AB32" s="2085"/>
      <c r="AC32" s="2085"/>
      <c r="AD32" s="1841">
        <f>grass!L40</f>
        <v>0</v>
      </c>
      <c r="AE32" s="1841">
        <f>grass!M40</f>
        <v>0</v>
      </c>
      <c r="AF32" s="1780"/>
      <c r="AG32" s="1816">
        <f>grass!N40</f>
        <v>0</v>
      </c>
      <c r="AH32" s="2085"/>
      <c r="AZ32" s="2287"/>
      <c r="BA32" s="2315" t="str">
        <f t="shared" si="1"/>
        <v/>
      </c>
      <c r="BB32" s="2316"/>
      <c r="BC32" s="2030">
        <f>grass!K20</f>
        <v>24</v>
      </c>
      <c r="BD32" s="2349"/>
      <c r="BE32" s="2030">
        <f>grass!M20</f>
        <v>24</v>
      </c>
      <c r="BF32" s="2349"/>
      <c r="BG32" s="2030">
        <f>grass!O20</f>
        <v>24</v>
      </c>
      <c r="BH32" s="2349"/>
      <c r="BI32" s="2030">
        <f>IF($G32&lt;&gt; "Please select", VLOOKUP(clim_moist, IPCC!$A$553:$B$562,2, FALSE),0)</f>
        <v>0</v>
      </c>
      <c r="BJ32" s="2349"/>
      <c r="BK32" s="2287"/>
      <c r="BL32" s="4387">
        <v>0.77</v>
      </c>
      <c r="BM32" s="4388"/>
      <c r="BN32" s="2287"/>
      <c r="BO32" s="2287"/>
      <c r="BQ32" s="4363">
        <v>1</v>
      </c>
      <c r="BR32" s="4364"/>
      <c r="BS32" s="1996"/>
    </row>
    <row r="33" spans="2:86" ht="15" customHeight="1" x14ac:dyDescent="0.2">
      <c r="B33" s="2077"/>
      <c r="C33" s="1820"/>
      <c r="D33" s="2148"/>
      <c r="E33" s="2148"/>
      <c r="F33" s="2082"/>
      <c r="G33" s="2141" t="s">
        <v>57</v>
      </c>
      <c r="H33" s="1820"/>
      <c r="I33" s="2141" t="s">
        <v>57</v>
      </c>
      <c r="J33" s="2142"/>
      <c r="K33" s="2143" t="s">
        <v>57</v>
      </c>
      <c r="L33" s="2081"/>
      <c r="M33" s="2144" t="s">
        <v>85</v>
      </c>
      <c r="N33" s="2103">
        <v>5</v>
      </c>
      <c r="O33" s="2081"/>
      <c r="P33" s="2144" t="s">
        <v>85</v>
      </c>
      <c r="Q33" s="2103">
        <v>5</v>
      </c>
      <c r="R33" s="2083"/>
      <c r="S33" s="2145"/>
      <c r="T33" s="2146"/>
      <c r="U33" s="2147"/>
      <c r="V33" s="2087"/>
      <c r="W33" s="2103">
        <v>0</v>
      </c>
      <c r="X33" s="1806">
        <f>grass!$D41</f>
        <v>0</v>
      </c>
      <c r="Y33" s="2104" t="s">
        <v>86</v>
      </c>
      <c r="Z33" s="1806">
        <f>grass!$F41</f>
        <v>0</v>
      </c>
      <c r="AA33" s="2104" t="s">
        <v>86</v>
      </c>
      <c r="AB33" s="2085"/>
      <c r="AC33" s="2085"/>
      <c r="AD33" s="1841">
        <f>grass!L41</f>
        <v>0</v>
      </c>
      <c r="AE33" s="1841">
        <f>grass!M41</f>
        <v>0</v>
      </c>
      <c r="AF33" s="1780"/>
      <c r="AG33" s="1816">
        <f>grass!N41</f>
        <v>0</v>
      </c>
      <c r="AH33" s="2085"/>
      <c r="AZ33" s="2287"/>
      <c r="BA33" s="2315" t="str">
        <f t="shared" si="1"/>
        <v/>
      </c>
      <c r="BB33" s="2316"/>
      <c r="BC33" s="2030">
        <f>grass!K21</f>
        <v>24</v>
      </c>
      <c r="BD33" s="2349"/>
      <c r="BE33" s="2030">
        <f>grass!M21</f>
        <v>24</v>
      </c>
      <c r="BF33" s="2349"/>
      <c r="BG33" s="2030">
        <f>grass!O21</f>
        <v>24</v>
      </c>
      <c r="BH33" s="2349"/>
      <c r="BI33" s="2030">
        <f>IF($G33&lt;&gt; "Please select", VLOOKUP(clim_moist, IPCC!$A$553:$B$562,2, FALSE),0)</f>
        <v>0</v>
      </c>
      <c r="BJ33" s="2349"/>
      <c r="BK33" s="2287"/>
      <c r="BL33" s="4387">
        <v>0.77</v>
      </c>
      <c r="BM33" s="4388"/>
      <c r="BN33" s="2287"/>
      <c r="BO33" s="2287"/>
      <c r="BQ33" s="4363">
        <v>1</v>
      </c>
      <c r="BR33" s="4364"/>
      <c r="BS33" s="1996"/>
    </row>
    <row r="34" spans="2:86" ht="15" customHeight="1" x14ac:dyDescent="0.2">
      <c r="B34" s="2077"/>
      <c r="C34" s="1820"/>
      <c r="D34" s="2148"/>
      <c r="E34" s="2148"/>
      <c r="F34" s="2082"/>
      <c r="G34" s="2141" t="s">
        <v>57</v>
      </c>
      <c r="H34" s="1820"/>
      <c r="I34" s="2141" t="s">
        <v>57</v>
      </c>
      <c r="J34" s="2142"/>
      <c r="K34" s="2143" t="s">
        <v>57</v>
      </c>
      <c r="L34" s="2081"/>
      <c r="M34" s="2144" t="s">
        <v>85</v>
      </c>
      <c r="N34" s="2103">
        <v>5</v>
      </c>
      <c r="O34" s="2081"/>
      <c r="P34" s="2144" t="s">
        <v>85</v>
      </c>
      <c r="Q34" s="2103">
        <v>5</v>
      </c>
      <c r="R34" s="2083"/>
      <c r="S34" s="2145"/>
      <c r="T34" s="2146"/>
      <c r="U34" s="2147"/>
      <c r="V34" s="2087"/>
      <c r="W34" s="2103">
        <v>0</v>
      </c>
      <c r="X34" s="1806">
        <f>grass!$D42</f>
        <v>0</v>
      </c>
      <c r="Y34" s="2104" t="s">
        <v>86</v>
      </c>
      <c r="Z34" s="1806">
        <f>grass!$F42</f>
        <v>0</v>
      </c>
      <c r="AA34" s="2104" t="s">
        <v>86</v>
      </c>
      <c r="AB34" s="2085"/>
      <c r="AC34" s="2085"/>
      <c r="AD34" s="1841">
        <f>grass!L42</f>
        <v>0</v>
      </c>
      <c r="AE34" s="1841">
        <f>grass!M42</f>
        <v>0</v>
      </c>
      <c r="AF34" s="1780"/>
      <c r="AG34" s="1816">
        <f>grass!N42</f>
        <v>0</v>
      </c>
      <c r="AH34" s="2085"/>
      <c r="AZ34" s="2287"/>
      <c r="BA34" s="2315" t="str">
        <f t="shared" si="1"/>
        <v/>
      </c>
      <c r="BB34" s="2316"/>
      <c r="BC34" s="2030">
        <f>grass!K22</f>
        <v>24</v>
      </c>
      <c r="BD34" s="2349"/>
      <c r="BE34" s="2030">
        <f>grass!M22</f>
        <v>24</v>
      </c>
      <c r="BF34" s="2349"/>
      <c r="BG34" s="2030">
        <f>grass!O22</f>
        <v>24</v>
      </c>
      <c r="BH34" s="2349"/>
      <c r="BI34" s="2030">
        <f>IF($G34&lt;&gt; "Please select", VLOOKUP(clim_moist, IPCC!$A$553:$B$562,2, FALSE),0)</f>
        <v>0</v>
      </c>
      <c r="BJ34" s="2349"/>
      <c r="BK34" s="2287"/>
      <c r="BL34" s="4387">
        <v>0.77</v>
      </c>
      <c r="BM34" s="4388"/>
      <c r="BN34" s="2287"/>
      <c r="BO34" s="2287"/>
      <c r="BQ34" s="4363">
        <v>1</v>
      </c>
      <c r="BR34" s="4364"/>
      <c r="BS34" s="1996"/>
    </row>
    <row r="35" spans="2:86" ht="15" customHeight="1" x14ac:dyDescent="0.2">
      <c r="B35" s="2077"/>
      <c r="C35" s="1820"/>
      <c r="D35" s="2149"/>
      <c r="E35" s="2149"/>
      <c r="F35" s="2082"/>
      <c r="G35" s="2141" t="s">
        <v>57</v>
      </c>
      <c r="H35" s="1820"/>
      <c r="I35" s="2141" t="s">
        <v>57</v>
      </c>
      <c r="J35" s="2142"/>
      <c r="K35" s="2143" t="s">
        <v>57</v>
      </c>
      <c r="L35" s="2081"/>
      <c r="M35" s="2144" t="s">
        <v>85</v>
      </c>
      <c r="N35" s="2103">
        <v>5</v>
      </c>
      <c r="O35" s="2081"/>
      <c r="P35" s="2144" t="s">
        <v>85</v>
      </c>
      <c r="Q35" s="2103">
        <v>5</v>
      </c>
      <c r="R35" s="2083"/>
      <c r="S35" s="2145"/>
      <c r="T35" s="2146"/>
      <c r="U35" s="2147"/>
      <c r="V35" s="2087"/>
      <c r="W35" s="2103">
        <v>0</v>
      </c>
      <c r="X35" s="1806">
        <f>grass!$D43</f>
        <v>0</v>
      </c>
      <c r="Y35" s="2104" t="s">
        <v>86</v>
      </c>
      <c r="Z35" s="1806">
        <f>grass!$F43</f>
        <v>0</v>
      </c>
      <c r="AA35" s="2104" t="s">
        <v>86</v>
      </c>
      <c r="AB35" s="2085"/>
      <c r="AC35" s="2085"/>
      <c r="AD35" s="1841">
        <f>grass!L43</f>
        <v>0</v>
      </c>
      <c r="AE35" s="1841">
        <f>grass!M43</f>
        <v>0</v>
      </c>
      <c r="AF35" s="2085"/>
      <c r="AG35" s="1816">
        <f>grass!N43</f>
        <v>0</v>
      </c>
      <c r="AH35" s="2085"/>
      <c r="AZ35" s="2287"/>
      <c r="BA35" s="2315" t="str">
        <f t="shared" si="1"/>
        <v/>
      </c>
      <c r="BB35" s="2316"/>
      <c r="BC35" s="2030">
        <f>grass!K23</f>
        <v>24</v>
      </c>
      <c r="BD35" s="2349"/>
      <c r="BE35" s="2030">
        <f>grass!M23</f>
        <v>24</v>
      </c>
      <c r="BF35" s="2349"/>
      <c r="BG35" s="2030">
        <f>grass!O23</f>
        <v>24</v>
      </c>
      <c r="BH35" s="2349"/>
      <c r="BI35" s="2030">
        <f>IF($G35&lt;&gt; "Please select", VLOOKUP(clim_moist, IPCC!$A$553:$B$562,2, FALSE),0)</f>
        <v>0</v>
      </c>
      <c r="BJ35" s="2349"/>
      <c r="BK35" s="2287"/>
      <c r="BL35" s="4387">
        <v>0.77</v>
      </c>
      <c r="BM35" s="4388"/>
      <c r="BN35" s="2287"/>
      <c r="BO35" s="2287"/>
      <c r="BQ35" s="4363">
        <v>1</v>
      </c>
      <c r="BR35" s="4364"/>
      <c r="BS35" s="1996"/>
    </row>
    <row r="36" spans="2:86" ht="15" customHeight="1" x14ac:dyDescent="0.2">
      <c r="B36" s="2077"/>
      <c r="C36" s="2082"/>
      <c r="D36" s="2082"/>
      <c r="E36" s="2082"/>
      <c r="F36" s="2082"/>
      <c r="G36" s="2082"/>
      <c r="H36" s="2082"/>
      <c r="I36" s="2082"/>
      <c r="J36" s="2082"/>
      <c r="K36" s="2082"/>
      <c r="L36" s="2082"/>
      <c r="M36" s="2082"/>
      <c r="N36" s="2082"/>
      <c r="O36" s="2081"/>
      <c r="P36" s="2082"/>
      <c r="Q36" s="2082"/>
      <c r="R36" s="2083"/>
      <c r="S36" s="2084"/>
      <c r="T36" s="1928"/>
      <c r="U36" s="2082"/>
      <c r="V36" s="2082"/>
      <c r="W36" s="2082"/>
      <c r="X36" s="2082"/>
      <c r="Y36" s="2082"/>
      <c r="Z36" s="2082"/>
      <c r="AA36" s="2082"/>
      <c r="AB36" s="2082"/>
      <c r="AC36" s="2016"/>
      <c r="AD36" s="1928"/>
      <c r="AE36" s="1928"/>
      <c r="AF36" s="2082"/>
      <c r="AG36" s="1816"/>
      <c r="AH36" s="2082"/>
      <c r="AZ36" s="2287"/>
      <c r="BA36" s="2287"/>
      <c r="BB36" s="2287"/>
      <c r="BC36" s="2317"/>
      <c r="BD36" s="2287"/>
      <c r="BE36" s="2287"/>
      <c r="BF36" s="2287"/>
      <c r="BG36" s="2287"/>
      <c r="BH36" s="2287"/>
      <c r="BI36" s="2287"/>
      <c r="BJ36" s="2287"/>
      <c r="BK36" s="2287"/>
      <c r="BL36" s="2287"/>
      <c r="BM36" s="2287"/>
      <c r="BN36" s="2287"/>
      <c r="BO36" s="2287"/>
      <c r="BQ36" s="4363"/>
      <c r="BR36" s="1893"/>
      <c r="BS36" s="1996"/>
    </row>
    <row r="37" spans="2:86" ht="15" customHeight="1" x14ac:dyDescent="0.2">
      <c r="B37" s="2077"/>
      <c r="C37" s="2082"/>
      <c r="D37" s="2082"/>
      <c r="E37" s="2082"/>
      <c r="F37" s="2082"/>
      <c r="G37" s="2082"/>
      <c r="H37" s="2082"/>
      <c r="I37" s="2082"/>
      <c r="J37" s="2082"/>
      <c r="K37" s="2082"/>
      <c r="L37" s="2082"/>
      <c r="M37" s="2082"/>
      <c r="N37" s="2082"/>
      <c r="O37" s="2082"/>
      <c r="P37" s="2082"/>
      <c r="Q37" s="2082"/>
      <c r="R37" s="2082"/>
      <c r="S37" s="2082"/>
      <c r="T37" s="1928"/>
      <c r="U37" s="2082"/>
      <c r="V37" s="2082"/>
      <c r="W37" s="2082"/>
      <c r="X37" s="2082"/>
      <c r="Y37" s="2082"/>
      <c r="Z37" s="2082"/>
      <c r="AA37" s="2082"/>
      <c r="AB37" s="2082"/>
      <c r="AC37" s="2082"/>
      <c r="AD37" s="1928"/>
      <c r="AE37" s="1928"/>
      <c r="AF37" s="2082"/>
      <c r="AG37" s="1928"/>
      <c r="AH37" s="2082"/>
      <c r="AZ37" s="1862"/>
      <c r="BA37" s="1862"/>
      <c r="BB37" s="1862"/>
      <c r="BC37" s="2318"/>
      <c r="BD37" s="1862"/>
      <c r="BE37" s="1782"/>
      <c r="BF37" s="1782"/>
      <c r="BG37" s="1782"/>
      <c r="BH37" s="1782"/>
      <c r="BI37" s="1782"/>
      <c r="BJ37" s="1782"/>
      <c r="BK37" s="1782"/>
      <c r="BL37" s="1782"/>
      <c r="BM37" s="1782"/>
      <c r="BN37" s="1782"/>
      <c r="BO37" s="1782"/>
      <c r="BQ37" s="4548" t="s">
        <v>87</v>
      </c>
      <c r="BR37" s="4548"/>
      <c r="BS37" s="4548"/>
    </row>
    <row r="38" spans="2:86" ht="15" customHeight="1" x14ac:dyDescent="0.2">
      <c r="B38" s="2077"/>
      <c r="C38" s="2117"/>
      <c r="D38" s="1820" t="str">
        <f>Languages!B262</f>
        <v>Please consider if livestock feed derives from grassland systems (e.g. natural pastures) of should be included as crop-based activities or as exogenous dry matter</v>
      </c>
      <c r="E38" s="2082"/>
      <c r="F38" s="2082"/>
      <c r="G38" s="2082"/>
      <c r="H38" s="2082"/>
      <c r="I38" s="2082"/>
      <c r="J38" s="2082"/>
      <c r="K38" s="2082"/>
      <c r="L38" s="2082"/>
      <c r="M38" s="2082"/>
      <c r="N38" s="2082"/>
      <c r="O38" s="2082"/>
      <c r="P38" s="2082"/>
      <c r="Q38" s="2082"/>
      <c r="R38" s="2082"/>
      <c r="S38" s="2082"/>
      <c r="T38" s="1928"/>
      <c r="U38" s="2082"/>
      <c r="V38" s="2082"/>
      <c r="W38" s="1856"/>
      <c r="X38" s="1856"/>
      <c r="Y38" s="1856"/>
      <c r="Z38" s="1856"/>
      <c r="AA38" s="1856"/>
      <c r="AB38" s="2018" t="str">
        <f>Languages!B240</f>
        <v>Total grassland systems (tCO2-e)</v>
      </c>
      <c r="AC38" s="1856"/>
      <c r="AD38" s="2035">
        <f>grass!L44</f>
        <v>1650.0000000000014</v>
      </c>
      <c r="AE38" s="2035">
        <f>grass!M44</f>
        <v>-824.99999999999943</v>
      </c>
      <c r="AF38" s="2008"/>
      <c r="AG38" s="1860">
        <f>grass!N44</f>
        <v>-2475.0000000000009</v>
      </c>
      <c r="AH38" s="2082"/>
      <c r="AZ38" s="1862"/>
      <c r="BA38" s="2319" t="str">
        <f>'5.Management'!AQ23</f>
        <v>Use this part only if you want to refine the analysis at Tier 2</v>
      </c>
      <c r="BB38" s="1862"/>
      <c r="BC38" s="2318"/>
      <c r="BD38" s="1862"/>
      <c r="BE38" s="1782"/>
      <c r="BF38" s="1782"/>
      <c r="BG38" s="1782"/>
      <c r="BH38" s="1782"/>
      <c r="BI38" s="1782"/>
      <c r="BJ38" s="1782"/>
      <c r="BK38" s="1782"/>
      <c r="BL38" s="1782"/>
      <c r="BM38" s="1782"/>
      <c r="BN38" s="1782"/>
      <c r="BO38" s="1782"/>
      <c r="BQ38" s="4548"/>
      <c r="BR38" s="4548"/>
      <c r="BS38" s="4548"/>
    </row>
    <row r="39" spans="2:86" ht="15" customHeight="1" x14ac:dyDescent="0.2">
      <c r="B39" s="2077"/>
      <c r="C39" s="2082"/>
      <c r="D39" s="2082"/>
      <c r="E39" s="2082"/>
      <c r="F39" s="2082"/>
      <c r="G39" s="2082"/>
      <c r="H39" s="2082"/>
      <c r="I39" s="2082"/>
      <c r="J39" s="2082"/>
      <c r="K39" s="2082"/>
      <c r="L39" s="2082"/>
      <c r="M39" s="2082"/>
      <c r="N39" s="2082"/>
      <c r="O39" s="2082"/>
      <c r="P39" s="2082"/>
      <c r="Q39" s="2082"/>
      <c r="R39" s="2082"/>
      <c r="S39" s="2082"/>
      <c r="T39" s="1928"/>
      <c r="U39" s="2082"/>
      <c r="V39" s="2082"/>
      <c r="W39" s="2082"/>
      <c r="X39" s="2082"/>
      <c r="Y39" s="2082"/>
      <c r="Z39" s="2082"/>
      <c r="AA39" s="2082"/>
      <c r="AB39" s="2082"/>
      <c r="AC39" s="2082"/>
      <c r="AD39" s="2082"/>
      <c r="AE39" s="2082"/>
      <c r="AF39" s="2082"/>
      <c r="AG39" s="2082"/>
      <c r="AH39" s="2082"/>
      <c r="AZ39" s="1862"/>
      <c r="BA39" s="2319" t="str">
        <f>'5.Management'!AQ24</f>
        <v>IPCC default values are provided for your information only; EX-ACT will use Tier 2 values automatically wherever specified.</v>
      </c>
      <c r="BB39" s="1862"/>
      <c r="BC39" s="2318"/>
      <c r="BD39" s="1862"/>
      <c r="BE39" s="1782"/>
      <c r="BF39" s="1782"/>
      <c r="BG39" s="1782"/>
      <c r="BH39" s="1782"/>
      <c r="BI39" s="1782"/>
      <c r="BJ39" s="1782"/>
      <c r="BK39" s="1782"/>
      <c r="BL39" s="1782"/>
      <c r="BM39" s="1782"/>
      <c r="BN39" s="1782"/>
      <c r="BO39" s="1782"/>
      <c r="BQ39" s="4548"/>
      <c r="BR39" s="4548"/>
      <c r="BS39" s="4548"/>
    </row>
    <row r="40" spans="2:86" ht="15" customHeight="1" x14ac:dyDescent="0.2">
      <c r="B40" s="2077"/>
      <c r="C40" s="1820" t="str">
        <f>Languages!B23</f>
        <v>*The selection of "D" corresponds to a default (linear) dynamics of change. Other selection options include "I" for immediate changes and "E" for exponential - please refer to the guidelines for further explanation of these assumptions.</v>
      </c>
      <c r="D40" s="2082"/>
      <c r="E40" s="2082"/>
      <c r="F40" s="2082"/>
      <c r="G40" s="2082"/>
      <c r="H40" s="2082"/>
      <c r="I40" s="2082"/>
      <c r="J40" s="2082"/>
      <c r="K40" s="2082"/>
      <c r="L40" s="2082"/>
      <c r="M40" s="2082"/>
      <c r="N40" s="2082"/>
      <c r="O40" s="2082"/>
      <c r="P40" s="2082"/>
      <c r="Q40" s="2082"/>
      <c r="R40" s="2082"/>
      <c r="S40" s="2082"/>
      <c r="T40" s="2082"/>
      <c r="U40" s="2082"/>
      <c r="V40" s="2082"/>
      <c r="W40" s="2082"/>
      <c r="X40" s="2082"/>
      <c r="Y40" s="2082"/>
      <c r="Z40" s="2082"/>
      <c r="AA40" s="2082"/>
      <c r="AB40" s="2082"/>
      <c r="AC40" s="2082"/>
      <c r="AD40" s="2082"/>
      <c r="AE40" s="2082"/>
      <c r="AF40" s="2082"/>
      <c r="AG40" s="2082"/>
      <c r="AH40" s="2082"/>
      <c r="AZ40" s="1782"/>
      <c r="BA40" s="1782"/>
      <c r="BB40" s="1782"/>
      <c r="BC40" s="2151"/>
      <c r="BD40" s="1782"/>
      <c r="BE40" s="1782"/>
      <c r="BF40" s="1782"/>
      <c r="BG40" s="1782"/>
      <c r="BH40" s="1782"/>
      <c r="BI40" s="1782"/>
      <c r="BJ40" s="1782"/>
      <c r="BK40" s="1782"/>
      <c r="BL40" s="1782"/>
      <c r="BM40" s="1782"/>
      <c r="BN40" s="1782"/>
      <c r="BO40" s="1782"/>
    </row>
    <row r="42" spans="2:86" ht="10.25" customHeight="1" x14ac:dyDescent="0.2"/>
    <row r="46" spans="2:86" x14ac:dyDescent="0.2">
      <c r="AZ46" s="1772"/>
      <c r="BA46" s="1772"/>
      <c r="BB46" s="1772"/>
      <c r="BC46" s="2320"/>
      <c r="BD46" s="1772"/>
    </row>
    <row r="47" spans="2:86" x14ac:dyDescent="0.2">
      <c r="AZ47" s="1772"/>
      <c r="BA47" s="1772"/>
      <c r="BB47" s="1772"/>
      <c r="BC47" s="2320"/>
      <c r="BD47" s="1772"/>
    </row>
    <row r="48" spans="2:86" ht="44.75" customHeight="1" x14ac:dyDescent="0.2">
      <c r="B48" s="2053"/>
      <c r="C48" s="2168" t="str">
        <f>Languages!B241</f>
        <v>4.2 LIVESTOCK AND MANURE MANAGEMENT</v>
      </c>
      <c r="D48" s="1769"/>
      <c r="E48" s="1769"/>
      <c r="F48" s="2053"/>
      <c r="G48" s="2053"/>
      <c r="H48" s="1769"/>
      <c r="I48" s="1769"/>
      <c r="J48" s="2053"/>
      <c r="K48" s="2053"/>
      <c r="L48" s="1769"/>
      <c r="M48" s="1769"/>
      <c r="N48" s="2053"/>
      <c r="O48" s="2053"/>
      <c r="P48" s="1769"/>
      <c r="Q48" s="1769"/>
      <c r="R48" s="2053"/>
      <c r="S48" s="2053"/>
      <c r="T48" s="1769"/>
      <c r="U48" s="1769"/>
      <c r="V48" s="2053"/>
      <c r="W48" s="2053"/>
      <c r="X48" s="1769"/>
      <c r="Y48" s="1769"/>
      <c r="Z48" s="2053"/>
      <c r="AA48" s="2053"/>
      <c r="AB48" s="1769"/>
      <c r="AC48" s="1769"/>
      <c r="AD48" s="2053"/>
      <c r="AE48" s="2175" t="str">
        <f>AE5</f>
        <v>If country-specific data are available, please go to Tier 2:</v>
      </c>
      <c r="AF48" s="2053"/>
      <c r="AG48" s="1769"/>
      <c r="AH48" s="2053"/>
      <c r="AZ48" s="1767"/>
      <c r="BA48" s="2053" t="str">
        <f>C48</f>
        <v>4.2 LIVESTOCK AND MANURE MANAGEMENT</v>
      </c>
      <c r="BB48" s="2053"/>
      <c r="BC48" s="2274"/>
      <c r="BD48" s="2053"/>
      <c r="BE48" s="2053"/>
      <c r="BF48" s="2053"/>
      <c r="BG48" s="2053"/>
      <c r="BH48" s="2053"/>
      <c r="BI48" s="2053"/>
      <c r="BJ48" s="2053"/>
      <c r="BK48" s="2053"/>
      <c r="BL48" s="2053"/>
      <c r="BM48" s="2053"/>
      <c r="BN48" s="2053"/>
      <c r="BO48" s="2053"/>
      <c r="BP48" s="2053"/>
      <c r="BQ48" s="2053"/>
      <c r="BR48" s="2053"/>
      <c r="BS48" s="2053"/>
      <c r="BT48" s="2053"/>
      <c r="BU48" s="2053"/>
      <c r="BV48" s="2053"/>
      <c r="BW48" s="2053"/>
      <c r="BX48" s="2053"/>
      <c r="BY48" s="2053"/>
      <c r="BZ48" s="2053"/>
      <c r="CA48" s="1767"/>
      <c r="CB48" s="1767"/>
      <c r="CC48" s="1767"/>
      <c r="CD48" s="1767"/>
      <c r="CF48" s="4366" t="s">
        <v>71</v>
      </c>
      <c r="CG48" s="4366"/>
      <c r="CH48" s="4366"/>
    </row>
    <row r="49" spans="2:86" ht="5.25" customHeight="1" x14ac:dyDescent="0.2">
      <c r="BC49" s="1771"/>
      <c r="CF49" s="1915"/>
      <c r="CG49" s="1915"/>
    </row>
    <row r="50" spans="2:86" ht="18" thickBot="1" x14ac:dyDescent="0.25">
      <c r="B50" s="2321"/>
      <c r="C50" s="2078"/>
      <c r="D50" s="1827"/>
      <c r="E50" s="1827"/>
      <c r="F50" s="1827"/>
      <c r="G50" s="1827"/>
      <c r="H50" s="1827"/>
      <c r="I50" s="1827"/>
      <c r="J50" s="1827"/>
      <c r="K50" s="1827"/>
      <c r="L50" s="1827"/>
      <c r="M50" s="1827"/>
      <c r="N50" s="1827"/>
      <c r="O50" s="1827"/>
      <c r="P50" s="1827"/>
      <c r="Q50" s="1827"/>
      <c r="R50" s="1827"/>
      <c r="S50" s="1827"/>
      <c r="T50" s="1827"/>
      <c r="U50" s="1827"/>
      <c r="V50" s="1827"/>
      <c r="W50" s="1827"/>
      <c r="X50" s="1827"/>
      <c r="Y50" s="1827"/>
      <c r="Z50" s="1827"/>
      <c r="AA50" s="1827"/>
      <c r="AB50" s="1827"/>
      <c r="AC50" s="1827"/>
      <c r="AD50" s="1827"/>
      <c r="AE50" s="1827"/>
      <c r="AF50" s="1827"/>
      <c r="AG50" s="1827"/>
      <c r="AH50" s="2078"/>
      <c r="AZ50" s="1782"/>
      <c r="BA50" s="1783"/>
      <c r="BB50" s="2322"/>
      <c r="BC50" s="1782"/>
      <c r="BD50" s="1782"/>
      <c r="BE50" s="1782"/>
      <c r="BF50" s="1782"/>
      <c r="BG50" s="1782"/>
      <c r="BH50" s="2323"/>
      <c r="BI50" s="2323"/>
      <c r="BJ50" s="2323"/>
      <c r="BK50" s="2323"/>
      <c r="BL50" s="2323"/>
      <c r="BM50" s="2323" t="s">
        <v>784</v>
      </c>
      <c r="BN50" s="2324"/>
      <c r="BO50" s="2324"/>
      <c r="BP50" s="2324"/>
      <c r="BQ50" s="2324"/>
      <c r="BR50" s="2324"/>
      <c r="BS50" s="2324"/>
      <c r="BT50" s="2324"/>
      <c r="BU50" s="2324"/>
      <c r="BV50" s="2324"/>
      <c r="BW50" s="2325"/>
      <c r="BX50" s="2325"/>
      <c r="BY50" s="2325"/>
      <c r="BZ50" s="2325"/>
      <c r="CA50" s="2325"/>
      <c r="CB50" s="2325"/>
      <c r="CC50" s="2325"/>
      <c r="CD50" s="1782"/>
      <c r="CF50" s="1784"/>
      <c r="CG50" s="1784"/>
      <c r="CH50" s="1996"/>
    </row>
    <row r="51" spans="2:86" ht="17" thickTop="1" x14ac:dyDescent="0.2">
      <c r="B51" s="2078"/>
      <c r="C51" s="2078"/>
      <c r="D51" s="1827"/>
      <c r="E51" s="1827"/>
      <c r="F51" s="1827"/>
      <c r="G51" s="1827"/>
      <c r="H51" s="1827"/>
      <c r="I51" s="1827"/>
      <c r="J51" s="1827"/>
      <c r="K51" s="1827"/>
      <c r="L51" s="1827"/>
      <c r="M51" s="1827"/>
      <c r="N51" s="1827"/>
      <c r="O51" s="1827"/>
      <c r="P51" s="1827"/>
      <c r="Q51" s="1827"/>
      <c r="R51" s="1827"/>
      <c r="S51" s="1827"/>
      <c r="T51" s="1827"/>
      <c r="U51" s="1827"/>
      <c r="V51" s="1827"/>
      <c r="W51" s="1827"/>
      <c r="X51" s="1827"/>
      <c r="Y51" s="1827"/>
      <c r="Z51" s="1827"/>
      <c r="AA51" s="1827"/>
      <c r="AB51" s="1827"/>
      <c r="AC51" s="1827"/>
      <c r="AD51" s="1827"/>
      <c r="AE51" s="1827"/>
      <c r="AF51" s="1827"/>
      <c r="AG51" s="1827"/>
      <c r="AH51" s="2078"/>
      <c r="AZ51" s="1782"/>
      <c r="BA51" s="1782"/>
      <c r="BB51" s="2350"/>
      <c r="BC51" s="1782"/>
      <c r="BD51" s="1782"/>
      <c r="BE51" s="1782"/>
      <c r="BF51" s="1782"/>
      <c r="BG51" s="1782"/>
      <c r="BH51" s="1782"/>
      <c r="BI51" s="1782"/>
      <c r="BJ51" s="1782"/>
      <c r="BK51" s="1782"/>
      <c r="BL51" s="1782"/>
      <c r="BM51" s="2326"/>
      <c r="BN51" s="2326"/>
      <c r="BO51" s="2326"/>
      <c r="BP51" s="2326"/>
      <c r="BQ51" s="2326"/>
      <c r="BR51" s="2326"/>
      <c r="BS51" s="2326"/>
      <c r="BT51" s="2326"/>
      <c r="BU51" s="2326"/>
      <c r="BV51" s="1782"/>
      <c r="BW51" s="1782"/>
      <c r="BX51" s="1782"/>
      <c r="BY51" s="1782"/>
      <c r="BZ51" s="1782"/>
      <c r="CA51" s="1782"/>
      <c r="CB51" s="1782"/>
      <c r="CC51" s="1782"/>
      <c r="CD51" s="1782"/>
      <c r="CF51" s="1889" t="s">
        <v>74</v>
      </c>
      <c r="CG51" s="1889"/>
      <c r="CH51" s="1996"/>
    </row>
    <row r="52" spans="2:86" ht="16" x14ac:dyDescent="0.2">
      <c r="B52" s="2078"/>
      <c r="C52" s="2078"/>
      <c r="D52" s="1781"/>
      <c r="E52" s="1827"/>
      <c r="F52" s="1827"/>
      <c r="G52" s="1781"/>
      <c r="H52" s="2043"/>
      <c r="I52" s="2043"/>
      <c r="J52" s="1781"/>
      <c r="K52" s="1781"/>
      <c r="L52" s="1827"/>
      <c r="M52" s="1781"/>
      <c r="N52" s="1781"/>
      <c r="O52" s="1781"/>
      <c r="P52" s="1781"/>
      <c r="Q52" s="1781"/>
      <c r="R52" s="1827"/>
      <c r="S52" s="1779" t="str">
        <f>Languages!B264</f>
        <v>Production (meat, milk, etc)</v>
      </c>
      <c r="T52" s="1827"/>
      <c r="U52" s="1827"/>
      <c r="V52" s="1827"/>
      <c r="W52" s="2170" t="str">
        <f>Languages!B266</f>
        <v>Livestock management</v>
      </c>
      <c r="X52" s="2171"/>
      <c r="Y52" s="2171"/>
      <c r="Z52" s="2171"/>
      <c r="AA52" s="2171"/>
      <c r="AB52" s="2172"/>
      <c r="AC52" s="2327"/>
      <c r="AD52" s="2327" t="str">
        <f>AD22</f>
        <v>Total emissions (tCO2-e)</v>
      </c>
      <c r="AE52" s="1832"/>
      <c r="AF52" s="2328"/>
      <c r="AG52" s="1780" t="str">
        <f>AG22</f>
        <v>Balance</v>
      </c>
      <c r="AH52" s="2078"/>
      <c r="AZ52" s="1782"/>
      <c r="BA52" s="1782"/>
      <c r="BB52" s="1782"/>
      <c r="BC52" s="1782"/>
      <c r="BD52" s="1782"/>
      <c r="BE52" s="1782"/>
      <c r="BF52" s="1782"/>
      <c r="BG52" s="1782"/>
      <c r="BH52" s="1783" t="str">
        <f>Languages!B279</f>
        <v xml:space="preserve">% corresponding to </v>
      </c>
      <c r="BI52" s="1782"/>
      <c r="BJ52" s="1782"/>
      <c r="BK52" s="1782"/>
      <c r="BL52" s="1782"/>
      <c r="BM52" s="2329" t="str">
        <f>Languages!B286</f>
        <v>Emission factors for Pasture/Range/Paddock*</v>
      </c>
      <c r="BN52" s="2330"/>
      <c r="BO52" s="2330"/>
      <c r="BP52" s="2330"/>
      <c r="BQ52" s="2330"/>
      <c r="BR52" s="2330"/>
      <c r="BS52" s="2330"/>
      <c r="BT52" s="2330"/>
      <c r="BU52" s="2330"/>
      <c r="BV52" s="1782"/>
      <c r="BW52" s="2331" t="str">
        <f>Languages!B288</f>
        <v>Complementary manure management system</v>
      </c>
      <c r="BX52" s="2330"/>
      <c r="BY52" s="2330"/>
      <c r="BZ52" s="2330"/>
      <c r="CA52" s="2330"/>
      <c r="CB52" s="2330"/>
      <c r="CC52" s="2330"/>
      <c r="CD52" s="1782"/>
      <c r="CF52" s="2014" t="s">
        <v>82</v>
      </c>
      <c r="CG52" s="2014"/>
      <c r="CH52" s="1996"/>
    </row>
    <row r="53" spans="2:86" ht="16" x14ac:dyDescent="0.2">
      <c r="B53" s="2321"/>
      <c r="C53" s="2078"/>
      <c r="D53" s="1827"/>
      <c r="E53" s="1826" t="str">
        <f>D22</f>
        <v>User notes</v>
      </c>
      <c r="F53" s="1827"/>
      <c r="G53" s="1781"/>
      <c r="H53" s="1781"/>
      <c r="I53" s="1780" t="str">
        <f>Languages!B259</f>
        <v>Livestock categories/species</v>
      </c>
      <c r="J53" s="2043"/>
      <c r="K53" s="1779" t="str">
        <f>Languages!B260</f>
        <v>Livestock productivity/production system*</v>
      </c>
      <c r="L53" s="1827"/>
      <c r="M53" s="1781"/>
      <c r="N53" s="1781"/>
      <c r="O53" s="1781"/>
      <c r="P53" s="1781"/>
      <c r="Q53" s="1781"/>
      <c r="R53" s="1827"/>
      <c r="S53" s="1779" t="str">
        <f>Languages!B265</f>
        <v>in tonnes of product per year</v>
      </c>
      <c r="T53" s="1827"/>
      <c r="U53" s="1827"/>
      <c r="V53" s="1827"/>
      <c r="W53" s="4432" t="str">
        <f>Languages!B267</f>
        <v>Number of heads</v>
      </c>
      <c r="X53" s="2332"/>
      <c r="Y53" s="2172"/>
      <c r="Z53" s="2172"/>
      <c r="AA53" s="2172"/>
      <c r="AB53" s="2172"/>
      <c r="AC53" s="2328"/>
      <c r="AD53" s="1832"/>
      <c r="AE53" s="1832"/>
      <c r="AF53" s="2328"/>
      <c r="AG53" s="1832"/>
      <c r="AH53" s="2078"/>
      <c r="AZ53" s="1782"/>
      <c r="BA53" s="2333" t="str">
        <f>I53</f>
        <v>Livestock categories/species</v>
      </c>
      <c r="BB53" s="2333" t="str">
        <f>K53</f>
        <v>Livestock productivity/production system*</v>
      </c>
      <c r="BC53" s="2334" t="str">
        <f>Languages!B278</f>
        <v>Enteric fermentation</v>
      </c>
      <c r="BD53" s="2335"/>
      <c r="BE53" s="1785"/>
      <c r="BF53" s="1785"/>
      <c r="BG53" s="1782"/>
      <c r="BH53" s="2334" t="str">
        <f>Languages!B280</f>
        <v>Pasture/Range/Paddock*</v>
      </c>
      <c r="BI53" s="1785"/>
      <c r="BJ53" s="1785"/>
      <c r="BK53" s="1785"/>
      <c r="BL53" s="1782"/>
      <c r="BM53" s="2334" t="str">
        <f>Languages!B285</f>
        <v>CH4 from manure mngt.</v>
      </c>
      <c r="BN53" s="2334"/>
      <c r="BO53" s="2334"/>
      <c r="BP53" s="2334"/>
      <c r="BQ53" s="1782"/>
      <c r="BR53" s="2334" t="str">
        <f>Languages!B284</f>
        <v>N2O from manure mngt.</v>
      </c>
      <c r="BS53" s="2334"/>
      <c r="BT53" s="2334"/>
      <c r="BU53" s="2334"/>
      <c r="BV53" s="1782"/>
      <c r="BW53" s="2150"/>
      <c r="BX53" s="1782"/>
      <c r="BY53" s="2334" t="str">
        <f>Languages!B289</f>
        <v>Emission factor CH4</v>
      </c>
      <c r="BZ53" s="2334"/>
      <c r="CA53" s="1785"/>
      <c r="CB53" s="2334" t="str">
        <f>Languages!B290</f>
        <v>Emission factor N2O</v>
      </c>
      <c r="CC53" s="1785"/>
      <c r="CD53" s="1782"/>
      <c r="CF53" s="1996"/>
      <c r="CG53" s="1893"/>
      <c r="CH53" s="1996"/>
    </row>
    <row r="54" spans="2:86" ht="16" x14ac:dyDescent="0.2">
      <c r="B54" s="2078"/>
      <c r="C54" s="2078"/>
      <c r="D54" s="1827"/>
      <c r="E54" s="1827"/>
      <c r="F54" s="1827"/>
      <c r="G54" s="1781"/>
      <c r="H54" s="1781"/>
      <c r="I54" s="2065"/>
      <c r="J54" s="2043"/>
      <c r="K54" s="1781"/>
      <c r="L54" s="1827"/>
      <c r="M54" s="1781"/>
      <c r="N54" s="1781"/>
      <c r="O54" s="1781"/>
      <c r="P54" s="1781"/>
      <c r="Q54" s="1781"/>
      <c r="R54" s="1781"/>
      <c r="S54" s="1838" t="str">
        <f>S24</f>
        <v>Start</v>
      </c>
      <c r="T54" s="1814" t="str">
        <f>T24</f>
        <v>Without</v>
      </c>
      <c r="U54" s="1814" t="str">
        <f>U24</f>
        <v>With</v>
      </c>
      <c r="V54" s="1827"/>
      <c r="W54" s="1806" t="str">
        <f>S54</f>
        <v>Start</v>
      </c>
      <c r="X54" s="1849" t="str">
        <f>T54</f>
        <v>Without</v>
      </c>
      <c r="Y54" s="1806"/>
      <c r="Z54" s="1806" t="str">
        <f>U54</f>
        <v>With</v>
      </c>
      <c r="AA54" s="2173"/>
      <c r="AB54" s="1806"/>
      <c r="AC54" s="2336"/>
      <c r="AD54" s="1806" t="str">
        <f>AD24</f>
        <v>Without</v>
      </c>
      <c r="AE54" s="1806" t="str">
        <f>AE24</f>
        <v>With</v>
      </c>
      <c r="AF54" s="2065"/>
      <c r="AG54" s="1832"/>
      <c r="AH54" s="2078"/>
      <c r="AZ54" s="1782"/>
      <c r="BA54" s="1782"/>
      <c r="BB54" s="1782"/>
      <c r="BC54" s="2315" t="str">
        <f>Languages!B282</f>
        <v>kgCH4/head/year</v>
      </c>
      <c r="BD54" s="2315"/>
      <c r="BE54" s="1782"/>
      <c r="BF54" s="1782"/>
      <c r="BG54" s="1782"/>
      <c r="BH54" s="1782"/>
      <c r="BI54" s="1782"/>
      <c r="BJ54" s="1782"/>
      <c r="BK54" s="1782"/>
      <c r="BL54" s="1782"/>
      <c r="BM54" s="1782" t="str">
        <f>BC54</f>
        <v>kgCH4/head/year</v>
      </c>
      <c r="BN54" s="1782"/>
      <c r="BO54" s="1782"/>
      <c r="BP54" s="1782"/>
      <c r="BQ54" s="1782"/>
      <c r="BR54" s="1782" t="str">
        <f>Languages!B283</f>
        <v>kgN2O/head/year</v>
      </c>
      <c r="BS54" s="1782"/>
      <c r="BT54" s="1782"/>
      <c r="BU54" s="1782"/>
      <c r="BV54" s="1782"/>
      <c r="BW54" s="1782"/>
      <c r="BX54" s="1782"/>
      <c r="BY54" s="1782" t="str">
        <f>BM54</f>
        <v>kgCH4/head/year</v>
      </c>
      <c r="BZ54" s="1782"/>
      <c r="CA54" s="1782"/>
      <c r="CB54" s="1782" t="str">
        <f>BR54</f>
        <v>kgN2O/head/year</v>
      </c>
      <c r="CC54" s="1782"/>
      <c r="CD54" s="1782"/>
      <c r="CF54" s="1996"/>
      <c r="CG54" s="1996"/>
      <c r="CH54" s="1996"/>
    </row>
    <row r="55" spans="2:86" ht="16" x14ac:dyDescent="0.2">
      <c r="B55" s="2078"/>
      <c r="C55" s="2078"/>
      <c r="D55" s="1827"/>
      <c r="E55" s="1827"/>
      <c r="F55" s="1827"/>
      <c r="G55" s="1781"/>
      <c r="H55" s="1781"/>
      <c r="I55" s="2065"/>
      <c r="J55" s="2043"/>
      <c r="K55" s="2043"/>
      <c r="L55" s="1827"/>
      <c r="M55" s="1781"/>
      <c r="N55" s="1781"/>
      <c r="O55" s="1781"/>
      <c r="P55" s="1781"/>
      <c r="Q55" s="1781"/>
      <c r="R55" s="1781"/>
      <c r="S55" s="1827"/>
      <c r="T55" s="1827"/>
      <c r="U55" s="1827"/>
      <c r="V55" s="1827"/>
      <c r="W55" s="1827"/>
      <c r="X55" s="1827"/>
      <c r="Y55" s="1827"/>
      <c r="Z55" s="1827"/>
      <c r="AA55" s="1827"/>
      <c r="AB55" s="1827"/>
      <c r="AC55" s="1827"/>
      <c r="AD55" s="1780"/>
      <c r="AE55" s="1827"/>
      <c r="AF55" s="1827"/>
      <c r="AG55" s="1827"/>
      <c r="AH55" s="2078"/>
      <c r="AZ55" s="1782"/>
      <c r="BA55" s="1782"/>
      <c r="BB55" s="1782"/>
      <c r="BC55" s="2337" t="str">
        <f>BC24</f>
        <v>Default</v>
      </c>
      <c r="BD55" s="2337" t="str">
        <f>W54</f>
        <v>Start</v>
      </c>
      <c r="BE55" s="2151" t="str">
        <f>X54</f>
        <v>Without</v>
      </c>
      <c r="BF55" s="2151" t="str">
        <f>Z54</f>
        <v>With</v>
      </c>
      <c r="BG55" s="1782"/>
      <c r="BH55" s="2151" t="str">
        <f>BC55</f>
        <v>Default</v>
      </c>
      <c r="BI55" s="2151" t="str">
        <f>BD55</f>
        <v>Start</v>
      </c>
      <c r="BJ55" s="2151" t="str">
        <f>BE55</f>
        <v>Without</v>
      </c>
      <c r="BK55" s="2151" t="str">
        <f>BF55</f>
        <v>With</v>
      </c>
      <c r="BL55" s="1782"/>
      <c r="BM55" s="2151" t="str">
        <f>BH55</f>
        <v>Default</v>
      </c>
      <c r="BN55" s="2151" t="str">
        <f>BI55</f>
        <v>Start</v>
      </c>
      <c r="BO55" s="2151" t="str">
        <f>BJ55</f>
        <v>Without</v>
      </c>
      <c r="BP55" s="2151" t="str">
        <f>BK55</f>
        <v>With</v>
      </c>
      <c r="BQ55" s="1782"/>
      <c r="BR55" s="2151" t="str">
        <f>BM55</f>
        <v>Default</v>
      </c>
      <c r="BS55" s="2151" t="str">
        <f>BN55</f>
        <v>Start</v>
      </c>
      <c r="BT55" s="2151" t="str">
        <f>BO55</f>
        <v>Without</v>
      </c>
      <c r="BU55" s="2151" t="str">
        <f>BP55</f>
        <v>With</v>
      </c>
      <c r="BV55" s="1782"/>
      <c r="BW55" s="1782"/>
      <c r="BX55" s="1782"/>
      <c r="BY55" s="2151" t="str">
        <f>BR55</f>
        <v>Default</v>
      </c>
      <c r="BZ55" s="2151" t="str">
        <f>BM24</f>
        <v>Tier 2</v>
      </c>
      <c r="CA55" s="1782"/>
      <c r="CB55" s="2151" t="str">
        <f>BY55</f>
        <v>Default</v>
      </c>
      <c r="CC55" s="2151" t="str">
        <f>BZ55</f>
        <v>Tier 2</v>
      </c>
      <c r="CD55" s="1782"/>
      <c r="CF55" s="1996"/>
      <c r="CG55" s="1996"/>
      <c r="CH55" s="1996"/>
    </row>
    <row r="56" spans="2:86" ht="16" x14ac:dyDescent="0.2">
      <c r="B56" s="2321"/>
      <c r="C56" s="2078"/>
      <c r="D56" s="1806" t="str">
        <f>Languages!B242</f>
        <v>Livestock system #1</v>
      </c>
      <c r="E56" s="2174"/>
      <c r="F56" s="2174"/>
      <c r="G56" s="2174"/>
      <c r="H56" s="1781"/>
      <c r="I56" s="2131" t="s">
        <v>5278</v>
      </c>
      <c r="J56" s="2043"/>
      <c r="K56" s="2131" t="s">
        <v>5285</v>
      </c>
      <c r="L56" s="1827"/>
      <c r="M56" s="1781"/>
      <c r="N56" s="1781"/>
      <c r="O56" s="1781"/>
      <c r="P56" s="1781"/>
      <c r="Q56" s="1781"/>
      <c r="R56" s="1781"/>
      <c r="S56" s="4266"/>
      <c r="T56" s="4267"/>
      <c r="U56" s="4268"/>
      <c r="V56" s="1827"/>
      <c r="W56" s="2102">
        <v>100</v>
      </c>
      <c r="X56" s="2103">
        <v>0</v>
      </c>
      <c r="Y56" s="2104" t="s">
        <v>86</v>
      </c>
      <c r="Z56" s="2103">
        <v>0</v>
      </c>
      <c r="AA56" s="2104" t="s">
        <v>86</v>
      </c>
      <c r="AB56" s="1781"/>
      <c r="AC56" s="1781"/>
      <c r="AD56" s="2107">
        <f ca="1">SUM(Livestock!Z8,Livestock!Z62,Livestock!Z90,Livestock!Z118,Livestock!Z144)</f>
        <v>1292.9534496495535</v>
      </c>
      <c r="AE56" s="2107">
        <f ca="1">SUM(Livestock!AA8,Livestock!AA62,Livestock!AA90,Livestock!AA118,Livestock!AA144)</f>
        <v>1292.9534496495535</v>
      </c>
      <c r="AF56" s="1841"/>
      <c r="AG56" s="1816">
        <f t="shared" ref="AG56:AG72" ca="1" si="2">AE56-AD56</f>
        <v>0</v>
      </c>
      <c r="AH56" s="2078"/>
      <c r="AZ56" s="1782"/>
      <c r="BA56" s="1782" t="str">
        <f t="shared" ref="BA56:BA72" si="3">I56</f>
        <v>Dairy Cattle</v>
      </c>
      <c r="BB56" s="1782" t="str">
        <f t="shared" ref="BB56:BB72" si="4">K56</f>
        <v>High-Productivity</v>
      </c>
      <c r="BC56" s="2338">
        <f>Livestock!D8</f>
        <v>126</v>
      </c>
      <c r="BD56" s="2351"/>
      <c r="BE56" s="2352"/>
      <c r="BF56" s="2353"/>
      <c r="BG56" s="1782"/>
      <c r="BH56" s="2339">
        <f ca="1">Livestock!I62/100</f>
        <v>0.26</v>
      </c>
      <c r="BI56" s="2354"/>
      <c r="BJ56" s="2355"/>
      <c r="BK56" s="2356"/>
      <c r="BL56" s="1782"/>
      <c r="BM56" s="2340">
        <f ca="1">Livestock!P62</f>
        <v>0.25623000000000007</v>
      </c>
      <c r="BN56" s="2357"/>
      <c r="BO56" s="2358"/>
      <c r="BP56" s="2359"/>
      <c r="BQ56" s="1782"/>
      <c r="BR56" s="2340">
        <f ca="1">Livestock!P90</f>
        <v>5.6939999999999991E-2</v>
      </c>
      <c r="BS56" s="2357"/>
      <c r="BT56" s="2358"/>
      <c r="BU56" s="2359"/>
      <c r="BV56" s="1782"/>
      <c r="BW56" s="2360" t="s">
        <v>57</v>
      </c>
      <c r="BX56" s="1782"/>
      <c r="BY56" s="2341">
        <f ca="1">IF(Livestock!N62=0, Livestock!Q62, Livestock!N62)</f>
        <v>49.618282499999992</v>
      </c>
      <c r="BZ56" s="2361"/>
      <c r="CA56" s="1782"/>
      <c r="CB56" s="2341">
        <f ca="1">IF(Livestock!N90=0, Livestock!Q90,Livestock!N90)</f>
        <v>0.39511250000000003</v>
      </c>
      <c r="CC56" s="2361"/>
      <c r="CD56" s="1782"/>
      <c r="CF56" s="4363">
        <v>1</v>
      </c>
      <c r="CG56" s="4364"/>
      <c r="CH56" s="1996"/>
    </row>
    <row r="57" spans="2:86" ht="16" x14ac:dyDescent="0.2">
      <c r="B57" s="2078"/>
      <c r="C57" s="2078"/>
      <c r="D57" s="1806" t="str">
        <f>Languages!B243</f>
        <v>Livestock system #2</v>
      </c>
      <c r="E57" s="2174"/>
      <c r="F57" s="2174"/>
      <c r="G57" s="2174"/>
      <c r="H57" s="1781"/>
      <c r="I57" s="2131" t="s">
        <v>5278</v>
      </c>
      <c r="J57" s="2043"/>
      <c r="K57" s="2131" t="s">
        <v>5285</v>
      </c>
      <c r="L57" s="1827"/>
      <c r="M57" s="1781"/>
      <c r="N57" s="1781"/>
      <c r="O57" s="1781"/>
      <c r="P57" s="1781"/>
      <c r="Q57" s="1781"/>
      <c r="R57" s="1781"/>
      <c r="S57" s="4266"/>
      <c r="T57" s="4267"/>
      <c r="U57" s="4268"/>
      <c r="V57" s="1827"/>
      <c r="W57" s="2102">
        <v>0</v>
      </c>
      <c r="X57" s="2103">
        <v>100</v>
      </c>
      <c r="Y57" s="2104" t="s">
        <v>86</v>
      </c>
      <c r="Z57" s="2103">
        <v>0</v>
      </c>
      <c r="AA57" s="2104" t="s">
        <v>86</v>
      </c>
      <c r="AB57" s="1781"/>
      <c r="AC57" s="1781"/>
      <c r="AD57" s="2107">
        <f ca="1">SUM(Livestock!Z9,Livestock!Z63,Livestock!Z91,Livestock!Z119,Livestock!Z145)</f>
        <v>6464.7672482477674</v>
      </c>
      <c r="AE57" s="2107">
        <f ca="1">SUM(Livestock!AA9,Livestock!AA63,Livestock!AA91,Livestock!AA119,Livestock!AA145)</f>
        <v>0</v>
      </c>
      <c r="AF57" s="1841"/>
      <c r="AG57" s="1816">
        <f t="shared" ca="1" si="2"/>
        <v>-6464.7672482477674</v>
      </c>
      <c r="AH57" s="2078"/>
      <c r="AZ57" s="1782"/>
      <c r="BA57" s="1782" t="str">
        <f t="shared" si="3"/>
        <v>Dairy Cattle</v>
      </c>
      <c r="BB57" s="1782" t="str">
        <f t="shared" si="4"/>
        <v>High-Productivity</v>
      </c>
      <c r="BC57" s="2338">
        <f>Livestock!D9</f>
        <v>126</v>
      </c>
      <c r="BD57" s="2351"/>
      <c r="BE57" s="2352"/>
      <c r="BF57" s="2353"/>
      <c r="BG57" s="1782"/>
      <c r="BH57" s="2339">
        <f ca="1">Livestock!I63/100</f>
        <v>0.26</v>
      </c>
      <c r="BI57" s="2354"/>
      <c r="BJ57" s="2355"/>
      <c r="BK57" s="2356"/>
      <c r="BL57" s="1782"/>
      <c r="BM57" s="2340">
        <f ca="1">Livestock!P63</f>
        <v>0.25623000000000007</v>
      </c>
      <c r="BN57" s="2357"/>
      <c r="BO57" s="2358"/>
      <c r="BP57" s="2359"/>
      <c r="BQ57" s="1782"/>
      <c r="BR57" s="2340">
        <f ca="1">Livestock!P91</f>
        <v>5.6939999999999991E-2</v>
      </c>
      <c r="BS57" s="2357"/>
      <c r="BT57" s="2358"/>
      <c r="BU57" s="2359"/>
      <c r="BV57" s="1782"/>
      <c r="BW57" s="2360" t="s">
        <v>57</v>
      </c>
      <c r="BX57" s="1782"/>
      <c r="BY57" s="2341">
        <f ca="1">IF(Livestock!N63=0, Livestock!Q63, Livestock!N63)</f>
        <v>49.618282499999992</v>
      </c>
      <c r="BZ57" s="2361"/>
      <c r="CA57" s="1782"/>
      <c r="CB57" s="2341">
        <f ca="1">IF(Livestock!N91=0, Livestock!Q91,Livestock!N91)</f>
        <v>0.39511250000000003</v>
      </c>
      <c r="CC57" s="2361"/>
      <c r="CD57" s="1782"/>
      <c r="CF57" s="4363">
        <v>1</v>
      </c>
      <c r="CG57" s="4364"/>
      <c r="CH57" s="1996"/>
    </row>
    <row r="58" spans="2:86" ht="16" x14ac:dyDescent="0.2">
      <c r="B58" s="2078"/>
      <c r="C58" s="2078"/>
      <c r="D58" s="1806" t="str">
        <f>Languages!B244</f>
        <v>Livestock system #3</v>
      </c>
      <c r="E58" s="2174"/>
      <c r="F58" s="2174"/>
      <c r="G58" s="2174"/>
      <c r="H58" s="1781"/>
      <c r="I58" s="2131" t="s">
        <v>5278</v>
      </c>
      <c r="J58" s="2043"/>
      <c r="K58" s="2131" t="s">
        <v>5286</v>
      </c>
      <c r="L58" s="1827"/>
      <c r="M58" s="1781"/>
      <c r="N58" s="1781"/>
      <c r="O58" s="1781"/>
      <c r="P58" s="1781"/>
      <c r="Q58" s="1781"/>
      <c r="R58" s="1781"/>
      <c r="S58" s="4266"/>
      <c r="T58" s="4267"/>
      <c r="U58" s="4268"/>
      <c r="V58" s="1827"/>
      <c r="W58" s="2102">
        <v>0</v>
      </c>
      <c r="X58" s="2103">
        <v>0</v>
      </c>
      <c r="Y58" s="2104" t="s">
        <v>86</v>
      </c>
      <c r="Z58" s="2103">
        <v>100</v>
      </c>
      <c r="AA58" s="2104" t="s">
        <v>86</v>
      </c>
      <c r="AB58" s="1781"/>
      <c r="AC58" s="1781"/>
      <c r="AD58" s="2107">
        <f ca="1">SUM(Livestock!Z10,Livestock!Z64,Livestock!Z92,Livestock!Z120,Livestock!Z146)</f>
        <v>0</v>
      </c>
      <c r="AE58" s="2107">
        <f ca="1">SUM(Livestock!AA10,Livestock!AA64,Livestock!AA92,Livestock!AA120,Livestock!AA146)</f>
        <v>5669.4276857477671</v>
      </c>
      <c r="AF58" s="1841"/>
      <c r="AG58" s="1816">
        <f t="shared" ca="1" si="2"/>
        <v>5669.4276857477671</v>
      </c>
      <c r="AH58" s="2078"/>
      <c r="AZ58" s="1782"/>
      <c r="BA58" s="1782" t="str">
        <f t="shared" si="3"/>
        <v>Dairy Cattle</v>
      </c>
      <c r="BB58" s="1782" t="str">
        <f t="shared" si="4"/>
        <v>Low-Productivity</v>
      </c>
      <c r="BC58" s="2338">
        <f>Livestock!D10</f>
        <v>126</v>
      </c>
      <c r="BD58" s="2351"/>
      <c r="BE58" s="2352"/>
      <c r="BF58" s="2353"/>
      <c r="BG58" s="1782"/>
      <c r="BH58" s="2339">
        <f ca="1">Livestock!I64/100</f>
        <v>0.26</v>
      </c>
      <c r="BI58" s="2354"/>
      <c r="BJ58" s="2355"/>
      <c r="BK58" s="2356"/>
      <c r="BL58" s="1782"/>
      <c r="BM58" s="2340">
        <f ca="1">Livestock!P64</f>
        <v>0.25623000000000007</v>
      </c>
      <c r="BN58" s="2357"/>
      <c r="BO58" s="2358"/>
      <c r="BP58" s="2359"/>
      <c r="BQ58" s="1782"/>
      <c r="BR58" s="2340">
        <f ca="1">Livestock!P92</f>
        <v>5.6939999999999991E-2</v>
      </c>
      <c r="BS58" s="2357"/>
      <c r="BT58" s="2358"/>
      <c r="BU58" s="2359"/>
      <c r="BV58" s="1782"/>
      <c r="BW58" s="2360" t="s">
        <v>57</v>
      </c>
      <c r="BX58" s="1782"/>
      <c r="BY58" s="2341">
        <f ca="1">IF(Livestock!N64=0, Livestock!Q64, Livestock!N64)</f>
        <v>26.894295000000003</v>
      </c>
      <c r="BZ58" s="2361"/>
      <c r="CA58" s="1782"/>
      <c r="CB58" s="2341">
        <f ca="1">IF(Livestock!N92=0, Livestock!Q92,Livestock!N92)</f>
        <v>0.39511250000000003</v>
      </c>
      <c r="CC58" s="2361"/>
      <c r="CD58" s="1782"/>
      <c r="CF58" s="4363">
        <v>1</v>
      </c>
      <c r="CG58" s="4364"/>
      <c r="CH58" s="1996"/>
    </row>
    <row r="59" spans="2:86" ht="16" x14ac:dyDescent="0.2">
      <c r="B59" s="2321"/>
      <c r="C59" s="2078"/>
      <c r="D59" s="1806" t="str">
        <f>Languages!B245</f>
        <v>Livestock system #4</v>
      </c>
      <c r="E59" s="2174"/>
      <c r="F59" s="2174"/>
      <c r="G59" s="2174"/>
      <c r="H59" s="1781"/>
      <c r="I59" s="2131" t="s">
        <v>57</v>
      </c>
      <c r="J59" s="2043"/>
      <c r="K59" s="2131" t="s">
        <v>57</v>
      </c>
      <c r="L59" s="1827"/>
      <c r="M59" s="1781"/>
      <c r="N59" s="1781"/>
      <c r="O59" s="1781"/>
      <c r="P59" s="1781"/>
      <c r="Q59" s="1781"/>
      <c r="R59" s="1781"/>
      <c r="S59" s="4266"/>
      <c r="T59" s="4267"/>
      <c r="U59" s="4268"/>
      <c r="V59" s="1827"/>
      <c r="W59" s="2102">
        <v>0</v>
      </c>
      <c r="X59" s="2103">
        <v>0</v>
      </c>
      <c r="Y59" s="2104" t="s">
        <v>86</v>
      </c>
      <c r="Z59" s="2103">
        <v>0</v>
      </c>
      <c r="AA59" s="2104" t="s">
        <v>86</v>
      </c>
      <c r="AB59" s="1781"/>
      <c r="AC59" s="1781"/>
      <c r="AD59" s="2107">
        <f ca="1">SUM(Livestock!Z11,Livestock!Z65,Livestock!Z93,Livestock!Z121,Livestock!Z147)</f>
        <v>0</v>
      </c>
      <c r="AE59" s="2107">
        <f ca="1">SUM(Livestock!AA11,Livestock!AA65,Livestock!AA93,Livestock!AA121,Livestock!AA147)</f>
        <v>0</v>
      </c>
      <c r="AF59" s="1841"/>
      <c r="AG59" s="1816">
        <f t="shared" ca="1" si="2"/>
        <v>0</v>
      </c>
      <c r="AH59" s="2078"/>
      <c r="AZ59" s="1782"/>
      <c r="BA59" s="1782" t="str">
        <f t="shared" si="3"/>
        <v>Please select</v>
      </c>
      <c r="BB59" s="1782" t="str">
        <f t="shared" si="4"/>
        <v>Please select</v>
      </c>
      <c r="BC59" s="2338">
        <f>Livestock!D11</f>
        <v>0</v>
      </c>
      <c r="BD59" s="2351"/>
      <c r="BE59" s="2352"/>
      <c r="BF59" s="2353"/>
      <c r="BG59" s="1782"/>
      <c r="BH59" s="2339">
        <f ca="1">Livestock!I65/100</f>
        <v>0</v>
      </c>
      <c r="BI59" s="2354"/>
      <c r="BJ59" s="2355"/>
      <c r="BK59" s="2356"/>
      <c r="BL59" s="1782"/>
      <c r="BM59" s="2340">
        <f ca="1">Livestock!P65</f>
        <v>0</v>
      </c>
      <c r="BN59" s="2357"/>
      <c r="BO59" s="2358"/>
      <c r="BP59" s="2359"/>
      <c r="BQ59" s="1782"/>
      <c r="BR59" s="2340">
        <f ca="1">Livestock!P93</f>
        <v>0</v>
      </c>
      <c r="BS59" s="2357"/>
      <c r="BT59" s="2358"/>
      <c r="BU59" s="2359"/>
      <c r="BV59" s="1782"/>
      <c r="BW59" s="2360" t="s">
        <v>57</v>
      </c>
      <c r="BX59" s="1782"/>
      <c r="BY59" s="2341">
        <f ca="1">IF(Livestock!N65=0, Livestock!Q65, Livestock!N65)</f>
        <v>0</v>
      </c>
      <c r="BZ59" s="2361"/>
      <c r="CA59" s="1782"/>
      <c r="CB59" s="2341">
        <f ca="1">IF(Livestock!N93=0, Livestock!Q93,Livestock!N93)</f>
        <v>0</v>
      </c>
      <c r="CC59" s="2361"/>
      <c r="CD59" s="1782"/>
      <c r="CF59" s="4363">
        <v>1</v>
      </c>
      <c r="CG59" s="4364"/>
      <c r="CH59" s="1996"/>
    </row>
    <row r="60" spans="2:86" ht="16" x14ac:dyDescent="0.2">
      <c r="B60" s="2078"/>
      <c r="C60" s="2078"/>
      <c r="D60" s="1806" t="str">
        <f>Languages!B246</f>
        <v>Livestock system #5</v>
      </c>
      <c r="E60" s="2174"/>
      <c r="F60" s="2174"/>
      <c r="G60" s="2174"/>
      <c r="H60" s="1781"/>
      <c r="I60" s="2131" t="s">
        <v>57</v>
      </c>
      <c r="J60" s="2043"/>
      <c r="K60" s="2131" t="s">
        <v>57</v>
      </c>
      <c r="L60" s="1827"/>
      <c r="M60" s="1781"/>
      <c r="N60" s="1781"/>
      <c r="O60" s="1781"/>
      <c r="P60" s="1781"/>
      <c r="Q60" s="1781"/>
      <c r="R60" s="1781"/>
      <c r="S60" s="4266"/>
      <c r="T60" s="4267"/>
      <c r="U60" s="4268"/>
      <c r="V60" s="1827"/>
      <c r="W60" s="2102">
        <v>0</v>
      </c>
      <c r="X60" s="2103">
        <v>0</v>
      </c>
      <c r="Y60" s="2104" t="s">
        <v>86</v>
      </c>
      <c r="Z60" s="2103">
        <v>0</v>
      </c>
      <c r="AA60" s="2104" t="s">
        <v>86</v>
      </c>
      <c r="AB60" s="1781"/>
      <c r="AC60" s="1781"/>
      <c r="AD60" s="2107">
        <f ca="1">SUM(Livestock!Z12,Livestock!Z66,Livestock!Z94,Livestock!Z122,Livestock!Z148)</f>
        <v>0</v>
      </c>
      <c r="AE60" s="2107">
        <f ca="1">SUM(Livestock!AA12,Livestock!AA66,Livestock!AA94,Livestock!AA122,Livestock!AA148)</f>
        <v>0</v>
      </c>
      <c r="AF60" s="1841"/>
      <c r="AG60" s="1816">
        <f t="shared" ca="1" si="2"/>
        <v>0</v>
      </c>
      <c r="AH60" s="2078"/>
      <c r="AZ60" s="1782"/>
      <c r="BA60" s="1782" t="str">
        <f t="shared" si="3"/>
        <v>Please select</v>
      </c>
      <c r="BB60" s="1782" t="str">
        <f t="shared" si="4"/>
        <v>Please select</v>
      </c>
      <c r="BC60" s="2338">
        <f>Livestock!D12</f>
        <v>0</v>
      </c>
      <c r="BD60" s="2351"/>
      <c r="BE60" s="2352"/>
      <c r="BF60" s="2353"/>
      <c r="BG60" s="1782"/>
      <c r="BH60" s="2339">
        <f ca="1">Livestock!I66/100</f>
        <v>0</v>
      </c>
      <c r="BI60" s="2354"/>
      <c r="BJ60" s="2355"/>
      <c r="BK60" s="2356"/>
      <c r="BL60" s="1782"/>
      <c r="BM60" s="2340">
        <f ca="1">Livestock!P66</f>
        <v>0</v>
      </c>
      <c r="BN60" s="2357"/>
      <c r="BO60" s="2358"/>
      <c r="BP60" s="2359"/>
      <c r="BQ60" s="1782"/>
      <c r="BR60" s="2340">
        <f ca="1">Livestock!P94</f>
        <v>0</v>
      </c>
      <c r="BS60" s="2357"/>
      <c r="BT60" s="2358"/>
      <c r="BU60" s="2359"/>
      <c r="BV60" s="1782"/>
      <c r="BW60" s="2360" t="s">
        <v>57</v>
      </c>
      <c r="BX60" s="1782"/>
      <c r="BY60" s="2341">
        <f ca="1">IF(Livestock!N66=0, Livestock!Q66, Livestock!N66)</f>
        <v>0</v>
      </c>
      <c r="BZ60" s="2361"/>
      <c r="CA60" s="1782"/>
      <c r="CB60" s="2341">
        <f ca="1">IF(Livestock!N94=0, Livestock!Q94,Livestock!N94)</f>
        <v>0</v>
      </c>
      <c r="CC60" s="2361"/>
      <c r="CD60" s="1782"/>
      <c r="CF60" s="4363">
        <v>1</v>
      </c>
      <c r="CG60" s="4364"/>
      <c r="CH60" s="1996"/>
    </row>
    <row r="61" spans="2:86" ht="16" x14ac:dyDescent="0.2">
      <c r="B61" s="2078"/>
      <c r="C61" s="2078"/>
      <c r="D61" s="1806" t="str">
        <f>Languages!B247</f>
        <v>Livestock system #6</v>
      </c>
      <c r="E61" s="2174"/>
      <c r="F61" s="2174"/>
      <c r="G61" s="2174"/>
      <c r="H61" s="1781"/>
      <c r="I61" s="2131" t="s">
        <v>57</v>
      </c>
      <c r="J61" s="2043"/>
      <c r="K61" s="2131" t="s">
        <v>57</v>
      </c>
      <c r="L61" s="1827"/>
      <c r="M61" s="1781"/>
      <c r="N61" s="1781"/>
      <c r="O61" s="1781"/>
      <c r="P61" s="1781"/>
      <c r="Q61" s="1781"/>
      <c r="R61" s="1781"/>
      <c r="S61" s="4266"/>
      <c r="T61" s="4267"/>
      <c r="U61" s="4268"/>
      <c r="V61" s="1827"/>
      <c r="W61" s="2102">
        <v>0</v>
      </c>
      <c r="X61" s="2103">
        <v>0</v>
      </c>
      <c r="Y61" s="2104" t="s">
        <v>86</v>
      </c>
      <c r="Z61" s="2103">
        <v>0</v>
      </c>
      <c r="AA61" s="2104" t="s">
        <v>86</v>
      </c>
      <c r="AB61" s="1781"/>
      <c r="AC61" s="1781"/>
      <c r="AD61" s="2107">
        <f ca="1">SUM(Livestock!Z13,Livestock!Z67,Livestock!Z95,Livestock!Z123,Livestock!Z149)</f>
        <v>0</v>
      </c>
      <c r="AE61" s="2107">
        <f ca="1">SUM(Livestock!AA13,Livestock!AA67,Livestock!AA95,Livestock!AA123,Livestock!AA149)</f>
        <v>0</v>
      </c>
      <c r="AF61" s="1841"/>
      <c r="AG61" s="1816">
        <f t="shared" ca="1" si="2"/>
        <v>0</v>
      </c>
      <c r="AH61" s="2078"/>
      <c r="AZ61" s="1782"/>
      <c r="BA61" s="1782" t="str">
        <f t="shared" si="3"/>
        <v>Please select</v>
      </c>
      <c r="BB61" s="1782" t="str">
        <f t="shared" si="4"/>
        <v>Please select</v>
      </c>
      <c r="BC61" s="2338">
        <f>Livestock!D13</f>
        <v>0</v>
      </c>
      <c r="BD61" s="2351"/>
      <c r="BE61" s="2352"/>
      <c r="BF61" s="2353"/>
      <c r="BG61" s="1782"/>
      <c r="BH61" s="2339">
        <f ca="1">Livestock!I67/100</f>
        <v>0</v>
      </c>
      <c r="BI61" s="2354"/>
      <c r="BJ61" s="2355"/>
      <c r="BK61" s="2356"/>
      <c r="BL61" s="1782"/>
      <c r="BM61" s="2340">
        <f ca="1">Livestock!P67</f>
        <v>0</v>
      </c>
      <c r="BN61" s="2357"/>
      <c r="BO61" s="2358"/>
      <c r="BP61" s="2359"/>
      <c r="BQ61" s="1782"/>
      <c r="BR61" s="2340">
        <f ca="1">Livestock!P95</f>
        <v>0</v>
      </c>
      <c r="BS61" s="2357"/>
      <c r="BT61" s="2358"/>
      <c r="BU61" s="2359"/>
      <c r="BV61" s="1782"/>
      <c r="BW61" s="2360" t="s">
        <v>57</v>
      </c>
      <c r="BX61" s="1782"/>
      <c r="BY61" s="2341">
        <f ca="1">IF(Livestock!N67=0, Livestock!Q67, Livestock!N67)</f>
        <v>0</v>
      </c>
      <c r="BZ61" s="2361"/>
      <c r="CA61" s="1782"/>
      <c r="CB61" s="2341">
        <f ca="1">IF(Livestock!N95=0, Livestock!Q95,Livestock!N95)</f>
        <v>0</v>
      </c>
      <c r="CC61" s="2361"/>
      <c r="CD61" s="1782"/>
      <c r="CF61" s="4363">
        <v>1</v>
      </c>
      <c r="CG61" s="4364"/>
      <c r="CH61" s="1996"/>
    </row>
    <row r="62" spans="2:86" ht="16" x14ac:dyDescent="0.2">
      <c r="B62" s="2321"/>
      <c r="C62" s="2078"/>
      <c r="D62" s="1806" t="str">
        <f>Languages!B248</f>
        <v>Livestock system #7</v>
      </c>
      <c r="E62" s="2174"/>
      <c r="F62" s="2174"/>
      <c r="G62" s="2174"/>
      <c r="H62" s="1781"/>
      <c r="I62" s="2131" t="s">
        <v>57</v>
      </c>
      <c r="J62" s="2043"/>
      <c r="K62" s="2131" t="s">
        <v>57</v>
      </c>
      <c r="L62" s="1827"/>
      <c r="M62" s="1781"/>
      <c r="N62" s="1781"/>
      <c r="O62" s="1781"/>
      <c r="P62" s="1781"/>
      <c r="Q62" s="1781"/>
      <c r="R62" s="1781"/>
      <c r="S62" s="4266"/>
      <c r="T62" s="4267"/>
      <c r="U62" s="4268"/>
      <c r="V62" s="1827"/>
      <c r="W62" s="2102">
        <v>0</v>
      </c>
      <c r="X62" s="2103">
        <v>0</v>
      </c>
      <c r="Y62" s="2104" t="s">
        <v>86</v>
      </c>
      <c r="Z62" s="2103">
        <v>0</v>
      </c>
      <c r="AA62" s="2104" t="s">
        <v>86</v>
      </c>
      <c r="AB62" s="1781"/>
      <c r="AC62" s="1781"/>
      <c r="AD62" s="2107">
        <f ca="1">SUM(Livestock!Z14,Livestock!Z68,Livestock!Z96,Livestock!Z124,Livestock!Z150)</f>
        <v>0</v>
      </c>
      <c r="AE62" s="2107">
        <f ca="1">SUM(Livestock!AA14,Livestock!AA68,Livestock!AA96,Livestock!AA124,Livestock!AA150)</f>
        <v>0</v>
      </c>
      <c r="AF62" s="1841"/>
      <c r="AG62" s="1816">
        <f t="shared" ca="1" si="2"/>
        <v>0</v>
      </c>
      <c r="AH62" s="2078"/>
      <c r="AZ62" s="1782"/>
      <c r="BA62" s="1782" t="str">
        <f t="shared" si="3"/>
        <v>Please select</v>
      </c>
      <c r="BB62" s="1782" t="str">
        <f t="shared" si="4"/>
        <v>Please select</v>
      </c>
      <c r="BC62" s="2338">
        <f>Livestock!D14</f>
        <v>0</v>
      </c>
      <c r="BD62" s="2351"/>
      <c r="BE62" s="2352"/>
      <c r="BF62" s="2353"/>
      <c r="BG62" s="1782"/>
      <c r="BH62" s="2339">
        <f ca="1">Livestock!I68/100</f>
        <v>0</v>
      </c>
      <c r="BI62" s="2354"/>
      <c r="BJ62" s="2355"/>
      <c r="BK62" s="2356"/>
      <c r="BL62" s="1782"/>
      <c r="BM62" s="2340">
        <f ca="1">Livestock!P68</f>
        <v>0</v>
      </c>
      <c r="BN62" s="2357"/>
      <c r="BO62" s="2358"/>
      <c r="BP62" s="2359"/>
      <c r="BQ62" s="1782"/>
      <c r="BR62" s="2340">
        <f ca="1">Livestock!P96</f>
        <v>0</v>
      </c>
      <c r="BS62" s="2357"/>
      <c r="BT62" s="2358"/>
      <c r="BU62" s="2359"/>
      <c r="BV62" s="1782"/>
      <c r="BW62" s="2360" t="s">
        <v>57</v>
      </c>
      <c r="BX62" s="1782"/>
      <c r="BY62" s="2341">
        <f ca="1">IF(Livestock!N68=0, Livestock!Q68, Livestock!N68)</f>
        <v>0</v>
      </c>
      <c r="BZ62" s="2361"/>
      <c r="CA62" s="1782"/>
      <c r="CB62" s="2341">
        <f ca="1">IF(Livestock!N96=0, Livestock!Q96,Livestock!N96)</f>
        <v>0</v>
      </c>
      <c r="CC62" s="2361"/>
      <c r="CD62" s="1782"/>
      <c r="CF62" s="4363">
        <v>1</v>
      </c>
      <c r="CG62" s="4364"/>
      <c r="CH62" s="1996"/>
    </row>
    <row r="63" spans="2:86" ht="16" x14ac:dyDescent="0.2">
      <c r="B63" s="2078"/>
      <c r="C63" s="2078"/>
      <c r="D63" s="1806" t="str">
        <f>Languages!B249</f>
        <v>Livestock system #8</v>
      </c>
      <c r="E63" s="2174"/>
      <c r="F63" s="2174"/>
      <c r="G63" s="2174"/>
      <c r="H63" s="1781"/>
      <c r="I63" s="2131" t="s">
        <v>57</v>
      </c>
      <c r="J63" s="2043"/>
      <c r="K63" s="2131" t="s">
        <v>57</v>
      </c>
      <c r="L63" s="1827"/>
      <c r="M63" s="1781"/>
      <c r="N63" s="1781"/>
      <c r="O63" s="1781"/>
      <c r="P63" s="1781"/>
      <c r="Q63" s="1781"/>
      <c r="R63" s="1781"/>
      <c r="S63" s="4266"/>
      <c r="T63" s="4267"/>
      <c r="U63" s="4268"/>
      <c r="V63" s="1827"/>
      <c r="W63" s="2102">
        <v>0</v>
      </c>
      <c r="X63" s="2103">
        <v>0</v>
      </c>
      <c r="Y63" s="2104" t="s">
        <v>86</v>
      </c>
      <c r="Z63" s="2103">
        <v>0</v>
      </c>
      <c r="AA63" s="2104" t="s">
        <v>86</v>
      </c>
      <c r="AB63" s="1781"/>
      <c r="AC63" s="1781"/>
      <c r="AD63" s="2107">
        <f ca="1">SUM(Livestock!Z15,Livestock!Z69,Livestock!Z97,Livestock!Z125,Livestock!Z151)</f>
        <v>0</v>
      </c>
      <c r="AE63" s="2107">
        <f ca="1">SUM(Livestock!AA15,Livestock!AA69,Livestock!AA97,Livestock!AA125,Livestock!AA151)</f>
        <v>0</v>
      </c>
      <c r="AF63" s="1841"/>
      <c r="AG63" s="1816">
        <f t="shared" ca="1" si="2"/>
        <v>0</v>
      </c>
      <c r="AH63" s="2078"/>
      <c r="AZ63" s="1782"/>
      <c r="BA63" s="1782" t="str">
        <f t="shared" si="3"/>
        <v>Please select</v>
      </c>
      <c r="BB63" s="1782" t="str">
        <f t="shared" si="4"/>
        <v>Please select</v>
      </c>
      <c r="BC63" s="2338">
        <f>Livestock!D15</f>
        <v>0</v>
      </c>
      <c r="BD63" s="2351"/>
      <c r="BE63" s="2352"/>
      <c r="BF63" s="2353"/>
      <c r="BG63" s="1782"/>
      <c r="BH63" s="2339">
        <f ca="1">Livestock!I69/100</f>
        <v>0</v>
      </c>
      <c r="BI63" s="2354"/>
      <c r="BJ63" s="2355"/>
      <c r="BK63" s="2356"/>
      <c r="BL63" s="1782"/>
      <c r="BM63" s="2340">
        <f ca="1">Livestock!P69</f>
        <v>0</v>
      </c>
      <c r="BN63" s="2357"/>
      <c r="BO63" s="2358"/>
      <c r="BP63" s="2359"/>
      <c r="BQ63" s="1782"/>
      <c r="BR63" s="2340">
        <f ca="1">Livestock!P97</f>
        <v>0</v>
      </c>
      <c r="BS63" s="2357"/>
      <c r="BT63" s="2358"/>
      <c r="BU63" s="2359"/>
      <c r="BV63" s="1782"/>
      <c r="BW63" s="2360" t="s">
        <v>57</v>
      </c>
      <c r="BX63" s="1782"/>
      <c r="BY63" s="2341">
        <f ca="1">IF(Livestock!N69=0, Livestock!Q69, Livestock!N69)</f>
        <v>0</v>
      </c>
      <c r="BZ63" s="2361"/>
      <c r="CA63" s="1782"/>
      <c r="CB63" s="2341">
        <f ca="1">IF(Livestock!N97=0, Livestock!Q97,Livestock!N97)</f>
        <v>0</v>
      </c>
      <c r="CC63" s="2361"/>
      <c r="CD63" s="1782"/>
      <c r="CF63" s="4363">
        <v>1</v>
      </c>
      <c r="CG63" s="4364"/>
      <c r="CH63" s="1996"/>
    </row>
    <row r="64" spans="2:86" ht="16" x14ac:dyDescent="0.2">
      <c r="B64" s="2078"/>
      <c r="C64" s="2078"/>
      <c r="D64" s="1806" t="str">
        <f>Languages!B250</f>
        <v>Livestock system #9</v>
      </c>
      <c r="E64" s="2174"/>
      <c r="F64" s="2174"/>
      <c r="G64" s="2174"/>
      <c r="H64" s="1781"/>
      <c r="I64" s="2131" t="s">
        <v>57</v>
      </c>
      <c r="J64" s="2043"/>
      <c r="K64" s="2131" t="s">
        <v>57</v>
      </c>
      <c r="L64" s="1827"/>
      <c r="M64" s="1781"/>
      <c r="N64" s="1781"/>
      <c r="O64" s="1781"/>
      <c r="P64" s="1781"/>
      <c r="Q64" s="1781"/>
      <c r="R64" s="1781"/>
      <c r="S64" s="4266"/>
      <c r="T64" s="4267"/>
      <c r="U64" s="4268"/>
      <c r="V64" s="1827"/>
      <c r="W64" s="2102">
        <v>0</v>
      </c>
      <c r="X64" s="2103">
        <v>0</v>
      </c>
      <c r="Y64" s="2104" t="s">
        <v>86</v>
      </c>
      <c r="Z64" s="2103">
        <v>0</v>
      </c>
      <c r="AA64" s="2104" t="s">
        <v>86</v>
      </c>
      <c r="AB64" s="1781"/>
      <c r="AC64" s="1781"/>
      <c r="AD64" s="2107">
        <f ca="1">SUM(Livestock!Z16,Livestock!Z70,Livestock!Z98,Livestock!Z126,Livestock!Z152)</f>
        <v>0</v>
      </c>
      <c r="AE64" s="2107">
        <f ca="1">SUM(Livestock!AA16,Livestock!AA70,Livestock!AA98,Livestock!AA126,Livestock!AA152)</f>
        <v>0</v>
      </c>
      <c r="AF64" s="1841"/>
      <c r="AG64" s="1816">
        <f t="shared" ca="1" si="2"/>
        <v>0</v>
      </c>
      <c r="AH64" s="2078"/>
      <c r="AZ64" s="1782"/>
      <c r="BA64" s="1782" t="str">
        <f t="shared" si="3"/>
        <v>Please select</v>
      </c>
      <c r="BB64" s="1782" t="str">
        <f t="shared" si="4"/>
        <v>Please select</v>
      </c>
      <c r="BC64" s="2338">
        <f>Livestock!D16</f>
        <v>0</v>
      </c>
      <c r="BD64" s="2351"/>
      <c r="BE64" s="2352"/>
      <c r="BF64" s="2353"/>
      <c r="BG64" s="1782"/>
      <c r="BH64" s="2339">
        <f ca="1">Livestock!I70/100</f>
        <v>0</v>
      </c>
      <c r="BI64" s="2354"/>
      <c r="BJ64" s="2355"/>
      <c r="BK64" s="2356"/>
      <c r="BL64" s="1782"/>
      <c r="BM64" s="2340">
        <f ca="1">Livestock!P70</f>
        <v>0</v>
      </c>
      <c r="BN64" s="2357"/>
      <c r="BO64" s="2358"/>
      <c r="BP64" s="2359"/>
      <c r="BQ64" s="1782"/>
      <c r="BR64" s="2340">
        <f ca="1">Livestock!P98</f>
        <v>0</v>
      </c>
      <c r="BS64" s="2357"/>
      <c r="BT64" s="2358"/>
      <c r="BU64" s="2359"/>
      <c r="BV64" s="1782"/>
      <c r="BW64" s="2360" t="s">
        <v>57</v>
      </c>
      <c r="BX64" s="1782"/>
      <c r="BY64" s="2341">
        <f ca="1">IF(Livestock!N70=0, Livestock!Q70, Livestock!N70)</f>
        <v>0</v>
      </c>
      <c r="BZ64" s="2361"/>
      <c r="CA64" s="1782"/>
      <c r="CB64" s="2341">
        <f ca="1">IF(Livestock!N98=0, Livestock!Q98,Livestock!N98)</f>
        <v>0</v>
      </c>
      <c r="CC64" s="2361"/>
      <c r="CD64" s="1782"/>
      <c r="CF64" s="4363">
        <v>1</v>
      </c>
      <c r="CG64" s="4364"/>
      <c r="CH64" s="1996"/>
    </row>
    <row r="65" spans="2:86" ht="16" x14ac:dyDescent="0.2">
      <c r="B65" s="2321"/>
      <c r="C65" s="2078"/>
      <c r="D65" s="1806" t="str">
        <f>Languages!B251</f>
        <v>Livestock system #10</v>
      </c>
      <c r="E65" s="2174"/>
      <c r="F65" s="2174"/>
      <c r="G65" s="2174"/>
      <c r="H65" s="1781"/>
      <c r="I65" s="2131" t="s">
        <v>57</v>
      </c>
      <c r="J65" s="2043"/>
      <c r="K65" s="2131" t="s">
        <v>57</v>
      </c>
      <c r="L65" s="1827"/>
      <c r="M65" s="1781"/>
      <c r="N65" s="1781"/>
      <c r="O65" s="1781"/>
      <c r="P65" s="1781"/>
      <c r="Q65" s="1781"/>
      <c r="R65" s="1781"/>
      <c r="S65" s="4266"/>
      <c r="T65" s="4267"/>
      <c r="U65" s="4268"/>
      <c r="V65" s="1827"/>
      <c r="W65" s="2102">
        <v>0</v>
      </c>
      <c r="X65" s="2103">
        <v>0</v>
      </c>
      <c r="Y65" s="2104" t="s">
        <v>86</v>
      </c>
      <c r="Z65" s="2103">
        <v>0</v>
      </c>
      <c r="AA65" s="2104" t="s">
        <v>86</v>
      </c>
      <c r="AB65" s="1781"/>
      <c r="AC65" s="1781"/>
      <c r="AD65" s="2107">
        <f ca="1">SUM(Livestock!Z17,Livestock!Z71,Livestock!Z99,Livestock!Z127,Livestock!Z153)</f>
        <v>0</v>
      </c>
      <c r="AE65" s="2107">
        <f ca="1">SUM(Livestock!AA17,Livestock!AA71,Livestock!AA99,Livestock!AA127,Livestock!AA153)</f>
        <v>0</v>
      </c>
      <c r="AF65" s="1841"/>
      <c r="AG65" s="1816">
        <f t="shared" ca="1" si="2"/>
        <v>0</v>
      </c>
      <c r="AH65" s="2078"/>
      <c r="AZ65" s="1782"/>
      <c r="BA65" s="1782" t="str">
        <f t="shared" si="3"/>
        <v>Please select</v>
      </c>
      <c r="BB65" s="1782" t="str">
        <f t="shared" si="4"/>
        <v>Please select</v>
      </c>
      <c r="BC65" s="2338">
        <f>Livestock!D17</f>
        <v>0</v>
      </c>
      <c r="BD65" s="2351"/>
      <c r="BE65" s="2352"/>
      <c r="BF65" s="2353"/>
      <c r="BG65" s="1782"/>
      <c r="BH65" s="2339">
        <f ca="1">Livestock!I71/100</f>
        <v>0</v>
      </c>
      <c r="BI65" s="2354"/>
      <c r="BJ65" s="2355"/>
      <c r="BK65" s="2356"/>
      <c r="BL65" s="1782"/>
      <c r="BM65" s="2340">
        <f ca="1">Livestock!P71</f>
        <v>0</v>
      </c>
      <c r="BN65" s="2357"/>
      <c r="BO65" s="2358"/>
      <c r="BP65" s="2359"/>
      <c r="BQ65" s="1782"/>
      <c r="BR65" s="2340">
        <f ca="1">Livestock!P99</f>
        <v>0</v>
      </c>
      <c r="BS65" s="2357"/>
      <c r="BT65" s="2358"/>
      <c r="BU65" s="2359"/>
      <c r="BV65" s="1782"/>
      <c r="BW65" s="2360" t="s">
        <v>57</v>
      </c>
      <c r="BX65" s="1782"/>
      <c r="BY65" s="2341">
        <f ca="1">IF(Livestock!N71=0, Livestock!Q71, Livestock!N71)</f>
        <v>0</v>
      </c>
      <c r="BZ65" s="2361"/>
      <c r="CA65" s="1782"/>
      <c r="CB65" s="2341">
        <f ca="1">IF(Livestock!N99=0, Livestock!Q99,Livestock!N99)</f>
        <v>0</v>
      </c>
      <c r="CC65" s="2361"/>
      <c r="CD65" s="1782"/>
      <c r="CF65" s="4363">
        <v>1</v>
      </c>
      <c r="CG65" s="4364"/>
      <c r="CH65" s="1996"/>
    </row>
    <row r="66" spans="2:86" ht="16" x14ac:dyDescent="0.2">
      <c r="B66" s="2078"/>
      <c r="C66" s="2078"/>
      <c r="D66" s="1806" t="str">
        <f>Languages!B252</f>
        <v>Livestock system #11</v>
      </c>
      <c r="E66" s="2174"/>
      <c r="F66" s="2174"/>
      <c r="G66" s="2174"/>
      <c r="H66" s="1781"/>
      <c r="I66" s="2131" t="s">
        <v>57</v>
      </c>
      <c r="J66" s="2043"/>
      <c r="K66" s="2131" t="s">
        <v>57</v>
      </c>
      <c r="L66" s="1827"/>
      <c r="M66" s="1781"/>
      <c r="N66" s="1781"/>
      <c r="O66" s="1781"/>
      <c r="P66" s="1781"/>
      <c r="Q66" s="1781"/>
      <c r="R66" s="1781"/>
      <c r="S66" s="4266"/>
      <c r="T66" s="4267"/>
      <c r="U66" s="4268"/>
      <c r="V66" s="1827"/>
      <c r="W66" s="2102">
        <v>0</v>
      </c>
      <c r="X66" s="2103">
        <v>0</v>
      </c>
      <c r="Y66" s="2104" t="s">
        <v>86</v>
      </c>
      <c r="Z66" s="2103">
        <v>0</v>
      </c>
      <c r="AA66" s="2104" t="s">
        <v>86</v>
      </c>
      <c r="AB66" s="1781"/>
      <c r="AC66" s="1781"/>
      <c r="AD66" s="2107">
        <f ca="1">SUM(Livestock!Z18,Livestock!Z72,Livestock!Z100,Livestock!Z128,Livestock!Z154)</f>
        <v>0</v>
      </c>
      <c r="AE66" s="2107">
        <f ca="1">SUM(Livestock!AA18,Livestock!AA72,Livestock!AA100,Livestock!AA128,Livestock!AA154)</f>
        <v>0</v>
      </c>
      <c r="AF66" s="1841"/>
      <c r="AG66" s="1816">
        <f t="shared" ca="1" si="2"/>
        <v>0</v>
      </c>
      <c r="AH66" s="2078"/>
      <c r="AZ66" s="1782"/>
      <c r="BA66" s="1782" t="str">
        <f t="shared" si="3"/>
        <v>Please select</v>
      </c>
      <c r="BB66" s="1782" t="str">
        <f t="shared" si="4"/>
        <v>Please select</v>
      </c>
      <c r="BC66" s="2338">
        <f>Livestock!D18</f>
        <v>0</v>
      </c>
      <c r="BD66" s="2351"/>
      <c r="BE66" s="2352"/>
      <c r="BF66" s="2353"/>
      <c r="BG66" s="1782"/>
      <c r="BH66" s="2339">
        <f ca="1">Livestock!I72/100</f>
        <v>0</v>
      </c>
      <c r="BI66" s="2354"/>
      <c r="BJ66" s="2355"/>
      <c r="BK66" s="2356"/>
      <c r="BL66" s="1782"/>
      <c r="BM66" s="2340">
        <f ca="1">Livestock!P72</f>
        <v>0</v>
      </c>
      <c r="BN66" s="2357"/>
      <c r="BO66" s="2358"/>
      <c r="BP66" s="2359"/>
      <c r="BQ66" s="1782"/>
      <c r="BR66" s="2340">
        <f ca="1">Livestock!P100</f>
        <v>0</v>
      </c>
      <c r="BS66" s="2357"/>
      <c r="BT66" s="2358"/>
      <c r="BU66" s="2359"/>
      <c r="BV66" s="1782"/>
      <c r="BW66" s="2360" t="s">
        <v>57</v>
      </c>
      <c r="BX66" s="1782"/>
      <c r="BY66" s="2341">
        <f ca="1">IF(Livestock!N72=0, Livestock!Q72, Livestock!N72)</f>
        <v>0</v>
      </c>
      <c r="BZ66" s="2361"/>
      <c r="CA66" s="1782"/>
      <c r="CB66" s="2341">
        <f ca="1">IF(Livestock!N100=0, Livestock!Q100,Livestock!N100)</f>
        <v>0</v>
      </c>
      <c r="CC66" s="2361"/>
      <c r="CD66" s="1782"/>
      <c r="CF66" s="4363">
        <v>1</v>
      </c>
      <c r="CG66" s="4364"/>
      <c r="CH66" s="1996"/>
    </row>
    <row r="67" spans="2:86" ht="16" x14ac:dyDescent="0.2">
      <c r="B67" s="2078"/>
      <c r="C67" s="2078"/>
      <c r="D67" s="1806" t="str">
        <f>Languages!B253</f>
        <v>Livestock system #12</v>
      </c>
      <c r="E67" s="2174"/>
      <c r="F67" s="2174"/>
      <c r="G67" s="2174"/>
      <c r="H67" s="1781"/>
      <c r="I67" s="2131" t="s">
        <v>57</v>
      </c>
      <c r="J67" s="2043"/>
      <c r="K67" s="2131" t="s">
        <v>57</v>
      </c>
      <c r="L67" s="1827"/>
      <c r="M67" s="1781"/>
      <c r="N67" s="1781"/>
      <c r="O67" s="1781"/>
      <c r="P67" s="1781"/>
      <c r="Q67" s="1781"/>
      <c r="R67" s="1781"/>
      <c r="S67" s="4266"/>
      <c r="T67" s="4267"/>
      <c r="U67" s="4268"/>
      <c r="V67" s="1827"/>
      <c r="W67" s="2102">
        <v>0</v>
      </c>
      <c r="X67" s="2103">
        <v>0</v>
      </c>
      <c r="Y67" s="2104" t="s">
        <v>86</v>
      </c>
      <c r="Z67" s="2103">
        <v>0</v>
      </c>
      <c r="AA67" s="2104" t="s">
        <v>86</v>
      </c>
      <c r="AB67" s="1781"/>
      <c r="AC67" s="1781"/>
      <c r="AD67" s="2107">
        <f ca="1">SUM(Livestock!Z19,Livestock!Z73,Livestock!Z101,Livestock!Z129,Livestock!Z155)</f>
        <v>0</v>
      </c>
      <c r="AE67" s="2107">
        <f ca="1">SUM(Livestock!AA19,Livestock!AA73,Livestock!AA101,Livestock!AA129,Livestock!AA155)</f>
        <v>0</v>
      </c>
      <c r="AF67" s="1827"/>
      <c r="AG67" s="1816">
        <f t="shared" ca="1" si="2"/>
        <v>0</v>
      </c>
      <c r="AH67" s="2078"/>
      <c r="AZ67" s="1782"/>
      <c r="BA67" s="1782" t="str">
        <f t="shared" si="3"/>
        <v>Please select</v>
      </c>
      <c r="BB67" s="1782" t="str">
        <f t="shared" si="4"/>
        <v>Please select</v>
      </c>
      <c r="BC67" s="2338">
        <f>Livestock!D19</f>
        <v>0</v>
      </c>
      <c r="BD67" s="2351"/>
      <c r="BE67" s="2352"/>
      <c r="BF67" s="2353"/>
      <c r="BG67" s="1782"/>
      <c r="BH67" s="2339">
        <f ca="1">Livestock!I73/100</f>
        <v>0</v>
      </c>
      <c r="BI67" s="2354"/>
      <c r="BJ67" s="2355"/>
      <c r="BK67" s="2356"/>
      <c r="BL67" s="1782"/>
      <c r="BM67" s="2340">
        <f ca="1">Livestock!P73</f>
        <v>0</v>
      </c>
      <c r="BN67" s="2357"/>
      <c r="BO67" s="2358"/>
      <c r="BP67" s="2359"/>
      <c r="BQ67" s="1782"/>
      <c r="BR67" s="2340">
        <f ca="1">Livestock!P101</f>
        <v>0</v>
      </c>
      <c r="BS67" s="2357"/>
      <c r="BT67" s="2358"/>
      <c r="BU67" s="2359"/>
      <c r="BV67" s="1782"/>
      <c r="BW67" s="2360" t="s">
        <v>57</v>
      </c>
      <c r="BX67" s="1782"/>
      <c r="BY67" s="2341">
        <f ca="1">IF(Livestock!N73=0, Livestock!Q73, Livestock!N73)</f>
        <v>0</v>
      </c>
      <c r="BZ67" s="2361"/>
      <c r="CA67" s="1782"/>
      <c r="CB67" s="2341">
        <f ca="1">IF(Livestock!N101=0, Livestock!Q101,Livestock!N101)</f>
        <v>0</v>
      </c>
      <c r="CC67" s="2361"/>
      <c r="CD67" s="1782"/>
      <c r="CF67" s="4363">
        <v>1</v>
      </c>
      <c r="CG67" s="4364"/>
      <c r="CH67" s="1996"/>
    </row>
    <row r="68" spans="2:86" ht="16" x14ac:dyDescent="0.2">
      <c r="B68" s="2321"/>
      <c r="C68" s="2078"/>
      <c r="D68" s="1806" t="str">
        <f>Languages!B254</f>
        <v>Livestock system #13</v>
      </c>
      <c r="E68" s="2174"/>
      <c r="F68" s="2174"/>
      <c r="G68" s="2174"/>
      <c r="H68" s="1781"/>
      <c r="I68" s="2131" t="s">
        <v>57</v>
      </c>
      <c r="J68" s="2043"/>
      <c r="K68" s="2131" t="s">
        <v>57</v>
      </c>
      <c r="L68" s="1827"/>
      <c r="M68" s="1781"/>
      <c r="N68" s="1781"/>
      <c r="O68" s="1781"/>
      <c r="P68" s="1781"/>
      <c r="Q68" s="1781"/>
      <c r="R68" s="1781"/>
      <c r="S68" s="4266"/>
      <c r="T68" s="4267"/>
      <c r="U68" s="4268"/>
      <c r="V68" s="1827"/>
      <c r="W68" s="2102">
        <v>0</v>
      </c>
      <c r="X68" s="2103">
        <v>0</v>
      </c>
      <c r="Y68" s="2104" t="s">
        <v>86</v>
      </c>
      <c r="Z68" s="2103">
        <v>0</v>
      </c>
      <c r="AA68" s="2104" t="s">
        <v>86</v>
      </c>
      <c r="AB68" s="1951"/>
      <c r="AC68" s="1951"/>
      <c r="AD68" s="2107">
        <f ca="1">SUM(Livestock!Z20,Livestock!Z74,Livestock!Z102,Livestock!Z130,Livestock!Z156)</f>
        <v>0</v>
      </c>
      <c r="AE68" s="2107">
        <f ca="1">SUM(Livestock!AA20,Livestock!AA74,Livestock!AA102,Livestock!AA130,Livestock!AA156)</f>
        <v>0</v>
      </c>
      <c r="AF68" s="1951"/>
      <c r="AG68" s="1816">
        <f t="shared" ca="1" si="2"/>
        <v>0</v>
      </c>
      <c r="AH68" s="2078"/>
      <c r="AZ68" s="1782"/>
      <c r="BA68" s="1782" t="str">
        <f t="shared" si="3"/>
        <v>Please select</v>
      </c>
      <c r="BB68" s="1782" t="str">
        <f t="shared" si="4"/>
        <v>Please select</v>
      </c>
      <c r="BC68" s="2338">
        <f>Livestock!D20</f>
        <v>0</v>
      </c>
      <c r="BD68" s="2351"/>
      <c r="BE68" s="2352"/>
      <c r="BF68" s="2353"/>
      <c r="BG68" s="1782"/>
      <c r="BH68" s="2339">
        <f ca="1">Livestock!I74/100</f>
        <v>0</v>
      </c>
      <c r="BI68" s="2354"/>
      <c r="BJ68" s="2355"/>
      <c r="BK68" s="2356"/>
      <c r="BL68" s="1782"/>
      <c r="BM68" s="2340">
        <f ca="1">Livestock!P74</f>
        <v>0</v>
      </c>
      <c r="BN68" s="2357"/>
      <c r="BO68" s="2358"/>
      <c r="BP68" s="2359"/>
      <c r="BQ68" s="1782"/>
      <c r="BR68" s="2340">
        <f ca="1">Livestock!P102</f>
        <v>0</v>
      </c>
      <c r="BS68" s="2357"/>
      <c r="BT68" s="2358"/>
      <c r="BU68" s="2359"/>
      <c r="BV68" s="1782"/>
      <c r="BW68" s="2360" t="s">
        <v>57</v>
      </c>
      <c r="BX68" s="1782"/>
      <c r="BY68" s="2341">
        <f ca="1">IF(Livestock!N74=0, Livestock!Q74, Livestock!N74)</f>
        <v>0</v>
      </c>
      <c r="BZ68" s="2361"/>
      <c r="CA68" s="1782"/>
      <c r="CB68" s="2341">
        <f ca="1">IF(Livestock!N102=0, Livestock!Q102,Livestock!N102)</f>
        <v>0</v>
      </c>
      <c r="CC68" s="2361"/>
      <c r="CD68" s="1782"/>
      <c r="CF68" s="4363">
        <v>1</v>
      </c>
      <c r="CG68" s="4364"/>
      <c r="CH68" s="1782"/>
    </row>
    <row r="69" spans="2:86" ht="16" x14ac:dyDescent="0.2">
      <c r="B69" s="2078"/>
      <c r="C69" s="2078"/>
      <c r="D69" s="1806" t="str">
        <f>Languages!B255</f>
        <v>Livestock system #14</v>
      </c>
      <c r="E69" s="2174"/>
      <c r="F69" s="2174"/>
      <c r="G69" s="2174"/>
      <c r="H69" s="1781"/>
      <c r="I69" s="2131" t="s">
        <v>57</v>
      </c>
      <c r="J69" s="2043"/>
      <c r="K69" s="2131" t="s">
        <v>57</v>
      </c>
      <c r="L69" s="1827"/>
      <c r="M69" s="1781"/>
      <c r="N69" s="1781"/>
      <c r="O69" s="1781"/>
      <c r="P69" s="1781"/>
      <c r="Q69" s="1781"/>
      <c r="R69" s="1781"/>
      <c r="S69" s="4266"/>
      <c r="T69" s="4267"/>
      <c r="U69" s="4268"/>
      <c r="V69" s="1827"/>
      <c r="W69" s="2102">
        <v>0</v>
      </c>
      <c r="X69" s="2103">
        <v>0</v>
      </c>
      <c r="Y69" s="2104" t="s">
        <v>86</v>
      </c>
      <c r="Z69" s="2103">
        <v>0</v>
      </c>
      <c r="AA69" s="2104" t="s">
        <v>86</v>
      </c>
      <c r="AB69" s="1951"/>
      <c r="AC69" s="1951"/>
      <c r="AD69" s="2107">
        <f ca="1">SUM(Livestock!Z21,Livestock!Z75,Livestock!Z103,Livestock!Z131,Livestock!Z157)</f>
        <v>0</v>
      </c>
      <c r="AE69" s="2107">
        <f ca="1">SUM(Livestock!AA21,Livestock!AA75,Livestock!AA103,Livestock!AA131,Livestock!AA157)</f>
        <v>0</v>
      </c>
      <c r="AF69" s="1951"/>
      <c r="AG69" s="1816">
        <f t="shared" ca="1" si="2"/>
        <v>0</v>
      </c>
      <c r="AH69" s="2078"/>
      <c r="AZ69" s="1782"/>
      <c r="BA69" s="1782" t="str">
        <f t="shared" si="3"/>
        <v>Please select</v>
      </c>
      <c r="BB69" s="1782" t="str">
        <f t="shared" si="4"/>
        <v>Please select</v>
      </c>
      <c r="BC69" s="2338">
        <f>Livestock!D21</f>
        <v>0</v>
      </c>
      <c r="BD69" s="2351"/>
      <c r="BE69" s="2352"/>
      <c r="BF69" s="2353"/>
      <c r="BG69" s="1782"/>
      <c r="BH69" s="2339">
        <f ca="1">Livestock!I75/100</f>
        <v>0</v>
      </c>
      <c r="BI69" s="2354"/>
      <c r="BJ69" s="2355"/>
      <c r="BK69" s="2356"/>
      <c r="BL69" s="1782"/>
      <c r="BM69" s="2340">
        <f ca="1">Livestock!P75</f>
        <v>0</v>
      </c>
      <c r="BN69" s="2357"/>
      <c r="BO69" s="2358"/>
      <c r="BP69" s="2359"/>
      <c r="BQ69" s="1782"/>
      <c r="BR69" s="2340">
        <f ca="1">Livestock!P103</f>
        <v>0</v>
      </c>
      <c r="BS69" s="2357"/>
      <c r="BT69" s="2358"/>
      <c r="BU69" s="2359"/>
      <c r="BV69" s="1782"/>
      <c r="BW69" s="2360" t="s">
        <v>57</v>
      </c>
      <c r="BX69" s="1782"/>
      <c r="BY69" s="2341">
        <f ca="1">IF(Livestock!N75=0, Livestock!Q75, Livestock!N75)</f>
        <v>0</v>
      </c>
      <c r="BZ69" s="2361"/>
      <c r="CA69" s="1782"/>
      <c r="CB69" s="2341">
        <f ca="1">IF(Livestock!N103=0, Livestock!Q103,Livestock!N103)</f>
        <v>0</v>
      </c>
      <c r="CC69" s="2361"/>
      <c r="CD69" s="1782"/>
      <c r="CF69" s="4363">
        <v>1</v>
      </c>
      <c r="CG69" s="4364"/>
      <c r="CH69" s="1782"/>
    </row>
    <row r="70" spans="2:86" ht="16" x14ac:dyDescent="0.2">
      <c r="B70" s="2078"/>
      <c r="C70" s="2078"/>
      <c r="D70" s="1806" t="str">
        <f>Languages!B256</f>
        <v>Livestock system #15</v>
      </c>
      <c r="E70" s="2174"/>
      <c r="F70" s="2174"/>
      <c r="G70" s="2174"/>
      <c r="H70" s="1781"/>
      <c r="I70" s="2131" t="s">
        <v>57</v>
      </c>
      <c r="J70" s="2043"/>
      <c r="K70" s="2131" t="s">
        <v>57</v>
      </c>
      <c r="L70" s="1827"/>
      <c r="M70" s="1781"/>
      <c r="N70" s="1781"/>
      <c r="O70" s="1781"/>
      <c r="P70" s="1781"/>
      <c r="Q70" s="1781"/>
      <c r="R70" s="1781"/>
      <c r="S70" s="4266"/>
      <c r="T70" s="4267"/>
      <c r="U70" s="4268"/>
      <c r="V70" s="1827"/>
      <c r="W70" s="2102">
        <v>0</v>
      </c>
      <c r="X70" s="2103">
        <v>0</v>
      </c>
      <c r="Y70" s="2104" t="s">
        <v>86</v>
      </c>
      <c r="Z70" s="2103">
        <v>0</v>
      </c>
      <c r="AA70" s="2104" t="s">
        <v>86</v>
      </c>
      <c r="AB70" s="1951"/>
      <c r="AC70" s="1951"/>
      <c r="AD70" s="2107">
        <f ca="1">SUM(Livestock!Z22,Livestock!Z76,Livestock!Z104,Livestock!Z132,Livestock!Z158)</f>
        <v>0</v>
      </c>
      <c r="AE70" s="2107">
        <f ca="1">SUM(Livestock!AA22,Livestock!AA76,Livestock!AA104,Livestock!AA132,Livestock!AA158)</f>
        <v>0</v>
      </c>
      <c r="AF70" s="1951"/>
      <c r="AG70" s="1816">
        <f t="shared" ca="1" si="2"/>
        <v>0</v>
      </c>
      <c r="AH70" s="2078"/>
      <c r="AZ70" s="1782"/>
      <c r="BA70" s="1782" t="str">
        <f t="shared" si="3"/>
        <v>Please select</v>
      </c>
      <c r="BB70" s="1782" t="str">
        <f t="shared" si="4"/>
        <v>Please select</v>
      </c>
      <c r="BC70" s="2338">
        <f>Livestock!D22</f>
        <v>0</v>
      </c>
      <c r="BD70" s="2351"/>
      <c r="BE70" s="2352"/>
      <c r="BF70" s="2353"/>
      <c r="BG70" s="1782"/>
      <c r="BH70" s="2339">
        <f ca="1">Livestock!I76/100</f>
        <v>0</v>
      </c>
      <c r="BI70" s="2354"/>
      <c r="BJ70" s="2355"/>
      <c r="BK70" s="2356"/>
      <c r="BL70" s="1782"/>
      <c r="BM70" s="2340">
        <f ca="1">Livestock!P76</f>
        <v>0</v>
      </c>
      <c r="BN70" s="2357"/>
      <c r="BO70" s="2358"/>
      <c r="BP70" s="2359"/>
      <c r="BQ70" s="1782"/>
      <c r="BR70" s="2340">
        <f ca="1">Livestock!P104</f>
        <v>0</v>
      </c>
      <c r="BS70" s="2357"/>
      <c r="BT70" s="2358"/>
      <c r="BU70" s="2359"/>
      <c r="BV70" s="1782"/>
      <c r="BW70" s="2360" t="s">
        <v>57</v>
      </c>
      <c r="BX70" s="1782"/>
      <c r="BY70" s="2341">
        <f ca="1">IF(Livestock!N76=0, Livestock!Q76, Livestock!N76)</f>
        <v>0</v>
      </c>
      <c r="BZ70" s="2361"/>
      <c r="CA70" s="1782"/>
      <c r="CB70" s="2341">
        <f ca="1">IF(Livestock!N104=0, Livestock!Q104,Livestock!N104)</f>
        <v>0</v>
      </c>
      <c r="CC70" s="2361"/>
      <c r="CD70" s="1782"/>
      <c r="CF70" s="4363">
        <v>1</v>
      </c>
      <c r="CG70" s="4364"/>
      <c r="CH70" s="1782"/>
    </row>
    <row r="71" spans="2:86" ht="16" x14ac:dyDescent="0.2">
      <c r="B71" s="2078"/>
      <c r="C71" s="2082"/>
      <c r="D71" s="1806" t="str">
        <f>Languages!B257</f>
        <v>Livestock system #16</v>
      </c>
      <c r="E71" s="2174"/>
      <c r="F71" s="2174"/>
      <c r="G71" s="2174"/>
      <c r="H71" s="1781"/>
      <c r="I71" s="2131" t="s">
        <v>57</v>
      </c>
      <c r="J71" s="2043"/>
      <c r="K71" s="2131" t="s">
        <v>57</v>
      </c>
      <c r="L71" s="1827"/>
      <c r="M71" s="1781"/>
      <c r="N71" s="1781"/>
      <c r="O71" s="1781"/>
      <c r="P71" s="1781"/>
      <c r="Q71" s="1781"/>
      <c r="R71" s="1781"/>
      <c r="S71" s="4266"/>
      <c r="T71" s="4267"/>
      <c r="U71" s="4268"/>
      <c r="V71" s="1827"/>
      <c r="W71" s="2102">
        <v>0</v>
      </c>
      <c r="X71" s="2103">
        <v>0</v>
      </c>
      <c r="Y71" s="2104" t="s">
        <v>86</v>
      </c>
      <c r="Z71" s="2103">
        <v>0</v>
      </c>
      <c r="AA71" s="2104" t="s">
        <v>86</v>
      </c>
      <c r="AB71" s="1827"/>
      <c r="AC71" s="1827"/>
      <c r="AD71" s="2107">
        <f ca="1">SUM(Livestock!Z23,Livestock!Z77,Livestock!Z105,Livestock!Z133,Livestock!Z159)</f>
        <v>0</v>
      </c>
      <c r="AE71" s="2107">
        <f ca="1">SUM(Livestock!AA23,Livestock!AA77,Livestock!AA105,Livestock!AA133,Livestock!AA159)</f>
        <v>0</v>
      </c>
      <c r="AF71" s="1827"/>
      <c r="AG71" s="1816">
        <f t="shared" ca="1" si="2"/>
        <v>0</v>
      </c>
      <c r="AH71" s="2078"/>
      <c r="AZ71" s="1782"/>
      <c r="BA71" s="1782" t="str">
        <f t="shared" si="3"/>
        <v>Please select</v>
      </c>
      <c r="BB71" s="1782" t="str">
        <f t="shared" si="4"/>
        <v>Please select</v>
      </c>
      <c r="BC71" s="2338">
        <f>Livestock!D23</f>
        <v>0</v>
      </c>
      <c r="BD71" s="2351"/>
      <c r="BE71" s="2352"/>
      <c r="BF71" s="2353"/>
      <c r="BG71" s="1782"/>
      <c r="BH71" s="2339">
        <f ca="1">Livestock!I77/100</f>
        <v>0</v>
      </c>
      <c r="BI71" s="2354"/>
      <c r="BJ71" s="2355"/>
      <c r="BK71" s="2356"/>
      <c r="BL71" s="1782"/>
      <c r="BM71" s="2340">
        <f ca="1">Livestock!P77</f>
        <v>0</v>
      </c>
      <c r="BN71" s="2357"/>
      <c r="BO71" s="2358"/>
      <c r="BP71" s="2359"/>
      <c r="BQ71" s="1782"/>
      <c r="BR71" s="2340">
        <f ca="1">Livestock!P105</f>
        <v>0</v>
      </c>
      <c r="BS71" s="2357"/>
      <c r="BT71" s="2358"/>
      <c r="BU71" s="2359"/>
      <c r="BV71" s="1782"/>
      <c r="BW71" s="2360" t="s">
        <v>57</v>
      </c>
      <c r="BX71" s="1782"/>
      <c r="BY71" s="2341">
        <f ca="1">IF(Livestock!N77=0, Livestock!Q77, Livestock!N77)</f>
        <v>0</v>
      </c>
      <c r="BZ71" s="2361"/>
      <c r="CA71" s="1782"/>
      <c r="CB71" s="2341">
        <f ca="1">IF(Livestock!N105=0, Livestock!Q105,Livestock!N105)</f>
        <v>0</v>
      </c>
      <c r="CC71" s="2361"/>
      <c r="CD71" s="1782"/>
      <c r="CF71" s="4363">
        <v>1</v>
      </c>
      <c r="CG71" s="4364"/>
      <c r="CH71" s="1996"/>
    </row>
    <row r="72" spans="2:86" ht="16" x14ac:dyDescent="0.2">
      <c r="B72" s="2078"/>
      <c r="C72" s="1781"/>
      <c r="D72" s="1806" t="str">
        <f>Languages!B258</f>
        <v>Livestock system #17</v>
      </c>
      <c r="E72" s="2174"/>
      <c r="F72" s="2174"/>
      <c r="G72" s="2174"/>
      <c r="H72" s="1781"/>
      <c r="I72" s="2131" t="s">
        <v>57</v>
      </c>
      <c r="J72" s="2043"/>
      <c r="K72" s="2131" t="s">
        <v>57</v>
      </c>
      <c r="L72" s="1827"/>
      <c r="M72" s="1781"/>
      <c r="N72" s="1781"/>
      <c r="O72" s="1781"/>
      <c r="P72" s="1781"/>
      <c r="Q72" s="1781"/>
      <c r="R72" s="1781"/>
      <c r="S72" s="4266"/>
      <c r="T72" s="4267"/>
      <c r="U72" s="4268"/>
      <c r="V72" s="1827"/>
      <c r="W72" s="2102">
        <v>0</v>
      </c>
      <c r="X72" s="2103">
        <v>0</v>
      </c>
      <c r="Y72" s="2104" t="s">
        <v>86</v>
      </c>
      <c r="Z72" s="2103">
        <v>0</v>
      </c>
      <c r="AA72" s="2104" t="s">
        <v>86</v>
      </c>
      <c r="AB72" s="1827"/>
      <c r="AC72" s="1827"/>
      <c r="AD72" s="2107">
        <f ca="1">SUM(Livestock!Z24,Livestock!Z78,Livestock!Z106,Livestock!Z134,Livestock!Z160)</f>
        <v>0</v>
      </c>
      <c r="AE72" s="2107">
        <f ca="1">SUM(Livestock!AA24,Livestock!AA78,Livestock!AA106,Livestock!AA134,Livestock!AA160)</f>
        <v>0</v>
      </c>
      <c r="AF72" s="1827"/>
      <c r="AG72" s="1816">
        <f t="shared" ca="1" si="2"/>
        <v>0</v>
      </c>
      <c r="AH72" s="2078"/>
      <c r="AZ72" s="1782"/>
      <c r="BA72" s="1782" t="str">
        <f t="shared" si="3"/>
        <v>Please select</v>
      </c>
      <c r="BB72" s="1782" t="str">
        <f t="shared" si="4"/>
        <v>Please select</v>
      </c>
      <c r="BC72" s="2338">
        <f>Livestock!D24</f>
        <v>0</v>
      </c>
      <c r="BD72" s="2351"/>
      <c r="BE72" s="2352"/>
      <c r="BF72" s="2353"/>
      <c r="BG72" s="1782"/>
      <c r="BH72" s="2339">
        <f ca="1">Livestock!I78/100</f>
        <v>0</v>
      </c>
      <c r="BI72" s="2354"/>
      <c r="BJ72" s="2355"/>
      <c r="BK72" s="2356"/>
      <c r="BL72" s="1782"/>
      <c r="BM72" s="2340">
        <f ca="1">Livestock!P78</f>
        <v>0</v>
      </c>
      <c r="BN72" s="2357"/>
      <c r="BO72" s="2358"/>
      <c r="BP72" s="2359"/>
      <c r="BQ72" s="1782"/>
      <c r="BR72" s="2340">
        <f ca="1">Livestock!P106</f>
        <v>0</v>
      </c>
      <c r="BS72" s="2357"/>
      <c r="BT72" s="2358"/>
      <c r="BU72" s="2359"/>
      <c r="BV72" s="1782"/>
      <c r="BW72" s="2360" t="s">
        <v>57</v>
      </c>
      <c r="BX72" s="1782"/>
      <c r="BY72" s="2341">
        <f ca="1">IF(Livestock!N78=0, Livestock!Q78, Livestock!N78)</f>
        <v>0</v>
      </c>
      <c r="BZ72" s="2361"/>
      <c r="CA72" s="1782"/>
      <c r="CB72" s="2341">
        <f ca="1">IF(Livestock!N106=0, Livestock!Q106,Livestock!N106)</f>
        <v>0</v>
      </c>
      <c r="CC72" s="2361"/>
      <c r="CD72" s="1782"/>
      <c r="CF72" s="4363">
        <v>1</v>
      </c>
      <c r="CG72" s="4364"/>
      <c r="CH72" s="1996"/>
    </row>
    <row r="73" spans="2:86" x14ac:dyDescent="0.2">
      <c r="B73" s="1781"/>
      <c r="C73" s="1781"/>
      <c r="D73" s="1781"/>
      <c r="E73" s="1781"/>
      <c r="F73" s="1781"/>
      <c r="G73" s="1781"/>
      <c r="H73" s="1781"/>
      <c r="I73" s="1781"/>
      <c r="J73" s="1781"/>
      <c r="K73" s="1781"/>
      <c r="L73" s="1781"/>
      <c r="M73" s="1781"/>
      <c r="N73" s="1781"/>
      <c r="O73" s="1781"/>
      <c r="P73" s="1781"/>
      <c r="Q73" s="1781"/>
      <c r="R73" s="1781"/>
      <c r="S73" s="1781"/>
      <c r="T73" s="1781"/>
      <c r="U73" s="1781"/>
      <c r="V73" s="1781"/>
      <c r="W73" s="1781"/>
      <c r="X73" s="1781"/>
      <c r="Y73" s="1781"/>
      <c r="Z73" s="1781"/>
      <c r="AA73" s="1781"/>
      <c r="AB73" s="1781"/>
      <c r="AC73" s="1781"/>
      <c r="AD73" s="1781"/>
      <c r="AE73" s="1781"/>
      <c r="AF73" s="1781"/>
      <c r="AG73" s="1781"/>
      <c r="AH73" s="1781"/>
      <c r="AZ73" s="1782"/>
      <c r="BA73" s="1782"/>
      <c r="BB73" s="1782"/>
      <c r="BC73" s="1782"/>
      <c r="BD73" s="1782"/>
      <c r="BE73" s="1782"/>
      <c r="BF73" s="1782"/>
      <c r="BG73" s="1782"/>
      <c r="BH73" s="1782"/>
      <c r="BI73" s="1782"/>
      <c r="BJ73" s="1782"/>
      <c r="BK73" s="1782"/>
      <c r="BL73" s="1782"/>
      <c r="BM73" s="1782"/>
      <c r="BN73" s="1782"/>
      <c r="BO73" s="1782"/>
      <c r="BP73" s="1782"/>
      <c r="BQ73" s="1782"/>
      <c r="BR73" s="1782"/>
      <c r="BS73" s="1782"/>
      <c r="BT73" s="1782"/>
      <c r="BU73" s="1782"/>
      <c r="BV73" s="1782"/>
      <c r="BW73" s="1782"/>
      <c r="BX73" s="1782"/>
      <c r="BY73" s="1782"/>
      <c r="BZ73" s="1782"/>
      <c r="CA73" s="1782"/>
      <c r="CB73" s="1782"/>
      <c r="CC73" s="1782"/>
      <c r="CD73" s="1782"/>
      <c r="CF73" s="1782"/>
      <c r="CG73" s="1782"/>
      <c r="CH73" s="1782"/>
    </row>
    <row r="74" spans="2:86" x14ac:dyDescent="0.2">
      <c r="B74" s="1781"/>
      <c r="C74" s="1781"/>
      <c r="D74" s="1781"/>
      <c r="E74" s="1781"/>
      <c r="F74" s="1781"/>
      <c r="G74" s="1781"/>
      <c r="H74" s="1781"/>
      <c r="I74" s="1781"/>
      <c r="J74" s="1781"/>
      <c r="K74" s="1781"/>
      <c r="L74" s="1781"/>
      <c r="M74" s="1781"/>
      <c r="N74" s="1781"/>
      <c r="O74" s="1781"/>
      <c r="P74" s="1781"/>
      <c r="Q74" s="1781"/>
      <c r="R74" s="1781"/>
      <c r="S74" s="1781"/>
      <c r="T74" s="1781"/>
      <c r="U74" s="1781"/>
      <c r="V74" s="1781"/>
      <c r="W74" s="1781"/>
      <c r="X74" s="1781"/>
      <c r="Y74" s="1781"/>
      <c r="Z74" s="1781"/>
      <c r="AA74" s="1781"/>
      <c r="AB74" s="1781"/>
      <c r="AC74" s="1781"/>
      <c r="AD74" s="1781"/>
      <c r="AE74" s="1781"/>
      <c r="AF74" s="1781"/>
      <c r="AG74" s="1781"/>
      <c r="AH74" s="1781"/>
      <c r="AZ74" s="1782"/>
      <c r="BA74" s="1782"/>
      <c r="BB74" s="1782"/>
      <c r="BC74" s="1782"/>
      <c r="BD74" s="1782"/>
      <c r="BE74" s="1782"/>
      <c r="BF74" s="1782"/>
      <c r="BG74" s="1782"/>
      <c r="BH74" s="1782"/>
      <c r="BI74" s="1782"/>
      <c r="BJ74" s="1782"/>
      <c r="BK74" s="1782"/>
      <c r="BL74" s="1782"/>
      <c r="BM74" s="1782"/>
      <c r="BN74" s="1782"/>
      <c r="BO74" s="1782"/>
      <c r="BP74" s="1782"/>
      <c r="BQ74" s="1782"/>
      <c r="BR74" s="1782"/>
      <c r="BS74" s="1782"/>
      <c r="BT74" s="1782"/>
      <c r="BU74" s="1782"/>
      <c r="BV74" s="1782"/>
      <c r="BW74" s="1782"/>
      <c r="BX74" s="1782"/>
      <c r="BY74" s="1782"/>
      <c r="BZ74" s="1782"/>
      <c r="CA74" s="1782"/>
      <c r="CB74" s="1782"/>
      <c r="CC74" s="1782"/>
      <c r="CD74" s="1782"/>
      <c r="CF74" s="1782"/>
      <c r="CG74" s="1782"/>
      <c r="CH74" s="1782"/>
    </row>
    <row r="75" spans="2:86" ht="16" x14ac:dyDescent="0.2">
      <c r="B75" s="1781"/>
      <c r="C75" s="1781"/>
      <c r="D75" s="2082" t="str">
        <f>Languages!B261</f>
        <v>Please ensure coherence between livestock keeping and feed need. Make sure feed comes either from I) crop-based activities (module 3), II) grassland systems (module 4.1) or III) exogenous dry matter (module 9).​</v>
      </c>
      <c r="E75" s="1781"/>
      <c r="F75" s="1781"/>
      <c r="G75" s="1781"/>
      <c r="H75" s="1781"/>
      <c r="I75" s="1781"/>
      <c r="J75" s="1781"/>
      <c r="K75" s="1781"/>
      <c r="L75" s="1781"/>
      <c r="M75" s="1781"/>
      <c r="N75" s="1781"/>
      <c r="O75" s="1781"/>
      <c r="P75" s="1781"/>
      <c r="Q75" s="1781"/>
      <c r="R75" s="1781"/>
      <c r="S75" s="1781"/>
      <c r="T75" s="1781"/>
      <c r="U75" s="1781"/>
      <c r="V75" s="1781"/>
      <c r="W75" s="1827"/>
      <c r="X75" s="1827"/>
      <c r="Y75" s="1827"/>
      <c r="Z75" s="1827"/>
      <c r="AA75" s="1827"/>
      <c r="AB75" s="1827"/>
      <c r="AC75" s="1827"/>
      <c r="AD75" s="1827"/>
      <c r="AE75" s="1827"/>
      <c r="AF75" s="1827"/>
      <c r="AG75" s="1827"/>
      <c r="AH75" s="1781"/>
      <c r="AZ75" s="1782"/>
      <c r="BA75" s="1782"/>
      <c r="BB75" s="1782"/>
      <c r="BC75" s="1782"/>
      <c r="BD75" s="1782"/>
      <c r="BE75" s="1782"/>
      <c r="BF75" s="1782"/>
      <c r="BG75" s="1782"/>
      <c r="BH75" s="1782"/>
      <c r="BI75" s="1782"/>
      <c r="BJ75" s="1782"/>
      <c r="BK75" s="1782"/>
      <c r="BL75" s="1782"/>
      <c r="BM75" s="1782"/>
      <c r="BN75" s="1782"/>
      <c r="BO75" s="1782"/>
      <c r="BP75" s="1782"/>
      <c r="BQ75" s="1782"/>
      <c r="BR75" s="1782"/>
      <c r="BS75" s="1782"/>
      <c r="BT75" s="1782"/>
      <c r="BU75" s="1782"/>
      <c r="BV75" s="1782"/>
      <c r="BW75" s="1782"/>
      <c r="BX75" s="1782"/>
      <c r="BY75" s="1782"/>
      <c r="BZ75" s="1782"/>
      <c r="CA75" s="1782"/>
      <c r="CB75" s="1782"/>
      <c r="CC75" s="1782"/>
      <c r="CD75" s="1782"/>
      <c r="CF75" s="1782"/>
      <c r="CG75" s="1782"/>
      <c r="CH75" s="1782"/>
    </row>
    <row r="76" spans="2:86" x14ac:dyDescent="0.2">
      <c r="B76" s="1781"/>
      <c r="C76" s="1781"/>
      <c r="D76" s="1781"/>
      <c r="E76" s="1781"/>
      <c r="F76" s="1781"/>
      <c r="G76" s="1781"/>
      <c r="H76" s="1781"/>
      <c r="I76" s="1781"/>
      <c r="J76" s="1781"/>
      <c r="K76" s="1781"/>
      <c r="L76" s="1781"/>
      <c r="M76" s="1781"/>
      <c r="N76" s="1781"/>
      <c r="O76" s="1781"/>
      <c r="P76" s="1781"/>
      <c r="Q76" s="1781"/>
      <c r="R76" s="1781"/>
      <c r="S76" s="1781"/>
      <c r="T76" s="1781"/>
      <c r="U76" s="1781"/>
      <c r="V76" s="1781"/>
      <c r="W76" s="1853"/>
      <c r="X76" s="1853"/>
      <c r="Y76" s="1853"/>
      <c r="Z76" s="1853"/>
      <c r="AA76" s="1853"/>
      <c r="AB76" s="2018" t="s">
        <v>798</v>
      </c>
      <c r="AC76" s="1853"/>
      <c r="AD76" s="2035">
        <f ca="1">SUM(AD56:AD72)</f>
        <v>7757.7206978973209</v>
      </c>
      <c r="AE76" s="2035">
        <f ca="1">SUM(AE56:AE72)</f>
        <v>6962.3811353973206</v>
      </c>
      <c r="AF76" s="2008"/>
      <c r="AG76" s="1860">
        <f ca="1">SUM(AG56:AG72)</f>
        <v>-795.33956250000028</v>
      </c>
      <c r="AH76" s="1781"/>
      <c r="AZ76" s="1782"/>
      <c r="BA76" s="1782" t="str">
        <f>Languages!B281</f>
        <v>*The nomenclature refers to extensive livestock management systems</v>
      </c>
      <c r="BB76" s="1782"/>
      <c r="BC76" s="1782"/>
      <c r="BD76" s="1782"/>
      <c r="BE76" s="1782"/>
      <c r="BF76" s="1782"/>
      <c r="BG76" s="1782"/>
      <c r="BH76" s="1782"/>
      <c r="BI76" s="1782"/>
      <c r="BJ76" s="1782"/>
      <c r="BK76" s="1782"/>
      <c r="BL76" s="1782"/>
      <c r="BM76" s="1782"/>
      <c r="BN76" s="1782"/>
      <c r="BO76" s="1782"/>
      <c r="BP76" s="1782"/>
      <c r="BQ76" s="1782"/>
      <c r="BR76" s="1782"/>
      <c r="BS76" s="1782"/>
      <c r="BT76" s="1782"/>
      <c r="BU76" s="1782"/>
      <c r="BV76" s="1782"/>
      <c r="BW76" s="1782"/>
      <c r="BX76" s="1782"/>
      <c r="BY76" s="1782"/>
      <c r="BZ76" s="1782"/>
      <c r="CA76" s="1782"/>
      <c r="CB76" s="1782"/>
      <c r="CC76" s="1782"/>
      <c r="CD76" s="1782"/>
      <c r="CF76" s="1782"/>
      <c r="CG76" s="1782"/>
      <c r="CH76" s="1782"/>
    </row>
    <row r="77" spans="2:86" x14ac:dyDescent="0.2">
      <c r="B77" s="1781"/>
      <c r="C77" s="1781"/>
      <c r="D77" s="1781"/>
      <c r="E77" s="1781"/>
      <c r="F77" s="1781"/>
      <c r="G77" s="1781"/>
      <c r="H77" s="1781"/>
      <c r="I77" s="1781"/>
      <c r="J77" s="1781"/>
      <c r="K77" s="1781"/>
      <c r="L77" s="1781"/>
      <c r="M77" s="1781"/>
      <c r="N77" s="1781"/>
      <c r="O77" s="1781"/>
      <c r="P77" s="1781"/>
      <c r="Q77" s="1781"/>
      <c r="R77" s="1781"/>
      <c r="S77" s="1781"/>
      <c r="T77" s="1781"/>
      <c r="U77" s="1781"/>
      <c r="V77" s="1781"/>
      <c r="W77" s="1781"/>
      <c r="X77" s="1781"/>
      <c r="Y77" s="1781"/>
      <c r="Z77" s="1781"/>
      <c r="AA77" s="1781"/>
      <c r="AB77" s="1781"/>
      <c r="AC77" s="1781"/>
      <c r="AD77" s="1781"/>
      <c r="AE77" s="1781"/>
      <c r="AF77" s="1781"/>
      <c r="AG77" s="1781"/>
      <c r="AH77" s="1781"/>
      <c r="AZ77" s="1782"/>
      <c r="BA77" s="1782"/>
      <c r="BB77" s="1782"/>
      <c r="BC77" s="1782"/>
      <c r="BD77" s="1782"/>
      <c r="BE77" s="1782"/>
      <c r="BF77" s="1782"/>
      <c r="BG77" s="1782"/>
      <c r="BH77" s="1782"/>
      <c r="BI77" s="1782"/>
      <c r="BJ77" s="1782"/>
      <c r="BK77" s="1782"/>
      <c r="BL77" s="1782"/>
      <c r="BM77" s="1782"/>
      <c r="BN77" s="1782"/>
      <c r="BO77" s="1782"/>
      <c r="BP77" s="1782"/>
      <c r="BQ77" s="1782"/>
      <c r="BR77" s="1782"/>
      <c r="BS77" s="1782"/>
      <c r="BT77" s="1782"/>
      <c r="BU77" s="1782"/>
      <c r="BV77" s="1782"/>
      <c r="BW77" s="1782"/>
      <c r="BX77" s="1782"/>
      <c r="BY77" s="1782"/>
      <c r="BZ77" s="1782"/>
      <c r="CA77" s="1782"/>
      <c r="CB77" s="1782"/>
      <c r="CC77" s="1782"/>
      <c r="CD77" s="1782"/>
      <c r="CF77" s="1782"/>
      <c r="CG77" s="1782"/>
      <c r="CH77" s="1782"/>
    </row>
    <row r="78" spans="2:86" x14ac:dyDescent="0.2">
      <c r="B78" s="1781"/>
      <c r="C78" s="1781"/>
      <c r="D78" s="1781"/>
      <c r="E78" s="1781"/>
      <c r="F78" s="1781"/>
      <c r="G78" s="1781"/>
      <c r="H78" s="1781"/>
      <c r="I78" s="1781"/>
      <c r="J78" s="1781"/>
      <c r="K78" s="1781"/>
      <c r="L78" s="1781"/>
      <c r="M78" s="1781"/>
      <c r="N78" s="1781"/>
      <c r="O78" s="1781"/>
      <c r="P78" s="1781"/>
      <c r="Q78" s="1781"/>
      <c r="R78" s="1781"/>
      <c r="S78" s="1781"/>
      <c r="T78" s="1781"/>
      <c r="U78" s="1781"/>
      <c r="V78" s="1781"/>
      <c r="W78" s="1781"/>
      <c r="X78" s="1781"/>
      <c r="Y78" s="1781"/>
      <c r="Z78" s="1781"/>
      <c r="AA78" s="1781"/>
      <c r="AB78" s="1781"/>
      <c r="AC78" s="1781"/>
      <c r="AD78" s="1781"/>
      <c r="AE78" s="1781"/>
      <c r="AF78" s="1781"/>
      <c r="AG78" s="1781"/>
      <c r="AH78" s="1781"/>
      <c r="AZ78" s="1782"/>
      <c r="BA78" s="1782"/>
      <c r="BB78" s="1782"/>
      <c r="BC78" s="1782"/>
      <c r="BD78" s="1782"/>
      <c r="BE78" s="1782"/>
      <c r="BF78" s="1782"/>
      <c r="BG78" s="1782"/>
      <c r="BH78" s="1782"/>
      <c r="BI78" s="1782"/>
      <c r="BJ78" s="1782"/>
      <c r="BK78" s="1782"/>
      <c r="BL78" s="1782"/>
      <c r="BM78" s="1782"/>
      <c r="BN78" s="1782"/>
      <c r="BO78" s="1782"/>
      <c r="BP78" s="1782"/>
      <c r="BQ78" s="1782"/>
      <c r="BR78" s="1782"/>
      <c r="BS78" s="1782"/>
      <c r="BT78" s="1782"/>
      <c r="BU78" s="1782"/>
      <c r="BV78" s="1782"/>
      <c r="BW78" s="1782"/>
      <c r="BX78" s="1782"/>
      <c r="BY78" s="1782"/>
      <c r="BZ78" s="1782"/>
      <c r="CA78" s="1782"/>
      <c r="CB78" s="1782"/>
      <c r="CC78" s="1782"/>
      <c r="CD78" s="1782"/>
      <c r="CF78" s="1782"/>
      <c r="CG78" s="1782"/>
      <c r="CH78" s="1782"/>
    </row>
    <row r="79" spans="2:86" x14ac:dyDescent="0.2">
      <c r="B79" s="1781"/>
      <c r="C79" s="1781"/>
      <c r="D79" s="1781"/>
      <c r="E79" s="1781"/>
      <c r="F79" s="1781"/>
      <c r="G79" s="1781"/>
      <c r="H79" s="1781"/>
      <c r="I79" s="1781"/>
      <c r="J79" s="1781"/>
      <c r="K79" s="1781"/>
      <c r="L79" s="1781"/>
      <c r="M79" s="1781"/>
      <c r="N79" s="1781"/>
      <c r="O79" s="1781"/>
      <c r="P79" s="1781"/>
      <c r="Q79" s="1781"/>
      <c r="R79" s="1781"/>
      <c r="S79" s="1781"/>
      <c r="T79" s="1781"/>
      <c r="U79" s="1781"/>
      <c r="V79" s="1781"/>
      <c r="W79" s="1781"/>
      <c r="X79" s="1781"/>
      <c r="Y79" s="1781"/>
      <c r="Z79" s="1781"/>
      <c r="AA79" s="1781"/>
      <c r="AB79" s="1781"/>
      <c r="AC79" s="1781"/>
      <c r="AD79" s="1781"/>
      <c r="AE79" s="1781"/>
      <c r="AF79" s="1781"/>
      <c r="AG79" s="1781"/>
      <c r="AH79" s="1781"/>
      <c r="AZ79" s="1782"/>
      <c r="BA79" s="1782" t="str">
        <f>BA38</f>
        <v>Use this part only if you want to refine the analysis at Tier 2</v>
      </c>
      <c r="BB79" s="1782"/>
      <c r="BC79" s="1782"/>
      <c r="BD79" s="1782"/>
      <c r="BE79" s="1782"/>
      <c r="BF79" s="1782"/>
      <c r="BG79" s="1782"/>
      <c r="BH79" s="1782"/>
      <c r="BI79" s="1782"/>
      <c r="BJ79" s="1782"/>
      <c r="BK79" s="1782"/>
      <c r="BL79" s="1782"/>
      <c r="BM79" s="1782"/>
      <c r="BN79" s="1782"/>
      <c r="BO79" s="1782"/>
      <c r="BP79" s="1782"/>
      <c r="BQ79" s="1782"/>
      <c r="BR79" s="1782"/>
      <c r="BS79" s="1782"/>
      <c r="BT79" s="1782"/>
      <c r="BU79" s="1782"/>
      <c r="BV79" s="1782"/>
      <c r="BW79" s="1782"/>
      <c r="BX79" s="1782"/>
      <c r="BY79" s="1782"/>
      <c r="BZ79" s="1782"/>
      <c r="CA79" s="1782"/>
      <c r="CB79" s="1782"/>
      <c r="CC79" s="1782"/>
      <c r="CD79" s="1782"/>
      <c r="CF79" s="4548" t="s">
        <v>87</v>
      </c>
      <c r="CG79" s="4548"/>
      <c r="CH79" s="4548"/>
    </row>
    <row r="80" spans="2:86" x14ac:dyDescent="0.2">
      <c r="B80" s="1781"/>
      <c r="C80" s="1781"/>
      <c r="D80" s="1781"/>
      <c r="E80" s="1781"/>
      <c r="F80" s="1781"/>
      <c r="G80" s="1781"/>
      <c r="H80" s="1781"/>
      <c r="I80" s="1781"/>
      <c r="J80" s="1781"/>
      <c r="K80" s="1781"/>
      <c r="L80" s="1781"/>
      <c r="M80" s="1781"/>
      <c r="N80" s="1781"/>
      <c r="O80" s="1781"/>
      <c r="P80" s="1781"/>
      <c r="Q80" s="1781"/>
      <c r="R80" s="1781"/>
      <c r="S80" s="1781"/>
      <c r="T80" s="1781"/>
      <c r="U80" s="1781"/>
      <c r="V80" s="1781"/>
      <c r="W80" s="1781"/>
      <c r="X80" s="1781"/>
      <c r="Y80" s="1781"/>
      <c r="Z80" s="1781"/>
      <c r="AA80" s="1781"/>
      <c r="AB80" s="1781"/>
      <c r="AC80" s="1781"/>
      <c r="AD80" s="1781"/>
      <c r="AE80" s="1781"/>
      <c r="AF80" s="1781"/>
      <c r="AG80" s="1781"/>
      <c r="AH80" s="1781"/>
      <c r="AZ80" s="1782"/>
      <c r="BA80" s="1782"/>
      <c r="BB80" s="1782"/>
      <c r="BC80" s="1782"/>
      <c r="BD80" s="1782"/>
      <c r="BE80" s="1782"/>
      <c r="BF80" s="1782"/>
      <c r="BG80" s="1782"/>
      <c r="BH80" s="1782"/>
      <c r="BI80" s="1782"/>
      <c r="BJ80" s="1782"/>
      <c r="BK80" s="1782"/>
      <c r="BL80" s="1782"/>
      <c r="BM80" s="1782"/>
      <c r="BN80" s="1782"/>
      <c r="BO80" s="1782"/>
      <c r="BP80" s="1782"/>
      <c r="BQ80" s="1782"/>
      <c r="BR80" s="1782"/>
      <c r="BS80" s="1782"/>
      <c r="BT80" s="1782"/>
      <c r="BU80" s="1782"/>
      <c r="BV80" s="1782"/>
      <c r="BW80" s="1782"/>
      <c r="BX80" s="1782"/>
      <c r="BY80" s="1782"/>
      <c r="BZ80" s="1782"/>
      <c r="CA80" s="1782"/>
      <c r="CB80" s="1782"/>
      <c r="CC80" s="1782"/>
      <c r="CD80" s="1782"/>
      <c r="CF80" s="4548"/>
      <c r="CG80" s="4548"/>
      <c r="CH80" s="4548"/>
    </row>
    <row r="81" spans="2:86" ht="16" x14ac:dyDescent="0.2">
      <c r="B81" s="1781"/>
      <c r="C81" s="2082" t="str">
        <f>Languages!B263</f>
        <v>* Please note that for some livestock categories, including buffalo, deer and ostrich, there are no Tier1 parametrs for each of the livestock productivity levels. As a result changing livestock productivity will not trigger change in the emission levels. You may use Tier 2 section to refine the parameters.</v>
      </c>
      <c r="D81" s="1781"/>
      <c r="E81" s="1781"/>
      <c r="F81" s="1781"/>
      <c r="G81" s="1781"/>
      <c r="H81" s="1781"/>
      <c r="I81" s="1781"/>
      <c r="J81" s="1781"/>
      <c r="K81" s="1781"/>
      <c r="L81" s="1781"/>
      <c r="M81" s="1781"/>
      <c r="N81" s="1781"/>
      <c r="O81" s="1781"/>
      <c r="P81" s="1781"/>
      <c r="Q81" s="1781"/>
      <c r="R81" s="1781"/>
      <c r="S81" s="1781"/>
      <c r="T81" s="1781"/>
      <c r="U81" s="1781"/>
      <c r="V81" s="1781"/>
      <c r="W81" s="1781"/>
      <c r="X81" s="1781"/>
      <c r="Y81" s="1781"/>
      <c r="Z81" s="1781"/>
      <c r="AA81" s="1781"/>
      <c r="AB81" s="1781"/>
      <c r="AC81" s="1781"/>
      <c r="AD81" s="1781"/>
      <c r="AE81" s="1781"/>
      <c r="AF81" s="1781"/>
      <c r="AG81" s="1781"/>
      <c r="AH81" s="1781"/>
      <c r="AZ81" s="1782"/>
      <c r="BA81" s="1782" t="str">
        <f>BA39</f>
        <v>IPCC default values are provided for your information only; EX-ACT will use Tier 2 values automatically wherever specified.</v>
      </c>
      <c r="BB81" s="1782"/>
      <c r="BC81" s="1782"/>
      <c r="BD81" s="1782"/>
      <c r="BE81" s="1782"/>
      <c r="BF81" s="1782"/>
      <c r="BG81" s="1782"/>
      <c r="BH81" s="1782"/>
      <c r="BI81" s="1782"/>
      <c r="BJ81" s="1782"/>
      <c r="BK81" s="1782"/>
      <c r="BL81" s="1782"/>
      <c r="BM81" s="1782"/>
      <c r="BN81" s="1782"/>
      <c r="BO81" s="1782"/>
      <c r="BP81" s="1782"/>
      <c r="BQ81" s="1782"/>
      <c r="BR81" s="1782"/>
      <c r="BS81" s="1782"/>
      <c r="BT81" s="1782"/>
      <c r="BU81" s="1782"/>
      <c r="BV81" s="1782"/>
      <c r="BW81" s="1782"/>
      <c r="BX81" s="1782"/>
      <c r="BY81" s="1782"/>
      <c r="BZ81" s="1782"/>
      <c r="CA81" s="1782"/>
      <c r="CB81" s="1782"/>
      <c r="CC81" s="1782"/>
      <c r="CD81" s="1782"/>
      <c r="CF81" s="4548"/>
      <c r="CG81" s="4548"/>
      <c r="CH81" s="4548"/>
    </row>
    <row r="82" spans="2:86" x14ac:dyDescent="0.2">
      <c r="B82" s="1781"/>
      <c r="C82" s="1781" t="str">
        <f>C40</f>
        <v>*The selection of "D" corresponds to a default (linear) dynamics of change. Other selection options include "I" for immediate changes and "E" for exponential - please refer to the guidelines for further explanation of these assumptions.</v>
      </c>
      <c r="D82" s="1781"/>
      <c r="E82" s="1781"/>
      <c r="F82" s="1781"/>
      <c r="G82" s="1781"/>
      <c r="H82" s="1781"/>
      <c r="I82" s="1781"/>
      <c r="J82" s="1781"/>
      <c r="K82" s="1781"/>
      <c r="L82" s="1781"/>
      <c r="M82" s="1781"/>
      <c r="N82" s="1781"/>
      <c r="O82" s="1781"/>
      <c r="P82" s="1781"/>
      <c r="Q82" s="1781"/>
      <c r="R82" s="1781"/>
      <c r="S82" s="1781"/>
      <c r="T82" s="1781"/>
      <c r="U82" s="1781"/>
      <c r="V82" s="1781"/>
      <c r="W82" s="1781"/>
      <c r="X82" s="1781"/>
      <c r="Y82" s="1781"/>
      <c r="Z82" s="1781"/>
      <c r="AA82" s="1781"/>
      <c r="AB82" s="1781"/>
      <c r="AC82" s="1781"/>
      <c r="AD82" s="1781"/>
      <c r="AE82" s="1781"/>
      <c r="AF82" s="1781"/>
      <c r="AG82" s="1781"/>
      <c r="AH82" s="1781"/>
      <c r="AZ82" s="1782"/>
      <c r="BA82" s="1782"/>
      <c r="BB82" s="1782"/>
      <c r="BC82" s="1782"/>
      <c r="BD82" s="1782"/>
      <c r="BE82" s="1782"/>
      <c r="BF82" s="1782"/>
      <c r="BG82" s="1782"/>
      <c r="BH82" s="1782"/>
      <c r="BI82" s="1782"/>
      <c r="BJ82" s="1782"/>
      <c r="BK82" s="1782"/>
      <c r="BL82" s="1782"/>
      <c r="BM82" s="1782"/>
      <c r="BN82" s="1782"/>
      <c r="BO82" s="1782"/>
      <c r="BP82" s="1782"/>
      <c r="BQ82" s="1782"/>
      <c r="BR82" s="1782"/>
      <c r="BS82" s="1782"/>
      <c r="BT82" s="1782"/>
      <c r="BU82" s="1782"/>
      <c r="BV82" s="1782"/>
      <c r="BW82" s="1782"/>
      <c r="BX82" s="1782"/>
      <c r="BY82" s="1782"/>
      <c r="BZ82" s="1782"/>
      <c r="CA82" s="1782"/>
      <c r="CB82" s="1782"/>
      <c r="CC82" s="1782"/>
      <c r="CD82" s="1782"/>
      <c r="CF82" s="1782"/>
      <c r="CG82" s="1782"/>
      <c r="CH82" s="1782"/>
    </row>
    <row r="556" spans="3:10" ht="17" x14ac:dyDescent="0.2">
      <c r="C556" s="2342"/>
      <c r="D556" s="2343"/>
    </row>
    <row r="558" spans="3:10" x14ac:dyDescent="0.2">
      <c r="C558" s="2344"/>
      <c r="H558" s="1964"/>
      <c r="I558" s="1964"/>
      <c r="J558" s="1964"/>
    </row>
    <row r="559" spans="3:10" x14ac:dyDescent="0.2">
      <c r="C559" s="2345"/>
      <c r="D559" s="1964"/>
      <c r="E559" s="1964"/>
    </row>
    <row r="561" spans="3:4" x14ac:dyDescent="0.2">
      <c r="C561" s="2344"/>
    </row>
    <row r="562" spans="3:4" x14ac:dyDescent="0.2">
      <c r="C562" s="2346"/>
      <c r="D562" s="1897"/>
    </row>
    <row r="565" spans="3:4" x14ac:dyDescent="0.2">
      <c r="C565" s="2347"/>
    </row>
    <row r="566" spans="3:4" x14ac:dyDescent="0.2">
      <c r="C566" s="2346"/>
    </row>
    <row r="567" spans="3:4" x14ac:dyDescent="0.2">
      <c r="C567" s="2346"/>
    </row>
    <row r="569" spans="3:4" x14ac:dyDescent="0.2">
      <c r="C569" s="2347"/>
    </row>
    <row r="570" spans="3:4" x14ac:dyDescent="0.2">
      <c r="C570" s="2347"/>
    </row>
    <row r="572" spans="3:4" x14ac:dyDescent="0.2">
      <c r="C572" s="2347"/>
    </row>
    <row r="573" spans="3:4" x14ac:dyDescent="0.2">
      <c r="C573" s="2347"/>
    </row>
  </sheetData>
  <sheetProtection algorithmName="SHA-512" hashValue="WzYHNaGBHtIuduDK1+dozqcbRBgQ+bGDPMCksHR/qNNNkgVOGW+VO3kFqIVbp8YaGbiQVQvVbKbPuuiOYey6ig==" saltValue="EJPrKQR+S4oa+OHzc9gAHQ==" spinCount="100000" sheet="1" formatColumns="0"/>
  <sortState xmlns:xlrd2="http://schemas.microsoft.com/office/spreadsheetml/2017/richdata2" ref="BD17:BH21">
    <sortCondition ref="BF25:BF29"/>
  </sortState>
  <mergeCells count="3">
    <mergeCell ref="AT5:AV5"/>
    <mergeCell ref="BQ37:BS39"/>
    <mergeCell ref="CF79:CH81"/>
  </mergeCells>
  <conditionalFormatting sqref="G13:G16">
    <cfRule type="expression" dxfId="192" priority="13">
      <formula>$W13&lt;&gt;0</formula>
    </cfRule>
  </conditionalFormatting>
  <conditionalFormatting sqref="I13:I16">
    <cfRule type="expression" dxfId="191" priority="12">
      <formula>$X13&lt;&gt;0</formula>
    </cfRule>
  </conditionalFormatting>
  <conditionalFormatting sqref="K13:K16">
    <cfRule type="expression" dxfId="190" priority="11">
      <formula>$Z13&lt;&gt;0</formula>
    </cfRule>
  </conditionalFormatting>
  <conditionalFormatting sqref="M13:N16">
    <cfRule type="expression" dxfId="189" priority="2">
      <formula>$X13&lt;&gt;0</formula>
    </cfRule>
  </conditionalFormatting>
  <conditionalFormatting sqref="P13:Q16">
    <cfRule type="expression" dxfId="188" priority="3">
      <formula>$Z13&lt;&gt;0</formula>
    </cfRule>
  </conditionalFormatting>
  <conditionalFormatting sqref="BF13:BF16">
    <cfRule type="expression" dxfId="187" priority="5">
      <formula>$X13&lt;&gt;0</formula>
    </cfRule>
  </conditionalFormatting>
  <conditionalFormatting sqref="BH13:BH16">
    <cfRule type="expression" dxfId="186" priority="4">
      <formula>$Z13&lt;&gt;0</formula>
    </cfRule>
  </conditionalFormatting>
  <conditionalFormatting sqref="BW56:BW72 BY56:CC72">
    <cfRule type="expression" dxfId="185" priority="8">
      <formula>OR($BA56="Deer",$BA56="Ostrich")</formula>
    </cfRule>
  </conditionalFormatting>
  <conditionalFormatting sqref="BY56:BZ72">
    <cfRule type="expression" dxfId="184" priority="468">
      <formula>$BW56="Please select"</formula>
    </cfRule>
  </conditionalFormatting>
  <conditionalFormatting sqref="CB56:CB72">
    <cfRule type="expression" dxfId="183" priority="7">
      <formula>"$BW56=""please select"""</formula>
    </cfRule>
  </conditionalFormatting>
  <conditionalFormatting sqref="CB56:CC72">
    <cfRule type="expression" dxfId="182" priority="1">
      <formula>$BW56="Please select"</formula>
    </cfRule>
  </conditionalFormatting>
  <dataValidations count="1">
    <dataValidation type="decimal" operator="greaterThanOrEqual" allowBlank="1" showInputMessage="1" showErrorMessage="1" sqref="S26:U35 W26:W35 BM26:BM35 BD26:BD35 BF26:BF35 BH26:BH35 BJ26:BJ35 S13:U16 BM13:BM16 BJ13:BJ16 BD13:BD16 BF13:BF16 BH13:BH16" xr:uid="{00000000-0002-0000-0B00-000000000000}">
      <formula1>0</formula1>
    </dataValidation>
  </dataValidations>
  <pageMargins left="0.7" right="0.7" top="0.75" bottom="0.75" header="0.3" footer="0.3"/>
  <pageSetup paperSize="9" orientation="portrait" r:id="rId1"/>
  <ignoredErrors>
    <ignoredError sqref="BA38" unlockedFormula="1"/>
  </ignoredErrors>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B00-000001000000}">
          <x14:formula1>
            <xm:f>list!$J$41:$J$42</xm:f>
          </x14:formula1>
          <xm:sqref>M26:M35 P26:P35 M13:M16 P13:P16</xm:sqref>
        </x14:dataValidation>
        <x14:dataValidation type="list" allowBlank="1" showInputMessage="1" showErrorMessage="1" xr:uid="{00000000-0002-0000-0B00-000002000000}">
          <x14:formula1>
            <xm:f>list!$I$48:$I$50</xm:f>
          </x14:formula1>
          <xm:sqref>Y26:Y35 AA26:AA35 Y56:Y72 AA56:AA72</xm:sqref>
        </x14:dataValidation>
        <x14:dataValidation type="list" allowBlank="1" showInputMessage="1" showErrorMessage="1" xr:uid="{00000000-0002-0000-0B00-000003000000}">
          <x14:formula1>
            <xm:f>list!$F$120:$F$126</xm:f>
          </x14:formula1>
          <xm:sqref>I13:I16 I26:I35 G26:G35 K13:K16 G13:G16 K26:K35</xm:sqref>
        </x14:dataValidation>
        <x14:dataValidation type="list" allowBlank="1" showInputMessage="1" showErrorMessage="1" xr:uid="{00000000-0002-0000-0B00-000004000000}">
          <x14:formula1>
            <xm:f>IPCC!$A$2266:$S$2266</xm:f>
          </x14:formula1>
          <xm:sqref>I56:I72</xm:sqref>
        </x14:dataValidation>
        <x14:dataValidation type="list" allowBlank="1" showInputMessage="1" showErrorMessage="1" xr:uid="{00000000-0002-0000-0B00-000005000000}">
          <x14:formula1>
            <xm:f>IF(AND($BA56&lt;&gt;"Deer",$BA56&lt;&gt;"Ostrich"),list!$C$232:$C$247)</xm:f>
          </x14:formula1>
          <xm:sqref>BW56:BW72</xm:sqref>
        </x14:dataValidation>
        <x14:dataValidation type="list" allowBlank="1" showInputMessage="1" showErrorMessage="1" xr:uid="{00000000-0002-0000-0B00-000006000000}">
          <x14:formula1>
            <xm:f>list!$B$233:$B$236</xm:f>
          </x14:formula1>
          <xm:sqref>K56:K72</xm:sqref>
        </x14:dataValidation>
        <x14:dataValidation type="whole" operator="lessThanOrEqual" allowBlank="1" showInputMessage="1" showErrorMessage="1" error="The start year of the activity cannot be after the end of the implementation period." xr:uid="{00000000-0002-0000-0B00-000007000000}">
          <x14:formula1>
            <xm:f>'1.Description'!$T$13</xm:f>
          </x14:formula1>
          <xm:sqref>BR13:BR16 BR26:BR35 CG56:CG73</xm:sqref>
        </x14:dataValidation>
      </x14:dataValidations>
    </ext>
  </extLst>
</worksheet>
</file>

<file path=xl/worksheets/sheet14.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AV49"/>
  <sheetViews>
    <sheetView showGridLines="0" topLeftCell="A10" zoomScale="140" zoomScaleNormal="80" workbookViewId="0">
      <selection activeCell="L34" sqref="L34"/>
    </sheetView>
  </sheetViews>
  <sheetFormatPr baseColWidth="10" defaultColWidth="8.6640625" defaultRowHeight="14" x14ac:dyDescent="0.15"/>
  <cols>
    <col min="1" max="1" width="46.5" style="1324" bestFit="1" customWidth="1"/>
    <col min="2" max="2" width="39" style="1324" customWidth="1"/>
    <col min="3" max="3" width="10.5" style="1324" customWidth="1"/>
    <col min="4" max="4" width="22.5" style="1324" customWidth="1"/>
    <col min="5" max="5" width="32.5" style="1324" bestFit="1" customWidth="1"/>
    <col min="6" max="6" width="23.5" style="1324" bestFit="1" customWidth="1"/>
    <col min="7" max="10" width="10.5" style="1324" customWidth="1"/>
    <col min="11" max="11" width="11.5" style="1324" customWidth="1"/>
    <col min="12" max="12" width="17.5" style="1324" customWidth="1"/>
    <col min="13" max="13" width="15.5" style="1324" customWidth="1"/>
    <col min="14" max="14" width="11" style="1324" customWidth="1"/>
    <col min="15" max="15" width="8.6640625" style="1324"/>
    <col min="16" max="16" width="12.5" style="1324" customWidth="1"/>
    <col min="17" max="17" width="12.6640625" style="1324" customWidth="1"/>
    <col min="18" max="18" width="12.5" style="1324" customWidth="1"/>
    <col min="19" max="19" width="26.33203125" style="1324" bestFit="1" customWidth="1"/>
    <col min="20" max="20" width="29.6640625" style="1324" bestFit="1" customWidth="1"/>
    <col min="21" max="21" width="24.5" style="1324" bestFit="1" customWidth="1"/>
    <col min="22" max="22" width="20.5" style="1324" customWidth="1"/>
    <col min="23" max="23" width="20.5" style="1324" bestFit="1" customWidth="1"/>
    <col min="24" max="24" width="36" style="1324" bestFit="1" customWidth="1"/>
    <col min="25" max="25" width="15.5" style="1324" customWidth="1"/>
    <col min="26" max="26" width="13.5" style="1324" customWidth="1"/>
    <col min="27" max="27" width="8.6640625" style="1324"/>
    <col min="28" max="29" width="8.6640625" style="973"/>
    <col min="30" max="31" width="8.6640625" style="1324"/>
    <col min="32" max="32" width="38.6640625" style="1324" bestFit="1" customWidth="1"/>
    <col min="33" max="34" width="8.6640625" style="1324"/>
    <col min="35" max="35" width="16.5" style="1324" bestFit="1" customWidth="1"/>
    <col min="36" max="37" width="8.6640625" style="1324"/>
    <col min="38" max="38" width="12.33203125" style="1324" bestFit="1" customWidth="1"/>
    <col min="39" max="39" width="9.5" style="1324" bestFit="1" customWidth="1"/>
    <col min="40" max="40" width="8.6640625" style="1324"/>
    <col min="41" max="41" width="9.5" style="1324" bestFit="1" customWidth="1"/>
    <col min="42" max="43" width="8.6640625" style="1324"/>
    <col min="44" max="44" width="12.5" style="1324" bestFit="1" customWidth="1"/>
    <col min="45" max="45" width="11.5" style="1324" bestFit="1" customWidth="1"/>
    <col min="46" max="46" width="17.33203125" style="1324" customWidth="1"/>
    <col min="47" max="47" width="15.5" style="1324" customWidth="1"/>
    <col min="48" max="16384" width="8.6640625" style="1324"/>
  </cols>
  <sheetData>
    <row r="1" spans="1:48" s="973" customFormat="1" ht="23" customHeight="1" x14ac:dyDescent="0.25">
      <c r="A1" s="2961"/>
      <c r="B1" s="2962"/>
      <c r="C1" s="2963"/>
      <c r="F1" s="2963"/>
      <c r="H1" s="1688"/>
    </row>
    <row r="2" spans="1:48" s="973" customFormat="1" ht="65.25" customHeight="1" x14ac:dyDescent="0.25">
      <c r="A2" s="1605" t="s">
        <v>800</v>
      </c>
      <c r="B2" s="2964"/>
      <c r="C2" s="1398"/>
      <c r="D2" s="1398"/>
      <c r="E2" s="1398"/>
      <c r="F2" s="1398"/>
      <c r="G2" s="1398"/>
      <c r="H2" s="2965"/>
      <c r="I2" s="1398"/>
      <c r="J2" s="1398"/>
      <c r="K2" s="2966"/>
      <c r="L2" s="1398"/>
      <c r="M2" s="1398"/>
      <c r="N2" s="1398"/>
      <c r="O2" s="1398"/>
      <c r="P2" s="1398"/>
      <c r="Q2" s="1398"/>
      <c r="R2" s="1398"/>
      <c r="S2" s="1398"/>
      <c r="T2" s="1398"/>
      <c r="U2" s="1398"/>
      <c r="V2" s="1398"/>
      <c r="W2" s="1398"/>
      <c r="X2" s="1398"/>
      <c r="Y2" s="1398"/>
      <c r="Z2" s="1398"/>
      <c r="AA2" s="1398"/>
      <c r="AB2" s="1398"/>
      <c r="AC2" s="1398"/>
      <c r="AD2" s="1398"/>
      <c r="AE2" s="1398"/>
      <c r="AF2" s="1398"/>
      <c r="AG2" s="1398"/>
      <c r="AH2" s="1398"/>
      <c r="AI2" s="1398"/>
      <c r="AJ2" s="1398"/>
      <c r="AK2" s="1398"/>
      <c r="AL2" s="1398"/>
      <c r="AM2" s="1398"/>
      <c r="AN2" s="1398"/>
      <c r="AO2" s="1398"/>
      <c r="AP2" s="1398"/>
      <c r="AQ2" s="1398"/>
      <c r="AR2" s="1398"/>
      <c r="AS2" s="1398"/>
      <c r="AT2" s="1398"/>
      <c r="AU2" s="1398"/>
      <c r="AV2" s="1398"/>
    </row>
    <row r="3" spans="1:48" s="973" customFormat="1" ht="23" customHeight="1" x14ac:dyDescent="0.15">
      <c r="H3" s="1688"/>
      <c r="X3" s="2967" t="str">
        <f>soil</f>
        <v>HAC</v>
      </c>
    </row>
    <row r="4" spans="1:48" s="1609" customFormat="1" ht="23" customHeight="1" x14ac:dyDescent="0.15">
      <c r="D4" s="973"/>
      <c r="H4" s="1575"/>
      <c r="I4" s="973"/>
      <c r="J4" s="973"/>
      <c r="K4" s="973"/>
      <c r="X4" s="2967" t="str">
        <f>clim_moist</f>
        <v>Warm Temperate Dry</v>
      </c>
      <c r="AN4" s="973"/>
      <c r="AO4" s="973"/>
      <c r="AP4" s="973"/>
      <c r="AQ4" s="973"/>
      <c r="AR4" s="973"/>
      <c r="AS4" s="973"/>
      <c r="AT4" s="973"/>
    </row>
    <row r="6" spans="1:48" x14ac:dyDescent="0.15">
      <c r="B6" s="2968" t="s">
        <v>801</v>
      </c>
      <c r="C6" s="2969"/>
      <c r="D6" s="2970"/>
      <c r="E6" s="2970"/>
      <c r="F6" s="2970"/>
      <c r="G6" s="2969"/>
      <c r="H6" s="2969"/>
      <c r="I6" s="2969"/>
      <c r="J6" s="2969"/>
      <c r="K6" s="2969"/>
      <c r="L6" s="2969"/>
      <c r="M6" s="2969"/>
      <c r="N6" s="2969"/>
      <c r="O6" s="2969"/>
      <c r="P6" s="2969"/>
      <c r="Q6" s="2969"/>
      <c r="R6" s="2969"/>
      <c r="S6" s="2969"/>
      <c r="T6" s="2969"/>
      <c r="U6" s="2971"/>
      <c r="V6" s="2972" t="s">
        <v>802</v>
      </c>
      <c r="W6" s="2972" t="s">
        <v>803</v>
      </c>
      <c r="X6" s="2973" t="s">
        <v>804</v>
      </c>
      <c r="Y6" s="2974" t="s">
        <v>804</v>
      </c>
      <c r="Z6" s="2975"/>
      <c r="AB6" s="1688"/>
      <c r="AG6" s="3040" t="s">
        <v>244</v>
      </c>
      <c r="AH6" s="2877"/>
      <c r="AI6" s="2877"/>
      <c r="AJ6" s="2877"/>
      <c r="AK6" s="3041" t="s">
        <v>573</v>
      </c>
      <c r="AL6" s="2916"/>
      <c r="AM6" s="2916"/>
      <c r="AN6" s="2916"/>
      <c r="AO6" s="2916"/>
      <c r="AP6" s="2916"/>
    </row>
    <row r="7" spans="1:48" x14ac:dyDescent="0.15">
      <c r="B7" s="2976" t="s">
        <v>805</v>
      </c>
      <c r="C7" s="2977"/>
      <c r="D7" s="2978"/>
      <c r="E7" s="2979" t="s">
        <v>806</v>
      </c>
      <c r="F7" s="2980"/>
      <c r="G7" s="2981" t="s">
        <v>807</v>
      </c>
      <c r="H7" s="2982"/>
      <c r="I7" s="2983"/>
      <c r="J7" s="2984"/>
      <c r="K7" s="4309" t="s">
        <v>808</v>
      </c>
      <c r="L7" s="4309"/>
      <c r="M7" s="4556" t="s">
        <v>809</v>
      </c>
      <c r="N7" s="4557"/>
      <c r="O7" s="4557"/>
      <c r="P7" s="4558"/>
      <c r="Q7" s="2985" t="s">
        <v>810</v>
      </c>
      <c r="R7" s="2986"/>
      <c r="S7" s="2987"/>
      <c r="T7" s="2988" t="s">
        <v>811</v>
      </c>
      <c r="U7" s="2988"/>
      <c r="V7" s="2989" t="s">
        <v>812</v>
      </c>
      <c r="W7" s="2989" t="s">
        <v>813</v>
      </c>
      <c r="X7" s="2972"/>
      <c r="Y7" s="2990" t="s">
        <v>814</v>
      </c>
      <c r="Z7" s="2990" t="s">
        <v>814</v>
      </c>
      <c r="AB7" s="1688"/>
      <c r="AG7" s="2877"/>
      <c r="AH7" s="2877"/>
      <c r="AI7" s="2877"/>
      <c r="AJ7" s="2877"/>
      <c r="AK7" s="2917" t="s">
        <v>246</v>
      </c>
      <c r="AL7" s="2916"/>
      <c r="AM7" s="2916"/>
      <c r="AN7" s="2916"/>
      <c r="AO7" s="2916"/>
      <c r="AP7" s="2916"/>
    </row>
    <row r="8" spans="1:48" ht="17" x14ac:dyDescent="0.25">
      <c r="B8" s="2991"/>
      <c r="C8" s="2992"/>
      <c r="D8" s="1697"/>
      <c r="E8" s="2993"/>
      <c r="F8" s="2994"/>
      <c r="G8" s="4559" t="s">
        <v>200</v>
      </c>
      <c r="H8" s="4560"/>
      <c r="I8" s="4561" t="s">
        <v>201</v>
      </c>
      <c r="J8" s="4562"/>
      <c r="K8" s="4563" t="s">
        <v>199</v>
      </c>
      <c r="L8" s="4564"/>
      <c r="M8" s="4565" t="s">
        <v>200</v>
      </c>
      <c r="N8" s="4566"/>
      <c r="O8" s="4561" t="s">
        <v>201</v>
      </c>
      <c r="P8" s="4562"/>
      <c r="Q8" s="1734" t="s">
        <v>200</v>
      </c>
      <c r="R8" s="1736" t="s">
        <v>201</v>
      </c>
      <c r="S8" s="2995" t="s">
        <v>815</v>
      </c>
      <c r="T8" s="2996" t="s">
        <v>816</v>
      </c>
      <c r="U8" s="2997" t="s">
        <v>817</v>
      </c>
      <c r="V8" s="2998" t="s">
        <v>818</v>
      </c>
      <c r="W8" s="2989" t="s">
        <v>309</v>
      </c>
      <c r="X8" s="2999" t="s">
        <v>819</v>
      </c>
      <c r="Y8" s="2999" t="s">
        <v>820</v>
      </c>
      <c r="Z8" s="3000" t="s">
        <v>820</v>
      </c>
      <c r="AB8" s="1187"/>
      <c r="AG8" s="2918" t="s">
        <v>254</v>
      </c>
      <c r="AH8" s="2919"/>
      <c r="AI8" s="2918" t="s">
        <v>821</v>
      </c>
      <c r="AJ8" s="2920"/>
      <c r="AK8" s="2921" t="s">
        <v>259</v>
      </c>
      <c r="AL8" s="2919"/>
      <c r="AM8" s="2921" t="s">
        <v>822</v>
      </c>
      <c r="AN8" s="3042"/>
      <c r="AO8" s="3069" t="s">
        <v>823</v>
      </c>
      <c r="AP8" s="3042"/>
    </row>
    <row r="9" spans="1:48" x14ac:dyDescent="0.15">
      <c r="B9" s="2991"/>
      <c r="C9" s="2992"/>
      <c r="D9" s="1699" t="s">
        <v>199</v>
      </c>
      <c r="E9" s="3001" t="s">
        <v>200</v>
      </c>
      <c r="F9" s="3002" t="s">
        <v>201</v>
      </c>
      <c r="G9" s="3003" t="s">
        <v>824</v>
      </c>
      <c r="H9" s="3004" t="s">
        <v>825</v>
      </c>
      <c r="I9" s="3005" t="s">
        <v>824</v>
      </c>
      <c r="J9" s="988" t="s">
        <v>825</v>
      </c>
      <c r="K9" s="4284" t="s">
        <v>65</v>
      </c>
      <c r="L9" s="4285" t="s">
        <v>66</v>
      </c>
      <c r="M9" s="4284" t="s">
        <v>65</v>
      </c>
      <c r="N9" s="4285" t="s">
        <v>66</v>
      </c>
      <c r="O9" s="4284" t="s">
        <v>65</v>
      </c>
      <c r="P9" s="4285" t="s">
        <v>66</v>
      </c>
      <c r="Q9" s="3006" t="s">
        <v>570</v>
      </c>
      <c r="R9" s="3007"/>
      <c r="S9" s="2999" t="s">
        <v>826</v>
      </c>
      <c r="T9" s="2999" t="s">
        <v>826</v>
      </c>
      <c r="U9" s="2999" t="s">
        <v>826</v>
      </c>
      <c r="V9" s="3008" t="s">
        <v>827</v>
      </c>
      <c r="W9" s="2998" t="s">
        <v>827</v>
      </c>
      <c r="X9" s="2999" t="s">
        <v>820</v>
      </c>
      <c r="Y9" s="1734" t="s">
        <v>200</v>
      </c>
      <c r="Z9" s="1736" t="s">
        <v>201</v>
      </c>
      <c r="AB9" s="1187"/>
      <c r="AC9" s="1187"/>
      <c r="AG9" s="3056" t="s">
        <v>265</v>
      </c>
      <c r="AH9" s="3057" t="s">
        <v>266</v>
      </c>
      <c r="AI9" s="3058" t="s">
        <v>265</v>
      </c>
      <c r="AJ9" s="3057" t="s">
        <v>266</v>
      </c>
      <c r="AK9" s="3058" t="s">
        <v>265</v>
      </c>
      <c r="AL9" s="3057" t="s">
        <v>266</v>
      </c>
      <c r="AM9" s="3058" t="s">
        <v>265</v>
      </c>
      <c r="AN9" s="3057" t="s">
        <v>266</v>
      </c>
      <c r="AO9" s="3058" t="s">
        <v>265</v>
      </c>
      <c r="AP9" s="3059" t="s">
        <v>266</v>
      </c>
    </row>
    <row r="10" spans="1:48" x14ac:dyDescent="0.15">
      <c r="A10" s="3009" t="s">
        <v>828</v>
      </c>
      <c r="B10" s="3010" t="s">
        <v>829</v>
      </c>
      <c r="C10" s="4308"/>
      <c r="D10" s="3011" t="str">
        <f>'4.Grassland'!G13</f>
        <v>Please select</v>
      </c>
      <c r="E10" s="3010" t="str">
        <f>'4.Grassland'!I13</f>
        <v>High intensity grazing</v>
      </c>
      <c r="F10" s="3011" t="str">
        <f>'4.Grassland'!K13</f>
        <v>Please select</v>
      </c>
      <c r="G10" s="3012" t="str">
        <f>'4.Grassland'!M13</f>
        <v>NO</v>
      </c>
      <c r="H10" s="3012">
        <f>'4.Grassland'!N13</f>
        <v>5</v>
      </c>
      <c r="I10" s="3012" t="str">
        <f>'4.Grassland'!P13</f>
        <v>NO</v>
      </c>
      <c r="J10" s="3013">
        <f>'4.Grassland'!Q13</f>
        <v>5</v>
      </c>
      <c r="K10" s="3014">
        <f>SOCref</f>
        <v>24</v>
      </c>
      <c r="L10" s="1280">
        <f>IF('4.Grassland'!BD13="",'4.Grassland'!BC13,'4.Grassland'!BD13)</f>
        <v>24</v>
      </c>
      <c r="M10" s="3015">
        <f>IFERROR(IF($E10 &lt;&gt; "Please select", VLOOKUP($E$10, grass!$W$28:$Y$33,3, FALSE),SOCref),0)</f>
        <v>21.6</v>
      </c>
      <c r="N10" s="1280">
        <f>IF('4.Grassland'!$X13&lt;&gt;0, IF('4.Grassland'!BF13="",'4.Grassland'!BE13,'4.Grassland'!BF13), $L10)</f>
        <v>24</v>
      </c>
      <c r="O10" s="3015">
        <f>IFERROR(IF($F$10&lt;&gt;"Please select",VLOOKUP($F$10,grass!$W$28:$Y$33,3,FALSE),SOCref),0)</f>
        <v>24</v>
      </c>
      <c r="P10" s="1280">
        <f>IF('4.Grassland'!$Z13&lt;&gt;0,IF('4.Grassland'!BH13="",'4.Grassland'!BG13,'4.Grassland'!BH13), $L10)</f>
        <v>24</v>
      </c>
      <c r="Q10" s="3016">
        <f>($N10-$L10)/20*(-44/12)</f>
        <v>0</v>
      </c>
      <c r="R10" s="3017">
        <f>($P10-$L10)/20*(-44/12)</f>
        <v>0</v>
      </c>
      <c r="S10" s="3018">
        <f>'4.Grassland'!S13</f>
        <v>0</v>
      </c>
      <c r="T10" s="3018">
        <f>'4.Grassland'!T13</f>
        <v>0</v>
      </c>
      <c r="U10" s="3018">
        <f>'4.Grassland'!U13</f>
        <v>0</v>
      </c>
      <c r="V10" s="3018">
        <f>IF('4.Grassland'!$BJ13="", '4.Grassland'!$BI13, '4.Grassland'!$BJ13)</f>
        <v>0</v>
      </c>
      <c r="W10" s="3119">
        <f>IF('4.Grassland'!$BM13="", '4.Grassland'!$BL13, '4.Grassland'!$BM13)</f>
        <v>0.77</v>
      </c>
      <c r="X10" s="3120">
        <f>V10*$W10*(IPCC!$D$75*methane+IPCC!$E$75*Nitrous)/1000</f>
        <v>0</v>
      </c>
      <c r="Y10" s="3120">
        <f t="shared" ref="Y10:Y23" si="0">$X10/$H10</f>
        <v>0</v>
      </c>
      <c r="Z10" s="3121">
        <f t="shared" ref="Z10:Z23" si="1">$X10/$J10</f>
        <v>0</v>
      </c>
      <c r="AB10" s="1187"/>
      <c r="AC10" s="1187"/>
      <c r="AF10" s="3052" t="s">
        <v>829</v>
      </c>
      <c r="AG10" s="3060">
        <f>IF($G10="YES",(MIN(C30,D30)*time_tot+ABS(D30-C30)*IF(D30&gt;C30,time_cap+time*(VLOOKUP(E30,list!$J$48:$K$50,2,)),time*(1-(VLOOKUP($E30,list!$J$48:$K$50,2,))))),0)*($V10*$W10*(IPCC!$D$75*methane)/1000)/$H10</f>
        <v>0</v>
      </c>
      <c r="AH10" s="3061">
        <f>IF($I10="YES",(MIN(C30,F30)*time_tot+ABS(F30-C30)*IF(F30&gt;C30,time_cap+time*(VLOOKUP(G30,list!$J$48:$K$50,2,)),time*(1-(VLOOKUP($G30,list!$J$48:$K$50,2,))))),0)*($V10*$W10*(IPCC!$D$75*methane)/1000)/$J10</f>
        <v>0</v>
      </c>
      <c r="AI10" s="3061">
        <f>IF($G10="YES",(MIN(C30,D30)*time_tot+ABS(D30-C30)*IF(D30&gt;C30,time_cap+time*(VLOOKUP(E30,list!$J$48:$K$50,2,)),time*(1-(VLOOKUP(E30,list!$J$48:$K$50,2,))))),0)*($V10*$W10*(IPCC!$E$75*Nitrous)/1000)/$H10</f>
        <v>0</v>
      </c>
      <c r="AJ10" s="3061">
        <f>IF($I10="YES",(MIN(C30,F30)*time_tot+ABS(F30-C30)*IF(F30&gt;C30,time_cap+time*(VLOOKUP(G30,list!$J$48:$K$50,2,)),time*(1-(VLOOKUP(G30,list!$J$48:$K$50,2,))))),0)*($V10*$W10*(IPCC!$E$75*Nitrous)/1000)/$J10</f>
        <v>0</v>
      </c>
      <c r="AK10" s="3061">
        <f>$Q10*(IF(E30="Immediate",IF(C30&gt;0,C30*MIN(20,time),0),C30*IF(time&gt;time+20,20,IF(time&lt;20,(time*VLOOKUP(E30, list!$J$48:$K$50,2,))+(time-time),((MIN(20,time)*VLOOKUP(E30, list!$J$48:$K$50,2,))+(time-MIN(20,time))-IF(E30="Exponential",time-20+0.217*time*(EXP(4.606*(20-time)/time)-1),((time-20)^2)*(0.5/time)))))))</f>
        <v>0</v>
      </c>
      <c r="AL10" s="3061">
        <f>$R10*(IF(G30="Immediate",IF(C30&gt;0,C30*MIN(20,time),0),C30*IF(time&gt;time+20,20,IF(time&lt;20,(time*VLOOKUP(G30, list!$J$48:$K$50,2,))+(time-time),((MIN(20,time)*VLOOKUP(G30, list!$J$48:$K$50,2,))+(time_tot-MIN(20,time))-IF(G30="Exponential",time-20+0.217*time*(EXP(4.606*(20-time)/time)-1),((time-20)^2)*(0.5/time)))))))</f>
        <v>0</v>
      </c>
      <c r="AM10" s="3061">
        <f>IF($G10="YES",(MIN(C30,D30)*time+ABS(D30-C30)*IF(D30&gt;C30,time*(VLOOKUP(E30,list!$J$48:$K$50,2,)),time*(1-(VLOOKUP(E30,list!$J$48:$K$50,2,))))),0)*($V10*$W10*(IPCC!$D$75*methane)/1000)/$H10</f>
        <v>0</v>
      </c>
      <c r="AN10" s="3061">
        <f>IF($I10="YES",(MIN(C30,F30)*time+ABS(F30-C30)*IF(F30&gt;C30,time*(VLOOKUP(G30,list!$J$48:$K$50,2,)),time*(1-(VLOOKUP(G30,list!$J$48:$K$50,2,))))),0)*($V10*$W10*(IPCC!$D$75*methane)/1000)/$J10</f>
        <v>0</v>
      </c>
      <c r="AO10" s="3061">
        <f>IF($G10="YES",(MIN(C30,D30)*time+ABS(D30-C30)*IF(D30&gt;C30,time*(VLOOKUP(E30,list!$J$48:$K$50,2,)),time*(1-(VLOOKUP(E30,list!$J$48:$K$50,2,))))),0)*($V10*$W10*(IPCC!$E$75*Nitrous)/1000)/$H10</f>
        <v>0</v>
      </c>
      <c r="AP10" s="3062">
        <f>IF($I10="YES",(MIN(C30,F30)*time+ABS(F30-C30)*IF(F30&gt;C30,time*(VLOOKUP(G30,list!$J$48:$K$50,2,)),time*(1-(VLOOKUP(G30,list!$J$48:$K$50,2,))))),0)*($V10*$W10*(IPCC!$E$75*Nitrous)/1000)/$J10</f>
        <v>0</v>
      </c>
    </row>
    <row r="11" spans="1:48" x14ac:dyDescent="0.15">
      <c r="A11" s="3025" t="s">
        <v>830</v>
      </c>
      <c r="B11" s="3026" t="s">
        <v>831</v>
      </c>
      <c r="C11" s="3027"/>
      <c r="D11" s="3027" t="str">
        <f>'4.Grassland'!G14</f>
        <v>Please select</v>
      </c>
      <c r="E11" s="3026" t="str">
        <f>'4.Grassland'!I14</f>
        <v>Please select</v>
      </c>
      <c r="F11" s="3027" t="str">
        <f>'4.Grassland'!K14</f>
        <v>Please select</v>
      </c>
      <c r="G11" s="3028" t="str">
        <f>'4.Grassland'!M14</f>
        <v>NO</v>
      </c>
      <c r="H11" s="3028">
        <f>'4.Grassland'!N14</f>
        <v>5</v>
      </c>
      <c r="I11" s="3028" t="str">
        <f>'4.Grassland'!P14</f>
        <v>NO</v>
      </c>
      <c r="J11" s="3029">
        <f>'4.Grassland'!Q14</f>
        <v>5</v>
      </c>
      <c r="K11" s="3015">
        <f>IFERROR(IF($D$11 &lt;&gt; "Please select", VLOOKUP($D$11, grass!$W$28:$Y$33,3, FALSE),SOCref),0)</f>
        <v>24</v>
      </c>
      <c r="L11" s="1280">
        <f>IF('4.Grassland'!BD14="",'4.Grassland'!BC14,'4.Grassland'!BD14)</f>
        <v>24</v>
      </c>
      <c r="M11" s="3015">
        <f>IFERROR(IF($E$11 &lt;&gt; "Please select", VLOOKUP($E$11, grass!$W$28:$Y$33,3, FALSE),SOCref),0)</f>
        <v>24</v>
      </c>
      <c r="N11" s="1280">
        <f>IF('4.Grassland'!$X14&lt;&gt;0, IF('4.Grassland'!BF14="",'4.Grassland'!BE14,'4.Grassland'!BF14), $L11)</f>
        <v>24</v>
      </c>
      <c r="O11" s="3015">
        <f>IFERROR(IF($F$11 &lt;&gt; "Please select", VLOOKUP($F$11, grass!$W$28:$Y$33,3, FALSE),SOCref),0)</f>
        <v>24</v>
      </c>
      <c r="P11" s="1280">
        <f>IF('4.Grassland'!$Z14&lt;&gt;0,IF('4.Grassland'!BH14="",'4.Grassland'!BG14,'4.Grassland'!BH14), $L11)</f>
        <v>24</v>
      </c>
      <c r="Q11" s="3030">
        <f>($N11-$L11)/20*(-44/12)</f>
        <v>0</v>
      </c>
      <c r="R11" s="3030">
        <f>($P11-$L11)/20*(-44/12)</f>
        <v>0</v>
      </c>
      <c r="S11" s="3028">
        <f>'4.Grassland'!S14</f>
        <v>0</v>
      </c>
      <c r="T11" s="3028">
        <f>'4.Grassland'!T14</f>
        <v>0</v>
      </c>
      <c r="U11" s="3028">
        <f>'4.Grassland'!U14</f>
        <v>0</v>
      </c>
      <c r="V11" s="3028">
        <f>IF('4.Grassland'!$BJ14="", '4.Grassland'!$BI14, '4.Grassland'!$BJ14)</f>
        <v>0</v>
      </c>
      <c r="W11" s="3028">
        <f>IF('4.Grassland'!$BM14="", '4.Grassland'!$BL14, '4.Grassland'!$BM14)</f>
        <v>0.77</v>
      </c>
      <c r="X11" s="3123">
        <f>V11*$W11*(IPCC!$D$75*methane+IPCC!$E$75*Nitrous)/1000</f>
        <v>0</v>
      </c>
      <c r="Y11" s="3123">
        <f t="shared" si="0"/>
        <v>0</v>
      </c>
      <c r="Z11" s="3123">
        <f t="shared" si="1"/>
        <v>0</v>
      </c>
      <c r="AB11" s="1187"/>
      <c r="AC11" s="1187"/>
      <c r="AF11" s="3054" t="s">
        <v>831</v>
      </c>
      <c r="AG11" s="3066">
        <f>IF($G11="YES",(MIN(C31,D31)*time_tot+ABS(D31-C31)*IF(D31&gt;C31,time_cap+time*(VLOOKUP(E31,list!$J$48:$K$50,2,)),time*(1-(VLOOKUP($E31,list!$J$48:$K$50,2,))))),0)*($V11*$W11*(IPCC!$D$75*methane)/1000)/$H11</f>
        <v>0</v>
      </c>
      <c r="AH11" s="3067">
        <f>IF($I11="YES",(MIN(C31,F31)*time_tot+ABS(F31-C31)*IF(F31&gt;C31,time_cap+time*(VLOOKUP(G31,list!$J$48:$K$50,2,)),time*(1-(VLOOKUP($G31,list!$J$48:$K$50,2,))))),0)*($V11*$W11*(IPCC!$D$75*methane)/1000)/$J11</f>
        <v>0</v>
      </c>
      <c r="AI11" s="3067">
        <f>IF($G11="YES",(MIN(C31,D31)*time_tot+ABS(D31-C31)*IF(D31&gt;C31,time_cap+time*(VLOOKUP(E31,list!$J$48:$K$50,2,)),time*(1-(VLOOKUP(E31,list!$J$48:$K$50,2,))))),0)*($V11*$W11*(IPCC!$E$75*Nitrous)/1000)/$H11</f>
        <v>0</v>
      </c>
      <c r="AJ11" s="3067">
        <f>IF($I11="YES",(MIN(C31,F31)*time_tot+ABS(F31-C31)*IF(F31&gt;C31,time_cap+time*(VLOOKUP(G31,list!$J$48:$K$50,2,)),time*(1-(VLOOKUP(G31,list!$J$48:$K$50,2,))))),0)*($V11*$W11*(IPCC!$E$75*Nitrous)/1000)/$J11</f>
        <v>0</v>
      </c>
      <c r="AK11" s="3067">
        <f>$Q11*(IF(E31="Immediate",IF(C31&gt;0,C31*MIN(20,time),0),C31*IF(time&gt;time+20,20,IF(time&lt;20,(time*VLOOKUP(E31, list!$J$48:$K$50,2,))+(time-time),((MIN(20,time)*VLOOKUP(E31, list!$J$48:$K$50,2,))+(time-MIN(20,time))-IF(E31="Exponential",time-20+0.217*time*(EXP(4.606*(20-time)/time)-1),((time-20)^2)*(0.5/time)))))))</f>
        <v>0</v>
      </c>
      <c r="AL11" s="3067">
        <f>$R11*(IF(G31="Immediate",IF(C31&gt;0,C31*MIN(20,time),0),C31*IF(time&gt;time+20,20,IF(time&lt;20,(time*VLOOKUP(G31, list!$J$48:$K$50,2,))+(time-time),((MIN(20,time)*VLOOKUP(G31, list!$J$48:$K$50,2,))+(time_tot-MIN(20,time))-IF(G31="Exponential",time-20+0.217*time*(EXP(4.606*(20-time)/time)-1),((time-20)^2)*(0.5/time)))))))</f>
        <v>0</v>
      </c>
      <c r="AM11" s="3067">
        <f>IF($G11="YES",(MIN(C31,D31)*time+ABS(D31-C31)*IF(D31&gt;C31,time*(VLOOKUP(E31,list!$J$48:$K$50,2,)),time*(1-(VLOOKUP(E31,list!$J$48:$K$50,2,))))),0)*($V11*$W11*(IPCC!$D$75*methane)/1000)/$H11</f>
        <v>0</v>
      </c>
      <c r="AN11" s="3067">
        <f>IF($I11="YES",(MIN(C31,F31)*time+ABS(F31-C31)*IF(F31&gt;C31,time*(VLOOKUP(G31,list!$J$48:$K$50,2,)),time*(1-(VLOOKUP(G31,list!$J$48:$K$50,2,))))),0)*($V11*$W11*(IPCC!$D$75*methane)/1000)/$J11</f>
        <v>0</v>
      </c>
      <c r="AO11" s="3067">
        <f>IF($G11="YES",(MIN(C31,D31)*time+ABS(D31-C31)*IF(D31&gt;C31,time*(VLOOKUP(E31,list!$J$48:$K$50,2,)),time*(1-(VLOOKUP(E31,list!$J$48:$K$50,2,))))),0)*($V11*$W11*(IPCC!$E$75*Nitrous)/1000)/$H11</f>
        <v>0</v>
      </c>
      <c r="AP11" s="3068">
        <f>IF($I11="YES",(MIN(C31,F31)*time+ABS(F31-C31)*IF(F31&gt;C31,time*(VLOOKUP(G31,list!$J$48:$K$50,2,)),time*(1-(VLOOKUP(G31,list!$J$48:$K$50,2,))))),0)*($V11*$W11*(IPCC!$E$75*Nitrous)/1000)/$J11</f>
        <v>0</v>
      </c>
    </row>
    <row r="12" spans="1:48" x14ac:dyDescent="0.15">
      <c r="A12" s="3019" t="s">
        <v>832</v>
      </c>
      <c r="B12" s="3020" t="s">
        <v>833</v>
      </c>
      <c r="C12" s="4307"/>
      <c r="D12" s="3022" t="str">
        <f>'4.Grassland'!G15</f>
        <v>Please select</v>
      </c>
      <c r="E12" s="3020" t="str">
        <f>'4.Grassland'!I15</f>
        <v>Please select</v>
      </c>
      <c r="F12" s="3022" t="str">
        <f>'4.Grassland'!K15</f>
        <v>Please select</v>
      </c>
      <c r="G12" s="3021" t="str">
        <f>'4.Grassland'!M15</f>
        <v>NO</v>
      </c>
      <c r="H12" s="3021">
        <f>'4.Grassland'!N15</f>
        <v>5</v>
      </c>
      <c r="I12" s="3021" t="str">
        <f>'4.Grassland'!P15</f>
        <v>NO</v>
      </c>
      <c r="J12" s="3023">
        <f>'4.Grassland'!Q15</f>
        <v>5</v>
      </c>
      <c r="K12" s="3014">
        <f>SOCref</f>
        <v>24</v>
      </c>
      <c r="L12" s="1280">
        <f>IF('4.Grassland'!BD15="",'4.Grassland'!BC15,'4.Grassland'!BD15)</f>
        <v>24</v>
      </c>
      <c r="M12" s="3015">
        <f>IFERROR(IF($C$12&gt;0,$C$12,IF($E$12 &lt;&gt; "Please select", VLOOKUP($E$12, grass!$W$28:$Y$33,3, FALSE),SOCref)),0)</f>
        <v>24</v>
      </c>
      <c r="N12" s="1280">
        <f>IF('4.Grassland'!$X15&lt;&gt;0, IF('4.Grassland'!BF15="",'4.Grassland'!BE15,'4.Grassland'!BF15), $L12)</f>
        <v>24</v>
      </c>
      <c r="O12" s="3015">
        <f>IFERROR(IF($C$12&gt;0,$C$12,IF($F$12 &lt;&gt; "Please select", VLOOKUP($F$12, grass!$W$28:$Y$33,3, FALSE),SOCref)),0)</f>
        <v>24</v>
      </c>
      <c r="P12" s="1280">
        <f>IF('4.Grassland'!$Z15&lt;&gt;0,IF('4.Grassland'!BH15="",'4.Grassland'!BG15,'4.Grassland'!BH15), $L12)</f>
        <v>24</v>
      </c>
      <c r="Q12" s="3024">
        <f>($N12-$L12)/20*(-44/12)</f>
        <v>0</v>
      </c>
      <c r="R12" s="3024">
        <f>($P12-$L12)/20*(-44/12)</f>
        <v>0</v>
      </c>
      <c r="S12" s="3021">
        <f>'4.Grassland'!S15</f>
        <v>0</v>
      </c>
      <c r="T12" s="3021">
        <f>'4.Grassland'!T15</f>
        <v>0</v>
      </c>
      <c r="U12" s="3021">
        <f>'4.Grassland'!U15</f>
        <v>0</v>
      </c>
      <c r="V12" s="3021">
        <f>IF('4.Grassland'!$BJ15="", '4.Grassland'!$BI15, '4.Grassland'!$BJ15)</f>
        <v>0</v>
      </c>
      <c r="W12" s="3021">
        <f>IF('4.Grassland'!$BM15="", '4.Grassland'!$BL15, '4.Grassland'!$BM15)</f>
        <v>0.77</v>
      </c>
      <c r="X12" s="3122">
        <f>V12*$W12*(IPCC!$D$75*methane+IPCC!$E$75*Nitrous)/1000</f>
        <v>0</v>
      </c>
      <c r="Y12" s="3122">
        <f t="shared" si="0"/>
        <v>0</v>
      </c>
      <c r="Z12" s="3122">
        <f t="shared" si="1"/>
        <v>0</v>
      </c>
      <c r="AB12" s="1187"/>
      <c r="AC12" s="1187"/>
      <c r="AF12" s="3053" t="s">
        <v>834</v>
      </c>
      <c r="AG12" s="3063">
        <f>IF($G12="YES",(MIN(C32,D32)*time_tot+ABS(D32-C32)*IF(D32&gt;C32,time_cap+time*(VLOOKUP(E32,list!$J$48:$K$50,2,)),time*(1-(VLOOKUP($E32,list!$J$48:$K$50,2,))))),0)*($V12*$W12*(IPCC!$D$75*methane)/1000)/$H12</f>
        <v>0</v>
      </c>
      <c r="AH12" s="3064">
        <f>IF($I12="YES",(MIN(C32,F32)*time_tot+ABS(F32-C32)*IF(F32&gt;C32,time_cap+time*(VLOOKUP(G32,list!$J$48:$K$50,2,)),time*(1-(VLOOKUP($G32,list!$J$48:$K$50,2,))))),0)*($V12*$W12*(IPCC!$D$75*methane)/1000)/$J12</f>
        <v>0</v>
      </c>
      <c r="AI12" s="3064">
        <f>IF($G12="YES",(MIN(C32,D32)*time_tot+ABS(D32-C32)*IF(D32&gt;C32,time_cap+time*(VLOOKUP(E32,list!$J$48:$K$50,2,)),time*(1-(VLOOKUP(E32,list!$J$48:$K$50,2,))))),0)*($V12*$W12*(IPCC!$E$75*Nitrous)/1000)/$H12</f>
        <v>0</v>
      </c>
      <c r="AJ12" s="3064">
        <f>IF($I12="YES",(MIN(C32,F32)*time_tot+ABS(F32-C32)*IF(F32&gt;C32,time_cap+time*(VLOOKUP(G32,list!$J$48:$K$50,2,)),time*(1-(VLOOKUP(G32,list!$J$48:$K$50,2,))))),0)*($V12*$W12*(IPCC!$E$75*Nitrous)/1000)/$J12</f>
        <v>0</v>
      </c>
      <c r="AK12" s="3064">
        <f>$Q12*(IF(E32="Immediate",IF(C32&gt;0,C32*MIN(20,time),0),C32*IF(time&gt;time+20,20,IF(time&lt;20,(time*VLOOKUP(E32, list!$J$48:$K$50,2,))+(time-time),((MIN(20,time)*VLOOKUP(E32, list!$J$48:$K$50,2,))+(time-MIN(20,time))-IF(E32="Exponential",time-20+0.217*time*(EXP(4.606*(20-time)/time)-1),((time-20)^2)*(0.5/time)))))))</f>
        <v>0</v>
      </c>
      <c r="AL12" s="3064">
        <f>$R12*(IF(G32="Immediate",IF(C32&gt;0,C32*MIN(20,time),0),C32*IF(time&gt;time+20,20,IF(time&lt;20,(time*VLOOKUP(G32, list!$J$48:$K$50,2,))+(time-time),((MIN(20,time)*VLOOKUP(G32, list!$J$48:$K$50,2,))+(time_tot-MIN(20,time))-IF(G32="Exponential",time-20+0.217*time*(EXP(4.606*(20-time)/time)-1),((time-20)^2)*(0.5/time)))))))</f>
        <v>0</v>
      </c>
      <c r="AM12" s="3064">
        <f>IF($G12="YES",(MIN(C32,D32)*time+ABS(D32-C32)*IF(D32&gt;C32,time*(VLOOKUP(E32,list!$J$48:$K$50,2,)),time*(1-(VLOOKUP(E32,list!$J$48:$K$50,2,))))),0)*($V12*$W12*(IPCC!$D$75*methane)/1000)/$H12</f>
        <v>0</v>
      </c>
      <c r="AN12" s="3064">
        <f>IF($I12="YES",(MIN(C32,F32)*time+ABS(F32-C32)*IF(F32&gt;C32,time*(VLOOKUP(G32,list!$J$48:$K$50,2,)),time*(1-(VLOOKUP(G32,list!$J$48:$K$50,2,))))),0)*($V12*$W12*(IPCC!$D$75*methane)/1000)/$J12</f>
        <v>0</v>
      </c>
      <c r="AO12" s="3064">
        <f>IF($G12="YES",(MIN(C32,D32)*time+ABS(D32-C32)*IF(D32&gt;C32,time*(VLOOKUP(E32,list!$J$48:$K$50,2,)),time*(1-(VLOOKUP(E32,list!$J$48:$K$50,2,))))),0)*($V12*$W12*(IPCC!$E$75*Nitrous)/1000)/$H12</f>
        <v>0</v>
      </c>
      <c r="AP12" s="3065">
        <f>IF($I12="YES",(MIN(C32,F32)*time+ABS(F32-C32)*IF(F32&gt;C32,time*(VLOOKUP(G32,list!$J$48:$K$50,2,)),time*(1-(VLOOKUP(G32,list!$J$48:$K$50,2,))))),0)*($V12*$W12*(IPCC!$E$75*Nitrous)/1000)/$J12</f>
        <v>0</v>
      </c>
    </row>
    <row r="13" spans="1:48" x14ac:dyDescent="0.15">
      <c r="A13" s="3031" t="s">
        <v>835</v>
      </c>
      <c r="B13" s="3032" t="s">
        <v>836</v>
      </c>
      <c r="C13" s="3033"/>
      <c r="D13" s="3034" t="str">
        <f>'4.Grassland'!G16</f>
        <v>High intensity grazing</v>
      </c>
      <c r="E13" s="3032" t="str">
        <f>'4.Grassland'!I16</f>
        <v>Please select</v>
      </c>
      <c r="F13" s="3034" t="str">
        <f>'4.Grassland'!K16</f>
        <v>Please select</v>
      </c>
      <c r="G13" s="3033" t="str">
        <f>'4.Grassland'!M16</f>
        <v>NO</v>
      </c>
      <c r="H13" s="3033">
        <f>'4.Grassland'!N16</f>
        <v>5</v>
      </c>
      <c r="I13" s="3033" t="str">
        <f>'4.Grassland'!P16</f>
        <v>NO</v>
      </c>
      <c r="J13" s="3035">
        <f>'4.Grassland'!Q16</f>
        <v>5</v>
      </c>
      <c r="K13" s="3036">
        <f>IFERROR(IF($C$13&gt;0,$C$13,IF($D$13 &lt;&gt; "Please select", VLOOKUP($D$13, grass!$W$28:$Y$33,3, FALSE),SOCref)),0)</f>
        <v>21.6</v>
      </c>
      <c r="L13" s="2422">
        <f>IF('4.Grassland'!BD16="",'4.Grassland'!BC16,'4.Grassland'!BD16)</f>
        <v>21.6</v>
      </c>
      <c r="M13" s="3036">
        <f>IFERROR(IF($C$13&gt;0,$C$13,IF($E$13 &lt;&gt; "Please select", VLOOKUP($E$13, grass!$W$28:$Y$33,3, FALSE),SOCref)),0)</f>
        <v>24</v>
      </c>
      <c r="N13" s="1280">
        <f>IF('4.Grassland'!$X16&lt;&gt;0, IF('4.Grassland'!BF16="",'4.Grassland'!BE16,'4.Grassland'!BF16), $L13)</f>
        <v>21.6</v>
      </c>
      <c r="O13" s="3036">
        <f>IFERROR(IF($C$13&gt;0,$C$13,IF($F$13 &lt;&gt; "Please select", VLOOKUP($F$13, grass!$W$28:$Y$33,3, FALSE),SOCref)),0)</f>
        <v>24</v>
      </c>
      <c r="P13" s="1280">
        <f>IF('4.Grassland'!$Z16&lt;&gt;0,IF('4.Grassland'!BH16="",'4.Grassland'!BG16,'4.Grassland'!BH16), $L13)</f>
        <v>21.6</v>
      </c>
      <c r="Q13" s="3037">
        <f>($N13-$L13)/20*(-44/12)</f>
        <v>0</v>
      </c>
      <c r="R13" s="3037">
        <f>($P13-$L13)/20*(-44/12)</f>
        <v>0</v>
      </c>
      <c r="S13" s="3033">
        <f>'4.Grassland'!S16</f>
        <v>0</v>
      </c>
      <c r="T13" s="3033">
        <f>'4.Grassland'!T16</f>
        <v>0</v>
      </c>
      <c r="U13" s="3033">
        <f>'4.Grassland'!U16</f>
        <v>0</v>
      </c>
      <c r="V13" s="3033">
        <f>IF('4.Grassland'!$BJ16="", '4.Grassland'!$BI16, '4.Grassland'!$BJ16)</f>
        <v>1.6</v>
      </c>
      <c r="W13" s="3033">
        <f>IF('4.Grassland'!$BM16="", '4.Grassland'!$BL16, '4.Grassland'!$BM16)</f>
        <v>0.77</v>
      </c>
      <c r="X13" s="3124">
        <f>V13*$W13*(IPCC!$D$75*methane+IPCC!$E$75*Nitrous)/1000</f>
        <v>0.14790159999999999</v>
      </c>
      <c r="Y13" s="3124">
        <f t="shared" si="0"/>
        <v>2.958032E-2</v>
      </c>
      <c r="Z13" s="3124">
        <f t="shared" si="1"/>
        <v>2.958032E-2</v>
      </c>
      <c r="AB13" s="1187"/>
      <c r="AC13" s="1187"/>
      <c r="AF13" s="3055" t="s">
        <v>836</v>
      </c>
      <c r="AG13" s="3663">
        <f>IF($G13="YES",(MIN(C33,D33)*time_tot+ABS(D33-C33)*IF(D33&gt;C33,time_cap+time*(VLOOKUP(E33,list!$J$48:$K$50,2,)),time*(1-(VLOOKUP($E33,list!$J$48:$K$50,2,))))),0)*($V13*$W13*(IPCC!$D$75*methane)/1000)/$H13</f>
        <v>0</v>
      </c>
      <c r="AH13" s="3664">
        <f>IF($I13="YES",(MIN(C33,F33)*time_tot+ABS(F33-C33)*IF(F33&gt;C33,time_cap+time*(VLOOKUP(G33,list!$J$48:$K$50,2,)),time*(1-(VLOOKUP($G33,list!$J$48:$K$50,2,))))),0)*($V13*$W13*(IPCC!$D$75*methane)/1000)/$J13</f>
        <v>0</v>
      </c>
      <c r="AI13" s="3664">
        <f>IF($G13="YES",(MIN(C33,D33)*time_tot+ABS(D33-C33)*IF(D33&gt;C33,time_cap+time*(VLOOKUP(E33,list!$J$48:$K$50,2,)),time*(1-(VLOOKUP(E33,list!$J$48:$K$50,2,))))),0)*($V13*$W13*(IPCC!$E$75*Nitrous)/1000)/$H13</f>
        <v>0</v>
      </c>
      <c r="AJ13" s="3664">
        <f>IF($I13="YES",(MIN(C33,F33)*time_tot+ABS(F33-C33)*IF(F33&gt;C33,time_cap+time*(VLOOKUP(G33,list!$J$48:$K$50,2,)),time*(1-(VLOOKUP(G33,list!$J$48:$K$50,2,))))),0)*($V13*$W13*(IPCC!$E$75*Nitrous)/1000)/$J13</f>
        <v>0</v>
      </c>
      <c r="AK13" s="3664">
        <f>$Q13*(IF(E33="Immediate",IF(C33&gt;0,C33*MIN(20,time),0),C33*IF(time&gt;time+20,20,IF(time&lt;20,(time*VLOOKUP(E33, list!$J$48:$K$50,2,))+(time-time),((MIN(20,time)*VLOOKUP(E33, list!$J$48:$K$50,2,))+(time-MIN(20,time))-IF(E33="Exponential",time-20+0.217*time*(EXP(4.606*(20-time)/time)-1),((time-20)^2)*(0.5/time)))))))</f>
        <v>0</v>
      </c>
      <c r="AL13" s="3664">
        <f>$R13*(IF(G33="Immediate",IF(C33&gt;0,C33*MIN(20,time),0),C33*IF(time&gt;time+20,20,IF(time&lt;20,(time*VLOOKUP(G33, list!$J$48:$K$50,2,))+(time-time),((MIN(20,time)*VLOOKUP(G33, list!$J$48:$K$50,2,))+(time_tot-MIN(20,time))-IF(G33="Exponential",time-20+0.217*time*(EXP(4.606*(20-time)/time)-1),((time-20)^2)*(0.5/time)))))))</f>
        <v>0</v>
      </c>
      <c r="AM13" s="3664">
        <f>IF($G13="YES",(MIN(C33,D33)*time+ABS(D33-C33)*IF(D33&gt;C33,time*(VLOOKUP(E33,list!$J$48:$K$50,2,)),time*(1-(VLOOKUP(E33,list!$J$48:$K$50,2,))))),0)*($V13*$W13*(IPCC!$D$75*methane)/1000)/$H13</f>
        <v>0</v>
      </c>
      <c r="AN13" s="3664">
        <f>IF($I13="YES",(MIN(C33,F33)*time+ABS(F33-C33)*IF(F33&gt;C33,time*(VLOOKUP(G33,list!$J$48:$K$50,2,)),time*(1-(VLOOKUP(G33,list!$J$48:$K$50,2,))))),0)*($V13*$W13*(IPCC!$D$75*methane)/1000)/$J13</f>
        <v>0</v>
      </c>
      <c r="AO13" s="3664">
        <f>IF($G13="YES",(MIN(C33,D33)*time+ABS(D33-C33)*IF(D33&gt;C33,time*(VLOOKUP(E33,list!$J$48:$K$50,2,)),time*(1-(VLOOKUP(E33,list!$J$48:$K$50,2,))))),0)*($V13*$W13*(IPCC!$E$75*Nitrous)/1000)/$H13</f>
        <v>0</v>
      </c>
      <c r="AP13" s="3665">
        <f>IF($I13="YES",(MIN(C33,F33)*time+ABS(F33-C33)*IF(F33&gt;C33,time*(VLOOKUP(G33,list!$J$48:$K$50,2,)),time*(1-(VLOOKUP(G33,list!$J$48:$K$50,2,))))),0)*($V13*$W13*(IPCC!$E$75*Nitrous)/1000)/$J13</f>
        <v>0</v>
      </c>
    </row>
    <row r="14" spans="1:48" x14ac:dyDescent="0.15">
      <c r="B14" s="3109">
        <f>'4.Grassland'!C26</f>
        <v>0</v>
      </c>
      <c r="C14" s="1300"/>
      <c r="D14" s="1300" t="str">
        <f>'4.Grassland'!$G26</f>
        <v>High intensity grazing</v>
      </c>
      <c r="E14" s="3110" t="str">
        <f>'4.Grassland'!$I26</f>
        <v>Please select</v>
      </c>
      <c r="F14" s="3110" t="str">
        <f>'4.Grassland'!$K26</f>
        <v>Please select</v>
      </c>
      <c r="G14" s="3110" t="str">
        <f>'4.Grassland'!$M26</f>
        <v>NO</v>
      </c>
      <c r="H14" s="3110">
        <f>'4.Grassland'!$N26</f>
        <v>2</v>
      </c>
      <c r="I14" s="3110" t="str">
        <f>'4.Grassland'!$P26</f>
        <v>NO</v>
      </c>
      <c r="J14" s="3110">
        <f>'4.Grassland'!$Q26</f>
        <v>2</v>
      </c>
      <c r="K14" s="3107">
        <f>IFERROR(IF($D14&lt;&gt; "Please select", VLOOKUP($D14, grass!$W$28:$Y$33,3, FALSE),SOCref),0)</f>
        <v>21.6</v>
      </c>
      <c r="L14" s="3108">
        <f>IF('4.Grassland'!BD26="",'4.Grassland'!BC26,'4.Grassland'!BD26)</f>
        <v>21.6</v>
      </c>
      <c r="M14" s="3107">
        <f>IFERROR(IF($E14&lt;&gt; "Please select", VLOOKUP($E14, grass!$W$28:$Y$33,3, FALSE),SOCref),0)</f>
        <v>24</v>
      </c>
      <c r="N14" s="3108">
        <f>IF('4.Grassland'!BF26="",'4.Grassland'!BE26,'4.Grassland'!BF26)</f>
        <v>24</v>
      </c>
      <c r="O14" s="3107">
        <f>IFERROR(IF($F14&lt;&gt; "Please select", VLOOKUP($F14, grass!$W$28:$Y$33,3, FALSE),SOCref),0)</f>
        <v>24</v>
      </c>
      <c r="P14" s="3108">
        <f>IF('4.Grassland'!BH26="",'4.Grassland'!BG26,'4.Grassland'!BH26)</f>
        <v>24</v>
      </c>
      <c r="Q14" s="3112">
        <f>($N14-$L14)/20*(-44/12)</f>
        <v>-0.43999999999999972</v>
      </c>
      <c r="R14" s="3113">
        <f>($P14-$L14)/20*(-44/12)</f>
        <v>-0.43999999999999972</v>
      </c>
      <c r="S14" s="3110">
        <f>'4.Grassland'!$S26</f>
        <v>0</v>
      </c>
      <c r="T14" s="3110">
        <f>'4.Grassland'!$T26</f>
        <v>0</v>
      </c>
      <c r="U14" s="3110">
        <f>'4.Grassland'!$U26</f>
        <v>0</v>
      </c>
      <c r="V14" s="1361">
        <f>IF('4.Grassland'!$BJ26="", '4.Grassland'!$BI26, '4.Grassland'!$BJ26)</f>
        <v>1.6</v>
      </c>
      <c r="W14" s="1361">
        <f>IF('4.Grassland'!$BM26="", '4.Grassland'!$BL26, '4.Grassland'!$BM26)</f>
        <v>0.77</v>
      </c>
      <c r="X14" s="3118">
        <f>V14*$W14*(IPCC!$D$75*methane+IPCC!$E$75*Nitrous)/1000</f>
        <v>0.14790159999999999</v>
      </c>
      <c r="Y14" s="3393">
        <f t="shared" si="0"/>
        <v>7.3950799999999997E-2</v>
      </c>
      <c r="Z14" s="3393">
        <f t="shared" si="1"/>
        <v>7.3950799999999997E-2</v>
      </c>
      <c r="AG14" s="3043">
        <f>IF($G14="YES",(MIN(C34,D34)*time_tot+ABS(D34-C34)*IF(D34&gt;C34,time_cap+time*(VLOOKUP(E34,list!$J$48:$K$50,2,)),time*(1-(VLOOKUP($E34,list!$J$48:$K$50,2,))))),0)*($V14*$W14*(IPCC!$D$75*methane)/1000)/$H14</f>
        <v>0</v>
      </c>
      <c r="AH14" s="3044">
        <f>IF($I14="YES",(MIN(D34,F34)*time_tot+ABS(F34-D34)*IF(F34&gt;D34,time_cap+time*(VLOOKUP(G34,list!$J$48:$K$50,2,)),time*(1-(VLOOKUP(G34,list!$J$48:$K$50,2,))))),0)*($V14*$W14*(IPCC!$D$75*methane)/1000)/$H14</f>
        <v>0</v>
      </c>
      <c r="AI14" s="3044">
        <f>IF($G14="YES",(MIN(C34,D34)*time_tot+ABS(D34-C34)*IF(D34&gt;C34,time_cap+time*(VLOOKUP(E34,list!$J$48:$K$50,2,)),time*(1-(VLOOKUP(E34,list!$J$48:$K$50,2,))))),0)*($V14*$W14*(IPCC!$E$75*Nitrous)/1000)/$H14</f>
        <v>0</v>
      </c>
      <c r="AJ14" s="3044">
        <f>IF($I14="YES",(MIN(D34,F34)*time_tot+ABS(F34-D34)*IF(F34&gt;D34,time_cap+time*(VLOOKUP(G34,list!$J$48:$K$50,2,)),time*(1-(VLOOKUP(G34,list!$J$48:$K$50,2,))))),0)*($V14*$W14*(IPCC!$E$75*Nitrous)/1000)/$H14</f>
        <v>0</v>
      </c>
      <c r="AK14" s="3044">
        <f>$Q14*(IF(E34="Immediate",IF(C34&gt;0,C34*MIN(20,time),0),C34*IF(time&gt;time+20,20,IF(time&lt;20,(time*VLOOKUP(E34, list!$J$48:$K$50,2,))+(time-time),((MIN(20,time)*VLOOKUP(E34, list!$J$48:$K$50,2,))+(time-MIN(20,time))-IF(E34="Exponential",time-20+0.217*time*(EXP(4.606*(20-time)/time)-1),((time-20)^2)*(0.5/time)))))))</f>
        <v>-164.99999999999989</v>
      </c>
      <c r="AL14" s="3044">
        <f>$R14*(IF(G34="Immediate",IF(C34&gt;0,C34*MIN(20,time),0),C34*IF(time&gt;time+20,20,IF(time&lt;20,(time*VLOOKUP(G34, list!$J$48:$K$50,2,))+(time-time),((MIN(20,time)*VLOOKUP(G34, list!$J$48:$K$50,2,))+(time_tot-MIN(20,time))-IF(G34="Exponential",time-20+0.217*time*(EXP(4.606*(20-time)/time)-1),((time-20)^2)*(0.5/time)))))))</f>
        <v>-164.99999999999989</v>
      </c>
      <c r="AM14" s="3044">
        <f>IF($G14="YES",(MIN(C34,D34)*time+ABS(D34-C34)*IF(D34&gt;C34,time*(VLOOKUP(E34,list!$J$48:$K$50,2,)),time*(1-(VLOOKUP(E34,list!$J$48:$K$50,2,))))),0)*($V14*$W14*(IPCC!$D$75*methane)/1000)/$H14</f>
        <v>0</v>
      </c>
      <c r="AN14" s="3044">
        <f>IF($I14="YES",(MIN(D34,F34)*time+ABS(F34-D34)*IF(F34&gt;D34,time*(VLOOKUP(G34,list!$J$48:$K$50,2,)),time*(1-(VLOOKUP(G34,list!$J$48:$K$50,2,))))),0)*($V14*$W14*(IPCC!$D$75*methane)/1000)/$H14</f>
        <v>0</v>
      </c>
      <c r="AO14" s="3044">
        <f>IF($G14="YES",(MIN(C34,D34)*time+ABS(D34-C34)*IF(D34&gt;C34,time*(VLOOKUP(E34,list!$J$48:$K$50,2,)),time*(1-(VLOOKUP(E34,list!$J$48:$K$50,2,))))),0)*($V14*$W14*(IPCC!$E$75*Nitrous)/1000)/$H14</f>
        <v>0</v>
      </c>
      <c r="AP14" s="3045">
        <f>IF($I14="YES",(MIN(D34,F34)*time+ABS(F34-D34)*IF(F34&gt;D34,time*(VLOOKUP(G34,list!$J$48:$K$50,2,)),time*(1-(VLOOKUP(G34,list!$J$48:$K$50,2,))))),0)*($V14*$W14*(IPCC!$E$75*Nitrous)/1000)/$H14</f>
        <v>0</v>
      </c>
    </row>
    <row r="15" spans="1:48" x14ac:dyDescent="0.15">
      <c r="B15" s="3111">
        <f>'4.Grassland'!C27</f>
        <v>0</v>
      </c>
      <c r="C15" s="1688"/>
      <c r="D15" s="1688" t="str">
        <f>'4.Grassland'!$G27</f>
        <v>Please select</v>
      </c>
      <c r="E15" s="3106" t="str">
        <f>'4.Grassland'!$I27</f>
        <v>Severely degraded</v>
      </c>
      <c r="F15" s="3106" t="str">
        <f>'4.Grassland'!$K27</f>
        <v>Please select</v>
      </c>
      <c r="G15" s="3106" t="str">
        <f>'4.Grassland'!$M27</f>
        <v>YES</v>
      </c>
      <c r="H15" s="3106">
        <f>'4.Grassland'!$N27</f>
        <v>2</v>
      </c>
      <c r="I15" s="3106" t="str">
        <f>'4.Grassland'!$P27</f>
        <v>NO</v>
      </c>
      <c r="J15" s="3106">
        <f>'4.Grassland'!$Q27</f>
        <v>2</v>
      </c>
      <c r="K15" s="3038">
        <f>IFERROR(IF($D15&lt;&gt; "Please select", VLOOKUP($D15, grass!$W$28:$Y$33,3, FALSE),SOCref),0)</f>
        <v>24</v>
      </c>
      <c r="L15" s="1280">
        <f>IF('4.Grassland'!BD27="",'4.Grassland'!BC27,'4.Grassland'!BD27)</f>
        <v>24</v>
      </c>
      <c r="M15" s="3038">
        <f>IFERROR(IF($E15&lt;&gt; "Please select", VLOOKUP($E15, grass!$W$28:$Y$33,3, FALSE),SOCref),0)</f>
        <v>16.799999999999997</v>
      </c>
      <c r="N15" s="1280">
        <f>IF('4.Grassland'!BF27="",'4.Grassland'!BE27,'4.Grassland'!BF27)</f>
        <v>16.799999999999997</v>
      </c>
      <c r="O15" s="3038">
        <f>IFERROR(IF($F15&lt;&gt; "Please select", VLOOKUP($F15, grass!$W$28:$Y$33,3, FALSE),SOCref),0)</f>
        <v>24</v>
      </c>
      <c r="P15" s="1280">
        <f>IF('4.Grassland'!BH27="",'4.Grassland'!BG27,'4.Grassland'!BH27)</f>
        <v>24</v>
      </c>
      <c r="Q15" s="3114">
        <f t="shared" ref="Q15:Q23" si="2">($N15-$L15)/20*(-44/12)</f>
        <v>1.3200000000000005</v>
      </c>
      <c r="R15" s="3115">
        <f t="shared" ref="R15:R23" si="3">($P15-$L15)/20*(-44/12)</f>
        <v>0</v>
      </c>
      <c r="S15" s="3106">
        <f>'4.Grassland'!$S27</f>
        <v>0</v>
      </c>
      <c r="T15" s="3106">
        <f>'4.Grassland'!$T27</f>
        <v>0</v>
      </c>
      <c r="U15" s="3106">
        <f>'4.Grassland'!$U27</f>
        <v>0</v>
      </c>
      <c r="V15" s="1104">
        <f>IF('4.Grassland'!$BJ27="", '4.Grassland'!$BI27, '4.Grassland'!$BJ27)</f>
        <v>0</v>
      </c>
      <c r="W15" s="1104">
        <f>IF('4.Grassland'!$BM27="", '4.Grassland'!$BL27, '4.Grassland'!$BM27)</f>
        <v>0.77</v>
      </c>
      <c r="X15" s="1003">
        <f>V15*$W15*(IPCC!$D$75*methane+IPCC!$E$75*Nitrous)/1000</f>
        <v>0</v>
      </c>
      <c r="Y15" s="3394">
        <f t="shared" si="0"/>
        <v>0</v>
      </c>
      <c r="Z15" s="3394">
        <f t="shared" si="1"/>
        <v>0</v>
      </c>
      <c r="AG15" s="3046">
        <f>IF($G15="YES",(MIN(C35,D35)*time_tot+ABS(D35-C35)*IF(D35&gt;C35,time_cap+time*(VLOOKUP(E35,list!$J$48:$K$50,2,)),time*(1-(VLOOKUP($E35,list!$J$48:$K$50,2,))))),0)*($V15*$W15*(IPCC!$D$75*methane)/1000)/$H15</f>
        <v>0</v>
      </c>
      <c r="AH15" s="3047">
        <f>IF($I15="YES",(MIN(D35,F35)*time_tot+ABS(F35-D35)*IF(F35&gt;D35,time_cap+time*(VLOOKUP(G35,list!$J$48:$K$50,2,)),time*(1-(VLOOKUP(G35,list!$J$48:$K$50,2,))))),0)*($V15*$W15*(IPCC!$D$75*methane)/1000)/$H15</f>
        <v>0</v>
      </c>
      <c r="AI15" s="3047">
        <f>IF($G15="YES",(MIN(C35,D35)*time_tot+ABS(D35-C35)*IF(D35&gt;C35,time_cap+time*(VLOOKUP(E35,list!$J$48:$K$50,2,)),time*(1-(VLOOKUP(E35,list!$J$48:$K$50,2,))))),0)*($V15*$W15*(IPCC!$E$75*Nitrous)/1000)/$H15</f>
        <v>0</v>
      </c>
      <c r="AJ15" s="3047">
        <f>IF($I15="YES",(MIN(D35,F35)*time_tot+ABS(F35-D35)*IF(F35&gt;D35,time_cap+time*(VLOOKUP(G35,list!$J$48:$K$50,2,)),time*(1-(VLOOKUP(G35,list!$J$48:$K$50,2,))))),0)*($V15*$W15*(IPCC!$E$75*Nitrous)/1000)/$H15</f>
        <v>0</v>
      </c>
      <c r="AK15" s="3047">
        <f>$Q15*(IF(E35="Immediate",IF(C35&gt;0,C35*MIN(20,time),0),C35*IF(time&gt;time+20,20,IF(time&lt;20,(time*VLOOKUP(E35, list!$J$48:$K$50,2,))+(time-time),((MIN(20,time)*VLOOKUP(E35, list!$J$48:$K$50,2,))+(time-MIN(20,time))-IF(E35="Exponential",time-20+0.217*time*(EXP(4.606*(20-time)/time)-1),((time-20)^2)*(0.5/time)))))))</f>
        <v>495.00000000000017</v>
      </c>
      <c r="AL15" s="3047">
        <f>$R15*(IF(G35="Immediate",IF(C35&gt;0,C35*MIN(20,time),0),C35*IF(time&gt;time+20,20,IF(time&lt;20,(time*VLOOKUP(G35, list!$J$48:$K$50,2,))+(time-time),((MIN(20,time)*VLOOKUP(G35, list!$J$48:$K$50,2,))+(time_tot-MIN(20,time))-IF(G35="Exponential",time-20+0.217*time*(EXP(4.606*(20-time)/time)-1),((time-20)^2)*(0.5/time)))))))</f>
        <v>0</v>
      </c>
      <c r="AM15" s="3047">
        <f>IF($G15="YES",(MIN(C35,D35)*time+ABS(D35-C35)*IF(D35&gt;C35,time*(VLOOKUP(E35,list!$J$48:$K$50,2,)),time*(1-(VLOOKUP(E35,list!$J$48:$K$50,2,))))),0)*($V15*$W15*(IPCC!$D$75*methane)/1000)/$H15</f>
        <v>0</v>
      </c>
      <c r="AN15" s="3047">
        <f>IF($I15="YES",(MIN(D35,F35)*time+ABS(F35-D35)*IF(F35&gt;D35,time*(VLOOKUP(G35,list!$J$48:$K$50,2,)),time*(1-(VLOOKUP(G35,list!$J$48:$K$50,2,))))),0)*($V15*$W15*(IPCC!$D$75*methane)/1000)/$H15</f>
        <v>0</v>
      </c>
      <c r="AO15" s="3047">
        <f>IF($G15="YES",(MIN(C35,D35)*time+ABS(D35-C35)*IF(D35&gt;C35,time*(VLOOKUP(E35,list!$J$48:$K$50,2,)),time*(1-(VLOOKUP(E35,list!$J$48:$K$50,2,))))),0)*($V15*$W15*(IPCC!$E$75*Nitrous)/1000)/$H15</f>
        <v>0</v>
      </c>
      <c r="AP15" s="3048">
        <f>IF($I15="YES",(MIN(D35,F35)*time+ABS(F35-D35)*IF(F35&gt;D35,time*(VLOOKUP(G35,list!$J$48:$K$50,2,)),time*(1-(VLOOKUP(G35,list!$J$48:$K$50,2,))))),0)*($V15*$W15*(IPCC!$E$75*Nitrous)/1000)/$H15</f>
        <v>0</v>
      </c>
    </row>
    <row r="16" spans="1:48" x14ac:dyDescent="0.15">
      <c r="B16" s="3111">
        <f>'4.Grassland'!C28</f>
        <v>0</v>
      </c>
      <c r="C16" s="1688"/>
      <c r="D16" s="1688" t="str">
        <f>'4.Grassland'!$G28</f>
        <v>Please select</v>
      </c>
      <c r="E16" s="3106" t="str">
        <f>'4.Grassland'!$I28</f>
        <v>Please select</v>
      </c>
      <c r="F16" s="3106" t="str">
        <f>'4.Grassland'!$K28</f>
        <v>Please select</v>
      </c>
      <c r="G16" s="3106" t="str">
        <f>'4.Grassland'!$M28</f>
        <v>NO</v>
      </c>
      <c r="H16" s="3106">
        <f>'4.Grassland'!$N28</f>
        <v>5</v>
      </c>
      <c r="I16" s="3106" t="str">
        <f>'4.Grassland'!$P28</f>
        <v>NO</v>
      </c>
      <c r="J16" s="3106">
        <f>'4.Grassland'!$Q28</f>
        <v>5</v>
      </c>
      <c r="K16" s="3038">
        <f>IFERROR(IF($D16&lt;&gt; "Please select", VLOOKUP($D16, grass!$W$28:$Y$33,3, FALSE),SOCref),0)</f>
        <v>24</v>
      </c>
      <c r="L16" s="1280">
        <f>IF('4.Grassland'!BD28="",'4.Grassland'!BC28,'4.Grassland'!BD28)</f>
        <v>24</v>
      </c>
      <c r="M16" s="3038">
        <f>IFERROR(IF($E16&lt;&gt; "Please select", VLOOKUP($E16, grass!$W$28:$Y$33,3, FALSE),SOCref),0)</f>
        <v>24</v>
      </c>
      <c r="N16" s="1280">
        <f>IF('4.Grassland'!BF28="",'4.Grassland'!BE28,'4.Grassland'!BF28)</f>
        <v>24</v>
      </c>
      <c r="O16" s="3038">
        <f>IFERROR(IF($F16&lt;&gt; "Please select", VLOOKUP($F16, grass!$W$28:$Y$33,3, FALSE),SOCref),0)</f>
        <v>24</v>
      </c>
      <c r="P16" s="1280">
        <f>IF('4.Grassland'!BH28="",'4.Grassland'!BG28,'4.Grassland'!BH28)</f>
        <v>24</v>
      </c>
      <c r="Q16" s="3114">
        <f t="shared" si="2"/>
        <v>0</v>
      </c>
      <c r="R16" s="3115">
        <f t="shared" si="3"/>
        <v>0</v>
      </c>
      <c r="S16" s="3106">
        <f>'4.Grassland'!$S28</f>
        <v>0</v>
      </c>
      <c r="T16" s="3106">
        <f>'4.Grassland'!$T28</f>
        <v>0</v>
      </c>
      <c r="U16" s="3106">
        <f>'4.Grassland'!$U28</f>
        <v>0</v>
      </c>
      <c r="V16" s="1104">
        <f>IF('4.Grassland'!$BJ28="", '4.Grassland'!$BI28, '4.Grassland'!$BJ28)</f>
        <v>0</v>
      </c>
      <c r="W16" s="1104">
        <f>IF('4.Grassland'!$BM28="", '4.Grassland'!$BL28, '4.Grassland'!$BM28)</f>
        <v>0.77</v>
      </c>
      <c r="X16" s="1003">
        <f>V16*$W16*(IPCC!$D$75*methane+IPCC!$E$75*Nitrous)/1000</f>
        <v>0</v>
      </c>
      <c r="Y16" s="3394">
        <f t="shared" si="0"/>
        <v>0</v>
      </c>
      <c r="Z16" s="3394">
        <f t="shared" si="1"/>
        <v>0</v>
      </c>
      <c r="AG16" s="3046">
        <f>IF($G16="YES",(MIN(C36,D36)*time_tot+ABS(D36-C36)*IF(D36&gt;C36,time_cap+time*(VLOOKUP(E36,list!$J$48:$K$50,2,)),time*(1-(VLOOKUP($E36,list!$J$48:$K$50,2,))))),0)*($V16*$W16*(IPCC!$D$75*methane)/1000)/$H16</f>
        <v>0</v>
      </c>
      <c r="AH16" s="3047">
        <f>IF($I16="YES",(MIN(D36,F36)*time_tot+ABS(F36-D36)*IF(F36&gt;D36,time_cap+time*(VLOOKUP(G36,list!$J$48:$K$50,2,)),time*(1-(VLOOKUP(G36,list!$J$48:$K$50,2,))))),0)*($V16*$W16*(IPCC!$D$75*methane)/1000)/$H16</f>
        <v>0</v>
      </c>
      <c r="AI16" s="3047">
        <f>IF($G16="YES",(MIN(C36,D36)*time_tot+ABS(D36-C36)*IF(D36&gt;C36,time_cap+time*(VLOOKUP(E36,list!$J$48:$K$50,2,)),time*(1-(VLOOKUP(E36,list!$J$48:$K$50,2,))))),0)*($V16*$W16*(IPCC!$E$75*Nitrous)/1000)/$H16</f>
        <v>0</v>
      </c>
      <c r="AJ16" s="3047">
        <f>IF($I16="YES",(MIN(D36,F36)*time_tot+ABS(F36-D36)*IF(F36&gt;D36,time_cap+time*(VLOOKUP(G36,list!$J$48:$K$50,2,)),time*(1-(VLOOKUP(G36,list!$J$48:$K$50,2,))))),0)*($V16*$W16*(IPCC!$E$75*Nitrous)/1000)/$H16</f>
        <v>0</v>
      </c>
      <c r="AK16" s="3047">
        <f>$Q16*(IF(E36="Immediate",IF(C36&gt;0,C36*MIN(20,time),0),C36*IF(time&gt;time+20,20,IF(time&lt;20,(time*VLOOKUP(E36, list!$J$48:$K$50,2,))+(time-time),((MIN(20,time)*VLOOKUP(E36, list!$J$48:$K$50,2,))+(time-MIN(20,time))-IF(E36="Exponential",time-20+0.217*time*(EXP(4.606*(20-time)/time)-1),((time-20)^2)*(0.5/time)))))))</f>
        <v>0</v>
      </c>
      <c r="AL16" s="3047">
        <f>$R16*(IF(G36="Immediate",IF(C36&gt;0,C36*MIN(20,time),0),C36*IF(time&gt;time+20,20,IF(time&lt;20,(time*VLOOKUP(G36, list!$J$48:$K$50,2,))+(time-time),((MIN(20,time)*VLOOKUP(G36, list!$J$48:$K$50,2,))+(time_tot-MIN(20,time))-IF(G36="Exponential",time-20+0.217*time*(EXP(4.606*(20-time)/time)-1),((time-20)^2)*(0.5/time)))))))</f>
        <v>0</v>
      </c>
      <c r="AM16" s="3047">
        <f>IF($G16="YES",(MIN(C36,D36)*time+ABS(D36-C36)*IF(D36&gt;C36,time*(VLOOKUP(E36,list!$J$48:$K$50,2,)),time*(1-(VLOOKUP(E36,list!$J$48:$K$50,2,))))),0)*($V16*$W16*(IPCC!$D$75*methane)/1000)/$H16</f>
        <v>0</v>
      </c>
      <c r="AN16" s="3047">
        <f>IF($I16="YES",(MIN(D36,F36)*time+ABS(F36-D36)*IF(F36&gt;D36,time*(VLOOKUP(G36,list!$J$48:$K$50,2,)),time*(1-(VLOOKUP(G36,list!$J$48:$K$50,2,))))),0)*($V16*$W16*(IPCC!$D$75*methane)/1000)/$H16</f>
        <v>0</v>
      </c>
      <c r="AO16" s="3047">
        <f>IF($G16="YES",(MIN(C36,D36)*time+ABS(D36-C36)*IF(D36&gt;C36,time*(VLOOKUP(E36,list!$J$48:$K$50,2,)),time*(1-(VLOOKUP(E36,list!$J$48:$K$50,2,))))),0)*($V16*$W16*(IPCC!$E$75*Nitrous)/1000)/$H16</f>
        <v>0</v>
      </c>
      <c r="AP16" s="3048">
        <f>IF($I16="YES",(MIN(D36,F36)*time+ABS(F36-D36)*IF(F36&gt;D36,time*(VLOOKUP(G36,list!$J$48:$K$50,2,)),time*(1-(VLOOKUP(G36,list!$J$48:$K$50,2,))))),0)*($V16*$W16*(IPCC!$E$75*Nitrous)/1000)/$H16</f>
        <v>0</v>
      </c>
    </row>
    <row r="17" spans="1:42" x14ac:dyDescent="0.15">
      <c r="B17" s="3111">
        <f>'4.Grassland'!C29</f>
        <v>0</v>
      </c>
      <c r="C17" s="1688"/>
      <c r="D17" s="1688" t="str">
        <f>'4.Grassland'!$G29</f>
        <v>Please select</v>
      </c>
      <c r="E17" s="3106" t="str">
        <f>'4.Grassland'!$I29</f>
        <v>Please select</v>
      </c>
      <c r="F17" s="3106" t="str">
        <f>'4.Grassland'!$K29</f>
        <v>Please select</v>
      </c>
      <c r="G17" s="3106" t="str">
        <f>'4.Grassland'!$M29</f>
        <v>NO</v>
      </c>
      <c r="H17" s="3106">
        <f>'4.Grassland'!$N29</f>
        <v>5</v>
      </c>
      <c r="I17" s="3106" t="str">
        <f>'4.Grassland'!$P29</f>
        <v>NO</v>
      </c>
      <c r="J17" s="3106">
        <f>'4.Grassland'!$Q29</f>
        <v>5</v>
      </c>
      <c r="K17" s="3038">
        <f>IFERROR(IF($D17&lt;&gt; "Please select", VLOOKUP($D17, grass!$W$28:$Y$33,3, FALSE),SOCref),0)</f>
        <v>24</v>
      </c>
      <c r="L17" s="1280">
        <f>IF('4.Grassland'!BD29="",'4.Grassland'!BC29,'4.Grassland'!BD29)</f>
        <v>24</v>
      </c>
      <c r="M17" s="3038">
        <f>IFERROR(IF($E17&lt;&gt; "Please select", VLOOKUP($E17, grass!$W$28:$Y$33,3, FALSE),SOCref),0)</f>
        <v>24</v>
      </c>
      <c r="N17" s="1280">
        <f>IF('4.Grassland'!BF29="",'4.Grassland'!BE29,'4.Grassland'!BF29)</f>
        <v>24</v>
      </c>
      <c r="O17" s="3038">
        <f>IFERROR(IF($F17&lt;&gt; "Please select", VLOOKUP($F17, grass!$W$28:$Y$33,3, FALSE),SOCref),0)</f>
        <v>24</v>
      </c>
      <c r="P17" s="1280">
        <f>IF('4.Grassland'!BH29="",'4.Grassland'!BG29,'4.Grassland'!BH29)</f>
        <v>24</v>
      </c>
      <c r="Q17" s="3114">
        <f t="shared" si="2"/>
        <v>0</v>
      </c>
      <c r="R17" s="3115">
        <f t="shared" si="3"/>
        <v>0</v>
      </c>
      <c r="S17" s="3106">
        <f>'4.Grassland'!$S29</f>
        <v>0</v>
      </c>
      <c r="T17" s="3106">
        <f>'4.Grassland'!$T29</f>
        <v>0</v>
      </c>
      <c r="U17" s="3106">
        <f>'4.Grassland'!$U29</f>
        <v>0</v>
      </c>
      <c r="V17" s="1104">
        <f>IF('4.Grassland'!$BJ29="", '4.Grassland'!$BI29, '4.Grassland'!$BJ29)</f>
        <v>0</v>
      </c>
      <c r="W17" s="1104">
        <f>IF('4.Grassland'!$BM29="", '4.Grassland'!$BL29, '4.Grassland'!$BM29)</f>
        <v>0.77</v>
      </c>
      <c r="X17" s="1003">
        <f>V17*$W17*(IPCC!$D$75*methane+IPCC!$E$75*Nitrous)/1000</f>
        <v>0</v>
      </c>
      <c r="Y17" s="3394">
        <f t="shared" si="0"/>
        <v>0</v>
      </c>
      <c r="Z17" s="3394">
        <f t="shared" si="1"/>
        <v>0</v>
      </c>
      <c r="AG17" s="3046">
        <f>IF($G17="YES",(MIN(C37,D37)*time_tot+ABS(D37-C37)*IF(D37&gt;C37,time_cap+time*(VLOOKUP(E37,list!$J$48:$K$50,2,)),time*(1-(VLOOKUP($E37,list!$J$48:$K$50,2,))))),0)*($V17*$W17*(IPCC!$D$75*methane)/1000)/$H17</f>
        <v>0</v>
      </c>
      <c r="AH17" s="3047">
        <f>IF($I17="YES",(MIN(D37,F37)*time_tot+ABS(F37-D37)*IF(F37&gt;D37,time_cap+time*(VLOOKUP(G37,list!$J$48:$K$50,2,)),time*(1-(VLOOKUP(G37,list!$J$48:$K$50,2,))))),0)*($V17*$W17*(IPCC!$D$75*methane)/1000)/$H17</f>
        <v>0</v>
      </c>
      <c r="AI17" s="3047">
        <f>IF($G17="YES",(MIN(C37,D37)*time_tot+ABS(D37-C37)*IF(D37&gt;C37,time_cap+time*(VLOOKUP(E37,list!$J$48:$K$50,2,)),time*(1-(VLOOKUP(E37,list!$J$48:$K$50,2,))))),0)*($V17*$W17*(IPCC!$E$75*Nitrous)/1000)/$H17</f>
        <v>0</v>
      </c>
      <c r="AJ17" s="3047">
        <f>IF($I17="YES",(MIN(D37,F37)*time_tot+ABS(F37-D37)*IF(F37&gt;D37,time_cap+time*(VLOOKUP(G37,list!$J$48:$K$50,2,)),time*(1-(VLOOKUP(G37,list!$J$48:$K$50,2,))))),0)*($V17*$W17*(IPCC!$E$75*Nitrous)/1000)/$H17</f>
        <v>0</v>
      </c>
      <c r="AK17" s="3047">
        <f>$Q17*(IF(E37="Immediate",IF(C37&gt;0,C37*MIN(20,time),0),C37*IF(time&gt;time+20,20,IF(time&lt;20,(time*VLOOKUP(E37, list!$J$48:$K$50,2,))+(time-time),((MIN(20,time)*VLOOKUP(E37, list!$J$48:$K$50,2,))+(time-MIN(20,time))-IF(E37="Exponential",time-20+0.217*time*(EXP(4.606*(20-time)/time)-1),((time-20)^2)*(0.5/time)))))))</f>
        <v>0</v>
      </c>
      <c r="AL17" s="3047">
        <f>$R17*(IF(G37="Immediate",IF(C37&gt;0,C37*MIN(20,time),0),C37*IF(time&gt;time+20,20,IF(time&lt;20,(time*VLOOKUP(G37, list!$J$48:$K$50,2,))+(time-time),((MIN(20,time)*VLOOKUP(G37, list!$J$48:$K$50,2,))+(time_tot-MIN(20,time))-IF(G37="Exponential",time-20+0.217*time*(EXP(4.606*(20-time)/time)-1),((time-20)^2)*(0.5/time)))))))</f>
        <v>0</v>
      </c>
      <c r="AM17" s="3047">
        <f>IF($G17="YES",(MIN(C37,D37)*time+ABS(D37-C37)*IF(D37&gt;C37,time*(VLOOKUP(E37,list!$J$48:$K$50,2,)),time*(1-(VLOOKUP(E37,list!$J$48:$K$50,2,))))),0)*($V17*$W17*(IPCC!$D$75*methane)/1000)/$H17</f>
        <v>0</v>
      </c>
      <c r="AN17" s="3047">
        <f>IF($I17="YES",(MIN(D37,F37)*time+ABS(F37-D37)*IF(F37&gt;D37,time*(VLOOKUP(G37,list!$J$48:$K$50,2,)),time*(1-(VLOOKUP(G37,list!$J$48:$K$50,2,))))),0)*($V17*$W17*(IPCC!$D$75*methane)/1000)/$H17</f>
        <v>0</v>
      </c>
      <c r="AO17" s="3047">
        <f>IF($G17="YES",(MIN(C37,D37)*time+ABS(D37-C37)*IF(D37&gt;C37,time*(VLOOKUP(E37,list!$J$48:$K$50,2,)),time*(1-(VLOOKUP(E37,list!$J$48:$K$50,2,))))),0)*($V17*$W17*(IPCC!$E$75*Nitrous)/1000)/$H17</f>
        <v>0</v>
      </c>
      <c r="AP17" s="3048">
        <f>IF($I17="YES",(MIN(D37,F37)*time+ABS(F37-D37)*IF(F37&gt;D37,time*(VLOOKUP(G37,list!$J$48:$K$50,2,)),time*(1-(VLOOKUP(G37,list!$J$48:$K$50,2,))))),0)*($V17*$W17*(IPCC!$E$75*Nitrous)/1000)/$H17</f>
        <v>0</v>
      </c>
    </row>
    <row r="18" spans="1:42" x14ac:dyDescent="0.15">
      <c r="B18" s="3111">
        <f>'4.Grassland'!C30</f>
        <v>0</v>
      </c>
      <c r="C18" s="1688"/>
      <c r="D18" s="1688" t="str">
        <f>'4.Grassland'!$G30</f>
        <v>Please select</v>
      </c>
      <c r="E18" s="3106" t="str">
        <f>'4.Grassland'!$I30</f>
        <v>Please select</v>
      </c>
      <c r="F18" s="3106" t="str">
        <f>'4.Grassland'!$K30</f>
        <v>Please select</v>
      </c>
      <c r="G18" s="3106" t="str">
        <f>'4.Grassland'!$M30</f>
        <v>NO</v>
      </c>
      <c r="H18" s="3106">
        <f>'4.Grassland'!$N30</f>
        <v>5</v>
      </c>
      <c r="I18" s="3106" t="str">
        <f>'4.Grassland'!$P30</f>
        <v>NO</v>
      </c>
      <c r="J18" s="3106">
        <f>'4.Grassland'!$Q30</f>
        <v>5</v>
      </c>
      <c r="K18" s="3038">
        <f>IFERROR(IF($D18&lt;&gt; "Please select", VLOOKUP($D18, grass!$W$28:$Y$33,3, FALSE),SOCref),0)</f>
        <v>24</v>
      </c>
      <c r="L18" s="1280">
        <f>IF('4.Grassland'!BD30="",'4.Grassland'!BC30,'4.Grassland'!BD30)</f>
        <v>24</v>
      </c>
      <c r="M18" s="3038">
        <f>IFERROR(IF($E18&lt;&gt; "Please select", VLOOKUP($E18, grass!$W$28:$Y$33,3, FALSE),SOCref),0)</f>
        <v>24</v>
      </c>
      <c r="N18" s="1280">
        <f>IF('4.Grassland'!BF30="",'4.Grassland'!BE30,'4.Grassland'!BF30)</f>
        <v>24</v>
      </c>
      <c r="O18" s="3038">
        <f>IFERROR(IF($F18&lt;&gt; "Please select", VLOOKUP($F18, grass!$W$28:$Y$33,3, FALSE),SOCref),0)</f>
        <v>24</v>
      </c>
      <c r="P18" s="1280">
        <f>IF('4.Grassland'!BH30="",'4.Grassland'!BG30,'4.Grassland'!BH30)</f>
        <v>24</v>
      </c>
      <c r="Q18" s="3114">
        <f t="shared" si="2"/>
        <v>0</v>
      </c>
      <c r="R18" s="3115">
        <f t="shared" si="3"/>
        <v>0</v>
      </c>
      <c r="S18" s="3106">
        <f>'4.Grassland'!$S30</f>
        <v>0</v>
      </c>
      <c r="T18" s="3106">
        <f>'4.Grassland'!$T30</f>
        <v>0</v>
      </c>
      <c r="U18" s="3106">
        <f>'4.Grassland'!$U30</f>
        <v>0</v>
      </c>
      <c r="V18" s="1104">
        <f>IF('4.Grassland'!$BJ30="", '4.Grassland'!$BI30, '4.Grassland'!$BJ30)</f>
        <v>0</v>
      </c>
      <c r="W18" s="1104">
        <f>IF('4.Grassland'!$BM30="", '4.Grassland'!$BL30, '4.Grassland'!$BM30)</f>
        <v>0.77</v>
      </c>
      <c r="X18" s="1003">
        <f>V18*$W18*(IPCC!$D$75*methane+IPCC!$E$75*Nitrous)/1000</f>
        <v>0</v>
      </c>
      <c r="Y18" s="3394">
        <f t="shared" si="0"/>
        <v>0</v>
      </c>
      <c r="Z18" s="3394">
        <f t="shared" si="1"/>
        <v>0</v>
      </c>
      <c r="AG18" s="3046">
        <f>IF($G18="YES",(MIN(C38,D38)*time_tot+ABS(D38-C38)*IF(D38&gt;C38,time_cap+time*(VLOOKUP(E38,list!$J$48:$K$50,2,)),time*(1-(VLOOKUP($E38,list!$J$48:$K$50,2,))))),0)*($V18*$W18*(IPCC!$D$75*methane)/1000)/$H18</f>
        <v>0</v>
      </c>
      <c r="AH18" s="3047">
        <f>IF($I18="YES",(MIN(D38,F38)*time_tot+ABS(F38-D38)*IF(F38&gt;D38,time_cap+time*(VLOOKUP(G38,list!$J$48:$K$50,2,)),time*(1-(VLOOKUP(G38,list!$J$48:$K$50,2,))))),0)*($V18*$W18*(IPCC!$D$75*methane)/1000)/$H18</f>
        <v>0</v>
      </c>
      <c r="AI18" s="3047">
        <f>IF($G18="YES",(MIN(C38,D38)*time_tot+ABS(D38-C38)*IF(D38&gt;C38,time_cap+time*(VLOOKUP(E38,list!$J$48:$K$50,2,)),time*(1-(VLOOKUP(E38,list!$J$48:$K$50,2,))))),0)*($V18*$W18*(IPCC!$E$75*Nitrous)/1000)/$H18</f>
        <v>0</v>
      </c>
      <c r="AJ18" s="3047">
        <f>IF($I18="YES",(MIN(D38,F38)*time_tot+ABS(F38-D38)*IF(F38&gt;D38,time_cap+time*(VLOOKUP(G38,list!$J$48:$K$50,2,)),time*(1-(VLOOKUP(G38,list!$J$48:$K$50,2,))))),0)*($V18*$W18*(IPCC!$E$75*Nitrous)/1000)/$H18</f>
        <v>0</v>
      </c>
      <c r="AK18" s="3047">
        <f>$Q18*(IF(E38="Immediate",IF(C38&gt;0,C38*MIN(20,time),0),C38*IF(time&gt;time+20,20,IF(time&lt;20,(time*VLOOKUP(E38, list!$J$48:$K$50,2,))+(time-time),((MIN(20,time)*VLOOKUP(E38, list!$J$48:$K$50,2,))+(time-MIN(20,time))-IF(E38="Exponential",time-20+0.217*time*(EXP(4.606*(20-time)/time)-1),((time-20)^2)*(0.5/time)))))))</f>
        <v>0</v>
      </c>
      <c r="AL18" s="3047">
        <f>$R18*(IF(G38="Immediate",IF(C38&gt;0,C38*MIN(20,time),0),C38*IF(time&gt;time+20,20,IF(time&lt;20,(time*VLOOKUP(G38, list!$J$48:$K$50,2,))+(time-time),((MIN(20,time)*VLOOKUP(G38, list!$J$48:$K$50,2,))+(time_tot-MIN(20,time))-IF(G38="Exponential",time-20+0.217*time*(EXP(4.606*(20-time)/time)-1),((time-20)^2)*(0.5/time)))))))</f>
        <v>0</v>
      </c>
      <c r="AM18" s="3047">
        <f>IF($G18="YES",(MIN(C38,D38)*time+ABS(D38-C38)*IF(D38&gt;C38,time*(VLOOKUP(E38,list!$J$48:$K$50,2,)),time*(1-(VLOOKUP(E38,list!$J$48:$K$50,2,))))),0)*($V18*$W18*(IPCC!$D$75*methane)/1000)/$H18</f>
        <v>0</v>
      </c>
      <c r="AN18" s="3047">
        <f>IF($I18="YES",(MIN(D38,F38)*time+ABS(F38-D38)*IF(F38&gt;D38,time*(VLOOKUP(G38,list!$J$48:$K$50,2,)),time*(1-(VLOOKUP(G38,list!$J$48:$K$50,2,))))),0)*($V18*$W18*(IPCC!$D$75*methane)/1000)/$H18</f>
        <v>0</v>
      </c>
      <c r="AO18" s="3047">
        <f>IF($G18="YES",(MIN(C38,D38)*time+ABS(D38-C38)*IF(D38&gt;C38,time*(VLOOKUP(E38,list!$J$48:$K$50,2,)),time*(1-(VLOOKUP(E38,list!$J$48:$K$50,2,))))),0)*($V18*$W18*(IPCC!$E$75*Nitrous)/1000)/$H18</f>
        <v>0</v>
      </c>
      <c r="AP18" s="3048">
        <f>IF($I18="YES",(MIN(D38,F38)*time+ABS(F38-D38)*IF(F38&gt;D38,time*(VLOOKUP(G38,list!$J$48:$K$50,2,)),time*(1-(VLOOKUP(G38,list!$J$48:$K$50,2,))))),0)*($V18*$W18*(IPCC!$E$75*Nitrous)/1000)/$H18</f>
        <v>0</v>
      </c>
    </row>
    <row r="19" spans="1:42" x14ac:dyDescent="0.15">
      <c r="B19" s="3111">
        <f>'4.Grassland'!C31</f>
        <v>0</v>
      </c>
      <c r="C19" s="1688"/>
      <c r="D19" s="1688" t="str">
        <f>'4.Grassland'!$G31</f>
        <v>Please select</v>
      </c>
      <c r="E19" s="3106" t="str">
        <f>'4.Grassland'!$I31</f>
        <v>Please select</v>
      </c>
      <c r="F19" s="3106" t="str">
        <f>'4.Grassland'!$K31</f>
        <v>Please select</v>
      </c>
      <c r="G19" s="3106" t="str">
        <f>'4.Grassland'!$M31</f>
        <v>NO</v>
      </c>
      <c r="H19" s="3106">
        <f>'4.Grassland'!$N31</f>
        <v>5</v>
      </c>
      <c r="I19" s="3106" t="str">
        <f>'4.Grassland'!$P31</f>
        <v>NO</v>
      </c>
      <c r="J19" s="3106">
        <f>'4.Grassland'!$Q31</f>
        <v>5</v>
      </c>
      <c r="K19" s="3038">
        <f>IFERROR(IF($D19&lt;&gt; "Please select", VLOOKUP($D19, grass!$W$28:$Y$33,3, FALSE),SOCref),0)</f>
        <v>24</v>
      </c>
      <c r="L19" s="1280">
        <f>IF('4.Grassland'!BD31="",'4.Grassland'!BC31,'4.Grassland'!BD31)</f>
        <v>24</v>
      </c>
      <c r="M19" s="3038">
        <f>IFERROR(IF($E19&lt;&gt; "Please select", VLOOKUP($E19, grass!$W$28:$Y$33,3, FALSE),SOCref),0)</f>
        <v>24</v>
      </c>
      <c r="N19" s="1280">
        <f>IF('4.Grassland'!BF31="",'4.Grassland'!BE31,'4.Grassland'!BF31)</f>
        <v>24</v>
      </c>
      <c r="O19" s="3038">
        <f>IFERROR(IF($F19&lt;&gt; "Please select", VLOOKUP($F19, grass!$W$28:$Y$33,3, FALSE),SOCref),0)</f>
        <v>24</v>
      </c>
      <c r="P19" s="1280">
        <f>IF('4.Grassland'!BH31="",'4.Grassland'!BG31,'4.Grassland'!BH31)</f>
        <v>24</v>
      </c>
      <c r="Q19" s="3114">
        <f t="shared" si="2"/>
        <v>0</v>
      </c>
      <c r="R19" s="3115">
        <f t="shared" si="3"/>
        <v>0</v>
      </c>
      <c r="S19" s="3106">
        <f>'4.Grassland'!$S31</f>
        <v>0</v>
      </c>
      <c r="T19" s="3106">
        <f>'4.Grassland'!$T31</f>
        <v>0</v>
      </c>
      <c r="U19" s="3106">
        <f>'4.Grassland'!$U31</f>
        <v>0</v>
      </c>
      <c r="V19" s="1104">
        <f>IF('4.Grassland'!$BJ31="", '4.Grassland'!$BI31, '4.Grassland'!$BJ31)</f>
        <v>0</v>
      </c>
      <c r="W19" s="1104">
        <f>IF('4.Grassland'!$BM31="", '4.Grassland'!$BL31, '4.Grassland'!$BM31)</f>
        <v>0.77</v>
      </c>
      <c r="X19" s="1003">
        <f>V19*$W19*(IPCC!$D$75*methane+IPCC!$E$75*Nitrous)/1000</f>
        <v>0</v>
      </c>
      <c r="Y19" s="3394">
        <f t="shared" si="0"/>
        <v>0</v>
      </c>
      <c r="Z19" s="3394">
        <f t="shared" si="1"/>
        <v>0</v>
      </c>
      <c r="AG19" s="3046">
        <f>IF($G19="YES",(MIN(C39,D39)*time_tot+ABS(D39-C39)*IF(D39&gt;C39,time_cap+time*(VLOOKUP(E39,list!$J$48:$K$50,2,)),time*(1-(VLOOKUP($E39,list!$J$48:$K$50,2,))))),0)*($V19*$W19*(IPCC!$D$75*methane)/1000)/$H19</f>
        <v>0</v>
      </c>
      <c r="AH19" s="3047">
        <f>IF($I19="YES",(MIN(D39,F39)*time_tot+ABS(F39-D39)*IF(F39&gt;D39,time_cap+time*(VLOOKUP(G39,list!$J$48:$K$50,2,)),time*(1-(VLOOKUP(G39,list!$J$48:$K$50,2,))))),0)*($V19*$W19*(IPCC!$D$75*methane)/1000)/$H19</f>
        <v>0</v>
      </c>
      <c r="AI19" s="3047">
        <f>IF($G19="YES",(MIN(C39,D39)*time_tot+ABS(D39-C39)*IF(D39&gt;C39,time_cap+time*(VLOOKUP(E39,list!$J$48:$K$50,2,)),time*(1-(VLOOKUP(E39,list!$J$48:$K$50,2,))))),0)*($V19*$W19*(IPCC!$E$75*Nitrous)/1000)/$H19</f>
        <v>0</v>
      </c>
      <c r="AJ19" s="3047">
        <f>IF($I19="YES",(MIN(D39,F39)*time_tot+ABS(F39-D39)*IF(F39&gt;D39,time_cap+time*(VLOOKUP(G39,list!$J$48:$K$50,2,)),time*(1-(VLOOKUP(G39,list!$J$48:$K$50,2,))))),0)*($V19*$W19*(IPCC!$E$75*Nitrous)/1000)/$H19</f>
        <v>0</v>
      </c>
      <c r="AK19" s="3047">
        <f>$Q19*(IF(E39="Immediate",IF(C39&gt;0,C39*MIN(20,time),0),C39*IF(time&gt;time+20,20,IF(time&lt;20,(time*VLOOKUP(E39, list!$J$48:$K$50,2,))+(time-time),((MIN(20,time)*VLOOKUP(E39, list!$J$48:$K$50,2,))+(time-MIN(20,time))-IF(E39="Exponential",time-20+0.217*time*(EXP(4.606*(20-time)/time)-1),((time-20)^2)*(0.5/time)))))))</f>
        <v>0</v>
      </c>
      <c r="AL19" s="3047">
        <f>$R19*(IF(G39="Immediate",IF(C39&gt;0,C39*MIN(20,time),0),C39*IF(time&gt;time+20,20,IF(time&lt;20,(time*VLOOKUP(G39, list!$J$48:$K$50,2,))+(time-time),((MIN(20,time)*VLOOKUP(G39, list!$J$48:$K$50,2,))+(time_tot-MIN(20,time))-IF(G39="Exponential",time-20+0.217*time*(EXP(4.606*(20-time)/time)-1),((time-20)^2)*(0.5/time)))))))</f>
        <v>0</v>
      </c>
      <c r="AM19" s="3047">
        <f>IF($G19="YES",(MIN(C39,D39)*time+ABS(D39-C39)*IF(D39&gt;C39,time*(VLOOKUP(E39,list!$J$48:$K$50,2,)),time*(1-(VLOOKUP(E39,list!$J$48:$K$50,2,))))),0)*($V19*$W19*(IPCC!$D$75*methane)/1000)/$H19</f>
        <v>0</v>
      </c>
      <c r="AN19" s="3047">
        <f>IF($I19="YES",(MIN(D39,F39)*time+ABS(F39-D39)*IF(F39&gt;D39,time*(VLOOKUP(G39,list!$J$48:$K$50,2,)),time*(1-(VLOOKUP(G39,list!$J$48:$K$50,2,))))),0)*($V19*$W19*(IPCC!$D$75*methane)/1000)/$H19</f>
        <v>0</v>
      </c>
      <c r="AO19" s="3047">
        <f>IF($G19="YES",(MIN(C39,D39)*time+ABS(D39-C39)*IF(D39&gt;C39,time*(VLOOKUP(E39,list!$J$48:$K$50,2,)),time*(1-(VLOOKUP(E39,list!$J$48:$K$50,2,))))),0)*($V19*$W19*(IPCC!$E$75*Nitrous)/1000)/$H19</f>
        <v>0</v>
      </c>
      <c r="AP19" s="3048">
        <f>IF($I19="YES",(MIN(D39,F39)*time+ABS(F39-D39)*IF(F39&gt;D39,time*(VLOOKUP(G39,list!$J$48:$K$50,2,)),time*(1-(VLOOKUP(G39,list!$J$48:$K$50,2,))))),0)*($V19*$W19*(IPCC!$E$75*Nitrous)/1000)/$H19</f>
        <v>0</v>
      </c>
    </row>
    <row r="20" spans="1:42" x14ac:dyDescent="0.15">
      <c r="B20" s="3111">
        <f>'4.Grassland'!C32</f>
        <v>0</v>
      </c>
      <c r="C20" s="1688"/>
      <c r="D20" s="1688" t="str">
        <f>'4.Grassland'!$G32</f>
        <v>Please select</v>
      </c>
      <c r="E20" s="3106" t="str">
        <f>'4.Grassland'!$I32</f>
        <v>Please select</v>
      </c>
      <c r="F20" s="3106" t="str">
        <f>'4.Grassland'!$K32</f>
        <v>Please select</v>
      </c>
      <c r="G20" s="3106" t="str">
        <f>'4.Grassland'!$M32</f>
        <v>NO</v>
      </c>
      <c r="H20" s="3106">
        <f>'4.Grassland'!$N32</f>
        <v>5</v>
      </c>
      <c r="I20" s="3106" t="str">
        <f>'4.Grassland'!$P32</f>
        <v>NO</v>
      </c>
      <c r="J20" s="3106">
        <f>'4.Grassland'!$Q32</f>
        <v>5</v>
      </c>
      <c r="K20" s="3038">
        <f>IFERROR(IF($D20&lt;&gt; "Please select", VLOOKUP($D20, grass!$W$28:$Y$33,3, FALSE),SOCref),0)</f>
        <v>24</v>
      </c>
      <c r="L20" s="1280">
        <f>IF('4.Grassland'!BD32="",'4.Grassland'!BC32,'4.Grassland'!BD32)</f>
        <v>24</v>
      </c>
      <c r="M20" s="3038">
        <f>IFERROR(IF($E20&lt;&gt; "Please select", VLOOKUP($E20, grass!$W$28:$Y$33,3, FALSE),SOCref),0)</f>
        <v>24</v>
      </c>
      <c r="N20" s="1280">
        <f>IF('4.Grassland'!BF32="",'4.Grassland'!BE32,'4.Grassland'!BF32)</f>
        <v>24</v>
      </c>
      <c r="O20" s="3038">
        <f>IFERROR(IF($F20&lt;&gt; "Please select", VLOOKUP($F20, grass!$W$28:$Y$33,3, FALSE),SOCref),0)</f>
        <v>24</v>
      </c>
      <c r="P20" s="1280">
        <f>IF('4.Grassland'!BH32="",'4.Grassland'!BG32,'4.Grassland'!BH32)</f>
        <v>24</v>
      </c>
      <c r="Q20" s="3114">
        <f t="shared" si="2"/>
        <v>0</v>
      </c>
      <c r="R20" s="3115">
        <f t="shared" si="3"/>
        <v>0</v>
      </c>
      <c r="S20" s="3106">
        <f>'4.Grassland'!$S32</f>
        <v>0</v>
      </c>
      <c r="T20" s="3106">
        <f>'4.Grassland'!$T32</f>
        <v>0</v>
      </c>
      <c r="U20" s="3106">
        <f>'4.Grassland'!$U32</f>
        <v>0</v>
      </c>
      <c r="V20" s="1104">
        <f>IF('4.Grassland'!$BJ32="", '4.Grassland'!$BI32, '4.Grassland'!$BJ32)</f>
        <v>0</v>
      </c>
      <c r="W20" s="1104">
        <f>IF('4.Grassland'!$BM32="", '4.Grassland'!$BL32, '4.Grassland'!$BM32)</f>
        <v>0.77</v>
      </c>
      <c r="X20" s="1003">
        <f>V20*$W20*(IPCC!$D$75*methane+IPCC!$E$75*Nitrous)/1000</f>
        <v>0</v>
      </c>
      <c r="Y20" s="3394">
        <f t="shared" si="0"/>
        <v>0</v>
      </c>
      <c r="Z20" s="3394">
        <f t="shared" si="1"/>
        <v>0</v>
      </c>
      <c r="AG20" s="3046">
        <f>IF($G20="YES",(MIN(C40,D40)*time_tot+ABS(D40-C40)*IF(D40&gt;C40,time_cap+time*(VLOOKUP(E40,list!$J$48:$K$50,2,)),time*(1-(VLOOKUP($E40,list!$J$48:$K$50,2,))))),0)*($V20*$W20*(IPCC!$D$75*methane)/1000)/$H20</f>
        <v>0</v>
      </c>
      <c r="AH20" s="3047">
        <f>IF($I20="YES",(MIN(D40,F40)*time_tot+ABS(F40-D40)*IF(F40&gt;D40,time_cap+time*(VLOOKUP(G40,list!$J$48:$K$50,2,)),time*(1-(VLOOKUP(G40,list!$J$48:$K$50,2,))))),0)*($V20*$W20*(IPCC!$D$75*methane)/1000)/$H20</f>
        <v>0</v>
      </c>
      <c r="AI20" s="3047">
        <f>IF($G20="YES",(MIN(C40,D40)*time_tot+ABS(D40-C40)*IF(D40&gt;C40,time_cap+time*(VLOOKUP(E40,list!$J$48:$K$50,2,)),time*(1-(VLOOKUP(E40,list!$J$48:$K$50,2,))))),0)*($V20*$W20*(IPCC!$E$75*Nitrous)/1000)/$H20</f>
        <v>0</v>
      </c>
      <c r="AJ20" s="3047">
        <f>IF($I20="YES",(MIN(D40,F40)*time_tot+ABS(F40-D40)*IF(F40&gt;D40,time_cap+time*(VLOOKUP(G40,list!$J$48:$K$50,2,)),time*(1-(VLOOKUP(G40,list!$J$48:$K$50,2,))))),0)*($V20*$W20*(IPCC!$E$75*Nitrous)/1000)/$H20</f>
        <v>0</v>
      </c>
      <c r="AK20" s="3047">
        <f>$Q20*(IF(E40="Immediate",IF(C40&gt;0,C40*MIN(20,time),0),C40*IF(time&gt;time+20,20,IF(time&lt;20,(time*VLOOKUP(E40, list!$J$48:$K$50,2,))+(time-time),((MIN(20,time)*VLOOKUP(E40, list!$J$48:$K$50,2,))+(time-MIN(20,time))-IF(E40="Exponential",time-20+0.217*time*(EXP(4.606*(20-time)/time)-1),((time-20)^2)*(0.5/time)))))))</f>
        <v>0</v>
      </c>
      <c r="AL20" s="3047">
        <f>$R20*(IF(G40="Immediate",IF(C40&gt;0,C40*MIN(20,time),0),C40*IF(time&gt;time+20,20,IF(time&lt;20,(time*VLOOKUP(G40, list!$J$48:$K$50,2,))+(time-time),((MIN(20,time)*VLOOKUP(G40, list!$J$48:$K$50,2,))+(time_tot-MIN(20,time))-IF(G40="Exponential",time-20+0.217*time*(EXP(4.606*(20-time)/time)-1),((time-20)^2)*(0.5/time)))))))</f>
        <v>0</v>
      </c>
      <c r="AM20" s="3047">
        <f>IF($G20="YES",(MIN(C40,D40)*time+ABS(D40-C40)*IF(D40&gt;C40,time*(VLOOKUP(E40,list!$J$48:$K$50,2,)),time*(1-(VLOOKUP(E40,list!$J$48:$K$50,2,))))),0)*($V20*$W20*(IPCC!$D$75*methane)/1000)/$H20</f>
        <v>0</v>
      </c>
      <c r="AN20" s="3047">
        <f>IF($I20="YES",(MIN(D40,F40)*time+ABS(F40-D40)*IF(F40&gt;D40,time*(VLOOKUP(G40,list!$J$48:$K$50,2,)),time*(1-(VLOOKUP(G40,list!$J$48:$K$50,2,))))),0)*($V20*$W20*(IPCC!$D$75*methane)/1000)/$H20</f>
        <v>0</v>
      </c>
      <c r="AO20" s="3047">
        <f>IF($G20="YES",(MIN(C40,D40)*time+ABS(D40-C40)*IF(D40&gt;C40,time*(VLOOKUP(E40,list!$J$48:$K$50,2,)),time*(1-(VLOOKUP(E40,list!$J$48:$K$50,2,))))),0)*($V20*$W20*(IPCC!$E$75*Nitrous)/1000)/$H20</f>
        <v>0</v>
      </c>
      <c r="AP20" s="3048">
        <f>IF($I20="YES",(MIN(D40,F40)*time+ABS(F40-D40)*IF(F40&gt;D40,time*(VLOOKUP(G40,list!$J$48:$K$50,2,)),time*(1-(VLOOKUP(G40,list!$J$48:$K$50,2,))))),0)*($V20*$W20*(IPCC!$E$75*Nitrous)/1000)/$H20</f>
        <v>0</v>
      </c>
    </row>
    <row r="21" spans="1:42" x14ac:dyDescent="0.15">
      <c r="B21" s="3111">
        <f>'4.Grassland'!C33</f>
        <v>0</v>
      </c>
      <c r="C21" s="1688"/>
      <c r="D21" s="1688" t="str">
        <f>'4.Grassland'!$G33</f>
        <v>Please select</v>
      </c>
      <c r="E21" s="3106" t="str">
        <f>'4.Grassland'!$I33</f>
        <v>Please select</v>
      </c>
      <c r="F21" s="3106" t="str">
        <f>'4.Grassland'!$K33</f>
        <v>Please select</v>
      </c>
      <c r="G21" s="3106" t="str">
        <f>'4.Grassland'!$M33</f>
        <v>NO</v>
      </c>
      <c r="H21" s="3106">
        <f>'4.Grassland'!$N33</f>
        <v>5</v>
      </c>
      <c r="I21" s="3106" t="str">
        <f>'4.Grassland'!$P33</f>
        <v>NO</v>
      </c>
      <c r="J21" s="3106">
        <f>'4.Grassland'!$Q33</f>
        <v>5</v>
      </c>
      <c r="K21" s="3038">
        <f>IFERROR(IF($D21&lt;&gt; "Please select", VLOOKUP($D21, grass!$W$28:$Y$33,3, FALSE),SOCref),0)</f>
        <v>24</v>
      </c>
      <c r="L21" s="1280">
        <f>IF('4.Grassland'!BD33="",'4.Grassland'!BC33,'4.Grassland'!BD33)</f>
        <v>24</v>
      </c>
      <c r="M21" s="3038">
        <f>IFERROR(IF($E21&lt;&gt; "Please select", VLOOKUP($E21, grass!$W$28:$Y$33,3, FALSE),SOCref),0)</f>
        <v>24</v>
      </c>
      <c r="N21" s="1280">
        <f>IF('4.Grassland'!BF33="",'4.Grassland'!BE33,'4.Grassland'!BF33)</f>
        <v>24</v>
      </c>
      <c r="O21" s="3038">
        <f>IFERROR(IF($F21&lt;&gt; "Please select", VLOOKUP($F21, grass!$W$28:$Y$33,3, FALSE),SOCref),0)</f>
        <v>24</v>
      </c>
      <c r="P21" s="1280">
        <f>IF('4.Grassland'!BH33="",'4.Grassland'!BG33,'4.Grassland'!BH33)</f>
        <v>24</v>
      </c>
      <c r="Q21" s="3114">
        <f t="shared" si="2"/>
        <v>0</v>
      </c>
      <c r="R21" s="3115">
        <f t="shared" si="3"/>
        <v>0</v>
      </c>
      <c r="S21" s="3106">
        <f>'4.Grassland'!$S33</f>
        <v>0</v>
      </c>
      <c r="T21" s="3106">
        <f>'4.Grassland'!$T33</f>
        <v>0</v>
      </c>
      <c r="U21" s="3106">
        <f>'4.Grassland'!$U33</f>
        <v>0</v>
      </c>
      <c r="V21" s="1104">
        <f>IF('4.Grassland'!$BJ33="", '4.Grassland'!$BI33, '4.Grassland'!$BJ33)</f>
        <v>0</v>
      </c>
      <c r="W21" s="1104">
        <f>IF('4.Grassland'!$BM33="", '4.Grassland'!$BL33, '4.Grassland'!$BM33)</f>
        <v>0.77</v>
      </c>
      <c r="X21" s="1003">
        <f>V21*$W21*(IPCC!$D$75*methane+IPCC!$E$75*Nitrous)/1000</f>
        <v>0</v>
      </c>
      <c r="Y21" s="3394">
        <f t="shared" si="0"/>
        <v>0</v>
      </c>
      <c r="Z21" s="3394">
        <f t="shared" si="1"/>
        <v>0</v>
      </c>
      <c r="AG21" s="3046">
        <f>IF($G21="YES",(MIN(C41,D41)*time_tot+ABS(D41-C41)*IF(D41&gt;C41,time_cap+time*(VLOOKUP(E41,list!$J$48:$K$50,2,)),time*(1-(VLOOKUP($E41,list!$J$48:$K$50,2,))))),0)*($V21*$W21*(IPCC!$D$75*methane)/1000)/$H21</f>
        <v>0</v>
      </c>
      <c r="AH21" s="3047">
        <f>IF($I21="YES",(MIN(D41,F41)*time_tot+ABS(F41-D41)*IF(F41&gt;D41,time_cap+time*(VLOOKUP(G41,list!$J$48:$K$50,2,)),time*(1-(VLOOKUP(G41,list!$J$48:$K$50,2,))))),0)*($V21*$W21*(IPCC!$D$75*methane)/1000)/$H21</f>
        <v>0</v>
      </c>
      <c r="AI21" s="3047">
        <f>IF($G21="YES",(MIN(C41,D41)*time_tot+ABS(D41-C41)*IF(D41&gt;C41,time_cap+time*(VLOOKUP(E41,list!$J$48:$K$50,2,)),time*(1-(VLOOKUP(E41,list!$J$48:$K$50,2,))))),0)*($V21*$W21*(IPCC!$E$75*Nitrous)/1000)/$H21</f>
        <v>0</v>
      </c>
      <c r="AJ21" s="3047">
        <f>IF($I21="YES",(MIN(D41,F41)*time_tot+ABS(F41-D41)*IF(F41&gt;D41,time_cap+time*(VLOOKUP(G41,list!$J$48:$K$50,2,)),time*(1-(VLOOKUP(G41,list!$J$48:$K$50,2,))))),0)*($V21*$W21*(IPCC!$E$75*Nitrous)/1000)/$H21</f>
        <v>0</v>
      </c>
      <c r="AK21" s="3047">
        <f>$Q21*(IF(E41="Immediate",IF(C41&gt;0,C41*MIN(20,time),0),C41*IF(time&gt;time+20,20,IF(time&lt;20,(time*VLOOKUP(E41, list!$J$48:$K$50,2,))+(time-time),((MIN(20,time)*VLOOKUP(E41, list!$J$48:$K$50,2,))+(time-MIN(20,time))-IF(E41="Exponential",time-20+0.217*time*(EXP(4.606*(20-time)/time)-1),((time-20)^2)*(0.5/time)))))))</f>
        <v>0</v>
      </c>
      <c r="AL21" s="3047">
        <f>$R21*(IF(G41="Immediate",IF(C41&gt;0,C41*MIN(20,time),0),C41*IF(time&gt;time+20,20,IF(time&lt;20,(time*VLOOKUP(G41, list!$J$48:$K$50,2,))+(time-time),((MIN(20,time)*VLOOKUP(G41, list!$J$48:$K$50,2,))+(time_tot-MIN(20,time))-IF(G41="Exponential",time-20+0.217*time*(EXP(4.606*(20-time)/time)-1),((time-20)^2)*(0.5/time)))))))</f>
        <v>0</v>
      </c>
      <c r="AM21" s="3047">
        <f>IF($G21="YES",(MIN(C41,D41)*time+ABS(D41-C41)*IF(D41&gt;C41,time*(VLOOKUP(E41,list!$J$48:$K$50,2,)),time*(1-(VLOOKUP(E41,list!$J$48:$K$50,2,))))),0)*($V21*$W21*(IPCC!$D$75*methane)/1000)/$H21</f>
        <v>0</v>
      </c>
      <c r="AN21" s="3047">
        <f>IF($I21="YES",(MIN(D41,F41)*time+ABS(F41-D41)*IF(F41&gt;D41,time*(VLOOKUP(G41,list!$J$48:$K$50,2,)),time*(1-(VLOOKUP(G41,list!$J$48:$K$50,2,))))),0)*($V21*$W21*(IPCC!$D$75*methane)/1000)/$H21</f>
        <v>0</v>
      </c>
      <c r="AO21" s="3047">
        <f>IF($G21="YES",(MIN(C41,D41)*time+ABS(D41-C41)*IF(D41&gt;C41,time*(VLOOKUP(E41,list!$J$48:$K$50,2,)),time*(1-(VLOOKUP(E41,list!$J$48:$K$50,2,))))),0)*($V21*$W21*(IPCC!$E$75*Nitrous)/1000)/$H21</f>
        <v>0</v>
      </c>
      <c r="AP21" s="3048">
        <f>IF($I21="YES",(MIN(D41,F41)*time+ABS(F41-D41)*IF(F41&gt;D41,time*(VLOOKUP(G41,list!$J$48:$K$50,2,)),time*(1-(VLOOKUP(G41,list!$J$48:$K$50,2,))))),0)*($V21*$W21*(IPCC!$E$75*Nitrous)/1000)/$H21</f>
        <v>0</v>
      </c>
    </row>
    <row r="22" spans="1:42" x14ac:dyDescent="0.15">
      <c r="B22" s="3111">
        <f>'4.Grassland'!C34</f>
        <v>0</v>
      </c>
      <c r="C22" s="1688"/>
      <c r="D22" s="1688" t="str">
        <f>'4.Grassland'!$G34</f>
        <v>Please select</v>
      </c>
      <c r="E22" s="3106" t="str">
        <f>'4.Grassland'!$I34</f>
        <v>Please select</v>
      </c>
      <c r="F22" s="3106" t="str">
        <f>'4.Grassland'!$K34</f>
        <v>Please select</v>
      </c>
      <c r="G22" s="3106" t="str">
        <f>'4.Grassland'!$M34</f>
        <v>NO</v>
      </c>
      <c r="H22" s="3106">
        <f>'4.Grassland'!$N34</f>
        <v>5</v>
      </c>
      <c r="I22" s="3106" t="str">
        <f>'4.Grassland'!$P34</f>
        <v>NO</v>
      </c>
      <c r="J22" s="3106">
        <f>'4.Grassland'!$Q34</f>
        <v>5</v>
      </c>
      <c r="K22" s="3038">
        <f>IFERROR(IF($D22&lt;&gt; "Please select", VLOOKUP($D22, grass!$W$28:$Y$33,3, FALSE),SOCref),0)</f>
        <v>24</v>
      </c>
      <c r="L22" s="1280">
        <f>IF('4.Grassland'!BD34="",'4.Grassland'!BC34,'4.Grassland'!BD34)</f>
        <v>24</v>
      </c>
      <c r="M22" s="3038">
        <f>IFERROR(IF($E22&lt;&gt; "Please select", VLOOKUP($E22, grass!$W$28:$Y$33,3, FALSE),SOCref),0)</f>
        <v>24</v>
      </c>
      <c r="N22" s="1280">
        <f>IF('4.Grassland'!BF34="",'4.Grassland'!BE34,'4.Grassland'!BF34)</f>
        <v>24</v>
      </c>
      <c r="O22" s="3038">
        <f>IFERROR(IF($F22&lt;&gt; "Please select", VLOOKUP($F22, grass!$W$28:$Y$33,3, FALSE),SOCref),0)</f>
        <v>24</v>
      </c>
      <c r="P22" s="1280">
        <f>IF('4.Grassland'!BH34="",'4.Grassland'!BG34,'4.Grassland'!BH34)</f>
        <v>24</v>
      </c>
      <c r="Q22" s="3114">
        <f t="shared" si="2"/>
        <v>0</v>
      </c>
      <c r="R22" s="3115">
        <f t="shared" si="3"/>
        <v>0</v>
      </c>
      <c r="S22" s="3106">
        <f>'4.Grassland'!$S34</f>
        <v>0</v>
      </c>
      <c r="T22" s="3106">
        <f>'4.Grassland'!$T34</f>
        <v>0</v>
      </c>
      <c r="U22" s="3106">
        <f>'4.Grassland'!$U34</f>
        <v>0</v>
      </c>
      <c r="V22" s="1104">
        <f>IF('4.Grassland'!$BJ34="", '4.Grassland'!$BI34, '4.Grassland'!$BJ34)</f>
        <v>0</v>
      </c>
      <c r="W22" s="1104">
        <f>IF('4.Grassland'!$BM34="", '4.Grassland'!$BL34, '4.Grassland'!$BM34)</f>
        <v>0.77</v>
      </c>
      <c r="X22" s="1003">
        <f>V22*$W22*(IPCC!$D$75*methane+IPCC!$E$75*Nitrous)/1000</f>
        <v>0</v>
      </c>
      <c r="Y22" s="3394">
        <f t="shared" si="0"/>
        <v>0</v>
      </c>
      <c r="Z22" s="3394">
        <f t="shared" si="1"/>
        <v>0</v>
      </c>
      <c r="AG22" s="3046">
        <f>IF($G22="YES",(MIN(C42,D42)*time_tot+ABS(D42-C42)*IF(D42&gt;C42,time_cap+time*(VLOOKUP(E42,list!$J$48:$K$50,2,)),time*(1-(VLOOKUP($E42,list!$J$48:$K$50,2,))))),0)*($V22*$W22*(IPCC!$D$75*methane)/1000)/$H22</f>
        <v>0</v>
      </c>
      <c r="AH22" s="3047">
        <f>IF($I22="YES",(MIN(D42,F42)*time_tot+ABS(F42-D42)*IF(F42&gt;D42,time_cap+time*(VLOOKUP(G42,list!$J$48:$K$50,2,)),time*(1-(VLOOKUP(G42,list!$J$48:$K$50,2,))))),0)*($V22*$W22*(IPCC!$D$75*methane)/1000)/$H22</f>
        <v>0</v>
      </c>
      <c r="AI22" s="3047">
        <f>IF($G22="YES",(MIN(C42,D42)*time_tot+ABS(D42-C42)*IF(D42&gt;C42,time_cap+time*(VLOOKUP(E42,list!$J$48:$K$50,2,)),time*(1-(VLOOKUP(E42,list!$J$48:$K$50,2,))))),0)*($V22*$W22*(IPCC!$E$75*Nitrous)/1000)/$H22</f>
        <v>0</v>
      </c>
      <c r="AJ22" s="3047">
        <f>IF($I22="YES",(MIN(D42,F42)*time_tot+ABS(F42-D42)*IF(F42&gt;D42,time_cap+time*(VLOOKUP(G42,list!$J$48:$K$50,2,)),time*(1-(VLOOKUP(G42,list!$J$48:$K$50,2,))))),0)*($V22*$W22*(IPCC!$E$75*Nitrous)/1000)/$H22</f>
        <v>0</v>
      </c>
      <c r="AK22" s="3047">
        <f>$Q22*(IF(E42="Immediate",IF(C42&gt;0,C42*MIN(20,time),0),C42*IF(time&gt;time+20,20,IF(time&lt;20,(time*VLOOKUP(E42, list!$J$48:$K$50,2,))+(time-time),((MIN(20,time)*VLOOKUP(E42, list!$J$48:$K$50,2,))+(time-MIN(20,time))-IF(E42="Exponential",time-20+0.217*time*(EXP(4.606*(20-time)/time)-1),((time-20)^2)*(0.5/time)))))))</f>
        <v>0</v>
      </c>
      <c r="AL22" s="3047">
        <f>$R22*(IF(G42="Immediate",IF(C42&gt;0,C42*MIN(20,time),0),C42*IF(time&gt;time+20,20,IF(time&lt;20,(time*VLOOKUP(G42, list!$J$48:$K$50,2,))+(time-time),((MIN(20,time)*VLOOKUP(G42, list!$J$48:$K$50,2,))+(time_tot-MIN(20,time))-IF(G42="Exponential",time-20+0.217*time*(EXP(4.606*(20-time)/time)-1),((time-20)^2)*(0.5/time)))))))</f>
        <v>0</v>
      </c>
      <c r="AM22" s="3047">
        <f>IF($G22="YES",(MIN(C42,D42)*time+ABS(D42-C42)*IF(D42&gt;C42,time*(VLOOKUP(E42,list!$J$48:$K$50,2,)),time*(1-(VLOOKUP(E42,list!$J$48:$K$50,2,))))),0)*($V22*$W22*(IPCC!$D$75*methane)/1000)/$H22</f>
        <v>0</v>
      </c>
      <c r="AN22" s="3047">
        <f>IF($I22="YES",(MIN(D42,F42)*time+ABS(F42-D42)*IF(F42&gt;D42,time*(VLOOKUP(G42,list!$J$48:$K$50,2,)),time*(1-(VLOOKUP(G42,list!$J$48:$K$50,2,))))),0)*($V22*$W22*(IPCC!$D$75*methane)/1000)/$H22</f>
        <v>0</v>
      </c>
      <c r="AO22" s="3047">
        <f>IF($G22="YES",(MIN(C42,D42)*time+ABS(D42-C42)*IF(D42&gt;C42,time*(VLOOKUP(E42,list!$J$48:$K$50,2,)),time*(1-(VLOOKUP(E42,list!$J$48:$K$50,2,))))),0)*($V22*$W22*(IPCC!$E$75*Nitrous)/1000)/$H22</f>
        <v>0</v>
      </c>
      <c r="AP22" s="3048">
        <f>IF($I22="YES",(MIN(D42,F42)*time+ABS(F42-D42)*IF(F42&gt;D42,time*(VLOOKUP(G42,list!$J$48:$K$50,2,)),time*(1-(VLOOKUP(G42,list!$J$48:$K$50,2,))))),0)*($V22*$W22*(IPCC!$E$75*Nitrous)/1000)/$H22</f>
        <v>0</v>
      </c>
    </row>
    <row r="23" spans="1:42" x14ac:dyDescent="0.15">
      <c r="B23" s="3111">
        <f>'4.Grassland'!C35</f>
        <v>0</v>
      </c>
      <c r="C23" s="1688"/>
      <c r="D23" s="1688" t="str">
        <f>'4.Grassland'!$G35</f>
        <v>Please select</v>
      </c>
      <c r="E23" s="3106" t="str">
        <f>'4.Grassland'!$I35</f>
        <v>Please select</v>
      </c>
      <c r="F23" s="3106" t="str">
        <f>'4.Grassland'!$K35</f>
        <v>Please select</v>
      </c>
      <c r="G23" s="3106" t="str">
        <f>'4.Grassland'!$M35</f>
        <v>NO</v>
      </c>
      <c r="H23" s="3106">
        <f>'4.Grassland'!$N35</f>
        <v>5</v>
      </c>
      <c r="I23" s="3106" t="str">
        <f>'4.Grassland'!$P35</f>
        <v>NO</v>
      </c>
      <c r="J23" s="3106">
        <f>'4.Grassland'!$Q35</f>
        <v>5</v>
      </c>
      <c r="K23" s="3038">
        <f>IFERROR(IF($D23&lt;&gt; "Please select", VLOOKUP($D23, grass!$W$28:$Y$33,3, FALSE),SOCref),0)</f>
        <v>24</v>
      </c>
      <c r="L23" s="1280">
        <f>IF('4.Grassland'!BD35="",'4.Grassland'!BC35,'4.Grassland'!BD35)</f>
        <v>24</v>
      </c>
      <c r="M23" s="3038">
        <f>IFERROR(IF($E23&lt;&gt; "Please select", VLOOKUP($E23, grass!$W$28:$Y$33,3, FALSE),SOCref),0)</f>
        <v>24</v>
      </c>
      <c r="N23" s="1280">
        <f>IF('4.Grassland'!BF35="",'4.Grassland'!BE35,'4.Grassland'!BF35)</f>
        <v>24</v>
      </c>
      <c r="O23" s="3038">
        <f>IFERROR(IF($F23&lt;&gt; "Please select", VLOOKUP($F23, grass!$W$28:$Y$33,3, FALSE),SOCref),0)</f>
        <v>24</v>
      </c>
      <c r="P23" s="1280">
        <f>IF('4.Grassland'!BH35="",'4.Grassland'!BG35,'4.Grassland'!BH35)</f>
        <v>24</v>
      </c>
      <c r="Q23" s="3116">
        <f t="shared" si="2"/>
        <v>0</v>
      </c>
      <c r="R23" s="3117">
        <f t="shared" si="3"/>
        <v>0</v>
      </c>
      <c r="S23" s="3106">
        <f>'4.Grassland'!$S35</f>
        <v>0</v>
      </c>
      <c r="T23" s="3106">
        <f>'4.Grassland'!$T35</f>
        <v>0</v>
      </c>
      <c r="U23" s="3106">
        <f>'4.Grassland'!$U35</f>
        <v>0</v>
      </c>
      <c r="V23" s="1104">
        <f>IF('4.Grassland'!$BJ35="", '4.Grassland'!$BI35, '4.Grassland'!$BJ35)</f>
        <v>0</v>
      </c>
      <c r="W23" s="1104">
        <f>IF('4.Grassland'!$BM35="", '4.Grassland'!$BL35, '4.Grassland'!$BM35)</f>
        <v>0.77</v>
      </c>
      <c r="X23" s="1003">
        <f>V23*$W23*(IPCC!$D$75*methane+IPCC!$E$75*Nitrous)/1000</f>
        <v>0</v>
      </c>
      <c r="Y23" s="3394">
        <f t="shared" si="0"/>
        <v>0</v>
      </c>
      <c r="Z23" s="3394">
        <f t="shared" si="1"/>
        <v>0</v>
      </c>
      <c r="AG23" s="3049">
        <f>IF($G23="YES",(MIN(C43,D43)*time_tot+ABS(D43-C43)*IF(D43&gt;C43,time_cap+time*(VLOOKUP(E43,list!$J$48:$K$50,2,)),time*(1-(VLOOKUP($E43,list!$J$48:$K$50,2,))))),0)*($V23*$W23*(IPCC!$D$75*methane)/1000)/$H23</f>
        <v>0</v>
      </c>
      <c r="AH23" s="3050">
        <f>IF($I23="YES",(MIN(D43,F43)*time_tot+ABS(F43-D43)*IF(F43&gt;D43,time_cap+time*(VLOOKUP(G43,list!$J$48:$K$50,2,)),time*(1-(VLOOKUP(G43,list!$J$48:$K$50,2,))))),0)*($V23*$W23*(IPCC!$D$75*methane)/1000)/$H23</f>
        <v>0</v>
      </c>
      <c r="AI23" s="3050">
        <f>IF($G23="YES",(MIN(C43,D43)*time_tot+ABS(D43-C43)*IF(D43&gt;C43,time_cap+time*(VLOOKUP(E43,list!$J$48:$K$50,2,)),time*(1-(VLOOKUP(E43,list!$J$48:$K$50,2,))))),0)*($V23*$W23*(IPCC!$E$75*Nitrous)/1000)/$H23</f>
        <v>0</v>
      </c>
      <c r="AJ23" s="3050">
        <f>IF($I23="YES",(MIN(D43,F43)*time_tot+ABS(F43-D43)*IF(F43&gt;D43,time_cap+time*(VLOOKUP(G43,list!$J$48:$K$50,2,)),time*(1-(VLOOKUP(G43,list!$J$48:$K$50,2,))))),0)*($V23*$W23*(IPCC!$E$75*Nitrous)/1000)/$H23</f>
        <v>0</v>
      </c>
      <c r="AK23" s="3050">
        <f>$Q23*(IF(E43="Immediate",IF(C43&gt;0,C43*MIN(20,time),0),C43*IF(time&gt;time+20,20,IF(time&lt;20,(time*VLOOKUP(E43, list!$J$48:$K$50,2,))+(time-time),((MIN(20,time)*VLOOKUP(E43, list!$J$48:$K$50,2,))+(time-MIN(20,time))-IF(E43="Exponential",time-20+0.217*time*(EXP(4.606*(20-time)/time)-1),((time-20)^2)*(0.5/time)))))))</f>
        <v>0</v>
      </c>
      <c r="AL23" s="3050">
        <f>$R23*(IF(G43="Immediate",IF(C43&gt;0,C43*MIN(20,time),0),C43*IF(time&gt;time+20,20,IF(time&lt;20,(time*VLOOKUP(G43, list!$J$48:$K$50,2,))+(time-time),((MIN(20,time)*VLOOKUP(G43, list!$J$48:$K$50,2,))+(time_tot-MIN(20,time))-IF(G43="Exponential",time-20+0.217*time*(EXP(4.606*(20-time)/time)-1),((time-20)^2)*(0.5/time)))))))</f>
        <v>0</v>
      </c>
      <c r="AM23" s="3050">
        <f>IF($G23="YES",(MIN(C43,D43)*time+ABS(D43-C43)*IF(D43&gt;C43,time*(VLOOKUP(E43,list!$J$48:$K$50,2,)),time*(1-(VLOOKUP(E43,list!$J$48:$K$50,2,))))),0)*($V23*$W23*(IPCC!$D$75*methane)/1000)/$H23</f>
        <v>0</v>
      </c>
      <c r="AN23" s="3050">
        <f>IF($I23="YES",(MIN(D43,F43)*time+ABS(F43-D43)*IF(F43&gt;D43,time*(VLOOKUP(G43,list!$J$48:$K$50,2,)),time*(1-(VLOOKUP(G43,list!$J$48:$K$50,2,))))),0)*($V23*$W23*(IPCC!$D$75*methane)/1000)/$H23</f>
        <v>0</v>
      </c>
      <c r="AO23" s="3050">
        <f>IF($G23="YES",(MIN(C43,D43)*time+ABS(D43-C43)*IF(D43&gt;C43,time*(VLOOKUP(E43,list!$J$48:$K$50,2,)),time*(1-(VLOOKUP(E43,list!$J$48:$K$50,2,))))),0)*($V23*$W23*(IPCC!$E$75*Nitrous)/1000)/$H23</f>
        <v>0</v>
      </c>
      <c r="AP23" s="3051">
        <f>IF($I23="YES",(MIN(D43,F43)*time+ABS(F43-D43)*IF(F43&gt;D43,time*(VLOOKUP(G43,list!$J$48:$K$50,2,)),time*(1-(VLOOKUP(G43,list!$J$48:$K$50,2,))))),0)*($V23*$W23*(IPCC!$E$75*Nitrous)/1000)/$H23</f>
        <v>0</v>
      </c>
    </row>
    <row r="26" spans="1:42" x14ac:dyDescent="0.15">
      <c r="B26" s="1573"/>
      <c r="C26" s="1573"/>
      <c r="D26" s="1573"/>
      <c r="E26" s="1573"/>
      <c r="F26" s="1573"/>
      <c r="G26" s="1573"/>
      <c r="H26" s="1573"/>
      <c r="I26" s="1573"/>
      <c r="J26" s="1573"/>
      <c r="K26" s="1573"/>
      <c r="L26" s="1573"/>
      <c r="M26" s="1573"/>
      <c r="N26" s="1573"/>
      <c r="P26" s="3386" t="s">
        <v>837</v>
      </c>
      <c r="Q26" s="3386"/>
      <c r="R26" s="3386"/>
      <c r="S26" s="3387" t="s">
        <v>605</v>
      </c>
      <c r="T26" s="3388"/>
      <c r="U26" s="3388"/>
      <c r="W26" s="3070" t="s">
        <v>838</v>
      </c>
      <c r="X26" s="3070"/>
      <c r="Y26" s="3071" t="s">
        <v>782</v>
      </c>
    </row>
    <row r="27" spans="1:42" ht="18" x14ac:dyDescent="0.25">
      <c r="B27" s="1081"/>
      <c r="C27" s="998" t="s">
        <v>323</v>
      </c>
      <c r="D27" s="3081" t="s">
        <v>323</v>
      </c>
      <c r="E27" s="978"/>
      <c r="F27" s="998" t="s">
        <v>323</v>
      </c>
      <c r="G27" s="978"/>
      <c r="H27" s="3082" t="s">
        <v>839</v>
      </c>
      <c r="I27" s="3083"/>
      <c r="J27" s="3084" t="s">
        <v>840</v>
      </c>
      <c r="K27" s="3085"/>
      <c r="L27" s="3082" t="s">
        <v>841</v>
      </c>
      <c r="M27" s="3086"/>
      <c r="N27" s="998" t="s">
        <v>618</v>
      </c>
      <c r="P27" s="3088" t="s">
        <v>615</v>
      </c>
      <c r="Q27" s="3092" t="s">
        <v>179</v>
      </c>
      <c r="R27" s="1548" t="s">
        <v>180</v>
      </c>
      <c r="S27" s="3092" t="s">
        <v>179</v>
      </c>
      <c r="T27" s="1548" t="s">
        <v>180</v>
      </c>
      <c r="U27" s="998" t="s">
        <v>618</v>
      </c>
      <c r="V27" s="3039"/>
      <c r="W27" s="3080" t="s">
        <v>842</v>
      </c>
      <c r="X27" s="3072"/>
      <c r="Y27" s="3073" t="s">
        <v>62</v>
      </c>
      <c r="AG27" s="3673" t="s">
        <v>768</v>
      </c>
      <c r="AH27" s="3672"/>
      <c r="AI27" s="3672"/>
    </row>
    <row r="28" spans="1:42" x14ac:dyDescent="0.15">
      <c r="B28" s="3087"/>
      <c r="C28" s="3088" t="s">
        <v>615</v>
      </c>
      <c r="D28" s="3089" t="s">
        <v>616</v>
      </c>
      <c r="E28" s="3090"/>
      <c r="F28" s="3091" t="s">
        <v>617</v>
      </c>
      <c r="G28" s="982"/>
      <c r="H28" s="3092" t="s">
        <v>179</v>
      </c>
      <c r="I28" s="1548" t="s">
        <v>180</v>
      </c>
      <c r="J28" s="3092" t="s">
        <v>179</v>
      </c>
      <c r="K28" s="1548" t="s">
        <v>180</v>
      </c>
      <c r="L28" s="3092" t="s">
        <v>179</v>
      </c>
      <c r="M28" s="1548" t="s">
        <v>180</v>
      </c>
      <c r="N28" s="1069"/>
      <c r="P28" s="1069"/>
      <c r="Q28" s="1069"/>
      <c r="R28" s="1069"/>
      <c r="S28" s="1069"/>
      <c r="T28" s="1069"/>
      <c r="U28" s="1069"/>
      <c r="W28" s="3074" t="s">
        <v>843</v>
      </c>
      <c r="X28" s="3074"/>
      <c r="Y28" s="3077">
        <f>SOCref*IPCC!$D$537*IPCC!$D$538</f>
        <v>24</v>
      </c>
      <c r="AG28" s="3039"/>
      <c r="AH28" s="3672" t="s">
        <v>267</v>
      </c>
      <c r="AI28" s="3672" t="s">
        <v>180</v>
      </c>
    </row>
    <row r="29" spans="1:42" ht="18" x14ac:dyDescent="0.25">
      <c r="B29" s="3087"/>
      <c r="C29" s="3093" t="s">
        <v>223</v>
      </c>
      <c r="D29" s="3094" t="s">
        <v>224</v>
      </c>
      <c r="E29" s="3095" t="s">
        <v>225</v>
      </c>
      <c r="F29" s="988" t="s">
        <v>224</v>
      </c>
      <c r="G29" s="988" t="s">
        <v>225</v>
      </c>
      <c r="H29" s="3096" t="s">
        <v>844</v>
      </c>
      <c r="I29" s="3097" t="s">
        <v>844</v>
      </c>
      <c r="J29" s="3096" t="s">
        <v>844</v>
      </c>
      <c r="K29" s="3097" t="s">
        <v>844</v>
      </c>
      <c r="L29" s="3096" t="s">
        <v>844</v>
      </c>
      <c r="M29" s="3097" t="s">
        <v>844</v>
      </c>
      <c r="N29" s="1069" t="s">
        <v>844</v>
      </c>
      <c r="P29" s="1069"/>
      <c r="Q29" s="1069"/>
      <c r="R29" s="1069"/>
      <c r="S29" s="1069"/>
      <c r="T29" s="1069"/>
      <c r="U29" s="1069"/>
      <c r="W29" s="3075" t="s">
        <v>845</v>
      </c>
      <c r="X29" s="3075"/>
      <c r="Y29" s="3078">
        <f>SOCref*IPCC!$D$537*IPCC!$D$539</f>
        <v>21.6</v>
      </c>
      <c r="AF29" s="3541" t="s">
        <v>829</v>
      </c>
      <c r="AG29" s="3451"/>
      <c r="AH29" s="3450">
        <f>IF($J30&gt;0, $J30/$X10,0)</f>
        <v>0</v>
      </c>
      <c r="AI29" s="3450">
        <f>IF($K30&gt;0, $K30/$X10,0)</f>
        <v>0</v>
      </c>
    </row>
    <row r="30" spans="1:42" x14ac:dyDescent="0.15">
      <c r="A30" s="3009" t="s">
        <v>828</v>
      </c>
      <c r="B30" s="3541" t="str">
        <f t="shared" ref="B30:B43" si="4">B10</f>
        <v>Grassland after deforestation</v>
      </c>
      <c r="C30" s="3098">
        <v>0</v>
      </c>
      <c r="D30" s="3098">
        <f>Matrix!M7</f>
        <v>0</v>
      </c>
      <c r="E30" s="3099" t="s">
        <v>625</v>
      </c>
      <c r="F30" s="3098">
        <f>Matrix!M24</f>
        <v>0</v>
      </c>
      <c r="G30" s="3099" t="s">
        <v>625</v>
      </c>
      <c r="H30" s="3099">
        <f>IF(ABS($Q10*((MIN($C30,D30)*MIN(20,time_tot))+IF(E30="Immediate",IF(D30 &gt; $C30,D30*MIN(20,time_tot),0),IF($C30&gt;D30,($C30-D30)*IF(time&gt;20,IF(E30="Linear",time-((time-20)^2)/(2*time),(0.215*time)-(time/4.6)*(EXP(-92.1/time)-0.01)),time*(1-VLOOKUP(E30,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+(time_tot-MIN(20,time))-IF(E30="Exponential",time_tot-20+0.217*time*(EXP(4.606*(20-time_tot)/time)-1),((time_tot-20)^2)*(0.5/time)))))))))&gt;=ABS(Q10*20*MAX(D30,C30)),Q10*20*MAX(D30,C30), $Q10*((MIN($C30,D30)*MIN(20,time_tot))+IF(E30="Immediate",IF(D30 &gt; $C30,D30*MIN(20,time_tot),0),IF($C30&gt;D30,($C30-D30)*IF(time&gt;20,IF(E30="Linear",time-((time-20)^2)/(2*time),(0.215*time)-(time/4.6)*(EXP(-92.1/time)-0.01)),time*(1-VLOOKUP(E30,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f>
        <v>0</v>
      </c>
      <c r="I30" s="3099">
        <f>IF(ABS(R10*((MIN($C30,F30)*MIN(20,time_tot))+IF(G30="Immediate",IF(F30 &gt; $C30,F30*MIN(20,time_tot),0),IF($C30&gt;F30,($C30-F30)*IF(time&gt;20,IF(G30="Linear",time-((time-20)^2)/(2*time),(0.215*time)-(time/4.6)*(EXP(-92.1/time)-0.01)),time*(1-VLOOKUP(G30, list!$J$48:$K$50, 2,))), (F30-$C30)*IF(time_tot&gt;time+20,20,IF(time_tot&lt;20,(time*VLOOKUP(G30, list!$J$48:$K$50, 2,))+(time_tot-time),((MIN(20,time)*VLOOKUP(G30, list!$J$48:$K$50, 2,)) +(time_tot-MIN(20,time))-IF(G30="Exponential",time_tot-20+0.217*time*(EXP(4.606*(20-time_tot)/time)-1),((time_tot-20)^2)*(0.5/time)))))))))&gt;=ABS(R10*20*MAX(F30,C30)),R10*20*MAX(F30,C30),R10*((MIN($C30,F30)*MIN(20,time_tot))+IF(G30="Immediate",IF(F30 &gt; $C30,F30*MIN(20,time_tot),0),IF($C30&gt;F30,($C30-F30)*IF(time&gt;20,IF(G30="Linear",time-((time-20)^2)/(2*time),(0.215*time)-(time/4.6)*(EXP(-92.1/time)-0.01)),time*(1-VLOOKUP(G30, list!$J$48:$K$50, 2,))), (F30-$C30)*IF(time_tot&gt;time+20,20,IF(time_tot&lt;20,(time*VLOOKUP(G30, list!$J$48:$K$50, 2,))+(time_tot-time),((MIN(20,time)*VLOOKUP(G30, list!$J$48:$K$50, 2,)) +(time_tot-MIN(20,time))-IF(G30="Exponential",time_tot-20+0.217*time*(EXP(4.606*(20-time_tot)/time)-1),((time_tot-20)^2)*(0.5/time)))))))))</f>
        <v>0</v>
      </c>
      <c r="J30" s="3100">
        <f>IF(H10&gt;time_tot,0,IF($G10="YES",(MIN(C30,D30)*time_tot+ABS(D30-C30)*IF(D30&gt;C30,time_cap+time*(VLOOKUP($E30,list!$J$48:$K$50,2,)),time*(1-(VLOOKUP($E30,list!$J$48:$K$50,2,))))),0)*$Y10)</f>
        <v>0</v>
      </c>
      <c r="K30" s="3100">
        <f>IF(J10&gt;time_tot,0,IF($I10="YES",(MIN(C30,F30)*time_tot+ABS(F30-C30)*IF(F30&gt;C30,time_cap+time*(VLOOKUP($G30,list!$J$48:$K$50,2,)),time*(1-(VLOOKUP($G30,list!$J$48:$K$50,2,))))),0)*$Z10)</f>
        <v>0</v>
      </c>
      <c r="L30" s="3100">
        <f t="shared" ref="L30:M34" si="5">H30+J30</f>
        <v>0</v>
      </c>
      <c r="M30" s="3100">
        <f t="shared" si="5"/>
        <v>0</v>
      </c>
      <c r="N30" s="2227">
        <f>IF(OR(AND('4.Grassland'!G13="Please select", '4.Grassland'!W13&lt;&gt;0), AND('4.Grassland'!I13="please select", '4.Grassland'!X13&lt;&gt;0), AND('4.Grassland'!K13="Please select", '4.Grassland'!Z13&lt;&gt;0)), "MISSING DATA", M30-L30)</f>
        <v>0</v>
      </c>
      <c r="P30" s="3389">
        <f t="shared" ref="P30:Q33" si="6">S10*C30</f>
        <v>0</v>
      </c>
      <c r="Q30" s="3390">
        <f t="shared" si="6"/>
        <v>0</v>
      </c>
      <c r="R30" s="3390">
        <f>$U10*$F30</f>
        <v>0</v>
      </c>
      <c r="S30" s="3390">
        <f>(time*((ABS(Q30-P30)*(IF(P30&lt;=Q30,VLOOKUP(E30, list!$J$48:$K$50,2,),1-VLOOKUP(grass!E30, list!$J$48:$K$50,2,))))+MIN(grass!Q30,grass!P30))+(grass!Q30*time_cap))</f>
        <v>0</v>
      </c>
      <c r="T30" s="3390">
        <f>(time*((ABS(R30-P30)*(IF(R30&lt;=P30,VLOOKUP(G30,list!$J$48:$K$50,2,),1-VLOOKUP(grass!G30, list!$J$48:$K$50,2,))))+MIN(grass!R30,grass!P30))+(grass!R30*time_cap))</f>
        <v>0</v>
      </c>
      <c r="U30" s="3391">
        <f>T30-S30</f>
        <v>0</v>
      </c>
      <c r="W30" s="3075" t="s">
        <v>846</v>
      </c>
      <c r="X30" s="3075"/>
      <c r="Y30" s="3078">
        <f>SOCref*IPCC!$D$537*IPCC!$D$540</f>
        <v>16.799999999999997</v>
      </c>
      <c r="AF30" s="3543" t="s">
        <v>831</v>
      </c>
      <c r="AG30" s="3503"/>
      <c r="AH30" s="3666">
        <f>IF($J31&gt;0, $J31/$X11,0)</f>
        <v>0</v>
      </c>
      <c r="AI30" s="3666">
        <f>IF($K31&gt;0, $K31/$X11,0)</f>
        <v>0</v>
      </c>
    </row>
    <row r="31" spans="1:42" x14ac:dyDescent="0.15">
      <c r="A31" s="3025" t="s">
        <v>830</v>
      </c>
      <c r="B31" s="3543" t="str">
        <f t="shared" si="4"/>
        <v>Grassland converted to forest land</v>
      </c>
      <c r="C31" s="3103">
        <f>MAX(Matrix!I11,Matrix!I28)</f>
        <v>0</v>
      </c>
      <c r="D31" s="3102">
        <f>SUM(Matrix!I11,Matrix!I28)-Matrix!I11</f>
        <v>0</v>
      </c>
      <c r="E31" s="3102" t="s">
        <v>625</v>
      </c>
      <c r="F31" s="3102">
        <f>SUM(Matrix!I11,Matrix!I28)-Matrix!I28</f>
        <v>0</v>
      </c>
      <c r="G31" s="3102" t="s">
        <v>625</v>
      </c>
      <c r="H31" s="3102">
        <f>IF(ABS($Q11*((MIN($C31,D31)*MIN(20,time_tot))+IF(E31="Immediate",IF(D31 &gt; $C31,D31*MIN(20,time_tot),0),IF($C31&gt;D31,($C31-D31)*IF(time&gt;20,IF(E31="Linear",time-((time-20)^2)/(2*time),(0.215*time)-(time/4.6)*(EXP(-92.1/time)-0.01)),time*(1-VLOOKUP(E31,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+(time_tot-MIN(20,time))-IF(E31="Exponential",time_tot-20+0.217*time*(EXP(4.606*(20-time_tot)/time)-1),((time_tot-20)^2)*(0.5/time)))))))))&gt;=ABS(Q11*20*MAX(D31,C31)),Q11*20*MAX(D31,C31), $Q11*((MIN($C31,D31)*MIN(20,time_tot))+IF(E31="Immediate",IF(D31 &gt; $C31,D31*MIN(20,time_tot),0),IF($C31&gt;D31,($C31-D31)*IF(time&gt;20,IF(E31="Linear",time-((time-20)^2)/(2*time),(0.215*time)-(time/4.6)*(EXP(-92.1/time)-0.01)),time*(1-VLOOKUP(E31,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f>
        <v>0</v>
      </c>
      <c r="I31" s="3102">
        <f>IF(ABS(R11*((MIN($C31,F31)*MIN(20,time_tot))+IF(G31="Immediate",IF(F31 &gt; $C31,F31*MIN(20,time_tot),0),IF($C31&gt;F31,($C31-F31)*IF(time&gt;20,IF(G31="Linear",time-((time-20)^2)/(2*time),(0.215*time)-(time/4.6)*(EXP(-92.1/time)-0.01)),time*(1-VLOOKUP(G31, list!$J$48:$K$50, 2,))), (F31-$C31)*IF(time_tot&gt;time+20,20,IF(time_tot&lt;20,(time*VLOOKUP(G31, list!$J$48:$K$50, 2,))+(time_tot-time),((MIN(20,time)*VLOOKUP(G31, list!$J$48:$K$50, 2,)) +(time_tot-MIN(20,time))-IF(G31="Exponential",time_tot-20+0.217*time*(EXP(4.606*(20-time_tot)/time)-1),((time_tot-20)^2)*(0.5/time)))))))))&gt;=ABS(R11*20*MAX(F31,C31)),R11*20*MAX(F31,C31),R11*((MIN($C31,F31)*MIN(20,time_tot))+IF(G31="Immediate",IF(F31 &gt; $C31,F31*MIN(20,time_tot),0),IF($C31&gt;F31,($C31-F31)*IF(time&gt;20,IF(G31="Linear",time-((time-20)^2)/(2*time),(0.215*time)-(time/4.6)*(EXP(-92.1/time)-0.01)),time*(1-VLOOKUP(G31, list!$J$48:$K$50, 2,))), (F31-$C31)*IF(time_tot&gt;time+20,20,IF(time_tot&lt;20,(time*VLOOKUP(G31, list!$J$48:$K$50, 2,))+(time_tot-time),((MIN(20,time)*VLOOKUP(G31, list!$J$48:$K$50, 2,)) +(time_tot-MIN(20,time))-IF(G31="Exponential",time_tot-20+0.217*time*(EXP(4.606*(20-time_tot)/time)-1),((time_tot-20)^2)*(0.5/time)))))))))</f>
        <v>0</v>
      </c>
      <c r="J31" s="3103">
        <f>IF(H11&gt;time_tot,0,IF($G11="YES",(MIN(C31,D31)*time_tot+ABS(D31-C31)*IF(D31&gt;C31,time_cap+time*(VLOOKUP($E31,list!$J$48:$K$50,2,)),time*(1-(VLOOKUP($E31,list!$J$48:$K$50,2,))))),0)*$Y11)</f>
        <v>0</v>
      </c>
      <c r="K31" s="3103">
        <f>IF(J11&gt;time_tot,0,IF($I11="YES",(MIN(C31,F31)*time_tot+ABS(F31-C31)*IF(F31&gt;C31,time_cap+time*(VLOOKUP($G31,list!$J$48:$K$50,2,)),time*(1-(VLOOKUP($G31,list!$J$48:$K$50,2,))))),0)*$Z11)</f>
        <v>0</v>
      </c>
      <c r="L31" s="3103">
        <f>H31+J31</f>
        <v>0</v>
      </c>
      <c r="M31" s="3103">
        <f>I31+K31</f>
        <v>0</v>
      </c>
      <c r="N31" s="2227">
        <f>IF(OR(AND('4.Grassland'!G14="Please select", '4.Grassland'!W14&lt;&gt;0), AND('4.Grassland'!I14="please select", '4.Grassland'!X14&lt;&gt;0), AND('4.Grassland'!K14="Please select", '4.Grassland'!Z14&lt;&gt;0)), "MISSING DATA", M31-L31)</f>
        <v>0</v>
      </c>
      <c r="P31" s="3066">
        <f t="shared" si="6"/>
        <v>0</v>
      </c>
      <c r="Q31" s="3067">
        <f t="shared" si="6"/>
        <v>0</v>
      </c>
      <c r="R31" s="3067">
        <f>$U11*$F31</f>
        <v>0</v>
      </c>
      <c r="S31" s="3067">
        <f>(time*((ABS(Q31-P31)*(IF(P31&lt;=Q31,VLOOKUP(E31, list!$J$48:$K$50,2,),1-VLOOKUP(grass!E31, list!$J$48:$K$50,2,))))+MIN(grass!Q31,grass!P31))+(grass!Q31*time_cap))</f>
        <v>0</v>
      </c>
      <c r="T31" s="3067">
        <f>(time*((ABS(R31-P31)*(IF(R31&lt;=P31,VLOOKUP(G31,list!$J$48:$K$50,2,),1-VLOOKUP(grass!G31, list!$J$48:$K$50,2,))))+MIN(grass!R31,grass!P31))+(grass!R31*time_cap))</f>
        <v>0</v>
      </c>
      <c r="U31" s="3068">
        <f>T31-S31</f>
        <v>0</v>
      </c>
      <c r="W31" s="3075" t="s">
        <v>847</v>
      </c>
      <c r="X31" s="3075"/>
      <c r="Y31" s="3078">
        <f>SOCref*IPCC!$D$537*VLOOKUP(climate, IPCC!$C$541:$D$545,2, FALSE)*IPCC!$D$546</f>
        <v>27.36</v>
      </c>
      <c r="AF31" s="3542" t="s">
        <v>834</v>
      </c>
      <c r="AG31" s="3667"/>
      <c r="AH31" s="3668"/>
      <c r="AI31" s="3668"/>
    </row>
    <row r="32" spans="1:42" x14ac:dyDescent="0.15">
      <c r="A32" s="3019" t="s">
        <v>832</v>
      </c>
      <c r="B32" s="3542" t="str">
        <f t="shared" si="4"/>
        <v>Grassland after non-forest LUs</v>
      </c>
      <c r="C32" s="2211">
        <v>0</v>
      </c>
      <c r="D32" s="2211">
        <f>SUM(Matrix!AV16,Matrix!BH16,Matrix!BS16,Matrix!CD16,Matrix!CX16,Matrix!DI16)</f>
        <v>0</v>
      </c>
      <c r="E32" s="2211" t="s">
        <v>625</v>
      </c>
      <c r="F32" s="2211">
        <f>SUM(Matrix!AV34,Matrix!BH34,Matrix!BS34,Matrix!CD34,Matrix!CX34,Matrix!DI34)</f>
        <v>0</v>
      </c>
      <c r="G32" s="2211" t="s">
        <v>625</v>
      </c>
      <c r="H32" s="2211">
        <f>IF(ABS($Q12*((MIN($C32,D32)*MIN(20,time_tot))+IF(E32="Immediate",IF(D32 &gt; $C32,D32*MIN(20,time_tot),0),IF($C32&gt;D32,($C32-D32)*IF(time&gt;20,IF(E32="Linear",time-((time-20)^2)/(2*time),(0.215*time)-(time/4.6)*(EXP(-92.1/time)-0.01)),time*(1-VLOOKUP(E32,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+(time_tot-MIN(20,time))-IF(E32="Exponential",time_tot-20+0.217*time*(EXP(4.606*(20-time_tot)/time)-1),((time_tot-20)^2)*(0.5/time)))))))))&gt;=ABS(Q12*20*MAX(D32,C32)),Q12*20*MAX(D32,C32), $Q12*((MIN($C32,D32)*MIN(20,time_tot))+IF(E32="Immediate",IF(D32 &gt; $C32,D32*MIN(20,time_tot),0),IF($C32&gt;D32,($C32-D32)*IF(time&gt;20,IF(E32="Linear",time-((time-20)^2)/(2*time),(0.215*time)-(time/4.6)*(EXP(-92.1/time)-0.01)),time*(1-VLOOKUP(E32,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f>
        <v>0</v>
      </c>
      <c r="I32" s="2211">
        <f>IF(ABS(R12*((MIN($C32,F32)*MIN(20,time_tot))+IF(G32="Immediate",IF(F32 &gt; $C32,F32*MIN(20,time_tot),0),IF($C32&gt;F32,($C32-F32)*IF(time&gt;20,IF(G32="Linear",time-((time-20)^2)/(2*time),(0.215*time)-(time/4.6)*(EXP(-92.1/time)-0.01)),time*(1-VLOOKUP(G32, list!$J$48:$K$50, 2,))), (F32-$C32)*IF(time_tot&gt;time+20,20,IF(time_tot&lt;20,(time*VLOOKUP(G32, list!$J$48:$K$50, 2,))+(time_tot-time),((MIN(20,time)*VLOOKUP(G32, list!$J$48:$K$50, 2,)) +(time_tot-MIN(20,time))-IF(G32="Exponential",time_tot-20+0.217*time*(EXP(4.606*(20-time_tot)/time)-1),((time_tot-20)^2)*(0.5/time)))))))))&gt;=ABS(R12*20*MAX(F32,C32)),R12*20*MAX(F32,C32),R12*((MIN($C32,F32)*MIN(20,time_tot))+IF(G32="Immediate",IF(F32 &gt; $C32,F32*MIN(20,time_tot),0),IF($C32&gt;F32,($C32-F32)*IF(time&gt;20,IF(G32="Linear",time-((time-20)^2)/(2*time),(0.215*time)-(time/4.6)*(EXP(-92.1/time)-0.01)),time*(1-VLOOKUP(G32, list!$J$48:$K$50, 2,))), (F32-$C32)*IF(time_tot&gt;time+20,20,IF(time_tot&lt;20,(time*VLOOKUP(G32, list!$J$48:$K$50, 2,))+(time_tot-time),((MIN(20,time)*VLOOKUP(G32, list!$J$48:$K$50, 2,)) +(time_tot-MIN(20,time))-IF(G32="Exponential",time_tot-20+0.217*time*(EXP(4.606*(20-time_tot)/time)-1),((time_tot-20)^2)*(0.5/time)))))))))</f>
        <v>0</v>
      </c>
      <c r="J32" s="3101">
        <f>IF(H12&gt;time_tot,0,IF($G12="YES",(MIN(C32,D32)*time_tot+ABS(D32-C32)*IF(D32&gt;C32,time_cap+time*(VLOOKUP($E32,list!$J$48:$K$50,2,)),time*(1-(VLOOKUP($E32,list!$J$48:$K$50,2,))))),0)*$Y12)</f>
        <v>0</v>
      </c>
      <c r="K32" s="3101">
        <f>IF(J12&gt;time_tot,0,IF($I12="YES",(MIN(C32,F32)*time_tot+ABS(F32-C32)*IF(F32&gt;C32,time_cap+time*(VLOOKUP($G32,list!$J$48:$K$50,2,)),time*(1-(VLOOKUP($G32,list!$J$48:$K$50,2,))))),0)*$Z12)</f>
        <v>0</v>
      </c>
      <c r="L32" s="3101">
        <f t="shared" si="5"/>
        <v>0</v>
      </c>
      <c r="M32" s="3101">
        <f t="shared" si="5"/>
        <v>0</v>
      </c>
      <c r="N32" s="2227">
        <f>IF(OR(AND('4.Grassland'!G15="Please select", '4.Grassland'!W15&lt;&gt;0), AND('4.Grassland'!I15="please select", '4.Grassland'!X15&lt;&gt;0), AND('4.Grassland'!K15="Please select", '4.Grassland'!Z15&lt;&gt;0)), "MISSING DATA", M32-L32)</f>
        <v>0</v>
      </c>
      <c r="P32" s="3063">
        <f t="shared" si="6"/>
        <v>0</v>
      </c>
      <c r="Q32" s="3064">
        <f t="shared" si="6"/>
        <v>0</v>
      </c>
      <c r="R32" s="3064">
        <f>$U12*$F32</f>
        <v>0</v>
      </c>
      <c r="S32" s="3064">
        <f>(time*((ABS(Q32-P32)*(IF(P32&lt;=Q32,VLOOKUP(E32, list!$J$48:$K$50,2,),1-VLOOKUP(grass!E32, list!$J$48:$K$50,2,))))+MIN(grass!Q32,grass!P32))+(grass!Q32*time_cap))</f>
        <v>0</v>
      </c>
      <c r="T32" s="3064">
        <f>(time*((ABS(R32-P32)*(IF(R32&lt;=P32,VLOOKUP(G32,list!$J$48:$K$50,2,),1-VLOOKUP(grass!G32, list!$J$48:$K$50,2,))))+MIN(grass!R32,grass!P32))+(grass!R32*time_cap))</f>
        <v>0</v>
      </c>
      <c r="U32" s="3065">
        <f>T32-S32</f>
        <v>0</v>
      </c>
      <c r="W32" s="3075" t="s">
        <v>848</v>
      </c>
      <c r="X32" s="3075"/>
      <c r="Y32" s="3078">
        <f>SOCref*IPCC!$D$537*VLOOKUP(climate, IPCC!$C$541:$D$545,2, FALSE)</f>
        <v>27.36</v>
      </c>
      <c r="AF32" s="1131" t="s">
        <v>836</v>
      </c>
      <c r="AG32" s="3670"/>
      <c r="AH32" s="3671"/>
      <c r="AI32" s="3671"/>
    </row>
    <row r="33" spans="1:35" x14ac:dyDescent="0.15">
      <c r="A33" s="3031" t="s">
        <v>835</v>
      </c>
      <c r="B33" s="1131" t="str">
        <f t="shared" si="4"/>
        <v xml:space="preserve">Grasslands converted to non-forest LUs   </v>
      </c>
      <c r="C33" s="1137">
        <f>MAX(SUM(Matrix!CK16:CP16),SUM(Matrix!CK34:CP34))</f>
        <v>150</v>
      </c>
      <c r="D33" s="1137">
        <f>MAX(SUM(Matrix!CK16:CP16),SUM(Matrix!CK34:CP34))-SUM(Matrix!CK16:CP16)</f>
        <v>0</v>
      </c>
      <c r="E33" s="1137" t="s">
        <v>625</v>
      </c>
      <c r="F33" s="1137">
        <f>MAX(SUM(Matrix!CK16:CP16),SUM(Matrix!CK34:CP34))-SUM(Matrix!CK34:CP34)</f>
        <v>0</v>
      </c>
      <c r="G33" s="1137" t="s">
        <v>625</v>
      </c>
      <c r="H33" s="3392">
        <f>IF(ABS($Q13*((MIN($C33,D33)*MIN(20,time_tot))+IF(E33="Immediate",IF(D33 &gt; $C33,D33*MIN(20,time_tot),0),IF($C33&gt;D33,($C33-D33)*IF(time&gt;20,IF(E33="Linear",time-((time-20)^2)/(2*time),(0.215*time)-(time/4.6)*(EXP(-92.1/time)-0.01)),time*(1-VLOOKUP(E33,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+(time_tot-MIN(20,time))-IF(E33="Exponential",time_tot-20+0.217*time*(EXP(4.606*(20-time_tot)/time)-1),((time_tot-20)^2)*(0.5/time)))))))))&gt;=ABS(Q13*20*MAX(D33,C33)),Q13*20*MAX(D33,C33), $Q13*((MIN($C33,D33)*MIN(20,time_tot))+IF(E33="Immediate",IF(D33 &gt; $C33,D33*MIN(20,time_tot),0),IF($C33&gt;D33,($C33-D33)*IF(time&gt;20,IF(E33="Linear",time-((time-20)^2)/(2*time),(0.215*time)-(time/4.6)*(EXP(-92.1/time)-0.01)),time*(1-VLOOKUP(E33,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f>
        <v>0</v>
      </c>
      <c r="I33" s="3392">
        <f>IF(ABS(R13*((MIN($C33,F33)*MIN(20,time_tot))+IF(G33="Immediate",IF(F33 &gt; $C33,F33*MIN(20,time_tot),0),IF($C33&gt;F33,($C33-F33)*IF(time&gt;20,IF(G33="Linear",time-((time-20)^2)/(2*time),(0.215*time)-(time/4.6)*(EXP(-92.1/time)-0.01)),time*(1-VLOOKUP(G33, list!$J$48:$K$50, 2,))), (F33-$C33)*IF(time_tot&gt;time+20,20,IF(time_tot&lt;20,(time*VLOOKUP(G33, list!$J$48:$K$50, 2,))+(time_tot-time),((MIN(20,time)*VLOOKUP(G33, list!$J$48:$K$50, 2,)) +(time_tot-MIN(20,time))-IF(G33="Exponential",time_tot-20+0.217*time*(EXP(4.606*(20-time_tot)/time)-1),((time_tot-20)^2)*(0.5/time)))))))))&gt;=ABS(R13*20*MAX(F33,C33)),R13*20*MAX(F33,C33),R13*((MIN($C33,F33)*MIN(20,time_tot))+IF(G33="Immediate",IF(F33 &gt; $C33,F33*MIN(20,time_tot),0),IF($C33&gt;F33,($C33-F33)*IF(time&gt;20,IF(G33="Linear",time-((time-20)^2)/(2*time),(0.215*time)-(time/4.6)*(EXP(-92.1/time)-0.01)),time*(1-VLOOKUP(G33, list!$J$48:$K$50, 2,))), (F33-$C33)*IF(time_tot&gt;time+20,20,IF(time_tot&lt;20,(time*VLOOKUP(G33, list!$J$48:$K$50, 2,))+(time_tot-time),((MIN(20,time)*VLOOKUP(G33, list!$J$48:$K$50, 2,)) +(time_tot-MIN(20,time))-IF(G33="Exponential",time_tot-20+0.217*time*(EXP(4.606*(20-time_tot)/time)-1),((time_tot-20)^2)*(0.5/time)))))))))</f>
        <v>0</v>
      </c>
      <c r="J33" s="3392">
        <f>IF(H13&gt;time_tot,0,IF($G13="YES",(MIN(C33,D33)*time_tot+ABS(D33-C33)*IF(D33&gt;C33,time_cap+time*(VLOOKUP($E33,list!$J$48:$K$50,2,)),time*(1-(VLOOKUP($E33,list!$J$48:$K$50,2,))))),0)*$Y13)</f>
        <v>0</v>
      </c>
      <c r="K33" s="3392">
        <f>IF(J13&gt;time_tot,0,IF($I13="YES",(MIN(C33,F33)*time_tot+ABS(F33-C33)*IF(F33&gt;C33,time_cap+time*(VLOOKUP($G33,list!$J$48:$K$50,2,)),time*(1-(VLOOKUP($G33,list!$J$48:$K$50,2,))))),0)*$Z13)</f>
        <v>0</v>
      </c>
      <c r="L33" s="3392">
        <f t="shared" si="5"/>
        <v>0</v>
      </c>
      <c r="M33" s="3392">
        <f t="shared" si="5"/>
        <v>0</v>
      </c>
      <c r="N33" s="2227">
        <f>IF(OR(AND('4.Grassland'!G16="Please select", '4.Grassland'!W16&lt;&gt;0), AND('4.Grassland'!I16="please select", '4.Grassland'!X16&lt;&gt;0), AND('4.Grassland'!K16="Please select", '4.Grassland'!Z16&lt;&gt;0)), "MISSING DATA", M33-L33)</f>
        <v>0</v>
      </c>
      <c r="P33" s="3663">
        <f t="shared" si="6"/>
        <v>0</v>
      </c>
      <c r="Q33" s="3664">
        <f t="shared" si="6"/>
        <v>0</v>
      </c>
      <c r="R33" s="3664">
        <f>$U13*$F33</f>
        <v>0</v>
      </c>
      <c r="S33" s="3664">
        <f>(time*((ABS(Q33-P33)*(IF(P33&lt;=Q33,VLOOKUP(E33, list!$J$48:$K$50,2,),1-VLOOKUP(grass!E33, list!$J$48:$K$50,2,))))+MIN(grass!Q33,grass!P33))+(grass!Q33*time_cap))</f>
        <v>0</v>
      </c>
      <c r="T33" s="3664">
        <f>(time*((ABS(R33-P33)*(IF(R33&lt;=P33,VLOOKUP(G33,list!$J$48:$K$50,2,),1-VLOOKUP(grass!G33, list!$J$48:$K$50,2,))))+MIN(grass!R33,grass!P33))+(grass!R33*time_cap))</f>
        <v>0</v>
      </c>
      <c r="U33" s="3665">
        <f>T33-S33</f>
        <v>0</v>
      </c>
      <c r="W33" s="3076" t="s">
        <v>849</v>
      </c>
      <c r="X33" s="3076"/>
      <c r="Y33" s="3079">
        <f>SOCref*IPCC!$D$537*VLOOKUP(climate, IPCC!$C$541:$D$545,2, FALSE)*IPCC!$D$547</f>
        <v>30.369600000000002</v>
      </c>
      <c r="AH33" s="3669">
        <f t="shared" ref="AH33:AH42" si="7">IF($J34&gt;0, $J34/$X14,0)</f>
        <v>0</v>
      </c>
      <c r="AI33" s="3669">
        <f t="shared" ref="AI33:AI42" si="8">IF($K34&gt;0, $K34/$X14,0)</f>
        <v>0</v>
      </c>
    </row>
    <row r="34" spans="1:35" x14ac:dyDescent="0.15">
      <c r="B34" s="2188">
        <f t="shared" si="4"/>
        <v>0</v>
      </c>
      <c r="C34" s="3106">
        <f>'4.Grassland'!$W26</f>
        <v>150</v>
      </c>
      <c r="D34" s="3106">
        <f>$C34</f>
        <v>150</v>
      </c>
      <c r="E34" s="3106" t="str">
        <f>VLOOKUP('4.Grassland'!$Y26, list!$I$48:$J$50, 2, FALSE)</f>
        <v>Linear</v>
      </c>
      <c r="F34" s="3106">
        <f>$C34</f>
        <v>150</v>
      </c>
      <c r="G34" s="3106" t="str">
        <f>VLOOKUP('4.Grassland'!$AA26, list!$I$48:$J$50, 2, FALSE)</f>
        <v>Linear</v>
      </c>
      <c r="H34" s="3468">
        <f>IF(ABS($Q14*(IF(E34="Immediate",IF(C34&gt;0,C34*MIN(20,time_tot),0),C34*IF(time_tot&gt;time+20,20,IF(time_tot&lt;20,(time*VLOOKUP(E34, list!$J$48:$K$50,2,))+(time_tot-time),((MIN(20,time)*VLOOKUP(E34, list!$J$48:$K$50,2,))+(time_tot-MIN(20,time))-IF(E34="Exponential",time_tot-20+0.217*time*(EXP(4.606*(20-time_tot)/time)-1),((time_tot-20)^2)*(0.5/time))))))))&gt;=ABS(Q14*20*MAX(C34,D34)), Q14*20*MAX(C34,D34), $Q14*(IF(E34="Immediate",IF(C34&gt;0,C34*MIN(20,time_tot),0),C34*IF(time_tot&gt;time+20,20,IF(time_tot&lt;20,(time*VLOOKUP(E34, list!$J$48:$K$50,2,))+(time_tot-time),((MIN(20,time)*VLOOKUP(E34, list!$J$48:$K$50,2,))+(time_tot-MIN(20,time))-IF(E34="Exponential",time_tot-20+0.217*time*(EXP(4.606*(20-time_tot)/time)-1),((time_tot-20)^2)*(0.5/time))))))))</f>
        <v>-824.99999999999943</v>
      </c>
      <c r="I34" s="1151">
        <f>IF(ABS($R14*(IF(G34="Immediate",IF(C34&gt;0,C34*MIN(20,time_tot),0),C34*IF(time_tot&gt;time+20,20,IF(time_tot&lt;20,(time*VLOOKUP(G34, list!$J$48:$K$50,2,))+(time_tot-time),((MIN(20,time)*VLOOKUP(G34, list!$J$48:$K$50,2,))+(time_tot-MIN(20,time))-IF(G34="Exponential",time_tot-20+0.217*time*(EXP(4.606*(20-time_tot)/time)-1),((time_tot-20)^2)*(0.5/time))))))))&gt;=ABS(R14*20*MAX(C34,F34)),R14*20*MAX(C34,F34), $R14*(IF(G34="Immediate",IF(C34&gt;0,C34*MIN(20,time_tot),0),C34*IF(time_tot&gt;time+20,20,IF(time_tot&lt;20,(time*VLOOKUP(G34, list!$J$48:$K$50,2,))+(time_tot-time),((MIN(20,time)*VLOOKUP(G34, list!$J$48:$K$50,2,))+(time_tot-MIN(20,time))-IF(G34="Exponential",time_tot-20+0.217*time*(EXP(4.606*(20-time_tot)/time)-1),((time_tot-20)^2)*(0.5/time))))))))</f>
        <v>-824.99999999999943</v>
      </c>
      <c r="J34" s="1151">
        <f>IF(H14&gt;time_tot,0,IF($G14="YES",(MIN(C34,D34)*time_tot+ABS(D34-C34)*IF(D34&gt;C34,time_cap+time*(VLOOKUP($E34,list!$J$48:$K$50,2,)),time*(1-(VLOOKUP($E34,list!$J$48:$K$50,2,))))),0)*$Y14)</f>
        <v>0</v>
      </c>
      <c r="K34" s="1151">
        <f>IF(J14&gt;time_tot,0,IF($I14="YES",(MIN(D34,F34)*time_tot+ABS(F34-D34)*IF(F34&gt;D34,time_cap+time*(VLOOKUP(G34,list!$J$48:$K$50,2,)),time*(1-(VLOOKUP(G34,list!$J$48:$K$50,2,))))),0)*$Z14)</f>
        <v>0</v>
      </c>
      <c r="L34" s="1151">
        <f t="shared" si="5"/>
        <v>-824.99999999999943</v>
      </c>
      <c r="M34" s="1151">
        <f t="shared" si="5"/>
        <v>-824.99999999999943</v>
      </c>
      <c r="N34" s="2219">
        <f>M34-L34</f>
        <v>0</v>
      </c>
      <c r="P34" s="2214">
        <f t="shared" ref="P34:P43" si="9">S14*C34</f>
        <v>0</v>
      </c>
      <c r="Q34" s="1154">
        <f t="shared" ref="Q34:Q43" si="10">D34*T14</f>
        <v>0</v>
      </c>
      <c r="R34" s="1154">
        <f t="shared" ref="R34:R43" si="11">F34*U14</f>
        <v>0</v>
      </c>
      <c r="S34" s="1154">
        <f>(time*((ABS(Q34-P34)*(IF(P34&lt;=Q34,VLOOKUP(E34, list!$J$48:$K$50,2,),1-VLOOKUP(grass!E34, list!$J$48:$K$50,2,))))+MIN(grass!Q34,grass!P34))+(grass!Q34*time_cap))</f>
        <v>0</v>
      </c>
      <c r="T34" s="1154">
        <f>(time*((ABS(R34-P34)*(IF(R34&lt;=P34,VLOOKUP(G34,list!$J$48:$K$50,2,),1-VLOOKUP(grass!G34, list!$J$48:$K$50,2,))))+MIN(grass!R34,grass!P34))+(grass!R34*time_cap))</f>
        <v>0</v>
      </c>
      <c r="U34" s="2217">
        <f>T34-S34</f>
        <v>0</v>
      </c>
      <c r="AH34" s="3669">
        <f t="shared" si="7"/>
        <v>0</v>
      </c>
      <c r="AI34" s="3669">
        <f t="shared" si="8"/>
        <v>0</v>
      </c>
    </row>
    <row r="35" spans="1:35" x14ac:dyDescent="0.15">
      <c r="B35" s="2188">
        <f t="shared" si="4"/>
        <v>0</v>
      </c>
      <c r="C35" s="3106">
        <f>'4.Grassland'!$W27</f>
        <v>150</v>
      </c>
      <c r="D35" s="3106">
        <f t="shared" ref="D35:D43" si="12">$C35</f>
        <v>150</v>
      </c>
      <c r="E35" s="3106" t="str">
        <f>VLOOKUP('4.Grassland'!$Y27, list!$I$48:$J$50, 2, FALSE)</f>
        <v>Linear</v>
      </c>
      <c r="F35" s="3106">
        <f t="shared" ref="F35:F43" si="13">$C35</f>
        <v>150</v>
      </c>
      <c r="G35" s="3106" t="str">
        <f>VLOOKUP('4.Grassland'!$AA27, list!$I$48:$J$50, 2, FALSE)</f>
        <v>Linear</v>
      </c>
      <c r="H35" s="3468">
        <f>IF(ABS($Q15*(IF(E35="Immediate",IF(C35&gt;0,C35*MIN(20,time_tot),0),C35*IF(time_tot&gt;time+20,20,IF(time_tot&lt;20,(time*VLOOKUP(E35, list!$J$48:$K$50,2,))+(time_tot-time),((MIN(20,time)*VLOOKUP(E35, list!$J$48:$K$50,2,))+(time_tot-MIN(20,time))-IF(E35="Exponential",time_tot-20+0.217*time*(EXP(4.606*(20-time_tot)/time)-1),((time_tot-20)^2)*(0.5/time))))))))&gt;=ABS(Q15*20*MAX(C35,D35)), Q15*20*MAX(C35,D35), $Q15*(IF(E35="Immediate",IF(C35&gt;0,C35*MIN(20,time_tot),0),C35*IF(time_tot&gt;time+20,20,IF(time_tot&lt;20,(time*VLOOKUP(E35, list!$J$48:$K$50,2,))+(time_tot-time),((MIN(20,time)*VLOOKUP(E35, list!$J$48:$K$50,2,))+(time_tot-MIN(20,time))-IF(E35="Exponential",time_tot-20+0.217*time*(EXP(4.606*(20-time_tot)/time)-1),((time_tot-20)^2)*(0.5/time))))))))</f>
        <v>2475.0000000000009</v>
      </c>
      <c r="I35" s="1151">
        <f>IF(ABS($R15*(IF(G35="Immediate",IF(C35&gt;0,C35*MIN(20,time_tot),0),C35*IF(time_tot&gt;time+20,20,IF(time_tot&lt;20,(time*VLOOKUP(G35, list!$J$48:$K$50,2,))+(time_tot-time),((MIN(20,time)*VLOOKUP(G35, list!$J$48:$K$50,2,))+(time_tot-MIN(20,time))-IF(G35="Exponential",time_tot-20+0.217*time*(EXP(4.606*(20-time_tot)/time)-1),((time_tot-20)^2)*(0.5/time))))))))&gt;=ABS(R15*20*MAX(C35,F35)),R15*20*MAX(C35,F35), $R15*(IF(G35="Immediate",IF(C35&gt;0,C35*MIN(20,time_tot),0),C35*IF(time_tot&gt;time+20,20,IF(time_tot&lt;20,(time*VLOOKUP(G35, list!$J$48:$K$50,2,))+(time_tot-time),((MIN(20,time)*VLOOKUP(G35, list!$J$48:$K$50,2,))+(time_tot-MIN(20,time))-IF(G35="Exponential",time_tot-20+0.217*time*(EXP(4.606*(20-time_tot)/time)-1),((time_tot-20)^2)*(0.5/time))))))))</f>
        <v>0</v>
      </c>
      <c r="J35" s="1152">
        <f>IF(H15&gt;time_tot,0,IF($G15="YES",(MIN(C35,D35)*time_tot+ABS(D35-C35)*IF(D35&gt;C35,time_cap+time*(VLOOKUP($E35,list!$J$48:$K$50,2,)),time*(1-(VLOOKUP($E35,list!$J$48:$K$50,2,))))),0)*$Y15)</f>
        <v>0</v>
      </c>
      <c r="K35" s="1152">
        <f>IF(J15&gt;time_tot,0,IF($I15="YES",(MIN(D35,F35)*time_tot+ABS(F35-D35)*IF(F35&gt;D35,time_cap+time*(VLOOKUP(G35,list!$J$48:$K$50,2,)),time*(1-(VLOOKUP(G35,list!$J$48:$K$50,2,))))),0)*$Z15)</f>
        <v>0</v>
      </c>
      <c r="L35" s="1152">
        <f t="shared" ref="L35:L43" si="14">H35+J35</f>
        <v>2475.0000000000009</v>
      </c>
      <c r="M35" s="1152">
        <f t="shared" ref="M35:M43" si="15">I35+K35</f>
        <v>0</v>
      </c>
      <c r="N35" s="2227">
        <f>M35-L35</f>
        <v>-2475.0000000000009</v>
      </c>
      <c r="P35" s="2222">
        <f t="shared" si="9"/>
        <v>0</v>
      </c>
      <c r="Q35" s="1157">
        <f t="shared" si="10"/>
        <v>0</v>
      </c>
      <c r="R35" s="1157">
        <f t="shared" si="11"/>
        <v>0</v>
      </c>
      <c r="S35" s="1157">
        <f>(time*((ABS(Q35-P35)*(IF(P35&lt;=Q35,VLOOKUP(E35, list!$J$48:$K$50,2,),1-VLOOKUP(grass!E35, list!$J$48:$K$50,2,))))+MIN(grass!Q35,grass!P35))+(grass!Q35*time_cap))</f>
        <v>0</v>
      </c>
      <c r="T35" s="1157">
        <f>(time*((ABS(R35-P35)*(IF(R35&lt;=P35,VLOOKUP(G35,list!$J$48:$K$50,2,),1-VLOOKUP(grass!G35, list!$J$48:$K$50,2,))))+MIN(grass!R35,grass!P35))+(grass!R35*time_cap))</f>
        <v>0</v>
      </c>
      <c r="U35" s="2225">
        <f t="shared" ref="U35:U43" si="16">T35-S35</f>
        <v>0</v>
      </c>
      <c r="W35" s="3539" t="s">
        <v>228</v>
      </c>
      <c r="X35" s="3540" t="s">
        <v>218</v>
      </c>
      <c r="Y35" s="3540" t="s">
        <v>229</v>
      </c>
      <c r="Z35" s="3540" t="s">
        <v>230</v>
      </c>
      <c r="AH35" s="3669">
        <f t="shared" si="7"/>
        <v>0</v>
      </c>
      <c r="AI35" s="3669">
        <f t="shared" si="8"/>
        <v>0</v>
      </c>
    </row>
    <row r="36" spans="1:35" x14ac:dyDescent="0.15">
      <c r="B36" s="2188">
        <f t="shared" si="4"/>
        <v>0</v>
      </c>
      <c r="C36" s="3106">
        <f>'4.Grassland'!$W28</f>
        <v>0</v>
      </c>
      <c r="D36" s="3106">
        <f t="shared" si="12"/>
        <v>0</v>
      </c>
      <c r="E36" s="3106" t="str">
        <f>VLOOKUP('4.Grassland'!$Y28, list!$I$48:$J$50, 2, FALSE)</f>
        <v>Linear</v>
      </c>
      <c r="F36" s="3106">
        <f t="shared" si="13"/>
        <v>0</v>
      </c>
      <c r="G36" s="3106" t="str">
        <f>VLOOKUP('4.Grassland'!$AA28, list!$I$48:$J$50, 2, FALSE)</f>
        <v>Linear</v>
      </c>
      <c r="H36" s="3468">
        <f>IF(ABS($Q16*(IF(E36="Immediate",IF(C36&gt;0,C36*MIN(20,time_tot),0),C36*IF(time_tot&gt;time+20,20,IF(time_tot&lt;20,(time*VLOOKUP(E36, list!$J$48:$K$50,2,))+(time_tot-time),((MIN(20,time)*VLOOKUP(E36, list!$J$48:$K$50,2,))+(time_tot-MIN(20,time))-IF(E36="Exponential",time_tot-20+0.217*time*(EXP(4.606*(20-time_tot)/time)-1),((time_tot-20)^2)*(0.5/time))))))))&gt;=ABS(Q16*20*MAX(C36,D36)), Q16*20*MAX(C36,D36), $Q16*(IF(E36="Immediate",IF(C36&gt;0,C36*MIN(20,time_tot),0),C36*IF(time_tot&gt;time+20,20,IF(time_tot&lt;20,(time*VLOOKUP(E36, list!$J$48:$K$50,2,))+(time_tot-time),((MIN(20,time)*VLOOKUP(E36, list!$J$48:$K$50,2,))+(time_tot-MIN(20,time))-IF(E36="Exponential",time_tot-20+0.217*time*(EXP(4.606*(20-time_tot)/time)-1),((time_tot-20)^2)*(0.5/time))))))))</f>
        <v>0</v>
      </c>
      <c r="I36" s="1151">
        <f>IF(ABS($R16*(IF(G36="Immediate",IF(C36&gt;0,C36*MIN(20,time_tot),0),C36*IF(time_tot&gt;time+20,20,IF(time_tot&lt;20,(time*VLOOKUP(G36, list!$J$48:$K$50,2,))+(time_tot-time),((MIN(20,time)*VLOOKUP(G36, list!$J$48:$K$50,2,))+(time_tot-MIN(20,time))-IF(G36="Exponential",time_tot-20+0.217*time*(EXP(4.606*(20-time_tot)/time)-1),((time_tot-20)^2)*(0.5/time))))))))&gt;=ABS(R16*20*MAX(C36,F36)),R16*20*MAX(C36,F36), $R16*(IF(G36="Immediate",IF(C36&gt;0,C36*MIN(20,time_tot),0),C36*IF(time_tot&gt;time+20,20,IF(time_tot&lt;20,(time*VLOOKUP(G36, list!$J$48:$K$50,2,))+(time_tot-time),((MIN(20,time)*VLOOKUP(G36, list!$J$48:$K$50,2,))+(time_tot-MIN(20,time))-IF(G36="Exponential",time_tot-20+0.217*time*(EXP(4.606*(20-time_tot)/time)-1),((time_tot-20)^2)*(0.5/time))))))))</f>
        <v>0</v>
      </c>
      <c r="J36" s="1152">
        <f>IF(H16&gt;time_tot,0,IF($G16="YES",(MIN(C36,D36)*time_tot+ABS(D36-C36)*IF(D36&gt;C36,time_cap+time*(VLOOKUP($E36,list!$J$48:$K$50,2,)),time*(1-(VLOOKUP($E36,list!$J$48:$K$50,2,))))),0)*$Y16)</f>
        <v>0</v>
      </c>
      <c r="K36" s="1152">
        <f>IF(J16&gt;time_tot,0,IF($I16="YES",(MIN(D36,F36)*time_tot+ABS(F36-D36)*IF(F36&gt;D36,time_cap+time*(VLOOKUP(G36,list!$J$48:$K$50,2,)),time*(1-(VLOOKUP(G36,list!$J$48:$K$50,2,))))),0)*$Z16)</f>
        <v>0</v>
      </c>
      <c r="L36" s="1152">
        <f t="shared" si="14"/>
        <v>0</v>
      </c>
      <c r="M36" s="1152">
        <f t="shared" si="15"/>
        <v>0</v>
      </c>
      <c r="N36" s="2227">
        <f t="shared" ref="N36:N43" si="17">M36-L36</f>
        <v>0</v>
      </c>
      <c r="P36" s="2222">
        <f t="shared" si="9"/>
        <v>0</v>
      </c>
      <c r="Q36" s="1157">
        <f t="shared" si="10"/>
        <v>0</v>
      </c>
      <c r="R36" s="1157">
        <f t="shared" si="11"/>
        <v>0</v>
      </c>
      <c r="S36" s="1157">
        <f>(time*((ABS(Q36-P36)*(IF(P36&lt;=Q36,VLOOKUP(E36, list!$J$48:$K$50,2,),1-VLOOKUP(grass!E36, list!$J$48:$K$50,2,))))+MIN(grass!Q36,grass!P36))+(grass!Q36*time_cap))</f>
        <v>0</v>
      </c>
      <c r="T36" s="1157">
        <f>(time*((ABS(R36-P36)*(IF(R36&lt;=P36,VLOOKUP(G36,list!$J$48:$K$50,2,),1-VLOOKUP(grass!G36, list!$J$48:$K$50,2,))))+MIN(grass!R36,grass!P36))+(grass!R36*time_cap))</f>
        <v>0</v>
      </c>
      <c r="U36" s="2225">
        <f t="shared" si="16"/>
        <v>0</v>
      </c>
      <c r="W36" s="3499" t="s">
        <v>850</v>
      </c>
      <c r="X36" s="3544">
        <v>0</v>
      </c>
      <c r="Y36" s="3545">
        <v>0</v>
      </c>
      <c r="Z36" s="3546">
        <v>0</v>
      </c>
      <c r="AH36" s="3669">
        <f t="shared" si="7"/>
        <v>0</v>
      </c>
      <c r="AI36" s="3669">
        <f t="shared" si="8"/>
        <v>0</v>
      </c>
    </row>
    <row r="37" spans="1:35" x14ac:dyDescent="0.15">
      <c r="B37" s="2188">
        <f t="shared" si="4"/>
        <v>0</v>
      </c>
      <c r="C37" s="3106">
        <f>'4.Grassland'!$W29</f>
        <v>0</v>
      </c>
      <c r="D37" s="3106">
        <f t="shared" si="12"/>
        <v>0</v>
      </c>
      <c r="E37" s="3106" t="str">
        <f>VLOOKUP('4.Grassland'!$Y29, list!$I$48:$J$50, 2, FALSE)</f>
        <v>Linear</v>
      </c>
      <c r="F37" s="3106">
        <f t="shared" si="13"/>
        <v>0</v>
      </c>
      <c r="G37" s="3106" t="str">
        <f>VLOOKUP('4.Grassland'!$AA29, list!$I$48:$J$50, 2, FALSE)</f>
        <v>Linear</v>
      </c>
      <c r="H37" s="3468">
        <f>IF(ABS($Q17*(IF(E37="Immediate",IF(C37&gt;0,C37*MIN(20,time_tot),0),C37*IF(time_tot&gt;time+20,20,IF(time_tot&lt;20,(time*VLOOKUP(E37, list!$J$48:$K$50,2,))+(time_tot-time),((MIN(20,time)*VLOOKUP(E37, list!$J$48:$K$50,2,))+(time_tot-MIN(20,time))-IF(E37="Exponential",time_tot-20+0.217*time*(EXP(4.606*(20-time_tot)/time)-1),((time_tot-20)^2)*(0.5/time))))))))&gt;=ABS(Q17*20*MAX(C37,D37)), Q17*20*MAX(C37,D37), $Q17*(IF(E37="Immediate",IF(C37&gt;0,C37*MIN(20,time_tot),0),C37*IF(time_tot&gt;time+20,20,IF(time_tot&lt;20,(time*VLOOKUP(E37, list!$J$48:$K$50,2,))+(time_tot-time),((MIN(20,time)*VLOOKUP(E37, list!$J$48:$K$50,2,))+(time_tot-MIN(20,time))-IF(E37="Exponential",time_tot-20+0.217*time*(EXP(4.606*(20-time_tot)/time)-1),((time_tot-20)^2)*(0.5/time))))))))</f>
        <v>0</v>
      </c>
      <c r="I37" s="1151">
        <f>IF(ABS($R17*(IF(G37="Immediate",IF(C37&gt;0,C37*MIN(20,time_tot),0),C37*IF(time_tot&gt;time+20,20,IF(time_tot&lt;20,(time*VLOOKUP(G37, list!$J$48:$K$50,2,))+(time_tot-time),((MIN(20,time)*VLOOKUP(G37, list!$J$48:$K$50,2,))+(time_tot-MIN(20,time))-IF(G37="Exponential",time_tot-20+0.217*time*(EXP(4.606*(20-time_tot)/time)-1),((time_tot-20)^2)*(0.5/time))))))))&gt;=ABS(R17*20*MAX(C37,F37)),R17*20*MAX(C37,F37), $R17*(IF(G37="Immediate",IF(C37&gt;0,C37*MIN(20,time_tot),0),C37*IF(time_tot&gt;time+20,20,IF(time_tot&lt;20,(time*VLOOKUP(G37, list!$J$48:$K$50,2,))+(time_tot-time),((MIN(20,time)*VLOOKUP(G37, list!$J$48:$K$50,2,))+(time_tot-MIN(20,time))-IF(G37="Exponential",time_tot-20+0.217*time*(EXP(4.606*(20-time_tot)/time)-1),((time_tot-20)^2)*(0.5/time))))))))</f>
        <v>0</v>
      </c>
      <c r="J37" s="1152">
        <f>IF(H17&gt;time_tot,0,IF($G17="YES",(MIN(C37,D37)*time_tot+ABS(D37-C37)*IF(D37&gt;C37,time_cap+time*(VLOOKUP($E37,list!$J$48:$K$50,2,)),time*(1-(VLOOKUP($E37,list!$J$48:$K$50,2,))))),0)*$Y17)</f>
        <v>0</v>
      </c>
      <c r="K37" s="1152">
        <f>IF(J17&gt;time_tot,0,IF($I17="YES",(MIN(D37,F37)*time_tot+ABS(F37-D37)*IF(F37&gt;D37,time_cap+time*(VLOOKUP(G37,list!$J$48:$K$50,2,)),time*(1-(VLOOKUP(G37,list!$J$48:$K$50,2,))))),0)*$Z17)</f>
        <v>0</v>
      </c>
      <c r="L37" s="1152">
        <f t="shared" si="14"/>
        <v>0</v>
      </c>
      <c r="M37" s="1152">
        <f t="shared" si="15"/>
        <v>0</v>
      </c>
      <c r="N37" s="2227">
        <f t="shared" si="17"/>
        <v>0</v>
      </c>
      <c r="P37" s="2222">
        <f t="shared" si="9"/>
        <v>0</v>
      </c>
      <c r="Q37" s="1157">
        <f t="shared" si="10"/>
        <v>0</v>
      </c>
      <c r="R37" s="1157">
        <f t="shared" si="11"/>
        <v>0</v>
      </c>
      <c r="S37" s="1157">
        <f>(time*((ABS(Q37-P37)*(IF(P37&lt;=Q37,VLOOKUP(E37, list!$J$48:$K$50,2,),1-VLOOKUP(grass!E37, list!$J$48:$K$50,2,))))+MIN(grass!Q37,grass!P37))+(grass!Q37*time_cap))</f>
        <v>0</v>
      </c>
      <c r="T37" s="1157">
        <f>(time*((ABS(R37-P37)*(IF(R37&lt;=P37,VLOOKUP(G37,list!$J$48:$K$50,2,),1-VLOOKUP(grass!G37, list!$J$48:$K$50,2,))))+MIN(grass!R37,grass!P37))+(grass!R37*time_cap))</f>
        <v>0</v>
      </c>
      <c r="U37" s="2225">
        <f t="shared" si="16"/>
        <v>0</v>
      </c>
      <c r="W37" s="3499" t="s">
        <v>315</v>
      </c>
      <c r="X37" s="3500">
        <f>SUM(I30:I43)-SUM(H30:H43)</f>
        <v>-2475.0000000000009</v>
      </c>
      <c r="Y37" s="3501">
        <f>SUM(AL10:AL23)-SUM(AK10:AK23)</f>
        <v>-495.00000000000017</v>
      </c>
      <c r="Z37" s="3502">
        <f>X37-Y37</f>
        <v>-1980.0000000000007</v>
      </c>
      <c r="AH37" s="3669">
        <f t="shared" si="7"/>
        <v>0</v>
      </c>
      <c r="AI37" s="3669">
        <f t="shared" si="8"/>
        <v>0</v>
      </c>
    </row>
    <row r="38" spans="1:35" x14ac:dyDescent="0.15">
      <c r="B38" s="2188">
        <f t="shared" si="4"/>
        <v>0</v>
      </c>
      <c r="C38" s="3106">
        <f>'4.Grassland'!$W30</f>
        <v>0</v>
      </c>
      <c r="D38" s="3106">
        <f t="shared" si="12"/>
        <v>0</v>
      </c>
      <c r="E38" s="3106" t="str">
        <f>VLOOKUP('4.Grassland'!$Y30, list!$I$48:$J$50, 2, FALSE)</f>
        <v>Linear</v>
      </c>
      <c r="F38" s="3106">
        <f t="shared" si="13"/>
        <v>0</v>
      </c>
      <c r="G38" s="3106" t="str">
        <f>VLOOKUP('4.Grassland'!$AA30, list!$I$48:$J$50, 2, FALSE)</f>
        <v>Linear</v>
      </c>
      <c r="H38" s="3468">
        <f>IF(ABS($Q18*(IF(E38="Immediate",IF(C38&gt;0,C38*MIN(20,time_tot),0),C38*IF(time_tot&gt;time+20,20,IF(time_tot&lt;20,(time*VLOOKUP(E38, list!$J$48:$K$50,2,))+(time_tot-time),((MIN(20,time)*VLOOKUP(E38, list!$J$48:$K$50,2,))+(time_tot-MIN(20,time))-IF(E38="Exponential",time_tot-20+0.217*time*(EXP(4.606*(20-time_tot)/time)-1),((time_tot-20)^2)*(0.5/time))))))))&gt;=ABS(Q18*20*MAX(C38,D38)), Q18*20*MAX(C38,D38), $Q18*(IF(E38="Immediate",IF(C38&gt;0,C38*MIN(20,time_tot),0),C38*IF(time_tot&gt;time+20,20,IF(time_tot&lt;20,(time*VLOOKUP(E38, list!$J$48:$K$50,2,))+(time_tot-time),((MIN(20,time)*VLOOKUP(E38, list!$J$48:$K$50,2,))+(time_tot-MIN(20,time))-IF(E38="Exponential",time_tot-20+0.217*time*(EXP(4.606*(20-time_tot)/time)-1),((time_tot-20)^2)*(0.5/time))))))))</f>
        <v>0</v>
      </c>
      <c r="I38" s="1151">
        <f>IF(ABS($R18*(IF(G38="Immediate",IF(C38&gt;0,C38*MIN(20,time_tot),0),C38*IF(time_tot&gt;time+20,20,IF(time_tot&lt;20,(time*VLOOKUP(G38, list!$J$48:$K$50,2,))+(time_tot-time),((MIN(20,time)*VLOOKUP(G38, list!$J$48:$K$50,2,))+(time_tot-MIN(20,time))-IF(G38="Exponential",time_tot-20+0.217*time*(EXP(4.606*(20-time_tot)/time)-1),((time_tot-20)^2)*(0.5/time))))))))&gt;=ABS(R18*20*MAX(C38,F38)),R18*20*MAX(C38,F38), $R18*(IF(G38="Immediate",IF(C38&gt;0,C38*MIN(20,time_tot),0),C38*IF(time_tot&gt;time+20,20,IF(time_tot&lt;20,(time*VLOOKUP(G38, list!$J$48:$K$50,2,))+(time_tot-time),((MIN(20,time)*VLOOKUP(G38, list!$J$48:$K$50,2,))+(time_tot-MIN(20,time))-IF(G38="Exponential",time_tot-20+0.217*time*(EXP(4.606*(20-time_tot)/time)-1),((time_tot-20)^2)*(0.5/time))))))))</f>
        <v>0</v>
      </c>
      <c r="J38" s="1152">
        <f>IF(H18&gt;time_tot,0,IF($G18="YES",(MIN(C38,D38)*time_tot+ABS(D38-C38)*IF(D38&gt;C38,time_cap+time*(VLOOKUP($E38,list!$J$48:$K$50,2,)),time*(1-(VLOOKUP($E38,list!$J$48:$K$50,2,))))),0)*$Y18)</f>
        <v>0</v>
      </c>
      <c r="K38" s="1152">
        <f>IF(J18&gt;time_tot,0,IF($I18="YES",(MIN(D38,F38)*time_tot+ABS(F38-D38)*IF(F38&gt;D38,time_cap+time*(VLOOKUP(G38,list!$J$48:$K$50,2,)),time*(1-(VLOOKUP(G38,list!$J$48:$K$50,2,))))),0)*$Z18)</f>
        <v>0</v>
      </c>
      <c r="L38" s="1152">
        <f t="shared" si="14"/>
        <v>0</v>
      </c>
      <c r="M38" s="1152">
        <f t="shared" si="15"/>
        <v>0</v>
      </c>
      <c r="N38" s="2227">
        <f t="shared" si="17"/>
        <v>0</v>
      </c>
      <c r="P38" s="2222">
        <f t="shared" si="9"/>
        <v>0</v>
      </c>
      <c r="Q38" s="1157">
        <f t="shared" si="10"/>
        <v>0</v>
      </c>
      <c r="R38" s="1157">
        <f t="shared" si="11"/>
        <v>0</v>
      </c>
      <c r="S38" s="1157">
        <f>(time*((ABS(Q38-P38)*(IF(P38&lt;=Q38,VLOOKUP(E38, list!$J$48:$K$50,2,),1-VLOOKUP(grass!E38, list!$J$48:$K$50,2,))))+MIN(grass!Q38,grass!P38))+(grass!Q38*time_cap))</f>
        <v>0</v>
      </c>
      <c r="T38" s="1157">
        <f>(time*((ABS(R38-P38)*(IF(R38&lt;=P38,VLOOKUP(G38,list!$J$48:$K$50,2,),1-VLOOKUP(grass!G38, list!$J$48:$K$50,2,))))+MIN(grass!R38,grass!P38))+(grass!R38*time_cap))</f>
        <v>0</v>
      </c>
      <c r="U38" s="2225">
        <f t="shared" si="16"/>
        <v>0</v>
      </c>
      <c r="W38" s="3499" t="s">
        <v>338</v>
      </c>
      <c r="X38" s="3500">
        <v>0</v>
      </c>
      <c r="Y38" s="3501">
        <v>0</v>
      </c>
      <c r="Z38" s="3502">
        <v>0</v>
      </c>
      <c r="AH38" s="3669">
        <f t="shared" si="7"/>
        <v>0</v>
      </c>
      <c r="AI38" s="3669">
        <f t="shared" si="8"/>
        <v>0</v>
      </c>
    </row>
    <row r="39" spans="1:35" x14ac:dyDescent="0.15">
      <c r="B39" s="2188">
        <f t="shared" si="4"/>
        <v>0</v>
      </c>
      <c r="C39" s="3106">
        <f>'4.Grassland'!$W31</f>
        <v>0</v>
      </c>
      <c r="D39" s="3106">
        <f t="shared" si="12"/>
        <v>0</v>
      </c>
      <c r="E39" s="3106" t="str">
        <f>VLOOKUP('4.Grassland'!$Y31, list!$I$48:$J$50, 2, FALSE)</f>
        <v>Linear</v>
      </c>
      <c r="F39" s="3106">
        <f t="shared" si="13"/>
        <v>0</v>
      </c>
      <c r="G39" s="3106" t="str">
        <f>VLOOKUP('4.Grassland'!$AA31, list!$I$48:$J$50, 2, FALSE)</f>
        <v>Linear</v>
      </c>
      <c r="H39" s="3468">
        <f>IF(ABS($Q19*(IF(E39="Immediate",IF(C39&gt;0,C39*MIN(20,time_tot),0),C39*IF(time_tot&gt;time+20,20,IF(time_tot&lt;20,(time*VLOOKUP(E39, list!$J$48:$K$50,2,))+(time_tot-time),((MIN(20,time)*VLOOKUP(E39, list!$J$48:$K$50,2,))+(time_tot-MIN(20,time))-IF(E39="Exponential",time_tot-20+0.217*time*(EXP(4.606*(20-time_tot)/time)-1),((time_tot-20)^2)*(0.5/time))))))))&gt;=ABS(Q19*20*MAX(C39,D39)), Q19*20*MAX(C39,D39), $Q19*(IF(E39="Immediate",IF(C39&gt;0,C39*MIN(20,time_tot),0),C39*IF(time_tot&gt;time+20,20,IF(time_tot&lt;20,(time*VLOOKUP(E39, list!$J$48:$K$50,2,))+(time_tot-time),((MIN(20,time)*VLOOKUP(E39, list!$J$48:$K$50,2,))+(time_tot-MIN(20,time))-IF(E39="Exponential",time_tot-20+0.217*time*(EXP(4.606*(20-time_tot)/time)-1),((time_tot-20)^2)*(0.5/time))))))))</f>
        <v>0</v>
      </c>
      <c r="I39" s="1151">
        <f>IF(ABS($R19*(IF(G39="Immediate",IF(C39&gt;0,C39*MIN(20,time_tot),0),C39*IF(time_tot&gt;time+20,20,IF(time_tot&lt;20,(time*VLOOKUP(G39, list!$J$48:$K$50,2,))+(time_tot-time),((MIN(20,time)*VLOOKUP(G39, list!$J$48:$K$50,2,))+(time_tot-MIN(20,time))-IF(G39="Exponential",time_tot-20+0.217*time*(EXP(4.606*(20-time_tot)/time)-1),((time_tot-20)^2)*(0.5/time))))))))&gt;=ABS(R19*20*MAX(C39,F39)),R19*20*MAX(C39,F39), $R19*(IF(G39="Immediate",IF(C39&gt;0,C39*MIN(20,time_tot),0),C39*IF(time_tot&gt;time+20,20,IF(time_tot&lt;20,(time*VLOOKUP(G39, list!$J$48:$K$50,2,))+(time_tot-time),((MIN(20,time)*VLOOKUP(G39, list!$J$48:$K$50,2,))+(time_tot-MIN(20,time))-IF(G39="Exponential",time_tot-20+0.217*time*(EXP(4.606*(20-time_tot)/time)-1),((time_tot-20)^2)*(0.5/time))))))))</f>
        <v>0</v>
      </c>
      <c r="J39" s="1152">
        <f>IF(H19&gt;time_tot,0,IF($G19="YES",(MIN(C39,D39)*time_tot+ABS(D39-C39)*IF(D39&gt;C39,time_cap+time*(VLOOKUP($E39,list!$J$48:$K$50,2,)),time*(1-(VLOOKUP($E39,list!$J$48:$K$50,2,))))),0)*$Y19)</f>
        <v>0</v>
      </c>
      <c r="K39" s="1152">
        <f>IF(J19&gt;time_tot,0,IF($I19="YES",(MIN(D39,F39)*time_tot+ABS(F39-D39)*IF(F39&gt;D39,time_cap+time*(VLOOKUP(G39,list!$J$48:$K$50,2,)),time*(1-(VLOOKUP(G39,list!$J$48:$K$50,2,))))),0)*$Z19)</f>
        <v>0</v>
      </c>
      <c r="L39" s="1152">
        <f t="shared" si="14"/>
        <v>0</v>
      </c>
      <c r="M39" s="1152">
        <f t="shared" si="15"/>
        <v>0</v>
      </c>
      <c r="N39" s="2227">
        <f t="shared" si="17"/>
        <v>0</v>
      </c>
      <c r="P39" s="2222">
        <f t="shared" si="9"/>
        <v>0</v>
      </c>
      <c r="Q39" s="1157">
        <f t="shared" si="10"/>
        <v>0</v>
      </c>
      <c r="R39" s="1157">
        <f t="shared" si="11"/>
        <v>0</v>
      </c>
      <c r="S39" s="1157">
        <f>(time*((ABS(Q39-P39)*(IF(P39&lt;=Q39,VLOOKUP(E39, list!$J$48:$K$50,2,),1-VLOOKUP(grass!E39, list!$J$48:$K$50,2,))))+MIN(grass!Q39,grass!P39))+(grass!Q39*time_cap))</f>
        <v>0</v>
      </c>
      <c r="T39" s="1157">
        <f>(time*((ABS(R39-P39)*(IF(R39&lt;=P39,VLOOKUP(G39,list!$J$48:$K$50,2,),1-VLOOKUP(grass!G39, list!$J$48:$K$50,2,))))+MIN(grass!R39,grass!P39))+(grass!R39*time_cap))</f>
        <v>0</v>
      </c>
      <c r="U39" s="2225">
        <f t="shared" si="16"/>
        <v>0</v>
      </c>
      <c r="W39" s="3499" t="s">
        <v>162</v>
      </c>
      <c r="X39" s="3547">
        <f>SUM(AJ10:AJ23)-SUM(AI10:AI23)</f>
        <v>0</v>
      </c>
      <c r="Y39" s="3548">
        <f>SUM(AP10:AP23)-SUM(AO10:AO23)</f>
        <v>0</v>
      </c>
      <c r="Z39" s="3549">
        <f>X39-Y39</f>
        <v>0</v>
      </c>
      <c r="AH39" s="3669">
        <f t="shared" si="7"/>
        <v>0</v>
      </c>
      <c r="AI39" s="3669">
        <f t="shared" si="8"/>
        <v>0</v>
      </c>
    </row>
    <row r="40" spans="1:35" x14ac:dyDescent="0.15">
      <c r="B40" s="2188">
        <f t="shared" si="4"/>
        <v>0</v>
      </c>
      <c r="C40" s="3106">
        <f>'4.Grassland'!$W32</f>
        <v>0</v>
      </c>
      <c r="D40" s="3106">
        <f t="shared" si="12"/>
        <v>0</v>
      </c>
      <c r="E40" s="3106" t="str">
        <f>VLOOKUP('4.Grassland'!$Y32, list!$I$48:$J$50, 2, FALSE)</f>
        <v>Linear</v>
      </c>
      <c r="F40" s="3106">
        <f t="shared" si="13"/>
        <v>0</v>
      </c>
      <c r="G40" s="3106" t="str">
        <f>VLOOKUP('4.Grassland'!$AA32, list!$I$48:$J$50, 2, FALSE)</f>
        <v>Linear</v>
      </c>
      <c r="H40" s="3468">
        <f>IF(ABS($Q20*(IF(E40="Immediate",IF(C40&gt;0,C40*MIN(20,time_tot),0),C40*IF(time_tot&gt;time+20,20,IF(time_tot&lt;20,(time*VLOOKUP(E40, list!$J$48:$K$50,2,))+(time_tot-time),((MIN(20,time)*VLOOKUP(E40, list!$J$48:$K$50,2,))+(time_tot-MIN(20,time))-IF(E40="Exponential",time_tot-20+0.217*time*(EXP(4.606*(20-time_tot)/time)-1),((time_tot-20)^2)*(0.5/time))))))))&gt;=ABS(Q20*20*MAX(C40,D40)), Q20*20*MAX(C40,D40), $Q20*(IF(E40="Immediate",IF(C40&gt;0,C40*MIN(20,time_tot),0),C40*IF(time_tot&gt;time+20,20,IF(time_tot&lt;20,(time*VLOOKUP(E40, list!$J$48:$K$50,2,))+(time_tot-time),((MIN(20,time)*VLOOKUP(E40, list!$J$48:$K$50,2,))+(time_tot-MIN(20,time))-IF(E40="Exponential",time_tot-20+0.217*time*(EXP(4.606*(20-time_tot)/time)-1),((time_tot-20)^2)*(0.5/time))))))))</f>
        <v>0</v>
      </c>
      <c r="I40" s="1151">
        <f>IF(ABS($R20*(IF(G40="Immediate",IF(C40&gt;0,C40*MIN(20,time_tot),0),C40*IF(time_tot&gt;time+20,20,IF(time_tot&lt;20,(time*VLOOKUP(G40, list!$J$48:$K$50,2,))+(time_tot-time),((MIN(20,time)*VLOOKUP(G40, list!$J$48:$K$50,2,))+(time_tot-MIN(20,time))-IF(G40="Exponential",time_tot-20+0.217*time*(EXP(4.606*(20-time_tot)/time)-1),((time_tot-20)^2)*(0.5/time))))))))&gt;=ABS(R20*20*MAX(C40,F40)),R20*20*MAX(C40,F40), $R20*(IF(G40="Immediate",IF(C40&gt;0,C40*MIN(20,time_tot),0),C40*IF(time_tot&gt;time+20,20,IF(time_tot&lt;20,(time*VLOOKUP(G40, list!$J$48:$K$50,2,))+(time_tot-time),((MIN(20,time)*VLOOKUP(G40, list!$J$48:$K$50,2,))+(time_tot-MIN(20,time))-IF(G40="Exponential",time_tot-20+0.217*time*(EXP(4.606*(20-time_tot)/time)-1),((time_tot-20)^2)*(0.5/time))))))))</f>
        <v>0</v>
      </c>
      <c r="J40" s="1152">
        <f>IF(H20&gt;time_tot,0,IF($G20="YES",(MIN(C40,D40)*time_tot+ABS(D40-C40)*IF(D40&gt;C40,time_cap+time*(VLOOKUP($E40,list!$J$48:$K$50,2,)),time*(1-(VLOOKUP($E40,list!$J$48:$K$50,2,))))),0)*$Y20)</f>
        <v>0</v>
      </c>
      <c r="K40" s="1152">
        <f>IF(J20&gt;time_tot,0,IF($I20="YES",(MIN(D40,F40)*time_tot+ABS(F40-D40)*IF(F40&gt;D40,time_cap+time*(VLOOKUP(G40,list!$J$48:$K$50,2,)),time*(1-(VLOOKUP(G40,list!$J$48:$K$50,2,))))),0)*$Z20)</f>
        <v>0</v>
      </c>
      <c r="L40" s="1152">
        <f t="shared" si="14"/>
        <v>0</v>
      </c>
      <c r="M40" s="1152">
        <f t="shared" si="15"/>
        <v>0</v>
      </c>
      <c r="N40" s="2227">
        <f t="shared" si="17"/>
        <v>0</v>
      </c>
      <c r="P40" s="2222">
        <f t="shared" si="9"/>
        <v>0</v>
      </c>
      <c r="Q40" s="1157">
        <f t="shared" si="10"/>
        <v>0</v>
      </c>
      <c r="R40" s="1157">
        <f t="shared" si="11"/>
        <v>0</v>
      </c>
      <c r="S40" s="1157">
        <f>(time*((ABS(Q40-P40)*(IF(P40&lt;=Q40,VLOOKUP(E40, list!$J$48:$K$50,2,),1-VLOOKUP(grass!E40, list!$J$48:$K$50,2,))))+MIN(grass!Q40,grass!P40))+(grass!Q40*time_cap))</f>
        <v>0</v>
      </c>
      <c r="T40" s="1157">
        <f>(time*((ABS(R40-P40)*(IF(R40&lt;=P40,VLOOKUP(G40,list!$J$48:$K$50,2,),1-VLOOKUP(grass!G40, list!$J$48:$K$50,2,))))+MIN(grass!R40,grass!P40))+(grass!R40*time_cap))</f>
        <v>0</v>
      </c>
      <c r="U40" s="2225">
        <f t="shared" si="16"/>
        <v>0</v>
      </c>
      <c r="W40" s="3499" t="s">
        <v>161</v>
      </c>
      <c r="X40" s="3500">
        <f>SUM(AH10:AH23)-SUM(AG10:AG23)</f>
        <v>0</v>
      </c>
      <c r="Y40" s="3501">
        <f>SUM(AN10:AN23)-SUM(AM10:AM23)</f>
        <v>0</v>
      </c>
      <c r="Z40" s="3502">
        <f>X40-Y40</f>
        <v>0</v>
      </c>
      <c r="AH40" s="3669">
        <f t="shared" si="7"/>
        <v>0</v>
      </c>
      <c r="AI40" s="3669">
        <f t="shared" si="8"/>
        <v>0</v>
      </c>
    </row>
    <row r="41" spans="1:35" x14ac:dyDescent="0.15">
      <c r="B41" s="2188">
        <f t="shared" si="4"/>
        <v>0</v>
      </c>
      <c r="C41" s="3106">
        <f>'4.Grassland'!$W33</f>
        <v>0</v>
      </c>
      <c r="D41" s="3106">
        <f t="shared" si="12"/>
        <v>0</v>
      </c>
      <c r="E41" s="3106" t="str">
        <f>VLOOKUP('4.Grassland'!$Y33, list!$I$48:$J$50, 2, FALSE)</f>
        <v>Linear</v>
      </c>
      <c r="F41" s="3106">
        <f t="shared" si="13"/>
        <v>0</v>
      </c>
      <c r="G41" s="3106" t="str">
        <f>VLOOKUP('4.Grassland'!$AA33, list!$I$48:$J$50, 2, FALSE)</f>
        <v>Linear</v>
      </c>
      <c r="H41" s="3468">
        <f>IF(ABS($Q21*(IF(E41="Immediate",IF(C41&gt;0,C41*MIN(20,time_tot),0),C41*IF(time_tot&gt;time+20,20,IF(time_tot&lt;20,(time*VLOOKUP(E41, list!$J$48:$K$50,2,))+(time_tot-time),((MIN(20,time)*VLOOKUP(E41, list!$J$48:$K$50,2,))+(time_tot-MIN(20,time))-IF(E41="Exponential",time_tot-20+0.217*time*(EXP(4.606*(20-time_tot)/time)-1),((time_tot-20)^2)*(0.5/time))))))))&gt;=ABS(Q21*20*MAX(C41,D41)), Q21*20*MAX(C41,D41), $Q21*(IF(E41="Immediate",IF(C41&gt;0,C41*MIN(20,time_tot),0),C41*IF(time_tot&gt;time+20,20,IF(time_tot&lt;20,(time*VLOOKUP(E41, list!$J$48:$K$50,2,))+(time_tot-time),((MIN(20,time)*VLOOKUP(E41, list!$J$48:$K$50,2,))+(time_tot-MIN(20,time))-IF(E41="Exponential",time_tot-20+0.217*time*(EXP(4.606*(20-time_tot)/time)-1),((time_tot-20)^2)*(0.5/time))))))))</f>
        <v>0</v>
      </c>
      <c r="I41" s="1151">
        <f>IF(ABS($R21*(IF(G41="Immediate",IF(C41&gt;0,C41*MIN(20,time_tot),0),C41*IF(time_tot&gt;time+20,20,IF(time_tot&lt;20,(time*VLOOKUP(G41, list!$J$48:$K$50,2,))+(time_tot-time),((MIN(20,time)*VLOOKUP(G41, list!$J$48:$K$50,2,))+(time_tot-MIN(20,time))-IF(G41="Exponential",time_tot-20+0.217*time*(EXP(4.606*(20-time_tot)/time)-1),((time_tot-20)^2)*(0.5/time))))))))&gt;=ABS(R21*20*MAX(C41,F41)),R21*20*MAX(C41,F41), $R21*(IF(G41="Immediate",IF(C41&gt;0,C41*MIN(20,time_tot),0),C41*IF(time_tot&gt;time+20,20,IF(time_tot&lt;20,(time*VLOOKUP(G41, list!$J$48:$K$50,2,))+(time_tot-time),((MIN(20,time)*VLOOKUP(G41, list!$J$48:$K$50,2,))+(time_tot-MIN(20,time))-IF(G41="Exponential",time_tot-20+0.217*time*(EXP(4.606*(20-time_tot)/time)-1),((time_tot-20)^2)*(0.5/time))))))))</f>
        <v>0</v>
      </c>
      <c r="J41" s="1152">
        <f>IF(H21&gt;time_tot,0,IF($G21="YES",(MIN(C41,D41)*time_tot+ABS(D41-C41)*IF(D41&gt;C41,time_cap+time*(VLOOKUP($E41,list!$J$48:$K$50,2,)),time*(1-(VLOOKUP($E41,list!$J$48:$K$50,2,))))),0)*$Y21)</f>
        <v>0</v>
      </c>
      <c r="K41" s="1152">
        <f>IF(J21&gt;time_tot,0,IF($I21="YES",(MIN(D41,F41)*time_tot+ABS(F41-D41)*IF(F41&gt;D41,time_cap+time*(VLOOKUP(G41,list!$J$48:$K$50,2,)),time*(1-(VLOOKUP(G41,list!$J$48:$K$50,2,))))),0)*$Z21)</f>
        <v>0</v>
      </c>
      <c r="L41" s="1152">
        <f t="shared" si="14"/>
        <v>0</v>
      </c>
      <c r="M41" s="1152">
        <f t="shared" si="15"/>
        <v>0</v>
      </c>
      <c r="N41" s="2227">
        <f t="shared" si="17"/>
        <v>0</v>
      </c>
      <c r="P41" s="2222">
        <f t="shared" si="9"/>
        <v>0</v>
      </c>
      <c r="Q41" s="1157">
        <f t="shared" si="10"/>
        <v>0</v>
      </c>
      <c r="R41" s="1157">
        <f t="shared" si="11"/>
        <v>0</v>
      </c>
      <c r="S41" s="1157">
        <f>(time*((ABS(Q41-P41)*(IF(P41&lt;=Q41,VLOOKUP(E41, list!$J$48:$K$50,2,),1-VLOOKUP(grass!E41, list!$J$48:$K$50,2,))))+MIN(grass!Q41,grass!P41))+(grass!Q41*time_cap))</f>
        <v>0</v>
      </c>
      <c r="T41" s="1157">
        <f>(time*((ABS(R41-P41)*(IF(R41&lt;=P41,VLOOKUP(G41,list!$J$48:$K$50,2,),1-VLOOKUP(grass!G41, list!$J$48:$K$50,2,))))+MIN(grass!R41,grass!P41))+(grass!R41*time_cap))</f>
        <v>0</v>
      </c>
      <c r="U41" s="2225">
        <f t="shared" si="16"/>
        <v>0</v>
      </c>
      <c r="W41" s="3538" t="s">
        <v>235</v>
      </c>
      <c r="X41" s="3550">
        <f>SUM(X36:X40)</f>
        <v>-2475.0000000000009</v>
      </c>
      <c r="Y41" s="3551">
        <f>SUM(Y36:Y40)</f>
        <v>-495.00000000000017</v>
      </c>
      <c r="Z41" s="3552">
        <f>X41-Y41</f>
        <v>-1980.0000000000007</v>
      </c>
      <c r="AH41" s="3669">
        <f t="shared" si="7"/>
        <v>0</v>
      </c>
      <c r="AI41" s="3669">
        <f t="shared" si="8"/>
        <v>0</v>
      </c>
    </row>
    <row r="42" spans="1:35" x14ac:dyDescent="0.15">
      <c r="B42" s="2188">
        <f t="shared" si="4"/>
        <v>0</v>
      </c>
      <c r="C42" s="3106">
        <f>'4.Grassland'!$W34</f>
        <v>0</v>
      </c>
      <c r="D42" s="3106">
        <f t="shared" si="12"/>
        <v>0</v>
      </c>
      <c r="E42" s="3106" t="str">
        <f>VLOOKUP('4.Grassland'!$Y34, list!$I$48:$J$50, 2, FALSE)</f>
        <v>Linear</v>
      </c>
      <c r="F42" s="3106">
        <f t="shared" si="13"/>
        <v>0</v>
      </c>
      <c r="G42" s="3106" t="str">
        <f>VLOOKUP('4.Grassland'!$AA34, list!$I$48:$J$50, 2, FALSE)</f>
        <v>Linear</v>
      </c>
      <c r="H42" s="3468">
        <f>IF(ABS($Q22*(IF(E42="Immediate",IF(C42&gt;0,C42*MIN(20,time_tot),0),C42*IF(time_tot&gt;time+20,20,IF(time_tot&lt;20,(time*VLOOKUP(E42, list!$J$48:$K$50,2,))+(time_tot-time),((MIN(20,time)*VLOOKUP(E42, list!$J$48:$K$50,2,))+(time_tot-MIN(20,time))-IF(E42="Exponential",time_tot-20+0.217*time*(EXP(4.606*(20-time_tot)/time)-1),((time_tot-20)^2)*(0.5/time))))))))&gt;=ABS(Q22*20*MAX(C42,D42)), Q22*20*MAX(C42,D42), $Q22*(IF(E42="Immediate",IF(C42&gt;0,C42*MIN(20,time_tot),0),C42*IF(time_tot&gt;time+20,20,IF(time_tot&lt;20,(time*VLOOKUP(E42, list!$J$48:$K$50,2,))+(time_tot-time),((MIN(20,time)*VLOOKUP(E42, list!$J$48:$K$50,2,))+(time_tot-MIN(20,time))-IF(E42="Exponential",time_tot-20+0.217*time*(EXP(4.606*(20-time_tot)/time)-1),((time_tot-20)^2)*(0.5/time))))))))</f>
        <v>0</v>
      </c>
      <c r="I42" s="1151">
        <f>IF(ABS($R22*(IF(G42="Immediate",IF(C42&gt;0,C42*MIN(20,time_tot),0),C42*IF(time_tot&gt;time+20,20,IF(time_tot&lt;20,(time*VLOOKUP(G42, list!$J$48:$K$50,2,))+(time_tot-time),((MIN(20,time)*VLOOKUP(G42, list!$J$48:$K$50,2,))+(time_tot-MIN(20,time))-IF(G42="Exponential",time_tot-20+0.217*time*(EXP(4.606*(20-time_tot)/time)-1),((time_tot-20)^2)*(0.5/time))))))))&gt;=ABS(R22*20*MAX(C42,F42)),R22*20*MAX(C42,F42), $R22*(IF(G42="Immediate",IF(C42&gt;0,C42*MIN(20,time_tot),0),C42*IF(time_tot&gt;time+20,20,IF(time_tot&lt;20,(time*VLOOKUP(G42, list!$J$48:$K$50,2,))+(time_tot-time),((MIN(20,time)*VLOOKUP(G42, list!$J$48:$K$50,2,))+(time_tot-MIN(20,time))-IF(G42="Exponential",time_tot-20+0.217*time*(EXP(4.606*(20-time_tot)/time)-1),((time_tot-20)^2)*(0.5/time))))))))</f>
        <v>0</v>
      </c>
      <c r="J42" s="1152">
        <f>IF(H22&gt;time_tot,0,IF($G22="YES",(MIN(C42,D42)*time_tot+ABS(D42-C42)*IF(D42&gt;C42,time_cap+time*(VLOOKUP($E42,list!$J$48:$K$50,2,)),time*(1-(VLOOKUP($E42,list!$J$48:$K$50,2,))))),0)*$Y22)</f>
        <v>0</v>
      </c>
      <c r="K42" s="1152">
        <f>IF(J22&gt;time_tot,0,IF($I22="YES",(MIN(D42,F42)*time_tot+ABS(F42-D42)*IF(F42&gt;D42,time_cap+time*(VLOOKUP(G42,list!$J$48:$K$50,2,)),time*(1-(VLOOKUP(G42,list!$J$48:$K$50,2,))))),0)*$Z22)</f>
        <v>0</v>
      </c>
      <c r="L42" s="1152">
        <f t="shared" si="14"/>
        <v>0</v>
      </c>
      <c r="M42" s="1152">
        <f t="shared" si="15"/>
        <v>0</v>
      </c>
      <c r="N42" s="2227">
        <f t="shared" si="17"/>
        <v>0</v>
      </c>
      <c r="P42" s="2222">
        <f t="shared" si="9"/>
        <v>0</v>
      </c>
      <c r="Q42" s="1157">
        <f t="shared" si="10"/>
        <v>0</v>
      </c>
      <c r="R42" s="1157">
        <f t="shared" si="11"/>
        <v>0</v>
      </c>
      <c r="S42" s="1157">
        <f>(time*((ABS(Q42-P42)*(IF(P42&lt;=Q42,VLOOKUP(E42, list!$J$48:$K$50,2,),1-VLOOKUP(grass!E42, list!$J$48:$K$50,2,))))+MIN(grass!Q42,grass!P42))+(grass!Q42*time_cap))</f>
        <v>0</v>
      </c>
      <c r="T42" s="1157">
        <f>(time*((ABS(R42-P42)*(IF(R42&lt;=P42,VLOOKUP(G42,list!$J$48:$K$50,2,),1-VLOOKUP(grass!G42, list!$J$48:$K$50,2,))))+MIN(grass!R42,grass!P42))+(grass!R42*time_cap))</f>
        <v>0</v>
      </c>
      <c r="U42" s="2225">
        <f t="shared" si="16"/>
        <v>0</v>
      </c>
      <c r="AH42" s="3669">
        <f t="shared" si="7"/>
        <v>0</v>
      </c>
      <c r="AI42" s="3669">
        <f t="shared" si="8"/>
        <v>0</v>
      </c>
    </row>
    <row r="43" spans="1:35" x14ac:dyDescent="0.15">
      <c r="B43" s="2188">
        <f t="shared" si="4"/>
        <v>0</v>
      </c>
      <c r="C43" s="3106">
        <f>'4.Grassland'!$W35</f>
        <v>0</v>
      </c>
      <c r="D43" s="3106">
        <f t="shared" si="12"/>
        <v>0</v>
      </c>
      <c r="E43" s="3106" t="str">
        <f>VLOOKUP('4.Grassland'!$Y35, list!$I$48:$J$50, 2, FALSE)</f>
        <v>Linear</v>
      </c>
      <c r="F43" s="3106">
        <f t="shared" si="13"/>
        <v>0</v>
      </c>
      <c r="G43" s="3106" t="str">
        <f>VLOOKUP('4.Grassland'!$AA35, list!$I$48:$J$50, 2, FALSE)</f>
        <v>Linear</v>
      </c>
      <c r="H43" s="3468">
        <f>IF(ABS($Q23*(IF(E43="Immediate",IF(C43&gt;0,C43*MIN(20,time_tot),0),C43*IF(time_tot&gt;time+20,20,IF(time_tot&lt;20,(time*VLOOKUP(E43, list!$J$48:$K$50,2,))+(time_tot-time),((MIN(20,time)*VLOOKUP(E43, list!$J$48:$K$50,2,))+(time_tot-MIN(20,time))-IF(E43="Exponential",time_tot-20+0.217*time*(EXP(4.606*(20-time_tot)/time)-1),((time_tot-20)^2)*(0.5/time))))))))&gt;=ABS(Q23*20*MAX(C43,D43)), Q23*20*MAX(C43,D43), $Q23*(IF(E43="Immediate",IF(C43&gt;0,C43*MIN(20,time_tot),0),C43*IF(time_tot&gt;time+20,20,IF(time_tot&lt;20,(time*VLOOKUP(E43, list!$J$48:$K$50,2,))+(time_tot-time),((MIN(20,time)*VLOOKUP(E43, list!$J$48:$K$50,2,))+(time_tot-MIN(20,time))-IF(E43="Exponential",time_tot-20+0.217*time*(EXP(4.606*(20-time_tot)/time)-1),((time_tot-20)^2)*(0.5/time))))))))</f>
        <v>0</v>
      </c>
      <c r="I43" s="1151">
        <f>IF(ABS($R23*(IF(G43="Immediate",IF(C43&gt;0,C43*MIN(20,time_tot),0),C43*IF(time_tot&gt;time+20,20,IF(time_tot&lt;20,(time*VLOOKUP(G43, list!$J$48:$K$50,2,))+(time_tot-time),((MIN(20,time)*VLOOKUP(G43, list!$J$48:$K$50,2,))+(time_tot-MIN(20,time))-IF(G43="Exponential",time_tot-20+0.217*time*(EXP(4.606*(20-time_tot)/time)-1),((time_tot-20)^2)*(0.5/time))))))))&gt;=ABS(R23*20*MAX(C43,F43)),R23*20*MAX(C43,F43), $R23*(IF(G43="Immediate",IF(C43&gt;0,C43*MIN(20,time_tot),0),C43*IF(time_tot&gt;time+20,20,IF(time_tot&lt;20,(time*VLOOKUP(G43, list!$J$48:$K$50,2,))+(time_tot-time),((MIN(20,time)*VLOOKUP(G43, list!$J$48:$K$50,2,))+(time_tot-MIN(20,time))-IF(G43="Exponential",time_tot-20+0.217*time*(EXP(4.606*(20-time_tot)/time)-1),((time_tot-20)^2)*(0.5/time))))))))</f>
        <v>0</v>
      </c>
      <c r="J43" s="1153">
        <f>IF(H23&gt;time_tot,0,IF($G23="YES",(MIN(C43,D43)*time_tot+ABS(D43-C43)*IF(D43&gt;C43,time_cap+time*(VLOOKUP($E43,list!$J$48:$K$50,2,)),time*(1-(VLOOKUP($E43,list!$J$48:$K$50,2,))))),0)*$Y23)</f>
        <v>0</v>
      </c>
      <c r="K43" s="1153">
        <f>IF(J23&gt;time_tot,0,IF($I23="YES",(MIN(D43,F43)*time_tot+ABS(F43-D43)*IF(F43&gt;D43,time_cap+time*(VLOOKUP(G43,list!$J$48:$K$50,2,)),time*(1-(VLOOKUP(G43,list!$J$48:$K$50,2,))))),0)*$Z23)</f>
        <v>0</v>
      </c>
      <c r="L43" s="1153">
        <f t="shared" si="14"/>
        <v>0</v>
      </c>
      <c r="M43" s="1153">
        <f t="shared" si="15"/>
        <v>0</v>
      </c>
      <c r="N43" s="2233">
        <f t="shared" si="17"/>
        <v>0</v>
      </c>
      <c r="P43" s="2228">
        <f t="shared" si="9"/>
        <v>0</v>
      </c>
      <c r="Q43" s="1158">
        <f t="shared" si="10"/>
        <v>0</v>
      </c>
      <c r="R43" s="1158">
        <f t="shared" si="11"/>
        <v>0</v>
      </c>
      <c r="S43" s="1158">
        <f>(time*((ABS(Q43-P43)*(IF(P43&lt;=Q43,VLOOKUP(E43, list!$J$48:$K$50,2,),1-VLOOKUP(grass!E43, list!$J$48:$K$50,2,))))+MIN(grass!Q43,grass!P43))+(grass!Q43*time_cap))</f>
        <v>0</v>
      </c>
      <c r="T43" s="1158">
        <f>(time*((ABS(R43-P43)*(IF(R43&lt;=P43,VLOOKUP(G43,list!$J$48:$K$50,2,),1-VLOOKUP(grass!G43, list!$J$48:$K$50,2,))))+MIN(grass!R43,grass!P43))+(grass!R43*time_cap))</f>
        <v>0</v>
      </c>
      <c r="U43" s="2231">
        <f t="shared" si="16"/>
        <v>0</v>
      </c>
      <c r="W43" s="3539" t="s">
        <v>228</v>
      </c>
      <c r="X43" s="3540" t="s">
        <v>179</v>
      </c>
      <c r="Y43" s="3540" t="s">
        <v>180</v>
      </c>
      <c r="AG43" s="3674" t="s">
        <v>218</v>
      </c>
      <c r="AH43" s="3675">
        <f>SUM(AH29:AH42)</f>
        <v>0</v>
      </c>
      <c r="AI43" s="3675">
        <f>SUM(AI29:AI42)</f>
        <v>0</v>
      </c>
    </row>
    <row r="44" spans="1:35" x14ac:dyDescent="0.15">
      <c r="B44" s="1116" t="s">
        <v>851</v>
      </c>
      <c r="C44" s="1104">
        <f>SUM(C34:C43)</f>
        <v>300</v>
      </c>
      <c r="D44" s="1104">
        <f>SUM(D34:D43)</f>
        <v>300</v>
      </c>
      <c r="E44" s="3104"/>
      <c r="F44" s="1104">
        <f>SUM(F34:F43)</f>
        <v>300</v>
      </c>
      <c r="G44" s="3104"/>
      <c r="H44" s="3467"/>
      <c r="I44" s="3467"/>
      <c r="J44" s="3105" t="s">
        <v>852</v>
      </c>
      <c r="K44" s="2236"/>
      <c r="L44" s="2236">
        <f>IF(COUNTIF(N30:N33, "MISSING DATA")&gt;0,"MISSING DATA",SUM(L30:L43))</f>
        <v>1650.0000000000014</v>
      </c>
      <c r="M44" s="2236">
        <f>IF(COUNTIF(N30:N33, "MISSING DATA")&gt;0,"MISSING DATA",SUM(M30:M43))</f>
        <v>-824.99999999999943</v>
      </c>
      <c r="N44" s="2236">
        <f>IF(COUNTIF(N30:N33, "MISSING DATA")&gt;0,"MISSING DATA",SUM(N30:N43))</f>
        <v>-2475.0000000000009</v>
      </c>
      <c r="W44" s="3499" t="s">
        <v>850</v>
      </c>
      <c r="X44" s="3544">
        <v>0</v>
      </c>
      <c r="Y44" s="3544">
        <v>0</v>
      </c>
    </row>
    <row r="45" spans="1:35" x14ac:dyDescent="0.15">
      <c r="W45" s="3499" t="s">
        <v>315</v>
      </c>
      <c r="X45" s="3500">
        <f>SUM(H30:H43)</f>
        <v>1650.0000000000014</v>
      </c>
      <c r="Y45" s="3500">
        <f>SUM(I30:I43)</f>
        <v>-824.99999999999943</v>
      </c>
    </row>
    <row r="46" spans="1:35" x14ac:dyDescent="0.15">
      <c r="M46" s="1445" t="s">
        <v>629</v>
      </c>
      <c r="N46" s="1445">
        <f>SUM('4.Grassland'!BH26:BH35)</f>
        <v>0</v>
      </c>
      <c r="W46" s="3499" t="s">
        <v>338</v>
      </c>
      <c r="X46" s="3500">
        <v>0</v>
      </c>
      <c r="Y46" s="3500">
        <v>0</v>
      </c>
    </row>
    <row r="47" spans="1:35" x14ac:dyDescent="0.15">
      <c r="W47" s="3499" t="s">
        <v>162</v>
      </c>
      <c r="X47" s="3500">
        <f>SUM(AI10:AI23)</f>
        <v>0</v>
      </c>
      <c r="Y47" s="3500">
        <f>SUM(AJ10:AJ23)</f>
        <v>0</v>
      </c>
    </row>
    <row r="48" spans="1:35" x14ac:dyDescent="0.15">
      <c r="W48" s="3499" t="s">
        <v>161</v>
      </c>
      <c r="X48" s="3547">
        <f>SUM(AG10:AG23)</f>
        <v>0</v>
      </c>
      <c r="Y48" s="3547">
        <f>SUM(AH10:AH23)</f>
        <v>0</v>
      </c>
    </row>
    <row r="49" spans="23:26" x14ac:dyDescent="0.15">
      <c r="W49" s="3538" t="s">
        <v>235</v>
      </c>
      <c r="X49" s="3550">
        <f>SUM(X44:X48)</f>
        <v>1650.0000000000014</v>
      </c>
      <c r="Y49" s="3551">
        <f>SUM(Y44:Y48)</f>
        <v>-824.99999999999943</v>
      </c>
      <c r="Z49" s="3452"/>
    </row>
  </sheetData>
  <sortState xmlns:xlrd2="http://schemas.microsoft.com/office/spreadsheetml/2017/richdata2" ref="W29:Z33">
    <sortCondition ref="Z9:Z13"/>
  </sortState>
  <mergeCells count="6">
    <mergeCell ref="M7:P7"/>
    <mergeCell ref="G8:H8"/>
    <mergeCell ref="I8:J8"/>
    <mergeCell ref="K8:L8"/>
    <mergeCell ref="M8:N8"/>
    <mergeCell ref="O8:P8"/>
  </mergeCells>
  <pageMargins left="0.7" right="0.7" top="0.75" bottom="0.75" header="0.3" footer="0.3"/>
  <pageSetup paperSize="9" orientation="portrait" r:id="rId1"/>
  <drawing r:id="rId2"/>
  <mc:AlternateContent xmlns:mc="http://schemas.openxmlformats.org/markup-compatibility/2006">
    <mc:Choice Requires="v">
      <legacyDrawing r:id="rId3"/>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list!$J$48:$J$50</xm:f>
          </x14:formula1>
          <xm:sqref>G30:G33 E30:E33</xm:sqref>
        </x14:dataValidation>
      </x14:dataValidations>
    </ext>
  </extLst>
</worksheet>
</file>

<file path=xl/worksheets/sheet1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dimension ref="A2:AU163"/>
  <sheetViews>
    <sheetView topLeftCell="A97" zoomScale="86" zoomScaleNormal="86" workbookViewId="0">
      <selection activeCell="E118" sqref="E118:I132"/>
    </sheetView>
  </sheetViews>
  <sheetFormatPr baseColWidth="10" defaultColWidth="9.33203125" defaultRowHeight="14" x14ac:dyDescent="0.15"/>
  <cols>
    <col min="1" max="1" width="9.33203125" style="973"/>
    <col min="2" max="2" width="27.5" style="973" customWidth="1"/>
    <col min="3" max="3" width="14" style="973" customWidth="1"/>
    <col min="4" max="4" width="10.6640625" style="973" customWidth="1"/>
    <col min="5" max="5" width="14.5" style="973" customWidth="1"/>
    <col min="6" max="6" width="43.33203125" style="973" customWidth="1"/>
    <col min="7" max="7" width="8.5" style="973" customWidth="1"/>
    <col min="8" max="8" width="22.6640625" style="973" customWidth="1"/>
    <col min="9" max="9" width="8.5" style="973" customWidth="1"/>
    <col min="10" max="10" width="12" style="973" customWidth="1"/>
    <col min="11" max="11" width="8.5" style="973" customWidth="1"/>
    <col min="12" max="12" width="11.5" style="973" customWidth="1"/>
    <col min="13" max="13" width="23.5" style="973" customWidth="1"/>
    <col min="14" max="14" width="13.6640625" style="973" customWidth="1"/>
    <col min="15" max="15" width="11.6640625" style="973" customWidth="1"/>
    <col min="16" max="16" width="10.33203125" style="973" customWidth="1"/>
    <col min="17" max="17" width="11.5" style="973" customWidth="1"/>
    <col min="18" max="18" width="12.6640625" style="973" customWidth="1"/>
    <col min="19" max="19" width="14.5" style="973" bestFit="1" customWidth="1"/>
    <col min="20" max="21" width="11.6640625" style="973" bestFit="1" customWidth="1"/>
    <col min="22" max="22" width="10.5" style="973" customWidth="1"/>
    <col min="23" max="23" width="14.5" style="973" customWidth="1"/>
    <col min="24" max="24" width="17.5" style="973" customWidth="1"/>
    <col min="25" max="25" width="14.6640625" style="973" customWidth="1"/>
    <col min="26" max="26" width="11.6640625" style="973" bestFit="1" customWidth="1"/>
    <col min="27" max="27" width="13.5" style="973" customWidth="1"/>
    <col min="28" max="28" width="13.33203125" style="973" customWidth="1"/>
    <col min="29" max="30" width="9.33203125" style="973"/>
    <col min="31" max="31" width="11.33203125" style="973" customWidth="1"/>
    <col min="32" max="32" width="11.6640625" style="973" customWidth="1"/>
    <col min="33" max="38" width="9.33203125" style="973"/>
    <col min="39" max="39" width="20.5" style="973" bestFit="1" customWidth="1"/>
    <col min="40" max="40" width="13.33203125" style="973" customWidth="1"/>
    <col min="41" max="41" width="12" style="973" customWidth="1"/>
    <col min="42" max="43" width="9.33203125" style="973"/>
    <col min="44" max="44" width="10.5" style="973" customWidth="1"/>
    <col min="45" max="45" width="11.5" style="973" customWidth="1"/>
    <col min="46" max="46" width="10.5" style="973" customWidth="1"/>
    <col min="47" max="16384" width="9.33203125" style="973"/>
  </cols>
  <sheetData>
    <row r="2" spans="1:47" x14ac:dyDescent="0.15">
      <c r="B2" s="1549" t="str">
        <f>country_selected</f>
        <v>Spain</v>
      </c>
      <c r="C2" s="1549" t="str">
        <f>VLOOKUP($B$2,'List countries GLEAM'!$A$1:$D$249,4,0)</f>
        <v>Western Europe</v>
      </c>
      <c r="D2" s="2167"/>
    </row>
    <row r="4" spans="1:47" ht="45" customHeight="1" x14ac:dyDescent="0.15">
      <c r="A4" s="2513"/>
      <c r="B4" s="1629" t="s">
        <v>853</v>
      </c>
      <c r="C4" s="2513"/>
      <c r="D4" s="2513"/>
      <c r="E4" s="2513"/>
      <c r="F4" s="2513"/>
      <c r="G4" s="2513"/>
      <c r="H4" s="2513"/>
      <c r="I4" s="2513"/>
      <c r="J4" s="2513"/>
      <c r="K4" s="2513"/>
      <c r="L4" s="2513"/>
      <c r="M4" s="2513"/>
      <c r="N4" s="2513"/>
      <c r="O4" s="2513"/>
      <c r="P4" s="2513"/>
      <c r="Q4" s="2513"/>
      <c r="R4" s="2513"/>
      <c r="S4" s="2513"/>
      <c r="T4" s="2513"/>
      <c r="U4" s="2513"/>
      <c r="V4" s="2513"/>
      <c r="W4" s="2513"/>
      <c r="X4" s="2513"/>
      <c r="Y4" s="2513"/>
      <c r="Z4" s="2513"/>
      <c r="AA4" s="2513"/>
      <c r="AB4" s="2513"/>
      <c r="AC4" s="2513"/>
    </row>
    <row r="5" spans="1:47" x14ac:dyDescent="0.15">
      <c r="E5" s="1576" t="s">
        <v>854</v>
      </c>
      <c r="F5" s="1688"/>
      <c r="G5" s="1688"/>
      <c r="H5" s="1670" t="s">
        <v>855</v>
      </c>
      <c r="I5" s="3477"/>
      <c r="J5" s="3477"/>
      <c r="K5" s="3477"/>
      <c r="L5" s="3477"/>
      <c r="V5" s="1281" t="s">
        <v>856</v>
      </c>
      <c r="Z5" s="1281" t="s">
        <v>857</v>
      </c>
    </row>
    <row r="6" spans="1:47" ht="16" x14ac:dyDescent="0.2">
      <c r="D6" s="973" t="s">
        <v>858</v>
      </c>
      <c r="F6" s="1688"/>
      <c r="G6" s="1688"/>
      <c r="H6" s="1688"/>
      <c r="I6" s="1102"/>
      <c r="J6" s="1102"/>
      <c r="K6" s="1103"/>
      <c r="L6" s="1103"/>
      <c r="W6" s="1100"/>
      <c r="X6" s="1101"/>
      <c r="Z6" s="1270"/>
      <c r="AA6" s="1116"/>
      <c r="AB6" s="1116"/>
      <c r="AE6" s="973" t="s">
        <v>859</v>
      </c>
      <c r="AL6" s="1262" t="s">
        <v>860</v>
      </c>
      <c r="AM6" s="3464"/>
      <c r="AN6" s="3464"/>
      <c r="AQ6" s="1262" t="s">
        <v>861</v>
      </c>
      <c r="AR6" s="3464"/>
      <c r="AS6" s="3464"/>
      <c r="AT6" s="3464"/>
    </row>
    <row r="7" spans="1:47" ht="16" x14ac:dyDescent="0.2">
      <c r="B7" s="1281" t="s">
        <v>862</v>
      </c>
      <c r="C7" s="1281" t="s">
        <v>863</v>
      </c>
      <c r="D7" s="1688" t="s">
        <v>864</v>
      </c>
      <c r="E7" s="1688" t="s">
        <v>219</v>
      </c>
      <c r="F7" s="1688" t="s">
        <v>759</v>
      </c>
      <c r="G7" s="1688" t="s">
        <v>180</v>
      </c>
      <c r="H7" s="1688" t="s">
        <v>199</v>
      </c>
      <c r="I7" s="1102" t="s">
        <v>865</v>
      </c>
      <c r="J7" s="1102" t="s">
        <v>225</v>
      </c>
      <c r="K7" s="1103" t="s">
        <v>201</v>
      </c>
      <c r="L7" s="1103" t="s">
        <v>225</v>
      </c>
      <c r="V7" s="1688" t="s">
        <v>199</v>
      </c>
      <c r="W7" s="1102" t="s">
        <v>865</v>
      </c>
      <c r="X7" s="1103" t="s">
        <v>201</v>
      </c>
      <c r="Y7" s="1688"/>
      <c r="Z7" s="1521" t="s">
        <v>865</v>
      </c>
      <c r="AA7" s="1101" t="s">
        <v>201</v>
      </c>
      <c r="AB7" s="1116" t="s">
        <v>324</v>
      </c>
      <c r="AE7" s="1102" t="s">
        <v>200</v>
      </c>
      <c r="AF7" s="1103" t="s">
        <v>201</v>
      </c>
    </row>
    <row r="8" spans="1:47" x14ac:dyDescent="0.15">
      <c r="B8" s="973" t="str">
        <f>'4.Grassland'!I56</f>
        <v>Dairy Cattle</v>
      </c>
      <c r="C8" s="1688" t="str">
        <f>'4.Grassland'!K56</f>
        <v>High-Productivity</v>
      </c>
      <c r="D8" s="1235">
        <f>IFERROR(IF(C8="Default",INDEX(CH4_Ent_Default[#All],MATCH(Livestock!$C$2,CH4_Ent_Default[[#All],[IPCC Region]],0),MATCH(Livestock!B8,CH4_Ent_Default[#Headers],0)),
IF(C8="Low-Productivity",INDEX(CH4_Ent_LP[#All],MATCH(Livestock!$C$2,CH4_Ent_LP[[#All],[IPCC Region]],0),MATCH(Livestock!B8,CH4_Ent_HP[#Headers],0)),
IF(C8="High-Productivity",INDEX(CH4_Ent_HP[#All],MATCH(Livestock!$C$2,CH4_Ent_HP[[#All],[Please select]],0),MATCH(Livestock!B8,CH4_Ent_HP[#Headers],0)),0))),0)</f>
        <v>126</v>
      </c>
      <c r="E8" s="3468">
        <f>IF('4.Grassland'!BD56="",'4.Grassland'!$BC56,'4.Grassland'!BD56)</f>
        <v>126</v>
      </c>
      <c r="F8" s="1151">
        <f>IF('4.Grassland'!BE56="",'4.Grassland'!$BC56,'4.Grassland'!BE56)</f>
        <v>126</v>
      </c>
      <c r="G8" s="3469">
        <f>IF('4.Grassland'!BF56="",'4.Grassland'!$BC56,'4.Grassland'!BF56)</f>
        <v>126</v>
      </c>
      <c r="H8" s="992">
        <f>'4.Grassland'!W56</f>
        <v>100</v>
      </c>
      <c r="I8" s="992">
        <f>'4.Grassland'!X56</f>
        <v>0</v>
      </c>
      <c r="J8" s="1688" t="str">
        <f>VLOOKUP('4.Grassland'!Y56, list!$I$48:$J$50,2,FALSE )</f>
        <v>Linear</v>
      </c>
      <c r="K8" s="992">
        <f>'4.Grassland'!Z56</f>
        <v>0</v>
      </c>
      <c r="L8" s="1688" t="str">
        <f>VLOOKUP('4.Grassland'!AA56, list!$I$48:$J$50,2,FALSE )</f>
        <v>Linear</v>
      </c>
      <c r="V8" s="3468">
        <f t="shared" ref="V8:V24" si="0">E8/1000*methane*H8</f>
        <v>352.8</v>
      </c>
      <c r="W8" s="1151">
        <f t="shared" ref="W8:W18" si="1">F8/1000*methane*I8</f>
        <v>0</v>
      </c>
      <c r="X8" s="3469">
        <f>G8/1000*methane*K8</f>
        <v>0</v>
      </c>
      <c r="Y8" s="1246"/>
      <c r="Z8" s="3468">
        <f>MIN($V8,$W8)*time_tot+ABS($W8-$V8)*IF($W8&gt;$V8,time_cap+time*(VLOOKUP($J8,list!$J$48:$K$50,2,0)),time*(1-(VLOOKUP($J8,list!$J$48:$K$50,2,0))))</f>
        <v>882</v>
      </c>
      <c r="AA8" s="1151">
        <f>MIN($V8,$X8)*time_tot+ABS($X8-$V8)*IF($X8&gt;$V8,time_cap+time*(VLOOKUP($L8,list!$J$48:$K$50,2,0)),time*(1-(VLOOKUP($L8,list!$J$48:$K$50,2,0))))</f>
        <v>882</v>
      </c>
      <c r="AB8" s="3473">
        <f>AA8-Z8</f>
        <v>0</v>
      </c>
      <c r="AE8" s="992">
        <f>MIN($V8,$W8)*time+ABS($W8-$V8)*IF($W8&gt;$V8,time*(VLOOKUP($J8,list!$J$48:$K$50,2,)),time*(1-(VLOOKUP($J8,list!$J$48:$K$50,2,))))</f>
        <v>882</v>
      </c>
      <c r="AF8" s="992">
        <f>MIN($V8,$X8)*time+ABS($X8-$V8)*IF($X8&gt;$V8,time*(VLOOKUP($L8,list!$J$48:$K$50,2,)),time*(1-(VLOOKUP($L8,list!$J$48:$K$50,2,))))</f>
        <v>882</v>
      </c>
      <c r="AL8" s="1321" t="s">
        <v>866</v>
      </c>
      <c r="AM8" s="1317" t="s">
        <v>200</v>
      </c>
      <c r="AN8" s="1317" t="s">
        <v>201</v>
      </c>
      <c r="AQ8" s="1321" t="s">
        <v>866</v>
      </c>
      <c r="AR8" s="1317" t="s">
        <v>324</v>
      </c>
      <c r="AS8" s="1317" t="s">
        <v>867</v>
      </c>
      <c r="AT8" s="1318" t="s">
        <v>868</v>
      </c>
      <c r="AU8" s="1454"/>
    </row>
    <row r="9" spans="1:47" x14ac:dyDescent="0.15">
      <c r="B9" s="973" t="str">
        <f>'4.Grassland'!I57</f>
        <v>Dairy Cattle</v>
      </c>
      <c r="C9" s="1688" t="str">
        <f>'4.Grassland'!K57</f>
        <v>High-Productivity</v>
      </c>
      <c r="D9" s="1235">
        <f>IFERROR(IF(C9="Default",INDEX(CH4_Ent_Default[#All],MATCH(Livestock!$C$2,CH4_Ent_Default[[#All],[IPCC Region]],0),MATCH(Livestock!B9,CH4_Ent_Default[#Headers],0)),
IF(C9="Low-Productivity",INDEX(CH4_Ent_LP[#All],MATCH(Livestock!$C$2,CH4_Ent_LP[[#All],[IPCC Region]],0),MATCH(Livestock!B9,CH4_Ent_HP[#Headers],0)),
IF(C9="High-Productivity",INDEX(CH4_Ent_HP[#All],MATCH(Livestock!$C$2,CH4_Ent_HP[[#All],[Please select]],0),MATCH(Livestock!B9,CH4_Ent_HP[#Headers],0)),0))),0)</f>
        <v>126</v>
      </c>
      <c r="E9" s="3470">
        <f>IF('4.Grassland'!BD57="",'4.Grassland'!$BC57,'4.Grassland'!BD57)</f>
        <v>126</v>
      </c>
      <c r="F9" s="1152">
        <f>IF('4.Grassland'!BE57="",'4.Grassland'!$BC57,'4.Grassland'!BE57)</f>
        <v>126</v>
      </c>
      <c r="G9" s="3479">
        <f>IF('4.Grassland'!BF57="",'4.Grassland'!$BC57,'4.Grassland'!BF57)</f>
        <v>126</v>
      </c>
      <c r="H9" s="992">
        <f>'4.Grassland'!W57</f>
        <v>0</v>
      </c>
      <c r="I9" s="992">
        <f>'4.Grassland'!X57</f>
        <v>100</v>
      </c>
      <c r="J9" s="1688" t="str">
        <f>VLOOKUP('4.Grassland'!Y57, list!$I$48:$J$50,2,FALSE )</f>
        <v>Linear</v>
      </c>
      <c r="K9" s="992">
        <f>'4.Grassland'!Z57</f>
        <v>0</v>
      </c>
      <c r="L9" s="1688" t="str">
        <f>VLOOKUP('4.Grassland'!AA57, list!$I$48:$J$50,2,FALSE )</f>
        <v>Linear</v>
      </c>
      <c r="V9" s="3468">
        <f t="shared" si="0"/>
        <v>0</v>
      </c>
      <c r="W9" s="1152">
        <f t="shared" si="1"/>
        <v>352.8</v>
      </c>
      <c r="X9" s="3479">
        <f t="shared" ref="X9:X18" si="2">G9/1000*methane*K9</f>
        <v>0</v>
      </c>
      <c r="Y9" s="1246"/>
      <c r="Z9" s="3470">
        <f>MIN($V9,$W9)*time_tot+ABS($W9-$V9)*IF($W9&gt;$V9,time_cap+time*(VLOOKUP($J9,list!$J$48:$K$50,2,0)),time*(1-(VLOOKUP($J9,list!$J$48:$K$50,2,0))))</f>
        <v>4410</v>
      </c>
      <c r="AA9" s="1152">
        <f>MIN($V9,$X9)*time_tot+ABS($X9-$V9)*IF($X9&gt;$V9,time_cap+time*(VLOOKUP($L9,list!$J$48:$K$50,2,0)),time*(1-(VLOOKUP($L9,list!$J$48:$K$50,2,0))))</f>
        <v>0</v>
      </c>
      <c r="AB9" s="1159">
        <f t="shared" ref="AB9:AB17" si="3">AA9-Z9</f>
        <v>-4410</v>
      </c>
      <c r="AE9" s="992">
        <f>MIN($V9,$W9)*time+ABS($W9-$V9)*IF($W9&gt;$V9,time*(VLOOKUP($J9,list!$J$48:$K$50,2,)),time*(1-(VLOOKUP($J9,list!$J$48:$K$50,2,))))</f>
        <v>882</v>
      </c>
      <c r="AF9" s="992">
        <f>MIN($V9,$X9)*time+ABS($X9-$V9)*IF($X9&gt;$V9,time*(VLOOKUP($L9,list!$J$48:$K$50,2,)),time*(1-(VLOOKUP($L9,list!$J$48:$K$50,2,))))</f>
        <v>0</v>
      </c>
      <c r="AL9" s="1084" t="s">
        <v>869</v>
      </c>
      <c r="AM9" s="1312">
        <f ca="1">SUM(Z8:Z24)+SUM(Z62:Z78)</f>
        <v>7386.7295249999997</v>
      </c>
      <c r="AN9" s="1312">
        <f ca="1">SUM(AA8:AA24)+SUM(AA62:AA78)</f>
        <v>6591.3899625000004</v>
      </c>
      <c r="AO9" s="1246">
        <f ca="1">AN9-AM9</f>
        <v>-795.33956249999937</v>
      </c>
      <c r="AQ9" s="1084" t="s">
        <v>869</v>
      </c>
      <c r="AR9" s="1312">
        <f ca="1">SUM(AA8:AA24,AA62:AA78)-SUM(Z8:Z24,Z62:Z78)</f>
        <v>-795.33956250000028</v>
      </c>
      <c r="AS9" s="1312">
        <f ca="1">IF(time=0,0,SUM(AF8:AF18,AF62:AF72)-SUM(AE8:AE18,AE62:AE72))</f>
        <v>-159.06791249999969</v>
      </c>
      <c r="AT9" s="1453">
        <f ca="1">AR9-AS9</f>
        <v>-636.27165000000059</v>
      </c>
      <c r="AU9" s="1455"/>
    </row>
    <row r="10" spans="1:47" x14ac:dyDescent="0.15">
      <c r="B10" s="973" t="str">
        <f>'4.Grassland'!I58</f>
        <v>Dairy Cattle</v>
      </c>
      <c r="C10" s="1688" t="str">
        <f>'4.Grassland'!K58</f>
        <v>Low-Productivity</v>
      </c>
      <c r="D10" s="1235">
        <f>IFERROR(IF(C10="Default",INDEX(CH4_Ent_Default[#All],MATCH(Livestock!$C$2,CH4_Ent_Default[[#All],[IPCC Region]],0),MATCH(Livestock!B10,CH4_Ent_Default[#Headers],0)),
IF(C10="Low-Productivity",INDEX(CH4_Ent_LP[#All],MATCH(Livestock!$C$2,CH4_Ent_LP[[#All],[IPCC Region]],0),MATCH(Livestock!B10,CH4_Ent_HP[#Headers],0)),
IF(C10="High-Productivity",INDEX(CH4_Ent_HP[#All],MATCH(Livestock!$C$2,CH4_Ent_HP[[#All],[Please select]],0),MATCH(Livestock!B10,CH4_Ent_HP[#Headers],0)),0))),0)</f>
        <v>126</v>
      </c>
      <c r="E10" s="3470">
        <f>IF('4.Grassland'!BD58="",'4.Grassland'!$BC58,'4.Grassland'!BD58)</f>
        <v>126</v>
      </c>
      <c r="F10" s="1152">
        <f>IF('4.Grassland'!BE58="",'4.Grassland'!$BC58,'4.Grassland'!BE58)</f>
        <v>126</v>
      </c>
      <c r="G10" s="3479">
        <f>IF('4.Grassland'!BF58="",'4.Grassland'!$BC58,'4.Grassland'!BF58)</f>
        <v>126</v>
      </c>
      <c r="H10" s="992">
        <f>'4.Grassland'!W58</f>
        <v>0</v>
      </c>
      <c r="I10" s="992">
        <f>'4.Grassland'!X58</f>
        <v>0</v>
      </c>
      <c r="J10" s="1688" t="str">
        <f>VLOOKUP('4.Grassland'!Y58, list!$I$48:$J$50,2,FALSE )</f>
        <v>Linear</v>
      </c>
      <c r="K10" s="992">
        <f>'4.Grassland'!Z58</f>
        <v>100</v>
      </c>
      <c r="L10" s="1688" t="str">
        <f>VLOOKUP('4.Grassland'!AA58, list!$I$48:$J$50,2,FALSE )</f>
        <v>Linear</v>
      </c>
      <c r="V10" s="3468">
        <f t="shared" si="0"/>
        <v>0</v>
      </c>
      <c r="W10" s="1152">
        <f t="shared" si="1"/>
        <v>0</v>
      </c>
      <c r="X10" s="3479">
        <f t="shared" si="2"/>
        <v>352.8</v>
      </c>
      <c r="Y10" s="1246"/>
      <c r="Z10" s="3470">
        <f>MIN($V10,$W10)*time_tot+ABS($W10-$V10)*IF($W10&gt;$V10,time_cap+time*(VLOOKUP($J10,list!$J$48:$K$50,2,0)),time*(1-(VLOOKUP($J10,list!$J$48:$K$50,2,0))))</f>
        <v>0</v>
      </c>
      <c r="AA10" s="1152">
        <f>MIN($V10,$X10)*time_tot+ABS($X10-$V10)*IF($X10&gt;$V10,time_cap+time*(VLOOKUP($L10,list!$J$48:$K$50,2,0)),time*(1-(VLOOKUP($L10,list!$J$48:$K$50,2,0))))</f>
        <v>4410</v>
      </c>
      <c r="AB10" s="1159">
        <f t="shared" si="3"/>
        <v>4410</v>
      </c>
      <c r="AE10" s="992">
        <f>MIN($V10,$W10)*time+ABS($W10-$V10)*IF($W10&gt;$V10,time*(VLOOKUP($J10,list!$J$48:$K$50,2,)),time*(1-(VLOOKUP($J10,list!$J$48:$K$50,2,))))</f>
        <v>0</v>
      </c>
      <c r="AF10" s="992">
        <f>MIN($V10,$X10)*time+ABS($X10-$V10)*IF($X10&gt;$V10,time*(VLOOKUP($L10,list!$J$48:$K$50,2,)),time*(1-(VLOOKUP($L10,list!$J$48:$K$50,2,))))</f>
        <v>882</v>
      </c>
      <c r="AL10" s="1084" t="s">
        <v>870</v>
      </c>
      <c r="AM10" s="2157">
        <f ca="1">SUM(Z90:Z106)+SUM(Z118:Z134)+SUM(Z144:Z160)</f>
        <v>370.99117289732152</v>
      </c>
      <c r="AN10" s="2157">
        <f ca="1">SUM(AA90:AA106)+SUM(AA118:AA134)+SUM(AA144:AA160)</f>
        <v>370.99117289732152</v>
      </c>
      <c r="AO10" s="1246">
        <f ca="1">AN10-AM10</f>
        <v>0</v>
      </c>
      <c r="AQ10" s="1084" t="s">
        <v>870</v>
      </c>
      <c r="AR10" s="2158">
        <f ca="1">SUM(AA90:AA106,AA118:AA134,AA144:AA160)-SUM(Z90:Z106,Z118:Z134,Z144:Z160)</f>
        <v>0</v>
      </c>
      <c r="AS10" s="2158">
        <f ca="1">IF(time=0,0,SUM(AF90:AF100,AF118:AF128,AF144:AF154)-SUM(AE90:AE100,AE118:AE128,AE144:AE154))</f>
        <v>0</v>
      </c>
      <c r="AT10" s="2159">
        <f ca="1">AR10-AS10</f>
        <v>0</v>
      </c>
      <c r="AU10" s="1455"/>
    </row>
    <row r="11" spans="1:47" x14ac:dyDescent="0.15">
      <c r="B11" s="973" t="str">
        <f>'4.Grassland'!I59</f>
        <v>Please select</v>
      </c>
      <c r="C11" s="1688" t="str">
        <f>'4.Grassland'!K59</f>
        <v>Please select</v>
      </c>
      <c r="D11" s="1235">
        <f>IFERROR(IF(C11="Default",INDEX(CH4_Ent_Default[#All],MATCH(Livestock!$C$2,CH4_Ent_Default[[#All],[IPCC Region]],0),MATCH(Livestock!B11,CH4_Ent_Default[#Headers],0)),
IF(C11="Low-Productivity",INDEX(CH4_Ent_LP[#All],MATCH(Livestock!$C$2,CH4_Ent_LP[[#All],[IPCC Region]],0),MATCH(Livestock!B11,CH4_Ent_HP[#Headers],0)),
IF(C11="High-Productivity",INDEX(CH4_Ent_HP[#All],MATCH(Livestock!$C$2,CH4_Ent_HP[[#All],[Please select]],0),MATCH(Livestock!B11,CH4_Ent_HP[#Headers],0)),0))),0)</f>
        <v>0</v>
      </c>
      <c r="E11" s="3470">
        <f>IF('4.Grassland'!BD59="",'4.Grassland'!$BC59,'4.Grassland'!BD59)</f>
        <v>0</v>
      </c>
      <c r="F11" s="1152">
        <f>IF('4.Grassland'!BE59="",'4.Grassland'!$BC59,'4.Grassland'!BE59)</f>
        <v>0</v>
      </c>
      <c r="G11" s="3479">
        <f>IF('4.Grassland'!BF59="",'4.Grassland'!$BC59,'4.Grassland'!BF59)</f>
        <v>0</v>
      </c>
      <c r="H11" s="992">
        <f>'4.Grassland'!W59</f>
        <v>0</v>
      </c>
      <c r="I11" s="992">
        <f>'4.Grassland'!X59</f>
        <v>0</v>
      </c>
      <c r="J11" s="1688" t="str">
        <f>VLOOKUP('4.Grassland'!Y59, list!$I$48:$J$50,2,FALSE )</f>
        <v>Linear</v>
      </c>
      <c r="K11" s="992">
        <f>'4.Grassland'!Z59</f>
        <v>0</v>
      </c>
      <c r="L11" s="1688" t="str">
        <f>VLOOKUP('4.Grassland'!AA59, list!$I$48:$J$50,2,FALSE )</f>
        <v>Linear</v>
      </c>
      <c r="V11" s="3468">
        <f t="shared" si="0"/>
        <v>0</v>
      </c>
      <c r="W11" s="1152">
        <f t="shared" si="1"/>
        <v>0</v>
      </c>
      <c r="X11" s="3479">
        <f t="shared" si="2"/>
        <v>0</v>
      </c>
      <c r="Y11" s="1246"/>
      <c r="Z11" s="3470">
        <f>MIN($V11,$W11)*time_tot+ABS($W11-$V11)*IF($W11&gt;$V11,time_cap+time*(VLOOKUP($J11,list!$J$48:$K$50,2,0)),time*(1-(VLOOKUP($J11,list!$J$48:$K$50,2,0))))</f>
        <v>0</v>
      </c>
      <c r="AA11" s="1152">
        <f>MIN($V11,$X11)*time_tot+ABS($X11-$V11)*IF($X11&gt;$V11,time_cap+time*(VLOOKUP($L11,list!$J$48:$K$50,2,0)),time*(1-(VLOOKUP($L11,list!$J$48:$K$50,2,0))))</f>
        <v>0</v>
      </c>
      <c r="AB11" s="1159">
        <f t="shared" si="3"/>
        <v>0</v>
      </c>
      <c r="AE11" s="992">
        <f>MIN($V11,$W11)*time+ABS($W11-$V11)*IF($W11&gt;$V11,time*(VLOOKUP($J11,list!$J$48:$K$50,2,)),time*(1-(VLOOKUP($J11,list!$J$48:$K$50,2,))))</f>
        <v>0</v>
      </c>
      <c r="AF11" s="992">
        <f>MIN($V11,$X11)*time+ABS($X11-$V11)*IF($X11&gt;$V11,time*(VLOOKUP($L11,list!$J$48:$K$50,2,)),time*(1-(VLOOKUP($L11,list!$J$48:$K$50,2,))))</f>
        <v>0</v>
      </c>
      <c r="AL11" s="2160" t="s">
        <v>871</v>
      </c>
      <c r="AM11" s="3490">
        <f ca="1">SUM(AM9:AM10)</f>
        <v>7757.7206978973209</v>
      </c>
      <c r="AN11" s="3490">
        <f ca="1">SUM(AN9:AN10)</f>
        <v>6962.3811353973215</v>
      </c>
      <c r="AO11" s="1246">
        <f ca="1">AN11-AM11</f>
        <v>-795.33956249999937</v>
      </c>
      <c r="AQ11" s="2160" t="s">
        <v>871</v>
      </c>
      <c r="AR11" s="2161">
        <f ca="1">SUM(AR9:AR10)</f>
        <v>-795.33956250000028</v>
      </c>
      <c r="AS11" s="2161">
        <f ca="1">SUM(AS9:AS10)</f>
        <v>-159.06791249999969</v>
      </c>
      <c r="AT11" s="2161">
        <f ca="1">SUM(AT9:AT10)</f>
        <v>-636.27165000000059</v>
      </c>
      <c r="AU11" s="992"/>
    </row>
    <row r="12" spans="1:47" x14ac:dyDescent="0.15">
      <c r="B12" s="973" t="str">
        <f>'4.Grassland'!I60</f>
        <v>Please select</v>
      </c>
      <c r="C12" s="1688" t="str">
        <f>'4.Grassland'!K60</f>
        <v>Please select</v>
      </c>
      <c r="D12" s="1235">
        <f>IFERROR(IF(C12="Default",INDEX(CH4_Ent_Default[#All],MATCH(Livestock!$C$2,CH4_Ent_Default[[#All],[IPCC Region]],0),MATCH(Livestock!B12,CH4_Ent_Default[#Headers],0)),
IF(C12="Low-Productivity",INDEX(CH4_Ent_LP[#All],MATCH(Livestock!$C$2,CH4_Ent_LP[[#All],[IPCC Region]],0),MATCH(Livestock!B12,CH4_Ent_HP[#Headers],0)),
IF(C12="High-Productivity",INDEX(CH4_Ent_HP[#All],MATCH(Livestock!$C$2,CH4_Ent_HP[[#All],[Please select]],0),MATCH(Livestock!B12,CH4_Ent_HP[#Headers],0)),0))),0)</f>
        <v>0</v>
      </c>
      <c r="E12" s="3470">
        <f>IF('4.Grassland'!BD60="",'4.Grassland'!$BC60,'4.Grassland'!BD60)</f>
        <v>0</v>
      </c>
      <c r="F12" s="1152">
        <f>IF('4.Grassland'!BE60="",'4.Grassland'!$BC60,'4.Grassland'!BE60)</f>
        <v>0</v>
      </c>
      <c r="G12" s="3479">
        <f>IF('4.Grassland'!BF60="",'4.Grassland'!$BC60,'4.Grassland'!BF60)</f>
        <v>0</v>
      </c>
      <c r="H12" s="992">
        <f>'4.Grassland'!W60</f>
        <v>0</v>
      </c>
      <c r="I12" s="992">
        <f>'4.Grassland'!X60</f>
        <v>0</v>
      </c>
      <c r="J12" s="1688" t="str">
        <f>VLOOKUP('4.Grassland'!Y60, list!$I$48:$J$50,2,FALSE )</f>
        <v>Linear</v>
      </c>
      <c r="K12" s="992">
        <f>'4.Grassland'!Z60</f>
        <v>0</v>
      </c>
      <c r="L12" s="1688" t="str">
        <f>VLOOKUP('4.Grassland'!AA60, list!$I$48:$J$50,2,FALSE )</f>
        <v>Linear</v>
      </c>
      <c r="V12" s="3468">
        <f t="shared" si="0"/>
        <v>0</v>
      </c>
      <c r="W12" s="1152">
        <f t="shared" si="1"/>
        <v>0</v>
      </c>
      <c r="X12" s="3479">
        <f t="shared" si="2"/>
        <v>0</v>
      </c>
      <c r="Y12" s="1246"/>
      <c r="Z12" s="3470">
        <f>MIN($V12,$W12)*time_tot+ABS($W12-$V12)*IF($W12&gt;$V12,time_cap+time*(VLOOKUP($J12,list!$J$48:$K$50,2,0)),time*(1-(VLOOKUP($J12,list!$J$48:$K$50,2,0))))</f>
        <v>0</v>
      </c>
      <c r="AA12" s="1152">
        <f>MIN($V12,$X12)*time_tot+ABS($X12-$V12)*IF($X12&gt;$V12,time_cap+time*(VLOOKUP($L12,list!$J$48:$K$50,2,0)),time*(1-(VLOOKUP($L12,list!$J$48:$K$50,2,0))))</f>
        <v>0</v>
      </c>
      <c r="AB12" s="1159">
        <f t="shared" si="3"/>
        <v>0</v>
      </c>
      <c r="AE12" s="992">
        <f>MIN($V12,$W12)*time+ABS($W12-$V12)*IF($W12&gt;$V12,time*(VLOOKUP($J12,list!$J$48:$K$50,2,)),time*(1-(VLOOKUP($J12,list!$J$48:$K$50,2,))))</f>
        <v>0</v>
      </c>
      <c r="AF12" s="992">
        <f>MIN($V12,$X12)*time+ABS($X12-$V12)*IF($X12&gt;$V12,time*(VLOOKUP($L12,list!$J$48:$K$50,2,)),time*(1-(VLOOKUP($L12,list!$J$48:$K$50,2,))))</f>
        <v>0</v>
      </c>
      <c r="AO12" s="1246"/>
    </row>
    <row r="13" spans="1:47" x14ac:dyDescent="0.15">
      <c r="B13" s="973" t="str">
        <f>'4.Grassland'!I61</f>
        <v>Please select</v>
      </c>
      <c r="C13" s="1688" t="str">
        <f>'4.Grassland'!K61</f>
        <v>Please select</v>
      </c>
      <c r="D13" s="1235">
        <f>IFERROR(IF(C13="Default",INDEX(CH4_Ent_Default[#All],MATCH(Livestock!$C$2,CH4_Ent_Default[[#All],[IPCC Region]],0),MATCH(Livestock!B13,CH4_Ent_Default[#Headers],0)),
IF(C13="Low-Productivity",INDEX(CH4_Ent_LP[#All],MATCH(Livestock!$C$2,CH4_Ent_LP[[#All],[IPCC Region]],0),MATCH(Livestock!B13,CH4_Ent_HP[#Headers],0)),
IF(C13="High-Productivity",INDEX(CH4_Ent_HP[#All],MATCH(Livestock!$C$2,CH4_Ent_HP[[#All],[Please select]],0),MATCH(Livestock!B13,CH4_Ent_HP[#Headers],0)),0))),0)</f>
        <v>0</v>
      </c>
      <c r="E13" s="3470">
        <f>IF('4.Grassland'!BD61="",'4.Grassland'!$BC61,'4.Grassland'!BD61)</f>
        <v>0</v>
      </c>
      <c r="F13" s="1152">
        <f>IF('4.Grassland'!BE61="",'4.Grassland'!$BC61,'4.Grassland'!BE61)</f>
        <v>0</v>
      </c>
      <c r="G13" s="3479">
        <f>IF('4.Grassland'!BF61="",'4.Grassland'!$BC61,'4.Grassland'!BF61)</f>
        <v>0</v>
      </c>
      <c r="H13" s="992">
        <f>'4.Grassland'!W61</f>
        <v>0</v>
      </c>
      <c r="I13" s="992">
        <f>'4.Grassland'!X61</f>
        <v>0</v>
      </c>
      <c r="J13" s="1688" t="str">
        <f>VLOOKUP('4.Grassland'!Y61, list!$I$48:$J$50,2,FALSE )</f>
        <v>Linear</v>
      </c>
      <c r="K13" s="992">
        <f>'4.Grassland'!Z61</f>
        <v>0</v>
      </c>
      <c r="L13" s="1688" t="str">
        <f>VLOOKUP('4.Grassland'!AA61, list!$I$48:$J$50,2,FALSE )</f>
        <v>Linear</v>
      </c>
      <c r="V13" s="3468">
        <f t="shared" si="0"/>
        <v>0</v>
      </c>
      <c r="W13" s="1152">
        <f t="shared" si="1"/>
        <v>0</v>
      </c>
      <c r="X13" s="3479">
        <f t="shared" si="2"/>
        <v>0</v>
      </c>
      <c r="Y13" s="1246"/>
      <c r="Z13" s="3470">
        <f>MIN($V13,$W13)*time_tot+ABS($W13-$V13)*IF($W13&gt;$V13,time_cap+time*(VLOOKUP($J13,list!$J$48:$K$50,2,0)),time*(1-(VLOOKUP($J13,list!$J$48:$K$50,2,0))))</f>
        <v>0</v>
      </c>
      <c r="AA13" s="1152">
        <f>MIN($V13,$X13)*time_tot+ABS($X13-$V13)*IF($X13&gt;$V13,time_cap+time*(VLOOKUP($L13,list!$J$48:$K$50,2,0)),time*(1-(VLOOKUP($L13,list!$J$48:$K$50,2,0))))</f>
        <v>0</v>
      </c>
      <c r="AB13" s="1159">
        <f t="shared" si="3"/>
        <v>0</v>
      </c>
      <c r="AE13" s="992">
        <f>MIN($V13,$W13)*time+ABS($W13-$V13)*IF($W13&gt;$V13,time*(VLOOKUP($J13,list!$J$48:$K$50,2,)),time*(1-(VLOOKUP($J13,list!$J$48:$K$50,2,))))</f>
        <v>0</v>
      </c>
      <c r="AF13" s="992">
        <f>MIN($V13,$X13)*time+ABS($X13-$V13)*IF($X13&gt;$V13,time*(VLOOKUP($L13,list!$J$48:$K$50,2,)),time*(1-(VLOOKUP($L13,list!$J$48:$K$50,2,))))</f>
        <v>0</v>
      </c>
      <c r="AL13" s="1469"/>
      <c r="AM13" s="992"/>
      <c r="AN13" s="992"/>
      <c r="AO13" s="1246"/>
    </row>
    <row r="14" spans="1:47" x14ac:dyDescent="0.15">
      <c r="B14" s="973" t="str">
        <f>'4.Grassland'!I62</f>
        <v>Please select</v>
      </c>
      <c r="C14" s="1688" t="str">
        <f>'4.Grassland'!K62</f>
        <v>Please select</v>
      </c>
      <c r="D14" s="1235">
        <f>IFERROR(IF(C14="Default",INDEX(CH4_Ent_Default[#All],MATCH(Livestock!$C$2,CH4_Ent_Default[[#All],[IPCC Region]],0),MATCH(Livestock!B14,CH4_Ent_Default[#Headers],0)),
IF(C14="Low-Productivity",INDEX(CH4_Ent_LP[#All],MATCH(Livestock!$C$2,CH4_Ent_LP[[#All],[IPCC Region]],0),MATCH(Livestock!B14,CH4_Ent_HP[#Headers],0)),
IF(C14="High-Productivity",INDEX(CH4_Ent_HP[#All],MATCH(Livestock!$C$2,CH4_Ent_HP[[#All],[Please select]],0),MATCH(Livestock!B14,CH4_Ent_HP[#Headers],0)),0))),0)</f>
        <v>0</v>
      </c>
      <c r="E14" s="3470">
        <f>IF('4.Grassland'!BD62="",'4.Grassland'!$BC62,'4.Grassland'!BD62)</f>
        <v>0</v>
      </c>
      <c r="F14" s="1152">
        <f>IF('4.Grassland'!BE62="",'4.Grassland'!$BC62,'4.Grassland'!BE62)</f>
        <v>0</v>
      </c>
      <c r="G14" s="3479">
        <f>IF('4.Grassland'!BF62="",'4.Grassland'!$BC62,'4.Grassland'!BF62)</f>
        <v>0</v>
      </c>
      <c r="H14" s="992">
        <f>'4.Grassland'!W62</f>
        <v>0</v>
      </c>
      <c r="I14" s="992">
        <f>'4.Grassland'!X62</f>
        <v>0</v>
      </c>
      <c r="J14" s="1688" t="str">
        <f>VLOOKUP('4.Grassland'!Y62, list!$I$48:$J$50,2,FALSE )</f>
        <v>Linear</v>
      </c>
      <c r="K14" s="992">
        <f>'4.Grassland'!Z62</f>
        <v>0</v>
      </c>
      <c r="L14" s="1688" t="str">
        <f>VLOOKUP('4.Grassland'!AA62, list!$I$48:$J$50,2,FALSE )</f>
        <v>Linear</v>
      </c>
      <c r="V14" s="3468">
        <f t="shared" si="0"/>
        <v>0</v>
      </c>
      <c r="W14" s="1152">
        <f t="shared" si="1"/>
        <v>0</v>
      </c>
      <c r="X14" s="3479">
        <f t="shared" si="2"/>
        <v>0</v>
      </c>
      <c r="Y14" s="1246"/>
      <c r="Z14" s="3470">
        <f>MIN($V14,$W14)*time_tot+ABS($W14-$V14)*IF($W14&gt;$V14,time_cap+time*(VLOOKUP($J14,list!$J$48:$K$50,2,0)),time*(1-(VLOOKUP($J14,list!$J$48:$K$50,2,0))))</f>
        <v>0</v>
      </c>
      <c r="AA14" s="1152">
        <f>MIN($V14,$X14)*time_tot+ABS($X14-$V14)*IF($X14&gt;$V14,time_cap+time*(VLOOKUP($L14,list!$J$48:$K$50,2,0)),time*(1-(VLOOKUP($L14,list!$J$48:$K$50,2,0))))</f>
        <v>0</v>
      </c>
      <c r="AB14" s="1159">
        <f t="shared" si="3"/>
        <v>0</v>
      </c>
      <c r="AE14" s="992">
        <f>MIN($V14,$W14)*time+ABS($W14-$V14)*IF($W14&gt;$V14,time*(VLOOKUP($J14,list!$J$48:$K$50,2,)),time*(1-(VLOOKUP($J14,list!$J$48:$K$50,2,))))</f>
        <v>0</v>
      </c>
      <c r="AF14" s="992">
        <f>MIN($V14,$X14)*time+ABS($X14-$V14)*IF($X14&gt;$V14,time*(VLOOKUP($L14,list!$J$48:$K$50,2,)),time*(1-(VLOOKUP($L14,list!$J$48:$K$50,2,))))</f>
        <v>0</v>
      </c>
      <c r="AO14" s="1246"/>
    </row>
    <row r="15" spans="1:47" x14ac:dyDescent="0.15">
      <c r="B15" s="973" t="str">
        <f>'4.Grassland'!I63</f>
        <v>Please select</v>
      </c>
      <c r="C15" s="1688" t="str">
        <f>'4.Grassland'!K63</f>
        <v>Please select</v>
      </c>
      <c r="D15" s="1235">
        <f>IFERROR(IF(C15="Default",INDEX(CH4_Ent_Default[#All],MATCH(Livestock!$C$2,CH4_Ent_Default[[#All],[IPCC Region]],0),MATCH(Livestock!B15,CH4_Ent_Default[#Headers],0)),
IF(C15="Low-Productivity",INDEX(CH4_Ent_LP[#All],MATCH(Livestock!$C$2,CH4_Ent_LP[[#All],[IPCC Region]],0),MATCH(Livestock!B15,CH4_Ent_HP[#Headers],0)),
IF(C15="High-Productivity",INDEX(CH4_Ent_HP[#All],MATCH(Livestock!$C$2,CH4_Ent_HP[[#All],[Please select]],0),MATCH(Livestock!B15,CH4_Ent_HP[#Headers],0)),0))),0)</f>
        <v>0</v>
      </c>
      <c r="E15" s="3470">
        <f>IF('4.Grassland'!BD63="",'4.Grassland'!$BC63,'4.Grassland'!BD63)</f>
        <v>0</v>
      </c>
      <c r="F15" s="1152">
        <f>IF('4.Grassland'!BE63="",'4.Grassland'!$BC63,'4.Grassland'!BE63)</f>
        <v>0</v>
      </c>
      <c r="G15" s="3479">
        <f>IF('4.Grassland'!BF63="",'4.Grassland'!$BC63,'4.Grassland'!BF63)</f>
        <v>0</v>
      </c>
      <c r="H15" s="992">
        <f>'4.Grassland'!W63</f>
        <v>0</v>
      </c>
      <c r="I15" s="992">
        <f>'4.Grassland'!X63</f>
        <v>0</v>
      </c>
      <c r="J15" s="1688" t="str">
        <f>VLOOKUP('4.Grassland'!Y63, list!$I$48:$J$50,2,FALSE )</f>
        <v>Linear</v>
      </c>
      <c r="K15" s="992">
        <f>'4.Grassland'!Z63</f>
        <v>0</v>
      </c>
      <c r="L15" s="1688" t="str">
        <f>VLOOKUP('4.Grassland'!AA63, list!$I$48:$J$50,2,FALSE )</f>
        <v>Linear</v>
      </c>
      <c r="V15" s="3468">
        <f t="shared" si="0"/>
        <v>0</v>
      </c>
      <c r="W15" s="1152">
        <f t="shared" si="1"/>
        <v>0</v>
      </c>
      <c r="X15" s="3479">
        <f t="shared" si="2"/>
        <v>0</v>
      </c>
      <c r="Y15" s="1246"/>
      <c r="Z15" s="3470">
        <f>MIN($V15,$W15)*time_tot+ABS($W15-$V15)*IF($W15&gt;$V15,time_cap+time*(VLOOKUP($J15,list!$J$48:$K$50,2,0)),time*(1-(VLOOKUP($J15,list!$J$48:$K$50,2,0))))</f>
        <v>0</v>
      </c>
      <c r="AA15" s="1152">
        <f>MIN($V15,$X15)*time_tot+ABS($X15-$V15)*IF($X15&gt;$V15,time_cap+time*(VLOOKUP($L15,list!$J$48:$K$50,2,0)),time*(1-(VLOOKUP($L15,list!$J$48:$K$50,2,0))))</f>
        <v>0</v>
      </c>
      <c r="AB15" s="1159">
        <f t="shared" si="3"/>
        <v>0</v>
      </c>
      <c r="AE15" s="992">
        <f>MIN($V15,$W15)*time+ABS($W15-$V15)*IF($W15&gt;$V15,time*(VLOOKUP($J15,list!$J$48:$K$50,2,)),time*(1-(VLOOKUP($J15,list!$J$48:$K$50,2,))))</f>
        <v>0</v>
      </c>
      <c r="AF15" s="992">
        <f>MIN($V15,$X15)*time+ABS($X15-$V15)*IF($X15&gt;$V15,time*(VLOOKUP($L15,list!$J$48:$K$50,2,)),time*(1-(VLOOKUP($L15,list!$J$48:$K$50,2,))))</f>
        <v>0</v>
      </c>
      <c r="AO15" s="1246"/>
    </row>
    <row r="16" spans="1:47" x14ac:dyDescent="0.15">
      <c r="B16" s="973" t="str">
        <f>'4.Grassland'!I64</f>
        <v>Please select</v>
      </c>
      <c r="C16" s="1688" t="str">
        <f>'4.Grassland'!K64</f>
        <v>Please select</v>
      </c>
      <c r="D16" s="1235">
        <f>IFERROR(IF(C16="Default",INDEX(CH4_Ent_Default[#All],MATCH(Livestock!$C$2,CH4_Ent_Default[[#All],[IPCC Region]],0),MATCH(Livestock!B16,CH4_Ent_Default[#Headers],0)),
IF(C16="Low-Productivity",INDEX(CH4_Ent_LP[#All],MATCH(Livestock!$C$2,CH4_Ent_LP[[#All],[IPCC Region]],0),MATCH(Livestock!B16,CH4_Ent_HP[#Headers],0)),
IF(C16="High-Productivity",INDEX(CH4_Ent_HP[#All],MATCH(Livestock!$C$2,CH4_Ent_HP[[#All],[Please select]],0),MATCH(Livestock!B16,CH4_Ent_HP[#Headers],0)),0))),0)</f>
        <v>0</v>
      </c>
      <c r="E16" s="3470">
        <f>IF('4.Grassland'!BD64="",'4.Grassland'!$BC64,'4.Grassland'!BD64)</f>
        <v>0</v>
      </c>
      <c r="F16" s="1152">
        <f>IF('4.Grassland'!BE64="",'4.Grassland'!$BC64,'4.Grassland'!BE64)</f>
        <v>0</v>
      </c>
      <c r="G16" s="3479">
        <f>IF('4.Grassland'!BF64="",'4.Grassland'!$BC64,'4.Grassland'!BF64)</f>
        <v>0</v>
      </c>
      <c r="H16" s="992">
        <f>'4.Grassland'!W64</f>
        <v>0</v>
      </c>
      <c r="I16" s="992">
        <f>'4.Grassland'!X64</f>
        <v>0</v>
      </c>
      <c r="J16" s="1688" t="str">
        <f>VLOOKUP('4.Grassland'!Y64, list!$I$48:$J$50,2,FALSE )</f>
        <v>Linear</v>
      </c>
      <c r="K16" s="992">
        <f>'4.Grassland'!Z64</f>
        <v>0</v>
      </c>
      <c r="L16" s="1688" t="str">
        <f>VLOOKUP('4.Grassland'!AA64, list!$I$48:$J$50,2,FALSE )</f>
        <v>Linear</v>
      </c>
      <c r="V16" s="3468">
        <f t="shared" si="0"/>
        <v>0</v>
      </c>
      <c r="W16" s="1152">
        <f t="shared" si="1"/>
        <v>0</v>
      </c>
      <c r="X16" s="3479">
        <f t="shared" si="2"/>
        <v>0</v>
      </c>
      <c r="Y16" s="1246"/>
      <c r="Z16" s="3470">
        <f>MIN($V16,$W16)*time_tot+ABS($W16-$V16)*IF($W16&gt;$V16,time_cap+time*(VLOOKUP($J16,list!$J$48:$K$50,2,0)),time*(1-(VLOOKUP($J16,list!$J$48:$K$50,2,0))))</f>
        <v>0</v>
      </c>
      <c r="AA16" s="1152">
        <f>MIN($V16,$X16)*time_tot+ABS($X16-$V16)*IF($X16&gt;$V16,time_cap+time*(VLOOKUP($L16,list!$J$48:$K$50,2,0)),time*(1-(VLOOKUP($L16,list!$J$48:$K$50,2,0))))</f>
        <v>0</v>
      </c>
      <c r="AB16" s="1159">
        <f t="shared" si="3"/>
        <v>0</v>
      </c>
      <c r="AE16" s="992">
        <f>MIN($V16,$W16)*time+ABS($W16-$V16)*IF($W16&gt;$V16,time*(VLOOKUP($J16,list!$J$48:$K$50,2,)),time*(1-(VLOOKUP($J16,list!$J$48:$K$50,2,))))</f>
        <v>0</v>
      </c>
      <c r="AF16" s="992">
        <f>MIN($V16,$X16)*time+ABS($X16-$V16)*IF($X16&gt;$V16,time*(VLOOKUP($L16,list!$J$48:$K$50,2,)),time*(1-(VLOOKUP($L16,list!$J$48:$K$50,2,))))</f>
        <v>0</v>
      </c>
      <c r="AO16" s="1246"/>
    </row>
    <row r="17" spans="2:42" x14ac:dyDescent="0.15">
      <c r="B17" s="973" t="str">
        <f>'4.Grassland'!I65</f>
        <v>Please select</v>
      </c>
      <c r="C17" s="1688" t="str">
        <f>'4.Grassland'!K65</f>
        <v>Please select</v>
      </c>
      <c r="D17" s="1235">
        <f>IFERROR(IF(C17="Default",INDEX(CH4_Ent_Default[#All],MATCH(Livestock!$C$2,CH4_Ent_Default[[#All],[IPCC Region]],0),MATCH(Livestock!B17,CH4_Ent_Default[#Headers],0)),
IF(C17="Low-Productivity",INDEX(CH4_Ent_LP[#All],MATCH(Livestock!$C$2,CH4_Ent_LP[[#All],[IPCC Region]],0),MATCH(Livestock!B17,CH4_Ent_HP[#Headers],0)),
IF(C17="High-Productivity",INDEX(CH4_Ent_HP[#All],MATCH(Livestock!$C$2,CH4_Ent_HP[[#All],[Please select]],0),MATCH(Livestock!B17,CH4_Ent_HP[#Headers],0)),0))),0)</f>
        <v>0</v>
      </c>
      <c r="E17" s="3470">
        <f>IF('4.Grassland'!BD65="",'4.Grassland'!$BC65,'4.Grassland'!BD65)</f>
        <v>0</v>
      </c>
      <c r="F17" s="1152">
        <f>IF('4.Grassland'!BE65="",'4.Grassland'!$BC65,'4.Grassland'!BE65)</f>
        <v>0</v>
      </c>
      <c r="G17" s="3479">
        <f>IF('4.Grassland'!BF65="",'4.Grassland'!$BC65,'4.Grassland'!BF65)</f>
        <v>0</v>
      </c>
      <c r="H17" s="992">
        <f>'4.Grassland'!W65</f>
        <v>0</v>
      </c>
      <c r="I17" s="992">
        <f>'4.Grassland'!X65</f>
        <v>0</v>
      </c>
      <c r="J17" s="1688" t="str">
        <f>VLOOKUP('4.Grassland'!Y65, list!$I$48:$J$50,2,FALSE )</f>
        <v>Linear</v>
      </c>
      <c r="K17" s="992">
        <f>'4.Grassland'!Z65</f>
        <v>0</v>
      </c>
      <c r="L17" s="1688" t="str">
        <f>VLOOKUP('4.Grassland'!AA65, list!$I$48:$J$50,2,FALSE )</f>
        <v>Linear</v>
      </c>
      <c r="V17" s="3468">
        <f t="shared" si="0"/>
        <v>0</v>
      </c>
      <c r="W17" s="1152">
        <f t="shared" si="1"/>
        <v>0</v>
      </c>
      <c r="X17" s="3479">
        <f t="shared" si="2"/>
        <v>0</v>
      </c>
      <c r="Y17" s="1246"/>
      <c r="Z17" s="3470">
        <f>MIN($V17,$W17)*time_tot+ABS($W17-$V17)*IF($W17&gt;$V17,time_cap+time*(VLOOKUP($J17,list!$J$48:$K$50,2,0)),time*(1-(VLOOKUP($J17,list!$J$48:$K$50,2,0))))</f>
        <v>0</v>
      </c>
      <c r="AA17" s="1152">
        <f>MIN($V17,$X17)*time_tot+ABS($X17-$V17)*IF($X17&gt;$V17,time_cap+time*(VLOOKUP($L17,list!$J$48:$K$50,2,0)),time*(1-(VLOOKUP($L17,list!$J$48:$K$50,2,0))))</f>
        <v>0</v>
      </c>
      <c r="AB17" s="1159">
        <f t="shared" si="3"/>
        <v>0</v>
      </c>
      <c r="AE17" s="992">
        <f>MIN($V17,$W17)*time+ABS($W17-$V17)*IF($W17&gt;$V17,time*(VLOOKUP($J17,list!$J$48:$K$50,2,)),time*(1-(VLOOKUP($J17,list!$J$48:$K$50,2,))))</f>
        <v>0</v>
      </c>
      <c r="AF17" s="992">
        <f>MIN($V17,$X17)*time+ABS($X17-$V17)*IF($X17&gt;$V17,time*(VLOOKUP($L17,list!$J$48:$K$50,2,)),time*(1-(VLOOKUP($L17,list!$J$48:$K$50,2,))))</f>
        <v>0</v>
      </c>
      <c r="AO17" s="1246"/>
    </row>
    <row r="18" spans="2:42" x14ac:dyDescent="0.15">
      <c r="B18" s="973" t="str">
        <f>'4.Grassland'!I66</f>
        <v>Please select</v>
      </c>
      <c r="C18" s="1688" t="str">
        <f>'4.Grassland'!K66</f>
        <v>Please select</v>
      </c>
      <c r="D18" s="1235">
        <f>IFERROR(IF(C18="Default",INDEX(CH4_Ent_Default[#All],MATCH(Livestock!$C$2,CH4_Ent_Default[[#All],[IPCC Region]],0),MATCH(Livestock!B18,CH4_Ent_Default[#Headers],0)),
IF(C18="Low-Productivity",INDEX(CH4_Ent_LP[#All],MATCH(Livestock!$C$2,CH4_Ent_LP[[#All],[IPCC Region]],0),MATCH(Livestock!B18,CH4_Ent_HP[#Headers],0)),
IF(C18="High-Productivity",INDEX(CH4_Ent_HP[#All],MATCH(Livestock!$C$2,CH4_Ent_HP[[#All],[Please select]],0),MATCH(Livestock!B18,CH4_Ent_HP[#Headers],0)),0))),0)</f>
        <v>0</v>
      </c>
      <c r="E18" s="3470">
        <f>IF('4.Grassland'!BD66="",'4.Grassland'!$BC66,'4.Grassland'!BD66)</f>
        <v>0</v>
      </c>
      <c r="F18" s="1153">
        <f>IF('4.Grassland'!BE66="",'4.Grassland'!$BC66,'4.Grassland'!BE66)</f>
        <v>0</v>
      </c>
      <c r="G18" s="3480">
        <f>IF('4.Grassland'!BF66="",'4.Grassland'!$BC66,'4.Grassland'!BF66)</f>
        <v>0</v>
      </c>
      <c r="H18" s="992">
        <f>'4.Grassland'!W66</f>
        <v>0</v>
      </c>
      <c r="I18" s="992">
        <f>'4.Grassland'!X66</f>
        <v>0</v>
      </c>
      <c r="J18" s="1688" t="str">
        <f>VLOOKUP('4.Grassland'!Y66, list!$I$48:$J$50,2,FALSE )</f>
        <v>Linear</v>
      </c>
      <c r="K18" s="992">
        <f>'4.Grassland'!Z66</f>
        <v>0</v>
      </c>
      <c r="L18" s="1688" t="str">
        <f>VLOOKUP('4.Grassland'!AA66, list!$I$48:$J$50,2,FALSE )</f>
        <v>Linear</v>
      </c>
      <c r="V18" s="3468">
        <f t="shared" si="0"/>
        <v>0</v>
      </c>
      <c r="W18" s="1153">
        <f t="shared" si="1"/>
        <v>0</v>
      </c>
      <c r="X18" s="3480">
        <f t="shared" si="2"/>
        <v>0</v>
      </c>
      <c r="Y18" s="1246"/>
      <c r="Z18" s="3471">
        <f>MIN($V18,$W18)*time_tot+ABS($W18-$V18)*IF($W18&gt;$V18,time_cap+time*(VLOOKUP($J18,list!$J$48:$K$50,2,0)),time*(1-(VLOOKUP($J18,list!$J$48:$K$50,2,0))))</f>
        <v>0</v>
      </c>
      <c r="AA18" s="1153">
        <f>MIN($V18,$X18)*time_tot+ABS($X18-$V18)*IF($X18&gt;$V18,time_cap+time*(VLOOKUP($L18,list!$J$48:$K$50,2,0)),time*(1-(VLOOKUP($L18,list!$J$48:$K$50,2,0))))</f>
        <v>0</v>
      </c>
      <c r="AB18" s="3474">
        <f>AA18-Z18</f>
        <v>0</v>
      </c>
      <c r="AE18" s="992">
        <f>MIN($V18,$W18)*time+ABS($W18-$V18)*IF($W18&gt;$V18,time*(VLOOKUP($J18,list!$J$48:$K$50,2,)),time*(1-(VLOOKUP($J18,list!$J$48:$K$50,2,))))</f>
        <v>0</v>
      </c>
      <c r="AF18" s="992">
        <f>MIN($V18,$X18)*time+ABS($X18-$V18)*IF($X18&gt;$V18,time*(VLOOKUP($L18,list!$J$48:$K$50,2,)),time*(1-(VLOOKUP($L18,list!$J$48:$K$50,2,))))</f>
        <v>0</v>
      </c>
      <c r="AO18" s="1246"/>
    </row>
    <row r="19" spans="2:42" x14ac:dyDescent="0.15">
      <c r="B19" s="973" t="str">
        <f>'4.Grassland'!I67</f>
        <v>Please select</v>
      </c>
      <c r="C19" s="1688" t="str">
        <f>'4.Grassland'!K67</f>
        <v>Please select</v>
      </c>
      <c r="D19" s="1235">
        <f>IFERROR(IF(C19="Default",INDEX(CH4_Ent_Default[#All],MATCH(Livestock!$C$2,CH4_Ent_Default[[#All],[IPCC Region]],0),MATCH(Livestock!B19,CH4_Ent_Default[#Headers],0)),
IF(C19="Low-Productivity",INDEX(CH4_Ent_LP[#All],MATCH(Livestock!$C$2,CH4_Ent_LP[[#All],[IPCC Region]],0),MATCH(Livestock!B19,CH4_Ent_HP[#Headers],0)),
IF(C19="High-Productivity",INDEX(CH4_Ent_HP[#All],MATCH(Livestock!$C$2,CH4_Ent_HP[[#All],[Please select]],0),MATCH(Livestock!B19,CH4_Ent_HP[#Headers],0)),0))),0)</f>
        <v>0</v>
      </c>
      <c r="E19" s="3470">
        <f>IF('4.Grassland'!BD67="",'4.Grassland'!$BC67,'4.Grassland'!BD67)</f>
        <v>0</v>
      </c>
      <c r="F19" s="1153">
        <f>IF('4.Grassland'!BE67="",'4.Grassland'!$BC67,'4.Grassland'!BE67)</f>
        <v>0</v>
      </c>
      <c r="G19" s="3480">
        <f>IF('4.Grassland'!BF67="",'4.Grassland'!$BC67,'4.Grassland'!BF67)</f>
        <v>0</v>
      </c>
      <c r="H19" s="992">
        <f>'4.Grassland'!W67</f>
        <v>0</v>
      </c>
      <c r="I19" s="992">
        <f>'4.Grassland'!X67</f>
        <v>0</v>
      </c>
      <c r="J19" s="1688" t="str">
        <f>VLOOKUP('4.Grassland'!Y67, list!$I$48:$J$50,2,FALSE )</f>
        <v>Linear</v>
      </c>
      <c r="K19" s="992">
        <f>'4.Grassland'!Z67</f>
        <v>0</v>
      </c>
      <c r="L19" s="1688" t="str">
        <f>VLOOKUP('4.Grassland'!AA67, list!$I$48:$J$50,2,FALSE )</f>
        <v>Linear</v>
      </c>
      <c r="V19" s="3468">
        <f t="shared" si="0"/>
        <v>0</v>
      </c>
      <c r="W19" s="1153">
        <f t="shared" ref="W19:W24" si="4">F19/1000*methane*I19</f>
        <v>0</v>
      </c>
      <c r="X19" s="3480">
        <f t="shared" ref="X19:X24" si="5">G19/1000*methane*K19</f>
        <v>0</v>
      </c>
      <c r="Z19" s="3471">
        <f>MIN($V19,$W19)*time_tot+ABS($W19-$V19)*IF($W19&gt;$V19,time_cap+time*(VLOOKUP($J19,list!$J$48:$K$50,2,0)),time*(1-(VLOOKUP($J19,list!$J$48:$K$50,2,0))))</f>
        <v>0</v>
      </c>
      <c r="AA19" s="1153">
        <f>MIN($V19,$X19)*time_tot+ABS($X19-$V19)*IF($X19&gt;$V19,time_cap+time*(VLOOKUP($L19,list!$J$48:$K$50,2,0)),time*(1-(VLOOKUP($L19,list!$J$48:$K$50,2,0))))</f>
        <v>0</v>
      </c>
      <c r="AB19" s="3474">
        <f t="shared" ref="AB19:AB24" si="6">AA19-Z19</f>
        <v>0</v>
      </c>
    </row>
    <row r="20" spans="2:42" x14ac:dyDescent="0.15">
      <c r="B20" s="973" t="str">
        <f>'4.Grassland'!I68</f>
        <v>Please select</v>
      </c>
      <c r="C20" s="1688" t="str">
        <f>'4.Grassland'!K68</f>
        <v>Please select</v>
      </c>
      <c r="D20" s="1235">
        <f>IFERROR(IF(C20="Default",INDEX(CH4_Ent_Default[#All],MATCH(Livestock!$C$2,CH4_Ent_Default[[#All],[IPCC Region]],0),MATCH(Livestock!B20,CH4_Ent_Default[#Headers],0)),
IF(C20="Low-Productivity",INDEX(CH4_Ent_LP[#All],MATCH(Livestock!$C$2,CH4_Ent_LP[[#All],[IPCC Region]],0),MATCH(Livestock!B20,CH4_Ent_HP[#Headers],0)),
IF(C20="High-Productivity",INDEX(CH4_Ent_HP[#All],MATCH(Livestock!$C$2,CH4_Ent_HP[[#All],[Please select]],0),MATCH(Livestock!B20,CH4_Ent_HP[#Headers],0)),0))),0)</f>
        <v>0</v>
      </c>
      <c r="E20" s="3470">
        <f>IF('4.Grassland'!BD68="",'4.Grassland'!$BC68,'4.Grassland'!BD68)</f>
        <v>0</v>
      </c>
      <c r="F20" s="1153">
        <f>IF('4.Grassland'!BE68="",'4.Grassland'!$BC68,'4.Grassland'!BE68)</f>
        <v>0</v>
      </c>
      <c r="G20" s="3480">
        <f>IF('4.Grassland'!BF68="",'4.Grassland'!$BC68,'4.Grassland'!BF68)</f>
        <v>0</v>
      </c>
      <c r="H20" s="992">
        <f>'4.Grassland'!W68</f>
        <v>0</v>
      </c>
      <c r="I20" s="992">
        <f>'4.Grassland'!X68</f>
        <v>0</v>
      </c>
      <c r="J20" s="1688" t="str">
        <f>VLOOKUP('4.Grassland'!Y68, list!$I$48:$J$50,2,FALSE )</f>
        <v>Linear</v>
      </c>
      <c r="K20" s="992">
        <f>'4.Grassland'!Z68</f>
        <v>0</v>
      </c>
      <c r="L20" s="1688" t="str">
        <f>VLOOKUP('4.Grassland'!AA68, list!$I$48:$J$50,2,FALSE )</f>
        <v>Linear</v>
      </c>
      <c r="V20" s="3468">
        <f t="shared" si="0"/>
        <v>0</v>
      </c>
      <c r="W20" s="1153">
        <f t="shared" si="4"/>
        <v>0</v>
      </c>
      <c r="X20" s="3480">
        <f t="shared" si="5"/>
        <v>0</v>
      </c>
      <c r="Z20" s="3471">
        <f>MIN($V20,$W20)*time_tot+ABS($W20-$V20)*IF($W20&gt;$V20,time_cap+time*(VLOOKUP($J20,list!$J$48:$K$50,2,0)),time*(1-(VLOOKUP($J20,list!$J$48:$K$50,2,0))))</f>
        <v>0</v>
      </c>
      <c r="AA20" s="1153">
        <f>MIN($V20,$X20)*time_tot+ABS($X20-$V20)*IF($X20&gt;$V20,time_cap+time*(VLOOKUP($L20,list!$J$48:$K$50,2,0)),time*(1-(VLOOKUP($L20,list!$J$48:$K$50,2,0))))</f>
        <v>0</v>
      </c>
      <c r="AB20" s="3474">
        <f t="shared" si="6"/>
        <v>0</v>
      </c>
      <c r="AO20" s="1246"/>
      <c r="AP20" s="1246"/>
    </row>
    <row r="21" spans="2:42" x14ac:dyDescent="0.15">
      <c r="B21" s="973" t="str">
        <f>'4.Grassland'!I69</f>
        <v>Please select</v>
      </c>
      <c r="C21" s="1688" t="str">
        <f>'4.Grassland'!K69</f>
        <v>Please select</v>
      </c>
      <c r="D21" s="1235">
        <f>IFERROR(IF(C21="Default",INDEX(CH4_Ent_Default[#All],MATCH(Livestock!$C$2,CH4_Ent_Default[[#All],[IPCC Region]],0),MATCH(Livestock!B21,CH4_Ent_Default[#Headers],0)),
IF(C21="Low-Productivity",INDEX(CH4_Ent_LP[#All],MATCH(Livestock!$C$2,CH4_Ent_LP[[#All],[IPCC Region]],0),MATCH(Livestock!B21,CH4_Ent_HP[#Headers],0)),
IF(C21="High-Productivity",INDEX(CH4_Ent_HP[#All],MATCH(Livestock!$C$2,CH4_Ent_HP[[#All],[Please select]],0),MATCH(Livestock!B21,CH4_Ent_HP[#Headers],0)),0))),0)</f>
        <v>0</v>
      </c>
      <c r="E21" s="3470">
        <f>IF('4.Grassland'!BD69="",'4.Grassland'!$BC69,'4.Grassland'!BD69)</f>
        <v>0</v>
      </c>
      <c r="F21" s="1153">
        <f>IF('4.Grassland'!BE69="",'4.Grassland'!$BC69,'4.Grassland'!BE69)</f>
        <v>0</v>
      </c>
      <c r="G21" s="3480">
        <f>IF('4.Grassland'!BF69="",'4.Grassland'!$BC69,'4.Grassland'!BF69)</f>
        <v>0</v>
      </c>
      <c r="H21" s="992">
        <f>'4.Grassland'!W69</f>
        <v>0</v>
      </c>
      <c r="I21" s="992">
        <f>'4.Grassland'!X69</f>
        <v>0</v>
      </c>
      <c r="J21" s="1688" t="str">
        <f>VLOOKUP('4.Grassland'!Y69, list!$I$48:$J$50,2,FALSE )</f>
        <v>Linear</v>
      </c>
      <c r="K21" s="992">
        <f>'4.Grassland'!Z69</f>
        <v>0</v>
      </c>
      <c r="L21" s="1688" t="str">
        <f>VLOOKUP('4.Grassland'!AA69, list!$I$48:$J$50,2,FALSE )</f>
        <v>Linear</v>
      </c>
      <c r="V21" s="3468">
        <f t="shared" si="0"/>
        <v>0</v>
      </c>
      <c r="W21" s="1153">
        <f t="shared" si="4"/>
        <v>0</v>
      </c>
      <c r="X21" s="3480">
        <f t="shared" si="5"/>
        <v>0</v>
      </c>
      <c r="Z21" s="3471">
        <f>MIN($V21,$W21)*time_tot+ABS($W21-$V21)*IF($W21&gt;$V21,time_cap+time*(VLOOKUP($J21,list!$J$48:$K$50,2,0)),time*(1-(VLOOKUP($J21,list!$J$48:$K$50,2,0))))</f>
        <v>0</v>
      </c>
      <c r="AA21" s="1153">
        <f>MIN($V21,$X21)*time_tot+ABS($X21-$V21)*IF($X21&gt;$V21,time_cap+time*(VLOOKUP($L21,list!$J$48:$K$50,2,0)),time*(1-(VLOOKUP($L21,list!$J$48:$K$50,2,0))))</f>
        <v>0</v>
      </c>
      <c r="AB21" s="3474">
        <f t="shared" si="6"/>
        <v>0</v>
      </c>
      <c r="AO21" s="992"/>
      <c r="AP21" s="1246"/>
    </row>
    <row r="22" spans="2:42" x14ac:dyDescent="0.15">
      <c r="B22" s="973" t="str">
        <f>'4.Grassland'!I70</f>
        <v>Please select</v>
      </c>
      <c r="C22" s="1688" t="str">
        <f>'4.Grassland'!K70</f>
        <v>Please select</v>
      </c>
      <c r="D22" s="1235">
        <f>IFERROR(IF(C22="Default",INDEX(CH4_Ent_Default[#All],MATCH(Livestock!$C$2,CH4_Ent_Default[[#All],[IPCC Region]],0),MATCH(Livestock!B22,CH4_Ent_Default[#Headers],0)),
IF(C22="Low-Productivity",INDEX(CH4_Ent_LP[#All],MATCH(Livestock!$C$2,CH4_Ent_LP[[#All],[IPCC Region]],0),MATCH(Livestock!B22,CH4_Ent_HP[#Headers],0)),
IF(C22="High-Productivity",INDEX(CH4_Ent_HP[#All],MATCH(Livestock!$C$2,CH4_Ent_HP[[#All],[Please select]],0),MATCH(Livestock!B22,CH4_Ent_HP[#Headers],0)),0))),0)</f>
        <v>0</v>
      </c>
      <c r="E22" s="3470">
        <f>IF('4.Grassland'!BD70="",'4.Grassland'!$BC70,'4.Grassland'!BD70)</f>
        <v>0</v>
      </c>
      <c r="F22" s="1153">
        <f>IF('4.Grassland'!BE70="",'4.Grassland'!$BC70,'4.Grassland'!BE70)</f>
        <v>0</v>
      </c>
      <c r="G22" s="3480">
        <f>IF('4.Grassland'!BF70="",'4.Grassland'!$BC70,'4.Grassland'!BF70)</f>
        <v>0</v>
      </c>
      <c r="H22" s="992">
        <f>'4.Grassland'!W70</f>
        <v>0</v>
      </c>
      <c r="I22" s="992">
        <f>'4.Grassland'!X70</f>
        <v>0</v>
      </c>
      <c r="J22" s="1688" t="str">
        <f>VLOOKUP('4.Grassland'!Y70, list!$I$48:$J$50,2,FALSE )</f>
        <v>Linear</v>
      </c>
      <c r="K22" s="992">
        <f>'4.Grassland'!Z70</f>
        <v>0</v>
      </c>
      <c r="L22" s="1688" t="str">
        <f>VLOOKUP('4.Grassland'!AA70, list!$I$48:$J$50,2,FALSE )</f>
        <v>Linear</v>
      </c>
      <c r="V22" s="3468">
        <f t="shared" si="0"/>
        <v>0</v>
      </c>
      <c r="W22" s="1153">
        <f t="shared" si="4"/>
        <v>0</v>
      </c>
      <c r="X22" s="3480">
        <f t="shared" si="5"/>
        <v>0</v>
      </c>
      <c r="Z22" s="3471">
        <f>MIN($V22,$W22)*time_tot+ABS($W22-$V22)*IF($W22&gt;$V22,time_cap+time*(VLOOKUP($J22,list!$J$48:$K$50,2,0)),time*(1-(VLOOKUP($J22,list!$J$48:$K$50,2,0))))</f>
        <v>0</v>
      </c>
      <c r="AA22" s="1153">
        <f>MIN($V22,$X22)*time_tot+ABS($X22-$V22)*IF($X22&gt;$V22,time_cap+time*(VLOOKUP($L22,list!$J$48:$K$50,2,0)),time*(1-(VLOOKUP($L22,list!$J$48:$K$50,2,0))))</f>
        <v>0</v>
      </c>
      <c r="AB22" s="3474">
        <f t="shared" si="6"/>
        <v>0</v>
      </c>
      <c r="AO22" s="992"/>
      <c r="AP22" s="1246"/>
    </row>
    <row r="23" spans="2:42" x14ac:dyDescent="0.15">
      <c r="B23" s="973" t="str">
        <f>'4.Grassland'!I71</f>
        <v>Please select</v>
      </c>
      <c r="C23" s="1688" t="str">
        <f>'4.Grassland'!K71</f>
        <v>Please select</v>
      </c>
      <c r="D23" s="1235">
        <f>IFERROR(IF(C23="Default",INDEX(CH4_Ent_Default[#All],MATCH(Livestock!$C$2,CH4_Ent_Default[[#All],[IPCC Region]],0),MATCH(Livestock!B23,CH4_Ent_Default[#Headers],0)),
IF(C23="Low-Productivity",INDEX(CH4_Ent_LP[#All],MATCH(Livestock!$C$2,CH4_Ent_LP[[#All],[IPCC Region]],0),MATCH(Livestock!B23,CH4_Ent_HP[#Headers],0)),
IF(C23="High-Productivity",INDEX(CH4_Ent_HP[#All],MATCH(Livestock!$C$2,CH4_Ent_HP[[#All],[Please select]],0),MATCH(Livestock!B23,CH4_Ent_HP[#Headers],0)),0))),0)</f>
        <v>0</v>
      </c>
      <c r="E23" s="3470">
        <f>IF('4.Grassland'!BD71="",'4.Grassland'!$BC71,'4.Grassland'!BD71)</f>
        <v>0</v>
      </c>
      <c r="F23" s="1153">
        <f>IF('4.Grassland'!BE71="",'4.Grassland'!$BC71,'4.Grassland'!BE71)</f>
        <v>0</v>
      </c>
      <c r="G23" s="3480">
        <f>IF('4.Grassland'!BF71="",'4.Grassland'!$BC71,'4.Grassland'!BF71)</f>
        <v>0</v>
      </c>
      <c r="H23" s="992">
        <f>'4.Grassland'!W71</f>
        <v>0</v>
      </c>
      <c r="I23" s="992">
        <f>'4.Grassland'!X71</f>
        <v>0</v>
      </c>
      <c r="J23" s="1688" t="str">
        <f>VLOOKUP('4.Grassland'!Y71, list!$I$48:$J$50,2,FALSE )</f>
        <v>Linear</v>
      </c>
      <c r="K23" s="992">
        <f>'4.Grassland'!Z71</f>
        <v>0</v>
      </c>
      <c r="L23" s="1688" t="str">
        <f>VLOOKUP('4.Grassland'!AA71, list!$I$48:$J$50,2,FALSE )</f>
        <v>Linear</v>
      </c>
      <c r="V23" s="3468">
        <f t="shared" si="0"/>
        <v>0</v>
      </c>
      <c r="W23" s="1153">
        <f t="shared" si="4"/>
        <v>0</v>
      </c>
      <c r="X23" s="3480">
        <f t="shared" si="5"/>
        <v>0</v>
      </c>
      <c r="Z23" s="3471">
        <f>MIN($V23,$W23)*time_tot+ABS($W23-$V23)*IF($W23&gt;$V23,time_cap+time*(VLOOKUP($J23,list!$J$48:$K$50,2,0)),time*(1-(VLOOKUP($J23,list!$J$48:$K$50,2,0))))</f>
        <v>0</v>
      </c>
      <c r="AA23" s="1153">
        <f>MIN($V23,$X23)*time_tot+ABS($X23-$V23)*IF($X23&gt;$V23,time_cap+time*(VLOOKUP($L23,list!$J$48:$K$50,2,0)),time*(1-(VLOOKUP($L23,list!$J$48:$K$50,2,0))))</f>
        <v>0</v>
      </c>
      <c r="AB23" s="3474">
        <f t="shared" si="6"/>
        <v>0</v>
      </c>
      <c r="AO23" s="992"/>
      <c r="AP23" s="1246"/>
    </row>
    <row r="24" spans="2:42" x14ac:dyDescent="0.15">
      <c r="B24" s="973" t="str">
        <f>'4.Grassland'!I72</f>
        <v>Please select</v>
      </c>
      <c r="C24" s="1688" t="str">
        <f>'4.Grassland'!K72</f>
        <v>Please select</v>
      </c>
      <c r="D24" s="1235">
        <f>IFERROR(IF(C24="Default",INDEX(CH4_Ent_Default[#All],MATCH(Livestock!$C$2,CH4_Ent_Default[[#All],[IPCC Region]],0),MATCH(Livestock!B24,CH4_Ent_Default[#Headers],0)),
IF(C24="Low-Productivity",INDEX(CH4_Ent_LP[#All],MATCH(Livestock!$C$2,CH4_Ent_LP[[#All],[IPCC Region]],0),MATCH(Livestock!B24,CH4_Ent_HP[#Headers],0)),
IF(C24="High-Productivity",INDEX(CH4_Ent_HP[#All],MATCH(Livestock!$C$2,CH4_Ent_HP[[#All],[Please select]],0),MATCH(Livestock!B24,CH4_Ent_HP[#Headers],0)),0))),0)</f>
        <v>0</v>
      </c>
      <c r="E24" s="3470">
        <f>IF('4.Grassland'!BD72="",'4.Grassland'!$BC72,'4.Grassland'!BD72)</f>
        <v>0</v>
      </c>
      <c r="F24" s="1153">
        <f>IF('4.Grassland'!BE72="",'4.Grassland'!$BC72,'4.Grassland'!BE72)</f>
        <v>0</v>
      </c>
      <c r="G24" s="3480">
        <f>IF('4.Grassland'!BF72="",'4.Grassland'!$BC72,'4.Grassland'!BF72)</f>
        <v>0</v>
      </c>
      <c r="H24" s="992">
        <f>'4.Grassland'!W72</f>
        <v>0</v>
      </c>
      <c r="I24" s="992">
        <f>'4.Grassland'!X72</f>
        <v>0</v>
      </c>
      <c r="J24" s="1688" t="str">
        <f>VLOOKUP('4.Grassland'!Y72, list!$I$48:$J$50,2,FALSE )</f>
        <v>Linear</v>
      </c>
      <c r="K24" s="992">
        <f>'4.Grassland'!Z72</f>
        <v>0</v>
      </c>
      <c r="L24" s="1688" t="str">
        <f>VLOOKUP('4.Grassland'!AA72, list!$I$48:$J$50,2,FALSE )</f>
        <v>Linear</v>
      </c>
      <c r="V24" s="3468">
        <f t="shared" si="0"/>
        <v>0</v>
      </c>
      <c r="W24" s="1153">
        <f t="shared" si="4"/>
        <v>0</v>
      </c>
      <c r="X24" s="3480">
        <f t="shared" si="5"/>
        <v>0</v>
      </c>
      <c r="Z24" s="3471">
        <f>MIN($V24,$W24)*time_tot+ABS($W24-$V24)*IF($W24&gt;$V24,time_cap+time*(VLOOKUP($J24,list!$J$48:$K$50,2,0)),time*(1-(VLOOKUP($J24,list!$J$48:$K$50,2,0))))</f>
        <v>0</v>
      </c>
      <c r="AA24" s="1153">
        <f>MIN($V24,$X24)*time_tot+ABS($X24-$V24)*IF($X24&gt;$V24,time_cap+time*(VLOOKUP($L24,list!$J$48:$K$50,2,0)),time*(1-(VLOOKUP($L24,list!$J$48:$K$50,2,0))))</f>
        <v>0</v>
      </c>
      <c r="AB24" s="3474">
        <f t="shared" si="6"/>
        <v>0</v>
      </c>
      <c r="AO24" s="992"/>
      <c r="AP24" s="1246"/>
    </row>
    <row r="25" spans="2:42" x14ac:dyDescent="0.15">
      <c r="AO25" s="992"/>
      <c r="AP25" s="1246"/>
    </row>
    <row r="26" spans="2:42" x14ac:dyDescent="0.15">
      <c r="AO26" s="992"/>
      <c r="AP26" s="1246"/>
    </row>
    <row r="27" spans="2:42" x14ac:dyDescent="0.15">
      <c r="W27" s="1163"/>
      <c r="X27" s="1654"/>
      <c r="Y27" s="1653" t="s">
        <v>872</v>
      </c>
      <c r="Z27" s="2272">
        <f>SUM(Z8:Z24)</f>
        <v>5292</v>
      </c>
      <c r="AA27" s="2272">
        <f>SUM(AA8:AA24)</f>
        <v>5292</v>
      </c>
      <c r="AB27" s="2272">
        <f>SUM(AB8:AB24)</f>
        <v>0</v>
      </c>
      <c r="AO27" s="992"/>
      <c r="AP27" s="1246"/>
    </row>
    <row r="28" spans="2:42" x14ac:dyDescent="0.15">
      <c r="AO28" s="992"/>
      <c r="AP28" s="1246"/>
    </row>
    <row r="30" spans="2:42" x14ac:dyDescent="0.15">
      <c r="AA30" s="1445" t="s">
        <v>629</v>
      </c>
      <c r="AB30" s="3156">
        <f>SUM('4.Grassland'!BD56:BF66,'4.Grassland'!BN56:BP66,'4.Grassland'!BS56:BU66)</f>
        <v>0</v>
      </c>
    </row>
    <row r="33" spans="1:29" ht="45" customHeight="1" x14ac:dyDescent="0.15">
      <c r="A33" s="2513"/>
      <c r="B33" s="1629" t="s">
        <v>873</v>
      </c>
      <c r="C33" s="2513"/>
      <c r="D33" s="2513"/>
      <c r="E33" s="2513"/>
      <c r="F33" s="2513"/>
      <c r="G33" s="2513"/>
      <c r="H33" s="2513"/>
      <c r="I33" s="2513"/>
      <c r="J33" s="2513"/>
      <c r="K33" s="2513"/>
      <c r="L33" s="2513"/>
      <c r="M33" s="2513"/>
      <c r="N33" s="2513"/>
      <c r="O33" s="2513"/>
      <c r="P33" s="2513"/>
      <c r="Q33" s="2513"/>
      <c r="R33" s="2513"/>
      <c r="S33" s="2513"/>
      <c r="T33" s="2513"/>
      <c r="U33" s="2513"/>
      <c r="V33" s="2513"/>
      <c r="W33" s="2513"/>
      <c r="X33" s="2513"/>
      <c r="Y33" s="2513"/>
      <c r="Z33" s="2513"/>
      <c r="AA33" s="2513"/>
      <c r="AB33" s="2513"/>
      <c r="AC33" s="2513"/>
    </row>
    <row r="34" spans="1:29" x14ac:dyDescent="0.15">
      <c r="B34" s="1644"/>
      <c r="C34" s="1644"/>
      <c r="D34" s="1644"/>
      <c r="E34" s="1644"/>
    </row>
    <row r="35" spans="1:29" x14ac:dyDescent="0.15">
      <c r="B35" s="1644"/>
      <c r="C35" s="1644" t="s">
        <v>874</v>
      </c>
      <c r="D35" s="1644"/>
      <c r="E35" s="1644"/>
      <c r="I35" s="1644" t="s">
        <v>875</v>
      </c>
      <c r="N35" s="1644"/>
      <c r="O35" s="1644" t="s">
        <v>876</v>
      </c>
      <c r="T35" s="1644"/>
      <c r="U35" s="1644" t="s">
        <v>877</v>
      </c>
      <c r="V35" s="1644"/>
      <c r="W35" s="1644"/>
    </row>
    <row r="36" spans="1:29" ht="15" x14ac:dyDescent="0.2">
      <c r="B36" s="1649" t="s">
        <v>862</v>
      </c>
      <c r="C36" s="1649" t="s">
        <v>65</v>
      </c>
      <c r="D36" s="1649" t="s">
        <v>5285</v>
      </c>
      <c r="E36" s="1649" t="s">
        <v>5286</v>
      </c>
      <c r="H36" s="1649" t="s">
        <v>862</v>
      </c>
      <c r="I36" s="1649" t="s">
        <v>65</v>
      </c>
      <c r="J36" s="1649" t="s">
        <v>5285</v>
      </c>
      <c r="K36" s="1649" t="s">
        <v>5286</v>
      </c>
      <c r="N36" s="1649" t="s">
        <v>862</v>
      </c>
      <c r="O36" s="1649" t="s">
        <v>65</v>
      </c>
      <c r="P36" s="1649" t="s">
        <v>5285</v>
      </c>
      <c r="Q36" s="1649" t="s">
        <v>5286</v>
      </c>
      <c r="S36" s="1202"/>
      <c r="T36" s="1649" t="s">
        <v>862</v>
      </c>
      <c r="U36" s="1649" t="s">
        <v>65</v>
      </c>
      <c r="V36" s="1649" t="s">
        <v>5285</v>
      </c>
      <c r="W36" s="1649" t="s">
        <v>5286</v>
      </c>
    </row>
    <row r="37" spans="1:29" x14ac:dyDescent="0.15">
      <c r="B37" s="1667" t="s">
        <v>5278</v>
      </c>
      <c r="C37" s="1644" t="s">
        <v>879</v>
      </c>
      <c r="D37" s="1644" t="s">
        <v>880</v>
      </c>
      <c r="E37" s="1644" t="s">
        <v>879</v>
      </c>
      <c r="H37" s="1667" t="s">
        <v>5278</v>
      </c>
      <c r="I37" s="1644" t="s">
        <v>881</v>
      </c>
      <c r="J37" s="1644" t="s">
        <v>881</v>
      </c>
      <c r="K37" s="1644" t="s">
        <v>881</v>
      </c>
      <c r="N37" s="1667" t="s">
        <v>5278</v>
      </c>
      <c r="O37" s="1644" t="s">
        <v>882</v>
      </c>
      <c r="P37" s="1644" t="s">
        <v>882</v>
      </c>
      <c r="Q37" s="1644" t="s">
        <v>882</v>
      </c>
      <c r="R37" s="1644"/>
      <c r="S37" s="1644"/>
      <c r="T37" s="1667" t="s">
        <v>5278</v>
      </c>
      <c r="U37" s="1644" t="s">
        <v>883</v>
      </c>
      <c r="V37" s="1644" t="s">
        <v>883</v>
      </c>
      <c r="W37" s="1644" t="s">
        <v>883</v>
      </c>
      <c r="X37" s="1644" t="s">
        <v>883</v>
      </c>
    </row>
    <row r="38" spans="1:29" x14ac:dyDescent="0.15">
      <c r="B38" s="1665" t="s">
        <v>5279</v>
      </c>
      <c r="C38" s="1644" t="s">
        <v>884</v>
      </c>
      <c r="D38" s="1644" t="s">
        <v>885</v>
      </c>
      <c r="E38" s="1644" t="s">
        <v>884</v>
      </c>
      <c r="H38" s="1665" t="s">
        <v>5279</v>
      </c>
      <c r="I38" s="1644" t="s">
        <v>886</v>
      </c>
      <c r="J38" s="1644" t="s">
        <v>886</v>
      </c>
      <c r="K38" s="1644" t="s">
        <v>886</v>
      </c>
      <c r="N38" s="1665" t="s">
        <v>5279</v>
      </c>
      <c r="O38" s="1644" t="s">
        <v>882</v>
      </c>
      <c r="P38" s="1644" t="s">
        <v>882</v>
      </c>
      <c r="Q38" s="1644" t="s">
        <v>882</v>
      </c>
      <c r="R38" s="1644"/>
      <c r="S38" s="1041"/>
      <c r="T38" s="1665" t="s">
        <v>5279</v>
      </c>
      <c r="U38" s="1644" t="s">
        <v>887</v>
      </c>
      <c r="V38" s="1644" t="s">
        <v>887</v>
      </c>
      <c r="W38" s="1644" t="s">
        <v>887</v>
      </c>
      <c r="X38" s="1644" t="s">
        <v>887</v>
      </c>
      <c r="Y38" s="1663"/>
      <c r="Z38" s="1669"/>
      <c r="AA38" s="1663"/>
      <c r="AB38" s="1663"/>
      <c r="AC38" s="1662"/>
    </row>
    <row r="39" spans="1:29" x14ac:dyDescent="0.15">
      <c r="B39" s="1665" t="s">
        <v>5280</v>
      </c>
      <c r="C39" s="1644" t="s">
        <v>884</v>
      </c>
      <c r="D39" s="1644" t="s">
        <v>884</v>
      </c>
      <c r="E39" s="1644" t="s">
        <v>884</v>
      </c>
      <c r="H39" s="1665" t="s">
        <v>5280</v>
      </c>
      <c r="I39" s="1644" t="s">
        <v>888</v>
      </c>
      <c r="J39" s="1644" t="s">
        <v>888</v>
      </c>
      <c r="K39" s="1644" t="s">
        <v>888</v>
      </c>
      <c r="N39" s="1665" t="s">
        <v>5280</v>
      </c>
      <c r="O39" s="1644" t="s">
        <v>882</v>
      </c>
      <c r="P39" s="1644" t="s">
        <v>882</v>
      </c>
      <c r="Q39" s="1644" t="s">
        <v>882</v>
      </c>
      <c r="R39" s="1644"/>
      <c r="S39" s="1041"/>
      <c r="T39" s="1665" t="s">
        <v>5280</v>
      </c>
      <c r="U39" s="1644" t="s">
        <v>889</v>
      </c>
      <c r="V39" s="1644" t="s">
        <v>889</v>
      </c>
      <c r="W39" s="1644" t="s">
        <v>889</v>
      </c>
      <c r="X39" s="1644"/>
      <c r="Y39" s="1663"/>
      <c r="Z39" s="1669"/>
      <c r="AA39" s="1663"/>
      <c r="AB39" s="1663"/>
      <c r="AC39" s="1662"/>
    </row>
    <row r="40" spans="1:29" x14ac:dyDescent="0.15">
      <c r="B40" s="1665" t="s">
        <v>5281</v>
      </c>
      <c r="C40" s="1644" t="s">
        <v>884</v>
      </c>
      <c r="D40" s="1644" t="s">
        <v>884</v>
      </c>
      <c r="E40" s="1644" t="s">
        <v>884</v>
      </c>
      <c r="H40" s="1665" t="s">
        <v>5281</v>
      </c>
      <c r="I40" s="1644" t="s">
        <v>890</v>
      </c>
      <c r="J40" s="1644" t="s">
        <v>890</v>
      </c>
      <c r="K40" s="1644" t="s">
        <v>890</v>
      </c>
      <c r="N40" s="1665" t="s">
        <v>5281</v>
      </c>
      <c r="O40" s="1644" t="s">
        <v>882</v>
      </c>
      <c r="P40" s="1644" t="s">
        <v>882</v>
      </c>
      <c r="Q40" s="1644" t="s">
        <v>882</v>
      </c>
      <c r="R40" s="1644"/>
      <c r="S40" s="1041"/>
      <c r="T40" s="1665" t="s">
        <v>5281</v>
      </c>
      <c r="U40" s="1644" t="s">
        <v>889</v>
      </c>
      <c r="V40" s="1644" t="s">
        <v>889</v>
      </c>
      <c r="W40" s="1644" t="s">
        <v>889</v>
      </c>
      <c r="X40" s="1644"/>
      <c r="Y40" s="1663"/>
      <c r="Z40" s="1669"/>
      <c r="AA40" s="1663"/>
      <c r="AB40" s="1663"/>
      <c r="AC40" s="1662"/>
    </row>
    <row r="41" spans="1:29" x14ac:dyDescent="0.15">
      <c r="B41" s="1664" t="s">
        <v>5282</v>
      </c>
      <c r="C41" s="1644" t="s">
        <v>891</v>
      </c>
      <c r="D41" s="1644" t="s">
        <v>892</v>
      </c>
      <c r="E41" s="1644" t="s">
        <v>891</v>
      </c>
      <c r="H41" s="1664" t="s">
        <v>5282</v>
      </c>
      <c r="I41" s="1644" t="s">
        <v>893</v>
      </c>
      <c r="J41" s="1644" t="s">
        <v>893</v>
      </c>
      <c r="K41" s="1644" t="s">
        <v>893</v>
      </c>
      <c r="N41" s="1664" t="s">
        <v>5282</v>
      </c>
      <c r="O41" s="1644" t="s">
        <v>894</v>
      </c>
      <c r="P41" s="1644" t="s">
        <v>894</v>
      </c>
      <c r="Q41" s="1644" t="s">
        <v>894</v>
      </c>
      <c r="S41" s="1041"/>
      <c r="T41" s="1664" t="s">
        <v>5282</v>
      </c>
      <c r="U41" s="1644" t="s">
        <v>889</v>
      </c>
      <c r="V41" s="1644" t="s">
        <v>889</v>
      </c>
      <c r="W41" s="1644" t="s">
        <v>889</v>
      </c>
      <c r="X41" s="1644"/>
      <c r="Y41" s="1663"/>
      <c r="Z41" s="1669"/>
      <c r="AA41" s="1663"/>
      <c r="AB41" s="1663"/>
      <c r="AC41" s="1662"/>
    </row>
    <row r="42" spans="1:29" x14ac:dyDescent="0.15">
      <c r="B42" s="1665" t="s">
        <v>895</v>
      </c>
      <c r="C42" s="1644" t="s">
        <v>891</v>
      </c>
      <c r="D42" s="1644" t="s">
        <v>892</v>
      </c>
      <c r="E42" s="1644" t="s">
        <v>891</v>
      </c>
      <c r="H42" s="1665" t="s">
        <v>895</v>
      </c>
      <c r="I42" s="1644" t="s">
        <v>896</v>
      </c>
      <c r="J42" s="1644" t="s">
        <v>896</v>
      </c>
      <c r="K42" s="1644" t="s">
        <v>896</v>
      </c>
      <c r="N42" s="1665" t="s">
        <v>895</v>
      </c>
      <c r="O42" s="1644" t="s">
        <v>894</v>
      </c>
      <c r="P42" s="1644" t="s">
        <v>894</v>
      </c>
      <c r="Q42" s="1644" t="s">
        <v>894</v>
      </c>
      <c r="S42" s="1041"/>
      <c r="T42" s="1665" t="s">
        <v>895</v>
      </c>
      <c r="U42" s="1644" t="s">
        <v>889</v>
      </c>
      <c r="V42" s="1644" t="s">
        <v>889</v>
      </c>
      <c r="W42" s="1644" t="s">
        <v>889</v>
      </c>
      <c r="X42" s="1644"/>
      <c r="Y42" s="1663"/>
      <c r="Z42" s="1669"/>
      <c r="AA42" s="1663"/>
      <c r="AB42" s="1663"/>
      <c r="AC42" s="1662"/>
    </row>
    <row r="43" spans="1:29" x14ac:dyDescent="0.15">
      <c r="B43" s="1664" t="s">
        <v>5283</v>
      </c>
      <c r="C43" s="1644" t="s">
        <v>897</v>
      </c>
      <c r="D43" s="1644" t="s">
        <v>898</v>
      </c>
      <c r="E43" s="1644" t="s">
        <v>897</v>
      </c>
      <c r="H43" s="1664" t="s">
        <v>5283</v>
      </c>
      <c r="I43" s="1644" t="s">
        <v>899</v>
      </c>
      <c r="J43" s="1644" t="s">
        <v>900</v>
      </c>
      <c r="K43" s="1644" t="s">
        <v>899</v>
      </c>
      <c r="N43" s="1664" t="s">
        <v>5283</v>
      </c>
      <c r="O43" s="1644" t="s">
        <v>882</v>
      </c>
      <c r="P43" s="1644" t="s">
        <v>882</v>
      </c>
      <c r="Q43" s="1644" t="s">
        <v>882</v>
      </c>
      <c r="S43" s="1041"/>
      <c r="T43" s="1664" t="s">
        <v>5283</v>
      </c>
      <c r="U43" s="1644" t="s">
        <v>901</v>
      </c>
      <c r="V43" s="1644" t="s">
        <v>901</v>
      </c>
      <c r="W43" s="1644" t="s">
        <v>901</v>
      </c>
      <c r="X43" s="1644" t="s">
        <v>901</v>
      </c>
      <c r="Y43" s="1663"/>
      <c r="Z43" s="1669"/>
      <c r="AA43" s="1663"/>
      <c r="AB43" s="1663"/>
      <c r="AC43" s="1662"/>
    </row>
    <row r="44" spans="1:29" ht="16.5" customHeight="1" x14ac:dyDescent="0.15">
      <c r="B44" s="1665" t="s">
        <v>5284</v>
      </c>
      <c r="C44" s="1644" t="s">
        <v>897</v>
      </c>
      <c r="D44" s="1644" t="s">
        <v>898</v>
      </c>
      <c r="E44" s="1644" t="s">
        <v>897</v>
      </c>
      <c r="H44" s="1665" t="s">
        <v>5284</v>
      </c>
      <c r="I44" s="1644" t="s">
        <v>902</v>
      </c>
      <c r="J44" s="1644" t="s">
        <v>903</v>
      </c>
      <c r="K44" s="1644" t="s">
        <v>902</v>
      </c>
      <c r="N44" s="1665" t="s">
        <v>5284</v>
      </c>
      <c r="O44" s="1644" t="s">
        <v>882</v>
      </c>
      <c r="P44" s="1644" t="s">
        <v>882</v>
      </c>
      <c r="Q44" s="1644" t="s">
        <v>882</v>
      </c>
      <c r="S44" s="1041"/>
      <c r="T44" s="1665" t="s">
        <v>5284</v>
      </c>
      <c r="U44" s="1644" t="s">
        <v>901</v>
      </c>
      <c r="V44" s="1644" t="s">
        <v>901</v>
      </c>
      <c r="W44" s="1644" t="s">
        <v>901</v>
      </c>
      <c r="X44" s="1644" t="s">
        <v>901</v>
      </c>
      <c r="Y44" s="1663"/>
      <c r="Z44" s="1669"/>
      <c r="AA44" s="1663"/>
      <c r="AB44" s="1663"/>
      <c r="AC44" s="1662"/>
    </row>
    <row r="45" spans="1:29" x14ac:dyDescent="0.15">
      <c r="B45" s="1665" t="s">
        <v>904</v>
      </c>
      <c r="C45" s="1644" t="s">
        <v>905</v>
      </c>
      <c r="D45" s="1644" t="s">
        <v>906</v>
      </c>
      <c r="E45" s="1644" t="s">
        <v>905</v>
      </c>
      <c r="H45" s="1665" t="s">
        <v>904</v>
      </c>
      <c r="I45" s="1644" t="s">
        <v>907</v>
      </c>
      <c r="J45" s="1644" t="s">
        <v>907</v>
      </c>
      <c r="K45" s="1644" t="s">
        <v>907</v>
      </c>
      <c r="N45" s="1665" t="s">
        <v>904</v>
      </c>
      <c r="O45" s="1644" t="s">
        <v>894</v>
      </c>
      <c r="P45" s="1644" t="s">
        <v>894</v>
      </c>
      <c r="Q45" s="1644" t="s">
        <v>894</v>
      </c>
      <c r="S45" s="1041"/>
      <c r="T45" s="1665" t="s">
        <v>904</v>
      </c>
      <c r="U45" s="1644" t="s">
        <v>889</v>
      </c>
      <c r="V45" s="1644" t="s">
        <v>889</v>
      </c>
      <c r="W45" s="1644" t="s">
        <v>889</v>
      </c>
      <c r="X45" s="1644"/>
      <c r="Y45" s="1663"/>
      <c r="Z45" s="1669"/>
      <c r="AA45" s="1663"/>
      <c r="AB45" s="1663"/>
      <c r="AC45" s="1662"/>
    </row>
    <row r="46" spans="1:29" x14ac:dyDescent="0.15">
      <c r="B46" s="1665" t="s">
        <v>908</v>
      </c>
      <c r="C46" s="1644" t="s">
        <v>909</v>
      </c>
      <c r="D46" s="1644" t="s">
        <v>910</v>
      </c>
      <c r="E46" s="1644" t="s">
        <v>909</v>
      </c>
      <c r="H46" s="1665" t="s">
        <v>908</v>
      </c>
      <c r="I46" s="1647" t="s">
        <v>911</v>
      </c>
      <c r="J46" s="1647" t="s">
        <v>911</v>
      </c>
      <c r="K46" s="1647" t="s">
        <v>911</v>
      </c>
      <c r="N46" s="1665" t="s">
        <v>908</v>
      </c>
      <c r="O46" s="1644" t="s">
        <v>894</v>
      </c>
      <c r="P46" s="1644" t="s">
        <v>894</v>
      </c>
      <c r="Q46" s="1644" t="s">
        <v>894</v>
      </c>
      <c r="S46" s="1041"/>
      <c r="T46" s="1665" t="s">
        <v>908</v>
      </c>
      <c r="U46" s="1644" t="s">
        <v>889</v>
      </c>
      <c r="V46" s="1644" t="s">
        <v>889</v>
      </c>
      <c r="W46" s="1644" t="s">
        <v>889</v>
      </c>
      <c r="X46" s="1644"/>
      <c r="Y46" s="1663"/>
      <c r="Z46" s="1669"/>
      <c r="AA46" s="1663"/>
      <c r="AB46" s="1663"/>
      <c r="AC46" s="1662"/>
    </row>
    <row r="47" spans="1:29" x14ac:dyDescent="0.15">
      <c r="B47" s="1665" t="s">
        <v>912</v>
      </c>
      <c r="C47" s="1644" t="s">
        <v>913</v>
      </c>
      <c r="D47" s="1644" t="s">
        <v>914</v>
      </c>
      <c r="E47" s="1644" t="s">
        <v>913</v>
      </c>
      <c r="H47" s="1665" t="s">
        <v>912</v>
      </c>
      <c r="I47" s="1647" t="s">
        <v>911</v>
      </c>
      <c r="J47" s="1647" t="s">
        <v>911</v>
      </c>
      <c r="K47" s="1647" t="s">
        <v>911</v>
      </c>
      <c r="N47" s="1665" t="s">
        <v>912</v>
      </c>
      <c r="O47" s="1644" t="s">
        <v>894</v>
      </c>
      <c r="P47" s="1644" t="s">
        <v>894</v>
      </c>
      <c r="Q47" s="1644" t="s">
        <v>894</v>
      </c>
      <c r="S47" s="1041"/>
      <c r="T47" s="1665" t="s">
        <v>912</v>
      </c>
      <c r="U47" s="1644" t="s">
        <v>889</v>
      </c>
      <c r="V47" s="1644" t="s">
        <v>889</v>
      </c>
      <c r="W47" s="1644" t="s">
        <v>889</v>
      </c>
      <c r="X47" s="1644"/>
      <c r="Y47" s="1663"/>
      <c r="Z47" s="1669"/>
      <c r="AA47" s="1663"/>
      <c r="AB47" s="1663"/>
      <c r="AC47" s="1662"/>
    </row>
    <row r="48" spans="1:29" ht="26" x14ac:dyDescent="0.15">
      <c r="B48" s="1665" t="s">
        <v>915</v>
      </c>
      <c r="C48" s="1644" t="s">
        <v>916</v>
      </c>
      <c r="D48" s="1644" t="s">
        <v>917</v>
      </c>
      <c r="E48" s="1644" t="s">
        <v>916</v>
      </c>
      <c r="H48" s="1665" t="s">
        <v>915</v>
      </c>
      <c r="I48" s="1647" t="s">
        <v>911</v>
      </c>
      <c r="J48" s="1647" t="s">
        <v>911</v>
      </c>
      <c r="K48" s="1647" t="s">
        <v>911</v>
      </c>
      <c r="N48" s="1665" t="s">
        <v>915</v>
      </c>
      <c r="O48" s="1644" t="s">
        <v>894</v>
      </c>
      <c r="P48" s="1644" t="s">
        <v>894</v>
      </c>
      <c r="Q48" s="1644" t="s">
        <v>894</v>
      </c>
      <c r="S48" s="1041"/>
      <c r="T48" s="1665" t="s">
        <v>915</v>
      </c>
      <c r="U48" s="1644" t="s">
        <v>889</v>
      </c>
      <c r="V48" s="1644" t="s">
        <v>889</v>
      </c>
      <c r="W48" s="1644" t="s">
        <v>889</v>
      </c>
      <c r="X48" s="1644"/>
      <c r="Y48" s="1663"/>
      <c r="Z48" s="1669"/>
      <c r="AA48" s="1663"/>
      <c r="AB48" s="1663"/>
      <c r="AC48" s="1662"/>
    </row>
    <row r="49" spans="2:32" x14ac:dyDescent="0.15">
      <c r="B49" s="1668" t="s">
        <v>918</v>
      </c>
      <c r="C49" s="1651"/>
      <c r="D49" s="1651"/>
      <c r="E49" s="1651"/>
      <c r="F49" s="973" t="s">
        <v>919</v>
      </c>
      <c r="H49" s="1665" t="s">
        <v>918</v>
      </c>
      <c r="I49" s="1644" t="s">
        <v>920</v>
      </c>
      <c r="J49" s="1644" t="s">
        <v>920</v>
      </c>
      <c r="K49" s="1644" t="s">
        <v>920</v>
      </c>
      <c r="N49" s="1665" t="s">
        <v>918</v>
      </c>
      <c r="O49" s="1644" t="s">
        <v>894</v>
      </c>
      <c r="P49" s="1644" t="s">
        <v>894</v>
      </c>
      <c r="Q49" s="1644" t="s">
        <v>894</v>
      </c>
      <c r="S49" s="1644"/>
      <c r="T49" s="1665" t="s">
        <v>918</v>
      </c>
      <c r="U49" s="1644" t="s">
        <v>889</v>
      </c>
      <c r="V49" s="1644" t="s">
        <v>889</v>
      </c>
      <c r="W49" s="1644" t="s">
        <v>889</v>
      </c>
      <c r="X49" s="1644"/>
    </row>
    <row r="50" spans="2:32" x14ac:dyDescent="0.15">
      <c r="B50" s="1668" t="s">
        <v>921</v>
      </c>
      <c r="C50" s="1651"/>
      <c r="D50" s="1651"/>
      <c r="E50" s="1651"/>
      <c r="F50" s="973" t="s">
        <v>919</v>
      </c>
      <c r="H50" s="1665" t="s">
        <v>921</v>
      </c>
      <c r="I50" s="1644" t="s">
        <v>922</v>
      </c>
      <c r="J50" s="1644" t="s">
        <v>922</v>
      </c>
      <c r="K50" s="1644" t="s">
        <v>922</v>
      </c>
      <c r="N50" s="1665" t="s">
        <v>921</v>
      </c>
      <c r="O50" s="1644" t="s">
        <v>894</v>
      </c>
      <c r="P50" s="1644" t="s">
        <v>894</v>
      </c>
      <c r="Q50" s="1644" t="s">
        <v>894</v>
      </c>
      <c r="S50" s="1644"/>
      <c r="T50" s="1665" t="s">
        <v>921</v>
      </c>
      <c r="U50" s="1644" t="s">
        <v>889</v>
      </c>
      <c r="V50" s="1644" t="s">
        <v>889</v>
      </c>
      <c r="W50" s="1644" t="s">
        <v>889</v>
      </c>
      <c r="X50" s="1644"/>
    </row>
    <row r="51" spans="2:32" x14ac:dyDescent="0.15">
      <c r="B51" s="1644" t="s">
        <v>923</v>
      </c>
      <c r="C51" s="1644" t="s">
        <v>924</v>
      </c>
      <c r="D51" s="1644" t="s">
        <v>925</v>
      </c>
      <c r="E51" s="1644" t="s">
        <v>924</v>
      </c>
      <c r="H51" s="1644" t="s">
        <v>923</v>
      </c>
      <c r="I51" s="1644" t="s">
        <v>926</v>
      </c>
      <c r="J51" s="1644" t="s">
        <v>926</v>
      </c>
      <c r="K51" s="1644" t="s">
        <v>926</v>
      </c>
      <c r="N51" s="1644" t="s">
        <v>923</v>
      </c>
      <c r="O51" s="1644" t="s">
        <v>882</v>
      </c>
      <c r="P51" s="1644" t="s">
        <v>882</v>
      </c>
      <c r="Q51" s="1644" t="s">
        <v>882</v>
      </c>
      <c r="S51" s="1644"/>
      <c r="T51" s="1644" t="s">
        <v>923</v>
      </c>
      <c r="U51" s="1644" t="s">
        <v>889</v>
      </c>
      <c r="V51" s="1644" t="s">
        <v>889</v>
      </c>
      <c r="W51" s="1644" t="s">
        <v>889</v>
      </c>
      <c r="X51" s="1644"/>
    </row>
    <row r="52" spans="2:32" ht="26" x14ac:dyDescent="0.15">
      <c r="B52" s="1665" t="s">
        <v>927</v>
      </c>
      <c r="C52" s="1644" t="s">
        <v>924</v>
      </c>
      <c r="D52" s="1644" t="s">
        <v>925</v>
      </c>
      <c r="E52" s="1644" t="s">
        <v>924</v>
      </c>
      <c r="H52" s="1665" t="s">
        <v>927</v>
      </c>
      <c r="I52" s="1644" t="s">
        <v>928</v>
      </c>
      <c r="J52" s="1644" t="s">
        <v>929</v>
      </c>
      <c r="K52" s="1644" t="s">
        <v>928</v>
      </c>
      <c r="N52" s="1665" t="s">
        <v>927</v>
      </c>
      <c r="O52" s="1644" t="s">
        <v>882</v>
      </c>
      <c r="P52" s="1644" t="s">
        <v>882</v>
      </c>
      <c r="Q52" s="1644" t="s">
        <v>882</v>
      </c>
      <c r="S52" s="1644"/>
      <c r="T52" s="1665" t="s">
        <v>927</v>
      </c>
      <c r="U52" s="1644" t="s">
        <v>889</v>
      </c>
      <c r="V52" s="1644" t="s">
        <v>889</v>
      </c>
      <c r="W52" s="1644" t="s">
        <v>889</v>
      </c>
      <c r="X52" s="1644"/>
    </row>
    <row r="53" spans="2:32" ht="26" x14ac:dyDescent="0.15">
      <c r="B53" s="1665" t="s">
        <v>930</v>
      </c>
      <c r="C53" s="1644"/>
      <c r="D53" s="1644"/>
      <c r="E53" s="1644"/>
      <c r="H53" s="1665" t="s">
        <v>930</v>
      </c>
      <c r="I53" s="1647" t="s">
        <v>911</v>
      </c>
      <c r="J53" s="1647" t="s">
        <v>911</v>
      </c>
      <c r="K53" s="1647" t="s">
        <v>911</v>
      </c>
      <c r="N53" s="1665" t="s">
        <v>930</v>
      </c>
      <c r="O53" s="1644" t="s">
        <v>894</v>
      </c>
      <c r="P53" s="1644" t="s">
        <v>894</v>
      </c>
      <c r="Q53" s="1644" t="s">
        <v>894</v>
      </c>
      <c r="S53" s="1644"/>
      <c r="T53" s="1665" t="s">
        <v>930</v>
      </c>
      <c r="U53" s="1644" t="s">
        <v>889</v>
      </c>
      <c r="V53" s="1644" t="s">
        <v>889</v>
      </c>
      <c r="W53" s="1644" t="s">
        <v>889</v>
      </c>
      <c r="X53" s="1644"/>
    </row>
    <row r="54" spans="2:32" ht="26" x14ac:dyDescent="0.15">
      <c r="B54" s="1666" t="s">
        <v>931</v>
      </c>
      <c r="C54" s="1645"/>
      <c r="D54" s="1645"/>
      <c r="E54" s="1645"/>
      <c r="H54" s="1666" t="s">
        <v>931</v>
      </c>
      <c r="I54" s="3464"/>
      <c r="J54" s="1645"/>
      <c r="K54" s="1645"/>
      <c r="N54" s="1666" t="s">
        <v>931</v>
      </c>
      <c r="S54" s="1644"/>
      <c r="T54" s="1666" t="s">
        <v>931</v>
      </c>
      <c r="U54" s="1645"/>
      <c r="V54" s="1645"/>
      <c r="W54" s="1645"/>
    </row>
    <row r="55" spans="2:32" x14ac:dyDescent="0.15">
      <c r="B55" s="1650"/>
      <c r="C55" s="1644"/>
      <c r="D55" s="1644"/>
      <c r="E55" s="1644"/>
      <c r="H55" s="1650"/>
      <c r="J55" s="1644"/>
      <c r="K55" s="1644"/>
      <c r="N55" s="1650"/>
      <c r="O55" s="1644"/>
      <c r="P55" s="1644"/>
      <c r="Q55" s="1644"/>
      <c r="S55" s="1644"/>
    </row>
    <row r="56" spans="2:32" x14ac:dyDescent="0.15">
      <c r="B56" s="1650"/>
      <c r="C56" s="1644"/>
      <c r="D56" s="1644"/>
      <c r="E56" s="1644"/>
      <c r="H56" s="1650"/>
      <c r="I56" s="1644"/>
      <c r="J56" s="1644"/>
      <c r="Q56" s="1662"/>
      <c r="R56" s="2164"/>
      <c r="S56" s="1663"/>
      <c r="T56" s="1663"/>
    </row>
    <row r="58" spans="2:32" x14ac:dyDescent="0.15">
      <c r="G58" s="3464"/>
      <c r="H58" s="4286" t="s">
        <v>932</v>
      </c>
      <c r="M58" s="4567" t="s">
        <v>933</v>
      </c>
      <c r="N58" s="4567"/>
      <c r="O58" s="4567"/>
    </row>
    <row r="59" spans="2:32" x14ac:dyDescent="0.15">
      <c r="G59" s="1576" t="s">
        <v>934</v>
      </c>
      <c r="H59" s="1281" t="s">
        <v>935</v>
      </c>
      <c r="I59" s="1281" t="s">
        <v>787</v>
      </c>
      <c r="L59" s="1659"/>
      <c r="M59" s="1659"/>
      <c r="N59" s="1671" t="s">
        <v>936</v>
      </c>
      <c r="O59" s="1644"/>
      <c r="P59" s="1644" t="s">
        <v>937</v>
      </c>
      <c r="Q59" s="1664" t="s">
        <v>938</v>
      </c>
      <c r="V59" s="2163" t="s">
        <v>939</v>
      </c>
      <c r="W59" s="3464"/>
      <c r="X59" s="3464"/>
      <c r="Z59" s="1281" t="s">
        <v>857</v>
      </c>
    </row>
    <row r="60" spans="2:32" ht="16" x14ac:dyDescent="0.2">
      <c r="G60" s="1661" t="s">
        <v>196</v>
      </c>
      <c r="H60" s="1660" t="s">
        <v>940</v>
      </c>
      <c r="I60" s="2163" t="str">
        <f>AWMS_Dairy_Cattle[[#Headers],[Pasture/Range/Paddock]]</f>
        <v>Pasture/Range/Paddock</v>
      </c>
      <c r="J60" s="3464"/>
      <c r="K60" s="3477"/>
      <c r="L60" s="3477"/>
      <c r="M60" s="4287" t="s">
        <v>941</v>
      </c>
      <c r="N60" s="2163" t="s">
        <v>796</v>
      </c>
      <c r="O60" s="2163"/>
      <c r="P60" s="2163" t="s">
        <v>796</v>
      </c>
      <c r="Q60" s="2163"/>
      <c r="R60" s="2163"/>
      <c r="S60" s="2163"/>
      <c r="T60" s="3464"/>
      <c r="V60" s="1281" t="s">
        <v>599</v>
      </c>
      <c r="W60" s="1100"/>
      <c r="X60" s="1101"/>
      <c r="Z60" s="1270"/>
      <c r="AA60" s="1116"/>
      <c r="AB60" s="1116"/>
      <c r="AE60" s="973" t="s">
        <v>859</v>
      </c>
    </row>
    <row r="61" spans="2:32" ht="16" x14ac:dyDescent="0.2">
      <c r="B61" s="2163" t="s">
        <v>862</v>
      </c>
      <c r="C61" s="2163" t="s">
        <v>863</v>
      </c>
      <c r="D61" s="2163"/>
      <c r="E61" s="1652" t="s">
        <v>942</v>
      </c>
      <c r="F61" s="1652" t="s">
        <v>943</v>
      </c>
      <c r="G61" s="1688" t="s">
        <v>864</v>
      </c>
      <c r="H61" s="1688" t="s">
        <v>864</v>
      </c>
      <c r="I61" s="1688" t="s">
        <v>864</v>
      </c>
      <c r="J61" s="1688" t="s">
        <v>199</v>
      </c>
      <c r="K61" s="1688" t="s">
        <v>200</v>
      </c>
      <c r="L61" s="1688" t="s">
        <v>201</v>
      </c>
      <c r="M61" s="1688"/>
      <c r="N61" s="1688" t="s">
        <v>864</v>
      </c>
      <c r="O61" s="1300" t="s">
        <v>66</v>
      </c>
      <c r="P61" s="1688" t="s">
        <v>864</v>
      </c>
      <c r="Q61" s="1688" t="s">
        <v>864</v>
      </c>
      <c r="R61" s="1688" t="s">
        <v>199</v>
      </c>
      <c r="S61" s="1688" t="s">
        <v>200</v>
      </c>
      <c r="T61" s="1688" t="s">
        <v>201</v>
      </c>
      <c r="V61" s="1688" t="s">
        <v>199</v>
      </c>
      <c r="W61" s="1102" t="s">
        <v>865</v>
      </c>
      <c r="X61" s="1103" t="s">
        <v>201</v>
      </c>
      <c r="Z61" s="1521" t="s">
        <v>865</v>
      </c>
      <c r="AA61" s="1101" t="s">
        <v>201</v>
      </c>
      <c r="AB61" s="1116" t="s">
        <v>324</v>
      </c>
      <c r="AE61" s="1102" t="s">
        <v>200</v>
      </c>
      <c r="AF61" s="1103" t="s">
        <v>201</v>
      </c>
    </row>
    <row r="62" spans="2:32" x14ac:dyDescent="0.15">
      <c r="B62" s="973" t="str">
        <f t="shared" ref="B62:C78" si="7">B8</f>
        <v>Dairy Cattle</v>
      </c>
      <c r="C62" s="973" t="str">
        <f t="shared" si="7"/>
        <v>High-Productivity</v>
      </c>
      <c r="E62" s="1109" t="str">
        <f t="shared" ref="E62:E72" si="8">IF(B62="Please select","",IF(AND(OR($C$2="North America",$C$2="Western Europe",$C$2="Eastern Europe",$C$2="Oceania"),(C62="Default")),VLOOKUP($B62,$B$36:$E$54,4,FALSE),INDEX($B$36:$E$54,MATCH($B62,$B$36:$B$54,0),MATCH($C62,$B$36:$E$36,0))))</f>
        <v>CH4_man_Dairy_Cattle_HP</v>
      </c>
      <c r="F62" s="1109" t="str">
        <f t="shared" ref="F62:F72" si="9">IF(B62="Please select","",IF(AND(OR($C$2="North America",$C$2="Western Europe",$C$2="Eastern Europe",$C$2="Oceania"),(C62="Default")),VLOOKUP($B62,$H$36:$K$54,4,FALSE),INDEX($H$36:$K$54,MATCH($B62,$H$36:$H$54,0),MATCH($C62,$H$36:$K$36,0))))</f>
        <v>AWMS_Dairy_Cattle</v>
      </c>
      <c r="G62" s="1111">
        <f>IF(B62="Please select",0,(IF(C62="Default",INDEX(TAM_Default[#All],MATCH(Livestock!$C$2,TAM_Default[[#All],[Please select]],0),MATCH(Livestock!B62,TAM_Default[#Headers],0)),
IF(C62="Low-Productivity",INDEX(TAM_LP[#All],MATCH(Livestock!$C$2,TAM_LP[[#All],[Please select]],0),MATCH(Livestock!B62,TAM_LP[#Headers],0)),
IF(C62="High-Productivity",INDEX(TAM_HP[#All],MATCH(Livestock!$C$2,TAM_HP[[#All],[Please select]],0),MATCH(Livestock!B62,TAM_HP[#Headers],0)),0)))))</f>
        <v>600</v>
      </c>
      <c r="H62" s="1235">
        <f>IF(B62="Please select",0,(IF(C62="Default",INDEX(VS_rate_Default[#All],MATCH(Livestock!$C$2,VS_rate_Default[[#All],[Please select]],0),MATCH(Livestock!B62,VS_rate_Default[#Headers],0)),
IF(C62="Low-Productivity",INDEX(VS_rate_LP[#All],MATCH(Livestock!$C$2,VS_rate_LP[[#All],[Please select]],0),MATCH(Livestock!B62,VS_rate_HP[#Headers],0)),
IF(C62="High-Productivity",INDEX(VS_rate_HP[#All],MATCH(Livestock!$C$2,VS_rate_HP[[#All],[Please select]],0),MATCH(Livestock!B62,VS_rate_HP[#Headers],0)),0)))))</f>
        <v>7.5</v>
      </c>
      <c r="I62" s="1110">
        <f ca="1">IF(B62="Please select",0,(INDEX(INDIRECT(VLOOKUP(F62,list!$B$288:$D$310,1,FALSE)),MATCH(Livestock!$C$2,(INDIRECT(VLOOKUP(F62,list!$B$288:$D$310,2,FALSE))),0),MATCH('4.Grassland'!$BH$53,(INDIRECT(VLOOKUP(F62,list!$B$288:$D$310,3,FALSE))),0))))</f>
        <v>26</v>
      </c>
      <c r="J62" s="1104">
        <f ca="1">IF('4.Grassland'!BI56="",Livestock!$I62,'4.Grassland'!BI56*100)</f>
        <v>26</v>
      </c>
      <c r="K62" s="1104">
        <f ca="1">IF('4.Grassland'!BJ56="",Livestock!$I62,'4.Grassland'!BJ56*100)</f>
        <v>26</v>
      </c>
      <c r="L62" s="1104">
        <f ca="1">IF('4.Grassland'!BK56="",Livestock!$I62,'4.Grassland'!BK56*100)</f>
        <v>26</v>
      </c>
      <c r="M62" s="1104" t="str">
        <f>'4.Grassland'!BW56</f>
        <v>Please select</v>
      </c>
      <c r="N62" s="1044">
        <f ca="1">IF(OR($M62="Regional share",$M62="Please select"),0,IF($M62="Other (pls. specify EF)",0,IF(OR($B62="Deer",$B62="Ostrich"),0,INDEX(INDIRECT(VLOOKUP(E62,list!$B$312:$D$339,1,FALSE)),MATCH(clim_moist,INDIRECT(VLOOKUP(E62,list!$B$312:$D$339,2,FALSE)),0),MATCH($M62,INDIRECT(VLOOKUP(E62,list!$B$312:$D$339,3,FALSE)),0))*Livestock!$H62*Livestock!$G62/1000*365/1000)))</f>
        <v>0</v>
      </c>
      <c r="O62" s="1045">
        <f ca="1">IF('4.Grassland'!$BZ56="",N62,'4.Grassland'!$BZ56)</f>
        <v>0</v>
      </c>
      <c r="P62" s="1007">
        <f ca="1">IFERROR(IF($B62="Deer",0.22,IF($B62="Ostrich",5.67,INDEX(INDIRECT(VLOOKUP(E62,list!$B$312:$D$339,1,FALSE)),MATCH(clim_moist,INDIRECT(VLOOKUP(E62,list!$B$312:$D$339,2,FALSE)),0),MATCH('4.Grassland'!$BH$53,INDIRECT(VLOOKUP(E62,list!$B$312:$D$339,3,FALSE)),0))*Livestock!$H62*Livestock!$G62/1000*365/1000)),0)*I62/100</f>
        <v>0.25623000000000007</v>
      </c>
      <c r="Q62" s="1044">
        <f ca="1">IF(OR($B62="Please select",$B62=$B$53),0,IF($B62="Deer",0.22,IF($B62="Ostrich",5.67,IF(OR($M62="Please select",$M62="Regional share"),SUMPRODUCT(INDEX(INDIRECT(VLOOKUP(E62,list!$B$312:$D$339,1,FALSE)),MATCH(clim_moist,INDIRECT(VLOOKUP(E62,list!$B$312:$D$339,2,FALSE)),0),0),INDEX(INDIRECT(VLOOKUP(F62,list!$B$288:$D$310,1,FALSE)),MATCH($C$2,INDIRECT(VLOOKUP(F62,list!$B$288:$D$310,2,FALSE)),0),0))/100*($H62*$G62/1000*365)/1000-P62,0))))</f>
        <v>49.618282499999992</v>
      </c>
      <c r="R62" s="2156">
        <f ca="1">IFERROR(IF('4.Grassland'!$BN56="",($P62/($I62/100)*$J62/100+IF(O62&lt;&gt;0, $O62/(1-$I62/100)*(1-$J62/100), $Q62/(1-$I62/100)*(1-$J62/100))),('4.Grassland'!$BN56*$J62/100+IF(O62&lt;&gt;0, $O62/(1-$I62/100)*(1-$J62/100),+$Q62*(1-$J62/100)))),0)</f>
        <v>49.874512499999994</v>
      </c>
      <c r="S62" s="2156">
        <f ca="1">IFERROR(IF('4.Grassland'!$BO56="",($P62/($I62/100)*$K62/100+IF(O62&lt;&gt;0, $O62/(1-$I62/100)*(1-$K62/100), $Q62/(1-$I62/100)*(1-$K62/100))),('4.Grassland'!$BO56*$K62/100+IF(O62&lt;&gt;0, $O62/(1-$I62/100)*(1-$K62/100),+$Q62*(1-$K62/100)))),0)</f>
        <v>49.874512499999994</v>
      </c>
      <c r="T62" s="2156">
        <f ca="1">IFERROR(IF('4.Grassland'!$BP56="",($P62/($I62/100)*$L62/100+IF(O62&lt;&gt;0, $O62/(1-$I62/100)*(1-$L62/100), $Q62/(1-$I62/100)*(1-$L62/100))),('4.Grassland'!$BP56*$L62/100+IF(O62&lt;&gt;0, $O62/(1-$I62/100)*(1-$L62/100),+$Q62*(1-$L62/100)))),0)</f>
        <v>49.874512499999994</v>
      </c>
      <c r="V62" s="3468">
        <f t="shared" ref="V62:V78" ca="1" si="10">IF($B62="Deer",0.22*$H8,IF($B62="Ostrich",5.67*$H8,R62*$H8))/1000*methane</f>
        <v>139.64863499999998</v>
      </c>
      <c r="W62" s="1151">
        <f t="shared" ref="W62:W78" ca="1" si="11">IF($B62="Deer",0.22*$I8,IF($B62="Ostrich",5.67*$I8,S62*$I8))/1000*methane</f>
        <v>0</v>
      </c>
      <c r="X62" s="3469">
        <f ca="1">IF($B62="Deer",0.22*$K8,IF($B62="Ostrich",5.67*$K8,T62*$K8))/1000*methane</f>
        <v>0</v>
      </c>
      <c r="Z62" s="3468">
        <f ca="1">MIN($V62,$W62)*time_tot+ABS($W62-$V62)*IF($W62&gt;$V62,time_cap+time*(VLOOKUP($J8,list!$J$48:$K$50,2,0)),time*(1-(VLOOKUP($J8,list!$J$48:$K$50,2,0))))</f>
        <v>349.12158749999998</v>
      </c>
      <c r="AA62" s="3469">
        <f ca="1">MIN($V62,$X62)*time_tot+ABS($X62-$V62)*IF($X62&gt;$V62,time_cap+time*(VLOOKUP($L8,list!$J$48:$K$50,2,0)),time*(1-(VLOOKUP($L8,list!$J$48:$K$50,2,0))))</f>
        <v>349.12158749999998</v>
      </c>
      <c r="AB62" s="3491">
        <f ca="1">AA62-Z62</f>
        <v>0</v>
      </c>
      <c r="AE62" s="992">
        <f ca="1">MIN($V62,$W62)*time+ABS($W62-$V62)*IF($W62&gt;$V62,time*(VLOOKUP($J8,list!$J$48:$K$50,2,)),time*(1-(VLOOKUP($J8,list!$J$48:$K$50,2,))))</f>
        <v>349.12158749999998</v>
      </c>
      <c r="AF62" s="992">
        <f ca="1">MIN($V62,$X62)*time+ABS($X62-$V62)*IF($X62&gt;$V62,time*(VLOOKUP($L8,list!$J$48:$K$50,2,)),time*(1-(VLOOKUP($L8,list!$J$48:$K$50,2,))))</f>
        <v>349.12158749999998</v>
      </c>
    </row>
    <row r="63" spans="2:32" x14ac:dyDescent="0.15">
      <c r="B63" s="973" t="str">
        <f t="shared" si="7"/>
        <v>Dairy Cattle</v>
      </c>
      <c r="C63" s="973" t="str">
        <f t="shared" si="7"/>
        <v>High-Productivity</v>
      </c>
      <c r="E63" s="1109" t="str">
        <f t="shared" si="8"/>
        <v>CH4_man_Dairy_Cattle_HP</v>
      </c>
      <c r="F63" s="1109" t="str">
        <f t="shared" si="9"/>
        <v>AWMS_Dairy_Cattle</v>
      </c>
      <c r="G63" s="1111">
        <f>IF(B63="Please select",0,(IF(C63="Default",INDEX(TAM_Default[#All],MATCH(Livestock!$C$2,TAM_Default[[#All],[Please select]],0),MATCH(Livestock!B63,TAM_Default[#Headers],0)),
IF(C63="Low-Productivity",INDEX(TAM_LP[#All],MATCH(Livestock!$C$2,TAM_LP[[#All],[Please select]],0),MATCH(Livestock!B63,TAM_LP[#Headers],0)),
IF(C63="High-Productivity",INDEX(TAM_HP[#All],MATCH(Livestock!$C$2,TAM_HP[[#All],[Please select]],0),MATCH(Livestock!B63,TAM_HP[#Headers],0)),0)))))</f>
        <v>600</v>
      </c>
      <c r="H63" s="1235">
        <f>IF(B63="Please select",0,(IF(C63="Default",INDEX(VS_rate_Default[#All],MATCH(Livestock!$C$2,VS_rate_Default[[#All],[Please select]],0),MATCH(Livestock!B63,VS_rate_Default[#Headers],0)),
IF(C63="Low-Productivity",INDEX(VS_rate_LP[#All],MATCH(Livestock!$C$2,VS_rate_LP[[#All],[Please select]],0),MATCH(Livestock!B63,VS_rate_HP[#Headers],0)),
IF(C63="High-Productivity",INDEX(VS_rate_HP[#All],MATCH(Livestock!$C$2,VS_rate_HP[[#All],[Please select]],0),MATCH(Livestock!B63,VS_rate_HP[#Headers],0)),0)))))</f>
        <v>7.5</v>
      </c>
      <c r="I63" s="1110">
        <f ca="1">IF(B63="Please select",0,(INDEX(INDIRECT(VLOOKUP(F63,list!$B$288:$D$310,1,FALSE)),MATCH(Livestock!$C$2,(INDIRECT(VLOOKUP(F63,list!$B$288:$D$310,2,FALSE))),0),MATCH('4.Grassland'!$BH$53,(INDIRECT(VLOOKUP(F63,list!$B$288:$D$310,3,FALSE))),0))))</f>
        <v>26</v>
      </c>
      <c r="J63" s="1104">
        <f ca="1">IF('4.Grassland'!BI57="",Livestock!$I63,'4.Grassland'!BI57*100)</f>
        <v>26</v>
      </c>
      <c r="K63" s="1104">
        <f ca="1">IF('4.Grassland'!BJ57="",Livestock!$I63,'4.Grassland'!BJ57*100)</f>
        <v>26</v>
      </c>
      <c r="L63" s="1104">
        <f ca="1">IF('4.Grassland'!BK57="",Livestock!$I63,'4.Grassland'!BK57*100)</f>
        <v>26</v>
      </c>
      <c r="M63" s="1104" t="str">
        <f>'4.Grassland'!BW57</f>
        <v>Please select</v>
      </c>
      <c r="N63" s="1044">
        <f ca="1">IF(OR($M63="Regional share",$M63="Please select"),0,IF($M63="Other (pls. specify EF)",0,IF(OR($B63="Deer",$B63="Ostrich"),0,INDEX(INDIRECT(VLOOKUP(E63,list!$B$312:$D$339,1,FALSE)),MATCH(clim_moist,INDIRECT(VLOOKUP(E63,list!$B$312:$D$339,2,FALSE)),0),MATCH($M63,INDIRECT(VLOOKUP(E63,list!$B$312:$D$339,3,FALSE)),0))*Livestock!$H63*Livestock!$G63/1000*365/1000)))</f>
        <v>0</v>
      </c>
      <c r="O63" s="1045">
        <f ca="1">IF('4.Grassland'!$BZ57="",N63,'4.Grassland'!$BZ57)</f>
        <v>0</v>
      </c>
      <c r="P63" s="1007">
        <f ca="1">IFERROR(IF($B63="Deer",0.22,IF($B63="Ostrich",5.67,INDEX(INDIRECT(VLOOKUP(E63,list!$B$312:$D$339,1,FALSE)),MATCH(clim_moist,INDIRECT(VLOOKUP(E63,list!$B$312:$D$339,2,FALSE)),0),MATCH('4.Grassland'!$BH$53,INDIRECT(VLOOKUP(E63,list!$B$312:$D$339,3,FALSE)),0))*Livestock!$H63*Livestock!$G63/1000*365/1000)),0)*I63/100</f>
        <v>0.25623000000000007</v>
      </c>
      <c r="Q63" s="1044">
        <f ca="1">IF(OR($B63="Please select",$B63=$B$53),0,IF($B63="Deer",0.22,IF($B63="Ostrich",5.67,IF(OR($M63="Please select",$M63="Regional share"),SUMPRODUCT(INDEX(INDIRECT(VLOOKUP(E63,list!$B$312:$D$339,1,FALSE)),MATCH(clim_moist,INDIRECT(VLOOKUP(E63,list!$B$312:$D$339,2,FALSE)),0),0),INDEX(INDIRECT(VLOOKUP(F63,list!$B$288:$D$310,1,FALSE)),MATCH($C$2,INDIRECT(VLOOKUP(F63,list!$B$288:$D$310,2,FALSE)),0),0))/100*($H63*$G63/1000*365)/1000-P63,0))))</f>
        <v>49.618282499999992</v>
      </c>
      <c r="R63" s="2156">
        <f ca="1">IFERROR(IF('4.Grassland'!$BN57="",($P63/($I63/100)*$J63/100+IF(O63&lt;&gt;0, $O63/(1-$I63/100)*(1-$J63/100), $Q63/(1-$I63/100)*(1-$J63/100))),('4.Grassland'!$BN57*$J63/100+IF(O63&lt;&gt;0, $O63/(1-$I63/100)*(1-$J63/100),+$Q63*(1-$J63/100)))),0)</f>
        <v>49.874512499999994</v>
      </c>
      <c r="S63" s="2156">
        <f ca="1">IFERROR(IF('4.Grassland'!$BO57="",($P63/($I63/100)*$K63/100+IF(O63&lt;&gt;0, $O63/(1-$I63/100)*(1-$K63/100), $Q63/(1-$I63/100)*(1-$K63/100))),('4.Grassland'!$BO57*$K63/100+IF(O63&lt;&gt;0, $O63/(1-$I63/100)*(1-$K63/100),+$Q63*(1-$K63/100)))),0)</f>
        <v>49.874512499999994</v>
      </c>
      <c r="T63" s="2156">
        <f ca="1">IFERROR(IF('4.Grassland'!$BP57="",($P63/($I63/100)*$L63/100+IF(O63&lt;&gt;0, $O63/(1-$I63/100)*(1-$L63/100), $Q63/(1-$I63/100)*(1-$L63/100))),('4.Grassland'!$BP57*$L63/100+IF(O63&lt;&gt;0, $O63/(1-$I63/100)*(1-$L63/100),+$Q63*(1-$L63/100)))),0)</f>
        <v>49.874512499999994</v>
      </c>
      <c r="V63" s="3470">
        <f t="shared" ca="1" si="10"/>
        <v>0</v>
      </c>
      <c r="W63" s="1152">
        <f t="shared" ca="1" si="11"/>
        <v>139.64863499999998</v>
      </c>
      <c r="X63" s="3479">
        <f t="shared" ref="X63:X78" ca="1" si="12">IF($B63="Deer",0.22*$K9,IF($B63="Ostrich",5.67*$K9,T63*$K9))/1000*methane</f>
        <v>0</v>
      </c>
      <c r="Z63" s="3470">
        <f ca="1">MIN($V63,$W63)*time_tot+ABS($W63-$V63)*IF($W63&gt;$V63,time_cap+time*(VLOOKUP($J9,list!$J$48:$K$50,2,0)),time*(1-(VLOOKUP($J9,list!$J$48:$K$50,2,0))))</f>
        <v>1745.6079374999997</v>
      </c>
      <c r="AA63" s="3479">
        <f ca="1">MIN($V63,$X63)*time_tot+ABS($X63-$V63)*IF($X63&gt;$V63,time_cap+time*(VLOOKUP($L9,list!$J$48:$K$50,2,0)),time*(1-(VLOOKUP($L9,list!$J$48:$K$50,2,0))))</f>
        <v>0</v>
      </c>
      <c r="AB63" s="2162">
        <f t="shared" ref="AB63:AB71" ca="1" si="13">AA63-Z63</f>
        <v>-1745.6079374999997</v>
      </c>
      <c r="AE63" s="992">
        <f ca="1">MIN($V63,$W63)*time+ABS($W63-$V63)*IF($W63&gt;$V63,time*(VLOOKUP($J9,list!$J$48:$K$50,2,)),time*(1-(VLOOKUP($J9,list!$J$48:$K$50,2,))))</f>
        <v>349.12158749999998</v>
      </c>
      <c r="AF63" s="992">
        <f ca="1">MIN($V63,$X63)*time+ABS($X63-$V63)*IF($X63&gt;$V63,time*(VLOOKUP($L9,list!$J$48:$K$50,2,)),time*(1-(VLOOKUP($L9,list!$J$48:$K$50,2,))))</f>
        <v>0</v>
      </c>
    </row>
    <row r="64" spans="2:32" x14ac:dyDescent="0.15">
      <c r="B64" s="973" t="str">
        <f t="shared" si="7"/>
        <v>Dairy Cattle</v>
      </c>
      <c r="C64" s="973" t="str">
        <f t="shared" si="7"/>
        <v>Low-Productivity</v>
      </c>
      <c r="E64" s="1109" t="str">
        <f t="shared" si="8"/>
        <v>CH4_man_Dairy_Cattle_LP</v>
      </c>
      <c r="F64" s="1109" t="str">
        <f t="shared" si="9"/>
        <v>AWMS_Dairy_Cattle</v>
      </c>
      <c r="G64" s="1111">
        <f>IF(B64="Please select",0,(IF(C64="Default",INDEX(TAM_Default[#All],MATCH(Livestock!$C$2,TAM_Default[[#All],[Please select]],0),MATCH(Livestock!B64,TAM_Default[#Headers],0)),
IF(C64="Low-Productivity",INDEX(TAM_LP[#All],MATCH(Livestock!$C$2,TAM_LP[[#All],[Please select]],0),MATCH(Livestock!B64,TAM_LP[#Headers],0)),
IF(C64="High-Productivity",INDEX(TAM_HP[#All],MATCH(Livestock!$C$2,TAM_HP[[#All],[Please select]],0),MATCH(Livestock!B64,TAM_HP[#Headers],0)),0)))))</f>
        <v>600</v>
      </c>
      <c r="H64" s="1235">
        <f>IF(B64="Please select",0,(IF(C64="Default",INDEX(VS_rate_Default[#All],MATCH(Livestock!$C$2,VS_rate_Default[[#All],[Please select]],0),MATCH(Livestock!B64,VS_rate_Default[#Headers],0)),
IF(C64="Low-Productivity",INDEX(VS_rate_LP[#All],MATCH(Livestock!$C$2,VS_rate_LP[[#All],[Please select]],0),MATCH(Livestock!B64,VS_rate_HP[#Headers],0)),
IF(C64="High-Productivity",INDEX(VS_rate_HP[#All],MATCH(Livestock!$C$2,VS_rate_HP[[#All],[Please select]],0),MATCH(Livestock!B64,VS_rate_HP[#Headers],0)),0)))))</f>
        <v>7.5</v>
      </c>
      <c r="I64" s="1110">
        <f ca="1">IF(B64="Please select",0,(INDEX(INDIRECT(VLOOKUP(F64,list!$B$288:$D$310,1,FALSE)),MATCH(Livestock!$C$2,(INDIRECT(VLOOKUP(F64,list!$B$288:$D$310,2,FALSE))),0),MATCH('4.Grassland'!$BH$53,(INDIRECT(VLOOKUP(F64,list!$B$288:$D$310,3,FALSE))),0))))</f>
        <v>26</v>
      </c>
      <c r="J64" s="1104">
        <f ca="1">IF('4.Grassland'!BI58="",Livestock!$I64,'4.Grassland'!BI58*100)</f>
        <v>26</v>
      </c>
      <c r="K64" s="1104">
        <f ca="1">IF('4.Grassland'!BJ58="",Livestock!$I64,'4.Grassland'!BJ58*100)</f>
        <v>26</v>
      </c>
      <c r="L64" s="1104">
        <f ca="1">IF('4.Grassland'!BK58="",Livestock!$I64,'4.Grassland'!BK58*100)</f>
        <v>26</v>
      </c>
      <c r="M64" s="1104" t="str">
        <f>'4.Grassland'!BW58</f>
        <v>Please select</v>
      </c>
      <c r="N64" s="1044">
        <f ca="1">IF(OR($M64="Regional share",$M64="Please select"),0,IF($M64="Other (pls. specify EF)",0,IF(OR($B64="Deer",$B64="Ostrich"),0,INDEX(INDIRECT(VLOOKUP(E64,list!$B$312:$D$339,1,FALSE)),MATCH(clim_moist,INDIRECT(VLOOKUP(E64,list!$B$312:$D$339,2,FALSE)),0),MATCH($M64,INDIRECT(VLOOKUP(E64,list!$B$312:$D$339,3,FALSE)),0))*Livestock!$H64*Livestock!$G64/1000*365/1000)))</f>
        <v>0</v>
      </c>
      <c r="O64" s="1045">
        <f ca="1">IF('4.Grassland'!$BZ58="",N64,'4.Grassland'!$BZ58)</f>
        <v>0</v>
      </c>
      <c r="P64" s="1007">
        <f ca="1">IFERROR(IF($B64="Deer",0.22,IF($B64="Ostrich",5.67,INDEX(INDIRECT(VLOOKUP(E64,list!$B$312:$D$339,1,FALSE)),MATCH(clim_moist,INDIRECT(VLOOKUP(E64,list!$B$312:$D$339,2,FALSE)),0),MATCH('4.Grassland'!$BH$53,INDIRECT(VLOOKUP(E64,list!$B$312:$D$339,3,FALSE)),0))*Livestock!$H64*Livestock!$G64/1000*365/1000)),0)*I64/100</f>
        <v>0.25623000000000007</v>
      </c>
      <c r="Q64" s="1044">
        <f ca="1">IF(OR($B64="Please select",$B64=$B$53),0,IF($B64="Deer",0.22,IF($B64="Ostrich",5.67,IF(OR($M64="Please select",$M64="Regional share"),SUMPRODUCT(INDEX(INDIRECT(VLOOKUP(E64,list!$B$312:$D$339,1,FALSE)),MATCH(clim_moist,INDIRECT(VLOOKUP(E64,list!$B$312:$D$339,2,FALSE)),0),0),INDEX(INDIRECT(VLOOKUP(F64,list!$B$288:$D$310,1,FALSE)),MATCH($C$2,INDIRECT(VLOOKUP(F64,list!$B$288:$D$310,2,FALSE)),0),0))/100*($H64*$G64/1000*365)/1000-P64,0))))</f>
        <v>26.894295000000003</v>
      </c>
      <c r="R64" s="2156">
        <f ca="1">IFERROR(IF('4.Grassland'!$BN58="",($P64/($I64/100)*$J64/100+IF(O64&lt;&gt;0, $O64/(1-$I64/100)*(1-$J64/100), $Q64/(1-$I64/100)*(1-$J64/100))),('4.Grassland'!$BN58*$J64/100+IF(O64&lt;&gt;0, $O64/(1-$I64/100)*(1-$J64/100),+$Q64*(1-$J64/100)))),0)</f>
        <v>27.150525000000002</v>
      </c>
      <c r="S64" s="2156">
        <f ca="1">IFERROR(IF('4.Grassland'!$BO58="",($P64/($I64/100)*$K64/100+IF(O64&lt;&gt;0, $O64/(1-$I64/100)*(1-$K64/100), $Q64/(1-$I64/100)*(1-$K64/100))),('4.Grassland'!$BO58*$K64/100+IF(O64&lt;&gt;0, $O64/(1-$I64/100)*(1-$K64/100),+$Q64*(1-$K64/100)))),0)</f>
        <v>27.150525000000002</v>
      </c>
      <c r="T64" s="2156">
        <f ca="1">IFERROR(IF('4.Grassland'!$BP58="",($P64/($I64/100)*$L64/100+IF(O64&lt;&gt;0, $O64/(1-$I64/100)*(1-$L64/100), $Q64/(1-$I64/100)*(1-$L64/100))),('4.Grassland'!$BP58*$L64/100+IF(O64&lt;&gt;0, $O64/(1-$I64/100)*(1-$L64/100),+$Q64*(1-$L64/100)))),0)</f>
        <v>27.150525000000002</v>
      </c>
      <c r="V64" s="3470">
        <f t="shared" ca="1" si="10"/>
        <v>0</v>
      </c>
      <c r="W64" s="2261">
        <f t="shared" ca="1" si="11"/>
        <v>0</v>
      </c>
      <c r="X64" s="3479">
        <f t="shared" ca="1" si="12"/>
        <v>76.021470000000008</v>
      </c>
      <c r="Z64" s="3470">
        <f ca="1">MIN($V64,$W64)*time_tot+ABS($W64-$V64)*IF($W64&gt;$V64,time_cap+time*(VLOOKUP($J10,list!$J$48:$K$50,2,0)),time*(1-(VLOOKUP($J10,list!$J$48:$K$50,2,0))))</f>
        <v>0</v>
      </c>
      <c r="AA64" s="3479">
        <f ca="1">MIN($V64,$X64)*time_tot+ABS($X64-$V64)*IF($X64&gt;$V64,time_cap+time*(VLOOKUP($L10,list!$J$48:$K$50,2,0)),time*(1-(VLOOKUP($L10,list!$J$48:$K$50,2,0))))</f>
        <v>950.26837500000011</v>
      </c>
      <c r="AB64" s="2162">
        <f t="shared" ca="1" si="13"/>
        <v>950.26837500000011</v>
      </c>
      <c r="AE64" s="992">
        <f ca="1">MIN($V64,$W64)*time+ABS($W64-$V64)*IF($W64&gt;$V64,time*(VLOOKUP($J10,list!$J$48:$K$50,2,)),time*(1-(VLOOKUP($J10,list!$J$48:$K$50,2,))))</f>
        <v>0</v>
      </c>
      <c r="AF64" s="992">
        <f ca="1">MIN($V64,$X64)*time+ABS($X64-$V64)*IF($X64&gt;$V64,time*(VLOOKUP($L10,list!$J$48:$K$50,2,)),time*(1-(VLOOKUP($L10,list!$J$48:$K$50,2,))))</f>
        <v>190.05367500000003</v>
      </c>
    </row>
    <row r="65" spans="2:32" x14ac:dyDescent="0.15">
      <c r="B65" s="973" t="str">
        <f t="shared" si="7"/>
        <v>Please select</v>
      </c>
      <c r="C65" s="973" t="str">
        <f t="shared" si="7"/>
        <v>Please select</v>
      </c>
      <c r="E65" s="1109" t="str">
        <f t="shared" si="8"/>
        <v/>
      </c>
      <c r="F65" s="1109" t="str">
        <f t="shared" si="9"/>
        <v/>
      </c>
      <c r="G65" s="1111">
        <f>IF(B65="Please select",0,(IF(C65="Default",INDEX(TAM_Default[#All],MATCH(Livestock!$C$2,TAM_Default[[#All],[Please select]],0),MATCH(Livestock!B65,TAM_Default[#Headers],0)),
IF(C65="Low-Productivity",INDEX(TAM_LP[#All],MATCH(Livestock!$C$2,TAM_LP[[#All],[Please select]],0),MATCH(Livestock!B65,TAM_LP[#Headers],0)),
IF(C65="High-Productivity",INDEX(TAM_HP[#All],MATCH(Livestock!$C$2,TAM_HP[[#All],[Please select]],0),MATCH(Livestock!B65,TAM_HP[#Headers],0)),0)))))</f>
        <v>0</v>
      </c>
      <c r="H65" s="1235">
        <f>IF(B65="Please select",0,(IF(C65="Default",INDEX(VS_rate_Default[#All],MATCH(Livestock!$C$2,VS_rate_Default[[#All],[Please select]],0),MATCH(Livestock!B65,VS_rate_Default[#Headers],0)),
IF(C65="Low-Productivity",INDEX(VS_rate_LP[#All],MATCH(Livestock!$C$2,VS_rate_LP[[#All],[Please select]],0),MATCH(Livestock!B65,VS_rate_HP[#Headers],0)),
IF(C65="High-Productivity",INDEX(VS_rate_HP[#All],MATCH(Livestock!$C$2,VS_rate_HP[[#All],[Please select]],0),MATCH(Livestock!B65,VS_rate_HP[#Headers],0)),0)))))</f>
        <v>0</v>
      </c>
      <c r="I65" s="1110">
        <f ca="1">IF(B65="Please select",0,(INDEX(INDIRECT(VLOOKUP(F65,list!$B$288:$D$310,1,FALSE)),MATCH(Livestock!$C$2,(INDIRECT(VLOOKUP(F65,list!$B$288:$D$310,2,FALSE))),0),MATCH('4.Grassland'!$BH$53,(INDIRECT(VLOOKUP(F65,list!$B$288:$D$310,3,FALSE))),0))))</f>
        <v>0</v>
      </c>
      <c r="J65" s="1104">
        <f ca="1">IF('4.Grassland'!BI59="",Livestock!$I65,'4.Grassland'!BI59*100)</f>
        <v>0</v>
      </c>
      <c r="K65" s="1104">
        <f ca="1">IF('4.Grassland'!BJ59="",Livestock!$I65,'4.Grassland'!BJ59*100)</f>
        <v>0</v>
      </c>
      <c r="L65" s="1104">
        <f ca="1">IF('4.Grassland'!BK59="",Livestock!$I65,'4.Grassland'!BK59*100)</f>
        <v>0</v>
      </c>
      <c r="M65" s="1104" t="str">
        <f>'4.Grassland'!BW59</f>
        <v>Please select</v>
      </c>
      <c r="N65" s="1044">
        <f ca="1">IF(OR($M65="Regional share",$M65="Please select"),0,IF($M65="Other (pls. specify EF)",0,IF(OR($B65="Deer",$B65="Ostrich"),0,INDEX(INDIRECT(VLOOKUP(E65,list!$B$312:$D$339,1,FALSE)),MATCH(clim_moist,INDIRECT(VLOOKUP(E65,list!$B$312:$D$339,2,FALSE)),0),MATCH($M65,INDIRECT(VLOOKUP(E65,list!$B$312:$D$339,3,FALSE)),0))*Livestock!$H65*Livestock!$G65/1000*365/1000)))</f>
        <v>0</v>
      </c>
      <c r="O65" s="1045">
        <f ca="1">IF('4.Grassland'!$BZ59="",N65,'4.Grassland'!$BZ59)</f>
        <v>0</v>
      </c>
      <c r="P65" s="1007">
        <f ca="1">IFERROR(IF($B65="Deer",0.22,IF($B65="Ostrich",5.67,INDEX(INDIRECT(VLOOKUP(E65,list!$B$312:$D$339,1,FALSE)),MATCH(clim_moist,INDIRECT(VLOOKUP(E65,list!$B$312:$D$339,2,FALSE)),0),MATCH('4.Grassland'!$BH$53,INDIRECT(VLOOKUP(E65,list!$B$312:$D$339,3,FALSE)),0))*Livestock!$H65*Livestock!$G65/1000*365/1000)),0)*I65/100</f>
        <v>0</v>
      </c>
      <c r="Q65" s="1044">
        <f ca="1">IF(OR($B65="Please select",$B65=$B$53),0,IF($B65="Deer",0.22,IF($B65="Ostrich",5.67,IF(OR($M65="Please select",$M65="Regional share"),SUMPRODUCT(INDEX(INDIRECT(VLOOKUP(E65,list!$B$312:$D$339,1,FALSE)),MATCH(clim_moist,INDIRECT(VLOOKUP(E65,list!$B$312:$D$339,2,FALSE)),0),0),INDEX(INDIRECT(VLOOKUP(F65,list!$B$288:$D$310,1,FALSE)),MATCH($C$2,INDIRECT(VLOOKUP(F65,list!$B$288:$D$310,2,FALSE)),0),0))/100*($H65*$G65/1000*365)/1000-P65,0))))</f>
        <v>0</v>
      </c>
      <c r="R65" s="2156">
        <f ca="1">IFERROR(IF('4.Grassland'!$BN59="",($P65/($I65/100)*$J65/100+IF(O65&lt;&gt;0, $O65/(1-$I65/100)*(1-$J65/100), $Q65/(1-$I65/100)*(1-$J65/100))),('4.Grassland'!$BN59*$J65/100+IF(O65&lt;&gt;0, $O65/(1-$I65/100)*(1-$J65/100),+$Q65*(1-$J65/100)))),0)</f>
        <v>0</v>
      </c>
      <c r="S65" s="2156">
        <f ca="1">IFERROR(IF('4.Grassland'!$BO59="",($P65/($I65/100)*$K65/100+IF(O65&lt;&gt;0, $O65/(1-$I65/100)*(1-$K65/100), $Q65/(1-$I65/100)*(1-$K65/100))),('4.Grassland'!$BO59*$K65/100+IF(O65&lt;&gt;0, $O65/(1-$I65/100)*(1-$K65/100),+$Q65*(1-$K65/100)))),0)</f>
        <v>0</v>
      </c>
      <c r="T65" s="2156">
        <f ca="1">IFERROR(IF('4.Grassland'!$BP59="",($P65/($I65/100)*$L65/100+IF(O65&lt;&gt;0, $O65/(1-$I65/100)*(1-$L65/100), $Q65/(1-$I65/100)*(1-$L65/100))),('4.Grassland'!$BP59*$L65/100+IF(O65&lt;&gt;0, $O65/(1-$I65/100)*(1-$L65/100),+$Q65*(1-$L65/100)))),0)</f>
        <v>0</v>
      </c>
      <c r="V65" s="3470">
        <f t="shared" ca="1" si="10"/>
        <v>0</v>
      </c>
      <c r="W65" s="1152">
        <f t="shared" ca="1" si="11"/>
        <v>0</v>
      </c>
      <c r="X65" s="3479">
        <f t="shared" ca="1" si="12"/>
        <v>0</v>
      </c>
      <c r="Z65" s="3470">
        <f ca="1">MIN($V65,$W65)*time_tot+ABS($W65-$V65)*IF($W65&gt;$V65,time_cap+time*(VLOOKUP($J11,list!$J$48:$K$50,2,0)),time*(1-(VLOOKUP($J11,list!$J$48:$K$50,2,0))))</f>
        <v>0</v>
      </c>
      <c r="AA65" s="3479">
        <f ca="1">MIN($V65,$X65)*time_tot+ABS($X65-$V65)*IF($X65&gt;$V65,time_cap+time*(VLOOKUP($L11,list!$J$48:$K$50,2,0)),time*(1-(VLOOKUP($L11,list!$J$48:$K$50,2,0))))</f>
        <v>0</v>
      </c>
      <c r="AB65" s="2162">
        <f t="shared" ca="1" si="13"/>
        <v>0</v>
      </c>
      <c r="AE65" s="992">
        <f ca="1">MIN($V65,$W65)*time+ABS($W65-$V65)*IF($W65&gt;$V65,time*(VLOOKUP($J11,list!$J$48:$K$50,2,)),time*(1-(VLOOKUP($J11,list!$J$48:$K$50,2,))))</f>
        <v>0</v>
      </c>
      <c r="AF65" s="992">
        <f ca="1">MIN($V65,$X65)*time+ABS($X65-$V65)*IF($X65&gt;$V65,time*(VLOOKUP($L11,list!$J$48:$K$50,2,)),time*(1-(VLOOKUP($L11,list!$J$48:$K$50,2,))))</f>
        <v>0</v>
      </c>
    </row>
    <row r="66" spans="2:32" x14ac:dyDescent="0.15">
      <c r="B66" s="973" t="str">
        <f t="shared" si="7"/>
        <v>Please select</v>
      </c>
      <c r="C66" s="973" t="str">
        <f t="shared" si="7"/>
        <v>Please select</v>
      </c>
      <c r="E66" s="1109" t="str">
        <f t="shared" si="8"/>
        <v/>
      </c>
      <c r="F66" s="1109" t="str">
        <f t="shared" si="9"/>
        <v/>
      </c>
      <c r="G66" s="1111">
        <f>IF(B66="Please select",0,(IF(C66="Default",INDEX(TAM_Default[#All],MATCH(Livestock!$C$2,TAM_Default[[#All],[Please select]],0),MATCH(Livestock!B66,TAM_Default[#Headers],0)),
IF(C66="Low-Productivity",INDEX(TAM_LP[#All],MATCH(Livestock!$C$2,TAM_LP[[#All],[Please select]],0),MATCH(Livestock!B66,TAM_LP[#Headers],0)),
IF(C66="High-Productivity",INDEX(TAM_HP[#All],MATCH(Livestock!$C$2,TAM_HP[[#All],[Please select]],0),MATCH(Livestock!B66,TAM_HP[#Headers],0)),0)))))</f>
        <v>0</v>
      </c>
      <c r="H66" s="1235">
        <f>IF(B66="Please select",0,(IF(C66="Default",INDEX(VS_rate_Default[#All],MATCH(Livestock!$C$2,VS_rate_Default[[#All],[Please select]],0),MATCH(Livestock!B66,VS_rate_Default[#Headers],0)),
IF(C66="Low-Productivity",INDEX(VS_rate_LP[#All],MATCH(Livestock!$C$2,VS_rate_LP[[#All],[Please select]],0),MATCH(Livestock!B66,VS_rate_HP[#Headers],0)),
IF(C66="High-Productivity",INDEX(VS_rate_HP[#All],MATCH(Livestock!$C$2,VS_rate_HP[[#All],[Please select]],0),MATCH(Livestock!B66,VS_rate_HP[#Headers],0)),0)))))</f>
        <v>0</v>
      </c>
      <c r="I66" s="1110">
        <f ca="1">IF(B66="Please select",0,(INDEX(INDIRECT(VLOOKUP(F66,list!$B$288:$D$310,1,FALSE)),MATCH(Livestock!$C$2,(INDIRECT(VLOOKUP(F66,list!$B$288:$D$310,2,FALSE))),0),MATCH('4.Grassland'!$BH$53,(INDIRECT(VLOOKUP(F66,list!$B$288:$D$310,3,FALSE))),0))))</f>
        <v>0</v>
      </c>
      <c r="J66" s="1104">
        <f ca="1">IF('4.Grassland'!BI60="",Livestock!$I66,'4.Grassland'!BI60*100)</f>
        <v>0</v>
      </c>
      <c r="K66" s="1104">
        <f ca="1">IF('4.Grassland'!BJ60="",Livestock!$I66,'4.Grassland'!BJ60*100)</f>
        <v>0</v>
      </c>
      <c r="L66" s="1104">
        <f ca="1">IF('4.Grassland'!BK60="",Livestock!$I66,'4.Grassland'!BK60*100)</f>
        <v>0</v>
      </c>
      <c r="M66" s="1104" t="str">
        <f>'4.Grassland'!BW60</f>
        <v>Please select</v>
      </c>
      <c r="N66" s="1044">
        <f ca="1">IF(OR($M66="Regional share",$M66="Please select"),0,IF($M66="Other (pls. specify EF)",0,IF(OR($B66="Deer",$B66="Ostrich"),0,INDEX(INDIRECT(VLOOKUP(E66,list!$B$312:$D$339,1,FALSE)),MATCH(clim_moist,INDIRECT(VLOOKUP(E66,list!$B$312:$D$339,2,FALSE)),0),MATCH($M66,INDIRECT(VLOOKUP(E66,list!$B$312:$D$339,3,FALSE)),0))*Livestock!$H66*Livestock!$G66/1000*365/1000)))</f>
        <v>0</v>
      </c>
      <c r="O66" s="1045">
        <f ca="1">IF('4.Grassland'!$BZ60="",N66,'4.Grassland'!$BZ60)</f>
        <v>0</v>
      </c>
      <c r="P66" s="1007">
        <f ca="1">IFERROR(IF($B66="Deer",0.22,IF($B66="Ostrich",5.67,INDEX(INDIRECT(VLOOKUP(E66,list!$B$312:$D$339,1,FALSE)),MATCH(clim_moist,INDIRECT(VLOOKUP(E66,list!$B$312:$D$339,2,FALSE)),0),MATCH('4.Grassland'!$BH$53,INDIRECT(VLOOKUP(E66,list!$B$312:$D$339,3,FALSE)),0))*Livestock!$H66*Livestock!$G66/1000*365/1000)),0)*I66/100</f>
        <v>0</v>
      </c>
      <c r="Q66" s="1044">
        <f ca="1">IF(OR($B66="Please select",$B66=$B$53),0,IF($B66="Deer",0.22,IF($B66="Ostrich",5.67,IF(OR($M66="Please select",$M66="Regional share"),SUMPRODUCT(INDEX(INDIRECT(VLOOKUP(E66,list!$B$312:$D$339,1,FALSE)),MATCH(clim_moist,INDIRECT(VLOOKUP(E66,list!$B$312:$D$339,2,FALSE)),0),0),INDEX(INDIRECT(VLOOKUP(F66,list!$B$288:$D$310,1,FALSE)),MATCH($C$2,INDIRECT(VLOOKUP(F66,list!$B$288:$D$310,2,FALSE)),0),0))/100*($H66*$G66/1000*365)/1000-P66,0))))</f>
        <v>0</v>
      </c>
      <c r="R66" s="2156">
        <f ca="1">IFERROR(IF('4.Grassland'!$BN60="",($P66/($I66/100)*$J66/100+IF(O66&lt;&gt;0, $O66/(1-$I66/100)*(1-$J66/100), $Q66/(1-$I66/100)*(1-$J66/100))),('4.Grassland'!$BN60*$J66/100+IF(O66&lt;&gt;0, $O66/(1-$I66/100)*(1-$J66/100),+$Q66*(1-$J66/100)))),0)</f>
        <v>0</v>
      </c>
      <c r="S66" s="2156">
        <f ca="1">IFERROR(IF('4.Grassland'!$BO60="",($P66/($I66/100)*$K66/100+IF(O66&lt;&gt;0, $O66/(1-$I66/100)*(1-$K66/100), $Q66/(1-$I66/100)*(1-$K66/100))),('4.Grassland'!$BO60*$K66/100+IF(O66&lt;&gt;0, $O66/(1-$I66/100)*(1-$K66/100),+$Q66*(1-$K66/100)))),0)</f>
        <v>0</v>
      </c>
      <c r="T66" s="2156">
        <f ca="1">IFERROR(IF('4.Grassland'!$BP60="",($P66/($I66/100)*$L66/100+IF(O66&lt;&gt;0, $O66/(1-$I66/100)*(1-$L66/100), $Q66/(1-$I66/100)*(1-$L66/100))),('4.Grassland'!$BP60*$L66/100+IF(O66&lt;&gt;0, $O66/(1-$I66/100)*(1-$L66/100),+$Q66*(1-$L66/100)))),0)</f>
        <v>0</v>
      </c>
      <c r="V66" s="3470">
        <f t="shared" ca="1" si="10"/>
        <v>0</v>
      </c>
      <c r="W66" s="1152">
        <f t="shared" ca="1" si="11"/>
        <v>0</v>
      </c>
      <c r="X66" s="3479">
        <f t="shared" ca="1" si="12"/>
        <v>0</v>
      </c>
      <c r="Z66" s="3470">
        <f ca="1">MIN($V66,$W66)*time_tot+ABS($W66-$V66)*IF($W66&gt;$V66,time_cap+time*(VLOOKUP($J12,list!$J$48:$K$50,2,0)),time*(1-(VLOOKUP($J12,list!$J$48:$K$50,2,0))))</f>
        <v>0</v>
      </c>
      <c r="AA66" s="3479">
        <f ca="1">MIN($V66,$X66)*time_tot+ABS($X66-$V66)*IF($X66&gt;$V66,time_cap+time*(VLOOKUP($L12,list!$J$48:$K$50,2,0)),time*(1-(VLOOKUP($L12,list!$J$48:$K$50,2,0))))</f>
        <v>0</v>
      </c>
      <c r="AB66" s="2162">
        <f t="shared" ca="1" si="13"/>
        <v>0</v>
      </c>
      <c r="AE66" s="992">
        <f ca="1">MIN($V66,$W66)*time+ABS($W66-$V66)*IF($W66&gt;$V66,time*(VLOOKUP($J12,list!$J$48:$K$50,2,)),time*(1-(VLOOKUP($J12,list!$J$48:$K$50,2,))))</f>
        <v>0</v>
      </c>
      <c r="AF66" s="992">
        <f ca="1">MIN($V66,$X66)*time+ABS($X66-$V66)*IF($X66&gt;$V66,time*(VLOOKUP($L12,list!$J$48:$K$50,2,)),time*(1-(VLOOKUP($L12,list!$J$48:$K$50,2,))))</f>
        <v>0</v>
      </c>
    </row>
    <row r="67" spans="2:32" x14ac:dyDescent="0.15">
      <c r="B67" s="973" t="str">
        <f t="shared" si="7"/>
        <v>Please select</v>
      </c>
      <c r="C67" s="973" t="str">
        <f t="shared" si="7"/>
        <v>Please select</v>
      </c>
      <c r="E67" s="1109" t="str">
        <f t="shared" si="8"/>
        <v/>
      </c>
      <c r="F67" s="1109" t="str">
        <f t="shared" si="9"/>
        <v/>
      </c>
      <c r="G67" s="1111">
        <f>IF(B67="Please select",0,(IF(C67="Default",INDEX(TAM_Default[#All],MATCH(Livestock!$C$2,TAM_Default[[#All],[Please select]],0),MATCH(Livestock!B67,TAM_Default[#Headers],0)),
IF(C67="Low-Productivity",INDEX(TAM_LP[#All],MATCH(Livestock!$C$2,TAM_LP[[#All],[Please select]],0),MATCH(Livestock!B67,TAM_LP[#Headers],0)),
IF(C67="High-Productivity",INDEX(TAM_HP[#All],MATCH(Livestock!$C$2,TAM_HP[[#All],[Please select]],0),MATCH(Livestock!B67,TAM_HP[#Headers],0)),0)))))</f>
        <v>0</v>
      </c>
      <c r="H67" s="1235">
        <f>IF(B67="Please select",0,(IF(C67="Default",INDEX(VS_rate_Default[#All],MATCH(Livestock!$C$2,VS_rate_Default[[#All],[Please select]],0),MATCH(Livestock!B67,VS_rate_Default[#Headers],0)),
IF(C67="Low-Productivity",INDEX(VS_rate_LP[#All],MATCH(Livestock!$C$2,VS_rate_LP[[#All],[Please select]],0),MATCH(Livestock!B67,VS_rate_HP[#Headers],0)),
IF(C67="High-Productivity",INDEX(VS_rate_HP[#All],MATCH(Livestock!$C$2,VS_rate_HP[[#All],[Please select]],0),MATCH(Livestock!B67,VS_rate_HP[#Headers],0)),0)))))</f>
        <v>0</v>
      </c>
      <c r="I67" s="1110">
        <f ca="1">IF(B67="Please select",0,(INDEX(INDIRECT(VLOOKUP(F67,list!$B$288:$D$310,1,FALSE)),MATCH(Livestock!$C$2,(INDIRECT(VLOOKUP(F67,list!$B$288:$D$310,2,FALSE))),0),MATCH('4.Grassland'!$BH$53,(INDIRECT(VLOOKUP(F67,list!$B$288:$D$310,3,FALSE))),0))))</f>
        <v>0</v>
      </c>
      <c r="J67" s="1104">
        <f ca="1">IF('4.Grassland'!BI61="",Livestock!$I67,'4.Grassland'!BI61*100)</f>
        <v>0</v>
      </c>
      <c r="K67" s="1104">
        <f ca="1">IF('4.Grassland'!BJ61="",Livestock!$I67,'4.Grassland'!BJ61*100)</f>
        <v>0</v>
      </c>
      <c r="L67" s="1104">
        <f ca="1">IF('4.Grassland'!BK61="",Livestock!$I67,'4.Grassland'!BK61*100)</f>
        <v>0</v>
      </c>
      <c r="M67" s="1104" t="str">
        <f>'4.Grassland'!BW61</f>
        <v>Please select</v>
      </c>
      <c r="N67" s="1044">
        <f ca="1">IF(OR($M67="Regional share",$M67="Please select"),0,IF($M67="Other (pls. specify EF)",0,IF(OR($B67="Deer",$B67="Ostrich"),0,INDEX(INDIRECT(VLOOKUP(E67,list!$B$312:$D$339,1,FALSE)),MATCH(clim_moist,INDIRECT(VLOOKUP(E67,list!$B$312:$D$339,2,FALSE)),0),MATCH($M67,INDIRECT(VLOOKUP(E67,list!$B$312:$D$339,3,FALSE)),0))*Livestock!$H67*Livestock!$G67/1000*365/1000)))</f>
        <v>0</v>
      </c>
      <c r="O67" s="1045">
        <f ca="1">IF('4.Grassland'!$BZ61="",N67,'4.Grassland'!$BZ61)</f>
        <v>0</v>
      </c>
      <c r="P67" s="1007">
        <f ca="1">IFERROR(IF($B67="Deer",0.22,IF($B67="Ostrich",5.67,INDEX(INDIRECT(VLOOKUP(E67,list!$B$312:$D$339,1,FALSE)),MATCH(clim_moist,INDIRECT(VLOOKUP(E67,list!$B$312:$D$339,2,FALSE)),0),MATCH('4.Grassland'!$BH$53,INDIRECT(VLOOKUP(E67,list!$B$312:$D$339,3,FALSE)),0))*Livestock!$H67*Livestock!$G67/1000*365/1000)),0)*I67/100</f>
        <v>0</v>
      </c>
      <c r="Q67" s="1044">
        <f ca="1">IF(OR($B67="Please select",$B67=$B$53),0,IF($B67="Deer",0.22,IF($B67="Ostrich",5.67,IF(OR($M67="Please select",$M67="Regional share"),SUMPRODUCT(INDEX(INDIRECT(VLOOKUP(E67,list!$B$312:$D$339,1,FALSE)),MATCH(clim_moist,INDIRECT(VLOOKUP(E67,list!$B$312:$D$339,2,FALSE)),0),0),INDEX(INDIRECT(VLOOKUP(F67,list!$B$288:$D$310,1,FALSE)),MATCH($C$2,INDIRECT(VLOOKUP(F67,list!$B$288:$D$310,2,FALSE)),0),0))/100*($H67*$G67/1000*365)/1000-P67,0))))</f>
        <v>0</v>
      </c>
      <c r="R67" s="2156">
        <f ca="1">IFERROR(IF('4.Grassland'!$BN61="",($P67/($I67/100)*$J67/100+IF(O67&lt;&gt;0, $O67/(1-$I67/100)*(1-$J67/100), $Q67/(1-$I67/100)*(1-$J67/100))),('4.Grassland'!$BN61*$J67/100+IF(O67&lt;&gt;0, $O67/(1-$I67/100)*(1-$J67/100),+$Q67*(1-$J67/100)))),0)</f>
        <v>0</v>
      </c>
      <c r="S67" s="2156">
        <f ca="1">IFERROR(IF('4.Grassland'!$BO61="",($P67/($I67/100)*$K67/100+IF(O67&lt;&gt;0, $O67/(1-$I67/100)*(1-$K67/100), $Q67/(1-$I67/100)*(1-$K67/100))),('4.Grassland'!$BO61*$K67/100+IF(O67&lt;&gt;0, $O67/(1-$I67/100)*(1-$K67/100),+$Q67*(1-$K67/100)))),0)</f>
        <v>0</v>
      </c>
      <c r="T67" s="2156">
        <f ca="1">IFERROR(IF('4.Grassland'!$BP61="",($P67/($I67/100)*$L67/100+IF(O67&lt;&gt;0, $O67/(1-$I67/100)*(1-$L67/100), $Q67/(1-$I67/100)*(1-$L67/100))),('4.Grassland'!$BP61*$L67/100+IF(O67&lt;&gt;0, $O67/(1-$I67/100)*(1-$L67/100),+$Q67*(1-$L67/100)))),0)</f>
        <v>0</v>
      </c>
      <c r="V67" s="3470">
        <f t="shared" ca="1" si="10"/>
        <v>0</v>
      </c>
      <c r="W67" s="1152">
        <f t="shared" ca="1" si="11"/>
        <v>0</v>
      </c>
      <c r="X67" s="3479">
        <f t="shared" ca="1" si="12"/>
        <v>0</v>
      </c>
      <c r="Z67" s="3470">
        <f ca="1">MIN($V67,$W67)*time_tot+ABS($W67-$V67)*IF($W67&gt;$V67,time_cap+time*(VLOOKUP($J13,list!$J$48:$K$50,2,0)),time*(1-(VLOOKUP($J13,list!$J$48:$K$50,2,0))))</f>
        <v>0</v>
      </c>
      <c r="AA67" s="3479">
        <f ca="1">MIN($V67,$X67)*time_tot+ABS($X67-$V67)*IF($X67&gt;$V67,time_cap+time*(VLOOKUP($L13,list!$J$48:$K$50,2,0)),time*(1-(VLOOKUP($L13,list!$J$48:$K$50,2,0))))</f>
        <v>0</v>
      </c>
      <c r="AB67" s="2162">
        <f t="shared" ca="1" si="13"/>
        <v>0</v>
      </c>
      <c r="AE67" s="992">
        <f ca="1">MIN($V67,$W67)*time+ABS($W67-$V67)*IF($W67&gt;$V67,time*(VLOOKUP($J13,list!$J$48:$K$50,2,)),time*(1-(VLOOKUP($J13,list!$J$48:$K$50,2,))))</f>
        <v>0</v>
      </c>
      <c r="AF67" s="992">
        <f ca="1">MIN($V67,$X67)*time+ABS($X67-$V67)*IF($X67&gt;$V67,time*(VLOOKUP($L13,list!$J$48:$K$50,2,)),time*(1-(VLOOKUP($L13,list!$J$48:$K$50,2,))))</f>
        <v>0</v>
      </c>
    </row>
    <row r="68" spans="2:32" x14ac:dyDescent="0.15">
      <c r="B68" s="973" t="str">
        <f t="shared" si="7"/>
        <v>Please select</v>
      </c>
      <c r="C68" s="973" t="str">
        <f t="shared" si="7"/>
        <v>Please select</v>
      </c>
      <c r="E68" s="1109" t="str">
        <f t="shared" si="8"/>
        <v/>
      </c>
      <c r="F68" s="1109" t="str">
        <f t="shared" si="9"/>
        <v/>
      </c>
      <c r="G68" s="1111">
        <f>IF(B68="Please select",0,(IF(C68="Default",INDEX(TAM_Default[#All],MATCH(Livestock!$C$2,TAM_Default[[#All],[Please select]],0),MATCH(Livestock!B68,TAM_Default[#Headers],0)),
IF(C68="Low-Productivity",INDEX(TAM_LP[#All],MATCH(Livestock!$C$2,TAM_LP[[#All],[Please select]],0),MATCH(Livestock!B68,TAM_LP[#Headers],0)),
IF(C68="High-Productivity",INDEX(TAM_HP[#All],MATCH(Livestock!$C$2,TAM_HP[[#All],[Please select]],0),MATCH(Livestock!B68,TAM_HP[#Headers],0)),0)))))</f>
        <v>0</v>
      </c>
      <c r="H68" s="1235">
        <f>IF(B68="Please select",0,(IF(C68="Default",INDEX(VS_rate_Default[#All],MATCH(Livestock!$C$2,VS_rate_Default[[#All],[Please select]],0),MATCH(Livestock!B68,VS_rate_Default[#Headers],0)),
IF(C68="Low-Productivity",INDEX(VS_rate_LP[#All],MATCH(Livestock!$C$2,VS_rate_LP[[#All],[Please select]],0),MATCH(Livestock!B68,VS_rate_HP[#Headers],0)),
IF(C68="High-Productivity",INDEX(VS_rate_HP[#All],MATCH(Livestock!$C$2,VS_rate_HP[[#All],[Please select]],0),MATCH(Livestock!B68,VS_rate_HP[#Headers],0)),0)))))</f>
        <v>0</v>
      </c>
      <c r="I68" s="1110">
        <f ca="1">IF(B68="Please select",0,(INDEX(INDIRECT(VLOOKUP(F68,list!$B$288:$D$310,1,FALSE)),MATCH(Livestock!$C$2,(INDIRECT(VLOOKUP(F68,list!$B$288:$D$310,2,FALSE))),0),MATCH('4.Grassland'!$BH$53,(INDIRECT(VLOOKUP(F68,list!$B$288:$D$310,3,FALSE))),0))))</f>
        <v>0</v>
      </c>
      <c r="J68" s="1104">
        <f ca="1">IF('4.Grassland'!BI62="",Livestock!$I68,'4.Grassland'!BI62*100)</f>
        <v>0</v>
      </c>
      <c r="K68" s="1104">
        <f ca="1">IF('4.Grassland'!BJ62="",Livestock!$I68,'4.Grassland'!BJ62*100)</f>
        <v>0</v>
      </c>
      <c r="L68" s="1104">
        <f ca="1">IF('4.Grassland'!BK62="",Livestock!$I68,'4.Grassland'!BK62*100)</f>
        <v>0</v>
      </c>
      <c r="M68" s="1104" t="str">
        <f>'4.Grassland'!BW62</f>
        <v>Please select</v>
      </c>
      <c r="N68" s="1044">
        <f ca="1">IF(OR($M68="Regional share",$M68="Please select"),0,IF($M68="Other (pls. specify EF)",0,IF(OR($B68="Deer",$B68="Ostrich"),0,INDEX(INDIRECT(VLOOKUP(E68,list!$B$312:$D$339,1,FALSE)),MATCH(clim_moist,INDIRECT(VLOOKUP(E68,list!$B$312:$D$339,2,FALSE)),0),MATCH($M68,INDIRECT(VLOOKUP(E68,list!$B$312:$D$339,3,FALSE)),0))*Livestock!$H68*Livestock!$G68/1000*365/1000)))</f>
        <v>0</v>
      </c>
      <c r="O68" s="1045">
        <f ca="1">IF('4.Grassland'!$BZ62="",N68,'4.Grassland'!$BZ62)</f>
        <v>0</v>
      </c>
      <c r="P68" s="1007">
        <f ca="1">IFERROR(IF($B68="Deer",0.22,IF($B68="Ostrich",5.67,INDEX(INDIRECT(VLOOKUP(E68,list!$B$312:$D$339,1,FALSE)),MATCH(clim_moist,INDIRECT(VLOOKUP(E68,list!$B$312:$D$339,2,FALSE)),0),MATCH('4.Grassland'!$BH$53,INDIRECT(VLOOKUP(E68,list!$B$312:$D$339,3,FALSE)),0))*Livestock!$H68*Livestock!$G68/1000*365/1000)),0)*I68/100</f>
        <v>0</v>
      </c>
      <c r="Q68" s="1044">
        <f ca="1">IF(OR($B68="Please select",$B68=$B$53),0,IF($B68="Deer",0.22,IF($B68="Ostrich",5.67,IF(OR($M68="Please select",$M68="Regional share"),SUMPRODUCT(INDEX(INDIRECT(VLOOKUP(E68,list!$B$312:$D$339,1,FALSE)),MATCH(clim_moist,INDIRECT(VLOOKUP(E68,list!$B$312:$D$339,2,FALSE)),0),0),INDEX(INDIRECT(VLOOKUP(F68,list!$B$288:$D$310,1,FALSE)),MATCH($C$2,INDIRECT(VLOOKUP(F68,list!$B$288:$D$310,2,FALSE)),0),0))/100*($H68*$G68/1000*365)/1000-P68,0))))</f>
        <v>0</v>
      </c>
      <c r="R68" s="2156">
        <f ca="1">IFERROR(IF('4.Grassland'!$BN62="",($P68/($I68/100)*$J68/100+IF(O68&lt;&gt;0, $O68/(1-$I68/100)*(1-$J68/100), $Q68/(1-$I68/100)*(1-$J68/100))),('4.Grassland'!$BN62*$J68/100+IF(O68&lt;&gt;0, $O68/(1-$I68/100)*(1-$J68/100),+$Q68*(1-$J68/100)))),0)</f>
        <v>0</v>
      </c>
      <c r="S68" s="2156">
        <f ca="1">IFERROR(IF('4.Grassland'!$BO62="",($P68/($I68/100)*$K68/100+IF(O68&lt;&gt;0, $O68/(1-$I68/100)*(1-$K68/100), $Q68/(1-$I68/100)*(1-$K68/100))),('4.Grassland'!$BO62*$K68/100+IF(O68&lt;&gt;0, $O68/(1-$I68/100)*(1-$K68/100),+$Q68*(1-$K68/100)))),0)</f>
        <v>0</v>
      </c>
      <c r="T68" s="2156">
        <f ca="1">IFERROR(IF('4.Grassland'!$BP62="",($P68/($I68/100)*$L68/100+IF(O68&lt;&gt;0, $O68/(1-$I68/100)*(1-$L68/100), $Q68/(1-$I68/100)*(1-$L68/100))),('4.Grassland'!$BP62*$L68/100+IF(O68&lt;&gt;0, $O68/(1-$I68/100)*(1-$L68/100),+$Q68*(1-$L68/100)))),0)</f>
        <v>0</v>
      </c>
      <c r="V68" s="3470">
        <f t="shared" ca="1" si="10"/>
        <v>0</v>
      </c>
      <c r="W68" s="1152">
        <f t="shared" ca="1" si="11"/>
        <v>0</v>
      </c>
      <c r="X68" s="3479">
        <f t="shared" ca="1" si="12"/>
        <v>0</v>
      </c>
      <c r="Z68" s="3470">
        <f ca="1">MIN($V68,$W68)*time_tot+ABS($W68-$V68)*IF($W68&gt;$V68,time_cap+time*(VLOOKUP($J14,list!$J$48:$K$50,2,0)),time*(1-(VLOOKUP($J14,list!$J$48:$K$50,2,0))))</f>
        <v>0</v>
      </c>
      <c r="AA68" s="3479">
        <f ca="1">MIN($V68,$X68)*time_tot+ABS($X68-$V68)*IF($X68&gt;$V68,time_cap+time*(VLOOKUP($L14,list!$J$48:$K$50,2,0)),time*(1-(VLOOKUP($L14,list!$J$48:$K$50,2,0))))</f>
        <v>0</v>
      </c>
      <c r="AB68" s="2162">
        <f t="shared" ca="1" si="13"/>
        <v>0</v>
      </c>
      <c r="AE68" s="992">
        <f ca="1">MIN($V68,$W68)*time+ABS($W68-$V68)*IF($W68&gt;$V68,time*(VLOOKUP($J14,list!$J$48:$K$50,2,)),time*(1-(VLOOKUP($J14,list!$J$48:$K$50,2,))))</f>
        <v>0</v>
      </c>
      <c r="AF68" s="992">
        <f ca="1">MIN($V68,$X68)*time+ABS($X68-$V68)*IF($X68&gt;$V68,time*(VLOOKUP($L14,list!$J$48:$K$50,2,)),time*(1-(VLOOKUP($L14,list!$J$48:$K$50,2,))))</f>
        <v>0</v>
      </c>
    </row>
    <row r="69" spans="2:32" x14ac:dyDescent="0.15">
      <c r="B69" s="973" t="str">
        <f t="shared" si="7"/>
        <v>Please select</v>
      </c>
      <c r="C69" s="973" t="str">
        <f t="shared" si="7"/>
        <v>Please select</v>
      </c>
      <c r="E69" s="1109" t="str">
        <f t="shared" si="8"/>
        <v/>
      </c>
      <c r="F69" s="1109" t="str">
        <f t="shared" si="9"/>
        <v/>
      </c>
      <c r="G69" s="1111">
        <f>IF(B69="Please select",0,(IF(C69="Default",INDEX(TAM_Default[#All],MATCH(Livestock!$C$2,TAM_Default[[#All],[Please select]],0),MATCH(Livestock!B69,TAM_Default[#Headers],0)),
IF(C69="Low-Productivity",INDEX(TAM_LP[#All],MATCH(Livestock!$C$2,TAM_LP[[#All],[Please select]],0),MATCH(Livestock!B69,TAM_LP[#Headers],0)),
IF(C69="High-Productivity",INDEX(TAM_HP[#All],MATCH(Livestock!$C$2,TAM_HP[[#All],[Please select]],0),MATCH(Livestock!B69,TAM_HP[#Headers],0)),0)))))</f>
        <v>0</v>
      </c>
      <c r="H69" s="1235">
        <f>IF(B69="Please select",0,(IF(C69="Default",INDEX(VS_rate_Default[#All],MATCH(Livestock!$C$2,VS_rate_Default[[#All],[Please select]],0),MATCH(Livestock!B69,VS_rate_Default[#Headers],0)),
IF(C69="Low-Productivity",INDEX(VS_rate_LP[#All],MATCH(Livestock!$C$2,VS_rate_LP[[#All],[Please select]],0),MATCH(Livestock!B69,VS_rate_HP[#Headers],0)),
IF(C69="High-Productivity",INDEX(VS_rate_HP[#All],MATCH(Livestock!$C$2,VS_rate_HP[[#All],[Please select]],0),MATCH(Livestock!B69,VS_rate_HP[#Headers],0)),0)))))</f>
        <v>0</v>
      </c>
      <c r="I69" s="1110">
        <f ca="1">IF(B69="Please select",0,(INDEX(INDIRECT(VLOOKUP(F69,list!$B$288:$D$310,1,FALSE)),MATCH(Livestock!$C$2,(INDIRECT(VLOOKUP(F69,list!$B$288:$D$310,2,FALSE))),0),MATCH('4.Grassland'!$BH$53,(INDIRECT(VLOOKUP(F69,list!$B$288:$D$310,3,FALSE))),0))))</f>
        <v>0</v>
      </c>
      <c r="J69" s="1104">
        <f ca="1">IF('4.Grassland'!BI63="",Livestock!$I69,'4.Grassland'!BI63*100)</f>
        <v>0</v>
      </c>
      <c r="K69" s="1104">
        <f ca="1">IF('4.Grassland'!BJ63="",Livestock!$I69,'4.Grassland'!BJ63*100)</f>
        <v>0</v>
      </c>
      <c r="L69" s="1104">
        <f ca="1">IF('4.Grassland'!BK63="",Livestock!$I69,'4.Grassland'!BK63*100)</f>
        <v>0</v>
      </c>
      <c r="M69" s="1104" t="str">
        <f>'4.Grassland'!BW63</f>
        <v>Please select</v>
      </c>
      <c r="N69" s="1044">
        <f ca="1">IF(OR($M69="Regional share",$M69="Please select"),0,IF($M69="Other (pls. specify EF)",0,IF(OR($B69="Deer",$B69="Ostrich"),0,INDEX(INDIRECT(VLOOKUP(E69,list!$B$312:$D$339,1,FALSE)),MATCH(clim_moist,INDIRECT(VLOOKUP(E69,list!$B$312:$D$339,2,FALSE)),0),MATCH($M69,INDIRECT(VLOOKUP(E69,list!$B$312:$D$339,3,FALSE)),0))*Livestock!$H69*Livestock!$G69/1000*365/1000)))</f>
        <v>0</v>
      </c>
      <c r="O69" s="1045">
        <f ca="1">IF('4.Grassland'!$BZ63="",N69,'4.Grassland'!$BZ63)</f>
        <v>0</v>
      </c>
      <c r="P69" s="1007">
        <f ca="1">IFERROR(IF($B69="Deer",0.22,IF($B69="Ostrich",5.67,INDEX(INDIRECT(VLOOKUP(E69,list!$B$312:$D$339,1,FALSE)),MATCH(clim_moist,INDIRECT(VLOOKUP(E69,list!$B$312:$D$339,2,FALSE)),0),MATCH('4.Grassland'!$BH$53,INDIRECT(VLOOKUP(E69,list!$B$312:$D$339,3,FALSE)),0))*Livestock!$H69*Livestock!$G69/1000*365/1000)),0)*I69/100</f>
        <v>0</v>
      </c>
      <c r="Q69" s="1044">
        <f ca="1">IF(OR($B69="Please select",$B69=$B$53),0,IF($B69="Deer",0.22,IF($B69="Ostrich",5.67,IF(OR($M69="Please select",$M69="Regional share"),SUMPRODUCT(INDEX(INDIRECT(VLOOKUP(E69,list!$B$312:$D$339,1,FALSE)),MATCH(clim_moist,INDIRECT(VLOOKUP(E69,list!$B$312:$D$339,2,FALSE)),0),0),INDEX(INDIRECT(VLOOKUP(F69,list!$B$288:$D$310,1,FALSE)),MATCH($C$2,INDIRECT(VLOOKUP(F69,list!$B$288:$D$310,2,FALSE)),0),0))/100*($H69*$G69/1000*365)/1000-P69,0))))</f>
        <v>0</v>
      </c>
      <c r="R69" s="2156">
        <f ca="1">IFERROR(IF('4.Grassland'!$BN63="",($P69/($I69/100)*$J69/100+IF(O69&lt;&gt;0, $O69/(1-$I69/100)*(1-$J69/100), $Q69/(1-$I69/100)*(1-$J69/100))),('4.Grassland'!$BN63*$J69/100+IF(O69&lt;&gt;0, $O69/(1-$I69/100)*(1-$J69/100),+$Q69*(1-$J69/100)))),0)</f>
        <v>0</v>
      </c>
      <c r="S69" s="2156">
        <f ca="1">IFERROR(IF('4.Grassland'!$BO63="",($P69/($I69/100)*$K69/100+IF(O69&lt;&gt;0, $O69/(1-$I69/100)*(1-$K69/100), $Q69/(1-$I69/100)*(1-$K69/100))),('4.Grassland'!$BO63*$K69/100+IF(O69&lt;&gt;0, $O69/(1-$I69/100)*(1-$K69/100),+$Q69*(1-$K69/100)))),0)</f>
        <v>0</v>
      </c>
      <c r="T69" s="2156">
        <f ca="1">IFERROR(IF('4.Grassland'!$BP63="",($P69/($I69/100)*$L69/100+IF(O69&lt;&gt;0, $O69/(1-$I69/100)*(1-$L69/100), $Q69/(1-$I69/100)*(1-$L69/100))),('4.Grassland'!$BP63*$L69/100+IF(O69&lt;&gt;0, $O69/(1-$I69/100)*(1-$L69/100),+$Q69*(1-$L69/100)))),0)</f>
        <v>0</v>
      </c>
      <c r="V69" s="3470">
        <f t="shared" ca="1" si="10"/>
        <v>0</v>
      </c>
      <c r="W69" s="1152">
        <f t="shared" ca="1" si="11"/>
        <v>0</v>
      </c>
      <c r="X69" s="3479">
        <f t="shared" ca="1" si="12"/>
        <v>0</v>
      </c>
      <c r="Z69" s="3470">
        <f ca="1">MIN($V69,$W69)*time_tot+ABS($W69-$V69)*IF($W69&gt;$V69,time_cap+time*(VLOOKUP($J15,list!$J$48:$K$50,2,0)),time*(1-(VLOOKUP($J15,list!$J$48:$K$50,2,0))))</f>
        <v>0</v>
      </c>
      <c r="AA69" s="3479">
        <f ca="1">MIN($V69,$X69)*time_tot+ABS($X69-$V69)*IF($X69&gt;$V69,time_cap+time*(VLOOKUP($L15,list!$J$48:$K$50,2,0)),time*(1-(VLOOKUP($L15,list!$J$48:$K$50,2,0))))</f>
        <v>0</v>
      </c>
      <c r="AB69" s="2162">
        <f t="shared" ca="1" si="13"/>
        <v>0</v>
      </c>
      <c r="AE69" s="992">
        <f ca="1">MIN($V69,$W69)*time+ABS($W69-$V69)*IF($W69&gt;$V69,time*(VLOOKUP($J15,list!$J$48:$K$50,2,)),time*(1-(VLOOKUP($J15,list!$J$48:$K$50,2,))))</f>
        <v>0</v>
      </c>
      <c r="AF69" s="992">
        <f ca="1">MIN($V69,$X69)*time+ABS($X69-$V69)*IF($X69&gt;$V69,time*(VLOOKUP($L15,list!$J$48:$K$50,2,)),time*(1-(VLOOKUP($L15,list!$J$48:$K$50,2,))))</f>
        <v>0</v>
      </c>
    </row>
    <row r="70" spans="2:32" x14ac:dyDescent="0.15">
      <c r="B70" s="973" t="str">
        <f t="shared" si="7"/>
        <v>Please select</v>
      </c>
      <c r="C70" s="973" t="str">
        <f t="shared" si="7"/>
        <v>Please select</v>
      </c>
      <c r="E70" s="1109" t="str">
        <f t="shared" si="8"/>
        <v/>
      </c>
      <c r="F70" s="1109" t="str">
        <f t="shared" si="9"/>
        <v/>
      </c>
      <c r="G70" s="1111">
        <f>IF(B70="Please select",0,(IF(C70="Default",INDEX(TAM_Default[#All],MATCH(Livestock!$C$2,TAM_Default[[#All],[Please select]],0),MATCH(Livestock!B70,TAM_Default[#Headers],0)),
IF(C70="Low-Productivity",INDEX(TAM_LP[#All],MATCH(Livestock!$C$2,TAM_LP[[#All],[Please select]],0),MATCH(Livestock!B70,TAM_LP[#Headers],0)),
IF(C70="High-Productivity",INDEX(TAM_HP[#All],MATCH(Livestock!$C$2,TAM_HP[[#All],[Please select]],0),MATCH(Livestock!B70,TAM_HP[#Headers],0)),0)))))</f>
        <v>0</v>
      </c>
      <c r="H70" s="1235">
        <f>IF(B70="Please select",0,(IF(C70="Default",INDEX(VS_rate_Default[#All],MATCH(Livestock!$C$2,VS_rate_Default[[#All],[Please select]],0),MATCH(Livestock!B70,VS_rate_Default[#Headers],0)),
IF(C70="Low-Productivity",INDEX(VS_rate_LP[#All],MATCH(Livestock!$C$2,VS_rate_LP[[#All],[Please select]],0),MATCH(Livestock!B70,VS_rate_HP[#Headers],0)),
IF(C70="High-Productivity",INDEX(VS_rate_HP[#All],MATCH(Livestock!$C$2,VS_rate_HP[[#All],[Please select]],0),MATCH(Livestock!B70,VS_rate_HP[#Headers],0)),0)))))</f>
        <v>0</v>
      </c>
      <c r="I70" s="1110">
        <f ca="1">IF(B70="Please select",0,(INDEX(INDIRECT(VLOOKUP(F70,list!$B$288:$D$310,1,FALSE)),MATCH(Livestock!$C$2,(INDIRECT(VLOOKUP(F70,list!$B$288:$D$310,2,FALSE))),0),MATCH('4.Grassland'!$BH$53,(INDIRECT(VLOOKUP(F70,list!$B$288:$D$310,3,FALSE))),0))))</f>
        <v>0</v>
      </c>
      <c r="J70" s="1104">
        <f ca="1">IF('4.Grassland'!BI64="",Livestock!$I70,'4.Grassland'!BI64*100)</f>
        <v>0</v>
      </c>
      <c r="K70" s="1104">
        <f ca="1">IF('4.Grassland'!BJ64="",Livestock!$I70,'4.Grassland'!BJ64*100)</f>
        <v>0</v>
      </c>
      <c r="L70" s="1104">
        <f ca="1">IF('4.Grassland'!BK64="",Livestock!$I70,'4.Grassland'!BK64*100)</f>
        <v>0</v>
      </c>
      <c r="M70" s="1104" t="str">
        <f>'4.Grassland'!BW64</f>
        <v>Please select</v>
      </c>
      <c r="N70" s="1044">
        <f ca="1">IF(OR($M70="Regional share",$M70="Please select"),0,IF($M70="Other (pls. specify EF)",0,IF(OR($B70="Deer",$B70="Ostrich"),0,INDEX(INDIRECT(VLOOKUP(E70,list!$B$312:$D$339,1,FALSE)),MATCH(clim_moist,INDIRECT(VLOOKUP(E70,list!$B$312:$D$339,2,FALSE)),0),MATCH($M70,INDIRECT(VLOOKUP(E70,list!$B$312:$D$339,3,FALSE)),0))*Livestock!$H70*Livestock!$G70/1000*365/1000)))</f>
        <v>0</v>
      </c>
      <c r="O70" s="1045">
        <f ca="1">IF('4.Grassland'!$BZ64="",N70,'4.Grassland'!$BZ64)</f>
        <v>0</v>
      </c>
      <c r="P70" s="1007">
        <f ca="1">IFERROR(IF($B70="Deer",0.22,IF($B70="Ostrich",5.67,INDEX(INDIRECT(VLOOKUP(E70,list!$B$312:$D$339,1,FALSE)),MATCH(clim_moist,INDIRECT(VLOOKUP(E70,list!$B$312:$D$339,2,FALSE)),0),MATCH('4.Grassland'!$BH$53,INDIRECT(VLOOKUP(E70,list!$B$312:$D$339,3,FALSE)),0))*Livestock!$H70*Livestock!$G70/1000*365/1000)),0)*I70/100</f>
        <v>0</v>
      </c>
      <c r="Q70" s="1044">
        <f ca="1">IF(OR($B70="Please select",$B70=$B$53),0,IF($B70="Deer",0.22,IF($B70="Ostrich",5.67,IF(OR($M70="Please select",$M70="Regional share"),SUMPRODUCT(INDEX(INDIRECT(VLOOKUP(E70,list!$B$312:$D$339,1,FALSE)),MATCH(clim_moist,INDIRECT(VLOOKUP(E70,list!$B$312:$D$339,2,FALSE)),0),0),INDEX(INDIRECT(VLOOKUP(F70,list!$B$288:$D$310,1,FALSE)),MATCH($C$2,INDIRECT(VLOOKUP(F70,list!$B$288:$D$310,2,FALSE)),0),0))/100*($H70*$G70/1000*365)/1000-P70,0))))</f>
        <v>0</v>
      </c>
      <c r="R70" s="2156">
        <f ca="1">IFERROR(IF('4.Grassland'!$BN64="",($P70/($I70/100)*$J70/100+IF(O70&lt;&gt;0, $O70/(1-$I70/100)*(1-$J70/100), $Q70/(1-$I70/100)*(1-$J70/100))),('4.Grassland'!$BN64*$J70/100+IF(O70&lt;&gt;0, $O70/(1-$I70/100)*(1-$J70/100),+$Q70*(1-$J70/100)))),0)</f>
        <v>0</v>
      </c>
      <c r="S70" s="2156">
        <f ca="1">IFERROR(IF('4.Grassland'!$BO64="",($P70/($I70/100)*$K70/100+IF(O70&lt;&gt;0, $O70/(1-$I70/100)*(1-$K70/100), $Q70/(1-$I70/100)*(1-$K70/100))),('4.Grassland'!$BO64*$K70/100+IF(O70&lt;&gt;0, $O70/(1-$I70/100)*(1-$K70/100),+$Q70*(1-$K70/100)))),0)</f>
        <v>0</v>
      </c>
      <c r="T70" s="2156">
        <f ca="1">IFERROR(IF('4.Grassland'!$BP64="",($P70/($I70/100)*$L70/100+IF(O70&lt;&gt;0, $O70/(1-$I70/100)*(1-$L70/100), $Q70/(1-$I70/100)*(1-$L70/100))),('4.Grassland'!$BP64*$L70/100+IF(O70&lt;&gt;0, $O70/(1-$I70/100)*(1-$L70/100),+$Q70*(1-$L70/100)))),0)</f>
        <v>0</v>
      </c>
      <c r="V70" s="3470">
        <f t="shared" ca="1" si="10"/>
        <v>0</v>
      </c>
      <c r="W70" s="1152">
        <f t="shared" ca="1" si="11"/>
        <v>0</v>
      </c>
      <c r="X70" s="3479">
        <f t="shared" ca="1" si="12"/>
        <v>0</v>
      </c>
      <c r="Z70" s="3470">
        <f ca="1">MIN($V70,$W70)*time_tot+ABS($W70-$V70)*IF($W70&gt;$V70,time_cap+time*(VLOOKUP($J16,list!$J$48:$K$50,2,0)),time*(1-(VLOOKUP($J16,list!$J$48:$K$50,2,0))))</f>
        <v>0</v>
      </c>
      <c r="AA70" s="3479">
        <f ca="1">MIN($V70,$X70)*time_tot+ABS($X70-$V70)*IF($X70&gt;$V70,time_cap+time*(VLOOKUP($L16,list!$J$48:$K$50,2,0)),time*(1-(VLOOKUP($L16,list!$J$48:$K$50,2,0))))</f>
        <v>0</v>
      </c>
      <c r="AB70" s="2162">
        <f t="shared" ca="1" si="13"/>
        <v>0</v>
      </c>
      <c r="AE70" s="992">
        <f ca="1">MIN($V70,$W70)*time+ABS($W70-$V70)*IF($W70&gt;$V70,time*(VLOOKUP($J16,list!$J$48:$K$50,2,)),time*(1-(VLOOKUP($J16,list!$J$48:$K$50,2,))))</f>
        <v>0</v>
      </c>
      <c r="AF70" s="992">
        <f ca="1">MIN($V70,$X70)*time+ABS($X70-$V70)*IF($X70&gt;$V70,time*(VLOOKUP($L16,list!$J$48:$K$50,2,)),time*(1-(VLOOKUP($L16,list!$J$48:$K$50,2,))))</f>
        <v>0</v>
      </c>
    </row>
    <row r="71" spans="2:32" x14ac:dyDescent="0.15">
      <c r="B71" s="973" t="str">
        <f t="shared" si="7"/>
        <v>Please select</v>
      </c>
      <c r="C71" s="973" t="str">
        <f t="shared" si="7"/>
        <v>Please select</v>
      </c>
      <c r="E71" s="1109" t="str">
        <f t="shared" si="8"/>
        <v/>
      </c>
      <c r="F71" s="1109" t="str">
        <f t="shared" si="9"/>
        <v/>
      </c>
      <c r="G71" s="1111">
        <f>IF(B71="Please select",0,(IF(C71="Default",INDEX(TAM_Default[#All],MATCH(Livestock!$C$2,TAM_Default[[#All],[Please select]],0),MATCH(Livestock!B71,TAM_Default[#Headers],0)),
IF(C71="Low-Productivity",INDEX(TAM_LP[#All],MATCH(Livestock!$C$2,TAM_LP[[#All],[Please select]],0),MATCH(Livestock!B71,TAM_LP[#Headers],0)),
IF(C71="High-Productivity",INDEX(TAM_HP[#All],MATCH(Livestock!$C$2,TAM_HP[[#All],[Please select]],0),MATCH(Livestock!B71,TAM_HP[#Headers],0)),0)))))</f>
        <v>0</v>
      </c>
      <c r="H71" s="1235">
        <f>IF(B71="Please select",0,(IF(C71="Default",INDEX(VS_rate_Default[#All],MATCH(Livestock!$C$2,VS_rate_Default[[#All],[Please select]],0),MATCH(Livestock!B71,VS_rate_Default[#Headers],0)),
IF(C71="Low-Productivity",INDEX(VS_rate_LP[#All],MATCH(Livestock!$C$2,VS_rate_LP[[#All],[Please select]],0),MATCH(Livestock!B71,VS_rate_HP[#Headers],0)),
IF(C71="High-Productivity",INDEX(VS_rate_HP[#All],MATCH(Livestock!$C$2,VS_rate_HP[[#All],[Please select]],0),MATCH(Livestock!B71,VS_rate_HP[#Headers],0)),0)))))</f>
        <v>0</v>
      </c>
      <c r="I71" s="1110">
        <f ca="1">IF(B71="Please select",0,(INDEX(INDIRECT(VLOOKUP(F71,list!$B$288:$D$310,1,FALSE)),MATCH(Livestock!$C$2,(INDIRECT(VLOOKUP(F71,list!$B$288:$D$310,2,FALSE))),0),MATCH('4.Grassland'!$BH$53,(INDIRECT(VLOOKUP(F71,list!$B$288:$D$310,3,FALSE))),0))))</f>
        <v>0</v>
      </c>
      <c r="J71" s="1104">
        <f ca="1">IF('4.Grassland'!BI65="",Livestock!$I71,'4.Grassland'!BI65*100)</f>
        <v>0</v>
      </c>
      <c r="K71" s="1104">
        <f ca="1">IF('4.Grassland'!BJ65="",Livestock!$I71,'4.Grassland'!BJ65*100)</f>
        <v>0</v>
      </c>
      <c r="L71" s="1104">
        <f ca="1">IF('4.Grassland'!BK65="",Livestock!$I71,'4.Grassland'!BK65*100)</f>
        <v>0</v>
      </c>
      <c r="M71" s="1104" t="str">
        <f>'4.Grassland'!BW65</f>
        <v>Please select</v>
      </c>
      <c r="N71" s="1044">
        <f ca="1">IF(OR($M71="Regional share",$M71="Please select"),0,IF($M71="Other (pls. specify EF)",0,IF(OR($B71="Deer",$B71="Ostrich"),0,INDEX(INDIRECT(VLOOKUP(E71,list!$B$312:$D$339,1,FALSE)),MATCH(clim_moist,INDIRECT(VLOOKUP(E71,list!$B$312:$D$339,2,FALSE)),0),MATCH($M71,INDIRECT(VLOOKUP(E71,list!$B$312:$D$339,3,FALSE)),0))*Livestock!$H71*Livestock!$G71/1000*365/1000)))</f>
        <v>0</v>
      </c>
      <c r="O71" s="1045">
        <f ca="1">IF('4.Grassland'!$BZ65="",N71,'4.Grassland'!$BZ65)</f>
        <v>0</v>
      </c>
      <c r="P71" s="1007">
        <f ca="1">IFERROR(IF($B71="Deer",0.22,IF($B71="Ostrich",5.67,INDEX(INDIRECT(VLOOKUP(E71,list!$B$312:$D$339,1,FALSE)),MATCH(clim_moist,INDIRECT(VLOOKUP(E71,list!$B$312:$D$339,2,FALSE)),0),MATCH('4.Grassland'!$BH$53,INDIRECT(VLOOKUP(E71,list!$B$312:$D$339,3,FALSE)),0))*Livestock!$H71*Livestock!$G71/1000*365/1000)),0)*I71/100</f>
        <v>0</v>
      </c>
      <c r="Q71" s="1044">
        <f ca="1">IF(OR($B71="Please select",$B71=$B$53),0,IF($B71="Deer",0.22,IF($B71="Ostrich",5.67,IF(OR($M71="Please select",$M71="Regional share"),SUMPRODUCT(INDEX(INDIRECT(VLOOKUP(E71,list!$B$312:$D$339,1,FALSE)),MATCH(clim_moist,INDIRECT(VLOOKUP(E71,list!$B$312:$D$339,2,FALSE)),0),0),INDEX(INDIRECT(VLOOKUP(F71,list!$B$288:$D$310,1,FALSE)),MATCH($C$2,INDIRECT(VLOOKUP(F71,list!$B$288:$D$310,2,FALSE)),0),0))/100*($H71*$G71/1000*365)/1000-P71,0))))</f>
        <v>0</v>
      </c>
      <c r="R71" s="2156">
        <f ca="1">IFERROR(IF('4.Grassland'!$BN65="",($P71/($I71/100)*$J71/100+IF(O71&lt;&gt;0, $O71/(1-$I71/100)*(1-$J71/100), $Q71/(1-$I71/100)*(1-$J71/100))),('4.Grassland'!$BN65*$J71/100+IF(O71&lt;&gt;0, $O71/(1-$I71/100)*(1-$J71/100),+$Q71*(1-$J71/100)))),0)</f>
        <v>0</v>
      </c>
      <c r="S71" s="2156">
        <f ca="1">IFERROR(IF('4.Grassland'!$BO65="",($P71/($I71/100)*$K71/100+IF(O71&lt;&gt;0, $O71/(1-$I71/100)*(1-$K71/100), $Q71/(1-$I71/100)*(1-$K71/100))),('4.Grassland'!$BO65*$K71/100+IF(O71&lt;&gt;0, $O71/(1-$I71/100)*(1-$K71/100),+$Q71*(1-$K71/100)))),0)</f>
        <v>0</v>
      </c>
      <c r="T71" s="2156">
        <f ca="1">IFERROR(IF('4.Grassland'!$BP65="",($P71/($I71/100)*$L71/100+IF(O71&lt;&gt;0, $O71/(1-$I71/100)*(1-$L71/100), $Q71/(1-$I71/100)*(1-$L71/100))),('4.Grassland'!$BP65*$L71/100+IF(O71&lt;&gt;0, $O71/(1-$I71/100)*(1-$L71/100),+$Q71*(1-$L71/100)))),0)</f>
        <v>0</v>
      </c>
      <c r="V71" s="3470">
        <f t="shared" ca="1" si="10"/>
        <v>0</v>
      </c>
      <c r="W71" s="1152">
        <f t="shared" ca="1" si="11"/>
        <v>0</v>
      </c>
      <c r="X71" s="3479">
        <f t="shared" ca="1" si="12"/>
        <v>0</v>
      </c>
      <c r="Z71" s="3470">
        <f ca="1">MIN($V71,$W71)*time_tot+ABS($W71-$V71)*IF($W71&gt;$V71,time_cap+time*(VLOOKUP($J17,list!$J$48:$K$50,2,0)),time*(1-(VLOOKUP($J17,list!$J$48:$K$50,2,0))))</f>
        <v>0</v>
      </c>
      <c r="AA71" s="3479">
        <f ca="1">MIN($V71,$X71)*time_tot+ABS($X71-$V71)*IF($X71&gt;$V71,time_cap+time*(VLOOKUP($L17,list!$J$48:$K$50,2,0)),time*(1-(VLOOKUP($L17,list!$J$48:$K$50,2,0))))</f>
        <v>0</v>
      </c>
      <c r="AB71" s="2162">
        <f t="shared" ca="1" si="13"/>
        <v>0</v>
      </c>
      <c r="AE71" s="992">
        <f ca="1">MIN($V71,$W71)*time+ABS($W71-$V71)*IF($W71&gt;$V71,time*(VLOOKUP($J17,list!$J$48:$K$50,2,)),time*(1-(VLOOKUP($J17,list!$J$48:$K$50,2,))))</f>
        <v>0</v>
      </c>
      <c r="AF71" s="992">
        <f ca="1">MIN($V71,$X71)*time+ABS($X71-$V71)*IF($X71&gt;$V71,time*(VLOOKUP($L17,list!$J$48:$K$50,2,)),time*(1-(VLOOKUP($L17,list!$J$48:$K$50,2,))))</f>
        <v>0</v>
      </c>
    </row>
    <row r="72" spans="2:32" x14ac:dyDescent="0.15">
      <c r="B72" s="973" t="str">
        <f t="shared" si="7"/>
        <v>Please select</v>
      </c>
      <c r="C72" s="973" t="str">
        <f t="shared" si="7"/>
        <v>Please select</v>
      </c>
      <c r="E72" s="1109" t="str">
        <f t="shared" si="8"/>
        <v/>
      </c>
      <c r="F72" s="1109" t="str">
        <f t="shared" si="9"/>
        <v/>
      </c>
      <c r="G72" s="1111">
        <f>IF(B72="Please select",0,(IF(C72="Default",INDEX(TAM_Default[#All],MATCH(Livestock!$C$2,TAM_Default[[#All],[Please select]],0),MATCH(Livestock!B72,TAM_Default[#Headers],0)),
IF(C72="Low-Productivity",INDEX(TAM_LP[#All],MATCH(Livestock!$C$2,TAM_LP[[#All],[Please select]],0),MATCH(Livestock!B72,TAM_LP[#Headers],0)),
IF(C72="High-Productivity",INDEX(TAM_HP[#All],MATCH(Livestock!$C$2,TAM_HP[[#All],[Please select]],0),MATCH(Livestock!B72,TAM_HP[#Headers],0)),0)))))</f>
        <v>0</v>
      </c>
      <c r="H72" s="1235">
        <f>IF(B72="Please select",0,(IF(C72="Default",INDEX(VS_rate_Default[#All],MATCH(Livestock!$C$2,VS_rate_Default[[#All],[Please select]],0),MATCH(Livestock!B72,VS_rate_Default[#Headers],0)),
IF(C72="Low-Productivity",INDEX(VS_rate_LP[#All],MATCH(Livestock!$C$2,VS_rate_LP[[#All],[Please select]],0),MATCH(Livestock!B72,VS_rate_HP[#Headers],0)),
IF(C72="High-Productivity",INDEX(VS_rate_HP[#All],MATCH(Livestock!$C$2,VS_rate_HP[[#All],[Please select]],0),MATCH(Livestock!B72,VS_rate_HP[#Headers],0)),0)))))</f>
        <v>0</v>
      </c>
      <c r="I72" s="1110">
        <f ca="1">IF(B72="Please select",0,(INDEX(INDIRECT(VLOOKUP(F72,list!$B$288:$D$310,1,FALSE)),MATCH(Livestock!$C$2,(INDIRECT(VLOOKUP(F72,list!$B$288:$D$310,2,FALSE))),0),MATCH('4.Grassland'!$BH$53,(INDIRECT(VLOOKUP(F72,list!$B$288:$D$310,3,FALSE))),0))))</f>
        <v>0</v>
      </c>
      <c r="J72" s="1104">
        <f ca="1">IF('4.Grassland'!BI66="",Livestock!$I72,'4.Grassland'!BI66*100)</f>
        <v>0</v>
      </c>
      <c r="K72" s="1104">
        <f ca="1">IF('4.Grassland'!BJ66="",Livestock!$I72,'4.Grassland'!BJ66*100)</f>
        <v>0</v>
      </c>
      <c r="L72" s="1104">
        <f ca="1">IF('4.Grassland'!BK66="",Livestock!$I72,'4.Grassland'!BK66*100)</f>
        <v>0</v>
      </c>
      <c r="M72" s="1104" t="str">
        <f>'4.Grassland'!BW66</f>
        <v>Please select</v>
      </c>
      <c r="N72" s="1044">
        <f ca="1">IF(OR($M72="Regional share",$M72="Please select"),0,IF($M72="Other (pls. specify EF)",0,IF(OR($B72="Deer",$B72="Ostrich"),0,INDEX(INDIRECT(VLOOKUP(E72,list!$B$312:$D$339,1,FALSE)),MATCH(clim_moist,INDIRECT(VLOOKUP(E72,list!$B$312:$D$339,2,FALSE)),0),MATCH($M72,INDIRECT(VLOOKUP(E72,list!$B$312:$D$339,3,FALSE)),0))*Livestock!$H72*Livestock!$G72/1000*365/1000)))</f>
        <v>0</v>
      </c>
      <c r="O72" s="1045">
        <f ca="1">IF('4.Grassland'!$BZ66="",N72,'4.Grassland'!$BZ66)</f>
        <v>0</v>
      </c>
      <c r="P72" s="1007">
        <f ca="1">IFERROR(IF($B72="Deer",0.22,IF($B72="Ostrich",5.67,INDEX(INDIRECT(VLOOKUP(E72,list!$B$312:$D$339,1,FALSE)),MATCH(clim_moist,INDIRECT(VLOOKUP(E72,list!$B$312:$D$339,2,FALSE)),0),MATCH('4.Grassland'!$BH$53,INDIRECT(VLOOKUP(E72,list!$B$312:$D$339,3,FALSE)),0))*Livestock!$H72*Livestock!$G72/1000*365/1000)),0)*I72/100</f>
        <v>0</v>
      </c>
      <c r="Q72" s="1044">
        <f ca="1">IF(OR($B72="Please select",$B72=$B$53),0,IF($B72="Deer",0.22,IF($B72="Ostrich",5.67,IF(OR($M72="Please select",$M72="Regional share"),SUMPRODUCT(INDEX(INDIRECT(VLOOKUP(E72,list!$B$312:$D$339,1,FALSE)),MATCH(clim_moist,INDIRECT(VLOOKUP(E72,list!$B$312:$D$339,2,FALSE)),0),0),INDEX(INDIRECT(VLOOKUP(F72,list!$B$288:$D$310,1,FALSE)),MATCH($C$2,INDIRECT(VLOOKUP(F72,list!$B$288:$D$310,2,FALSE)),0),0))/100*($H72*$G72/1000*365)/1000-P72,0))))</f>
        <v>0</v>
      </c>
      <c r="R72" s="2156">
        <f ca="1">IFERROR(IF('4.Grassland'!$BN66="",($P72/($I72/100)*$J72/100+IF(O72&lt;&gt;0, $O72/(1-$I72/100)*(1-$J72/100), $Q72/(1-$I72/100)*(1-$J72/100))),('4.Grassland'!$BN66*$J72/100+IF(O72&lt;&gt;0, $O72/(1-$I72/100)*(1-$J72/100),+$Q72*(1-$J72/100)))),0)</f>
        <v>0</v>
      </c>
      <c r="S72" s="2156">
        <f ca="1">IFERROR(IF('4.Grassland'!$BO66="",($P72/($I72/100)*$K72/100+IF(O72&lt;&gt;0, $O72/(1-$I72/100)*(1-$K72/100), $Q72/(1-$I72/100)*(1-$K72/100))),('4.Grassland'!$BO66*$K72/100+IF(O72&lt;&gt;0, $O72/(1-$I72/100)*(1-$K72/100),+$Q72*(1-$K72/100)))),0)</f>
        <v>0</v>
      </c>
      <c r="T72" s="2156">
        <f ca="1">IFERROR(IF('4.Grassland'!$BP66="",($P72/($I72/100)*$L72/100+IF(O72&lt;&gt;0, $O72/(1-$I72/100)*(1-$L72/100), $Q72/(1-$I72/100)*(1-$L72/100))),('4.Grassland'!$BP66*$L72/100+IF(O72&lt;&gt;0, $O72/(1-$I72/100)*(1-$L72/100),+$Q72*(1-$L72/100)))),0)</f>
        <v>0</v>
      </c>
      <c r="V72" s="3471">
        <f t="shared" ca="1" si="10"/>
        <v>0</v>
      </c>
      <c r="W72" s="1153">
        <f t="shared" ca="1" si="11"/>
        <v>0</v>
      </c>
      <c r="X72" s="3480">
        <f t="shared" ca="1" si="12"/>
        <v>0</v>
      </c>
      <c r="Z72" s="3471">
        <f ca="1">MIN($V72,$W72)*time_tot+ABS($W72-$V72)*IF($W72&gt;$V72,time_cap+time*(VLOOKUP($J18,list!$J$48:$K$50,2,0)),time*(1-(VLOOKUP($J18,list!$J$48:$K$50,2,0))))</f>
        <v>0</v>
      </c>
      <c r="AA72" s="3480">
        <f ca="1">MIN($V72,$X72)*time_tot+ABS($X72-$V72)*IF($X72&gt;$V72,time_cap+time*(VLOOKUP($L18,list!$J$48:$K$50,2,0)),time*(1-(VLOOKUP($L18,list!$J$48:$K$50,2,0))))</f>
        <v>0</v>
      </c>
      <c r="AB72" s="3492">
        <f ca="1">AA72-Z72</f>
        <v>0</v>
      </c>
      <c r="AE72" s="992">
        <f ca="1">MIN($V72,$W72)*time+ABS($W72-$V72)*IF($W72&gt;$V72,time*(VLOOKUP($J18,list!$J$48:$K$50,2,)),time*(1-(VLOOKUP($J18,list!$J$48:$K$50,2,))))</f>
        <v>0</v>
      </c>
      <c r="AF72" s="992">
        <f ca="1">MIN($V72,$X72)*time+ABS($X72-$V72)*IF($X72&gt;$V72,time*(VLOOKUP($L18,list!$J$48:$K$50,2,)),time*(1-(VLOOKUP($L18,list!$J$48:$K$50,2,))))</f>
        <v>0</v>
      </c>
    </row>
    <row r="73" spans="2:32" x14ac:dyDescent="0.15">
      <c r="B73" s="973" t="str">
        <f t="shared" si="7"/>
        <v>Please select</v>
      </c>
      <c r="C73" s="973" t="str">
        <f t="shared" si="7"/>
        <v>Please select</v>
      </c>
      <c r="E73" s="1109" t="str">
        <f t="shared" ref="E73:E78" si="14">IF(B73="Please select","",IF(AND(OR($C$2="North America",$C$2="Western Europe",$C$2="Eastern Europe",$C$2="Oceania"),(C73="Default")),VLOOKUP($B73,$B$36:$E$54,4,FALSE),INDEX($B$36:$E$54,MATCH($B73,$B$36:$B$54,0),MATCH($C73,$B$36:$E$36,0))))</f>
        <v/>
      </c>
      <c r="F73" s="1109" t="str">
        <f t="shared" ref="F73:F78" si="15">IF(B73="Please select","",IF(AND(OR($C$2="North America",$C$2="Western Europe",$C$2="Eastern Europe",$C$2="Oceania"),(C73="Default")),VLOOKUP($B73,$H$36:$K$54,4,FALSE),INDEX($H$36:$K$54,MATCH($B73,$H$36:$H$54,0),MATCH($C73,$H$36:$K$36,0))))</f>
        <v/>
      </c>
      <c r="G73" s="1111">
        <f>IF(B73="Please select",0,(IF(C73="Default",INDEX(TAM_Default[#All],MATCH(Livestock!$C$2,TAM_Default[[#All],[Please select]],0),MATCH(Livestock!B73,TAM_Default[#Headers],0)),
IF(C73="Low-Productivity",INDEX(TAM_LP[#All],MATCH(Livestock!$C$2,TAM_LP[[#All],[Please select]],0),MATCH(Livestock!B73,TAM_LP[#Headers],0)),
IF(C73="High-Productivity",INDEX(TAM_HP[#All],MATCH(Livestock!$C$2,TAM_HP[[#All],[Please select]],0),MATCH(Livestock!B73,TAM_HP[#Headers],0)),0)))))</f>
        <v>0</v>
      </c>
      <c r="H73" s="1235">
        <f>IF(B73="Please select",0,(IF(C73="Default",INDEX(VS_rate_Default[#All],MATCH(Livestock!$C$2,VS_rate_Default[[#All],[Please select]],0),MATCH(Livestock!B73,VS_rate_Default[#Headers],0)),
IF(C73="Low-Productivity",INDEX(VS_rate_LP[#All],MATCH(Livestock!$C$2,VS_rate_LP[[#All],[Please select]],0),MATCH(Livestock!B73,VS_rate_HP[#Headers],0)),
IF(C73="High-Productivity",INDEX(VS_rate_HP[#All],MATCH(Livestock!$C$2,VS_rate_HP[[#All],[Please select]],0),MATCH(Livestock!B73,VS_rate_HP[#Headers],0)),0)))))</f>
        <v>0</v>
      </c>
      <c r="I73" s="1110">
        <f ca="1">IF(B73="Please select",0,(INDEX(INDIRECT(VLOOKUP(F73,list!$B$288:$D$310,1,FALSE)),MATCH(Livestock!$C$2,(INDIRECT(VLOOKUP(F73,list!$B$288:$D$310,2,FALSE))),0),MATCH('4.Grassland'!$BH$53,(INDIRECT(VLOOKUP(F73,list!$B$288:$D$310,3,FALSE))),0))))</f>
        <v>0</v>
      </c>
      <c r="J73" s="1104">
        <f ca="1">IF('4.Grassland'!BI67="",Livestock!$I73,'4.Grassland'!BI67*100)</f>
        <v>0</v>
      </c>
      <c r="K73" s="1104">
        <f ca="1">IF('4.Grassland'!BJ67="",Livestock!$I73,'4.Grassland'!BJ67*100)</f>
        <v>0</v>
      </c>
      <c r="L73" s="1104">
        <f ca="1">IF('4.Grassland'!BK67="",Livestock!$I73,'4.Grassland'!BK67*100)</f>
        <v>0</v>
      </c>
      <c r="M73" s="1104" t="str">
        <f>'4.Grassland'!BW67</f>
        <v>Please select</v>
      </c>
      <c r="N73" s="1044">
        <f ca="1">IF(OR($M73="Regional share",$M73="Please select"),0,IF($M73="Other (pls. specify EF)",0,IF(OR($B73="Deer",$B73="Ostrich"),0,INDEX(INDIRECT(VLOOKUP(E73,list!$B$312:$D$339,1,FALSE)),MATCH(clim_moist,INDIRECT(VLOOKUP(E73,list!$B$312:$D$339,2,FALSE)),0),MATCH($M73,INDIRECT(VLOOKUP(E73,list!$B$312:$D$339,3,FALSE)),0))*Livestock!$H73*Livestock!$G73/1000*365/1000)))</f>
        <v>0</v>
      </c>
      <c r="O73" s="1045">
        <f ca="1">IF('4.Grassland'!$BZ67="",N73,'4.Grassland'!$BZ67)</f>
        <v>0</v>
      </c>
      <c r="P73" s="1007">
        <f ca="1">IFERROR(IF($B73="Deer",0.22,IF($B73="Ostrich",5.67,INDEX(INDIRECT(VLOOKUP(E73,list!$B$312:$D$339,1,FALSE)),MATCH(clim_moist,INDIRECT(VLOOKUP(E73,list!$B$312:$D$339,2,FALSE)),0),MATCH('4.Grassland'!$BH$53,INDIRECT(VLOOKUP(E73,list!$B$312:$D$339,3,FALSE)),0))*Livestock!$H73*Livestock!$G73/1000*365/1000)),0)*I73/100</f>
        <v>0</v>
      </c>
      <c r="Q73" s="1044">
        <f ca="1">IF(OR($B73="Please select",$B73=$B$53),0,IF($B73="Deer",0.22,IF($B73="Ostrich",5.67,IF(OR($M73="Please select",$M73="Regional share"),SUMPRODUCT(INDEX(INDIRECT(VLOOKUP(E73,list!$B$312:$D$339,1,FALSE)),MATCH(clim_moist,INDIRECT(VLOOKUP(E73,list!$B$312:$D$339,2,FALSE)),0),0),INDEX(INDIRECT(VLOOKUP(F73,list!$B$288:$D$310,1,FALSE)),MATCH($C$2,INDIRECT(VLOOKUP(F73,list!$B$288:$D$310,2,FALSE)),0),0))/100*($H73*$G73/1000*365)/1000-P73,0))))</f>
        <v>0</v>
      </c>
      <c r="R73" s="2156">
        <f ca="1">IFERROR(IF('4.Grassland'!$BN67="",($P73/($I73/100)*$J73/100+IF(O73&lt;&gt;0, $O73/(1-$I73/100)*(1-$J73/100), $Q73/(1-$I73/100)*(1-$J73/100))),('4.Grassland'!$BN67*$J73/100+IF(O73&lt;&gt;0, $O73/(1-$I73/100)*(1-$J73/100),+$Q73*(1-$J73/100)))),0)</f>
        <v>0</v>
      </c>
      <c r="S73" s="2156">
        <f ca="1">IFERROR(IF('4.Grassland'!$BO67="",($P73/($I73/100)*$K73/100+IF(O73&lt;&gt;0, $O73/(1-$I73/100)*(1-$K73/100), $Q73/(1-$I73/100)*(1-$K73/100))),('4.Grassland'!$BO67*$K73/100+IF(O73&lt;&gt;0, $O73/(1-$I73/100)*(1-$K73/100),+$Q73*(1-$K73/100)))),0)</f>
        <v>0</v>
      </c>
      <c r="T73" s="2156">
        <f ca="1">IFERROR(IF('4.Grassland'!$BP67="",($P73/($I73/100)*$L73/100+IF(O73&lt;&gt;0, $O73/(1-$I73/100)*(1-$L73/100), $Q73/(1-$I73/100)*(1-$L73/100))),('4.Grassland'!$BP67*$L73/100+IF(O73&lt;&gt;0, $O73/(1-$I73/100)*(1-$L73/100),+$Q73*(1-$L73/100)))),0)</f>
        <v>0</v>
      </c>
      <c r="V73" s="3471">
        <f t="shared" ca="1" si="10"/>
        <v>0</v>
      </c>
      <c r="W73" s="1153">
        <f t="shared" ca="1" si="11"/>
        <v>0</v>
      </c>
      <c r="X73" s="3480">
        <f t="shared" ca="1" si="12"/>
        <v>0</v>
      </c>
      <c r="Z73" s="3471">
        <f ca="1">MIN($V73,$W73)*time_tot+ABS($W73-$V73)*IF($W73&gt;$V73,time_cap+time*(VLOOKUP($J19,list!$J$48:$K$50,2,0)),time*(1-(VLOOKUP($J19,list!$J$48:$K$50,2,0))))</f>
        <v>0</v>
      </c>
      <c r="AA73" s="3480">
        <f ca="1">MIN($V73,$X73)*time_tot+ABS($X73-$V73)*IF($X73&gt;$V73,time_cap+time*(VLOOKUP($L19,list!$J$48:$K$50,2,0)),time*(1-(VLOOKUP($L19,list!$J$48:$K$50,2,0))))</f>
        <v>0</v>
      </c>
      <c r="AB73" s="3492">
        <f t="shared" ref="AB73:AB78" ca="1" si="16">AA73-Z73</f>
        <v>0</v>
      </c>
    </row>
    <row r="74" spans="2:32" x14ac:dyDescent="0.15">
      <c r="B74" s="973" t="str">
        <f t="shared" si="7"/>
        <v>Please select</v>
      </c>
      <c r="C74" s="973" t="str">
        <f t="shared" si="7"/>
        <v>Please select</v>
      </c>
      <c r="E74" s="1109" t="str">
        <f t="shared" si="14"/>
        <v/>
      </c>
      <c r="F74" s="1109" t="str">
        <f t="shared" si="15"/>
        <v/>
      </c>
      <c r="G74" s="1111">
        <f>IF(B74="Please select",0,(IF(C74="Default",INDEX(TAM_Default[#All],MATCH(Livestock!$C$2,TAM_Default[[#All],[Please select]],0),MATCH(Livestock!B74,TAM_Default[#Headers],0)),
IF(C74="Low-Productivity",INDEX(TAM_LP[#All],MATCH(Livestock!$C$2,TAM_LP[[#All],[Please select]],0),MATCH(Livestock!B74,TAM_LP[#Headers],0)),
IF(C74="High-Productivity",INDEX(TAM_HP[#All],MATCH(Livestock!$C$2,TAM_HP[[#All],[Please select]],0),MATCH(Livestock!B74,TAM_HP[#Headers],0)),0)))))</f>
        <v>0</v>
      </c>
      <c r="H74" s="1235">
        <f>IF(B74="Please select",0,(IF(C74="Default",INDEX(VS_rate_Default[#All],MATCH(Livestock!$C$2,VS_rate_Default[[#All],[Please select]],0),MATCH(Livestock!B74,VS_rate_Default[#Headers],0)),
IF(C74="Low-Productivity",INDEX(VS_rate_LP[#All],MATCH(Livestock!$C$2,VS_rate_LP[[#All],[Please select]],0),MATCH(Livestock!B74,VS_rate_HP[#Headers],0)),
IF(C74="High-Productivity",INDEX(VS_rate_HP[#All],MATCH(Livestock!$C$2,VS_rate_HP[[#All],[Please select]],0),MATCH(Livestock!B74,VS_rate_HP[#Headers],0)),0)))))</f>
        <v>0</v>
      </c>
      <c r="I74" s="1110">
        <f ca="1">IF(B74="Please select",0,(INDEX(INDIRECT(VLOOKUP(F74,list!$B$288:$D$310,1,FALSE)),MATCH(Livestock!$C$2,(INDIRECT(VLOOKUP(F74,list!$B$288:$D$310,2,FALSE))),0),MATCH('4.Grassland'!$BH$53,(INDIRECT(VLOOKUP(F74,list!$B$288:$D$310,3,FALSE))),0))))</f>
        <v>0</v>
      </c>
      <c r="J74" s="1104">
        <f ca="1">IF('4.Grassland'!BI68="",Livestock!$I74,'4.Grassland'!BI68*100)</f>
        <v>0</v>
      </c>
      <c r="K74" s="1104">
        <f ca="1">IF('4.Grassland'!BJ68="",Livestock!$I74,'4.Grassland'!BJ68*100)</f>
        <v>0</v>
      </c>
      <c r="L74" s="1104">
        <f ca="1">IF('4.Grassland'!BK68="",Livestock!$I74,'4.Grassland'!BK68*100)</f>
        <v>0</v>
      </c>
      <c r="M74" s="1104" t="str">
        <f>'4.Grassland'!BW68</f>
        <v>Please select</v>
      </c>
      <c r="N74" s="1044">
        <f ca="1">IF(OR($M74="Regional share",$M74="Please select"),0,IF($M74="Other (pls. specify EF)",0,IF(OR($B74="Deer",$B74="Ostrich"),0,INDEX(INDIRECT(VLOOKUP(E74,list!$B$312:$D$339,1,FALSE)),MATCH(clim_moist,INDIRECT(VLOOKUP(E74,list!$B$312:$D$339,2,FALSE)),0),MATCH($M74,INDIRECT(VLOOKUP(E74,list!$B$312:$D$339,3,FALSE)),0))*Livestock!$H74*Livestock!$G74/1000*365/1000)))</f>
        <v>0</v>
      </c>
      <c r="O74" s="1045">
        <f ca="1">IF('4.Grassland'!$BZ68="",N74,'4.Grassland'!$BZ68)</f>
        <v>0</v>
      </c>
      <c r="P74" s="1007">
        <f ca="1">IFERROR(IF($B74="Deer",0.22,IF($B74="Ostrich",5.67,INDEX(INDIRECT(VLOOKUP(E74,list!$B$312:$D$339,1,FALSE)),MATCH(clim_moist,INDIRECT(VLOOKUP(E74,list!$B$312:$D$339,2,FALSE)),0),MATCH('4.Grassland'!$BH$53,INDIRECT(VLOOKUP(E74,list!$B$312:$D$339,3,FALSE)),0))*Livestock!$H74*Livestock!$G74/1000*365/1000)),0)*I74/100</f>
        <v>0</v>
      </c>
      <c r="Q74" s="1044">
        <f ca="1">IF(OR($B74="Please select",$B74=$B$53),0,IF($B74="Deer",0.22,IF($B74="Ostrich",5.67,IF(OR($M74="Please select",$M74="Regional share"),SUMPRODUCT(INDEX(INDIRECT(VLOOKUP(E74,list!$B$312:$D$339,1,FALSE)),MATCH(clim_moist,INDIRECT(VLOOKUP(E74,list!$B$312:$D$339,2,FALSE)),0),0),INDEX(INDIRECT(VLOOKUP(F74,list!$B$288:$D$310,1,FALSE)),MATCH($C$2,INDIRECT(VLOOKUP(F74,list!$B$288:$D$310,2,FALSE)),0),0))/100*($H74*$G74/1000*365)/1000-P74,0))))</f>
        <v>0</v>
      </c>
      <c r="R74" s="2156">
        <f ca="1">IFERROR(IF('4.Grassland'!$BN68="",($P74/($I74/100)*$J74/100+IF(O74&lt;&gt;0, $O74/(1-$I74/100)*(1-$J74/100), $Q74/(1-$I74/100)*(1-$J74/100))),('4.Grassland'!$BN68*$J74/100+IF(O74&lt;&gt;0, $O74/(1-$I74/100)*(1-$J74/100),+$Q74*(1-$J74/100)))),0)</f>
        <v>0</v>
      </c>
      <c r="S74" s="2156">
        <f ca="1">IFERROR(IF('4.Grassland'!$BO68="",($P74/($I74/100)*$K74/100+IF(O74&lt;&gt;0, $O74/(1-$I74/100)*(1-$K74/100), $Q74/(1-$I74/100)*(1-$K74/100))),('4.Grassland'!$BO68*$K74/100+IF(O74&lt;&gt;0, $O74/(1-$I74/100)*(1-$K74/100),+$Q74*(1-$K74/100)))),0)</f>
        <v>0</v>
      </c>
      <c r="T74" s="2156">
        <f ca="1">IFERROR(IF('4.Grassland'!$BP68="",($P74/($I74/100)*$L74/100+IF(O74&lt;&gt;0, $O74/(1-$I74/100)*(1-$L74/100), $Q74/(1-$I74/100)*(1-$L74/100))),('4.Grassland'!$BP68*$L74/100+IF(O74&lt;&gt;0, $O74/(1-$I74/100)*(1-$L74/100),+$Q74*(1-$L74/100)))),0)</f>
        <v>0</v>
      </c>
      <c r="V74" s="3471">
        <f t="shared" ca="1" si="10"/>
        <v>0</v>
      </c>
      <c r="W74" s="1153">
        <f t="shared" ca="1" si="11"/>
        <v>0</v>
      </c>
      <c r="X74" s="3480">
        <f t="shared" ca="1" si="12"/>
        <v>0</v>
      </c>
      <c r="Z74" s="3471">
        <f ca="1">MIN($V74,$W74)*time_tot+ABS($W74-$V74)*IF($W74&gt;$V74,time_cap+time*(VLOOKUP($J20,list!$J$48:$K$50,2,0)),time*(1-(VLOOKUP($J20,list!$J$48:$K$50,2,0))))</f>
        <v>0</v>
      </c>
      <c r="AA74" s="3480">
        <f ca="1">MIN($V74,$X74)*time_tot+ABS($X74-$V74)*IF($X74&gt;$V74,time_cap+time*(VLOOKUP($L20,list!$J$48:$K$50,2,0)),time*(1-(VLOOKUP($L20,list!$J$48:$K$50,2,0))))</f>
        <v>0</v>
      </c>
      <c r="AB74" s="3492">
        <f t="shared" ca="1" si="16"/>
        <v>0</v>
      </c>
    </row>
    <row r="75" spans="2:32" x14ac:dyDescent="0.15">
      <c r="B75" s="973" t="str">
        <f t="shared" si="7"/>
        <v>Please select</v>
      </c>
      <c r="C75" s="973" t="str">
        <f t="shared" si="7"/>
        <v>Please select</v>
      </c>
      <c r="E75" s="1109" t="str">
        <f t="shared" si="14"/>
        <v/>
      </c>
      <c r="F75" s="1109" t="str">
        <f t="shared" si="15"/>
        <v/>
      </c>
      <c r="G75" s="1111">
        <f>IF(B75="Please select",0,(IF(C75="Default",INDEX(TAM_Default[#All],MATCH(Livestock!$C$2,TAM_Default[[#All],[Please select]],0),MATCH(Livestock!B75,TAM_Default[#Headers],0)),
IF(C75="Low-Productivity",INDEX(TAM_LP[#All],MATCH(Livestock!$C$2,TAM_LP[[#All],[Please select]],0),MATCH(Livestock!B75,TAM_LP[#Headers],0)),
IF(C75="High-Productivity",INDEX(TAM_HP[#All],MATCH(Livestock!$C$2,TAM_HP[[#All],[Please select]],0),MATCH(Livestock!B75,TAM_HP[#Headers],0)),0)))))</f>
        <v>0</v>
      </c>
      <c r="H75" s="1235">
        <f>IF(B75="Please select",0,(IF(C75="Default",INDEX(VS_rate_Default[#All],MATCH(Livestock!$C$2,VS_rate_Default[[#All],[Please select]],0),MATCH(Livestock!B75,VS_rate_Default[#Headers],0)),
IF(C75="Low-Productivity",INDEX(VS_rate_LP[#All],MATCH(Livestock!$C$2,VS_rate_LP[[#All],[Please select]],0),MATCH(Livestock!B75,VS_rate_HP[#Headers],0)),
IF(C75="High-Productivity",INDEX(VS_rate_HP[#All],MATCH(Livestock!$C$2,VS_rate_HP[[#All],[Please select]],0),MATCH(Livestock!B75,VS_rate_HP[#Headers],0)),0)))))</f>
        <v>0</v>
      </c>
      <c r="I75" s="1110">
        <f ca="1">IF(B75="Please select",0,(INDEX(INDIRECT(VLOOKUP(F75,list!$B$288:$D$310,1,FALSE)),MATCH(Livestock!$C$2,(INDIRECT(VLOOKUP(F75,list!$B$288:$D$310,2,FALSE))),0),MATCH('4.Grassland'!$BH$53,(INDIRECT(VLOOKUP(F75,list!$B$288:$D$310,3,FALSE))),0))))</f>
        <v>0</v>
      </c>
      <c r="J75" s="1104">
        <f ca="1">IF('4.Grassland'!BI69="",Livestock!$I75,'4.Grassland'!BI69*100)</f>
        <v>0</v>
      </c>
      <c r="K75" s="1104">
        <f ca="1">IF('4.Grassland'!BJ69="",Livestock!$I75,'4.Grassland'!BJ69*100)</f>
        <v>0</v>
      </c>
      <c r="L75" s="1104">
        <f ca="1">IF('4.Grassland'!BK69="",Livestock!$I75,'4.Grassland'!BK69*100)</f>
        <v>0</v>
      </c>
      <c r="M75" s="1104" t="str">
        <f>'4.Grassland'!BW69</f>
        <v>Please select</v>
      </c>
      <c r="N75" s="1044">
        <f ca="1">IF(OR($M75="Regional share",$M75="Please select"),0,IF($M75="Other (pls. specify EF)",0,IF(OR($B75="Deer",$B75="Ostrich"),0,INDEX(INDIRECT(VLOOKUP(E75,list!$B$312:$D$339,1,FALSE)),MATCH(clim_moist,INDIRECT(VLOOKUP(E75,list!$B$312:$D$339,2,FALSE)),0),MATCH($M75,INDIRECT(VLOOKUP(E75,list!$B$312:$D$339,3,FALSE)),0))*Livestock!$H75*Livestock!$G75/1000*365/1000)))</f>
        <v>0</v>
      </c>
      <c r="O75" s="1045">
        <f ca="1">IF('4.Grassland'!$BZ69="",N75,'4.Grassland'!$BZ69)</f>
        <v>0</v>
      </c>
      <c r="P75" s="1007">
        <f ca="1">IFERROR(IF($B75="Deer",0.22,IF($B75="Ostrich",5.67,INDEX(INDIRECT(VLOOKUP(E75,list!$B$312:$D$339,1,FALSE)),MATCH(clim_moist,INDIRECT(VLOOKUP(E75,list!$B$312:$D$339,2,FALSE)),0),MATCH('4.Grassland'!$BH$53,INDIRECT(VLOOKUP(E75,list!$B$312:$D$339,3,FALSE)),0))*Livestock!$H75*Livestock!$G75/1000*365/1000)),0)*I75/100</f>
        <v>0</v>
      </c>
      <c r="Q75" s="1044">
        <f ca="1">IF(OR($B75="Please select",$B75=$B$53),0,IF($B75="Deer",0.22,IF($B75="Ostrich",5.67,IF(OR($M75="Please select",$M75="Regional share"),SUMPRODUCT(INDEX(INDIRECT(VLOOKUP(E75,list!$B$312:$D$339,1,FALSE)),MATCH(clim_moist,INDIRECT(VLOOKUP(E75,list!$B$312:$D$339,2,FALSE)),0),0),INDEX(INDIRECT(VLOOKUP(F75,list!$B$288:$D$310,1,FALSE)),MATCH($C$2,INDIRECT(VLOOKUP(F75,list!$B$288:$D$310,2,FALSE)),0),0))/100*($H75*$G75/1000*365)/1000-P75,0))))</f>
        <v>0</v>
      </c>
      <c r="R75" s="2156">
        <f ca="1">IFERROR(IF('4.Grassland'!$BN69="",($P75/($I75/100)*$J75/100+IF(O75&lt;&gt;0, $O75/(1-$I75/100)*(1-$J75/100), $Q75/(1-$I75/100)*(1-$J75/100))),('4.Grassland'!$BN69*$J75/100+IF(O75&lt;&gt;0, $O75/(1-$I75/100)*(1-$J75/100),+$Q75*(1-$J75/100)))),0)</f>
        <v>0</v>
      </c>
      <c r="S75" s="2156">
        <f ca="1">IFERROR(IF('4.Grassland'!$BO69="",($P75/($I75/100)*$K75/100+IF(O75&lt;&gt;0, $O75/(1-$I75/100)*(1-$K75/100), $Q75/(1-$I75/100)*(1-$K75/100))),('4.Grassland'!$BO69*$K75/100+IF(O75&lt;&gt;0, $O75/(1-$I75/100)*(1-$K75/100),+$Q75*(1-$K75/100)))),0)</f>
        <v>0</v>
      </c>
      <c r="T75" s="2156">
        <f ca="1">IFERROR(IF('4.Grassland'!$BP69="",($P75/($I75/100)*$L75/100+IF(O75&lt;&gt;0, $O75/(1-$I75/100)*(1-$L75/100), $Q75/(1-$I75/100)*(1-$L75/100))),('4.Grassland'!$BP69*$L75/100+IF(O75&lt;&gt;0, $O75/(1-$I75/100)*(1-$L75/100),+$Q75*(1-$L75/100)))),0)</f>
        <v>0</v>
      </c>
      <c r="V75" s="3471">
        <f t="shared" ca="1" si="10"/>
        <v>0</v>
      </c>
      <c r="W75" s="1153">
        <f t="shared" ca="1" si="11"/>
        <v>0</v>
      </c>
      <c r="X75" s="3480">
        <f t="shared" ca="1" si="12"/>
        <v>0</v>
      </c>
      <c r="Z75" s="3471">
        <f ca="1">MIN($V75,$W75)*time_tot+ABS($W75-$V75)*IF($W75&gt;$V75,time_cap+time*(VLOOKUP($J21,list!$J$48:$K$50,2,0)),time*(1-(VLOOKUP($J21,list!$J$48:$K$50,2,0))))</f>
        <v>0</v>
      </c>
      <c r="AA75" s="3480">
        <f ca="1">MIN($V75,$X75)*time_tot+ABS($X75-$V75)*IF($X75&gt;$V75,time_cap+time*(VLOOKUP($L21,list!$J$48:$K$50,2,0)),time*(1-(VLOOKUP($L21,list!$J$48:$K$50,2,0))))</f>
        <v>0</v>
      </c>
      <c r="AB75" s="3492">
        <f t="shared" ca="1" si="16"/>
        <v>0</v>
      </c>
    </row>
    <row r="76" spans="2:32" x14ac:dyDescent="0.15">
      <c r="B76" s="973" t="str">
        <f t="shared" si="7"/>
        <v>Please select</v>
      </c>
      <c r="C76" s="973" t="str">
        <f t="shared" si="7"/>
        <v>Please select</v>
      </c>
      <c r="E76" s="1109" t="str">
        <f t="shared" si="14"/>
        <v/>
      </c>
      <c r="F76" s="1109" t="str">
        <f t="shared" si="15"/>
        <v/>
      </c>
      <c r="G76" s="1111">
        <f>IF(B76="Please select",0,(IF(C76="Default",INDEX(TAM_Default[#All],MATCH(Livestock!$C$2,TAM_Default[[#All],[Please select]],0),MATCH(Livestock!B76,TAM_Default[#Headers],0)),
IF(C76="Low-Productivity",INDEX(TAM_LP[#All],MATCH(Livestock!$C$2,TAM_LP[[#All],[Please select]],0),MATCH(Livestock!B76,TAM_LP[#Headers],0)),
IF(C76="High-Productivity",INDEX(TAM_HP[#All],MATCH(Livestock!$C$2,TAM_HP[[#All],[Please select]],0),MATCH(Livestock!B76,TAM_HP[#Headers],0)),0)))))</f>
        <v>0</v>
      </c>
      <c r="H76" s="1235">
        <f>IF(B76="Please select",0,(IF(C76="Default",INDEX(VS_rate_Default[#All],MATCH(Livestock!$C$2,VS_rate_Default[[#All],[Please select]],0),MATCH(Livestock!B76,VS_rate_Default[#Headers],0)),
IF(C76="Low-Productivity",INDEX(VS_rate_LP[#All],MATCH(Livestock!$C$2,VS_rate_LP[[#All],[Please select]],0),MATCH(Livestock!B76,VS_rate_HP[#Headers],0)),
IF(C76="High-Productivity",INDEX(VS_rate_HP[#All],MATCH(Livestock!$C$2,VS_rate_HP[[#All],[Please select]],0),MATCH(Livestock!B76,VS_rate_HP[#Headers],0)),0)))))</f>
        <v>0</v>
      </c>
      <c r="I76" s="1110">
        <f ca="1">IF(B76="Please select",0,(INDEX(INDIRECT(VLOOKUP(F76,list!$B$288:$D$310,1,FALSE)),MATCH(Livestock!$C$2,(INDIRECT(VLOOKUP(F76,list!$B$288:$D$310,2,FALSE))),0),MATCH('4.Grassland'!$BH$53,(INDIRECT(VLOOKUP(F76,list!$B$288:$D$310,3,FALSE))),0))))</f>
        <v>0</v>
      </c>
      <c r="J76" s="1104">
        <f ca="1">IF('4.Grassland'!BI70="",Livestock!$I76,'4.Grassland'!BI70*100)</f>
        <v>0</v>
      </c>
      <c r="K76" s="1104">
        <f ca="1">IF('4.Grassland'!BJ70="",Livestock!$I76,'4.Grassland'!BJ70*100)</f>
        <v>0</v>
      </c>
      <c r="L76" s="1104">
        <f ca="1">IF('4.Grassland'!BK70="",Livestock!$I76,'4.Grassland'!BK70*100)</f>
        <v>0</v>
      </c>
      <c r="M76" s="1104" t="str">
        <f>'4.Grassland'!BW70</f>
        <v>Please select</v>
      </c>
      <c r="N76" s="1044">
        <f ca="1">IF(OR($M76="Regional share",$M76="Please select"),0,IF($M76="Other (pls. specify EF)",0,IF(OR($B76="Deer",$B76="Ostrich"),0,INDEX(INDIRECT(VLOOKUP(E76,list!$B$312:$D$339,1,FALSE)),MATCH(clim_moist,INDIRECT(VLOOKUP(E76,list!$B$312:$D$339,2,FALSE)),0),MATCH($M76,INDIRECT(VLOOKUP(E76,list!$B$312:$D$339,3,FALSE)),0))*Livestock!$H76*Livestock!$G76/1000*365/1000)))</f>
        <v>0</v>
      </c>
      <c r="O76" s="1045">
        <f ca="1">IF('4.Grassland'!$BZ70="",N76,'4.Grassland'!$BZ70)</f>
        <v>0</v>
      </c>
      <c r="P76" s="1007">
        <f ca="1">IFERROR(IF($B76="Deer",0.22,IF($B76="Ostrich",5.67,INDEX(INDIRECT(VLOOKUP(E76,list!$B$312:$D$339,1,FALSE)),MATCH(clim_moist,INDIRECT(VLOOKUP(E76,list!$B$312:$D$339,2,FALSE)),0),MATCH('4.Grassland'!$BH$53,INDIRECT(VLOOKUP(E76,list!$B$312:$D$339,3,FALSE)),0))*Livestock!$H76*Livestock!$G76/1000*365/1000)),0)*I76/100</f>
        <v>0</v>
      </c>
      <c r="Q76" s="1044">
        <f ca="1">IF(OR($B76="Please select",$B76=$B$53),0,IF($B76="Deer",0.22,IF($B76="Ostrich",5.67,IF(OR($M76="Please select",$M76="Regional share"),SUMPRODUCT(INDEX(INDIRECT(VLOOKUP(E76,list!$B$312:$D$339,1,FALSE)),MATCH(clim_moist,INDIRECT(VLOOKUP(E76,list!$B$312:$D$339,2,FALSE)),0),0),INDEX(INDIRECT(VLOOKUP(F76,list!$B$288:$D$310,1,FALSE)),MATCH($C$2,INDIRECT(VLOOKUP(F76,list!$B$288:$D$310,2,FALSE)),0),0))/100*($H76*$G76/1000*365)/1000-P76,0))))</f>
        <v>0</v>
      </c>
      <c r="R76" s="2156">
        <f ca="1">IFERROR(IF('4.Grassland'!$BN70="",($P76/($I76/100)*$J76/100+IF(O76&lt;&gt;0, $O76/(1-$I76/100)*(1-$J76/100), $Q76/(1-$I76/100)*(1-$J76/100))),('4.Grassland'!$BN70*$J76/100+IF(O76&lt;&gt;0, $O76/(1-$I76/100)*(1-$J76/100),+$Q76*(1-$J76/100)))),0)</f>
        <v>0</v>
      </c>
      <c r="S76" s="2156">
        <f ca="1">IFERROR(IF('4.Grassland'!$BO70="",($P76/($I76/100)*$K76/100+IF(O76&lt;&gt;0, $O76/(1-$I76/100)*(1-$K76/100), $Q76/(1-$I76/100)*(1-$K76/100))),('4.Grassland'!$BO70*$K76/100+IF(O76&lt;&gt;0, $O76/(1-$I76/100)*(1-$K76/100),+$Q76*(1-$K76/100)))),0)</f>
        <v>0</v>
      </c>
      <c r="T76" s="2156">
        <f ca="1">IFERROR(IF('4.Grassland'!$BP70="",($P76/($I76/100)*$L76/100+IF(O76&lt;&gt;0, $O76/(1-$I76/100)*(1-$L76/100), $Q76/(1-$I76/100)*(1-$L76/100))),('4.Grassland'!$BP70*$L76/100+IF(O76&lt;&gt;0, $O76/(1-$I76/100)*(1-$L76/100),+$Q76*(1-$L76/100)))),0)</f>
        <v>0</v>
      </c>
      <c r="V76" s="3471">
        <f t="shared" ca="1" si="10"/>
        <v>0</v>
      </c>
      <c r="W76" s="1153">
        <f t="shared" ca="1" si="11"/>
        <v>0</v>
      </c>
      <c r="X76" s="3480">
        <f t="shared" ca="1" si="12"/>
        <v>0</v>
      </c>
      <c r="Z76" s="3471">
        <f ca="1">MIN($V76,$W76)*time_tot+ABS($W76-$V76)*IF($W76&gt;$V76,time_cap+time*(VLOOKUP($J22,list!$J$48:$K$50,2,0)),time*(1-(VLOOKUP($J22,list!$J$48:$K$50,2,0))))</f>
        <v>0</v>
      </c>
      <c r="AA76" s="3480">
        <f ca="1">MIN($V76,$X76)*time_tot+ABS($X76-$V76)*IF($X76&gt;$V76,time_cap+time*(VLOOKUP($L22,list!$J$48:$K$50,2,0)),time*(1-(VLOOKUP($L22,list!$J$48:$K$50,2,0))))</f>
        <v>0</v>
      </c>
      <c r="AB76" s="3492">
        <f t="shared" ca="1" si="16"/>
        <v>0</v>
      </c>
    </row>
    <row r="77" spans="2:32" x14ac:dyDescent="0.15">
      <c r="B77" s="973" t="str">
        <f t="shared" si="7"/>
        <v>Please select</v>
      </c>
      <c r="C77" s="973" t="str">
        <f t="shared" si="7"/>
        <v>Please select</v>
      </c>
      <c r="E77" s="1109" t="str">
        <f t="shared" si="14"/>
        <v/>
      </c>
      <c r="F77" s="1109" t="str">
        <f t="shared" si="15"/>
        <v/>
      </c>
      <c r="G77" s="1111">
        <f>IF(B77="Please select",0,(IF(C77="Default",INDEX(TAM_Default[#All],MATCH(Livestock!$C$2,TAM_Default[[#All],[Please select]],0),MATCH(Livestock!B77,TAM_Default[#Headers],0)),
IF(C77="Low-Productivity",INDEX(TAM_LP[#All],MATCH(Livestock!$C$2,TAM_LP[[#All],[Please select]],0),MATCH(Livestock!B77,TAM_LP[#Headers],0)),
IF(C77="High-Productivity",INDEX(TAM_HP[#All],MATCH(Livestock!$C$2,TAM_HP[[#All],[Please select]],0),MATCH(Livestock!B77,TAM_HP[#Headers],0)),0)))))</f>
        <v>0</v>
      </c>
      <c r="H77" s="1235">
        <f>IF(B77="Please select",0,(IF(C77="Default",INDEX(VS_rate_Default[#All],MATCH(Livestock!$C$2,VS_rate_Default[[#All],[Please select]],0),MATCH(Livestock!B77,VS_rate_Default[#Headers],0)),
IF(C77="Low-Productivity",INDEX(VS_rate_LP[#All],MATCH(Livestock!$C$2,VS_rate_LP[[#All],[Please select]],0),MATCH(Livestock!B77,VS_rate_HP[#Headers],0)),
IF(C77="High-Productivity",INDEX(VS_rate_HP[#All],MATCH(Livestock!$C$2,VS_rate_HP[[#All],[Please select]],0),MATCH(Livestock!B77,VS_rate_HP[#Headers],0)),0)))))</f>
        <v>0</v>
      </c>
      <c r="I77" s="1110">
        <f ca="1">IF(B77="Please select",0,(INDEX(INDIRECT(VLOOKUP(F77,list!$B$288:$D$310,1,FALSE)),MATCH(Livestock!$C$2,(INDIRECT(VLOOKUP(F77,list!$B$288:$D$310,2,FALSE))),0),MATCH('4.Grassland'!$BH$53,(INDIRECT(VLOOKUP(F77,list!$B$288:$D$310,3,FALSE))),0))))</f>
        <v>0</v>
      </c>
      <c r="J77" s="1104">
        <f ca="1">IF('4.Grassland'!BI71="",Livestock!$I77,'4.Grassland'!BI71*100)</f>
        <v>0</v>
      </c>
      <c r="K77" s="1104">
        <f ca="1">IF('4.Grassland'!BJ71="",Livestock!$I77,'4.Grassland'!BJ71*100)</f>
        <v>0</v>
      </c>
      <c r="L77" s="1104">
        <f ca="1">IF('4.Grassland'!BK71="",Livestock!$I77,'4.Grassland'!BK71*100)</f>
        <v>0</v>
      </c>
      <c r="M77" s="1104" t="str">
        <f>'4.Grassland'!BW71</f>
        <v>Please select</v>
      </c>
      <c r="N77" s="1044">
        <f ca="1">IF(OR($M77="Regional share",$M77="Please select"),0,IF($M77="Other (pls. specify EF)",0,IF(OR($B77="Deer",$B77="Ostrich"),0,INDEX(INDIRECT(VLOOKUP(E77,list!$B$312:$D$339,1,FALSE)),MATCH(clim_moist,INDIRECT(VLOOKUP(E77,list!$B$312:$D$339,2,FALSE)),0),MATCH($M77,INDIRECT(VLOOKUP(E77,list!$B$312:$D$339,3,FALSE)),0))*Livestock!$H77*Livestock!$G77/1000*365/1000)))</f>
        <v>0</v>
      </c>
      <c r="O77" s="1045">
        <f ca="1">IF('4.Grassland'!$BZ71="",N77,'4.Grassland'!$BZ71)</f>
        <v>0</v>
      </c>
      <c r="P77" s="1007">
        <f ca="1">IFERROR(IF($B77="Deer",0.22,IF($B77="Ostrich",5.67,INDEX(INDIRECT(VLOOKUP(E77,list!$B$312:$D$339,1,FALSE)),MATCH(clim_moist,INDIRECT(VLOOKUP(E77,list!$B$312:$D$339,2,FALSE)),0),MATCH('4.Grassland'!$BH$53,INDIRECT(VLOOKUP(E77,list!$B$312:$D$339,3,FALSE)),0))*Livestock!$H77*Livestock!$G77/1000*365/1000)),0)*I77/100</f>
        <v>0</v>
      </c>
      <c r="Q77" s="1044">
        <f ca="1">IF(OR($B77="Please select",$B77=$B$53),0,IF($B77="Deer",0.22,IF($B77="Ostrich",5.67,IF(OR($M77="Please select",$M77="Regional share"),SUMPRODUCT(INDEX(INDIRECT(VLOOKUP(E77,list!$B$312:$D$339,1,FALSE)),MATCH(clim_moist,INDIRECT(VLOOKUP(E77,list!$B$312:$D$339,2,FALSE)),0),0),INDEX(INDIRECT(VLOOKUP(F77,list!$B$288:$D$310,1,FALSE)),MATCH($C$2,INDIRECT(VLOOKUP(F77,list!$B$288:$D$310,2,FALSE)),0),0))/100*($H77*$G77/1000*365)/1000-P77,0))))</f>
        <v>0</v>
      </c>
      <c r="R77" s="2156">
        <f ca="1">IFERROR(IF('4.Grassland'!$BN71="",($P77/($I77/100)*$J77/100+IF(O77&lt;&gt;0, $O77/(1-$I77/100)*(1-$J77/100), $Q77/(1-$I77/100)*(1-$J77/100))),('4.Grassland'!$BN71*$J77/100+IF(O77&lt;&gt;0, $O77/(1-$I77/100)*(1-$J77/100),+$Q77*(1-$J77/100)))),0)</f>
        <v>0</v>
      </c>
      <c r="S77" s="2156">
        <f ca="1">IFERROR(IF('4.Grassland'!$BO71="",($P77/($I77/100)*$K77/100+IF(O77&lt;&gt;0, $O77/(1-$I77/100)*(1-$K77/100), $Q77/(1-$I77/100)*(1-$K77/100))),('4.Grassland'!$BO71*$K77/100+IF(O77&lt;&gt;0, $O77/(1-$I77/100)*(1-$K77/100),+$Q77*(1-$K77/100)))),0)</f>
        <v>0</v>
      </c>
      <c r="T77" s="2156">
        <f ca="1">IFERROR(IF('4.Grassland'!$BP71="",($P77/($I77/100)*$L77/100+IF(O77&lt;&gt;0, $O77/(1-$I77/100)*(1-$L77/100), $Q77/(1-$I77/100)*(1-$L77/100))),('4.Grassland'!$BP71*$L77/100+IF(O77&lt;&gt;0, $O77/(1-$I77/100)*(1-$L77/100),+$Q77*(1-$L77/100)))),0)</f>
        <v>0</v>
      </c>
      <c r="V77" s="3471">
        <f t="shared" ca="1" si="10"/>
        <v>0</v>
      </c>
      <c r="W77" s="1153">
        <f t="shared" ca="1" si="11"/>
        <v>0</v>
      </c>
      <c r="X77" s="3480">
        <f t="shared" ca="1" si="12"/>
        <v>0</v>
      </c>
      <c r="Z77" s="3471">
        <f ca="1">MIN($V77,$W77)*time_tot+ABS($W77-$V77)*IF($W77&gt;$V77,time_cap+time*(VLOOKUP($J23,list!$J$48:$K$50,2,0)),time*(1-(VLOOKUP($J23,list!$J$48:$K$50,2,0))))</f>
        <v>0</v>
      </c>
      <c r="AA77" s="3480">
        <f ca="1">MIN($V77,$X77)*time_tot+ABS($X77-$V77)*IF($X77&gt;$V77,time_cap+time*(VLOOKUP($L23,list!$J$48:$K$50,2,0)),time*(1-(VLOOKUP($L23,list!$J$48:$K$50,2,0))))</f>
        <v>0</v>
      </c>
      <c r="AB77" s="3492">
        <f t="shared" ca="1" si="16"/>
        <v>0</v>
      </c>
    </row>
    <row r="78" spans="2:32" x14ac:dyDescent="0.15">
      <c r="B78" s="973" t="str">
        <f t="shared" si="7"/>
        <v>Please select</v>
      </c>
      <c r="C78" s="973" t="str">
        <f t="shared" si="7"/>
        <v>Please select</v>
      </c>
      <c r="E78" s="1109" t="str">
        <f t="shared" si="14"/>
        <v/>
      </c>
      <c r="F78" s="1109" t="str">
        <f t="shared" si="15"/>
        <v/>
      </c>
      <c r="G78" s="1111">
        <f>IF(B78="Please select",0,(IF(C78="Default",INDEX(TAM_Default[#All],MATCH(Livestock!$C$2,TAM_Default[[#All],[Please select]],0),MATCH(Livestock!B78,TAM_Default[#Headers],0)),
IF(C78="Low-Productivity",INDEX(TAM_LP[#All],MATCH(Livestock!$C$2,TAM_LP[[#All],[Please select]],0),MATCH(Livestock!B78,TAM_LP[#Headers],0)),
IF(C78="High-Productivity",INDEX(TAM_HP[#All],MATCH(Livestock!$C$2,TAM_HP[[#All],[Please select]],0),MATCH(Livestock!B78,TAM_HP[#Headers],0)),0)))))</f>
        <v>0</v>
      </c>
      <c r="H78" s="1235">
        <f>IF(B78="Please select",0,(IF(C78="Default",INDEX(VS_rate_Default[#All],MATCH(Livestock!$C$2,VS_rate_Default[[#All],[Please select]],0),MATCH(Livestock!B78,VS_rate_Default[#Headers],0)),
IF(C78="Low-Productivity",INDEX(VS_rate_LP[#All],MATCH(Livestock!$C$2,VS_rate_LP[[#All],[Please select]],0),MATCH(Livestock!B78,VS_rate_HP[#Headers],0)),
IF(C78="High-Productivity",INDEX(VS_rate_HP[#All],MATCH(Livestock!$C$2,VS_rate_HP[[#All],[Please select]],0),MATCH(Livestock!B78,VS_rate_HP[#Headers],0)),0)))))</f>
        <v>0</v>
      </c>
      <c r="I78" s="1110">
        <f ca="1">IF(B78="Please select",0,(INDEX(INDIRECT(VLOOKUP(F78,list!$B$288:$D$310,1,FALSE)),MATCH(Livestock!$C$2,(INDIRECT(VLOOKUP(F78,list!$B$288:$D$310,2,FALSE))),0),MATCH('4.Grassland'!$BH$53,(INDIRECT(VLOOKUP(F78,list!$B$288:$D$310,3,FALSE))),0))))</f>
        <v>0</v>
      </c>
      <c r="J78" s="1104">
        <f ca="1">IF('4.Grassland'!BI72="",Livestock!$I78,'4.Grassland'!BI72*100)</f>
        <v>0</v>
      </c>
      <c r="K78" s="1104">
        <f ca="1">IF('4.Grassland'!BJ72="",Livestock!$I78,'4.Grassland'!BJ72*100)</f>
        <v>0</v>
      </c>
      <c r="L78" s="1104">
        <f ca="1">IF('4.Grassland'!BK72="",Livestock!$I78,'4.Grassland'!BK72*100)</f>
        <v>0</v>
      </c>
      <c r="M78" s="1104" t="str">
        <f>'4.Grassland'!BW72</f>
        <v>Please select</v>
      </c>
      <c r="N78" s="1044">
        <f ca="1">IF(OR($M78="Regional share",$M78="Please select"),0,IF($M78="Other (pls. specify EF)",0,IF(OR($B78="Deer",$B78="Ostrich"),0,INDEX(INDIRECT(VLOOKUP(E78,list!$B$312:$D$339,1,FALSE)),MATCH(clim_moist,INDIRECT(VLOOKUP(E78,list!$B$312:$D$339,2,FALSE)),0),MATCH($M78,INDIRECT(VLOOKUP(E78,list!$B$312:$D$339,3,FALSE)),0))*Livestock!$H78*Livestock!$G78/1000*365/1000)))</f>
        <v>0</v>
      </c>
      <c r="O78" s="1045">
        <f ca="1">IF('4.Grassland'!$BZ72="",N78,'4.Grassland'!$BZ72)</f>
        <v>0</v>
      </c>
      <c r="P78" s="1007">
        <f ca="1">IFERROR(IF($B78="Deer",0.22,IF($B78="Ostrich",5.67,INDEX(INDIRECT(VLOOKUP(E78,list!$B$312:$D$339,1,FALSE)),MATCH(clim_moist,INDIRECT(VLOOKUP(E78,list!$B$312:$D$339,2,FALSE)),0),MATCH('4.Grassland'!$BH$53,INDIRECT(VLOOKUP(E78,list!$B$312:$D$339,3,FALSE)),0))*Livestock!$H78*Livestock!$G78/1000*365/1000)),0)*I78/100</f>
        <v>0</v>
      </c>
      <c r="Q78" s="1044">
        <f ca="1">IF(OR($B78="Please select",$B78=$B$53),0,IF($B78="Deer",0.22,IF($B78="Ostrich",5.67,IF(OR($M78="Please select",$M78="Regional share"),SUMPRODUCT(INDEX(INDIRECT(VLOOKUP(E78,list!$B$312:$D$339,1,FALSE)),MATCH(clim_moist,INDIRECT(VLOOKUP(E78,list!$B$312:$D$339,2,FALSE)),0),0),INDEX(INDIRECT(VLOOKUP(F78,list!$B$288:$D$310,1,FALSE)),MATCH($C$2,INDIRECT(VLOOKUP(F78,list!$B$288:$D$310,2,FALSE)),0),0))/100*($H78*$G78/1000*365)/1000-P78,0))))</f>
        <v>0</v>
      </c>
      <c r="R78" s="2156">
        <f ca="1">IFERROR(IF('4.Grassland'!$BN72="",($P78/($I78/100)*$J78/100+IF(O78&lt;&gt;0, $O78/(1-$I78/100)*(1-$J78/100), $Q78/(1-$I78/100)*(1-$J78/100))),('4.Grassland'!$BN72*$J78/100+IF(O78&lt;&gt;0, $O78/(1-$I78/100)*(1-$J78/100),+$Q78*(1-$J78/100)))),0)</f>
        <v>0</v>
      </c>
      <c r="S78" s="2156">
        <f ca="1">IFERROR(IF('4.Grassland'!$BO72="",($P78/($I78/100)*$K78/100+IF(O78&lt;&gt;0, $O78/(1-$I78/100)*(1-$K78/100), $Q78/(1-$I78/100)*(1-$K78/100))),('4.Grassland'!$BO72*$K78/100+IF(O78&lt;&gt;0, $O78/(1-$I78/100)*(1-$K78/100),+$Q78*(1-$K78/100)))),0)</f>
        <v>0</v>
      </c>
      <c r="T78" s="2156">
        <f ca="1">IFERROR(IF('4.Grassland'!$BP72="",($P78/($I78/100)*$L78/100+IF(O78&lt;&gt;0, $O78/(1-$I78/100)*(1-$L78/100), $Q78/(1-$I78/100)*(1-$L78/100))),('4.Grassland'!$BP72*$L78/100+IF(O78&lt;&gt;0, $O78/(1-$I78/100)*(1-$L78/100),+$Q78*(1-$L78/100)))),0)</f>
        <v>0</v>
      </c>
      <c r="V78" s="3471">
        <f t="shared" ca="1" si="10"/>
        <v>0</v>
      </c>
      <c r="W78" s="1153">
        <f t="shared" ca="1" si="11"/>
        <v>0</v>
      </c>
      <c r="X78" s="3480">
        <f t="shared" ca="1" si="12"/>
        <v>0</v>
      </c>
      <c r="Z78" s="3471">
        <f ca="1">MIN($V78,$W78)*time_tot+ABS($W78-$V78)*IF($W78&gt;$V78,time_cap+time*(VLOOKUP($J24,list!$J$48:$K$50,2,0)),time*(1-(VLOOKUP($J24,list!$J$48:$K$50,2,0))))</f>
        <v>0</v>
      </c>
      <c r="AA78" s="3480">
        <f ca="1">MIN($V78,$X78)*time_tot+ABS($X78-$V78)*IF($X78&gt;$V78,time_cap+time*(VLOOKUP($L24,list!$J$48:$K$50,2,0)),time*(1-(VLOOKUP($L24,list!$J$48:$K$50,2,0))))</f>
        <v>0</v>
      </c>
      <c r="AB78" s="3492">
        <f t="shared" ca="1" si="16"/>
        <v>0</v>
      </c>
    </row>
    <row r="81" spans="1:32" x14ac:dyDescent="0.15">
      <c r="W81" s="1163"/>
      <c r="X81" s="1163"/>
      <c r="Y81" s="1653" t="s">
        <v>944</v>
      </c>
      <c r="Z81" s="2272">
        <f ca="1">SUM(Z62:Z78)</f>
        <v>2094.7295249999997</v>
      </c>
      <c r="AA81" s="2272">
        <f ca="1">SUM(AA62:AA78)</f>
        <v>1299.3899625000001</v>
      </c>
      <c r="AB81" s="2272">
        <f ca="1">SUM(AB62:AB78)</f>
        <v>-795.3395624999996</v>
      </c>
    </row>
    <row r="83" spans="1:32" ht="45" customHeight="1" x14ac:dyDescent="0.15">
      <c r="A83" s="2513"/>
      <c r="B83" s="1629" t="s">
        <v>945</v>
      </c>
      <c r="C83" s="2513"/>
      <c r="D83" s="2513"/>
      <c r="E83" s="2513"/>
      <c r="F83" s="2513"/>
      <c r="G83" s="2513"/>
      <c r="H83" s="2513"/>
      <c r="I83" s="2513"/>
      <c r="J83" s="2513"/>
      <c r="K83" s="2513"/>
      <c r="L83" s="2513"/>
      <c r="M83" s="2513"/>
      <c r="N83" s="2513"/>
      <c r="O83" s="2513"/>
      <c r="P83" s="2513"/>
      <c r="Q83" s="2513"/>
      <c r="R83" s="2513"/>
      <c r="S83" s="2513"/>
      <c r="T83" s="2513"/>
      <c r="U83" s="2513"/>
      <c r="V83" s="2513"/>
      <c r="W83" s="2513"/>
      <c r="X83" s="2513"/>
      <c r="Y83" s="2513"/>
      <c r="Z83" s="2513"/>
      <c r="AA83" s="2513"/>
      <c r="AB83" s="2513"/>
      <c r="AC83" s="2513"/>
    </row>
    <row r="85" spans="1:32" x14ac:dyDescent="0.15">
      <c r="B85" s="1596" t="s">
        <v>946</v>
      </c>
      <c r="C85" s="1588"/>
      <c r="D85" s="1588"/>
      <c r="E85" s="1588"/>
      <c r="F85" s="1588"/>
      <c r="G85" s="1588"/>
      <c r="H85" s="1588"/>
      <c r="I85" s="1588"/>
      <c r="J85" s="1588"/>
      <c r="K85" s="1588"/>
      <c r="L85" s="1588"/>
      <c r="M85" s="1588"/>
      <c r="N85" s="1588"/>
      <c r="O85" s="1588"/>
      <c r="P85" s="1588"/>
      <c r="Q85" s="1588"/>
      <c r="R85" s="1588"/>
      <c r="S85" s="1588"/>
      <c r="T85" s="1588"/>
      <c r="U85" s="1588"/>
      <c r="V85" s="1588"/>
      <c r="W85" s="1588"/>
      <c r="X85" s="1588"/>
      <c r="Y85" s="1588"/>
      <c r="Z85" s="1588"/>
      <c r="AA85" s="1588"/>
      <c r="AB85" s="1588"/>
      <c r="AC85" s="1588"/>
    </row>
    <row r="86" spans="1:32" x14ac:dyDescent="0.15">
      <c r="G86" s="3464"/>
      <c r="H86" s="4286" t="s">
        <v>932</v>
      </c>
      <c r="M86" s="4568" t="s">
        <v>947</v>
      </c>
      <c r="N86" s="4568"/>
      <c r="O86" s="4568"/>
    </row>
    <row r="87" spans="1:32" x14ac:dyDescent="0.15">
      <c r="G87" s="1576" t="s">
        <v>934</v>
      </c>
      <c r="H87" s="1281" t="s">
        <v>948</v>
      </c>
      <c r="I87" s="1281" t="s">
        <v>787</v>
      </c>
      <c r="L87" s="1659"/>
      <c r="M87" s="1659"/>
      <c r="N87" s="1671" t="s">
        <v>949</v>
      </c>
      <c r="O87" s="1644"/>
      <c r="P87" s="1672" t="s">
        <v>950</v>
      </c>
      <c r="Q87" s="1672" t="s">
        <v>951</v>
      </c>
      <c r="V87" s="2163" t="s">
        <v>952</v>
      </c>
      <c r="W87" s="3464"/>
      <c r="X87" s="3464"/>
      <c r="Z87" s="1281" t="s">
        <v>857</v>
      </c>
    </row>
    <row r="88" spans="1:32" ht="16" x14ac:dyDescent="0.2">
      <c r="G88" s="1688" t="s">
        <v>196</v>
      </c>
      <c r="H88" s="973" t="s">
        <v>953</v>
      </c>
      <c r="I88" s="2163" t="str">
        <f>AWMS_Dairy_Cattle[[#Headers],[Pasture/Range/Paddock]]</f>
        <v>Pasture/Range/Paddock</v>
      </c>
      <c r="J88" s="3464"/>
      <c r="K88" s="3477"/>
      <c r="L88" s="3477"/>
      <c r="M88" s="2165" t="s">
        <v>941</v>
      </c>
      <c r="N88" s="2166" t="s">
        <v>797</v>
      </c>
      <c r="P88" s="2166" t="s">
        <v>797</v>
      </c>
      <c r="V88" s="1281" t="s">
        <v>599</v>
      </c>
      <c r="W88" s="1100"/>
      <c r="X88" s="1101"/>
      <c r="Z88" s="1270"/>
      <c r="AA88" s="1116"/>
      <c r="AB88" s="1116"/>
      <c r="AE88" s="973" t="s">
        <v>859</v>
      </c>
    </row>
    <row r="89" spans="1:32" ht="16" x14ac:dyDescent="0.2">
      <c r="B89" s="2163" t="s">
        <v>862</v>
      </c>
      <c r="C89" s="2163" t="s">
        <v>863</v>
      </c>
      <c r="D89" s="2163"/>
      <c r="E89" s="1652" t="s">
        <v>954</v>
      </c>
      <c r="F89" s="1652" t="s">
        <v>943</v>
      </c>
      <c r="G89" s="1688" t="s">
        <v>864</v>
      </c>
      <c r="H89" s="1688" t="s">
        <v>864</v>
      </c>
      <c r="I89" s="1688" t="s">
        <v>864</v>
      </c>
      <c r="J89" s="1688" t="s">
        <v>199</v>
      </c>
      <c r="K89" s="1688" t="s">
        <v>200</v>
      </c>
      <c r="L89" s="1688" t="s">
        <v>201</v>
      </c>
      <c r="M89" s="1688"/>
      <c r="N89" s="1688" t="s">
        <v>864</v>
      </c>
      <c r="O89" s="1688" t="s">
        <v>66</v>
      </c>
      <c r="P89" s="973" t="s">
        <v>864</v>
      </c>
      <c r="Q89" s="1688" t="s">
        <v>864</v>
      </c>
      <c r="R89" s="1688" t="s">
        <v>199</v>
      </c>
      <c r="S89" s="1688" t="s">
        <v>200</v>
      </c>
      <c r="T89" s="1688" t="s">
        <v>201</v>
      </c>
      <c r="V89" s="1688" t="s">
        <v>199</v>
      </c>
      <c r="W89" s="1102" t="s">
        <v>865</v>
      </c>
      <c r="X89" s="1103" t="s">
        <v>201</v>
      </c>
      <c r="Z89" s="1521" t="s">
        <v>865</v>
      </c>
      <c r="AA89" s="1101" t="s">
        <v>201</v>
      </c>
      <c r="AB89" s="1116" t="s">
        <v>324</v>
      </c>
      <c r="AE89" s="1102" t="s">
        <v>200</v>
      </c>
      <c r="AF89" s="1103" t="s">
        <v>201</v>
      </c>
    </row>
    <row r="90" spans="1:32" x14ac:dyDescent="0.15">
      <c r="B90" s="973" t="str">
        <f t="shared" ref="B90:C106" si="17">B62</f>
        <v>Dairy Cattle</v>
      </c>
      <c r="C90" s="973" t="str">
        <f t="shared" si="17"/>
        <v>High-Productivity</v>
      </c>
      <c r="E90" s="1109" t="str">
        <f t="shared" ref="E90:E100" si="18">IF(B90="Please select","",IF(AND(OR($C$2="North America",$C$2="Western Europe",$C$2="Eastern Europe",$C$2="Oceania"),(C90="Default")),VLOOKUP($B90,$N$36:$Q$54,4,FALSE),INDEX($N$36:$Q$54,MATCH($B90,$N$36:$N$54,0),MATCH($C90,$N$36:$Q$36,0))))</f>
        <v>EF_DIRECT_N2O_manure_mngt_cattle_poultry_pigs</v>
      </c>
      <c r="F90" s="1109" t="str">
        <f t="shared" ref="F90:G100" si="19">F62</f>
        <v>AWMS_Dairy_Cattle</v>
      </c>
      <c r="G90" s="1111">
        <f t="shared" si="19"/>
        <v>600</v>
      </c>
      <c r="H90" s="1235">
        <f>IF(B90="Please select",0,(IF(C90="Default",INDEX(N_excretion_rate_Default[#All],MATCH(Livestock!$C$2,N_excretion_rate_Default[[#All],[Please select]],0),MATCH(Livestock!B90,N_excretion_rate_Default[#Headers],0)),
IF(C90="Low-Productivity",INDEX(N_excretion_rate_LP[#All],MATCH(Livestock!$C$2,N_excretion_rate_LP[[#All],[Please select]],0),MATCH(Livestock!B90,N_excretion_rate_LP[#Headers],0)),
IF(C90="High-Productivity",INDEX(N_excretion_rate_HP[#All],MATCH(Livestock!$C$2,N_excretion_rate_HP[[#All],[Please select]],0),MATCH(Livestock!B90,N_excretion_rate_HP[#Headers],0)),0)))))</f>
        <v>0.5</v>
      </c>
      <c r="I90" s="1110">
        <f t="shared" ref="I90:M100" ca="1" si="20">I62</f>
        <v>26</v>
      </c>
      <c r="J90" s="1688">
        <f t="shared" ca="1" si="20"/>
        <v>26</v>
      </c>
      <c r="K90" s="1688">
        <f t="shared" ca="1" si="20"/>
        <v>26</v>
      </c>
      <c r="L90" s="1688">
        <f t="shared" ca="1" si="20"/>
        <v>26</v>
      </c>
      <c r="M90" s="1688" t="str">
        <f t="shared" si="20"/>
        <v>Please select</v>
      </c>
      <c r="N90" s="1044">
        <f ca="1">IF(OR($M90="Regional share",$M90="Please select",$M90="Other (pls. specify EF)"),0,INDEX(INDIRECT(VLOOKUP(E90,list!$B$341:$D$342,1,FALSE)),MATCH(clim_moist,INDIRECT(VLOOKUP(E90,list!$B$341:$D$342,2,FALSE)),0),MATCH($M90,INDIRECT(VLOOKUP(E90,list!$B$341:$D$342,3,FALSE)),0))*Livestock!$H90*Livestock!$G90/1000*365)</f>
        <v>0</v>
      </c>
      <c r="O90" s="1045">
        <f ca="1">IF('4.Grassland'!CC56="",N90,'4.Grassland'!CC56)</f>
        <v>0</v>
      </c>
      <c r="P90" s="1044">
        <f ca="1">IFERROR(INDEX(INDIRECT(VLOOKUP(E90,list!$B$341:$D$342,1,FALSE)),MATCH(clim_moist,INDIRECT(VLOOKUP(E90,list!$B$341:$D$342,2,FALSE)),0),MATCH('4.Grassland'!$BH$53,INDIRECT(VLOOKUP(E90,list!$B$341:$D$342,3,FALSE)),0))*Livestock!$H90*Livestock!$G90/1000*365,0)*I90/100</f>
        <v>5.6939999999999991E-2</v>
      </c>
      <c r="Q90" s="1044">
        <f ca="1">IF($B90="Please select",0,IF(OR($M90="Please select",$M90="Regional share"),SUMPRODUCT(INDEX(INDIRECT(VLOOKUP(E90,list!$B$341:$D$342,1,FALSE)),MATCH(clim_moist,INDIRECT(VLOOKUP(E90,list!$B$341:$D$342,2,FALSE)),0),0),INDEX(INDIRECT(VLOOKUP(F90,list!$B$288:$D$310,1,FALSE)),MATCH($C$2,INDIRECT(VLOOKUP(F90,list!$B$288:$D$310,2,FALSE)),0),0))/100*($H90*$G90/1000*365)-$P90,0))</f>
        <v>0.39511250000000003</v>
      </c>
      <c r="R90" s="2156">
        <f ca="1">IFERROR(IF('4.Grassland'!$BS56="",($P90/($I90/100)*$J90/100+IF(O90&lt;&gt;0, $O90/(1-$I90/100)*(1-$J90/100), $Q90/(1-$I90/100)*(1-$J90/100))),('4.Grassland'!$BS56*$J90/100+IF(O90&lt;&gt;0, $O90/(1-$I90/100)*(1-$J90/100),+$Q90*(1-$J90/100)))),0)</f>
        <v>0.45205250000000002</v>
      </c>
      <c r="S90" s="2156">
        <f ca="1">IFERROR(IF('4.Grassland'!$BT56="",($P90/($I90/100)*$J90/100+IF(O90&lt;&gt;0, $O90/(1-$I90/100)*(1-$J90/100), $Q90/(1-$I90/100)*(1-$J90/100))),('4.Grassland'!$BT56*$J90/100+IF(O90&lt;&gt;0, $O90/(1-$I90/100)*(1-$J90/100),+$Q90*(1-$J90/100)))),0)</f>
        <v>0.45205250000000002</v>
      </c>
      <c r="T90" s="2156">
        <f ca="1">IFERROR(IF('4.Grassland'!$BU56="",($P90/($I90/100)*$J90/100+IF(O90&lt;&gt;0, $O90/(1-$I90/100)*(1-$J90/100), $Q90/(1-$I90/100)*(1-$J90/100))),('4.Grassland'!$BU56*$J90/100+IF(O90&lt;&gt;0, $O90/(1-$I90/100)*(1-$J90/100),+$Q90*(1-$J90/100)))),0)</f>
        <v>0.45205250000000002</v>
      </c>
      <c r="V90" s="3468">
        <f t="shared" ref="V90:V106" ca="1" si="21">$R90*$H8/1000*44/28*Nitrous</f>
        <v>18.824757678571434</v>
      </c>
      <c r="W90" s="1151">
        <f t="shared" ref="W90:W106" ca="1" si="22">$S90*$I8/1000*44/28*Nitrous</f>
        <v>0</v>
      </c>
      <c r="X90" s="3469">
        <f t="shared" ref="X90:X106" ca="1" si="23">$T90*$K8/1000*44/28*Nitrous</f>
        <v>0</v>
      </c>
      <c r="Z90" s="3468">
        <f ca="1">MIN($V90,$W90)*time_tot+ABS($W90-$V90)*IF($W90&gt;$V90,time_cap+time*(VLOOKUP($J8,list!$J$48:$K$50,2,0)),time*(1-(VLOOKUP($J8,list!$J$48:$K$50,2,0))))</f>
        <v>47.061894196428582</v>
      </c>
      <c r="AA90" s="3469">
        <f ca="1">MIN($V90,$X90)*time_tot+ABS($X90-$V90)*IF($X90&gt;$V90,time_cap+time*(VLOOKUP($L8,list!$J$48:$K$50,2,0)),time*(1-(VLOOKUP($L8,list!$J$48:$K$50,2,0))))</f>
        <v>47.061894196428582</v>
      </c>
      <c r="AB90" s="3491">
        <f ca="1">AA90-Z90</f>
        <v>0</v>
      </c>
      <c r="AE90" s="992">
        <f ca="1">MIN($V90,$W90)*time+ABS($W90-$V90)*IF($W90&gt;$V90,time*(VLOOKUP($J8,list!$J$48:$K$50,2,)),time*(1-(VLOOKUP($J8,list!$J$48:$K$50,2,))))</f>
        <v>47.061894196428582</v>
      </c>
      <c r="AF90" s="992">
        <f ca="1">MIN($V90,$X90)*time+ABS($X90-$V90)*IF($X90&gt;$V90,time*(VLOOKUP($L8,list!$J$48:$K$50,2,)),time*(1-(VLOOKUP($L8,list!$J$48:$K$50,2,))))</f>
        <v>47.061894196428582</v>
      </c>
    </row>
    <row r="91" spans="1:32" x14ac:dyDescent="0.15">
      <c r="B91" s="973" t="str">
        <f t="shared" si="17"/>
        <v>Dairy Cattle</v>
      </c>
      <c r="C91" s="973" t="str">
        <f t="shared" si="17"/>
        <v>High-Productivity</v>
      </c>
      <c r="E91" s="1109" t="str">
        <f t="shared" si="18"/>
        <v>EF_DIRECT_N2O_manure_mngt_cattle_poultry_pigs</v>
      </c>
      <c r="F91" s="1109" t="str">
        <f t="shared" si="19"/>
        <v>AWMS_Dairy_Cattle</v>
      </c>
      <c r="G91" s="1111">
        <f t="shared" si="19"/>
        <v>600</v>
      </c>
      <c r="H91" s="1235">
        <f>IF(B91="Please select",0,(IF(C91="Default",INDEX(N_excretion_rate_Default[#All],MATCH(Livestock!$C$2,N_excretion_rate_Default[[#All],[Please select]],0),MATCH(Livestock!B91,N_excretion_rate_Default[#Headers],0)),
IF(C91="Low-Productivity",INDEX(N_excretion_rate_LP[#All],MATCH(Livestock!$C$2,N_excretion_rate_LP[[#All],[Please select]],0),MATCH(Livestock!B91,N_excretion_rate_LP[#Headers],0)),
IF(C91="High-Productivity",INDEX(N_excretion_rate_HP[#All],MATCH(Livestock!$C$2,N_excretion_rate_HP[[#All],[Please select]],0),MATCH(Livestock!B91,N_excretion_rate_HP[#Headers],0)),0)))))</f>
        <v>0.5</v>
      </c>
      <c r="I91" s="1110">
        <f t="shared" ca="1" si="20"/>
        <v>26</v>
      </c>
      <c r="J91" s="1688">
        <f t="shared" ca="1" si="20"/>
        <v>26</v>
      </c>
      <c r="K91" s="1688">
        <f t="shared" ca="1" si="20"/>
        <v>26</v>
      </c>
      <c r="L91" s="1688">
        <f t="shared" ca="1" si="20"/>
        <v>26</v>
      </c>
      <c r="M91" s="1688" t="str">
        <f t="shared" si="20"/>
        <v>Please select</v>
      </c>
      <c r="N91" s="1044">
        <f ca="1">IF(OR($M91="Regional share",$M91="Please select",$M91="Other (pls. specify EF)"),0,INDEX(INDIRECT(VLOOKUP(E91,list!$B$341:$D$342,1,FALSE)),MATCH(clim_moist,INDIRECT(VLOOKUP(E91,list!$B$341:$D$342,2,FALSE)),0),MATCH($M91,INDIRECT(VLOOKUP(E91,list!$B$341:$D$342,3,FALSE)),0))*Livestock!$H91*Livestock!$G91/1000*365)</f>
        <v>0</v>
      </c>
      <c r="O91" s="1045">
        <f ca="1">IF('4.Grassland'!CC57="",N91,'4.Grassland'!CC57)</f>
        <v>0</v>
      </c>
      <c r="P91" s="1044">
        <f ca="1">IFERROR(INDEX(INDIRECT(VLOOKUP(E91,list!$B$341:$D$342,1,FALSE)),MATCH(clim_moist,INDIRECT(VLOOKUP(E91,list!$B$341:$D$342,2,FALSE)),0),MATCH('4.Grassland'!$BH$53,INDIRECT(VLOOKUP(E91,list!$B$341:$D$342,3,FALSE)),0))*Livestock!$H91*Livestock!$G91/1000*365,0)*I91/100</f>
        <v>5.6939999999999991E-2</v>
      </c>
      <c r="Q91" s="1044">
        <f ca="1">IF($B91="Please select",0,IF(OR($M91="Please select",$M91="Regional share"),SUMPRODUCT(INDEX(INDIRECT(VLOOKUP(E91,list!$B$341:$D$342,1,FALSE)),MATCH(clim_moist,INDIRECT(VLOOKUP(E91,list!$B$341:$D$342,2,FALSE)),0),0),INDEX(INDIRECT(VLOOKUP(F91,list!$B$288:$D$310,1,FALSE)),MATCH($C$2,INDIRECT(VLOOKUP(F91,list!$B$288:$D$310,2,FALSE)),0),0))/100*($H91*$G91/1000*365)-$P91,0))</f>
        <v>0.39511250000000003</v>
      </c>
      <c r="R91" s="2156">
        <f ca="1">IFERROR(IF('4.Grassland'!$BS57="",($P91/($I91/100)*$J91/100+IF(O91&lt;&gt;0, $O91/(1-$I91/100)*(1-$J91/100), $Q91/(1-$I91/100)*(1-$J91/100))),('4.Grassland'!$BS57*$J91/100+IF(O91&lt;&gt;0, $O91/(1-$I91/100)*(1-$J91/100),+$Q91*(1-$J91/100)))),0)</f>
        <v>0.45205250000000002</v>
      </c>
      <c r="S91" s="2156">
        <f ca="1">IFERROR(IF('4.Grassland'!$BT57="",($P91/($I91/100)*$J91/100+IF(O91&lt;&gt;0, $O91/(1-$I91/100)*(1-$J91/100), $Q91/(1-$I91/100)*(1-$J91/100))),('4.Grassland'!$BT57*$J91/100+IF(O91&lt;&gt;0, $O91/(1-$I91/100)*(1-$J91/100),+$Q91*(1-$J91/100)))),0)</f>
        <v>0.45205250000000002</v>
      </c>
      <c r="T91" s="2156">
        <f ca="1">IFERROR(IF('4.Grassland'!$BU57="",($P91/($I91/100)*$J91/100+IF(O91&lt;&gt;0, $O91/(1-$I91/100)*(1-$J91/100), $Q91/(1-$I91/100)*(1-$J91/100))),('4.Grassland'!$BU57*$J91/100+IF(O91&lt;&gt;0, $O91/(1-$I91/100)*(1-$J91/100),+$Q91*(1-$J91/100)))),0)</f>
        <v>0.45205250000000002</v>
      </c>
      <c r="V91" s="3470">
        <f t="shared" ca="1" si="21"/>
        <v>0</v>
      </c>
      <c r="W91" s="1152">
        <f t="shared" ca="1" si="22"/>
        <v>18.824757678571434</v>
      </c>
      <c r="X91" s="3479">
        <f t="shared" ca="1" si="23"/>
        <v>0</v>
      </c>
      <c r="Z91" s="3470">
        <f ca="1">MIN($V91,$W91)*time_tot+ABS($W91-$V91)*IF($W91&gt;$V91,time_cap+time*(VLOOKUP($J9,list!$J$48:$K$50,2,0)),time*(1-(VLOOKUP($J9,list!$J$48:$K$50,2,0))))</f>
        <v>235.30947098214293</v>
      </c>
      <c r="AA91" s="3479">
        <f ca="1">MIN($V91,$X91)*time_tot+ABS($X91-$V91)*IF($X91&gt;$V91,time_cap+time*(VLOOKUP($L9,list!$J$48:$K$50,2,0)),time*(1-(VLOOKUP($L9,list!$J$48:$K$50,2,0))))</f>
        <v>0</v>
      </c>
      <c r="AB91" s="2162">
        <f t="shared" ref="AB91:AB99" ca="1" si="24">AA91-Z91</f>
        <v>-235.30947098214293</v>
      </c>
      <c r="AE91" s="992">
        <f ca="1">MIN($V91,$W91)*time+ABS($W91-$V91)*IF($W91&gt;$V91,time*(VLOOKUP($J9,list!$J$48:$K$50,2,)),time*(1-(VLOOKUP($J9,list!$J$48:$K$50,2,))))</f>
        <v>47.061894196428582</v>
      </c>
      <c r="AF91" s="992">
        <f ca="1">MIN($V91,$X91)*time+ABS($X91-$V91)*IF($X91&gt;$V91,time*(VLOOKUP($L9,list!$J$48:$K$50,2,)),time*(1-(VLOOKUP($L9,list!$J$48:$K$50,2,))))</f>
        <v>0</v>
      </c>
    </row>
    <row r="92" spans="1:32" x14ac:dyDescent="0.15">
      <c r="B92" s="973" t="str">
        <f t="shared" si="17"/>
        <v>Dairy Cattle</v>
      </c>
      <c r="C92" s="973" t="str">
        <f t="shared" si="17"/>
        <v>Low-Productivity</v>
      </c>
      <c r="E92" s="1109" t="str">
        <f t="shared" si="18"/>
        <v>EF_DIRECT_N2O_manure_mngt_cattle_poultry_pigs</v>
      </c>
      <c r="F92" s="1109" t="str">
        <f t="shared" si="19"/>
        <v>AWMS_Dairy_Cattle</v>
      </c>
      <c r="G92" s="1111">
        <f t="shared" si="19"/>
        <v>600</v>
      </c>
      <c r="H92" s="1235">
        <f>IF(B92="Please select",0,(IF(C92="Default",INDEX(N_excretion_rate_Default[#All],MATCH(Livestock!$C$2,N_excretion_rate_Default[[#All],[Please select]],0),MATCH(Livestock!B92,N_excretion_rate_Default[#Headers],0)),
IF(C92="Low-Productivity",INDEX(N_excretion_rate_LP[#All],MATCH(Livestock!$C$2,N_excretion_rate_LP[[#All],[Please select]],0),MATCH(Livestock!B92,N_excretion_rate_LP[#Headers],0)),
IF(C92="High-Productivity",INDEX(N_excretion_rate_HP[#All],MATCH(Livestock!$C$2,N_excretion_rate_HP[[#All],[Please select]],0),MATCH(Livestock!B92,N_excretion_rate_HP[#Headers],0)),0)))))</f>
        <v>0.5</v>
      </c>
      <c r="I92" s="1110">
        <f t="shared" ca="1" si="20"/>
        <v>26</v>
      </c>
      <c r="J92" s="1688">
        <f t="shared" ca="1" si="20"/>
        <v>26</v>
      </c>
      <c r="K92" s="1688">
        <f t="shared" ca="1" si="20"/>
        <v>26</v>
      </c>
      <c r="L92" s="1688">
        <f t="shared" ca="1" si="20"/>
        <v>26</v>
      </c>
      <c r="M92" s="1688" t="str">
        <f t="shared" si="20"/>
        <v>Please select</v>
      </c>
      <c r="N92" s="1044">
        <f ca="1">IF(OR($M92="Regional share",$M92="Please select",$M92="Other (pls. specify EF)"),0,INDEX(INDIRECT(VLOOKUP(E92,list!$B$341:$D$342,1,FALSE)),MATCH(clim_moist,INDIRECT(VLOOKUP(E92,list!$B$341:$D$342,2,FALSE)),0),MATCH($M92,INDIRECT(VLOOKUP(E92,list!$B$341:$D$342,3,FALSE)),0))*Livestock!$H92*Livestock!$G92/1000*365)</f>
        <v>0</v>
      </c>
      <c r="O92" s="1045">
        <f ca="1">IF('4.Grassland'!CC58="",N92,'4.Grassland'!CC58)</f>
        <v>0</v>
      </c>
      <c r="P92" s="1044">
        <f ca="1">IFERROR(INDEX(INDIRECT(VLOOKUP(E92,list!$B$341:$D$342,1,FALSE)),MATCH(clim_moist,INDIRECT(VLOOKUP(E92,list!$B$341:$D$342,2,FALSE)),0),MATCH('4.Grassland'!$BH$53,INDIRECT(VLOOKUP(E92,list!$B$341:$D$342,3,FALSE)),0))*Livestock!$H92*Livestock!$G92/1000*365,0)*I92/100</f>
        <v>5.6939999999999991E-2</v>
      </c>
      <c r="Q92" s="1044">
        <f ca="1">IF($B92="Please select",0,IF(OR($M92="Please select",$M92="Regional share"),SUMPRODUCT(INDEX(INDIRECT(VLOOKUP(E92,list!$B$341:$D$342,1,FALSE)),MATCH(clim_moist,INDIRECT(VLOOKUP(E92,list!$B$341:$D$342,2,FALSE)),0),0),INDEX(INDIRECT(VLOOKUP(F92,list!$B$288:$D$310,1,FALSE)),MATCH($C$2,INDIRECT(VLOOKUP(F92,list!$B$288:$D$310,2,FALSE)),0),0))/100*($H92*$G92/1000*365)-$P92,0))</f>
        <v>0.39511250000000003</v>
      </c>
      <c r="R92" s="2156">
        <f ca="1">IFERROR(IF('4.Grassland'!$BS58="",($P92/($I92/100)*$J92/100+IF(O92&lt;&gt;0, $O92/(1-$I92/100)*(1-$J92/100), $Q92/(1-$I92/100)*(1-$J92/100))),('4.Grassland'!$BS58*$J92/100+IF(O92&lt;&gt;0, $O92/(1-$I92/100)*(1-$J92/100),+$Q92*(1-$J92/100)))),0)</f>
        <v>0.45205250000000002</v>
      </c>
      <c r="S92" s="2156">
        <f ca="1">IFERROR(IF('4.Grassland'!$BT58="",($P92/($I92/100)*$J92/100+IF(O92&lt;&gt;0, $O92/(1-$I92/100)*(1-$J92/100), $Q92/(1-$I92/100)*(1-$J92/100))),('4.Grassland'!$BT58*$J92/100+IF(O92&lt;&gt;0, $O92/(1-$I92/100)*(1-$J92/100),+$Q92*(1-$J92/100)))),0)</f>
        <v>0.45205250000000002</v>
      </c>
      <c r="T92" s="2156">
        <f ca="1">IFERROR(IF('4.Grassland'!$BU58="",($P92/($I92/100)*$J92/100+IF(O92&lt;&gt;0, $O92/(1-$I92/100)*(1-$J92/100), $Q92/(1-$I92/100)*(1-$J92/100))),('4.Grassland'!$BU58*$J92/100+IF(O92&lt;&gt;0, $O92/(1-$I92/100)*(1-$J92/100),+$Q92*(1-$J92/100)))),0)</f>
        <v>0.45205250000000002</v>
      </c>
      <c r="V92" s="3470">
        <f t="shared" ca="1" si="21"/>
        <v>0</v>
      </c>
      <c r="W92" s="1152">
        <f t="shared" ca="1" si="22"/>
        <v>0</v>
      </c>
      <c r="X92" s="3479">
        <f t="shared" ca="1" si="23"/>
        <v>18.824757678571434</v>
      </c>
      <c r="Z92" s="3470">
        <f ca="1">MIN($V92,$W92)*time_tot+ABS($W92-$V92)*IF($W92&gt;$V92,time_cap+time*(VLOOKUP($J10,list!$J$48:$K$50,2,0)),time*(1-(VLOOKUP($J10,list!$J$48:$K$50,2,0))))</f>
        <v>0</v>
      </c>
      <c r="AA92" s="3479">
        <f ca="1">MIN($V92,$X92)*time_tot+ABS($X92-$V92)*IF($X92&gt;$V92,time_cap+time*(VLOOKUP($L10,list!$J$48:$K$50,2,0)),time*(1-(VLOOKUP($L10,list!$J$48:$K$50,2,0))))</f>
        <v>235.30947098214293</v>
      </c>
      <c r="AB92" s="2162">
        <f t="shared" ca="1" si="24"/>
        <v>235.30947098214293</v>
      </c>
      <c r="AE92" s="992">
        <f ca="1">MIN($V92,$W92)*time+ABS($W92-$V92)*IF($W92&gt;$V92,time*(VLOOKUP($J10,list!$J$48:$K$50,2,)),time*(1-(VLOOKUP($J10,list!$J$48:$K$50,2,))))</f>
        <v>0</v>
      </c>
      <c r="AF92" s="992">
        <f ca="1">MIN($V92,$X92)*time+ABS($X92-$V92)*IF($X92&gt;$V92,time*(VLOOKUP($L10,list!$J$48:$K$50,2,)),time*(1-(VLOOKUP($L10,list!$J$48:$K$50,2,))))</f>
        <v>47.061894196428582</v>
      </c>
    </row>
    <row r="93" spans="1:32" x14ac:dyDescent="0.15">
      <c r="B93" s="973" t="str">
        <f t="shared" si="17"/>
        <v>Please select</v>
      </c>
      <c r="C93" s="973" t="str">
        <f t="shared" si="17"/>
        <v>Please select</v>
      </c>
      <c r="E93" s="1109" t="str">
        <f t="shared" si="18"/>
        <v/>
      </c>
      <c r="F93" s="1109" t="str">
        <f t="shared" si="19"/>
        <v/>
      </c>
      <c r="G93" s="1111">
        <f t="shared" si="19"/>
        <v>0</v>
      </c>
      <c r="H93" s="1235">
        <f>IF(B93="Please select",0,(IF(C93="Default",INDEX(N_excretion_rate_Default[#All],MATCH(Livestock!$C$2,N_excretion_rate_Default[[#All],[Please select]],0),MATCH(Livestock!B93,N_excretion_rate_Default[#Headers],0)),
IF(C93="Low-Productivity",INDEX(N_excretion_rate_LP[#All],MATCH(Livestock!$C$2,N_excretion_rate_LP[[#All],[Please select]],0),MATCH(Livestock!B93,N_excretion_rate_LP[#Headers],0)),
IF(C93="High-Productivity",INDEX(N_excretion_rate_HP[#All],MATCH(Livestock!$C$2,N_excretion_rate_HP[[#All],[Please select]],0),MATCH(Livestock!B93,N_excretion_rate_HP[#Headers],0)),0)))))</f>
        <v>0</v>
      </c>
      <c r="I93" s="1110">
        <f t="shared" ca="1" si="20"/>
        <v>0</v>
      </c>
      <c r="J93" s="1688">
        <f t="shared" ca="1" si="20"/>
        <v>0</v>
      </c>
      <c r="K93" s="1688">
        <f t="shared" ca="1" si="20"/>
        <v>0</v>
      </c>
      <c r="L93" s="1688">
        <f t="shared" ca="1" si="20"/>
        <v>0</v>
      </c>
      <c r="M93" s="1688" t="str">
        <f t="shared" si="20"/>
        <v>Please select</v>
      </c>
      <c r="N93" s="1044">
        <f ca="1">IF(OR($M93="Regional share",$M93="Please select",$M93="Other (pls. specify EF)"),0,INDEX(INDIRECT(VLOOKUP(E93,list!$B$341:$D$342,1,FALSE)),MATCH(clim_moist,INDIRECT(VLOOKUP(E93,list!$B$341:$D$342,2,FALSE)),0),MATCH($M93,INDIRECT(VLOOKUP(E93,list!$B$341:$D$342,3,FALSE)),0))*Livestock!$H93*Livestock!$G93/1000*365)</f>
        <v>0</v>
      </c>
      <c r="O93" s="1045">
        <f ca="1">IF('4.Grassland'!CC59="",N93,'4.Grassland'!CC59)</f>
        <v>0</v>
      </c>
      <c r="P93" s="1044">
        <f ca="1">IFERROR(INDEX(INDIRECT(VLOOKUP(E93,list!$B$341:$D$342,1,FALSE)),MATCH(clim_moist,INDIRECT(VLOOKUP(E93,list!$B$341:$D$342,2,FALSE)),0),MATCH('4.Grassland'!$BH$53,INDIRECT(VLOOKUP(E93,list!$B$341:$D$342,3,FALSE)),0))*Livestock!$H93*Livestock!$G93/1000*365,0)*I93/100</f>
        <v>0</v>
      </c>
      <c r="Q93" s="1044">
        <f ca="1">IF($B93="Please select",0,IF(OR($M93="Please select",$M93="Regional share"),SUMPRODUCT(INDEX(INDIRECT(VLOOKUP(E93,list!$B$341:$D$342,1,FALSE)),MATCH(clim_moist,INDIRECT(VLOOKUP(E93,list!$B$341:$D$342,2,FALSE)),0),0),INDEX(INDIRECT(VLOOKUP(F93,list!$B$288:$D$310,1,FALSE)),MATCH($C$2,INDIRECT(VLOOKUP(F93,list!$B$288:$D$310,2,FALSE)),0),0))/100*($H93*$G93/1000*365)-$P93,0))</f>
        <v>0</v>
      </c>
      <c r="R93" s="2156">
        <f ca="1">IFERROR(IF('4.Grassland'!$BS59="",($P93/($I93/100)*$J93/100+IF(O93&lt;&gt;0, $O93/(1-$I93/100)*(1-$J93/100), $Q93/(1-$I93/100)*(1-$J93/100))),('4.Grassland'!$BS59*$J93/100+IF(O93&lt;&gt;0, $O93/(1-$I93/100)*(1-$J93/100),+$Q93*(1-$J93/100)))),0)</f>
        <v>0</v>
      </c>
      <c r="S93" s="2156">
        <f ca="1">IFERROR(IF('4.Grassland'!$BT59="",($P93/($I93/100)*$J93/100+IF(O93&lt;&gt;0, $O93/(1-$I93/100)*(1-$J93/100), $Q93/(1-$I93/100)*(1-$J93/100))),('4.Grassland'!$BT59*$J93/100+IF(O93&lt;&gt;0, $O93/(1-$I93/100)*(1-$J93/100),+$Q93*(1-$J93/100)))),0)</f>
        <v>0</v>
      </c>
      <c r="T93" s="2156">
        <f ca="1">IFERROR(IF('4.Grassland'!$BU59="",($P93/($I93/100)*$J93/100+IF(O93&lt;&gt;0, $O93/(1-$I93/100)*(1-$J93/100), $Q93/(1-$I93/100)*(1-$J93/100))),('4.Grassland'!$BU59*$J93/100+IF(O93&lt;&gt;0, $O93/(1-$I93/100)*(1-$J93/100),+$Q93*(1-$J93/100)))),0)</f>
        <v>0</v>
      </c>
      <c r="V93" s="3470">
        <f t="shared" ca="1" si="21"/>
        <v>0</v>
      </c>
      <c r="W93" s="1152">
        <f t="shared" ca="1" si="22"/>
        <v>0</v>
      </c>
      <c r="X93" s="3479">
        <f t="shared" ca="1" si="23"/>
        <v>0</v>
      </c>
      <c r="Z93" s="3470">
        <f ca="1">MIN($V93,$W93)*time_tot+ABS($W93-$V93)*IF($W93&gt;$V93,time_cap+time*(VLOOKUP($J11,list!$J$48:$K$50,2,0)),time*(1-(VLOOKUP($J11,list!$J$48:$K$50,2,0))))</f>
        <v>0</v>
      </c>
      <c r="AA93" s="3479">
        <f ca="1">MIN($V93,$X93)*time_tot+ABS($X93-$V93)*IF($X93&gt;$V93,time_cap+time*(VLOOKUP($L11,list!$J$48:$K$50,2,0)),time*(1-(VLOOKUP($L11,list!$J$48:$K$50,2,0))))</f>
        <v>0</v>
      </c>
      <c r="AB93" s="2162">
        <f t="shared" ca="1" si="24"/>
        <v>0</v>
      </c>
      <c r="AE93" s="992">
        <f ca="1">MIN($V93,$W93)*time+ABS($W93-$V93)*IF($W93&gt;$V93,time*(VLOOKUP($J11,list!$J$48:$K$50,2,)),time*(1-(VLOOKUP($J11,list!$J$48:$K$50,2,))))</f>
        <v>0</v>
      </c>
      <c r="AF93" s="992">
        <f ca="1">MIN($V93,$X93)*time+ABS($X93-$V93)*IF($X93&gt;$V93,time*(VLOOKUP($L11,list!$J$48:$K$50,2,)),time*(1-(VLOOKUP($L11,list!$J$48:$K$50,2,))))</f>
        <v>0</v>
      </c>
    </row>
    <row r="94" spans="1:32" x14ac:dyDescent="0.15">
      <c r="B94" s="973" t="str">
        <f t="shared" si="17"/>
        <v>Please select</v>
      </c>
      <c r="C94" s="973" t="str">
        <f t="shared" si="17"/>
        <v>Please select</v>
      </c>
      <c r="E94" s="1109" t="str">
        <f t="shared" si="18"/>
        <v/>
      </c>
      <c r="F94" s="1109" t="str">
        <f t="shared" si="19"/>
        <v/>
      </c>
      <c r="G94" s="1111">
        <f t="shared" si="19"/>
        <v>0</v>
      </c>
      <c r="H94" s="1235">
        <f>IF(B94="Please select",0,(IF(C94="Default",INDEX(N_excretion_rate_Default[#All],MATCH(Livestock!$C$2,N_excretion_rate_Default[[#All],[Please select]],0),MATCH(Livestock!B94,N_excretion_rate_Default[#Headers],0)),
IF(C94="Low-Productivity",INDEX(N_excretion_rate_LP[#All],MATCH(Livestock!$C$2,N_excretion_rate_LP[[#All],[Please select]],0),MATCH(Livestock!B94,N_excretion_rate_LP[#Headers],0)),
IF(C94="High-Productivity",INDEX(N_excretion_rate_HP[#All],MATCH(Livestock!$C$2,N_excretion_rate_HP[[#All],[Please select]],0),MATCH(Livestock!B94,N_excretion_rate_HP[#Headers],0)),0)))))</f>
        <v>0</v>
      </c>
      <c r="I94" s="1110">
        <f t="shared" ca="1" si="20"/>
        <v>0</v>
      </c>
      <c r="J94" s="1688">
        <f t="shared" ca="1" si="20"/>
        <v>0</v>
      </c>
      <c r="K94" s="1688">
        <f t="shared" ca="1" si="20"/>
        <v>0</v>
      </c>
      <c r="L94" s="1688">
        <f t="shared" ca="1" si="20"/>
        <v>0</v>
      </c>
      <c r="M94" s="1688" t="str">
        <f t="shared" si="20"/>
        <v>Please select</v>
      </c>
      <c r="N94" s="1044">
        <f ca="1">IF(OR($M94="Regional share",$M94="Please select",$M94="Other (pls. specify EF)"),0,INDEX(INDIRECT(VLOOKUP(E94,list!$B$341:$D$342,1,FALSE)),MATCH(clim_moist,INDIRECT(VLOOKUP(E94,list!$B$341:$D$342,2,FALSE)),0),MATCH($M94,INDIRECT(VLOOKUP(E94,list!$B$341:$D$342,3,FALSE)),0))*Livestock!$H94*Livestock!$G94/1000*365)</f>
        <v>0</v>
      </c>
      <c r="O94" s="1045">
        <f ca="1">IF('4.Grassland'!CC60="",N94,'4.Grassland'!CC60)</f>
        <v>0</v>
      </c>
      <c r="P94" s="1044">
        <f ca="1">IFERROR(INDEX(INDIRECT(VLOOKUP(E94,list!$B$341:$D$342,1,FALSE)),MATCH(clim_moist,INDIRECT(VLOOKUP(E94,list!$B$341:$D$342,2,FALSE)),0),MATCH('4.Grassland'!$BH$53,INDIRECT(VLOOKUP(E94,list!$B$341:$D$342,3,FALSE)),0))*Livestock!$H94*Livestock!$G94/1000*365,0)*I94/100</f>
        <v>0</v>
      </c>
      <c r="Q94" s="1044">
        <f ca="1">IF($B94="Please select",0,IF(OR($M94="Please select",$M94="Regional share"),SUMPRODUCT(INDEX(INDIRECT(VLOOKUP(E94,list!$B$341:$D$342,1,FALSE)),MATCH(clim_moist,INDIRECT(VLOOKUP(E94,list!$B$341:$D$342,2,FALSE)),0),0),INDEX(INDIRECT(VLOOKUP(F94,list!$B$288:$D$310,1,FALSE)),MATCH($C$2,INDIRECT(VLOOKUP(F94,list!$B$288:$D$310,2,FALSE)),0),0))/100*($H94*$G94/1000*365)-$P94,0))</f>
        <v>0</v>
      </c>
      <c r="R94" s="2156">
        <f ca="1">IFERROR(IF('4.Grassland'!$BS60="",($P94/($I94/100)*$J94/100+IF(O94&lt;&gt;0, $O94/(1-$I94/100)*(1-$J94/100), $Q94/(1-$I94/100)*(1-$J94/100))),('4.Grassland'!$BS60*$J94/100+IF(O94&lt;&gt;0, $O94/(1-$I94/100)*(1-$J94/100),+$Q94*(1-$J94/100)))),0)</f>
        <v>0</v>
      </c>
      <c r="S94" s="2156">
        <f ca="1">IFERROR(IF('4.Grassland'!$BT60="",($P94/($I94/100)*$J94/100+IF(O94&lt;&gt;0, $O94/(1-$I94/100)*(1-$J94/100), $Q94/(1-$I94/100)*(1-$J94/100))),('4.Grassland'!$BT60*$J94/100+IF(O94&lt;&gt;0, $O94/(1-$I94/100)*(1-$J94/100),+$Q94*(1-$J94/100)))),0)</f>
        <v>0</v>
      </c>
      <c r="T94" s="2156">
        <f ca="1">IFERROR(IF('4.Grassland'!$BU60="",($P94/($I94/100)*$J94/100+IF(O94&lt;&gt;0, $O94/(1-$I94/100)*(1-$J94/100), $Q94/(1-$I94/100)*(1-$J94/100))),('4.Grassland'!$BU60*$J94/100+IF(O94&lt;&gt;0, $O94/(1-$I94/100)*(1-$J94/100),+$Q94*(1-$J94/100)))),0)</f>
        <v>0</v>
      </c>
      <c r="V94" s="3470">
        <f t="shared" ca="1" si="21"/>
        <v>0</v>
      </c>
      <c r="W94" s="1152">
        <f t="shared" ca="1" si="22"/>
        <v>0</v>
      </c>
      <c r="X94" s="3479">
        <f t="shared" ca="1" si="23"/>
        <v>0</v>
      </c>
      <c r="Z94" s="3470">
        <f ca="1">MIN($V94,$W94)*time_tot+ABS($W94-$V94)*IF($W94&gt;$V94,time_cap+time*(VLOOKUP($J12,list!$J$48:$K$50,2,0)),time*(1-(VLOOKUP($J12,list!$J$48:$K$50,2,0))))</f>
        <v>0</v>
      </c>
      <c r="AA94" s="3479">
        <f ca="1">MIN($V94,$X94)*time_tot+ABS($X94-$V94)*IF($X94&gt;$V94,time_cap+time*(VLOOKUP($L12,list!$J$48:$K$50,2,0)),time*(1-(VLOOKUP($L12,list!$J$48:$K$50,2,0))))</f>
        <v>0</v>
      </c>
      <c r="AB94" s="2162">
        <f t="shared" ca="1" si="24"/>
        <v>0</v>
      </c>
      <c r="AE94" s="992">
        <f ca="1">MIN($V94,$W94)*time+ABS($W94-$V94)*IF($W94&gt;$V94,time*(VLOOKUP($J12,list!$J$48:$K$50,2,)),time*(1-(VLOOKUP($J12,list!$J$48:$K$50,2,))))</f>
        <v>0</v>
      </c>
      <c r="AF94" s="992">
        <f ca="1">MIN($V94,$X94)*time+ABS($X94-$V94)*IF($X94&gt;$V94,time*(VLOOKUP($L12,list!$J$48:$K$50,2,)),time*(1-(VLOOKUP($L12,list!$J$48:$K$50,2,))))</f>
        <v>0</v>
      </c>
    </row>
    <row r="95" spans="1:32" x14ac:dyDescent="0.15">
      <c r="B95" s="973" t="str">
        <f t="shared" si="17"/>
        <v>Please select</v>
      </c>
      <c r="C95" s="973" t="str">
        <f t="shared" si="17"/>
        <v>Please select</v>
      </c>
      <c r="E95" s="1109" t="str">
        <f t="shared" si="18"/>
        <v/>
      </c>
      <c r="F95" s="1109" t="str">
        <f t="shared" si="19"/>
        <v/>
      </c>
      <c r="G95" s="1111">
        <f t="shared" si="19"/>
        <v>0</v>
      </c>
      <c r="H95" s="1235">
        <f>IF(B95="Please select",0,(IF(C95="Default",INDEX(N_excretion_rate_Default[#All],MATCH(Livestock!$C$2,N_excretion_rate_Default[[#All],[Please select]],0),MATCH(Livestock!B95,N_excretion_rate_Default[#Headers],0)),
IF(C95="Low-Productivity",INDEX(N_excretion_rate_LP[#All],MATCH(Livestock!$C$2,N_excretion_rate_LP[[#All],[Please select]],0),MATCH(Livestock!B95,N_excretion_rate_LP[#Headers],0)),
IF(C95="High-Productivity",INDEX(N_excretion_rate_HP[#All],MATCH(Livestock!$C$2,N_excretion_rate_HP[[#All],[Please select]],0),MATCH(Livestock!B95,N_excretion_rate_HP[#Headers],0)),0)))))</f>
        <v>0</v>
      </c>
      <c r="I95" s="1110">
        <f t="shared" ca="1" si="20"/>
        <v>0</v>
      </c>
      <c r="J95" s="1688">
        <f t="shared" ca="1" si="20"/>
        <v>0</v>
      </c>
      <c r="K95" s="1688">
        <f t="shared" ca="1" si="20"/>
        <v>0</v>
      </c>
      <c r="L95" s="1688">
        <f t="shared" ca="1" si="20"/>
        <v>0</v>
      </c>
      <c r="M95" s="1688" t="str">
        <f t="shared" si="20"/>
        <v>Please select</v>
      </c>
      <c r="N95" s="1044">
        <f ca="1">IF(OR($M95="Regional share",$M95="Please select",$M95="Other (pls. specify EF)"),0,INDEX(INDIRECT(VLOOKUP(E95,list!$B$341:$D$342,1,FALSE)),MATCH(clim_moist,INDIRECT(VLOOKUP(E95,list!$B$341:$D$342,2,FALSE)),0),MATCH($M95,INDIRECT(VLOOKUP(E95,list!$B$341:$D$342,3,FALSE)),0))*Livestock!$H95*Livestock!$G95/1000*365)</f>
        <v>0</v>
      </c>
      <c r="O95" s="1045">
        <f ca="1">IF('4.Grassland'!CC61="",N95,'4.Grassland'!CC61)</f>
        <v>0</v>
      </c>
      <c r="P95" s="1044">
        <f ca="1">IFERROR(INDEX(INDIRECT(VLOOKUP(E95,list!$B$341:$D$342,1,FALSE)),MATCH(clim_moist,INDIRECT(VLOOKUP(E95,list!$B$341:$D$342,2,FALSE)),0),MATCH('4.Grassland'!$BH$53,INDIRECT(VLOOKUP(E95,list!$B$341:$D$342,3,FALSE)),0))*Livestock!$H95*Livestock!$G95/1000*365,0)*I95/100</f>
        <v>0</v>
      </c>
      <c r="Q95" s="1044">
        <f ca="1">IF($B95="Please select",0,IF(OR($M95="Please select",$M95="Regional share"),SUMPRODUCT(INDEX(INDIRECT(VLOOKUP(E95,list!$B$341:$D$342,1,FALSE)),MATCH(clim_moist,INDIRECT(VLOOKUP(E95,list!$B$341:$D$342,2,FALSE)),0),0),INDEX(INDIRECT(VLOOKUP(F95,list!$B$288:$D$310,1,FALSE)),MATCH($C$2,INDIRECT(VLOOKUP(F95,list!$B$288:$D$310,2,FALSE)),0),0))/100*($H95*$G95/1000*365)-$P95,0))</f>
        <v>0</v>
      </c>
      <c r="R95" s="2156">
        <f ca="1">IFERROR(IF('4.Grassland'!$BS61="",($P95/($I95/100)*$J95/100+IF(O95&lt;&gt;0, $O95/(1-$I95/100)*(1-$J95/100), $Q95/(1-$I95/100)*(1-$J95/100))),('4.Grassland'!$BS61*$J95/100+IF(O95&lt;&gt;0, $O95/(1-$I95/100)*(1-$J95/100),+$Q95*(1-$J95/100)))),0)</f>
        <v>0</v>
      </c>
      <c r="S95" s="2156">
        <f ca="1">IFERROR(IF('4.Grassland'!$BT61="",($P95/($I95/100)*$J95/100+IF(O95&lt;&gt;0, $O95/(1-$I95/100)*(1-$J95/100), $Q95/(1-$I95/100)*(1-$J95/100))),('4.Grassland'!$BT61*$J95/100+IF(O95&lt;&gt;0, $O95/(1-$I95/100)*(1-$J95/100),+$Q95*(1-$J95/100)))),0)</f>
        <v>0</v>
      </c>
      <c r="T95" s="2156">
        <f ca="1">IFERROR(IF('4.Grassland'!$BU61="",($P95/($I95/100)*$J95/100+IF(O95&lt;&gt;0, $O95/(1-$I95/100)*(1-$J95/100), $Q95/(1-$I95/100)*(1-$J95/100))),('4.Grassland'!$BU61*$J95/100+IF(O95&lt;&gt;0, $O95/(1-$I95/100)*(1-$J95/100),+$Q95*(1-$J95/100)))),0)</f>
        <v>0</v>
      </c>
      <c r="V95" s="3470">
        <f t="shared" ca="1" si="21"/>
        <v>0</v>
      </c>
      <c r="W95" s="1152">
        <f t="shared" ca="1" si="22"/>
        <v>0</v>
      </c>
      <c r="X95" s="3479">
        <f t="shared" ca="1" si="23"/>
        <v>0</v>
      </c>
      <c r="Z95" s="3470">
        <f ca="1">MIN($V95,$W95)*time_tot+ABS($W95-$V95)*IF($W95&gt;$V95,time_cap+time*(VLOOKUP($J13,list!$J$48:$K$50,2,0)),time*(1-(VLOOKUP($J13,list!$J$48:$K$50,2,0))))</f>
        <v>0</v>
      </c>
      <c r="AA95" s="3479">
        <f ca="1">MIN($V95,$X95)*time_tot+ABS($X95-$V95)*IF($X95&gt;$V95,time_cap+time*(VLOOKUP($L13,list!$J$48:$K$50,2,0)),time*(1-(VLOOKUP($L13,list!$J$48:$K$50,2,0))))</f>
        <v>0</v>
      </c>
      <c r="AB95" s="2162">
        <f t="shared" ca="1" si="24"/>
        <v>0</v>
      </c>
      <c r="AE95" s="992">
        <f ca="1">MIN($V95,$W95)*time+ABS($W95-$V95)*IF($W95&gt;$V95,time*(VLOOKUP($J13,list!$J$48:$K$50,2,)),time*(1-(VLOOKUP($J13,list!$J$48:$K$50,2,))))</f>
        <v>0</v>
      </c>
      <c r="AF95" s="992">
        <f ca="1">MIN($V95,$X95)*time+ABS($X95-$V95)*IF($X95&gt;$V95,time*(VLOOKUP($L13,list!$J$48:$K$50,2,)),time*(1-(VLOOKUP($L13,list!$J$48:$K$50,2,))))</f>
        <v>0</v>
      </c>
    </row>
    <row r="96" spans="1:32" x14ac:dyDescent="0.15">
      <c r="B96" s="973" t="str">
        <f t="shared" si="17"/>
        <v>Please select</v>
      </c>
      <c r="C96" s="973" t="str">
        <f t="shared" si="17"/>
        <v>Please select</v>
      </c>
      <c r="E96" s="1109" t="str">
        <f t="shared" si="18"/>
        <v/>
      </c>
      <c r="F96" s="1109" t="str">
        <f t="shared" si="19"/>
        <v/>
      </c>
      <c r="G96" s="1111">
        <f t="shared" si="19"/>
        <v>0</v>
      </c>
      <c r="H96" s="1235">
        <f>IF(B96="Please select",0,(IF(C96="Default",INDEX(N_excretion_rate_Default[#All],MATCH(Livestock!$C$2,N_excretion_rate_Default[[#All],[Please select]],0),MATCH(Livestock!B96,N_excretion_rate_Default[#Headers],0)),
IF(C96="Low-Productivity",INDEX(N_excretion_rate_LP[#All],MATCH(Livestock!$C$2,N_excretion_rate_LP[[#All],[Please select]],0),MATCH(Livestock!B96,N_excretion_rate_LP[#Headers],0)),
IF(C96="High-Productivity",INDEX(N_excretion_rate_HP[#All],MATCH(Livestock!$C$2,N_excretion_rate_HP[[#All],[Please select]],0),MATCH(Livestock!B96,N_excretion_rate_HP[#Headers],0)),0)))))</f>
        <v>0</v>
      </c>
      <c r="I96" s="1110">
        <f t="shared" ca="1" si="20"/>
        <v>0</v>
      </c>
      <c r="J96" s="1688">
        <f t="shared" ca="1" si="20"/>
        <v>0</v>
      </c>
      <c r="K96" s="1688">
        <f t="shared" ca="1" si="20"/>
        <v>0</v>
      </c>
      <c r="L96" s="1688">
        <f t="shared" ca="1" si="20"/>
        <v>0</v>
      </c>
      <c r="M96" s="1688" t="str">
        <f t="shared" si="20"/>
        <v>Please select</v>
      </c>
      <c r="N96" s="1044">
        <f ca="1">IF(OR($M96="Regional share",$M96="Please select",$M96="Other (pls. specify EF)"),0,INDEX(INDIRECT(VLOOKUP(E96,list!$B$341:$D$342,1,FALSE)),MATCH(clim_moist,INDIRECT(VLOOKUP(E96,list!$B$341:$D$342,2,FALSE)),0),MATCH($M96,INDIRECT(VLOOKUP(E96,list!$B$341:$D$342,3,FALSE)),0))*Livestock!$H96*Livestock!$G96/1000*365)</f>
        <v>0</v>
      </c>
      <c r="O96" s="1045">
        <f ca="1">IF('4.Grassland'!CC62="",N96,'4.Grassland'!CC62)</f>
        <v>0</v>
      </c>
      <c r="P96" s="1044">
        <f ca="1">IFERROR(INDEX(INDIRECT(VLOOKUP(E96,list!$B$341:$D$342,1,FALSE)),MATCH(clim_moist,INDIRECT(VLOOKUP(E96,list!$B$341:$D$342,2,FALSE)),0),MATCH('4.Grassland'!$BH$53,INDIRECT(VLOOKUP(E96,list!$B$341:$D$342,3,FALSE)),0))*Livestock!$H96*Livestock!$G96/1000*365,0)*I96/100</f>
        <v>0</v>
      </c>
      <c r="Q96" s="1044">
        <f ca="1">IF($B96="Please select",0,IF(OR($M96="Please select",$M96="Regional share"),SUMPRODUCT(INDEX(INDIRECT(VLOOKUP(E96,list!$B$341:$D$342,1,FALSE)),MATCH(clim_moist,INDIRECT(VLOOKUP(E96,list!$B$341:$D$342,2,FALSE)),0),0),INDEX(INDIRECT(VLOOKUP(F96,list!$B$288:$D$310,1,FALSE)),MATCH($C$2,INDIRECT(VLOOKUP(F96,list!$B$288:$D$310,2,FALSE)),0),0))/100*($H96*$G96/1000*365)-$P96,0))</f>
        <v>0</v>
      </c>
      <c r="R96" s="2156">
        <f ca="1">IFERROR(IF('4.Grassland'!$BS62="",($P96/($I96/100)*$J96/100+IF(O96&lt;&gt;0, $O96/(1-$I96/100)*(1-$J96/100), $Q96/(1-$I96/100)*(1-$J96/100))),('4.Grassland'!$BS62*$J96/100+IF(O96&lt;&gt;0, $O96/(1-$I96/100)*(1-$J96/100),+$Q96*(1-$J96/100)))),0)</f>
        <v>0</v>
      </c>
      <c r="S96" s="2156">
        <f ca="1">IFERROR(IF('4.Grassland'!$BT62="",($P96/($I96/100)*$J96/100+IF(O96&lt;&gt;0, $O96/(1-$I96/100)*(1-$J96/100), $Q96/(1-$I96/100)*(1-$J96/100))),('4.Grassland'!$BT62*$J96/100+IF(O96&lt;&gt;0, $O96/(1-$I96/100)*(1-$J96/100),+$Q96*(1-$J96/100)))),0)</f>
        <v>0</v>
      </c>
      <c r="T96" s="2156">
        <f ca="1">IFERROR(IF('4.Grassland'!$BU62="",($P96/($I96/100)*$J96/100+IF(O96&lt;&gt;0, $O96/(1-$I96/100)*(1-$J96/100), $Q96/(1-$I96/100)*(1-$J96/100))),('4.Grassland'!$BU62*$J96/100+IF(O96&lt;&gt;0, $O96/(1-$I96/100)*(1-$J96/100),+$Q96*(1-$J96/100)))),0)</f>
        <v>0</v>
      </c>
      <c r="V96" s="3470">
        <f t="shared" ca="1" si="21"/>
        <v>0</v>
      </c>
      <c r="W96" s="1152">
        <f t="shared" ca="1" si="22"/>
        <v>0</v>
      </c>
      <c r="X96" s="3479">
        <f t="shared" ca="1" si="23"/>
        <v>0</v>
      </c>
      <c r="Z96" s="3470">
        <f ca="1">MIN($V96,$W96)*time_tot+ABS($W96-$V96)*IF($W96&gt;$V96,time_cap+time*(VLOOKUP($J14,list!$J$48:$K$50,2,0)),time*(1-(VLOOKUP($J14,list!$J$48:$K$50,2,0))))</f>
        <v>0</v>
      </c>
      <c r="AA96" s="3479">
        <f ca="1">MIN($V96,$X96)*time_tot+ABS($X96-$V96)*IF($X96&gt;$V96,time_cap+time*(VLOOKUP($L14,list!$J$48:$K$50,2,0)),time*(1-(VLOOKUP($L14,list!$J$48:$K$50,2,0))))</f>
        <v>0</v>
      </c>
      <c r="AB96" s="2162">
        <f t="shared" ca="1" si="24"/>
        <v>0</v>
      </c>
      <c r="AE96" s="992">
        <f ca="1">MIN($V96,$W96)*time+ABS($W96-$V96)*IF($W96&gt;$V96,time*(VLOOKUP($J14,list!$J$48:$K$50,2,)),time*(1-(VLOOKUP($J14,list!$J$48:$K$50,2,))))</f>
        <v>0</v>
      </c>
      <c r="AF96" s="992">
        <f ca="1">MIN($V96,$X96)*time+ABS($X96-$V96)*IF($X96&gt;$V96,time*(VLOOKUP($L14,list!$J$48:$K$50,2,)),time*(1-(VLOOKUP($L14,list!$J$48:$K$50,2,))))</f>
        <v>0</v>
      </c>
    </row>
    <row r="97" spans="2:32" x14ac:dyDescent="0.15">
      <c r="B97" s="973" t="str">
        <f t="shared" si="17"/>
        <v>Please select</v>
      </c>
      <c r="C97" s="973" t="str">
        <f t="shared" si="17"/>
        <v>Please select</v>
      </c>
      <c r="E97" s="1109" t="str">
        <f t="shared" si="18"/>
        <v/>
      </c>
      <c r="F97" s="1109" t="str">
        <f t="shared" si="19"/>
        <v/>
      </c>
      <c r="G97" s="1111">
        <f t="shared" si="19"/>
        <v>0</v>
      </c>
      <c r="H97" s="1235">
        <f>IF(B97="Please select",0,(IF(C97="Default",INDEX(N_excretion_rate_Default[#All],MATCH(Livestock!$C$2,N_excretion_rate_Default[[#All],[Please select]],0),MATCH(Livestock!B97,N_excretion_rate_Default[#Headers],0)),
IF(C97="Low-Productivity",INDEX(N_excretion_rate_LP[#All],MATCH(Livestock!$C$2,N_excretion_rate_LP[[#All],[Please select]],0),MATCH(Livestock!B97,N_excretion_rate_LP[#Headers],0)),
IF(C97="High-Productivity",INDEX(N_excretion_rate_HP[#All],MATCH(Livestock!$C$2,N_excretion_rate_HP[[#All],[Please select]],0),MATCH(Livestock!B97,N_excretion_rate_HP[#Headers],0)),0)))))</f>
        <v>0</v>
      </c>
      <c r="I97" s="1110">
        <f t="shared" ca="1" si="20"/>
        <v>0</v>
      </c>
      <c r="J97" s="1688">
        <f t="shared" ca="1" si="20"/>
        <v>0</v>
      </c>
      <c r="K97" s="1688">
        <f t="shared" ca="1" si="20"/>
        <v>0</v>
      </c>
      <c r="L97" s="1688">
        <f t="shared" ca="1" si="20"/>
        <v>0</v>
      </c>
      <c r="M97" s="1688" t="str">
        <f t="shared" si="20"/>
        <v>Please select</v>
      </c>
      <c r="N97" s="1044">
        <f ca="1">IF(OR($M97="Regional share",$M97="Please select",$M97="Other (pls. specify EF)"),0,INDEX(INDIRECT(VLOOKUP(E97,list!$B$341:$D$342,1,FALSE)),MATCH(clim_moist,INDIRECT(VLOOKUP(E97,list!$B$341:$D$342,2,FALSE)),0),MATCH($M97,INDIRECT(VLOOKUP(E97,list!$B$341:$D$342,3,FALSE)),0))*Livestock!$H97*Livestock!$G97/1000*365)</f>
        <v>0</v>
      </c>
      <c r="O97" s="1045">
        <f ca="1">IF('4.Grassland'!CC63="",N97,'4.Grassland'!CC63)</f>
        <v>0</v>
      </c>
      <c r="P97" s="1044">
        <f ca="1">IFERROR(INDEX(INDIRECT(VLOOKUP(E97,list!$B$341:$D$342,1,FALSE)),MATCH(clim_moist,INDIRECT(VLOOKUP(E97,list!$B$341:$D$342,2,FALSE)),0),MATCH('4.Grassland'!$BH$53,INDIRECT(VLOOKUP(E97,list!$B$341:$D$342,3,FALSE)),0))*Livestock!$H97*Livestock!$G97/1000*365,0)*I97/100</f>
        <v>0</v>
      </c>
      <c r="Q97" s="1044">
        <f ca="1">IF($B97="Please select",0,IF(OR($M97="Please select",$M97="Regional share"),SUMPRODUCT(INDEX(INDIRECT(VLOOKUP(E97,list!$B$341:$D$342,1,FALSE)),MATCH(clim_moist,INDIRECT(VLOOKUP(E97,list!$B$341:$D$342,2,FALSE)),0),0),INDEX(INDIRECT(VLOOKUP(F97,list!$B$288:$D$310,1,FALSE)),MATCH($C$2,INDIRECT(VLOOKUP(F97,list!$B$288:$D$310,2,FALSE)),0),0))/100*($H97*$G97/1000*365)-$P97,0))</f>
        <v>0</v>
      </c>
      <c r="R97" s="2156">
        <f ca="1">IFERROR(IF('4.Grassland'!$BS63="",($P97/($I97/100)*$J97/100+IF(O97&lt;&gt;0, $O97/(1-$I97/100)*(1-$J97/100), $Q97/(1-$I97/100)*(1-$J97/100))),('4.Grassland'!$BS63*$J97/100+IF(O97&lt;&gt;0, $O97/(1-$I97/100)*(1-$J97/100),+$Q97*(1-$J97/100)))),0)</f>
        <v>0</v>
      </c>
      <c r="S97" s="2156">
        <f ca="1">IFERROR(IF('4.Grassland'!$BT63="",($P97/($I97/100)*$J97/100+IF(O97&lt;&gt;0, $O97/(1-$I97/100)*(1-$J97/100), $Q97/(1-$I97/100)*(1-$J97/100))),('4.Grassland'!$BT63*$J97/100+IF(O97&lt;&gt;0, $O97/(1-$I97/100)*(1-$J97/100),+$Q97*(1-$J97/100)))),0)</f>
        <v>0</v>
      </c>
      <c r="T97" s="2156">
        <f ca="1">IFERROR(IF('4.Grassland'!$BU63="",($P97/($I97/100)*$J97/100+IF(O97&lt;&gt;0, $O97/(1-$I97/100)*(1-$J97/100), $Q97/(1-$I97/100)*(1-$J97/100))),('4.Grassland'!$BU63*$J97/100+IF(O97&lt;&gt;0, $O97/(1-$I97/100)*(1-$J97/100),+$Q97*(1-$J97/100)))),0)</f>
        <v>0</v>
      </c>
      <c r="V97" s="3470">
        <f t="shared" ca="1" si="21"/>
        <v>0</v>
      </c>
      <c r="W97" s="1152">
        <f t="shared" ca="1" si="22"/>
        <v>0</v>
      </c>
      <c r="X97" s="3479">
        <f t="shared" ca="1" si="23"/>
        <v>0</v>
      </c>
      <c r="Z97" s="3470">
        <f ca="1">MIN($V97,$W97)*time_tot+ABS($W97-$V97)*IF($W97&gt;$V97,time_cap+time*(VLOOKUP($J15,list!$J$48:$K$50,2,0)),time*(1-(VLOOKUP($J15,list!$J$48:$K$50,2,0))))</f>
        <v>0</v>
      </c>
      <c r="AA97" s="3479">
        <f ca="1">MIN($V97,$X97)*time_tot+ABS($X97-$V97)*IF($X97&gt;$V97,time_cap+time*(VLOOKUP($L15,list!$J$48:$K$50,2,0)),time*(1-(VLOOKUP($L15,list!$J$48:$K$50,2,0))))</f>
        <v>0</v>
      </c>
      <c r="AB97" s="2162">
        <f t="shared" ca="1" si="24"/>
        <v>0</v>
      </c>
      <c r="AE97" s="992">
        <f ca="1">MIN($V97,$W97)*time+ABS($W97-$V97)*IF($W97&gt;$V97,time*(VLOOKUP($J15,list!$J$48:$K$50,2,)),time*(1-(VLOOKUP($J15,list!$J$48:$K$50,2,))))</f>
        <v>0</v>
      </c>
      <c r="AF97" s="992">
        <f ca="1">MIN($V97,$X97)*time+ABS($X97-$V97)*IF($X97&gt;$V97,time*(VLOOKUP($L15,list!$J$48:$K$50,2,)),time*(1-(VLOOKUP($L15,list!$J$48:$K$50,2,))))</f>
        <v>0</v>
      </c>
    </row>
    <row r="98" spans="2:32" x14ac:dyDescent="0.15">
      <c r="B98" s="973" t="str">
        <f t="shared" si="17"/>
        <v>Please select</v>
      </c>
      <c r="C98" s="973" t="str">
        <f t="shared" si="17"/>
        <v>Please select</v>
      </c>
      <c r="E98" s="1109" t="str">
        <f t="shared" si="18"/>
        <v/>
      </c>
      <c r="F98" s="1109" t="str">
        <f t="shared" si="19"/>
        <v/>
      </c>
      <c r="G98" s="1111">
        <f t="shared" si="19"/>
        <v>0</v>
      </c>
      <c r="H98" s="1235">
        <f>IF(B98="Please select",0,(IF(C98="Default",INDEX(N_excretion_rate_Default[#All],MATCH(Livestock!$C$2,N_excretion_rate_Default[[#All],[Please select]],0),MATCH(Livestock!B98,N_excretion_rate_Default[#Headers],0)),
IF(C98="Low-Productivity",INDEX(N_excretion_rate_LP[#All],MATCH(Livestock!$C$2,N_excretion_rate_LP[[#All],[Please select]],0),MATCH(Livestock!B98,N_excretion_rate_LP[#Headers],0)),
IF(C98="High-Productivity",INDEX(N_excretion_rate_HP[#All],MATCH(Livestock!$C$2,N_excretion_rate_HP[[#All],[Please select]],0),MATCH(Livestock!B98,N_excretion_rate_HP[#Headers],0)),0)))))</f>
        <v>0</v>
      </c>
      <c r="I98" s="1110">
        <f t="shared" ca="1" si="20"/>
        <v>0</v>
      </c>
      <c r="J98" s="1688">
        <f t="shared" ca="1" si="20"/>
        <v>0</v>
      </c>
      <c r="K98" s="1688">
        <f t="shared" ca="1" si="20"/>
        <v>0</v>
      </c>
      <c r="L98" s="1688">
        <f t="shared" ca="1" si="20"/>
        <v>0</v>
      </c>
      <c r="M98" s="1688" t="str">
        <f t="shared" si="20"/>
        <v>Please select</v>
      </c>
      <c r="N98" s="1044">
        <f ca="1">IF(OR($M98="Regional share",$M98="Please select",$M98="Other (pls. specify EF)"),0,INDEX(INDIRECT(VLOOKUP(E98,list!$B$341:$D$342,1,FALSE)),MATCH(clim_moist,INDIRECT(VLOOKUP(E98,list!$B$341:$D$342,2,FALSE)),0),MATCH($M98,INDIRECT(VLOOKUP(E98,list!$B$341:$D$342,3,FALSE)),0))*Livestock!$H98*Livestock!$G98/1000*365)</f>
        <v>0</v>
      </c>
      <c r="O98" s="1045">
        <f ca="1">IF('4.Grassland'!CC64="",N98,'4.Grassland'!CC64)</f>
        <v>0</v>
      </c>
      <c r="P98" s="1044">
        <f ca="1">IFERROR(INDEX(INDIRECT(VLOOKUP(E98,list!$B$341:$D$342,1,FALSE)),MATCH(clim_moist,INDIRECT(VLOOKUP(E98,list!$B$341:$D$342,2,FALSE)),0),MATCH('4.Grassland'!$BH$53,INDIRECT(VLOOKUP(E98,list!$B$341:$D$342,3,FALSE)),0))*Livestock!$H98*Livestock!$G98/1000*365,0)*I98/100</f>
        <v>0</v>
      </c>
      <c r="Q98" s="1044">
        <f ca="1">IF($B98="Please select",0,IF(OR($M98="Please select",$M98="Regional share"),SUMPRODUCT(INDEX(INDIRECT(VLOOKUP(E98,list!$B$341:$D$342,1,FALSE)),MATCH(clim_moist,INDIRECT(VLOOKUP(E98,list!$B$341:$D$342,2,FALSE)),0),0),INDEX(INDIRECT(VLOOKUP(F98,list!$B$288:$D$310,1,FALSE)),MATCH($C$2,INDIRECT(VLOOKUP(F98,list!$B$288:$D$310,2,FALSE)),0),0))/100*($H98*$G98/1000*365)-$P98,0))</f>
        <v>0</v>
      </c>
      <c r="R98" s="2156">
        <f ca="1">IFERROR(IF('4.Grassland'!$BS64="",($P98/($I98/100)*$J98/100+IF(O98&lt;&gt;0, $O98/(1-$I98/100)*(1-$J98/100), $Q98/(1-$I98/100)*(1-$J98/100))),('4.Grassland'!$BS64*$J98/100+IF(O98&lt;&gt;0, $O98/(1-$I98/100)*(1-$J98/100),+$Q98*(1-$J98/100)))),0)</f>
        <v>0</v>
      </c>
      <c r="S98" s="2156">
        <f ca="1">IFERROR(IF('4.Grassland'!$BT64="",($P98/($I98/100)*$J98/100+IF(O98&lt;&gt;0, $O98/(1-$I98/100)*(1-$J98/100), $Q98/(1-$I98/100)*(1-$J98/100))),('4.Grassland'!$BT64*$J98/100+IF(O98&lt;&gt;0, $O98/(1-$I98/100)*(1-$J98/100),+$Q98*(1-$J98/100)))),0)</f>
        <v>0</v>
      </c>
      <c r="T98" s="2156">
        <f ca="1">IFERROR(IF('4.Grassland'!$BU64="",($P98/($I98/100)*$J98/100+IF(O98&lt;&gt;0, $O98/(1-$I98/100)*(1-$J98/100), $Q98/(1-$I98/100)*(1-$J98/100))),('4.Grassland'!$BU64*$J98/100+IF(O98&lt;&gt;0, $O98/(1-$I98/100)*(1-$J98/100),+$Q98*(1-$J98/100)))),0)</f>
        <v>0</v>
      </c>
      <c r="V98" s="3470">
        <f t="shared" ca="1" si="21"/>
        <v>0</v>
      </c>
      <c r="W98" s="1152">
        <f t="shared" ca="1" si="22"/>
        <v>0</v>
      </c>
      <c r="X98" s="3479">
        <f t="shared" ca="1" si="23"/>
        <v>0</v>
      </c>
      <c r="Z98" s="3470">
        <f ca="1">MIN($V98,$W98)*time_tot+ABS($W98-$V98)*IF($W98&gt;$V98,time_cap+time*(VLOOKUP($J16,list!$J$48:$K$50,2,0)),time*(1-(VLOOKUP($J16,list!$J$48:$K$50,2,0))))</f>
        <v>0</v>
      </c>
      <c r="AA98" s="3479">
        <f ca="1">MIN($V98,$X98)*time_tot+ABS($X98-$V98)*IF($X98&gt;$V98,time_cap+time*(VLOOKUP($L16,list!$J$48:$K$50,2,0)),time*(1-(VLOOKUP($L16,list!$J$48:$K$50,2,0))))</f>
        <v>0</v>
      </c>
      <c r="AB98" s="2162">
        <f t="shared" ca="1" si="24"/>
        <v>0</v>
      </c>
      <c r="AE98" s="992">
        <f ca="1">MIN($V98,$W98)*time+ABS($W98-$V98)*IF($W98&gt;$V98,time*(VLOOKUP($J16,list!$J$48:$K$50,2,)),time*(1-(VLOOKUP($J16,list!$J$48:$K$50,2,))))</f>
        <v>0</v>
      </c>
      <c r="AF98" s="992">
        <f ca="1">MIN($V98,$X98)*time+ABS($X98-$V98)*IF($X98&gt;$V98,time*(VLOOKUP($L16,list!$J$48:$K$50,2,)),time*(1-(VLOOKUP($L16,list!$J$48:$K$50,2,))))</f>
        <v>0</v>
      </c>
    </row>
    <row r="99" spans="2:32" x14ac:dyDescent="0.15">
      <c r="B99" s="973" t="str">
        <f t="shared" si="17"/>
        <v>Please select</v>
      </c>
      <c r="C99" s="973" t="str">
        <f t="shared" si="17"/>
        <v>Please select</v>
      </c>
      <c r="E99" s="1109" t="str">
        <f t="shared" si="18"/>
        <v/>
      </c>
      <c r="F99" s="1109" t="str">
        <f t="shared" si="19"/>
        <v/>
      </c>
      <c r="G99" s="1111">
        <f t="shared" si="19"/>
        <v>0</v>
      </c>
      <c r="H99" s="1235">
        <f>IF(B99="Please select",0,(IF(C99="Default",INDEX(N_excretion_rate_Default[#All],MATCH(Livestock!$C$2,N_excretion_rate_Default[[#All],[Please select]],0),MATCH(Livestock!B99,N_excretion_rate_Default[#Headers],0)),
IF(C99="Low-Productivity",INDEX(N_excretion_rate_LP[#All],MATCH(Livestock!$C$2,N_excretion_rate_LP[[#All],[Please select]],0),MATCH(Livestock!B99,N_excretion_rate_LP[#Headers],0)),
IF(C99="High-Productivity",INDEX(N_excretion_rate_HP[#All],MATCH(Livestock!$C$2,N_excretion_rate_HP[[#All],[Please select]],0),MATCH(Livestock!B99,N_excretion_rate_HP[#Headers],0)),0)))))</f>
        <v>0</v>
      </c>
      <c r="I99" s="1110">
        <f t="shared" ca="1" si="20"/>
        <v>0</v>
      </c>
      <c r="J99" s="1688">
        <f t="shared" ca="1" si="20"/>
        <v>0</v>
      </c>
      <c r="K99" s="1688">
        <f t="shared" ca="1" si="20"/>
        <v>0</v>
      </c>
      <c r="L99" s="1688">
        <f t="shared" ca="1" si="20"/>
        <v>0</v>
      </c>
      <c r="M99" s="1688" t="str">
        <f t="shared" si="20"/>
        <v>Please select</v>
      </c>
      <c r="N99" s="1044">
        <f ca="1">IF(OR($M99="Regional share",$M99="Please select",$M99="Other (pls. specify EF)"),0,INDEX(INDIRECT(VLOOKUP(E99,list!$B$341:$D$342,1,FALSE)),MATCH(clim_moist,INDIRECT(VLOOKUP(E99,list!$B$341:$D$342,2,FALSE)),0),MATCH($M99,INDIRECT(VLOOKUP(E99,list!$B$341:$D$342,3,FALSE)),0))*Livestock!$H99*Livestock!$G99/1000*365)</f>
        <v>0</v>
      </c>
      <c r="O99" s="1045">
        <f ca="1">IF('4.Grassland'!CC65="",N99,'4.Grassland'!CC65)</f>
        <v>0</v>
      </c>
      <c r="P99" s="1044">
        <f ca="1">IFERROR(INDEX(INDIRECT(VLOOKUP(E99,list!$B$341:$D$342,1,FALSE)),MATCH(clim_moist,INDIRECT(VLOOKUP(E99,list!$B$341:$D$342,2,FALSE)),0),MATCH('4.Grassland'!$BH$53,INDIRECT(VLOOKUP(E99,list!$B$341:$D$342,3,FALSE)),0))*Livestock!$H99*Livestock!$G99/1000*365,0)*I99/100</f>
        <v>0</v>
      </c>
      <c r="Q99" s="1044">
        <f ca="1">IF($B99="Please select",0,IF(OR($M99="Please select",$M99="Regional share"),SUMPRODUCT(INDEX(INDIRECT(VLOOKUP(E99,list!$B$341:$D$342,1,FALSE)),MATCH(clim_moist,INDIRECT(VLOOKUP(E99,list!$B$341:$D$342,2,FALSE)),0),0),INDEX(INDIRECT(VLOOKUP(F99,list!$B$288:$D$310,1,FALSE)),MATCH($C$2,INDIRECT(VLOOKUP(F99,list!$B$288:$D$310,2,FALSE)),0),0))/100*($H99*$G99/1000*365)-$P99,0))</f>
        <v>0</v>
      </c>
      <c r="R99" s="2156">
        <f ca="1">IFERROR(IF('4.Grassland'!$BS65="",($P99/($I99/100)*$J99/100+IF(O99&lt;&gt;0, $O99/(1-$I99/100)*(1-$J99/100), $Q99/(1-$I99/100)*(1-$J99/100))),('4.Grassland'!$BS65*$J99/100+IF(O99&lt;&gt;0, $O99/(1-$I99/100)*(1-$J99/100),+$Q99*(1-$J99/100)))),0)</f>
        <v>0</v>
      </c>
      <c r="S99" s="2156">
        <f ca="1">IFERROR(IF('4.Grassland'!$BT65="",($P99/($I99/100)*$J99/100+IF(O99&lt;&gt;0, $O99/(1-$I99/100)*(1-$J99/100), $Q99/(1-$I99/100)*(1-$J99/100))),('4.Grassland'!$BT65*$J99/100+IF(O99&lt;&gt;0, $O99/(1-$I99/100)*(1-$J99/100),+$Q99*(1-$J99/100)))),0)</f>
        <v>0</v>
      </c>
      <c r="T99" s="2156">
        <f ca="1">IFERROR(IF('4.Grassland'!$BU65="",($P99/($I99/100)*$J99/100+IF(O99&lt;&gt;0, $O99/(1-$I99/100)*(1-$J99/100), $Q99/(1-$I99/100)*(1-$J99/100))),('4.Grassland'!$BU65*$J99/100+IF(O99&lt;&gt;0, $O99/(1-$I99/100)*(1-$J99/100),+$Q99*(1-$J99/100)))),0)</f>
        <v>0</v>
      </c>
      <c r="V99" s="3470">
        <f t="shared" ca="1" si="21"/>
        <v>0</v>
      </c>
      <c r="W99" s="1152">
        <f t="shared" ca="1" si="22"/>
        <v>0</v>
      </c>
      <c r="X99" s="3479">
        <f t="shared" ca="1" si="23"/>
        <v>0</v>
      </c>
      <c r="Z99" s="3470">
        <f ca="1">MIN($V99,$W99)*time_tot+ABS($W99-$V99)*IF($W99&gt;$V99,time_cap+time*(VLOOKUP($J17,list!$J$48:$K$50,2,0)),time*(1-(VLOOKUP($J17,list!$J$48:$K$50,2,0))))</f>
        <v>0</v>
      </c>
      <c r="AA99" s="3479">
        <f ca="1">MIN($V99,$X99)*time_tot+ABS($X99-$V99)*IF($X99&gt;$V99,time_cap+time*(VLOOKUP($L17,list!$J$48:$K$50,2,0)),time*(1-(VLOOKUP($L17,list!$J$48:$K$50,2,0))))</f>
        <v>0</v>
      </c>
      <c r="AB99" s="2162">
        <f t="shared" ca="1" si="24"/>
        <v>0</v>
      </c>
      <c r="AE99" s="992">
        <f ca="1">MIN($V99,$W99)*time+ABS($W99-$V99)*IF($W99&gt;$V99,time*(VLOOKUP($J17,list!$J$48:$K$50,2,)),time*(1-(VLOOKUP($J17,list!$J$48:$K$50,2,))))</f>
        <v>0</v>
      </c>
      <c r="AF99" s="992">
        <f ca="1">MIN($V99,$X99)*time+ABS($X99-$V99)*IF($X99&gt;$V99,time*(VLOOKUP($L17,list!$J$48:$K$50,2,)),time*(1-(VLOOKUP($L17,list!$J$48:$K$50,2,))))</f>
        <v>0</v>
      </c>
    </row>
    <row r="100" spans="2:32" x14ac:dyDescent="0.15">
      <c r="B100" s="973" t="str">
        <f t="shared" si="17"/>
        <v>Please select</v>
      </c>
      <c r="C100" s="973" t="str">
        <f t="shared" si="17"/>
        <v>Please select</v>
      </c>
      <c r="E100" s="1109" t="str">
        <f t="shared" si="18"/>
        <v/>
      </c>
      <c r="F100" s="1109" t="str">
        <f t="shared" si="19"/>
        <v/>
      </c>
      <c r="G100" s="1111">
        <f t="shared" si="19"/>
        <v>0</v>
      </c>
      <c r="H100" s="1235">
        <f>IF(B100="Please select",0,(IF(C100="Default",INDEX(N_excretion_rate_Default[#All],MATCH(Livestock!$C$2,N_excretion_rate_Default[[#All],[Please select]],0),MATCH(Livestock!B100,N_excretion_rate_Default[#Headers],0)),
IF(C100="Low-Productivity",INDEX(N_excretion_rate_LP[#All],MATCH(Livestock!$C$2,N_excretion_rate_LP[[#All],[Please select]],0),MATCH(Livestock!B100,N_excretion_rate_LP[#Headers],0)),
IF(C100="High-Productivity",INDEX(N_excretion_rate_HP[#All],MATCH(Livestock!$C$2,N_excretion_rate_HP[[#All],[Please select]],0),MATCH(Livestock!B100,N_excretion_rate_HP[#Headers],0)),0)))))</f>
        <v>0</v>
      </c>
      <c r="I100" s="1110">
        <f t="shared" ca="1" si="20"/>
        <v>0</v>
      </c>
      <c r="J100" s="1688">
        <f t="shared" ca="1" si="20"/>
        <v>0</v>
      </c>
      <c r="K100" s="1688">
        <f t="shared" ca="1" si="20"/>
        <v>0</v>
      </c>
      <c r="L100" s="1688">
        <f t="shared" ca="1" si="20"/>
        <v>0</v>
      </c>
      <c r="M100" s="1688" t="str">
        <f t="shared" si="20"/>
        <v>Please select</v>
      </c>
      <c r="N100" s="1044">
        <f ca="1">IF(OR($M100="Regional share",$M100="Please select",$M100="Other (pls. specify EF)"),0,INDEX(INDIRECT(VLOOKUP(E100,list!$B$341:$D$342,1,FALSE)),MATCH(clim_moist,INDIRECT(VLOOKUP(E100,list!$B$341:$D$342,2,FALSE)),0),MATCH($M100,INDIRECT(VLOOKUP(E100,list!$B$341:$D$342,3,FALSE)),0))*Livestock!$H100*Livestock!$G100/1000*365)</f>
        <v>0</v>
      </c>
      <c r="O100" s="1045">
        <f ca="1">IF('4.Grassland'!CC66="",N100,'4.Grassland'!CC66)</f>
        <v>0</v>
      </c>
      <c r="P100" s="1044">
        <f ca="1">IFERROR(INDEX(INDIRECT(VLOOKUP(E100,list!$B$341:$D$342,1,FALSE)),MATCH(clim_moist,INDIRECT(VLOOKUP(E100,list!$B$341:$D$342,2,FALSE)),0),MATCH('4.Grassland'!$BH$53,INDIRECT(VLOOKUP(E100,list!$B$341:$D$342,3,FALSE)),0))*Livestock!$H100*Livestock!$G100/1000*365,0)*I100/100</f>
        <v>0</v>
      </c>
      <c r="Q100" s="1044">
        <f ca="1">IF($B100="Please select",0,IF(OR($M100="Please select",$M100="Regional share"),SUMPRODUCT(INDEX(INDIRECT(VLOOKUP(E100,list!$B$341:$D$342,1,FALSE)),MATCH(clim_moist,INDIRECT(VLOOKUP(E100,list!$B$341:$D$342,2,FALSE)),0),0),INDEX(INDIRECT(VLOOKUP(F100,list!$B$288:$D$310,1,FALSE)),MATCH($C$2,INDIRECT(VLOOKUP(F100,list!$B$288:$D$310,2,FALSE)),0),0))/100*($H100*$G100/1000*365)-$P100,0))</f>
        <v>0</v>
      </c>
      <c r="R100" s="2156">
        <f ca="1">IFERROR(IF('4.Grassland'!$BS66="",($P100/($I100/100)*$J100/100+IF(O100&lt;&gt;0, $O100/(1-$I100/100)*(1-$J100/100), $Q100/(1-$I100/100)*(1-$J100/100))),('4.Grassland'!$BS66*$J100/100+IF(O100&lt;&gt;0, $O100/(1-$I100/100)*(1-$J100/100),+$Q100*(1-$J100/100)))),0)</f>
        <v>0</v>
      </c>
      <c r="S100" s="2156">
        <f ca="1">IFERROR(IF('4.Grassland'!$BT66="",($P100/($I100/100)*$J100/100+IF(O100&lt;&gt;0, $O100/(1-$I100/100)*(1-$J100/100), $Q100/(1-$I100/100)*(1-$J100/100))),('4.Grassland'!$BT66*$J100/100+IF(O100&lt;&gt;0, $O100/(1-$I100/100)*(1-$J100/100),+$Q100*(1-$J100/100)))),0)</f>
        <v>0</v>
      </c>
      <c r="T100" s="2156">
        <f ca="1">IFERROR(IF('4.Grassland'!$BU66="",($P100/($I100/100)*$J100/100+IF(O100&lt;&gt;0, $O100/(1-$I100/100)*(1-$J100/100), $Q100/(1-$I100/100)*(1-$J100/100))),('4.Grassland'!$BU66*$J100/100+IF(O100&lt;&gt;0, $O100/(1-$I100/100)*(1-$J100/100),+$Q100*(1-$J100/100)))),0)</f>
        <v>0</v>
      </c>
      <c r="V100" s="3471">
        <f t="shared" ca="1" si="21"/>
        <v>0</v>
      </c>
      <c r="W100" s="1153">
        <f t="shared" ca="1" si="22"/>
        <v>0</v>
      </c>
      <c r="X100" s="3480">
        <f t="shared" ca="1" si="23"/>
        <v>0</v>
      </c>
      <c r="Z100" s="3471">
        <f ca="1">MIN($V100,$W100)*time_tot+ABS($W100-$V100)*IF($W100&gt;$V100,time_cap+time*(VLOOKUP($J18,list!$J$48:$K$50,2,0)),time*(1-(VLOOKUP($J18,list!$J$48:$K$50,2,0))))</f>
        <v>0</v>
      </c>
      <c r="AA100" s="3480">
        <f ca="1">MIN($V100,$X100)*time_tot+ABS($X100-$V100)*IF($X100&gt;$V100,time_cap+time*(VLOOKUP($L18,list!$J$48:$K$50,2,0)),time*(1-(VLOOKUP($L18,list!$J$48:$K$50,2,0))))</f>
        <v>0</v>
      </c>
      <c r="AB100" s="3492">
        <f ca="1">AA100-Z100</f>
        <v>0</v>
      </c>
      <c r="AE100" s="992">
        <f ca="1">MIN($V100,$W100)*time+ABS($W100-$V100)*IF($W100&gt;$V100,time*(VLOOKUP($J18,list!$J$48:$K$50,2,)),time*(1-(VLOOKUP($J18,list!$J$48:$K$50,2,))))</f>
        <v>0</v>
      </c>
      <c r="AF100" s="992">
        <f ca="1">MIN($V100,$X100)*time+ABS($X100-$V100)*IF($X100&gt;$V100,time*(VLOOKUP($L18,list!$J$48:$K$50,2,)),time*(1-(VLOOKUP($L18,list!$J$48:$K$50,2,))))</f>
        <v>0</v>
      </c>
    </row>
    <row r="101" spans="2:32" x14ac:dyDescent="0.15">
      <c r="B101" s="973" t="str">
        <f t="shared" si="17"/>
        <v>Please select</v>
      </c>
      <c r="C101" s="973" t="str">
        <f t="shared" si="17"/>
        <v>Please select</v>
      </c>
      <c r="E101" s="1109" t="str">
        <f t="shared" ref="E101:E106" si="25">IF(B101="Please select","",IF(AND(OR($C$2="North America",$C$2="Western Europe",$C$2="Eastern Europe",$C$2="Oceania"),(C101="Default")),VLOOKUP($B101,$N$36:$Q$54,4,FALSE),INDEX($N$36:$Q$54,MATCH($B101,$N$36:$N$54,0),MATCH($C101,$N$36:$Q$36,0))))</f>
        <v/>
      </c>
      <c r="F101" s="1109" t="str">
        <f t="shared" ref="F101:G106" si="26">F73</f>
        <v/>
      </c>
      <c r="G101" s="1111">
        <f t="shared" si="26"/>
        <v>0</v>
      </c>
      <c r="H101" s="1235">
        <f>IF(B101="Please select",0,(IF(C101="Default",INDEX(N_excretion_rate_Default[#All],MATCH(Livestock!$C$2,N_excretion_rate_Default[[#All],[Please select]],0),MATCH(Livestock!B101,N_excretion_rate_Default[#Headers],0)),
IF(C101="Low-Productivity",INDEX(N_excretion_rate_LP[#All],MATCH(Livestock!$C$2,N_excretion_rate_LP[[#All],[Please select]],0),MATCH(Livestock!B101,N_excretion_rate_LP[#Headers],0)),
IF(C101="High-Productivity",INDEX(N_excretion_rate_HP[#All],MATCH(Livestock!$C$2,N_excretion_rate_HP[[#All],[Please select]],0),MATCH(Livestock!B101,N_excretion_rate_HP[#Headers],0)),0)))))</f>
        <v>0</v>
      </c>
      <c r="I101" s="1110">
        <f t="shared" ref="I101:M106" ca="1" si="27">I73</f>
        <v>0</v>
      </c>
      <c r="J101" s="1688">
        <f t="shared" ca="1" si="27"/>
        <v>0</v>
      </c>
      <c r="K101" s="1688">
        <f t="shared" ca="1" si="27"/>
        <v>0</v>
      </c>
      <c r="L101" s="1688">
        <f t="shared" ca="1" si="27"/>
        <v>0</v>
      </c>
      <c r="M101" s="1688" t="str">
        <f t="shared" si="27"/>
        <v>Please select</v>
      </c>
      <c r="N101" s="1044">
        <f ca="1">IF(OR($M101="Regional share",$M101="Please select",$M101="Other (pls. specify EF)"),0,INDEX(INDIRECT(VLOOKUP(E101,list!$B$341:$D$342,1,FALSE)),MATCH(clim_moist,INDIRECT(VLOOKUP(E101,list!$B$341:$D$342,2,FALSE)),0),MATCH($M101,INDIRECT(VLOOKUP(E101,list!$B$341:$D$342,3,FALSE)),0))*Livestock!$H101*Livestock!$G101/1000*365)</f>
        <v>0</v>
      </c>
      <c r="O101" s="1045">
        <f ca="1">IF('4.Grassland'!CC67="",N101,'4.Grassland'!CC67)</f>
        <v>0</v>
      </c>
      <c r="P101" s="1044">
        <f ca="1">IFERROR(INDEX(INDIRECT(VLOOKUP(E101,list!$B$341:$D$342,1,FALSE)),MATCH(clim_moist,INDIRECT(VLOOKUP(E101,list!$B$341:$D$342,2,FALSE)),0),MATCH('4.Grassland'!$BH$53,INDIRECT(VLOOKUP(E101,list!$B$341:$D$342,3,FALSE)),0))*Livestock!$H101*Livestock!$G101/1000*365,0)*I101/100</f>
        <v>0</v>
      </c>
      <c r="Q101" s="1044">
        <f ca="1">IF($B101="Please select",0,IF(OR($M101="Please select",$M101="Regional share"),SUMPRODUCT(INDEX(INDIRECT(VLOOKUP(E101,list!$B$341:$D$342,1,FALSE)),MATCH(clim_moist,INDIRECT(VLOOKUP(E101,list!$B$341:$D$342,2,FALSE)),0),0),INDEX(INDIRECT(VLOOKUP(F101,list!$B$288:$D$310,1,FALSE)),MATCH($C$2,INDIRECT(VLOOKUP(F101,list!$B$288:$D$310,2,FALSE)),0),0))/100*($H101*$G101/1000*365)-$P101,0))</f>
        <v>0</v>
      </c>
      <c r="R101" s="2156">
        <f ca="1">IFERROR(IF('4.Grassland'!$BS67="",($P101/($I101/100)*$J101/100+IF(O101&lt;&gt;0, $O101/(1-$I101/100)*(1-$J101/100), $Q101/(1-$I101/100)*(1-$J101/100))),('4.Grassland'!$BS67*$J101/100+IF(O101&lt;&gt;0, $O101/(1-$I101/100)*(1-$J101/100),+$Q101*(1-$J101/100)))),0)</f>
        <v>0</v>
      </c>
      <c r="S101" s="2156">
        <f ca="1">IFERROR(IF('4.Grassland'!$BT67="",($P101/($I101/100)*$J101/100+IF(O101&lt;&gt;0, $O101/(1-$I101/100)*(1-$J101/100), $Q101/(1-$I101/100)*(1-$J101/100))),('4.Grassland'!$BT67*$J101/100+IF(O101&lt;&gt;0, $O101/(1-$I101/100)*(1-$J101/100),+$Q101*(1-$J101/100)))),0)</f>
        <v>0</v>
      </c>
      <c r="T101" s="2156">
        <f ca="1">IFERROR(IF('4.Grassland'!$BU67="",($P101/($I101/100)*$J101/100+IF(O101&lt;&gt;0, $O101/(1-$I101/100)*(1-$J101/100), $Q101/(1-$I101/100)*(1-$J101/100))),('4.Grassland'!$BU67*$J101/100+IF(O101&lt;&gt;0, $O101/(1-$I101/100)*(1-$J101/100),+$Q101*(1-$J101/100)))),0)</f>
        <v>0</v>
      </c>
      <c r="V101" s="3471">
        <f t="shared" ca="1" si="21"/>
        <v>0</v>
      </c>
      <c r="W101" s="1153">
        <f t="shared" ca="1" si="22"/>
        <v>0</v>
      </c>
      <c r="X101" s="3480">
        <f t="shared" ca="1" si="23"/>
        <v>0</v>
      </c>
      <c r="Z101" s="3471">
        <f ca="1">MIN($V101,$W101)*time_tot+ABS($W101-$V101)*IF($W101&gt;$V101,time_cap+time*(VLOOKUP($J19,list!$J$48:$K$50,2,0)),time*(1-(VLOOKUP($J19,list!$J$48:$K$50,2,0))))</f>
        <v>0</v>
      </c>
      <c r="AA101" s="3480">
        <f ca="1">MIN($V101,$X101)*time_tot+ABS($X101-$V101)*IF($X101&gt;$V101,time_cap+time*(VLOOKUP($L19,list!$J$48:$K$50,2,0)),time*(1-(VLOOKUP($L19,list!$J$48:$K$50,2,0))))</f>
        <v>0</v>
      </c>
      <c r="AB101" s="3492">
        <f t="shared" ref="AB101:AB106" ca="1" si="28">AA101-Z101</f>
        <v>0</v>
      </c>
    </row>
    <row r="102" spans="2:32" x14ac:dyDescent="0.15">
      <c r="B102" s="973" t="str">
        <f t="shared" si="17"/>
        <v>Please select</v>
      </c>
      <c r="C102" s="973" t="str">
        <f t="shared" si="17"/>
        <v>Please select</v>
      </c>
      <c r="E102" s="1109" t="str">
        <f t="shared" si="25"/>
        <v/>
      </c>
      <c r="F102" s="1109" t="str">
        <f t="shared" si="26"/>
        <v/>
      </c>
      <c r="G102" s="1111">
        <f t="shared" si="26"/>
        <v>0</v>
      </c>
      <c r="H102" s="1235">
        <f>IF(B102="Please select",0,(IF(C102="Default",INDEX(N_excretion_rate_Default[#All],MATCH(Livestock!$C$2,N_excretion_rate_Default[[#All],[Please select]],0),MATCH(Livestock!B102,N_excretion_rate_Default[#Headers],0)),
IF(C102="Low-Productivity",INDEX(N_excretion_rate_LP[#All],MATCH(Livestock!$C$2,N_excretion_rate_LP[[#All],[Please select]],0),MATCH(Livestock!B102,N_excretion_rate_LP[#Headers],0)),
IF(C102="High-Productivity",INDEX(N_excretion_rate_HP[#All],MATCH(Livestock!$C$2,N_excretion_rate_HP[[#All],[Please select]],0),MATCH(Livestock!B102,N_excretion_rate_HP[#Headers],0)),0)))))</f>
        <v>0</v>
      </c>
      <c r="I102" s="1110">
        <f t="shared" ca="1" si="27"/>
        <v>0</v>
      </c>
      <c r="J102" s="1688">
        <f t="shared" ca="1" si="27"/>
        <v>0</v>
      </c>
      <c r="K102" s="1688">
        <f t="shared" ca="1" si="27"/>
        <v>0</v>
      </c>
      <c r="L102" s="1688">
        <f t="shared" ca="1" si="27"/>
        <v>0</v>
      </c>
      <c r="M102" s="1688" t="str">
        <f t="shared" si="27"/>
        <v>Please select</v>
      </c>
      <c r="N102" s="1044">
        <f ca="1">IF(OR($M102="Regional share",$M102="Please select",$M102="Other (pls. specify EF)"),0,INDEX(INDIRECT(VLOOKUP(E102,list!$B$341:$D$342,1,FALSE)),MATCH(clim_moist,INDIRECT(VLOOKUP(E102,list!$B$341:$D$342,2,FALSE)),0),MATCH($M102,INDIRECT(VLOOKUP(E102,list!$B$341:$D$342,3,FALSE)),0))*Livestock!$H102*Livestock!$G102/1000*365)</f>
        <v>0</v>
      </c>
      <c r="O102" s="1045">
        <f ca="1">IF('4.Grassland'!CC68="",N102,'4.Grassland'!CC68)</f>
        <v>0</v>
      </c>
      <c r="P102" s="1044">
        <f ca="1">IFERROR(INDEX(INDIRECT(VLOOKUP(E102,list!$B$341:$D$342,1,FALSE)),MATCH(clim_moist,INDIRECT(VLOOKUP(E102,list!$B$341:$D$342,2,FALSE)),0),MATCH('4.Grassland'!$BH$53,INDIRECT(VLOOKUP(E102,list!$B$341:$D$342,3,FALSE)),0))*Livestock!$H102*Livestock!$G102/1000*365,0)*I102/100</f>
        <v>0</v>
      </c>
      <c r="Q102" s="1044">
        <f ca="1">IF($B102="Please select",0,IF(OR($M102="Please select",$M102="Regional share"),SUMPRODUCT(INDEX(INDIRECT(VLOOKUP(E102,list!$B$341:$D$342,1,FALSE)),MATCH(clim_moist,INDIRECT(VLOOKUP(E102,list!$B$341:$D$342,2,FALSE)),0),0),INDEX(INDIRECT(VLOOKUP(F102,list!$B$288:$D$310,1,FALSE)),MATCH($C$2,INDIRECT(VLOOKUP(F102,list!$B$288:$D$310,2,FALSE)),0),0))/100*($H102*$G102/1000*365)-$P102,0))</f>
        <v>0</v>
      </c>
      <c r="R102" s="2156">
        <f ca="1">IFERROR(IF('4.Grassland'!$BS68="",($P102/($I102/100)*$J102/100+IF(O102&lt;&gt;0, $O102/(1-$I102/100)*(1-$J102/100), $Q102/(1-$I102/100)*(1-$J102/100))),('4.Grassland'!$BS68*$J102/100+IF(O102&lt;&gt;0, $O102/(1-$I102/100)*(1-$J102/100),+$Q102*(1-$J102/100)))),0)</f>
        <v>0</v>
      </c>
      <c r="S102" s="2156">
        <f ca="1">IFERROR(IF('4.Grassland'!$BT68="",($P102/($I102/100)*$J102/100+IF(O102&lt;&gt;0, $O102/(1-$I102/100)*(1-$J102/100), $Q102/(1-$I102/100)*(1-$J102/100))),('4.Grassland'!$BT68*$J102/100+IF(O102&lt;&gt;0, $O102/(1-$I102/100)*(1-$J102/100),+$Q102*(1-$J102/100)))),0)</f>
        <v>0</v>
      </c>
      <c r="T102" s="2156">
        <f ca="1">IFERROR(IF('4.Grassland'!$BU68="",($P102/($I102/100)*$J102/100+IF(O102&lt;&gt;0, $O102/(1-$I102/100)*(1-$J102/100), $Q102/(1-$I102/100)*(1-$J102/100))),('4.Grassland'!$BU68*$J102/100+IF(O102&lt;&gt;0, $O102/(1-$I102/100)*(1-$J102/100),+$Q102*(1-$J102/100)))),0)</f>
        <v>0</v>
      </c>
      <c r="V102" s="3471">
        <f t="shared" ca="1" si="21"/>
        <v>0</v>
      </c>
      <c r="W102" s="1153">
        <f t="shared" ca="1" si="22"/>
        <v>0</v>
      </c>
      <c r="X102" s="3480">
        <f t="shared" ca="1" si="23"/>
        <v>0</v>
      </c>
      <c r="Z102" s="3471">
        <f ca="1">MIN($V102,$W102)*time_tot+ABS($W102-$V102)*IF($W102&gt;$V102,time_cap+time*(VLOOKUP($J20,list!$J$48:$K$50,2,0)),time*(1-(VLOOKUP($J20,list!$J$48:$K$50,2,0))))</f>
        <v>0</v>
      </c>
      <c r="AA102" s="3480">
        <f ca="1">MIN($V102,$X102)*time_tot+ABS($X102-$V102)*IF($X102&gt;$V102,time_cap+time*(VLOOKUP($L20,list!$J$48:$K$50,2,0)),time*(1-(VLOOKUP($L20,list!$J$48:$K$50,2,0))))</f>
        <v>0</v>
      </c>
      <c r="AB102" s="3492">
        <f t="shared" ca="1" si="28"/>
        <v>0</v>
      </c>
    </row>
    <row r="103" spans="2:32" x14ac:dyDescent="0.15">
      <c r="B103" s="973" t="str">
        <f t="shared" si="17"/>
        <v>Please select</v>
      </c>
      <c r="C103" s="973" t="str">
        <f t="shared" si="17"/>
        <v>Please select</v>
      </c>
      <c r="E103" s="1109" t="str">
        <f t="shared" si="25"/>
        <v/>
      </c>
      <c r="F103" s="1109" t="str">
        <f t="shared" si="26"/>
        <v/>
      </c>
      <c r="G103" s="1111">
        <f t="shared" si="26"/>
        <v>0</v>
      </c>
      <c r="H103" s="1235">
        <f>IF(B103="Please select",0,(IF(C103="Default",INDEX(N_excretion_rate_Default[#All],MATCH(Livestock!$C$2,N_excretion_rate_Default[[#All],[Please select]],0),MATCH(Livestock!B103,N_excretion_rate_Default[#Headers],0)),
IF(C103="Low-Productivity",INDEX(N_excretion_rate_LP[#All],MATCH(Livestock!$C$2,N_excretion_rate_LP[[#All],[Please select]],0),MATCH(Livestock!B103,N_excretion_rate_LP[#Headers],0)),
IF(C103="High-Productivity",INDEX(N_excretion_rate_HP[#All],MATCH(Livestock!$C$2,N_excretion_rate_HP[[#All],[Please select]],0),MATCH(Livestock!B103,N_excretion_rate_HP[#Headers],0)),0)))))</f>
        <v>0</v>
      </c>
      <c r="I103" s="1110">
        <f t="shared" ca="1" si="27"/>
        <v>0</v>
      </c>
      <c r="J103" s="1688">
        <f t="shared" ca="1" si="27"/>
        <v>0</v>
      </c>
      <c r="K103" s="1688">
        <f t="shared" ca="1" si="27"/>
        <v>0</v>
      </c>
      <c r="L103" s="1688">
        <f t="shared" ca="1" si="27"/>
        <v>0</v>
      </c>
      <c r="M103" s="1688" t="str">
        <f t="shared" si="27"/>
        <v>Please select</v>
      </c>
      <c r="N103" s="1044">
        <f ca="1">IF(OR($M103="Regional share",$M103="Please select",$M103="Other (pls. specify EF)"),0,INDEX(INDIRECT(VLOOKUP(E103,list!$B$341:$D$342,1,FALSE)),MATCH(clim_moist,INDIRECT(VLOOKUP(E103,list!$B$341:$D$342,2,FALSE)),0),MATCH($M103,INDIRECT(VLOOKUP(E103,list!$B$341:$D$342,3,FALSE)),0))*Livestock!$H103*Livestock!$G103/1000*365)</f>
        <v>0</v>
      </c>
      <c r="O103" s="1045">
        <f ca="1">IF('4.Grassland'!CC69="",N103,'4.Grassland'!CC69)</f>
        <v>0</v>
      </c>
      <c r="P103" s="1044">
        <f ca="1">IFERROR(INDEX(INDIRECT(VLOOKUP(E103,list!$B$341:$D$342,1,FALSE)),MATCH(clim_moist,INDIRECT(VLOOKUP(E103,list!$B$341:$D$342,2,FALSE)),0),MATCH('4.Grassland'!$BH$53,INDIRECT(VLOOKUP(E103,list!$B$341:$D$342,3,FALSE)),0))*Livestock!$H103*Livestock!$G103/1000*365,0)*I103/100</f>
        <v>0</v>
      </c>
      <c r="Q103" s="1044">
        <f ca="1">IF($B103="Please select",0,IF(OR($M103="Please select",$M103="Regional share"),SUMPRODUCT(INDEX(INDIRECT(VLOOKUP(E103,list!$B$341:$D$342,1,FALSE)),MATCH(clim_moist,INDIRECT(VLOOKUP(E103,list!$B$341:$D$342,2,FALSE)),0),0),INDEX(INDIRECT(VLOOKUP(F103,list!$B$288:$D$310,1,FALSE)),MATCH($C$2,INDIRECT(VLOOKUP(F103,list!$B$288:$D$310,2,FALSE)),0),0))/100*($H103*$G103/1000*365)-$P103,0))</f>
        <v>0</v>
      </c>
      <c r="R103" s="2156">
        <f ca="1">IFERROR(IF('4.Grassland'!$BS69="",($P103/($I103/100)*$J103/100+IF(O103&lt;&gt;0, $O103/(1-$I103/100)*(1-$J103/100), $Q103/(1-$I103/100)*(1-$J103/100))),('4.Grassland'!$BS69*$J103/100+IF(O103&lt;&gt;0, $O103/(1-$I103/100)*(1-$J103/100),+$Q103*(1-$J103/100)))),0)</f>
        <v>0</v>
      </c>
      <c r="S103" s="2156">
        <f ca="1">IFERROR(IF('4.Grassland'!$BT69="",($P103/($I103/100)*$J103/100+IF(O103&lt;&gt;0, $O103/(1-$I103/100)*(1-$J103/100), $Q103/(1-$I103/100)*(1-$J103/100))),('4.Grassland'!$BT69*$J103/100+IF(O103&lt;&gt;0, $O103/(1-$I103/100)*(1-$J103/100),+$Q103*(1-$J103/100)))),0)</f>
        <v>0</v>
      </c>
      <c r="T103" s="2156">
        <f ca="1">IFERROR(IF('4.Grassland'!$BU69="",($P103/($I103/100)*$J103/100+IF(O103&lt;&gt;0, $O103/(1-$I103/100)*(1-$J103/100), $Q103/(1-$I103/100)*(1-$J103/100))),('4.Grassland'!$BU69*$J103/100+IF(O103&lt;&gt;0, $O103/(1-$I103/100)*(1-$J103/100),+$Q103*(1-$J103/100)))),0)</f>
        <v>0</v>
      </c>
      <c r="V103" s="3471">
        <f t="shared" ca="1" si="21"/>
        <v>0</v>
      </c>
      <c r="W103" s="1153">
        <f t="shared" ca="1" si="22"/>
        <v>0</v>
      </c>
      <c r="X103" s="3480">
        <f t="shared" ca="1" si="23"/>
        <v>0</v>
      </c>
      <c r="Z103" s="3471">
        <f ca="1">MIN($V103,$W103)*time_tot+ABS($W103-$V103)*IF($W103&gt;$V103,time_cap+time*(VLOOKUP($J21,list!$J$48:$K$50,2,0)),time*(1-(VLOOKUP($J21,list!$J$48:$K$50,2,0))))</f>
        <v>0</v>
      </c>
      <c r="AA103" s="3480">
        <f ca="1">MIN($V103,$X103)*time_tot+ABS($X103-$V103)*IF($X103&gt;$V103,time_cap+time*(VLOOKUP($L21,list!$J$48:$K$50,2,0)),time*(1-(VLOOKUP($L21,list!$J$48:$K$50,2,0))))</f>
        <v>0</v>
      </c>
      <c r="AB103" s="3492">
        <f t="shared" ca="1" si="28"/>
        <v>0</v>
      </c>
    </row>
    <row r="104" spans="2:32" x14ac:dyDescent="0.15">
      <c r="B104" s="973" t="str">
        <f t="shared" si="17"/>
        <v>Please select</v>
      </c>
      <c r="C104" s="973" t="str">
        <f t="shared" si="17"/>
        <v>Please select</v>
      </c>
      <c r="E104" s="1109" t="str">
        <f t="shared" si="25"/>
        <v/>
      </c>
      <c r="F104" s="1109" t="str">
        <f t="shared" si="26"/>
        <v/>
      </c>
      <c r="G104" s="1111">
        <f t="shared" si="26"/>
        <v>0</v>
      </c>
      <c r="H104" s="1235">
        <f>IF(B104="Please select",0,(IF(C104="Default",INDEX(N_excretion_rate_Default[#All],MATCH(Livestock!$C$2,N_excretion_rate_Default[[#All],[Please select]],0),MATCH(Livestock!B104,N_excretion_rate_Default[#Headers],0)),
IF(C104="Low-Productivity",INDEX(N_excretion_rate_LP[#All],MATCH(Livestock!$C$2,N_excretion_rate_LP[[#All],[Please select]],0),MATCH(Livestock!B104,N_excretion_rate_LP[#Headers],0)),
IF(C104="High-Productivity",INDEX(N_excretion_rate_HP[#All],MATCH(Livestock!$C$2,N_excretion_rate_HP[[#All],[Please select]],0),MATCH(Livestock!B104,N_excretion_rate_HP[#Headers],0)),0)))))</f>
        <v>0</v>
      </c>
      <c r="I104" s="1110">
        <f t="shared" ca="1" si="27"/>
        <v>0</v>
      </c>
      <c r="J104" s="1688">
        <f t="shared" ca="1" si="27"/>
        <v>0</v>
      </c>
      <c r="K104" s="1688">
        <f t="shared" ca="1" si="27"/>
        <v>0</v>
      </c>
      <c r="L104" s="1688">
        <f t="shared" ca="1" si="27"/>
        <v>0</v>
      </c>
      <c r="M104" s="1688" t="str">
        <f t="shared" si="27"/>
        <v>Please select</v>
      </c>
      <c r="N104" s="1044">
        <f ca="1">IF(OR($M104="Regional share",$M104="Please select",$M104="Other (pls. specify EF)"),0,INDEX(INDIRECT(VLOOKUP(E104,list!$B$341:$D$342,1,FALSE)),MATCH(clim_moist,INDIRECT(VLOOKUP(E104,list!$B$341:$D$342,2,FALSE)),0),MATCH($M104,INDIRECT(VLOOKUP(E104,list!$B$341:$D$342,3,FALSE)),0))*Livestock!$H104*Livestock!$G104/1000*365)</f>
        <v>0</v>
      </c>
      <c r="O104" s="1045">
        <f ca="1">IF('4.Grassland'!CC70="",N104,'4.Grassland'!CC70)</f>
        <v>0</v>
      </c>
      <c r="P104" s="1044">
        <f ca="1">IFERROR(INDEX(INDIRECT(VLOOKUP(E104,list!$B$341:$D$342,1,FALSE)),MATCH(clim_moist,INDIRECT(VLOOKUP(E104,list!$B$341:$D$342,2,FALSE)),0),MATCH('4.Grassland'!$BH$53,INDIRECT(VLOOKUP(E104,list!$B$341:$D$342,3,FALSE)),0))*Livestock!$H104*Livestock!$G104/1000*365,0)*I104/100</f>
        <v>0</v>
      </c>
      <c r="Q104" s="1044">
        <f ca="1">IF($B104="Please select",0,IF(OR($M104="Please select",$M104="Regional share"),SUMPRODUCT(INDEX(INDIRECT(VLOOKUP(E104,list!$B$341:$D$342,1,FALSE)),MATCH(clim_moist,INDIRECT(VLOOKUP(E104,list!$B$341:$D$342,2,FALSE)),0),0),INDEX(INDIRECT(VLOOKUP(F104,list!$B$288:$D$310,1,FALSE)),MATCH($C$2,INDIRECT(VLOOKUP(F104,list!$B$288:$D$310,2,FALSE)),0),0))/100*($H104*$G104/1000*365)-$P104,0))</f>
        <v>0</v>
      </c>
      <c r="R104" s="2156">
        <f ca="1">IFERROR(IF('4.Grassland'!$BS70="",($P104/($I104/100)*$J104/100+IF(O104&lt;&gt;0, $O104/(1-$I104/100)*(1-$J104/100), $Q104/(1-$I104/100)*(1-$J104/100))),('4.Grassland'!$BS70*$J104/100+IF(O104&lt;&gt;0, $O104/(1-$I104/100)*(1-$J104/100),+$Q104*(1-$J104/100)))),0)</f>
        <v>0</v>
      </c>
      <c r="S104" s="2156">
        <f ca="1">IFERROR(IF('4.Grassland'!$BT70="",($P104/($I104/100)*$J104/100+IF(O104&lt;&gt;0, $O104/(1-$I104/100)*(1-$J104/100), $Q104/(1-$I104/100)*(1-$J104/100))),('4.Grassland'!$BT70*$J104/100+IF(O104&lt;&gt;0, $O104/(1-$I104/100)*(1-$J104/100),+$Q104*(1-$J104/100)))),0)</f>
        <v>0</v>
      </c>
      <c r="T104" s="2156">
        <f ca="1">IFERROR(IF('4.Grassland'!$BU70="",($P104/($I104/100)*$J104/100+IF(O104&lt;&gt;0, $O104/(1-$I104/100)*(1-$J104/100), $Q104/(1-$I104/100)*(1-$J104/100))),('4.Grassland'!$BU70*$J104/100+IF(O104&lt;&gt;0, $O104/(1-$I104/100)*(1-$J104/100),+$Q104*(1-$J104/100)))),0)</f>
        <v>0</v>
      </c>
      <c r="V104" s="3471">
        <f t="shared" ca="1" si="21"/>
        <v>0</v>
      </c>
      <c r="W104" s="1153">
        <f t="shared" ca="1" si="22"/>
        <v>0</v>
      </c>
      <c r="X104" s="3480">
        <f t="shared" ca="1" si="23"/>
        <v>0</v>
      </c>
      <c r="Z104" s="3471">
        <f ca="1">MIN($V104,$W104)*time_tot+ABS($W104-$V104)*IF($W104&gt;$V104,time_cap+time*(VLOOKUP($J22,list!$J$48:$K$50,2,0)),time*(1-(VLOOKUP($J22,list!$J$48:$K$50,2,0))))</f>
        <v>0</v>
      </c>
      <c r="AA104" s="3480">
        <f ca="1">MIN($V104,$X104)*time_tot+ABS($X104-$V104)*IF($X104&gt;$V104,time_cap+time*(VLOOKUP($L22,list!$J$48:$K$50,2,0)),time*(1-(VLOOKUP($L22,list!$J$48:$K$50,2,0))))</f>
        <v>0</v>
      </c>
      <c r="AB104" s="3492">
        <f t="shared" ca="1" si="28"/>
        <v>0</v>
      </c>
    </row>
    <row r="105" spans="2:32" x14ac:dyDescent="0.15">
      <c r="B105" s="973" t="str">
        <f t="shared" si="17"/>
        <v>Please select</v>
      </c>
      <c r="C105" s="973" t="str">
        <f t="shared" si="17"/>
        <v>Please select</v>
      </c>
      <c r="E105" s="1109" t="str">
        <f t="shared" si="25"/>
        <v/>
      </c>
      <c r="F105" s="1109" t="str">
        <f t="shared" si="26"/>
        <v/>
      </c>
      <c r="G105" s="1111">
        <f t="shared" si="26"/>
        <v>0</v>
      </c>
      <c r="H105" s="1235">
        <f>IF(B105="Please select",0,(IF(C105="Default",INDEX(N_excretion_rate_Default[#All],MATCH(Livestock!$C$2,N_excretion_rate_Default[[#All],[Please select]],0),MATCH(Livestock!B105,N_excretion_rate_Default[#Headers],0)),
IF(C105="Low-Productivity",INDEX(N_excretion_rate_LP[#All],MATCH(Livestock!$C$2,N_excretion_rate_LP[[#All],[Please select]],0),MATCH(Livestock!B105,N_excretion_rate_LP[#Headers],0)),
IF(C105="High-Productivity",INDEX(N_excretion_rate_HP[#All],MATCH(Livestock!$C$2,N_excretion_rate_HP[[#All],[Please select]],0),MATCH(Livestock!B105,N_excretion_rate_HP[#Headers],0)),0)))))</f>
        <v>0</v>
      </c>
      <c r="I105" s="1110">
        <f t="shared" ca="1" si="27"/>
        <v>0</v>
      </c>
      <c r="J105" s="1688">
        <f t="shared" ca="1" si="27"/>
        <v>0</v>
      </c>
      <c r="K105" s="1688">
        <f t="shared" ca="1" si="27"/>
        <v>0</v>
      </c>
      <c r="L105" s="1688">
        <f t="shared" ca="1" si="27"/>
        <v>0</v>
      </c>
      <c r="M105" s="1688" t="str">
        <f t="shared" si="27"/>
        <v>Please select</v>
      </c>
      <c r="N105" s="1044">
        <f ca="1">IF(OR($M105="Regional share",$M105="Please select",$M105="Other (pls. specify EF)"),0,INDEX(INDIRECT(VLOOKUP(E105,list!$B$341:$D$342,1,FALSE)),MATCH(clim_moist,INDIRECT(VLOOKUP(E105,list!$B$341:$D$342,2,FALSE)),0),MATCH($M105,INDIRECT(VLOOKUP(E105,list!$B$341:$D$342,3,FALSE)),0))*Livestock!$H105*Livestock!$G105/1000*365)</f>
        <v>0</v>
      </c>
      <c r="O105" s="1045">
        <f ca="1">IF('4.Grassland'!CC71="",N105,'4.Grassland'!CC71)</f>
        <v>0</v>
      </c>
      <c r="P105" s="1044">
        <f ca="1">IFERROR(INDEX(INDIRECT(VLOOKUP(E105,list!$B$341:$D$342,1,FALSE)),MATCH(clim_moist,INDIRECT(VLOOKUP(E105,list!$B$341:$D$342,2,FALSE)),0),MATCH('4.Grassland'!$BH$53,INDIRECT(VLOOKUP(E105,list!$B$341:$D$342,3,FALSE)),0))*Livestock!$H105*Livestock!$G105/1000*365,0)*I105/100</f>
        <v>0</v>
      </c>
      <c r="Q105" s="1044">
        <f ca="1">IF($B105="Please select",0,IF(OR($M105="Please select",$M105="Regional share"),SUMPRODUCT(INDEX(INDIRECT(VLOOKUP(E105,list!$B$341:$D$342,1,FALSE)),MATCH(clim_moist,INDIRECT(VLOOKUP(E105,list!$B$341:$D$342,2,FALSE)),0),0),INDEX(INDIRECT(VLOOKUP(F105,list!$B$288:$D$310,1,FALSE)),MATCH($C$2,INDIRECT(VLOOKUP(F105,list!$B$288:$D$310,2,FALSE)),0),0))/100*($H105*$G105/1000*365)-$P105,0))</f>
        <v>0</v>
      </c>
      <c r="R105" s="2156">
        <f ca="1">IFERROR(IF('4.Grassland'!$BS71="",($P105/($I105/100)*$J105/100+IF(O105&lt;&gt;0, $O105/(1-$I105/100)*(1-$J105/100), $Q105/(1-$I105/100)*(1-$J105/100))),('4.Grassland'!$BS71*$J105/100+IF(O105&lt;&gt;0, $O105/(1-$I105/100)*(1-$J105/100),+$Q105*(1-$J105/100)))),0)</f>
        <v>0</v>
      </c>
      <c r="S105" s="2156">
        <f ca="1">IFERROR(IF('4.Grassland'!$BT71="",($P105/($I105/100)*$J105/100+IF(O105&lt;&gt;0, $O105/(1-$I105/100)*(1-$J105/100), $Q105/(1-$I105/100)*(1-$J105/100))),('4.Grassland'!$BT71*$J105/100+IF(O105&lt;&gt;0, $O105/(1-$I105/100)*(1-$J105/100),+$Q105*(1-$J105/100)))),0)</f>
        <v>0</v>
      </c>
      <c r="T105" s="2156">
        <f ca="1">IFERROR(IF('4.Grassland'!$BU71="",($P105/($I105/100)*$J105/100+IF(O105&lt;&gt;0, $O105/(1-$I105/100)*(1-$J105/100), $Q105/(1-$I105/100)*(1-$J105/100))),('4.Grassland'!$BU71*$J105/100+IF(O105&lt;&gt;0, $O105/(1-$I105/100)*(1-$J105/100),+$Q105*(1-$J105/100)))),0)</f>
        <v>0</v>
      </c>
      <c r="V105" s="3471">
        <f t="shared" ca="1" si="21"/>
        <v>0</v>
      </c>
      <c r="W105" s="1153">
        <f t="shared" ca="1" si="22"/>
        <v>0</v>
      </c>
      <c r="X105" s="3480">
        <f t="shared" ca="1" si="23"/>
        <v>0</v>
      </c>
      <c r="Z105" s="3471">
        <f ca="1">MIN($V105,$W105)*time_tot+ABS($W105-$V105)*IF($W105&gt;$V105,time_cap+time*(VLOOKUP($J23,list!$J$48:$K$50,2,0)),time*(1-(VLOOKUP($J23,list!$J$48:$K$50,2,0))))</f>
        <v>0</v>
      </c>
      <c r="AA105" s="3480">
        <f ca="1">MIN($V105,$X105)*time_tot+ABS($X105-$V105)*IF($X105&gt;$V105,time_cap+time*(VLOOKUP($L23,list!$J$48:$K$50,2,0)),time*(1-(VLOOKUP($L23,list!$J$48:$K$50,2,0))))</f>
        <v>0</v>
      </c>
      <c r="AB105" s="3492">
        <f t="shared" ca="1" si="28"/>
        <v>0</v>
      </c>
    </row>
    <row r="106" spans="2:32" x14ac:dyDescent="0.15">
      <c r="B106" s="973" t="str">
        <f t="shared" si="17"/>
        <v>Please select</v>
      </c>
      <c r="C106" s="973" t="str">
        <f t="shared" si="17"/>
        <v>Please select</v>
      </c>
      <c r="E106" s="1109" t="str">
        <f t="shared" si="25"/>
        <v/>
      </c>
      <c r="F106" s="1109" t="str">
        <f t="shared" si="26"/>
        <v/>
      </c>
      <c r="G106" s="1111">
        <f t="shared" si="26"/>
        <v>0</v>
      </c>
      <c r="H106" s="1235">
        <f>IF(B106="Please select",0,(IF(C106="Default",INDEX(N_excretion_rate_Default[#All],MATCH(Livestock!$C$2,N_excretion_rate_Default[[#All],[Please select]],0),MATCH(Livestock!B106,N_excretion_rate_Default[#Headers],0)),
IF(C106="Low-Productivity",INDEX(N_excretion_rate_LP[#All],MATCH(Livestock!$C$2,N_excretion_rate_LP[[#All],[Please select]],0),MATCH(Livestock!B106,N_excretion_rate_LP[#Headers],0)),
IF(C106="High-Productivity",INDEX(N_excretion_rate_HP[#All],MATCH(Livestock!$C$2,N_excretion_rate_HP[[#All],[Please select]],0),MATCH(Livestock!B106,N_excretion_rate_HP[#Headers],0)),0)))))</f>
        <v>0</v>
      </c>
      <c r="I106" s="1110">
        <f t="shared" ca="1" si="27"/>
        <v>0</v>
      </c>
      <c r="J106" s="1688">
        <f t="shared" ca="1" si="27"/>
        <v>0</v>
      </c>
      <c r="K106" s="1688">
        <f t="shared" ca="1" si="27"/>
        <v>0</v>
      </c>
      <c r="L106" s="1688">
        <f t="shared" ca="1" si="27"/>
        <v>0</v>
      </c>
      <c r="M106" s="1688" t="str">
        <f t="shared" si="27"/>
        <v>Please select</v>
      </c>
      <c r="N106" s="1044">
        <f ca="1">IF(OR($M106="Regional share",$M106="Please select",$M106="Other (pls. specify EF)"),0,INDEX(INDIRECT(VLOOKUP(E106,list!$B$341:$D$342,1,FALSE)),MATCH(clim_moist,INDIRECT(VLOOKUP(E106,list!$B$341:$D$342,2,FALSE)),0),MATCH($M106,INDIRECT(VLOOKUP(E106,list!$B$341:$D$342,3,FALSE)),0))*Livestock!$H106*Livestock!$G106/1000*365)</f>
        <v>0</v>
      </c>
      <c r="O106" s="1045">
        <f ca="1">IF('4.Grassland'!CC72="",N106,'4.Grassland'!CC72)</f>
        <v>0</v>
      </c>
      <c r="P106" s="1044">
        <f ca="1">IFERROR(INDEX(INDIRECT(VLOOKUP(E106,list!$B$341:$D$342,1,FALSE)),MATCH(clim_moist,INDIRECT(VLOOKUP(E106,list!$B$341:$D$342,2,FALSE)),0),MATCH('4.Grassland'!$BH$53,INDIRECT(VLOOKUP(E106,list!$B$341:$D$342,3,FALSE)),0))*Livestock!$H106*Livestock!$G106/1000*365,0)*I106/100</f>
        <v>0</v>
      </c>
      <c r="Q106" s="1044">
        <f ca="1">IF($B106="Please select",0,IF(OR($M106="Please select",$M106="Regional share"),SUMPRODUCT(INDEX(INDIRECT(VLOOKUP(E106,list!$B$341:$D$342,1,FALSE)),MATCH(clim_moist,INDIRECT(VLOOKUP(E106,list!$B$341:$D$342,2,FALSE)),0),0),INDEX(INDIRECT(VLOOKUP(F106,list!$B$288:$D$310,1,FALSE)),MATCH($C$2,INDIRECT(VLOOKUP(F106,list!$B$288:$D$310,2,FALSE)),0),0))/100*($H106*$G106/1000*365)-$P106,0))</f>
        <v>0</v>
      </c>
      <c r="R106" s="2156">
        <f ca="1">IFERROR(IF('4.Grassland'!$BS72="",($P106/($I106/100)*$J106/100+IF(O106&lt;&gt;0, $O106/(1-$I106/100)*(1-$J106/100), $Q106/(1-$I106/100)*(1-$J106/100))),('4.Grassland'!$BS72*$J106/100+IF(O106&lt;&gt;0, $O106/(1-$I106/100)*(1-$J106/100),+$Q106*(1-$J106/100)))),0)</f>
        <v>0</v>
      </c>
      <c r="S106" s="2156">
        <f ca="1">IFERROR(IF('4.Grassland'!$BT72="",($P106/($I106/100)*$J106/100+IF(O106&lt;&gt;0, $O106/(1-$I106/100)*(1-$J106/100), $Q106/(1-$I106/100)*(1-$J106/100))),('4.Grassland'!$BT72*$J106/100+IF(O106&lt;&gt;0, $O106/(1-$I106/100)*(1-$J106/100),+$Q106*(1-$J106/100)))),0)</f>
        <v>0</v>
      </c>
      <c r="T106" s="2156">
        <f ca="1">IFERROR(IF('4.Grassland'!$BU72="",($P106/($I106/100)*$J106/100+IF(O106&lt;&gt;0, $O106/(1-$I106/100)*(1-$J106/100), $Q106/(1-$I106/100)*(1-$J106/100))),('4.Grassland'!$BU72*$J106/100+IF(O106&lt;&gt;0, $O106/(1-$I106/100)*(1-$J106/100),+$Q106*(1-$J106/100)))),0)</f>
        <v>0</v>
      </c>
      <c r="V106" s="3471">
        <f t="shared" ca="1" si="21"/>
        <v>0</v>
      </c>
      <c r="W106" s="1153">
        <f t="shared" ca="1" si="22"/>
        <v>0</v>
      </c>
      <c r="X106" s="3480">
        <f t="shared" ca="1" si="23"/>
        <v>0</v>
      </c>
      <c r="Z106" s="3471">
        <f ca="1">MIN($V106,$W106)*time_tot+ABS($W106-$V106)*IF($W106&gt;$V106,time_cap+time*(VLOOKUP($J24,list!$J$48:$K$50,2,0)),time*(1-(VLOOKUP($J24,list!$J$48:$K$50,2,0))))</f>
        <v>0</v>
      </c>
      <c r="AA106" s="3480">
        <f ca="1">MIN($V106,$X106)*time_tot+ABS($X106-$V106)*IF($X106&gt;$V106,time_cap+time*(VLOOKUP($L24,list!$J$48:$K$50,2,0)),time*(1-(VLOOKUP($L24,list!$J$48:$K$50,2,0))))</f>
        <v>0</v>
      </c>
      <c r="AB106" s="3492">
        <f t="shared" ca="1" si="28"/>
        <v>0</v>
      </c>
    </row>
    <row r="110" spans="2:32" x14ac:dyDescent="0.15">
      <c r="W110" s="1163"/>
      <c r="X110" s="1163"/>
      <c r="Y110" s="1653" t="s">
        <v>955</v>
      </c>
      <c r="Z110" s="2272">
        <f ca="1">SUM(Z90:Z106)</f>
        <v>282.37136517857152</v>
      </c>
      <c r="AA110" s="2272">
        <f ca="1">SUM(AA90:AA106)</f>
        <v>282.37136517857152</v>
      </c>
      <c r="AB110" s="2272">
        <f ca="1">SUM(AB90:AB106)</f>
        <v>0</v>
      </c>
    </row>
    <row r="112" spans="2:32" x14ac:dyDescent="0.15">
      <c r="B112" s="1596" t="s">
        <v>956</v>
      </c>
      <c r="C112" s="1588"/>
      <c r="D112" s="1588"/>
      <c r="E112" s="1588"/>
      <c r="F112" s="1588"/>
      <c r="G112" s="1588"/>
      <c r="H112" s="1588"/>
      <c r="I112" s="1588"/>
      <c r="J112" s="1588"/>
      <c r="K112" s="1588"/>
      <c r="L112" s="1588"/>
      <c r="M112" s="1588"/>
      <c r="N112" s="1588"/>
      <c r="O112" s="1588"/>
      <c r="P112" s="1588"/>
      <c r="Q112" s="1588"/>
      <c r="R112" s="1588"/>
      <c r="S112" s="1588"/>
      <c r="T112" s="1588"/>
      <c r="U112" s="1588"/>
      <c r="V112" s="1588"/>
      <c r="W112" s="1588"/>
      <c r="X112" s="1588"/>
      <c r="Y112" s="1588"/>
      <c r="Z112" s="1588"/>
      <c r="AA112" s="1588"/>
      <c r="AB112" s="1588"/>
      <c r="AC112" s="1588"/>
    </row>
    <row r="113" spans="2:32" x14ac:dyDescent="0.15">
      <c r="B113" s="1644"/>
      <c r="C113" s="1644"/>
      <c r="D113" s="1644"/>
      <c r="E113" s="1644"/>
    </row>
    <row r="114" spans="2:32" x14ac:dyDescent="0.15">
      <c r="G114" s="3464"/>
      <c r="H114" s="4286" t="s">
        <v>932</v>
      </c>
      <c r="M114" s="4568" t="s">
        <v>947</v>
      </c>
      <c r="N114" s="4568"/>
      <c r="O114" s="4568"/>
    </row>
    <row r="115" spans="2:32" x14ac:dyDescent="0.15">
      <c r="B115" s="2273" t="s">
        <v>957</v>
      </c>
      <c r="G115" s="1576" t="s">
        <v>934</v>
      </c>
      <c r="H115" s="1281" t="s">
        <v>948</v>
      </c>
      <c r="I115" s="1281" t="s">
        <v>787</v>
      </c>
      <c r="L115" s="1659"/>
      <c r="M115" s="1659"/>
      <c r="N115" s="1671" t="s">
        <v>958</v>
      </c>
      <c r="O115" s="1644"/>
      <c r="P115" s="1672" t="s">
        <v>959</v>
      </c>
      <c r="Q115" s="1672" t="s">
        <v>960</v>
      </c>
      <c r="V115" s="2163" t="s">
        <v>952</v>
      </c>
      <c r="W115" s="3464"/>
      <c r="X115" s="3464"/>
      <c r="Z115" s="1281" t="s">
        <v>857</v>
      </c>
    </row>
    <row r="116" spans="2:32" ht="16" x14ac:dyDescent="0.2">
      <c r="G116" s="1688" t="s">
        <v>196</v>
      </c>
      <c r="H116" s="973" t="s">
        <v>953</v>
      </c>
      <c r="I116" s="2163" t="str">
        <f>AWMS_Dairy_Cattle[[#Headers],[Pasture/Range/Paddock]]</f>
        <v>Pasture/Range/Paddock</v>
      </c>
      <c r="J116" s="3464"/>
      <c r="K116" s="3477"/>
      <c r="L116" s="3477"/>
      <c r="M116" s="4287" t="s">
        <v>941</v>
      </c>
      <c r="N116" s="1670"/>
      <c r="V116" s="1281" t="s">
        <v>599</v>
      </c>
      <c r="W116" s="1100"/>
      <c r="X116" s="1101"/>
      <c r="Z116" s="1270"/>
      <c r="AA116" s="1116"/>
      <c r="AB116" s="1116"/>
      <c r="AE116" s="973" t="s">
        <v>859</v>
      </c>
    </row>
    <row r="117" spans="2:32" ht="16" x14ac:dyDescent="0.2">
      <c r="B117" s="1281" t="str">
        <f t="shared" ref="B117:C134" si="29">B89</f>
        <v>Livestock category</v>
      </c>
      <c r="C117" s="1281" t="str">
        <f t="shared" si="29"/>
        <v>Livestock productivity</v>
      </c>
      <c r="D117" s="1281"/>
      <c r="E117" s="1281" t="s">
        <v>961</v>
      </c>
      <c r="F117" s="1281" t="str">
        <f t="shared" ref="F117:F128" si="30">F89</f>
        <v>Table AWMS</v>
      </c>
      <c r="G117" s="1688" t="s">
        <v>864</v>
      </c>
      <c r="H117" s="1688" t="s">
        <v>864</v>
      </c>
      <c r="I117" s="1688" t="s">
        <v>864</v>
      </c>
      <c r="J117" s="1688" t="s">
        <v>199</v>
      </c>
      <c r="K117" s="1688" t="s">
        <v>200</v>
      </c>
      <c r="L117" s="1688" t="s">
        <v>201</v>
      </c>
      <c r="M117" s="1688"/>
      <c r="N117" s="1688" t="s">
        <v>864</v>
      </c>
      <c r="O117" s="1300" t="s">
        <v>66</v>
      </c>
      <c r="Q117" s="1688" t="s">
        <v>864</v>
      </c>
      <c r="R117" s="1688" t="s">
        <v>199</v>
      </c>
      <c r="S117" s="1688" t="s">
        <v>200</v>
      </c>
      <c r="T117" s="1688" t="s">
        <v>201</v>
      </c>
      <c r="V117" s="1688" t="s">
        <v>199</v>
      </c>
      <c r="W117" s="1102" t="s">
        <v>865</v>
      </c>
      <c r="X117" s="1103" t="s">
        <v>201</v>
      </c>
      <c r="Z117" s="1521" t="s">
        <v>865</v>
      </c>
      <c r="AA117" s="1101" t="s">
        <v>201</v>
      </c>
      <c r="AB117" s="1116" t="s">
        <v>324</v>
      </c>
      <c r="AE117" s="1102" t="s">
        <v>200</v>
      </c>
      <c r="AF117" s="1103" t="s">
        <v>201</v>
      </c>
    </row>
    <row r="118" spans="2:32" x14ac:dyDescent="0.15">
      <c r="B118" s="973" t="str">
        <f t="shared" si="29"/>
        <v>Dairy Cattle</v>
      </c>
      <c r="C118" s="973" t="str">
        <f t="shared" si="29"/>
        <v>High-Productivity</v>
      </c>
      <c r="E118" s="1109" t="str">
        <f t="shared" ref="E118:E128" si="31">IF(B62="Please select","",IF(AND(OR($C$2="North America",$C$2="Western Europe",$C$2="Eastern Europe",$C$2="Oceania"),(C118="Default")),VLOOKUP($B118,$T$36:$W$54,4,FALSE),INDEX($T$36:$W$54,MATCH($B118,$T$36:$T$54,0),MATCH($C118,$T$36:$W$36,0))))</f>
        <v>Frac_vol_dairy_cow</v>
      </c>
      <c r="F118" s="1109" t="str">
        <f t="shared" si="30"/>
        <v>AWMS_Dairy_Cattle</v>
      </c>
      <c r="G118" s="1111">
        <f t="shared" ref="G118:M128" si="32">G90</f>
        <v>600</v>
      </c>
      <c r="H118" s="1044">
        <f t="shared" si="32"/>
        <v>0.5</v>
      </c>
      <c r="I118" s="1110">
        <f t="shared" ca="1" si="32"/>
        <v>26</v>
      </c>
      <c r="J118" s="1688">
        <f t="shared" ca="1" si="32"/>
        <v>26</v>
      </c>
      <c r="K118" s="1688">
        <f t="shared" ca="1" si="32"/>
        <v>26</v>
      </c>
      <c r="L118" s="1688">
        <f t="shared" ca="1" si="32"/>
        <v>26</v>
      </c>
      <c r="M118" s="1688" t="str">
        <f t="shared" si="32"/>
        <v>Please select</v>
      </c>
      <c r="N118" s="1044">
        <f ca="1">IF(OR($M118="Regional share",$M118="Please select",$M118="Other (pls. specify EF)"),0,INDEX(INDIRECT(VLOOKUP(E118,list!$B$344:$D$347,1,FALSE)),MATCH(clim_moist,INDIRECT(VLOOKUP(E118,list!$B$344:$D$347,2,FALSE)),0),MATCH($M118,INDIRECT(VLOOKUP(E118,list!$B$344:$D$347,3,FALSE)),0))*Livestock!$H118*Livestock!$G118/1000*365)</f>
        <v>0</v>
      </c>
      <c r="O118" s="1045">
        <f ca="1">N118</f>
        <v>0</v>
      </c>
      <c r="P118" s="1044">
        <f ca="1">IFERROR(INDEX(INDIRECT(VLOOKUP(E118,list!$B$344:$D$347,1,FALSE)),MATCH(clim_moist,INDIRECT(VLOOKUP(E118,list!$B$344:$D$347,2,FALSE)),0),MATCH('4.Grassland'!$BH$53,INDIRECT(VLOOKUP(E118,list!$B$344:$D$347,3,FALSE)),0))*Livestock!$H118*Livestock!$G118/1000*365,0)*I118/100</f>
        <v>5.9786999999999999</v>
      </c>
      <c r="Q118" s="1044">
        <f ca="1">IF($B118="Please select",0,IF(OR($M118="Please select",$M118="Regional share"),SUMPRODUCT(INDEX(INDIRECT(VLOOKUP(E118,list!$B$344:$D$347,1,FALSE)),MATCH(clim_moist,INDIRECT(VLOOKUP(E118,list!$B$344:$D$347,2,FALSE)),0),0),INDEX(INDIRECT(VLOOKUP(F118,list!$B$288:$D$310,1,FALSE)),MATCH($C$2,INDIRECT(VLOOKUP(F118,list!$B$288:$D$310,2,FALSE)),0),0))/100*($H118*$G118/1000*365)-$P118,0))</f>
        <v>21.347937500000004</v>
      </c>
      <c r="R118" s="2154">
        <f ca="1">IFERROR(($P118/($I118/100)*$J118/100+$O118*(1-$J118/100)+$Q118/(1-$I118/100)*(1-$J118/100)),0)</f>
        <v>27.326637500000004</v>
      </c>
      <c r="S118" s="2154">
        <f ca="1">IFERROR(($P118/($I118/100)*$K118/100+$O118*(1-$K118/100)+$Q118/(1-$I118/100)*(1-$K118/100)),0)</f>
        <v>27.326637500000004</v>
      </c>
      <c r="T118" s="2154">
        <f ca="1">IFERROR(($P118/($I118/100)*$L118/100+$O118*(1-$L118/100)+$Q118/(1-$I118/100)*(1-$L118/100)),0)</f>
        <v>27.326637500000004</v>
      </c>
      <c r="V118" s="3468">
        <f t="shared" ref="V118:V134" ca="1" si="33">IF(moist_type="Dry",0.005,IF(moist_type="Wet",0.014,0.01))*$R118*$H8/1000*44/28*Nitrous</f>
        <v>5.6897963080357163</v>
      </c>
      <c r="W118" s="1151">
        <f t="shared" ref="W118:W134" ca="1" si="34">IF(moist_type="Dry",0.005,IF(moist_type="Wet",0.014,0.01))*$S118*$I8/1000*44/28*Nitrous</f>
        <v>0</v>
      </c>
      <c r="X118" s="3469">
        <f t="shared" ref="X118:X134" ca="1" si="35">IF(moist_type="Dry",0.005,IF(moist_type="Wet",0.014,0.01))*$T118*$K8/1000*44/28*Nitrous</f>
        <v>0</v>
      </c>
      <c r="Y118" s="992"/>
      <c r="Z118" s="3468">
        <f ca="1">MIN($V118,$W118)*time_tot+ABS($W118-$V118)*IF($W118&gt;$V118,time_cap+time*(VLOOKUP($J8,list!$J$48:$K$50,2,0)),time*(1-(VLOOKUP($J8,list!$J$48:$K$50,2,0))))</f>
        <v>14.224490770089291</v>
      </c>
      <c r="AA118" s="3469">
        <f ca="1">MIN($V118,$X118)*time_tot+ABS($X118-$V118)*IF($X118&gt;$V118,time_cap+time*(VLOOKUP($L8,list!$J$48:$K$50,2,0)),time*(1-(VLOOKUP($L8,list!$J$48:$K$50,2,0))))</f>
        <v>14.224490770089291</v>
      </c>
      <c r="AB118" s="3491">
        <f ca="1">AA118-Z118</f>
        <v>0</v>
      </c>
      <c r="AE118" s="992">
        <f ca="1">MIN($V118,$W118)*time+ABS($W118-$V118)*IF($W118&gt;$V118,time*(VLOOKUP($J8,list!$J$48:$K$50,2,)),time*(1-(VLOOKUP($J8,list!$J$48:$K$50,2,))))</f>
        <v>14.224490770089291</v>
      </c>
      <c r="AF118" s="992">
        <f ca="1">MIN($V118,$X118)*time+ABS($X118-$V118)*IF($X118&gt;$V118,time*(VLOOKUP($L8,list!$J$48:$K$50,2,)),time*(1-(VLOOKUP($L8,list!$J$48:$K$50,2,))))</f>
        <v>14.224490770089291</v>
      </c>
    </row>
    <row r="119" spans="2:32" x14ac:dyDescent="0.15">
      <c r="B119" s="973" t="str">
        <f t="shared" si="29"/>
        <v>Dairy Cattle</v>
      </c>
      <c r="C119" s="973" t="str">
        <f t="shared" si="29"/>
        <v>High-Productivity</v>
      </c>
      <c r="E119" s="1109" t="str">
        <f t="shared" si="31"/>
        <v>Frac_vol_dairy_cow</v>
      </c>
      <c r="F119" s="1109" t="str">
        <f t="shared" si="30"/>
        <v>AWMS_Dairy_Cattle</v>
      </c>
      <c r="G119" s="1111">
        <f t="shared" si="32"/>
        <v>600</v>
      </c>
      <c r="H119" s="1044">
        <f t="shared" si="32"/>
        <v>0.5</v>
      </c>
      <c r="I119" s="1110">
        <f t="shared" ca="1" si="32"/>
        <v>26</v>
      </c>
      <c r="J119" s="1688">
        <f t="shared" ca="1" si="32"/>
        <v>26</v>
      </c>
      <c r="K119" s="1688">
        <f t="shared" ca="1" si="32"/>
        <v>26</v>
      </c>
      <c r="L119" s="1688">
        <f t="shared" ca="1" si="32"/>
        <v>26</v>
      </c>
      <c r="M119" s="1688" t="str">
        <f t="shared" si="32"/>
        <v>Please select</v>
      </c>
      <c r="N119" s="1044">
        <f ca="1">IF(OR($M119="Regional share",$M119="Please select",$M119="Other (pls. specify EF)"),0,INDEX(INDIRECT(VLOOKUP(E119,list!$B$344:$D$347,1,FALSE)),MATCH(clim_moist,INDIRECT(VLOOKUP(E119,list!$B$344:$D$347,2,FALSE)),0),MATCH($M119,INDIRECT(VLOOKUP(E119,list!$B$344:$D$347,3,FALSE)),0))*Livestock!$H119*Livestock!$G119/1000*365)</f>
        <v>0</v>
      </c>
      <c r="O119" s="1045">
        <f t="shared" ref="O119:O134" ca="1" si="36">N119</f>
        <v>0</v>
      </c>
      <c r="P119" s="1044">
        <f ca="1">IFERROR(INDEX(INDIRECT(VLOOKUP(E119,list!$B$344:$D$347,1,FALSE)),MATCH(clim_moist,INDIRECT(VLOOKUP(E119,list!$B$344:$D$347,2,FALSE)),0),MATCH('4.Grassland'!$BH$53,INDIRECT(VLOOKUP(E119,list!$B$344:$D$347,3,FALSE)),0))*Livestock!$H119*Livestock!$G119/1000*365,0)*I119/100</f>
        <v>5.9786999999999999</v>
      </c>
      <c r="Q119" s="1044">
        <f ca="1">IF($B119="Please select",0,IF(OR($M119="Please select",$M119="Regional share"),SUMPRODUCT(INDEX(INDIRECT(VLOOKUP(E119,list!$B$344:$D$347,1,FALSE)),MATCH(clim_moist,INDIRECT(VLOOKUP(E119,list!$B$344:$D$347,2,FALSE)),0),0),INDEX(INDIRECT(VLOOKUP(F119,list!$B$288:$D$310,1,FALSE)),MATCH($C$2,INDIRECT(VLOOKUP(F119,list!$B$288:$D$310,2,FALSE)),0),0))/100*($H119*$G119/1000*365)-$P119,0))</f>
        <v>21.347937500000004</v>
      </c>
      <c r="R119" s="2154">
        <f t="shared" ref="R119:R134" ca="1" si="37">IFERROR(($P119/($I119/100)*$J119/100+$O119*(1-$J119/100)+$Q119/(1-$I119/100)*(1-$J119/100)),0)</f>
        <v>27.326637500000004</v>
      </c>
      <c r="S119" s="2154">
        <f t="shared" ref="S119:S134" ca="1" si="38">IFERROR(($P119/($I119/100)*$K119/100+$O119*(1-$K119/100)+$Q119/(1-$I119/100)*(1-$K119/100)),0)</f>
        <v>27.326637500000004</v>
      </c>
      <c r="T119" s="2154">
        <f t="shared" ref="T119:T134" ca="1" si="39">IFERROR(($P119/($I119/100)*$L119/100+$O119*(1-$L119/100)+$Q119/(1-$I119/100)*(1-$L119/100)),0)</f>
        <v>27.326637500000004</v>
      </c>
      <c r="V119" s="3468">
        <f t="shared" ca="1" si="33"/>
        <v>0</v>
      </c>
      <c r="W119" s="1151">
        <f t="shared" ca="1" si="34"/>
        <v>5.6897963080357163</v>
      </c>
      <c r="X119" s="3469">
        <f t="shared" ca="1" si="35"/>
        <v>0</v>
      </c>
      <c r="Y119" s="992"/>
      <c r="Z119" s="3470">
        <f ca="1">MIN($V119,$W119)*time_tot+ABS($W119-$V119)*IF($W119&gt;$V119,time_cap+time*(VLOOKUP($J9,list!$J$48:$K$50,2,0)),time*(1-(VLOOKUP($J9,list!$J$48:$K$50,2,0))))</f>
        <v>71.122453850446448</v>
      </c>
      <c r="AA119" s="3479">
        <f ca="1">MIN($V119,$X119)*time_tot+ABS($X119-$V119)*IF($X119&gt;$V119,time_cap+time*(VLOOKUP($L9,list!$J$48:$K$50,2,0)),time*(1-(VLOOKUP($L9,list!$J$48:$K$50,2,0))))</f>
        <v>0</v>
      </c>
      <c r="AB119" s="2162">
        <f t="shared" ref="AB119:AB128" ca="1" si="40">AA119-Z119</f>
        <v>-71.122453850446448</v>
      </c>
      <c r="AE119" s="992">
        <f ca="1">MIN($V119,$W119)*time+ABS($W119-$V119)*IF($W119&gt;$V119,time*(VLOOKUP($J9,list!$J$48:$K$50,2,)),time*(1-(VLOOKUP($J9,list!$J$48:$K$50,2,))))</f>
        <v>14.224490770089291</v>
      </c>
      <c r="AF119" s="992">
        <f ca="1">MIN($V119,$X119)*time+ABS($X119-$V119)*IF($X119&gt;$V119,time*(VLOOKUP($L9,list!$J$48:$K$50,2,)),time*(1-(VLOOKUP($L9,list!$J$48:$K$50,2,))))</f>
        <v>0</v>
      </c>
    </row>
    <row r="120" spans="2:32" x14ac:dyDescent="0.15">
      <c r="B120" s="973" t="str">
        <f t="shared" si="29"/>
        <v>Dairy Cattle</v>
      </c>
      <c r="C120" s="973" t="str">
        <f t="shared" si="29"/>
        <v>Low-Productivity</v>
      </c>
      <c r="E120" s="1109" t="str">
        <f t="shared" si="31"/>
        <v>Frac_vol_dairy_cow</v>
      </c>
      <c r="F120" s="1109" t="str">
        <f t="shared" si="30"/>
        <v>AWMS_Dairy_Cattle</v>
      </c>
      <c r="G120" s="1111">
        <f t="shared" si="32"/>
        <v>600</v>
      </c>
      <c r="H120" s="1044">
        <f t="shared" si="32"/>
        <v>0.5</v>
      </c>
      <c r="I120" s="1110">
        <f t="shared" ca="1" si="32"/>
        <v>26</v>
      </c>
      <c r="J120" s="1688">
        <f t="shared" ca="1" si="32"/>
        <v>26</v>
      </c>
      <c r="K120" s="1688">
        <f t="shared" ca="1" si="32"/>
        <v>26</v>
      </c>
      <c r="L120" s="1688">
        <f t="shared" ca="1" si="32"/>
        <v>26</v>
      </c>
      <c r="M120" s="1688" t="str">
        <f t="shared" si="32"/>
        <v>Please select</v>
      </c>
      <c r="N120" s="1044">
        <f ca="1">IF(OR($M120="Regional share",$M120="Please select",$M120="Other (pls. specify EF)"),0,INDEX(INDIRECT(VLOOKUP(E120,list!$B$344:$D$347,1,FALSE)),MATCH(clim_moist,INDIRECT(VLOOKUP(E120,list!$B$344:$D$347,2,FALSE)),0),MATCH($M120,INDIRECT(VLOOKUP(E120,list!$B$344:$D$347,3,FALSE)),0))*Livestock!$H120*Livestock!$G120/1000*365)</f>
        <v>0</v>
      </c>
      <c r="O120" s="1045">
        <f t="shared" ca="1" si="36"/>
        <v>0</v>
      </c>
      <c r="P120" s="1044">
        <f ca="1">IFERROR(INDEX(INDIRECT(VLOOKUP(E120,list!$B$344:$D$347,1,FALSE)),MATCH(clim_moist,INDIRECT(VLOOKUP(E120,list!$B$344:$D$347,2,FALSE)),0),MATCH('4.Grassland'!$BH$53,INDIRECT(VLOOKUP(E120,list!$B$344:$D$347,3,FALSE)),0))*Livestock!$H120*Livestock!$G120/1000*365,0)*I120/100</f>
        <v>5.9786999999999999</v>
      </c>
      <c r="Q120" s="1044">
        <f ca="1">IF($B120="Please select",0,IF(OR($M120="Please select",$M120="Regional share"),SUMPRODUCT(INDEX(INDIRECT(VLOOKUP(E120,list!$B$344:$D$347,1,FALSE)),MATCH(clim_moist,INDIRECT(VLOOKUP(E120,list!$B$344:$D$347,2,FALSE)),0),0),INDEX(INDIRECT(VLOOKUP(F120,list!$B$288:$D$310,1,FALSE)),MATCH($C$2,INDIRECT(VLOOKUP(F120,list!$B$288:$D$310,2,FALSE)),0),0))/100*($H120*$G120/1000*365)-$P120,0))</f>
        <v>21.347937500000004</v>
      </c>
      <c r="R120" s="2154">
        <f t="shared" ca="1" si="37"/>
        <v>27.326637500000004</v>
      </c>
      <c r="S120" s="2154">
        <f t="shared" ca="1" si="38"/>
        <v>27.326637500000004</v>
      </c>
      <c r="T120" s="2154">
        <f t="shared" ca="1" si="39"/>
        <v>27.326637500000004</v>
      </c>
      <c r="V120" s="3468">
        <f t="shared" ca="1" si="33"/>
        <v>0</v>
      </c>
      <c r="W120" s="1151">
        <f t="shared" ca="1" si="34"/>
        <v>0</v>
      </c>
      <c r="X120" s="3469">
        <f t="shared" ca="1" si="35"/>
        <v>5.6897963080357163</v>
      </c>
      <c r="Y120" s="992"/>
      <c r="Z120" s="3470">
        <f ca="1">MIN($V120,$W120)*time_tot+ABS($W120-$V120)*IF($W120&gt;$V120,time_cap+time*(VLOOKUP($J10,list!$J$48:$K$50,2,0)),time*(1-(VLOOKUP($J10,list!$J$48:$K$50,2,0))))</f>
        <v>0</v>
      </c>
      <c r="AA120" s="3479">
        <f ca="1">MIN($V120,$X120)*time_tot+ABS($X120-$V120)*IF($X120&gt;$V120,time_cap+time*(VLOOKUP($L10,list!$J$48:$K$50,2,0)),time*(1-(VLOOKUP($L10,list!$J$48:$K$50,2,0))))</f>
        <v>71.122453850446448</v>
      </c>
      <c r="AB120" s="2162">
        <f t="shared" ca="1" si="40"/>
        <v>71.122453850446448</v>
      </c>
      <c r="AE120" s="992">
        <f ca="1">MIN($V120,$W120)*time+ABS($W120-$V120)*IF($W120&gt;$V120,time*(VLOOKUP($J10,list!$J$48:$K$50,2,)),time*(1-(VLOOKUP($J10,list!$J$48:$K$50,2,))))</f>
        <v>0</v>
      </c>
      <c r="AF120" s="992">
        <f ca="1">MIN($V120,$X120)*time+ABS($X120-$V120)*IF($X120&gt;$V120,time*(VLOOKUP($L10,list!$J$48:$K$50,2,)),time*(1-(VLOOKUP($L10,list!$J$48:$K$50,2,))))</f>
        <v>14.224490770089291</v>
      </c>
    </row>
    <row r="121" spans="2:32" x14ac:dyDescent="0.15">
      <c r="B121" s="973" t="str">
        <f t="shared" si="29"/>
        <v>Please select</v>
      </c>
      <c r="C121" s="973" t="str">
        <f t="shared" si="29"/>
        <v>Please select</v>
      </c>
      <c r="E121" s="1109" t="str">
        <f t="shared" si="31"/>
        <v/>
      </c>
      <c r="F121" s="1109" t="str">
        <f t="shared" si="30"/>
        <v/>
      </c>
      <c r="G121" s="1111">
        <f t="shared" si="32"/>
        <v>0</v>
      </c>
      <c r="H121" s="1044">
        <f t="shared" si="32"/>
        <v>0</v>
      </c>
      <c r="I121" s="1110">
        <f t="shared" ca="1" si="32"/>
        <v>0</v>
      </c>
      <c r="J121" s="1688">
        <f t="shared" ca="1" si="32"/>
        <v>0</v>
      </c>
      <c r="K121" s="1688">
        <f t="shared" ca="1" si="32"/>
        <v>0</v>
      </c>
      <c r="L121" s="1688">
        <f t="shared" ca="1" si="32"/>
        <v>0</v>
      </c>
      <c r="M121" s="1688" t="str">
        <f t="shared" si="32"/>
        <v>Please select</v>
      </c>
      <c r="N121" s="1044">
        <f ca="1">IF(OR($M121="Regional share",$M121="Please select",$M121="Other (pls. specify EF)"),0,INDEX(INDIRECT(VLOOKUP(E121,list!$B$344:$D$347,1,FALSE)),MATCH(clim_moist,INDIRECT(VLOOKUP(E121,list!$B$344:$D$347,2,FALSE)),0),MATCH($M121,INDIRECT(VLOOKUP(E121,list!$B$344:$D$347,3,FALSE)),0))*Livestock!$H121*Livestock!$G121/1000*365)</f>
        <v>0</v>
      </c>
      <c r="O121" s="1045">
        <f t="shared" ca="1" si="36"/>
        <v>0</v>
      </c>
      <c r="P121" s="1044">
        <f ca="1">IFERROR(INDEX(INDIRECT(VLOOKUP(E121,list!$B$344:$D$347,1,FALSE)),MATCH(clim_moist,INDIRECT(VLOOKUP(E121,list!$B$344:$D$347,2,FALSE)),0),MATCH('4.Grassland'!$BH$53,INDIRECT(VLOOKUP(E121,list!$B$344:$D$347,3,FALSE)),0))*Livestock!$H121*Livestock!$G121/1000*365,0)*I121/100</f>
        <v>0</v>
      </c>
      <c r="Q121" s="1044">
        <f ca="1">IF($B121="Please select",0,IF(OR($M121="Please select",$M121="Regional share"),SUMPRODUCT(INDEX(INDIRECT(VLOOKUP(E121,list!$B$344:$D$347,1,FALSE)),MATCH(clim_moist,INDIRECT(VLOOKUP(E121,list!$B$344:$D$347,2,FALSE)),0),0),INDEX(INDIRECT(VLOOKUP(F121,list!$B$288:$D$310,1,FALSE)),MATCH($C$2,INDIRECT(VLOOKUP(F121,list!$B$288:$D$310,2,FALSE)),0),0))/100*($H121*$G121/1000*365)-$P121,0))</f>
        <v>0</v>
      </c>
      <c r="R121" s="2154">
        <f t="shared" ca="1" si="37"/>
        <v>0</v>
      </c>
      <c r="S121" s="2154">
        <f t="shared" ca="1" si="38"/>
        <v>0</v>
      </c>
      <c r="T121" s="2154">
        <f t="shared" ca="1" si="39"/>
        <v>0</v>
      </c>
      <c r="V121" s="3468">
        <f t="shared" ca="1" si="33"/>
        <v>0</v>
      </c>
      <c r="W121" s="1151">
        <f t="shared" ca="1" si="34"/>
        <v>0</v>
      </c>
      <c r="X121" s="3469">
        <f t="shared" ca="1" si="35"/>
        <v>0</v>
      </c>
      <c r="Y121" s="992"/>
      <c r="Z121" s="3470">
        <f ca="1">MIN($V121,$W121)*time_tot+ABS($W121-$V121)*IF($W121&gt;$V121,time_cap+time*(VLOOKUP($J11,list!$J$48:$K$50,2,0)),time*(1-(VLOOKUP($J11,list!$J$48:$K$50,2,0))))</f>
        <v>0</v>
      </c>
      <c r="AA121" s="3479">
        <f ca="1">MIN($V121,$X121)*time_tot+ABS($X121-$V121)*IF($X121&gt;$V121,time_cap+time*(VLOOKUP($L11,list!$J$48:$K$50,2,0)),time*(1-(VLOOKUP($L11,list!$J$48:$K$50,2,0))))</f>
        <v>0</v>
      </c>
      <c r="AB121" s="2162">
        <f t="shared" ca="1" si="40"/>
        <v>0</v>
      </c>
      <c r="AE121" s="992">
        <f ca="1">MIN($V121,$W121)*time+ABS($W121-$V121)*IF($W121&gt;$V121,time*(VLOOKUP($J11,list!$J$48:$K$50,2,)),time*(1-(VLOOKUP($J11,list!$J$48:$K$50,2,))))</f>
        <v>0</v>
      </c>
      <c r="AF121" s="992">
        <f ca="1">MIN($V121,$X121)*time+ABS($X121-$V121)*IF($X121&gt;$V121,time*(VLOOKUP($L11,list!$J$48:$K$50,2,)),time*(1-(VLOOKUP($L11,list!$J$48:$K$50,2,))))</f>
        <v>0</v>
      </c>
    </row>
    <row r="122" spans="2:32" x14ac:dyDescent="0.15">
      <c r="B122" s="973" t="str">
        <f t="shared" si="29"/>
        <v>Please select</v>
      </c>
      <c r="C122" s="973" t="str">
        <f t="shared" si="29"/>
        <v>Please select</v>
      </c>
      <c r="E122" s="1109" t="str">
        <f t="shared" si="31"/>
        <v/>
      </c>
      <c r="F122" s="1109" t="str">
        <f t="shared" si="30"/>
        <v/>
      </c>
      <c r="G122" s="1111">
        <f t="shared" si="32"/>
        <v>0</v>
      </c>
      <c r="H122" s="1044">
        <f t="shared" si="32"/>
        <v>0</v>
      </c>
      <c r="I122" s="1110">
        <f t="shared" ca="1" si="32"/>
        <v>0</v>
      </c>
      <c r="J122" s="1688">
        <f t="shared" ca="1" si="32"/>
        <v>0</v>
      </c>
      <c r="K122" s="1688">
        <f t="shared" ca="1" si="32"/>
        <v>0</v>
      </c>
      <c r="L122" s="1688">
        <f t="shared" ca="1" si="32"/>
        <v>0</v>
      </c>
      <c r="M122" s="1688" t="str">
        <f t="shared" si="32"/>
        <v>Please select</v>
      </c>
      <c r="N122" s="1044">
        <f ca="1">IF(OR($M122="Regional share",$M122="Please select",$M122="Other (pls. specify EF)"),0,INDEX(INDIRECT(VLOOKUP(E122,list!$B$344:$D$347,1,FALSE)),MATCH(clim_moist,INDIRECT(VLOOKUP(E122,list!$B$344:$D$347,2,FALSE)),0),MATCH($M122,INDIRECT(VLOOKUP(E122,list!$B$344:$D$347,3,FALSE)),0))*Livestock!$H122*Livestock!$G122/1000*365)</f>
        <v>0</v>
      </c>
      <c r="O122" s="1045">
        <f t="shared" ca="1" si="36"/>
        <v>0</v>
      </c>
      <c r="P122" s="1044">
        <f ca="1">IFERROR(INDEX(INDIRECT(VLOOKUP(E122,list!$B$344:$D$347,1,FALSE)),MATCH(clim_moist,INDIRECT(VLOOKUP(E122,list!$B$344:$D$347,2,FALSE)),0),MATCH('4.Grassland'!$BH$53,INDIRECT(VLOOKUP(E122,list!$B$344:$D$347,3,FALSE)),0))*Livestock!$H122*Livestock!$G122/1000*365,0)*I122/100</f>
        <v>0</v>
      </c>
      <c r="Q122" s="1044">
        <f ca="1">IF($B122="Please select",0,IF(OR($M122="Please select",$M122="Regional share"),SUMPRODUCT(INDEX(INDIRECT(VLOOKUP(E122,list!$B$344:$D$347,1,FALSE)),MATCH(clim_moist,INDIRECT(VLOOKUP(E122,list!$B$344:$D$347,2,FALSE)),0),0),INDEX(INDIRECT(VLOOKUP(F122,list!$B$288:$D$310,1,FALSE)),MATCH($C$2,INDIRECT(VLOOKUP(F122,list!$B$288:$D$310,2,FALSE)),0),0))/100*($H122*$G122/1000*365)-$P122,0))</f>
        <v>0</v>
      </c>
      <c r="R122" s="2154">
        <f t="shared" ca="1" si="37"/>
        <v>0</v>
      </c>
      <c r="S122" s="2154">
        <f t="shared" ca="1" si="38"/>
        <v>0</v>
      </c>
      <c r="T122" s="2154">
        <f t="shared" ca="1" si="39"/>
        <v>0</v>
      </c>
      <c r="V122" s="3468">
        <f t="shared" ca="1" si="33"/>
        <v>0</v>
      </c>
      <c r="W122" s="1151">
        <f t="shared" ca="1" si="34"/>
        <v>0</v>
      </c>
      <c r="X122" s="3469">
        <f t="shared" ca="1" si="35"/>
        <v>0</v>
      </c>
      <c r="Y122" s="992"/>
      <c r="Z122" s="3470">
        <f ca="1">MIN($V122,$W122)*time_tot+ABS($W122-$V122)*IF($W122&gt;$V122,time_cap+time*(VLOOKUP($J12,list!$J$48:$K$50,2,0)),time*(1-(VLOOKUP($J12,list!$J$48:$K$50,2,0))))</f>
        <v>0</v>
      </c>
      <c r="AA122" s="3479">
        <f ca="1">MIN($V122,$X122)*time_tot+ABS($X122-$V122)*IF($X122&gt;$V122,time_cap+time*(VLOOKUP($L12,list!$J$48:$K$50,2,0)),time*(1-(VLOOKUP($L12,list!$J$48:$K$50,2,0))))</f>
        <v>0</v>
      </c>
      <c r="AB122" s="2162">
        <f t="shared" ca="1" si="40"/>
        <v>0</v>
      </c>
      <c r="AE122" s="992">
        <f ca="1">MIN($V122,$W122)*time+ABS($W122-$V122)*IF($W122&gt;$V122,time*(VLOOKUP($J12,list!$J$48:$K$50,2,)),time*(1-(VLOOKUP($J12,list!$J$48:$K$50,2,))))</f>
        <v>0</v>
      </c>
      <c r="AF122" s="992">
        <f ca="1">MIN($V122,$X122)*time+ABS($X122-$V122)*IF($X122&gt;$V122,time*(VLOOKUP($L12,list!$J$48:$K$50,2,)),time*(1-(VLOOKUP($L12,list!$J$48:$K$50,2,))))</f>
        <v>0</v>
      </c>
    </row>
    <row r="123" spans="2:32" x14ac:dyDescent="0.15">
      <c r="B123" s="973" t="str">
        <f t="shared" si="29"/>
        <v>Please select</v>
      </c>
      <c r="C123" s="973" t="str">
        <f t="shared" si="29"/>
        <v>Please select</v>
      </c>
      <c r="E123" s="1109" t="str">
        <f t="shared" si="31"/>
        <v/>
      </c>
      <c r="F123" s="1109" t="str">
        <f t="shared" si="30"/>
        <v/>
      </c>
      <c r="G123" s="1111">
        <f t="shared" si="32"/>
        <v>0</v>
      </c>
      <c r="H123" s="1044">
        <f t="shared" si="32"/>
        <v>0</v>
      </c>
      <c r="I123" s="1110">
        <f t="shared" ca="1" si="32"/>
        <v>0</v>
      </c>
      <c r="J123" s="1688">
        <f t="shared" ca="1" si="32"/>
        <v>0</v>
      </c>
      <c r="K123" s="1688">
        <f t="shared" ca="1" si="32"/>
        <v>0</v>
      </c>
      <c r="L123" s="1688">
        <f t="shared" ca="1" si="32"/>
        <v>0</v>
      </c>
      <c r="M123" s="1688" t="str">
        <f t="shared" si="32"/>
        <v>Please select</v>
      </c>
      <c r="N123" s="1044">
        <f ca="1">IF(OR($M123="Regional share",$M123="Please select",$M123="Other (pls. specify EF)"),0,INDEX(INDIRECT(VLOOKUP(E123,list!$B$344:$D$347,1,FALSE)),MATCH(clim_moist,INDIRECT(VLOOKUP(E123,list!$B$344:$D$347,2,FALSE)),0),MATCH($M123,INDIRECT(VLOOKUP(E123,list!$B$344:$D$347,3,FALSE)),0))*Livestock!$H123*Livestock!$G123/1000*365)</f>
        <v>0</v>
      </c>
      <c r="O123" s="1045">
        <f t="shared" ca="1" si="36"/>
        <v>0</v>
      </c>
      <c r="P123" s="1044">
        <f ca="1">IFERROR(INDEX(INDIRECT(VLOOKUP(E123,list!$B$344:$D$347,1,FALSE)),MATCH(clim_moist,INDIRECT(VLOOKUP(E123,list!$B$344:$D$347,2,FALSE)),0),MATCH('4.Grassland'!$BH$53,INDIRECT(VLOOKUP(E123,list!$B$344:$D$347,3,FALSE)),0))*Livestock!$H123*Livestock!$G123/1000*365,0)*I123/100</f>
        <v>0</v>
      </c>
      <c r="Q123" s="1044">
        <f ca="1">IF($B123="Please select",0,IF(OR($M123="Please select",$M123="Regional share"),SUMPRODUCT(INDEX(INDIRECT(VLOOKUP(E123,list!$B$344:$D$347,1,FALSE)),MATCH(clim_moist,INDIRECT(VLOOKUP(E123,list!$B$344:$D$347,2,FALSE)),0),0),INDEX(INDIRECT(VLOOKUP(F123,list!$B$288:$D$310,1,FALSE)),MATCH($C$2,INDIRECT(VLOOKUP(F123,list!$B$288:$D$310,2,FALSE)),0),0))/100*($H123*$G123/1000*365)-$P123,0))</f>
        <v>0</v>
      </c>
      <c r="R123" s="2154">
        <f t="shared" ca="1" si="37"/>
        <v>0</v>
      </c>
      <c r="S123" s="2154">
        <f t="shared" ca="1" si="38"/>
        <v>0</v>
      </c>
      <c r="T123" s="2154">
        <f t="shared" ca="1" si="39"/>
        <v>0</v>
      </c>
      <c r="V123" s="3468">
        <f t="shared" ca="1" si="33"/>
        <v>0</v>
      </c>
      <c r="W123" s="1151">
        <f t="shared" ca="1" si="34"/>
        <v>0</v>
      </c>
      <c r="X123" s="3469">
        <f t="shared" ca="1" si="35"/>
        <v>0</v>
      </c>
      <c r="Y123" s="992"/>
      <c r="Z123" s="3470">
        <f ca="1">MIN($V123,$W123)*time_tot+ABS($W123-$V123)*IF($W123&gt;$V123,time_cap+time*(VLOOKUP($J13,list!$J$48:$K$50,2,0)),time*(1-(VLOOKUP($J13,list!$J$48:$K$50,2,0))))</f>
        <v>0</v>
      </c>
      <c r="AA123" s="3479">
        <f ca="1">MIN($V123,$X123)*time_tot+ABS($X123-$V123)*IF($X123&gt;$V123,time_cap+time*(VLOOKUP($L13,list!$J$48:$K$50,2,0)),time*(1-(VLOOKUP($L13,list!$J$48:$K$50,2,0))))</f>
        <v>0</v>
      </c>
      <c r="AB123" s="2162">
        <f t="shared" ca="1" si="40"/>
        <v>0</v>
      </c>
      <c r="AE123" s="992">
        <f ca="1">MIN($V123,$W123)*time+ABS($W123-$V123)*IF($W123&gt;$V123,time*(VLOOKUP($J13,list!$J$48:$K$50,2,)),time*(1-(VLOOKUP($J13,list!$J$48:$K$50,2,))))</f>
        <v>0</v>
      </c>
      <c r="AF123" s="992">
        <f ca="1">MIN($V123,$X123)*time+ABS($X123-$V123)*IF($X123&gt;$V123,time*(VLOOKUP($L13,list!$J$48:$K$50,2,)),time*(1-(VLOOKUP($L13,list!$J$48:$K$50,2,))))</f>
        <v>0</v>
      </c>
    </row>
    <row r="124" spans="2:32" x14ac:dyDescent="0.15">
      <c r="B124" s="973" t="str">
        <f t="shared" si="29"/>
        <v>Please select</v>
      </c>
      <c r="C124" s="973" t="str">
        <f t="shared" si="29"/>
        <v>Please select</v>
      </c>
      <c r="E124" s="1109" t="str">
        <f t="shared" si="31"/>
        <v/>
      </c>
      <c r="F124" s="1109" t="str">
        <f t="shared" si="30"/>
        <v/>
      </c>
      <c r="G124" s="1111">
        <f t="shared" si="32"/>
        <v>0</v>
      </c>
      <c r="H124" s="1044">
        <f t="shared" si="32"/>
        <v>0</v>
      </c>
      <c r="I124" s="1110">
        <f t="shared" ca="1" si="32"/>
        <v>0</v>
      </c>
      <c r="J124" s="1688">
        <f t="shared" ca="1" si="32"/>
        <v>0</v>
      </c>
      <c r="K124" s="1688">
        <f t="shared" ca="1" si="32"/>
        <v>0</v>
      </c>
      <c r="L124" s="1688">
        <f t="shared" ca="1" si="32"/>
        <v>0</v>
      </c>
      <c r="M124" s="1688" t="str">
        <f t="shared" si="32"/>
        <v>Please select</v>
      </c>
      <c r="N124" s="1044">
        <f ca="1">IF(OR($M124="Regional share",$M124="Please select",$M124="Other (pls. specify EF)"),0,INDEX(INDIRECT(VLOOKUP(E124,list!$B$344:$D$347,1,FALSE)),MATCH(clim_moist,INDIRECT(VLOOKUP(E124,list!$B$344:$D$347,2,FALSE)),0),MATCH($M124,INDIRECT(VLOOKUP(E124,list!$B$344:$D$347,3,FALSE)),0))*Livestock!$H124*Livestock!$G124/1000*365)</f>
        <v>0</v>
      </c>
      <c r="O124" s="1045">
        <f t="shared" ca="1" si="36"/>
        <v>0</v>
      </c>
      <c r="P124" s="1044">
        <f ca="1">IFERROR(INDEX(INDIRECT(VLOOKUP(E124,list!$B$344:$D$347,1,FALSE)),MATCH(clim_moist,INDIRECT(VLOOKUP(E124,list!$B$344:$D$347,2,FALSE)),0),MATCH('4.Grassland'!$BH$53,INDIRECT(VLOOKUP(E124,list!$B$344:$D$347,3,FALSE)),0))*Livestock!$H124*Livestock!$G124/1000*365,0)*I124/100</f>
        <v>0</v>
      </c>
      <c r="Q124" s="1044">
        <f ca="1">IF($B124="Please select",0,IF(OR($M124="Please select",$M124="Regional share"),SUMPRODUCT(INDEX(INDIRECT(VLOOKUP(E124,list!$B$344:$D$347,1,FALSE)),MATCH(clim_moist,INDIRECT(VLOOKUP(E124,list!$B$344:$D$347,2,FALSE)),0),0),INDEX(INDIRECT(VLOOKUP(F124,list!$B$288:$D$310,1,FALSE)),MATCH($C$2,INDIRECT(VLOOKUP(F124,list!$B$288:$D$310,2,FALSE)),0),0))/100*($H124*$G124/1000*365)-$P124,0))</f>
        <v>0</v>
      </c>
      <c r="R124" s="2154">
        <f t="shared" ca="1" si="37"/>
        <v>0</v>
      </c>
      <c r="S124" s="2154">
        <f t="shared" ca="1" si="38"/>
        <v>0</v>
      </c>
      <c r="T124" s="2154">
        <f t="shared" ca="1" si="39"/>
        <v>0</v>
      </c>
      <c r="V124" s="3468">
        <f t="shared" ca="1" si="33"/>
        <v>0</v>
      </c>
      <c r="W124" s="1151">
        <f t="shared" ca="1" si="34"/>
        <v>0</v>
      </c>
      <c r="X124" s="3469">
        <f t="shared" ca="1" si="35"/>
        <v>0</v>
      </c>
      <c r="Y124" s="992"/>
      <c r="Z124" s="3470">
        <f ca="1">MIN($V124,$W124)*time_tot+ABS($W124-$V124)*IF($W124&gt;$V124,time_cap+time*(VLOOKUP($J14,list!$J$48:$K$50,2,0)),time*(1-(VLOOKUP($J14,list!$J$48:$K$50,2,0))))</f>
        <v>0</v>
      </c>
      <c r="AA124" s="3479">
        <f ca="1">MIN($V124,$X124)*time_tot+ABS($X124-$V124)*IF($X124&gt;$V124,time_cap+time*(VLOOKUP($L14,list!$J$48:$K$50,2,0)),time*(1-(VLOOKUP($L14,list!$J$48:$K$50,2,0))))</f>
        <v>0</v>
      </c>
      <c r="AB124" s="2162">
        <f t="shared" ca="1" si="40"/>
        <v>0</v>
      </c>
      <c r="AE124" s="992">
        <f ca="1">MIN($V124,$W124)*time+ABS($W124-$V124)*IF($W124&gt;$V124,time*(VLOOKUP($J14,list!$J$48:$K$50,2,)),time*(1-(VLOOKUP($J14,list!$J$48:$K$50,2,))))</f>
        <v>0</v>
      </c>
      <c r="AF124" s="992">
        <f ca="1">MIN($V124,$X124)*time+ABS($X124-$V124)*IF($X124&gt;$V124,time*(VLOOKUP($L14,list!$J$48:$K$50,2,)),time*(1-(VLOOKUP($L14,list!$J$48:$K$50,2,))))</f>
        <v>0</v>
      </c>
    </row>
    <row r="125" spans="2:32" x14ac:dyDescent="0.15">
      <c r="B125" s="973" t="str">
        <f t="shared" si="29"/>
        <v>Please select</v>
      </c>
      <c r="C125" s="973" t="str">
        <f t="shared" si="29"/>
        <v>Please select</v>
      </c>
      <c r="E125" s="1109" t="str">
        <f t="shared" si="31"/>
        <v/>
      </c>
      <c r="F125" s="1109" t="str">
        <f t="shared" si="30"/>
        <v/>
      </c>
      <c r="G125" s="1111">
        <f t="shared" si="32"/>
        <v>0</v>
      </c>
      <c r="H125" s="1044">
        <f t="shared" si="32"/>
        <v>0</v>
      </c>
      <c r="I125" s="1110">
        <f t="shared" ca="1" si="32"/>
        <v>0</v>
      </c>
      <c r="J125" s="1688">
        <f t="shared" ca="1" si="32"/>
        <v>0</v>
      </c>
      <c r="K125" s="1688">
        <f t="shared" ca="1" si="32"/>
        <v>0</v>
      </c>
      <c r="L125" s="1688">
        <f t="shared" ca="1" si="32"/>
        <v>0</v>
      </c>
      <c r="M125" s="1688" t="str">
        <f t="shared" si="32"/>
        <v>Please select</v>
      </c>
      <c r="N125" s="1044">
        <f ca="1">IF(OR($M125="Regional share",$M125="Please select",$M125="Other (pls. specify EF)"),0,INDEX(INDIRECT(VLOOKUP(E125,list!$B$344:$D$347,1,FALSE)),MATCH(clim_moist,INDIRECT(VLOOKUP(E125,list!$B$344:$D$347,2,FALSE)),0),MATCH($M125,INDIRECT(VLOOKUP(E125,list!$B$344:$D$347,3,FALSE)),0))*Livestock!$H125*Livestock!$G125/1000*365)</f>
        <v>0</v>
      </c>
      <c r="O125" s="1045">
        <f t="shared" ca="1" si="36"/>
        <v>0</v>
      </c>
      <c r="P125" s="1044">
        <f ca="1">IFERROR(INDEX(INDIRECT(VLOOKUP(E125,list!$B$344:$D$347,1,FALSE)),MATCH(clim_moist,INDIRECT(VLOOKUP(E125,list!$B$344:$D$347,2,FALSE)),0),MATCH('4.Grassland'!$BH$53,INDIRECT(VLOOKUP(E125,list!$B$344:$D$347,3,FALSE)),0))*Livestock!$H125*Livestock!$G125/1000*365,0)*I125/100</f>
        <v>0</v>
      </c>
      <c r="Q125" s="1044">
        <f ca="1">IF($B125="Please select",0,IF(OR($M125="Please select",$M125="Regional share"),SUMPRODUCT(INDEX(INDIRECT(VLOOKUP(E125,list!$B$344:$D$347,1,FALSE)),MATCH(clim_moist,INDIRECT(VLOOKUP(E125,list!$B$344:$D$347,2,FALSE)),0),0),INDEX(INDIRECT(VLOOKUP(F125,list!$B$288:$D$310,1,FALSE)),MATCH($C$2,INDIRECT(VLOOKUP(F125,list!$B$288:$D$310,2,FALSE)),0),0))/100*($H125*$G125/1000*365)-$P125,0))</f>
        <v>0</v>
      </c>
      <c r="R125" s="2154">
        <f t="shared" ca="1" si="37"/>
        <v>0</v>
      </c>
      <c r="S125" s="2154">
        <f t="shared" ca="1" si="38"/>
        <v>0</v>
      </c>
      <c r="T125" s="2154">
        <f t="shared" ca="1" si="39"/>
        <v>0</v>
      </c>
      <c r="V125" s="3468">
        <f t="shared" ca="1" si="33"/>
        <v>0</v>
      </c>
      <c r="W125" s="1151">
        <f t="shared" ca="1" si="34"/>
        <v>0</v>
      </c>
      <c r="X125" s="3469">
        <f t="shared" ca="1" si="35"/>
        <v>0</v>
      </c>
      <c r="Y125" s="992"/>
      <c r="Z125" s="3470">
        <f ca="1">MIN($V125,$W125)*time_tot+ABS($W125-$V125)*IF($W125&gt;$V125,time_cap+time*(VLOOKUP($J15,list!$J$48:$K$50,2,0)),time*(1-(VLOOKUP($J15,list!$J$48:$K$50,2,0))))</f>
        <v>0</v>
      </c>
      <c r="AA125" s="3479">
        <f ca="1">MIN($V125,$X125)*time_tot+ABS($X125-$V125)*IF($X125&gt;$V125,time_cap+time*(VLOOKUP($L15,list!$J$48:$K$50,2,0)),time*(1-(VLOOKUP($L15,list!$J$48:$K$50,2,0))))</f>
        <v>0</v>
      </c>
      <c r="AB125" s="2162">
        <f t="shared" ca="1" si="40"/>
        <v>0</v>
      </c>
      <c r="AE125" s="992">
        <f ca="1">MIN($V125,$W125)*time+ABS($W125-$V125)*IF($W125&gt;$V125,time*(VLOOKUP($J15,list!$J$48:$K$50,2,)),time*(1-(VLOOKUP($J15,list!$J$48:$K$50,2,))))</f>
        <v>0</v>
      </c>
      <c r="AF125" s="992">
        <f ca="1">MIN($V125,$X125)*time+ABS($X125-$V125)*IF($X125&gt;$V125,time*(VLOOKUP($L15,list!$J$48:$K$50,2,)),time*(1-(VLOOKUP($L15,list!$J$48:$K$50,2,))))</f>
        <v>0</v>
      </c>
    </row>
    <row r="126" spans="2:32" x14ac:dyDescent="0.15">
      <c r="B126" s="973" t="str">
        <f t="shared" si="29"/>
        <v>Please select</v>
      </c>
      <c r="C126" s="973" t="str">
        <f t="shared" si="29"/>
        <v>Please select</v>
      </c>
      <c r="E126" s="1109" t="str">
        <f t="shared" si="31"/>
        <v/>
      </c>
      <c r="F126" s="1109" t="str">
        <f t="shared" si="30"/>
        <v/>
      </c>
      <c r="G126" s="1111">
        <f t="shared" si="32"/>
        <v>0</v>
      </c>
      <c r="H126" s="1044">
        <f t="shared" si="32"/>
        <v>0</v>
      </c>
      <c r="I126" s="1110">
        <f t="shared" ca="1" si="32"/>
        <v>0</v>
      </c>
      <c r="J126" s="1688">
        <f t="shared" ca="1" si="32"/>
        <v>0</v>
      </c>
      <c r="K126" s="1688">
        <f t="shared" ca="1" si="32"/>
        <v>0</v>
      </c>
      <c r="L126" s="1688">
        <f t="shared" ca="1" si="32"/>
        <v>0</v>
      </c>
      <c r="M126" s="1688" t="str">
        <f t="shared" si="32"/>
        <v>Please select</v>
      </c>
      <c r="N126" s="1044">
        <f ca="1">IF(OR($M126="Regional share",$M126="Please select",$M126="Other (pls. specify EF)"),0,INDEX(INDIRECT(VLOOKUP(E126,list!$B$344:$D$347,1,FALSE)),MATCH(clim_moist,INDIRECT(VLOOKUP(E126,list!$B$344:$D$347,2,FALSE)),0),MATCH($M126,INDIRECT(VLOOKUP(E126,list!$B$344:$D$347,3,FALSE)),0))*Livestock!$H126*Livestock!$G126/1000*365)</f>
        <v>0</v>
      </c>
      <c r="O126" s="1045">
        <f t="shared" ca="1" si="36"/>
        <v>0</v>
      </c>
      <c r="P126" s="1044">
        <f ca="1">IFERROR(INDEX(INDIRECT(VLOOKUP(E126,list!$B$344:$D$347,1,FALSE)),MATCH(clim_moist,INDIRECT(VLOOKUP(E126,list!$B$344:$D$347,2,FALSE)),0),MATCH('4.Grassland'!$BH$53,INDIRECT(VLOOKUP(E126,list!$B$344:$D$347,3,FALSE)),0))*Livestock!$H126*Livestock!$G126/1000*365,0)*I126/100</f>
        <v>0</v>
      </c>
      <c r="Q126" s="1044">
        <f ca="1">IF($B126="Please select",0,IF(OR($M126="Please select",$M126="Regional share"),SUMPRODUCT(INDEX(INDIRECT(VLOOKUP(E126,list!$B$344:$D$347,1,FALSE)),MATCH(clim_moist,INDIRECT(VLOOKUP(E126,list!$B$344:$D$347,2,FALSE)),0),0),INDEX(INDIRECT(VLOOKUP(F126,list!$B$288:$D$310,1,FALSE)),MATCH($C$2,INDIRECT(VLOOKUP(F126,list!$B$288:$D$310,2,FALSE)),0),0))/100*($H126*$G126/1000*365)-$P126,0))</f>
        <v>0</v>
      </c>
      <c r="R126" s="2154">
        <f t="shared" ca="1" si="37"/>
        <v>0</v>
      </c>
      <c r="S126" s="2154">
        <f t="shared" ca="1" si="38"/>
        <v>0</v>
      </c>
      <c r="T126" s="2154">
        <f t="shared" ca="1" si="39"/>
        <v>0</v>
      </c>
      <c r="V126" s="3468">
        <f t="shared" ca="1" si="33"/>
        <v>0</v>
      </c>
      <c r="W126" s="1151">
        <f t="shared" ca="1" si="34"/>
        <v>0</v>
      </c>
      <c r="X126" s="3469">
        <f t="shared" ca="1" si="35"/>
        <v>0</v>
      </c>
      <c r="Y126" s="992"/>
      <c r="Z126" s="3470">
        <f ca="1">MIN($V126,$W126)*time_tot+ABS($W126-$V126)*IF($W126&gt;$V126,time_cap+time*(VLOOKUP($J16,list!$J$48:$K$50,2,0)),time*(1-(VLOOKUP($J16,list!$J$48:$K$50,2,0))))</f>
        <v>0</v>
      </c>
      <c r="AA126" s="3479">
        <f ca="1">MIN($V126,$X126)*time_tot+ABS($X126-$V126)*IF($X126&gt;$V126,time_cap+time*(VLOOKUP($L16,list!$J$48:$K$50,2,0)),time*(1-(VLOOKUP($L16,list!$J$48:$K$50,2,0))))</f>
        <v>0</v>
      </c>
      <c r="AB126" s="2162">
        <f t="shared" ca="1" si="40"/>
        <v>0</v>
      </c>
      <c r="AE126" s="992">
        <f ca="1">MIN($V126,$W126)*time+ABS($W126-$V126)*IF($W126&gt;$V126,time*(VLOOKUP($J16,list!$J$48:$K$50,2,)),time*(1-(VLOOKUP($J16,list!$J$48:$K$50,2,))))</f>
        <v>0</v>
      </c>
      <c r="AF126" s="992">
        <f ca="1">MIN($V126,$X126)*time+ABS($X126-$V126)*IF($X126&gt;$V126,time*(VLOOKUP($L16,list!$J$48:$K$50,2,)),time*(1-(VLOOKUP($L16,list!$J$48:$K$50,2,))))</f>
        <v>0</v>
      </c>
    </row>
    <row r="127" spans="2:32" x14ac:dyDescent="0.15">
      <c r="B127" s="973" t="str">
        <f t="shared" si="29"/>
        <v>Please select</v>
      </c>
      <c r="C127" s="973" t="str">
        <f t="shared" si="29"/>
        <v>Please select</v>
      </c>
      <c r="E127" s="1109" t="str">
        <f t="shared" si="31"/>
        <v/>
      </c>
      <c r="F127" s="1109" t="str">
        <f t="shared" si="30"/>
        <v/>
      </c>
      <c r="G127" s="1111">
        <f t="shared" si="32"/>
        <v>0</v>
      </c>
      <c r="H127" s="1044">
        <f t="shared" si="32"/>
        <v>0</v>
      </c>
      <c r="I127" s="1110">
        <f t="shared" ca="1" si="32"/>
        <v>0</v>
      </c>
      <c r="J127" s="1688">
        <f t="shared" ca="1" si="32"/>
        <v>0</v>
      </c>
      <c r="K127" s="1688">
        <f t="shared" ca="1" si="32"/>
        <v>0</v>
      </c>
      <c r="L127" s="1688">
        <f t="shared" ca="1" si="32"/>
        <v>0</v>
      </c>
      <c r="M127" s="1688" t="str">
        <f t="shared" si="32"/>
        <v>Please select</v>
      </c>
      <c r="N127" s="1044">
        <f ca="1">IF(OR($M127="Regional share",$M127="Please select",$M127="Other (pls. specify EF)"),0,INDEX(INDIRECT(VLOOKUP(E127,list!$B$344:$D$347,1,FALSE)),MATCH(clim_moist,INDIRECT(VLOOKUP(E127,list!$B$344:$D$347,2,FALSE)),0),MATCH($M127,INDIRECT(VLOOKUP(E127,list!$B$344:$D$347,3,FALSE)),0))*Livestock!$H127*Livestock!$G127/1000*365)</f>
        <v>0</v>
      </c>
      <c r="O127" s="1045">
        <f t="shared" ca="1" si="36"/>
        <v>0</v>
      </c>
      <c r="P127" s="1044">
        <f ca="1">IFERROR(INDEX(INDIRECT(VLOOKUP(E127,list!$B$344:$D$347,1,FALSE)),MATCH(clim_moist,INDIRECT(VLOOKUP(E127,list!$B$344:$D$347,2,FALSE)),0),MATCH('4.Grassland'!$BH$53,INDIRECT(VLOOKUP(E127,list!$B$344:$D$347,3,FALSE)),0))*Livestock!$H127*Livestock!$G127/1000*365,0)*I127/100</f>
        <v>0</v>
      </c>
      <c r="Q127" s="1044">
        <f ca="1">IF($B127="Please select",0,IF(OR($M127="Please select",$M127="Regional share"),SUMPRODUCT(INDEX(INDIRECT(VLOOKUP(E127,list!$B$344:$D$347,1,FALSE)),MATCH(clim_moist,INDIRECT(VLOOKUP(E127,list!$B$344:$D$347,2,FALSE)),0),0),INDEX(INDIRECT(VLOOKUP(F127,list!$B$288:$D$310,1,FALSE)),MATCH($C$2,INDIRECT(VLOOKUP(F127,list!$B$288:$D$310,2,FALSE)),0),0))/100*($H127*$G127/1000*365)-$P127,0))</f>
        <v>0</v>
      </c>
      <c r="R127" s="2154">
        <f t="shared" ca="1" si="37"/>
        <v>0</v>
      </c>
      <c r="S127" s="2154">
        <f t="shared" ca="1" si="38"/>
        <v>0</v>
      </c>
      <c r="T127" s="2154">
        <f t="shared" ca="1" si="39"/>
        <v>0</v>
      </c>
      <c r="V127" s="3468">
        <f t="shared" ca="1" si="33"/>
        <v>0</v>
      </c>
      <c r="W127" s="1151">
        <f t="shared" ca="1" si="34"/>
        <v>0</v>
      </c>
      <c r="X127" s="3469">
        <f t="shared" ca="1" si="35"/>
        <v>0</v>
      </c>
      <c r="Y127" s="992"/>
      <c r="Z127" s="3470">
        <f ca="1">MIN($V127,$W127)*time_tot+ABS($W127-$V127)*IF($W127&gt;$V127,time_cap+time*(VLOOKUP($J17,list!$J$48:$K$50,2,0)),time*(1-(VLOOKUP($J17,list!$J$48:$K$50,2,0))))</f>
        <v>0</v>
      </c>
      <c r="AA127" s="3479">
        <f ca="1">MIN($V127,$X127)*time_tot+ABS($X127-$V127)*IF($X127&gt;$V127,time_cap+time*(VLOOKUP($L17,list!$J$48:$K$50,2,0)),time*(1-(VLOOKUP($L17,list!$J$48:$K$50,2,0))))</f>
        <v>0</v>
      </c>
      <c r="AB127" s="2162">
        <f t="shared" ca="1" si="40"/>
        <v>0</v>
      </c>
      <c r="AE127" s="992">
        <f ca="1">MIN($V127,$W127)*time+ABS($W127-$V127)*IF($W127&gt;$V127,time*(VLOOKUP($J17,list!$J$48:$K$50,2,)),time*(1-(VLOOKUP($J17,list!$J$48:$K$50,2,))))</f>
        <v>0</v>
      </c>
      <c r="AF127" s="992">
        <f ca="1">MIN($V127,$X127)*time+ABS($X127-$V127)*IF($X127&gt;$V127,time*(VLOOKUP($L17,list!$J$48:$K$50,2,)),time*(1-(VLOOKUP($L17,list!$J$48:$K$50,2,))))</f>
        <v>0</v>
      </c>
    </row>
    <row r="128" spans="2:32" x14ac:dyDescent="0.15">
      <c r="B128" s="973" t="str">
        <f t="shared" si="29"/>
        <v>Please select</v>
      </c>
      <c r="C128" s="973" t="str">
        <f t="shared" si="29"/>
        <v>Please select</v>
      </c>
      <c r="E128" s="1109" t="str">
        <f t="shared" si="31"/>
        <v/>
      </c>
      <c r="F128" s="1109" t="str">
        <f t="shared" si="30"/>
        <v/>
      </c>
      <c r="G128" s="1111">
        <f t="shared" si="32"/>
        <v>0</v>
      </c>
      <c r="H128" s="1044">
        <f t="shared" si="32"/>
        <v>0</v>
      </c>
      <c r="I128" s="1110">
        <f t="shared" ca="1" si="32"/>
        <v>0</v>
      </c>
      <c r="J128" s="1688">
        <f t="shared" ca="1" si="32"/>
        <v>0</v>
      </c>
      <c r="K128" s="1688">
        <f t="shared" ca="1" si="32"/>
        <v>0</v>
      </c>
      <c r="L128" s="1688">
        <f t="shared" ca="1" si="32"/>
        <v>0</v>
      </c>
      <c r="M128" s="1688" t="str">
        <f t="shared" si="32"/>
        <v>Please select</v>
      </c>
      <c r="N128" s="1044">
        <f ca="1">IF(OR($M128="Regional share",$M128="Please select",$M128="Other (pls. specify EF)"),0,INDEX(INDIRECT(VLOOKUP(E128,list!$B$344:$D$347,1,FALSE)),MATCH(clim_moist,INDIRECT(VLOOKUP(E128,list!$B$344:$D$347,2,FALSE)),0),MATCH($M128,INDIRECT(VLOOKUP(E128,list!$B$344:$D$347,3,FALSE)),0))*Livestock!$H128*Livestock!$G128/1000*365)</f>
        <v>0</v>
      </c>
      <c r="O128" s="1045">
        <f t="shared" ca="1" si="36"/>
        <v>0</v>
      </c>
      <c r="P128" s="1044">
        <f ca="1">IFERROR(INDEX(INDIRECT(VLOOKUP(E128,list!$B$344:$D$347,1,FALSE)),MATCH(clim_moist,INDIRECT(VLOOKUP(E128,list!$B$344:$D$347,2,FALSE)),0),MATCH('4.Grassland'!$BH$53,INDIRECT(VLOOKUP(E128,list!$B$344:$D$347,3,FALSE)),0))*Livestock!$H128*Livestock!$G128/1000*365,0)*I128/100</f>
        <v>0</v>
      </c>
      <c r="Q128" s="1044">
        <f ca="1">IF($B128="Please select",0,IF(OR($M128="Please select",$M128="Regional share"),SUMPRODUCT(INDEX(INDIRECT(VLOOKUP(E128,list!$B$344:$D$347,1,FALSE)),MATCH(clim_moist,INDIRECT(VLOOKUP(E128,list!$B$344:$D$347,2,FALSE)),0),0),INDEX(INDIRECT(VLOOKUP(F128,list!$B$288:$D$310,1,FALSE)),MATCH($C$2,INDIRECT(VLOOKUP(F128,list!$B$288:$D$310,2,FALSE)),0),0))/100*($H128*$G128/1000*365)-$P128,0))</f>
        <v>0</v>
      </c>
      <c r="R128" s="2154">
        <f t="shared" ca="1" si="37"/>
        <v>0</v>
      </c>
      <c r="S128" s="2154">
        <f t="shared" ca="1" si="38"/>
        <v>0</v>
      </c>
      <c r="T128" s="2154">
        <f t="shared" ca="1" si="39"/>
        <v>0</v>
      </c>
      <c r="V128" s="3468">
        <f t="shared" ca="1" si="33"/>
        <v>0</v>
      </c>
      <c r="W128" s="1151">
        <f t="shared" ca="1" si="34"/>
        <v>0</v>
      </c>
      <c r="X128" s="3469">
        <f t="shared" ca="1" si="35"/>
        <v>0</v>
      </c>
      <c r="Y128" s="992"/>
      <c r="Z128" s="3471">
        <f ca="1">MIN($V128,$W128)*time_tot+ABS($W128-$V128)*IF($W128&gt;$V128,time_cap+time*(VLOOKUP($J18,list!$J$48:$K$50,2,0)),time*(1-(VLOOKUP($J18,list!$J$48:$K$50,2,0))))</f>
        <v>0</v>
      </c>
      <c r="AA128" s="3480">
        <f ca="1">MIN($V128,$X128)*time_tot+ABS($X128-$V128)*IF($X128&gt;$V128,time_cap+time*(VLOOKUP($L18,list!$J$48:$K$50,2,0)),time*(1-(VLOOKUP($L18,list!$J$48:$K$50,2,0))))</f>
        <v>0</v>
      </c>
      <c r="AB128" s="3492">
        <f t="shared" ca="1" si="40"/>
        <v>0</v>
      </c>
      <c r="AE128" s="992">
        <f ca="1">MIN($V128,$W128)*time+ABS($W128-$V128)*IF($W128&gt;$V128,time*(VLOOKUP($J18,list!$J$48:$K$50,2,)),time*(1-(VLOOKUP($J18,list!$J$48:$K$50,2,))))</f>
        <v>0</v>
      </c>
      <c r="AF128" s="992">
        <f ca="1">MIN($V128,$X128)*time+ABS($X128-$V128)*IF($X128&gt;$V128,time*(VLOOKUP($L18,list!$J$48:$K$50,2,)),time*(1-(VLOOKUP($L18,list!$J$48:$K$50,2,))))</f>
        <v>0</v>
      </c>
    </row>
    <row r="129" spans="2:32" x14ac:dyDescent="0.15">
      <c r="B129" s="973" t="str">
        <f t="shared" si="29"/>
        <v>Please select</v>
      </c>
      <c r="C129" s="973" t="str">
        <f t="shared" si="29"/>
        <v>Please select</v>
      </c>
      <c r="E129" s="1109" t="str">
        <f t="shared" ref="E129:E134" si="41">IF(B73="Please select","",IF(AND(OR($C$2="North America",$C$2="Western Europe",$C$2="Eastern Europe",$C$2="Oceania"),(C129="Default")),VLOOKUP($B129,$T$36:$W$54,4,FALSE),INDEX($T$36:$W$54,MATCH($B129,$T$36:$T$54,0),MATCH($C129,$T$36:$W$36,0))))</f>
        <v/>
      </c>
      <c r="F129" s="1109" t="str">
        <f t="shared" ref="F129:M134" si="42">F101</f>
        <v/>
      </c>
      <c r="G129" s="1111">
        <f t="shared" si="42"/>
        <v>0</v>
      </c>
      <c r="H129" s="1044">
        <f t="shared" si="42"/>
        <v>0</v>
      </c>
      <c r="I129" s="1110">
        <f t="shared" ca="1" si="42"/>
        <v>0</v>
      </c>
      <c r="J129" s="1688">
        <f t="shared" ca="1" si="42"/>
        <v>0</v>
      </c>
      <c r="K129" s="1688">
        <f t="shared" ca="1" si="42"/>
        <v>0</v>
      </c>
      <c r="L129" s="1688">
        <f t="shared" ca="1" si="42"/>
        <v>0</v>
      </c>
      <c r="M129" s="1688" t="str">
        <f t="shared" si="42"/>
        <v>Please select</v>
      </c>
      <c r="N129" s="1044">
        <f ca="1">IF(OR($M129="Regional share",$M129="Please select",$M129="Other (pls. specify EF)"),0,INDEX(INDIRECT(VLOOKUP(E129,list!$B$344:$D$347,1,FALSE)),MATCH(clim_moist,INDIRECT(VLOOKUP(E129,list!$B$344:$D$347,2,FALSE)),0),MATCH($M129,INDIRECT(VLOOKUP(E129,list!$B$344:$D$347,3,FALSE)),0))*Livestock!$H129*Livestock!$G129/1000*365)</f>
        <v>0</v>
      </c>
      <c r="O129" s="1045">
        <f t="shared" ca="1" si="36"/>
        <v>0</v>
      </c>
      <c r="P129" s="1044">
        <f ca="1">IFERROR(INDEX(INDIRECT(VLOOKUP(E129,list!$B$344:$D$347,1,FALSE)),MATCH(clim_moist,INDIRECT(VLOOKUP(E129,list!$B$344:$D$347,2,FALSE)),0),MATCH('4.Grassland'!$BH$53,INDIRECT(VLOOKUP(E129,list!$B$344:$D$347,3,FALSE)),0))*Livestock!$H129*Livestock!$G129/1000*365,0)*I129/100</f>
        <v>0</v>
      </c>
      <c r="Q129" s="1044">
        <f ca="1">IF($B129="Please select",0,IF(OR($M129="Please select",$M129="Regional share"),SUMPRODUCT(INDEX(INDIRECT(VLOOKUP(E129,list!$B$344:$D$347,1,FALSE)),MATCH(clim_moist,INDIRECT(VLOOKUP(E129,list!$B$344:$D$347,2,FALSE)),0),0),INDEX(INDIRECT(VLOOKUP(F129,list!$B$288:$D$310,1,FALSE)),MATCH($C$2,INDIRECT(VLOOKUP(F129,list!$B$288:$D$310,2,FALSE)),0),0))/100*($H129*$G129/1000*365)-$P129,0))</f>
        <v>0</v>
      </c>
      <c r="R129" s="2154">
        <f t="shared" ca="1" si="37"/>
        <v>0</v>
      </c>
      <c r="S129" s="2154">
        <f t="shared" ca="1" si="38"/>
        <v>0</v>
      </c>
      <c r="T129" s="2154">
        <f t="shared" ca="1" si="39"/>
        <v>0</v>
      </c>
      <c r="V129" s="3468">
        <f t="shared" ca="1" si="33"/>
        <v>0</v>
      </c>
      <c r="W129" s="1151">
        <f t="shared" ca="1" si="34"/>
        <v>0</v>
      </c>
      <c r="X129" s="3469">
        <f t="shared" ca="1" si="35"/>
        <v>0</v>
      </c>
      <c r="Z129" s="3471">
        <f ca="1">MIN($V129,$W129)*time_tot+ABS($W129-$V129)*IF($W129&gt;$V129,time_cap+time*(VLOOKUP($J19,list!$J$48:$K$50,2,0)),time*(1-(VLOOKUP($J19,list!$J$48:$K$50,2,0))))</f>
        <v>0</v>
      </c>
      <c r="AA129" s="3480">
        <f ca="1">MIN($V129,$X129)*time_tot+ABS($X129-$V129)*IF($X129&gt;$V129,time_cap+time*(VLOOKUP($L19,list!$J$48:$K$50,2,0)),time*(1-(VLOOKUP($L19,list!$J$48:$K$50,2,0))))</f>
        <v>0</v>
      </c>
      <c r="AB129" s="3492">
        <f t="shared" ref="AB129:AB134" ca="1" si="43">AA129-Z129</f>
        <v>0</v>
      </c>
    </row>
    <row r="130" spans="2:32" x14ac:dyDescent="0.15">
      <c r="B130" s="973" t="str">
        <f t="shared" si="29"/>
        <v>Please select</v>
      </c>
      <c r="C130" s="973" t="str">
        <f t="shared" si="29"/>
        <v>Please select</v>
      </c>
      <c r="E130" s="1109" t="str">
        <f t="shared" si="41"/>
        <v/>
      </c>
      <c r="F130" s="1109" t="str">
        <f t="shared" si="42"/>
        <v/>
      </c>
      <c r="G130" s="1111">
        <f t="shared" si="42"/>
        <v>0</v>
      </c>
      <c r="H130" s="1044">
        <f t="shared" si="42"/>
        <v>0</v>
      </c>
      <c r="I130" s="1110">
        <f t="shared" ca="1" si="42"/>
        <v>0</v>
      </c>
      <c r="J130" s="1688">
        <f t="shared" ca="1" si="42"/>
        <v>0</v>
      </c>
      <c r="K130" s="1688">
        <f t="shared" ca="1" si="42"/>
        <v>0</v>
      </c>
      <c r="L130" s="1688">
        <f t="shared" ca="1" si="42"/>
        <v>0</v>
      </c>
      <c r="M130" s="1688" t="str">
        <f t="shared" si="42"/>
        <v>Please select</v>
      </c>
      <c r="N130" s="1044">
        <f ca="1">IF(OR($M130="Regional share",$M130="Please select",$M130="Other (pls. specify EF)"),0,INDEX(INDIRECT(VLOOKUP(E130,list!$B$344:$D$347,1,FALSE)),MATCH(clim_moist,INDIRECT(VLOOKUP(E130,list!$B$344:$D$347,2,FALSE)),0),MATCH($M130,INDIRECT(VLOOKUP(E130,list!$B$344:$D$347,3,FALSE)),0))*Livestock!$H130*Livestock!$G130/1000*365)</f>
        <v>0</v>
      </c>
      <c r="O130" s="1045">
        <f t="shared" ca="1" si="36"/>
        <v>0</v>
      </c>
      <c r="P130" s="1044">
        <f ca="1">IFERROR(INDEX(INDIRECT(VLOOKUP(E130,list!$B$344:$D$347,1,FALSE)),MATCH(clim_moist,INDIRECT(VLOOKUP(E130,list!$B$344:$D$347,2,FALSE)),0),MATCH('4.Grassland'!$BH$53,INDIRECT(VLOOKUP(E130,list!$B$344:$D$347,3,FALSE)),0))*Livestock!$H130*Livestock!$G130/1000*365,0)*I130/100</f>
        <v>0</v>
      </c>
      <c r="Q130" s="1044">
        <f ca="1">IF($B130="Please select",0,IF(OR($M130="Please select",$M130="Regional share"),SUMPRODUCT(INDEX(INDIRECT(VLOOKUP(E130,list!$B$344:$D$347,1,FALSE)),MATCH(clim_moist,INDIRECT(VLOOKUP(E130,list!$B$344:$D$347,2,FALSE)),0),0),INDEX(INDIRECT(VLOOKUP(F130,list!$B$288:$D$310,1,FALSE)),MATCH($C$2,INDIRECT(VLOOKUP(F130,list!$B$288:$D$310,2,FALSE)),0),0))/100*($H130*$G130/1000*365)-$P130,0))</f>
        <v>0</v>
      </c>
      <c r="R130" s="2154">
        <f t="shared" ca="1" si="37"/>
        <v>0</v>
      </c>
      <c r="S130" s="2154">
        <f t="shared" ca="1" si="38"/>
        <v>0</v>
      </c>
      <c r="T130" s="2154">
        <f t="shared" ca="1" si="39"/>
        <v>0</v>
      </c>
      <c r="V130" s="3468">
        <f t="shared" ca="1" si="33"/>
        <v>0</v>
      </c>
      <c r="W130" s="1151">
        <f t="shared" ca="1" si="34"/>
        <v>0</v>
      </c>
      <c r="X130" s="3469">
        <f t="shared" ca="1" si="35"/>
        <v>0</v>
      </c>
      <c r="Z130" s="3471">
        <f ca="1">MIN($V130,$W130)*time_tot+ABS($W130-$V130)*IF($W130&gt;$V130,time_cap+time*(VLOOKUP($J20,list!$J$48:$K$50,2,0)),time*(1-(VLOOKUP($J20,list!$J$48:$K$50,2,0))))</f>
        <v>0</v>
      </c>
      <c r="AA130" s="3480">
        <f ca="1">MIN($V130,$X130)*time_tot+ABS($X130-$V130)*IF($X130&gt;$V130,time_cap+time*(VLOOKUP($L20,list!$J$48:$K$50,2,0)),time*(1-(VLOOKUP($L20,list!$J$48:$K$50,2,0))))</f>
        <v>0</v>
      </c>
      <c r="AB130" s="3492">
        <f t="shared" ca="1" si="43"/>
        <v>0</v>
      </c>
    </row>
    <row r="131" spans="2:32" x14ac:dyDescent="0.15">
      <c r="B131" s="973" t="str">
        <f t="shared" si="29"/>
        <v>Please select</v>
      </c>
      <c r="C131" s="973" t="str">
        <f t="shared" si="29"/>
        <v>Please select</v>
      </c>
      <c r="E131" s="1109" t="str">
        <f t="shared" si="41"/>
        <v/>
      </c>
      <c r="F131" s="1109" t="str">
        <f t="shared" si="42"/>
        <v/>
      </c>
      <c r="G131" s="1111">
        <f t="shared" si="42"/>
        <v>0</v>
      </c>
      <c r="H131" s="1044">
        <f t="shared" si="42"/>
        <v>0</v>
      </c>
      <c r="I131" s="1110">
        <f t="shared" ca="1" si="42"/>
        <v>0</v>
      </c>
      <c r="J131" s="1688">
        <f t="shared" ca="1" si="42"/>
        <v>0</v>
      </c>
      <c r="K131" s="1688">
        <f t="shared" ca="1" si="42"/>
        <v>0</v>
      </c>
      <c r="L131" s="1688">
        <f t="shared" ca="1" si="42"/>
        <v>0</v>
      </c>
      <c r="M131" s="1688" t="str">
        <f t="shared" si="42"/>
        <v>Please select</v>
      </c>
      <c r="N131" s="1044">
        <f ca="1">IF(OR($M131="Regional share",$M131="Please select",$M131="Other (pls. specify EF)"),0,INDEX(INDIRECT(VLOOKUP(E131,list!$B$344:$D$347,1,FALSE)),MATCH(clim_moist,INDIRECT(VLOOKUP(E131,list!$B$344:$D$347,2,FALSE)),0),MATCH($M131,INDIRECT(VLOOKUP(E131,list!$B$344:$D$347,3,FALSE)),0))*Livestock!$H131*Livestock!$G131/1000*365)</f>
        <v>0</v>
      </c>
      <c r="O131" s="1045">
        <f t="shared" ca="1" si="36"/>
        <v>0</v>
      </c>
      <c r="P131" s="1044">
        <f ca="1">IFERROR(INDEX(INDIRECT(VLOOKUP(E131,list!$B$344:$D$347,1,FALSE)),MATCH(clim_moist,INDIRECT(VLOOKUP(E131,list!$B$344:$D$347,2,FALSE)),0),MATCH('4.Grassland'!$BH$53,INDIRECT(VLOOKUP(E131,list!$B$344:$D$347,3,FALSE)),0))*Livestock!$H131*Livestock!$G131/1000*365,0)*I131/100</f>
        <v>0</v>
      </c>
      <c r="Q131" s="1044">
        <f ca="1">IF($B131="Please select",0,IF(OR($M131="Please select",$M131="Regional share"),SUMPRODUCT(INDEX(INDIRECT(VLOOKUP(E131,list!$B$344:$D$347,1,FALSE)),MATCH(clim_moist,INDIRECT(VLOOKUP(E131,list!$B$344:$D$347,2,FALSE)),0),0),INDEX(INDIRECT(VLOOKUP(F131,list!$B$288:$D$310,1,FALSE)),MATCH($C$2,INDIRECT(VLOOKUP(F131,list!$B$288:$D$310,2,FALSE)),0),0))/100*($H131*$G131/1000*365)-$P131,0))</f>
        <v>0</v>
      </c>
      <c r="R131" s="2154">
        <f t="shared" ca="1" si="37"/>
        <v>0</v>
      </c>
      <c r="S131" s="2154">
        <f t="shared" ca="1" si="38"/>
        <v>0</v>
      </c>
      <c r="T131" s="2154">
        <f t="shared" ca="1" si="39"/>
        <v>0</v>
      </c>
      <c r="V131" s="3468">
        <f t="shared" ca="1" si="33"/>
        <v>0</v>
      </c>
      <c r="W131" s="1151">
        <f t="shared" ca="1" si="34"/>
        <v>0</v>
      </c>
      <c r="X131" s="3469">
        <f t="shared" ca="1" si="35"/>
        <v>0</v>
      </c>
      <c r="Z131" s="3471">
        <f ca="1">MIN($V131,$W131)*time_tot+ABS($W131-$V131)*IF($W131&gt;$V131,time_cap+time*(VLOOKUP($J21,list!$J$48:$K$50,2,0)),time*(1-(VLOOKUP($J21,list!$J$48:$K$50,2,0))))</f>
        <v>0</v>
      </c>
      <c r="AA131" s="3480">
        <f ca="1">MIN($V131,$X131)*time_tot+ABS($X131-$V131)*IF($X131&gt;$V131,time_cap+time*(VLOOKUP($L21,list!$J$48:$K$50,2,0)),time*(1-(VLOOKUP($L21,list!$J$48:$K$50,2,0))))</f>
        <v>0</v>
      </c>
      <c r="AB131" s="3492">
        <f t="shared" ca="1" si="43"/>
        <v>0</v>
      </c>
    </row>
    <row r="132" spans="2:32" x14ac:dyDescent="0.15">
      <c r="B132" s="973" t="str">
        <f t="shared" si="29"/>
        <v>Please select</v>
      </c>
      <c r="C132" s="973" t="str">
        <f t="shared" si="29"/>
        <v>Please select</v>
      </c>
      <c r="E132" s="1109" t="str">
        <f t="shared" si="41"/>
        <v/>
      </c>
      <c r="F132" s="1109" t="str">
        <f t="shared" si="42"/>
        <v/>
      </c>
      <c r="G132" s="1111">
        <f t="shared" si="42"/>
        <v>0</v>
      </c>
      <c r="H132" s="1044">
        <f t="shared" si="42"/>
        <v>0</v>
      </c>
      <c r="I132" s="1110">
        <f t="shared" ca="1" si="42"/>
        <v>0</v>
      </c>
      <c r="J132" s="1688">
        <f t="shared" ca="1" si="42"/>
        <v>0</v>
      </c>
      <c r="K132" s="1688">
        <f t="shared" ca="1" si="42"/>
        <v>0</v>
      </c>
      <c r="L132" s="1688">
        <f t="shared" ca="1" si="42"/>
        <v>0</v>
      </c>
      <c r="M132" s="1688" t="str">
        <f t="shared" si="42"/>
        <v>Please select</v>
      </c>
      <c r="N132" s="1044">
        <f ca="1">IF(OR($M132="Regional share",$M132="Please select",$M132="Other (pls. specify EF)"),0,INDEX(INDIRECT(VLOOKUP(E132,list!$B$344:$D$347,1,FALSE)),MATCH(clim_moist,INDIRECT(VLOOKUP(E132,list!$B$344:$D$347,2,FALSE)),0),MATCH($M132,INDIRECT(VLOOKUP(E132,list!$B$344:$D$347,3,FALSE)),0))*Livestock!$H132*Livestock!$G132/1000*365)</f>
        <v>0</v>
      </c>
      <c r="O132" s="1045">
        <f t="shared" ca="1" si="36"/>
        <v>0</v>
      </c>
      <c r="P132" s="1044">
        <f ca="1">IFERROR(INDEX(INDIRECT(VLOOKUP(E132,list!$B$344:$D$347,1,FALSE)),MATCH(clim_moist,INDIRECT(VLOOKUP(E132,list!$B$344:$D$347,2,FALSE)),0),MATCH('4.Grassland'!$BH$53,INDIRECT(VLOOKUP(E132,list!$B$344:$D$347,3,FALSE)),0))*Livestock!$H132*Livestock!$G132/1000*365,0)*I132/100</f>
        <v>0</v>
      </c>
      <c r="Q132" s="1044">
        <f ca="1">IF($B132="Please select",0,IF(OR($M132="Please select",$M132="Regional share"),SUMPRODUCT(INDEX(INDIRECT(VLOOKUP(E132,list!$B$344:$D$347,1,FALSE)),MATCH(clim_moist,INDIRECT(VLOOKUP(E132,list!$B$344:$D$347,2,FALSE)),0),0),INDEX(INDIRECT(VLOOKUP(F132,list!$B$288:$D$310,1,FALSE)),MATCH($C$2,INDIRECT(VLOOKUP(F132,list!$B$288:$D$310,2,FALSE)),0),0))/100*($H132*$G132/1000*365)-$P132,0))</f>
        <v>0</v>
      </c>
      <c r="R132" s="2154">
        <f t="shared" ca="1" si="37"/>
        <v>0</v>
      </c>
      <c r="S132" s="2154">
        <f t="shared" ca="1" si="38"/>
        <v>0</v>
      </c>
      <c r="T132" s="2154">
        <f t="shared" ca="1" si="39"/>
        <v>0</v>
      </c>
      <c r="V132" s="3468">
        <f t="shared" ca="1" si="33"/>
        <v>0</v>
      </c>
      <c r="W132" s="1151">
        <f t="shared" ca="1" si="34"/>
        <v>0</v>
      </c>
      <c r="X132" s="3469">
        <f t="shared" ca="1" si="35"/>
        <v>0</v>
      </c>
      <c r="Z132" s="3471">
        <f ca="1">MIN($V132,$W132)*time_tot+ABS($W132-$V132)*IF($W132&gt;$V132,time_cap+time*(VLOOKUP($J22,list!$J$48:$K$50,2,0)),time*(1-(VLOOKUP($J22,list!$J$48:$K$50,2,0))))</f>
        <v>0</v>
      </c>
      <c r="AA132" s="3480">
        <f ca="1">MIN($V132,$X132)*time_tot+ABS($X132-$V132)*IF($X132&gt;$V132,time_cap+time*(VLOOKUP($L22,list!$J$48:$K$50,2,0)),time*(1-(VLOOKUP($L22,list!$J$48:$K$50,2,0))))</f>
        <v>0</v>
      </c>
      <c r="AB132" s="3492">
        <f t="shared" ca="1" si="43"/>
        <v>0</v>
      </c>
    </row>
    <row r="133" spans="2:32" x14ac:dyDescent="0.15">
      <c r="B133" s="973" t="str">
        <f t="shared" si="29"/>
        <v>Please select</v>
      </c>
      <c r="C133" s="973" t="str">
        <f t="shared" si="29"/>
        <v>Please select</v>
      </c>
      <c r="E133" s="1109" t="str">
        <f t="shared" si="41"/>
        <v/>
      </c>
      <c r="F133" s="1109" t="str">
        <f t="shared" si="42"/>
        <v/>
      </c>
      <c r="G133" s="1111">
        <f t="shared" si="42"/>
        <v>0</v>
      </c>
      <c r="H133" s="1044">
        <f t="shared" si="42"/>
        <v>0</v>
      </c>
      <c r="I133" s="1110">
        <f t="shared" ca="1" si="42"/>
        <v>0</v>
      </c>
      <c r="J133" s="1688">
        <f t="shared" ca="1" si="42"/>
        <v>0</v>
      </c>
      <c r="K133" s="1688">
        <f t="shared" ca="1" si="42"/>
        <v>0</v>
      </c>
      <c r="L133" s="1688">
        <f t="shared" ca="1" si="42"/>
        <v>0</v>
      </c>
      <c r="M133" s="1688" t="str">
        <f t="shared" si="42"/>
        <v>Please select</v>
      </c>
      <c r="N133" s="1044">
        <f ca="1">IF(OR($M133="Regional share",$M133="Please select",$M133="Other (pls. specify EF)"),0,INDEX(INDIRECT(VLOOKUP(E133,list!$B$344:$D$347,1,FALSE)),MATCH(clim_moist,INDIRECT(VLOOKUP(E133,list!$B$344:$D$347,2,FALSE)),0),MATCH($M133,INDIRECT(VLOOKUP(E133,list!$B$344:$D$347,3,FALSE)),0))*Livestock!$H133*Livestock!$G133/1000*365)</f>
        <v>0</v>
      </c>
      <c r="O133" s="1045">
        <f t="shared" ca="1" si="36"/>
        <v>0</v>
      </c>
      <c r="P133" s="1044">
        <f ca="1">IFERROR(INDEX(INDIRECT(VLOOKUP(E133,list!$B$344:$D$347,1,FALSE)),MATCH(clim_moist,INDIRECT(VLOOKUP(E133,list!$B$344:$D$347,2,FALSE)),0),MATCH('4.Grassland'!$BH$53,INDIRECT(VLOOKUP(E133,list!$B$344:$D$347,3,FALSE)),0))*Livestock!$H133*Livestock!$G133/1000*365,0)*I133/100</f>
        <v>0</v>
      </c>
      <c r="Q133" s="1044">
        <f ca="1">IF($B133="Please select",0,IF(OR($M133="Please select",$M133="Regional share"),SUMPRODUCT(INDEX(INDIRECT(VLOOKUP(E133,list!$B$344:$D$347,1,FALSE)),MATCH(clim_moist,INDIRECT(VLOOKUP(E133,list!$B$344:$D$347,2,FALSE)),0),0),INDEX(INDIRECT(VLOOKUP(F133,list!$B$288:$D$310,1,FALSE)),MATCH($C$2,INDIRECT(VLOOKUP(F133,list!$B$288:$D$310,2,FALSE)),0),0))/100*($H133*$G133/1000*365)-$P133,0))</f>
        <v>0</v>
      </c>
      <c r="R133" s="2154">
        <f t="shared" ca="1" si="37"/>
        <v>0</v>
      </c>
      <c r="S133" s="2154">
        <f t="shared" ca="1" si="38"/>
        <v>0</v>
      </c>
      <c r="T133" s="2154">
        <f t="shared" ca="1" si="39"/>
        <v>0</v>
      </c>
      <c r="V133" s="3468">
        <f t="shared" ca="1" si="33"/>
        <v>0</v>
      </c>
      <c r="W133" s="1151">
        <f t="shared" ca="1" si="34"/>
        <v>0</v>
      </c>
      <c r="X133" s="3469">
        <f t="shared" ca="1" si="35"/>
        <v>0</v>
      </c>
      <c r="Z133" s="3471">
        <f ca="1">MIN($V133,$W133)*time_tot+ABS($W133-$V133)*IF($W133&gt;$V133,time_cap+time*(VLOOKUP($J23,list!$J$48:$K$50,2,0)),time*(1-(VLOOKUP($J23,list!$J$48:$K$50,2,0))))</f>
        <v>0</v>
      </c>
      <c r="AA133" s="3480">
        <f ca="1">MIN($V133,$X133)*time_tot+ABS($X133-$V133)*IF($X133&gt;$V133,time_cap+time*(VLOOKUP($L23,list!$J$48:$K$50,2,0)),time*(1-(VLOOKUP($L23,list!$J$48:$K$50,2,0))))</f>
        <v>0</v>
      </c>
      <c r="AB133" s="3492">
        <f t="shared" ca="1" si="43"/>
        <v>0</v>
      </c>
    </row>
    <row r="134" spans="2:32" x14ac:dyDescent="0.15">
      <c r="B134" s="973" t="str">
        <f t="shared" si="29"/>
        <v>Please select</v>
      </c>
      <c r="C134" s="973" t="str">
        <f t="shared" si="29"/>
        <v>Please select</v>
      </c>
      <c r="E134" s="1109" t="str">
        <f t="shared" si="41"/>
        <v/>
      </c>
      <c r="F134" s="1109" t="str">
        <f t="shared" si="42"/>
        <v/>
      </c>
      <c r="G134" s="1111">
        <f t="shared" si="42"/>
        <v>0</v>
      </c>
      <c r="H134" s="1044">
        <f t="shared" si="42"/>
        <v>0</v>
      </c>
      <c r="I134" s="1110">
        <f t="shared" ca="1" si="42"/>
        <v>0</v>
      </c>
      <c r="J134" s="1688">
        <f t="shared" ca="1" si="42"/>
        <v>0</v>
      </c>
      <c r="K134" s="1688">
        <f t="shared" ca="1" si="42"/>
        <v>0</v>
      </c>
      <c r="L134" s="1688">
        <f t="shared" ca="1" si="42"/>
        <v>0</v>
      </c>
      <c r="M134" s="1688" t="str">
        <f t="shared" si="42"/>
        <v>Please select</v>
      </c>
      <c r="N134" s="1044">
        <f ca="1">IF(OR($M134="Regional share",$M134="Please select",$M134="Other (pls. specify EF)"),0,INDEX(INDIRECT(VLOOKUP(E134,list!$B$344:$D$347,1,FALSE)),MATCH(clim_moist,INDIRECT(VLOOKUP(E134,list!$B$344:$D$347,2,FALSE)),0),MATCH($M134,INDIRECT(VLOOKUP(E134,list!$B$344:$D$347,3,FALSE)),0))*Livestock!$H134*Livestock!$G134/1000*365)</f>
        <v>0</v>
      </c>
      <c r="O134" s="1045">
        <f t="shared" ca="1" si="36"/>
        <v>0</v>
      </c>
      <c r="P134" s="1044">
        <f ca="1">IFERROR(INDEX(INDIRECT(VLOOKUP(E134,list!$B$344:$D$347,1,FALSE)),MATCH(clim_moist,INDIRECT(VLOOKUP(E134,list!$B$344:$D$347,2,FALSE)),0),MATCH('4.Grassland'!$BH$53,INDIRECT(VLOOKUP(E134,list!$B$344:$D$347,3,FALSE)),0))*Livestock!$H134*Livestock!$G134/1000*365,0)*I134/100</f>
        <v>0</v>
      </c>
      <c r="Q134" s="1044">
        <f ca="1">IF($B134="Please select",0,IF(OR($M134="Please select",$M134="Regional share"),SUMPRODUCT(INDEX(INDIRECT(VLOOKUP(E134,list!$B$344:$D$347,1,FALSE)),MATCH(clim_moist,INDIRECT(VLOOKUP(E134,list!$B$344:$D$347,2,FALSE)),0),0),INDEX(INDIRECT(VLOOKUP(F134,list!$B$288:$D$310,1,FALSE)),MATCH($C$2,INDIRECT(VLOOKUP(F134,list!$B$288:$D$310,2,FALSE)),0),0))/100*($H134*$G134/1000*365)-$P134,0))</f>
        <v>0</v>
      </c>
      <c r="R134" s="2154">
        <f t="shared" ca="1" si="37"/>
        <v>0</v>
      </c>
      <c r="S134" s="2154">
        <f t="shared" ca="1" si="38"/>
        <v>0</v>
      </c>
      <c r="T134" s="2154">
        <f t="shared" ca="1" si="39"/>
        <v>0</v>
      </c>
      <c r="V134" s="3468">
        <f t="shared" ca="1" si="33"/>
        <v>0</v>
      </c>
      <c r="W134" s="1151">
        <f t="shared" ca="1" si="34"/>
        <v>0</v>
      </c>
      <c r="X134" s="3469">
        <f t="shared" ca="1" si="35"/>
        <v>0</v>
      </c>
      <c r="Z134" s="3471">
        <f ca="1">MIN($V134,$W134)*time_tot+ABS($W134-$V134)*IF($W134&gt;$V134,time_cap+time*(VLOOKUP($J24,list!$J$48:$K$50,2,0)),time*(1-(VLOOKUP($J24,list!$J$48:$K$50,2,0))))</f>
        <v>0</v>
      </c>
      <c r="AA134" s="3480">
        <f ca="1">MIN($V134,$X134)*time_tot+ABS($X134-$V134)*IF($X134&gt;$V134,time_cap+time*(VLOOKUP($L24,list!$J$48:$K$50,2,0)),time*(1-(VLOOKUP($L24,list!$J$48:$K$50,2,0))))</f>
        <v>0</v>
      </c>
      <c r="AB134" s="3492">
        <f t="shared" ca="1" si="43"/>
        <v>0</v>
      </c>
    </row>
    <row r="138" spans="2:32" x14ac:dyDescent="0.15">
      <c r="V138" s="1163"/>
      <c r="W138" s="1163"/>
      <c r="X138" s="1163"/>
      <c r="Y138" s="1653" t="s">
        <v>962</v>
      </c>
      <c r="Z138" s="2272">
        <f ca="1">SUM(Z118:Z134)</f>
        <v>85.346944620535737</v>
      </c>
      <c r="AA138" s="2272">
        <f ca="1">SUM(AA118:AA134)</f>
        <v>85.346944620535737</v>
      </c>
      <c r="AB138" s="2272">
        <f ca="1">SUM(AB118:AB134)</f>
        <v>0</v>
      </c>
    </row>
    <row r="140" spans="2:32" x14ac:dyDescent="0.15">
      <c r="G140" s="3464"/>
      <c r="H140" s="4286" t="str">
        <f t="shared" ref="H140:H154" si="44">H114</f>
        <v>Specific factors</v>
      </c>
      <c r="M140" s="4568" t="str">
        <f>M114</f>
        <v>Compl. manure mngt syst</v>
      </c>
      <c r="N140" s="4568"/>
      <c r="O140" s="4568"/>
    </row>
    <row r="141" spans="2:32" x14ac:dyDescent="0.15">
      <c r="B141" s="2273" t="s">
        <v>963</v>
      </c>
      <c r="G141" s="1576" t="str">
        <f t="shared" ref="G141:G154" si="45">G115</f>
        <v>TAM</v>
      </c>
      <c r="H141" s="1281" t="str">
        <f t="shared" si="44"/>
        <v>N excretion rate</v>
      </c>
      <c r="I141" s="1281" t="str">
        <f t="shared" ref="I141:I154" si="46">I115</f>
        <v xml:space="preserve">% corresponding to </v>
      </c>
      <c r="L141" s="1659"/>
      <c r="M141" s="1659"/>
      <c r="N141" s="1671" t="str">
        <f>N115</f>
        <v>Frac. Comp.</v>
      </c>
      <c r="O141" s="1644"/>
      <c r="P141" s="1672" t="str">
        <f>P115</f>
        <v>Frac PRP</v>
      </c>
      <c r="Q141" s="1672" t="str">
        <f>Q115</f>
        <v>Frac default</v>
      </c>
      <c r="V141" s="2163" t="s">
        <v>952</v>
      </c>
      <c r="W141" s="3464"/>
      <c r="X141" s="3464"/>
      <c r="Z141" s="1281" t="s">
        <v>857</v>
      </c>
    </row>
    <row r="142" spans="2:32" ht="16" x14ac:dyDescent="0.2">
      <c r="G142" s="1688" t="str">
        <f t="shared" si="45"/>
        <v>kg</v>
      </c>
      <c r="H142" s="973" t="str">
        <f t="shared" si="44"/>
        <v>kg N/(1000kg TAM)/day</v>
      </c>
      <c r="I142" s="2163" t="str">
        <f t="shared" si="46"/>
        <v>Pasture/Range/Paddock</v>
      </c>
      <c r="J142" s="3464"/>
      <c r="K142" s="3477"/>
      <c r="L142" s="3477"/>
      <c r="M142" s="4287" t="str">
        <f>M116</f>
        <v>Comp. MMS</v>
      </c>
      <c r="N142" s="1670"/>
      <c r="V142" s="1281" t="s">
        <v>599</v>
      </c>
      <c r="W142" s="1100"/>
      <c r="X142" s="1101"/>
      <c r="Z142" s="1270"/>
      <c r="AA142" s="1116"/>
      <c r="AB142" s="1116"/>
      <c r="AE142" s="973" t="s">
        <v>859</v>
      </c>
    </row>
    <row r="143" spans="2:32" ht="16" x14ac:dyDescent="0.2">
      <c r="B143" s="973" t="str">
        <f t="shared" ref="B143:C160" si="47">B117</f>
        <v>Livestock category</v>
      </c>
      <c r="C143" s="973" t="str">
        <f t="shared" si="47"/>
        <v>Livestock productivity</v>
      </c>
      <c r="E143" s="1281" t="s">
        <v>964</v>
      </c>
      <c r="F143" s="1281" t="str">
        <f t="shared" ref="F143:F154" si="48">F117</f>
        <v>Table AWMS</v>
      </c>
      <c r="G143" s="1688" t="str">
        <f t="shared" si="45"/>
        <v>IPCC</v>
      </c>
      <c r="H143" s="1688" t="str">
        <f t="shared" si="44"/>
        <v>IPCC</v>
      </c>
      <c r="I143" s="1688" t="str">
        <f t="shared" si="46"/>
        <v>IPCC</v>
      </c>
      <c r="J143" s="1688" t="str">
        <f t="shared" ref="J143:J154" si="49">J117</f>
        <v>START</v>
      </c>
      <c r="K143" s="1688" t="str">
        <f t="shared" ref="K143:T143" si="50">K117</f>
        <v>WITHOUT</v>
      </c>
      <c r="L143" s="1688" t="str">
        <f t="shared" si="50"/>
        <v>WITH</v>
      </c>
      <c r="M143" s="1688"/>
      <c r="N143" s="1688" t="str">
        <f t="shared" si="50"/>
        <v>IPCC</v>
      </c>
      <c r="O143" s="1300" t="str">
        <f t="shared" si="50"/>
        <v>Tier 2</v>
      </c>
      <c r="Q143" s="1688" t="str">
        <f t="shared" si="50"/>
        <v>IPCC</v>
      </c>
      <c r="R143" s="1688" t="str">
        <f t="shared" si="50"/>
        <v>START</v>
      </c>
      <c r="S143" s="1688" t="str">
        <f t="shared" si="50"/>
        <v>WITHOUT</v>
      </c>
      <c r="T143" s="1688" t="str">
        <f t="shared" si="50"/>
        <v>WITH</v>
      </c>
      <c r="V143" s="1688" t="s">
        <v>199</v>
      </c>
      <c r="W143" s="1102" t="s">
        <v>865</v>
      </c>
      <c r="X143" s="1103" t="s">
        <v>201</v>
      </c>
      <c r="Z143" s="1521" t="s">
        <v>865</v>
      </c>
      <c r="AA143" s="1101" t="s">
        <v>201</v>
      </c>
      <c r="AB143" s="1116" t="s">
        <v>324</v>
      </c>
      <c r="AE143" s="1102" t="s">
        <v>200</v>
      </c>
      <c r="AF143" s="1103" t="s">
        <v>201</v>
      </c>
    </row>
    <row r="144" spans="2:32" x14ac:dyDescent="0.15">
      <c r="B144" s="973" t="str">
        <f t="shared" si="47"/>
        <v>Dairy Cattle</v>
      </c>
      <c r="C144" s="973" t="str">
        <f t="shared" si="47"/>
        <v>High-Productivity</v>
      </c>
      <c r="E144" s="1109" t="s">
        <v>965</v>
      </c>
      <c r="F144" s="1109" t="str">
        <f t="shared" si="48"/>
        <v>AWMS_Dairy_Cattle</v>
      </c>
      <c r="G144" s="1111">
        <f t="shared" si="45"/>
        <v>600</v>
      </c>
      <c r="H144" s="1044">
        <f t="shared" si="44"/>
        <v>0.5</v>
      </c>
      <c r="I144" s="1110">
        <f t="shared" ca="1" si="46"/>
        <v>26</v>
      </c>
      <c r="J144" s="1688">
        <f t="shared" ca="1" si="49"/>
        <v>26</v>
      </c>
      <c r="K144" s="1688">
        <f t="shared" ref="K144:M154" ca="1" si="51">K118</f>
        <v>26</v>
      </c>
      <c r="L144" s="1688">
        <f t="shared" ca="1" si="51"/>
        <v>26</v>
      </c>
      <c r="M144" s="1688" t="str">
        <f t="shared" si="51"/>
        <v>Please select</v>
      </c>
      <c r="N144" s="1007">
        <f ca="1">IF(OR($M144="Regional share",$M144="Please select",$M144="Other (pls. specify EF)"),0,INDEX(INDIRECT(VLOOKUP(E144,list!$B$349:$D$349,1,FALSE)),MATCH(clim_moist,INDIRECT(VLOOKUP(E144,list!$B$349:$D$349,2,FALSE)),0),MATCH($M144,INDIRECT(VLOOKUP(E144,list!$B$349:$D$349,3,FALSE)),0))*Livestock!$H144*Livestock!$G144/1000*365)</f>
        <v>0</v>
      </c>
      <c r="O144" s="1581">
        <f ca="1">N144</f>
        <v>0</v>
      </c>
      <c r="P144" s="1260">
        <f ca="1">IFERROR(INDEX(INDIRECT(VLOOKUP(E144,list!$B$349:$D$349,1,FALSE)),MATCH(clim_moist,INDIRECT(VLOOKUP(E144,list!$B$349:$D$349,2,FALSE)),0),MATCH('4.Grassland'!$BH$53,INDIRECT(VLOOKUP(E144,list!$B$349:$D$349,3,FALSE)),0))*Livestock!$H144*Livestock!$G144/1000*365,0)*I144/100</f>
        <v>0</v>
      </c>
      <c r="Q144" s="1260">
        <f ca="1">IF($B144="Please select",0,IF(OR($M144="Please select",$M144="Regional share"),SUMPRODUCT(INDEX(INDIRECT(VLOOKUP(E144,list!$B$349:$D$349,1,FALSE)),MATCH(clim_moist,INDIRECT(VLOOKUP(E144,list!$B$349:$D$349,2,FALSE)),0),0),INDEX(INDIRECT(VLOOKUP(F144,list!$B$288:$D$310,1,FALSE)),MATCH($C$2,INDIRECT(VLOOKUP(F144,list!$B$288:$D$310,2,FALSE)),0),0))/100*($H144*$G144/1000*365)-$P144,0))</f>
        <v>0.47632499999999994</v>
      </c>
      <c r="R144" s="2154">
        <f ca="1">IFERROR(($P144/($I144/100)*$J144/100+$O144*(1-$J144/100)+$Q144/(1-$I144/100)*(1-$J144/100)),0)</f>
        <v>0.47632499999999994</v>
      </c>
      <c r="S144" s="2154">
        <f ca="1">IFERROR(($P144/($I144/100)*$K144/100+$O144*(1-$K144/100)+$Q144/(1-$I144/100)*(1-$K144/100)),0)</f>
        <v>0.47632499999999994</v>
      </c>
      <c r="T144" s="2154">
        <f ca="1">IFERROR(($P144/($I144/100)*$L144/100+$O144*(1-$L144/100)+$Q144/(1-$I144/100)*(1-$L144/100)),0)</f>
        <v>0.47632499999999994</v>
      </c>
      <c r="V144" s="3468">
        <f t="shared" ref="V144:V160" ca="1" si="52">0.011*$R144*$H8/1000*44/28*Nitrous</f>
        <v>0.21819087321428565</v>
      </c>
      <c r="W144" s="1151">
        <f t="shared" ref="W144:W160" ca="1" si="53">0.011*$S144*$I8/1000*44/28*Nitrous</f>
        <v>0</v>
      </c>
      <c r="X144" s="3469">
        <f t="shared" ref="X144:X160" ca="1" si="54">0.011*$T144*$K8/1000*44/28*Nitrous</f>
        <v>0</v>
      </c>
      <c r="Y144" s="992"/>
      <c r="Z144" s="3468">
        <f ca="1">MIN($V144,$W144)*time_tot+ABS($W144-$V144)*IF($W144&gt;$V144,time_cap+time*(VLOOKUP($J8,list!$J$48:$K$50,2,0)),time*(1-(VLOOKUP($J8,list!$J$48:$K$50,2,0))))</f>
        <v>0.54547718303571413</v>
      </c>
      <c r="AA144" s="3469">
        <f ca="1">MIN($V144,$X144)*time_tot+ABS($X144-$V144)*IF($X144&gt;$V144,time_cap+time*(VLOOKUP($L8,list!$J$48:$K$50,2,0)),time*(1-(VLOOKUP($L8,list!$J$48:$K$50,2,0))))</f>
        <v>0.54547718303571413</v>
      </c>
      <c r="AB144" s="3491">
        <f ca="1">AA144-Z144</f>
        <v>0</v>
      </c>
      <c r="AE144" s="992">
        <f ca="1">MIN($V144,$W144)*time+ABS($W144-$V144)*IF($W144&gt;$V144,time*(VLOOKUP($J8,list!$J$48:$K$50,2,)),time*(1-(VLOOKUP($J8,list!$J$48:$K$50,2,))))</f>
        <v>0.54547718303571413</v>
      </c>
      <c r="AF144" s="992">
        <f ca="1">MIN($V144,$X144)*time+ABS($X144-$V144)*IF($X144&gt;$V144,time*(VLOOKUP($L8,list!$J$48:$K$50,2,)),time*(1-(VLOOKUP($L8,list!$J$48:$K$50,2,))))</f>
        <v>0.54547718303571413</v>
      </c>
    </row>
    <row r="145" spans="2:32" x14ac:dyDescent="0.15">
      <c r="B145" s="973" t="str">
        <f t="shared" si="47"/>
        <v>Dairy Cattle</v>
      </c>
      <c r="C145" s="973" t="str">
        <f t="shared" si="47"/>
        <v>High-Productivity</v>
      </c>
      <c r="E145" s="1109" t="s">
        <v>965</v>
      </c>
      <c r="F145" s="1109" t="str">
        <f t="shared" si="48"/>
        <v>AWMS_Dairy_Cattle</v>
      </c>
      <c r="G145" s="1111">
        <f t="shared" si="45"/>
        <v>600</v>
      </c>
      <c r="H145" s="1044">
        <f t="shared" si="44"/>
        <v>0.5</v>
      </c>
      <c r="I145" s="1110">
        <f t="shared" ca="1" si="46"/>
        <v>26</v>
      </c>
      <c r="J145" s="1688">
        <f t="shared" ca="1" si="49"/>
        <v>26</v>
      </c>
      <c r="K145" s="1688">
        <f t="shared" ca="1" si="51"/>
        <v>26</v>
      </c>
      <c r="L145" s="1688">
        <f t="shared" ca="1" si="51"/>
        <v>26</v>
      </c>
      <c r="M145" s="1688" t="str">
        <f t="shared" si="51"/>
        <v>Please select</v>
      </c>
      <c r="N145" s="1007">
        <f ca="1">IF(OR($M145="Regional share",$M145="Please select",$M145="Other (pls. specify EF)"),0,INDEX(INDIRECT(VLOOKUP(E145,list!$B$349:$D$349,1,FALSE)),MATCH(clim_moist,INDIRECT(VLOOKUP(E145,list!$B$349:$D$349,2,FALSE)),0),MATCH($M145,INDIRECT(VLOOKUP(E145,list!$B$349:$D$349,3,FALSE)),0))*Livestock!$H145*Livestock!$G145/1000*365)</f>
        <v>0</v>
      </c>
      <c r="O145" s="1581">
        <f t="shared" ref="O145:O154" ca="1" si="55">N145</f>
        <v>0</v>
      </c>
      <c r="P145" s="1260">
        <f ca="1">IFERROR(INDEX(INDIRECT(VLOOKUP(E145,list!$B$349:$D$349,1,FALSE)),MATCH(clim_moist,INDIRECT(VLOOKUP(E145,list!$B$349:$D$349,2,FALSE)),0),MATCH('4.Grassland'!$BH$53,INDIRECT(VLOOKUP(E145,list!$B$349:$D$349,3,FALSE)),0))*Livestock!$H145*Livestock!$G145/1000*365,0)*I145/100</f>
        <v>0</v>
      </c>
      <c r="Q145" s="1260">
        <f ca="1">IF($B145="Please select",0,IF(OR($M145="Please select",$M145="Regional share"),SUMPRODUCT(INDEX(INDIRECT(VLOOKUP(E145,list!$B$349:$D$349,1,FALSE)),MATCH(clim_moist,INDIRECT(VLOOKUP(E145,list!$B$349:$D$349,2,FALSE)),0),0),INDEX(INDIRECT(VLOOKUP(F145,list!$B$288:$D$310,1,FALSE)),MATCH($C$2,INDIRECT(VLOOKUP(F145,list!$B$288:$D$310,2,FALSE)),0),0))/100*($H145*$G145/1000*365)-$P145,0))</f>
        <v>0.47632499999999994</v>
      </c>
      <c r="R145" s="2154">
        <f t="shared" ref="R145:R160" ca="1" si="56">IFERROR(($P145/($I145/100)*$J145/100+$O145*(1-$J145/100)+$Q145/(1-$I145/100)*(1-$J145/100)),0)</f>
        <v>0.47632499999999994</v>
      </c>
      <c r="S145" s="2154">
        <f ca="1">IFERROR(($P145/($I145/100)*$K145/100+$O145*(1-$K145/100)+$Q145/(1-$I145/100)*(1-$K145/100)),0)</f>
        <v>0.47632499999999994</v>
      </c>
      <c r="T145" s="2154">
        <f t="shared" ref="T145:T160" ca="1" si="57">IFERROR(($P145/($I145/100)*$L145/100+$O145*(1-$L145/100)+$Q145/(1-$I145/100)*(1-$L145/100)),0)</f>
        <v>0.47632499999999994</v>
      </c>
      <c r="V145" s="3468">
        <f t="shared" ca="1" si="52"/>
        <v>0</v>
      </c>
      <c r="W145" s="1151">
        <f t="shared" ca="1" si="53"/>
        <v>0.21819087321428565</v>
      </c>
      <c r="X145" s="3469">
        <f t="shared" ca="1" si="54"/>
        <v>0</v>
      </c>
      <c r="Y145" s="992"/>
      <c r="Z145" s="3468">
        <f ca="1">MIN($V145,$W145)*time_tot+ABS($W145-$V145)*IF($W145&gt;$V145,time_cap+time*(VLOOKUP($J9,list!$J$48:$K$50,2,0)),time*(1-(VLOOKUP($J9,list!$J$48:$K$50,2,0))))</f>
        <v>2.7273859151785707</v>
      </c>
      <c r="AA145" s="3469">
        <f ca="1">MIN($V145,$X145)*time_tot+ABS($X145-$V145)*IF($X145&gt;$V145,time_cap+time*(VLOOKUP($L9,list!$J$48:$K$50,2,0)),time*(1-(VLOOKUP($L9,list!$J$48:$K$50,2,0))))</f>
        <v>0</v>
      </c>
      <c r="AB145" s="2162">
        <f t="shared" ref="AB145:AB154" ca="1" si="58">AA145-Z145</f>
        <v>-2.7273859151785707</v>
      </c>
      <c r="AE145" s="992">
        <f ca="1">MIN($V145,$W145)*time+ABS($W145-$V145)*IF($W145&gt;$V145,time*(VLOOKUP($J9,list!$J$48:$K$50,2,)),time*(1-(VLOOKUP($J9,list!$J$48:$K$50,2,))))</f>
        <v>0.54547718303571413</v>
      </c>
      <c r="AF145" s="992">
        <f ca="1">MIN($V145,$X145)*time+ABS($X145-$V145)*IF($X145&gt;$V145,time*(VLOOKUP($L9,list!$J$48:$K$50,2,)),time*(1-(VLOOKUP($L9,list!$J$48:$K$50,2,))))</f>
        <v>0</v>
      </c>
    </row>
    <row r="146" spans="2:32" x14ac:dyDescent="0.15">
      <c r="B146" s="973" t="str">
        <f t="shared" si="47"/>
        <v>Dairy Cattle</v>
      </c>
      <c r="C146" s="973" t="str">
        <f t="shared" si="47"/>
        <v>Low-Productivity</v>
      </c>
      <c r="E146" s="1109" t="s">
        <v>965</v>
      </c>
      <c r="F146" s="1109" t="str">
        <f t="shared" si="48"/>
        <v>AWMS_Dairy_Cattle</v>
      </c>
      <c r="G146" s="1111">
        <f t="shared" si="45"/>
        <v>600</v>
      </c>
      <c r="H146" s="1044">
        <f t="shared" si="44"/>
        <v>0.5</v>
      </c>
      <c r="I146" s="1110">
        <f t="shared" ca="1" si="46"/>
        <v>26</v>
      </c>
      <c r="J146" s="1688">
        <f t="shared" ca="1" si="49"/>
        <v>26</v>
      </c>
      <c r="K146" s="1688">
        <f t="shared" ca="1" si="51"/>
        <v>26</v>
      </c>
      <c r="L146" s="1688">
        <f t="shared" ca="1" si="51"/>
        <v>26</v>
      </c>
      <c r="M146" s="1688" t="str">
        <f t="shared" si="51"/>
        <v>Please select</v>
      </c>
      <c r="N146" s="1007">
        <f ca="1">IF(OR($M146="Regional share",$M146="Please select",$M146="Other (pls. specify EF)"),0,INDEX(INDIRECT(VLOOKUP(E146,list!$B$349:$D$349,1,FALSE)),MATCH(clim_moist,INDIRECT(VLOOKUP(E146,list!$B$349:$D$349,2,FALSE)),0),MATCH($M146,INDIRECT(VLOOKUP(E146,list!$B$349:$D$349,3,FALSE)),0))*Livestock!$H146*Livestock!$G146/1000*365)</f>
        <v>0</v>
      </c>
      <c r="O146" s="1581">
        <f t="shared" ca="1" si="55"/>
        <v>0</v>
      </c>
      <c r="P146" s="1260">
        <f ca="1">IFERROR(INDEX(INDIRECT(VLOOKUP(E146,list!$B$349:$D$349,1,FALSE)),MATCH(clim_moist,INDIRECT(VLOOKUP(E146,list!$B$349:$D$349,2,FALSE)),0),MATCH('4.Grassland'!$BH$53,INDIRECT(VLOOKUP(E146,list!$B$349:$D$349,3,FALSE)),0))*Livestock!$H146*Livestock!$G146/1000*365,0)*I146/100</f>
        <v>0</v>
      </c>
      <c r="Q146" s="1260">
        <f ca="1">IF($B146="Please select",0,IF(OR($M146="Please select",$M146="Regional share"),SUMPRODUCT(INDEX(INDIRECT(VLOOKUP(E146,list!$B$349:$D$349,1,FALSE)),MATCH(clim_moist,INDIRECT(VLOOKUP(E146,list!$B$349:$D$349,2,FALSE)),0),0),INDEX(INDIRECT(VLOOKUP(F146,list!$B$288:$D$310,1,FALSE)),MATCH($C$2,INDIRECT(VLOOKUP(F146,list!$B$288:$D$310,2,FALSE)),0),0))/100*($H146*$G146/1000*365)-$P146,0))</f>
        <v>0.47632499999999994</v>
      </c>
      <c r="R146" s="2154">
        <f t="shared" ca="1" si="56"/>
        <v>0.47632499999999994</v>
      </c>
      <c r="S146" s="2154">
        <f t="shared" ref="S146:S160" ca="1" si="59">IFERROR(($P146/($I146/100)*$K146/100+$O146*(1-$K146/100)+$Q146/(1-$I146/100)*(1-$K146/100)),0)</f>
        <v>0.47632499999999994</v>
      </c>
      <c r="T146" s="2154">
        <f t="shared" ca="1" si="57"/>
        <v>0.47632499999999994</v>
      </c>
      <c r="V146" s="3468">
        <f t="shared" ca="1" si="52"/>
        <v>0</v>
      </c>
      <c r="W146" s="1151">
        <f t="shared" ca="1" si="53"/>
        <v>0</v>
      </c>
      <c r="X146" s="3469">
        <f t="shared" ca="1" si="54"/>
        <v>0.21819087321428565</v>
      </c>
      <c r="Y146" s="992"/>
      <c r="Z146" s="3468">
        <f ca="1">MIN($V146,$W146)*time_tot+ABS($W146-$V146)*IF($W146&gt;$V146,time_cap+time*(VLOOKUP($J10,list!$J$48:$K$50,2,0)),time*(1-(VLOOKUP($J10,list!$J$48:$K$50,2,0))))</f>
        <v>0</v>
      </c>
      <c r="AA146" s="3469">
        <f ca="1">MIN($V146,$X146)*time_tot+ABS($X146-$V146)*IF($X146&gt;$V146,time_cap+time*(VLOOKUP($L10,list!$J$48:$K$50,2,0)),time*(1-(VLOOKUP($L10,list!$J$48:$K$50,2,0))))</f>
        <v>2.7273859151785707</v>
      </c>
      <c r="AB146" s="2162">
        <f t="shared" ca="1" si="58"/>
        <v>2.7273859151785707</v>
      </c>
      <c r="AE146" s="992">
        <f ca="1">MIN($V146,$W146)*time+ABS($W146-$V146)*IF($W146&gt;$V146,time*(VLOOKUP($J10,list!$J$48:$K$50,2,)),time*(1-(VLOOKUP($J10,list!$J$48:$K$50,2,))))</f>
        <v>0</v>
      </c>
      <c r="AF146" s="992">
        <f ca="1">MIN($V146,$X146)*time+ABS($X146-$V146)*IF($X146&gt;$V146,time*(VLOOKUP($L10,list!$J$48:$K$50,2,)),time*(1-(VLOOKUP($L10,list!$J$48:$K$50,2,))))</f>
        <v>0.54547718303571413</v>
      </c>
    </row>
    <row r="147" spans="2:32" x14ac:dyDescent="0.15">
      <c r="B147" s="973" t="str">
        <f t="shared" si="47"/>
        <v>Please select</v>
      </c>
      <c r="C147" s="973" t="str">
        <f t="shared" si="47"/>
        <v>Please select</v>
      </c>
      <c r="E147" s="1109" t="s">
        <v>965</v>
      </c>
      <c r="F147" s="1109" t="str">
        <f t="shared" si="48"/>
        <v/>
      </c>
      <c r="G147" s="1111">
        <f t="shared" si="45"/>
        <v>0</v>
      </c>
      <c r="H147" s="1044">
        <f t="shared" si="44"/>
        <v>0</v>
      </c>
      <c r="I147" s="1110">
        <f t="shared" ca="1" si="46"/>
        <v>0</v>
      </c>
      <c r="J147" s="1688">
        <f t="shared" ca="1" si="49"/>
        <v>0</v>
      </c>
      <c r="K147" s="1688">
        <f t="shared" ca="1" si="51"/>
        <v>0</v>
      </c>
      <c r="L147" s="1688">
        <f t="shared" ca="1" si="51"/>
        <v>0</v>
      </c>
      <c r="M147" s="1688" t="str">
        <f t="shared" si="51"/>
        <v>Please select</v>
      </c>
      <c r="N147" s="1007">
        <f ca="1">IF(OR($M147="Regional share",$M147="Please select",$M147="Other (pls. specify EF)"),0,INDEX(INDIRECT(VLOOKUP(E147,list!$B$349:$D$349,1,FALSE)),MATCH(clim_moist,INDIRECT(VLOOKUP(E147,list!$B$349:$D$349,2,FALSE)),0),MATCH($M147,INDIRECT(VLOOKUP(E147,list!$B$349:$D$349,3,FALSE)),0))*Livestock!$H147*Livestock!$G147/1000*365)</f>
        <v>0</v>
      </c>
      <c r="O147" s="1581">
        <f t="shared" ca="1" si="55"/>
        <v>0</v>
      </c>
      <c r="P147" s="1260">
        <f ca="1">IFERROR(INDEX(INDIRECT(VLOOKUP(E147,list!$B$349:$D$349,1,FALSE)),MATCH(clim_moist,INDIRECT(VLOOKUP(E147,list!$B$349:$D$349,2,FALSE)),0),MATCH('4.Grassland'!$BH$53,INDIRECT(VLOOKUP(E147,list!$B$349:$D$349,3,FALSE)),0))*Livestock!$H147*Livestock!$G147/1000*365,0)*I147/100</f>
        <v>0</v>
      </c>
      <c r="Q147" s="1260">
        <f ca="1">IF($B147="Please select",0,IF(OR($M147="Please select",$M147="Regional share"),SUMPRODUCT(INDEX(INDIRECT(VLOOKUP(E147,list!$B$349:$D$349,1,FALSE)),MATCH(clim_moist,INDIRECT(VLOOKUP(E147,list!$B$349:$D$349,2,FALSE)),0),0),INDEX(INDIRECT(VLOOKUP(F147,list!$B$288:$D$310,1,FALSE)),MATCH($C$2,INDIRECT(VLOOKUP(F147,list!$B$288:$D$310,2,FALSE)),0),0))/100*($H147*$G147/1000*365)-$P147,0))</f>
        <v>0</v>
      </c>
      <c r="R147" s="2154">
        <f t="shared" ca="1" si="56"/>
        <v>0</v>
      </c>
      <c r="S147" s="2154">
        <f t="shared" ca="1" si="59"/>
        <v>0</v>
      </c>
      <c r="T147" s="2154">
        <f t="shared" ca="1" si="57"/>
        <v>0</v>
      </c>
      <c r="V147" s="3468">
        <f t="shared" ca="1" si="52"/>
        <v>0</v>
      </c>
      <c r="W147" s="1151">
        <f t="shared" ca="1" si="53"/>
        <v>0</v>
      </c>
      <c r="X147" s="3469">
        <f t="shared" ca="1" si="54"/>
        <v>0</v>
      </c>
      <c r="Y147" s="992"/>
      <c r="Z147" s="3468">
        <f ca="1">MIN($V147,$W147)*time_tot+ABS($W147-$V147)*IF($W147&gt;$V147,time_cap+time*(VLOOKUP($J11,list!$J$48:$K$50,2,0)),time*(1-(VLOOKUP($J11,list!$J$48:$K$50,2,0))))</f>
        <v>0</v>
      </c>
      <c r="AA147" s="3469">
        <f ca="1">MIN($V147,$X147)*time_tot+ABS($X147-$V147)*IF($X147&gt;$V147,time_cap+time*(VLOOKUP($L11,list!$J$48:$K$50,2,0)),time*(1-(VLOOKUP($L11,list!$J$48:$K$50,2,0))))</f>
        <v>0</v>
      </c>
      <c r="AB147" s="2162">
        <f t="shared" ca="1" si="58"/>
        <v>0</v>
      </c>
      <c r="AE147" s="992">
        <f ca="1">MIN($V147,$W147)*time+ABS($W147-$V147)*IF($W147&gt;$V147,time*(VLOOKUP($J11,list!$J$48:$K$50,2,)),time*(1-(VLOOKUP($J11,list!$J$48:$K$50,2,))))</f>
        <v>0</v>
      </c>
      <c r="AF147" s="992">
        <f ca="1">MIN($V147,$X147)*time+ABS($X147-$V147)*IF($X147&gt;$V147,time*(VLOOKUP($L11,list!$J$48:$K$50,2,)),time*(1-(VLOOKUP($L11,list!$J$48:$K$50,2,))))</f>
        <v>0</v>
      </c>
    </row>
    <row r="148" spans="2:32" x14ac:dyDescent="0.15">
      <c r="B148" s="973" t="str">
        <f t="shared" si="47"/>
        <v>Please select</v>
      </c>
      <c r="C148" s="973" t="str">
        <f t="shared" si="47"/>
        <v>Please select</v>
      </c>
      <c r="E148" s="1109" t="s">
        <v>965</v>
      </c>
      <c r="F148" s="1109" t="str">
        <f t="shared" si="48"/>
        <v/>
      </c>
      <c r="G148" s="1111">
        <f t="shared" si="45"/>
        <v>0</v>
      </c>
      <c r="H148" s="1044">
        <f t="shared" si="44"/>
        <v>0</v>
      </c>
      <c r="I148" s="1110">
        <f t="shared" ca="1" si="46"/>
        <v>0</v>
      </c>
      <c r="J148" s="1688">
        <f t="shared" ca="1" si="49"/>
        <v>0</v>
      </c>
      <c r="K148" s="1688">
        <f t="shared" ca="1" si="51"/>
        <v>0</v>
      </c>
      <c r="L148" s="1688">
        <f t="shared" ca="1" si="51"/>
        <v>0</v>
      </c>
      <c r="M148" s="1688" t="str">
        <f t="shared" si="51"/>
        <v>Please select</v>
      </c>
      <c r="N148" s="1007">
        <f ca="1">IF(OR($M148="Regional share",$M148="Please select",$M148="Other (pls. specify EF)"),0,INDEX(INDIRECT(VLOOKUP(E148,list!$B$349:$D$349,1,FALSE)),MATCH(clim_moist,INDIRECT(VLOOKUP(E148,list!$B$349:$D$349,2,FALSE)),0),MATCH($M148,INDIRECT(VLOOKUP(E148,list!$B$349:$D$349,3,FALSE)),0))*Livestock!$H148*Livestock!$G148/1000*365)</f>
        <v>0</v>
      </c>
      <c r="O148" s="1581">
        <f t="shared" ca="1" si="55"/>
        <v>0</v>
      </c>
      <c r="P148" s="1260">
        <f ca="1">IFERROR(INDEX(INDIRECT(VLOOKUP(E148,list!$B$349:$D$349,1,FALSE)),MATCH(clim_moist,INDIRECT(VLOOKUP(E148,list!$B$349:$D$349,2,FALSE)),0),MATCH('4.Grassland'!$BH$53,INDIRECT(VLOOKUP(E148,list!$B$349:$D$349,3,FALSE)),0))*Livestock!$H148*Livestock!$G148/1000*365,0)*I148/100</f>
        <v>0</v>
      </c>
      <c r="Q148" s="1260">
        <f ca="1">IF($B148="Please select",0,IF(OR($M148="Please select",$M148="Regional share"),SUMPRODUCT(INDEX(INDIRECT(VLOOKUP(E148,list!$B$349:$D$349,1,FALSE)),MATCH(clim_moist,INDIRECT(VLOOKUP(E148,list!$B$349:$D$349,2,FALSE)),0),0),INDEX(INDIRECT(VLOOKUP(F148,list!$B$288:$D$310,1,FALSE)),MATCH($C$2,INDIRECT(VLOOKUP(F148,list!$B$288:$D$310,2,FALSE)),0),0))/100*($H148*$G148/1000*365)-$P148,0))</f>
        <v>0</v>
      </c>
      <c r="R148" s="2154">
        <f t="shared" ca="1" si="56"/>
        <v>0</v>
      </c>
      <c r="S148" s="2154">
        <f t="shared" ca="1" si="59"/>
        <v>0</v>
      </c>
      <c r="T148" s="2154">
        <f t="shared" ca="1" si="57"/>
        <v>0</v>
      </c>
      <c r="V148" s="3468">
        <f t="shared" ca="1" si="52"/>
        <v>0</v>
      </c>
      <c r="W148" s="1151">
        <f t="shared" ca="1" si="53"/>
        <v>0</v>
      </c>
      <c r="X148" s="3469">
        <f t="shared" ca="1" si="54"/>
        <v>0</v>
      </c>
      <c r="Y148" s="992"/>
      <c r="Z148" s="3468">
        <f ca="1">MIN($V148,$W148)*time_tot+ABS($W148-$V148)*IF($W148&gt;$V148,time_cap+time*(VLOOKUP($J12,list!$J$48:$K$50,2,0)),time*(1-(VLOOKUP($J12,list!$J$48:$K$50,2,0))))</f>
        <v>0</v>
      </c>
      <c r="AA148" s="3469">
        <f ca="1">MIN($V148,$X148)*time_tot+ABS($X148-$V148)*IF($X148&gt;$V148,time_cap+time*(VLOOKUP($L12,list!$J$48:$K$50,2,0)),time*(1-(VLOOKUP($L12,list!$J$48:$K$50,2,0))))</f>
        <v>0</v>
      </c>
      <c r="AB148" s="2162">
        <f t="shared" ca="1" si="58"/>
        <v>0</v>
      </c>
      <c r="AE148" s="992">
        <f ca="1">MIN($V148,$W148)*time+ABS($W148-$V148)*IF($W148&gt;$V148,time*(VLOOKUP($J12,list!$J$48:$K$50,2,)),time*(1-(VLOOKUP($J12,list!$J$48:$K$50,2,))))</f>
        <v>0</v>
      </c>
      <c r="AF148" s="992">
        <f ca="1">MIN($V148,$X148)*time+ABS($X148-$V148)*IF($X148&gt;$V148,time*(VLOOKUP($L12,list!$J$48:$K$50,2,)),time*(1-(VLOOKUP($L12,list!$J$48:$K$50,2,))))</f>
        <v>0</v>
      </c>
    </row>
    <row r="149" spans="2:32" x14ac:dyDescent="0.15">
      <c r="B149" s="973" t="str">
        <f t="shared" si="47"/>
        <v>Please select</v>
      </c>
      <c r="C149" s="973" t="str">
        <f t="shared" si="47"/>
        <v>Please select</v>
      </c>
      <c r="E149" s="1109" t="s">
        <v>965</v>
      </c>
      <c r="F149" s="1109" t="str">
        <f t="shared" si="48"/>
        <v/>
      </c>
      <c r="G149" s="1111">
        <f t="shared" si="45"/>
        <v>0</v>
      </c>
      <c r="H149" s="1044">
        <f t="shared" si="44"/>
        <v>0</v>
      </c>
      <c r="I149" s="1110">
        <f t="shared" ca="1" si="46"/>
        <v>0</v>
      </c>
      <c r="J149" s="1688">
        <f t="shared" ca="1" si="49"/>
        <v>0</v>
      </c>
      <c r="K149" s="1688">
        <f t="shared" ca="1" si="51"/>
        <v>0</v>
      </c>
      <c r="L149" s="1688">
        <f t="shared" ca="1" si="51"/>
        <v>0</v>
      </c>
      <c r="M149" s="1688" t="str">
        <f t="shared" si="51"/>
        <v>Please select</v>
      </c>
      <c r="N149" s="1007">
        <f ca="1">IF(OR($M149="Regional share",$M149="Please select",$M149="Other (pls. specify EF)"),0,INDEX(INDIRECT(VLOOKUP(E149,list!$B$349:$D$349,1,FALSE)),MATCH(clim_moist,INDIRECT(VLOOKUP(E149,list!$B$349:$D$349,2,FALSE)),0),MATCH($M149,INDIRECT(VLOOKUP(E149,list!$B$349:$D$349,3,FALSE)),0))*Livestock!$H149*Livestock!$G149/1000*365)</f>
        <v>0</v>
      </c>
      <c r="O149" s="1581">
        <f t="shared" ca="1" si="55"/>
        <v>0</v>
      </c>
      <c r="P149" s="1260">
        <f ca="1">IFERROR(INDEX(INDIRECT(VLOOKUP(E149,list!$B$349:$D$349,1,FALSE)),MATCH(clim_moist,INDIRECT(VLOOKUP(E149,list!$B$349:$D$349,2,FALSE)),0),MATCH('4.Grassland'!$BH$53,INDIRECT(VLOOKUP(E149,list!$B$349:$D$349,3,FALSE)),0))*Livestock!$H149*Livestock!$G149/1000*365,0)*I149/100</f>
        <v>0</v>
      </c>
      <c r="Q149" s="1260">
        <f ca="1">IF($B149="Please select",0,IF(OR($M149="Please select",$M149="Regional share"),SUMPRODUCT(INDEX(INDIRECT(VLOOKUP(E149,list!$B$349:$D$349,1,FALSE)),MATCH(clim_moist,INDIRECT(VLOOKUP(E149,list!$B$349:$D$349,2,FALSE)),0),0),INDEX(INDIRECT(VLOOKUP(F149,list!$B$288:$D$310,1,FALSE)),MATCH($C$2,INDIRECT(VLOOKUP(F149,list!$B$288:$D$310,2,FALSE)),0),0))/100*($H149*$G149/1000*365)-$P149,0))</f>
        <v>0</v>
      </c>
      <c r="R149" s="2154">
        <f t="shared" ca="1" si="56"/>
        <v>0</v>
      </c>
      <c r="S149" s="2154">
        <f t="shared" ca="1" si="59"/>
        <v>0</v>
      </c>
      <c r="T149" s="2154">
        <f t="shared" ca="1" si="57"/>
        <v>0</v>
      </c>
      <c r="V149" s="3468">
        <f t="shared" ca="1" si="52"/>
        <v>0</v>
      </c>
      <c r="W149" s="1151">
        <f t="shared" ca="1" si="53"/>
        <v>0</v>
      </c>
      <c r="X149" s="3469">
        <f t="shared" ca="1" si="54"/>
        <v>0</v>
      </c>
      <c r="Y149" s="992"/>
      <c r="Z149" s="3468">
        <f ca="1">MIN($V149,$W149)*time_tot+ABS($W149-$V149)*IF($W149&gt;$V149,time_cap+time*(VLOOKUP($J13,list!$J$48:$K$50,2,0)),time*(1-(VLOOKUP($J13,list!$J$48:$K$50,2,0))))</f>
        <v>0</v>
      </c>
      <c r="AA149" s="3469">
        <f ca="1">MIN($V149,$X149)*time_tot+ABS($X149-$V149)*IF($X149&gt;$V149,time_cap+time*(VLOOKUP($L13,list!$J$48:$K$50,2,0)),time*(1-(VLOOKUP($L13,list!$J$48:$K$50,2,0))))</f>
        <v>0</v>
      </c>
      <c r="AB149" s="2162">
        <f t="shared" ca="1" si="58"/>
        <v>0</v>
      </c>
      <c r="AE149" s="992">
        <f ca="1">MIN($V149,$W149)*time+ABS($W149-$V149)*IF($W149&gt;$V149,time*(VLOOKUP($J13,list!$J$48:$K$50,2,)),time*(1-(VLOOKUP($J13,list!$J$48:$K$50,2,))))</f>
        <v>0</v>
      </c>
      <c r="AF149" s="992">
        <f ca="1">MIN($V149,$X149)*time+ABS($X149-$V149)*IF($X149&gt;$V149,time*(VLOOKUP($L13,list!$J$48:$K$50,2,)),time*(1-(VLOOKUP($L13,list!$J$48:$K$50,2,))))</f>
        <v>0</v>
      </c>
    </row>
    <row r="150" spans="2:32" x14ac:dyDescent="0.15">
      <c r="B150" s="973" t="str">
        <f t="shared" si="47"/>
        <v>Please select</v>
      </c>
      <c r="C150" s="973" t="str">
        <f t="shared" si="47"/>
        <v>Please select</v>
      </c>
      <c r="E150" s="1109" t="s">
        <v>965</v>
      </c>
      <c r="F150" s="1109" t="str">
        <f t="shared" si="48"/>
        <v/>
      </c>
      <c r="G150" s="1111">
        <f t="shared" si="45"/>
        <v>0</v>
      </c>
      <c r="H150" s="1044">
        <f t="shared" si="44"/>
        <v>0</v>
      </c>
      <c r="I150" s="1110">
        <f t="shared" ca="1" si="46"/>
        <v>0</v>
      </c>
      <c r="J150" s="1688">
        <f t="shared" ca="1" si="49"/>
        <v>0</v>
      </c>
      <c r="K150" s="1688">
        <f t="shared" ca="1" si="51"/>
        <v>0</v>
      </c>
      <c r="L150" s="1688">
        <f t="shared" ca="1" si="51"/>
        <v>0</v>
      </c>
      <c r="M150" s="1688" t="str">
        <f t="shared" si="51"/>
        <v>Please select</v>
      </c>
      <c r="N150" s="1007">
        <f ca="1">IF(OR($M150="Regional share",$M150="Please select",$M150="Other (pls. specify EF)"),0,INDEX(INDIRECT(VLOOKUP(E150,list!$B$349:$D$349,1,FALSE)),MATCH(clim_moist,INDIRECT(VLOOKUP(E150,list!$B$349:$D$349,2,FALSE)),0),MATCH($M150,INDIRECT(VLOOKUP(E150,list!$B$349:$D$349,3,FALSE)),0))*Livestock!$H150*Livestock!$G150/1000*365)</f>
        <v>0</v>
      </c>
      <c r="O150" s="1581">
        <f t="shared" ca="1" si="55"/>
        <v>0</v>
      </c>
      <c r="P150" s="1260">
        <f ca="1">IFERROR(INDEX(INDIRECT(VLOOKUP(E150,list!$B$349:$D$349,1,FALSE)),MATCH(clim_moist,INDIRECT(VLOOKUP(E150,list!$B$349:$D$349,2,FALSE)),0),MATCH('4.Grassland'!$BH$53,INDIRECT(VLOOKUP(E150,list!$B$349:$D$349,3,FALSE)),0))*Livestock!$H150*Livestock!$G150/1000*365,0)*I150/100</f>
        <v>0</v>
      </c>
      <c r="Q150" s="1260">
        <f ca="1">IF($B150="Please select",0,IF(OR($M150="Please select",$M150="Regional share"),SUMPRODUCT(INDEX(INDIRECT(VLOOKUP(E150,list!$B$349:$D$349,1,FALSE)),MATCH(clim_moist,INDIRECT(VLOOKUP(E150,list!$B$349:$D$349,2,FALSE)),0),0),INDEX(INDIRECT(VLOOKUP(F150,list!$B$288:$D$310,1,FALSE)),MATCH($C$2,INDIRECT(VLOOKUP(F150,list!$B$288:$D$310,2,FALSE)),0),0))/100*($H150*$G150/1000*365)-$P150,0))</f>
        <v>0</v>
      </c>
      <c r="R150" s="2154">
        <f t="shared" ca="1" si="56"/>
        <v>0</v>
      </c>
      <c r="S150" s="2154">
        <f t="shared" ca="1" si="59"/>
        <v>0</v>
      </c>
      <c r="T150" s="2154">
        <f t="shared" ca="1" si="57"/>
        <v>0</v>
      </c>
      <c r="V150" s="3468">
        <f t="shared" ca="1" si="52"/>
        <v>0</v>
      </c>
      <c r="W150" s="1151">
        <f t="shared" ca="1" si="53"/>
        <v>0</v>
      </c>
      <c r="X150" s="3469">
        <f t="shared" ca="1" si="54"/>
        <v>0</v>
      </c>
      <c r="Y150" s="992"/>
      <c r="Z150" s="3468">
        <f ca="1">MIN($V150,$W150)*time_tot+ABS($W150-$V150)*IF($W150&gt;$V150,time_cap+time*(VLOOKUP($J14,list!$J$48:$K$50,2,0)),time*(1-(VLOOKUP($J14,list!$J$48:$K$50,2,0))))</f>
        <v>0</v>
      </c>
      <c r="AA150" s="3469">
        <f ca="1">MIN($V150,$X150)*time_tot+ABS($X150-$V150)*IF($X150&gt;$V150,time_cap+time*(VLOOKUP($L14,list!$J$48:$K$50,2,0)),time*(1-(VLOOKUP($L14,list!$J$48:$K$50,2,0))))</f>
        <v>0</v>
      </c>
      <c r="AB150" s="2162">
        <f t="shared" ca="1" si="58"/>
        <v>0</v>
      </c>
      <c r="AE150" s="992">
        <f ca="1">MIN($V150,$W150)*time+ABS($W150-$V150)*IF($W150&gt;$V150,time*(VLOOKUP($J14,list!$J$48:$K$50,2,)),time*(1-(VLOOKUP($J14,list!$J$48:$K$50,2,))))</f>
        <v>0</v>
      </c>
      <c r="AF150" s="992">
        <f ca="1">MIN($V150,$X150)*time+ABS($X150-$V150)*IF($X150&gt;$V150,time*(VLOOKUP($L14,list!$J$48:$K$50,2,)),time*(1-(VLOOKUP($L14,list!$J$48:$K$50,2,))))</f>
        <v>0</v>
      </c>
    </row>
    <row r="151" spans="2:32" x14ac:dyDescent="0.15">
      <c r="B151" s="973" t="str">
        <f t="shared" si="47"/>
        <v>Please select</v>
      </c>
      <c r="C151" s="973" t="str">
        <f t="shared" si="47"/>
        <v>Please select</v>
      </c>
      <c r="E151" s="1109" t="s">
        <v>965</v>
      </c>
      <c r="F151" s="1109" t="str">
        <f t="shared" si="48"/>
        <v/>
      </c>
      <c r="G151" s="1111">
        <f t="shared" si="45"/>
        <v>0</v>
      </c>
      <c r="H151" s="1044">
        <f t="shared" si="44"/>
        <v>0</v>
      </c>
      <c r="I151" s="1110">
        <f t="shared" ca="1" si="46"/>
        <v>0</v>
      </c>
      <c r="J151" s="1688">
        <f t="shared" ca="1" si="49"/>
        <v>0</v>
      </c>
      <c r="K151" s="1688">
        <f t="shared" ca="1" si="51"/>
        <v>0</v>
      </c>
      <c r="L151" s="1688">
        <f t="shared" ca="1" si="51"/>
        <v>0</v>
      </c>
      <c r="M151" s="1688" t="str">
        <f t="shared" si="51"/>
        <v>Please select</v>
      </c>
      <c r="N151" s="1007">
        <f ca="1">IF(OR($M151="Regional share",$M151="Please select",$M151="Other (pls. specify EF)"),0,INDEX(INDIRECT(VLOOKUP(E151,list!$B$349:$D$349,1,FALSE)),MATCH(clim_moist,INDIRECT(VLOOKUP(E151,list!$B$349:$D$349,2,FALSE)),0),MATCH($M151,INDIRECT(VLOOKUP(E151,list!$B$349:$D$349,3,FALSE)),0))*Livestock!$H151*Livestock!$G151/1000*365)</f>
        <v>0</v>
      </c>
      <c r="O151" s="1581">
        <f t="shared" ca="1" si="55"/>
        <v>0</v>
      </c>
      <c r="P151" s="1260">
        <f ca="1">IFERROR(INDEX(INDIRECT(VLOOKUP(E151,list!$B$349:$D$349,1,FALSE)),MATCH(clim_moist,INDIRECT(VLOOKUP(E151,list!$B$349:$D$349,2,FALSE)),0),MATCH('4.Grassland'!$BH$53,INDIRECT(VLOOKUP(E151,list!$B$349:$D$349,3,FALSE)),0))*Livestock!$H151*Livestock!$G151/1000*365,0)*I151/100</f>
        <v>0</v>
      </c>
      <c r="Q151" s="1260">
        <f ca="1">IF($B151="Please select",0,IF(OR($M151="Please select",$M151="Regional share"),SUMPRODUCT(INDEX(INDIRECT(VLOOKUP(E151,list!$B$349:$D$349,1,FALSE)),MATCH(clim_moist,INDIRECT(VLOOKUP(E151,list!$B$349:$D$349,2,FALSE)),0),0),INDEX(INDIRECT(VLOOKUP(F151,list!$B$288:$D$310,1,FALSE)),MATCH($C$2,INDIRECT(VLOOKUP(F151,list!$B$288:$D$310,2,FALSE)),0),0))/100*($H151*$G151/1000*365)-$P151,0))</f>
        <v>0</v>
      </c>
      <c r="R151" s="2154">
        <f t="shared" ca="1" si="56"/>
        <v>0</v>
      </c>
      <c r="S151" s="2154">
        <f t="shared" ca="1" si="59"/>
        <v>0</v>
      </c>
      <c r="T151" s="2154">
        <f t="shared" ca="1" si="57"/>
        <v>0</v>
      </c>
      <c r="V151" s="3468">
        <f t="shared" ca="1" si="52"/>
        <v>0</v>
      </c>
      <c r="W151" s="1151">
        <f t="shared" ca="1" si="53"/>
        <v>0</v>
      </c>
      <c r="X151" s="3469">
        <f t="shared" ca="1" si="54"/>
        <v>0</v>
      </c>
      <c r="Y151" s="992"/>
      <c r="Z151" s="3468">
        <f ca="1">MIN($V151,$W151)*time_tot+ABS($W151-$V151)*IF($W151&gt;$V151,time_cap+time*(VLOOKUP($J15,list!$J$48:$K$50,2,0)),time*(1-(VLOOKUP($J15,list!$J$48:$K$50,2,0))))</f>
        <v>0</v>
      </c>
      <c r="AA151" s="3469">
        <f ca="1">MIN($V151,$X151)*time_tot+ABS($X151-$V151)*IF($X151&gt;$V151,time_cap+time*(VLOOKUP($L15,list!$J$48:$K$50,2,0)),time*(1-(VLOOKUP($L15,list!$J$48:$K$50,2,0))))</f>
        <v>0</v>
      </c>
      <c r="AB151" s="2162">
        <f t="shared" ca="1" si="58"/>
        <v>0</v>
      </c>
      <c r="AE151" s="992">
        <f ca="1">MIN($V151,$W151)*time+ABS($W151-$V151)*IF($W151&gt;$V151,time*(VLOOKUP($J15,list!$J$48:$K$50,2,)),time*(1-(VLOOKUP($J15,list!$J$48:$K$50,2,))))</f>
        <v>0</v>
      </c>
      <c r="AF151" s="992">
        <f ca="1">MIN($V151,$X151)*time+ABS($X151-$V151)*IF($X151&gt;$V151,time*(VLOOKUP($L15,list!$J$48:$K$50,2,)),time*(1-(VLOOKUP($L15,list!$J$48:$K$50,2,))))</f>
        <v>0</v>
      </c>
    </row>
    <row r="152" spans="2:32" x14ac:dyDescent="0.15">
      <c r="B152" s="973" t="str">
        <f t="shared" si="47"/>
        <v>Please select</v>
      </c>
      <c r="C152" s="973" t="str">
        <f t="shared" si="47"/>
        <v>Please select</v>
      </c>
      <c r="E152" s="1109" t="s">
        <v>965</v>
      </c>
      <c r="F152" s="1109" t="str">
        <f t="shared" si="48"/>
        <v/>
      </c>
      <c r="G152" s="1111">
        <f t="shared" si="45"/>
        <v>0</v>
      </c>
      <c r="H152" s="1044">
        <f t="shared" si="44"/>
        <v>0</v>
      </c>
      <c r="I152" s="1110">
        <f t="shared" ca="1" si="46"/>
        <v>0</v>
      </c>
      <c r="J152" s="1688">
        <f t="shared" ca="1" si="49"/>
        <v>0</v>
      </c>
      <c r="K152" s="1688">
        <f t="shared" ca="1" si="51"/>
        <v>0</v>
      </c>
      <c r="L152" s="1688">
        <f t="shared" ca="1" si="51"/>
        <v>0</v>
      </c>
      <c r="M152" s="1688" t="str">
        <f t="shared" si="51"/>
        <v>Please select</v>
      </c>
      <c r="N152" s="1007">
        <f ca="1">IF(OR($M152="Regional share",$M152="Please select",$M152="Other (pls. specify EF)"),0,INDEX(INDIRECT(VLOOKUP(E152,list!$B$349:$D$349,1,FALSE)),MATCH(clim_moist,INDIRECT(VLOOKUP(E152,list!$B$349:$D$349,2,FALSE)),0),MATCH($M152,INDIRECT(VLOOKUP(E152,list!$B$349:$D$349,3,FALSE)),0))*Livestock!$H152*Livestock!$G152/1000*365)</f>
        <v>0</v>
      </c>
      <c r="O152" s="1581">
        <f t="shared" ca="1" si="55"/>
        <v>0</v>
      </c>
      <c r="P152" s="1260">
        <f ca="1">IFERROR(INDEX(INDIRECT(VLOOKUP(E152,list!$B$349:$D$349,1,FALSE)),MATCH(clim_moist,INDIRECT(VLOOKUP(E152,list!$B$349:$D$349,2,FALSE)),0),MATCH('4.Grassland'!$BH$53,INDIRECT(VLOOKUP(E152,list!$B$349:$D$349,3,FALSE)),0))*Livestock!$H152*Livestock!$G152/1000*365,0)*I152/100</f>
        <v>0</v>
      </c>
      <c r="Q152" s="1260">
        <f ca="1">IF($B152="Please select",0,IF(OR($M152="Please select",$M152="Regional share"),SUMPRODUCT(INDEX(INDIRECT(VLOOKUP(E152,list!$B$349:$D$349,1,FALSE)),MATCH(clim_moist,INDIRECT(VLOOKUP(E152,list!$B$349:$D$349,2,FALSE)),0),0),INDEX(INDIRECT(VLOOKUP(F152,list!$B$288:$D$310,1,FALSE)),MATCH($C$2,INDIRECT(VLOOKUP(F152,list!$B$288:$D$310,2,FALSE)),0),0))/100*($H152*$G152/1000*365)-$P152,0))</f>
        <v>0</v>
      </c>
      <c r="R152" s="2154">
        <f t="shared" ca="1" si="56"/>
        <v>0</v>
      </c>
      <c r="S152" s="2154">
        <f t="shared" ca="1" si="59"/>
        <v>0</v>
      </c>
      <c r="T152" s="2154">
        <f t="shared" ca="1" si="57"/>
        <v>0</v>
      </c>
      <c r="V152" s="3468">
        <f t="shared" ca="1" si="52"/>
        <v>0</v>
      </c>
      <c r="W152" s="1151">
        <f t="shared" ca="1" si="53"/>
        <v>0</v>
      </c>
      <c r="X152" s="3469">
        <f t="shared" ca="1" si="54"/>
        <v>0</v>
      </c>
      <c r="Y152" s="992"/>
      <c r="Z152" s="3468">
        <f ca="1">MIN($V152,$W152)*time_tot+ABS($W152-$V152)*IF($W152&gt;$V152,time_cap+time*(VLOOKUP($J16,list!$J$48:$K$50,2,0)),time*(1-(VLOOKUP($J16,list!$J$48:$K$50,2,0))))</f>
        <v>0</v>
      </c>
      <c r="AA152" s="3469">
        <f ca="1">MIN($V152,$X152)*time_tot+ABS($X152-$V152)*IF($X152&gt;$V152,time_cap+time*(VLOOKUP($L16,list!$J$48:$K$50,2,0)),time*(1-(VLOOKUP($L16,list!$J$48:$K$50,2,0))))</f>
        <v>0</v>
      </c>
      <c r="AB152" s="2162">
        <f t="shared" ca="1" si="58"/>
        <v>0</v>
      </c>
      <c r="AE152" s="992">
        <f ca="1">MIN($V152,$W152)*time+ABS($W152-$V152)*IF($W152&gt;$V152,time*(VLOOKUP($J16,list!$J$48:$K$50,2,)),time*(1-(VLOOKUP($J16,list!$J$48:$K$50,2,))))</f>
        <v>0</v>
      </c>
      <c r="AF152" s="992">
        <f ca="1">MIN($V152,$X152)*time+ABS($X152-$V152)*IF($X152&gt;$V152,time*(VLOOKUP($L16,list!$J$48:$K$50,2,)),time*(1-(VLOOKUP($L16,list!$J$48:$K$50,2,))))</f>
        <v>0</v>
      </c>
    </row>
    <row r="153" spans="2:32" x14ac:dyDescent="0.15">
      <c r="B153" s="973" t="str">
        <f t="shared" si="47"/>
        <v>Please select</v>
      </c>
      <c r="C153" s="973" t="str">
        <f t="shared" si="47"/>
        <v>Please select</v>
      </c>
      <c r="E153" s="1109" t="s">
        <v>965</v>
      </c>
      <c r="F153" s="1109" t="str">
        <f t="shared" si="48"/>
        <v/>
      </c>
      <c r="G153" s="1111">
        <f t="shared" si="45"/>
        <v>0</v>
      </c>
      <c r="H153" s="1044">
        <f t="shared" si="44"/>
        <v>0</v>
      </c>
      <c r="I153" s="1110">
        <f t="shared" ca="1" si="46"/>
        <v>0</v>
      </c>
      <c r="J153" s="1688">
        <f t="shared" ca="1" si="49"/>
        <v>0</v>
      </c>
      <c r="K153" s="1688">
        <f t="shared" ca="1" si="51"/>
        <v>0</v>
      </c>
      <c r="L153" s="1688">
        <f t="shared" ca="1" si="51"/>
        <v>0</v>
      </c>
      <c r="M153" s="1688" t="str">
        <f t="shared" si="51"/>
        <v>Please select</v>
      </c>
      <c r="N153" s="1007">
        <f ca="1">IF(OR($M153="Regional share",$M153="Please select",$M153="Other (pls. specify EF)"),0,INDEX(INDIRECT(VLOOKUP(E153,list!$B$349:$D$349,1,FALSE)),MATCH(clim_moist,INDIRECT(VLOOKUP(E153,list!$B$349:$D$349,2,FALSE)),0),MATCH($M153,INDIRECT(VLOOKUP(E153,list!$B$349:$D$349,3,FALSE)),0))*Livestock!$H153*Livestock!$G153/1000*365)</f>
        <v>0</v>
      </c>
      <c r="O153" s="1581">
        <f t="shared" ca="1" si="55"/>
        <v>0</v>
      </c>
      <c r="P153" s="1260">
        <f ca="1">IFERROR(INDEX(INDIRECT(VLOOKUP(E153,list!$B$349:$D$349,1,FALSE)),MATCH(clim_moist,INDIRECT(VLOOKUP(E153,list!$B$349:$D$349,2,FALSE)),0),MATCH('4.Grassland'!$BH$53,INDIRECT(VLOOKUP(E153,list!$B$349:$D$349,3,FALSE)),0))*Livestock!$H153*Livestock!$G153/1000*365,0)*I153/100</f>
        <v>0</v>
      </c>
      <c r="Q153" s="1260">
        <f ca="1">IF($B153="Please select",0,IF(OR($M153="Please select",$M153="Regional share"),SUMPRODUCT(INDEX(INDIRECT(VLOOKUP(E153,list!$B$349:$D$349,1,FALSE)),MATCH(clim_moist,INDIRECT(VLOOKUP(E153,list!$B$349:$D$349,2,FALSE)),0),0),INDEX(INDIRECT(VLOOKUP(F153,list!$B$288:$D$310,1,FALSE)),MATCH($C$2,INDIRECT(VLOOKUP(F153,list!$B$288:$D$310,2,FALSE)),0),0))/100*($H153*$G153/1000*365)-$P153,0))</f>
        <v>0</v>
      </c>
      <c r="R153" s="2154">
        <f t="shared" ca="1" si="56"/>
        <v>0</v>
      </c>
      <c r="S153" s="2154">
        <f t="shared" ca="1" si="59"/>
        <v>0</v>
      </c>
      <c r="T153" s="2154">
        <f t="shared" ca="1" si="57"/>
        <v>0</v>
      </c>
      <c r="V153" s="3468">
        <f t="shared" ca="1" si="52"/>
        <v>0</v>
      </c>
      <c r="W153" s="1151">
        <f t="shared" ca="1" si="53"/>
        <v>0</v>
      </c>
      <c r="X153" s="3469">
        <f t="shared" ca="1" si="54"/>
        <v>0</v>
      </c>
      <c r="Y153" s="992"/>
      <c r="Z153" s="3468">
        <f ca="1">MIN($V153,$W153)*time_tot+ABS($W153-$V153)*IF($W153&gt;$V153,time_cap+time*(VLOOKUP($J17,list!$J$48:$K$50,2,0)),time*(1-(VLOOKUP($J17,list!$J$48:$K$50,2,0))))</f>
        <v>0</v>
      </c>
      <c r="AA153" s="3469">
        <f ca="1">MIN($V153,$X153)*time_tot+ABS($X153-$V153)*IF($X153&gt;$V153,time_cap+time*(VLOOKUP($L17,list!$J$48:$K$50,2,0)),time*(1-(VLOOKUP($L17,list!$J$48:$K$50,2,0))))</f>
        <v>0</v>
      </c>
      <c r="AB153" s="2162">
        <f t="shared" ca="1" si="58"/>
        <v>0</v>
      </c>
      <c r="AE153" s="992">
        <f ca="1">MIN($V153,$W153)*time+ABS($W153-$V153)*IF($W153&gt;$V153,time*(VLOOKUP($J17,list!$J$48:$K$50,2,)),time*(1-(VLOOKUP($J17,list!$J$48:$K$50,2,))))</f>
        <v>0</v>
      </c>
      <c r="AF153" s="992">
        <f ca="1">MIN($V153,$X153)*time+ABS($X153-$V153)*IF($X153&gt;$V153,time*(VLOOKUP($L17,list!$J$48:$K$50,2,)),time*(1-(VLOOKUP($L17,list!$J$48:$K$50,2,))))</f>
        <v>0</v>
      </c>
    </row>
    <row r="154" spans="2:32" x14ac:dyDescent="0.15">
      <c r="B154" s="973" t="str">
        <f t="shared" si="47"/>
        <v>Please select</v>
      </c>
      <c r="C154" s="973" t="str">
        <f t="shared" si="47"/>
        <v>Please select</v>
      </c>
      <c r="E154" s="1109" t="s">
        <v>965</v>
      </c>
      <c r="F154" s="1109" t="str">
        <f t="shared" si="48"/>
        <v/>
      </c>
      <c r="G154" s="1111">
        <f t="shared" si="45"/>
        <v>0</v>
      </c>
      <c r="H154" s="1044">
        <f t="shared" si="44"/>
        <v>0</v>
      </c>
      <c r="I154" s="1110">
        <f t="shared" ca="1" si="46"/>
        <v>0</v>
      </c>
      <c r="J154" s="1688">
        <f t="shared" ca="1" si="49"/>
        <v>0</v>
      </c>
      <c r="K154" s="1688">
        <f t="shared" ca="1" si="51"/>
        <v>0</v>
      </c>
      <c r="L154" s="1688">
        <f t="shared" ca="1" si="51"/>
        <v>0</v>
      </c>
      <c r="M154" s="1688" t="str">
        <f t="shared" si="51"/>
        <v>Please select</v>
      </c>
      <c r="N154" s="1007">
        <f ca="1">IF(OR($M154="Regional share",$M154="Please select",$M154="Other (pls. specify EF)"),0,INDEX(INDIRECT(VLOOKUP(E154,list!$B$349:$D$349,1,FALSE)),MATCH(clim_moist,INDIRECT(VLOOKUP(E154,list!$B$349:$D$349,2,FALSE)),0),MATCH($M154,INDIRECT(VLOOKUP(E154,list!$B$349:$D$349,3,FALSE)),0))*Livestock!$H154*Livestock!$G154/1000*365)</f>
        <v>0</v>
      </c>
      <c r="O154" s="1581">
        <f t="shared" ca="1" si="55"/>
        <v>0</v>
      </c>
      <c r="P154" s="1260">
        <f ca="1">IFERROR(INDEX(INDIRECT(VLOOKUP(E154,list!$B$349:$D$349,1,FALSE)),MATCH(clim_moist,INDIRECT(VLOOKUP(E154,list!$B$349:$D$349,2,FALSE)),0),MATCH('4.Grassland'!$BH$53,INDIRECT(VLOOKUP(E154,list!$B$349:$D$349,3,FALSE)),0))*Livestock!$H154*Livestock!$G154/1000*365,0)*I154/100</f>
        <v>0</v>
      </c>
      <c r="Q154" s="1260">
        <f ca="1">IF($B154="Please select",0,IF(OR($M154="Please select",$M154="Regional share"),SUMPRODUCT(INDEX(INDIRECT(VLOOKUP(E154,list!$B$349:$D$349,1,FALSE)),MATCH(clim_moist,INDIRECT(VLOOKUP(E154,list!$B$349:$D$349,2,FALSE)),0),0),INDEX(INDIRECT(VLOOKUP(F154,list!$B$288:$D$310,1,FALSE)),MATCH($C$2,INDIRECT(VLOOKUP(F154,list!$B$288:$D$310,2,FALSE)),0),0))/100*($H154*$G154/1000*365)-$P154,0))</f>
        <v>0</v>
      </c>
      <c r="R154" s="2154">
        <f t="shared" ca="1" si="56"/>
        <v>0</v>
      </c>
      <c r="S154" s="2154">
        <f t="shared" ca="1" si="59"/>
        <v>0</v>
      </c>
      <c r="T154" s="2154">
        <f t="shared" ca="1" si="57"/>
        <v>0</v>
      </c>
      <c r="V154" s="3468">
        <f t="shared" ca="1" si="52"/>
        <v>0</v>
      </c>
      <c r="W154" s="1151">
        <f t="shared" ca="1" si="53"/>
        <v>0</v>
      </c>
      <c r="X154" s="3469">
        <f t="shared" ca="1" si="54"/>
        <v>0</v>
      </c>
      <c r="Y154" s="992"/>
      <c r="Z154" s="3468">
        <f ca="1">MIN($V154,$W154)*time_tot+ABS($W154-$V154)*IF($W154&gt;$V154,time_cap+time*(VLOOKUP($J18,list!$J$48:$K$50,2,0)),time*(1-(VLOOKUP($J18,list!$J$48:$K$50,2,0))))</f>
        <v>0</v>
      </c>
      <c r="AA154" s="3469">
        <f ca="1">MIN($V154,$X154)*time_tot+ABS($X154-$V154)*IF($X154&gt;$V154,time_cap+time*(VLOOKUP($L18,list!$J$48:$K$50,2,0)),time*(1-(VLOOKUP($L18,list!$J$48:$K$50,2,0))))</f>
        <v>0</v>
      </c>
      <c r="AB154" s="3492">
        <f t="shared" ca="1" si="58"/>
        <v>0</v>
      </c>
      <c r="AE154" s="992">
        <f ca="1">MIN($V154,$W154)*time+ABS($W154-$V154)*IF($W154&gt;$V154,time*(VLOOKUP($J18,list!$J$48:$K$50,2,)),time*(1-(VLOOKUP($J18,list!$J$48:$K$50,2,))))</f>
        <v>0</v>
      </c>
      <c r="AF154" s="992">
        <f ca="1">MIN($V154,$X154)*time+ABS($X154-$V154)*IF($X154&gt;$V154,time*(VLOOKUP($L18,list!$J$48:$K$50,2,)),time*(1-(VLOOKUP($L18,list!$J$48:$K$50,2,))))</f>
        <v>0</v>
      </c>
    </row>
    <row r="155" spans="2:32" x14ac:dyDescent="0.15">
      <c r="B155" s="973" t="str">
        <f t="shared" si="47"/>
        <v>Please select</v>
      </c>
      <c r="C155" s="973" t="str">
        <f t="shared" si="47"/>
        <v>Please select</v>
      </c>
      <c r="E155" s="1109" t="s">
        <v>965</v>
      </c>
      <c r="F155" s="1109" t="str">
        <f t="shared" ref="F155:M160" si="60">F129</f>
        <v/>
      </c>
      <c r="G155" s="1111">
        <f t="shared" si="60"/>
        <v>0</v>
      </c>
      <c r="H155" s="1044">
        <f t="shared" si="60"/>
        <v>0</v>
      </c>
      <c r="I155" s="1110">
        <f t="shared" ca="1" si="60"/>
        <v>0</v>
      </c>
      <c r="J155" s="1688">
        <f t="shared" ca="1" si="60"/>
        <v>0</v>
      </c>
      <c r="K155" s="1688">
        <f t="shared" ca="1" si="60"/>
        <v>0</v>
      </c>
      <c r="L155" s="1688">
        <f t="shared" ca="1" si="60"/>
        <v>0</v>
      </c>
      <c r="M155" s="1688" t="str">
        <f t="shared" si="60"/>
        <v>Please select</v>
      </c>
      <c r="N155" s="1007">
        <f ca="1">IF(OR($M155="Regional share",$M155="Please select",$M155="Other (pls. specify EF)"),0,INDEX(INDIRECT(VLOOKUP(E155,list!$B$349:$D$349,1,FALSE)),MATCH(clim_moist,INDIRECT(VLOOKUP(E155,list!$B$349:$D$349,2,FALSE)),0),MATCH($M155,INDIRECT(VLOOKUP(E155,list!$B$349:$D$349,3,FALSE)),0))*Livestock!$H155*Livestock!$G155/1000*365)</f>
        <v>0</v>
      </c>
      <c r="O155" s="1581">
        <f t="shared" ref="O155:O160" ca="1" si="61">N155</f>
        <v>0</v>
      </c>
      <c r="P155" s="1260">
        <f ca="1">IFERROR(INDEX(INDIRECT(VLOOKUP(E155,list!$B$349:$D$349,1,FALSE)),MATCH(clim_moist,INDIRECT(VLOOKUP(E155,list!$B$349:$D$349,2,FALSE)),0),MATCH('4.Grassland'!$BH$53,INDIRECT(VLOOKUP(E155,list!$B$349:$D$349,3,FALSE)),0))*Livestock!$H155*Livestock!$G155/1000*365,0)*I155/100</f>
        <v>0</v>
      </c>
      <c r="Q155" s="1260">
        <f ca="1">IF($B155="Please select",0,IF(OR($M155="Please select",$M155="Regional share"),SUMPRODUCT(INDEX(INDIRECT(VLOOKUP(E155,list!$B$349:$D$349,1,FALSE)),MATCH(clim_moist,INDIRECT(VLOOKUP(E155,list!$B$349:$D$349,2,FALSE)),0),0),INDEX(INDIRECT(VLOOKUP(F155,list!$B$288:$D$310,1,FALSE)),MATCH($C$2,INDIRECT(VLOOKUP(F155,list!$B$288:$D$310,2,FALSE)),0),0))/100*($H155*$G155/1000*365)-$P155,0))</f>
        <v>0</v>
      </c>
      <c r="R155" s="2154">
        <f t="shared" ca="1" si="56"/>
        <v>0</v>
      </c>
      <c r="S155" s="2154">
        <f t="shared" ca="1" si="59"/>
        <v>0</v>
      </c>
      <c r="T155" s="2154">
        <f t="shared" ca="1" si="57"/>
        <v>0</v>
      </c>
      <c r="V155" s="3468">
        <f t="shared" ca="1" si="52"/>
        <v>0</v>
      </c>
      <c r="W155" s="1151">
        <f t="shared" ca="1" si="53"/>
        <v>0</v>
      </c>
      <c r="X155" s="3469">
        <f t="shared" ca="1" si="54"/>
        <v>0</v>
      </c>
      <c r="Z155" s="3468">
        <f ca="1">MIN($V155,$W155)*time_tot+ABS($W155-$V155)*IF($W155&gt;$V155,time_cap+time*(VLOOKUP($J19,list!$J$48:$K$50,2,0)),time*(1-(VLOOKUP($J19,list!$J$48:$K$50,2,0))))</f>
        <v>0</v>
      </c>
      <c r="AA155" s="3469">
        <f ca="1">MIN($V155,$X155)*time_tot+ABS($X155-$V155)*IF($X155&gt;$V155,time_cap+time*(VLOOKUP($L19,list!$J$48:$K$50,2,0)),time*(1-(VLOOKUP($L19,list!$J$48:$K$50,2,0))))</f>
        <v>0</v>
      </c>
      <c r="AB155" s="3492">
        <f t="shared" ref="AB155:AB160" ca="1" si="62">AA155-Z155</f>
        <v>0</v>
      </c>
    </row>
    <row r="156" spans="2:32" x14ac:dyDescent="0.15">
      <c r="B156" s="973" t="str">
        <f t="shared" si="47"/>
        <v>Please select</v>
      </c>
      <c r="C156" s="973" t="str">
        <f t="shared" si="47"/>
        <v>Please select</v>
      </c>
      <c r="E156" s="1109" t="s">
        <v>965</v>
      </c>
      <c r="F156" s="1109" t="str">
        <f t="shared" si="60"/>
        <v/>
      </c>
      <c r="G156" s="1111">
        <f t="shared" si="60"/>
        <v>0</v>
      </c>
      <c r="H156" s="1044">
        <f t="shared" si="60"/>
        <v>0</v>
      </c>
      <c r="I156" s="1110">
        <f t="shared" ca="1" si="60"/>
        <v>0</v>
      </c>
      <c r="J156" s="1688">
        <f t="shared" ca="1" si="60"/>
        <v>0</v>
      </c>
      <c r="K156" s="1688">
        <f t="shared" ca="1" si="60"/>
        <v>0</v>
      </c>
      <c r="L156" s="1688">
        <f t="shared" ca="1" si="60"/>
        <v>0</v>
      </c>
      <c r="M156" s="1688" t="str">
        <f t="shared" si="60"/>
        <v>Please select</v>
      </c>
      <c r="N156" s="1007">
        <f ca="1">IF(OR($M156="Regional share",$M156="Please select",$M156="Other (pls. specify EF)"),0,INDEX(INDIRECT(VLOOKUP(E156,list!$B$349:$D$349,1,FALSE)),MATCH(clim_moist,INDIRECT(VLOOKUP(E156,list!$B$349:$D$349,2,FALSE)),0),MATCH($M156,INDIRECT(VLOOKUP(E156,list!$B$349:$D$349,3,FALSE)),0))*Livestock!$H156*Livestock!$G156/1000*365)</f>
        <v>0</v>
      </c>
      <c r="O156" s="1581">
        <f t="shared" ca="1" si="61"/>
        <v>0</v>
      </c>
      <c r="P156" s="1260">
        <f ca="1">IFERROR(INDEX(INDIRECT(VLOOKUP(E156,list!$B$349:$D$349,1,FALSE)),MATCH(clim_moist,INDIRECT(VLOOKUP(E156,list!$B$349:$D$349,2,FALSE)),0),MATCH('4.Grassland'!$BH$53,INDIRECT(VLOOKUP(E156,list!$B$349:$D$349,3,FALSE)),0))*Livestock!$H156*Livestock!$G156/1000*365,0)*I156/100</f>
        <v>0</v>
      </c>
      <c r="Q156" s="1260">
        <f ca="1">IF($B156="Please select",0,IF(OR($M156="Please select",$M156="Regional share"),SUMPRODUCT(INDEX(INDIRECT(VLOOKUP(E156,list!$B$349:$D$349,1,FALSE)),MATCH(clim_moist,INDIRECT(VLOOKUP(E156,list!$B$349:$D$349,2,FALSE)),0),0),INDEX(INDIRECT(VLOOKUP(F156,list!$B$288:$D$310,1,FALSE)),MATCH($C$2,INDIRECT(VLOOKUP(F156,list!$B$288:$D$310,2,FALSE)),0),0))/100*($H156*$G156/1000*365)-$P156,0))</f>
        <v>0</v>
      </c>
      <c r="R156" s="2154">
        <f t="shared" ca="1" si="56"/>
        <v>0</v>
      </c>
      <c r="S156" s="2154">
        <f t="shared" ca="1" si="59"/>
        <v>0</v>
      </c>
      <c r="T156" s="2154">
        <f t="shared" ca="1" si="57"/>
        <v>0</v>
      </c>
      <c r="V156" s="3468">
        <f t="shared" ca="1" si="52"/>
        <v>0</v>
      </c>
      <c r="W156" s="1151">
        <f t="shared" ca="1" si="53"/>
        <v>0</v>
      </c>
      <c r="X156" s="3469">
        <f t="shared" ca="1" si="54"/>
        <v>0</v>
      </c>
      <c r="Z156" s="3468">
        <f ca="1">MIN($V156,$W156)*time_tot+ABS($W156-$V156)*IF($W156&gt;$V156,time_cap+time*(VLOOKUP($J20,list!$J$48:$K$50,2,0)),time*(1-(VLOOKUP($J20,list!$J$48:$K$50,2,0))))</f>
        <v>0</v>
      </c>
      <c r="AA156" s="3469">
        <f ca="1">MIN($V156,$X156)*time_tot+ABS($X156-$V156)*IF($X156&gt;$V156,time_cap+time*(VLOOKUP($L20,list!$J$48:$K$50,2,0)),time*(1-(VLOOKUP($L20,list!$J$48:$K$50,2,0))))</f>
        <v>0</v>
      </c>
      <c r="AB156" s="3492">
        <f t="shared" ca="1" si="62"/>
        <v>0</v>
      </c>
    </row>
    <row r="157" spans="2:32" x14ac:dyDescent="0.15">
      <c r="B157" s="973" t="str">
        <f t="shared" si="47"/>
        <v>Please select</v>
      </c>
      <c r="C157" s="973" t="str">
        <f t="shared" si="47"/>
        <v>Please select</v>
      </c>
      <c r="E157" s="1109" t="s">
        <v>965</v>
      </c>
      <c r="F157" s="1109" t="str">
        <f t="shared" si="60"/>
        <v/>
      </c>
      <c r="G157" s="1111">
        <f t="shared" si="60"/>
        <v>0</v>
      </c>
      <c r="H157" s="1044">
        <f t="shared" si="60"/>
        <v>0</v>
      </c>
      <c r="I157" s="1110">
        <f t="shared" ca="1" si="60"/>
        <v>0</v>
      </c>
      <c r="J157" s="1688">
        <f t="shared" ca="1" si="60"/>
        <v>0</v>
      </c>
      <c r="K157" s="1688">
        <f t="shared" ca="1" si="60"/>
        <v>0</v>
      </c>
      <c r="L157" s="1688">
        <f t="shared" ca="1" si="60"/>
        <v>0</v>
      </c>
      <c r="M157" s="1688" t="str">
        <f t="shared" si="60"/>
        <v>Please select</v>
      </c>
      <c r="N157" s="1007">
        <f ca="1">IF(OR($M157="Regional share",$M157="Please select",$M157="Other (pls. specify EF)"),0,INDEX(INDIRECT(VLOOKUP(E157,list!$B$349:$D$349,1,FALSE)),MATCH(clim_moist,INDIRECT(VLOOKUP(E157,list!$B$349:$D$349,2,FALSE)),0),MATCH($M157,INDIRECT(VLOOKUP(E157,list!$B$349:$D$349,3,FALSE)),0))*Livestock!$H157*Livestock!$G157/1000*365)</f>
        <v>0</v>
      </c>
      <c r="O157" s="1581">
        <f t="shared" ca="1" si="61"/>
        <v>0</v>
      </c>
      <c r="P157" s="1260">
        <f ca="1">IFERROR(INDEX(INDIRECT(VLOOKUP(E157,list!$B$349:$D$349,1,FALSE)),MATCH(clim_moist,INDIRECT(VLOOKUP(E157,list!$B$349:$D$349,2,FALSE)),0),MATCH('4.Grassland'!$BH$53,INDIRECT(VLOOKUP(E157,list!$B$349:$D$349,3,FALSE)),0))*Livestock!$H157*Livestock!$G157/1000*365,0)*I157/100</f>
        <v>0</v>
      </c>
      <c r="Q157" s="1260">
        <f ca="1">IF($B157="Please select",0,IF(OR($M157="Please select",$M157="Regional share"),SUMPRODUCT(INDEX(INDIRECT(VLOOKUP(E157,list!$B$349:$D$349,1,FALSE)),MATCH(clim_moist,INDIRECT(VLOOKUP(E157,list!$B$349:$D$349,2,FALSE)),0),0),INDEX(INDIRECT(VLOOKUP(F157,list!$B$288:$D$310,1,FALSE)),MATCH($C$2,INDIRECT(VLOOKUP(F157,list!$B$288:$D$310,2,FALSE)),0),0))/100*($H157*$G157/1000*365)-$P157,0))</f>
        <v>0</v>
      </c>
      <c r="R157" s="2154">
        <f t="shared" ca="1" si="56"/>
        <v>0</v>
      </c>
      <c r="S157" s="2154">
        <f t="shared" ca="1" si="59"/>
        <v>0</v>
      </c>
      <c r="T157" s="2154">
        <f t="shared" ca="1" si="57"/>
        <v>0</v>
      </c>
      <c r="V157" s="3468">
        <f t="shared" ca="1" si="52"/>
        <v>0</v>
      </c>
      <c r="W157" s="1151">
        <f t="shared" ca="1" si="53"/>
        <v>0</v>
      </c>
      <c r="X157" s="3469">
        <f t="shared" ca="1" si="54"/>
        <v>0</v>
      </c>
      <c r="Z157" s="3468">
        <f ca="1">MIN($V157,$W157)*time_tot+ABS($W157-$V157)*IF($W157&gt;$V157,time_cap+time*(VLOOKUP($J21,list!$J$48:$K$50,2,0)),time*(1-(VLOOKUP($J21,list!$J$48:$K$50,2,0))))</f>
        <v>0</v>
      </c>
      <c r="AA157" s="3469">
        <f ca="1">MIN($V157,$X157)*time_tot+ABS($X157-$V157)*IF($X157&gt;$V157,time_cap+time*(VLOOKUP($L21,list!$J$48:$K$50,2,0)),time*(1-(VLOOKUP($L21,list!$J$48:$K$50,2,0))))</f>
        <v>0</v>
      </c>
      <c r="AB157" s="3492">
        <f t="shared" ca="1" si="62"/>
        <v>0</v>
      </c>
    </row>
    <row r="158" spans="2:32" x14ac:dyDescent="0.15">
      <c r="B158" s="973" t="str">
        <f t="shared" si="47"/>
        <v>Please select</v>
      </c>
      <c r="C158" s="973" t="str">
        <f t="shared" si="47"/>
        <v>Please select</v>
      </c>
      <c r="E158" s="1109" t="s">
        <v>965</v>
      </c>
      <c r="F158" s="1109" t="str">
        <f t="shared" si="60"/>
        <v/>
      </c>
      <c r="G158" s="1111">
        <f t="shared" si="60"/>
        <v>0</v>
      </c>
      <c r="H158" s="1044">
        <f t="shared" si="60"/>
        <v>0</v>
      </c>
      <c r="I158" s="1110">
        <f t="shared" ca="1" si="60"/>
        <v>0</v>
      </c>
      <c r="J158" s="1688">
        <f t="shared" ca="1" si="60"/>
        <v>0</v>
      </c>
      <c r="K158" s="1688">
        <f t="shared" ca="1" si="60"/>
        <v>0</v>
      </c>
      <c r="L158" s="1688">
        <f t="shared" ca="1" si="60"/>
        <v>0</v>
      </c>
      <c r="M158" s="1688" t="str">
        <f t="shared" si="60"/>
        <v>Please select</v>
      </c>
      <c r="N158" s="1007">
        <f ca="1">IF(OR($M158="Regional share",$M158="Please select",$M158="Other (pls. specify EF)"),0,INDEX(INDIRECT(VLOOKUP(E158,list!$B$349:$D$349,1,FALSE)),MATCH(clim_moist,INDIRECT(VLOOKUP(E158,list!$B$349:$D$349,2,FALSE)),0),MATCH($M158,INDIRECT(VLOOKUP(E158,list!$B$349:$D$349,3,FALSE)),0))*Livestock!$H158*Livestock!$G158/1000*365)</f>
        <v>0</v>
      </c>
      <c r="O158" s="1581">
        <f t="shared" ca="1" si="61"/>
        <v>0</v>
      </c>
      <c r="P158" s="1260">
        <f ca="1">IFERROR(INDEX(INDIRECT(VLOOKUP(E158,list!$B$349:$D$349,1,FALSE)),MATCH(clim_moist,INDIRECT(VLOOKUP(E158,list!$B$349:$D$349,2,FALSE)),0),MATCH('4.Grassland'!$BH$53,INDIRECT(VLOOKUP(E158,list!$B$349:$D$349,3,FALSE)),0))*Livestock!$H158*Livestock!$G158/1000*365,0)*I158/100</f>
        <v>0</v>
      </c>
      <c r="Q158" s="1260">
        <f ca="1">IF($B158="Please select",0,IF(OR($M158="Please select",$M158="Regional share"),SUMPRODUCT(INDEX(INDIRECT(VLOOKUP(E158,list!$B$349:$D$349,1,FALSE)),MATCH(clim_moist,INDIRECT(VLOOKUP(E158,list!$B$349:$D$349,2,FALSE)),0),0),INDEX(INDIRECT(VLOOKUP(F158,list!$B$288:$D$310,1,FALSE)),MATCH($C$2,INDIRECT(VLOOKUP(F158,list!$B$288:$D$310,2,FALSE)),0),0))/100*($H158*$G158/1000*365)-$P158,0))</f>
        <v>0</v>
      </c>
      <c r="R158" s="2154">
        <f t="shared" ca="1" si="56"/>
        <v>0</v>
      </c>
      <c r="S158" s="2154">
        <f t="shared" ca="1" si="59"/>
        <v>0</v>
      </c>
      <c r="T158" s="2154">
        <f t="shared" ca="1" si="57"/>
        <v>0</v>
      </c>
      <c r="V158" s="3468">
        <f t="shared" ca="1" si="52"/>
        <v>0</v>
      </c>
      <c r="W158" s="1151">
        <f t="shared" ca="1" si="53"/>
        <v>0</v>
      </c>
      <c r="X158" s="3469">
        <f t="shared" ca="1" si="54"/>
        <v>0</v>
      </c>
      <c r="Z158" s="3468">
        <f ca="1">MIN($V158,$W158)*time_tot+ABS($W158-$V158)*IF($W158&gt;$V158,time_cap+time*(VLOOKUP($J22,list!$J$48:$K$50,2,0)),time*(1-(VLOOKUP($J22,list!$J$48:$K$50,2,0))))</f>
        <v>0</v>
      </c>
      <c r="AA158" s="3469">
        <f ca="1">MIN($V158,$X158)*time_tot+ABS($X158-$V158)*IF($X158&gt;$V158,time_cap+time*(VLOOKUP($L22,list!$J$48:$K$50,2,0)),time*(1-(VLOOKUP($L22,list!$J$48:$K$50,2,0))))</f>
        <v>0</v>
      </c>
      <c r="AB158" s="3492">
        <f t="shared" ca="1" si="62"/>
        <v>0</v>
      </c>
    </row>
    <row r="159" spans="2:32" x14ac:dyDescent="0.15">
      <c r="B159" s="973" t="str">
        <f t="shared" si="47"/>
        <v>Please select</v>
      </c>
      <c r="C159" s="973" t="str">
        <f t="shared" si="47"/>
        <v>Please select</v>
      </c>
      <c r="E159" s="1109" t="s">
        <v>965</v>
      </c>
      <c r="F159" s="1109" t="str">
        <f t="shared" si="60"/>
        <v/>
      </c>
      <c r="G159" s="1111">
        <f t="shared" si="60"/>
        <v>0</v>
      </c>
      <c r="H159" s="1044">
        <f t="shared" si="60"/>
        <v>0</v>
      </c>
      <c r="I159" s="1110">
        <f t="shared" ca="1" si="60"/>
        <v>0</v>
      </c>
      <c r="J159" s="1688">
        <f t="shared" ca="1" si="60"/>
        <v>0</v>
      </c>
      <c r="K159" s="1688">
        <f t="shared" ca="1" si="60"/>
        <v>0</v>
      </c>
      <c r="L159" s="1688">
        <f t="shared" ca="1" si="60"/>
        <v>0</v>
      </c>
      <c r="M159" s="1688" t="str">
        <f t="shared" si="60"/>
        <v>Please select</v>
      </c>
      <c r="N159" s="1007">
        <f ca="1">IF(OR($M159="Regional share",$M159="Please select",$M159="Other (pls. specify EF)"),0,INDEX(INDIRECT(VLOOKUP(E159,list!$B$349:$D$349,1,FALSE)),MATCH(clim_moist,INDIRECT(VLOOKUP(E159,list!$B$349:$D$349,2,FALSE)),0),MATCH($M159,INDIRECT(VLOOKUP(E159,list!$B$349:$D$349,3,FALSE)),0))*Livestock!$H159*Livestock!$G159/1000*365)</f>
        <v>0</v>
      </c>
      <c r="O159" s="1581">
        <f t="shared" ca="1" si="61"/>
        <v>0</v>
      </c>
      <c r="P159" s="1260">
        <f ca="1">IFERROR(INDEX(INDIRECT(VLOOKUP(E159,list!$B$349:$D$349,1,FALSE)),MATCH(clim_moist,INDIRECT(VLOOKUP(E159,list!$B$349:$D$349,2,FALSE)),0),MATCH('4.Grassland'!$BH$53,INDIRECT(VLOOKUP(E159,list!$B$349:$D$349,3,FALSE)),0))*Livestock!$H159*Livestock!$G159/1000*365,0)*I159/100</f>
        <v>0</v>
      </c>
      <c r="Q159" s="1260">
        <f ca="1">IF($B159="Please select",0,IF(OR($M159="Please select",$M159="Regional share"),SUMPRODUCT(INDEX(INDIRECT(VLOOKUP(E159,list!$B$349:$D$349,1,FALSE)),MATCH(clim_moist,INDIRECT(VLOOKUP(E159,list!$B$349:$D$349,2,FALSE)),0),0),INDEX(INDIRECT(VLOOKUP(F159,list!$B$288:$D$310,1,FALSE)),MATCH($C$2,INDIRECT(VLOOKUP(F159,list!$B$288:$D$310,2,FALSE)),0),0))/100*($H159*$G159/1000*365)-$P159,0))</f>
        <v>0</v>
      </c>
      <c r="R159" s="2154">
        <f t="shared" ca="1" si="56"/>
        <v>0</v>
      </c>
      <c r="S159" s="2154">
        <f t="shared" ca="1" si="59"/>
        <v>0</v>
      </c>
      <c r="T159" s="2154">
        <f t="shared" ca="1" si="57"/>
        <v>0</v>
      </c>
      <c r="V159" s="3468">
        <f t="shared" ca="1" si="52"/>
        <v>0</v>
      </c>
      <c r="W159" s="1151">
        <f t="shared" ca="1" si="53"/>
        <v>0</v>
      </c>
      <c r="X159" s="3469">
        <f t="shared" ca="1" si="54"/>
        <v>0</v>
      </c>
      <c r="Z159" s="3468">
        <f ca="1">MIN($V159,$W159)*time_tot+ABS($W159-$V159)*IF($W159&gt;$V159,time_cap+time*(VLOOKUP($J23,list!$J$48:$K$50,2,0)),time*(1-(VLOOKUP($J23,list!$J$48:$K$50,2,0))))</f>
        <v>0</v>
      </c>
      <c r="AA159" s="3469">
        <f ca="1">MIN($V159,$X159)*time_tot+ABS($X159-$V159)*IF($X159&gt;$V159,time_cap+time*(VLOOKUP($L23,list!$J$48:$K$50,2,0)),time*(1-(VLOOKUP($L23,list!$J$48:$K$50,2,0))))</f>
        <v>0</v>
      </c>
      <c r="AB159" s="3492">
        <f t="shared" ca="1" si="62"/>
        <v>0</v>
      </c>
    </row>
    <row r="160" spans="2:32" x14ac:dyDescent="0.15">
      <c r="B160" s="973" t="str">
        <f t="shared" si="47"/>
        <v>Please select</v>
      </c>
      <c r="C160" s="973" t="str">
        <f t="shared" si="47"/>
        <v>Please select</v>
      </c>
      <c r="E160" s="1109" t="s">
        <v>965</v>
      </c>
      <c r="F160" s="1109" t="str">
        <f t="shared" si="60"/>
        <v/>
      </c>
      <c r="G160" s="1111">
        <f t="shared" si="60"/>
        <v>0</v>
      </c>
      <c r="H160" s="1044">
        <f t="shared" si="60"/>
        <v>0</v>
      </c>
      <c r="I160" s="1110">
        <f t="shared" ca="1" si="60"/>
        <v>0</v>
      </c>
      <c r="J160" s="1688">
        <f t="shared" ca="1" si="60"/>
        <v>0</v>
      </c>
      <c r="K160" s="1688">
        <f t="shared" ca="1" si="60"/>
        <v>0</v>
      </c>
      <c r="L160" s="1688">
        <f t="shared" ca="1" si="60"/>
        <v>0</v>
      </c>
      <c r="M160" s="1688" t="str">
        <f t="shared" si="60"/>
        <v>Please select</v>
      </c>
      <c r="N160" s="1007">
        <f ca="1">IF(OR($M160="Regional share",$M160="Please select",$M160="Other (pls. specify EF)"),0,INDEX(INDIRECT(VLOOKUP(E160,list!$B$349:$D$349,1,FALSE)),MATCH(clim_moist,INDIRECT(VLOOKUP(E160,list!$B$349:$D$349,2,FALSE)),0),MATCH($M160,INDIRECT(VLOOKUP(E160,list!$B$349:$D$349,3,FALSE)),0))*Livestock!$H160*Livestock!$G160/1000*365)</f>
        <v>0</v>
      </c>
      <c r="O160" s="1581">
        <f t="shared" ca="1" si="61"/>
        <v>0</v>
      </c>
      <c r="P160" s="1260">
        <f ca="1">IFERROR(INDEX(INDIRECT(VLOOKUP(E160,list!$B$349:$D$349,1,FALSE)),MATCH(clim_moist,INDIRECT(VLOOKUP(E160,list!$B$349:$D$349,2,FALSE)),0),MATCH('4.Grassland'!$BH$53,INDIRECT(VLOOKUP(E160,list!$B$349:$D$349,3,FALSE)),0))*Livestock!$H160*Livestock!$G160/1000*365,0)*I160/100</f>
        <v>0</v>
      </c>
      <c r="Q160" s="1260">
        <f ca="1">IF($B160="Please select",0,IF(OR($M160="Please select",$M160="Regional share"),SUMPRODUCT(INDEX(INDIRECT(VLOOKUP(E160,list!$B$349:$D$349,1,FALSE)),MATCH(clim_moist,INDIRECT(VLOOKUP(E160,list!$B$349:$D$349,2,FALSE)),0),0),INDEX(INDIRECT(VLOOKUP(F160,list!$B$288:$D$310,1,FALSE)),MATCH($C$2,INDIRECT(VLOOKUP(F160,list!$B$288:$D$310,2,FALSE)),0),0))/100*($H160*$G160/1000*365)-$P160,0))</f>
        <v>0</v>
      </c>
      <c r="R160" s="2154">
        <f t="shared" ca="1" si="56"/>
        <v>0</v>
      </c>
      <c r="S160" s="2154">
        <f t="shared" ca="1" si="59"/>
        <v>0</v>
      </c>
      <c r="T160" s="2154">
        <f t="shared" ca="1" si="57"/>
        <v>0</v>
      </c>
      <c r="V160" s="3468">
        <f t="shared" ca="1" si="52"/>
        <v>0</v>
      </c>
      <c r="W160" s="1151">
        <f t="shared" ca="1" si="53"/>
        <v>0</v>
      </c>
      <c r="X160" s="3469">
        <f t="shared" ca="1" si="54"/>
        <v>0</v>
      </c>
      <c r="Z160" s="3468">
        <f ca="1">MIN($V160,$W160)*time_tot+ABS($W160-$V160)*IF($W160&gt;$V160,time_cap+time*(VLOOKUP($J24,list!$J$48:$K$50,2,0)),time*(1-(VLOOKUP($J24,list!$J$48:$K$50,2,0))))</f>
        <v>0</v>
      </c>
      <c r="AA160" s="3469">
        <f ca="1">MIN($V160,$X160)*time_tot+ABS($X160-$V160)*IF($X160&gt;$V160,time_cap+time*(VLOOKUP($L24,list!$J$48:$K$50,2,0)),time*(1-(VLOOKUP($L24,list!$J$48:$K$50,2,0))))</f>
        <v>0</v>
      </c>
      <c r="AB160" s="3492">
        <f t="shared" ca="1" si="62"/>
        <v>0</v>
      </c>
    </row>
    <row r="163" spans="22:28" x14ac:dyDescent="0.15">
      <c r="V163" s="1163"/>
      <c r="W163" s="1163"/>
      <c r="X163" s="1163"/>
      <c r="Y163" s="1653" t="s">
        <v>966</v>
      </c>
      <c r="Z163" s="2272">
        <f ca="1">SUM(Z144:Z160)</f>
        <v>3.2728630982142848</v>
      </c>
      <c r="AA163" s="2272">
        <f ca="1">SUM(AA144:AA160)</f>
        <v>3.2728630982142848</v>
      </c>
      <c r="AB163" s="2272">
        <f ca="1">SUM(AB144:AB160)</f>
        <v>0</v>
      </c>
    </row>
  </sheetData>
  <mergeCells count="4">
    <mergeCell ref="M58:O58"/>
    <mergeCell ref="M86:O86"/>
    <mergeCell ref="M114:O114"/>
    <mergeCell ref="M140:O140"/>
  </mergeCells>
  <conditionalFormatting sqref="AM13:AN13 AO21:AO28">
    <cfRule type="expression" dxfId="181" priority="1">
      <formula>$BL$53&lt;&gt;$BL$54</formula>
    </cfRule>
  </conditionalFormatting>
  <pageMargins left="0.7" right="0.7" top="0.75" bottom="0.75" header="0.3" footer="0.3"/>
  <pageSetup orientation="portrait" r:id="rId1"/>
  <drawing r:id="rId2"/>
  <mc:AlternateContent xmlns:mc="http://schemas.openxmlformats.org/markup-compatibility/2006">
    <mc:Choice Requires="v">
      <legacyDrawing r:id="rId3"/>
    </mc:Choice>
  </mc:AlternateContent>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rgb="FF172735"/>
  </sheetPr>
  <dimension ref="B1:BS46"/>
  <sheetViews>
    <sheetView zoomScale="80" zoomScaleNormal="80" workbookViewId="0">
      <selection activeCell="E13" sqref="E13"/>
    </sheetView>
  </sheetViews>
  <sheetFormatPr baseColWidth="10" defaultColWidth="9.33203125" defaultRowHeight="14" x14ac:dyDescent="0.2"/>
  <cols>
    <col min="1" max="2" width="7.5" style="1771" customWidth="1"/>
    <col min="3" max="3" width="42.33203125" style="1771" customWidth="1"/>
    <col min="4" max="4" width="1.5" style="1771" customWidth="1"/>
    <col min="5" max="5" width="14.6640625" style="1771" customWidth="1"/>
    <col min="6" max="6" width="1.5" style="1771" customWidth="1"/>
    <col min="7" max="7" width="14.6640625" style="1771" customWidth="1"/>
    <col min="8" max="8" width="1.5" style="1771" customWidth="1"/>
    <col min="9" max="9" width="14.6640625" style="1771" customWidth="1"/>
    <col min="10" max="10" width="1.5" style="1771" customWidth="1"/>
    <col min="11" max="11" width="7.5" style="1771" customWidth="1"/>
    <col min="12" max="12" width="1.5" style="1771" customWidth="1"/>
    <col min="13" max="13" width="10.33203125" style="1771" customWidth="1"/>
    <col min="14" max="14" width="1.5" style="1771" customWidth="1"/>
    <col min="15" max="15" width="7.5" style="1771" customWidth="1"/>
    <col min="16" max="16" width="1.5" style="1771" customWidth="1"/>
    <col min="17" max="17" width="8.6640625" style="1771" customWidth="1"/>
    <col min="18" max="18" width="1.5" style="1771" customWidth="1"/>
    <col min="19" max="19" width="10" style="1771" customWidth="1"/>
    <col min="20" max="20" width="1.5" style="1771" customWidth="1"/>
    <col min="21" max="21" width="9.6640625" style="1771" customWidth="1"/>
    <col min="22" max="22" width="1.5" style="1771" customWidth="1"/>
    <col min="23" max="23" width="18.5" style="1771" customWidth="1"/>
    <col min="24" max="24" width="12" style="1771" customWidth="1"/>
    <col min="25" max="25" width="2.5" style="1771" customWidth="1"/>
    <col min="26" max="26" width="12.5" style="1771" customWidth="1"/>
    <col min="27" max="27" width="2.5" style="1771" customWidth="1"/>
    <col min="28" max="28" width="5.5" style="1771" customWidth="1"/>
    <col min="29" max="29" width="15.33203125" style="1771" customWidth="1"/>
    <col min="30" max="30" width="17.5" style="1771" customWidth="1"/>
    <col min="31" max="31" width="8.5" style="1771" customWidth="1"/>
    <col min="32" max="32" width="21.5" style="1771" customWidth="1"/>
    <col min="33" max="41" width="9.33203125" style="1771"/>
    <col min="42" max="42" width="2.33203125" style="1771" customWidth="1"/>
    <col min="43" max="43" width="42.33203125" style="1771" customWidth="1"/>
    <col min="44" max="49" width="9.33203125" style="1771"/>
    <col min="50" max="50" width="4.5" style="1771" customWidth="1"/>
    <col min="51" max="61" width="9.33203125" style="1771"/>
    <col min="62" max="62" width="2.5" style="1771" customWidth="1"/>
    <col min="63" max="16384" width="9.33203125" style="1771"/>
  </cols>
  <sheetData>
    <row r="1" spans="2:71" s="2048" customFormat="1" ht="100.5" customHeight="1" x14ac:dyDescent="0.2">
      <c r="AJ1" s="2049"/>
    </row>
    <row r="3" spans="2:71" ht="17" x14ac:dyDescent="0.2">
      <c r="AP3" s="1915"/>
      <c r="AQ3" s="1915"/>
      <c r="AR3" s="2050"/>
      <c r="AS3" s="1915"/>
      <c r="AT3" s="1915"/>
      <c r="AU3" s="1915"/>
      <c r="AV3" s="1915"/>
      <c r="AW3" s="1915"/>
      <c r="AX3" s="1915"/>
      <c r="AY3" s="1915"/>
      <c r="AZ3" s="1915"/>
      <c r="BA3" s="1915"/>
      <c r="BB3" s="1915"/>
      <c r="BC3" s="1915"/>
      <c r="BD3" s="1915"/>
      <c r="BE3" s="1915"/>
      <c r="BF3" s="1915"/>
      <c r="BG3" s="1915"/>
      <c r="BH3" s="1915"/>
      <c r="BI3" s="1915"/>
      <c r="BJ3" s="1915"/>
    </row>
    <row r="4" spans="2:71" ht="17" x14ac:dyDescent="0.2">
      <c r="AP4" s="1915"/>
      <c r="AQ4" s="1918"/>
      <c r="AR4" s="2050"/>
      <c r="AS4" s="1915"/>
      <c r="AT4" s="1915"/>
      <c r="AU4" s="1915"/>
      <c r="AV4" s="1915"/>
      <c r="AW4" s="1915"/>
      <c r="AX4" s="1915"/>
      <c r="AY4" s="1915"/>
      <c r="AZ4" s="1915"/>
      <c r="BA4" s="1915"/>
      <c r="BB4" s="1915"/>
      <c r="BC4" s="1915"/>
      <c r="BD4" s="1915"/>
      <c r="BE4" s="1915"/>
      <c r="BF4" s="1915"/>
      <c r="BG4" s="1915"/>
      <c r="BH4" s="1915"/>
      <c r="BI4" s="1915"/>
      <c r="BJ4" s="1915"/>
    </row>
    <row r="5" spans="2:71" ht="17" x14ac:dyDescent="0.2">
      <c r="AP5" s="1915"/>
      <c r="AQ5" s="2051"/>
      <c r="AR5" s="2052"/>
      <c r="AS5" s="1915"/>
      <c r="AT5" s="1915"/>
      <c r="AU5" s="1915"/>
      <c r="AV5" s="1915"/>
      <c r="AW5" s="1915"/>
      <c r="AX5" s="1915"/>
      <c r="AY5" s="1915"/>
      <c r="AZ5" s="1915"/>
      <c r="BA5" s="1915"/>
      <c r="BB5" s="1915"/>
      <c r="BC5" s="1915"/>
      <c r="BD5" s="1915"/>
      <c r="BE5" s="1915"/>
      <c r="BF5" s="1915"/>
      <c r="BG5" s="1915"/>
      <c r="BH5" s="1915"/>
      <c r="BI5" s="1915"/>
      <c r="BJ5" s="1915"/>
    </row>
    <row r="6" spans="2:71" ht="45" customHeight="1" x14ac:dyDescent="0.2">
      <c r="B6" s="2053" t="str">
        <f>Languages!B423</f>
        <v>5.1 FOREST DEGRADATION &amp; MANAGEMENT</v>
      </c>
      <c r="C6" s="2053"/>
      <c r="D6" s="1769"/>
      <c r="E6" s="1769"/>
      <c r="F6" s="1769"/>
      <c r="G6" s="1769"/>
      <c r="H6" s="1769"/>
      <c r="I6" s="1769"/>
      <c r="J6" s="1769"/>
      <c r="K6" s="1769"/>
      <c r="L6" s="1769"/>
      <c r="M6" s="1769"/>
      <c r="N6" s="1769"/>
      <c r="O6" s="1769"/>
      <c r="P6" s="1769"/>
      <c r="Q6" s="1769"/>
      <c r="R6" s="1769"/>
      <c r="S6" s="1769"/>
      <c r="T6" s="1769"/>
      <c r="U6" s="1769"/>
      <c r="V6" s="1769"/>
      <c r="W6" s="1769"/>
      <c r="X6" s="1769"/>
      <c r="Y6" s="1769"/>
      <c r="Z6" s="1769"/>
      <c r="AA6" s="1769"/>
      <c r="AB6" s="1769"/>
      <c r="AC6" s="1769"/>
      <c r="AD6" s="1770" t="str">
        <f>Languages!B22</f>
        <v>If country-specific data are available, please go to Tier 2:</v>
      </c>
      <c r="AE6" s="1976"/>
      <c r="AF6" s="1976"/>
      <c r="AG6" s="1976"/>
      <c r="AP6" s="2054"/>
      <c r="AQ6" s="2055" t="str">
        <f>B6</f>
        <v>5.1 FOREST DEGRADATION &amp; MANAGEMENT</v>
      </c>
      <c r="AR6" s="2054"/>
      <c r="AS6" s="2054"/>
      <c r="AT6" s="2054"/>
      <c r="AU6" s="2054"/>
      <c r="AV6" s="2054"/>
      <c r="AW6" s="2054"/>
      <c r="AX6" s="2054"/>
      <c r="AY6" s="2054"/>
      <c r="AZ6" s="2054"/>
      <c r="BA6" s="2054"/>
      <c r="BB6" s="2054"/>
      <c r="BC6" s="2054"/>
      <c r="BD6" s="2054"/>
      <c r="BE6" s="2054"/>
      <c r="BF6" s="2054"/>
      <c r="BG6" s="2054"/>
      <c r="BH6" s="2054"/>
      <c r="BI6" s="2054"/>
      <c r="BJ6" s="2054"/>
      <c r="BK6" s="2054"/>
      <c r="BL6" s="2054"/>
      <c r="BM6" s="2054"/>
      <c r="BN6" s="2054"/>
      <c r="BO6" s="2054"/>
      <c r="BQ6" s="4366" t="s">
        <v>71</v>
      </c>
      <c r="BR6" s="4366"/>
      <c r="BS6" s="4366"/>
    </row>
    <row r="7" spans="2:71" ht="5.25" customHeight="1" x14ac:dyDescent="0.2">
      <c r="BQ7" s="1915"/>
      <c r="BR7" s="1915"/>
    </row>
    <row r="8" spans="2:71" ht="17" x14ac:dyDescent="0.2">
      <c r="B8" s="1781"/>
      <c r="C8" s="1781"/>
      <c r="D8" s="1781"/>
      <c r="E8" s="1781"/>
      <c r="F8" s="1781"/>
      <c r="G8" s="1781"/>
      <c r="H8" s="1781"/>
      <c r="I8" s="1781"/>
      <c r="J8" s="1781"/>
      <c r="K8" s="1781"/>
      <c r="L8" s="1781"/>
      <c r="M8" s="1781"/>
      <c r="N8" s="1781"/>
      <c r="O8" s="1781"/>
      <c r="P8" s="1781"/>
      <c r="Q8" s="1781"/>
      <c r="R8" s="1781"/>
      <c r="S8" s="1781"/>
      <c r="T8" s="1781"/>
      <c r="U8" s="1781"/>
      <c r="V8" s="1781"/>
      <c r="W8" s="1781"/>
      <c r="X8" s="1781"/>
      <c r="Y8" s="1781"/>
      <c r="Z8" s="1781"/>
      <c r="AA8" s="1781"/>
      <c r="AB8" s="1781"/>
      <c r="AC8" s="1781"/>
      <c r="AD8" s="1781"/>
      <c r="AE8" s="1781"/>
      <c r="AF8" s="1781"/>
      <c r="AG8" s="1781"/>
      <c r="AP8" s="2056"/>
      <c r="AQ8" s="2057"/>
      <c r="AR8" s="2057"/>
      <c r="AS8" s="2057"/>
      <c r="AT8" s="2057"/>
      <c r="AU8" s="2057"/>
      <c r="AV8" s="2057"/>
      <c r="AW8" s="2057"/>
      <c r="AX8" s="2057"/>
      <c r="AY8" s="2057"/>
      <c r="AZ8" s="2057"/>
      <c r="BA8" s="2056"/>
      <c r="BB8" s="2056"/>
      <c r="BC8" s="2056"/>
      <c r="BD8" s="2056"/>
      <c r="BE8" s="2056"/>
      <c r="BF8" s="2056"/>
      <c r="BG8" s="2056"/>
      <c r="BH8" s="2056"/>
      <c r="BI8" s="2056"/>
      <c r="BJ8" s="2056"/>
      <c r="BK8" s="2056"/>
      <c r="BL8" s="2056"/>
      <c r="BM8" s="2056"/>
      <c r="BN8" s="2056"/>
      <c r="BO8" s="2056"/>
      <c r="BQ8" s="1784"/>
      <c r="BR8" s="1784"/>
      <c r="BS8" s="1996"/>
    </row>
    <row r="9" spans="2:71" ht="17" x14ac:dyDescent="0.2">
      <c r="B9" s="1781"/>
      <c r="C9" s="1781"/>
      <c r="D9" s="1781"/>
      <c r="E9" s="1781"/>
      <c r="F9" s="1781"/>
      <c r="G9" s="1781"/>
      <c r="H9" s="1781"/>
      <c r="I9" s="1781"/>
      <c r="J9" s="1781"/>
      <c r="K9" s="1826" t="str">
        <f>Languages!B295</f>
        <v>Fire</v>
      </c>
      <c r="L9" s="1792"/>
      <c r="M9" s="1792"/>
      <c r="N9" s="1792"/>
      <c r="O9" s="1826" t="str">
        <f>K9</f>
        <v>Fire</v>
      </c>
      <c r="P9" s="1826"/>
      <c r="Q9" s="1826"/>
      <c r="R9" s="1826"/>
      <c r="S9" s="1826" t="str">
        <f>O9</f>
        <v>Fire</v>
      </c>
      <c r="T9" s="1781"/>
      <c r="U9" s="1781"/>
      <c r="V9" s="1781"/>
      <c r="W9" s="1781"/>
      <c r="X9" s="1781"/>
      <c r="Y9" s="1781"/>
      <c r="Z9" s="1781"/>
      <c r="AA9" s="1781"/>
      <c r="AB9" s="1781"/>
      <c r="AC9" s="1781"/>
      <c r="AD9" s="1781"/>
      <c r="AE9" s="1781"/>
      <c r="AF9" s="1781"/>
      <c r="AG9" s="1781"/>
      <c r="AP9" s="2058"/>
      <c r="AQ9" s="2057"/>
      <c r="AR9" s="2015" t="str">
        <f>Languages!B309</f>
        <v>Forest degradation level ( in % of biomass lost)</v>
      </c>
      <c r="AS9" s="2059"/>
      <c r="AT9" s="2060"/>
      <c r="AU9" s="2060"/>
      <c r="AV9" s="2060"/>
      <c r="AW9" s="2060"/>
      <c r="AX9" s="2057"/>
      <c r="AY9" s="1990" t="str">
        <f>Languages!B616</f>
        <v>Carbon pools of non-degraded forest (all values are in tC/ha)</v>
      </c>
      <c r="AZ9" s="2061"/>
      <c r="BA9" s="2062"/>
      <c r="BB9" s="2062"/>
      <c r="BC9" s="2062"/>
      <c r="BD9" s="2062"/>
      <c r="BE9" s="2062"/>
      <c r="BF9" s="2062"/>
      <c r="BG9" s="2058"/>
      <c r="BH9" s="1990" t="str">
        <f>Languages!B310</f>
        <v>Soil management and degradation</v>
      </c>
      <c r="BI9" s="2550"/>
      <c r="BJ9" s="2550"/>
      <c r="BK9" s="2550"/>
      <c r="BL9" s="2550"/>
      <c r="BM9" s="2062"/>
      <c r="BN9" s="2062"/>
      <c r="BO9" s="2058"/>
      <c r="BQ9" s="1889" t="s">
        <v>74</v>
      </c>
      <c r="BR9" s="1889"/>
      <c r="BS9" s="1996"/>
    </row>
    <row r="10" spans="2:71" ht="17" x14ac:dyDescent="0.2">
      <c r="B10" s="1781"/>
      <c r="C10" s="1780" t="str">
        <f>Languages!B292</f>
        <v xml:space="preserve">Type of forest vegetation </v>
      </c>
      <c r="D10" s="1781"/>
      <c r="E10" s="2063" t="str">
        <f>Languages!B294</f>
        <v>Forest degradation level</v>
      </c>
      <c r="F10" s="2064"/>
      <c r="G10" s="2064"/>
      <c r="H10" s="2064"/>
      <c r="I10" s="2064"/>
      <c r="J10" s="1781"/>
      <c r="K10" s="1826" t="str">
        <f>Languages!B296</f>
        <v>occurrence</v>
      </c>
      <c r="L10" s="1792"/>
      <c r="M10" s="1792"/>
      <c r="N10" s="1792"/>
      <c r="O10" s="1826" t="str">
        <f>Languages!B297</f>
        <v>periodicity</v>
      </c>
      <c r="P10" s="1826"/>
      <c r="Q10" s="1826"/>
      <c r="R10" s="1826"/>
      <c r="S10" s="1826" t="str">
        <f>Languages!B298</f>
        <v>impact (% burnt)</v>
      </c>
      <c r="T10" s="1781"/>
      <c r="U10" s="1781"/>
      <c r="V10" s="1781"/>
      <c r="W10" s="2066" t="str">
        <f>Languages!B299</f>
        <v>Forested area (ha)</v>
      </c>
      <c r="X10" s="1789"/>
      <c r="Y10" s="1789"/>
      <c r="Z10" s="1789"/>
      <c r="AA10" s="1804"/>
      <c r="AB10" s="2067"/>
      <c r="AC10" s="1779" t="str">
        <f>Languages!B9</f>
        <v>Total emissions (tCO2-e)</v>
      </c>
      <c r="AD10" s="1781"/>
      <c r="AE10" s="1781"/>
      <c r="AF10" s="1780" t="str">
        <f>Languages!B10</f>
        <v>Balance</v>
      </c>
      <c r="AG10" s="1781"/>
      <c r="AP10" s="2058"/>
      <c r="AQ10" s="2068" t="str">
        <f>C10</f>
        <v xml:space="preserve">Type of forest vegetation </v>
      </c>
      <c r="AR10" s="2069"/>
      <c r="AS10" s="2069"/>
      <c r="AT10" s="2069"/>
      <c r="AU10" s="2069"/>
      <c r="AV10" s="2069"/>
      <c r="AW10" s="2069"/>
      <c r="AX10" s="2056"/>
      <c r="AY10" s="1887" t="str">
        <f>Languages!B67</f>
        <v>Above-ground</v>
      </c>
      <c r="AZ10" s="2070"/>
      <c r="BA10" s="1887" t="str">
        <f>Languages!B68</f>
        <v>Below-ground</v>
      </c>
      <c r="BB10" s="2070"/>
      <c r="BC10" s="1939" t="str">
        <f>Languages!B73</f>
        <v>Litter</v>
      </c>
      <c r="BD10" s="2070"/>
      <c r="BE10" s="1887" t="str">
        <f>Languages!B74</f>
        <v>Dead wood</v>
      </c>
      <c r="BF10" s="2070"/>
      <c r="BG10" s="2056"/>
      <c r="BH10" s="1887" t="str">
        <f>Languages!B75</f>
        <v>Soil carbon</v>
      </c>
      <c r="BI10" s="2056"/>
      <c r="BJ10" s="2058"/>
      <c r="BK10" s="1886" t="str">
        <f>Languages!B311</f>
        <v>Land use, mngt and input factor</v>
      </c>
      <c r="BL10" s="2070"/>
      <c r="BM10" s="2058"/>
      <c r="BN10" s="2058"/>
      <c r="BO10" s="2056"/>
      <c r="BQ10" s="2014" t="s">
        <v>82</v>
      </c>
      <c r="BR10" s="2014"/>
      <c r="BS10" s="1996"/>
    </row>
    <row r="11" spans="2:71" ht="17" x14ac:dyDescent="0.2">
      <c r="B11" s="1781"/>
      <c r="C11" s="1780" t="str">
        <f>Languages!B293</f>
        <v>that will be managed</v>
      </c>
      <c r="D11" s="1781"/>
      <c r="E11" s="1806" t="str">
        <f>Languages!B116</f>
        <v>Start</v>
      </c>
      <c r="F11" s="1781"/>
      <c r="G11" s="1806" t="str">
        <f>Languages!B117</f>
        <v>Without</v>
      </c>
      <c r="H11" s="1781"/>
      <c r="I11" s="1806" t="str">
        <f>Languages!B118</f>
        <v>With</v>
      </c>
      <c r="J11" s="1781"/>
      <c r="K11" s="1806" t="str">
        <f>G11</f>
        <v>Without</v>
      </c>
      <c r="L11" s="1781"/>
      <c r="M11" s="1806" t="str">
        <f>I11</f>
        <v>With</v>
      </c>
      <c r="N11" s="1781"/>
      <c r="O11" s="1806" t="str">
        <f>K11</f>
        <v>Without</v>
      </c>
      <c r="P11" s="1781"/>
      <c r="Q11" s="1806" t="str">
        <f>M11</f>
        <v>With</v>
      </c>
      <c r="R11" s="1781"/>
      <c r="S11" s="1806" t="str">
        <f>K11</f>
        <v>Without</v>
      </c>
      <c r="T11" s="1806"/>
      <c r="U11" s="1806" t="str">
        <f>M11</f>
        <v>With</v>
      </c>
      <c r="V11" s="1781"/>
      <c r="W11" s="1806" t="str">
        <f>E11</f>
        <v>Start</v>
      </c>
      <c r="X11" s="1806" t="str">
        <f>G11</f>
        <v>Without</v>
      </c>
      <c r="Y11" s="1806"/>
      <c r="Z11" s="1806" t="str">
        <f>I11</f>
        <v>With</v>
      </c>
      <c r="AA11" s="1781"/>
      <c r="AB11" s="1826"/>
      <c r="AC11" s="1806" t="str">
        <f>X11</f>
        <v>Without</v>
      </c>
      <c r="AD11" s="1806" t="str">
        <f>Z11</f>
        <v>With</v>
      </c>
      <c r="AE11" s="1781"/>
      <c r="AF11" s="1781"/>
      <c r="AG11" s="1781"/>
      <c r="AP11" s="2058"/>
      <c r="AQ11" s="2068" t="str">
        <f>C11</f>
        <v>that will be managed</v>
      </c>
      <c r="AR11" s="1989" t="str">
        <f>W11</f>
        <v>Start</v>
      </c>
      <c r="AS11" s="2056"/>
      <c r="AT11" s="1989" t="str">
        <f>AC11</f>
        <v>Without</v>
      </c>
      <c r="AU11" s="2056"/>
      <c r="AV11" s="1989" t="str">
        <f>AD11</f>
        <v>With</v>
      </c>
      <c r="AW11" s="2056"/>
      <c r="AX11" s="2056"/>
      <c r="AY11" s="1782"/>
      <c r="AZ11" s="1782"/>
      <c r="BA11" s="1782"/>
      <c r="BB11" s="1782"/>
      <c r="BC11" s="1782"/>
      <c r="BD11" s="1782"/>
      <c r="BE11" s="1782"/>
      <c r="BF11" s="1782"/>
      <c r="BG11" s="2070"/>
      <c r="BH11" s="1939" t="str">
        <f>Languages!B90</f>
        <v>tC/ha</v>
      </c>
      <c r="BI11" s="2070"/>
      <c r="BJ11" s="2058"/>
      <c r="BK11" s="1782"/>
      <c r="BL11" s="2150" t="str">
        <f>AR11</f>
        <v>Start</v>
      </c>
      <c r="BM11" s="2150" t="str">
        <f>AT11</f>
        <v>Without</v>
      </c>
      <c r="BN11" s="2150" t="str">
        <f>AV11</f>
        <v>With</v>
      </c>
      <c r="BO11" s="2070"/>
      <c r="BQ11" s="1996"/>
      <c r="BR11" s="1893"/>
      <c r="BS11" s="1996"/>
    </row>
    <row r="12" spans="2:71" ht="17" x14ac:dyDescent="0.2">
      <c r="B12" s="1781"/>
      <c r="C12" s="1781"/>
      <c r="D12" s="1781"/>
      <c r="E12" s="1781"/>
      <c r="F12" s="1781"/>
      <c r="G12" s="1781"/>
      <c r="H12" s="1781"/>
      <c r="I12" s="1781"/>
      <c r="J12" s="1781"/>
      <c r="K12" s="2071" t="str">
        <f>Languages!B62</f>
        <v>(y/n)</v>
      </c>
      <c r="L12" s="1781"/>
      <c r="M12" s="2071" t="str">
        <f>K12</f>
        <v>(y/n)</v>
      </c>
      <c r="N12" s="1781"/>
      <c r="O12" s="2071" t="str">
        <f>'4.Grassland'!N12</f>
        <v>Year</v>
      </c>
      <c r="P12" s="1781"/>
      <c r="Q12" s="2071" t="str">
        <f>O12</f>
        <v>Year</v>
      </c>
      <c r="R12" s="1781"/>
      <c r="S12" s="1781"/>
      <c r="T12" s="1781"/>
      <c r="U12" s="1781"/>
      <c r="V12" s="1781"/>
      <c r="W12" s="1781"/>
      <c r="X12" s="1781"/>
      <c r="Y12" s="1781" t="s">
        <v>83</v>
      </c>
      <c r="Z12" s="1781"/>
      <c r="AA12" s="1781" t="s">
        <v>83</v>
      </c>
      <c r="AB12" s="1826"/>
      <c r="AC12" s="1781"/>
      <c r="AD12" s="1781"/>
      <c r="AE12" s="1781"/>
      <c r="AF12" s="1781"/>
      <c r="AG12" s="1781"/>
      <c r="AP12" s="2058"/>
      <c r="AQ12" s="2057"/>
      <c r="AR12" s="2024" t="str">
        <f>Languages!B16</f>
        <v>Default</v>
      </c>
      <c r="AS12" s="2029" t="str">
        <f>Languages!B17</f>
        <v>Tier 2</v>
      </c>
      <c r="AT12" s="2024" t="str">
        <f>AR12</f>
        <v>Default</v>
      </c>
      <c r="AU12" s="2029" t="str">
        <f>AS12</f>
        <v>Tier 2</v>
      </c>
      <c r="AV12" s="2029" t="str">
        <f>AT12</f>
        <v>Default</v>
      </c>
      <c r="AW12" s="2024" t="str">
        <f>AU12</f>
        <v>Tier 2</v>
      </c>
      <c r="AX12" s="2056"/>
      <c r="AY12" s="2024" t="str">
        <f>AV12</f>
        <v>Default</v>
      </c>
      <c r="AZ12" s="2029" t="str">
        <f>AW12</f>
        <v>Tier 2</v>
      </c>
      <c r="BA12" s="2024" t="str">
        <f t="shared" ref="BA12:BF12" si="0">AY12</f>
        <v>Default</v>
      </c>
      <c r="BB12" s="2029" t="str">
        <f t="shared" si="0"/>
        <v>Tier 2</v>
      </c>
      <c r="BC12" s="2024" t="str">
        <f t="shared" si="0"/>
        <v>Default</v>
      </c>
      <c r="BD12" s="2029" t="str">
        <f t="shared" si="0"/>
        <v>Tier 2</v>
      </c>
      <c r="BE12" s="2024" t="str">
        <f t="shared" si="0"/>
        <v>Default</v>
      </c>
      <c r="BF12" s="2029" t="str">
        <f t="shared" si="0"/>
        <v>Tier 2</v>
      </c>
      <c r="BG12" s="2029"/>
      <c r="BH12" s="2024" t="str">
        <f>BE12</f>
        <v>Default</v>
      </c>
      <c r="BI12" s="2029" t="str">
        <f>BF12</f>
        <v>Tier 2</v>
      </c>
      <c r="BJ12" s="2058"/>
      <c r="BK12" s="2024" t="str">
        <f>BH12</f>
        <v>Default</v>
      </c>
      <c r="BL12" s="2029" t="str">
        <f>BI12</f>
        <v>Tier 2</v>
      </c>
      <c r="BM12" s="2029" t="str">
        <f>BL12</f>
        <v>Tier 2</v>
      </c>
      <c r="BN12" s="2029" t="str">
        <f>BM12</f>
        <v>Tier 2</v>
      </c>
      <c r="BO12" s="2029"/>
      <c r="BQ12" s="1996"/>
      <c r="BR12" s="1996"/>
      <c r="BS12" s="1996"/>
    </row>
    <row r="13" spans="2:71" ht="15" customHeight="1" x14ac:dyDescent="0.2">
      <c r="B13" s="1781"/>
      <c r="C13" s="2129" t="s">
        <v>57</v>
      </c>
      <c r="D13" s="1781"/>
      <c r="E13" s="2131" t="s">
        <v>57</v>
      </c>
      <c r="F13" s="1781"/>
      <c r="G13" s="2131" t="s">
        <v>57</v>
      </c>
      <c r="H13" s="1806"/>
      <c r="I13" s="2131" t="s">
        <v>57</v>
      </c>
      <c r="J13" s="1781"/>
      <c r="K13" s="2129" t="s">
        <v>85</v>
      </c>
      <c r="L13" s="1781"/>
      <c r="M13" s="2129" t="s">
        <v>85</v>
      </c>
      <c r="N13" s="1781"/>
      <c r="O13" s="2131">
        <v>1</v>
      </c>
      <c r="P13" s="1781"/>
      <c r="Q13" s="2131">
        <v>1</v>
      </c>
      <c r="R13" s="1781"/>
      <c r="S13" s="4420">
        <v>0.01</v>
      </c>
      <c r="T13" s="1781"/>
      <c r="U13" s="4420">
        <v>0.01</v>
      </c>
      <c r="V13" s="1781"/>
      <c r="W13" s="2103">
        <v>0</v>
      </c>
      <c r="X13" s="1841">
        <f>degradation!$E55</f>
        <v>0</v>
      </c>
      <c r="Y13" s="4098" t="s">
        <v>86</v>
      </c>
      <c r="Z13" s="1841">
        <f>degradation!$G55</f>
        <v>0</v>
      </c>
      <c r="AA13" s="4134" t="s">
        <v>86</v>
      </c>
      <c r="AB13" s="1826"/>
      <c r="AC13" s="1841">
        <f>degradation!Q55</f>
        <v>0</v>
      </c>
      <c r="AD13" s="1841">
        <f>degradation!R55</f>
        <v>0</v>
      </c>
      <c r="AE13" s="1781"/>
      <c r="AF13" s="1806">
        <f>degradation!S55</f>
        <v>0</v>
      </c>
      <c r="AG13" s="1781"/>
      <c r="AP13" s="1801"/>
      <c r="AQ13" s="1801" t="str">
        <f t="shared" ref="AQ13:AQ20" si="1">$C13</f>
        <v>Please select</v>
      </c>
      <c r="AR13" s="4295" t="str">
        <f>VLOOKUP($E13, list!$O$7:$P$13, 2, FALSE)</f>
        <v>?</v>
      </c>
      <c r="AS13" s="4269"/>
      <c r="AT13" s="4295" t="str">
        <f>VLOOKUP($G13, list!$O$7:$P$13, 2, FALSE)</f>
        <v>?</v>
      </c>
      <c r="AU13" s="4269"/>
      <c r="AV13" s="4295" t="str">
        <f>VLOOKUP($I13, list!$O$7:$P$13, 2, FALSE)</f>
        <v>?</v>
      </c>
      <c r="AW13" s="4269"/>
      <c r="AX13" s="1801"/>
      <c r="AY13" s="2000">
        <f>IF($AQ13 = "Please select", 0, IF($AQ13="Mangrove Forest",VLOOKUP(clim_moist,IPCC!$A$1502:$G$1510,4,FALSE),INDEX(IPCC!$B$591:$AK$606,MATCH(continent_selected,IPCC!$A$591:$A$606,0),MATCH($AQ13,IPCC!$B$590:$AK$590,0))*0.47))</f>
        <v>0</v>
      </c>
      <c r="AZ13" s="4135"/>
      <c r="BA13" s="2003">
        <f>IF($AQ13 = "Please select", 0, IF($AQ13="Mangrove Forest",VLOOKUP(clim_moist,IPCC!$A$1502:$G$1510,7,FALSE),IF(OR($AY13/0.47&lt;=125,$AY13/0.47&lt;=75),INDEX(IPCC!$B$618:$AI$633,MATCH(continent_selected,IPCC!$A$618:$A$633,0),MATCH($AQ13,IPCC!$B$616:$AI$616,0)),(IF(OR($AY13/0.47&gt;125,$AY13/0.47&gt;75),INDEX(IPCC!$AJ$618:$BS$633,MATCH(continent_selected,IPCC!$A$618:$A$633,0),MATCH($AQ13,IPCC!$AJ$616:$BS$616,0)),"")))*$AY13))</f>
        <v>0</v>
      </c>
      <c r="BB13" s="4135"/>
      <c r="BC13" s="2000">
        <f>IF($AQ13 = "Please select", 0, IF($AQ13 = "Mangrove Forest", VLOOKUP(clim_moist, IPCC!$A$1502:$J$1511, 8, FALSE),   VLOOKUP($AQ13, IPCC!$A$643:$B$677, 2, FALSE)))</f>
        <v>0</v>
      </c>
      <c r="BD13" s="4135"/>
      <c r="BE13" s="2000">
        <f>IF($AQ13 = "Please select", 0, IF($AQ13= "Mangrove Forest", VLOOKUP(clim_moist, IPCC!$A$1502:$J$1511, 9, FALSE),  VLOOKUP($AQ13, IPCC!$A$643:$C$677, 3, FALSE)))</f>
        <v>0</v>
      </c>
      <c r="BF13" s="4135"/>
      <c r="BG13" s="1801"/>
      <c r="BH13" s="2000">
        <f>IF($AQ13 = "Please select", 0, IF($AQ13="Mangrove Forest",VLOOKUP(clim_moist,IPCC!$A$1502:$J$1511,10,FALSE), SOCref))</f>
        <v>0</v>
      </c>
      <c r="BI13" s="4135"/>
      <c r="BJ13" s="1801"/>
      <c r="BK13" s="2003">
        <f>degradation!T25</f>
        <v>1</v>
      </c>
      <c r="BL13" s="4092"/>
      <c r="BM13" s="4136"/>
      <c r="BN13" s="4092"/>
      <c r="BO13" s="1801"/>
      <c r="BQ13" s="4363">
        <v>1</v>
      </c>
      <c r="BR13" s="4364"/>
      <c r="BS13" s="1996"/>
    </row>
    <row r="14" spans="2:71" ht="15" customHeight="1" x14ac:dyDescent="0.2">
      <c r="B14" s="1781"/>
      <c r="C14" s="2129" t="s">
        <v>57</v>
      </c>
      <c r="D14" s="1781"/>
      <c r="E14" s="2131" t="s">
        <v>57</v>
      </c>
      <c r="F14" s="1781"/>
      <c r="G14" s="2131" t="s">
        <v>57</v>
      </c>
      <c r="H14" s="1806"/>
      <c r="I14" s="2131" t="s">
        <v>57</v>
      </c>
      <c r="J14" s="1781"/>
      <c r="K14" s="2129" t="s">
        <v>85</v>
      </c>
      <c r="L14" s="1781"/>
      <c r="M14" s="2129" t="s">
        <v>85</v>
      </c>
      <c r="N14" s="1781"/>
      <c r="O14" s="2131">
        <v>1</v>
      </c>
      <c r="P14" s="1781"/>
      <c r="Q14" s="2131">
        <v>1</v>
      </c>
      <c r="R14" s="1781"/>
      <c r="S14" s="4420">
        <v>0.01</v>
      </c>
      <c r="T14" s="1781"/>
      <c r="U14" s="4420">
        <v>0.01</v>
      </c>
      <c r="V14" s="1781"/>
      <c r="W14" s="2103">
        <v>0</v>
      </c>
      <c r="X14" s="1841">
        <f>degradation!$E56</f>
        <v>0</v>
      </c>
      <c r="Y14" s="4098" t="s">
        <v>86</v>
      </c>
      <c r="Z14" s="1841">
        <f>degradation!$G56</f>
        <v>0</v>
      </c>
      <c r="AA14" s="4134" t="s">
        <v>86</v>
      </c>
      <c r="AB14" s="1826"/>
      <c r="AC14" s="1841">
        <f>degradation!Q56</f>
        <v>0</v>
      </c>
      <c r="AD14" s="1841">
        <f>degradation!R56</f>
        <v>0</v>
      </c>
      <c r="AE14" s="1781"/>
      <c r="AF14" s="1806">
        <f>degradation!S56</f>
        <v>0</v>
      </c>
      <c r="AG14" s="1781"/>
      <c r="AP14" s="1801"/>
      <c r="AQ14" s="1801" t="str">
        <f t="shared" si="1"/>
        <v>Please select</v>
      </c>
      <c r="AR14" s="4295" t="str">
        <f>VLOOKUP($E14, list!$O$7:$P$13, 2, FALSE)</f>
        <v>?</v>
      </c>
      <c r="AS14" s="4269"/>
      <c r="AT14" s="4295" t="str">
        <f>VLOOKUP($G14, list!$O$7:$P$13, 2, FALSE)</f>
        <v>?</v>
      </c>
      <c r="AU14" s="4269"/>
      <c r="AV14" s="4295" t="str">
        <f>VLOOKUP($I14, list!$O$7:$P$13, 2, FALSE)</f>
        <v>?</v>
      </c>
      <c r="AW14" s="4269"/>
      <c r="AX14" s="1801"/>
      <c r="AY14" s="2000">
        <f>IF($AQ14 = "Please select", 0, IF($AQ14="Mangrove Forest",VLOOKUP(clim_moist,IPCC!$A$1502:$G$1510,4,FALSE),INDEX(IPCC!$B$591:$AK$606,MATCH(continent_selected,IPCC!$A$591:$A$606,0),MATCH($AQ14,IPCC!$B$590:$AK$590,0))*0.47))</f>
        <v>0</v>
      </c>
      <c r="AZ14" s="4135"/>
      <c r="BA14" s="2003">
        <f>IF($AQ14 = "Please select", 0, IF($AQ14="Mangrove Forest",VLOOKUP(clim_moist,IPCC!$A$1502:$G$1510,7,FALSE),IF(OR($AY14/0.47&lt;=125,$AY14/0.47&lt;=75),INDEX(IPCC!$B$618:$AI$633,MATCH(continent_selected,IPCC!$A$618:$A$633,0),MATCH($AQ14,IPCC!$B$616:$AI$616,0)),(IF(OR($AY14/0.47&gt;125,$AY14/0.47&gt;75),INDEX(IPCC!$AJ$618:$BS$633,MATCH(continent_selected,IPCC!$A$618:$A$633,0),MATCH($AQ14,IPCC!$AJ$616:$BS$616,0)),"")))*$AY14))</f>
        <v>0</v>
      </c>
      <c r="BB14" s="4135"/>
      <c r="BC14" s="2000">
        <f>IF($AQ14 = "Please select", 0, IF($AQ14 = "Mangrove Forest", VLOOKUP(clim_moist, IPCC!$A$1502:$J$1511, 8, FALSE),   VLOOKUP($AQ14, IPCC!$A$643:$B$677, 2, FALSE)))</f>
        <v>0</v>
      </c>
      <c r="BD14" s="4135"/>
      <c r="BE14" s="2000">
        <f>IF($AQ14 = "Please select", 0, IF($AQ14= "Mangrove Forest", VLOOKUP(clim_moist, IPCC!$A$1502:$J$1511, 9, FALSE),  VLOOKUP($AQ14, IPCC!$A$643:$C$677, 3, FALSE)))</f>
        <v>0</v>
      </c>
      <c r="BF14" s="4135"/>
      <c r="BG14" s="1801"/>
      <c r="BH14" s="2000">
        <f>IF($AQ14 = "Please select", 0, IF($AQ14="Mangrove Forest",VLOOKUP(clim_moist,IPCC!$A$1502:$J$1511,10,FALSE), SOCref))</f>
        <v>0</v>
      </c>
      <c r="BI14" s="4135"/>
      <c r="BJ14" s="1801"/>
      <c r="BK14" s="2003">
        <f>degradation!T26</f>
        <v>1</v>
      </c>
      <c r="BL14" s="4092"/>
      <c r="BM14" s="4136"/>
      <c r="BN14" s="4092"/>
      <c r="BO14" s="1801"/>
      <c r="BQ14" s="4363">
        <v>1</v>
      </c>
      <c r="BR14" s="4364"/>
      <c r="BS14" s="1996"/>
    </row>
    <row r="15" spans="2:71" ht="15" customHeight="1" x14ac:dyDescent="0.2">
      <c r="B15" s="1781"/>
      <c r="C15" s="2129" t="s">
        <v>57</v>
      </c>
      <c r="D15" s="1781"/>
      <c r="E15" s="2131" t="s">
        <v>57</v>
      </c>
      <c r="F15" s="1781"/>
      <c r="G15" s="2131" t="s">
        <v>57</v>
      </c>
      <c r="H15" s="1806"/>
      <c r="I15" s="2131" t="s">
        <v>57</v>
      </c>
      <c r="J15" s="1781"/>
      <c r="K15" s="2129" t="s">
        <v>85</v>
      </c>
      <c r="L15" s="1781"/>
      <c r="M15" s="2129" t="s">
        <v>85</v>
      </c>
      <c r="N15" s="1781"/>
      <c r="O15" s="2131">
        <v>1</v>
      </c>
      <c r="P15" s="1781"/>
      <c r="Q15" s="2131">
        <v>1</v>
      </c>
      <c r="R15" s="1781"/>
      <c r="S15" s="4420">
        <v>0.01</v>
      </c>
      <c r="T15" s="1781"/>
      <c r="U15" s="4420">
        <v>0.01</v>
      </c>
      <c r="V15" s="1781"/>
      <c r="W15" s="2103">
        <v>0</v>
      </c>
      <c r="X15" s="1841">
        <f>degradation!$E57</f>
        <v>0</v>
      </c>
      <c r="Y15" s="4098" t="s">
        <v>86</v>
      </c>
      <c r="Z15" s="1841">
        <f>degradation!$G57</f>
        <v>0</v>
      </c>
      <c r="AA15" s="4134" t="s">
        <v>86</v>
      </c>
      <c r="AB15" s="1826"/>
      <c r="AC15" s="1841">
        <f>degradation!Q57</f>
        <v>0</v>
      </c>
      <c r="AD15" s="1841">
        <f>degradation!R57</f>
        <v>0</v>
      </c>
      <c r="AE15" s="1781"/>
      <c r="AF15" s="1806">
        <f>degradation!S57</f>
        <v>0</v>
      </c>
      <c r="AG15" s="1781"/>
      <c r="AP15" s="1801"/>
      <c r="AQ15" s="1801" t="str">
        <f t="shared" si="1"/>
        <v>Please select</v>
      </c>
      <c r="AR15" s="4295" t="str">
        <f>VLOOKUP($E15, list!$O$7:$P$13, 2, FALSE)</f>
        <v>?</v>
      </c>
      <c r="AS15" s="4269"/>
      <c r="AT15" s="4295" t="str">
        <f>VLOOKUP($G15, list!$O$7:$P$13, 2, FALSE)</f>
        <v>?</v>
      </c>
      <c r="AU15" s="4269"/>
      <c r="AV15" s="4295" t="str">
        <f>VLOOKUP($I15, list!$O$7:$P$13, 2, FALSE)</f>
        <v>?</v>
      </c>
      <c r="AW15" s="4269"/>
      <c r="AX15" s="1801"/>
      <c r="AY15" s="2000">
        <f>IF($AQ15 = "Please select", 0, IF($AQ15="Mangrove Forest",VLOOKUP(clim_moist,IPCC!$A$1502:$G$1510,4,FALSE),INDEX(IPCC!$B$591:$AK$606,MATCH(continent_selected,IPCC!$A$591:$A$606,0),MATCH($AQ15,IPCC!$B$590:$AK$590,0))*0.47))</f>
        <v>0</v>
      </c>
      <c r="AZ15" s="4135"/>
      <c r="BA15" s="2003">
        <f>IF($AQ15 = "Please select", 0, IF($AQ15="Mangrove Forest",VLOOKUP(clim_moist,IPCC!$A$1502:$G$1510,7,FALSE),IF(OR($AY15/0.47&lt;=125,$AY15/0.47&lt;=75),INDEX(IPCC!$B$618:$AI$633,MATCH(continent_selected,IPCC!$A$618:$A$633,0),MATCH($AQ15,IPCC!$B$616:$AI$616,0)),(IF(OR($AY15/0.47&gt;125,$AY15/0.47&gt;75),INDEX(IPCC!$AJ$618:$BS$633,MATCH(continent_selected,IPCC!$A$618:$A$633,0),MATCH($AQ15,IPCC!$AJ$616:$BS$616,0)),"")))*$AY15))</f>
        <v>0</v>
      </c>
      <c r="BB15" s="4135"/>
      <c r="BC15" s="2000">
        <f>IF($AQ15 = "Please select", 0, IF($AQ15 = "Mangrove Forest", VLOOKUP(clim_moist, IPCC!$A$1502:$J$1511, 8, FALSE),   VLOOKUP($AQ15, IPCC!$A$643:$B$677, 2, FALSE)))</f>
        <v>0</v>
      </c>
      <c r="BD15" s="4135"/>
      <c r="BE15" s="2000">
        <f>IF($AQ15 = "Please select", 0, IF($AQ15= "Mangrove Forest", VLOOKUP(clim_moist, IPCC!$A$1502:$J$1511, 9, FALSE),  VLOOKUP($AQ15, IPCC!$A$643:$C$677, 3, FALSE)))</f>
        <v>0</v>
      </c>
      <c r="BF15" s="4135"/>
      <c r="BG15" s="1801"/>
      <c r="BH15" s="2000">
        <f>IF($AQ15 = "Please select", 0, IF($AQ15="Mangrove Forest",VLOOKUP(clim_moist,IPCC!$A$1502:$J$1511,10,FALSE), SOCref))</f>
        <v>0</v>
      </c>
      <c r="BI15" s="4135"/>
      <c r="BJ15" s="1801"/>
      <c r="BK15" s="2003">
        <f>degradation!T27</f>
        <v>1</v>
      </c>
      <c r="BL15" s="4092"/>
      <c r="BM15" s="4136"/>
      <c r="BN15" s="4092"/>
      <c r="BO15" s="1801"/>
      <c r="BQ15" s="4363">
        <v>1</v>
      </c>
      <c r="BR15" s="4364"/>
      <c r="BS15" s="1996"/>
    </row>
    <row r="16" spans="2:71" ht="15" customHeight="1" x14ac:dyDescent="0.2">
      <c r="B16" s="1781"/>
      <c r="C16" s="2129" t="s">
        <v>57</v>
      </c>
      <c r="D16" s="1781"/>
      <c r="E16" s="2131" t="s">
        <v>57</v>
      </c>
      <c r="F16" s="1781"/>
      <c r="G16" s="2131" t="s">
        <v>57</v>
      </c>
      <c r="H16" s="1806"/>
      <c r="I16" s="2131" t="s">
        <v>57</v>
      </c>
      <c r="J16" s="1781"/>
      <c r="K16" s="2129" t="s">
        <v>85</v>
      </c>
      <c r="L16" s="1781"/>
      <c r="M16" s="2129" t="s">
        <v>85</v>
      </c>
      <c r="N16" s="1781"/>
      <c r="O16" s="2131">
        <v>1</v>
      </c>
      <c r="P16" s="1781"/>
      <c r="Q16" s="2131">
        <v>1</v>
      </c>
      <c r="R16" s="1781"/>
      <c r="S16" s="4420">
        <v>0.01</v>
      </c>
      <c r="T16" s="1781"/>
      <c r="U16" s="4420">
        <v>0.01</v>
      </c>
      <c r="V16" s="1781"/>
      <c r="W16" s="2103">
        <v>0</v>
      </c>
      <c r="X16" s="1841">
        <f>degradation!$E58</f>
        <v>0</v>
      </c>
      <c r="Y16" s="4098" t="s">
        <v>86</v>
      </c>
      <c r="Z16" s="1841">
        <f>degradation!$G58</f>
        <v>0</v>
      </c>
      <c r="AA16" s="4134" t="s">
        <v>86</v>
      </c>
      <c r="AB16" s="1826"/>
      <c r="AC16" s="1841">
        <f>degradation!Q58</f>
        <v>0</v>
      </c>
      <c r="AD16" s="1841">
        <f>degradation!R58</f>
        <v>0</v>
      </c>
      <c r="AE16" s="1781"/>
      <c r="AF16" s="1806">
        <f>degradation!S58</f>
        <v>0</v>
      </c>
      <c r="AG16" s="1781"/>
      <c r="AP16" s="1801"/>
      <c r="AQ16" s="1801" t="str">
        <f t="shared" si="1"/>
        <v>Please select</v>
      </c>
      <c r="AR16" s="4295" t="str">
        <f>VLOOKUP($E16, list!$O$7:$P$13, 2, FALSE)</f>
        <v>?</v>
      </c>
      <c r="AS16" s="4269"/>
      <c r="AT16" s="4295" t="str">
        <f>VLOOKUP($G16, list!$O$7:$P$13, 2, FALSE)</f>
        <v>?</v>
      </c>
      <c r="AU16" s="4269"/>
      <c r="AV16" s="4295" t="str">
        <f>VLOOKUP($I16, list!$O$7:$P$13, 2, FALSE)</f>
        <v>?</v>
      </c>
      <c r="AW16" s="4269"/>
      <c r="AX16" s="1801"/>
      <c r="AY16" s="2000">
        <f>IF($AQ16 = "Please select", 0, IF($AQ16="Mangrove Forest",VLOOKUP(clim_moist,IPCC!$A$1502:$G$1510,4,FALSE),INDEX(IPCC!$B$591:$AK$606,MATCH(continent_selected,IPCC!$A$591:$A$606,0),MATCH($AQ16,IPCC!$B$590:$AK$590,0))*0.47))</f>
        <v>0</v>
      </c>
      <c r="AZ16" s="4135"/>
      <c r="BA16" s="2003">
        <f>IF($AQ16 = "Please select", 0, IF($AQ16="Mangrove Forest",VLOOKUP(clim_moist,IPCC!$A$1502:$G$1510,7,FALSE),IF(OR($AY16/0.47&lt;=125,$AY16/0.47&lt;=75),INDEX(IPCC!$B$618:$AI$633,MATCH(continent_selected,IPCC!$A$618:$A$633,0),MATCH($AQ16,IPCC!$B$616:$AI$616,0)),(IF(OR($AY16/0.47&gt;125,$AY16/0.47&gt;75),INDEX(IPCC!$AJ$618:$BS$633,MATCH(continent_selected,IPCC!$A$618:$A$633,0),MATCH($AQ16,IPCC!$AJ$616:$BS$616,0)),"")))*$AY16))</f>
        <v>0</v>
      </c>
      <c r="BB16" s="4135"/>
      <c r="BC16" s="2000">
        <f>IF($AQ16 = "Please select", 0, IF($AQ16 = "Mangrove Forest", VLOOKUP(clim_moist, IPCC!$A$1502:$J$1511, 8, FALSE),   VLOOKUP($AQ16, IPCC!$A$643:$B$677, 2, FALSE)))</f>
        <v>0</v>
      </c>
      <c r="BD16" s="4135"/>
      <c r="BE16" s="2000">
        <f>IF($AQ16 = "Please select", 0, IF($AQ16= "Mangrove Forest", VLOOKUP(clim_moist, IPCC!$A$1502:$J$1511, 9, FALSE),  VLOOKUP($AQ16, IPCC!$A$643:$C$677, 3, FALSE)))</f>
        <v>0</v>
      </c>
      <c r="BF16" s="4135"/>
      <c r="BG16" s="1801"/>
      <c r="BH16" s="2000">
        <f>IF($AQ16 = "Please select", 0, IF($AQ16="Mangrove Forest",VLOOKUP(clim_moist,IPCC!$A$1502:$J$1511,10,FALSE), SOCref))</f>
        <v>0</v>
      </c>
      <c r="BI16" s="4135"/>
      <c r="BJ16" s="1801"/>
      <c r="BK16" s="2003">
        <f>degradation!T28</f>
        <v>1</v>
      </c>
      <c r="BL16" s="4092"/>
      <c r="BM16" s="4136"/>
      <c r="BN16" s="4092"/>
      <c r="BO16" s="1801"/>
      <c r="BQ16" s="4363">
        <v>1</v>
      </c>
      <c r="BR16" s="4364"/>
      <c r="BS16" s="1996"/>
    </row>
    <row r="17" spans="2:71" ht="15" customHeight="1" x14ac:dyDescent="0.2">
      <c r="B17" s="1781"/>
      <c r="C17" s="2129" t="s">
        <v>57</v>
      </c>
      <c r="D17" s="1781"/>
      <c r="E17" s="2131" t="s">
        <v>57</v>
      </c>
      <c r="F17" s="1781"/>
      <c r="G17" s="2131" t="s">
        <v>57</v>
      </c>
      <c r="H17" s="1806"/>
      <c r="I17" s="2131" t="s">
        <v>57</v>
      </c>
      <c r="J17" s="1781"/>
      <c r="K17" s="2129" t="s">
        <v>85</v>
      </c>
      <c r="L17" s="1781"/>
      <c r="M17" s="2129" t="s">
        <v>85</v>
      </c>
      <c r="N17" s="1781"/>
      <c r="O17" s="2131">
        <v>1</v>
      </c>
      <c r="P17" s="1781"/>
      <c r="Q17" s="2131">
        <v>1</v>
      </c>
      <c r="R17" s="1781"/>
      <c r="S17" s="4420">
        <v>0.01</v>
      </c>
      <c r="T17" s="1781"/>
      <c r="U17" s="4420">
        <v>0.01</v>
      </c>
      <c r="V17" s="1781"/>
      <c r="W17" s="2103">
        <v>0</v>
      </c>
      <c r="X17" s="1841">
        <f>degradation!$E59</f>
        <v>0</v>
      </c>
      <c r="Y17" s="4098" t="s">
        <v>86</v>
      </c>
      <c r="Z17" s="1841">
        <f>degradation!$G59</f>
        <v>0</v>
      </c>
      <c r="AA17" s="4134" t="s">
        <v>86</v>
      </c>
      <c r="AB17" s="1826"/>
      <c r="AC17" s="1841">
        <f>degradation!Q59</f>
        <v>0</v>
      </c>
      <c r="AD17" s="1841">
        <f>degradation!R59</f>
        <v>0</v>
      </c>
      <c r="AE17" s="1781"/>
      <c r="AF17" s="1806">
        <f>degradation!S59</f>
        <v>0</v>
      </c>
      <c r="AG17" s="1781"/>
      <c r="AP17" s="1801"/>
      <c r="AQ17" s="1801" t="str">
        <f t="shared" si="1"/>
        <v>Please select</v>
      </c>
      <c r="AR17" s="4295" t="str">
        <f>VLOOKUP($E17, list!$O$7:$P$13, 2, FALSE)</f>
        <v>?</v>
      </c>
      <c r="AS17" s="4269"/>
      <c r="AT17" s="4295" t="str">
        <f>VLOOKUP($G17, list!$O$7:$P$13, 2, FALSE)</f>
        <v>?</v>
      </c>
      <c r="AU17" s="4269"/>
      <c r="AV17" s="4295" t="str">
        <f>VLOOKUP($I17, list!$O$7:$P$13, 2, FALSE)</f>
        <v>?</v>
      </c>
      <c r="AW17" s="4269"/>
      <c r="AX17" s="1801"/>
      <c r="AY17" s="2000">
        <f>IF($AQ17 = "Please select", 0, IF($AQ17="Mangrove Forest",VLOOKUP(clim_moist,IPCC!$A$1502:$G$1510,4,FALSE),INDEX(IPCC!$B$591:$AK$606,MATCH(continent_selected,IPCC!$A$591:$A$606,0),MATCH($AQ17,IPCC!$B$590:$AK$590,0))*0.47))</f>
        <v>0</v>
      </c>
      <c r="AZ17" s="4135"/>
      <c r="BA17" s="2003">
        <f>IF($AQ17 = "Please select", 0, IF($AQ17="Mangrove Forest",VLOOKUP(clim_moist,IPCC!$A$1502:$G$1510,7,FALSE),IF(OR($AY17/0.47&lt;=125,$AY17/0.47&lt;=75),INDEX(IPCC!$B$618:$AI$633,MATCH(continent_selected,IPCC!$A$618:$A$633,0),MATCH($AQ17,IPCC!$B$616:$AI$616,0)),(IF(OR($AY17/0.47&gt;125,$AY17/0.47&gt;75),INDEX(IPCC!$AJ$618:$BS$633,MATCH(continent_selected,IPCC!$A$618:$A$633,0),MATCH($AQ17,IPCC!$AJ$616:$BS$616,0)),"")))*$AY17))</f>
        <v>0</v>
      </c>
      <c r="BB17" s="4135"/>
      <c r="BC17" s="2000">
        <f>IF($AQ17 = "Please select", 0, IF($AQ17 = "Mangrove Forest", VLOOKUP(clim_moist, IPCC!$A$1502:$J$1511, 8, FALSE),   VLOOKUP($AQ17, IPCC!$A$643:$B$677, 2, FALSE)))</f>
        <v>0</v>
      </c>
      <c r="BD17" s="4135"/>
      <c r="BE17" s="2000">
        <f>IF($AQ17 = "Please select", 0, IF($AQ17= "Mangrove Forest", VLOOKUP(clim_moist, IPCC!$A$1502:$J$1511, 9, FALSE),  VLOOKUP($AQ17, IPCC!$A$643:$C$677, 3, FALSE)))</f>
        <v>0</v>
      </c>
      <c r="BF17" s="4135"/>
      <c r="BG17" s="1801"/>
      <c r="BH17" s="2000">
        <f>IF($AQ17 = "Please select", 0, IF($AQ17="Mangrove Forest",VLOOKUP(clim_moist,IPCC!$A$1502:$J$1511,10,FALSE), SOCref))</f>
        <v>0</v>
      </c>
      <c r="BI17" s="4135"/>
      <c r="BJ17" s="1801"/>
      <c r="BK17" s="2003">
        <f>degradation!T29</f>
        <v>1</v>
      </c>
      <c r="BL17" s="4092"/>
      <c r="BM17" s="4136"/>
      <c r="BN17" s="4092"/>
      <c r="BO17" s="1801"/>
      <c r="BQ17" s="4363">
        <v>1</v>
      </c>
      <c r="BR17" s="4364"/>
      <c r="BS17" s="1996"/>
    </row>
    <row r="18" spans="2:71" ht="15" customHeight="1" x14ac:dyDescent="0.2">
      <c r="B18" s="1781"/>
      <c r="C18" s="2129" t="s">
        <v>57</v>
      </c>
      <c r="D18" s="1781"/>
      <c r="E18" s="2131" t="s">
        <v>57</v>
      </c>
      <c r="F18" s="1781"/>
      <c r="G18" s="2131" t="s">
        <v>57</v>
      </c>
      <c r="H18" s="1806"/>
      <c r="I18" s="2131" t="s">
        <v>57</v>
      </c>
      <c r="J18" s="1781"/>
      <c r="K18" s="2129" t="s">
        <v>85</v>
      </c>
      <c r="L18" s="1781"/>
      <c r="M18" s="2129" t="s">
        <v>85</v>
      </c>
      <c r="N18" s="1781"/>
      <c r="O18" s="2131">
        <v>1</v>
      </c>
      <c r="P18" s="1781"/>
      <c r="Q18" s="2131">
        <v>1</v>
      </c>
      <c r="R18" s="1781"/>
      <c r="S18" s="4420">
        <v>0.01</v>
      </c>
      <c r="T18" s="1781"/>
      <c r="U18" s="4420">
        <v>0.01</v>
      </c>
      <c r="V18" s="1781"/>
      <c r="W18" s="2103">
        <v>0</v>
      </c>
      <c r="X18" s="1841">
        <f>degradation!$E60</f>
        <v>0</v>
      </c>
      <c r="Y18" s="4098" t="s">
        <v>86</v>
      </c>
      <c r="Z18" s="1841">
        <f>degradation!$G60</f>
        <v>0</v>
      </c>
      <c r="AA18" s="4134" t="s">
        <v>86</v>
      </c>
      <c r="AB18" s="1826"/>
      <c r="AC18" s="1841">
        <f>degradation!Q60</f>
        <v>0</v>
      </c>
      <c r="AD18" s="1841">
        <f>degradation!R60</f>
        <v>0</v>
      </c>
      <c r="AE18" s="1781"/>
      <c r="AF18" s="1806">
        <f>degradation!S60</f>
        <v>0</v>
      </c>
      <c r="AG18" s="1781"/>
      <c r="AP18" s="1801"/>
      <c r="AQ18" s="1801" t="str">
        <f t="shared" si="1"/>
        <v>Please select</v>
      </c>
      <c r="AR18" s="4295" t="str">
        <f>VLOOKUP($E18, list!$O$7:$P$13, 2, FALSE)</f>
        <v>?</v>
      </c>
      <c r="AS18" s="4269"/>
      <c r="AT18" s="4295" t="str">
        <f>VLOOKUP($G18, list!$O$7:$P$13, 2, FALSE)</f>
        <v>?</v>
      </c>
      <c r="AU18" s="4269"/>
      <c r="AV18" s="4295" t="str">
        <f>VLOOKUP($I18, list!$O$7:$P$13, 2, FALSE)</f>
        <v>?</v>
      </c>
      <c r="AW18" s="4269"/>
      <c r="AX18" s="1801"/>
      <c r="AY18" s="2000">
        <f>IF($AQ18 = "Please select", 0, IF($AQ18="Mangrove Forest",VLOOKUP(clim_moist,IPCC!$A$1502:$G$1510,4,FALSE),INDEX(IPCC!$B$591:$AK$606,MATCH(continent_selected,IPCC!$A$591:$A$606,0),MATCH($AQ18,IPCC!$B$590:$AK$590,0))*0.47))</f>
        <v>0</v>
      </c>
      <c r="AZ18" s="4135"/>
      <c r="BA18" s="2003">
        <f>IF($AQ18 = "Please select", 0, IF($AQ18="Mangrove Forest",VLOOKUP(clim_moist,IPCC!$A$1502:$G$1510,7,FALSE),IF(OR($AY18/0.47&lt;=125,$AY18/0.47&lt;=75),INDEX(IPCC!$B$618:$AI$633,MATCH(continent_selected,IPCC!$A$618:$A$633,0),MATCH($AQ18,IPCC!$B$616:$AI$616,0)),(IF(OR($AY18/0.47&gt;125,$AY18/0.47&gt;75),INDEX(IPCC!$AJ$618:$BS$633,MATCH(continent_selected,IPCC!$A$618:$A$633,0),MATCH($AQ18,IPCC!$AJ$616:$BS$616,0)),"")))*$AY18))</f>
        <v>0</v>
      </c>
      <c r="BB18" s="4135"/>
      <c r="BC18" s="2000">
        <f>IF($AQ18 = "Please select", 0, IF($AQ18 = "Mangrove Forest", VLOOKUP(clim_moist, IPCC!$A$1502:$J$1511, 8, FALSE),   VLOOKUP($AQ18, IPCC!$A$643:$B$677, 2, FALSE)))</f>
        <v>0</v>
      </c>
      <c r="BD18" s="4135"/>
      <c r="BE18" s="2000">
        <f>IF($AQ18 = "Please select", 0, IF($AQ18= "Mangrove Forest", VLOOKUP(clim_moist, IPCC!$A$1502:$J$1511, 9, FALSE),  VLOOKUP($AQ18, IPCC!$A$643:$C$677, 3, FALSE)))</f>
        <v>0</v>
      </c>
      <c r="BF18" s="4135"/>
      <c r="BG18" s="1801"/>
      <c r="BH18" s="2000">
        <f>IF($AQ18 = "Please select", 0, IF($AQ18="Mangrove Forest",VLOOKUP(clim_moist,IPCC!$A$1502:$J$1511,10,FALSE), SOCref))</f>
        <v>0</v>
      </c>
      <c r="BI18" s="4135"/>
      <c r="BJ18" s="1801"/>
      <c r="BK18" s="2003">
        <f>degradation!T30</f>
        <v>1</v>
      </c>
      <c r="BL18" s="4092"/>
      <c r="BM18" s="4136"/>
      <c r="BN18" s="4092"/>
      <c r="BO18" s="1801"/>
      <c r="BQ18" s="4363">
        <v>1</v>
      </c>
      <c r="BR18" s="4364"/>
      <c r="BS18" s="1996"/>
    </row>
    <row r="19" spans="2:71" ht="15" customHeight="1" x14ac:dyDescent="0.2">
      <c r="B19" s="1781"/>
      <c r="C19" s="2129" t="s">
        <v>57</v>
      </c>
      <c r="D19" s="1781"/>
      <c r="E19" s="2131" t="s">
        <v>57</v>
      </c>
      <c r="F19" s="1781"/>
      <c r="G19" s="2131" t="s">
        <v>57</v>
      </c>
      <c r="H19" s="1806"/>
      <c r="I19" s="2131" t="s">
        <v>57</v>
      </c>
      <c r="J19" s="1781"/>
      <c r="K19" s="2129" t="s">
        <v>85</v>
      </c>
      <c r="L19" s="1781"/>
      <c r="M19" s="2129" t="s">
        <v>85</v>
      </c>
      <c r="N19" s="1781"/>
      <c r="O19" s="2131">
        <v>1</v>
      </c>
      <c r="P19" s="1781"/>
      <c r="Q19" s="2131">
        <v>1</v>
      </c>
      <c r="R19" s="1781"/>
      <c r="S19" s="4420">
        <v>0.01</v>
      </c>
      <c r="T19" s="1781"/>
      <c r="U19" s="4420">
        <v>0.01</v>
      </c>
      <c r="V19" s="1781"/>
      <c r="W19" s="2103">
        <v>0</v>
      </c>
      <c r="X19" s="1841">
        <f>degradation!$E61</f>
        <v>0</v>
      </c>
      <c r="Y19" s="4098" t="s">
        <v>86</v>
      </c>
      <c r="Z19" s="1841">
        <f>degradation!$G61</f>
        <v>0</v>
      </c>
      <c r="AA19" s="4134" t="s">
        <v>86</v>
      </c>
      <c r="AB19" s="1826"/>
      <c r="AC19" s="1841">
        <f>degradation!Q61</f>
        <v>0</v>
      </c>
      <c r="AD19" s="1841">
        <f>degradation!R61</f>
        <v>0</v>
      </c>
      <c r="AE19" s="1781"/>
      <c r="AF19" s="1806">
        <f>degradation!S61</f>
        <v>0</v>
      </c>
      <c r="AG19" s="1781"/>
      <c r="AP19" s="1801"/>
      <c r="AQ19" s="1801" t="str">
        <f t="shared" si="1"/>
        <v>Please select</v>
      </c>
      <c r="AR19" s="4295" t="str">
        <f>VLOOKUP($E19, list!$O$7:$P$13, 2, FALSE)</f>
        <v>?</v>
      </c>
      <c r="AS19" s="4269"/>
      <c r="AT19" s="4295" t="str">
        <f>VLOOKUP($G19, list!$O$7:$P$13, 2, FALSE)</f>
        <v>?</v>
      </c>
      <c r="AU19" s="4269"/>
      <c r="AV19" s="4295" t="str">
        <f>VLOOKUP($I19, list!$O$7:$P$13, 2, FALSE)</f>
        <v>?</v>
      </c>
      <c r="AW19" s="4269"/>
      <c r="AX19" s="1801"/>
      <c r="AY19" s="2000">
        <f>IF($AQ19 = "Please select", 0, IF($AQ19="Mangrove Forest",VLOOKUP(clim_moist,IPCC!$A$1502:$G$1510,4,FALSE),INDEX(IPCC!$B$591:$AK$606,MATCH(continent_selected,IPCC!$A$591:$A$606,0),MATCH($AQ19,IPCC!$B$590:$AK$590,0))*0.47))</f>
        <v>0</v>
      </c>
      <c r="AZ19" s="4135"/>
      <c r="BA19" s="2003">
        <f>IF($AQ19 = "Please select", 0, IF($AQ19="Mangrove Forest",VLOOKUP(clim_moist,IPCC!$A$1502:$G$1510,7,FALSE),IF(OR($AY19/0.47&lt;=125,$AY19/0.47&lt;=75),INDEX(IPCC!$B$618:$AI$633,MATCH(continent_selected,IPCC!$A$618:$A$633,0),MATCH($AQ19,IPCC!$B$616:$AI$616,0)),(IF(OR($AY19/0.47&gt;125,$AY19/0.47&gt;75),INDEX(IPCC!$AJ$618:$BS$633,MATCH(continent_selected,IPCC!$A$618:$A$633,0),MATCH($AQ19,IPCC!$AJ$616:$BS$616,0)),"")))*$AY19))</f>
        <v>0</v>
      </c>
      <c r="BB19" s="4135"/>
      <c r="BC19" s="2000">
        <f>IF($AQ19 = "Please select", 0, IF($AQ19 = "Mangrove Forest", VLOOKUP(clim_moist, IPCC!$A$1502:$J$1511, 8, FALSE),   VLOOKUP($AQ19, IPCC!$A$643:$B$677, 2, FALSE)))</f>
        <v>0</v>
      </c>
      <c r="BD19" s="4135"/>
      <c r="BE19" s="2000">
        <f>IF($AQ19 = "Please select", 0, IF($AQ19= "Mangrove Forest", VLOOKUP(clim_moist, IPCC!$A$1502:$J$1511, 9, FALSE),  VLOOKUP($AQ19, IPCC!$A$643:$C$677, 3, FALSE)))</f>
        <v>0</v>
      </c>
      <c r="BF19" s="4135"/>
      <c r="BG19" s="1801"/>
      <c r="BH19" s="2000">
        <f>IF($AQ19 = "Please select", 0, IF($AQ19="Mangrove Forest",VLOOKUP(clim_moist,IPCC!$A$1502:$J$1511,10,FALSE), SOCref))</f>
        <v>0</v>
      </c>
      <c r="BI19" s="4135"/>
      <c r="BJ19" s="1801"/>
      <c r="BK19" s="2003">
        <f>degradation!T31</f>
        <v>1</v>
      </c>
      <c r="BL19" s="4092"/>
      <c r="BM19" s="4136"/>
      <c r="BN19" s="4092"/>
      <c r="BO19" s="1801"/>
      <c r="BQ19" s="4363">
        <v>1</v>
      </c>
      <c r="BR19" s="4364"/>
      <c r="BS19" s="1996"/>
    </row>
    <row r="20" spans="2:71" ht="15" customHeight="1" x14ac:dyDescent="0.2">
      <c r="B20" s="1781"/>
      <c r="C20" s="2129" t="s">
        <v>57</v>
      </c>
      <c r="D20" s="1781"/>
      <c r="E20" s="2131" t="s">
        <v>57</v>
      </c>
      <c r="F20" s="1781"/>
      <c r="G20" s="2131" t="s">
        <v>57</v>
      </c>
      <c r="H20" s="1806"/>
      <c r="I20" s="2131" t="s">
        <v>57</v>
      </c>
      <c r="J20" s="1836"/>
      <c r="K20" s="2129" t="s">
        <v>85</v>
      </c>
      <c r="L20" s="1781"/>
      <c r="M20" s="2129" t="s">
        <v>85</v>
      </c>
      <c r="N20" s="1781"/>
      <c r="O20" s="2131">
        <v>1</v>
      </c>
      <c r="P20" s="1781"/>
      <c r="Q20" s="2131">
        <v>1</v>
      </c>
      <c r="R20" s="1781"/>
      <c r="S20" s="4420">
        <v>0.01</v>
      </c>
      <c r="T20" s="1781"/>
      <c r="U20" s="4420">
        <v>0.01</v>
      </c>
      <c r="V20" s="1781"/>
      <c r="W20" s="2103">
        <v>0</v>
      </c>
      <c r="X20" s="1841">
        <f>degradation!$E62</f>
        <v>0</v>
      </c>
      <c r="Y20" s="4098" t="s">
        <v>86</v>
      </c>
      <c r="Z20" s="1841">
        <f>degradation!$G62</f>
        <v>0</v>
      </c>
      <c r="AA20" s="4134" t="s">
        <v>86</v>
      </c>
      <c r="AB20" s="1826"/>
      <c r="AC20" s="1841">
        <f>degradation!Q62</f>
        <v>0</v>
      </c>
      <c r="AD20" s="1841">
        <f>degradation!R62</f>
        <v>0</v>
      </c>
      <c r="AE20" s="1781"/>
      <c r="AF20" s="1806">
        <f>degradation!S62</f>
        <v>0</v>
      </c>
      <c r="AG20" s="1781"/>
      <c r="AP20" s="1801"/>
      <c r="AQ20" s="1801" t="str">
        <f t="shared" si="1"/>
        <v>Please select</v>
      </c>
      <c r="AR20" s="4295" t="str">
        <f>VLOOKUP($E20, list!$O$7:$P$13, 2, FALSE)</f>
        <v>?</v>
      </c>
      <c r="AS20" s="4269"/>
      <c r="AT20" s="4295" t="str">
        <f>VLOOKUP($G20, list!$O$7:$P$13, 2, FALSE)</f>
        <v>?</v>
      </c>
      <c r="AU20" s="4269"/>
      <c r="AV20" s="4295" t="str">
        <f>VLOOKUP($I20, list!$O$7:$P$13, 2, FALSE)</f>
        <v>?</v>
      </c>
      <c r="AW20" s="4269"/>
      <c r="AX20" s="1801"/>
      <c r="AY20" s="2000">
        <f>IF($AQ20 = "Please select", 0, IF($AQ20="Mangrove Forest",VLOOKUP(clim_moist,IPCC!$A$1502:$G$1510,4,FALSE),INDEX(IPCC!$B$591:$AK$606,MATCH(continent_selected,IPCC!$A$591:$A$606,0),MATCH($AQ20,IPCC!$B$590:$AK$590,0))*0.47))</f>
        <v>0</v>
      </c>
      <c r="AZ20" s="4135"/>
      <c r="BA20" s="2003">
        <f>IF($AQ20 = "Please select", 0, IF($AQ20="Mangrove Forest",VLOOKUP(clim_moist,IPCC!$A$1502:$G$1510,7,FALSE),IF(OR($AY20/0.47&lt;=125,$AY20/0.47&lt;=75),INDEX(IPCC!$B$618:$AI$633,MATCH(continent_selected,IPCC!$A$618:$A$633,0),MATCH($AQ20,IPCC!$B$616:$AI$616,0)),(IF(OR($AY20/0.47&gt;125,$AY20/0.47&gt;75),INDEX(IPCC!$AJ$618:$BS$633,MATCH(continent_selected,IPCC!$A$618:$A$633,0),MATCH($AQ20,IPCC!$AJ$616:$BS$616,0)),"")))*$AY20))</f>
        <v>0</v>
      </c>
      <c r="BB20" s="4135"/>
      <c r="BC20" s="2000">
        <f>IF($AQ20 = "Please select", 0, IF($AQ20 = "Mangrove Forest", VLOOKUP(clim_moist, IPCC!$A$1502:$J$1511, 8, FALSE),   VLOOKUP($AQ20, IPCC!$A$643:$B$677, 2, FALSE)))</f>
        <v>0</v>
      </c>
      <c r="BD20" s="4135"/>
      <c r="BE20" s="2000">
        <f>IF($AQ20 = "Please select", 0, IF($AQ20= "Mangrove Forest", VLOOKUP(clim_moist, IPCC!$A$1502:$J$1511, 9, FALSE),  VLOOKUP($AQ20, IPCC!$A$643:$C$677, 3, FALSE)))</f>
        <v>0</v>
      </c>
      <c r="BF20" s="4135"/>
      <c r="BG20" s="1801"/>
      <c r="BH20" s="2000">
        <f>IF($AQ20 = "Please select", 0, IF($AQ20="Mangrove Forest",VLOOKUP(clim_moist,IPCC!$A$1502:$J$1511,10,FALSE), SOCref))</f>
        <v>0</v>
      </c>
      <c r="BI20" s="4135"/>
      <c r="BJ20" s="1801"/>
      <c r="BK20" s="2003">
        <f>degradation!T32</f>
        <v>1</v>
      </c>
      <c r="BL20" s="4092"/>
      <c r="BM20" s="4136"/>
      <c r="BN20" s="4092"/>
      <c r="BO20" s="1801"/>
      <c r="BQ20" s="4363">
        <v>1</v>
      </c>
      <c r="BR20" s="4364"/>
      <c r="BS20" s="1996"/>
    </row>
    <row r="21" spans="2:71" x14ac:dyDescent="0.2">
      <c r="B21" s="1781"/>
      <c r="C21" s="1781"/>
      <c r="D21" s="1781"/>
      <c r="E21" s="1781"/>
      <c r="F21" s="1781"/>
      <c r="G21" s="1781"/>
      <c r="H21" s="1781"/>
      <c r="I21" s="1781"/>
      <c r="J21" s="1836"/>
      <c r="K21" s="1781"/>
      <c r="L21" s="1781"/>
      <c r="M21" s="1781"/>
      <c r="N21" s="1781"/>
      <c r="O21" s="1781"/>
      <c r="P21" s="1781"/>
      <c r="Q21" s="1781"/>
      <c r="R21" s="1781"/>
      <c r="S21" s="1781"/>
      <c r="T21" s="1781"/>
      <c r="U21" s="1781"/>
      <c r="V21" s="1781"/>
      <c r="W21" s="1781"/>
      <c r="X21" s="1781"/>
      <c r="Y21" s="1781"/>
      <c r="Z21" s="1781"/>
      <c r="AA21" s="1781"/>
      <c r="AB21" s="1781"/>
      <c r="AC21" s="1781"/>
      <c r="AD21" s="1781"/>
      <c r="AE21" s="1781"/>
      <c r="AF21" s="1806"/>
      <c r="AG21" s="1781"/>
      <c r="AP21" s="1801"/>
      <c r="AQ21" s="1801"/>
      <c r="AR21" s="1801"/>
      <c r="AS21" s="1801"/>
      <c r="AT21" s="1801"/>
      <c r="AU21" s="1801"/>
      <c r="AV21" s="1801"/>
      <c r="AW21" s="1801"/>
      <c r="AX21" s="1801"/>
      <c r="AY21" s="1801"/>
      <c r="AZ21" s="1801"/>
      <c r="BA21" s="1801"/>
      <c r="BB21" s="1801"/>
      <c r="BC21" s="1801"/>
      <c r="BD21" s="1801"/>
      <c r="BE21" s="1801"/>
      <c r="BF21" s="1801"/>
      <c r="BG21" s="1801"/>
      <c r="BH21" s="1801"/>
      <c r="BI21" s="1801"/>
      <c r="BJ21" s="1801"/>
      <c r="BK21" s="1801"/>
      <c r="BL21" s="1801"/>
      <c r="BM21" s="1801"/>
      <c r="BN21" s="1801"/>
      <c r="BO21" s="1801"/>
      <c r="BQ21" s="1996"/>
      <c r="BR21" s="1996"/>
      <c r="BS21" s="1996"/>
    </row>
    <row r="22" spans="2:71" ht="15" customHeight="1" x14ac:dyDescent="0.2">
      <c r="B22" s="1781"/>
      <c r="C22" s="1781"/>
      <c r="D22" s="1781"/>
      <c r="E22" s="1781"/>
      <c r="F22" s="1781"/>
      <c r="G22" s="1781"/>
      <c r="H22" s="1781"/>
      <c r="I22" s="1781"/>
      <c r="J22" s="1781"/>
      <c r="K22" s="1781"/>
      <c r="L22" s="1781"/>
      <c r="M22" s="1781"/>
      <c r="N22" s="1781"/>
      <c r="O22" s="1781"/>
      <c r="P22" s="1781"/>
      <c r="Q22" s="1781"/>
      <c r="R22" s="1781"/>
      <c r="S22" s="1781"/>
      <c r="T22" s="1781"/>
      <c r="U22" s="1781"/>
      <c r="V22" s="1781"/>
      <c r="W22" s="1781"/>
      <c r="X22" s="2016"/>
      <c r="Y22" s="1781"/>
      <c r="Z22" s="1792"/>
      <c r="AA22" s="1826"/>
      <c r="AB22" s="1781"/>
      <c r="AC22" s="1781"/>
      <c r="AD22" s="1781"/>
      <c r="AE22" s="1781"/>
      <c r="AF22" s="1806"/>
      <c r="AG22" s="1781"/>
      <c r="AP22" s="1782"/>
      <c r="AQ22" s="1782"/>
      <c r="AR22" s="1782"/>
      <c r="AS22" s="1782"/>
      <c r="AT22" s="1782"/>
      <c r="AU22" s="1782"/>
      <c r="AV22" s="1782"/>
      <c r="AW22" s="1782"/>
      <c r="AX22" s="1782"/>
      <c r="AY22" s="1782"/>
      <c r="AZ22" s="1782"/>
      <c r="BA22" s="1782"/>
      <c r="BB22" s="1782"/>
      <c r="BC22" s="1782"/>
      <c r="BD22" s="1782"/>
      <c r="BE22" s="1782"/>
      <c r="BF22" s="1782"/>
      <c r="BG22" s="1782"/>
      <c r="BH22" s="1782"/>
      <c r="BI22" s="1782"/>
      <c r="BJ22" s="1782"/>
      <c r="BK22" s="1782"/>
      <c r="BL22" s="1782"/>
      <c r="BM22" s="1782"/>
      <c r="BN22" s="1782"/>
      <c r="BO22" s="1782"/>
      <c r="BQ22" s="4548" t="s">
        <v>87</v>
      </c>
      <c r="BR22" s="4548"/>
      <c r="BS22" s="4548"/>
    </row>
    <row r="23" spans="2:71" x14ac:dyDescent="0.2">
      <c r="B23" s="1781"/>
      <c r="C23" s="1781"/>
      <c r="D23" s="1781"/>
      <c r="E23" s="1781"/>
      <c r="F23" s="1781"/>
      <c r="G23" s="1781"/>
      <c r="H23" s="1781"/>
      <c r="I23" s="1781"/>
      <c r="J23" s="1781"/>
      <c r="K23" s="1781"/>
      <c r="L23" s="1781"/>
      <c r="M23" s="1781"/>
      <c r="N23" s="1781"/>
      <c r="O23" s="1781"/>
      <c r="P23" s="1781"/>
      <c r="Q23" s="1781"/>
      <c r="R23" s="1781"/>
      <c r="S23" s="1781"/>
      <c r="T23" s="1781"/>
      <c r="U23" s="1781"/>
      <c r="V23" s="1781"/>
      <c r="W23" s="1781"/>
      <c r="X23" s="1781"/>
      <c r="Y23" s="1781"/>
      <c r="Z23" s="1781"/>
      <c r="AA23" s="1781"/>
      <c r="AB23" s="1781"/>
      <c r="AC23" s="1781"/>
      <c r="AD23" s="1781"/>
      <c r="AE23" s="1781"/>
      <c r="AF23" s="1806"/>
      <c r="AG23" s="1781"/>
      <c r="AP23" s="1782"/>
      <c r="AQ23" s="1801" t="str">
        <f>Languages!B20</f>
        <v>Use this part only if you want to refine the analysis at Tier 2</v>
      </c>
      <c r="AR23" s="1782"/>
      <c r="AS23" s="1782"/>
      <c r="AT23" s="1782"/>
      <c r="AU23" s="1782"/>
      <c r="AV23" s="1782"/>
      <c r="AW23" s="1782"/>
      <c r="AX23" s="1782"/>
      <c r="AY23" s="1782"/>
      <c r="AZ23" s="1782"/>
      <c r="BA23" s="1782"/>
      <c r="BB23" s="1782"/>
      <c r="BC23" s="1782"/>
      <c r="BD23" s="1782"/>
      <c r="BE23" s="1782"/>
      <c r="BF23" s="1782"/>
      <c r="BG23" s="1782"/>
      <c r="BH23" s="1782"/>
      <c r="BI23" s="1782"/>
      <c r="BJ23" s="1782"/>
      <c r="BK23" s="1782"/>
      <c r="BL23" s="1782"/>
      <c r="BM23" s="1782"/>
      <c r="BN23" s="1782"/>
      <c r="BO23" s="1782"/>
      <c r="BQ23" s="4548"/>
      <c r="BR23" s="4548"/>
      <c r="BS23" s="4548"/>
    </row>
    <row r="24" spans="2:71" x14ac:dyDescent="0.2">
      <c r="B24" s="1781"/>
      <c r="C24" s="1781"/>
      <c r="D24" s="1781"/>
      <c r="E24" s="1781"/>
      <c r="F24" s="1781"/>
      <c r="G24" s="1781"/>
      <c r="H24" s="1781"/>
      <c r="I24" s="1781"/>
      <c r="J24" s="1781"/>
      <c r="K24" s="1781"/>
      <c r="L24" s="1781"/>
      <c r="M24" s="1781"/>
      <c r="N24" s="1781"/>
      <c r="O24" s="1781"/>
      <c r="P24" s="1781"/>
      <c r="Q24" s="1781"/>
      <c r="R24" s="1853"/>
      <c r="S24" s="1853"/>
      <c r="T24" s="1853"/>
      <c r="U24" s="1853"/>
      <c r="V24" s="1853"/>
      <c r="W24" s="1853"/>
      <c r="X24" s="1853"/>
      <c r="Y24" s="1853"/>
      <c r="Z24" s="1853"/>
      <c r="AA24" s="1853"/>
      <c r="AB24" s="2018" t="str">
        <f>Languages!B615</f>
        <v>Total forest degradation and management (tCO2-e)</v>
      </c>
      <c r="AC24" s="2035">
        <f>degradation!Q65</f>
        <v>0</v>
      </c>
      <c r="AD24" s="2035">
        <f>degradation!R65</f>
        <v>0</v>
      </c>
      <c r="AE24" s="1853"/>
      <c r="AF24" s="2036">
        <f>degradation!S65</f>
        <v>0</v>
      </c>
      <c r="AG24" s="1781"/>
      <c r="AP24" s="1782"/>
      <c r="AQ24" s="1801" t="str">
        <f>Languages!B21</f>
        <v>IPCC default values are provided for your information only; EX-ACT will use Tier 2 values automatically wherever specified.</v>
      </c>
      <c r="AR24" s="1782"/>
      <c r="AS24" s="1782"/>
      <c r="AT24" s="1782"/>
      <c r="AU24" s="1782"/>
      <c r="AV24" s="1782"/>
      <c r="AW24" s="1782"/>
      <c r="AX24" s="1782"/>
      <c r="AY24" s="1782"/>
      <c r="AZ24" s="1782"/>
      <c r="BA24" s="1782"/>
      <c r="BB24" s="1782"/>
      <c r="BC24" s="1782"/>
      <c r="BD24" s="1782"/>
      <c r="BE24" s="1782"/>
      <c r="BF24" s="1782"/>
      <c r="BG24" s="1782"/>
      <c r="BH24" s="1782"/>
      <c r="BI24" s="1782"/>
      <c r="BJ24" s="1782"/>
      <c r="BK24" s="1782"/>
      <c r="BL24" s="1782"/>
      <c r="BM24" s="1782"/>
      <c r="BN24" s="1782"/>
      <c r="BO24" s="1782"/>
      <c r="BQ24" s="4548"/>
      <c r="BR24" s="4548"/>
      <c r="BS24" s="4548"/>
    </row>
    <row r="25" spans="2:71" x14ac:dyDescent="0.2">
      <c r="B25" s="1781"/>
      <c r="C25" s="1781"/>
      <c r="D25" s="1781"/>
      <c r="E25" s="1781"/>
      <c r="F25" s="1781"/>
      <c r="G25" s="1781"/>
      <c r="H25" s="1781"/>
      <c r="I25" s="1781"/>
      <c r="J25" s="1781"/>
      <c r="K25" s="1781"/>
      <c r="L25" s="1781"/>
      <c r="M25" s="1781"/>
      <c r="N25" s="1781"/>
      <c r="O25" s="1781"/>
      <c r="P25" s="1781"/>
      <c r="Q25" s="1781"/>
      <c r="R25" s="1781"/>
      <c r="S25" s="1781"/>
      <c r="T25" s="1781"/>
      <c r="U25" s="1781"/>
      <c r="V25" s="1781"/>
      <c r="W25" s="1781"/>
      <c r="X25" s="1781"/>
      <c r="Y25" s="1781"/>
      <c r="Z25" s="1781"/>
      <c r="AA25" s="1781"/>
      <c r="AB25" s="1781"/>
      <c r="AC25" s="1781"/>
      <c r="AD25" s="1781"/>
      <c r="AE25" s="1781"/>
      <c r="AF25" s="1781"/>
      <c r="AG25" s="1781"/>
      <c r="AP25" s="1782"/>
      <c r="AQ25" s="1782"/>
      <c r="AR25" s="1782"/>
      <c r="AS25" s="1782"/>
      <c r="AT25" s="1782"/>
      <c r="AU25" s="1782"/>
      <c r="AV25" s="1782"/>
      <c r="AW25" s="1782"/>
      <c r="AX25" s="1782"/>
      <c r="AY25" s="1782"/>
      <c r="AZ25" s="1782"/>
      <c r="BA25" s="1782"/>
      <c r="BB25" s="1782"/>
      <c r="BC25" s="1782"/>
      <c r="BD25" s="1782"/>
      <c r="BE25" s="1782"/>
      <c r="BF25" s="1782"/>
      <c r="BG25" s="1782"/>
      <c r="BH25" s="1782"/>
      <c r="BI25" s="1782"/>
      <c r="BJ25" s="1782"/>
      <c r="BK25" s="1782"/>
      <c r="BL25" s="1782"/>
      <c r="BM25" s="1782"/>
      <c r="BN25" s="1782"/>
      <c r="BO25" s="1782"/>
      <c r="BQ25" s="1996"/>
      <c r="BR25" s="1996"/>
      <c r="BS25" s="1996"/>
    </row>
    <row r="26" spans="2:71" ht="17.75" customHeight="1" x14ac:dyDescent="0.2">
      <c r="B26" s="1820" t="str">
        <f>Languages!B23</f>
        <v>*The selection of "D" corresponds to a default (linear) dynamics of change. Other selection options include "I" for immediate changes and "E" for exponential - please refer to the guidelines for further explanation of these assumptions.</v>
      </c>
      <c r="C26" s="1781"/>
      <c r="D26" s="1781"/>
      <c r="E26" s="1781"/>
      <c r="F26" s="1781"/>
      <c r="G26" s="1781"/>
      <c r="H26" s="1781"/>
      <c r="I26" s="1781"/>
      <c r="J26" s="1781"/>
      <c r="K26" s="1781"/>
      <c r="L26" s="1781"/>
      <c r="M26" s="1781"/>
      <c r="N26" s="1781"/>
      <c r="O26" s="1781"/>
      <c r="P26" s="1781"/>
      <c r="Q26" s="1781"/>
      <c r="R26" s="1781"/>
      <c r="S26" s="1781"/>
      <c r="T26" s="1781"/>
      <c r="U26" s="1781"/>
      <c r="V26" s="1781"/>
      <c r="W26" s="1781"/>
      <c r="X26" s="1781"/>
      <c r="Y26" s="1781"/>
      <c r="Z26" s="1781"/>
      <c r="AA26" s="1781"/>
      <c r="AB26" s="1781"/>
      <c r="AC26" s="1781"/>
      <c r="AD26" s="1781"/>
      <c r="AE26" s="1781"/>
      <c r="AF26" s="1781"/>
      <c r="AG26" s="1781"/>
      <c r="AP26" s="1782"/>
      <c r="AQ26" s="1782"/>
      <c r="AR26" s="1782"/>
      <c r="AS26" s="1782"/>
      <c r="AT26" s="1782"/>
      <c r="AU26" s="1782"/>
      <c r="AV26" s="1782"/>
      <c r="AW26" s="1782"/>
      <c r="AX26" s="1782"/>
      <c r="AY26" s="1782"/>
      <c r="AZ26" s="1782"/>
      <c r="BA26" s="1782"/>
      <c r="BB26" s="1782"/>
      <c r="BC26" s="1782"/>
      <c r="BD26" s="1782"/>
      <c r="BE26" s="1782"/>
      <c r="BF26" s="1782"/>
      <c r="BG26" s="1782"/>
      <c r="BH26" s="1782"/>
      <c r="BI26" s="1782"/>
      <c r="BJ26" s="1782"/>
      <c r="BK26" s="1782"/>
      <c r="BL26" s="1782"/>
      <c r="BM26" s="1782"/>
      <c r="BN26" s="1782"/>
      <c r="BO26" s="1782"/>
      <c r="BQ26" s="1996"/>
      <c r="BR26" s="1996"/>
      <c r="BS26" s="1996"/>
    </row>
    <row r="28" spans="2:71" x14ac:dyDescent="0.2">
      <c r="C28" s="1826" t="str">
        <f>Languages!B300</f>
        <v>Forest degradation level (biomass loss) reference values</v>
      </c>
      <c r="D28" s="1826"/>
      <c r="E28" s="1826"/>
      <c r="F28" s="4315"/>
      <c r="G28" s="4315"/>
    </row>
    <row r="29" spans="2:71" ht="50" customHeight="1" x14ac:dyDescent="0.2">
      <c r="C29" s="1826" t="str">
        <f>Languages!B301</f>
        <v>Degradation level</v>
      </c>
      <c r="D29" s="1826"/>
      <c r="E29" s="1929" t="str">
        <f>Languages!B308</f>
        <v>% of biomass lost</v>
      </c>
      <c r="F29" s="4315"/>
      <c r="G29" s="4315"/>
    </row>
    <row r="30" spans="2:71" x14ac:dyDescent="0.2">
      <c r="C30" s="1781" t="str">
        <f>Languages!B302</f>
        <v>None</v>
      </c>
      <c r="D30" s="1781"/>
      <c r="E30" s="4315">
        <v>0</v>
      </c>
      <c r="F30" s="4315"/>
      <c r="G30" s="4315"/>
    </row>
    <row r="31" spans="2:71" x14ac:dyDescent="0.2">
      <c r="C31" s="1781" t="str">
        <f>Languages!B303</f>
        <v>Very low</v>
      </c>
      <c r="D31" s="1781"/>
      <c r="E31" s="4315">
        <v>0.1</v>
      </c>
      <c r="F31" s="4315"/>
      <c r="G31" s="4315"/>
    </row>
    <row r="32" spans="2:71" x14ac:dyDescent="0.2">
      <c r="C32" s="1781" t="str">
        <f>Languages!B304</f>
        <v>Low</v>
      </c>
      <c r="D32" s="1781"/>
      <c r="E32" s="4315">
        <v>0.2</v>
      </c>
      <c r="F32" s="4315"/>
      <c r="G32" s="4315"/>
    </row>
    <row r="33" spans="3:7" x14ac:dyDescent="0.2">
      <c r="C33" s="1781" t="str">
        <f>Languages!B305</f>
        <v>Moderate</v>
      </c>
      <c r="D33" s="1781"/>
      <c r="E33" s="4315">
        <v>0.4</v>
      </c>
      <c r="F33" s="4315"/>
      <c r="G33" s="4315"/>
    </row>
    <row r="34" spans="3:7" x14ac:dyDescent="0.2">
      <c r="C34" s="1781" t="str">
        <f>Languages!B306</f>
        <v>Large</v>
      </c>
      <c r="D34" s="1781"/>
      <c r="E34" s="4315">
        <v>0.6</v>
      </c>
      <c r="F34" s="4315"/>
      <c r="G34" s="4315"/>
    </row>
    <row r="35" spans="3:7" ht="14" customHeight="1" x14ac:dyDescent="0.2">
      <c r="C35" s="1781" t="str">
        <f>Languages!B307</f>
        <v>Extreme</v>
      </c>
      <c r="D35" s="1781"/>
      <c r="E35" s="4315">
        <v>0.8</v>
      </c>
      <c r="F35" s="4315"/>
      <c r="G35" s="4315"/>
    </row>
    <row r="36" spans="3:7" ht="21.5" customHeight="1" x14ac:dyDescent="0.2"/>
    <row r="37" spans="3:7" ht="15" customHeight="1" x14ac:dyDescent="0.2"/>
    <row r="38" spans="3:7" ht="15" customHeight="1" x14ac:dyDescent="0.2"/>
    <row r="39" spans="3:7" ht="15" customHeight="1" x14ac:dyDescent="0.2"/>
    <row r="40" spans="3:7" ht="15" customHeight="1" x14ac:dyDescent="0.2"/>
    <row r="41" spans="3:7" ht="15" customHeight="1" x14ac:dyDescent="0.2"/>
    <row r="42" spans="3:7" ht="15" customHeight="1" x14ac:dyDescent="0.2"/>
    <row r="43" spans="3:7" ht="15" customHeight="1" x14ac:dyDescent="0.2"/>
    <row r="44" spans="3:7" ht="15" customHeight="1" x14ac:dyDescent="0.2"/>
    <row r="45" spans="3:7" ht="15" customHeight="1" x14ac:dyDescent="0.2"/>
    <row r="46" spans="3:7" ht="15" customHeight="1" x14ac:dyDescent="0.2"/>
  </sheetData>
  <sheetProtection algorithmName="SHA-512" hashValue="uc8PafzrN+PzQzbO+AGQLqOHtsqqIvBZssMr6geiPIBFHrmGeFCOzCswK3PSY5SyFdRpIbzaavc1+ct55Ph87Q==" saltValue="ZcJuV6xwsUslmche8U9jAw==" spinCount="100000" sheet="1" formatColumns="0"/>
  <mergeCells count="1">
    <mergeCell ref="BQ22:BS24"/>
  </mergeCells>
  <dataValidations count="3">
    <dataValidation type="decimal" operator="greaterThanOrEqual" allowBlank="1" showInputMessage="1" showErrorMessage="1" sqref="O13:O20 Q13:Q20" xr:uid="{00000000-0002-0000-0E00-000000000000}">
      <formula1>1</formula1>
    </dataValidation>
    <dataValidation type="decimal" operator="greaterThanOrEqual" allowBlank="1" showInputMessage="1" showErrorMessage="1" sqref="BL13:BO20 AS13:AS20 AU13:AU20 AW13:AW20 AZ13:AZ20 BB13:BB20 BD13:BD20 BF13:BG20 BI13:BI20 W13:W20" xr:uid="{00000000-0002-0000-0E00-000001000000}">
      <formula1>0</formula1>
    </dataValidation>
    <dataValidation type="decimal" errorStyle="warning" allowBlank="1" showInputMessage="1" showErrorMessage="1" error="Please ensure that the % of forest burnt is realistic considering the frequency of fires and the biomass availability throughout the project lifetime" sqref="S13:S20 U13:U20" xr:uid="{00000000-0002-0000-0E00-000002000000}">
      <formula1>0.01</formula1>
      <formula2>0.02</formula2>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E00-000003000000}">
          <x14:formula1>
            <xm:f>OFFSET(IPCC!$B$571, 1, MATCH(climate, IPCC!$B$571:$F$571,0)-1, COUNTA(OFFSET(IPCC!$B$571,1, MATCH(climate, IPCC!$B$571:$F$571,0)-1,10,1)), 1)</xm:f>
          </x14:formula1>
          <xm:sqref>C13:C20</xm:sqref>
        </x14:dataValidation>
        <x14:dataValidation type="list" allowBlank="1" showInputMessage="1" showErrorMessage="1" xr:uid="{00000000-0002-0000-0E00-000004000000}">
          <x14:formula1>
            <xm:f>list!$O$7:$O$13</xm:f>
          </x14:formula1>
          <xm:sqref>E13:E20 G13:G20 I13:I20</xm:sqref>
        </x14:dataValidation>
        <x14:dataValidation type="list" allowBlank="1" showInputMessage="1" showErrorMessage="1" xr:uid="{00000000-0002-0000-0E00-000005000000}">
          <x14:formula1>
            <xm:f>list!$J$41:$J$42</xm:f>
          </x14:formula1>
          <xm:sqref>M13:M20 K13:K20</xm:sqref>
        </x14:dataValidation>
        <x14:dataValidation type="list" allowBlank="1" showInputMessage="1" showErrorMessage="1" xr:uid="{00000000-0002-0000-0E00-000006000000}">
          <x14:formula1>
            <xm:f>list!$I$48:$I$50</xm:f>
          </x14:formula1>
          <xm:sqref>Y13:Y20 AA13:AA20</xm:sqref>
        </x14:dataValidation>
        <x14:dataValidation type="whole" operator="lessThanOrEqual" allowBlank="1" showInputMessage="1" showErrorMessage="1" error="The start year of the activity cannot be after the end of the implementation period." xr:uid="{00000000-0002-0000-0E00-000007000000}">
          <x14:formula1>
            <xm:f>'1.Description'!$T$13</xm:f>
          </x14:formula1>
          <xm:sqref>BR13:BR20</xm:sqref>
        </x14:dataValidation>
      </x14:dataValidations>
    </ext>
  </extLst>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tabColor rgb="FF172735"/>
  </sheetPr>
  <dimension ref="B1:EH397"/>
  <sheetViews>
    <sheetView showGridLines="0" topLeftCell="A7" zoomScale="125" zoomScaleNormal="80" zoomScaleSheetLayoutView="40" workbookViewId="0">
      <selection activeCell="I13" sqref="I13"/>
    </sheetView>
  </sheetViews>
  <sheetFormatPr baseColWidth="10" defaultColWidth="9.33203125" defaultRowHeight="14" x14ac:dyDescent="0.2"/>
  <cols>
    <col min="1" max="1" width="5.33203125" style="1969" customWidth="1"/>
    <col min="2" max="2" width="2.5" style="1969" customWidth="1"/>
    <col min="3" max="3" width="39" style="1969" customWidth="1"/>
    <col min="4" max="4" width="1.5" style="1969" customWidth="1"/>
    <col min="5" max="5" width="16.5" style="1969" customWidth="1"/>
    <col min="6" max="6" width="1.5" style="1969" customWidth="1"/>
    <col min="7" max="7" width="16.5" style="1969" customWidth="1"/>
    <col min="8" max="8" width="2.6640625" style="1969" customWidth="1"/>
    <col min="9" max="9" width="29.33203125" style="1969" customWidth="1"/>
    <col min="10" max="10" width="1.5" style="1969" customWidth="1"/>
    <col min="11" max="11" width="28.5" style="1969" customWidth="1"/>
    <col min="12" max="12" width="1.5" style="1969" customWidth="1"/>
    <col min="13" max="14" width="11.5" style="1969" customWidth="1"/>
    <col min="15" max="15" width="3.5" style="1969" customWidth="1"/>
    <col min="16" max="16" width="11.5" style="1969" customWidth="1"/>
    <col min="17" max="17" width="3.5" style="1969" customWidth="1"/>
    <col min="18" max="18" width="1.33203125" style="1969" customWidth="1"/>
    <col min="19" max="19" width="15.5" style="1969" customWidth="1"/>
    <col min="20" max="20" width="16" style="1969" customWidth="1"/>
    <col min="21" max="21" width="11.33203125" style="1969" customWidth="1"/>
    <col min="22" max="22" width="6.5" style="1969" customWidth="1"/>
    <col min="23" max="23" width="9.5" style="1969" customWidth="1"/>
    <col min="24" max="24" width="14.5" style="1969" customWidth="1"/>
    <col min="25" max="25" width="11.5" style="1969" customWidth="1"/>
    <col min="26" max="26" width="8.5" style="1969" customWidth="1"/>
    <col min="27" max="27" width="13" style="1969" customWidth="1"/>
    <col min="28" max="28" width="13.6640625" style="1969" customWidth="1"/>
    <col min="29" max="29" width="15.5" style="1969" customWidth="1"/>
    <col min="30" max="30" width="1.5" style="1969" customWidth="1"/>
    <col min="31" max="31" width="18.5" style="1969" customWidth="1"/>
    <col min="32" max="32" width="14.5" style="1969" customWidth="1"/>
    <col min="33" max="33" width="23.5" style="1969" customWidth="1"/>
    <col min="34" max="34" width="19.5" style="1969" customWidth="1"/>
    <col min="35" max="35" width="15.6640625" style="1969" customWidth="1"/>
    <col min="36" max="36" width="9.33203125" style="1969"/>
    <col min="37" max="37" width="10" style="1969" bestFit="1" customWidth="1"/>
    <col min="38" max="44" width="9.33203125" style="1969"/>
    <col min="45" max="45" width="13.5" style="1969" customWidth="1"/>
    <col min="46" max="47" width="9.33203125" style="1969"/>
    <col min="48" max="48" width="10.5" style="1969" bestFit="1" customWidth="1"/>
    <col min="49" max="49" width="9.33203125" style="1969"/>
    <col min="50" max="50" width="10.5" style="1969" bestFit="1" customWidth="1"/>
    <col min="51" max="51" width="9.33203125" style="1969"/>
    <col min="52" max="52" width="10.5" style="1969" bestFit="1" customWidth="1"/>
    <col min="53" max="66" width="9.33203125" style="1969"/>
    <col min="67" max="67" width="11.5" style="1969" customWidth="1"/>
    <col min="68" max="68" width="9.33203125" style="1969"/>
    <col min="69" max="69" width="10.6640625" style="1969" customWidth="1"/>
    <col min="70" max="70" width="9.33203125" style="1969"/>
    <col min="71" max="71" width="7.6640625" style="1969" customWidth="1"/>
    <col min="72" max="72" width="10.5" style="1969" customWidth="1"/>
    <col min="73" max="73" width="12" style="1969" customWidth="1"/>
    <col min="74" max="82" width="9.33203125" style="1969"/>
    <col min="83" max="83" width="37.6640625" style="1969" customWidth="1"/>
    <col min="84" max="84" width="9.33203125" style="1969"/>
    <col min="85" max="85" width="9.33203125" style="1969" customWidth="1"/>
    <col min="86" max="86" width="10.6640625" style="1969" customWidth="1"/>
    <col min="87" max="87" width="9.33203125" style="1969" customWidth="1"/>
    <col min="88" max="88" width="14.6640625" style="1969" customWidth="1"/>
    <col min="89" max="89" width="9.33203125" style="1969"/>
    <col min="90" max="90" width="3.5" style="1969" customWidth="1"/>
    <col min="91" max="92" width="9.33203125" style="1969"/>
    <col min="93" max="93" width="10.5" style="1969" customWidth="1"/>
    <col min="94" max="98" width="9.33203125" style="1969"/>
    <col min="99" max="99" width="29.5" style="1969" customWidth="1"/>
    <col min="100" max="103" width="9.33203125" style="1969"/>
    <col min="104" max="104" width="31.5" style="1969" customWidth="1"/>
    <col min="105" max="105" width="1.6640625" style="1969" customWidth="1"/>
    <col min="106" max="106" width="12" style="1969" customWidth="1"/>
    <col min="107" max="107" width="8.33203125" style="1969" customWidth="1"/>
    <col min="108" max="108" width="1.6640625" style="1969" customWidth="1"/>
    <col min="109" max="109" width="11.5" style="1969" customWidth="1"/>
    <col min="110" max="125" width="9.33203125" style="1969"/>
    <col min="126" max="126" width="23.5" style="1969" customWidth="1"/>
    <col min="127" max="134" width="9.33203125" style="1969"/>
    <col min="135" max="136" width="9.33203125" style="1969" customWidth="1"/>
    <col min="137" max="16384" width="9.33203125" style="1969"/>
  </cols>
  <sheetData>
    <row r="1" spans="2:138" s="2072" customFormat="1" ht="100.5" customHeight="1" x14ac:dyDescent="0.2"/>
    <row r="2" spans="2:138" ht="65.25" customHeight="1" x14ac:dyDescent="0.2"/>
    <row r="3" spans="2:138" x14ac:dyDescent="0.2">
      <c r="N3" s="4205"/>
      <c r="AB3" s="4137"/>
      <c r="AC3" s="4137"/>
      <c r="AD3" s="4137"/>
      <c r="AE3" s="4137"/>
    </row>
    <row r="5" spans="2:138" ht="45" customHeight="1" x14ac:dyDescent="0.2">
      <c r="B5" s="1769"/>
      <c r="C5" s="2168" t="str">
        <f>Languages!B332</f>
        <v>6.1 LAND-USE CHANGE ON ORGANIC SOIL</v>
      </c>
      <c r="D5" s="1769"/>
      <c r="E5" s="1769"/>
      <c r="F5" s="1769"/>
      <c r="G5" s="1769"/>
      <c r="H5" s="1769"/>
      <c r="I5" s="1769"/>
      <c r="J5" s="1769"/>
      <c r="K5" s="1769"/>
      <c r="L5" s="1769"/>
      <c r="M5" s="1769"/>
      <c r="N5" s="1769"/>
      <c r="O5" s="1769"/>
      <c r="P5" s="1769"/>
      <c r="Q5" s="1769"/>
      <c r="R5" s="1769"/>
      <c r="S5" s="1769"/>
      <c r="T5" s="1769"/>
      <c r="U5" s="1769"/>
      <c r="V5" s="1769"/>
      <c r="W5" s="1769"/>
      <c r="X5" s="1769"/>
      <c r="Y5" s="1769"/>
      <c r="Z5" s="1769"/>
      <c r="AA5" s="1769"/>
      <c r="AB5" s="1769"/>
      <c r="AC5" s="1769"/>
      <c r="AD5" s="1769"/>
      <c r="AE5" s="1769"/>
      <c r="AF5" s="1769"/>
      <c r="AG5" s="1769"/>
      <c r="AH5" s="1769"/>
      <c r="AI5" s="1769"/>
    </row>
    <row r="6" spans="2:138" ht="5.25" customHeight="1" x14ac:dyDescent="0.2"/>
    <row r="7" spans="2:138" ht="45" customHeight="1" x14ac:dyDescent="0.2">
      <c r="B7" s="1874"/>
      <c r="C7" s="2542" t="str">
        <f>Languages!B333</f>
        <v>6.1.1 Organic soil management practices associated with deforestation</v>
      </c>
      <c r="D7" s="1769"/>
      <c r="E7" s="1769"/>
      <c r="F7" s="1769"/>
      <c r="G7" s="1769"/>
      <c r="H7" s="1769"/>
      <c r="I7" s="1769"/>
      <c r="J7" s="1769"/>
      <c r="K7" s="1769"/>
      <c r="L7" s="1769"/>
      <c r="M7" s="1769"/>
      <c r="N7" s="1769"/>
      <c r="O7" s="1769"/>
      <c r="P7" s="1769"/>
      <c r="Q7" s="1769"/>
      <c r="R7" s="1769"/>
      <c r="S7" s="1769"/>
      <c r="T7" s="1769"/>
      <c r="U7" s="1769"/>
      <c r="V7" s="1769"/>
      <c r="W7" s="1769"/>
      <c r="X7" s="1769"/>
      <c r="Y7" s="1769"/>
      <c r="Z7" s="1978" t="str">
        <f>Languages!B22</f>
        <v>If country-specific data are available, please go to Tier 2:</v>
      </c>
      <c r="AA7" s="1769"/>
      <c r="AB7" s="1769"/>
      <c r="AC7" s="1769"/>
      <c r="AD7" s="1769"/>
      <c r="AE7" s="1769"/>
      <c r="AF7" s="1769"/>
      <c r="AG7" s="1769"/>
      <c r="AH7" s="1769"/>
      <c r="AI7" s="1769"/>
      <c r="AS7" s="1977" t="str">
        <f>C5</f>
        <v>6.1 LAND-USE CHANGE ON ORGANIC SOIL</v>
      </c>
      <c r="AT7" s="1976"/>
      <c r="AU7" s="1976"/>
      <c r="AV7" s="1976"/>
      <c r="AW7" s="1976"/>
      <c r="AX7" s="1976"/>
      <c r="AY7" s="1976"/>
      <c r="AZ7" s="1976"/>
      <c r="BA7" s="1976"/>
      <c r="BB7" s="1976"/>
      <c r="BC7" s="1976"/>
      <c r="BD7" s="1976"/>
      <c r="BE7" s="1976"/>
      <c r="BF7" s="1976"/>
      <c r="BG7" s="1976"/>
      <c r="BI7" s="4366" t="s">
        <v>71</v>
      </c>
      <c r="BJ7" s="4366"/>
      <c r="BK7" s="4366"/>
      <c r="CD7" s="1975" t="str">
        <f>Languages!B363</f>
        <v>6.1.1 Emission factors for drainage associated with deforestation</v>
      </c>
      <c r="CE7" s="1976"/>
      <c r="CF7" s="1976"/>
      <c r="CG7" s="1976"/>
      <c r="CH7" s="1976"/>
      <c r="CI7" s="1976"/>
      <c r="CJ7" s="1976"/>
      <c r="CK7" s="1976"/>
      <c r="CL7" s="1976"/>
      <c r="CM7" s="1976"/>
      <c r="CN7" s="1976"/>
      <c r="CO7" s="1976"/>
      <c r="CP7" s="1976"/>
      <c r="CQ7" s="1976"/>
      <c r="CT7" s="1975" t="str">
        <f>Languages!B370</f>
        <v>6.1.1 Emissions factors for fire on organic soils associated with deforestation</v>
      </c>
      <c r="CU7" s="1976"/>
      <c r="CV7" s="1976"/>
      <c r="CW7" s="1976"/>
      <c r="CX7" s="1976"/>
      <c r="CY7" s="1976"/>
      <c r="CZ7" s="1976"/>
      <c r="DA7" s="1976"/>
      <c r="DB7" s="1976"/>
      <c r="DC7" s="1976"/>
      <c r="DD7" s="1976"/>
      <c r="DE7" s="1976"/>
      <c r="DF7" s="1976"/>
      <c r="DG7" s="1976"/>
      <c r="DH7" s="1976"/>
      <c r="DI7" s="1976"/>
      <c r="DJ7" s="1976"/>
      <c r="DK7" s="1976"/>
      <c r="DL7" s="1976"/>
      <c r="DM7" s="1976"/>
      <c r="DN7" s="1976"/>
      <c r="DO7" s="1976"/>
      <c r="DP7" s="1976"/>
      <c r="DU7" s="1975" t="str">
        <f>Languages!B380</f>
        <v>6.1.1. Rewetting associated with deforestation</v>
      </c>
      <c r="DV7" s="1976"/>
      <c r="DW7" s="1976"/>
      <c r="DX7" s="1976"/>
      <c r="DY7" s="1976"/>
      <c r="DZ7" s="1976"/>
      <c r="EA7" s="1976"/>
      <c r="EB7" s="1976"/>
      <c r="EC7" s="1976"/>
      <c r="ED7" s="1976"/>
      <c r="EE7" s="1976"/>
      <c r="EF7" s="1976"/>
      <c r="EG7" s="1976"/>
      <c r="EH7" s="1976"/>
    </row>
    <row r="8" spans="2:138" ht="17" x14ac:dyDescent="0.2">
      <c r="B8" s="1960"/>
      <c r="C8" s="1960"/>
      <c r="D8" s="1960"/>
      <c r="E8" s="1960"/>
      <c r="F8" s="1960"/>
      <c r="G8" s="1960"/>
      <c r="H8" s="1960"/>
      <c r="I8" s="1960"/>
      <c r="J8" s="1960"/>
      <c r="K8" s="1960"/>
      <c r="L8" s="1960"/>
      <c r="M8" s="1960"/>
      <c r="N8" s="1960"/>
      <c r="O8" s="1960"/>
      <c r="P8" s="1960"/>
      <c r="Q8" s="1960"/>
      <c r="R8" s="1960"/>
      <c r="S8" s="1960"/>
      <c r="T8" s="1960"/>
      <c r="U8" s="1960"/>
      <c r="V8" s="1960"/>
      <c r="W8" s="1960"/>
      <c r="X8" s="1960"/>
      <c r="Y8" s="1960"/>
      <c r="Z8" s="1960"/>
      <c r="AA8" s="1960"/>
      <c r="AB8" s="1960"/>
      <c r="AC8" s="1960"/>
      <c r="AD8" s="1960"/>
      <c r="AE8" s="1960"/>
      <c r="AF8" s="1960"/>
      <c r="AG8" s="1960"/>
      <c r="AH8" s="1960"/>
      <c r="AI8" s="1960"/>
      <c r="AS8" s="2591"/>
      <c r="AT8" s="2591"/>
      <c r="AU8" s="2591"/>
      <c r="AV8" s="2591"/>
      <c r="AW8" s="2591"/>
      <c r="AX8" s="2591"/>
      <c r="AY8" s="2591"/>
      <c r="AZ8" s="2591"/>
      <c r="BA8" s="2591"/>
      <c r="BB8" s="2591"/>
      <c r="BC8" s="2591"/>
      <c r="BD8" s="2591"/>
      <c r="BE8" s="2591"/>
      <c r="BF8" s="2591"/>
      <c r="BG8" s="2591"/>
      <c r="BI8" s="2591"/>
      <c r="BJ8" s="2591"/>
      <c r="BK8" s="2591"/>
      <c r="CD8" s="2591"/>
      <c r="CE8" s="2591"/>
      <c r="CF8" s="2591"/>
      <c r="CG8" s="2591"/>
      <c r="CH8" s="2591"/>
      <c r="CI8" s="2591"/>
      <c r="CJ8" s="4138"/>
      <c r="CK8" s="2591"/>
      <c r="CL8" s="2591"/>
      <c r="CM8" s="2591"/>
      <c r="CN8" s="2591"/>
      <c r="CO8" s="2591"/>
      <c r="CP8" s="2591"/>
      <c r="CQ8" s="2591"/>
      <c r="CR8" s="4139"/>
      <c r="CT8" s="2591"/>
      <c r="CU8" s="2591"/>
      <c r="CV8" s="2591"/>
      <c r="CW8" s="2591"/>
      <c r="CX8" s="2591"/>
      <c r="CY8" s="2591"/>
      <c r="CZ8" s="2591"/>
      <c r="DA8" s="2591"/>
      <c r="DB8" s="2591"/>
      <c r="DC8" s="2591"/>
      <c r="DD8" s="2591"/>
      <c r="DE8" s="2591"/>
      <c r="DF8" s="2591"/>
      <c r="DG8" s="2591"/>
      <c r="DH8" s="2591"/>
      <c r="DI8" s="2591"/>
      <c r="DJ8" s="2591"/>
      <c r="DK8" s="2591"/>
      <c r="DL8" s="2591"/>
      <c r="DM8" s="2591"/>
      <c r="DN8" s="2591"/>
      <c r="DO8" s="2591"/>
      <c r="DP8" s="2591"/>
      <c r="DU8" s="2591"/>
      <c r="DV8" s="2591"/>
      <c r="DW8" s="2591"/>
      <c r="DX8" s="2591"/>
      <c r="DY8" s="2591"/>
      <c r="DZ8" s="2591"/>
      <c r="EA8" s="2591"/>
      <c r="EB8" s="2591"/>
      <c r="EC8" s="2591"/>
      <c r="ED8" s="2591"/>
      <c r="EE8" s="2591"/>
      <c r="EF8" s="2591"/>
      <c r="EG8" s="2591"/>
      <c r="EH8" s="2591"/>
    </row>
    <row r="9" spans="2:138" ht="24" customHeight="1" x14ac:dyDescent="0.2">
      <c r="B9" s="1960"/>
      <c r="C9" s="1960"/>
      <c r="D9" s="1960"/>
      <c r="E9" s="1960"/>
      <c r="F9" s="1960"/>
      <c r="G9" s="1960"/>
      <c r="H9" s="1960"/>
      <c r="I9" s="1960"/>
      <c r="J9" s="1960"/>
      <c r="K9" s="1960"/>
      <c r="L9" s="1960"/>
      <c r="M9" s="1960"/>
      <c r="N9" s="1960"/>
      <c r="O9" s="1960"/>
      <c r="P9" s="1960"/>
      <c r="Q9" s="1960"/>
      <c r="R9" s="1960"/>
      <c r="S9" s="1960"/>
      <c r="T9" s="1960"/>
      <c r="U9" s="1838"/>
      <c r="V9" s="1838"/>
      <c r="W9" s="4569" t="str">
        <f>Z21</f>
        <v>Management practices following conversion</v>
      </c>
      <c r="X9" s="4569"/>
      <c r="Y9" s="4569"/>
      <c r="Z9" s="1838"/>
      <c r="AA9" s="1960"/>
      <c r="AB9" s="2109"/>
      <c r="AC9" s="2109"/>
      <c r="AD9" s="2109"/>
      <c r="AE9" s="2109"/>
      <c r="AF9" s="2109"/>
      <c r="AG9" s="2109"/>
      <c r="AH9" s="1960"/>
      <c r="AI9" s="1960"/>
      <c r="AS9" s="2591"/>
      <c r="AT9" s="2591"/>
      <c r="AU9" s="2591"/>
      <c r="AV9" s="2591"/>
      <c r="AW9" s="2591"/>
      <c r="AX9" s="2591"/>
      <c r="AY9" s="2591"/>
      <c r="AZ9" s="2591"/>
      <c r="BA9" s="2591"/>
      <c r="BB9" s="2591"/>
      <c r="BC9" s="2591"/>
      <c r="BD9" s="2591"/>
      <c r="BE9" s="2591"/>
      <c r="BF9" s="2591"/>
      <c r="BG9" s="2591"/>
      <c r="BI9" s="1784"/>
      <c r="BJ9" s="1784"/>
      <c r="BK9" s="1996"/>
      <c r="CD9" s="2591"/>
      <c r="CE9" s="2591"/>
      <c r="CF9" s="4140" t="str">
        <f>Languages!B340</f>
        <v>On site emission factors</v>
      </c>
      <c r="CG9" s="4141"/>
      <c r="CH9" s="4141"/>
      <c r="CI9" s="4141"/>
      <c r="CJ9" s="4141"/>
      <c r="CK9" s="4141"/>
      <c r="CL9" s="2591"/>
      <c r="CM9" s="4140" t="str">
        <f>Languages!B351</f>
        <v>Off-site emission factors</v>
      </c>
      <c r="CN9" s="4140"/>
      <c r="CO9" s="4140"/>
      <c r="CP9" s="4140"/>
      <c r="CQ9" s="2591"/>
      <c r="CT9" s="2591"/>
      <c r="CU9" s="2591"/>
      <c r="CV9" s="4140" t="str">
        <f>S10</f>
        <v>Deforested area (ha)</v>
      </c>
      <c r="CW9" s="4141"/>
      <c r="CX9" s="4141"/>
      <c r="CY9" s="2591"/>
      <c r="CZ9" s="4140" t="str">
        <f>Languages!B341</f>
        <v>Fire occurrence and severity</v>
      </c>
      <c r="DA9" s="4140"/>
      <c r="DB9" s="4141"/>
      <c r="DC9" s="4141"/>
      <c r="DD9" s="4141"/>
      <c r="DE9" s="4141"/>
      <c r="DF9" s="4141"/>
      <c r="DG9" s="2591"/>
      <c r="DH9" s="4140" t="str">
        <f>Languages!B413</f>
        <v>Emission factors fire</v>
      </c>
      <c r="DI9" s="4141"/>
      <c r="DJ9" s="4141"/>
      <c r="DK9" s="4141"/>
      <c r="DL9" s="4141"/>
      <c r="DM9" s="4141"/>
      <c r="DN9" s="4141"/>
      <c r="DO9" s="4141"/>
      <c r="DP9" s="2591"/>
      <c r="DU9" s="2591"/>
      <c r="DV9" s="2591"/>
      <c r="DW9" s="2591"/>
      <c r="DX9" s="4140" t="s">
        <v>1033</v>
      </c>
      <c r="DY9" s="4141"/>
      <c r="DZ9" s="4141"/>
      <c r="EA9" s="4141"/>
      <c r="EB9" s="4141"/>
      <c r="EC9" s="4141"/>
      <c r="ED9" s="2591"/>
      <c r="EE9" s="4140" t="s">
        <v>1034</v>
      </c>
      <c r="EF9" s="4141"/>
      <c r="EG9" s="4141"/>
      <c r="EH9" s="2591"/>
    </row>
    <row r="10" spans="2:138" x14ac:dyDescent="0.2">
      <c r="B10" s="1960"/>
      <c r="C10" s="1834" t="str">
        <f>'2.LUC'!C8</f>
        <v xml:space="preserve">Type of vegetation </v>
      </c>
      <c r="D10" s="1960"/>
      <c r="E10" s="1834" t="str">
        <f>'2.LUC'!E8</f>
        <v>HWPs</v>
      </c>
      <c r="F10" s="4142"/>
      <c r="G10" s="1780" t="str">
        <f>Languages!B61</f>
        <v>Fire used?</v>
      </c>
      <c r="H10" s="4142"/>
      <c r="I10" s="4447" t="str">
        <f>Languages!B335</f>
        <v>Final land-use after deforestation</v>
      </c>
      <c r="J10" s="4143"/>
      <c r="K10" s="4143"/>
      <c r="L10" s="4142"/>
      <c r="M10" s="4352" t="str">
        <f>Languages!B66</f>
        <v>Forested area (ha)</v>
      </c>
      <c r="N10" s="4352"/>
      <c r="O10" s="4352"/>
      <c r="P10" s="4352"/>
      <c r="Q10" s="4143"/>
      <c r="R10" s="4142"/>
      <c r="S10" s="4143" t="str">
        <f>Languages!B69</f>
        <v>Deforested area (ha)</v>
      </c>
      <c r="T10" s="4143"/>
      <c r="U10" s="1838"/>
      <c r="V10" s="1838"/>
      <c r="W10" s="4570"/>
      <c r="X10" s="4570"/>
      <c r="Y10" s="4570"/>
      <c r="Z10" s="1838"/>
      <c r="AA10" s="4142"/>
      <c r="AB10" s="1838"/>
      <c r="AC10" s="1838"/>
      <c r="AD10" s="1838"/>
      <c r="AE10" s="4143" t="str">
        <f>Languages!B9</f>
        <v>Total emissions (tCO2-e)</v>
      </c>
      <c r="AF10" s="4144"/>
      <c r="AG10" s="4144"/>
      <c r="AH10" s="4144"/>
      <c r="AI10" s="4322"/>
      <c r="AS10" s="2591"/>
      <c r="AT10" s="4145" t="str">
        <f>C10</f>
        <v xml:space="preserve">Type of vegetation </v>
      </c>
      <c r="AU10" s="2591"/>
      <c r="AV10" s="2591"/>
      <c r="AW10" s="2591"/>
      <c r="AX10" s="2591"/>
      <c r="AY10" s="4146" t="str">
        <f>Languages!B26</f>
        <v>Above-ground</v>
      </c>
      <c r="AZ10" s="4145"/>
      <c r="BA10" s="4145" t="str">
        <f>Languages!B27</f>
        <v>Below-ground</v>
      </c>
      <c r="BB10" s="4145"/>
      <c r="BC10" s="4147" t="str">
        <f>Languages!B28</f>
        <v>Litter</v>
      </c>
      <c r="BD10" s="2591"/>
      <c r="BE10" s="4148" t="str">
        <f>Languages!B29</f>
        <v>Deadwood</v>
      </c>
      <c r="BF10" s="2591"/>
      <c r="BG10" s="2591"/>
      <c r="BI10" s="1889" t="s">
        <v>74</v>
      </c>
      <c r="BJ10" s="1889"/>
      <c r="BK10" s="1996"/>
      <c r="CD10" s="2591"/>
      <c r="CE10" s="4145" t="str">
        <f>Languages!B19</f>
        <v>Initial land-use</v>
      </c>
      <c r="CF10" s="4149" t="s">
        <v>1036</v>
      </c>
      <c r="CG10" s="2591"/>
      <c r="CH10" s="4150" t="s">
        <v>176</v>
      </c>
      <c r="CI10" s="2591"/>
      <c r="CJ10" s="4149" t="s">
        <v>177</v>
      </c>
      <c r="CK10" s="2591"/>
      <c r="CL10" s="2591"/>
      <c r="CM10" s="4149" t="s">
        <v>1037</v>
      </c>
      <c r="CN10" s="2591"/>
      <c r="CO10" s="4149" t="s">
        <v>176</v>
      </c>
      <c r="CP10" s="2591"/>
      <c r="CQ10" s="2591"/>
      <c r="CT10" s="2591"/>
      <c r="CU10" s="4145" t="str">
        <f>CE10</f>
        <v>Initial land-use</v>
      </c>
      <c r="CV10" s="2560" t="str">
        <f>S12</f>
        <v>Without</v>
      </c>
      <c r="CW10" s="2560" t="str">
        <f>T12</f>
        <v>With</v>
      </c>
      <c r="CX10" s="2591"/>
      <c r="CY10" s="2591"/>
      <c r="CZ10" s="2591"/>
      <c r="DA10" s="2591"/>
      <c r="DB10" s="4151" t="str">
        <f>CV10</f>
        <v>Without</v>
      </c>
      <c r="DC10" s="2591"/>
      <c r="DD10" s="2591"/>
      <c r="DE10" s="4150" t="str">
        <f>CW10</f>
        <v>With</v>
      </c>
      <c r="DF10" s="2591"/>
      <c r="DG10" s="2591"/>
      <c r="DH10" s="4147" t="str">
        <f>CF10</f>
        <v>CO2</v>
      </c>
      <c r="DI10" s="4145"/>
      <c r="DJ10" s="4152" t="s">
        <v>1038</v>
      </c>
      <c r="DK10" s="4145"/>
      <c r="DL10" s="4152" t="str">
        <f>CO10</f>
        <v>CH4</v>
      </c>
      <c r="DM10" s="4145"/>
      <c r="DN10" s="4145" t="s">
        <v>1039</v>
      </c>
      <c r="DO10" s="4145"/>
      <c r="DP10" s="4145"/>
      <c r="DU10" s="2591"/>
      <c r="DV10" s="4145" t="str">
        <f>AT10</f>
        <v xml:space="preserve">Type of vegetation </v>
      </c>
      <c r="DW10" s="2591"/>
      <c r="DX10" s="2591" t="s">
        <v>1040</v>
      </c>
      <c r="DY10" s="2591"/>
      <c r="DZ10" s="2591" t="s">
        <v>1041</v>
      </c>
      <c r="EA10" s="2591"/>
      <c r="EB10" s="2591" t="s">
        <v>177</v>
      </c>
      <c r="EC10" s="2591"/>
      <c r="ED10" s="2591"/>
      <c r="EE10" s="2591" t="s">
        <v>1042</v>
      </c>
      <c r="EF10" s="2591"/>
      <c r="EG10" s="2591"/>
      <c r="EH10" s="2591"/>
    </row>
    <row r="11" spans="2:138" x14ac:dyDescent="0.2">
      <c r="B11" s="1960"/>
      <c r="C11" s="1834" t="str">
        <f>'2.LUC'!C9</f>
        <v>that will be deforested</v>
      </c>
      <c r="D11" s="1960"/>
      <c r="E11" s="1838" t="str">
        <f>'2.LUC'!E9</f>
        <v>(tDM/ha)</v>
      </c>
      <c r="F11" s="1960"/>
      <c r="G11" s="1984" t="str">
        <f>Languages!B62</f>
        <v>(y/n)</v>
      </c>
      <c r="H11" s="1960"/>
      <c r="I11" s="1834" t="str">
        <f>Languages!B336</f>
        <v>Land-use type</v>
      </c>
      <c r="J11" s="1960"/>
      <c r="K11" s="1834" t="str">
        <f>Languages!B337</f>
        <v>Agroforestry system</v>
      </c>
      <c r="L11" s="1960"/>
      <c r="M11" s="1960"/>
      <c r="N11" s="1960"/>
      <c r="O11" s="1960"/>
      <c r="P11" s="1960"/>
      <c r="Q11" s="1960"/>
      <c r="R11" s="1960"/>
      <c r="S11" s="1960"/>
      <c r="T11" s="1960"/>
      <c r="U11" s="1838"/>
      <c r="V11" s="1838"/>
      <c r="W11" s="1838"/>
      <c r="X11" s="1838" t="str">
        <f>Languages!B389</f>
        <v>Burning of</v>
      </c>
      <c r="Y11" s="1838"/>
      <c r="Z11" s="1838"/>
      <c r="AA11" s="1960"/>
      <c r="AB11" s="1838"/>
      <c r="AC11" s="1838"/>
      <c r="AD11" s="1838"/>
      <c r="AE11" s="1960"/>
      <c r="AF11" s="1960"/>
      <c r="AG11" s="1960"/>
      <c r="AH11" s="1960"/>
      <c r="AI11" s="4322"/>
      <c r="AS11" s="2591"/>
      <c r="AT11" s="4145" t="str">
        <f>C11</f>
        <v>that will be deforested</v>
      </c>
      <c r="AU11" s="2591"/>
      <c r="AV11" s="2591"/>
      <c r="AW11" s="2591"/>
      <c r="AX11" s="2591"/>
      <c r="AY11" s="4149" t="str">
        <f>Languages!B90</f>
        <v>tC/ha</v>
      </c>
      <c r="AZ11" s="2591"/>
      <c r="BA11" s="4149" t="str">
        <f>AY11</f>
        <v>tC/ha</v>
      </c>
      <c r="BB11" s="2591"/>
      <c r="BC11" s="4149" t="str">
        <f>BA11</f>
        <v>tC/ha</v>
      </c>
      <c r="BD11" s="2591"/>
      <c r="BE11" s="4149" t="str">
        <f>BC11</f>
        <v>tC/ha</v>
      </c>
      <c r="BF11" s="2591"/>
      <c r="BG11" s="2591"/>
      <c r="BI11" s="2014" t="s">
        <v>82</v>
      </c>
      <c r="BJ11" s="2014"/>
      <c r="BK11" s="1996"/>
      <c r="CD11" s="2591"/>
      <c r="CE11" s="2591"/>
      <c r="CF11" s="2591" t="str">
        <f>Languages!B89</f>
        <v>tC/ha/yr</v>
      </c>
      <c r="CG11" s="2591"/>
      <c r="CH11" s="2591" t="str">
        <f>Languages!B92</f>
        <v>kgCH4/ha/yr</v>
      </c>
      <c r="CI11" s="2591"/>
      <c r="CJ11" s="2591" t="str">
        <f>Languages!B93</f>
        <v>kgN2O-N/ha/yr</v>
      </c>
      <c r="CK11" s="2591"/>
      <c r="CL11" s="2591"/>
      <c r="CM11" s="2591" t="str">
        <f>CF11</f>
        <v>tC/ha/yr</v>
      </c>
      <c r="CN11" s="2591"/>
      <c r="CO11" s="2591" t="str">
        <f>CH11</f>
        <v>kgCH4/ha/yr</v>
      </c>
      <c r="CP11" s="2591"/>
      <c r="CQ11" s="2591"/>
      <c r="CT11" s="2591"/>
      <c r="CU11" s="2591"/>
      <c r="CV11" s="2591"/>
      <c r="CW11" s="2591"/>
      <c r="CX11" s="2591"/>
      <c r="CY11" s="2591"/>
      <c r="CZ11" s="2560" t="str">
        <f>Languages!B411</f>
        <v>Type of fire</v>
      </c>
      <c r="DA11" s="2591"/>
      <c r="DB11" s="2560" t="str">
        <f>Languages!B342</f>
        <v>Periodicity</v>
      </c>
      <c r="DC11" s="2560" t="str">
        <f>Languages!B343</f>
        <v>Impact</v>
      </c>
      <c r="DD11" s="2560"/>
      <c r="DE11" s="2560" t="str">
        <f>DB11</f>
        <v>Periodicity</v>
      </c>
      <c r="DF11" s="2560" t="str">
        <f>DC11</f>
        <v>Impact</v>
      </c>
      <c r="DG11" s="2591"/>
      <c r="DH11" s="4153" t="s">
        <v>1047</v>
      </c>
      <c r="DI11" s="2591"/>
      <c r="DJ11" s="4153" t="s">
        <v>1048</v>
      </c>
      <c r="DK11" s="2591"/>
      <c r="DL11" s="4153" t="s">
        <v>1049</v>
      </c>
      <c r="DM11" s="2591"/>
      <c r="DN11" s="4154" t="str">
        <f>'2.LUC'!E9</f>
        <v>(tDM/ha)</v>
      </c>
      <c r="DO11" s="2591"/>
      <c r="DP11" s="2591"/>
      <c r="DU11" s="2591"/>
      <c r="DV11" s="2591"/>
      <c r="DW11" s="2591"/>
      <c r="DX11" s="2591" t="s">
        <v>92</v>
      </c>
      <c r="DY11" s="2591"/>
      <c r="DZ11" s="2591" t="s">
        <v>1050</v>
      </c>
      <c r="EA11" s="2591"/>
      <c r="EB11" s="2591" t="s">
        <v>1051</v>
      </c>
      <c r="EC11" s="2591"/>
      <c r="ED11" s="2591"/>
      <c r="EE11" s="2591" t="s">
        <v>92</v>
      </c>
      <c r="EF11" s="2591"/>
      <c r="EG11" s="2591"/>
      <c r="EH11" s="2591"/>
    </row>
    <row r="12" spans="2:138" x14ac:dyDescent="0.2">
      <c r="B12" s="1960"/>
      <c r="C12" s="1838"/>
      <c r="D12" s="1960"/>
      <c r="E12" s="1838"/>
      <c r="F12" s="1960"/>
      <c r="G12" s="1951"/>
      <c r="H12" s="1960"/>
      <c r="I12" s="1838"/>
      <c r="J12" s="1960"/>
      <c r="K12" s="1960"/>
      <c r="L12" s="1960"/>
      <c r="M12" s="1838" t="str">
        <f>Languages!B11</f>
        <v>Start</v>
      </c>
      <c r="N12" s="1838" t="str">
        <f>X24</f>
        <v>Without</v>
      </c>
      <c r="O12" s="1838" t="s">
        <v>83</v>
      </c>
      <c r="P12" s="1838" t="str">
        <f>Y24</f>
        <v>With</v>
      </c>
      <c r="Q12" s="1838" t="s">
        <v>83</v>
      </c>
      <c r="R12" s="1960"/>
      <c r="S12" s="1838" t="str">
        <f>N12</f>
        <v>Without</v>
      </c>
      <c r="T12" s="1838" t="str">
        <f>P12</f>
        <v>With</v>
      </c>
      <c r="U12" s="1838"/>
      <c r="V12" s="1838"/>
      <c r="W12" s="1838"/>
      <c r="X12" s="1838" t="str">
        <f>Languages!B390</f>
        <v xml:space="preserve">Biomass </v>
      </c>
      <c r="Y12" s="1838"/>
      <c r="Z12" s="1838"/>
      <c r="AA12" s="1960"/>
      <c r="AB12" s="1838"/>
      <c r="AC12" s="1838"/>
      <c r="AD12" s="1838"/>
      <c r="AE12" s="1838" t="str">
        <f>Languages!B12</f>
        <v>Without</v>
      </c>
      <c r="AF12" s="1838" t="str">
        <f>Languages!B13</f>
        <v>With</v>
      </c>
      <c r="AG12" s="1834" t="str">
        <f>Languages!B10</f>
        <v>Balance</v>
      </c>
      <c r="AH12" s="4322"/>
      <c r="AI12" s="4322"/>
      <c r="AS12" s="2591"/>
      <c r="AT12" s="2591"/>
      <c r="AU12" s="2591"/>
      <c r="AV12" s="2591"/>
      <c r="AW12" s="2591"/>
      <c r="AX12" s="2591"/>
      <c r="AY12" s="2560" t="str">
        <f>Languages!B16</f>
        <v>Default</v>
      </c>
      <c r="AZ12" s="2560" t="str">
        <f>Languages!B17</f>
        <v>Tier 2</v>
      </c>
      <c r="BA12" s="2560" t="str">
        <f>AY12</f>
        <v>Default</v>
      </c>
      <c r="BB12" s="2560" t="s">
        <v>66</v>
      </c>
      <c r="BC12" s="2560" t="str">
        <f>BA12</f>
        <v>Default</v>
      </c>
      <c r="BD12" s="2560" t="s">
        <v>66</v>
      </c>
      <c r="BE12" s="2560" t="str">
        <f>BC12</f>
        <v>Default</v>
      </c>
      <c r="BF12" s="2560" t="s">
        <v>66</v>
      </c>
      <c r="BG12" s="2591"/>
      <c r="BH12" s="4132"/>
      <c r="BI12" s="1996"/>
      <c r="BJ12" s="1893"/>
      <c r="BK12" s="1996"/>
      <c r="CD12" s="2591"/>
      <c r="CE12" s="2591"/>
      <c r="CF12" s="2560" t="str">
        <f>Languages!B16</f>
        <v>Default</v>
      </c>
      <c r="CG12" s="2560" t="str">
        <f>Languages!B17</f>
        <v>Tier 2</v>
      </c>
      <c r="CH12" s="2560" t="str">
        <f>CF12</f>
        <v>Default</v>
      </c>
      <c r="CI12" s="2560" t="str">
        <f>CG12</f>
        <v>Tier 2</v>
      </c>
      <c r="CJ12" s="2560" t="str">
        <f>CH12</f>
        <v>Default</v>
      </c>
      <c r="CK12" s="2560" t="str">
        <f>CI12</f>
        <v>Tier 2</v>
      </c>
      <c r="CL12" s="2591"/>
      <c r="CM12" s="2560" t="str">
        <f>CJ12</f>
        <v>Default</v>
      </c>
      <c r="CN12" s="2560" t="str">
        <f>CK12</f>
        <v>Tier 2</v>
      </c>
      <c r="CO12" s="2560" t="str">
        <f>CM12</f>
        <v>Default</v>
      </c>
      <c r="CP12" s="2560" t="str">
        <f>CN12</f>
        <v>Tier 2</v>
      </c>
      <c r="CQ12" s="2591"/>
      <c r="CT12" s="2591"/>
      <c r="CU12" s="2591"/>
      <c r="CV12" s="2591"/>
      <c r="CW12" s="2591"/>
      <c r="CX12" s="2591"/>
      <c r="CY12" s="2591"/>
      <c r="CZ12" s="2591"/>
      <c r="DA12" s="2591"/>
      <c r="DB12" s="2560" t="str">
        <f>Languages!B346</f>
        <v>Year</v>
      </c>
      <c r="DC12" s="2560" t="str">
        <f>Languages!B345</f>
        <v>% burnt</v>
      </c>
      <c r="DD12" s="2560"/>
      <c r="DE12" s="2560" t="str">
        <f>DB12</f>
        <v>Year</v>
      </c>
      <c r="DF12" s="2560" t="str">
        <f>DC12</f>
        <v>% burnt</v>
      </c>
      <c r="DG12" s="2591"/>
      <c r="DH12" s="2560" t="str">
        <f>CO12</f>
        <v>Default</v>
      </c>
      <c r="DI12" s="2560" t="str">
        <f>CP12</f>
        <v>Tier 2</v>
      </c>
      <c r="DJ12" s="2560" t="str">
        <f t="shared" ref="DJ12:DO12" si="0">DH12</f>
        <v>Default</v>
      </c>
      <c r="DK12" s="2560" t="str">
        <f t="shared" si="0"/>
        <v>Tier 2</v>
      </c>
      <c r="DL12" s="2560" t="str">
        <f t="shared" si="0"/>
        <v>Default</v>
      </c>
      <c r="DM12" s="2560" t="str">
        <f t="shared" si="0"/>
        <v>Tier 2</v>
      </c>
      <c r="DN12" s="2560" t="str">
        <f t="shared" si="0"/>
        <v>Default</v>
      </c>
      <c r="DO12" s="2560" t="str">
        <f t="shared" si="0"/>
        <v>Tier 2</v>
      </c>
      <c r="DP12" s="2591"/>
      <c r="DU12" s="2591"/>
      <c r="DV12" s="2591" t="str">
        <f t="shared" ref="DV12:DV17" si="1">C13</f>
        <v>Tropical rainforest</v>
      </c>
      <c r="DW12" s="2591"/>
      <c r="DX12" s="2612">
        <f>'Inl. wetlands'!I91</f>
        <v>-0.23</v>
      </c>
      <c r="DY12" s="4205"/>
      <c r="DZ12" s="4155">
        <f>'Inl. wetlands'!K91</f>
        <v>92</v>
      </c>
      <c r="EA12" s="4205"/>
      <c r="EB12" s="4155">
        <f>'Inl. wetlands'!M91</f>
        <v>0</v>
      </c>
      <c r="EC12" s="4205"/>
      <c r="ED12" s="2591"/>
      <c r="EE12" s="4156">
        <f>'Inl. wetlands'!O91</f>
        <v>0.24</v>
      </c>
      <c r="EF12" s="4205"/>
      <c r="EG12" s="2591"/>
      <c r="EH12" s="2591"/>
    </row>
    <row r="13" spans="2:138" s="4132" customFormat="1" x14ac:dyDescent="0.2">
      <c r="B13" s="1838"/>
      <c r="C13" s="4191" t="s">
        <v>118</v>
      </c>
      <c r="D13" s="1838"/>
      <c r="E13" s="2129">
        <v>10</v>
      </c>
      <c r="F13" s="1838"/>
      <c r="G13" s="2129" t="s">
        <v>1415</v>
      </c>
      <c r="H13" s="1838"/>
      <c r="I13" s="2129" t="s">
        <v>1382</v>
      </c>
      <c r="J13" s="1838"/>
      <c r="K13" s="2129" t="s">
        <v>57</v>
      </c>
      <c r="L13" s="1838"/>
      <c r="M13" s="4192">
        <v>100</v>
      </c>
      <c r="N13" s="4193">
        <v>100</v>
      </c>
      <c r="O13" s="4098" t="s">
        <v>86</v>
      </c>
      <c r="P13" s="4193">
        <v>100</v>
      </c>
      <c r="Q13" s="4098" t="s">
        <v>86</v>
      </c>
      <c r="R13" s="4157"/>
      <c r="S13" s="4158">
        <f t="shared" ref="S13:S18" si="2">M13-N13</f>
        <v>0</v>
      </c>
      <c r="T13" s="4158">
        <f t="shared" ref="T13:T18" si="3">M13-P13</f>
        <v>0</v>
      </c>
      <c r="U13" s="1838"/>
      <c r="V13" s="1838"/>
      <c r="W13" s="1838"/>
      <c r="X13" s="4194" t="s">
        <v>1053</v>
      </c>
      <c r="Y13" s="1838"/>
      <c r="Z13" s="1838"/>
      <c r="AA13" s="4157"/>
      <c r="AB13" s="1838"/>
      <c r="AC13" s="1838"/>
      <c r="AD13" s="1838"/>
      <c r="AE13" s="2107">
        <f>'Inl. wetlands'!AI36</f>
        <v>0</v>
      </c>
      <c r="AF13" s="2107">
        <f>'Inl. wetlands'!AJ36</f>
        <v>0</v>
      </c>
      <c r="AG13" s="1806">
        <f t="shared" ref="AG13:AG18" si="4">AF13-AE13</f>
        <v>0</v>
      </c>
      <c r="AH13" s="4322"/>
      <c r="AI13" s="4322"/>
      <c r="AS13" s="2560"/>
      <c r="AT13" s="2319" t="str">
        <f t="shared" ref="AT13:AT18" si="5">C13</f>
        <v>Tropical rainforest</v>
      </c>
      <c r="AU13" s="2560"/>
      <c r="AV13" s="2560"/>
      <c r="AW13" s="2560"/>
      <c r="AX13" s="2560"/>
      <c r="AY13" s="2612">
        <f>'Inl. wetlands'!D14</f>
        <v>141</v>
      </c>
      <c r="AZ13" s="4206"/>
      <c r="BA13" s="2612">
        <f>'Inl. wetlands'!$G14</f>
        <v>52.17</v>
      </c>
      <c r="BB13" s="4206"/>
      <c r="BC13" s="2612">
        <f>'Inl. wetlands'!I14</f>
        <v>4.8</v>
      </c>
      <c r="BD13" s="4206"/>
      <c r="BE13" s="2612">
        <f>'Inl. wetlands'!$K14</f>
        <v>14.8</v>
      </c>
      <c r="BF13" s="4206"/>
      <c r="BG13" s="2560"/>
      <c r="BI13" s="4363">
        <v>1</v>
      </c>
      <c r="BJ13" s="4364"/>
      <c r="BK13" s="1996"/>
      <c r="CD13" s="2560"/>
      <c r="CE13" s="2319" t="str">
        <f t="shared" ref="CE13:CE18" si="6">AT13</f>
        <v>Tropical rainforest</v>
      </c>
      <c r="CF13" s="4156">
        <f>'Inl. wetlands'!B66</f>
        <v>2.6</v>
      </c>
      <c r="CG13" s="4209"/>
      <c r="CH13" s="4156">
        <f>'Inl. wetlands'!D66</f>
        <v>2.5</v>
      </c>
      <c r="CI13" s="4209"/>
      <c r="CJ13" s="4156">
        <f>'Inl. wetlands'!F66</f>
        <v>2.8</v>
      </c>
      <c r="CK13" s="4209"/>
      <c r="CL13" s="2560"/>
      <c r="CM13" s="4156">
        <f>'Inl. wetlands'!H66</f>
        <v>0.31</v>
      </c>
      <c r="CN13" s="4209"/>
      <c r="CO13" s="4156">
        <f>'Inl. wetlands'!J66</f>
        <v>1165</v>
      </c>
      <c r="CP13" s="4209"/>
      <c r="CQ13" s="2560"/>
      <c r="CT13" s="2560"/>
      <c r="CU13" s="2319" t="str">
        <f t="shared" ref="CU13:CU18" si="7">I13</f>
        <v>Annual cropland</v>
      </c>
      <c r="CV13" s="2585">
        <f t="shared" ref="CV13:CV18" si="8">$S13</f>
        <v>0</v>
      </c>
      <c r="CW13" s="2585">
        <f t="shared" ref="CW13:CW18" si="9">$T13</f>
        <v>0</v>
      </c>
      <c r="CX13" s="2560"/>
      <c r="CY13" s="2560"/>
      <c r="CZ13" s="4105" t="s">
        <v>1650</v>
      </c>
      <c r="DA13" s="2560"/>
      <c r="DB13" s="4105">
        <v>1</v>
      </c>
      <c r="DC13" s="4202">
        <v>0.6</v>
      </c>
      <c r="DD13" s="4160"/>
      <c r="DE13" s="4105">
        <v>1</v>
      </c>
      <c r="DF13" s="4202">
        <v>0.6</v>
      </c>
      <c r="DG13" s="2560"/>
      <c r="DH13" s="2585">
        <f>'Inl. wetlands'!P53</f>
        <v>362</v>
      </c>
      <c r="DI13" s="2128"/>
      <c r="DJ13" s="2585">
        <f>'Inl. wetlands'!R53</f>
        <v>207</v>
      </c>
      <c r="DK13" s="2128"/>
      <c r="DL13" s="2585">
        <f>'Inl. wetlands'!T53</f>
        <v>9</v>
      </c>
      <c r="DM13" s="2128"/>
      <c r="DN13" s="2585">
        <f>'Inl. wetlands'!V53</f>
        <v>0</v>
      </c>
      <c r="DO13" s="2128"/>
      <c r="DP13" s="2560"/>
      <c r="DU13" s="2591"/>
      <c r="DV13" s="2591" t="str">
        <f t="shared" si="1"/>
        <v>Please select</v>
      </c>
      <c r="DW13" s="2591"/>
      <c r="DX13" s="2612">
        <f>'Inl. wetlands'!I92</f>
        <v>0</v>
      </c>
      <c r="DY13" s="4205"/>
      <c r="DZ13" s="4155">
        <f>'Inl. wetlands'!K92</f>
        <v>0</v>
      </c>
      <c r="EA13" s="4205"/>
      <c r="EB13" s="4155">
        <f>'Inl. wetlands'!M92</f>
        <v>0</v>
      </c>
      <c r="EC13" s="4205"/>
      <c r="ED13" s="2591"/>
      <c r="EE13" s="4156">
        <f>'Inl. wetlands'!O92</f>
        <v>0</v>
      </c>
      <c r="EF13" s="4205"/>
      <c r="EG13" s="2591"/>
      <c r="EH13" s="2591"/>
    </row>
    <row r="14" spans="2:138" s="4132" customFormat="1" x14ac:dyDescent="0.2">
      <c r="B14" s="1838"/>
      <c r="C14" s="4191" t="s">
        <v>57</v>
      </c>
      <c r="D14" s="1838"/>
      <c r="E14" s="2129">
        <v>0</v>
      </c>
      <c r="F14" s="1838"/>
      <c r="G14" s="2129" t="s">
        <v>85</v>
      </c>
      <c r="H14" s="1838"/>
      <c r="I14" s="2129" t="s">
        <v>57</v>
      </c>
      <c r="J14" s="1838"/>
      <c r="K14" s="2129" t="s">
        <v>57</v>
      </c>
      <c r="L14" s="1838"/>
      <c r="M14" s="4192">
        <v>0</v>
      </c>
      <c r="N14" s="4193">
        <v>0</v>
      </c>
      <c r="O14" s="4098" t="s">
        <v>86</v>
      </c>
      <c r="P14" s="4193">
        <v>0</v>
      </c>
      <c r="Q14" s="4098" t="s">
        <v>86</v>
      </c>
      <c r="R14" s="4157"/>
      <c r="S14" s="4158">
        <f t="shared" si="2"/>
        <v>0</v>
      </c>
      <c r="T14" s="4158">
        <f t="shared" si="3"/>
        <v>0</v>
      </c>
      <c r="U14" s="1838"/>
      <c r="V14" s="1838"/>
      <c r="W14" s="1838"/>
      <c r="X14" s="4194" t="s">
        <v>1053</v>
      </c>
      <c r="Y14" s="1838"/>
      <c r="Z14" s="1838"/>
      <c r="AA14" s="4157"/>
      <c r="AB14" s="1838"/>
      <c r="AC14" s="1838"/>
      <c r="AD14" s="1838"/>
      <c r="AE14" s="2107">
        <f>'Inl. wetlands'!AI37</f>
        <v>0</v>
      </c>
      <c r="AF14" s="2107">
        <f>'Inl. wetlands'!AJ37</f>
        <v>0</v>
      </c>
      <c r="AG14" s="1806">
        <f t="shared" si="4"/>
        <v>0</v>
      </c>
      <c r="AH14" s="4322"/>
      <c r="AI14" s="4322"/>
      <c r="AS14" s="2560"/>
      <c r="AT14" s="2319" t="str">
        <f t="shared" si="5"/>
        <v>Please select</v>
      </c>
      <c r="AU14" s="2560"/>
      <c r="AV14" s="2560"/>
      <c r="AW14" s="2560"/>
      <c r="AX14" s="2560"/>
      <c r="AY14" s="2612" t="str">
        <f>'Inl. wetlands'!D15</f>
        <v/>
      </c>
      <c r="AZ14" s="4206"/>
      <c r="BA14" s="2612" t="str">
        <f>'Inl. wetlands'!$G15</f>
        <v/>
      </c>
      <c r="BB14" s="4206"/>
      <c r="BC14" s="2612" t="str">
        <f>'Inl. wetlands'!I15</f>
        <v/>
      </c>
      <c r="BD14" s="4206"/>
      <c r="BE14" s="2612" t="str">
        <f>'Inl. wetlands'!$K15</f>
        <v/>
      </c>
      <c r="BF14" s="4206"/>
      <c r="BG14" s="2560"/>
      <c r="BI14" s="4363">
        <v>1</v>
      </c>
      <c r="BJ14" s="4364"/>
      <c r="BK14" s="1996"/>
      <c r="CD14" s="2560"/>
      <c r="CE14" s="2319" t="str">
        <f t="shared" si="6"/>
        <v>Please select</v>
      </c>
      <c r="CF14" s="4156">
        <f>'Inl. wetlands'!B67</f>
        <v>0</v>
      </c>
      <c r="CG14" s="4209"/>
      <c r="CH14" s="4156">
        <f>'Inl. wetlands'!D67</f>
        <v>0</v>
      </c>
      <c r="CI14" s="4209"/>
      <c r="CJ14" s="4156">
        <f>'Inl. wetlands'!F67</f>
        <v>0</v>
      </c>
      <c r="CK14" s="4209"/>
      <c r="CL14" s="2560"/>
      <c r="CM14" s="4156">
        <f>'Inl. wetlands'!H67</f>
        <v>0</v>
      </c>
      <c r="CN14" s="4209"/>
      <c r="CO14" s="4156">
        <f>'Inl. wetlands'!J67</f>
        <v>0</v>
      </c>
      <c r="CP14" s="4209"/>
      <c r="CQ14" s="2560"/>
      <c r="CT14" s="2560"/>
      <c r="CU14" s="2319" t="str">
        <f t="shared" si="7"/>
        <v>Please select</v>
      </c>
      <c r="CV14" s="2585">
        <f t="shared" si="8"/>
        <v>0</v>
      </c>
      <c r="CW14" s="2585">
        <f t="shared" si="9"/>
        <v>0</v>
      </c>
      <c r="CX14" s="2560"/>
      <c r="CY14" s="2560"/>
      <c r="CZ14" s="4105" t="s">
        <v>57</v>
      </c>
      <c r="DA14" s="2560"/>
      <c r="DB14" s="4105">
        <v>1</v>
      </c>
      <c r="DC14" s="4202">
        <v>0.01</v>
      </c>
      <c r="DD14" s="4160"/>
      <c r="DE14" s="4105">
        <v>1</v>
      </c>
      <c r="DF14" s="4202">
        <v>0.01</v>
      </c>
      <c r="DG14" s="2560"/>
      <c r="DH14" s="2585">
        <f>'Inl. wetlands'!P54</f>
        <v>362</v>
      </c>
      <c r="DI14" s="2128"/>
      <c r="DJ14" s="2585">
        <f>'Inl. wetlands'!R54</f>
        <v>207</v>
      </c>
      <c r="DK14" s="2128"/>
      <c r="DL14" s="2585">
        <f>'Inl. wetlands'!T54</f>
        <v>9</v>
      </c>
      <c r="DM14" s="2128"/>
      <c r="DN14" s="2585">
        <f>'Inl. wetlands'!V54</f>
        <v>0</v>
      </c>
      <c r="DO14" s="2128"/>
      <c r="DP14" s="2560"/>
      <c r="DU14" s="2591"/>
      <c r="DV14" s="2591" t="str">
        <f t="shared" si="1"/>
        <v>Please select</v>
      </c>
      <c r="DW14" s="2591"/>
      <c r="DX14" s="2612">
        <f>'Inl. wetlands'!I93</f>
        <v>0</v>
      </c>
      <c r="DY14" s="4205"/>
      <c r="DZ14" s="4155">
        <f>'Inl. wetlands'!K93</f>
        <v>0</v>
      </c>
      <c r="EA14" s="4205"/>
      <c r="EB14" s="4155">
        <f>'Inl. wetlands'!M93</f>
        <v>0</v>
      </c>
      <c r="EC14" s="4205"/>
      <c r="ED14" s="2591"/>
      <c r="EE14" s="4156">
        <f>'Inl. wetlands'!O93</f>
        <v>0</v>
      </c>
      <c r="EF14" s="4205"/>
      <c r="EG14" s="2591"/>
      <c r="EH14" s="2591"/>
    </row>
    <row r="15" spans="2:138" s="4132" customFormat="1" x14ac:dyDescent="0.2">
      <c r="B15" s="1838"/>
      <c r="C15" s="4191" t="s">
        <v>57</v>
      </c>
      <c r="D15" s="1838"/>
      <c r="E15" s="2129">
        <v>0</v>
      </c>
      <c r="F15" s="1838"/>
      <c r="G15" s="2129" t="s">
        <v>85</v>
      </c>
      <c r="H15" s="1838"/>
      <c r="I15" s="2129" t="s">
        <v>57</v>
      </c>
      <c r="J15" s="1838"/>
      <c r="K15" s="2129" t="s">
        <v>57</v>
      </c>
      <c r="L15" s="1838"/>
      <c r="M15" s="4192">
        <v>0</v>
      </c>
      <c r="N15" s="4193">
        <v>0</v>
      </c>
      <c r="O15" s="4098" t="s">
        <v>86</v>
      </c>
      <c r="P15" s="4193">
        <v>0</v>
      </c>
      <c r="Q15" s="4098" t="s">
        <v>86</v>
      </c>
      <c r="R15" s="4157"/>
      <c r="S15" s="4158">
        <f t="shared" si="2"/>
        <v>0</v>
      </c>
      <c r="T15" s="4158">
        <f t="shared" si="3"/>
        <v>0</v>
      </c>
      <c r="U15" s="1838"/>
      <c r="V15" s="1838"/>
      <c r="W15" s="1838"/>
      <c r="X15" s="4194" t="s">
        <v>1053</v>
      </c>
      <c r="Y15" s="1838"/>
      <c r="Z15" s="1838"/>
      <c r="AA15" s="4157"/>
      <c r="AB15" s="1838"/>
      <c r="AC15" s="1838"/>
      <c r="AD15" s="1838"/>
      <c r="AE15" s="2107">
        <f>'Inl. wetlands'!AI38</f>
        <v>0</v>
      </c>
      <c r="AF15" s="2107">
        <f>'Inl. wetlands'!AJ38</f>
        <v>0</v>
      </c>
      <c r="AG15" s="1806">
        <f t="shared" si="4"/>
        <v>0</v>
      </c>
      <c r="AH15" s="4322"/>
      <c r="AI15" s="4322"/>
      <c r="AS15" s="2560"/>
      <c r="AT15" s="2319" t="str">
        <f t="shared" si="5"/>
        <v>Please select</v>
      </c>
      <c r="AU15" s="2560"/>
      <c r="AV15" s="2560"/>
      <c r="AW15" s="2560"/>
      <c r="AX15" s="2560"/>
      <c r="AY15" s="2612" t="str">
        <f>'Inl. wetlands'!D16</f>
        <v/>
      </c>
      <c r="AZ15" s="4206"/>
      <c r="BA15" s="2612" t="str">
        <f>'Inl. wetlands'!$G16</f>
        <v/>
      </c>
      <c r="BB15" s="4206"/>
      <c r="BC15" s="2612" t="str">
        <f>'Inl. wetlands'!I16</f>
        <v/>
      </c>
      <c r="BD15" s="4206"/>
      <c r="BE15" s="2612" t="str">
        <f>'Inl. wetlands'!$K16</f>
        <v/>
      </c>
      <c r="BF15" s="4206"/>
      <c r="BG15" s="2560"/>
      <c r="BI15" s="4363">
        <v>1</v>
      </c>
      <c r="BJ15" s="4364"/>
      <c r="BK15" s="1996"/>
      <c r="CD15" s="2560"/>
      <c r="CE15" s="2319" t="str">
        <f t="shared" si="6"/>
        <v>Please select</v>
      </c>
      <c r="CF15" s="4156">
        <f>'Inl. wetlands'!B68</f>
        <v>0</v>
      </c>
      <c r="CG15" s="4209"/>
      <c r="CH15" s="4156">
        <f>'Inl. wetlands'!D68</f>
        <v>0</v>
      </c>
      <c r="CI15" s="4209"/>
      <c r="CJ15" s="4156">
        <f>'Inl. wetlands'!F68</f>
        <v>0</v>
      </c>
      <c r="CK15" s="4209"/>
      <c r="CL15" s="2560"/>
      <c r="CM15" s="4156">
        <f>'Inl. wetlands'!H68</f>
        <v>0</v>
      </c>
      <c r="CN15" s="4209"/>
      <c r="CO15" s="4156">
        <f>'Inl. wetlands'!J68</f>
        <v>0</v>
      </c>
      <c r="CP15" s="4209"/>
      <c r="CQ15" s="2560"/>
      <c r="CT15" s="2560"/>
      <c r="CU15" s="2319" t="str">
        <f t="shared" si="7"/>
        <v>Please select</v>
      </c>
      <c r="CV15" s="2585">
        <f t="shared" si="8"/>
        <v>0</v>
      </c>
      <c r="CW15" s="2585">
        <f t="shared" si="9"/>
        <v>0</v>
      </c>
      <c r="CX15" s="2560"/>
      <c r="CY15" s="2560"/>
      <c r="CZ15" s="4105" t="s">
        <v>57</v>
      </c>
      <c r="DA15" s="2560"/>
      <c r="DB15" s="4105">
        <v>1</v>
      </c>
      <c r="DC15" s="4202">
        <v>0.01</v>
      </c>
      <c r="DD15" s="4160"/>
      <c r="DE15" s="4105">
        <v>1</v>
      </c>
      <c r="DF15" s="4202">
        <v>0.01</v>
      </c>
      <c r="DG15" s="2560"/>
      <c r="DH15" s="2585">
        <f>'Inl. wetlands'!P55</f>
        <v>362</v>
      </c>
      <c r="DI15" s="2128"/>
      <c r="DJ15" s="2585">
        <f>'Inl. wetlands'!R55</f>
        <v>207</v>
      </c>
      <c r="DK15" s="2128"/>
      <c r="DL15" s="2585">
        <f>'Inl. wetlands'!T55</f>
        <v>9</v>
      </c>
      <c r="DM15" s="2128"/>
      <c r="DN15" s="2585">
        <f>'Inl. wetlands'!V55</f>
        <v>0</v>
      </c>
      <c r="DO15" s="2128"/>
      <c r="DP15" s="2560"/>
      <c r="DU15" s="2591"/>
      <c r="DV15" s="2591" t="str">
        <f t="shared" si="1"/>
        <v>Please select</v>
      </c>
      <c r="DW15" s="2591"/>
      <c r="DX15" s="2612">
        <f>'Inl. wetlands'!I94</f>
        <v>0</v>
      </c>
      <c r="DY15" s="4205"/>
      <c r="DZ15" s="4155">
        <f>'Inl. wetlands'!K94</f>
        <v>0</v>
      </c>
      <c r="EA15" s="4205"/>
      <c r="EB15" s="4155">
        <f>'Inl. wetlands'!M94</f>
        <v>0</v>
      </c>
      <c r="EC15" s="4205"/>
      <c r="ED15" s="2591"/>
      <c r="EE15" s="4156">
        <f>'Inl. wetlands'!O94</f>
        <v>0</v>
      </c>
      <c r="EF15" s="4205"/>
      <c r="EG15" s="2591"/>
      <c r="EH15" s="2591"/>
    </row>
    <row r="16" spans="2:138" s="4132" customFormat="1" x14ac:dyDescent="0.2">
      <c r="B16" s="1838"/>
      <c r="C16" s="4191" t="s">
        <v>57</v>
      </c>
      <c r="D16" s="1838"/>
      <c r="E16" s="2129">
        <v>0</v>
      </c>
      <c r="F16" s="1838"/>
      <c r="G16" s="2129" t="s">
        <v>85</v>
      </c>
      <c r="H16" s="1838"/>
      <c r="I16" s="2129" t="s">
        <v>57</v>
      </c>
      <c r="J16" s="1838"/>
      <c r="K16" s="2129" t="s">
        <v>57</v>
      </c>
      <c r="L16" s="1838"/>
      <c r="M16" s="4192">
        <v>0</v>
      </c>
      <c r="N16" s="4193">
        <v>0</v>
      </c>
      <c r="O16" s="4098" t="s">
        <v>86</v>
      </c>
      <c r="P16" s="4193">
        <v>0</v>
      </c>
      <c r="Q16" s="4098" t="s">
        <v>86</v>
      </c>
      <c r="R16" s="4157"/>
      <c r="S16" s="4158">
        <f t="shared" si="2"/>
        <v>0</v>
      </c>
      <c r="T16" s="4158">
        <f t="shared" si="3"/>
        <v>0</v>
      </c>
      <c r="U16" s="1838"/>
      <c r="V16" s="1838"/>
      <c r="W16" s="1838"/>
      <c r="X16" s="4194" t="s">
        <v>1053</v>
      </c>
      <c r="Y16" s="1838"/>
      <c r="Z16" s="1838"/>
      <c r="AA16" s="4157"/>
      <c r="AB16" s="1838"/>
      <c r="AC16" s="1838"/>
      <c r="AD16" s="1838"/>
      <c r="AE16" s="2107">
        <f>'Inl. wetlands'!AI39</f>
        <v>0</v>
      </c>
      <c r="AF16" s="2107">
        <f>'Inl. wetlands'!AJ39</f>
        <v>0</v>
      </c>
      <c r="AG16" s="1806">
        <f t="shared" si="4"/>
        <v>0</v>
      </c>
      <c r="AH16" s="4322"/>
      <c r="AI16" s="4322"/>
      <c r="AS16" s="2560"/>
      <c r="AT16" s="2319" t="str">
        <f t="shared" si="5"/>
        <v>Please select</v>
      </c>
      <c r="AU16" s="2560"/>
      <c r="AV16" s="2560"/>
      <c r="AW16" s="2560"/>
      <c r="AX16" s="2560"/>
      <c r="AY16" s="2612" t="str">
        <f>'Inl. wetlands'!D17</f>
        <v/>
      </c>
      <c r="AZ16" s="4206"/>
      <c r="BA16" s="2612" t="str">
        <f>'Inl. wetlands'!$G17</f>
        <v/>
      </c>
      <c r="BB16" s="4206"/>
      <c r="BC16" s="2612" t="str">
        <f>'Inl. wetlands'!I17</f>
        <v/>
      </c>
      <c r="BD16" s="4206"/>
      <c r="BE16" s="2612" t="str">
        <f>'Inl. wetlands'!$K17</f>
        <v/>
      </c>
      <c r="BF16" s="4206"/>
      <c r="BG16" s="2560"/>
      <c r="BI16" s="4363">
        <v>1</v>
      </c>
      <c r="BJ16" s="4364"/>
      <c r="BK16" s="1996"/>
      <c r="CD16" s="2560"/>
      <c r="CE16" s="2319" t="str">
        <f t="shared" si="6"/>
        <v>Please select</v>
      </c>
      <c r="CF16" s="4156">
        <f>'Inl. wetlands'!B69</f>
        <v>0</v>
      </c>
      <c r="CG16" s="4209"/>
      <c r="CH16" s="4156">
        <f>'Inl. wetlands'!D69</f>
        <v>0</v>
      </c>
      <c r="CI16" s="4209"/>
      <c r="CJ16" s="4156">
        <f>'Inl. wetlands'!F69</f>
        <v>0</v>
      </c>
      <c r="CK16" s="4209"/>
      <c r="CL16" s="2560"/>
      <c r="CM16" s="4156">
        <f>'Inl. wetlands'!H69</f>
        <v>0</v>
      </c>
      <c r="CN16" s="4209"/>
      <c r="CO16" s="4156">
        <f>'Inl. wetlands'!J69</f>
        <v>0</v>
      </c>
      <c r="CP16" s="4209"/>
      <c r="CQ16" s="2560"/>
      <c r="CT16" s="2560"/>
      <c r="CU16" s="2319" t="str">
        <f t="shared" si="7"/>
        <v>Please select</v>
      </c>
      <c r="CV16" s="2585">
        <f t="shared" si="8"/>
        <v>0</v>
      </c>
      <c r="CW16" s="2585">
        <f t="shared" si="9"/>
        <v>0</v>
      </c>
      <c r="CX16" s="2560"/>
      <c r="CY16" s="2560"/>
      <c r="CZ16" s="4105" t="s">
        <v>57</v>
      </c>
      <c r="DA16" s="2560"/>
      <c r="DB16" s="4105">
        <v>1</v>
      </c>
      <c r="DC16" s="4202">
        <v>0.01</v>
      </c>
      <c r="DD16" s="4160"/>
      <c r="DE16" s="4105">
        <v>1</v>
      </c>
      <c r="DF16" s="4202">
        <v>0.01</v>
      </c>
      <c r="DG16" s="2560"/>
      <c r="DH16" s="2585">
        <f>'Inl. wetlands'!P56</f>
        <v>362</v>
      </c>
      <c r="DI16" s="2128"/>
      <c r="DJ16" s="2585">
        <f>'Inl. wetlands'!R56</f>
        <v>207</v>
      </c>
      <c r="DK16" s="2128"/>
      <c r="DL16" s="2585">
        <f>'Inl. wetlands'!T56</f>
        <v>9</v>
      </c>
      <c r="DM16" s="2128"/>
      <c r="DN16" s="2585">
        <f>'Inl. wetlands'!V56</f>
        <v>0</v>
      </c>
      <c r="DO16" s="2128"/>
      <c r="DP16" s="2560"/>
      <c r="DU16" s="2591"/>
      <c r="DV16" s="2591" t="str">
        <f t="shared" si="1"/>
        <v>Please select</v>
      </c>
      <c r="DW16" s="2591"/>
      <c r="DX16" s="2612">
        <f>'Inl. wetlands'!I95</f>
        <v>0</v>
      </c>
      <c r="DY16" s="4205"/>
      <c r="DZ16" s="4155">
        <f>'Inl. wetlands'!K95</f>
        <v>0</v>
      </c>
      <c r="EA16" s="4205"/>
      <c r="EB16" s="4155">
        <f>'Inl. wetlands'!M95</f>
        <v>0</v>
      </c>
      <c r="EC16" s="4205"/>
      <c r="ED16" s="2591"/>
      <c r="EE16" s="4156">
        <f>'Inl. wetlands'!O95</f>
        <v>0</v>
      </c>
      <c r="EF16" s="4205"/>
      <c r="EG16" s="2591"/>
      <c r="EH16" s="2591"/>
    </row>
    <row r="17" spans="2:138" s="4132" customFormat="1" x14ac:dyDescent="0.2">
      <c r="B17" s="1838"/>
      <c r="C17" s="4191" t="s">
        <v>57</v>
      </c>
      <c r="D17" s="1838"/>
      <c r="E17" s="2129">
        <v>0</v>
      </c>
      <c r="F17" s="1838"/>
      <c r="G17" s="2129" t="s">
        <v>85</v>
      </c>
      <c r="H17" s="1838"/>
      <c r="I17" s="2129" t="s">
        <v>57</v>
      </c>
      <c r="J17" s="1838"/>
      <c r="K17" s="2129" t="s">
        <v>57</v>
      </c>
      <c r="L17" s="1838"/>
      <c r="M17" s="4192">
        <v>0</v>
      </c>
      <c r="N17" s="4193">
        <v>0</v>
      </c>
      <c r="O17" s="4098" t="s">
        <v>86</v>
      </c>
      <c r="P17" s="4193">
        <v>0</v>
      </c>
      <c r="Q17" s="4098" t="s">
        <v>86</v>
      </c>
      <c r="R17" s="4157"/>
      <c r="S17" s="4158">
        <f t="shared" si="2"/>
        <v>0</v>
      </c>
      <c r="T17" s="4158">
        <f t="shared" si="3"/>
        <v>0</v>
      </c>
      <c r="U17" s="1838"/>
      <c r="V17" s="1838"/>
      <c r="W17" s="1838"/>
      <c r="X17" s="4194" t="s">
        <v>1053</v>
      </c>
      <c r="Y17" s="1838"/>
      <c r="Z17" s="1838"/>
      <c r="AA17" s="4157"/>
      <c r="AB17" s="1838"/>
      <c r="AC17" s="1838"/>
      <c r="AD17" s="1838"/>
      <c r="AE17" s="2107">
        <f>'Inl. wetlands'!AI40</f>
        <v>0</v>
      </c>
      <c r="AF17" s="2107">
        <f>'Inl. wetlands'!AJ40</f>
        <v>0</v>
      </c>
      <c r="AG17" s="1806">
        <f t="shared" si="4"/>
        <v>0</v>
      </c>
      <c r="AH17" s="4322"/>
      <c r="AI17" s="4322"/>
      <c r="AS17" s="2560"/>
      <c r="AT17" s="2319" t="str">
        <f t="shared" si="5"/>
        <v>Please select</v>
      </c>
      <c r="AU17" s="2560"/>
      <c r="AV17" s="2560"/>
      <c r="AW17" s="2560"/>
      <c r="AX17" s="2560"/>
      <c r="AY17" s="2612" t="str">
        <f>'Inl. wetlands'!D18</f>
        <v/>
      </c>
      <c r="AZ17" s="4206"/>
      <c r="BA17" s="2612" t="str">
        <f>'Inl. wetlands'!$G18</f>
        <v/>
      </c>
      <c r="BB17" s="4206"/>
      <c r="BC17" s="2612" t="str">
        <f>'Inl. wetlands'!I18</f>
        <v/>
      </c>
      <c r="BD17" s="4206"/>
      <c r="BE17" s="2612" t="str">
        <f>'Inl. wetlands'!$K18</f>
        <v/>
      </c>
      <c r="BF17" s="4206"/>
      <c r="BG17" s="2560"/>
      <c r="BI17" s="4363">
        <v>1</v>
      </c>
      <c r="BJ17" s="4364"/>
      <c r="BK17" s="1996"/>
      <c r="CD17" s="2560"/>
      <c r="CE17" s="2319" t="str">
        <f t="shared" si="6"/>
        <v>Please select</v>
      </c>
      <c r="CF17" s="4156">
        <f>'Inl. wetlands'!B70</f>
        <v>0</v>
      </c>
      <c r="CG17" s="4209"/>
      <c r="CH17" s="4156">
        <f>'Inl. wetlands'!D70</f>
        <v>0</v>
      </c>
      <c r="CI17" s="4209"/>
      <c r="CJ17" s="4156">
        <f>'Inl. wetlands'!F70</f>
        <v>0</v>
      </c>
      <c r="CK17" s="4209"/>
      <c r="CL17" s="2560"/>
      <c r="CM17" s="4156">
        <f>'Inl. wetlands'!H70</f>
        <v>0</v>
      </c>
      <c r="CN17" s="4209"/>
      <c r="CO17" s="4156">
        <f>'Inl. wetlands'!J70</f>
        <v>0</v>
      </c>
      <c r="CP17" s="4209"/>
      <c r="CQ17" s="2560"/>
      <c r="CT17" s="2560"/>
      <c r="CU17" s="2319" t="str">
        <f t="shared" si="7"/>
        <v>Please select</v>
      </c>
      <c r="CV17" s="2585">
        <f t="shared" si="8"/>
        <v>0</v>
      </c>
      <c r="CW17" s="2585">
        <f t="shared" si="9"/>
        <v>0</v>
      </c>
      <c r="CX17" s="2560"/>
      <c r="CY17" s="2560"/>
      <c r="CZ17" s="4105" t="s">
        <v>57</v>
      </c>
      <c r="DA17" s="2560"/>
      <c r="DB17" s="4105">
        <v>1</v>
      </c>
      <c r="DC17" s="4202">
        <v>0.01</v>
      </c>
      <c r="DD17" s="4160"/>
      <c r="DE17" s="4105">
        <v>1</v>
      </c>
      <c r="DF17" s="4202">
        <v>0.01</v>
      </c>
      <c r="DG17" s="2560"/>
      <c r="DH17" s="2585">
        <f>'Inl. wetlands'!P57</f>
        <v>362</v>
      </c>
      <c r="DI17" s="2128"/>
      <c r="DJ17" s="2585">
        <f>'Inl. wetlands'!R57</f>
        <v>207</v>
      </c>
      <c r="DK17" s="2128"/>
      <c r="DL17" s="2585">
        <f>'Inl. wetlands'!T57</f>
        <v>9</v>
      </c>
      <c r="DM17" s="2128"/>
      <c r="DN17" s="2585">
        <f>'Inl. wetlands'!V57</f>
        <v>0</v>
      </c>
      <c r="DO17" s="2128"/>
      <c r="DP17" s="2560"/>
      <c r="DU17" s="2591"/>
      <c r="DV17" s="2591" t="str">
        <f t="shared" si="1"/>
        <v>Please select</v>
      </c>
      <c r="DW17" s="2591"/>
      <c r="DX17" s="2612">
        <f>'Inl. wetlands'!I96</f>
        <v>0</v>
      </c>
      <c r="DY17" s="4205"/>
      <c r="DZ17" s="4155">
        <f>'Inl. wetlands'!K96</f>
        <v>0</v>
      </c>
      <c r="EA17" s="4205"/>
      <c r="EB17" s="4155">
        <f>'Inl. wetlands'!M96</f>
        <v>0</v>
      </c>
      <c r="EC17" s="4205"/>
      <c r="ED17" s="2591"/>
      <c r="EE17" s="4156">
        <f>'Inl. wetlands'!O96</f>
        <v>0</v>
      </c>
      <c r="EF17" s="4205"/>
      <c r="EG17" s="2591"/>
      <c r="EH17" s="2591"/>
    </row>
    <row r="18" spans="2:138" s="4132" customFormat="1" x14ac:dyDescent="0.2">
      <c r="B18" s="1838"/>
      <c r="C18" s="4191" t="s">
        <v>57</v>
      </c>
      <c r="D18" s="1838"/>
      <c r="E18" s="2129">
        <v>0</v>
      </c>
      <c r="F18" s="1838"/>
      <c r="G18" s="2129" t="s">
        <v>85</v>
      </c>
      <c r="H18" s="1838"/>
      <c r="I18" s="2129" t="s">
        <v>57</v>
      </c>
      <c r="J18" s="1838"/>
      <c r="K18" s="2129" t="s">
        <v>57</v>
      </c>
      <c r="L18" s="1838"/>
      <c r="M18" s="4192">
        <v>0</v>
      </c>
      <c r="N18" s="4193">
        <v>0</v>
      </c>
      <c r="O18" s="4098" t="s">
        <v>86</v>
      </c>
      <c r="P18" s="4193">
        <v>0</v>
      </c>
      <c r="Q18" s="4098" t="s">
        <v>86</v>
      </c>
      <c r="R18" s="4157"/>
      <c r="S18" s="4158">
        <f t="shared" si="2"/>
        <v>0</v>
      </c>
      <c r="T18" s="4158">
        <f t="shared" si="3"/>
        <v>0</v>
      </c>
      <c r="U18" s="1838"/>
      <c r="V18" s="1838"/>
      <c r="W18" s="1838"/>
      <c r="X18" s="4194" t="s">
        <v>1053</v>
      </c>
      <c r="Y18" s="1838"/>
      <c r="Z18" s="1838"/>
      <c r="AA18" s="4157"/>
      <c r="AB18" s="1838"/>
      <c r="AC18" s="1838"/>
      <c r="AD18" s="1838"/>
      <c r="AE18" s="2107">
        <f>'Inl. wetlands'!AI41</f>
        <v>0</v>
      </c>
      <c r="AF18" s="2107">
        <f>'Inl. wetlands'!AJ41</f>
        <v>0</v>
      </c>
      <c r="AG18" s="1806">
        <f t="shared" si="4"/>
        <v>0</v>
      </c>
      <c r="AH18" s="4322"/>
      <c r="AI18" s="4322"/>
      <c r="AS18" s="2560"/>
      <c r="AT18" s="2319" t="str">
        <f t="shared" si="5"/>
        <v>Please select</v>
      </c>
      <c r="AU18" s="2560"/>
      <c r="AV18" s="2560"/>
      <c r="AW18" s="2560"/>
      <c r="AX18" s="2560"/>
      <c r="AY18" s="2612" t="str">
        <f>'Inl. wetlands'!D19</f>
        <v/>
      </c>
      <c r="AZ18" s="4206"/>
      <c r="BA18" s="2612" t="str">
        <f>'Inl. wetlands'!$G19</f>
        <v/>
      </c>
      <c r="BB18" s="4206"/>
      <c r="BC18" s="2612" t="str">
        <f>'Inl. wetlands'!I19</f>
        <v/>
      </c>
      <c r="BD18" s="4206"/>
      <c r="BE18" s="2612" t="str">
        <f>'Inl. wetlands'!$K19</f>
        <v/>
      </c>
      <c r="BF18" s="4206"/>
      <c r="BG18" s="2560"/>
      <c r="BI18" s="4363">
        <v>1</v>
      </c>
      <c r="BJ18" s="4364"/>
      <c r="BK18" s="1996"/>
      <c r="CD18" s="2560"/>
      <c r="CE18" s="2319" t="str">
        <f t="shared" si="6"/>
        <v>Please select</v>
      </c>
      <c r="CF18" s="4156">
        <f>'Inl. wetlands'!B71</f>
        <v>0</v>
      </c>
      <c r="CG18" s="4209"/>
      <c r="CH18" s="4156">
        <f>'Inl. wetlands'!D71</f>
        <v>0</v>
      </c>
      <c r="CI18" s="4209"/>
      <c r="CJ18" s="4156">
        <f>'Inl. wetlands'!F71</f>
        <v>0</v>
      </c>
      <c r="CK18" s="4209"/>
      <c r="CL18" s="2560"/>
      <c r="CM18" s="4156">
        <f>'Inl. wetlands'!H71</f>
        <v>0</v>
      </c>
      <c r="CN18" s="4209"/>
      <c r="CO18" s="4156">
        <f>'Inl. wetlands'!J71</f>
        <v>0</v>
      </c>
      <c r="CP18" s="4209"/>
      <c r="CQ18" s="2560"/>
      <c r="CT18" s="2560"/>
      <c r="CU18" s="2319" t="str">
        <f t="shared" si="7"/>
        <v>Please select</v>
      </c>
      <c r="CV18" s="2585">
        <f t="shared" si="8"/>
        <v>0</v>
      </c>
      <c r="CW18" s="2585">
        <f t="shared" si="9"/>
        <v>0</v>
      </c>
      <c r="CX18" s="2560"/>
      <c r="CY18" s="2560"/>
      <c r="CZ18" s="4105" t="s">
        <v>57</v>
      </c>
      <c r="DA18" s="2560"/>
      <c r="DB18" s="4105">
        <v>1</v>
      </c>
      <c r="DC18" s="4202">
        <v>0.01</v>
      </c>
      <c r="DD18" s="4160"/>
      <c r="DE18" s="4105">
        <v>1</v>
      </c>
      <c r="DF18" s="4202">
        <v>0.01</v>
      </c>
      <c r="DG18" s="2560"/>
      <c r="DH18" s="2585">
        <f>'Inl. wetlands'!P58</f>
        <v>362</v>
      </c>
      <c r="DI18" s="2128"/>
      <c r="DJ18" s="2585">
        <f>'Inl. wetlands'!R58</f>
        <v>207</v>
      </c>
      <c r="DK18" s="2128"/>
      <c r="DL18" s="2585">
        <f>'Inl. wetlands'!T58</f>
        <v>9</v>
      </c>
      <c r="DM18" s="2128"/>
      <c r="DN18" s="2585">
        <f>'Inl. wetlands'!V58</f>
        <v>0</v>
      </c>
      <c r="DO18" s="2128"/>
      <c r="DP18" s="2560"/>
      <c r="DU18" s="2591"/>
      <c r="DV18" s="2591"/>
      <c r="DW18" s="2591"/>
      <c r="DX18" s="2591"/>
      <c r="DY18" s="2591"/>
      <c r="DZ18" s="2591"/>
      <c r="EA18" s="2591"/>
      <c r="EB18" s="2591"/>
      <c r="EC18" s="2591"/>
      <c r="ED18" s="2591"/>
      <c r="EE18" s="2591"/>
      <c r="EF18" s="2591"/>
      <c r="EG18" s="2591"/>
      <c r="EH18" s="2591"/>
    </row>
    <row r="19" spans="2:138" s="4132" customFormat="1" x14ac:dyDescent="0.2">
      <c r="B19" s="1838"/>
      <c r="C19" s="4338"/>
      <c r="D19" s="1838"/>
      <c r="E19" s="1838"/>
      <c r="F19" s="1838"/>
      <c r="G19" s="1838"/>
      <c r="H19" s="1838"/>
      <c r="I19" s="4338" t="str" cm="1">
        <f t="array" ref="I19">IF(OR(I13:I18="Degraded land",I13:I18="Other land (non-vegetated)"),"There are no EFs for water table management practices on degraded or other land. Please use tier 2 to account for GHG fluxes", "")</f>
        <v/>
      </c>
      <c r="J19" s="1838"/>
      <c r="K19" s="1838"/>
      <c r="L19" s="1838"/>
      <c r="M19" s="1838"/>
      <c r="N19" s="1838"/>
      <c r="O19" s="1838"/>
      <c r="P19" s="2107"/>
      <c r="Q19" s="1838"/>
      <c r="R19" s="1838"/>
      <c r="S19" s="1838"/>
      <c r="T19" s="1838"/>
      <c r="U19" s="1838"/>
      <c r="V19" s="1838"/>
      <c r="W19" s="1838"/>
      <c r="X19" s="1838"/>
      <c r="Y19" s="1838"/>
      <c r="Z19" s="1838"/>
      <c r="AA19" s="1838"/>
      <c r="AB19" s="1838"/>
      <c r="AC19" s="1838"/>
      <c r="AD19" s="1838"/>
      <c r="AE19" s="1838"/>
      <c r="AF19" s="1838"/>
      <c r="AG19" s="1838"/>
      <c r="AH19" s="4322"/>
      <c r="AI19" s="4322"/>
      <c r="AS19" s="2560"/>
      <c r="AT19" s="2560"/>
      <c r="AU19" s="2560"/>
      <c r="AV19" s="2560"/>
      <c r="AW19" s="2560"/>
      <c r="AX19" s="2560"/>
      <c r="AY19" s="2560"/>
      <c r="AZ19" s="2560"/>
      <c r="BA19" s="2560"/>
      <c r="BB19" s="2560"/>
      <c r="BC19" s="2560"/>
      <c r="BD19" s="2560"/>
      <c r="BE19" s="2560"/>
      <c r="BF19" s="2560"/>
      <c r="BG19" s="2560"/>
      <c r="BI19" s="1996"/>
      <c r="BJ19" s="1996"/>
      <c r="BK19" s="1996"/>
      <c r="CD19" s="2560"/>
      <c r="CE19" s="2591"/>
      <c r="CF19" s="2560"/>
      <c r="CG19" s="2560"/>
      <c r="CH19" s="2560"/>
      <c r="CI19" s="2560"/>
      <c r="CJ19" s="2560"/>
      <c r="CK19" s="2560"/>
      <c r="CL19" s="2560"/>
      <c r="CM19" s="2560"/>
      <c r="CN19" s="2560"/>
      <c r="CO19" s="2560"/>
      <c r="CP19" s="2560"/>
      <c r="CQ19" s="2560"/>
      <c r="CT19" s="2560"/>
      <c r="CU19" s="2560"/>
      <c r="CV19" s="2560"/>
      <c r="CW19" s="2560"/>
      <c r="CX19" s="2560"/>
      <c r="CY19" s="2560"/>
      <c r="CZ19" s="2560"/>
      <c r="DA19" s="2560"/>
      <c r="DB19" s="2560"/>
      <c r="DC19" s="2560"/>
      <c r="DD19" s="2560"/>
      <c r="DE19" s="2560"/>
      <c r="DF19" s="2560"/>
      <c r="DG19" s="2560"/>
      <c r="DH19" s="2560"/>
      <c r="DI19" s="2560"/>
      <c r="DJ19" s="2560"/>
      <c r="DK19" s="2560"/>
      <c r="DL19" s="2560"/>
      <c r="DM19" s="2560"/>
      <c r="DN19" s="2560"/>
      <c r="DO19" s="2560"/>
      <c r="DP19" s="2560"/>
      <c r="DU19" s="2591"/>
      <c r="DV19" s="2591"/>
      <c r="DW19" s="2591"/>
      <c r="DX19" s="2591"/>
      <c r="DY19" s="2591"/>
      <c r="DZ19" s="2591"/>
      <c r="EA19" s="2591"/>
      <c r="EB19" s="2591"/>
      <c r="EC19" s="2591"/>
      <c r="ED19" s="2591"/>
      <c r="EE19" s="2560"/>
      <c r="EF19" s="4161" t="str">
        <f>CK20</f>
        <v>Nutrient poor</v>
      </c>
      <c r="EG19" s="4145" t="s">
        <v>1054</v>
      </c>
      <c r="EH19" s="2591"/>
    </row>
    <row r="20" spans="2:138" s="4132" customFormat="1" x14ac:dyDescent="0.2">
      <c r="B20" s="1838"/>
      <c r="C20" s="1838"/>
      <c r="D20" s="1838"/>
      <c r="E20" s="1838"/>
      <c r="F20" s="1838"/>
      <c r="G20" s="1838"/>
      <c r="H20" s="1838"/>
      <c r="I20" s="1838"/>
      <c r="J20" s="1838"/>
      <c r="K20" s="1838"/>
      <c r="L20" s="1838"/>
      <c r="M20" s="1838"/>
      <c r="N20" s="1838"/>
      <c r="O20" s="1838"/>
      <c r="P20" s="2107"/>
      <c r="Q20" s="1838"/>
      <c r="R20" s="1838"/>
      <c r="S20" s="1838"/>
      <c r="T20" s="1838"/>
      <c r="U20" s="1838"/>
      <c r="V20" s="1838"/>
      <c r="W20" s="1838"/>
      <c r="X20" s="1838"/>
      <c r="Y20" s="1838"/>
      <c r="Z20" s="1838"/>
      <c r="AA20" s="1838"/>
      <c r="AB20" s="1838"/>
      <c r="AC20" s="1838"/>
      <c r="AD20" s="1838"/>
      <c r="AE20" s="1838"/>
      <c r="AF20" s="1838"/>
      <c r="AG20" s="1838"/>
      <c r="AH20" s="4322"/>
      <c r="AI20" s="4322"/>
      <c r="AS20" s="2560"/>
      <c r="AT20" s="2560"/>
      <c r="AU20" s="2560"/>
      <c r="AV20" s="2560"/>
      <c r="AW20" s="2560"/>
      <c r="AX20" s="2560"/>
      <c r="AY20" s="2560"/>
      <c r="AZ20" s="2560"/>
      <c r="BA20" s="2560"/>
      <c r="BB20" s="2560"/>
      <c r="BC20" s="2560"/>
      <c r="BD20" s="2560"/>
      <c r="BE20" s="2560"/>
      <c r="BF20" s="2560"/>
      <c r="BG20" s="2560"/>
      <c r="BI20" s="1996"/>
      <c r="BJ20" s="1996"/>
      <c r="BK20" s="1996"/>
      <c r="CD20" s="4165" t="str">
        <f>Languages!B338</f>
        <v>Please indicate the dominant quality of peat, this can influence the emission factors above:</v>
      </c>
      <c r="CE20" s="2560"/>
      <c r="CF20" s="2591"/>
      <c r="CG20" s="2591"/>
      <c r="CH20" s="2560"/>
      <c r="CI20" s="2591"/>
      <c r="CJ20" s="2560"/>
      <c r="CK20" s="4205" t="s">
        <v>1055</v>
      </c>
      <c r="CL20" s="4205"/>
      <c r="CM20" s="4205"/>
      <c r="CN20" s="2560"/>
      <c r="CO20" s="2560"/>
      <c r="CP20" s="2560"/>
      <c r="CQ20" s="2560"/>
      <c r="CT20" s="2560"/>
      <c r="CU20" s="2560"/>
      <c r="CV20" s="2560"/>
      <c r="CW20" s="2560"/>
      <c r="CX20" s="2560"/>
      <c r="CY20" s="2560"/>
      <c r="CZ20" s="2560"/>
      <c r="DA20" s="2560"/>
      <c r="DB20" s="2560"/>
      <c r="DC20" s="2560"/>
      <c r="DD20" s="2560"/>
      <c r="DE20" s="2560"/>
      <c r="DF20" s="2560"/>
      <c r="DG20" s="2560"/>
      <c r="DH20" s="2560"/>
      <c r="DI20" s="2560"/>
      <c r="DJ20" s="2560"/>
      <c r="DK20" s="2560"/>
      <c r="DL20" s="2560"/>
      <c r="DM20" s="2560"/>
      <c r="DN20" s="2560"/>
      <c r="DO20" s="2560"/>
      <c r="DP20" s="2560"/>
      <c r="DU20" s="2591"/>
      <c r="DV20" s="2591"/>
      <c r="DW20" s="2591"/>
      <c r="DX20" s="2591"/>
      <c r="DY20" s="2591"/>
      <c r="DZ20" s="2591"/>
      <c r="EA20" s="2591"/>
      <c r="EB20" s="2591"/>
      <c r="EC20" s="2591"/>
      <c r="ED20" s="2591"/>
      <c r="EE20" s="2560"/>
      <c r="EF20" s="4161"/>
      <c r="EG20" s="4145"/>
      <c r="EH20" s="2591"/>
    </row>
    <row r="21" spans="2:138" s="4132" customFormat="1" ht="14.75" customHeight="1" x14ac:dyDescent="0.2">
      <c r="B21" s="1838"/>
      <c r="C21" s="1838"/>
      <c r="D21" s="1838"/>
      <c r="E21" s="1838"/>
      <c r="F21" s="1838"/>
      <c r="G21" s="1838"/>
      <c r="H21" s="1838"/>
      <c r="I21" s="1838"/>
      <c r="J21" s="1838"/>
      <c r="K21" s="1834" t="str">
        <f>Languages!B391</f>
        <v>Maximum area available for</v>
      </c>
      <c r="L21" s="1838"/>
      <c r="M21" s="1838"/>
      <c r="N21" s="1838"/>
      <c r="O21" s="1838"/>
      <c r="P21" s="1838"/>
      <c r="Q21" s="1838"/>
      <c r="R21" s="1838"/>
      <c r="S21" s="1838"/>
      <c r="T21" s="1838"/>
      <c r="U21" s="1838"/>
      <c r="V21" s="1838"/>
      <c r="W21" s="1838"/>
      <c r="X21" s="1838"/>
      <c r="Y21" s="1838"/>
      <c r="Z21" s="4569" t="str">
        <f>Languages!B349</f>
        <v>Management practices following conversion</v>
      </c>
      <c r="AA21" s="4569"/>
      <c r="AB21" s="4569"/>
      <c r="AC21" s="1838"/>
      <c r="AD21" s="1838"/>
      <c r="AE21" s="1838"/>
      <c r="AF21" s="1838"/>
      <c r="AG21" s="1838"/>
      <c r="AH21" s="4322"/>
      <c r="AI21" s="4322"/>
      <c r="AS21" s="2319"/>
      <c r="AT21" s="4145" t="str">
        <f>AT10</f>
        <v xml:space="preserve">Type of vegetation </v>
      </c>
      <c r="AU21" s="2591"/>
      <c r="AV21" s="2591"/>
      <c r="AW21" s="2591"/>
      <c r="AX21" s="2591"/>
      <c r="AY21" s="4146" t="str">
        <f>Languages!B409</f>
        <v>Final land use biomass C pool (BGB+AGB)</v>
      </c>
      <c r="AZ21" s="4145"/>
      <c r="BA21" s="4145"/>
      <c r="BB21" s="4145"/>
      <c r="BC21" s="2560"/>
      <c r="BD21" s="2560"/>
      <c r="BE21" s="2560"/>
      <c r="BF21" s="2560"/>
      <c r="BG21" s="2560"/>
      <c r="BI21" s="4548" t="s">
        <v>87</v>
      </c>
      <c r="BJ21" s="4548"/>
      <c r="BK21" s="4548"/>
      <c r="CD21" s="2560"/>
      <c r="CE21" s="2591"/>
      <c r="CF21" s="4140" t="str">
        <f>CF9</f>
        <v>On site emission factors</v>
      </c>
      <c r="CG21" s="4141"/>
      <c r="CH21" s="4141"/>
      <c r="CI21" s="4141"/>
      <c r="CJ21" s="4141"/>
      <c r="CK21" s="4141"/>
      <c r="CL21" s="2591"/>
      <c r="CM21" s="4140" t="str">
        <f>CM9</f>
        <v>Off-site emission factors</v>
      </c>
      <c r="CN21" s="4140"/>
      <c r="CO21" s="4140"/>
      <c r="CP21" s="4140"/>
      <c r="CQ21" s="2560"/>
      <c r="CT21" s="2560"/>
      <c r="CU21" s="2560"/>
      <c r="CV21" s="2560"/>
      <c r="CW21" s="2560"/>
      <c r="CX21" s="2560"/>
      <c r="CY21" s="2560"/>
      <c r="CZ21" s="2560"/>
      <c r="DA21" s="2560"/>
      <c r="DB21" s="2560"/>
      <c r="DC21" s="2560"/>
      <c r="DD21" s="2560"/>
      <c r="DE21" s="2560"/>
      <c r="DF21" s="2560"/>
      <c r="DG21" s="2560"/>
      <c r="DH21" s="2560"/>
      <c r="DI21" s="2560"/>
      <c r="DJ21" s="2560"/>
      <c r="DK21" s="2560"/>
      <c r="DL21" s="2560"/>
      <c r="DM21" s="2560"/>
      <c r="DN21" s="2560"/>
      <c r="DO21" s="2560"/>
      <c r="DP21" s="2560"/>
      <c r="DU21" s="2591"/>
      <c r="DV21" s="2591"/>
      <c r="DW21" s="2591"/>
      <c r="DX21" s="4140" t="s">
        <v>1033</v>
      </c>
      <c r="DY21" s="4141"/>
      <c r="DZ21" s="4141"/>
      <c r="EA21" s="4141"/>
      <c r="EB21" s="4141"/>
      <c r="EC21" s="4141"/>
      <c r="ED21" s="2591"/>
      <c r="EE21" s="4140" t="s">
        <v>1034</v>
      </c>
      <c r="EF21" s="4141"/>
      <c r="EG21" s="4141"/>
      <c r="EH21" s="2591"/>
    </row>
    <row r="22" spans="2:138" s="4132" customFormat="1" ht="14.75" customHeight="1" x14ac:dyDescent="0.2">
      <c r="B22" s="1838"/>
      <c r="C22" s="1834" t="str">
        <f>C10</f>
        <v xml:space="preserve">Type of vegetation </v>
      </c>
      <c r="D22" s="4569" t="str">
        <f>I10</f>
        <v>Final land-use after deforestation</v>
      </c>
      <c r="E22" s="4569"/>
      <c r="F22" s="4569"/>
      <c r="G22" s="1838"/>
      <c r="H22" s="1838"/>
      <c r="I22" s="1838"/>
      <c r="J22" s="1838"/>
      <c r="K22" s="1834" t="str">
        <f>Languages!B392</f>
        <v>water management</v>
      </c>
      <c r="L22" s="1838"/>
      <c r="M22" s="4352" t="str">
        <f>Languages!B393</f>
        <v>Area under drainage (ha)</v>
      </c>
      <c r="N22" s="4352"/>
      <c r="O22" s="4352"/>
      <c r="P22" s="4352"/>
      <c r="Q22" s="4143"/>
      <c r="R22" s="1838"/>
      <c r="S22" s="4143" t="str">
        <f>Languages!B394</f>
        <v>Area not drained or rewetted (ha)</v>
      </c>
      <c r="T22" s="4143"/>
      <c r="U22" s="4143"/>
      <c r="V22" s="4142"/>
      <c r="W22" s="4143" t="str">
        <f>Languages!B334</f>
        <v>% area occupied by ditches</v>
      </c>
      <c r="X22" s="4351"/>
      <c r="Y22" s="4351"/>
      <c r="Z22" s="4569"/>
      <c r="AA22" s="4569"/>
      <c r="AB22" s="4569"/>
      <c r="AC22" s="1960"/>
      <c r="AD22" s="1838"/>
      <c r="AE22" s="1838"/>
      <c r="AF22" s="1838"/>
      <c r="AG22" s="1838"/>
      <c r="AH22" s="4322"/>
      <c r="AI22" s="4322"/>
      <c r="AS22" s="2319"/>
      <c r="AT22" s="4145" t="str">
        <f>D22</f>
        <v>Final land-use after deforestation</v>
      </c>
      <c r="AU22" s="2591"/>
      <c r="AV22" s="2591"/>
      <c r="AW22" s="2591"/>
      <c r="AX22" s="2591"/>
      <c r="AY22" s="4149" t="s">
        <v>62</v>
      </c>
      <c r="AZ22" s="2591"/>
      <c r="BA22" s="4149"/>
      <c r="BB22" s="2591"/>
      <c r="BC22" s="2560"/>
      <c r="BD22" s="2560"/>
      <c r="BE22" s="2560"/>
      <c r="BF22" s="2560"/>
      <c r="BG22" s="2560"/>
      <c r="BI22" s="4548"/>
      <c r="BJ22" s="4548"/>
      <c r="BK22" s="4548"/>
      <c r="CD22" s="4165"/>
      <c r="CE22" s="4145" t="str">
        <f>Languages!B339</f>
        <v>Final land-use</v>
      </c>
      <c r="CF22" s="4149" t="s">
        <v>1036</v>
      </c>
      <c r="CG22" s="2591"/>
      <c r="CH22" s="4150" t="s">
        <v>176</v>
      </c>
      <c r="CI22" s="2591"/>
      <c r="CJ22" s="4149" t="s">
        <v>177</v>
      </c>
      <c r="CK22" s="2591"/>
      <c r="CL22" s="2591"/>
      <c r="CM22" s="4149" t="s">
        <v>1037</v>
      </c>
      <c r="CN22" s="2591"/>
      <c r="CO22" s="4149" t="s">
        <v>176</v>
      </c>
      <c r="CP22" s="2591"/>
      <c r="CQ22" s="2560"/>
      <c r="CT22" s="2560"/>
      <c r="CU22" s="2560"/>
      <c r="CV22" s="2560"/>
      <c r="CW22" s="2560"/>
      <c r="CX22" s="2560"/>
      <c r="CY22" s="2560"/>
      <c r="CZ22" s="2560"/>
      <c r="DA22" s="2560"/>
      <c r="DB22" s="2560"/>
      <c r="DC22" s="2560"/>
      <c r="DD22" s="2560"/>
      <c r="DE22" s="2560"/>
      <c r="DF22" s="2560"/>
      <c r="DG22" s="2560"/>
      <c r="DH22" s="2560"/>
      <c r="DI22" s="2560"/>
      <c r="DJ22" s="2560"/>
      <c r="DK22" s="2560"/>
      <c r="DL22" s="2560"/>
      <c r="DM22" s="2560"/>
      <c r="DN22" s="2560"/>
      <c r="DO22" s="2560"/>
      <c r="DP22" s="2560"/>
      <c r="DU22" s="2591"/>
      <c r="DV22" s="4145" t="str">
        <f>I10</f>
        <v>Final land-use after deforestation</v>
      </c>
      <c r="DW22" s="2591"/>
      <c r="DX22" s="2591" t="s">
        <v>1040</v>
      </c>
      <c r="DY22" s="2591"/>
      <c r="DZ22" s="2591" t="s">
        <v>1041</v>
      </c>
      <c r="EA22" s="2591"/>
      <c r="EB22" s="2591" t="s">
        <v>177</v>
      </c>
      <c r="EC22" s="2591"/>
      <c r="ED22" s="2591"/>
      <c r="EE22" s="2591" t="s">
        <v>1042</v>
      </c>
      <c r="EF22" s="2591"/>
      <c r="EG22" s="2591"/>
      <c r="EH22" s="2591"/>
    </row>
    <row r="23" spans="2:138" s="4132" customFormat="1" x14ac:dyDescent="0.2">
      <c r="B23" s="1838"/>
      <c r="C23" s="1834" t="str">
        <f>C11</f>
        <v>that will be deforested</v>
      </c>
      <c r="D23" s="4569"/>
      <c r="E23" s="4569"/>
      <c r="F23" s="4569"/>
      <c r="G23" s="1960"/>
      <c r="H23" s="1838"/>
      <c r="I23" s="1838"/>
      <c r="J23" s="1838"/>
      <c r="K23" s="1838"/>
      <c r="L23" s="1838"/>
      <c r="M23" s="1960"/>
      <c r="N23" s="1960"/>
      <c r="O23" s="1960"/>
      <c r="P23" s="1960"/>
      <c r="Q23" s="1960"/>
      <c r="R23" s="1838"/>
      <c r="S23" s="1838"/>
      <c r="T23" s="1838"/>
      <c r="U23" s="1838"/>
      <c r="V23" s="1838"/>
      <c r="W23" s="1960"/>
      <c r="X23" s="1960"/>
      <c r="Y23" s="1960"/>
      <c r="Z23" s="1838"/>
      <c r="AA23" s="4162" t="str">
        <f>Languages!B395</f>
        <v>Fire on</v>
      </c>
      <c r="AB23" s="1960"/>
      <c r="AC23" s="1960"/>
      <c r="AD23" s="1838"/>
      <c r="AE23" s="1838"/>
      <c r="AF23" s="1838"/>
      <c r="AG23" s="1838"/>
      <c r="AH23" s="4322"/>
      <c r="AI23" s="4322"/>
      <c r="AS23" s="2319"/>
      <c r="AT23" s="2591"/>
      <c r="AU23" s="2591"/>
      <c r="AV23" s="2591"/>
      <c r="AW23" s="2591"/>
      <c r="AX23" s="2591"/>
      <c r="AY23" s="2560" t="str">
        <f>AY12</f>
        <v>Default</v>
      </c>
      <c r="AZ23" s="2560" t="str">
        <f>AZ12</f>
        <v>Tier 2</v>
      </c>
      <c r="BA23" s="2560"/>
      <c r="BB23" s="2560"/>
      <c r="BC23" s="2560"/>
      <c r="BD23" s="2560"/>
      <c r="BE23" s="2560"/>
      <c r="BF23" s="2560"/>
      <c r="BG23" s="2560"/>
      <c r="BI23" s="4548"/>
      <c r="BJ23" s="4548"/>
      <c r="BK23" s="4548"/>
      <c r="CD23" s="4165"/>
      <c r="CE23" s="2591"/>
      <c r="CF23" s="2591" t="str">
        <f>CF11</f>
        <v>tC/ha/yr</v>
      </c>
      <c r="CG23" s="2591"/>
      <c r="CH23" s="2591" t="str">
        <f>CH11</f>
        <v>kgCH4/ha/yr</v>
      </c>
      <c r="CI23" s="2591"/>
      <c r="CJ23" s="2591" t="str">
        <f>CJ11</f>
        <v>kgN2O-N/ha/yr</v>
      </c>
      <c r="CK23" s="2591"/>
      <c r="CL23" s="2591"/>
      <c r="CM23" s="2591" t="str">
        <f>CM11</f>
        <v>tC/ha/yr</v>
      </c>
      <c r="CN23" s="2591"/>
      <c r="CO23" s="2591" t="str">
        <f>CO11</f>
        <v>kgCH4/ha/yr</v>
      </c>
      <c r="CP23" s="2591"/>
      <c r="CQ23" s="2560"/>
      <c r="CT23" s="2560"/>
      <c r="CU23" s="2560"/>
      <c r="CV23" s="2560"/>
      <c r="CW23" s="2560"/>
      <c r="CX23" s="2560"/>
      <c r="CY23" s="2560"/>
      <c r="CZ23" s="2560"/>
      <c r="DA23" s="2560"/>
      <c r="DB23" s="2560"/>
      <c r="DC23" s="2560"/>
      <c r="DD23" s="2560"/>
      <c r="DE23" s="2560"/>
      <c r="DF23" s="2560"/>
      <c r="DG23" s="2560"/>
      <c r="DH23" s="2560"/>
      <c r="DI23" s="2560"/>
      <c r="DJ23" s="2560"/>
      <c r="DK23" s="2560"/>
      <c r="DL23" s="2560"/>
      <c r="DM23" s="2560"/>
      <c r="DN23" s="2560"/>
      <c r="DO23" s="2560"/>
      <c r="DP23" s="2560"/>
      <c r="DU23" s="2591"/>
      <c r="DV23" s="2591"/>
      <c r="DW23" s="2591"/>
      <c r="DX23" s="2591" t="s">
        <v>92</v>
      </c>
      <c r="DY23" s="2591"/>
      <c r="DZ23" s="2591" t="s">
        <v>1050</v>
      </c>
      <c r="EA23" s="2591"/>
      <c r="EB23" s="2591" t="s">
        <v>1051</v>
      </c>
      <c r="EC23" s="2591"/>
      <c r="ED23" s="2591"/>
      <c r="EE23" s="2591" t="s">
        <v>92</v>
      </c>
      <c r="EF23" s="2591"/>
      <c r="EG23" s="2591"/>
      <c r="EH23" s="2591"/>
    </row>
    <row r="24" spans="2:138" s="4132" customFormat="1" x14ac:dyDescent="0.2">
      <c r="B24" s="1838"/>
      <c r="C24" s="1838"/>
      <c r="D24" s="4569"/>
      <c r="E24" s="4569"/>
      <c r="F24" s="4569"/>
      <c r="G24" s="1838"/>
      <c r="H24" s="1838"/>
      <c r="I24" s="1838"/>
      <c r="J24" s="1838"/>
      <c r="K24" s="1838"/>
      <c r="L24" s="1838"/>
      <c r="M24" s="1838" t="str">
        <f>M12</f>
        <v>Start</v>
      </c>
      <c r="N24" s="1838" t="str">
        <f>N12</f>
        <v>Without</v>
      </c>
      <c r="O24" s="1838" t="s">
        <v>83</v>
      </c>
      <c r="P24" s="1838" t="str">
        <f>P12</f>
        <v>With</v>
      </c>
      <c r="Q24" s="1838" t="s">
        <v>83</v>
      </c>
      <c r="R24" s="1838"/>
      <c r="S24" s="1838" t="str">
        <f>M24</f>
        <v>Start</v>
      </c>
      <c r="T24" s="1838" t="str">
        <f>N24</f>
        <v>Without</v>
      </c>
      <c r="U24" s="1838" t="str">
        <f>P24</f>
        <v>With</v>
      </c>
      <c r="V24" s="1838"/>
      <c r="W24" s="1838" t="str">
        <f>Languages!B11</f>
        <v>Start</v>
      </c>
      <c r="X24" s="1838" t="str">
        <f>Languages!B12</f>
        <v>Without</v>
      </c>
      <c r="Y24" s="1838" t="str">
        <f>Languages!B13</f>
        <v>With</v>
      </c>
      <c r="Z24" s="1838"/>
      <c r="AA24" s="1838" t="str">
        <f>Languages!B396</f>
        <v>Soil</v>
      </c>
      <c r="AB24" s="1960"/>
      <c r="AC24" s="1960"/>
      <c r="AD24" s="1838"/>
      <c r="AE24" s="1838" t="str">
        <f>AE12</f>
        <v>Without</v>
      </c>
      <c r="AF24" s="1838" t="str">
        <f>AF12</f>
        <v>With</v>
      </c>
      <c r="AG24" s="1834" t="str">
        <f>AG12</f>
        <v>Balance</v>
      </c>
      <c r="AH24" s="4322"/>
      <c r="AI24" s="4322"/>
      <c r="AS24" s="2319"/>
      <c r="AT24" s="2319" t="str">
        <f t="shared" ref="AT24:AT29" si="10">E25</f>
        <v>Annual cropland</v>
      </c>
      <c r="AU24" s="2560"/>
      <c r="AV24" s="2560"/>
      <c r="AW24" s="2560"/>
      <c r="AX24" s="2560"/>
      <c r="AY24" s="2612">
        <f>'Inl. wetlands'!J24</f>
        <v>4.7</v>
      </c>
      <c r="AZ24" s="4206"/>
      <c r="BA24" s="2612"/>
      <c r="BB24" s="2560"/>
      <c r="BC24" s="2560"/>
      <c r="BD24" s="2560"/>
      <c r="BE24" s="2560"/>
      <c r="BF24" s="2560"/>
      <c r="BG24" s="2560"/>
      <c r="BI24" s="1996"/>
      <c r="BJ24" s="1996"/>
      <c r="BK24" s="1996"/>
      <c r="CD24" s="4165"/>
      <c r="CE24" s="2591"/>
      <c r="CF24" s="2560" t="str">
        <f>CF12</f>
        <v>Default</v>
      </c>
      <c r="CG24" s="2560" t="str">
        <f>CG12</f>
        <v>Tier 2</v>
      </c>
      <c r="CH24" s="2560" t="str">
        <f>CF24</f>
        <v>Default</v>
      </c>
      <c r="CI24" s="2560" t="str">
        <f>CG24</f>
        <v>Tier 2</v>
      </c>
      <c r="CJ24" s="2560" t="str">
        <f>CH24</f>
        <v>Default</v>
      </c>
      <c r="CK24" s="2560" t="str">
        <f>CI24</f>
        <v>Tier 2</v>
      </c>
      <c r="CL24" s="2591"/>
      <c r="CM24" s="2560" t="str">
        <f>CJ24</f>
        <v>Default</v>
      </c>
      <c r="CN24" s="2560" t="str">
        <f>CK24</f>
        <v>Tier 2</v>
      </c>
      <c r="CO24" s="2560" t="str">
        <f>CM24</f>
        <v>Default</v>
      </c>
      <c r="CP24" s="2560" t="str">
        <f>CN24</f>
        <v>Tier 2</v>
      </c>
      <c r="CQ24" s="2560"/>
      <c r="CT24" s="2560"/>
      <c r="CU24" s="2560"/>
      <c r="CV24" s="2560"/>
      <c r="CW24" s="2560"/>
      <c r="CX24" s="2560"/>
      <c r="CY24" s="2560"/>
      <c r="CZ24" s="2560"/>
      <c r="DA24" s="2560"/>
      <c r="DB24" s="2560"/>
      <c r="DC24" s="2560"/>
      <c r="DD24" s="2560"/>
      <c r="DE24" s="2560"/>
      <c r="DF24" s="2560"/>
      <c r="DG24" s="2560"/>
      <c r="DH24" s="2560"/>
      <c r="DI24" s="2560"/>
      <c r="DJ24" s="2560"/>
      <c r="DK24" s="2560"/>
      <c r="DL24" s="2560"/>
      <c r="DM24" s="2560"/>
      <c r="DN24" s="2560"/>
      <c r="DO24" s="2560"/>
      <c r="DP24" s="2560"/>
      <c r="DU24" s="2591"/>
      <c r="DV24" s="2591" t="str">
        <f t="shared" ref="DV24:DV29" si="11">E25</f>
        <v>Annual cropland</v>
      </c>
      <c r="DW24" s="2591"/>
      <c r="DX24" s="2612">
        <f>'Inl. wetlands'!I102</f>
        <v>-0.23</v>
      </c>
      <c r="DY24" s="4205"/>
      <c r="DZ24" s="4155">
        <f>'Inl. wetlands'!K102</f>
        <v>92</v>
      </c>
      <c r="EA24" s="4205"/>
      <c r="EB24" s="4155">
        <f>'Inl. wetlands'!M102</f>
        <v>0</v>
      </c>
      <c r="EC24" s="4205"/>
      <c r="ED24" s="2591"/>
      <c r="EE24" s="4156">
        <f>'Inl. wetlands'!O102</f>
        <v>0.24</v>
      </c>
      <c r="EF24" s="4205"/>
      <c r="EG24" s="2591"/>
      <c r="EH24" s="2591"/>
    </row>
    <row r="25" spans="2:138" s="4132" customFormat="1" x14ac:dyDescent="0.2">
      <c r="B25" s="1838"/>
      <c r="C25" s="1838" t="str">
        <f t="shared" ref="C25:C30" si="12">C13</f>
        <v>Tropical rainforest</v>
      </c>
      <c r="D25" s="1838"/>
      <c r="E25" s="1960" t="str">
        <f t="shared" ref="E25:E30" si="13">IF(I13="Agroforestry",I13&amp;"-"&amp;K13,I13)</f>
        <v>Annual cropland</v>
      </c>
      <c r="F25" s="1960"/>
      <c r="G25" s="1960"/>
      <c r="H25" s="1838"/>
      <c r="I25" s="1838"/>
      <c r="J25" s="1838"/>
      <c r="K25" s="2107">
        <f t="shared" ref="K25:K30" si="14">MAX(M13,N13,P13)</f>
        <v>100</v>
      </c>
      <c r="L25" s="1838"/>
      <c r="M25" s="4192">
        <v>80</v>
      </c>
      <c r="N25" s="4193">
        <v>30</v>
      </c>
      <c r="O25" s="4098" t="s">
        <v>86</v>
      </c>
      <c r="P25" s="4193">
        <v>50</v>
      </c>
      <c r="Q25" s="4098" t="s">
        <v>86</v>
      </c>
      <c r="R25" s="1838"/>
      <c r="S25" s="2107">
        <f t="shared" ref="S25:S30" si="15">$K25-M25</f>
        <v>20</v>
      </c>
      <c r="T25" s="2107">
        <f t="shared" ref="T25:T30" si="16">$K25-N25</f>
        <v>70</v>
      </c>
      <c r="U25" s="2107">
        <f t="shared" ref="U25:U30" si="17">$K25-P25</f>
        <v>50</v>
      </c>
      <c r="V25" s="1838"/>
      <c r="W25" s="4195">
        <v>0.5</v>
      </c>
      <c r="X25" s="4195">
        <v>0.5</v>
      </c>
      <c r="Y25" s="4195">
        <v>0.5</v>
      </c>
      <c r="Z25" s="1838"/>
      <c r="AA25" s="2129" t="s">
        <v>1649</v>
      </c>
      <c r="AB25" s="1960"/>
      <c r="AC25" s="1960"/>
      <c r="AD25" s="1838"/>
      <c r="AE25" s="2107">
        <f>+'Inl. wetlands'!AJ53+'Inl. wetlands'!AI71+'Inl. wetlands'!AI98</f>
        <v>19241.491666666669</v>
      </c>
      <c r="AF25" s="2107">
        <f>+'Inl. wetlands'!AK53+'Inl. wetlands'!AJ71+'Inl. wetlands'!AJ98</f>
        <v>25418.908333333333</v>
      </c>
      <c r="AG25" s="1806">
        <f t="shared" ref="AG25:AG30" si="18">AF25-AE25</f>
        <v>6177.4166666666642</v>
      </c>
      <c r="AH25" s="4321"/>
      <c r="AI25" s="4322"/>
      <c r="AS25" s="2319"/>
      <c r="AT25" s="2319" t="str">
        <f t="shared" si="10"/>
        <v>Please select</v>
      </c>
      <c r="AU25" s="2560"/>
      <c r="AV25" s="2560"/>
      <c r="AW25" s="2560"/>
      <c r="AX25" s="2560"/>
      <c r="AY25" s="2612">
        <f>'Inl. wetlands'!J25</f>
        <v>0</v>
      </c>
      <c r="AZ25" s="4206"/>
      <c r="BA25" s="2612"/>
      <c r="BB25" s="2560"/>
      <c r="BC25" s="2560"/>
      <c r="BD25" s="2560"/>
      <c r="BE25" s="2560"/>
      <c r="BF25" s="2560"/>
      <c r="BG25" s="2560"/>
      <c r="BI25" s="1996"/>
      <c r="BJ25" s="1996"/>
      <c r="BK25" s="1996"/>
      <c r="CD25" s="4165"/>
      <c r="CE25" s="2319" t="str">
        <f t="shared" ref="CE25:CE30" si="19">E25</f>
        <v>Annual cropland</v>
      </c>
      <c r="CF25" s="4156">
        <f>'Inl. wetlands'!B77</f>
        <v>7.9</v>
      </c>
      <c r="CG25" s="4209"/>
      <c r="CH25" s="4156">
        <f>'Inl. wetlands'!D77</f>
        <v>0</v>
      </c>
      <c r="CI25" s="4209"/>
      <c r="CJ25" s="4156">
        <f>'Inl. wetlands'!F77</f>
        <v>13</v>
      </c>
      <c r="CK25" s="4209"/>
      <c r="CL25" s="2560"/>
      <c r="CM25" s="4156">
        <f>'Inl. wetlands'!H77</f>
        <v>0.31</v>
      </c>
      <c r="CN25" s="4209"/>
      <c r="CO25" s="4156">
        <f>'Inl. wetlands'!J77</f>
        <v>1165</v>
      </c>
      <c r="CP25" s="4209"/>
      <c r="CQ25" s="2560"/>
      <c r="CT25" s="2560"/>
      <c r="CU25" s="2560"/>
      <c r="CV25" s="2560"/>
      <c r="CW25" s="2560"/>
      <c r="CX25" s="2560"/>
      <c r="CY25" s="2560"/>
      <c r="CZ25" s="2560"/>
      <c r="DA25" s="2560"/>
      <c r="DB25" s="2560"/>
      <c r="DC25" s="2560"/>
      <c r="DD25" s="2560"/>
      <c r="DE25" s="2560"/>
      <c r="DF25" s="2560"/>
      <c r="DG25" s="2560"/>
      <c r="DH25" s="2560"/>
      <c r="DI25" s="2560"/>
      <c r="DJ25" s="2560"/>
      <c r="DK25" s="2560"/>
      <c r="DL25" s="2560"/>
      <c r="DM25" s="2560"/>
      <c r="DN25" s="2560"/>
      <c r="DO25" s="2560"/>
      <c r="DP25" s="2560"/>
      <c r="DU25" s="2591"/>
      <c r="DV25" s="2591" t="str">
        <f t="shared" si="11"/>
        <v>Please select</v>
      </c>
      <c r="DW25" s="2591"/>
      <c r="DX25" s="2612">
        <f>'Inl. wetlands'!I103</f>
        <v>0</v>
      </c>
      <c r="DY25" s="4205"/>
      <c r="DZ25" s="4155">
        <f>'Inl. wetlands'!K103</f>
        <v>0</v>
      </c>
      <c r="EA25" s="4205"/>
      <c r="EB25" s="4155">
        <f>'Inl. wetlands'!M103</f>
        <v>0</v>
      </c>
      <c r="EC25" s="4205"/>
      <c r="ED25" s="2591"/>
      <c r="EE25" s="4156">
        <f>'Inl. wetlands'!O103</f>
        <v>0</v>
      </c>
      <c r="EF25" s="4205"/>
      <c r="EG25" s="2591"/>
      <c r="EH25" s="2591"/>
    </row>
    <row r="26" spans="2:138" s="4132" customFormat="1" x14ac:dyDescent="0.2">
      <c r="B26" s="1838"/>
      <c r="C26" s="1838" t="str">
        <f t="shared" si="12"/>
        <v>Please select</v>
      </c>
      <c r="D26" s="1838"/>
      <c r="E26" s="1960" t="str">
        <f t="shared" si="13"/>
        <v>Please select</v>
      </c>
      <c r="F26" s="1960"/>
      <c r="G26" s="1960"/>
      <c r="H26" s="1838"/>
      <c r="I26" s="1838"/>
      <c r="J26" s="1838"/>
      <c r="K26" s="2107">
        <f t="shared" si="14"/>
        <v>0</v>
      </c>
      <c r="L26" s="1838"/>
      <c r="M26" s="4192">
        <v>0</v>
      </c>
      <c r="N26" s="4193">
        <v>0</v>
      </c>
      <c r="O26" s="4098" t="s">
        <v>86</v>
      </c>
      <c r="P26" s="4193">
        <v>0</v>
      </c>
      <c r="Q26" s="4098" t="s">
        <v>86</v>
      </c>
      <c r="R26" s="1838"/>
      <c r="S26" s="2107">
        <f t="shared" si="15"/>
        <v>0</v>
      </c>
      <c r="T26" s="2107">
        <f t="shared" si="16"/>
        <v>0</v>
      </c>
      <c r="U26" s="2107">
        <f t="shared" si="17"/>
        <v>0</v>
      </c>
      <c r="V26" s="1838"/>
      <c r="W26" s="4195">
        <v>0</v>
      </c>
      <c r="X26" s="4195">
        <v>0</v>
      </c>
      <c r="Y26" s="4195">
        <v>0</v>
      </c>
      <c r="Z26" s="1838"/>
      <c r="AA26" s="2129" t="s">
        <v>1053</v>
      </c>
      <c r="AB26" s="1960"/>
      <c r="AC26" s="1960"/>
      <c r="AD26" s="1838"/>
      <c r="AE26" s="2107">
        <f>+'Inl. wetlands'!AJ54+'Inl. wetlands'!AI72+'Inl. wetlands'!AI99</f>
        <v>0</v>
      </c>
      <c r="AF26" s="2107">
        <f>+'Inl. wetlands'!AK54+'Inl. wetlands'!AJ72+'Inl. wetlands'!AJ99</f>
        <v>0</v>
      </c>
      <c r="AG26" s="1806">
        <f t="shared" si="18"/>
        <v>0</v>
      </c>
      <c r="AH26" s="4321"/>
      <c r="AI26" s="4322"/>
      <c r="AS26" s="2319"/>
      <c r="AT26" s="2319" t="str">
        <f t="shared" si="10"/>
        <v>Please select</v>
      </c>
      <c r="AU26" s="2560"/>
      <c r="AV26" s="2560"/>
      <c r="AW26" s="2560"/>
      <c r="AX26" s="2560"/>
      <c r="AY26" s="2612">
        <f>'Inl. wetlands'!J26</f>
        <v>0</v>
      </c>
      <c r="AZ26" s="4206"/>
      <c r="BA26" s="2612"/>
      <c r="BB26" s="2560"/>
      <c r="BC26" s="2560"/>
      <c r="BD26" s="2560"/>
      <c r="BE26" s="2560"/>
      <c r="BF26" s="2560"/>
      <c r="BG26" s="2560"/>
      <c r="BI26" s="1996"/>
      <c r="BJ26" s="1996"/>
      <c r="BK26" s="1996"/>
      <c r="CD26" s="4165"/>
      <c r="CE26" s="2319" t="str">
        <f t="shared" si="19"/>
        <v>Please select</v>
      </c>
      <c r="CF26" s="4156">
        <f>'Inl. wetlands'!B78</f>
        <v>0</v>
      </c>
      <c r="CG26" s="4209"/>
      <c r="CH26" s="4156">
        <f>'Inl. wetlands'!D78</f>
        <v>0</v>
      </c>
      <c r="CI26" s="4209"/>
      <c r="CJ26" s="4156">
        <f>'Inl. wetlands'!F78</f>
        <v>0</v>
      </c>
      <c r="CK26" s="4209"/>
      <c r="CL26" s="2560"/>
      <c r="CM26" s="4156">
        <f>'Inl. wetlands'!H78</f>
        <v>0</v>
      </c>
      <c r="CN26" s="4209"/>
      <c r="CO26" s="4156">
        <f>'Inl. wetlands'!J78</f>
        <v>0</v>
      </c>
      <c r="CP26" s="4209"/>
      <c r="CQ26" s="2560"/>
      <c r="CT26" s="2560"/>
      <c r="CU26" s="2560"/>
      <c r="CV26" s="2560"/>
      <c r="CW26" s="2560"/>
      <c r="CX26" s="2560"/>
      <c r="CY26" s="2560"/>
      <c r="CZ26" s="2560"/>
      <c r="DA26" s="2560"/>
      <c r="DB26" s="2560"/>
      <c r="DC26" s="2560"/>
      <c r="DD26" s="2560"/>
      <c r="DE26" s="2560"/>
      <c r="DF26" s="2560"/>
      <c r="DG26" s="2560"/>
      <c r="DH26" s="2560"/>
      <c r="DI26" s="2560"/>
      <c r="DJ26" s="2560"/>
      <c r="DK26" s="2560"/>
      <c r="DL26" s="2560"/>
      <c r="DM26" s="2560"/>
      <c r="DN26" s="2560"/>
      <c r="DO26" s="2560"/>
      <c r="DP26" s="2560"/>
      <c r="DU26" s="2591"/>
      <c r="DV26" s="2591" t="str">
        <f t="shared" si="11"/>
        <v>Please select</v>
      </c>
      <c r="DW26" s="2591"/>
      <c r="DX26" s="2612">
        <f>'Inl. wetlands'!I104</f>
        <v>0</v>
      </c>
      <c r="DY26" s="4205"/>
      <c r="DZ26" s="4155">
        <f>'Inl. wetlands'!K104</f>
        <v>0</v>
      </c>
      <c r="EA26" s="4205"/>
      <c r="EB26" s="4155">
        <f>'Inl. wetlands'!M104</f>
        <v>0</v>
      </c>
      <c r="EC26" s="4205"/>
      <c r="ED26" s="2591"/>
      <c r="EE26" s="4156">
        <f>'Inl. wetlands'!O104</f>
        <v>0</v>
      </c>
      <c r="EF26" s="4205"/>
      <c r="EG26" s="2591"/>
      <c r="EH26" s="2591"/>
    </row>
    <row r="27" spans="2:138" s="4132" customFormat="1" x14ac:dyDescent="0.2">
      <c r="B27" s="1838"/>
      <c r="C27" s="1838" t="str">
        <f t="shared" si="12"/>
        <v>Please select</v>
      </c>
      <c r="D27" s="1838"/>
      <c r="E27" s="1960" t="str">
        <f t="shared" si="13"/>
        <v>Please select</v>
      </c>
      <c r="F27" s="1960"/>
      <c r="G27" s="1960"/>
      <c r="H27" s="1838"/>
      <c r="I27" s="1838"/>
      <c r="J27" s="1838"/>
      <c r="K27" s="2107">
        <f t="shared" si="14"/>
        <v>0</v>
      </c>
      <c r="L27" s="1838"/>
      <c r="M27" s="4192">
        <v>0</v>
      </c>
      <c r="N27" s="4193">
        <v>0</v>
      </c>
      <c r="O27" s="4098" t="s">
        <v>86</v>
      </c>
      <c r="P27" s="4193">
        <v>0</v>
      </c>
      <c r="Q27" s="4098" t="s">
        <v>86</v>
      </c>
      <c r="R27" s="1838"/>
      <c r="S27" s="2107">
        <f t="shared" si="15"/>
        <v>0</v>
      </c>
      <c r="T27" s="2107">
        <f t="shared" si="16"/>
        <v>0</v>
      </c>
      <c r="U27" s="2107">
        <f t="shared" si="17"/>
        <v>0</v>
      </c>
      <c r="V27" s="1838"/>
      <c r="W27" s="4195">
        <v>0</v>
      </c>
      <c r="X27" s="4195">
        <v>0</v>
      </c>
      <c r="Y27" s="4195">
        <v>0</v>
      </c>
      <c r="Z27" s="1838"/>
      <c r="AA27" s="2129" t="s">
        <v>1053</v>
      </c>
      <c r="AB27" s="1960"/>
      <c r="AC27" s="1960"/>
      <c r="AD27" s="1838"/>
      <c r="AE27" s="2107">
        <f>+'Inl. wetlands'!AJ55+'Inl. wetlands'!AI73+'Inl. wetlands'!AI100</f>
        <v>0</v>
      </c>
      <c r="AF27" s="2107">
        <f>+'Inl. wetlands'!AK55+'Inl. wetlands'!AJ73+'Inl. wetlands'!AJ100</f>
        <v>0</v>
      </c>
      <c r="AG27" s="1806">
        <f t="shared" si="18"/>
        <v>0</v>
      </c>
      <c r="AH27" s="4321"/>
      <c r="AI27" s="4322"/>
      <c r="AS27" s="2319"/>
      <c r="AT27" s="2319" t="str">
        <f t="shared" si="10"/>
        <v>Please select</v>
      </c>
      <c r="AU27" s="2560"/>
      <c r="AV27" s="2560"/>
      <c r="AW27" s="2560"/>
      <c r="AX27" s="2560"/>
      <c r="AY27" s="2612">
        <f>'Inl. wetlands'!J27</f>
        <v>0</v>
      </c>
      <c r="AZ27" s="4206"/>
      <c r="BA27" s="2612"/>
      <c r="BB27" s="2560"/>
      <c r="BC27" s="2560"/>
      <c r="BD27" s="2560"/>
      <c r="BE27" s="2560"/>
      <c r="BF27" s="2560"/>
      <c r="BG27" s="2560"/>
      <c r="BI27" s="1996"/>
      <c r="BJ27" s="1996"/>
      <c r="BK27" s="1996"/>
      <c r="CD27" s="4165"/>
      <c r="CE27" s="2319" t="str">
        <f t="shared" si="19"/>
        <v>Please select</v>
      </c>
      <c r="CF27" s="4156">
        <f>'Inl. wetlands'!B79</f>
        <v>0</v>
      </c>
      <c r="CG27" s="4209"/>
      <c r="CH27" s="4156">
        <f>'Inl. wetlands'!D79</f>
        <v>0</v>
      </c>
      <c r="CI27" s="4209"/>
      <c r="CJ27" s="4156">
        <f>'Inl. wetlands'!F79</f>
        <v>0</v>
      </c>
      <c r="CK27" s="4209"/>
      <c r="CL27" s="2560"/>
      <c r="CM27" s="4156">
        <f>'Inl. wetlands'!H79</f>
        <v>0</v>
      </c>
      <c r="CN27" s="4209"/>
      <c r="CO27" s="4156">
        <f>'Inl. wetlands'!J79</f>
        <v>0</v>
      </c>
      <c r="CP27" s="4209"/>
      <c r="CQ27" s="2560"/>
      <c r="CT27" s="2560"/>
      <c r="CU27" s="2560"/>
      <c r="CV27" s="2560"/>
      <c r="CW27" s="2560"/>
      <c r="CX27" s="2560"/>
      <c r="CY27" s="2560"/>
      <c r="CZ27" s="2560"/>
      <c r="DA27" s="2560"/>
      <c r="DB27" s="2560"/>
      <c r="DC27" s="2560"/>
      <c r="DD27" s="2560"/>
      <c r="DE27" s="2560"/>
      <c r="DF27" s="2560"/>
      <c r="DG27" s="2560"/>
      <c r="DH27" s="2560"/>
      <c r="DI27" s="2560"/>
      <c r="DJ27" s="2560"/>
      <c r="DK27" s="2560"/>
      <c r="DL27" s="2560"/>
      <c r="DM27" s="2560"/>
      <c r="DN27" s="2560"/>
      <c r="DO27" s="2560"/>
      <c r="DP27" s="2560"/>
      <c r="DU27" s="2591"/>
      <c r="DV27" s="2591" t="str">
        <f t="shared" si="11"/>
        <v>Please select</v>
      </c>
      <c r="DW27" s="2591"/>
      <c r="DX27" s="2612">
        <f>'Inl. wetlands'!I105</f>
        <v>0</v>
      </c>
      <c r="DY27" s="4205"/>
      <c r="DZ27" s="4155">
        <f>'Inl. wetlands'!K105</f>
        <v>0</v>
      </c>
      <c r="EA27" s="4205"/>
      <c r="EB27" s="4155">
        <f>'Inl. wetlands'!M105</f>
        <v>0</v>
      </c>
      <c r="EC27" s="4205"/>
      <c r="ED27" s="2591"/>
      <c r="EE27" s="4156">
        <f>'Inl. wetlands'!O105</f>
        <v>0</v>
      </c>
      <c r="EF27" s="4205"/>
      <c r="EG27" s="2591"/>
      <c r="EH27" s="2591"/>
    </row>
    <row r="28" spans="2:138" s="4132" customFormat="1" x14ac:dyDescent="0.2">
      <c r="B28" s="1838"/>
      <c r="C28" s="1838" t="str">
        <f t="shared" si="12"/>
        <v>Please select</v>
      </c>
      <c r="D28" s="1838"/>
      <c r="E28" s="1960" t="str">
        <f t="shared" si="13"/>
        <v>Please select</v>
      </c>
      <c r="F28" s="1960"/>
      <c r="G28" s="1960"/>
      <c r="H28" s="1838"/>
      <c r="I28" s="1838"/>
      <c r="J28" s="1838"/>
      <c r="K28" s="2107">
        <f t="shared" si="14"/>
        <v>0</v>
      </c>
      <c r="L28" s="1838"/>
      <c r="M28" s="4192">
        <v>0</v>
      </c>
      <c r="N28" s="4193">
        <v>0</v>
      </c>
      <c r="O28" s="4098" t="s">
        <v>86</v>
      </c>
      <c r="P28" s="4193">
        <v>0</v>
      </c>
      <c r="Q28" s="4098" t="s">
        <v>86</v>
      </c>
      <c r="R28" s="1838"/>
      <c r="S28" s="2107">
        <f t="shared" si="15"/>
        <v>0</v>
      </c>
      <c r="T28" s="2107">
        <f t="shared" si="16"/>
        <v>0</v>
      </c>
      <c r="U28" s="2107">
        <f t="shared" si="17"/>
        <v>0</v>
      </c>
      <c r="V28" s="1838"/>
      <c r="W28" s="4195">
        <v>0</v>
      </c>
      <c r="X28" s="4195">
        <v>0</v>
      </c>
      <c r="Y28" s="4195">
        <v>0</v>
      </c>
      <c r="Z28" s="1838"/>
      <c r="AA28" s="2129" t="s">
        <v>1053</v>
      </c>
      <c r="AB28" s="1960"/>
      <c r="AC28" s="1960"/>
      <c r="AD28" s="1838"/>
      <c r="AE28" s="2107">
        <f>+'Inl. wetlands'!AJ56+'Inl. wetlands'!AI74+'Inl. wetlands'!AI101</f>
        <v>0</v>
      </c>
      <c r="AF28" s="2107">
        <f>+'Inl. wetlands'!AK56+'Inl. wetlands'!AJ74+'Inl. wetlands'!AJ101</f>
        <v>0</v>
      </c>
      <c r="AG28" s="1806">
        <f t="shared" si="18"/>
        <v>0</v>
      </c>
      <c r="AH28" s="4321"/>
      <c r="AI28" s="4322"/>
      <c r="AS28" s="2319"/>
      <c r="AT28" s="2319" t="str">
        <f t="shared" si="10"/>
        <v>Please select</v>
      </c>
      <c r="AU28" s="2560"/>
      <c r="AV28" s="2560"/>
      <c r="AW28" s="2560"/>
      <c r="AX28" s="2560"/>
      <c r="AY28" s="2612">
        <f>'Inl. wetlands'!J28</f>
        <v>0</v>
      </c>
      <c r="AZ28" s="4206"/>
      <c r="BA28" s="2612"/>
      <c r="BB28" s="2560"/>
      <c r="BC28" s="2560"/>
      <c r="BD28" s="2560"/>
      <c r="BE28" s="2560"/>
      <c r="BF28" s="2560"/>
      <c r="BG28" s="2560"/>
      <c r="BI28" s="1996"/>
      <c r="BJ28" s="1996"/>
      <c r="BK28" s="1996"/>
      <c r="CD28" s="4165"/>
      <c r="CE28" s="2319" t="str">
        <f t="shared" si="19"/>
        <v>Please select</v>
      </c>
      <c r="CF28" s="4156">
        <f>'Inl. wetlands'!B80</f>
        <v>0</v>
      </c>
      <c r="CG28" s="4209"/>
      <c r="CH28" s="4156">
        <f>'Inl. wetlands'!D80</f>
        <v>0</v>
      </c>
      <c r="CI28" s="4209"/>
      <c r="CJ28" s="4156">
        <f>'Inl. wetlands'!F80</f>
        <v>0</v>
      </c>
      <c r="CK28" s="4209"/>
      <c r="CL28" s="2560"/>
      <c r="CM28" s="4156">
        <f>'Inl. wetlands'!H80</f>
        <v>0</v>
      </c>
      <c r="CN28" s="4209"/>
      <c r="CO28" s="4156">
        <f>'Inl. wetlands'!J80</f>
        <v>0</v>
      </c>
      <c r="CP28" s="4209"/>
      <c r="CQ28" s="2560"/>
      <c r="CT28" s="2560"/>
      <c r="CU28" s="2560"/>
      <c r="CV28" s="2560"/>
      <c r="CW28" s="2560"/>
      <c r="CX28" s="2560"/>
      <c r="CY28" s="2560"/>
      <c r="CZ28" s="2560"/>
      <c r="DA28" s="2560"/>
      <c r="DB28" s="2560"/>
      <c r="DC28" s="2560"/>
      <c r="DD28" s="2560"/>
      <c r="DE28" s="2560"/>
      <c r="DF28" s="2560"/>
      <c r="DG28" s="2560"/>
      <c r="DH28" s="2560"/>
      <c r="DI28" s="2560"/>
      <c r="DJ28" s="2560"/>
      <c r="DK28" s="2560"/>
      <c r="DL28" s="2560"/>
      <c r="DM28" s="2560"/>
      <c r="DN28" s="2560"/>
      <c r="DO28" s="2560"/>
      <c r="DP28" s="2560"/>
      <c r="DU28" s="2591"/>
      <c r="DV28" s="2591" t="str">
        <f t="shared" si="11"/>
        <v>Please select</v>
      </c>
      <c r="DW28" s="2591"/>
      <c r="DX28" s="2612">
        <f>'Inl. wetlands'!I106</f>
        <v>0</v>
      </c>
      <c r="DY28" s="4205"/>
      <c r="DZ28" s="4155">
        <f>'Inl. wetlands'!K106</f>
        <v>0</v>
      </c>
      <c r="EA28" s="4205"/>
      <c r="EB28" s="4155">
        <f>'Inl. wetlands'!M106</f>
        <v>0</v>
      </c>
      <c r="EC28" s="4205"/>
      <c r="ED28" s="2591"/>
      <c r="EE28" s="4156">
        <f>'Inl. wetlands'!O106</f>
        <v>0</v>
      </c>
      <c r="EF28" s="4205"/>
      <c r="EG28" s="2591"/>
      <c r="EH28" s="2591"/>
    </row>
    <row r="29" spans="2:138" s="4132" customFormat="1" x14ac:dyDescent="0.2">
      <c r="B29" s="1838"/>
      <c r="C29" s="1838" t="str">
        <f t="shared" si="12"/>
        <v>Please select</v>
      </c>
      <c r="D29" s="1838"/>
      <c r="E29" s="1960" t="str">
        <f t="shared" si="13"/>
        <v>Please select</v>
      </c>
      <c r="F29" s="1960"/>
      <c r="G29" s="1960"/>
      <c r="H29" s="1838"/>
      <c r="I29" s="1838"/>
      <c r="J29" s="1838"/>
      <c r="K29" s="2107">
        <f t="shared" si="14"/>
        <v>0</v>
      </c>
      <c r="L29" s="1838"/>
      <c r="M29" s="4192">
        <v>0</v>
      </c>
      <c r="N29" s="4193">
        <v>0</v>
      </c>
      <c r="O29" s="4098" t="s">
        <v>86</v>
      </c>
      <c r="P29" s="4193">
        <v>0</v>
      </c>
      <c r="Q29" s="4098" t="s">
        <v>86</v>
      </c>
      <c r="R29" s="1838"/>
      <c r="S29" s="2107">
        <f t="shared" si="15"/>
        <v>0</v>
      </c>
      <c r="T29" s="2107">
        <f t="shared" si="16"/>
        <v>0</v>
      </c>
      <c r="U29" s="2107">
        <f t="shared" si="17"/>
        <v>0</v>
      </c>
      <c r="V29" s="1838"/>
      <c r="W29" s="4195">
        <v>0</v>
      </c>
      <c r="X29" s="4195">
        <v>0</v>
      </c>
      <c r="Y29" s="4195">
        <v>0</v>
      </c>
      <c r="Z29" s="1838"/>
      <c r="AA29" s="2129" t="s">
        <v>1053</v>
      </c>
      <c r="AB29" s="1960"/>
      <c r="AC29" s="1960"/>
      <c r="AD29" s="1838"/>
      <c r="AE29" s="2107">
        <f>+'Inl. wetlands'!AJ57+'Inl. wetlands'!AI75+'Inl. wetlands'!AI102</f>
        <v>0</v>
      </c>
      <c r="AF29" s="2107">
        <f>+'Inl. wetlands'!AK57+'Inl. wetlands'!AJ75+'Inl. wetlands'!AJ102</f>
        <v>0</v>
      </c>
      <c r="AG29" s="1806">
        <f t="shared" si="18"/>
        <v>0</v>
      </c>
      <c r="AH29" s="4321"/>
      <c r="AI29" s="4322"/>
      <c r="AS29" s="2319"/>
      <c r="AT29" s="2319" t="str">
        <f t="shared" si="10"/>
        <v>Please select</v>
      </c>
      <c r="AU29" s="2560"/>
      <c r="AV29" s="2560"/>
      <c r="AW29" s="2560"/>
      <c r="AX29" s="2560"/>
      <c r="AY29" s="2612">
        <f>'Inl. wetlands'!J29</f>
        <v>0</v>
      </c>
      <c r="AZ29" s="4206"/>
      <c r="BA29" s="2612"/>
      <c r="BB29" s="2560"/>
      <c r="BC29" s="2560"/>
      <c r="BD29" s="2560"/>
      <c r="BE29" s="2560"/>
      <c r="BF29" s="2560"/>
      <c r="BG29" s="2560"/>
      <c r="BI29" s="1996"/>
      <c r="BJ29" s="1996"/>
      <c r="BK29" s="1996"/>
      <c r="CD29" s="4165"/>
      <c r="CE29" s="2319" t="str">
        <f t="shared" si="19"/>
        <v>Please select</v>
      </c>
      <c r="CF29" s="4156">
        <f>'Inl. wetlands'!B81</f>
        <v>0</v>
      </c>
      <c r="CG29" s="4209"/>
      <c r="CH29" s="4156">
        <f>'Inl. wetlands'!D81</f>
        <v>0</v>
      </c>
      <c r="CI29" s="4209"/>
      <c r="CJ29" s="4156">
        <f>'Inl. wetlands'!F81</f>
        <v>0</v>
      </c>
      <c r="CK29" s="4209"/>
      <c r="CL29" s="2560"/>
      <c r="CM29" s="4156">
        <f>'Inl. wetlands'!H81</f>
        <v>0</v>
      </c>
      <c r="CN29" s="4209"/>
      <c r="CO29" s="4156">
        <f>'Inl. wetlands'!J81</f>
        <v>0</v>
      </c>
      <c r="CP29" s="4209"/>
      <c r="CQ29" s="2560"/>
      <c r="CT29" s="2560"/>
      <c r="CU29" s="2560"/>
      <c r="CV29" s="2560"/>
      <c r="CW29" s="2560"/>
      <c r="CX29" s="2560"/>
      <c r="CY29" s="2560"/>
      <c r="CZ29" s="2560"/>
      <c r="DA29" s="2560"/>
      <c r="DB29" s="2560"/>
      <c r="DC29" s="2560"/>
      <c r="DD29" s="2560"/>
      <c r="DE29" s="2560"/>
      <c r="DF29" s="2560"/>
      <c r="DG29" s="2560"/>
      <c r="DH29" s="2560"/>
      <c r="DI29" s="2560"/>
      <c r="DJ29" s="2560"/>
      <c r="DK29" s="2560"/>
      <c r="DL29" s="2560"/>
      <c r="DM29" s="2560"/>
      <c r="DN29" s="2560"/>
      <c r="DO29" s="2560"/>
      <c r="DP29" s="2560"/>
      <c r="DU29" s="2591"/>
      <c r="DV29" s="2591" t="str">
        <f t="shared" si="11"/>
        <v>Please select</v>
      </c>
      <c r="DW29" s="2591"/>
      <c r="DX29" s="2612">
        <f>'Inl. wetlands'!I107</f>
        <v>0</v>
      </c>
      <c r="DY29" s="4205"/>
      <c r="DZ29" s="4155">
        <f>'Inl. wetlands'!K107</f>
        <v>0</v>
      </c>
      <c r="EA29" s="4205"/>
      <c r="EB29" s="4155">
        <f>'Inl. wetlands'!M107</f>
        <v>0</v>
      </c>
      <c r="EC29" s="4205"/>
      <c r="ED29" s="2591"/>
      <c r="EE29" s="4156">
        <f>'Inl. wetlands'!O107</f>
        <v>0</v>
      </c>
      <c r="EF29" s="4205"/>
      <c r="EG29" s="2591"/>
      <c r="EH29" s="2591"/>
    </row>
    <row r="30" spans="2:138" s="4132" customFormat="1" x14ac:dyDescent="0.2">
      <c r="B30" s="1838"/>
      <c r="C30" s="1838" t="str">
        <f t="shared" si="12"/>
        <v>Please select</v>
      </c>
      <c r="D30" s="1838"/>
      <c r="E30" s="1960" t="str">
        <f t="shared" si="13"/>
        <v>Please select</v>
      </c>
      <c r="F30" s="1960"/>
      <c r="G30" s="1960"/>
      <c r="H30" s="1838"/>
      <c r="I30" s="1838"/>
      <c r="J30" s="1838"/>
      <c r="K30" s="2107">
        <f t="shared" si="14"/>
        <v>0</v>
      </c>
      <c r="L30" s="1838"/>
      <c r="M30" s="4192">
        <v>0</v>
      </c>
      <c r="N30" s="4193">
        <v>0</v>
      </c>
      <c r="O30" s="4098" t="s">
        <v>86</v>
      </c>
      <c r="P30" s="4193">
        <v>0</v>
      </c>
      <c r="Q30" s="4098" t="s">
        <v>86</v>
      </c>
      <c r="R30" s="1838"/>
      <c r="S30" s="2107">
        <f t="shared" si="15"/>
        <v>0</v>
      </c>
      <c r="T30" s="2107">
        <f t="shared" si="16"/>
        <v>0</v>
      </c>
      <c r="U30" s="2107">
        <f t="shared" si="17"/>
        <v>0</v>
      </c>
      <c r="V30" s="1838"/>
      <c r="W30" s="4195">
        <v>0</v>
      </c>
      <c r="X30" s="4195">
        <v>0</v>
      </c>
      <c r="Y30" s="4195">
        <v>0</v>
      </c>
      <c r="Z30" s="1838"/>
      <c r="AA30" s="2129" t="s">
        <v>1053</v>
      </c>
      <c r="AB30" s="1960"/>
      <c r="AC30" s="1960"/>
      <c r="AD30" s="1838"/>
      <c r="AE30" s="2107">
        <f>+'Inl. wetlands'!AJ58+'Inl. wetlands'!AI76+'Inl. wetlands'!AI103</f>
        <v>0</v>
      </c>
      <c r="AF30" s="2107">
        <f>+'Inl. wetlands'!AK58+'Inl. wetlands'!AJ76+'Inl. wetlands'!AJ103</f>
        <v>0</v>
      </c>
      <c r="AG30" s="1806">
        <f t="shared" si="18"/>
        <v>0</v>
      </c>
      <c r="AH30" s="4321"/>
      <c r="AI30" s="4322"/>
      <c r="AS30" s="2319"/>
      <c r="AT30" s="2560"/>
      <c r="AU30" s="2560"/>
      <c r="AV30" s="2560"/>
      <c r="AW30" s="2560"/>
      <c r="AX30" s="2560"/>
      <c r="AY30" s="2560"/>
      <c r="AZ30" s="2560"/>
      <c r="BA30" s="2560"/>
      <c r="BB30" s="2560"/>
      <c r="BC30" s="2560"/>
      <c r="BD30" s="2560"/>
      <c r="BE30" s="2560"/>
      <c r="BF30" s="2560"/>
      <c r="BG30" s="2560"/>
      <c r="BI30" s="1996"/>
      <c r="BJ30" s="1996"/>
      <c r="BK30" s="1996"/>
      <c r="CD30" s="4165"/>
      <c r="CE30" s="2319" t="str">
        <f t="shared" si="19"/>
        <v>Please select</v>
      </c>
      <c r="CF30" s="4156">
        <f>'Inl. wetlands'!B82</f>
        <v>0</v>
      </c>
      <c r="CG30" s="4209"/>
      <c r="CH30" s="4156">
        <f>'Inl. wetlands'!D82</f>
        <v>0</v>
      </c>
      <c r="CI30" s="4209"/>
      <c r="CJ30" s="4156">
        <f>'Inl. wetlands'!F82</f>
        <v>0</v>
      </c>
      <c r="CK30" s="4209"/>
      <c r="CL30" s="2560"/>
      <c r="CM30" s="4156">
        <f>'Inl. wetlands'!H82</f>
        <v>0</v>
      </c>
      <c r="CN30" s="4209"/>
      <c r="CO30" s="4156">
        <f>'Inl. wetlands'!J82</f>
        <v>0</v>
      </c>
      <c r="CP30" s="4209"/>
      <c r="CQ30" s="2560"/>
      <c r="CT30" s="2560"/>
      <c r="CU30" s="2560"/>
      <c r="CV30" s="2560"/>
      <c r="CW30" s="2560"/>
      <c r="CX30" s="2560"/>
      <c r="CY30" s="2560"/>
      <c r="CZ30" s="2560"/>
      <c r="DA30" s="2560"/>
      <c r="DB30" s="2560"/>
      <c r="DC30" s="2560"/>
      <c r="DD30" s="2560"/>
      <c r="DE30" s="2560"/>
      <c r="DF30" s="2560"/>
      <c r="DG30" s="2560"/>
      <c r="DH30" s="2560"/>
      <c r="DI30" s="2560"/>
      <c r="DJ30" s="2560"/>
      <c r="DK30" s="2560"/>
      <c r="DL30" s="2560"/>
      <c r="DM30" s="2560"/>
      <c r="DN30" s="2560"/>
      <c r="DO30" s="2560"/>
      <c r="DP30" s="2560"/>
      <c r="DU30" s="2591"/>
      <c r="DV30" s="2591"/>
      <c r="DW30" s="2591"/>
      <c r="DX30" s="2591"/>
      <c r="DY30" s="2591"/>
      <c r="DZ30" s="2591"/>
      <c r="EA30" s="2591"/>
      <c r="EB30" s="2591"/>
      <c r="EC30" s="2591"/>
      <c r="ED30" s="2591"/>
      <c r="EE30" s="2591"/>
      <c r="EF30" s="2591"/>
      <c r="EG30" s="2591"/>
      <c r="EH30" s="2591"/>
    </row>
    <row r="31" spans="2:138" s="4132" customFormat="1" x14ac:dyDescent="0.2">
      <c r="B31" s="1838"/>
      <c r="C31" s="1838"/>
      <c r="D31" s="1838"/>
      <c r="E31" s="1838"/>
      <c r="F31" s="1838"/>
      <c r="G31" s="1838"/>
      <c r="H31" s="1838"/>
      <c r="I31" s="2107"/>
      <c r="J31" s="1838"/>
      <c r="K31" s="1838"/>
      <c r="L31" s="1838"/>
      <c r="M31" s="1838"/>
      <c r="N31" s="1838"/>
      <c r="O31" s="1838"/>
      <c r="P31" s="1838"/>
      <c r="Q31" s="1838"/>
      <c r="R31" s="1838"/>
      <c r="S31" s="1838"/>
      <c r="T31" s="1838"/>
      <c r="U31" s="1838"/>
      <c r="V31" s="1838"/>
      <c r="W31" s="1838"/>
      <c r="X31" s="1838"/>
      <c r="Y31" s="1838"/>
      <c r="Z31" s="1838"/>
      <c r="AA31" s="4271" t="str">
        <f>IF(OR(AND(AA25&lt;&gt;"Y/N", AA25&lt;&gt;"No"), AND(AA26&lt;&gt;"Y/N",AA26&lt;&gt;"No" ), AND(AA27&lt;&gt;"Y/N",AA27&lt;&gt;"No" ), AND(AA28&lt;&gt;"Y/N", AA28&lt;&gt;"No"), AND(AA29&lt;&gt;"Y/N", AA29&lt;&gt;"No"), AND(AA30&lt;&gt;"Y/N", AA30&lt;&gt;"No")), list!$B$279, "")</f>
        <v>Specify type of fire in TIER 2</v>
      </c>
      <c r="AB31" s="1838"/>
      <c r="AC31" s="1838"/>
      <c r="AD31" s="1838"/>
      <c r="AE31" s="1838"/>
      <c r="AF31" s="1838"/>
      <c r="AG31" s="1838"/>
      <c r="AH31" s="4321"/>
      <c r="AI31" s="4322"/>
      <c r="AS31" s="2319"/>
      <c r="AT31" s="2560"/>
      <c r="AU31" s="2560"/>
      <c r="AV31" s="2560"/>
      <c r="AW31" s="2560"/>
      <c r="AX31" s="2560"/>
      <c r="AY31" s="2560"/>
      <c r="AZ31" s="2560"/>
      <c r="BA31" s="2560"/>
      <c r="BB31" s="2560"/>
      <c r="BC31" s="2560"/>
      <c r="BD31" s="2560"/>
      <c r="BE31" s="2560"/>
      <c r="BF31" s="2560"/>
      <c r="BG31" s="2560"/>
      <c r="BI31" s="1996"/>
      <c r="BJ31" s="1996"/>
      <c r="BK31" s="1996"/>
      <c r="CD31" s="4165"/>
      <c r="CE31" s="2560"/>
      <c r="CF31" s="2591"/>
      <c r="CG31" s="2591"/>
      <c r="CH31" s="2560"/>
      <c r="CI31" s="2591"/>
      <c r="CJ31" s="2560"/>
      <c r="CK31" s="2560"/>
      <c r="CL31" s="2560"/>
      <c r="CM31" s="2560"/>
      <c r="CN31" s="2560"/>
      <c r="CO31" s="2560"/>
      <c r="CP31" s="2560"/>
      <c r="CQ31" s="2560"/>
      <c r="CT31" s="2560"/>
      <c r="CU31" s="2560"/>
      <c r="CV31" s="2560"/>
      <c r="CW31" s="2560"/>
      <c r="CX31" s="2560"/>
      <c r="CY31" s="2560"/>
      <c r="CZ31" s="2560"/>
      <c r="DA31" s="2560"/>
      <c r="DB31" s="2560"/>
      <c r="DC31" s="2560"/>
      <c r="DD31" s="2560"/>
      <c r="DE31" s="2560"/>
      <c r="DF31" s="2560"/>
      <c r="DG31" s="2560"/>
      <c r="DH31" s="2560"/>
      <c r="DI31" s="2560"/>
      <c r="DJ31" s="2560"/>
      <c r="DK31" s="2560"/>
      <c r="DL31" s="2560"/>
      <c r="DM31" s="2560"/>
      <c r="DN31" s="2560"/>
      <c r="DO31" s="2560"/>
      <c r="DP31" s="2560"/>
      <c r="DU31" s="2591"/>
      <c r="DV31" s="2591"/>
      <c r="DW31" s="2591"/>
      <c r="DX31" s="2591"/>
      <c r="DY31" s="2591"/>
      <c r="DZ31" s="2591"/>
      <c r="EA31" s="2591"/>
      <c r="EB31" s="2591"/>
      <c r="EC31" s="2591"/>
      <c r="ED31" s="2591"/>
      <c r="EE31" s="4146" t="str">
        <f>CK33</f>
        <v>Nutrient poor</v>
      </c>
      <c r="EF31" s="2591"/>
      <c r="EG31" s="4145" t="s">
        <v>1054</v>
      </c>
      <c r="EH31" s="2591"/>
    </row>
    <row r="32" spans="2:138" s="4132" customFormat="1" x14ac:dyDescent="0.2">
      <c r="B32" s="1838"/>
      <c r="C32" s="1838"/>
      <c r="D32" s="1838"/>
      <c r="E32" s="1838"/>
      <c r="F32" s="1838"/>
      <c r="G32" s="1838"/>
      <c r="H32" s="1838"/>
      <c r="I32" s="2107"/>
      <c r="J32" s="1838"/>
      <c r="K32" s="1838"/>
      <c r="L32" s="1838"/>
      <c r="M32" s="1838"/>
      <c r="N32" s="1838"/>
      <c r="O32" s="1838"/>
      <c r="P32" s="1838"/>
      <c r="Q32" s="1838"/>
      <c r="R32" s="1838"/>
      <c r="S32" s="1838"/>
      <c r="T32" s="1838"/>
      <c r="U32" s="1838"/>
      <c r="V32" s="1838"/>
      <c r="W32" s="1838"/>
      <c r="X32" s="1838"/>
      <c r="Y32" s="1838"/>
      <c r="Z32" s="1838"/>
      <c r="AA32" s="4271"/>
      <c r="AB32" s="1838"/>
      <c r="AC32" s="1838"/>
      <c r="AD32" s="1838"/>
      <c r="AE32" s="1838"/>
      <c r="AF32" s="1838"/>
      <c r="AG32" s="1838"/>
      <c r="AH32" s="4321"/>
      <c r="AI32" s="4322"/>
      <c r="AS32" s="2319"/>
      <c r="AT32" s="2560"/>
      <c r="AU32" s="2560"/>
      <c r="AV32" s="2560"/>
      <c r="AW32" s="2560"/>
      <c r="AX32" s="2560"/>
      <c r="AY32" s="2560"/>
      <c r="AZ32" s="2560"/>
      <c r="BA32" s="2560"/>
      <c r="BB32" s="2560"/>
      <c r="BC32" s="2560"/>
      <c r="BD32" s="2560"/>
      <c r="BE32" s="2560"/>
      <c r="BF32" s="2560"/>
      <c r="BG32" s="2560"/>
      <c r="BI32" s="1996"/>
      <c r="BJ32" s="1996"/>
      <c r="BK32" s="1996"/>
      <c r="CD32" s="4165"/>
      <c r="CE32" s="2560"/>
      <c r="CF32" s="2591"/>
      <c r="CG32" s="2591"/>
      <c r="CH32" s="2560"/>
      <c r="CI32" s="2591"/>
      <c r="CJ32" s="2560"/>
      <c r="CK32" s="2560"/>
      <c r="CL32" s="2560"/>
      <c r="CM32" s="2560"/>
      <c r="CN32" s="2560"/>
      <c r="CO32" s="2560"/>
      <c r="CP32" s="2560"/>
      <c r="CQ32" s="2560"/>
      <c r="CT32" s="2560"/>
      <c r="CU32" s="2560"/>
      <c r="CV32" s="2560"/>
      <c r="CW32" s="2560"/>
      <c r="CX32" s="2560"/>
      <c r="CY32" s="2560"/>
      <c r="CZ32" s="2560"/>
      <c r="DA32" s="2560"/>
      <c r="DB32" s="2560"/>
      <c r="DC32" s="2560"/>
      <c r="DD32" s="2560"/>
      <c r="DE32" s="2560"/>
      <c r="DF32" s="2560"/>
      <c r="DG32" s="2560"/>
      <c r="DH32" s="2560"/>
      <c r="DI32" s="2560"/>
      <c r="DJ32" s="2560"/>
      <c r="DK32" s="2560"/>
      <c r="DL32" s="2560"/>
      <c r="DM32" s="2560"/>
      <c r="DN32" s="2560"/>
      <c r="DO32" s="2560"/>
      <c r="DP32" s="2560"/>
      <c r="DU32" s="2591"/>
      <c r="DV32" s="2591"/>
      <c r="DW32" s="2591"/>
      <c r="DX32" s="2591"/>
      <c r="DY32" s="2591"/>
      <c r="DZ32" s="2591"/>
      <c r="EA32" s="2591"/>
      <c r="EB32" s="2591"/>
      <c r="EC32" s="2591"/>
      <c r="ED32" s="2591"/>
      <c r="EE32" s="4146"/>
      <c r="EF32" s="2591"/>
      <c r="EG32" s="4145"/>
      <c r="EH32" s="2591"/>
    </row>
    <row r="33" spans="2:138" s="4132" customFormat="1" ht="18" customHeight="1" x14ac:dyDescent="0.2">
      <c r="B33" s="1838"/>
      <c r="C33" s="1838"/>
      <c r="D33" s="1838"/>
      <c r="E33" s="1838"/>
      <c r="F33" s="1838"/>
      <c r="G33" s="1838"/>
      <c r="H33" s="1838"/>
      <c r="I33" s="1838"/>
      <c r="J33" s="1838"/>
      <c r="K33" s="1838"/>
      <c r="L33" s="1838"/>
      <c r="M33" s="1838"/>
      <c r="N33" s="1838"/>
      <c r="O33" s="1838"/>
      <c r="P33" s="1838"/>
      <c r="Q33" s="1838"/>
      <c r="R33" s="1838"/>
      <c r="S33" s="1838"/>
      <c r="T33" s="1838"/>
      <c r="U33" s="1838"/>
      <c r="V33" s="1838"/>
      <c r="W33" s="1838"/>
      <c r="X33" s="1838"/>
      <c r="Y33" s="1838"/>
      <c r="Z33" s="1838"/>
      <c r="AA33" s="1838"/>
      <c r="AB33" s="4162"/>
      <c r="AC33" s="4349" t="str">
        <f>Languages!B397</f>
        <v>Total deforestation on organic soils (tCO2-e)</v>
      </c>
      <c r="AD33" s="4162"/>
      <c r="AE33" s="4164">
        <f>SUM(AE13:AE18)+SUM(AE25:AE30)</f>
        <v>19241.491666666669</v>
      </c>
      <c r="AF33" s="4164">
        <f>SUM(AF13:AF18)+SUM(AF25:AF30)</f>
        <v>25418.908333333333</v>
      </c>
      <c r="AG33" s="2036">
        <f>SUM(AG13:AG18)+SUM(AG25:AG30)</f>
        <v>6177.4166666666642</v>
      </c>
      <c r="AH33" s="4321"/>
      <c r="AI33" s="4322"/>
      <c r="AS33" s="2319" t="str">
        <f>'5.Management'!AQ23</f>
        <v>Use this part only if you want to refine the analysis at Tier 2</v>
      </c>
      <c r="AT33" s="2560"/>
      <c r="AU33" s="2560"/>
      <c r="AV33" s="2560"/>
      <c r="AW33" s="2560"/>
      <c r="AX33" s="2560"/>
      <c r="AY33" s="2560"/>
      <c r="AZ33" s="2560"/>
      <c r="BA33" s="2560"/>
      <c r="BB33" s="2560"/>
      <c r="BC33" s="2560"/>
      <c r="BD33" s="2560"/>
      <c r="BE33" s="2560"/>
      <c r="BF33" s="2560"/>
      <c r="BG33" s="2560"/>
      <c r="BI33" s="1996"/>
      <c r="BJ33" s="1996"/>
      <c r="BK33" s="1996"/>
      <c r="CD33" s="4165" t="str">
        <f>CD20</f>
        <v>Please indicate the dominant quality of peat, this can influence the emission factors above:</v>
      </c>
      <c r="CE33" s="2560"/>
      <c r="CF33" s="2591"/>
      <c r="CG33" s="2591"/>
      <c r="CH33" s="2560"/>
      <c r="CI33" s="2591"/>
      <c r="CJ33" s="2560"/>
      <c r="CK33" s="4205" t="s">
        <v>1055</v>
      </c>
      <c r="CL33" s="4205"/>
      <c r="CM33" s="4205"/>
      <c r="CN33" s="2560"/>
      <c r="CO33" s="2560"/>
      <c r="CP33" s="2560"/>
      <c r="CQ33" s="2560"/>
      <c r="CT33" s="2560"/>
      <c r="CU33" s="2560"/>
      <c r="CV33" s="2560"/>
      <c r="CW33" s="2560"/>
      <c r="CX33" s="2560"/>
      <c r="CY33" s="2560"/>
      <c r="CZ33" s="2560"/>
      <c r="DA33" s="2560"/>
      <c r="DB33" s="2560"/>
      <c r="DC33" s="2560"/>
      <c r="DD33" s="2560"/>
      <c r="DE33" s="2560"/>
      <c r="DF33" s="2560"/>
      <c r="DG33" s="2560"/>
      <c r="DH33" s="2560"/>
      <c r="DI33" s="2560"/>
      <c r="DJ33" s="2560"/>
      <c r="DK33" s="2560"/>
      <c r="DL33" s="2560"/>
      <c r="DM33" s="2560"/>
      <c r="DN33" s="2560"/>
      <c r="DO33" s="2560"/>
      <c r="DP33" s="2560"/>
      <c r="DU33" s="2591" t="str">
        <f>DU67</f>
        <v>Use this part only if you want to refine the analysis at Tier 2</v>
      </c>
      <c r="DV33" s="2591"/>
      <c r="DW33" s="2591"/>
      <c r="DX33" s="2591"/>
      <c r="DY33" s="2591"/>
      <c r="DZ33" s="2591"/>
      <c r="EA33" s="2591"/>
      <c r="EB33" s="2591"/>
      <c r="EC33" s="2591"/>
      <c r="ED33" s="2591"/>
      <c r="EE33" s="2591"/>
      <c r="EF33" s="2591"/>
      <c r="EG33" s="2591"/>
      <c r="EH33" s="2591"/>
    </row>
    <row r="34" spans="2:138" x14ac:dyDescent="0.2">
      <c r="B34" s="1960"/>
      <c r="C34" s="1960" t="str">
        <f>Languages!B23</f>
        <v>*The selection of "D" corresponds to a default (linear) dynamics of change. Other selection options include "I" for immediate changes and "E" for exponential - please refer to the guidelines for further explanation of these assumptions.</v>
      </c>
      <c r="D34" s="1960"/>
      <c r="E34" s="1960"/>
      <c r="F34" s="1960"/>
      <c r="G34" s="1960"/>
      <c r="H34" s="1960"/>
      <c r="I34" s="1960"/>
      <c r="J34" s="1960"/>
      <c r="K34" s="1960"/>
      <c r="L34" s="1960"/>
      <c r="M34" s="1960"/>
      <c r="N34" s="1960"/>
      <c r="O34" s="1960"/>
      <c r="P34" s="1960"/>
      <c r="Q34" s="1960"/>
      <c r="R34" s="1960"/>
      <c r="S34" s="1960"/>
      <c r="T34" s="1960"/>
      <c r="U34" s="1960"/>
      <c r="V34" s="1960"/>
      <c r="W34" s="1960"/>
      <c r="X34" s="1960"/>
      <c r="Y34" s="1960"/>
      <c r="Z34" s="1960"/>
      <c r="AA34" s="1960"/>
      <c r="AB34" s="4321"/>
      <c r="AC34" s="4321"/>
      <c r="AD34" s="4321"/>
      <c r="AE34" s="4321"/>
      <c r="AF34" s="4321"/>
      <c r="AG34" s="4321"/>
      <c r="AH34" s="1960"/>
      <c r="AI34" s="4322"/>
      <c r="AS34" s="2319" t="str">
        <f>'5.Management'!AQ24</f>
        <v>IPCC default values are provided for your information only; EX-ACT will use Tier 2 values automatically wherever specified.</v>
      </c>
      <c r="AT34" s="2591"/>
      <c r="AU34" s="2591"/>
      <c r="AV34" s="2591"/>
      <c r="AW34" s="2591"/>
      <c r="AX34" s="2591"/>
      <c r="AY34" s="2591"/>
      <c r="AZ34" s="2591"/>
      <c r="BA34" s="2591"/>
      <c r="BB34" s="2591"/>
      <c r="BC34" s="2591"/>
      <c r="BD34" s="2591"/>
      <c r="BE34" s="2591"/>
      <c r="BF34" s="2591"/>
      <c r="BG34" s="2591"/>
      <c r="BI34" s="1996"/>
      <c r="BJ34" s="1996"/>
      <c r="BK34" s="1996"/>
      <c r="CD34" s="2591" t="str">
        <f>AS33</f>
        <v>Use this part only if you want to refine the analysis at Tier 2</v>
      </c>
      <c r="CE34" s="2591"/>
      <c r="CF34" s="2591"/>
      <c r="CG34" s="2591"/>
      <c r="CH34" s="2591"/>
      <c r="CI34" s="2591"/>
      <c r="CJ34" s="2591"/>
      <c r="CK34" s="2591"/>
      <c r="CL34" s="2591"/>
      <c r="CM34" s="2591"/>
      <c r="CN34" s="2591"/>
      <c r="CO34" s="2591"/>
      <c r="CP34" s="2591"/>
      <c r="CQ34" s="2591"/>
      <c r="CT34" s="2591" t="str">
        <f>CD34</f>
        <v>Use this part only if you want to refine the analysis at Tier 2</v>
      </c>
      <c r="CU34" s="2591"/>
      <c r="CV34" s="2591"/>
      <c r="CW34" s="2591"/>
      <c r="CX34" s="2591"/>
      <c r="CY34" s="2591"/>
      <c r="CZ34" s="2591"/>
      <c r="DA34" s="2591"/>
      <c r="DB34" s="2591"/>
      <c r="DC34" s="2591"/>
      <c r="DD34" s="2591"/>
      <c r="DE34" s="2591"/>
      <c r="DF34" s="2591"/>
      <c r="DG34" s="2591"/>
      <c r="DH34" s="2591"/>
      <c r="DI34" s="2591"/>
      <c r="DJ34" s="2591"/>
      <c r="DK34" s="2591"/>
      <c r="DL34" s="2591"/>
      <c r="DM34" s="2591"/>
      <c r="DN34" s="2591"/>
      <c r="DO34" s="2591"/>
      <c r="DP34" s="2591"/>
      <c r="DU34" s="2591" t="str">
        <f>DU68</f>
        <v>IPCC default values are provided for your information only; EX-ACT will use Tier 2 values automatically wherever specified.</v>
      </c>
      <c r="DV34" s="2591"/>
      <c r="DW34" s="2591"/>
      <c r="DX34" s="2591"/>
      <c r="DY34" s="2591"/>
      <c r="DZ34" s="2591"/>
      <c r="EA34" s="2591"/>
      <c r="EB34" s="2591"/>
      <c r="EC34" s="2591"/>
      <c r="ED34" s="2591"/>
      <c r="EE34" s="2591"/>
      <c r="EF34" s="2591"/>
      <c r="EG34" s="2591"/>
      <c r="EH34" s="2591"/>
    </row>
    <row r="35" spans="2:138" x14ac:dyDescent="0.2">
      <c r="AS35" s="2319"/>
      <c r="AT35" s="2591"/>
      <c r="AU35" s="2591"/>
      <c r="AV35" s="2591"/>
      <c r="AW35" s="2591"/>
      <c r="AX35" s="2591"/>
      <c r="AY35" s="2591"/>
      <c r="AZ35" s="2591"/>
      <c r="BA35" s="2591"/>
      <c r="BB35" s="2591"/>
      <c r="BC35" s="2591"/>
      <c r="BD35" s="2591"/>
      <c r="BE35" s="2591"/>
      <c r="BF35" s="2591"/>
      <c r="BG35" s="2591"/>
      <c r="BI35" s="1996"/>
      <c r="BJ35" s="1996"/>
      <c r="BK35" s="1996"/>
      <c r="CD35" s="2591" t="str">
        <f>AS34</f>
        <v>IPCC default values are provided for your information only; EX-ACT will use Tier 2 values automatically wherever specified.</v>
      </c>
      <c r="CE35" s="2591"/>
      <c r="CF35" s="2591"/>
      <c r="CG35" s="2591"/>
      <c r="CH35" s="2591"/>
      <c r="CI35" s="2591"/>
      <c r="CJ35" s="2591"/>
      <c r="CK35" s="2591"/>
      <c r="CL35" s="2591"/>
      <c r="CM35" s="2591"/>
      <c r="CN35" s="2591"/>
      <c r="CO35" s="2591"/>
      <c r="CP35" s="2591"/>
      <c r="CQ35" s="2591"/>
      <c r="CT35" s="2591" t="str">
        <f>CD35</f>
        <v>IPCC default values are provided for your information only; EX-ACT will use Tier 2 values automatically wherever specified.</v>
      </c>
      <c r="CU35" s="2591"/>
      <c r="CV35" s="2591"/>
      <c r="CW35" s="2591"/>
      <c r="CX35" s="2591"/>
      <c r="CY35" s="2591"/>
      <c r="CZ35" s="2591"/>
      <c r="DA35" s="2591"/>
      <c r="DB35" s="2591"/>
      <c r="DC35" s="2591"/>
      <c r="DD35" s="2591"/>
      <c r="DE35" s="2591"/>
      <c r="DF35" s="2591"/>
      <c r="DG35" s="2591"/>
      <c r="DH35" s="2591"/>
      <c r="DI35" s="2591"/>
      <c r="DJ35" s="2591"/>
      <c r="DK35" s="2591"/>
      <c r="DL35" s="2591"/>
      <c r="DM35" s="2591"/>
      <c r="DN35" s="2591"/>
      <c r="DO35" s="2591"/>
      <c r="DP35" s="2591"/>
    </row>
    <row r="36" spans="2:138" x14ac:dyDescent="0.2">
      <c r="AS36" s="4166"/>
    </row>
    <row r="37" spans="2:138" x14ac:dyDescent="0.2">
      <c r="AS37" s="4166"/>
    </row>
    <row r="38" spans="2:138" x14ac:dyDescent="0.2">
      <c r="AS38" s="4166"/>
    </row>
    <row r="39" spans="2:138" x14ac:dyDescent="0.2">
      <c r="AS39" s="4166"/>
    </row>
    <row r="41" spans="2:138" ht="45" customHeight="1" x14ac:dyDescent="0.2">
      <c r="B41" s="1874"/>
      <c r="C41" s="2542" t="str">
        <f>Languages!B347</f>
        <v>6.1.2 Organic soil management practices associated with afforestation / reforestation</v>
      </c>
      <c r="D41" s="1769"/>
      <c r="E41" s="1769"/>
      <c r="F41" s="1769"/>
      <c r="G41" s="1769"/>
      <c r="H41" s="1769"/>
      <c r="I41" s="1769"/>
      <c r="J41" s="1769"/>
      <c r="K41" s="4197"/>
      <c r="L41" s="1769"/>
      <c r="M41" s="1769"/>
      <c r="N41" s="1769"/>
      <c r="O41" s="1769"/>
      <c r="P41" s="1769"/>
      <c r="Q41" s="1769"/>
      <c r="R41" s="1769"/>
      <c r="S41" s="1769"/>
      <c r="T41" s="1769"/>
      <c r="U41" s="1769"/>
      <c r="V41" s="1769"/>
      <c r="W41" s="1769"/>
      <c r="X41" s="1769"/>
      <c r="Y41" s="1978" t="str">
        <f>Z7</f>
        <v>If country-specific data are available, please go to Tier 2:</v>
      </c>
      <c r="Z41" s="1769"/>
      <c r="AA41" s="1769"/>
      <c r="AB41" s="1769"/>
      <c r="AC41" s="1769"/>
      <c r="AD41" s="1769"/>
      <c r="AE41" s="1769"/>
      <c r="AF41" s="1769"/>
      <c r="AG41" s="1769"/>
      <c r="AH41" s="1769"/>
      <c r="AI41" s="1769"/>
      <c r="AS41" s="1977" t="str">
        <f>C41</f>
        <v>6.1.2 Organic soil management practices associated with afforestation / reforestation</v>
      </c>
      <c r="AT41" s="1976"/>
      <c r="AU41" s="1976"/>
      <c r="AV41" s="1976"/>
      <c r="AW41" s="1976"/>
      <c r="AX41" s="1976"/>
      <c r="AY41" s="1976"/>
      <c r="AZ41" s="1976"/>
      <c r="BA41" s="1976"/>
      <c r="BB41" s="1976"/>
      <c r="BC41" s="1976"/>
      <c r="BD41" s="1976"/>
      <c r="BE41" s="1976"/>
      <c r="BF41" s="1976"/>
      <c r="BG41" s="1976"/>
      <c r="BH41" s="1976"/>
      <c r="BI41" s="1976"/>
      <c r="BJ41" s="1976"/>
      <c r="BK41" s="1976"/>
      <c r="BL41" s="1976"/>
      <c r="BM41" s="1976"/>
      <c r="BN41" s="1976"/>
      <c r="BO41" s="1976"/>
      <c r="BP41" s="1976"/>
      <c r="BR41" s="4366" t="s">
        <v>71</v>
      </c>
      <c r="BS41" s="4366"/>
      <c r="BT41" s="4366"/>
      <c r="CD41" s="1975" t="str">
        <f>Languages!B364</f>
        <v>6.1.2 Emission factors for drainage associated with afforestation/reforestation</v>
      </c>
      <c r="CE41" s="1976"/>
      <c r="CF41" s="1976"/>
      <c r="CG41" s="1976"/>
      <c r="CH41" s="1976"/>
      <c r="CI41" s="1976"/>
      <c r="CJ41" s="1976"/>
      <c r="CK41" s="1976"/>
      <c r="CL41" s="1976"/>
      <c r="CM41" s="1976"/>
      <c r="CN41" s="1976"/>
      <c r="CO41" s="1976"/>
      <c r="CP41" s="1976"/>
      <c r="CQ41" s="1976"/>
      <c r="CT41" s="1975" t="str">
        <f>Languages!B371</f>
        <v>6.1.2 Emissions factors for fire on organic soils associated with afforestation/reforestation</v>
      </c>
      <c r="CU41" s="1976"/>
      <c r="CV41" s="1976"/>
      <c r="CW41" s="1976"/>
      <c r="CX41" s="1976"/>
      <c r="CY41" s="1976"/>
      <c r="CZ41" s="1976"/>
      <c r="DA41" s="1976"/>
      <c r="DB41" s="1976"/>
      <c r="DC41" s="1976"/>
      <c r="DD41" s="1976"/>
      <c r="DE41" s="1976"/>
      <c r="DF41" s="1976"/>
      <c r="DG41" s="1976"/>
      <c r="DH41" s="1976"/>
      <c r="DI41" s="1976"/>
      <c r="DJ41" s="1976"/>
      <c r="DK41" s="1976"/>
      <c r="DL41" s="1976"/>
      <c r="DM41" s="1976"/>
      <c r="DN41" s="1976"/>
      <c r="DO41" s="1976"/>
      <c r="DP41" s="1976"/>
      <c r="DU41" s="1975" t="str">
        <f>Languages!B381</f>
        <v>6.1.2. Rewetting associated with afforestation/reforestation</v>
      </c>
      <c r="DV41" s="1976"/>
      <c r="DW41" s="1976"/>
      <c r="DX41" s="1976"/>
      <c r="DY41" s="1976"/>
      <c r="DZ41" s="1976"/>
      <c r="EA41" s="1976"/>
      <c r="EB41" s="1976"/>
      <c r="EC41" s="1976"/>
      <c r="ED41" s="1976"/>
      <c r="EE41" s="1976"/>
      <c r="EF41" s="1976"/>
      <c r="EG41" s="1976"/>
      <c r="EH41" s="1976"/>
    </row>
    <row r="42" spans="2:138" ht="18.5" customHeight="1" x14ac:dyDescent="0.2">
      <c r="B42" s="1960"/>
      <c r="C42" s="1960"/>
      <c r="D42" s="1960"/>
      <c r="E42" s="1960"/>
      <c r="F42" s="1960"/>
      <c r="G42" s="1960"/>
      <c r="H42" s="1960"/>
      <c r="I42" s="1960"/>
      <c r="J42" s="1960"/>
      <c r="K42" s="1960"/>
      <c r="L42" s="1960"/>
      <c r="M42" s="1960"/>
      <c r="N42" s="1960"/>
      <c r="O42" s="1960"/>
      <c r="P42" s="1960"/>
      <c r="Q42" s="1960"/>
      <c r="R42" s="1960"/>
      <c r="S42" s="1960"/>
      <c r="T42" s="1960"/>
      <c r="U42" s="1838"/>
      <c r="V42" s="1838"/>
      <c r="W42" s="4569" t="str">
        <f>W9</f>
        <v>Management practices following conversion</v>
      </c>
      <c r="X42" s="4569"/>
      <c r="Y42" s="4569"/>
      <c r="Z42" s="1838"/>
      <c r="AA42" s="1838"/>
      <c r="AB42" s="2109"/>
      <c r="AC42" s="2109"/>
      <c r="AD42" s="2109"/>
      <c r="AE42" s="1960"/>
      <c r="AF42" s="1960"/>
      <c r="AG42" s="1960"/>
      <c r="AH42" s="1960"/>
      <c r="AI42" s="1960"/>
      <c r="AS42" s="2591"/>
      <c r="AT42" s="2591"/>
      <c r="AU42" s="2591"/>
      <c r="AV42" s="2591"/>
      <c r="AW42" s="2591"/>
      <c r="AX42" s="2591"/>
      <c r="AY42" s="2591"/>
      <c r="AZ42" s="2591"/>
      <c r="BA42" s="2591"/>
      <c r="BB42" s="2591"/>
      <c r="BC42" s="2591"/>
      <c r="BD42" s="2591"/>
      <c r="BE42" s="2591"/>
      <c r="BF42" s="2591"/>
      <c r="BG42" s="2591"/>
      <c r="BH42" s="2591"/>
      <c r="BI42" s="2591"/>
      <c r="BJ42" s="2591"/>
      <c r="BK42" s="2591"/>
      <c r="BL42" s="2591"/>
      <c r="BM42" s="2591"/>
      <c r="BN42" s="2591"/>
      <c r="BO42" s="2591"/>
      <c r="BP42" s="2591"/>
      <c r="BR42" s="2591"/>
      <c r="BS42" s="2591"/>
      <c r="BT42" s="2591"/>
      <c r="CD42" s="2591"/>
      <c r="CE42" s="2591"/>
      <c r="CF42" s="4140" t="str">
        <f>Languages!B340</f>
        <v>On site emission factors</v>
      </c>
      <c r="CG42" s="4140"/>
      <c r="CH42" s="4140"/>
      <c r="CI42" s="4140"/>
      <c r="CJ42" s="4140"/>
      <c r="CK42" s="4140"/>
      <c r="CL42" s="4145"/>
      <c r="CM42" s="4140" t="str">
        <f>CM9</f>
        <v>Off-site emission factors</v>
      </c>
      <c r="CN42" s="4140"/>
      <c r="CO42" s="4140"/>
      <c r="CP42" s="4140"/>
      <c r="CQ42" s="2591"/>
      <c r="CT42" s="2591"/>
      <c r="CU42" s="2591"/>
      <c r="CV42" s="2591"/>
      <c r="CW42" s="2591"/>
      <c r="CX42" s="2591"/>
      <c r="CY42" s="2591"/>
      <c r="CZ42" s="4140" t="str">
        <f>CZ9</f>
        <v>Fire occurrence and severity</v>
      </c>
      <c r="DA42" s="4140"/>
      <c r="DB42" s="4141"/>
      <c r="DC42" s="4141"/>
      <c r="DD42" s="4141"/>
      <c r="DE42" s="4141"/>
      <c r="DF42" s="4141"/>
      <c r="DG42" s="2591"/>
      <c r="DH42" s="4140" t="str">
        <f>DH9</f>
        <v>Emission factors fire</v>
      </c>
      <c r="DI42" s="4141"/>
      <c r="DJ42" s="4141"/>
      <c r="DK42" s="4141"/>
      <c r="DL42" s="4141"/>
      <c r="DM42" s="4141"/>
      <c r="DN42" s="4141"/>
      <c r="DO42" s="4141"/>
      <c r="DP42" s="2591"/>
      <c r="DU42" s="2591"/>
      <c r="DV42" s="2591"/>
      <c r="DW42" s="2591"/>
      <c r="DX42" s="2591"/>
      <c r="DY42" s="2591"/>
      <c r="DZ42" s="2591"/>
      <c r="EA42" s="2591"/>
      <c r="EB42" s="2591"/>
      <c r="EC42" s="2591"/>
      <c r="ED42" s="2591"/>
      <c r="EE42" s="2591"/>
      <c r="EF42" s="2591"/>
      <c r="EG42" s="2591"/>
      <c r="EH42" s="2591"/>
    </row>
    <row r="43" spans="2:138" ht="18.75" customHeight="1" x14ac:dyDescent="0.2">
      <c r="B43" s="1960"/>
      <c r="C43" s="1834" t="str">
        <f>Languages!B18</f>
        <v>Final land-use</v>
      </c>
      <c r="D43" s="4142"/>
      <c r="E43" s="1834"/>
      <c r="F43" s="4142"/>
      <c r="G43" s="1780" t="str">
        <f>Languages!B61</f>
        <v>Fire used?</v>
      </c>
      <c r="H43" s="4142"/>
      <c r="I43" s="4189" t="str">
        <f>Languages!B19</f>
        <v>Initial land-use</v>
      </c>
      <c r="J43" s="4143"/>
      <c r="K43" s="4143"/>
      <c r="L43" s="4142"/>
      <c r="M43" s="4142"/>
      <c r="N43" s="4352" t="str">
        <f>Languages!B70</f>
        <v>Reforested area (ha)</v>
      </c>
      <c r="O43" s="4352"/>
      <c r="P43" s="4352"/>
      <c r="Q43" s="4352"/>
      <c r="R43" s="4142"/>
      <c r="S43" s="1960"/>
      <c r="T43" s="4142"/>
      <c r="U43" s="1838"/>
      <c r="V43" s="1838"/>
      <c r="W43" s="4570"/>
      <c r="X43" s="4570"/>
      <c r="Y43" s="4570"/>
      <c r="Z43" s="1838"/>
      <c r="AA43" s="1838"/>
      <c r="AB43" s="1838"/>
      <c r="AC43" s="1838"/>
      <c r="AD43" s="4144"/>
      <c r="AE43" s="4143" t="str">
        <f>AE10</f>
        <v>Total emissions (tCO2-e)</v>
      </c>
      <c r="AF43" s="4144"/>
      <c r="AG43" s="4144"/>
      <c r="AH43" s="4144"/>
      <c r="AI43" s="4144"/>
      <c r="AS43" s="2591"/>
      <c r="AT43" s="4145" t="str">
        <f>I43</f>
        <v>Initial land-use</v>
      </c>
      <c r="AU43" s="2591"/>
      <c r="AV43" s="2591"/>
      <c r="AW43" s="2591"/>
      <c r="AX43" s="4145" t="str">
        <f>Languages!B410</f>
        <v>Initial land use biomass C pool (BGB+AGB)</v>
      </c>
      <c r="AY43" s="2591"/>
      <c r="AZ43" s="2591"/>
      <c r="BA43" s="2591"/>
      <c r="BB43" s="2591"/>
      <c r="BC43" s="2591"/>
      <c r="BD43" s="2591"/>
      <c r="BE43" s="2591"/>
      <c r="BF43" s="2591"/>
      <c r="BG43" s="2591"/>
      <c r="BH43" s="2591"/>
      <c r="BI43" s="2591"/>
      <c r="BJ43" s="2591"/>
      <c r="BK43" s="2591"/>
      <c r="BL43" s="2591"/>
      <c r="BM43" s="2591"/>
      <c r="BN43" s="2591"/>
      <c r="BO43" s="2591"/>
      <c r="BP43" s="2591"/>
      <c r="BQ43" s="4168"/>
      <c r="BR43" s="1784"/>
      <c r="BS43" s="1784"/>
      <c r="BT43" s="1996"/>
      <c r="CD43" s="2591"/>
      <c r="CE43" s="2591"/>
      <c r="CF43" s="2560" t="str">
        <f>CF10</f>
        <v>CO2</v>
      </c>
      <c r="CG43" s="2560"/>
      <c r="CH43" s="2560" t="str">
        <f t="shared" ref="CH43:CO43" si="20">CH10</f>
        <v>CH4</v>
      </c>
      <c r="CI43" s="2560"/>
      <c r="CJ43" s="2560" t="str">
        <f t="shared" si="20"/>
        <v>N2O</v>
      </c>
      <c r="CK43" s="2560"/>
      <c r="CL43" s="2560"/>
      <c r="CM43" s="2560" t="str">
        <f t="shared" si="20"/>
        <v>DOC</v>
      </c>
      <c r="CN43" s="2560"/>
      <c r="CO43" s="2560" t="str">
        <f t="shared" si="20"/>
        <v>CH4</v>
      </c>
      <c r="CP43" s="2560"/>
      <c r="CQ43" s="2560"/>
      <c r="CT43" s="2591"/>
      <c r="CU43" s="2591"/>
      <c r="CV43" s="4140" t="str">
        <f>N43</f>
        <v>Reforested area (ha)</v>
      </c>
      <c r="CW43" s="4141"/>
      <c r="CX43" s="4141"/>
      <c r="CY43" s="2591"/>
      <c r="CZ43" s="2591"/>
      <c r="DA43" s="4151"/>
      <c r="DB43" s="4151" t="str">
        <f>CV44</f>
        <v>Without</v>
      </c>
      <c r="DC43" s="2591"/>
      <c r="DD43" s="2591"/>
      <c r="DE43" s="4150" t="str">
        <f>DE10</f>
        <v>With</v>
      </c>
      <c r="DF43" s="2591"/>
      <c r="DG43" s="2591"/>
      <c r="DH43" s="4147" t="str">
        <f>DH10</f>
        <v>CO2</v>
      </c>
      <c r="DI43" s="4147"/>
      <c r="DJ43" s="4147" t="str">
        <f>DJ10</f>
        <v>CO</v>
      </c>
      <c r="DK43" s="4147"/>
      <c r="DL43" s="4147" t="str">
        <f>DL10</f>
        <v>CH4</v>
      </c>
      <c r="DM43" s="4147"/>
      <c r="DN43" s="4147" t="str">
        <f>DN10</f>
        <v xml:space="preserve">Mean dry matter </v>
      </c>
      <c r="DO43" s="4145"/>
      <c r="DP43" s="2591"/>
      <c r="DU43" s="2591"/>
      <c r="DV43" s="2591"/>
      <c r="DW43" s="2591"/>
      <c r="DX43" s="4140" t="s">
        <v>1033</v>
      </c>
      <c r="DY43" s="4141"/>
      <c r="DZ43" s="4141"/>
      <c r="EA43" s="4141"/>
      <c r="EB43" s="4141"/>
      <c r="EC43" s="4141"/>
      <c r="ED43" s="2591"/>
      <c r="EE43" s="4140" t="s">
        <v>1034</v>
      </c>
      <c r="EF43" s="4141"/>
      <c r="EG43" s="4141"/>
      <c r="EH43" s="2591"/>
    </row>
    <row r="44" spans="2:138" x14ac:dyDescent="0.2">
      <c r="B44" s="1960"/>
      <c r="C44" s="1838"/>
      <c r="D44" s="1960"/>
      <c r="E44" s="1838"/>
      <c r="F44" s="1960"/>
      <c r="G44" s="1984" t="str">
        <f>Languages!B62</f>
        <v>(y/n)</v>
      </c>
      <c r="H44" s="1960"/>
      <c r="I44" s="1838" t="str">
        <f>Languages!B24</f>
        <v>Land-use cover</v>
      </c>
      <c r="J44" s="1960"/>
      <c r="K44" s="1838" t="str">
        <f>K11</f>
        <v>Agroforestry system</v>
      </c>
      <c r="L44" s="1960"/>
      <c r="M44" s="1960"/>
      <c r="N44" s="1960"/>
      <c r="O44" s="1960"/>
      <c r="P44" s="1960"/>
      <c r="Q44" s="1960"/>
      <c r="R44" s="1960"/>
      <c r="S44" s="1960"/>
      <c r="T44" s="1960"/>
      <c r="U44" s="1838"/>
      <c r="V44" s="1838"/>
      <c r="W44" s="1838"/>
      <c r="X44" s="1838" t="str">
        <f>X11</f>
        <v>Burning of</v>
      </c>
      <c r="Y44" s="1838"/>
      <c r="Z44" s="1838"/>
      <c r="AA44" s="1838"/>
      <c r="AB44" s="1838"/>
      <c r="AC44" s="1838"/>
      <c r="AD44" s="1960"/>
      <c r="AE44" s="1960"/>
      <c r="AF44" s="1960"/>
      <c r="AG44" s="1960"/>
      <c r="AH44" s="1960"/>
      <c r="AI44" s="1960"/>
      <c r="AS44" s="2591"/>
      <c r="AT44" s="2591"/>
      <c r="AU44" s="2591"/>
      <c r="AV44" s="2591"/>
      <c r="AW44" s="2591"/>
      <c r="AX44" s="2591"/>
      <c r="AY44" s="2591"/>
      <c r="AZ44" s="2591"/>
      <c r="BA44" s="2591"/>
      <c r="BB44" s="2591"/>
      <c r="BC44" s="2591"/>
      <c r="BD44" s="2591"/>
      <c r="BE44" s="2591"/>
      <c r="BF44" s="2591"/>
      <c r="BG44" s="2591"/>
      <c r="BH44" s="2591"/>
      <c r="BI44" s="2591"/>
      <c r="BJ44" s="2591"/>
      <c r="BK44" s="2591"/>
      <c r="BL44" s="2591"/>
      <c r="BM44" s="2591"/>
      <c r="BN44" s="2591"/>
      <c r="BO44" s="2591"/>
      <c r="BP44" s="2591"/>
      <c r="BQ44" s="1818"/>
      <c r="BR44" s="1889" t="s">
        <v>74</v>
      </c>
      <c r="BS44" s="1889"/>
      <c r="BT44" s="1996"/>
      <c r="CD44" s="2591"/>
      <c r="CE44" s="4145" t="str">
        <f>CE10</f>
        <v>Initial land-use</v>
      </c>
      <c r="CF44" s="2560" t="str">
        <f>CF11</f>
        <v>tC/ha/yr</v>
      </c>
      <c r="CG44" s="2560"/>
      <c r="CH44" s="2560" t="str">
        <f>CH11</f>
        <v>kgCH4/ha/yr</v>
      </c>
      <c r="CI44" s="2560"/>
      <c r="CJ44" s="2560" t="str">
        <f>CJ11</f>
        <v>kgN2O-N/ha/yr</v>
      </c>
      <c r="CK44" s="2560"/>
      <c r="CL44" s="2560"/>
      <c r="CM44" s="2560" t="str">
        <f>CM11</f>
        <v>tC/ha/yr</v>
      </c>
      <c r="CN44" s="2560"/>
      <c r="CO44" s="2560" t="str">
        <f>CO11</f>
        <v>kgCH4/ha/yr</v>
      </c>
      <c r="CP44" s="2560"/>
      <c r="CQ44" s="2560"/>
      <c r="CT44" s="2591"/>
      <c r="CU44" s="4145" t="str">
        <f>DV56</f>
        <v>Final land-use</v>
      </c>
      <c r="CV44" s="2560" t="str">
        <f>CV10</f>
        <v>Without</v>
      </c>
      <c r="CW44" s="2560" t="str">
        <f>CW10</f>
        <v>With</v>
      </c>
      <c r="CX44" s="2591"/>
      <c r="CY44" s="2591"/>
      <c r="CZ44" s="2560" t="str">
        <f>CZ11</f>
        <v>Type of fire</v>
      </c>
      <c r="DA44" s="2591"/>
      <c r="DB44" s="2560" t="str">
        <f>DB11</f>
        <v>Periodicity</v>
      </c>
      <c r="DC44" s="2560" t="str">
        <f>DC11</f>
        <v>Impact</v>
      </c>
      <c r="DD44" s="2560"/>
      <c r="DE44" s="2560" t="str">
        <f>DB44</f>
        <v>Periodicity</v>
      </c>
      <c r="DF44" s="2560" t="str">
        <f>DC44</f>
        <v>Impact</v>
      </c>
      <c r="DG44" s="2591"/>
      <c r="DH44" s="4153" t="str">
        <f>DH11</f>
        <v>gC/kg d.m.</v>
      </c>
      <c r="DI44" s="4153"/>
      <c r="DJ44" s="4153" t="str">
        <f>DJ11</f>
        <v>gCO/kg d.m.</v>
      </c>
      <c r="DK44" s="4153"/>
      <c r="DL44" s="4153" t="str">
        <f>DL11</f>
        <v>gCH4/kg d.m.</v>
      </c>
      <c r="DM44" s="4153"/>
      <c r="DN44" s="4153" t="str">
        <f>DN11</f>
        <v>(tDM/ha)</v>
      </c>
      <c r="DO44" s="4153"/>
      <c r="DP44" s="4145"/>
      <c r="DU44" s="2591"/>
      <c r="DV44" s="4145" t="str">
        <f>DV22</f>
        <v>Final land-use after deforestation</v>
      </c>
      <c r="DW44" s="2591"/>
      <c r="DX44" s="2591" t="s">
        <v>1040</v>
      </c>
      <c r="DY44" s="2591"/>
      <c r="DZ44" s="2591" t="s">
        <v>1041</v>
      </c>
      <c r="EA44" s="2591"/>
      <c r="EB44" s="2591" t="s">
        <v>177</v>
      </c>
      <c r="EC44" s="2591"/>
      <c r="ED44" s="2591"/>
      <c r="EE44" s="2591" t="s">
        <v>1042</v>
      </c>
      <c r="EF44" s="2591"/>
      <c r="EG44" s="2591"/>
      <c r="EH44" s="2591"/>
    </row>
    <row r="45" spans="2:138" x14ac:dyDescent="0.2">
      <c r="B45" s="1960"/>
      <c r="C45" s="1838"/>
      <c r="D45" s="1960"/>
      <c r="E45" s="1838"/>
      <c r="F45" s="1960"/>
      <c r="G45" s="1951"/>
      <c r="H45" s="1960"/>
      <c r="I45" s="1838"/>
      <c r="J45" s="1960"/>
      <c r="K45" s="1960"/>
      <c r="L45" s="1960"/>
      <c r="M45" s="1960"/>
      <c r="N45" s="1838" t="str">
        <f>N12</f>
        <v>Without</v>
      </c>
      <c r="O45" s="1960" t="s">
        <v>83</v>
      </c>
      <c r="P45" s="1838" t="str">
        <f>P12</f>
        <v>With</v>
      </c>
      <c r="Q45" s="1838" t="s">
        <v>83</v>
      </c>
      <c r="R45" s="1960"/>
      <c r="S45" s="1960"/>
      <c r="T45" s="1960"/>
      <c r="U45" s="1838"/>
      <c r="V45" s="1838"/>
      <c r="W45" s="1838"/>
      <c r="X45" s="1838" t="str">
        <f>X12</f>
        <v xml:space="preserve">Biomass </v>
      </c>
      <c r="Y45" s="1838"/>
      <c r="Z45" s="1838"/>
      <c r="AA45" s="1838"/>
      <c r="AB45" s="1838"/>
      <c r="AC45" s="1838"/>
      <c r="AD45" s="1960"/>
      <c r="AE45" s="1838" t="str">
        <f>AE12</f>
        <v>Without</v>
      </c>
      <c r="AF45" s="1838" t="str">
        <f>AF12</f>
        <v>With</v>
      </c>
      <c r="AG45" s="1834" t="str">
        <f>AG12</f>
        <v>Balance</v>
      </c>
      <c r="AH45" s="1960"/>
      <c r="AI45" s="1960"/>
      <c r="AS45" s="2591"/>
      <c r="AT45" s="2591"/>
      <c r="AU45" s="2591"/>
      <c r="AV45" s="2591"/>
      <c r="AW45" s="2591"/>
      <c r="AX45" s="2591"/>
      <c r="AY45" s="4149" t="s">
        <v>62</v>
      </c>
      <c r="AZ45" s="2591"/>
      <c r="BA45" s="2591"/>
      <c r="BB45" s="2591"/>
      <c r="BC45" s="2591"/>
      <c r="BD45" s="2591"/>
      <c r="BE45" s="2591"/>
      <c r="BF45" s="2591"/>
      <c r="BG45" s="2591"/>
      <c r="BH45" s="2591"/>
      <c r="BI45" s="2591"/>
      <c r="BJ45" s="2591"/>
      <c r="BK45" s="2591"/>
      <c r="BL45" s="2591"/>
      <c r="BM45" s="2591"/>
      <c r="BN45" s="2591"/>
      <c r="BO45" s="2591"/>
      <c r="BP45" s="2591"/>
      <c r="BQ45" s="1818"/>
      <c r="BR45" s="2014" t="s">
        <v>82</v>
      </c>
      <c r="BS45" s="2014"/>
      <c r="BT45" s="1996"/>
      <c r="CD45" s="2591"/>
      <c r="CE45" s="2319"/>
      <c r="CF45" s="2560" t="str">
        <f>CF12</f>
        <v>Default</v>
      </c>
      <c r="CG45" s="2560" t="str">
        <f>CG12</f>
        <v>Tier 2</v>
      </c>
      <c r="CH45" s="2560" t="str">
        <f>CH12</f>
        <v>Default</v>
      </c>
      <c r="CI45" s="2560" t="str">
        <f>CI12</f>
        <v>Tier 2</v>
      </c>
      <c r="CJ45" s="2560" t="str">
        <f>CJ12</f>
        <v>Default</v>
      </c>
      <c r="CK45" s="2560" t="str">
        <f>CK12</f>
        <v>Tier 2</v>
      </c>
      <c r="CL45" s="2560"/>
      <c r="CM45" s="2560" t="str">
        <f>CM12</f>
        <v>Default</v>
      </c>
      <c r="CN45" s="2560" t="str">
        <f>CN12</f>
        <v>Tier 2</v>
      </c>
      <c r="CO45" s="2560" t="str">
        <f>CO12</f>
        <v>Default</v>
      </c>
      <c r="CP45" s="2560" t="str">
        <f>CP12</f>
        <v>Tier 2</v>
      </c>
      <c r="CQ45" s="2560"/>
      <c r="CT45" s="2591"/>
      <c r="CU45" s="2591"/>
      <c r="CV45" s="2591"/>
      <c r="CW45" s="2591"/>
      <c r="CX45" s="2591"/>
      <c r="CY45" s="2591"/>
      <c r="CZ45" s="2591"/>
      <c r="DA45" s="2591"/>
      <c r="DB45" s="2560" t="str">
        <f>DB12</f>
        <v>Year</v>
      </c>
      <c r="DC45" s="2560" t="str">
        <f>DC12</f>
        <v>% burnt</v>
      </c>
      <c r="DD45" s="2560"/>
      <c r="DE45" s="2560" t="str">
        <f>DB45</f>
        <v>Year</v>
      </c>
      <c r="DF45" s="2560" t="str">
        <f>DC45</f>
        <v>% burnt</v>
      </c>
      <c r="DG45" s="2591"/>
      <c r="DH45" s="2560" t="str">
        <f>DH12</f>
        <v>Default</v>
      </c>
      <c r="DI45" s="2560" t="str">
        <f>DI12</f>
        <v>Tier 2</v>
      </c>
      <c r="DJ45" s="2560" t="str">
        <f t="shared" ref="DJ45:DO45" si="21">DH45</f>
        <v>Default</v>
      </c>
      <c r="DK45" s="2560" t="str">
        <f t="shared" si="21"/>
        <v>Tier 2</v>
      </c>
      <c r="DL45" s="2560" t="str">
        <f t="shared" si="21"/>
        <v>Default</v>
      </c>
      <c r="DM45" s="2560" t="str">
        <f t="shared" si="21"/>
        <v>Tier 2</v>
      </c>
      <c r="DN45" s="2560" t="str">
        <f t="shared" si="21"/>
        <v>Default</v>
      </c>
      <c r="DO45" s="2560" t="str">
        <f t="shared" si="21"/>
        <v>Tier 2</v>
      </c>
      <c r="DP45" s="2591"/>
      <c r="DU45" s="2591"/>
      <c r="DV45" s="2591"/>
      <c r="DW45" s="2591"/>
      <c r="DX45" s="2591" t="s">
        <v>92</v>
      </c>
      <c r="DY45" s="2591"/>
      <c r="DZ45" s="2591" t="s">
        <v>1050</v>
      </c>
      <c r="EA45" s="2591"/>
      <c r="EB45" s="2591" t="s">
        <v>1051</v>
      </c>
      <c r="EC45" s="2591"/>
      <c r="ED45" s="2591"/>
      <c r="EE45" s="2591" t="s">
        <v>92</v>
      </c>
      <c r="EF45" s="2591"/>
      <c r="EG45" s="2591"/>
      <c r="EH45" s="2591"/>
    </row>
    <row r="46" spans="2:138" x14ac:dyDescent="0.2">
      <c r="B46" s="1838"/>
      <c r="C46" s="4191" t="s">
        <v>57</v>
      </c>
      <c r="D46" s="1838"/>
      <c r="E46" s="1838"/>
      <c r="F46" s="1838"/>
      <c r="G46" s="2129" t="s">
        <v>85</v>
      </c>
      <c r="H46" s="1838"/>
      <c r="I46" s="2129" t="s">
        <v>57</v>
      </c>
      <c r="J46" s="1838"/>
      <c r="K46" s="2129" t="s">
        <v>57</v>
      </c>
      <c r="L46" s="1838"/>
      <c r="M46" s="1960"/>
      <c r="N46" s="2128">
        <v>0</v>
      </c>
      <c r="O46" s="2104" t="s">
        <v>86</v>
      </c>
      <c r="P46" s="2128">
        <v>0</v>
      </c>
      <c r="Q46" s="2104" t="s">
        <v>86</v>
      </c>
      <c r="R46" s="4157"/>
      <c r="S46" s="1960"/>
      <c r="T46" s="1960"/>
      <c r="U46" s="1838"/>
      <c r="V46" s="1838"/>
      <c r="W46" s="1838"/>
      <c r="X46" s="4194" t="s">
        <v>1053</v>
      </c>
      <c r="Y46" s="1838"/>
      <c r="Z46" s="1838"/>
      <c r="AA46" s="1838"/>
      <c r="AB46" s="1838"/>
      <c r="AC46" s="1838"/>
      <c r="AD46" s="1960"/>
      <c r="AE46" s="2107">
        <f>'Inl. wetlands'!AI134</f>
        <v>0</v>
      </c>
      <c r="AF46" s="2107">
        <f>'Inl. wetlands'!AJ134</f>
        <v>0</v>
      </c>
      <c r="AG46" s="1806">
        <f t="shared" ref="AG46:AG51" si="22">AF46-AE46</f>
        <v>0</v>
      </c>
      <c r="AH46" s="1960"/>
      <c r="AI46" s="1960"/>
      <c r="AS46" s="2591"/>
      <c r="AT46" s="2591"/>
      <c r="AU46" s="2591"/>
      <c r="AV46" s="2591"/>
      <c r="AW46" s="2591"/>
      <c r="AX46" s="2591"/>
      <c r="AY46" s="2560" t="str">
        <f>AY23</f>
        <v>Default</v>
      </c>
      <c r="AZ46" s="2560" t="str">
        <f>AZ23</f>
        <v>Tier 2</v>
      </c>
      <c r="BA46" s="2591"/>
      <c r="BB46" s="2591"/>
      <c r="BC46" s="2591"/>
      <c r="BD46" s="2591"/>
      <c r="BE46" s="2591"/>
      <c r="BF46" s="2591"/>
      <c r="BG46" s="2591"/>
      <c r="BH46" s="2591"/>
      <c r="BI46" s="2591"/>
      <c r="BJ46" s="2591"/>
      <c r="BK46" s="2591"/>
      <c r="BL46" s="2591"/>
      <c r="BM46" s="2591"/>
      <c r="BN46" s="2591"/>
      <c r="BO46" s="2591"/>
      <c r="BP46" s="2591"/>
      <c r="BR46" s="1996"/>
      <c r="BS46" s="1893"/>
      <c r="BT46" s="1996"/>
      <c r="CD46" s="2591"/>
      <c r="CE46" s="2319" t="str">
        <f t="shared" ref="CE46:CE51" si="23">I46</f>
        <v>Please select</v>
      </c>
      <c r="CF46" s="4156">
        <f>'Inl. wetlands'!B165</f>
        <v>0</v>
      </c>
      <c r="CG46" s="4209"/>
      <c r="CH46" s="4156">
        <f>'Inl. wetlands'!D165</f>
        <v>0</v>
      </c>
      <c r="CI46" s="4209"/>
      <c r="CJ46" s="4156">
        <f>'Inl. wetlands'!F165</f>
        <v>0</v>
      </c>
      <c r="CK46" s="4209"/>
      <c r="CL46" s="2591"/>
      <c r="CM46" s="4156">
        <f>'Inl. wetlands'!H165</f>
        <v>0</v>
      </c>
      <c r="CN46" s="4209"/>
      <c r="CO46" s="4156">
        <f>'Inl. wetlands'!J165</f>
        <v>0</v>
      </c>
      <c r="CP46" s="4209"/>
      <c r="CQ46" s="2591"/>
      <c r="CT46" s="2591"/>
      <c r="CU46" s="2319" t="str">
        <f t="shared" ref="CU46:CU51" si="24">C46</f>
        <v>Please select</v>
      </c>
      <c r="CV46" s="2585">
        <f t="shared" ref="CV46:CV51" si="25">N46</f>
        <v>0</v>
      </c>
      <c r="CW46" s="2585">
        <f t="shared" ref="CW46:CW51" si="26">P46</f>
        <v>0</v>
      </c>
      <c r="CX46" s="2591"/>
      <c r="CY46" s="2591"/>
      <c r="CZ46" s="4105" t="s">
        <v>57</v>
      </c>
      <c r="DA46" s="2560"/>
      <c r="DB46" s="2129">
        <v>1</v>
      </c>
      <c r="DC46" s="4210">
        <v>0.01</v>
      </c>
      <c r="DD46" s="4171"/>
      <c r="DE46" s="2129">
        <v>1</v>
      </c>
      <c r="DF46" s="4210">
        <v>0.01</v>
      </c>
      <c r="DG46" s="2560"/>
      <c r="DH46" s="2585">
        <f>'Inl. wetlands'!O151</f>
        <v>362</v>
      </c>
      <c r="DI46" s="2129"/>
      <c r="DJ46" s="2585">
        <f>'Inl. wetlands'!Q151</f>
        <v>207</v>
      </c>
      <c r="DK46" s="2129"/>
      <c r="DL46" s="2585">
        <f>'Inl. wetlands'!S151</f>
        <v>9</v>
      </c>
      <c r="DM46" s="2129"/>
      <c r="DN46" s="2585">
        <f>'Inl. wetlands'!U151</f>
        <v>0</v>
      </c>
      <c r="DO46" s="2129"/>
      <c r="DP46" s="2591"/>
      <c r="DU46" s="2591"/>
      <c r="DV46" s="2591" t="str">
        <f t="shared" ref="DV46:DV51" si="27">AT47</f>
        <v>Please select</v>
      </c>
      <c r="DW46" s="2591"/>
      <c r="DX46" s="2612">
        <f>'Inl. wetlands'!H193</f>
        <v>0</v>
      </c>
      <c r="DY46" s="4205"/>
      <c r="DZ46" s="4155">
        <f>'Inl. wetlands'!J193</f>
        <v>0</v>
      </c>
      <c r="EA46" s="4205"/>
      <c r="EB46" s="4155">
        <f>'Inl. wetlands'!L193</f>
        <v>0</v>
      </c>
      <c r="EC46" s="4205"/>
      <c r="ED46" s="2591"/>
      <c r="EE46" s="4156">
        <f>'Inl. wetlands'!N193</f>
        <v>0</v>
      </c>
      <c r="EF46" s="4205"/>
      <c r="EG46" s="2591"/>
      <c r="EH46" s="2591"/>
    </row>
    <row r="47" spans="2:138" x14ac:dyDescent="0.2">
      <c r="B47" s="1838"/>
      <c r="C47" s="4191" t="s">
        <v>57</v>
      </c>
      <c r="D47" s="1838"/>
      <c r="E47" s="1838"/>
      <c r="F47" s="1838"/>
      <c r="G47" s="2129" t="s">
        <v>85</v>
      </c>
      <c r="H47" s="1838"/>
      <c r="I47" s="2129" t="s">
        <v>57</v>
      </c>
      <c r="J47" s="1838"/>
      <c r="K47" s="2129" t="s">
        <v>57</v>
      </c>
      <c r="L47" s="1838"/>
      <c r="M47" s="1960"/>
      <c r="N47" s="2128">
        <v>0</v>
      </c>
      <c r="O47" s="2104" t="s">
        <v>86</v>
      </c>
      <c r="P47" s="2128">
        <v>0</v>
      </c>
      <c r="Q47" s="2104" t="s">
        <v>86</v>
      </c>
      <c r="R47" s="4157"/>
      <c r="S47" s="1960"/>
      <c r="T47" s="1960"/>
      <c r="U47" s="1838"/>
      <c r="V47" s="1838"/>
      <c r="W47" s="1838"/>
      <c r="X47" s="4194" t="s">
        <v>1053</v>
      </c>
      <c r="Y47" s="1838"/>
      <c r="Z47" s="1838"/>
      <c r="AA47" s="1838"/>
      <c r="AB47" s="1838"/>
      <c r="AC47" s="1838"/>
      <c r="AD47" s="1960"/>
      <c r="AE47" s="2107">
        <f>'Inl. wetlands'!AI135</f>
        <v>0</v>
      </c>
      <c r="AF47" s="2107">
        <f>'Inl. wetlands'!AJ135</f>
        <v>0</v>
      </c>
      <c r="AG47" s="1806">
        <f t="shared" si="22"/>
        <v>0</v>
      </c>
      <c r="AH47" s="1960"/>
      <c r="AI47" s="1960"/>
      <c r="AS47" s="2591"/>
      <c r="AT47" s="2591" t="str">
        <f t="shared" ref="AT47:AT52" si="28">I46</f>
        <v>Please select</v>
      </c>
      <c r="AU47" s="2591"/>
      <c r="AV47" s="2591"/>
      <c r="AW47" s="2591"/>
      <c r="AX47" s="2591"/>
      <c r="AY47" s="2612">
        <f>'Inl. wetlands'!E134</f>
        <v>0</v>
      </c>
      <c r="AZ47" s="4206"/>
      <c r="BA47" s="2591"/>
      <c r="BB47" s="2591"/>
      <c r="BC47" s="2591"/>
      <c r="BD47" s="2591"/>
      <c r="BE47" s="2591"/>
      <c r="BF47" s="2591"/>
      <c r="BG47" s="2591"/>
      <c r="BH47" s="2591"/>
      <c r="BI47" s="2591"/>
      <c r="BJ47" s="2591"/>
      <c r="BK47" s="2591"/>
      <c r="BL47" s="2591"/>
      <c r="BM47" s="2591"/>
      <c r="BN47" s="2591"/>
      <c r="BO47" s="2591"/>
      <c r="BP47" s="2591"/>
      <c r="BR47" s="4363">
        <v>1</v>
      </c>
      <c r="BS47" s="4364"/>
      <c r="BT47" s="1996"/>
      <c r="CD47" s="2591"/>
      <c r="CE47" s="2319" t="str">
        <f t="shared" si="23"/>
        <v>Please select</v>
      </c>
      <c r="CF47" s="4156">
        <f>'Inl. wetlands'!B166</f>
        <v>0</v>
      </c>
      <c r="CG47" s="4209"/>
      <c r="CH47" s="4156">
        <f>'Inl. wetlands'!D166</f>
        <v>0</v>
      </c>
      <c r="CI47" s="4209"/>
      <c r="CJ47" s="4156">
        <f>'Inl. wetlands'!F166</f>
        <v>0</v>
      </c>
      <c r="CK47" s="4209"/>
      <c r="CL47" s="2591"/>
      <c r="CM47" s="4156">
        <f>'Inl. wetlands'!H166</f>
        <v>0</v>
      </c>
      <c r="CN47" s="4209"/>
      <c r="CO47" s="4156">
        <f>'Inl. wetlands'!J166</f>
        <v>0</v>
      </c>
      <c r="CP47" s="4209"/>
      <c r="CQ47" s="2591"/>
      <c r="CT47" s="2560"/>
      <c r="CU47" s="2319" t="str">
        <f t="shared" si="24"/>
        <v>Please select</v>
      </c>
      <c r="CV47" s="2585">
        <f t="shared" si="25"/>
        <v>0</v>
      </c>
      <c r="CW47" s="2585">
        <f t="shared" si="26"/>
        <v>0</v>
      </c>
      <c r="CX47" s="2560"/>
      <c r="CY47" s="2560"/>
      <c r="CZ47" s="4105" t="s">
        <v>57</v>
      </c>
      <c r="DA47" s="2560"/>
      <c r="DB47" s="2129">
        <v>1</v>
      </c>
      <c r="DC47" s="4210">
        <v>0.01</v>
      </c>
      <c r="DD47" s="4171"/>
      <c r="DE47" s="2129">
        <v>1</v>
      </c>
      <c r="DF47" s="4210">
        <v>0.01</v>
      </c>
      <c r="DG47" s="2560"/>
      <c r="DH47" s="2585">
        <f>'Inl. wetlands'!O152</f>
        <v>362</v>
      </c>
      <c r="DI47" s="2129"/>
      <c r="DJ47" s="2585">
        <f>'Inl. wetlands'!Q152</f>
        <v>207</v>
      </c>
      <c r="DK47" s="2129"/>
      <c r="DL47" s="2585">
        <f>'Inl. wetlands'!S152</f>
        <v>9</v>
      </c>
      <c r="DM47" s="2129"/>
      <c r="DN47" s="2585">
        <f>'Inl. wetlands'!U152</f>
        <v>0</v>
      </c>
      <c r="DO47" s="2129"/>
      <c r="DP47" s="2560"/>
      <c r="DU47" s="2591"/>
      <c r="DV47" s="2591" t="str">
        <f t="shared" si="27"/>
        <v>Please select</v>
      </c>
      <c r="DW47" s="2591"/>
      <c r="DX47" s="2612">
        <f>'Inl. wetlands'!H194</f>
        <v>0</v>
      </c>
      <c r="DY47" s="4205"/>
      <c r="DZ47" s="4155">
        <f>'Inl. wetlands'!J194</f>
        <v>0</v>
      </c>
      <c r="EA47" s="4205"/>
      <c r="EB47" s="4155">
        <f>'Inl. wetlands'!L194</f>
        <v>0</v>
      </c>
      <c r="EC47" s="4205"/>
      <c r="ED47" s="2591"/>
      <c r="EE47" s="4156">
        <f>'Inl. wetlands'!N194</f>
        <v>0</v>
      </c>
      <c r="EF47" s="4205"/>
      <c r="EG47" s="2591"/>
      <c r="EH47" s="2591"/>
    </row>
    <row r="48" spans="2:138" x14ac:dyDescent="0.2">
      <c r="B48" s="1838"/>
      <c r="C48" s="4191" t="s">
        <v>57</v>
      </c>
      <c r="D48" s="1838"/>
      <c r="E48" s="1838"/>
      <c r="F48" s="1838"/>
      <c r="G48" s="2129" t="s">
        <v>85</v>
      </c>
      <c r="H48" s="1838"/>
      <c r="I48" s="2129" t="s">
        <v>57</v>
      </c>
      <c r="J48" s="1838"/>
      <c r="K48" s="2129" t="s">
        <v>57</v>
      </c>
      <c r="L48" s="1838"/>
      <c r="M48" s="1960"/>
      <c r="N48" s="2128">
        <v>0</v>
      </c>
      <c r="O48" s="2104" t="s">
        <v>86</v>
      </c>
      <c r="P48" s="2128">
        <v>0</v>
      </c>
      <c r="Q48" s="2104" t="s">
        <v>86</v>
      </c>
      <c r="R48" s="4157"/>
      <c r="S48" s="1960"/>
      <c r="T48" s="1960"/>
      <c r="U48" s="1838"/>
      <c r="V48" s="1838"/>
      <c r="W48" s="1838"/>
      <c r="X48" s="4194" t="s">
        <v>1053</v>
      </c>
      <c r="Y48" s="1838"/>
      <c r="Z48" s="1838"/>
      <c r="AA48" s="1838"/>
      <c r="AB48" s="1838"/>
      <c r="AC48" s="1838"/>
      <c r="AD48" s="1960"/>
      <c r="AE48" s="2107">
        <f>'Inl. wetlands'!AI136</f>
        <v>0</v>
      </c>
      <c r="AF48" s="2107">
        <f>'Inl. wetlands'!AJ136</f>
        <v>0</v>
      </c>
      <c r="AG48" s="1806">
        <f t="shared" si="22"/>
        <v>0</v>
      </c>
      <c r="AH48" s="1960"/>
      <c r="AI48" s="1960"/>
      <c r="AS48" s="2591"/>
      <c r="AT48" s="2591" t="str">
        <f t="shared" si="28"/>
        <v>Please select</v>
      </c>
      <c r="AU48" s="2591"/>
      <c r="AV48" s="2591"/>
      <c r="AW48" s="2591"/>
      <c r="AX48" s="2591"/>
      <c r="AY48" s="2612">
        <f>'Inl. wetlands'!E135</f>
        <v>0</v>
      </c>
      <c r="AZ48" s="4206"/>
      <c r="BA48" s="2591"/>
      <c r="BB48" s="2591"/>
      <c r="BC48" s="2591"/>
      <c r="BD48" s="2591"/>
      <c r="BE48" s="2591"/>
      <c r="BF48" s="2591"/>
      <c r="BG48" s="2591"/>
      <c r="BH48" s="2591"/>
      <c r="BI48" s="2591"/>
      <c r="BJ48" s="2591"/>
      <c r="BK48" s="2591"/>
      <c r="BL48" s="2591"/>
      <c r="BM48" s="2591"/>
      <c r="BN48" s="2591"/>
      <c r="BO48" s="2591"/>
      <c r="BP48" s="2591"/>
      <c r="BR48" s="4363">
        <v>1</v>
      </c>
      <c r="BS48" s="4364"/>
      <c r="BT48" s="1996"/>
      <c r="CD48" s="2591"/>
      <c r="CE48" s="2319" t="str">
        <f t="shared" si="23"/>
        <v>Please select</v>
      </c>
      <c r="CF48" s="4156">
        <f>'Inl. wetlands'!B167</f>
        <v>0</v>
      </c>
      <c r="CG48" s="4209"/>
      <c r="CH48" s="4156">
        <f>'Inl. wetlands'!D167</f>
        <v>0</v>
      </c>
      <c r="CI48" s="4209"/>
      <c r="CJ48" s="4156">
        <f>'Inl. wetlands'!F167</f>
        <v>0</v>
      </c>
      <c r="CK48" s="4209"/>
      <c r="CL48" s="2591"/>
      <c r="CM48" s="4156">
        <f>'Inl. wetlands'!H167</f>
        <v>0</v>
      </c>
      <c r="CN48" s="4209"/>
      <c r="CO48" s="4156">
        <f>'Inl. wetlands'!J167</f>
        <v>0</v>
      </c>
      <c r="CP48" s="4209"/>
      <c r="CQ48" s="2591"/>
      <c r="CT48" s="2560"/>
      <c r="CU48" s="2319" t="str">
        <f t="shared" si="24"/>
        <v>Please select</v>
      </c>
      <c r="CV48" s="2585">
        <f t="shared" si="25"/>
        <v>0</v>
      </c>
      <c r="CW48" s="2585">
        <f t="shared" si="26"/>
        <v>0</v>
      </c>
      <c r="CX48" s="2560"/>
      <c r="CY48" s="2560"/>
      <c r="CZ48" s="4105" t="s">
        <v>57</v>
      </c>
      <c r="DA48" s="2560"/>
      <c r="DB48" s="2129">
        <v>1</v>
      </c>
      <c r="DC48" s="4210">
        <v>0.01</v>
      </c>
      <c r="DD48" s="4171"/>
      <c r="DE48" s="2129">
        <v>1</v>
      </c>
      <c r="DF48" s="4210">
        <v>0.01</v>
      </c>
      <c r="DG48" s="2560"/>
      <c r="DH48" s="2585">
        <f>'Inl. wetlands'!O153</f>
        <v>362</v>
      </c>
      <c r="DI48" s="2129"/>
      <c r="DJ48" s="2585">
        <f>'Inl. wetlands'!Q153</f>
        <v>207</v>
      </c>
      <c r="DK48" s="2129"/>
      <c r="DL48" s="2585">
        <f>'Inl. wetlands'!S153</f>
        <v>9</v>
      </c>
      <c r="DM48" s="2129"/>
      <c r="DN48" s="2585">
        <f>'Inl. wetlands'!U153</f>
        <v>0</v>
      </c>
      <c r="DO48" s="2129"/>
      <c r="DP48" s="2560"/>
      <c r="DU48" s="2591"/>
      <c r="DV48" s="2591" t="str">
        <f t="shared" si="27"/>
        <v>Please select</v>
      </c>
      <c r="DW48" s="2591"/>
      <c r="DX48" s="2612">
        <f>'Inl. wetlands'!H195</f>
        <v>0</v>
      </c>
      <c r="DY48" s="4205"/>
      <c r="DZ48" s="4155">
        <f>'Inl. wetlands'!J195</f>
        <v>0</v>
      </c>
      <c r="EA48" s="4205"/>
      <c r="EB48" s="4155">
        <f>'Inl. wetlands'!L195</f>
        <v>0</v>
      </c>
      <c r="EC48" s="4205"/>
      <c r="ED48" s="2591"/>
      <c r="EE48" s="4156">
        <f>'Inl. wetlands'!N195</f>
        <v>0</v>
      </c>
      <c r="EF48" s="4205"/>
      <c r="EG48" s="2591"/>
      <c r="EH48" s="2591"/>
    </row>
    <row r="49" spans="2:138" x14ac:dyDescent="0.2">
      <c r="B49" s="1838"/>
      <c r="C49" s="4191" t="s">
        <v>57</v>
      </c>
      <c r="D49" s="1838"/>
      <c r="E49" s="1838"/>
      <c r="F49" s="1838"/>
      <c r="G49" s="2129" t="s">
        <v>85</v>
      </c>
      <c r="H49" s="1838"/>
      <c r="I49" s="2129" t="s">
        <v>57</v>
      </c>
      <c r="J49" s="1838"/>
      <c r="K49" s="2129" t="s">
        <v>57</v>
      </c>
      <c r="L49" s="1838"/>
      <c r="M49" s="1960"/>
      <c r="N49" s="2128">
        <v>0</v>
      </c>
      <c r="O49" s="2104" t="s">
        <v>86</v>
      </c>
      <c r="P49" s="2128">
        <v>0</v>
      </c>
      <c r="Q49" s="2104" t="s">
        <v>86</v>
      </c>
      <c r="R49" s="4157"/>
      <c r="S49" s="1960"/>
      <c r="T49" s="1960"/>
      <c r="U49" s="1838"/>
      <c r="V49" s="1838"/>
      <c r="W49" s="1838"/>
      <c r="X49" s="4194" t="s">
        <v>1053</v>
      </c>
      <c r="Y49" s="1838"/>
      <c r="Z49" s="1838"/>
      <c r="AA49" s="1838"/>
      <c r="AB49" s="1838"/>
      <c r="AC49" s="1838"/>
      <c r="AD49" s="1960"/>
      <c r="AE49" s="2107">
        <f>'Inl. wetlands'!AI137</f>
        <v>0</v>
      </c>
      <c r="AF49" s="2107">
        <f>'Inl. wetlands'!AJ137</f>
        <v>0</v>
      </c>
      <c r="AG49" s="1806">
        <f t="shared" si="22"/>
        <v>0</v>
      </c>
      <c r="AH49" s="1960"/>
      <c r="AI49" s="1960"/>
      <c r="AS49" s="2591"/>
      <c r="AT49" s="2591" t="str">
        <f t="shared" si="28"/>
        <v>Please select</v>
      </c>
      <c r="AU49" s="2591"/>
      <c r="AV49" s="2591"/>
      <c r="AW49" s="2591"/>
      <c r="AX49" s="2591"/>
      <c r="AY49" s="2612">
        <f>'Inl. wetlands'!E136</f>
        <v>0</v>
      </c>
      <c r="AZ49" s="4206"/>
      <c r="BA49" s="2591"/>
      <c r="BB49" s="2591"/>
      <c r="BC49" s="2591"/>
      <c r="BD49" s="2591"/>
      <c r="BE49" s="2591"/>
      <c r="BF49" s="2591"/>
      <c r="BG49" s="2591"/>
      <c r="BH49" s="2591"/>
      <c r="BI49" s="2591"/>
      <c r="BJ49" s="2591"/>
      <c r="BK49" s="2591"/>
      <c r="BL49" s="2591"/>
      <c r="BM49" s="2591"/>
      <c r="BN49" s="2591"/>
      <c r="BO49" s="2591"/>
      <c r="BP49" s="2591"/>
      <c r="BR49" s="4363">
        <v>1</v>
      </c>
      <c r="BS49" s="4364"/>
      <c r="BT49" s="1996"/>
      <c r="CD49" s="2591"/>
      <c r="CE49" s="2319" t="str">
        <f t="shared" si="23"/>
        <v>Please select</v>
      </c>
      <c r="CF49" s="4156">
        <f>'Inl. wetlands'!B168</f>
        <v>0</v>
      </c>
      <c r="CG49" s="4209"/>
      <c r="CH49" s="4156">
        <f>'Inl. wetlands'!D168</f>
        <v>0</v>
      </c>
      <c r="CI49" s="4209"/>
      <c r="CJ49" s="4156">
        <f>'Inl. wetlands'!F168</f>
        <v>0</v>
      </c>
      <c r="CK49" s="4209"/>
      <c r="CL49" s="2591"/>
      <c r="CM49" s="4156">
        <f>'Inl. wetlands'!H168</f>
        <v>0</v>
      </c>
      <c r="CN49" s="4209"/>
      <c r="CO49" s="4156">
        <f>'Inl. wetlands'!J168</f>
        <v>0</v>
      </c>
      <c r="CP49" s="4209"/>
      <c r="CQ49" s="2591"/>
      <c r="CT49" s="2560"/>
      <c r="CU49" s="2319" t="str">
        <f t="shared" si="24"/>
        <v>Please select</v>
      </c>
      <c r="CV49" s="2585">
        <f t="shared" si="25"/>
        <v>0</v>
      </c>
      <c r="CW49" s="2585">
        <f t="shared" si="26"/>
        <v>0</v>
      </c>
      <c r="CX49" s="2560"/>
      <c r="CY49" s="2560"/>
      <c r="CZ49" s="4105" t="s">
        <v>57</v>
      </c>
      <c r="DA49" s="2560"/>
      <c r="DB49" s="2129">
        <v>1</v>
      </c>
      <c r="DC49" s="4210">
        <v>0.01</v>
      </c>
      <c r="DD49" s="4171"/>
      <c r="DE49" s="2129">
        <v>1</v>
      </c>
      <c r="DF49" s="4210">
        <v>0.01</v>
      </c>
      <c r="DG49" s="2560"/>
      <c r="DH49" s="2585">
        <f>'Inl. wetlands'!O154</f>
        <v>362</v>
      </c>
      <c r="DI49" s="2129"/>
      <c r="DJ49" s="2585">
        <f>'Inl. wetlands'!Q154</f>
        <v>207</v>
      </c>
      <c r="DK49" s="2129"/>
      <c r="DL49" s="2585">
        <f>'Inl. wetlands'!S154</f>
        <v>9</v>
      </c>
      <c r="DM49" s="2129"/>
      <c r="DN49" s="2585">
        <f>'Inl. wetlands'!U154</f>
        <v>0</v>
      </c>
      <c r="DO49" s="2129"/>
      <c r="DP49" s="2560"/>
      <c r="DU49" s="2591"/>
      <c r="DV49" s="2591" t="str">
        <f t="shared" si="27"/>
        <v>Please select</v>
      </c>
      <c r="DW49" s="2591"/>
      <c r="DX49" s="2612">
        <f>'Inl. wetlands'!H196</f>
        <v>0</v>
      </c>
      <c r="DY49" s="4205"/>
      <c r="DZ49" s="4155">
        <f>'Inl. wetlands'!J196</f>
        <v>0</v>
      </c>
      <c r="EA49" s="4205"/>
      <c r="EB49" s="4155">
        <f>'Inl. wetlands'!L196</f>
        <v>0</v>
      </c>
      <c r="EC49" s="4205"/>
      <c r="ED49" s="2591"/>
      <c r="EE49" s="4156">
        <f>'Inl. wetlands'!N196</f>
        <v>0</v>
      </c>
      <c r="EF49" s="4205"/>
      <c r="EG49" s="2591"/>
      <c r="EH49" s="2591"/>
    </row>
    <row r="50" spans="2:138" x14ac:dyDescent="0.2">
      <c r="B50" s="1838"/>
      <c r="C50" s="4191" t="s">
        <v>57</v>
      </c>
      <c r="D50" s="1838"/>
      <c r="E50" s="1838"/>
      <c r="F50" s="1838"/>
      <c r="G50" s="2129" t="s">
        <v>85</v>
      </c>
      <c r="H50" s="1838"/>
      <c r="I50" s="2129" t="s">
        <v>57</v>
      </c>
      <c r="J50" s="1838"/>
      <c r="K50" s="2129" t="s">
        <v>57</v>
      </c>
      <c r="L50" s="1838"/>
      <c r="M50" s="1960"/>
      <c r="N50" s="2128">
        <v>0</v>
      </c>
      <c r="O50" s="2104" t="s">
        <v>86</v>
      </c>
      <c r="P50" s="2128">
        <v>0</v>
      </c>
      <c r="Q50" s="2104" t="s">
        <v>86</v>
      </c>
      <c r="R50" s="4157"/>
      <c r="S50" s="1960"/>
      <c r="T50" s="1960"/>
      <c r="U50" s="1838"/>
      <c r="V50" s="1838"/>
      <c r="W50" s="1838"/>
      <c r="X50" s="4194" t="s">
        <v>1053</v>
      </c>
      <c r="Y50" s="1838"/>
      <c r="Z50" s="1838"/>
      <c r="AA50" s="1838"/>
      <c r="AB50" s="1838"/>
      <c r="AC50" s="1838"/>
      <c r="AD50" s="1960"/>
      <c r="AE50" s="2107">
        <f>'Inl. wetlands'!AI138</f>
        <v>0</v>
      </c>
      <c r="AF50" s="2107">
        <f>'Inl. wetlands'!AJ138</f>
        <v>0</v>
      </c>
      <c r="AG50" s="1806">
        <f t="shared" si="22"/>
        <v>0</v>
      </c>
      <c r="AH50" s="1960"/>
      <c r="AI50" s="1960"/>
      <c r="AS50" s="2591"/>
      <c r="AT50" s="2591" t="str">
        <f t="shared" si="28"/>
        <v>Please select</v>
      </c>
      <c r="AU50" s="2591"/>
      <c r="AV50" s="2591"/>
      <c r="AW50" s="2591"/>
      <c r="AX50" s="2591"/>
      <c r="AY50" s="2612">
        <f>'Inl. wetlands'!E137</f>
        <v>0</v>
      </c>
      <c r="AZ50" s="4206"/>
      <c r="BA50" s="2591"/>
      <c r="BB50" s="2591"/>
      <c r="BC50" s="2591"/>
      <c r="BD50" s="2591"/>
      <c r="BE50" s="2591"/>
      <c r="BF50" s="2591"/>
      <c r="BG50" s="2591"/>
      <c r="BH50" s="2591"/>
      <c r="BI50" s="2591"/>
      <c r="BJ50" s="2591"/>
      <c r="BK50" s="2591"/>
      <c r="BL50" s="2591"/>
      <c r="BM50" s="2591"/>
      <c r="BN50" s="2591"/>
      <c r="BO50" s="2591"/>
      <c r="BP50" s="2591"/>
      <c r="BR50" s="4363">
        <v>1</v>
      </c>
      <c r="BS50" s="4364"/>
      <c r="BT50" s="1996"/>
      <c r="CD50" s="2591"/>
      <c r="CE50" s="2319" t="str">
        <f t="shared" si="23"/>
        <v>Please select</v>
      </c>
      <c r="CF50" s="4156">
        <f>'Inl. wetlands'!B169</f>
        <v>0</v>
      </c>
      <c r="CG50" s="4209"/>
      <c r="CH50" s="4156">
        <f>'Inl. wetlands'!D169</f>
        <v>0</v>
      </c>
      <c r="CI50" s="4209"/>
      <c r="CJ50" s="4156">
        <f>'Inl. wetlands'!F169</f>
        <v>0</v>
      </c>
      <c r="CK50" s="4209"/>
      <c r="CL50" s="2591"/>
      <c r="CM50" s="4156">
        <f>'Inl. wetlands'!H169</f>
        <v>0</v>
      </c>
      <c r="CN50" s="4209"/>
      <c r="CO50" s="4156">
        <f>'Inl. wetlands'!J169</f>
        <v>0</v>
      </c>
      <c r="CP50" s="4209"/>
      <c r="CQ50" s="2591"/>
      <c r="CT50" s="2560"/>
      <c r="CU50" s="2319" t="str">
        <f t="shared" si="24"/>
        <v>Please select</v>
      </c>
      <c r="CV50" s="2585">
        <f t="shared" si="25"/>
        <v>0</v>
      </c>
      <c r="CW50" s="2585">
        <f t="shared" si="26"/>
        <v>0</v>
      </c>
      <c r="CX50" s="2560"/>
      <c r="CY50" s="2560"/>
      <c r="CZ50" s="4105" t="s">
        <v>57</v>
      </c>
      <c r="DA50" s="2560"/>
      <c r="DB50" s="2129">
        <v>1</v>
      </c>
      <c r="DC50" s="4210">
        <v>0.01</v>
      </c>
      <c r="DD50" s="4171"/>
      <c r="DE50" s="2129">
        <v>1</v>
      </c>
      <c r="DF50" s="4210">
        <v>0.01</v>
      </c>
      <c r="DG50" s="2560"/>
      <c r="DH50" s="2585">
        <f>'Inl. wetlands'!O155</f>
        <v>362</v>
      </c>
      <c r="DI50" s="2129"/>
      <c r="DJ50" s="2585">
        <f>'Inl. wetlands'!Q155</f>
        <v>207</v>
      </c>
      <c r="DK50" s="2129"/>
      <c r="DL50" s="2585">
        <f>'Inl. wetlands'!S155</f>
        <v>9</v>
      </c>
      <c r="DM50" s="2129"/>
      <c r="DN50" s="2585">
        <f>'Inl. wetlands'!U155</f>
        <v>0</v>
      </c>
      <c r="DO50" s="2129"/>
      <c r="DP50" s="2560"/>
      <c r="DU50" s="2591"/>
      <c r="DV50" s="2591" t="str">
        <f t="shared" si="27"/>
        <v>Please select</v>
      </c>
      <c r="DW50" s="2591"/>
      <c r="DX50" s="2612">
        <f>'Inl. wetlands'!H197</f>
        <v>0</v>
      </c>
      <c r="DY50" s="4205"/>
      <c r="DZ50" s="4155">
        <f>'Inl. wetlands'!J197</f>
        <v>0</v>
      </c>
      <c r="EA50" s="4205"/>
      <c r="EB50" s="4155">
        <f>'Inl. wetlands'!L197</f>
        <v>0</v>
      </c>
      <c r="EC50" s="4205"/>
      <c r="ED50" s="2591"/>
      <c r="EE50" s="4156">
        <f>'Inl. wetlands'!N197</f>
        <v>0</v>
      </c>
      <c r="EF50" s="4205"/>
      <c r="EG50" s="2591"/>
      <c r="EH50" s="2591"/>
    </row>
    <row r="51" spans="2:138" x14ac:dyDescent="0.2">
      <c r="B51" s="1838"/>
      <c r="C51" s="4191" t="s">
        <v>57</v>
      </c>
      <c r="D51" s="1838"/>
      <c r="E51" s="1838"/>
      <c r="F51" s="1838"/>
      <c r="G51" s="2129" t="s">
        <v>85</v>
      </c>
      <c r="H51" s="1838"/>
      <c r="I51" s="2129" t="s">
        <v>57</v>
      </c>
      <c r="J51" s="1838"/>
      <c r="K51" s="2129" t="s">
        <v>57</v>
      </c>
      <c r="L51" s="1838"/>
      <c r="M51" s="1960"/>
      <c r="N51" s="2128">
        <v>0</v>
      </c>
      <c r="O51" s="2104" t="s">
        <v>86</v>
      </c>
      <c r="P51" s="2128">
        <v>0</v>
      </c>
      <c r="Q51" s="2104" t="s">
        <v>86</v>
      </c>
      <c r="R51" s="4157"/>
      <c r="S51" s="1960"/>
      <c r="T51" s="1960"/>
      <c r="U51" s="1838"/>
      <c r="V51" s="1838"/>
      <c r="W51" s="1838"/>
      <c r="X51" s="4194" t="s">
        <v>1053</v>
      </c>
      <c r="Y51" s="1838"/>
      <c r="Z51" s="1838"/>
      <c r="AA51" s="1838"/>
      <c r="AB51" s="1838"/>
      <c r="AC51" s="1838"/>
      <c r="AD51" s="1960"/>
      <c r="AE51" s="2107">
        <f>'Inl. wetlands'!AI139</f>
        <v>0</v>
      </c>
      <c r="AF51" s="2107">
        <f>'Inl. wetlands'!AJ139</f>
        <v>0</v>
      </c>
      <c r="AG51" s="1806">
        <f t="shared" si="22"/>
        <v>0</v>
      </c>
      <c r="AH51" s="1960"/>
      <c r="AI51" s="1960"/>
      <c r="AS51" s="2591"/>
      <c r="AT51" s="2591" t="str">
        <f t="shared" si="28"/>
        <v>Please select</v>
      </c>
      <c r="AU51" s="2591"/>
      <c r="AV51" s="2591"/>
      <c r="AW51" s="2591"/>
      <c r="AX51" s="2591"/>
      <c r="AY51" s="2612">
        <f>'Inl. wetlands'!E138</f>
        <v>0</v>
      </c>
      <c r="AZ51" s="4206"/>
      <c r="BA51" s="2591"/>
      <c r="BB51" s="2591"/>
      <c r="BC51" s="2591"/>
      <c r="BD51" s="2591"/>
      <c r="BE51" s="2591"/>
      <c r="BF51" s="2591"/>
      <c r="BG51" s="2591"/>
      <c r="BH51" s="2591"/>
      <c r="BI51" s="2591"/>
      <c r="BJ51" s="2591"/>
      <c r="BK51" s="2591"/>
      <c r="BL51" s="2591"/>
      <c r="BM51" s="2591"/>
      <c r="BN51" s="2591"/>
      <c r="BO51" s="2591"/>
      <c r="BP51" s="2591"/>
      <c r="BR51" s="4363">
        <v>1</v>
      </c>
      <c r="BS51" s="4364"/>
      <c r="BT51" s="1996"/>
      <c r="CD51" s="2591"/>
      <c r="CE51" s="2319" t="str">
        <f t="shared" si="23"/>
        <v>Please select</v>
      </c>
      <c r="CF51" s="4156">
        <f>'Inl. wetlands'!B170</f>
        <v>0</v>
      </c>
      <c r="CG51" s="4209"/>
      <c r="CH51" s="4156">
        <f>'Inl. wetlands'!D170</f>
        <v>0</v>
      </c>
      <c r="CI51" s="4209"/>
      <c r="CJ51" s="4156">
        <f>'Inl. wetlands'!F170</f>
        <v>0</v>
      </c>
      <c r="CK51" s="4209"/>
      <c r="CL51" s="2591"/>
      <c r="CM51" s="4156">
        <f>'Inl. wetlands'!H170</f>
        <v>0</v>
      </c>
      <c r="CN51" s="4209"/>
      <c r="CO51" s="4156">
        <f>'Inl. wetlands'!J170</f>
        <v>0</v>
      </c>
      <c r="CP51" s="4209"/>
      <c r="CQ51" s="2591"/>
      <c r="CT51" s="2560"/>
      <c r="CU51" s="2319" t="str">
        <f t="shared" si="24"/>
        <v>Please select</v>
      </c>
      <c r="CV51" s="2585">
        <f t="shared" si="25"/>
        <v>0</v>
      </c>
      <c r="CW51" s="2585">
        <f t="shared" si="26"/>
        <v>0</v>
      </c>
      <c r="CX51" s="2560"/>
      <c r="CY51" s="2560"/>
      <c r="CZ51" s="4105" t="s">
        <v>57</v>
      </c>
      <c r="DA51" s="2560"/>
      <c r="DB51" s="2129">
        <v>1</v>
      </c>
      <c r="DC51" s="4210">
        <v>0.01</v>
      </c>
      <c r="DD51" s="4171"/>
      <c r="DE51" s="2129">
        <v>1</v>
      </c>
      <c r="DF51" s="4210">
        <v>0.01</v>
      </c>
      <c r="DG51" s="2560"/>
      <c r="DH51" s="2585">
        <f>'Inl. wetlands'!O156</f>
        <v>362</v>
      </c>
      <c r="DI51" s="2129"/>
      <c r="DJ51" s="2585">
        <f>'Inl. wetlands'!Q156</f>
        <v>207</v>
      </c>
      <c r="DK51" s="2129"/>
      <c r="DL51" s="2585">
        <f>'Inl. wetlands'!S156</f>
        <v>9</v>
      </c>
      <c r="DM51" s="2129"/>
      <c r="DN51" s="2585">
        <f>'Inl. wetlands'!U156</f>
        <v>0</v>
      </c>
      <c r="DO51" s="2129"/>
      <c r="DP51" s="2560"/>
      <c r="DU51" s="2591"/>
      <c r="DV51" s="2591" t="str">
        <f t="shared" si="27"/>
        <v>Please select</v>
      </c>
      <c r="DW51" s="2591"/>
      <c r="DX51" s="2612">
        <f>'Inl. wetlands'!H198</f>
        <v>0</v>
      </c>
      <c r="DY51" s="4205"/>
      <c r="DZ51" s="4155">
        <f>'Inl. wetlands'!J198</f>
        <v>0</v>
      </c>
      <c r="EA51" s="4205"/>
      <c r="EB51" s="4155">
        <f>'Inl. wetlands'!L198</f>
        <v>0</v>
      </c>
      <c r="EC51" s="4205"/>
      <c r="ED51" s="2591"/>
      <c r="EE51" s="4156">
        <f>'Inl. wetlands'!N198</f>
        <v>0</v>
      </c>
      <c r="EF51" s="4205"/>
      <c r="EG51" s="2591"/>
      <c r="EH51" s="2591"/>
    </row>
    <row r="52" spans="2:138" x14ac:dyDescent="0.2">
      <c r="B52" s="1838"/>
      <c r="C52" s="1838"/>
      <c r="D52" s="1838"/>
      <c r="E52" s="1838"/>
      <c r="F52" s="1838"/>
      <c r="G52" s="1838"/>
      <c r="H52" s="1838"/>
      <c r="I52" s="4338" t="str" cm="1">
        <f t="array" ref="I52">IF(OR(I46:I51="Degraded land",I46:I51="Other land (non-vegetated)"),"There are no EFs for water table management practices on degraded or other land. Please use tier 2 to account for GHG fluxes", "")</f>
        <v/>
      </c>
      <c r="J52" s="1838"/>
      <c r="K52" s="1838"/>
      <c r="L52" s="1838"/>
      <c r="M52" s="1960"/>
      <c r="N52" s="1960"/>
      <c r="O52" s="1960"/>
      <c r="P52" s="1838"/>
      <c r="Q52" s="1838"/>
      <c r="R52" s="1838"/>
      <c r="S52" s="1838"/>
      <c r="T52" s="1838"/>
      <c r="U52" s="1838"/>
      <c r="V52" s="1838"/>
      <c r="W52" s="1838"/>
      <c r="X52" s="1838"/>
      <c r="Y52" s="4158"/>
      <c r="Z52" s="1838"/>
      <c r="AA52" s="1838"/>
      <c r="AB52" s="4271"/>
      <c r="AC52" s="4271"/>
      <c r="AD52" s="1960"/>
      <c r="AE52" s="1838"/>
      <c r="AF52" s="1838"/>
      <c r="AG52" s="1838"/>
      <c r="AH52" s="1838"/>
      <c r="AI52" s="1838"/>
      <c r="AS52" s="2591"/>
      <c r="AT52" s="2591" t="str">
        <f t="shared" si="28"/>
        <v>Please select</v>
      </c>
      <c r="AU52" s="2591"/>
      <c r="AV52" s="2591"/>
      <c r="AW52" s="2591"/>
      <c r="AX52" s="2591"/>
      <c r="AY52" s="2612">
        <f>'Inl. wetlands'!E139</f>
        <v>0</v>
      </c>
      <c r="AZ52" s="4206"/>
      <c r="BA52" s="2591"/>
      <c r="BB52" s="2591"/>
      <c r="BC52" s="2591"/>
      <c r="BD52" s="2591"/>
      <c r="BE52" s="2591"/>
      <c r="BF52" s="2591"/>
      <c r="BG52" s="2591"/>
      <c r="BH52" s="2591"/>
      <c r="BI52" s="2591"/>
      <c r="BJ52" s="2591"/>
      <c r="BK52" s="2591"/>
      <c r="BL52" s="2591"/>
      <c r="BM52" s="2591"/>
      <c r="BN52" s="2591"/>
      <c r="BO52" s="2591"/>
      <c r="BP52" s="2591"/>
      <c r="BR52" s="4363">
        <v>1</v>
      </c>
      <c r="BS52" s="4364"/>
      <c r="BT52" s="1996"/>
      <c r="CD52" s="2591"/>
      <c r="CE52" s="2591"/>
      <c r="CF52" s="2591"/>
      <c r="CG52" s="2591"/>
      <c r="CH52" s="2591"/>
      <c r="CI52" s="2591"/>
      <c r="CJ52" s="2591"/>
      <c r="CK52" s="2591"/>
      <c r="CL52" s="2591"/>
      <c r="CM52" s="2591"/>
      <c r="CN52" s="2591"/>
      <c r="CO52" s="2591"/>
      <c r="CP52" s="2591"/>
      <c r="CQ52" s="2591"/>
      <c r="CT52" s="2560"/>
      <c r="CU52" s="2591"/>
      <c r="CV52" s="2591"/>
      <c r="CW52" s="2591"/>
      <c r="CX52" s="2560"/>
      <c r="CY52" s="2560"/>
      <c r="CZ52" s="2591"/>
      <c r="DA52" s="2591"/>
      <c r="DB52" s="2591"/>
      <c r="DC52" s="2591"/>
      <c r="DD52" s="2591"/>
      <c r="DE52" s="2591"/>
      <c r="DF52" s="2591"/>
      <c r="DG52" s="2591"/>
      <c r="DH52" s="2591"/>
      <c r="DI52" s="2591"/>
      <c r="DJ52" s="2591"/>
      <c r="DK52" s="2591"/>
      <c r="DL52" s="2591"/>
      <c r="DM52" s="2591"/>
      <c r="DN52" s="2591"/>
      <c r="DO52" s="2591"/>
      <c r="DP52" s="2560"/>
      <c r="DU52" s="2591"/>
      <c r="DV52" s="2591"/>
      <c r="DW52" s="2591"/>
      <c r="DX52" s="2591"/>
      <c r="DY52" s="2591"/>
      <c r="DZ52" s="2591"/>
      <c r="EA52" s="2591"/>
      <c r="EB52" s="2591"/>
      <c r="EC52" s="2591"/>
      <c r="ED52" s="2591"/>
      <c r="EE52" s="2591"/>
      <c r="EF52" s="2591"/>
      <c r="EG52" s="2591"/>
      <c r="EH52" s="2591"/>
    </row>
    <row r="53" spans="2:138" x14ac:dyDescent="0.2">
      <c r="B53" s="1838"/>
      <c r="C53" s="1838"/>
      <c r="D53" s="1838"/>
      <c r="E53" s="1838"/>
      <c r="F53" s="1838"/>
      <c r="G53" s="1838"/>
      <c r="H53" s="1838"/>
      <c r="I53" s="1838"/>
      <c r="J53" s="1838"/>
      <c r="K53" s="1838"/>
      <c r="L53" s="1838"/>
      <c r="M53" s="1960"/>
      <c r="N53" s="1960"/>
      <c r="O53" s="1960"/>
      <c r="P53" s="1838"/>
      <c r="Q53" s="1838"/>
      <c r="R53" s="1838"/>
      <c r="S53" s="1838"/>
      <c r="T53" s="1838"/>
      <c r="U53" s="1838"/>
      <c r="V53" s="1838"/>
      <c r="W53" s="1838"/>
      <c r="X53" s="1838"/>
      <c r="Y53" s="4158"/>
      <c r="Z53" s="1838"/>
      <c r="AA53" s="1838"/>
      <c r="AB53" s="4271"/>
      <c r="AC53" s="4271"/>
      <c r="AD53" s="1960"/>
      <c r="AE53" s="1838"/>
      <c r="AF53" s="1838"/>
      <c r="AG53" s="1838"/>
      <c r="AH53" s="1838"/>
      <c r="AI53" s="1838"/>
      <c r="AS53" s="2591"/>
      <c r="AT53" s="2591"/>
      <c r="AU53" s="2591"/>
      <c r="AV53" s="2591"/>
      <c r="AW53" s="2591"/>
      <c r="AX53" s="2591"/>
      <c r="AY53" s="2591"/>
      <c r="AZ53" s="2591"/>
      <c r="BA53" s="2591"/>
      <c r="BB53" s="2591"/>
      <c r="BC53" s="2591"/>
      <c r="BD53" s="2591"/>
      <c r="BE53" s="2591"/>
      <c r="BF53" s="2591"/>
      <c r="BG53" s="2591"/>
      <c r="BH53" s="2591"/>
      <c r="BI53" s="2591"/>
      <c r="BJ53" s="2591"/>
      <c r="BK53" s="2591"/>
      <c r="BL53" s="2591"/>
      <c r="BM53" s="2591"/>
      <c r="BN53" s="2591"/>
      <c r="BO53" s="2591"/>
      <c r="BP53" s="2591"/>
      <c r="BR53" s="1996"/>
      <c r="BS53" s="1996"/>
      <c r="BT53" s="1996"/>
      <c r="CD53" s="4165" t="str">
        <f>CD20</f>
        <v>Please indicate the dominant quality of peat, this can influence the emission factors above:</v>
      </c>
      <c r="CE53" s="2591"/>
      <c r="CF53" s="2591"/>
      <c r="CG53" s="2591"/>
      <c r="CH53" s="2591"/>
      <c r="CI53" s="2591"/>
      <c r="CJ53" s="2591"/>
      <c r="CK53" s="4205" t="s">
        <v>1055</v>
      </c>
      <c r="CL53" s="4205"/>
      <c r="CM53" s="4205"/>
      <c r="CN53" s="2591"/>
      <c r="CO53" s="2591"/>
      <c r="CP53" s="2591"/>
      <c r="CQ53" s="2591"/>
      <c r="CT53" s="2560"/>
      <c r="CU53" s="2591"/>
      <c r="CV53" s="2591"/>
      <c r="CW53" s="2591"/>
      <c r="CX53" s="2560"/>
      <c r="CY53" s="2560"/>
      <c r="CZ53" s="2591"/>
      <c r="DA53" s="2591"/>
      <c r="DB53" s="2591"/>
      <c r="DC53" s="2591"/>
      <c r="DD53" s="2591"/>
      <c r="DE53" s="2591"/>
      <c r="DF53" s="2591"/>
      <c r="DG53" s="2591"/>
      <c r="DH53" s="2591"/>
      <c r="DI53" s="2591"/>
      <c r="DJ53" s="2591"/>
      <c r="DK53" s="2591"/>
      <c r="DL53" s="2591"/>
      <c r="DM53" s="2591"/>
      <c r="DN53" s="2591"/>
      <c r="DO53" s="2591"/>
      <c r="DP53" s="2560"/>
      <c r="DU53" s="2591"/>
      <c r="DV53" s="2591"/>
      <c r="DW53" s="2591"/>
      <c r="DX53" s="2591"/>
      <c r="DY53" s="2591"/>
      <c r="DZ53" s="2591"/>
      <c r="EA53" s="2591"/>
      <c r="EB53" s="2591"/>
      <c r="EC53" s="2591"/>
      <c r="ED53" s="2591"/>
      <c r="EE53" s="2591"/>
      <c r="EF53" s="4161" t="str">
        <f>CK53</f>
        <v>Nutrient poor</v>
      </c>
      <c r="EG53" s="4145" t="s">
        <v>1054</v>
      </c>
      <c r="EH53" s="2591"/>
    </row>
    <row r="54" spans="2:138" ht="15" customHeight="1" x14ac:dyDescent="0.2">
      <c r="B54" s="1838"/>
      <c r="C54" s="1902"/>
      <c r="D54" s="1838"/>
      <c r="E54" s="1838"/>
      <c r="F54" s="1838"/>
      <c r="G54" s="1838"/>
      <c r="H54" s="1838"/>
      <c r="I54" s="1838"/>
      <c r="J54" s="1838"/>
      <c r="K54" s="1834" t="str">
        <f>K21</f>
        <v>Maximum area available for</v>
      </c>
      <c r="L54" s="1838"/>
      <c r="M54" s="1838"/>
      <c r="N54" s="1838"/>
      <c r="O54" s="1838"/>
      <c r="P54" s="1838"/>
      <c r="Q54" s="1838"/>
      <c r="R54" s="1838"/>
      <c r="S54" s="1838"/>
      <c r="T54" s="1838"/>
      <c r="U54" s="1838"/>
      <c r="V54" s="1838"/>
      <c r="W54" s="1838"/>
      <c r="X54" s="1838"/>
      <c r="Y54" s="1838"/>
      <c r="Z54" s="4569" t="str">
        <f>Z21</f>
        <v>Management practices following conversion</v>
      </c>
      <c r="AA54" s="4569"/>
      <c r="AB54" s="4569"/>
      <c r="AC54" s="1838"/>
      <c r="AD54" s="1838"/>
      <c r="AE54" s="1838"/>
      <c r="AF54" s="1838"/>
      <c r="AG54" s="1838"/>
      <c r="AH54" s="1838"/>
      <c r="AI54" s="1838"/>
      <c r="AS54" s="2591"/>
      <c r="AT54" s="2591"/>
      <c r="AU54" s="2591"/>
      <c r="AV54" s="2591"/>
      <c r="AW54" s="1987" t="str">
        <f>'2.LUC'!BE32</f>
        <v>Above-ground biomass growth</v>
      </c>
      <c r="AX54" s="1787"/>
      <c r="AY54" s="1787"/>
      <c r="AZ54" s="1787"/>
      <c r="BA54" s="1800"/>
      <c r="BB54" s="1987" t="str">
        <f>'2.LUC'!BK32</f>
        <v>Below-ground biomass growth</v>
      </c>
      <c r="BC54" s="1787"/>
      <c r="BD54" s="1787"/>
      <c r="BE54" s="1787"/>
      <c r="BF54" s="2591"/>
      <c r="BG54" s="2014" t="str">
        <f>'2.LUC'!BP32</f>
        <v>Reference carbon stocks</v>
      </c>
      <c r="BH54" s="4345"/>
      <c r="BI54" s="2591"/>
      <c r="BJ54" s="1800"/>
      <c r="BK54" s="4167" t="str">
        <f>'2.LUC'!BS32</f>
        <v>Litter</v>
      </c>
      <c r="BL54" s="2014"/>
      <c r="BM54" s="1800"/>
      <c r="BN54" s="1987" t="str">
        <f>'2.LUC'!BV32</f>
        <v>Dead wood</v>
      </c>
      <c r="BO54" s="1987"/>
      <c r="BP54" s="2591"/>
      <c r="BR54" s="4548" t="s">
        <v>87</v>
      </c>
      <c r="BS54" s="4548"/>
      <c r="BT54" s="4548"/>
      <c r="CD54" s="4165"/>
      <c r="CE54" s="2591"/>
      <c r="CF54" s="4140" t="str">
        <f>Languages!B352</f>
        <v>On-site emission factors</v>
      </c>
      <c r="CG54" s="4140"/>
      <c r="CH54" s="4140"/>
      <c r="CI54" s="4140"/>
      <c r="CJ54" s="4140"/>
      <c r="CK54" s="4140"/>
      <c r="CL54" s="4145"/>
      <c r="CM54" s="4140" t="str">
        <f>CM9</f>
        <v>Off-site emission factors</v>
      </c>
      <c r="CN54" s="4140"/>
      <c r="CO54" s="4140"/>
      <c r="CP54" s="4140"/>
      <c r="CQ54" s="2591"/>
      <c r="CT54" s="2319" t="str">
        <f>CT34</f>
        <v>Use this part only if you want to refine the analysis at Tier 2</v>
      </c>
      <c r="CU54" s="2591"/>
      <c r="CV54" s="2560"/>
      <c r="CW54" s="2560"/>
      <c r="CX54" s="2560"/>
      <c r="CY54" s="2560"/>
      <c r="CZ54" s="2560"/>
      <c r="DA54" s="2560"/>
      <c r="DB54" s="2560"/>
      <c r="DC54" s="2560"/>
      <c r="DD54" s="2560"/>
      <c r="DE54" s="2560"/>
      <c r="DF54" s="2560"/>
      <c r="DG54" s="2560"/>
      <c r="DH54" s="2560"/>
      <c r="DI54" s="2560"/>
      <c r="DJ54" s="2560"/>
      <c r="DK54" s="2560"/>
      <c r="DL54" s="2560"/>
      <c r="DM54" s="2560"/>
      <c r="DN54" s="2560"/>
      <c r="DO54" s="2560"/>
      <c r="DP54" s="2560"/>
      <c r="DU54" s="2591"/>
      <c r="DV54" s="2591"/>
      <c r="DW54" s="2591"/>
      <c r="DX54" s="2591"/>
      <c r="DY54" s="2591"/>
      <c r="DZ54" s="2591"/>
      <c r="EA54" s="2591"/>
      <c r="EB54" s="2591"/>
      <c r="EC54" s="2591"/>
      <c r="ED54" s="2591"/>
      <c r="EE54" s="2591"/>
      <c r="EF54" s="2591"/>
      <c r="EG54" s="2591"/>
      <c r="EH54" s="2591"/>
    </row>
    <row r="55" spans="2:138" x14ac:dyDescent="0.2">
      <c r="B55" s="1838"/>
      <c r="C55" s="1902"/>
      <c r="D55" s="1838"/>
      <c r="E55" s="1838"/>
      <c r="F55" s="1838"/>
      <c r="G55" s="1838"/>
      <c r="H55" s="1838"/>
      <c r="I55" s="1838"/>
      <c r="J55" s="1838"/>
      <c r="K55" s="1834" t="str">
        <f>K22</f>
        <v>water management</v>
      </c>
      <c r="L55" s="1838"/>
      <c r="M55" s="4352" t="str">
        <f>M22</f>
        <v>Area under drainage (ha)</v>
      </c>
      <c r="N55" s="4352"/>
      <c r="O55" s="4352"/>
      <c r="P55" s="4352"/>
      <c r="Q55" s="4352"/>
      <c r="R55" s="1838"/>
      <c r="S55" s="4352" t="str">
        <f>S22</f>
        <v>Area not drained or rewetted (ha)</v>
      </c>
      <c r="T55" s="4352"/>
      <c r="U55" s="4352"/>
      <c r="V55" s="1838"/>
      <c r="W55" s="4352" t="str">
        <f>Languages!B334</f>
        <v>% area occupied by ditches</v>
      </c>
      <c r="X55" s="4352"/>
      <c r="Y55" s="4352"/>
      <c r="Z55" s="4569"/>
      <c r="AA55" s="4569"/>
      <c r="AB55" s="4569"/>
      <c r="AC55" s="1838"/>
      <c r="AD55" s="1838"/>
      <c r="AE55" s="4322"/>
      <c r="AF55" s="4322"/>
      <c r="AG55" s="1780"/>
      <c r="AH55" s="1838"/>
      <c r="AI55" s="1838"/>
      <c r="AS55" s="2591"/>
      <c r="AT55" s="4145" t="str">
        <f>C43</f>
        <v>Final land-use</v>
      </c>
      <c r="AU55" s="2591"/>
      <c r="AV55" s="2591"/>
      <c r="AW55" s="1833" t="str">
        <f>Languages!B87</f>
        <v>( ≤ 20 years )</v>
      </c>
      <c r="AX55" s="1800"/>
      <c r="AY55" s="1833" t="str">
        <f>Languages!B88</f>
        <v>( &gt; 20 years )</v>
      </c>
      <c r="AZ55" s="1800"/>
      <c r="BA55" s="1800"/>
      <c r="BB55" s="1833" t="str">
        <f>AW55</f>
        <v>( ≤ 20 years )</v>
      </c>
      <c r="BC55" s="1800"/>
      <c r="BD55" s="1833" t="str">
        <f>AY55</f>
        <v>( &gt; 20 years )</v>
      </c>
      <c r="BE55" s="1800"/>
      <c r="BF55" s="2591"/>
      <c r="BG55" s="1800" t="str">
        <f>'2.LUC'!BP33</f>
        <v>AGB+BGB</v>
      </c>
      <c r="BH55" s="1800"/>
      <c r="BI55" s="2591"/>
      <c r="BJ55" s="1800"/>
      <c r="BK55" s="1800"/>
      <c r="BL55" s="1800"/>
      <c r="BM55" s="1800"/>
      <c r="BN55" s="1800"/>
      <c r="BO55" s="1800"/>
      <c r="BP55" s="2591"/>
      <c r="BR55" s="4548"/>
      <c r="BS55" s="4548"/>
      <c r="BT55" s="4548"/>
      <c r="CD55" s="4165"/>
      <c r="CE55" s="2591"/>
      <c r="CF55" s="4151" t="str">
        <f>CF10</f>
        <v>CO2</v>
      </c>
      <c r="CG55" s="2591"/>
      <c r="CH55" s="4169" t="str">
        <f>CH10</f>
        <v>CH4</v>
      </c>
      <c r="CI55" s="2591"/>
      <c r="CJ55" s="4149" t="str">
        <f>CJ10</f>
        <v>N2O</v>
      </c>
      <c r="CK55" s="2591"/>
      <c r="CL55" s="2591"/>
      <c r="CM55" s="4151" t="str">
        <f>CM10</f>
        <v>DOC</v>
      </c>
      <c r="CN55" s="2591"/>
      <c r="CO55" s="4151" t="str">
        <f>CO10</f>
        <v>CH4</v>
      </c>
      <c r="CP55" s="2591"/>
      <c r="CQ55" s="2591"/>
      <c r="CT55" s="2319"/>
      <c r="CU55" s="2591"/>
      <c r="CV55" s="2560"/>
      <c r="CW55" s="2560"/>
      <c r="CX55" s="2560"/>
      <c r="CY55" s="2560"/>
      <c r="CZ55" s="2560"/>
      <c r="DA55" s="2560"/>
      <c r="DB55" s="2560"/>
      <c r="DC55" s="2560"/>
      <c r="DD55" s="2560"/>
      <c r="DE55" s="2560"/>
      <c r="DF55" s="2560"/>
      <c r="DG55" s="2560"/>
      <c r="DH55" s="2560"/>
      <c r="DI55" s="2560"/>
      <c r="DJ55" s="2560"/>
      <c r="DK55" s="2560"/>
      <c r="DL55" s="2560"/>
      <c r="DM55" s="2560"/>
      <c r="DN55" s="2560"/>
      <c r="DO55" s="2560"/>
      <c r="DP55" s="2560"/>
      <c r="DU55" s="2591"/>
      <c r="DV55" s="2591"/>
      <c r="DW55" s="2591"/>
      <c r="DX55" s="4140" t="s">
        <v>1033</v>
      </c>
      <c r="DY55" s="4141"/>
      <c r="DZ55" s="4141"/>
      <c r="EA55" s="4141"/>
      <c r="EB55" s="4141"/>
      <c r="EC55" s="4141"/>
      <c r="ED55" s="2591"/>
      <c r="EE55" s="4140" t="s">
        <v>1034</v>
      </c>
      <c r="EF55" s="4141"/>
      <c r="EG55" s="4141"/>
      <c r="EH55" s="2591"/>
    </row>
    <row r="56" spans="2:138" x14ac:dyDescent="0.2">
      <c r="B56" s="1838"/>
      <c r="C56" s="1902" t="str">
        <f>C43</f>
        <v>Final land-use</v>
      </c>
      <c r="D56" s="1838"/>
      <c r="E56" s="1834" t="str">
        <f>I43</f>
        <v>Initial land-use</v>
      </c>
      <c r="F56" s="1838"/>
      <c r="G56" s="1838"/>
      <c r="H56" s="1838"/>
      <c r="I56" s="1838"/>
      <c r="J56" s="1838"/>
      <c r="K56" s="1838"/>
      <c r="L56" s="1838"/>
      <c r="M56" s="1960"/>
      <c r="N56" s="1960"/>
      <c r="O56" s="1960"/>
      <c r="P56" s="1960"/>
      <c r="Q56" s="1960"/>
      <c r="R56" s="1838"/>
      <c r="S56" s="1838"/>
      <c r="T56" s="1838"/>
      <c r="U56" s="1838"/>
      <c r="V56" s="1838"/>
      <c r="W56" s="1960"/>
      <c r="X56" s="1960"/>
      <c r="Y56" s="1960"/>
      <c r="Z56" s="1838"/>
      <c r="AA56" s="4162" t="str">
        <f>AA23</f>
        <v>Fire on</v>
      </c>
      <c r="AB56" s="4271"/>
      <c r="AC56" s="1838"/>
      <c r="AD56" s="1838"/>
      <c r="AE56" s="4322"/>
      <c r="AF56" s="4322"/>
      <c r="AG56" s="1780"/>
      <c r="AH56" s="1838"/>
      <c r="AI56" s="1838"/>
      <c r="AS56" s="2591"/>
      <c r="AT56" s="2591"/>
      <c r="AU56" s="2591"/>
      <c r="AV56" s="2591"/>
      <c r="AW56" s="1895" t="str">
        <f>AY46</f>
        <v>Default</v>
      </c>
      <c r="AX56" s="1893" t="str">
        <f>AZ46</f>
        <v>Tier 2</v>
      </c>
      <c r="AY56" s="1895" t="str">
        <f>AY46</f>
        <v>Default</v>
      </c>
      <c r="AZ56" s="1893" t="str">
        <f>AX56</f>
        <v>Tier 2</v>
      </c>
      <c r="BA56" s="1800"/>
      <c r="BB56" s="1895" t="str">
        <f>AY46</f>
        <v>Default</v>
      </c>
      <c r="BC56" s="1893" t="str">
        <f>AZ56</f>
        <v>Tier 2</v>
      </c>
      <c r="BD56" s="1895" t="str">
        <f>AY46</f>
        <v>Default</v>
      </c>
      <c r="BE56" s="1893" t="str">
        <f>BC56</f>
        <v>Tier 2</v>
      </c>
      <c r="BF56" s="2591"/>
      <c r="BG56" s="2591" t="str">
        <f>BD56</f>
        <v>Default</v>
      </c>
      <c r="BH56" s="2591" t="str">
        <f>BE56</f>
        <v>Tier 2</v>
      </c>
      <c r="BI56" s="2591"/>
      <c r="BJ56" s="1800"/>
      <c r="BK56" s="1895" t="str">
        <f>BG56</f>
        <v>Default</v>
      </c>
      <c r="BL56" s="1893" t="str">
        <f>BH56</f>
        <v>Tier 2</v>
      </c>
      <c r="BM56" s="1800"/>
      <c r="BN56" s="1895" t="str">
        <f>BG56</f>
        <v>Default</v>
      </c>
      <c r="BO56" s="1893" t="str">
        <f>AZ46</f>
        <v>Tier 2</v>
      </c>
      <c r="BP56" s="2591"/>
      <c r="BR56" s="4548"/>
      <c r="BS56" s="4548"/>
      <c r="BT56" s="4548"/>
      <c r="CD56" s="4165"/>
      <c r="CE56" s="4145" t="str">
        <f>CE22</f>
        <v>Final land-use</v>
      </c>
      <c r="CF56" s="4151" t="str">
        <f>CF11</f>
        <v>tC/ha/yr</v>
      </c>
      <c r="CG56" s="2560"/>
      <c r="CH56" s="4149" t="str">
        <f>CH11</f>
        <v>kgCH4/ha/yr</v>
      </c>
      <c r="CI56" s="2560"/>
      <c r="CJ56" s="2319" t="str">
        <f>CJ11</f>
        <v>kgN2O-N/ha/yr</v>
      </c>
      <c r="CK56" s="2560"/>
      <c r="CL56" s="2560"/>
      <c r="CM56" s="4149" t="str">
        <f>CM11</f>
        <v>tC/ha/yr</v>
      </c>
      <c r="CN56" s="2591"/>
      <c r="CO56" s="4154" t="str">
        <f>CO11</f>
        <v>kgCH4/ha/yr</v>
      </c>
      <c r="CP56" s="2591"/>
      <c r="CQ56" s="2591"/>
      <c r="CT56" s="2319"/>
      <c r="CU56" s="2591"/>
      <c r="CV56" s="2560"/>
      <c r="CW56" s="2560"/>
      <c r="CX56" s="2560"/>
      <c r="CY56" s="2560"/>
      <c r="CZ56" s="2560"/>
      <c r="DA56" s="2560"/>
      <c r="DB56" s="2560"/>
      <c r="DC56" s="2560"/>
      <c r="DD56" s="2560"/>
      <c r="DE56" s="2560"/>
      <c r="DF56" s="2560"/>
      <c r="DG56" s="2560"/>
      <c r="DH56" s="2560"/>
      <c r="DI56" s="2560"/>
      <c r="DJ56" s="2560"/>
      <c r="DK56" s="2560"/>
      <c r="DL56" s="2560"/>
      <c r="DM56" s="2560"/>
      <c r="DN56" s="2560"/>
      <c r="DO56" s="2560"/>
      <c r="DP56" s="2560"/>
      <c r="DU56" s="2591"/>
      <c r="DV56" s="4145" t="str">
        <f>CE56</f>
        <v>Final land-use</v>
      </c>
      <c r="DW56" s="2591"/>
      <c r="DX56" s="2591" t="s">
        <v>1040</v>
      </c>
      <c r="DY56" s="2591"/>
      <c r="DZ56" s="2591" t="s">
        <v>1041</v>
      </c>
      <c r="EA56" s="2591"/>
      <c r="EB56" s="2591" t="s">
        <v>177</v>
      </c>
      <c r="EC56" s="2591"/>
      <c r="ED56" s="2591"/>
      <c r="EE56" s="2591" t="s">
        <v>1042</v>
      </c>
      <c r="EF56" s="2591"/>
      <c r="EG56" s="2591"/>
      <c r="EH56" s="2591"/>
    </row>
    <row r="57" spans="2:138" x14ac:dyDescent="0.2">
      <c r="B57" s="1838"/>
      <c r="C57" s="1902"/>
      <c r="D57" s="1838"/>
      <c r="E57" s="1838"/>
      <c r="F57" s="1838"/>
      <c r="G57" s="1838"/>
      <c r="H57" s="1838"/>
      <c r="I57" s="1838"/>
      <c r="J57" s="1838"/>
      <c r="K57" s="1838"/>
      <c r="L57" s="1838"/>
      <c r="M57" s="1838" t="str">
        <f t="shared" ref="M57:R57" si="29">M24</f>
        <v>Start</v>
      </c>
      <c r="N57" s="1838" t="str">
        <f t="shared" si="29"/>
        <v>Without</v>
      </c>
      <c r="O57" s="1838" t="str">
        <f t="shared" si="29"/>
        <v>*</v>
      </c>
      <c r="P57" s="1838" t="str">
        <f t="shared" si="29"/>
        <v>With</v>
      </c>
      <c r="Q57" s="1838" t="str">
        <f t="shared" si="29"/>
        <v>*</v>
      </c>
      <c r="R57" s="1838">
        <f t="shared" si="29"/>
        <v>0</v>
      </c>
      <c r="S57" s="1838" t="str">
        <f>M57</f>
        <v>Start</v>
      </c>
      <c r="T57" s="1838" t="str">
        <f>N57</f>
        <v>Without</v>
      </c>
      <c r="U57" s="1838" t="str">
        <f>P57</f>
        <v>With</v>
      </c>
      <c r="V57" s="1838"/>
      <c r="W57" s="1838" t="s">
        <v>219</v>
      </c>
      <c r="X57" s="1838" t="str">
        <f>X24</f>
        <v>Without</v>
      </c>
      <c r="Y57" s="1838" t="str">
        <f>Y24</f>
        <v>With</v>
      </c>
      <c r="Z57" s="1838"/>
      <c r="AA57" s="1838" t="str">
        <f>AA24</f>
        <v>Soil</v>
      </c>
      <c r="AB57" s="4271"/>
      <c r="AC57" s="1838"/>
      <c r="AD57" s="1838"/>
      <c r="AE57" s="1838" t="str">
        <f>AE45</f>
        <v>Without</v>
      </c>
      <c r="AF57" s="1838" t="str">
        <f>AF45</f>
        <v>With</v>
      </c>
      <c r="AG57" s="1834" t="str">
        <f>AG45</f>
        <v>Balance</v>
      </c>
      <c r="AH57" s="1838"/>
      <c r="AI57" s="1838"/>
      <c r="AS57" s="2591"/>
      <c r="AT57" s="2591"/>
      <c r="AU57" s="2591"/>
      <c r="AV57" s="2591"/>
      <c r="AW57" s="2591" t="str">
        <f>'2.LUC'!BE34</f>
        <v>tC/ha/yr</v>
      </c>
      <c r="AX57" s="2591"/>
      <c r="AY57" s="2591" t="str">
        <f>'2.LUC'!BH34</f>
        <v>tC/ha/yr</v>
      </c>
      <c r="AZ57" s="2591"/>
      <c r="BA57" s="1800"/>
      <c r="BB57" s="2591" t="str">
        <f>AW57</f>
        <v>tC/ha/yr</v>
      </c>
      <c r="BC57" s="2591"/>
      <c r="BD57" s="2591" t="str">
        <f>BB57</f>
        <v>tC/ha/yr</v>
      </c>
      <c r="BE57" s="2591"/>
      <c r="BF57" s="2591"/>
      <c r="BG57" s="2591" t="s">
        <v>62</v>
      </c>
      <c r="BH57" s="2591"/>
      <c r="BI57" s="2591"/>
      <c r="BJ57" s="2591"/>
      <c r="BK57" s="2591" t="str">
        <f>'2.LUC'!BS34</f>
        <v>tC/ha</v>
      </c>
      <c r="BL57" s="2591"/>
      <c r="BM57" s="2591"/>
      <c r="BN57" s="2591" t="str">
        <f>BK57</f>
        <v>tC/ha</v>
      </c>
      <c r="BO57" s="2591"/>
      <c r="BP57" s="2591"/>
      <c r="BR57" s="1996"/>
      <c r="BS57" s="1996"/>
      <c r="BT57" s="1996"/>
      <c r="CD57" s="4165"/>
      <c r="CE57" s="2591"/>
      <c r="CF57" s="2560" t="str">
        <f>CF12</f>
        <v>Default</v>
      </c>
      <c r="CG57" s="2560" t="str">
        <f>CG12</f>
        <v>Tier 2</v>
      </c>
      <c r="CH57" s="2560" t="str">
        <f>CH12</f>
        <v>Default</v>
      </c>
      <c r="CI57" s="2560" t="str">
        <f>CI12</f>
        <v>Tier 2</v>
      </c>
      <c r="CJ57" s="2560" t="str">
        <f>CJ12</f>
        <v>Default</v>
      </c>
      <c r="CK57" s="2560" t="str">
        <f>CK12</f>
        <v>Tier 2</v>
      </c>
      <c r="CL57" s="2560"/>
      <c r="CM57" s="2560" t="str">
        <f>CM12</f>
        <v>Default</v>
      </c>
      <c r="CN57" s="2560" t="str">
        <f>CN12</f>
        <v>Tier 2</v>
      </c>
      <c r="CO57" s="2560" t="str">
        <f>CO12</f>
        <v>Default</v>
      </c>
      <c r="CP57" s="2560" t="str">
        <f>CP12</f>
        <v>Tier 2</v>
      </c>
      <c r="CQ57" s="2591"/>
      <c r="CT57" s="2319"/>
      <c r="CU57" s="2591"/>
      <c r="CV57" s="2560"/>
      <c r="CW57" s="2560"/>
      <c r="CX57" s="2560"/>
      <c r="CY57" s="2560"/>
      <c r="CZ57" s="2560"/>
      <c r="DA57" s="2560"/>
      <c r="DB57" s="2560"/>
      <c r="DC57" s="2560"/>
      <c r="DD57" s="2560"/>
      <c r="DE57" s="2560"/>
      <c r="DF57" s="2560"/>
      <c r="DG57" s="2560"/>
      <c r="DH57" s="2560"/>
      <c r="DI57" s="2560"/>
      <c r="DJ57" s="2560"/>
      <c r="DK57" s="2560"/>
      <c r="DL57" s="2560"/>
      <c r="DM57" s="2560"/>
      <c r="DN57" s="2560"/>
      <c r="DO57" s="2560"/>
      <c r="DP57" s="2560"/>
      <c r="DU57" s="2591"/>
      <c r="DV57" s="2591"/>
      <c r="DW57" s="2591"/>
      <c r="DX57" s="2591" t="s">
        <v>92</v>
      </c>
      <c r="DY57" s="2591"/>
      <c r="DZ57" s="2591" t="s">
        <v>1050</v>
      </c>
      <c r="EA57" s="2591"/>
      <c r="EB57" s="2591" t="s">
        <v>1051</v>
      </c>
      <c r="EC57" s="2591"/>
      <c r="ED57" s="2591"/>
      <c r="EE57" s="2591" t="s">
        <v>92</v>
      </c>
      <c r="EF57" s="2591"/>
      <c r="EG57" s="2591"/>
      <c r="EH57" s="2591"/>
    </row>
    <row r="58" spans="2:138" x14ac:dyDescent="0.2">
      <c r="B58" s="1838"/>
      <c r="C58" s="1814" t="str">
        <f t="shared" ref="C58:C63" si="30">C46</f>
        <v>Please select</v>
      </c>
      <c r="D58" s="1838"/>
      <c r="E58" s="1838" t="str">
        <f t="shared" ref="E58:E63" si="31">IF(I46= "Agroforestry", I46&amp;"-"&amp;K46, I46)</f>
        <v>Please select</v>
      </c>
      <c r="F58" s="1838"/>
      <c r="G58" s="1838"/>
      <c r="H58" s="1838"/>
      <c r="I58" s="1838"/>
      <c r="J58" s="1838"/>
      <c r="K58" s="2107">
        <f t="shared" ref="K58:K63" si="32">MAX(N46,P46)</f>
        <v>0</v>
      </c>
      <c r="L58" s="1838"/>
      <c r="M58" s="4192">
        <v>0</v>
      </c>
      <c r="N58" s="4193">
        <v>0</v>
      </c>
      <c r="O58" s="4098" t="s">
        <v>86</v>
      </c>
      <c r="P58" s="4193">
        <v>0</v>
      </c>
      <c r="Q58" s="4098" t="s">
        <v>86</v>
      </c>
      <c r="R58" s="1838"/>
      <c r="S58" s="2107">
        <f t="shared" ref="S58:S63" si="33">$K58-M58</f>
        <v>0</v>
      </c>
      <c r="T58" s="2107">
        <f t="shared" ref="T58:T63" si="34">$K58-N58</f>
        <v>0</v>
      </c>
      <c r="U58" s="2107">
        <f t="shared" ref="U58:U63" si="35">$K58-P58</f>
        <v>0</v>
      </c>
      <c r="V58" s="1838"/>
      <c r="W58" s="4195">
        <v>0</v>
      </c>
      <c r="X58" s="4195">
        <v>0</v>
      </c>
      <c r="Y58" s="4195">
        <v>0</v>
      </c>
      <c r="Z58" s="1838"/>
      <c r="AA58" s="2129" t="s">
        <v>1053</v>
      </c>
      <c r="AB58" s="4271"/>
      <c r="AC58" s="1838"/>
      <c r="AD58" s="1838"/>
      <c r="AE58" s="2107">
        <f>+'Inl. wetlands'!AI151+'Inl. wetlands'!AI171+'Inl. wetlands'!AI200</f>
        <v>0</v>
      </c>
      <c r="AF58" s="2107">
        <f>+'Inl. wetlands'!AJ151+'Inl. wetlands'!AJ171+'Inl. wetlands'!AJ200</f>
        <v>0</v>
      </c>
      <c r="AG58" s="1806">
        <f t="shared" ref="AG58:AG63" si="36">AF58-AE58</f>
        <v>0</v>
      </c>
      <c r="AH58" s="1838"/>
      <c r="AI58" s="1838"/>
      <c r="AS58" s="2591"/>
      <c r="AT58" s="2591" t="str">
        <f t="shared" ref="AT58:AT63" si="37">C46</f>
        <v>Please select</v>
      </c>
      <c r="AU58" s="2591"/>
      <c r="AV58" s="2591"/>
      <c r="AW58" s="4170">
        <f>IF($AT58="Please select",0,VLOOKUP($AT58,'Inl. wetlands'!$B$117:$J$125,3,FALSE)*0.47)</f>
        <v>0</v>
      </c>
      <c r="AX58" s="4206"/>
      <c r="AY58" s="4170">
        <f>IF($AT58="Please select",0,VLOOKUP($AT58,'Inl. wetlands'!$B$117:$J$125,4,FALSE)*0.47)</f>
        <v>0</v>
      </c>
      <c r="AZ58" s="4206"/>
      <c r="BA58" s="1800"/>
      <c r="BB58" s="2612">
        <f>IF($AT58="Please select",0,VLOOKUP($AT58,'Inl. wetlands'!$B$117:$J$125,5,FALSE)*0.47)</f>
        <v>0</v>
      </c>
      <c r="BC58" s="4206"/>
      <c r="BD58" s="2612">
        <f>IF($AT58="Please select",0,VLOOKUP($AT58,'Inl. wetlands'!$B$117:$J$125,6,FALSE)*0.47)</f>
        <v>0</v>
      </c>
      <c r="BE58" s="4206"/>
      <c r="BF58" s="2591"/>
      <c r="BG58" s="4376">
        <f>'Inl. wetlands'!AD118*12/44</f>
        <v>0</v>
      </c>
      <c r="BH58" s="4206"/>
      <c r="BI58" s="2591"/>
      <c r="BJ58" s="2591"/>
      <c r="BK58" s="2612">
        <f>IF($AT58="Please select",0,VLOOKUP($AT58,'Inl. wetlands'!$B$117:$J$125,7,FALSE))</f>
        <v>0</v>
      </c>
      <c r="BL58" s="4206"/>
      <c r="BM58" s="2591"/>
      <c r="BN58" s="2612">
        <f>IF($AT58="Please select",0,VLOOKUP($AT58,'Inl. wetlands'!$B$117:$J$125,8,FALSE))</f>
        <v>0</v>
      </c>
      <c r="BO58" s="4206"/>
      <c r="BP58" s="2591"/>
      <c r="BR58" s="1996"/>
      <c r="BS58" s="1996"/>
      <c r="BT58" s="1996"/>
      <c r="CD58" s="4165"/>
      <c r="CE58" s="2591" t="str">
        <f t="shared" ref="CE58:CE63" si="38">C46</f>
        <v>Please select</v>
      </c>
      <c r="CF58" s="4156">
        <f>'Inl. wetlands'!B176</f>
        <v>0</v>
      </c>
      <c r="CG58" s="4209"/>
      <c r="CH58" s="4156">
        <f>'Inl. wetlands'!D176</f>
        <v>0</v>
      </c>
      <c r="CI58" s="4209"/>
      <c r="CJ58" s="4156">
        <f>'Inl. wetlands'!F176</f>
        <v>0</v>
      </c>
      <c r="CK58" s="4209"/>
      <c r="CL58" s="2591"/>
      <c r="CM58" s="4156">
        <f>'Inl. wetlands'!H176</f>
        <v>0</v>
      </c>
      <c r="CN58" s="4209"/>
      <c r="CO58" s="4156">
        <f>'Inl. wetlands'!J176</f>
        <v>0</v>
      </c>
      <c r="CP58" s="4209"/>
      <c r="CQ58" s="2591"/>
      <c r="CT58" s="2319"/>
      <c r="CU58" s="2591"/>
      <c r="CV58" s="2560"/>
      <c r="CW58" s="2560"/>
      <c r="CX58" s="2560"/>
      <c r="CY58" s="2560"/>
      <c r="CZ58" s="2560"/>
      <c r="DA58" s="2560"/>
      <c r="DB58" s="2560"/>
      <c r="DC58" s="2560"/>
      <c r="DD58" s="2560"/>
      <c r="DE58" s="2560"/>
      <c r="DF58" s="2560"/>
      <c r="DG58" s="2560"/>
      <c r="DH58" s="2560"/>
      <c r="DI58" s="2560"/>
      <c r="DJ58" s="2560"/>
      <c r="DK58" s="2560"/>
      <c r="DL58" s="2560"/>
      <c r="DM58" s="2560"/>
      <c r="DN58" s="2560"/>
      <c r="DO58" s="2560"/>
      <c r="DP58" s="2560"/>
      <c r="DU58" s="2591"/>
      <c r="DV58" s="2591" t="str">
        <f t="shared" ref="DV58:DV63" si="39">C46</f>
        <v>Please select</v>
      </c>
      <c r="DW58" s="2591"/>
      <c r="DX58" s="2612">
        <f>'Inl. wetlands'!H204</f>
        <v>0</v>
      </c>
      <c r="DY58" s="4205"/>
      <c r="DZ58" s="4155">
        <f>'Inl. wetlands'!J204</f>
        <v>0</v>
      </c>
      <c r="EA58" s="4205"/>
      <c r="EB58" s="4155">
        <f>'Inl. wetlands'!L204</f>
        <v>0</v>
      </c>
      <c r="EC58" s="4205"/>
      <c r="ED58" s="2591"/>
      <c r="EE58" s="4156">
        <f>'Inl. wetlands'!N204</f>
        <v>0</v>
      </c>
      <c r="EF58" s="4205"/>
      <c r="EG58" s="2591"/>
      <c r="EH58" s="2591"/>
    </row>
    <row r="59" spans="2:138" x14ac:dyDescent="0.2">
      <c r="B59" s="1838"/>
      <c r="C59" s="1814" t="str">
        <f t="shared" si="30"/>
        <v>Please select</v>
      </c>
      <c r="D59" s="1838"/>
      <c r="E59" s="1838" t="str">
        <f t="shared" si="31"/>
        <v>Please select</v>
      </c>
      <c r="F59" s="1838"/>
      <c r="G59" s="1838"/>
      <c r="H59" s="1838"/>
      <c r="I59" s="1838"/>
      <c r="J59" s="1838"/>
      <c r="K59" s="2107">
        <f t="shared" si="32"/>
        <v>0</v>
      </c>
      <c r="L59" s="1838"/>
      <c r="M59" s="4192">
        <v>0</v>
      </c>
      <c r="N59" s="4193">
        <v>0</v>
      </c>
      <c r="O59" s="4098" t="s">
        <v>86</v>
      </c>
      <c r="P59" s="4193">
        <v>0</v>
      </c>
      <c r="Q59" s="4098" t="s">
        <v>86</v>
      </c>
      <c r="R59" s="1838"/>
      <c r="S59" s="2107">
        <f t="shared" si="33"/>
        <v>0</v>
      </c>
      <c r="T59" s="2107">
        <f t="shared" si="34"/>
        <v>0</v>
      </c>
      <c r="U59" s="2107">
        <f t="shared" si="35"/>
        <v>0</v>
      </c>
      <c r="V59" s="1838"/>
      <c r="W59" s="4195">
        <v>0</v>
      </c>
      <c r="X59" s="4195">
        <v>0</v>
      </c>
      <c r="Y59" s="4195">
        <v>0</v>
      </c>
      <c r="Z59" s="1838"/>
      <c r="AA59" s="2129" t="s">
        <v>1053</v>
      </c>
      <c r="AB59" s="4271"/>
      <c r="AC59" s="1838"/>
      <c r="AD59" s="1838"/>
      <c r="AE59" s="2107">
        <f>+'Inl. wetlands'!AI152+'Inl. wetlands'!AI172+'Inl. wetlands'!AI201</f>
        <v>0</v>
      </c>
      <c r="AF59" s="2107">
        <f>+'Inl. wetlands'!AJ152+'Inl. wetlands'!AJ172+'Inl. wetlands'!AJ201</f>
        <v>0</v>
      </c>
      <c r="AG59" s="1806">
        <f t="shared" si="36"/>
        <v>0</v>
      </c>
      <c r="AH59" s="1838"/>
      <c r="AI59" s="1838"/>
      <c r="AS59" s="2591"/>
      <c r="AT59" s="2591" t="str">
        <f t="shared" si="37"/>
        <v>Please select</v>
      </c>
      <c r="AU59" s="2591"/>
      <c r="AV59" s="2591"/>
      <c r="AW59" s="4170">
        <f>IF($AT59="Please select",0,VLOOKUP($AT59,'Inl. wetlands'!$B$117:$J$125,3,FALSE)*0.47)</f>
        <v>0</v>
      </c>
      <c r="AX59" s="4206"/>
      <c r="AY59" s="4170">
        <f>IF($AT59="Please select",0,VLOOKUP($AT59,'Inl. wetlands'!$B$117:$J$125,4,FALSE)*0.47)</f>
        <v>0</v>
      </c>
      <c r="AZ59" s="4206"/>
      <c r="BA59" s="1800"/>
      <c r="BB59" s="2612">
        <f>IF($AT59="Please select",0,VLOOKUP($AT59,'Inl. wetlands'!$B$117:$J$125,5,FALSE)*0.47)</f>
        <v>0</v>
      </c>
      <c r="BC59" s="4206"/>
      <c r="BD59" s="2612">
        <f>IF($AT59="Please select",0,VLOOKUP($AT59,'Inl. wetlands'!$B$117:$J$125,6,FALSE)*0.47)</f>
        <v>0</v>
      </c>
      <c r="BE59" s="4206"/>
      <c r="BF59" s="2591"/>
      <c r="BG59" s="4376">
        <f>'Inl. wetlands'!AD119*12/44</f>
        <v>0</v>
      </c>
      <c r="BH59" s="4206"/>
      <c r="BI59" s="2591"/>
      <c r="BJ59" s="2591"/>
      <c r="BK59" s="2612">
        <f>IF($AT59="Please select",0,VLOOKUP($AT59,'Inl. wetlands'!$B$117:$J$125,7,FALSE))</f>
        <v>0</v>
      </c>
      <c r="BL59" s="4206"/>
      <c r="BM59" s="2591"/>
      <c r="BN59" s="2612">
        <f>IF($AT59="Please select",0,VLOOKUP($AT59,'Inl. wetlands'!$B$117:$J$125,8,FALSE))</f>
        <v>0</v>
      </c>
      <c r="BO59" s="4206"/>
      <c r="BP59" s="2591"/>
      <c r="BR59" s="1996"/>
      <c r="BS59" s="1996"/>
      <c r="BT59" s="1996"/>
      <c r="CD59" s="4165"/>
      <c r="CE59" s="2591" t="str">
        <f t="shared" si="38"/>
        <v>Please select</v>
      </c>
      <c r="CF59" s="4156">
        <f>'Inl. wetlands'!B177</f>
        <v>0</v>
      </c>
      <c r="CG59" s="4209"/>
      <c r="CH59" s="4156">
        <f>'Inl. wetlands'!D177</f>
        <v>0</v>
      </c>
      <c r="CI59" s="4209"/>
      <c r="CJ59" s="4156">
        <f>'Inl. wetlands'!F177</f>
        <v>0</v>
      </c>
      <c r="CK59" s="4209"/>
      <c r="CL59" s="2591"/>
      <c r="CM59" s="4156">
        <f>'Inl. wetlands'!H177</f>
        <v>0</v>
      </c>
      <c r="CN59" s="4209"/>
      <c r="CO59" s="4156">
        <f>'Inl. wetlands'!J177</f>
        <v>0</v>
      </c>
      <c r="CP59" s="4209"/>
      <c r="CQ59" s="2591"/>
      <c r="CT59" s="2319"/>
      <c r="CU59" s="2591"/>
      <c r="CV59" s="2560"/>
      <c r="CW59" s="2560"/>
      <c r="CX59" s="2560"/>
      <c r="CY59" s="2560"/>
      <c r="CZ59" s="2560"/>
      <c r="DA59" s="2560"/>
      <c r="DB59" s="2560"/>
      <c r="DC59" s="2560"/>
      <c r="DD59" s="2560"/>
      <c r="DE59" s="2560"/>
      <c r="DF59" s="2560"/>
      <c r="DG59" s="2560"/>
      <c r="DH59" s="2560"/>
      <c r="DI59" s="2560"/>
      <c r="DJ59" s="2560"/>
      <c r="DK59" s="2560"/>
      <c r="DL59" s="2560"/>
      <c r="DM59" s="2560"/>
      <c r="DN59" s="2560"/>
      <c r="DO59" s="2560"/>
      <c r="DP59" s="2560"/>
      <c r="DU59" s="2591"/>
      <c r="DV59" s="2591" t="str">
        <f t="shared" si="39"/>
        <v>Please select</v>
      </c>
      <c r="DW59" s="2591"/>
      <c r="DX59" s="2612">
        <f>'Inl. wetlands'!H205</f>
        <v>0</v>
      </c>
      <c r="DY59" s="4205"/>
      <c r="DZ59" s="4155">
        <f>'Inl. wetlands'!J205</f>
        <v>0</v>
      </c>
      <c r="EA59" s="4205"/>
      <c r="EB59" s="4155">
        <f>'Inl. wetlands'!L205</f>
        <v>0</v>
      </c>
      <c r="EC59" s="4205"/>
      <c r="ED59" s="2591"/>
      <c r="EE59" s="4156">
        <f>'Inl. wetlands'!N205</f>
        <v>0</v>
      </c>
      <c r="EF59" s="4205"/>
      <c r="EG59" s="2591"/>
      <c r="EH59" s="2591"/>
    </row>
    <row r="60" spans="2:138" x14ac:dyDescent="0.2">
      <c r="B60" s="1838"/>
      <c r="C60" s="1814" t="str">
        <f t="shared" si="30"/>
        <v>Please select</v>
      </c>
      <c r="D60" s="1838"/>
      <c r="E60" s="1838" t="str">
        <f t="shared" si="31"/>
        <v>Please select</v>
      </c>
      <c r="F60" s="1838"/>
      <c r="G60" s="1838"/>
      <c r="H60" s="1838"/>
      <c r="I60" s="1838"/>
      <c r="J60" s="1838"/>
      <c r="K60" s="2107">
        <f t="shared" si="32"/>
        <v>0</v>
      </c>
      <c r="L60" s="1838"/>
      <c r="M60" s="4192">
        <v>0</v>
      </c>
      <c r="N60" s="4193">
        <v>0</v>
      </c>
      <c r="O60" s="4098" t="s">
        <v>86</v>
      </c>
      <c r="P60" s="4193">
        <v>0</v>
      </c>
      <c r="Q60" s="4098" t="s">
        <v>86</v>
      </c>
      <c r="R60" s="1838"/>
      <c r="S60" s="2107">
        <f t="shared" si="33"/>
        <v>0</v>
      </c>
      <c r="T60" s="2107">
        <f t="shared" si="34"/>
        <v>0</v>
      </c>
      <c r="U60" s="2107">
        <f t="shared" si="35"/>
        <v>0</v>
      </c>
      <c r="V60" s="1838"/>
      <c r="W60" s="4195">
        <v>0</v>
      </c>
      <c r="X60" s="4195">
        <v>0</v>
      </c>
      <c r="Y60" s="4195">
        <v>0</v>
      </c>
      <c r="Z60" s="1838"/>
      <c r="AA60" s="2129" t="s">
        <v>1053</v>
      </c>
      <c r="AB60" s="1838"/>
      <c r="AC60" s="1838"/>
      <c r="AD60" s="1838"/>
      <c r="AE60" s="2107">
        <f>+'Inl. wetlands'!AI153+'Inl. wetlands'!AI173+'Inl. wetlands'!AI202</f>
        <v>0</v>
      </c>
      <c r="AF60" s="2107">
        <f>+'Inl. wetlands'!AJ153+'Inl. wetlands'!AJ173+'Inl. wetlands'!AJ202</f>
        <v>0</v>
      </c>
      <c r="AG60" s="1806">
        <f t="shared" si="36"/>
        <v>0</v>
      </c>
      <c r="AH60" s="1838"/>
      <c r="AI60" s="1838"/>
      <c r="AS60" s="2591"/>
      <c r="AT60" s="2591" t="str">
        <f t="shared" si="37"/>
        <v>Please select</v>
      </c>
      <c r="AU60" s="2591"/>
      <c r="AV60" s="2591"/>
      <c r="AW60" s="4170">
        <f>IF($AT60="Please select",0,VLOOKUP($AT60,'Inl. wetlands'!$B$117:$J$125,3,FALSE)*0.47)</f>
        <v>0</v>
      </c>
      <c r="AX60" s="4206"/>
      <c r="AY60" s="4170">
        <f>IF($AT60="Please select",0,VLOOKUP($AT60,'Inl. wetlands'!$B$117:$J$125,4,FALSE)*0.47)</f>
        <v>0</v>
      </c>
      <c r="AZ60" s="4206"/>
      <c r="BA60" s="1800"/>
      <c r="BB60" s="2612">
        <f>IF($AT60="Please select",0,VLOOKUP($AT60,'Inl. wetlands'!$B$117:$J$125,5,FALSE)*0.47)</f>
        <v>0</v>
      </c>
      <c r="BC60" s="4206"/>
      <c r="BD60" s="2612">
        <f>IF($AT60="Please select",0,VLOOKUP($AT60,'Inl. wetlands'!$B$117:$J$125,6,FALSE)*0.47)</f>
        <v>0</v>
      </c>
      <c r="BE60" s="4206"/>
      <c r="BF60" s="2591"/>
      <c r="BG60" s="4376">
        <f>'Inl. wetlands'!AD120*12/44</f>
        <v>0</v>
      </c>
      <c r="BH60" s="4206"/>
      <c r="BI60" s="2591"/>
      <c r="BJ60" s="2591"/>
      <c r="BK60" s="2612">
        <f>IF($AT60="Please select",0,VLOOKUP($AT60,'Inl. wetlands'!$B$117:$J$125,7,FALSE))</f>
        <v>0</v>
      </c>
      <c r="BL60" s="4206"/>
      <c r="BM60" s="2591"/>
      <c r="BN60" s="2612">
        <f>IF($AT60="Please select",0,VLOOKUP($AT60,'Inl. wetlands'!$B$117:$J$125,8,FALSE))</f>
        <v>0</v>
      </c>
      <c r="BO60" s="4206"/>
      <c r="BP60" s="2591"/>
      <c r="BR60" s="1996"/>
      <c r="BS60" s="1996"/>
      <c r="BT60" s="1996"/>
      <c r="CD60" s="4165"/>
      <c r="CE60" s="2591" t="str">
        <f t="shared" si="38"/>
        <v>Please select</v>
      </c>
      <c r="CF60" s="4156">
        <f>'Inl. wetlands'!B178</f>
        <v>0</v>
      </c>
      <c r="CG60" s="4209"/>
      <c r="CH60" s="4156">
        <f>'Inl. wetlands'!D178</f>
        <v>0</v>
      </c>
      <c r="CI60" s="4209"/>
      <c r="CJ60" s="4156">
        <f>'Inl. wetlands'!F178</f>
        <v>0</v>
      </c>
      <c r="CK60" s="4209"/>
      <c r="CL60" s="2591"/>
      <c r="CM60" s="4156">
        <f>'Inl. wetlands'!H178</f>
        <v>0</v>
      </c>
      <c r="CN60" s="4209"/>
      <c r="CO60" s="4156">
        <f>'Inl. wetlands'!J178</f>
        <v>0</v>
      </c>
      <c r="CP60" s="4209"/>
      <c r="CQ60" s="2591"/>
      <c r="CT60" s="2319"/>
      <c r="CU60" s="2591"/>
      <c r="CV60" s="2560"/>
      <c r="CW60" s="2560"/>
      <c r="CX60" s="2560"/>
      <c r="CY60" s="2560"/>
      <c r="CZ60" s="2560"/>
      <c r="DA60" s="2560"/>
      <c r="DB60" s="2560"/>
      <c r="DC60" s="2560"/>
      <c r="DD60" s="2560"/>
      <c r="DE60" s="2560"/>
      <c r="DF60" s="2560"/>
      <c r="DG60" s="2560"/>
      <c r="DH60" s="2560"/>
      <c r="DI60" s="2560"/>
      <c r="DJ60" s="2560"/>
      <c r="DK60" s="2560"/>
      <c r="DL60" s="2560"/>
      <c r="DM60" s="2560"/>
      <c r="DN60" s="2560"/>
      <c r="DO60" s="2560"/>
      <c r="DP60" s="2560"/>
      <c r="DU60" s="2591"/>
      <c r="DV60" s="2591" t="str">
        <f t="shared" si="39"/>
        <v>Please select</v>
      </c>
      <c r="DW60" s="2591"/>
      <c r="DX60" s="2612">
        <f>'Inl. wetlands'!H206</f>
        <v>0</v>
      </c>
      <c r="DY60" s="4205"/>
      <c r="DZ60" s="4155">
        <f>'Inl. wetlands'!J206</f>
        <v>0</v>
      </c>
      <c r="EA60" s="4205"/>
      <c r="EB60" s="4155">
        <f>'Inl. wetlands'!L206</f>
        <v>0</v>
      </c>
      <c r="EC60" s="4205"/>
      <c r="ED60" s="2591"/>
      <c r="EE60" s="4156">
        <f>'Inl. wetlands'!N206</f>
        <v>0</v>
      </c>
      <c r="EF60" s="4205"/>
      <c r="EG60" s="2591"/>
      <c r="EH60" s="2591"/>
    </row>
    <row r="61" spans="2:138" x14ac:dyDescent="0.2">
      <c r="B61" s="1838"/>
      <c r="C61" s="1814" t="str">
        <f t="shared" si="30"/>
        <v>Please select</v>
      </c>
      <c r="D61" s="1838"/>
      <c r="E61" s="1838" t="str">
        <f t="shared" si="31"/>
        <v>Please select</v>
      </c>
      <c r="F61" s="1838"/>
      <c r="G61" s="1838"/>
      <c r="H61" s="1838"/>
      <c r="I61" s="1838"/>
      <c r="J61" s="1838"/>
      <c r="K61" s="2107">
        <f t="shared" si="32"/>
        <v>0</v>
      </c>
      <c r="L61" s="1838"/>
      <c r="M61" s="4192">
        <v>0</v>
      </c>
      <c r="N61" s="4193">
        <v>0</v>
      </c>
      <c r="O61" s="4098" t="s">
        <v>86</v>
      </c>
      <c r="P61" s="4193">
        <v>0</v>
      </c>
      <c r="Q61" s="4098" t="s">
        <v>86</v>
      </c>
      <c r="R61" s="1838"/>
      <c r="S61" s="2107">
        <f t="shared" si="33"/>
        <v>0</v>
      </c>
      <c r="T61" s="2107">
        <f t="shared" si="34"/>
        <v>0</v>
      </c>
      <c r="U61" s="2107">
        <f t="shared" si="35"/>
        <v>0</v>
      </c>
      <c r="V61" s="1838"/>
      <c r="W61" s="4195">
        <v>0</v>
      </c>
      <c r="X61" s="4195">
        <v>0</v>
      </c>
      <c r="Y61" s="4195">
        <v>0</v>
      </c>
      <c r="Z61" s="1838"/>
      <c r="AA61" s="2129" t="s">
        <v>1053</v>
      </c>
      <c r="AB61" s="1838"/>
      <c r="AC61" s="1838"/>
      <c r="AD61" s="1838"/>
      <c r="AE61" s="2107">
        <f>+'Inl. wetlands'!AI154+'Inl. wetlands'!AI174+'Inl. wetlands'!AI203</f>
        <v>0</v>
      </c>
      <c r="AF61" s="2107">
        <f>+'Inl. wetlands'!AJ154+'Inl. wetlands'!AJ174+'Inl. wetlands'!AJ203</f>
        <v>0</v>
      </c>
      <c r="AG61" s="1806">
        <f t="shared" si="36"/>
        <v>0</v>
      </c>
      <c r="AH61" s="1838"/>
      <c r="AI61" s="1838"/>
      <c r="AS61" s="2591"/>
      <c r="AT61" s="2591" t="str">
        <f t="shared" si="37"/>
        <v>Please select</v>
      </c>
      <c r="AU61" s="2591"/>
      <c r="AV61" s="2591"/>
      <c r="AW61" s="4170">
        <f>IF($AT61="Please select",0,VLOOKUP($AT61,'Inl. wetlands'!$B$117:$J$125,3,FALSE)*0.47)</f>
        <v>0</v>
      </c>
      <c r="AX61" s="4206"/>
      <c r="AY61" s="4170">
        <f>IF($AT61="Please select",0,VLOOKUP($AT61,'Inl. wetlands'!$B$117:$J$125,4,FALSE)*0.47)</f>
        <v>0</v>
      </c>
      <c r="AZ61" s="4206"/>
      <c r="BA61" s="1800"/>
      <c r="BB61" s="2612">
        <f>IF($AT61="Please select",0,VLOOKUP($AT61,'Inl. wetlands'!$B$117:$J$125,5,FALSE)*0.47)</f>
        <v>0</v>
      </c>
      <c r="BC61" s="4206"/>
      <c r="BD61" s="2612">
        <f>IF($AT61="Please select",0,VLOOKUP($AT61,'Inl. wetlands'!$B$117:$J$125,6,FALSE)*0.47)</f>
        <v>0</v>
      </c>
      <c r="BE61" s="4206"/>
      <c r="BF61" s="2591"/>
      <c r="BG61" s="4376">
        <f>'Inl. wetlands'!AD121*12/44</f>
        <v>0</v>
      </c>
      <c r="BH61" s="4206"/>
      <c r="BI61" s="2591"/>
      <c r="BJ61" s="2591"/>
      <c r="BK61" s="2612">
        <f>IF($AT61="Please select",0,VLOOKUP($AT61,'Inl. wetlands'!$B$117:$J$125,7,FALSE))</f>
        <v>0</v>
      </c>
      <c r="BL61" s="4206"/>
      <c r="BM61" s="2591"/>
      <c r="BN61" s="2612">
        <f>IF($AT61="Please select",0,VLOOKUP($AT61,'Inl. wetlands'!$B$117:$J$125,8,FALSE))</f>
        <v>0</v>
      </c>
      <c r="BO61" s="4206"/>
      <c r="BP61" s="2591"/>
      <c r="BR61" s="1996"/>
      <c r="BS61" s="1996"/>
      <c r="BT61" s="1996"/>
      <c r="CD61" s="4165"/>
      <c r="CE61" s="2591" t="str">
        <f t="shared" si="38"/>
        <v>Please select</v>
      </c>
      <c r="CF61" s="4156">
        <f>'Inl. wetlands'!B179</f>
        <v>0</v>
      </c>
      <c r="CG61" s="4209"/>
      <c r="CH61" s="4156">
        <f>'Inl. wetlands'!D179</f>
        <v>0</v>
      </c>
      <c r="CI61" s="4209"/>
      <c r="CJ61" s="4156">
        <f>'Inl. wetlands'!F179</f>
        <v>0</v>
      </c>
      <c r="CK61" s="4209"/>
      <c r="CL61" s="2591"/>
      <c r="CM61" s="4156">
        <f>'Inl. wetlands'!H179</f>
        <v>0</v>
      </c>
      <c r="CN61" s="4209"/>
      <c r="CO61" s="4156">
        <f>'Inl. wetlands'!J179</f>
        <v>0</v>
      </c>
      <c r="CP61" s="4209"/>
      <c r="CQ61" s="2591"/>
      <c r="CT61" s="2319"/>
      <c r="CU61" s="2591"/>
      <c r="CV61" s="2560"/>
      <c r="CW61" s="2560"/>
      <c r="CX61" s="2560"/>
      <c r="CY61" s="2560"/>
      <c r="CZ61" s="2560"/>
      <c r="DA61" s="2560"/>
      <c r="DB61" s="2560"/>
      <c r="DC61" s="2560"/>
      <c r="DD61" s="2560"/>
      <c r="DE61" s="2560"/>
      <c r="DF61" s="2560"/>
      <c r="DG61" s="2560"/>
      <c r="DH61" s="2560"/>
      <c r="DI61" s="2560"/>
      <c r="DJ61" s="2560"/>
      <c r="DK61" s="2560"/>
      <c r="DL61" s="2560"/>
      <c r="DM61" s="2560"/>
      <c r="DN61" s="2560"/>
      <c r="DO61" s="2560"/>
      <c r="DP61" s="2560"/>
      <c r="DU61" s="2591"/>
      <c r="DV61" s="2591" t="str">
        <f t="shared" si="39"/>
        <v>Please select</v>
      </c>
      <c r="DW61" s="2591"/>
      <c r="DX61" s="2612">
        <f>'Inl. wetlands'!H207</f>
        <v>0</v>
      </c>
      <c r="DY61" s="4205"/>
      <c r="DZ61" s="4155">
        <f>'Inl. wetlands'!J207</f>
        <v>0</v>
      </c>
      <c r="EA61" s="4205"/>
      <c r="EB61" s="4155">
        <f>'Inl. wetlands'!L207</f>
        <v>0</v>
      </c>
      <c r="EC61" s="4205"/>
      <c r="ED61" s="2591"/>
      <c r="EE61" s="4156">
        <f>'Inl. wetlands'!N207</f>
        <v>0</v>
      </c>
      <c r="EF61" s="4205"/>
      <c r="EG61" s="2591"/>
      <c r="EH61" s="2591"/>
    </row>
    <row r="62" spans="2:138" x14ac:dyDescent="0.2">
      <c r="B62" s="1838"/>
      <c r="C62" s="1814" t="str">
        <f t="shared" si="30"/>
        <v>Please select</v>
      </c>
      <c r="D62" s="1838"/>
      <c r="E62" s="1838" t="str">
        <f t="shared" si="31"/>
        <v>Please select</v>
      </c>
      <c r="F62" s="1838"/>
      <c r="G62" s="1838"/>
      <c r="H62" s="1838"/>
      <c r="I62" s="1838"/>
      <c r="J62" s="1838"/>
      <c r="K62" s="2107">
        <f t="shared" si="32"/>
        <v>0</v>
      </c>
      <c r="L62" s="1838"/>
      <c r="M62" s="4192">
        <v>0</v>
      </c>
      <c r="N62" s="4193">
        <v>0</v>
      </c>
      <c r="O62" s="4098" t="s">
        <v>86</v>
      </c>
      <c r="P62" s="4193">
        <v>0</v>
      </c>
      <c r="Q62" s="4098" t="s">
        <v>86</v>
      </c>
      <c r="R62" s="1838"/>
      <c r="S62" s="2107">
        <f t="shared" si="33"/>
        <v>0</v>
      </c>
      <c r="T62" s="2107">
        <f t="shared" si="34"/>
        <v>0</v>
      </c>
      <c r="U62" s="2107">
        <f t="shared" si="35"/>
        <v>0</v>
      </c>
      <c r="V62" s="1838"/>
      <c r="W62" s="4195">
        <v>0</v>
      </c>
      <c r="X62" s="4195">
        <v>0</v>
      </c>
      <c r="Y62" s="4195">
        <v>0</v>
      </c>
      <c r="Z62" s="1838"/>
      <c r="AA62" s="2129" t="s">
        <v>1053</v>
      </c>
      <c r="AB62" s="1838"/>
      <c r="AC62" s="1838"/>
      <c r="AD62" s="1838"/>
      <c r="AE62" s="2107">
        <f>+'Inl. wetlands'!AI155+'Inl. wetlands'!AI175+'Inl. wetlands'!AI204</f>
        <v>0</v>
      </c>
      <c r="AF62" s="2107">
        <f>+'Inl. wetlands'!AJ155+'Inl. wetlands'!AJ175+'Inl. wetlands'!AJ204</f>
        <v>0</v>
      </c>
      <c r="AG62" s="1806">
        <f t="shared" si="36"/>
        <v>0</v>
      </c>
      <c r="AH62" s="1838"/>
      <c r="AI62" s="1838"/>
      <c r="AS62" s="2591"/>
      <c r="AT62" s="2591" t="str">
        <f t="shared" si="37"/>
        <v>Please select</v>
      </c>
      <c r="AU62" s="2591"/>
      <c r="AV62" s="2591"/>
      <c r="AW62" s="4170">
        <f>IF($AT62="Please select",0,VLOOKUP($AT62,'Inl. wetlands'!$B$117:$J$125,3,FALSE)*0.47)</f>
        <v>0</v>
      </c>
      <c r="AX62" s="4206"/>
      <c r="AY62" s="4170">
        <f>IF($AT62="Please select",0,VLOOKUP($AT62,'Inl. wetlands'!$B$117:$J$125,4,FALSE)*0.47)</f>
        <v>0</v>
      </c>
      <c r="AZ62" s="4206"/>
      <c r="BA62" s="1800"/>
      <c r="BB62" s="2612">
        <f>IF($AT62="Please select",0,VLOOKUP($AT62,'Inl. wetlands'!$B$117:$J$125,5,FALSE)*0.47)</f>
        <v>0</v>
      </c>
      <c r="BC62" s="4206"/>
      <c r="BD62" s="2612">
        <f>IF($AT62="Please select",0,VLOOKUP($AT62,'Inl. wetlands'!$B$117:$J$125,6,FALSE)*0.47)</f>
        <v>0</v>
      </c>
      <c r="BE62" s="4206"/>
      <c r="BF62" s="2591"/>
      <c r="BG62" s="4376">
        <f>'Inl. wetlands'!AD122*12/44</f>
        <v>0</v>
      </c>
      <c r="BH62" s="4206"/>
      <c r="BI62" s="2591"/>
      <c r="BJ62" s="2591"/>
      <c r="BK62" s="2612">
        <f>IF($AT62="Please select",0,VLOOKUP($AT62,'Inl. wetlands'!$B$117:$J$125,7,FALSE))</f>
        <v>0</v>
      </c>
      <c r="BL62" s="4206"/>
      <c r="BM62" s="2591"/>
      <c r="BN62" s="2612">
        <f>IF($AT62="Please select",0,VLOOKUP($AT62,'Inl. wetlands'!$B$117:$J$125,8,FALSE))</f>
        <v>0</v>
      </c>
      <c r="BO62" s="4206"/>
      <c r="BP62" s="2591"/>
      <c r="BR62" s="1996"/>
      <c r="BS62" s="1996"/>
      <c r="BT62" s="1996"/>
      <c r="CD62" s="4165"/>
      <c r="CE62" s="2591" t="str">
        <f t="shared" si="38"/>
        <v>Please select</v>
      </c>
      <c r="CF62" s="4156">
        <f>'Inl. wetlands'!B180</f>
        <v>0</v>
      </c>
      <c r="CG62" s="4209"/>
      <c r="CH62" s="4156">
        <f>'Inl. wetlands'!D180</f>
        <v>0</v>
      </c>
      <c r="CI62" s="4209"/>
      <c r="CJ62" s="4156">
        <f>'Inl. wetlands'!F180</f>
        <v>0</v>
      </c>
      <c r="CK62" s="4209"/>
      <c r="CL62" s="2591"/>
      <c r="CM62" s="4156">
        <f>'Inl. wetlands'!H180</f>
        <v>0</v>
      </c>
      <c r="CN62" s="4209"/>
      <c r="CO62" s="4156">
        <f>'Inl. wetlands'!J180</f>
        <v>0</v>
      </c>
      <c r="CP62" s="4209"/>
      <c r="CQ62" s="2591"/>
      <c r="CT62" s="2319"/>
      <c r="CU62" s="2591"/>
      <c r="CV62" s="2560"/>
      <c r="CW62" s="2560"/>
      <c r="CX62" s="2560"/>
      <c r="CY62" s="2560"/>
      <c r="CZ62" s="2560"/>
      <c r="DA62" s="2560"/>
      <c r="DB62" s="2560"/>
      <c r="DC62" s="2560"/>
      <c r="DD62" s="2560"/>
      <c r="DE62" s="2560"/>
      <c r="DF62" s="2560"/>
      <c r="DG62" s="2560"/>
      <c r="DH62" s="2560"/>
      <c r="DI62" s="2560"/>
      <c r="DJ62" s="2560"/>
      <c r="DK62" s="2560"/>
      <c r="DL62" s="2560"/>
      <c r="DM62" s="2560"/>
      <c r="DN62" s="2560"/>
      <c r="DO62" s="2560"/>
      <c r="DP62" s="2560"/>
      <c r="DU62" s="2591"/>
      <c r="DV62" s="2591" t="str">
        <f t="shared" si="39"/>
        <v>Please select</v>
      </c>
      <c r="DW62" s="2591"/>
      <c r="DX62" s="2612">
        <f>'Inl. wetlands'!H208</f>
        <v>0</v>
      </c>
      <c r="DY62" s="4205"/>
      <c r="DZ62" s="4155">
        <f>'Inl. wetlands'!J208</f>
        <v>0</v>
      </c>
      <c r="EA62" s="4205"/>
      <c r="EB62" s="4155">
        <f>'Inl. wetlands'!L208</f>
        <v>0</v>
      </c>
      <c r="EC62" s="4205"/>
      <c r="ED62" s="2591"/>
      <c r="EE62" s="4156">
        <f>'Inl. wetlands'!N208</f>
        <v>0</v>
      </c>
      <c r="EF62" s="4205"/>
      <c r="EG62" s="2591"/>
      <c r="EH62" s="2591"/>
    </row>
    <row r="63" spans="2:138" x14ac:dyDescent="0.2">
      <c r="B63" s="1838"/>
      <c r="C63" s="1814" t="str">
        <f t="shared" si="30"/>
        <v>Please select</v>
      </c>
      <c r="D63" s="1838"/>
      <c r="E63" s="1838" t="str">
        <f t="shared" si="31"/>
        <v>Please select</v>
      </c>
      <c r="F63" s="1838"/>
      <c r="G63" s="1838"/>
      <c r="H63" s="1838"/>
      <c r="I63" s="1838"/>
      <c r="J63" s="1838"/>
      <c r="K63" s="2107">
        <f t="shared" si="32"/>
        <v>0</v>
      </c>
      <c r="L63" s="1838"/>
      <c r="M63" s="4192">
        <v>0</v>
      </c>
      <c r="N63" s="4193">
        <v>0</v>
      </c>
      <c r="O63" s="4098" t="s">
        <v>86</v>
      </c>
      <c r="P63" s="4193">
        <v>0</v>
      </c>
      <c r="Q63" s="4098" t="s">
        <v>86</v>
      </c>
      <c r="R63" s="1838"/>
      <c r="S63" s="2107">
        <f t="shared" si="33"/>
        <v>0</v>
      </c>
      <c r="T63" s="2107">
        <f t="shared" si="34"/>
        <v>0</v>
      </c>
      <c r="U63" s="2107">
        <f t="shared" si="35"/>
        <v>0</v>
      </c>
      <c r="V63" s="1838"/>
      <c r="W63" s="4195">
        <v>0</v>
      </c>
      <c r="X63" s="4195">
        <v>0</v>
      </c>
      <c r="Y63" s="4195">
        <v>0</v>
      </c>
      <c r="Z63" s="1838"/>
      <c r="AA63" s="2129" t="s">
        <v>1053</v>
      </c>
      <c r="AB63" s="1838"/>
      <c r="AC63" s="1838"/>
      <c r="AD63" s="1838"/>
      <c r="AE63" s="2107">
        <f>+'Inl. wetlands'!AI156+'Inl. wetlands'!AI176+'Inl. wetlands'!AI205</f>
        <v>0</v>
      </c>
      <c r="AF63" s="2107">
        <f>+'Inl. wetlands'!AJ156+'Inl. wetlands'!AJ176+'Inl. wetlands'!AJ205</f>
        <v>0</v>
      </c>
      <c r="AG63" s="1806">
        <f t="shared" si="36"/>
        <v>0</v>
      </c>
      <c r="AH63" s="1838"/>
      <c r="AI63" s="1838"/>
      <c r="AS63" s="2591"/>
      <c r="AT63" s="2591" t="str">
        <f t="shared" si="37"/>
        <v>Please select</v>
      </c>
      <c r="AU63" s="2591"/>
      <c r="AV63" s="2591"/>
      <c r="AW63" s="4170">
        <f>IF($AT63="Please select",0,VLOOKUP($AT63,'Inl. wetlands'!$B$117:$J$125,3,FALSE)*0.47)</f>
        <v>0</v>
      </c>
      <c r="AX63" s="4206"/>
      <c r="AY63" s="4170">
        <f>IF($AT63="Please select",0,VLOOKUP($AT63,'Inl. wetlands'!$B$117:$J$125,4,FALSE)*0.47)</f>
        <v>0</v>
      </c>
      <c r="AZ63" s="4206"/>
      <c r="BA63" s="1800"/>
      <c r="BB63" s="2612">
        <f>IF($AT63="Please select",0,VLOOKUP($AT63,'Inl. wetlands'!$B$117:$J$125,5,FALSE)*0.47)</f>
        <v>0</v>
      </c>
      <c r="BC63" s="4206"/>
      <c r="BD63" s="2612">
        <f>IF($AT63="Please select",0,VLOOKUP($AT63,'Inl. wetlands'!$B$117:$J$125,6,FALSE)*0.47)</f>
        <v>0</v>
      </c>
      <c r="BE63" s="4206"/>
      <c r="BF63" s="2591"/>
      <c r="BG63" s="4376">
        <f>'Inl. wetlands'!AD123*12/44</f>
        <v>0</v>
      </c>
      <c r="BH63" s="4206"/>
      <c r="BI63" s="2591"/>
      <c r="BJ63" s="2591"/>
      <c r="BK63" s="2612">
        <f>IF($AT63="Please select",0,VLOOKUP($AT63,'Inl. wetlands'!$B$117:$J$125,7,FALSE))</f>
        <v>0</v>
      </c>
      <c r="BL63" s="4206"/>
      <c r="BM63" s="2591"/>
      <c r="BN63" s="2612">
        <f>IF($AT63="Please select",0,VLOOKUP($AT63,'Inl. wetlands'!$B$117:$J$125,8,FALSE))</f>
        <v>0</v>
      </c>
      <c r="BO63" s="4206"/>
      <c r="BP63" s="2591"/>
      <c r="BR63" s="1996"/>
      <c r="BS63" s="1996"/>
      <c r="BT63" s="1996"/>
      <c r="CD63" s="4165"/>
      <c r="CE63" s="2591" t="str">
        <f t="shared" si="38"/>
        <v>Please select</v>
      </c>
      <c r="CF63" s="4156">
        <f>'Inl. wetlands'!B181</f>
        <v>0</v>
      </c>
      <c r="CG63" s="4209"/>
      <c r="CH63" s="4156">
        <f>'Inl. wetlands'!D181</f>
        <v>0</v>
      </c>
      <c r="CI63" s="4209"/>
      <c r="CJ63" s="4156">
        <f>'Inl. wetlands'!F181</f>
        <v>0</v>
      </c>
      <c r="CK63" s="4209"/>
      <c r="CL63" s="2591"/>
      <c r="CM63" s="4156">
        <f>'Inl. wetlands'!H181</f>
        <v>0</v>
      </c>
      <c r="CN63" s="4209"/>
      <c r="CO63" s="4156">
        <f>'Inl. wetlands'!J181</f>
        <v>0</v>
      </c>
      <c r="CP63" s="4209"/>
      <c r="CQ63" s="2591"/>
      <c r="CT63" s="2319"/>
      <c r="CU63" s="2591"/>
      <c r="CV63" s="2560"/>
      <c r="CW63" s="2560"/>
      <c r="CX63" s="2560"/>
      <c r="CY63" s="2560"/>
      <c r="CZ63" s="2560"/>
      <c r="DA63" s="2560"/>
      <c r="DB63" s="2560"/>
      <c r="DC63" s="2560"/>
      <c r="DD63" s="2560"/>
      <c r="DE63" s="2560"/>
      <c r="DF63" s="2560"/>
      <c r="DG63" s="2560"/>
      <c r="DH63" s="2560"/>
      <c r="DI63" s="2560"/>
      <c r="DJ63" s="2560"/>
      <c r="DK63" s="2560"/>
      <c r="DL63" s="2560"/>
      <c r="DM63" s="2560"/>
      <c r="DN63" s="2560"/>
      <c r="DO63" s="2560"/>
      <c r="DP63" s="2560"/>
      <c r="DU63" s="2591"/>
      <c r="DV63" s="2591" t="str">
        <f t="shared" si="39"/>
        <v>Please select</v>
      </c>
      <c r="DW63" s="2591"/>
      <c r="DX63" s="2612">
        <f>'Inl. wetlands'!H209</f>
        <v>0</v>
      </c>
      <c r="DY63" s="4205"/>
      <c r="DZ63" s="4155">
        <f>'Inl. wetlands'!J209</f>
        <v>0</v>
      </c>
      <c r="EA63" s="4205"/>
      <c r="EB63" s="4155">
        <f>'Inl. wetlands'!L209</f>
        <v>0</v>
      </c>
      <c r="EC63" s="4205"/>
      <c r="ED63" s="2591"/>
      <c r="EE63" s="4156">
        <f>'Inl. wetlands'!N209</f>
        <v>0</v>
      </c>
      <c r="EF63" s="4205"/>
      <c r="EG63" s="2591"/>
      <c r="EH63" s="2591"/>
    </row>
    <row r="64" spans="2:138" x14ac:dyDescent="0.2">
      <c r="B64" s="1838"/>
      <c r="C64" s="1902"/>
      <c r="D64" s="1838"/>
      <c r="E64" s="1838"/>
      <c r="F64" s="1838"/>
      <c r="G64" s="1838"/>
      <c r="H64" s="1838"/>
      <c r="I64" s="1838"/>
      <c r="J64" s="1838"/>
      <c r="K64" s="1838"/>
      <c r="L64" s="1838"/>
      <c r="M64" s="1838"/>
      <c r="N64" s="1838"/>
      <c r="O64" s="1838"/>
      <c r="P64" s="1838"/>
      <c r="Q64" s="1838"/>
      <c r="R64" s="1838"/>
      <c r="S64" s="1838"/>
      <c r="T64" s="1838"/>
      <c r="U64" s="1838"/>
      <c r="V64" s="1838"/>
      <c r="W64" s="1838"/>
      <c r="X64" s="1838"/>
      <c r="Y64" s="1838"/>
      <c r="Z64" s="1838"/>
      <c r="AA64" s="4271" t="str">
        <f>IF(OR(AND(AA58&lt;&gt;"Y/N", AA58&lt;&gt;"No"), AND(AA59&lt;&gt;"Y/N",AA59&lt;&gt;"No" ), AND(AA60&lt;&gt;"Y/N",AA60&lt;&gt;"No" ), AND(AA61&lt;&gt;"Y/N", AA61&lt;&gt;"No"), AND(AA62&lt;&gt;"Y/N", AA62&lt;&gt;"No"), AND(AA63&lt;&gt;"Y/N", AA63&lt;&gt;"No")), list!$B$279, "")</f>
        <v/>
      </c>
      <c r="AB64" s="1838"/>
      <c r="AC64" s="1838"/>
      <c r="AD64" s="1838"/>
      <c r="AE64" s="2107"/>
      <c r="AF64" s="2107"/>
      <c r="AG64" s="1806"/>
      <c r="AH64" s="1838"/>
      <c r="AI64" s="1838"/>
      <c r="AS64" s="2591"/>
      <c r="AT64" s="2591"/>
      <c r="AU64" s="2591"/>
      <c r="AV64" s="2591"/>
      <c r="AW64" s="2591"/>
      <c r="AX64" s="2591"/>
      <c r="AY64" s="2591"/>
      <c r="AZ64" s="2591"/>
      <c r="BA64" s="2591"/>
      <c r="BB64" s="2591"/>
      <c r="BC64" s="2591"/>
      <c r="BD64" s="2591"/>
      <c r="BE64" s="2591"/>
      <c r="BF64" s="2591"/>
      <c r="BG64" s="2591"/>
      <c r="BH64" s="2591"/>
      <c r="BI64" s="2591"/>
      <c r="BJ64" s="2591"/>
      <c r="BK64" s="2591"/>
      <c r="BL64" s="2591"/>
      <c r="BM64" s="2591"/>
      <c r="BN64" s="2591"/>
      <c r="BO64" s="2591"/>
      <c r="BP64" s="2591"/>
      <c r="BR64" s="1996"/>
      <c r="BS64" s="1996"/>
      <c r="BT64" s="1996"/>
      <c r="CD64" s="4165"/>
      <c r="CE64" s="2591"/>
      <c r="CF64" s="2591"/>
      <c r="CG64" s="2591"/>
      <c r="CH64" s="2591"/>
      <c r="CI64" s="2591"/>
      <c r="CJ64" s="2591"/>
      <c r="CK64" s="2591"/>
      <c r="CL64" s="2591"/>
      <c r="CM64" s="2591"/>
      <c r="CN64" s="2591"/>
      <c r="CO64" s="2591"/>
      <c r="CP64" s="2591"/>
      <c r="CQ64" s="2591"/>
      <c r="CT64" s="2319"/>
      <c r="CU64" s="2591"/>
      <c r="CV64" s="2560"/>
      <c r="CW64" s="2560"/>
      <c r="CX64" s="2560"/>
      <c r="CY64" s="2560"/>
      <c r="CZ64" s="2560"/>
      <c r="DA64" s="2560"/>
      <c r="DB64" s="2560"/>
      <c r="DC64" s="2560"/>
      <c r="DD64" s="2560"/>
      <c r="DE64" s="2560"/>
      <c r="DF64" s="2560"/>
      <c r="DG64" s="2560"/>
      <c r="DH64" s="2560"/>
      <c r="DI64" s="2560"/>
      <c r="DJ64" s="2560"/>
      <c r="DK64" s="2560"/>
      <c r="DL64" s="2560"/>
      <c r="DM64" s="2560"/>
      <c r="DN64" s="2560"/>
      <c r="DO64" s="2560"/>
      <c r="DP64" s="2560"/>
      <c r="DU64" s="2591"/>
      <c r="DV64" s="2591"/>
      <c r="DW64" s="2591"/>
      <c r="DX64" s="2591"/>
      <c r="DY64" s="2591"/>
      <c r="DZ64" s="2591"/>
      <c r="EA64" s="2591"/>
      <c r="EB64" s="2591"/>
      <c r="EC64" s="2591"/>
      <c r="ED64" s="2591"/>
      <c r="EE64" s="2591"/>
      <c r="EF64" s="2591"/>
      <c r="EG64" s="2591"/>
      <c r="EH64" s="2591"/>
    </row>
    <row r="65" spans="2:138" x14ac:dyDescent="0.2">
      <c r="B65" s="1838"/>
      <c r="C65" s="1902"/>
      <c r="D65" s="1838"/>
      <c r="E65" s="1838"/>
      <c r="F65" s="1838"/>
      <c r="G65" s="1838"/>
      <c r="H65" s="1838"/>
      <c r="I65" s="1838"/>
      <c r="J65" s="1838"/>
      <c r="K65" s="1838"/>
      <c r="L65" s="1838"/>
      <c r="M65" s="1838"/>
      <c r="N65" s="1838"/>
      <c r="O65" s="1838"/>
      <c r="P65" s="1838"/>
      <c r="Q65" s="1838"/>
      <c r="R65" s="1838"/>
      <c r="S65" s="1838"/>
      <c r="T65" s="1838"/>
      <c r="U65" s="1838"/>
      <c r="V65" s="1838"/>
      <c r="W65" s="1838"/>
      <c r="X65" s="1838"/>
      <c r="Y65" s="1838"/>
      <c r="Z65" s="1838"/>
      <c r="AA65" s="1838"/>
      <c r="AB65" s="1838"/>
      <c r="AC65" s="1838"/>
      <c r="AD65" s="1838"/>
      <c r="AE65" s="2107"/>
      <c r="AF65" s="2107"/>
      <c r="AG65" s="1806"/>
      <c r="AH65" s="1838"/>
      <c r="AI65" s="1838"/>
      <c r="AS65" s="2591"/>
      <c r="AT65" s="2591"/>
      <c r="AU65" s="2591"/>
      <c r="AV65" s="2591"/>
      <c r="AW65" s="2591"/>
      <c r="AX65" s="2591"/>
      <c r="AY65" s="2591"/>
      <c r="AZ65" s="2591"/>
      <c r="BA65" s="2591"/>
      <c r="BB65" s="2591"/>
      <c r="BC65" s="2591"/>
      <c r="BD65" s="2591"/>
      <c r="BE65" s="2591"/>
      <c r="BF65" s="2591"/>
      <c r="BG65" s="2591"/>
      <c r="BH65" s="2591"/>
      <c r="BI65" s="2591"/>
      <c r="BJ65" s="2591"/>
      <c r="BK65" s="2591"/>
      <c r="BL65" s="2591"/>
      <c r="BM65" s="2591"/>
      <c r="BN65" s="2591"/>
      <c r="BO65" s="2591"/>
      <c r="BP65" s="2591"/>
      <c r="BR65" s="1996"/>
      <c r="BS65" s="1996"/>
      <c r="BT65" s="1996"/>
      <c r="CD65" s="4165" t="str">
        <f>CD33</f>
        <v>Please indicate the dominant quality of peat, this can influence the emission factors above:</v>
      </c>
      <c r="CE65" s="2591"/>
      <c r="CF65" s="2591"/>
      <c r="CG65" s="2591"/>
      <c r="CH65" s="2591"/>
      <c r="CI65" s="2591"/>
      <c r="CJ65" s="2591"/>
      <c r="CK65" s="4205" t="s">
        <v>1055</v>
      </c>
      <c r="CL65" s="4205"/>
      <c r="CM65" s="4205"/>
      <c r="CN65" s="2591"/>
      <c r="CO65" s="2591"/>
      <c r="CP65" s="2591"/>
      <c r="CQ65" s="2591"/>
      <c r="CT65" s="2319"/>
      <c r="CU65" s="2591"/>
      <c r="CV65" s="2560"/>
      <c r="CW65" s="2560"/>
      <c r="CX65" s="2560"/>
      <c r="CY65" s="2560"/>
      <c r="CZ65" s="2560"/>
      <c r="DA65" s="2560"/>
      <c r="DB65" s="2560"/>
      <c r="DC65" s="2560"/>
      <c r="DD65" s="2560"/>
      <c r="DE65" s="2560"/>
      <c r="DF65" s="2560"/>
      <c r="DG65" s="2560"/>
      <c r="DH65" s="2560"/>
      <c r="DI65" s="2560"/>
      <c r="DJ65" s="2560"/>
      <c r="DK65" s="2560"/>
      <c r="DL65" s="2560"/>
      <c r="DM65" s="2560"/>
      <c r="DN65" s="2560"/>
      <c r="DO65" s="2560"/>
      <c r="DP65" s="2560"/>
      <c r="DU65" s="2591"/>
      <c r="DV65" s="2591"/>
      <c r="DW65" s="2591"/>
      <c r="DX65" s="2591"/>
      <c r="DY65" s="2591"/>
      <c r="DZ65" s="2591"/>
      <c r="EA65" s="2591"/>
      <c r="EB65" s="2591"/>
      <c r="EC65" s="2591"/>
      <c r="ED65" s="2591"/>
      <c r="EE65" s="2591"/>
      <c r="EF65" s="2591"/>
      <c r="EG65" s="2591"/>
      <c r="EH65" s="2591"/>
    </row>
    <row r="66" spans="2:138" x14ac:dyDescent="0.2">
      <c r="B66" s="1838"/>
      <c r="C66" s="1902"/>
      <c r="D66" s="1838"/>
      <c r="E66" s="1838"/>
      <c r="F66" s="1838"/>
      <c r="G66" s="1838"/>
      <c r="H66" s="1838"/>
      <c r="I66" s="1838"/>
      <c r="J66" s="1838"/>
      <c r="K66" s="1838"/>
      <c r="L66" s="1838"/>
      <c r="M66" s="1838"/>
      <c r="N66" s="1838"/>
      <c r="O66" s="1838"/>
      <c r="P66" s="1838"/>
      <c r="Q66" s="1838"/>
      <c r="R66" s="1838"/>
      <c r="S66" s="1838"/>
      <c r="T66" s="1838"/>
      <c r="U66" s="1838"/>
      <c r="V66" s="1838"/>
      <c r="W66" s="1960"/>
      <c r="X66" s="1960"/>
      <c r="Y66" s="1960"/>
      <c r="Z66" s="1838"/>
      <c r="AA66" s="1838"/>
      <c r="AB66" s="4351"/>
      <c r="AC66" s="4351"/>
      <c r="AD66" s="4351"/>
      <c r="AE66" s="4322"/>
      <c r="AF66" s="4322"/>
      <c r="AG66" s="1780"/>
      <c r="AH66" s="1838"/>
      <c r="AI66" s="1838"/>
      <c r="AS66" s="2591" t="str">
        <f>'5.Management'!AQ23</f>
        <v>Use this part only if you want to refine the analysis at Tier 2</v>
      </c>
      <c r="AT66" s="2591"/>
      <c r="AU66" s="2591"/>
      <c r="AV66" s="2591"/>
      <c r="AW66" s="2591"/>
      <c r="AX66" s="2591"/>
      <c r="AY66" s="2591"/>
      <c r="AZ66" s="2591"/>
      <c r="BA66" s="2591"/>
      <c r="BB66" s="2591"/>
      <c r="BC66" s="2591"/>
      <c r="BD66" s="2591"/>
      <c r="BE66" s="2591"/>
      <c r="BF66" s="2591"/>
      <c r="BG66" s="2591"/>
      <c r="BH66" s="2591"/>
      <c r="BI66" s="2591"/>
      <c r="BJ66" s="2591"/>
      <c r="BK66" s="2591"/>
      <c r="BL66" s="2591"/>
      <c r="BM66" s="2591"/>
      <c r="BN66" s="2591"/>
      <c r="BO66" s="2591"/>
      <c r="BP66" s="2591"/>
      <c r="BR66" s="1996"/>
      <c r="BS66" s="1996"/>
      <c r="BT66" s="1996"/>
      <c r="CD66" s="4165"/>
      <c r="CE66" s="2591"/>
      <c r="CF66" s="2591"/>
      <c r="CG66" s="2591"/>
      <c r="CH66" s="2591"/>
      <c r="CI66" s="2591"/>
      <c r="CJ66" s="2591"/>
      <c r="CK66" s="2591"/>
      <c r="CL66" s="2591"/>
      <c r="CM66" s="2591"/>
      <c r="CN66" s="2591"/>
      <c r="CO66" s="2591"/>
      <c r="CP66" s="2591"/>
      <c r="CQ66" s="2591"/>
      <c r="CT66" s="2319"/>
      <c r="CU66" s="2591"/>
      <c r="CV66" s="2560"/>
      <c r="CW66" s="2560"/>
      <c r="CX66" s="2560"/>
      <c r="CY66" s="2560"/>
      <c r="CZ66" s="2560"/>
      <c r="DA66" s="2560"/>
      <c r="DB66" s="2560"/>
      <c r="DC66" s="2560"/>
      <c r="DD66" s="2560"/>
      <c r="DE66" s="2560"/>
      <c r="DF66" s="2560"/>
      <c r="DG66" s="2560"/>
      <c r="DH66" s="2560"/>
      <c r="DI66" s="2560"/>
      <c r="DJ66" s="2560"/>
      <c r="DK66" s="2560"/>
      <c r="DL66" s="2560"/>
      <c r="DM66" s="2560"/>
      <c r="DN66" s="2560"/>
      <c r="DO66" s="2560"/>
      <c r="DP66" s="2560"/>
      <c r="DU66" s="2591"/>
      <c r="DV66" s="2591"/>
      <c r="DW66" s="2591"/>
      <c r="DX66" s="2591"/>
      <c r="DY66" s="2591"/>
      <c r="DZ66" s="2591"/>
      <c r="EA66" s="2591"/>
      <c r="EB66" s="2591"/>
      <c r="EC66" s="2591"/>
      <c r="ED66" s="2591"/>
      <c r="EE66" s="2591"/>
      <c r="EF66" s="4161" t="str">
        <f>CK53</f>
        <v>Nutrient poor</v>
      </c>
      <c r="EG66" s="4145" t="s">
        <v>1054</v>
      </c>
      <c r="EH66" s="2591"/>
    </row>
    <row r="67" spans="2:138" x14ac:dyDescent="0.2">
      <c r="B67" s="1960"/>
      <c r="C67" s="1960" t="str">
        <f>C34</f>
        <v>*The selection of "D" corresponds to a default (linear) dynamics of change. Other selection options include "I" for immediate changes and "E" for exponential - please refer to the guidelines for further explanation of these assumptions.</v>
      </c>
      <c r="D67" s="1960"/>
      <c r="E67" s="1960"/>
      <c r="F67" s="1960"/>
      <c r="G67" s="1960"/>
      <c r="H67" s="1960"/>
      <c r="I67" s="1960"/>
      <c r="J67" s="1960"/>
      <c r="K67" s="1960"/>
      <c r="L67" s="1960"/>
      <c r="M67" s="1960"/>
      <c r="N67" s="1960"/>
      <c r="O67" s="1960"/>
      <c r="P67" s="1960"/>
      <c r="Q67" s="1960"/>
      <c r="R67" s="1960"/>
      <c r="S67" s="1960"/>
      <c r="T67" s="1960"/>
      <c r="U67" s="1960"/>
      <c r="V67" s="1960"/>
      <c r="W67" s="1960"/>
      <c r="X67" s="1960"/>
      <c r="Y67" s="1960"/>
      <c r="Z67" s="1960"/>
      <c r="AA67" s="1960"/>
      <c r="AB67" s="1960"/>
      <c r="AC67" s="4321" t="str">
        <f>Languages!B398</f>
        <v>Total afforestation / reforestation on organic soils (tCO2-e)</v>
      </c>
      <c r="AD67" s="1960"/>
      <c r="AE67" s="4164">
        <f>SUM(AE46:AE51)+SUM(AE58:AE64)</f>
        <v>0</v>
      </c>
      <c r="AF67" s="4164">
        <f>SUM(AF46:AF51)+SUM(AF58:AF64)</f>
        <v>0</v>
      </c>
      <c r="AG67" s="2036">
        <f>SUM(AG46:AG51)+SUM(AG58:AG64)</f>
        <v>0</v>
      </c>
      <c r="AH67" s="4162"/>
      <c r="AI67" s="4162"/>
      <c r="AS67" s="2591" t="str">
        <f>'5.Management'!AQ24</f>
        <v>IPCC default values are provided for your information only; EX-ACT will use Tier 2 values automatically wherever specified.</v>
      </c>
      <c r="AT67" s="2591"/>
      <c r="AU67" s="2591"/>
      <c r="AV67" s="2591"/>
      <c r="AW67" s="2591"/>
      <c r="AX67" s="2591"/>
      <c r="AY67" s="2591"/>
      <c r="AZ67" s="2591"/>
      <c r="BA67" s="2591"/>
      <c r="BB67" s="2591"/>
      <c r="BC67" s="2591"/>
      <c r="BD67" s="2591"/>
      <c r="BE67" s="2591"/>
      <c r="BF67" s="2591"/>
      <c r="BG67" s="2591"/>
      <c r="BH67" s="2591"/>
      <c r="BI67" s="2591"/>
      <c r="BJ67" s="2591"/>
      <c r="BK67" s="2591"/>
      <c r="BL67" s="2591"/>
      <c r="BM67" s="2591"/>
      <c r="BN67" s="2591"/>
      <c r="BO67" s="2591"/>
      <c r="BP67" s="2591"/>
      <c r="BR67" s="1996"/>
      <c r="BS67" s="1996"/>
      <c r="BT67" s="1996"/>
      <c r="CD67" s="2591" t="str">
        <f>CD34</f>
        <v>Use this part only if you want to refine the analysis at Tier 2</v>
      </c>
      <c r="CE67" s="2591"/>
      <c r="CF67" s="2591"/>
      <c r="CG67" s="2591"/>
      <c r="CH67" s="2591"/>
      <c r="CI67" s="2591"/>
      <c r="CJ67" s="2591"/>
      <c r="CK67" s="2591"/>
      <c r="CL67" s="2591"/>
      <c r="CM67" s="2591"/>
      <c r="CN67" s="2591"/>
      <c r="CO67" s="2591"/>
      <c r="CP67" s="2591"/>
      <c r="CQ67" s="2591"/>
      <c r="CT67" s="2319" t="str">
        <f>CT35</f>
        <v>IPCC default values are provided for your information only; EX-ACT will use Tier 2 values automatically wherever specified.</v>
      </c>
      <c r="CU67" s="2319"/>
      <c r="CV67" s="2591"/>
      <c r="CW67" s="2591"/>
      <c r="CX67" s="2591"/>
      <c r="CY67" s="2591"/>
      <c r="CZ67" s="2591"/>
      <c r="DA67" s="2591"/>
      <c r="DB67" s="2560"/>
      <c r="DC67" s="2560"/>
      <c r="DD67" s="2560"/>
      <c r="DE67" s="2560"/>
      <c r="DF67" s="2560"/>
      <c r="DG67" s="2560"/>
      <c r="DH67" s="2560"/>
      <c r="DI67" s="2560"/>
      <c r="DJ67" s="2560"/>
      <c r="DK67" s="2560"/>
      <c r="DL67" s="2560"/>
      <c r="DM67" s="2560"/>
      <c r="DN67" s="2560"/>
      <c r="DO67" s="2560"/>
      <c r="DP67" s="2560"/>
      <c r="DU67" s="2591" t="str">
        <f>DU101</f>
        <v>Use this part only if you want to refine the analysis at Tier 2</v>
      </c>
      <c r="DV67" s="2591"/>
      <c r="DW67" s="2591"/>
      <c r="DX67" s="2591"/>
      <c r="DY67" s="2591"/>
      <c r="DZ67" s="2591"/>
      <c r="EA67" s="2591"/>
      <c r="EB67" s="2591"/>
      <c r="EC67" s="2591"/>
      <c r="ED67" s="2591"/>
      <c r="EE67" s="2591"/>
      <c r="EF67" s="2591"/>
      <c r="EG67" s="2591"/>
      <c r="EH67" s="2591"/>
    </row>
    <row r="68" spans="2:138" x14ac:dyDescent="0.2">
      <c r="B68" s="1960"/>
      <c r="C68" s="1960"/>
      <c r="D68" s="1960"/>
      <c r="E68" s="1960"/>
      <c r="F68" s="1960"/>
      <c r="G68" s="1960"/>
      <c r="H68" s="1960"/>
      <c r="I68" s="1960"/>
      <c r="J68" s="1960"/>
      <c r="K68" s="1960"/>
      <c r="L68" s="1960"/>
      <c r="M68" s="1960"/>
      <c r="N68" s="1960"/>
      <c r="O68" s="1960"/>
      <c r="P68" s="1960"/>
      <c r="Q68" s="1960"/>
      <c r="R68" s="1960"/>
      <c r="S68" s="1960"/>
      <c r="T68" s="1960"/>
      <c r="U68" s="1960"/>
      <c r="V68" s="1960"/>
      <c r="W68" s="1960"/>
      <c r="X68" s="1960"/>
      <c r="Y68" s="1960"/>
      <c r="Z68" s="1960"/>
      <c r="AA68" s="1960"/>
      <c r="AB68" s="1960"/>
      <c r="AC68" s="1960"/>
      <c r="AD68" s="1960"/>
      <c r="AE68" s="1960"/>
      <c r="AF68" s="1960"/>
      <c r="AG68" s="1960"/>
      <c r="AH68" s="1960"/>
      <c r="AI68" s="1960"/>
      <c r="AS68" s="2591"/>
      <c r="AT68" s="2591"/>
      <c r="AU68" s="2591"/>
      <c r="AV68" s="2591"/>
      <c r="AW68" s="2591"/>
      <c r="AX68" s="2591"/>
      <c r="AY68" s="2591"/>
      <c r="AZ68" s="2591"/>
      <c r="BA68" s="2591"/>
      <c r="BB68" s="2591"/>
      <c r="BC68" s="2591"/>
      <c r="BD68" s="2591"/>
      <c r="BE68" s="2591"/>
      <c r="BF68" s="2591"/>
      <c r="BG68" s="2591"/>
      <c r="BH68" s="2591"/>
      <c r="BI68" s="2591"/>
      <c r="BJ68" s="2591"/>
      <c r="BK68" s="2591"/>
      <c r="BL68" s="2591"/>
      <c r="BM68" s="2591"/>
      <c r="BN68" s="2591"/>
      <c r="BO68" s="2591"/>
      <c r="BP68" s="2591"/>
      <c r="BR68" s="1996"/>
      <c r="BS68" s="1996"/>
      <c r="BT68" s="1996"/>
      <c r="CD68" s="2591" t="str">
        <f>CD35</f>
        <v>IPCC default values are provided for your information only; EX-ACT will use Tier 2 values automatically wherever specified.</v>
      </c>
      <c r="CE68" s="2591"/>
      <c r="CF68" s="2591"/>
      <c r="CG68" s="2591"/>
      <c r="CH68" s="2591"/>
      <c r="CI68" s="2591"/>
      <c r="CJ68" s="2591"/>
      <c r="CK68" s="2591"/>
      <c r="CL68" s="2591"/>
      <c r="CM68" s="2591"/>
      <c r="CN68" s="2591"/>
      <c r="CO68" s="2591"/>
      <c r="CP68" s="2591"/>
      <c r="CQ68" s="2591"/>
      <c r="CT68" s="2560"/>
      <c r="CU68" s="2591"/>
      <c r="CV68" s="2591"/>
      <c r="CW68" s="2591"/>
      <c r="CX68" s="2591"/>
      <c r="CY68" s="2591"/>
      <c r="CZ68" s="2591"/>
      <c r="DA68" s="2591"/>
      <c r="DB68" s="2560"/>
      <c r="DC68" s="2560"/>
      <c r="DD68" s="2560"/>
      <c r="DE68" s="2560"/>
      <c r="DF68" s="2560"/>
      <c r="DG68" s="2560"/>
      <c r="DH68" s="2560"/>
      <c r="DI68" s="2560"/>
      <c r="DJ68" s="2560"/>
      <c r="DK68" s="2560"/>
      <c r="DL68" s="2560"/>
      <c r="DM68" s="2560"/>
      <c r="DN68" s="2560"/>
      <c r="DO68" s="2560"/>
      <c r="DP68" s="2560"/>
      <c r="DU68" s="2591" t="str">
        <f>DU102</f>
        <v>IPCC default values are provided for your information only; EX-ACT will use Tier 2 values automatically wherever specified.</v>
      </c>
      <c r="DV68" s="2591"/>
      <c r="DW68" s="2591"/>
      <c r="DX68" s="2591"/>
      <c r="DY68" s="2591"/>
      <c r="DZ68" s="2591"/>
      <c r="EA68" s="2591"/>
      <c r="EB68" s="2591"/>
      <c r="EC68" s="2591"/>
      <c r="ED68" s="2591"/>
      <c r="EE68" s="2591"/>
      <c r="EF68" s="2591"/>
      <c r="EG68" s="2591"/>
      <c r="EH68" s="2591"/>
    </row>
    <row r="69" spans="2:138" x14ac:dyDescent="0.2">
      <c r="BR69" s="1996"/>
      <c r="BS69" s="1996"/>
      <c r="BT69" s="1996"/>
      <c r="CT69" s="4132"/>
      <c r="DB69" s="4132"/>
      <c r="DC69" s="4132"/>
      <c r="DD69" s="4132"/>
      <c r="DE69" s="4132"/>
      <c r="DF69" s="4132"/>
      <c r="DG69" s="4132"/>
      <c r="DH69" s="4132"/>
      <c r="DI69" s="4132"/>
      <c r="DJ69" s="4132"/>
      <c r="DK69" s="4132"/>
      <c r="DL69" s="4132"/>
      <c r="DM69" s="4132"/>
      <c r="DN69" s="4132"/>
      <c r="DO69" s="4132"/>
      <c r="DP69" s="4132"/>
    </row>
    <row r="70" spans="2:138" ht="9.75" customHeight="1" x14ac:dyDescent="0.2">
      <c r="CT70" s="4132"/>
      <c r="DB70" s="4132"/>
      <c r="DC70" s="4132"/>
      <c r="DD70" s="4132"/>
      <c r="DE70" s="4132"/>
      <c r="DF70" s="4132"/>
      <c r="DG70" s="4132"/>
      <c r="DH70" s="4132"/>
      <c r="DI70" s="4132"/>
      <c r="DJ70" s="4132"/>
      <c r="DK70" s="4132"/>
      <c r="DL70" s="4132"/>
      <c r="DM70" s="4132"/>
      <c r="DN70" s="4132"/>
      <c r="DO70" s="4132"/>
      <c r="DP70" s="4132"/>
    </row>
    <row r="71" spans="2:138" ht="8.75" customHeight="1" x14ac:dyDescent="0.2">
      <c r="CT71" s="4132"/>
      <c r="DB71" s="4132"/>
      <c r="DC71" s="4132"/>
      <c r="DD71" s="4132"/>
      <c r="DE71" s="4132"/>
      <c r="DF71" s="4132"/>
      <c r="DG71" s="4132"/>
      <c r="DH71" s="4132"/>
      <c r="DI71" s="4132"/>
      <c r="DJ71" s="4132"/>
      <c r="DK71" s="4132"/>
      <c r="DL71" s="4132"/>
      <c r="DM71" s="4132"/>
      <c r="DN71" s="4132"/>
      <c r="DO71" s="4132"/>
      <c r="DP71" s="4132"/>
    </row>
    <row r="72" spans="2:138" x14ac:dyDescent="0.2">
      <c r="CT72" s="4132"/>
      <c r="DB72" s="4132"/>
      <c r="DC72" s="4132"/>
      <c r="DD72" s="4132"/>
      <c r="DE72" s="4132"/>
      <c r="DF72" s="4132"/>
      <c r="DG72" s="4132"/>
      <c r="DH72" s="4132"/>
      <c r="DI72" s="4132"/>
      <c r="DJ72" s="4132"/>
      <c r="DK72" s="4132"/>
      <c r="DL72" s="4132"/>
      <c r="DM72" s="4132"/>
      <c r="DN72" s="4132"/>
      <c r="DO72" s="4132"/>
      <c r="DP72" s="4132"/>
    </row>
    <row r="74" spans="2:138" ht="45" customHeight="1" x14ac:dyDescent="0.2">
      <c r="B74" s="1874"/>
      <c r="C74" s="2542" t="str">
        <f>Languages!B348</f>
        <v>6.1.3 Organic soil management practices associated with other land-use changes</v>
      </c>
      <c r="D74" s="1769"/>
      <c r="E74" s="1769"/>
      <c r="F74" s="1769"/>
      <c r="G74" s="1769"/>
      <c r="H74" s="1769"/>
      <c r="I74" s="1769"/>
      <c r="J74" s="1769"/>
      <c r="K74" s="1769"/>
      <c r="L74" s="1769"/>
      <c r="M74" s="1769"/>
      <c r="N74" s="1769"/>
      <c r="O74" s="1769"/>
      <c r="P74" s="1769"/>
      <c r="Q74" s="1769"/>
      <c r="R74" s="1769"/>
      <c r="S74" s="1769"/>
      <c r="T74" s="1769"/>
      <c r="U74" s="1769"/>
      <c r="V74" s="1769"/>
      <c r="W74" s="1769"/>
      <c r="X74" s="1769"/>
      <c r="Y74" s="1769"/>
      <c r="Z74" s="1769"/>
      <c r="AA74" s="1978" t="str">
        <f>Y41</f>
        <v>If country-specific data are available, please go to Tier 2:</v>
      </c>
      <c r="AB74" s="1978"/>
      <c r="AC74" s="1769"/>
      <c r="AD74" s="1769"/>
      <c r="AE74" s="1769"/>
      <c r="AF74" s="1769"/>
      <c r="AG74" s="1769"/>
      <c r="AH74" s="1769"/>
      <c r="AI74" s="1769"/>
      <c r="AS74" s="1977" t="str">
        <f>C74</f>
        <v>6.1.3 Organic soil management practices associated with other land-use changes</v>
      </c>
      <c r="AT74" s="1976"/>
      <c r="AU74" s="1976"/>
      <c r="AV74" s="1976"/>
      <c r="AW74" s="1976"/>
      <c r="AX74" s="1976"/>
      <c r="AY74" s="1976"/>
      <c r="AZ74" s="1976"/>
      <c r="BA74" s="1976"/>
      <c r="BB74" s="1976"/>
      <c r="BC74" s="1976"/>
      <c r="BD74" s="1976"/>
      <c r="BE74" s="1976"/>
      <c r="BF74" s="1976"/>
      <c r="BH74" s="4366" t="s">
        <v>71</v>
      </c>
      <c r="BI74" s="4366"/>
      <c r="BJ74" s="4366"/>
      <c r="CD74" s="1975" t="str">
        <f>Languages!B365</f>
        <v>6.1.3 Emission factors for drainage associated with other land-use changes</v>
      </c>
      <c r="CE74" s="1976"/>
      <c r="CF74" s="1976"/>
      <c r="CG74" s="1976"/>
      <c r="CH74" s="1976"/>
      <c r="CI74" s="1976"/>
      <c r="CJ74" s="1976"/>
      <c r="CK74" s="1976"/>
      <c r="CL74" s="1976"/>
      <c r="CM74" s="1976"/>
      <c r="CN74" s="1976"/>
      <c r="CO74" s="1976"/>
      <c r="CP74" s="1976"/>
      <c r="CQ74" s="1976"/>
      <c r="CT74" s="1975" t="str">
        <f>Languages!B372</f>
        <v>6.1.3 Emissions factors for fire on organic soils associated with other land-use change</v>
      </c>
      <c r="CU74" s="1976"/>
      <c r="CV74" s="1976"/>
      <c r="CW74" s="1976"/>
      <c r="CX74" s="1976"/>
      <c r="CY74" s="1976"/>
      <c r="CZ74" s="1976"/>
      <c r="DA74" s="1976"/>
      <c r="DB74" s="1976"/>
      <c r="DC74" s="1976"/>
      <c r="DD74" s="1976"/>
      <c r="DE74" s="1976"/>
      <c r="DF74" s="1976"/>
      <c r="DG74" s="1976"/>
      <c r="DH74" s="1976"/>
      <c r="DI74" s="1976"/>
      <c r="DJ74" s="1976"/>
      <c r="DK74" s="1976"/>
      <c r="DL74" s="1976"/>
      <c r="DM74" s="1976"/>
      <c r="DN74" s="1976"/>
      <c r="DO74" s="1976"/>
      <c r="DP74" s="1976"/>
      <c r="DU74" s="1975" t="str">
        <f>Languages!B382</f>
        <v>6.1.3 Rewetting associated with other land-use change</v>
      </c>
      <c r="DV74" s="1976"/>
      <c r="DW74" s="1976"/>
      <c r="DX74" s="1976"/>
      <c r="DY74" s="1976"/>
      <c r="DZ74" s="1976"/>
      <c r="EA74" s="1976"/>
      <c r="EB74" s="1976"/>
      <c r="EC74" s="1976"/>
      <c r="ED74" s="1976"/>
      <c r="EE74" s="1976"/>
      <c r="EF74" s="1976"/>
      <c r="EG74" s="1976"/>
      <c r="EH74" s="1976"/>
    </row>
    <row r="75" spans="2:138" ht="15" customHeight="1" x14ac:dyDescent="0.2">
      <c r="B75" s="1960"/>
      <c r="C75" s="1960"/>
      <c r="D75" s="1960"/>
      <c r="E75" s="1960"/>
      <c r="F75" s="1960"/>
      <c r="G75" s="1960"/>
      <c r="H75" s="1960"/>
      <c r="I75" s="1960"/>
      <c r="J75" s="1960"/>
      <c r="K75" s="1960"/>
      <c r="L75" s="1960"/>
      <c r="M75" s="1960"/>
      <c r="N75" s="1960"/>
      <c r="O75" s="1960"/>
      <c r="P75" s="1960"/>
      <c r="Q75" s="1960"/>
      <c r="R75" s="1960"/>
      <c r="S75" s="1960"/>
      <c r="T75" s="1960"/>
      <c r="U75" s="1960"/>
      <c r="V75" s="1960"/>
      <c r="W75" s="1960"/>
      <c r="X75" s="1960"/>
      <c r="Y75" s="1960"/>
      <c r="Z75" s="1960"/>
      <c r="AA75" s="1960"/>
      <c r="AB75" s="1960"/>
      <c r="AC75" s="1960"/>
      <c r="AD75" s="1960"/>
      <c r="AE75" s="1960"/>
      <c r="AF75" s="1960"/>
      <c r="AG75" s="1960"/>
      <c r="AH75" s="1960"/>
      <c r="AI75" s="1960"/>
      <c r="AS75" s="2591"/>
      <c r="AT75" s="2591"/>
      <c r="AU75" s="2591"/>
      <c r="AV75" s="2591"/>
      <c r="AW75" s="2591"/>
      <c r="AX75" s="2591"/>
      <c r="AY75" s="2591"/>
      <c r="AZ75" s="2591"/>
      <c r="BA75" s="2591"/>
      <c r="BB75" s="2591"/>
      <c r="BC75" s="2591"/>
      <c r="BD75" s="2591"/>
      <c r="BE75" s="2591"/>
      <c r="BF75" s="2591"/>
      <c r="BH75" s="2591"/>
      <c r="BI75" s="2591"/>
      <c r="BJ75" s="2591"/>
      <c r="CD75" s="2591"/>
      <c r="CE75" s="2591"/>
      <c r="CF75" s="4140" t="str">
        <f>CF54</f>
        <v>On-site emission factors</v>
      </c>
      <c r="CG75" s="4140"/>
      <c r="CH75" s="4140"/>
      <c r="CI75" s="4140"/>
      <c r="CJ75" s="4140"/>
      <c r="CK75" s="4140"/>
      <c r="CL75" s="4145"/>
      <c r="CM75" s="4140" t="str">
        <f>CM54</f>
        <v>Off-site emission factors</v>
      </c>
      <c r="CN75" s="4140"/>
      <c r="CO75" s="4140"/>
      <c r="CP75" s="4140"/>
      <c r="CQ75" s="2591"/>
      <c r="CT75" s="2591"/>
      <c r="CU75" s="2591"/>
      <c r="CV75" s="2591"/>
      <c r="CW75" s="2591"/>
      <c r="CX75" s="2591"/>
      <c r="CY75" s="2591"/>
      <c r="CZ75" s="2591"/>
      <c r="DA75" s="2591"/>
      <c r="DB75" s="2591"/>
      <c r="DC75" s="2591"/>
      <c r="DD75" s="2591"/>
      <c r="DE75" s="2591"/>
      <c r="DF75" s="2591"/>
      <c r="DG75" s="2591"/>
      <c r="DH75" s="2591"/>
      <c r="DI75" s="2591"/>
      <c r="DJ75" s="2591"/>
      <c r="DK75" s="2591"/>
      <c r="DL75" s="2591"/>
      <c r="DM75" s="2591"/>
      <c r="DN75" s="2591"/>
      <c r="DO75" s="2591"/>
      <c r="DP75" s="2591"/>
      <c r="DU75" s="2591"/>
      <c r="DV75" s="2591"/>
      <c r="DW75" s="2591"/>
      <c r="DX75" s="2591"/>
      <c r="DY75" s="2591"/>
      <c r="DZ75" s="2591"/>
      <c r="EA75" s="2591"/>
      <c r="EB75" s="2591"/>
      <c r="EC75" s="2591"/>
      <c r="ED75" s="2591"/>
      <c r="EE75" s="2591"/>
      <c r="EF75" s="2591"/>
      <c r="EG75" s="2591"/>
      <c r="EH75" s="2591"/>
    </row>
    <row r="76" spans="2:138" ht="14.25" customHeight="1" x14ac:dyDescent="0.2">
      <c r="B76" s="1960"/>
      <c r="C76" s="1960"/>
      <c r="D76" s="1960"/>
      <c r="E76" s="1960"/>
      <c r="F76" s="1960"/>
      <c r="G76" s="1960"/>
      <c r="H76" s="1960"/>
      <c r="I76" s="1960"/>
      <c r="J76" s="1960"/>
      <c r="K76" s="1960"/>
      <c r="L76" s="1960"/>
      <c r="M76" s="1838"/>
      <c r="N76" s="1960"/>
      <c r="O76" s="1960"/>
      <c r="P76" s="1960"/>
      <c r="Q76" s="1960"/>
      <c r="R76" s="1960"/>
      <c r="S76" s="1960"/>
      <c r="T76" s="1960"/>
      <c r="U76" s="1838"/>
      <c r="V76" s="1838"/>
      <c r="W76" s="4569" t="str">
        <f>Languages!B401</f>
        <v>Management practices following conversion</v>
      </c>
      <c r="X76" s="4569"/>
      <c r="Y76" s="4569"/>
      <c r="Z76" s="1838"/>
      <c r="AA76" s="1838"/>
      <c r="AB76" s="1838"/>
      <c r="AC76" s="1838"/>
      <c r="AD76" s="1838"/>
      <c r="AE76" s="1838"/>
      <c r="AF76" s="1838"/>
      <c r="AG76" s="1838"/>
      <c r="AH76" s="1838"/>
      <c r="AI76" s="1960"/>
      <c r="AS76" s="2591"/>
      <c r="AT76" s="2591"/>
      <c r="AU76" s="2591"/>
      <c r="AV76" s="2591"/>
      <c r="AW76" s="2591"/>
      <c r="AX76" s="2591"/>
      <c r="AY76" s="2591"/>
      <c r="AZ76" s="2591"/>
      <c r="BA76" s="2591"/>
      <c r="BB76" s="2591"/>
      <c r="BC76" s="2591"/>
      <c r="BD76" s="2591"/>
      <c r="BE76" s="2591"/>
      <c r="BF76" s="2591"/>
      <c r="BH76" s="1784"/>
      <c r="BI76" s="1784"/>
      <c r="BJ76" s="1996"/>
      <c r="CD76" s="2591"/>
      <c r="CE76" s="2591"/>
      <c r="CF76" s="4151" t="str">
        <f>CF55</f>
        <v>CO2</v>
      </c>
      <c r="CG76" s="2591"/>
      <c r="CH76" s="4169" t="str">
        <f>CH55</f>
        <v>CH4</v>
      </c>
      <c r="CI76" s="2591"/>
      <c r="CJ76" s="4149" t="str">
        <f>CJ55</f>
        <v>N2O</v>
      </c>
      <c r="CK76" s="2591"/>
      <c r="CL76" s="2591"/>
      <c r="CM76" s="4151" t="str">
        <f>CM55</f>
        <v>DOC</v>
      </c>
      <c r="CN76" s="2591"/>
      <c r="CO76" s="4151" t="str">
        <f>CO55</f>
        <v>CH4</v>
      </c>
      <c r="CP76" s="2591"/>
      <c r="CQ76" s="2591"/>
      <c r="CT76" s="2591"/>
      <c r="CU76" s="2591"/>
      <c r="CV76" s="4140" t="str">
        <f>N77</f>
        <v>Area of land use change (ha)</v>
      </c>
      <c r="CW76" s="4141"/>
      <c r="CX76" s="4141"/>
      <c r="CY76" s="2591"/>
      <c r="CZ76" s="4140" t="str">
        <f>CZ42</f>
        <v>Fire occurrence and severity</v>
      </c>
      <c r="DA76" s="4140"/>
      <c r="DB76" s="4141"/>
      <c r="DC76" s="4141"/>
      <c r="DD76" s="4141"/>
      <c r="DE76" s="4141"/>
      <c r="DF76" s="4141"/>
      <c r="DG76" s="2591"/>
      <c r="DH76" s="4140" t="str">
        <f>DH42</f>
        <v>Emission factors fire</v>
      </c>
      <c r="DI76" s="4141"/>
      <c r="DJ76" s="4141"/>
      <c r="DK76" s="4141"/>
      <c r="DL76" s="4141"/>
      <c r="DM76" s="4141"/>
      <c r="DN76" s="4141"/>
      <c r="DO76" s="4141"/>
      <c r="DP76" s="2591"/>
      <c r="DU76" s="2591"/>
      <c r="DV76" s="2591"/>
      <c r="DW76" s="2591"/>
      <c r="DX76" s="2591"/>
      <c r="DY76" s="2591"/>
      <c r="DZ76" s="2591"/>
      <c r="EA76" s="2591"/>
      <c r="EB76" s="2591"/>
      <c r="EC76" s="2591"/>
      <c r="ED76" s="2591"/>
      <c r="EE76" s="2591"/>
      <c r="EF76" s="2591"/>
      <c r="EG76" s="2591"/>
      <c r="EH76" s="2591"/>
    </row>
    <row r="77" spans="2:138" x14ac:dyDescent="0.2">
      <c r="B77" s="1960"/>
      <c r="C77" s="1838"/>
      <c r="D77" s="1960"/>
      <c r="E77" s="1838"/>
      <c r="F77" s="1960"/>
      <c r="G77" s="1780" t="str">
        <f>Languages!B61</f>
        <v>Fire used?</v>
      </c>
      <c r="H77" s="1960"/>
      <c r="I77" s="4352" t="str">
        <f>Languages!B24</f>
        <v>Land-use cover</v>
      </c>
      <c r="J77" s="4352"/>
      <c r="K77" s="4352"/>
      <c r="L77" s="1960"/>
      <c r="M77" s="1838"/>
      <c r="N77" s="4352" t="str">
        <f>'2.LUC'!N58</f>
        <v>Area of land use change (ha)</v>
      </c>
      <c r="O77" s="4352"/>
      <c r="P77" s="4352"/>
      <c r="Q77" s="4352"/>
      <c r="R77" s="4142"/>
      <c r="S77" s="1960"/>
      <c r="T77" s="4142"/>
      <c r="U77" s="1838"/>
      <c r="V77" s="1838"/>
      <c r="W77" s="4570"/>
      <c r="X77" s="4570"/>
      <c r="Y77" s="4570"/>
      <c r="Z77" s="1838"/>
      <c r="AA77" s="1838"/>
      <c r="AB77" s="1838"/>
      <c r="AC77" s="1838"/>
      <c r="AD77" s="1960"/>
      <c r="AE77" s="4143" t="str">
        <f>AE43</f>
        <v>Total emissions (tCO2-e)</v>
      </c>
      <c r="AF77" s="4144"/>
      <c r="AG77" s="4144"/>
      <c r="AH77" s="4144"/>
      <c r="AI77" s="1838"/>
      <c r="AS77" s="2591"/>
      <c r="AT77" s="2591"/>
      <c r="AU77" s="2591"/>
      <c r="AV77" s="2591"/>
      <c r="AW77" s="4146" t="str">
        <f>Languages!B67</f>
        <v>Above-ground</v>
      </c>
      <c r="AX77" s="4145"/>
      <c r="AY77" s="2591"/>
      <c r="AZ77" s="2591"/>
      <c r="BA77" s="2591"/>
      <c r="BB77" s="2591"/>
      <c r="BC77" s="2591"/>
      <c r="BD77" s="2591"/>
      <c r="BE77" s="2591"/>
      <c r="BF77" s="2591"/>
      <c r="BH77" s="1889" t="s">
        <v>74</v>
      </c>
      <c r="BI77" s="1889"/>
      <c r="BJ77" s="1996"/>
      <c r="CD77" s="2591"/>
      <c r="CE77" s="4145" t="str">
        <f>AT78</f>
        <v>Initial land-use</v>
      </c>
      <c r="CF77" s="4151" t="str">
        <f>CF56</f>
        <v>tC/ha/yr</v>
      </c>
      <c r="CG77" s="2560"/>
      <c r="CH77" s="4149" t="str">
        <f>CH56</f>
        <v>kgCH4/ha/yr</v>
      </c>
      <c r="CI77" s="2560"/>
      <c r="CJ77" s="2319" t="str">
        <f>CJ56</f>
        <v>kgN2O-N/ha/yr</v>
      </c>
      <c r="CK77" s="2560"/>
      <c r="CL77" s="2560"/>
      <c r="CM77" s="4149" t="str">
        <f>CM56</f>
        <v>tC/ha/yr</v>
      </c>
      <c r="CN77" s="2591"/>
      <c r="CO77" s="4154" t="str">
        <f>CO56</f>
        <v>kgCH4/ha/yr</v>
      </c>
      <c r="CP77" s="2591"/>
      <c r="CQ77" s="2591"/>
      <c r="CT77" s="2591"/>
      <c r="CU77" s="4145" t="str">
        <f>CU44</f>
        <v>Final land-use</v>
      </c>
      <c r="CV77" s="2560"/>
      <c r="CW77" s="2560"/>
      <c r="CX77" s="2591"/>
      <c r="CY77" s="2591"/>
      <c r="CZ77" s="2591"/>
      <c r="DA77" s="4151"/>
      <c r="DB77" s="4151" t="str">
        <f>Languages!B12</f>
        <v>Without</v>
      </c>
      <c r="DC77" s="2591"/>
      <c r="DD77" s="2591"/>
      <c r="DE77" s="4150" t="str">
        <f>DE43</f>
        <v>With</v>
      </c>
      <c r="DF77" s="2591"/>
      <c r="DG77" s="2591"/>
      <c r="DH77" s="4147" t="str">
        <f>DH43</f>
        <v>CO2</v>
      </c>
      <c r="DI77" s="4147"/>
      <c r="DJ77" s="4147" t="str">
        <f>DJ43</f>
        <v>CO</v>
      </c>
      <c r="DK77" s="4147"/>
      <c r="DL77" s="4147" t="str">
        <f>DL43</f>
        <v>CH4</v>
      </c>
      <c r="DM77" s="4147"/>
      <c r="DN77" s="4147" t="str">
        <f>DN43</f>
        <v xml:space="preserve">Mean dry matter </v>
      </c>
      <c r="DO77" s="4147"/>
      <c r="DP77" s="4145"/>
      <c r="DU77" s="2591"/>
      <c r="DV77" s="4145" t="str">
        <f>CE77</f>
        <v>Initial land-use</v>
      </c>
      <c r="DW77" s="2591"/>
      <c r="DX77" s="4140" t="s">
        <v>1033</v>
      </c>
      <c r="DY77" s="4141"/>
      <c r="DZ77" s="4141"/>
      <c r="EA77" s="4141"/>
      <c r="EB77" s="4141"/>
      <c r="EC77" s="4141"/>
      <c r="ED77" s="2591"/>
      <c r="EE77" s="4140" t="s">
        <v>1034</v>
      </c>
      <c r="EF77" s="4141"/>
      <c r="EG77" s="4141"/>
      <c r="EH77" s="2591"/>
    </row>
    <row r="78" spans="2:138" x14ac:dyDescent="0.2">
      <c r="B78" s="1960"/>
      <c r="C78" s="1834" t="str">
        <f>'2.LUC'!C58</f>
        <v>User notes</v>
      </c>
      <c r="D78" s="4142"/>
      <c r="E78" s="1834"/>
      <c r="F78" s="4142"/>
      <c r="G78" s="1984" t="str">
        <f>Languages!B62</f>
        <v>(y/n)</v>
      </c>
      <c r="H78" s="4142"/>
      <c r="I78" s="1838" t="str">
        <f>Languages!B19</f>
        <v>Initial land-use</v>
      </c>
      <c r="J78" s="1838"/>
      <c r="K78" s="1838" t="str">
        <f>Languages!B18</f>
        <v>Final land-use</v>
      </c>
      <c r="L78" s="1960"/>
      <c r="M78" s="1960"/>
      <c r="N78" s="1960"/>
      <c r="O78" s="1960"/>
      <c r="P78" s="1960"/>
      <c r="Q78" s="1960"/>
      <c r="R78" s="1960"/>
      <c r="S78" s="1960"/>
      <c r="T78" s="1960"/>
      <c r="U78" s="1838"/>
      <c r="V78" s="1838"/>
      <c r="W78" s="1838"/>
      <c r="X78" s="1838" t="str">
        <f>X44</f>
        <v>Burning of</v>
      </c>
      <c r="Y78" s="1838"/>
      <c r="Z78" s="1838"/>
      <c r="AA78" s="1838"/>
      <c r="AB78" s="1838"/>
      <c r="AC78" s="1838"/>
      <c r="AD78" s="1960"/>
      <c r="AE78" s="1960"/>
      <c r="AF78" s="1960"/>
      <c r="AG78" s="1960"/>
      <c r="AH78" s="1960"/>
      <c r="AI78" s="1838"/>
      <c r="AS78" s="2591"/>
      <c r="AT78" s="4145" t="str">
        <f>I78</f>
        <v>Initial land-use</v>
      </c>
      <c r="AU78" s="2591"/>
      <c r="AV78" s="2591"/>
      <c r="AW78" s="4149" t="s">
        <v>62</v>
      </c>
      <c r="AX78" s="2591"/>
      <c r="AY78" s="2591"/>
      <c r="AZ78" s="2591"/>
      <c r="BA78" s="2591"/>
      <c r="BB78" s="2591"/>
      <c r="BC78" s="2591"/>
      <c r="BD78" s="2591"/>
      <c r="BE78" s="2591"/>
      <c r="BF78" s="2591"/>
      <c r="BH78" s="2014" t="s">
        <v>82</v>
      </c>
      <c r="BI78" s="2014"/>
      <c r="BJ78" s="1996"/>
      <c r="CD78" s="2591"/>
      <c r="CE78" s="2591"/>
      <c r="CF78" s="2560" t="str">
        <f>CF57</f>
        <v>Default</v>
      </c>
      <c r="CG78" s="2560" t="str">
        <f>CG57</f>
        <v>Tier 2</v>
      </c>
      <c r="CH78" s="2560" t="str">
        <f>CH57</f>
        <v>Default</v>
      </c>
      <c r="CI78" s="2560" t="str">
        <f>CI57</f>
        <v>Tier 2</v>
      </c>
      <c r="CJ78" s="2560" t="str">
        <f>CJ57</f>
        <v>Default</v>
      </c>
      <c r="CK78" s="2560" t="str">
        <f>CK57</f>
        <v>Tier 2</v>
      </c>
      <c r="CL78" s="2560"/>
      <c r="CM78" s="2560" t="str">
        <f>CM57</f>
        <v>Default</v>
      </c>
      <c r="CN78" s="2560" t="str">
        <f>CN57</f>
        <v>Tier 2</v>
      </c>
      <c r="CO78" s="2560" t="str">
        <f>CO57</f>
        <v>Default</v>
      </c>
      <c r="CP78" s="2560" t="str">
        <f>CP57</f>
        <v>Tier 2</v>
      </c>
      <c r="CQ78" s="2591"/>
      <c r="CT78" s="2591"/>
      <c r="CU78" s="2591"/>
      <c r="CV78" s="2591"/>
      <c r="CW78" s="2591"/>
      <c r="CX78" s="2591"/>
      <c r="CY78" s="2591"/>
      <c r="CZ78" s="2591" t="str">
        <f>CZ44</f>
        <v>Type of fire</v>
      </c>
      <c r="DA78" s="2591"/>
      <c r="DB78" s="2560" t="str">
        <f>DB44</f>
        <v>Periodicity</v>
      </c>
      <c r="DC78" s="2560" t="str">
        <f>DC44</f>
        <v>Impact</v>
      </c>
      <c r="DD78" s="2560"/>
      <c r="DE78" s="2560" t="str">
        <f>DB78</f>
        <v>Periodicity</v>
      </c>
      <c r="DF78" s="2560" t="str">
        <f>DC78</f>
        <v>Impact</v>
      </c>
      <c r="DG78" s="2591"/>
      <c r="DH78" s="4153" t="str">
        <f>DH44</f>
        <v>gC/kg d.m.</v>
      </c>
      <c r="DI78" s="4153"/>
      <c r="DJ78" s="4153" t="str">
        <f>DJ44</f>
        <v>gCO/kg d.m.</v>
      </c>
      <c r="DK78" s="4153"/>
      <c r="DL78" s="4153" t="str">
        <f>DL44</f>
        <v>gCH4/kg d.m.</v>
      </c>
      <c r="DM78" s="4153"/>
      <c r="DN78" s="4153" t="str">
        <f>DN44</f>
        <v>(tDM/ha)</v>
      </c>
      <c r="DO78" s="4153"/>
      <c r="DP78" s="2591"/>
      <c r="DU78" s="2591"/>
      <c r="DV78" s="4145"/>
      <c r="DW78" s="2591"/>
      <c r="DX78" s="2591" t="s">
        <v>1040</v>
      </c>
      <c r="DY78" s="2591"/>
      <c r="DZ78" s="2591" t="s">
        <v>1041</v>
      </c>
      <c r="EA78" s="2591"/>
      <c r="EB78" s="2591" t="s">
        <v>177</v>
      </c>
      <c r="EC78" s="2591"/>
      <c r="ED78" s="2591"/>
      <c r="EE78" s="2591" t="s">
        <v>1042</v>
      </c>
      <c r="EF78" s="2591"/>
      <c r="EG78" s="2591"/>
      <c r="EH78" s="2591"/>
    </row>
    <row r="79" spans="2:138" x14ac:dyDescent="0.2">
      <c r="B79" s="1838"/>
      <c r="C79" s="1838"/>
      <c r="D79" s="1960"/>
      <c r="E79" s="1838"/>
      <c r="F79" s="1960"/>
      <c r="G79" s="1951"/>
      <c r="H79" s="1960"/>
      <c r="I79" s="1960"/>
      <c r="J79" s="1960"/>
      <c r="K79" s="1960"/>
      <c r="L79" s="1960"/>
      <c r="M79" s="1960"/>
      <c r="N79" s="1838" t="str">
        <f>N45</f>
        <v>Without</v>
      </c>
      <c r="O79" s="1781" t="s">
        <v>83</v>
      </c>
      <c r="P79" s="1838" t="str">
        <f>P45</f>
        <v>With</v>
      </c>
      <c r="Q79" s="1781" t="s">
        <v>83</v>
      </c>
      <c r="R79" s="1960"/>
      <c r="S79" s="1960"/>
      <c r="T79" s="1960"/>
      <c r="U79" s="1838"/>
      <c r="V79" s="1838"/>
      <c r="W79" s="1838"/>
      <c r="X79" s="1838" t="str">
        <f>X45</f>
        <v xml:space="preserve">Biomass </v>
      </c>
      <c r="Y79" s="1838"/>
      <c r="Z79" s="1838"/>
      <c r="AA79" s="1838"/>
      <c r="AB79" s="1838"/>
      <c r="AC79" s="1838"/>
      <c r="AD79" s="1960"/>
      <c r="AE79" s="1838" t="str">
        <f>X90</f>
        <v>Without</v>
      </c>
      <c r="AF79" s="1838" t="str">
        <f>Y90</f>
        <v>With</v>
      </c>
      <c r="AG79" s="1834" t="str">
        <f>AG45</f>
        <v>Balance</v>
      </c>
      <c r="AH79" s="1838"/>
      <c r="AI79" s="1838"/>
      <c r="AS79" s="2591"/>
      <c r="AT79" s="2591"/>
      <c r="AU79" s="2591"/>
      <c r="AV79" s="2591"/>
      <c r="AW79" s="2560" t="s">
        <v>84</v>
      </c>
      <c r="AX79" s="2560" t="s">
        <v>66</v>
      </c>
      <c r="AY79" s="2591"/>
      <c r="AZ79" s="2591"/>
      <c r="BA79" s="2591"/>
      <c r="BB79" s="2591"/>
      <c r="BC79" s="2591"/>
      <c r="BD79" s="2591"/>
      <c r="BE79" s="2591"/>
      <c r="BF79" s="2591"/>
      <c r="BH79" s="1996"/>
      <c r="BI79" s="1893"/>
      <c r="BJ79" s="1996"/>
      <c r="CD79" s="2591"/>
      <c r="CE79" s="2591"/>
      <c r="CF79" s="2591"/>
      <c r="CG79" s="2591"/>
      <c r="CH79" s="2591"/>
      <c r="CI79" s="2591"/>
      <c r="CJ79" s="2591"/>
      <c r="CK79" s="2591"/>
      <c r="CL79" s="2591"/>
      <c r="CM79" s="2591"/>
      <c r="CN79" s="4156"/>
      <c r="CO79" s="2591"/>
      <c r="CP79" s="2591"/>
      <c r="CQ79" s="2591"/>
      <c r="CT79" s="2591"/>
      <c r="CU79" s="2319"/>
      <c r="CV79" s="2560" t="str">
        <f>DB77</f>
        <v>Without</v>
      </c>
      <c r="CW79" s="2560" t="str">
        <f>DE77</f>
        <v>With</v>
      </c>
      <c r="CX79" s="2591"/>
      <c r="CY79" s="2591"/>
      <c r="CZ79" s="2591"/>
      <c r="DA79" s="2591"/>
      <c r="DB79" s="2560" t="str">
        <f>DB45</f>
        <v>Year</v>
      </c>
      <c r="DC79" s="2560" t="str">
        <f>DC45</f>
        <v>% burnt</v>
      </c>
      <c r="DD79" s="2560"/>
      <c r="DE79" s="2560" t="str">
        <f>DB79</f>
        <v>Year</v>
      </c>
      <c r="DF79" s="2560" t="str">
        <f>DC79</f>
        <v>% burnt</v>
      </c>
      <c r="DG79" s="2591"/>
      <c r="DH79" s="2560" t="str">
        <f>DH45</f>
        <v>Default</v>
      </c>
      <c r="DI79" s="2560" t="str">
        <f>DI45</f>
        <v>Tier 2</v>
      </c>
      <c r="DJ79" s="2560" t="str">
        <f t="shared" ref="DJ79:DO79" si="40">DH79</f>
        <v>Default</v>
      </c>
      <c r="DK79" s="2560" t="str">
        <f t="shared" si="40"/>
        <v>Tier 2</v>
      </c>
      <c r="DL79" s="2560" t="str">
        <f t="shared" si="40"/>
        <v>Default</v>
      </c>
      <c r="DM79" s="2560" t="str">
        <f t="shared" si="40"/>
        <v>Tier 2</v>
      </c>
      <c r="DN79" s="2560" t="str">
        <f t="shared" si="40"/>
        <v>Default</v>
      </c>
      <c r="DO79" s="2560" t="str">
        <f t="shared" si="40"/>
        <v>Tier 2</v>
      </c>
      <c r="DP79" s="2591"/>
      <c r="DU79" s="2591"/>
      <c r="DV79" s="4145"/>
      <c r="DW79" s="2591"/>
      <c r="DX79" s="2591" t="s">
        <v>92</v>
      </c>
      <c r="DY79" s="2591"/>
      <c r="DZ79" s="2591" t="s">
        <v>1050</v>
      </c>
      <c r="EA79" s="2591"/>
      <c r="EB79" s="2591" t="s">
        <v>1051</v>
      </c>
      <c r="EC79" s="2591"/>
      <c r="ED79" s="2591"/>
      <c r="EE79" s="2591" t="s">
        <v>92</v>
      </c>
      <c r="EF79" s="2591"/>
      <c r="EG79" s="2591"/>
      <c r="EH79" s="2591"/>
    </row>
    <row r="80" spans="2:138" x14ac:dyDescent="0.2">
      <c r="B80" s="1838"/>
      <c r="C80" s="4198"/>
      <c r="D80" s="1838"/>
      <c r="E80" s="1838"/>
      <c r="F80" s="1960"/>
      <c r="G80" s="2129" t="s">
        <v>85</v>
      </c>
      <c r="H80" s="1960"/>
      <c r="I80" s="2131" t="s">
        <v>57</v>
      </c>
      <c r="J80" s="1960"/>
      <c r="K80" s="2131" t="s">
        <v>57</v>
      </c>
      <c r="L80" s="1960"/>
      <c r="M80" s="1960" t="str">
        <f>IF((AND(K80=I80, K80&lt;&gt;"Please select")), list!$B$277, "")</f>
        <v/>
      </c>
      <c r="N80" s="2128">
        <v>0</v>
      </c>
      <c r="O80" s="2104" t="s">
        <v>86</v>
      </c>
      <c r="P80" s="2128">
        <v>0</v>
      </c>
      <c r="Q80" s="2104" t="s">
        <v>86</v>
      </c>
      <c r="R80" s="1960"/>
      <c r="S80" s="1960"/>
      <c r="T80" s="1960"/>
      <c r="U80" s="1838"/>
      <c r="V80" s="1838"/>
      <c r="W80" s="1838"/>
      <c r="X80" s="4194" t="s">
        <v>1053</v>
      </c>
      <c r="Y80" s="1838"/>
      <c r="Z80" s="1838"/>
      <c r="AA80" s="1838"/>
      <c r="AB80" s="1838"/>
      <c r="AC80" s="1838"/>
      <c r="AD80" s="1960"/>
      <c r="AE80" s="2107">
        <f>'Inl. wetlands'!AI224</f>
        <v>0</v>
      </c>
      <c r="AF80" s="2107">
        <f>'Inl. wetlands'!AJ224</f>
        <v>0</v>
      </c>
      <c r="AG80" s="1806">
        <f t="shared" ref="AG80:AG85" si="41">AF80-AE80</f>
        <v>0</v>
      </c>
      <c r="AH80" s="1838"/>
      <c r="AI80" s="1838"/>
      <c r="AS80" s="2591"/>
      <c r="AT80" s="2591" t="str">
        <f t="shared" ref="AT80:AT85" si="42">I80</f>
        <v>Please select</v>
      </c>
      <c r="AU80" s="2591"/>
      <c r="AV80" s="2591"/>
      <c r="AW80" s="2612">
        <f>'Inl. wetlands'!$N224</f>
        <v>0</v>
      </c>
      <c r="AX80" s="4205"/>
      <c r="AY80" s="2591"/>
      <c r="AZ80" s="2591"/>
      <c r="BA80" s="2591"/>
      <c r="BB80" s="2591"/>
      <c r="BC80" s="2591"/>
      <c r="BD80" s="2591"/>
      <c r="BE80" s="2591"/>
      <c r="BF80" s="2591"/>
      <c r="BH80" s="4363">
        <v>1</v>
      </c>
      <c r="BI80" s="4364"/>
      <c r="BJ80" s="1996"/>
      <c r="CD80" s="2591"/>
      <c r="CE80" s="2591" t="str">
        <f t="shared" ref="CE80:CE85" si="43">AT80</f>
        <v>Please select</v>
      </c>
      <c r="CF80" s="4156">
        <f>'Inl. wetlands'!B269</f>
        <v>0</v>
      </c>
      <c r="CG80" s="4209"/>
      <c r="CH80" s="4156">
        <f>'Inl. wetlands'!D269</f>
        <v>0</v>
      </c>
      <c r="CI80" s="4209"/>
      <c r="CJ80" s="4156">
        <f>'Inl. wetlands'!F269</f>
        <v>0</v>
      </c>
      <c r="CK80" s="4209"/>
      <c r="CL80" s="2591"/>
      <c r="CM80" s="4156">
        <f>'Inl. wetlands'!H269</f>
        <v>0</v>
      </c>
      <c r="CN80" s="4209"/>
      <c r="CO80" s="4156">
        <f>'Inl. wetlands'!J269</f>
        <v>0</v>
      </c>
      <c r="CP80" s="4209"/>
      <c r="CQ80" s="2591"/>
      <c r="CT80" s="2560"/>
      <c r="CU80" s="2319" t="str">
        <f t="shared" ref="CU80:CU85" si="44">K80</f>
        <v>Please select</v>
      </c>
      <c r="CV80" s="2585">
        <f t="shared" ref="CV80:CV85" si="45">N80</f>
        <v>0</v>
      </c>
      <c r="CW80" s="2585">
        <f t="shared" ref="CW80:CW85" si="46">P80</f>
        <v>0</v>
      </c>
      <c r="CX80" s="2560"/>
      <c r="CY80" s="2560"/>
      <c r="CZ80" s="4105" t="s">
        <v>57</v>
      </c>
      <c r="DA80" s="2560"/>
      <c r="DB80" s="2129">
        <v>1</v>
      </c>
      <c r="DC80" s="4210">
        <v>0.01</v>
      </c>
      <c r="DD80" s="4171"/>
      <c r="DE80" s="2129">
        <v>1</v>
      </c>
      <c r="DF80" s="4210">
        <v>0.01</v>
      </c>
      <c r="DG80" s="2560"/>
      <c r="DH80" s="2585">
        <f>'Inl. wetlands'!O255</f>
        <v>362</v>
      </c>
      <c r="DI80" s="2129"/>
      <c r="DJ80" s="2585">
        <f>'Inl. wetlands'!Q255</f>
        <v>207</v>
      </c>
      <c r="DK80" s="2129"/>
      <c r="DL80" s="2585">
        <f>'Inl. wetlands'!S255</f>
        <v>9</v>
      </c>
      <c r="DM80" s="2129"/>
      <c r="DN80" s="2585">
        <f>'Inl. wetlands'!U255</f>
        <v>0</v>
      </c>
      <c r="DO80" s="2129"/>
      <c r="DP80" s="2560"/>
      <c r="DU80" s="2591"/>
      <c r="DV80" s="2591" t="str">
        <f t="shared" ref="DV80:DV85" si="47">CE80</f>
        <v>Please select</v>
      </c>
      <c r="DW80" s="2591"/>
      <c r="DX80" s="2612">
        <f>'Inl. wetlands'!$H296</f>
        <v>0</v>
      </c>
      <c r="DY80" s="4206"/>
      <c r="DZ80" s="4155">
        <f>'Inl. wetlands'!$J296</f>
        <v>0</v>
      </c>
      <c r="EA80" s="4206"/>
      <c r="EB80" s="4155">
        <f>'Inl. wetlands'!$L296</f>
        <v>0</v>
      </c>
      <c r="EC80" s="4206"/>
      <c r="ED80" s="2591"/>
      <c r="EE80" s="4156">
        <f>'Inl. wetlands'!$N296</f>
        <v>0</v>
      </c>
      <c r="EF80" s="4206"/>
      <c r="EG80" s="2591"/>
      <c r="EH80" s="2591"/>
    </row>
    <row r="81" spans="2:138" x14ac:dyDescent="0.2">
      <c r="B81" s="1838"/>
      <c r="C81" s="4199"/>
      <c r="D81" s="1838"/>
      <c r="E81" s="1838"/>
      <c r="F81" s="1960"/>
      <c r="G81" s="2129" t="s">
        <v>85</v>
      </c>
      <c r="H81" s="1960"/>
      <c r="I81" s="2131" t="s">
        <v>57</v>
      </c>
      <c r="J81" s="1960"/>
      <c r="K81" s="2131" t="s">
        <v>57</v>
      </c>
      <c r="L81" s="1960"/>
      <c r="M81" s="1960" t="str">
        <f>IF((AND(K81=I81, K81&lt;&gt;"Please select")), list!$B$277, "")</f>
        <v/>
      </c>
      <c r="N81" s="2128">
        <v>0</v>
      </c>
      <c r="O81" s="2104" t="s">
        <v>86</v>
      </c>
      <c r="P81" s="2128">
        <v>0</v>
      </c>
      <c r="Q81" s="2104" t="s">
        <v>86</v>
      </c>
      <c r="R81" s="1960"/>
      <c r="S81" s="1960"/>
      <c r="T81" s="1960"/>
      <c r="U81" s="1838"/>
      <c r="V81" s="1838"/>
      <c r="W81" s="1838"/>
      <c r="X81" s="4194" t="s">
        <v>1053</v>
      </c>
      <c r="Y81" s="1838"/>
      <c r="Z81" s="1838"/>
      <c r="AA81" s="1838"/>
      <c r="AB81" s="1838"/>
      <c r="AC81" s="1838"/>
      <c r="AD81" s="1960"/>
      <c r="AE81" s="2107">
        <f>'Inl. wetlands'!AI225</f>
        <v>0</v>
      </c>
      <c r="AF81" s="2107">
        <f>'Inl. wetlands'!AJ225</f>
        <v>0</v>
      </c>
      <c r="AG81" s="1806">
        <f t="shared" si="41"/>
        <v>0</v>
      </c>
      <c r="AH81" s="1838"/>
      <c r="AI81" s="1838"/>
      <c r="AS81" s="2591"/>
      <c r="AT81" s="2591" t="str">
        <f t="shared" si="42"/>
        <v>Please select</v>
      </c>
      <c r="AU81" s="2591"/>
      <c r="AV81" s="2591"/>
      <c r="AW81" s="2612">
        <f>'Inl. wetlands'!$N225</f>
        <v>0</v>
      </c>
      <c r="AX81" s="4205"/>
      <c r="AY81" s="2591"/>
      <c r="AZ81" s="2591"/>
      <c r="BA81" s="2591"/>
      <c r="BB81" s="2591"/>
      <c r="BC81" s="2591"/>
      <c r="BD81" s="2591"/>
      <c r="BE81" s="2591"/>
      <c r="BF81" s="2591"/>
      <c r="BH81" s="4363">
        <v>1</v>
      </c>
      <c r="BI81" s="4364"/>
      <c r="BJ81" s="1996"/>
      <c r="CD81" s="2591"/>
      <c r="CE81" s="2591" t="str">
        <f t="shared" si="43"/>
        <v>Please select</v>
      </c>
      <c r="CF81" s="4156">
        <f>'Inl. wetlands'!B270</f>
        <v>0</v>
      </c>
      <c r="CG81" s="4209"/>
      <c r="CH81" s="4156">
        <f>'Inl. wetlands'!D270</f>
        <v>0</v>
      </c>
      <c r="CI81" s="4209"/>
      <c r="CJ81" s="4156">
        <f>'Inl. wetlands'!F270</f>
        <v>0</v>
      </c>
      <c r="CK81" s="4209"/>
      <c r="CL81" s="2591"/>
      <c r="CM81" s="4156">
        <f>'Inl. wetlands'!H270</f>
        <v>0</v>
      </c>
      <c r="CN81" s="4209"/>
      <c r="CO81" s="4156">
        <f>'Inl. wetlands'!J270</f>
        <v>0</v>
      </c>
      <c r="CP81" s="4209"/>
      <c r="CQ81" s="2591"/>
      <c r="CT81" s="2560"/>
      <c r="CU81" s="2319" t="str">
        <f t="shared" si="44"/>
        <v>Please select</v>
      </c>
      <c r="CV81" s="2585">
        <f t="shared" si="45"/>
        <v>0</v>
      </c>
      <c r="CW81" s="2585">
        <f t="shared" si="46"/>
        <v>0</v>
      </c>
      <c r="CX81" s="2560"/>
      <c r="CY81" s="2560"/>
      <c r="CZ81" s="4105" t="s">
        <v>57</v>
      </c>
      <c r="DA81" s="2560"/>
      <c r="DB81" s="2129">
        <v>1</v>
      </c>
      <c r="DC81" s="4210">
        <v>0.01</v>
      </c>
      <c r="DD81" s="4171"/>
      <c r="DE81" s="2129">
        <v>1</v>
      </c>
      <c r="DF81" s="4210">
        <v>0.01</v>
      </c>
      <c r="DG81" s="2560"/>
      <c r="DH81" s="2585">
        <f>'Inl. wetlands'!O256</f>
        <v>362</v>
      </c>
      <c r="DI81" s="2129"/>
      <c r="DJ81" s="2585">
        <f>'Inl. wetlands'!Q256</f>
        <v>207</v>
      </c>
      <c r="DK81" s="2129"/>
      <c r="DL81" s="2585">
        <f>'Inl. wetlands'!S256</f>
        <v>9</v>
      </c>
      <c r="DM81" s="2129"/>
      <c r="DN81" s="2585">
        <f>'Inl. wetlands'!U256</f>
        <v>0</v>
      </c>
      <c r="DO81" s="2129"/>
      <c r="DP81" s="2560"/>
      <c r="DU81" s="2591"/>
      <c r="DV81" s="2591" t="str">
        <f t="shared" si="47"/>
        <v>Please select</v>
      </c>
      <c r="DW81" s="2591"/>
      <c r="DX81" s="2612">
        <f>'Inl. wetlands'!$H297</f>
        <v>0</v>
      </c>
      <c r="DY81" s="4206"/>
      <c r="DZ81" s="4155">
        <f>'Inl. wetlands'!$J297</f>
        <v>0</v>
      </c>
      <c r="EA81" s="4206"/>
      <c r="EB81" s="4155">
        <f>'Inl. wetlands'!$L297</f>
        <v>0</v>
      </c>
      <c r="EC81" s="4206"/>
      <c r="ED81" s="2591"/>
      <c r="EE81" s="4156">
        <f>'Inl. wetlands'!$N297</f>
        <v>0</v>
      </c>
      <c r="EF81" s="4206"/>
      <c r="EG81" s="2591"/>
      <c r="EH81" s="2591"/>
    </row>
    <row r="82" spans="2:138" x14ac:dyDescent="0.2">
      <c r="B82" s="1838"/>
      <c r="C82" s="4199"/>
      <c r="D82" s="1838"/>
      <c r="E82" s="1838"/>
      <c r="F82" s="1960"/>
      <c r="G82" s="2129" t="s">
        <v>85</v>
      </c>
      <c r="H82" s="1960"/>
      <c r="I82" s="2131" t="s">
        <v>57</v>
      </c>
      <c r="J82" s="1960"/>
      <c r="K82" s="2131" t="s">
        <v>57</v>
      </c>
      <c r="L82" s="1960"/>
      <c r="M82" s="1960" t="str">
        <f>IF((AND(K82=I82, K82&lt;&gt;"Please select")), list!$B$277, "")</f>
        <v/>
      </c>
      <c r="N82" s="2128">
        <v>0</v>
      </c>
      <c r="O82" s="2104" t="s">
        <v>86</v>
      </c>
      <c r="P82" s="2128">
        <v>0</v>
      </c>
      <c r="Q82" s="2104" t="s">
        <v>86</v>
      </c>
      <c r="R82" s="1960"/>
      <c r="S82" s="1960"/>
      <c r="T82" s="1960"/>
      <c r="U82" s="1838"/>
      <c r="V82" s="1838"/>
      <c r="W82" s="1838"/>
      <c r="X82" s="4194" t="s">
        <v>1053</v>
      </c>
      <c r="Y82" s="1838"/>
      <c r="Z82" s="1838"/>
      <c r="AA82" s="1838"/>
      <c r="AB82" s="1838"/>
      <c r="AC82" s="1838"/>
      <c r="AD82" s="1960"/>
      <c r="AE82" s="2107">
        <f>'Inl. wetlands'!AI226</f>
        <v>0</v>
      </c>
      <c r="AF82" s="2107">
        <f>'Inl. wetlands'!AJ226</f>
        <v>0</v>
      </c>
      <c r="AG82" s="1806">
        <f t="shared" si="41"/>
        <v>0</v>
      </c>
      <c r="AH82" s="1838"/>
      <c r="AI82" s="1838"/>
      <c r="AS82" s="2591"/>
      <c r="AT82" s="2591" t="str">
        <f t="shared" si="42"/>
        <v>Please select</v>
      </c>
      <c r="AU82" s="2591"/>
      <c r="AV82" s="2591"/>
      <c r="AW82" s="2612">
        <f>'Inl. wetlands'!$N226</f>
        <v>0</v>
      </c>
      <c r="AX82" s="4205"/>
      <c r="AY82" s="2591"/>
      <c r="AZ82" s="2591"/>
      <c r="BA82" s="2591"/>
      <c r="BB82" s="2591"/>
      <c r="BC82" s="2591"/>
      <c r="BD82" s="2591"/>
      <c r="BE82" s="2591"/>
      <c r="BF82" s="2591"/>
      <c r="BH82" s="4363">
        <v>1</v>
      </c>
      <c r="BI82" s="4364"/>
      <c r="BJ82" s="1996"/>
      <c r="CD82" s="2591"/>
      <c r="CE82" s="2591" t="str">
        <f t="shared" si="43"/>
        <v>Please select</v>
      </c>
      <c r="CF82" s="4156">
        <f>'Inl. wetlands'!B271</f>
        <v>0</v>
      </c>
      <c r="CG82" s="4209"/>
      <c r="CH82" s="4156">
        <f>'Inl. wetlands'!D271</f>
        <v>0</v>
      </c>
      <c r="CI82" s="4209"/>
      <c r="CJ82" s="4156">
        <f>'Inl. wetlands'!F271</f>
        <v>0</v>
      </c>
      <c r="CK82" s="4209"/>
      <c r="CL82" s="2591"/>
      <c r="CM82" s="4156">
        <f>'Inl. wetlands'!H271</f>
        <v>0</v>
      </c>
      <c r="CN82" s="4209"/>
      <c r="CO82" s="4156">
        <f>'Inl. wetlands'!J271</f>
        <v>0</v>
      </c>
      <c r="CP82" s="4209"/>
      <c r="CQ82" s="2591"/>
      <c r="CT82" s="2560"/>
      <c r="CU82" s="2319" t="str">
        <f t="shared" si="44"/>
        <v>Please select</v>
      </c>
      <c r="CV82" s="2585">
        <f t="shared" si="45"/>
        <v>0</v>
      </c>
      <c r="CW82" s="2585">
        <f t="shared" si="46"/>
        <v>0</v>
      </c>
      <c r="CX82" s="2560"/>
      <c r="CY82" s="2560"/>
      <c r="CZ82" s="4105" t="s">
        <v>57</v>
      </c>
      <c r="DA82" s="2560"/>
      <c r="DB82" s="2129">
        <v>1</v>
      </c>
      <c r="DC82" s="4210">
        <v>0.01</v>
      </c>
      <c r="DD82" s="4171"/>
      <c r="DE82" s="2129">
        <v>1</v>
      </c>
      <c r="DF82" s="4210">
        <v>0.01</v>
      </c>
      <c r="DG82" s="2560"/>
      <c r="DH82" s="2585">
        <f>'Inl. wetlands'!O257</f>
        <v>362</v>
      </c>
      <c r="DI82" s="2129"/>
      <c r="DJ82" s="2585">
        <f>'Inl. wetlands'!Q257</f>
        <v>207</v>
      </c>
      <c r="DK82" s="2129"/>
      <c r="DL82" s="2585">
        <f>'Inl. wetlands'!S257</f>
        <v>9</v>
      </c>
      <c r="DM82" s="2129"/>
      <c r="DN82" s="2585">
        <f>'Inl. wetlands'!U257</f>
        <v>0</v>
      </c>
      <c r="DO82" s="2129"/>
      <c r="DP82" s="2560"/>
      <c r="DU82" s="2591"/>
      <c r="DV82" s="2591" t="str">
        <f t="shared" si="47"/>
        <v>Please select</v>
      </c>
      <c r="DW82" s="2591"/>
      <c r="DX82" s="2612">
        <f>'Inl. wetlands'!$H298</f>
        <v>0</v>
      </c>
      <c r="DY82" s="4206"/>
      <c r="DZ82" s="4155">
        <f>'Inl. wetlands'!$J298</f>
        <v>0</v>
      </c>
      <c r="EA82" s="4206"/>
      <c r="EB82" s="4155">
        <f>'Inl. wetlands'!$L298</f>
        <v>0</v>
      </c>
      <c r="EC82" s="4206"/>
      <c r="ED82" s="2591"/>
      <c r="EE82" s="4156">
        <f>'Inl. wetlands'!$N298</f>
        <v>0</v>
      </c>
      <c r="EF82" s="4206"/>
      <c r="EG82" s="2591"/>
      <c r="EH82" s="2591"/>
    </row>
    <row r="83" spans="2:138" x14ac:dyDescent="0.2">
      <c r="B83" s="1838"/>
      <c r="C83" s="4199"/>
      <c r="D83" s="1838"/>
      <c r="E83" s="1838"/>
      <c r="F83" s="1960"/>
      <c r="G83" s="2129" t="s">
        <v>85</v>
      </c>
      <c r="H83" s="1960"/>
      <c r="I83" s="2131" t="s">
        <v>57</v>
      </c>
      <c r="J83" s="1960"/>
      <c r="K83" s="2131" t="s">
        <v>57</v>
      </c>
      <c r="L83" s="1960"/>
      <c r="M83" s="1960" t="str">
        <f>IF((AND(K83=I83, K83&lt;&gt;"Please select")), list!$B$277, "")</f>
        <v/>
      </c>
      <c r="N83" s="2128">
        <v>0</v>
      </c>
      <c r="O83" s="2104" t="s">
        <v>86</v>
      </c>
      <c r="P83" s="2128">
        <v>0</v>
      </c>
      <c r="Q83" s="2104" t="s">
        <v>86</v>
      </c>
      <c r="R83" s="1960"/>
      <c r="S83" s="1960"/>
      <c r="T83" s="1960"/>
      <c r="U83" s="1838"/>
      <c r="V83" s="1838"/>
      <c r="W83" s="1838"/>
      <c r="X83" s="4194" t="s">
        <v>1053</v>
      </c>
      <c r="Y83" s="1838"/>
      <c r="Z83" s="1838"/>
      <c r="AA83" s="1838"/>
      <c r="AB83" s="1838"/>
      <c r="AC83" s="1838"/>
      <c r="AD83" s="1960"/>
      <c r="AE83" s="2107">
        <f>'Inl. wetlands'!AI227</f>
        <v>0</v>
      </c>
      <c r="AF83" s="2107">
        <f>'Inl. wetlands'!AJ227</f>
        <v>0</v>
      </c>
      <c r="AG83" s="1806">
        <f t="shared" si="41"/>
        <v>0</v>
      </c>
      <c r="AH83" s="1838"/>
      <c r="AI83" s="1838"/>
      <c r="AS83" s="2591"/>
      <c r="AT83" s="2591" t="str">
        <f t="shared" si="42"/>
        <v>Please select</v>
      </c>
      <c r="AU83" s="2591"/>
      <c r="AV83" s="2591"/>
      <c r="AW83" s="2612">
        <f>'Inl. wetlands'!$N227</f>
        <v>0</v>
      </c>
      <c r="AX83" s="4205"/>
      <c r="AY83" s="2591"/>
      <c r="AZ83" s="2591"/>
      <c r="BA83" s="2591"/>
      <c r="BB83" s="2591"/>
      <c r="BC83" s="2591"/>
      <c r="BD83" s="2591"/>
      <c r="BE83" s="2591"/>
      <c r="BF83" s="2591"/>
      <c r="BH83" s="4363">
        <v>1</v>
      </c>
      <c r="BI83" s="4364"/>
      <c r="BJ83" s="1996"/>
      <c r="CD83" s="2591"/>
      <c r="CE83" s="2591" t="str">
        <f t="shared" si="43"/>
        <v>Please select</v>
      </c>
      <c r="CF83" s="4156">
        <f>'Inl. wetlands'!B272</f>
        <v>0</v>
      </c>
      <c r="CG83" s="4209"/>
      <c r="CH83" s="4156">
        <f>'Inl. wetlands'!D272</f>
        <v>0</v>
      </c>
      <c r="CI83" s="4209"/>
      <c r="CJ83" s="4156">
        <f>'Inl. wetlands'!F272</f>
        <v>0</v>
      </c>
      <c r="CK83" s="4209"/>
      <c r="CL83" s="2591"/>
      <c r="CM83" s="4156">
        <f>'Inl. wetlands'!H272</f>
        <v>0</v>
      </c>
      <c r="CN83" s="4209"/>
      <c r="CO83" s="4156">
        <f>'Inl. wetlands'!J272</f>
        <v>0</v>
      </c>
      <c r="CP83" s="4209"/>
      <c r="CQ83" s="2591"/>
      <c r="CT83" s="2560"/>
      <c r="CU83" s="2319" t="str">
        <f t="shared" si="44"/>
        <v>Please select</v>
      </c>
      <c r="CV83" s="2585">
        <f t="shared" si="45"/>
        <v>0</v>
      </c>
      <c r="CW83" s="2585">
        <f t="shared" si="46"/>
        <v>0</v>
      </c>
      <c r="CX83" s="2560"/>
      <c r="CY83" s="2560"/>
      <c r="CZ83" s="4105" t="s">
        <v>57</v>
      </c>
      <c r="DA83" s="2560"/>
      <c r="DB83" s="2129">
        <v>1</v>
      </c>
      <c r="DC83" s="4210">
        <v>0.01</v>
      </c>
      <c r="DD83" s="4171"/>
      <c r="DE83" s="2129">
        <v>1</v>
      </c>
      <c r="DF83" s="4210">
        <v>0.01</v>
      </c>
      <c r="DG83" s="2560"/>
      <c r="DH83" s="2585">
        <f>'Inl. wetlands'!O258</f>
        <v>362</v>
      </c>
      <c r="DI83" s="2129"/>
      <c r="DJ83" s="2585">
        <f>'Inl. wetlands'!Q258</f>
        <v>207</v>
      </c>
      <c r="DK83" s="2129"/>
      <c r="DL83" s="2585">
        <f>'Inl. wetlands'!S258</f>
        <v>9</v>
      </c>
      <c r="DM83" s="2129"/>
      <c r="DN83" s="2585">
        <f>'Inl. wetlands'!U258</f>
        <v>0</v>
      </c>
      <c r="DO83" s="2129"/>
      <c r="DP83" s="2560"/>
      <c r="DU83" s="2591"/>
      <c r="DV83" s="2591" t="str">
        <f t="shared" si="47"/>
        <v>Please select</v>
      </c>
      <c r="DW83" s="2591"/>
      <c r="DX83" s="2612">
        <f>'Inl. wetlands'!$H299</f>
        <v>0</v>
      </c>
      <c r="DY83" s="4206"/>
      <c r="DZ83" s="4155">
        <f>'Inl. wetlands'!$J299</f>
        <v>0</v>
      </c>
      <c r="EA83" s="4206"/>
      <c r="EB83" s="4155">
        <f>'Inl. wetlands'!$L299</f>
        <v>0</v>
      </c>
      <c r="EC83" s="4206"/>
      <c r="ED83" s="2591"/>
      <c r="EE83" s="4156">
        <f>'Inl. wetlands'!$N299</f>
        <v>0</v>
      </c>
      <c r="EF83" s="4206"/>
      <c r="EG83" s="2591"/>
      <c r="EH83" s="2591"/>
    </row>
    <row r="84" spans="2:138" x14ac:dyDescent="0.2">
      <c r="B84" s="1838"/>
      <c r="C84" s="4199"/>
      <c r="D84" s="1838">
        <f>IF('6.Inland wetlands'!CU175="Yes", )</f>
        <v>0</v>
      </c>
      <c r="E84" s="1838"/>
      <c r="F84" s="1960"/>
      <c r="G84" s="2129" t="s">
        <v>85</v>
      </c>
      <c r="H84" s="1960"/>
      <c r="I84" s="2131" t="s">
        <v>57</v>
      </c>
      <c r="J84" s="1960"/>
      <c r="K84" s="2131" t="s">
        <v>57</v>
      </c>
      <c r="L84" s="1960"/>
      <c r="M84" s="1960" t="str">
        <f>IF((AND(K84=I84, K84&lt;&gt;"Please select")), list!$B$277, "")</f>
        <v/>
      </c>
      <c r="N84" s="2128">
        <v>0</v>
      </c>
      <c r="O84" s="2104" t="s">
        <v>86</v>
      </c>
      <c r="P84" s="2128">
        <v>0</v>
      </c>
      <c r="Q84" s="2104" t="s">
        <v>86</v>
      </c>
      <c r="R84" s="1960"/>
      <c r="S84" s="1960"/>
      <c r="T84" s="1960"/>
      <c r="U84" s="1838"/>
      <c r="V84" s="1838"/>
      <c r="W84" s="1838"/>
      <c r="X84" s="4194" t="s">
        <v>1053</v>
      </c>
      <c r="Y84" s="1838"/>
      <c r="Z84" s="1838"/>
      <c r="AA84" s="1838"/>
      <c r="AB84" s="1838"/>
      <c r="AC84" s="1838"/>
      <c r="AD84" s="1960"/>
      <c r="AE84" s="2107">
        <f>'Inl. wetlands'!AI228</f>
        <v>0</v>
      </c>
      <c r="AF84" s="2107">
        <f>'Inl. wetlands'!AJ228</f>
        <v>0</v>
      </c>
      <c r="AG84" s="1806">
        <f t="shared" si="41"/>
        <v>0</v>
      </c>
      <c r="AH84" s="1838"/>
      <c r="AI84" s="1838"/>
      <c r="AS84" s="2591"/>
      <c r="AT84" s="2591" t="str">
        <f t="shared" si="42"/>
        <v>Please select</v>
      </c>
      <c r="AU84" s="2591"/>
      <c r="AV84" s="2591"/>
      <c r="AW84" s="2612">
        <f>'Inl. wetlands'!$N228</f>
        <v>0</v>
      </c>
      <c r="AX84" s="4205"/>
      <c r="AY84" s="2591"/>
      <c r="AZ84" s="2591"/>
      <c r="BA84" s="2591"/>
      <c r="BB84" s="2591"/>
      <c r="BC84" s="2591"/>
      <c r="BD84" s="2591"/>
      <c r="BE84" s="2591"/>
      <c r="BF84" s="2591"/>
      <c r="BH84" s="4363">
        <v>1</v>
      </c>
      <c r="BI84" s="4364"/>
      <c r="BJ84" s="1996"/>
      <c r="CD84" s="2591"/>
      <c r="CE84" s="2591" t="str">
        <f t="shared" si="43"/>
        <v>Please select</v>
      </c>
      <c r="CF84" s="4156">
        <f>'Inl. wetlands'!B273</f>
        <v>0</v>
      </c>
      <c r="CG84" s="4209"/>
      <c r="CH84" s="4156">
        <f>'Inl. wetlands'!D273</f>
        <v>0</v>
      </c>
      <c r="CI84" s="4209"/>
      <c r="CJ84" s="4156">
        <f>'Inl. wetlands'!F273</f>
        <v>0</v>
      </c>
      <c r="CK84" s="4209"/>
      <c r="CL84" s="2591"/>
      <c r="CM84" s="4156">
        <f>'Inl. wetlands'!H273</f>
        <v>0</v>
      </c>
      <c r="CN84" s="4209"/>
      <c r="CO84" s="4156">
        <f>'Inl. wetlands'!J273</f>
        <v>0</v>
      </c>
      <c r="CP84" s="4209"/>
      <c r="CQ84" s="2591"/>
      <c r="CT84" s="2560"/>
      <c r="CU84" s="2319" t="str">
        <f t="shared" si="44"/>
        <v>Please select</v>
      </c>
      <c r="CV84" s="2585">
        <f t="shared" si="45"/>
        <v>0</v>
      </c>
      <c r="CW84" s="2585">
        <f t="shared" si="46"/>
        <v>0</v>
      </c>
      <c r="CX84" s="2560"/>
      <c r="CY84" s="2560"/>
      <c r="CZ84" s="4105" t="s">
        <v>57</v>
      </c>
      <c r="DA84" s="2560"/>
      <c r="DB84" s="2129">
        <v>1</v>
      </c>
      <c r="DC84" s="4210">
        <v>0.01</v>
      </c>
      <c r="DD84" s="4171"/>
      <c r="DE84" s="2129">
        <v>1</v>
      </c>
      <c r="DF84" s="4210">
        <v>0.01</v>
      </c>
      <c r="DG84" s="2560"/>
      <c r="DH84" s="2585">
        <f>'Inl. wetlands'!O259</f>
        <v>362</v>
      </c>
      <c r="DI84" s="2129"/>
      <c r="DJ84" s="2585">
        <f>'Inl. wetlands'!Q259</f>
        <v>207</v>
      </c>
      <c r="DK84" s="2129"/>
      <c r="DL84" s="2585">
        <f>'Inl. wetlands'!S259</f>
        <v>9</v>
      </c>
      <c r="DM84" s="2129"/>
      <c r="DN84" s="2585">
        <f>'Inl. wetlands'!U259</f>
        <v>0</v>
      </c>
      <c r="DO84" s="2129"/>
      <c r="DP84" s="2560"/>
      <c r="DU84" s="2591"/>
      <c r="DV84" s="2591" t="str">
        <f t="shared" si="47"/>
        <v>Please select</v>
      </c>
      <c r="DW84" s="2591"/>
      <c r="DX84" s="2612">
        <f>'Inl. wetlands'!$H300</f>
        <v>0</v>
      </c>
      <c r="DY84" s="4206"/>
      <c r="DZ84" s="4155">
        <f>'Inl. wetlands'!$J300</f>
        <v>0</v>
      </c>
      <c r="EA84" s="4206"/>
      <c r="EB84" s="4155">
        <f>'Inl. wetlands'!$L300</f>
        <v>0</v>
      </c>
      <c r="EC84" s="4206"/>
      <c r="ED84" s="2591"/>
      <c r="EE84" s="4156">
        <f>'Inl. wetlands'!$N300</f>
        <v>0</v>
      </c>
      <c r="EF84" s="4206"/>
      <c r="EG84" s="2591"/>
      <c r="EH84" s="2591"/>
    </row>
    <row r="85" spans="2:138" x14ac:dyDescent="0.2">
      <c r="B85" s="1838"/>
      <c r="C85" s="4198"/>
      <c r="D85" s="1838"/>
      <c r="E85" s="1838"/>
      <c r="F85" s="1960"/>
      <c r="G85" s="2129" t="s">
        <v>85</v>
      </c>
      <c r="H85" s="1960"/>
      <c r="I85" s="2131" t="s">
        <v>57</v>
      </c>
      <c r="J85" s="1960"/>
      <c r="K85" s="2131" t="s">
        <v>57</v>
      </c>
      <c r="L85" s="1960"/>
      <c r="M85" s="1960" t="str">
        <f>IF((AND(K85=I85, K85&lt;&gt;"Please select")), list!$B$277, "")</f>
        <v/>
      </c>
      <c r="N85" s="2128">
        <v>0</v>
      </c>
      <c r="O85" s="2104" t="s">
        <v>86</v>
      </c>
      <c r="P85" s="2128">
        <v>0</v>
      </c>
      <c r="Q85" s="2104" t="s">
        <v>86</v>
      </c>
      <c r="R85" s="1960"/>
      <c r="S85" s="1960"/>
      <c r="T85" s="1960"/>
      <c r="U85" s="1838"/>
      <c r="V85" s="1838"/>
      <c r="W85" s="1838"/>
      <c r="X85" s="4194" t="s">
        <v>1053</v>
      </c>
      <c r="Y85" s="1838"/>
      <c r="Z85" s="1838"/>
      <c r="AA85" s="1838"/>
      <c r="AB85" s="1838"/>
      <c r="AC85" s="1838"/>
      <c r="AD85" s="1960"/>
      <c r="AE85" s="2107">
        <f>'Inl. wetlands'!AI229</f>
        <v>0</v>
      </c>
      <c r="AF85" s="2107">
        <f>'Inl. wetlands'!AJ229</f>
        <v>0</v>
      </c>
      <c r="AG85" s="1806">
        <f t="shared" si="41"/>
        <v>0</v>
      </c>
      <c r="AH85" s="1838"/>
      <c r="AI85" s="1838"/>
      <c r="AS85" s="2591"/>
      <c r="AT85" s="2591" t="str">
        <f t="shared" si="42"/>
        <v>Please select</v>
      </c>
      <c r="AU85" s="2591"/>
      <c r="AV85" s="2591"/>
      <c r="AW85" s="2612">
        <f>'Inl. wetlands'!$N229</f>
        <v>0</v>
      </c>
      <c r="AX85" s="4205"/>
      <c r="AY85" s="2591"/>
      <c r="AZ85" s="2591"/>
      <c r="BA85" s="2591"/>
      <c r="BB85" s="2591"/>
      <c r="BC85" s="2591"/>
      <c r="BD85" s="2591"/>
      <c r="BE85" s="2591"/>
      <c r="BF85" s="2591"/>
      <c r="BH85" s="4363">
        <v>1</v>
      </c>
      <c r="BI85" s="4364"/>
      <c r="BJ85" s="1996"/>
      <c r="CD85" s="2591"/>
      <c r="CE85" s="2591" t="str">
        <f t="shared" si="43"/>
        <v>Please select</v>
      </c>
      <c r="CF85" s="4156">
        <f>'Inl. wetlands'!B274</f>
        <v>0</v>
      </c>
      <c r="CG85" s="4209"/>
      <c r="CH85" s="4156">
        <f>'Inl. wetlands'!D274</f>
        <v>0</v>
      </c>
      <c r="CI85" s="4209"/>
      <c r="CJ85" s="4156">
        <f>'Inl. wetlands'!F274</f>
        <v>0</v>
      </c>
      <c r="CK85" s="4209"/>
      <c r="CL85" s="2591"/>
      <c r="CM85" s="4156">
        <f>'Inl. wetlands'!H274</f>
        <v>0</v>
      </c>
      <c r="CN85" s="4209"/>
      <c r="CO85" s="4156">
        <f>'Inl. wetlands'!J274</f>
        <v>0</v>
      </c>
      <c r="CP85" s="4209"/>
      <c r="CQ85" s="2591"/>
      <c r="CT85" s="2560"/>
      <c r="CU85" s="2319" t="str">
        <f t="shared" si="44"/>
        <v>Please select</v>
      </c>
      <c r="CV85" s="2585">
        <f t="shared" si="45"/>
        <v>0</v>
      </c>
      <c r="CW85" s="2585">
        <f t="shared" si="46"/>
        <v>0</v>
      </c>
      <c r="CX85" s="2560"/>
      <c r="CY85" s="2560"/>
      <c r="CZ85" s="4105" t="s">
        <v>57</v>
      </c>
      <c r="DA85" s="2560"/>
      <c r="DB85" s="2129">
        <v>1</v>
      </c>
      <c r="DC85" s="4210">
        <v>0.01</v>
      </c>
      <c r="DD85" s="4171"/>
      <c r="DE85" s="2129">
        <v>1</v>
      </c>
      <c r="DF85" s="4210">
        <v>0.01</v>
      </c>
      <c r="DG85" s="2560"/>
      <c r="DH85" s="2585">
        <f>'Inl. wetlands'!O260</f>
        <v>362</v>
      </c>
      <c r="DI85" s="2129"/>
      <c r="DJ85" s="2585">
        <f>'Inl. wetlands'!Q260</f>
        <v>207</v>
      </c>
      <c r="DK85" s="2129"/>
      <c r="DL85" s="2585">
        <f>'Inl. wetlands'!S260</f>
        <v>9</v>
      </c>
      <c r="DM85" s="2129"/>
      <c r="DN85" s="2585">
        <f>'Inl. wetlands'!U260</f>
        <v>0</v>
      </c>
      <c r="DO85" s="2129"/>
      <c r="DP85" s="2560"/>
      <c r="DU85" s="2591"/>
      <c r="DV85" s="2591" t="str">
        <f t="shared" si="47"/>
        <v>Please select</v>
      </c>
      <c r="DW85" s="2591"/>
      <c r="DX85" s="2612">
        <f>'Inl. wetlands'!$H301</f>
        <v>0</v>
      </c>
      <c r="DY85" s="4206"/>
      <c r="DZ85" s="4155">
        <f>'Inl. wetlands'!$J301</f>
        <v>0</v>
      </c>
      <c r="EA85" s="4206"/>
      <c r="EB85" s="4155">
        <f>'Inl. wetlands'!$L301</f>
        <v>0</v>
      </c>
      <c r="EC85" s="4206"/>
      <c r="ED85" s="2591"/>
      <c r="EE85" s="4156">
        <f>'Inl. wetlands'!$N301</f>
        <v>0</v>
      </c>
      <c r="EF85" s="4206"/>
      <c r="EG85" s="2591"/>
      <c r="EH85" s="2591"/>
    </row>
    <row r="86" spans="2:138" x14ac:dyDescent="0.2">
      <c r="B86" s="1838"/>
      <c r="C86" s="1838"/>
      <c r="D86" s="1838"/>
      <c r="E86" s="1838"/>
      <c r="F86" s="1960"/>
      <c r="G86" s="1960"/>
      <c r="H86" s="1960"/>
      <c r="I86" s="4340" t="str" cm="1">
        <f t="array" ref="I86">IF(OR(I80:I85="Degraded land",I80:I85="Other land (non-vegetated)"),"There are no EFs for water table management practices on degraded or other land. Please use tier 2 to account for GHG fluxes", "")</f>
        <v/>
      </c>
      <c r="J86" s="4339"/>
      <c r="K86" s="4271" t="str" cm="1">
        <f t="array" ref="K86">IF(OR(K80:K85="Degraded land",K80:K85="Other land (non-vegetated)"),"please use tier 2 to account for peatland management on degraded land or other land", "")</f>
        <v/>
      </c>
      <c r="L86" s="1960"/>
      <c r="M86" s="1960"/>
      <c r="N86" s="1960"/>
      <c r="O86" s="1960"/>
      <c r="P86" s="1960"/>
      <c r="Q86" s="1960"/>
      <c r="R86" s="1960"/>
      <c r="S86" s="1960"/>
      <c r="T86" s="1960"/>
      <c r="U86" s="1960"/>
      <c r="V86" s="1960"/>
      <c r="W86" s="1960"/>
      <c r="X86" s="1960"/>
      <c r="Y86" s="4158"/>
      <c r="Z86" s="1960"/>
      <c r="AA86" s="1960"/>
      <c r="AB86" s="4271"/>
      <c r="AC86" s="1838"/>
      <c r="AD86" s="1960"/>
      <c r="AE86" s="1960"/>
      <c r="AF86" s="1960"/>
      <c r="AG86" s="1960"/>
      <c r="AH86" s="1838"/>
      <c r="AI86" s="1838"/>
      <c r="AS86" s="2591"/>
      <c r="AT86" s="2591"/>
      <c r="AU86" s="2591"/>
      <c r="AV86" s="2591"/>
      <c r="AW86" s="2591"/>
      <c r="AX86" s="2591"/>
      <c r="AY86" s="2591"/>
      <c r="AZ86" s="2591"/>
      <c r="BA86" s="2591"/>
      <c r="BB86" s="2591"/>
      <c r="BC86" s="2591"/>
      <c r="BD86" s="2591"/>
      <c r="BE86" s="2591"/>
      <c r="BF86" s="2591"/>
      <c r="BH86" s="1996"/>
      <c r="BI86" s="1996"/>
      <c r="BJ86" s="1996"/>
      <c r="CD86" s="2591"/>
      <c r="CE86" s="2591"/>
      <c r="CF86" s="2591"/>
      <c r="CG86" s="2591"/>
      <c r="CH86" s="2591"/>
      <c r="CI86" s="2591"/>
      <c r="CJ86" s="2591"/>
      <c r="CK86" s="2591"/>
      <c r="CL86" s="2591"/>
      <c r="CM86" s="2591"/>
      <c r="CN86" s="2591"/>
      <c r="CO86" s="2591"/>
      <c r="CP86" s="2591"/>
      <c r="CQ86" s="2591"/>
      <c r="CT86" s="2560"/>
      <c r="CU86" s="2319"/>
      <c r="CV86" s="2560"/>
      <c r="CW86" s="2560"/>
      <c r="CX86" s="2560"/>
      <c r="CY86" s="2560"/>
      <c r="CZ86" s="2560"/>
      <c r="DA86" s="2560"/>
      <c r="DB86" s="2560"/>
      <c r="DC86" s="4171"/>
      <c r="DD86" s="4171"/>
      <c r="DE86" s="2560"/>
      <c r="DF86" s="4171"/>
      <c r="DG86" s="2560"/>
      <c r="DH86" s="2585"/>
      <c r="DI86" s="2560"/>
      <c r="DJ86" s="2585"/>
      <c r="DK86" s="2560"/>
      <c r="DL86" s="2585"/>
      <c r="DM86" s="2560"/>
      <c r="DN86" s="2585"/>
      <c r="DO86" s="2560"/>
      <c r="DP86" s="2560"/>
      <c r="DU86" s="2591"/>
      <c r="DV86" s="2591"/>
      <c r="DW86" s="2591"/>
      <c r="DX86" s="2612"/>
      <c r="DY86" s="2591"/>
      <c r="DZ86" s="4155"/>
      <c r="EA86" s="2591"/>
      <c r="EB86" s="4155"/>
      <c r="EC86" s="2591"/>
      <c r="ED86" s="2591"/>
      <c r="EE86" s="4156"/>
      <c r="EF86" s="2591"/>
      <c r="EG86" s="2591"/>
      <c r="EH86" s="2591"/>
    </row>
    <row r="87" spans="2:138" ht="15" customHeight="1" x14ac:dyDescent="0.2">
      <c r="B87" s="1960"/>
      <c r="C87" s="4142"/>
      <c r="D87" s="1960"/>
      <c r="E87" s="1960"/>
      <c r="F87" s="1960"/>
      <c r="G87" s="1960"/>
      <c r="H87" s="1960"/>
      <c r="I87" s="1960"/>
      <c r="J87" s="1960"/>
      <c r="K87" s="1834" t="str">
        <f>K54</f>
        <v>Maximum area available for</v>
      </c>
      <c r="L87" s="1960"/>
      <c r="M87" s="1960"/>
      <c r="N87" s="1960"/>
      <c r="O87" s="1960"/>
      <c r="P87" s="1960"/>
      <c r="Q87" s="1960"/>
      <c r="R87" s="1960"/>
      <c r="S87" s="1960"/>
      <c r="T87" s="1960"/>
      <c r="U87" s="1960"/>
      <c r="V87" s="1960"/>
      <c r="W87" s="1960"/>
      <c r="X87" s="1960"/>
      <c r="Y87" s="1960"/>
      <c r="Z87" s="4569" t="str">
        <f>W76</f>
        <v>Management practices following conversion</v>
      </c>
      <c r="AA87" s="4569"/>
      <c r="AB87" s="4569"/>
      <c r="AC87" s="1838"/>
      <c r="AD87" s="1960"/>
      <c r="AE87" s="1960"/>
      <c r="AF87" s="1960"/>
      <c r="AG87" s="1960"/>
      <c r="AH87" s="1838"/>
      <c r="AI87" s="1838"/>
      <c r="AS87" s="2591"/>
      <c r="AT87" s="2591"/>
      <c r="AU87" s="2591"/>
      <c r="AV87" s="2591"/>
      <c r="AW87" s="2591"/>
      <c r="AX87" s="2591"/>
      <c r="AY87" s="2591"/>
      <c r="AZ87" s="2591"/>
      <c r="BA87" s="2591"/>
      <c r="BB87" s="2591"/>
      <c r="BC87" s="2591"/>
      <c r="BD87" s="2591"/>
      <c r="BE87" s="2591"/>
      <c r="BF87" s="2591"/>
      <c r="BH87" s="4548" t="s">
        <v>87</v>
      </c>
      <c r="BI87" s="4548"/>
      <c r="BJ87" s="4548"/>
      <c r="CD87" s="4165" t="str">
        <f>CD53</f>
        <v>Please indicate the dominant quality of peat, this can influence the emission factors above:</v>
      </c>
      <c r="CE87" s="2591"/>
      <c r="CF87" s="2591"/>
      <c r="CG87" s="2591"/>
      <c r="CH87" s="2591"/>
      <c r="CI87" s="2591"/>
      <c r="CJ87" s="2591"/>
      <c r="CK87" s="4205" t="s">
        <v>1055</v>
      </c>
      <c r="CL87" s="4205"/>
      <c r="CM87" s="4205"/>
      <c r="CN87" s="2591"/>
      <c r="CO87" s="2591"/>
      <c r="CP87" s="2591"/>
      <c r="CQ87" s="2591"/>
      <c r="CT87" s="2560"/>
      <c r="CU87" s="2591"/>
      <c r="CV87" s="2591"/>
      <c r="CW87" s="2591"/>
      <c r="CX87" s="2591"/>
      <c r="CY87" s="2591"/>
      <c r="CZ87" s="2591"/>
      <c r="DA87" s="2591"/>
      <c r="DB87" s="2560"/>
      <c r="DC87" s="2560"/>
      <c r="DD87" s="2560"/>
      <c r="DE87" s="2560"/>
      <c r="DF87" s="2560"/>
      <c r="DG87" s="2560"/>
      <c r="DH87" s="2560"/>
      <c r="DI87" s="2560"/>
      <c r="DJ87" s="2560"/>
      <c r="DK87" s="2560"/>
      <c r="DL87" s="2560"/>
      <c r="DM87" s="2560"/>
      <c r="DN87" s="2560"/>
      <c r="DO87" s="2560"/>
      <c r="DP87" s="2560"/>
      <c r="DU87" s="2591"/>
      <c r="DV87" s="2591"/>
      <c r="DW87" s="2591"/>
      <c r="DX87" s="2591"/>
      <c r="DY87" s="2591"/>
      <c r="DZ87" s="2591"/>
      <c r="EA87" s="2591"/>
      <c r="EB87" s="2591"/>
      <c r="EC87" s="2591"/>
      <c r="ED87" s="2591"/>
      <c r="EE87" s="2591"/>
      <c r="EF87" s="4161" t="str">
        <f>CK87</f>
        <v>Nutrient poor</v>
      </c>
      <c r="EG87" s="4145" t="s">
        <v>1054</v>
      </c>
      <c r="EH87" s="2591"/>
    </row>
    <row r="88" spans="2:138" x14ac:dyDescent="0.2">
      <c r="B88" s="1960"/>
      <c r="C88" s="4142"/>
      <c r="D88" s="1960"/>
      <c r="E88" s="1960"/>
      <c r="F88" s="1960"/>
      <c r="G88" s="1960"/>
      <c r="H88" s="1960"/>
      <c r="I88" s="1960"/>
      <c r="J88" s="1960"/>
      <c r="K88" s="1834" t="str">
        <f>K55</f>
        <v>water management</v>
      </c>
      <c r="L88" s="1960"/>
      <c r="M88" s="4143" t="str">
        <f>M55</f>
        <v>Area under drainage (ha)</v>
      </c>
      <c r="N88" s="4143"/>
      <c r="O88" s="4143"/>
      <c r="P88" s="4143"/>
      <c r="Q88" s="4143"/>
      <c r="R88" s="1838"/>
      <c r="S88" s="4143" t="str">
        <f>S55</f>
        <v>Area not drained or rewetted (ha)</v>
      </c>
      <c r="T88" s="4143"/>
      <c r="U88" s="4143"/>
      <c r="V88" s="1960"/>
      <c r="W88" s="4352" t="str">
        <f>W55</f>
        <v>% area occupied by ditches</v>
      </c>
      <c r="X88" s="4352"/>
      <c r="Y88" s="4352"/>
      <c r="Z88" s="4569"/>
      <c r="AA88" s="4569"/>
      <c r="AB88" s="4569"/>
      <c r="AC88" s="1838"/>
      <c r="AD88" s="1838"/>
      <c r="AE88" s="4322"/>
      <c r="AF88" s="4322"/>
      <c r="AG88" s="1780"/>
      <c r="AH88" s="1838"/>
      <c r="AI88" s="1838"/>
      <c r="AS88" s="2591"/>
      <c r="AT88" s="2591"/>
      <c r="AU88" s="2591"/>
      <c r="AV88" s="2591"/>
      <c r="AW88" s="2591"/>
      <c r="AX88" s="2591"/>
      <c r="AY88" s="2591"/>
      <c r="AZ88" s="2591"/>
      <c r="BA88" s="2591"/>
      <c r="BB88" s="2591"/>
      <c r="BC88" s="2591"/>
      <c r="BD88" s="2591"/>
      <c r="BE88" s="2591"/>
      <c r="BF88" s="2591"/>
      <c r="BH88" s="4548"/>
      <c r="BI88" s="4548"/>
      <c r="BJ88" s="4548"/>
      <c r="CD88" s="4165"/>
      <c r="CE88" s="2591"/>
      <c r="CF88" s="4140" t="str">
        <f>CF75</f>
        <v>On-site emission factors</v>
      </c>
      <c r="CG88" s="4140"/>
      <c r="CH88" s="4140"/>
      <c r="CI88" s="4140"/>
      <c r="CJ88" s="4140"/>
      <c r="CK88" s="4140"/>
      <c r="CL88" s="4145"/>
      <c r="CM88" s="4140" t="str">
        <f>CM75</f>
        <v>Off-site emission factors</v>
      </c>
      <c r="CN88" s="4140"/>
      <c r="CO88" s="4140"/>
      <c r="CP88" s="4140"/>
      <c r="CQ88" s="2591"/>
      <c r="CT88" s="2560"/>
      <c r="CU88" s="2591"/>
      <c r="CV88" s="2591"/>
      <c r="CW88" s="2591"/>
      <c r="CX88" s="2591"/>
      <c r="CY88" s="2591"/>
      <c r="CZ88" s="2591"/>
      <c r="DA88" s="2591"/>
      <c r="DB88" s="2560"/>
      <c r="DC88" s="2560"/>
      <c r="DD88" s="2560"/>
      <c r="DE88" s="2560"/>
      <c r="DF88" s="2560"/>
      <c r="DG88" s="2560"/>
      <c r="DH88" s="2560"/>
      <c r="DI88" s="2560"/>
      <c r="DJ88" s="2560"/>
      <c r="DK88" s="2560"/>
      <c r="DL88" s="2560"/>
      <c r="DM88" s="2560"/>
      <c r="DN88" s="2560"/>
      <c r="DO88" s="2560"/>
      <c r="DP88" s="2560"/>
      <c r="DU88" s="2591"/>
      <c r="DV88" s="4145" t="str">
        <f>DV56</f>
        <v>Final land-use</v>
      </c>
      <c r="DW88" s="2591"/>
      <c r="DX88" s="4140" t="s">
        <v>1033</v>
      </c>
      <c r="DY88" s="4141"/>
      <c r="DZ88" s="4141"/>
      <c r="EA88" s="4141"/>
      <c r="EB88" s="4141"/>
      <c r="EC88" s="4141"/>
      <c r="ED88" s="2591"/>
      <c r="EE88" s="4140" t="s">
        <v>1034</v>
      </c>
      <c r="EF88" s="4141"/>
      <c r="EG88" s="4141"/>
      <c r="EH88" s="2591"/>
    </row>
    <row r="89" spans="2:138" x14ac:dyDescent="0.2">
      <c r="B89" s="1960"/>
      <c r="C89" s="4142" t="str">
        <f>I78</f>
        <v>Initial land-use</v>
      </c>
      <c r="D89" s="1960"/>
      <c r="E89" s="4142" t="str">
        <f>K78</f>
        <v>Final land-use</v>
      </c>
      <c r="F89" s="1960"/>
      <c r="G89" s="1960"/>
      <c r="H89" s="1960"/>
      <c r="I89" s="1960"/>
      <c r="J89" s="1960"/>
      <c r="K89" s="1960"/>
      <c r="L89" s="1960"/>
      <c r="M89" s="1960"/>
      <c r="N89" s="1960"/>
      <c r="O89" s="1960"/>
      <c r="P89" s="1960"/>
      <c r="Q89" s="1960"/>
      <c r="R89" s="1838"/>
      <c r="S89" s="1838"/>
      <c r="T89" s="1838"/>
      <c r="U89" s="1838"/>
      <c r="V89" s="1960"/>
      <c r="W89" s="1960"/>
      <c r="X89" s="1960"/>
      <c r="Y89" s="1960"/>
      <c r="Z89" s="1960"/>
      <c r="AA89" s="4162" t="str">
        <f>AA56</f>
        <v>Fire on</v>
      </c>
      <c r="AB89" s="4321"/>
      <c r="AC89" s="4321"/>
      <c r="AD89" s="1838"/>
      <c r="AE89" s="4322"/>
      <c r="AF89" s="4322"/>
      <c r="AG89" s="1780"/>
      <c r="AH89" s="1838"/>
      <c r="AI89" s="1838"/>
      <c r="AS89" s="2591"/>
      <c r="AT89" s="2591"/>
      <c r="AU89" s="2591"/>
      <c r="AV89" s="2591"/>
      <c r="AW89" s="4146" t="str">
        <f>Languages!B67</f>
        <v>Above-ground</v>
      </c>
      <c r="AX89" s="4145"/>
      <c r="AY89" s="2591"/>
      <c r="AZ89" s="2591"/>
      <c r="BA89" s="2591"/>
      <c r="BB89" s="2591"/>
      <c r="BC89" s="2591"/>
      <c r="BD89" s="2591"/>
      <c r="BE89" s="2591"/>
      <c r="BF89" s="2591"/>
      <c r="BH89" s="4548"/>
      <c r="BI89" s="4548"/>
      <c r="BJ89" s="4548"/>
      <c r="CD89" s="4165"/>
      <c r="CE89" s="2591"/>
      <c r="CF89" s="2560" t="str">
        <f>CF76</f>
        <v>CO2</v>
      </c>
      <c r="CG89" s="2560"/>
      <c r="CH89" s="2560" t="str">
        <f>CH76</f>
        <v>CH4</v>
      </c>
      <c r="CI89" s="2560"/>
      <c r="CJ89" s="2560" t="str">
        <f>CJ76</f>
        <v>N2O</v>
      </c>
      <c r="CK89" s="2560"/>
      <c r="CL89" s="2560"/>
      <c r="CM89" s="2560" t="str">
        <f>CM76</f>
        <v>DOC</v>
      </c>
      <c r="CN89" s="2560"/>
      <c r="CO89" s="2560" t="str">
        <f>CO76</f>
        <v>CH4</v>
      </c>
      <c r="CP89" s="2560"/>
      <c r="CQ89" s="2560"/>
      <c r="CT89" s="2560"/>
      <c r="CU89" s="2591"/>
      <c r="CV89" s="2591"/>
      <c r="CW89" s="2591"/>
      <c r="CX89" s="2591"/>
      <c r="CY89" s="2591"/>
      <c r="CZ89" s="2591"/>
      <c r="DA89" s="2591"/>
      <c r="DB89" s="2560"/>
      <c r="DC89" s="2560"/>
      <c r="DD89" s="2560"/>
      <c r="DE89" s="2560"/>
      <c r="DF89" s="2560"/>
      <c r="DG89" s="2560"/>
      <c r="DH89" s="2560"/>
      <c r="DI89" s="2560"/>
      <c r="DJ89" s="2560"/>
      <c r="DK89" s="2560"/>
      <c r="DL89" s="2560"/>
      <c r="DM89" s="2560"/>
      <c r="DN89" s="2560"/>
      <c r="DO89" s="2560"/>
      <c r="DP89" s="2560"/>
      <c r="DU89" s="2591"/>
      <c r="DV89" s="2591"/>
      <c r="DW89" s="2591"/>
      <c r="DX89" s="2591" t="s">
        <v>1040</v>
      </c>
      <c r="DY89" s="2591"/>
      <c r="DZ89" s="2591" t="s">
        <v>1041</v>
      </c>
      <c r="EA89" s="2591"/>
      <c r="EB89" s="2591" t="s">
        <v>177</v>
      </c>
      <c r="EC89" s="2591"/>
      <c r="ED89" s="2591"/>
      <c r="EE89" s="2591" t="s">
        <v>1042</v>
      </c>
      <c r="EF89" s="2591"/>
      <c r="EG89" s="2591"/>
      <c r="EH89" s="2591"/>
    </row>
    <row r="90" spans="2:138" x14ac:dyDescent="0.2">
      <c r="B90" s="1960"/>
      <c r="C90" s="4142"/>
      <c r="D90" s="1960"/>
      <c r="E90" s="1960"/>
      <c r="F90" s="1960"/>
      <c r="G90" s="1960"/>
      <c r="H90" s="1960"/>
      <c r="I90" s="1960"/>
      <c r="J90" s="1960"/>
      <c r="K90" s="1960"/>
      <c r="L90" s="1960"/>
      <c r="M90" s="1838" t="str">
        <f>M57</f>
        <v>Start</v>
      </c>
      <c r="N90" s="1838" t="str">
        <f>N57</f>
        <v>Without</v>
      </c>
      <c r="O90" s="1838" t="str">
        <f>O57</f>
        <v>*</v>
      </c>
      <c r="P90" s="1838" t="str">
        <f>P57</f>
        <v>With</v>
      </c>
      <c r="Q90" s="1838" t="str">
        <f>Q57</f>
        <v>*</v>
      </c>
      <c r="R90" s="1838">
        <f>R58</f>
        <v>0</v>
      </c>
      <c r="S90" s="1838" t="str">
        <f>M90</f>
        <v>Start</v>
      </c>
      <c r="T90" s="1838" t="str">
        <f>N90</f>
        <v>Without</v>
      </c>
      <c r="U90" s="1838" t="str">
        <f>P90</f>
        <v>With</v>
      </c>
      <c r="V90" s="1960"/>
      <c r="W90" s="1838" t="str">
        <f>S90</f>
        <v>Start</v>
      </c>
      <c r="X90" s="1838" t="str">
        <f>X57</f>
        <v>Without</v>
      </c>
      <c r="Y90" s="1838" t="str">
        <f>Y57</f>
        <v>With</v>
      </c>
      <c r="Z90" s="1960"/>
      <c r="AA90" s="1838" t="str">
        <f>AA57</f>
        <v>Soil</v>
      </c>
      <c r="AB90" s="4321"/>
      <c r="AC90" s="4321"/>
      <c r="AD90" s="1838"/>
      <c r="AE90" s="1838" t="str">
        <f>AE79</f>
        <v>Without</v>
      </c>
      <c r="AF90" s="1838" t="str">
        <f>AF79</f>
        <v>With</v>
      </c>
      <c r="AG90" s="1834" t="str">
        <f>AG79</f>
        <v>Balance</v>
      </c>
      <c r="AH90" s="1838"/>
      <c r="AI90" s="1838"/>
      <c r="AS90" s="2591"/>
      <c r="AT90" s="4145" t="str">
        <f>K78</f>
        <v>Final land-use</v>
      </c>
      <c r="AU90" s="2591"/>
      <c r="AV90" s="2591"/>
      <c r="AW90" s="4149" t="s">
        <v>62</v>
      </c>
      <c r="AX90" s="2591"/>
      <c r="AY90" s="2591"/>
      <c r="AZ90" s="2591"/>
      <c r="BA90" s="2591"/>
      <c r="BB90" s="2591"/>
      <c r="BC90" s="2591"/>
      <c r="BD90" s="2591"/>
      <c r="BE90" s="2591"/>
      <c r="BF90" s="2591"/>
      <c r="BH90" s="1996"/>
      <c r="BI90" s="1996"/>
      <c r="BJ90" s="1996"/>
      <c r="CD90" s="4165"/>
      <c r="CE90" s="4145" t="str">
        <f>AT90</f>
        <v>Final land-use</v>
      </c>
      <c r="CF90" s="2560" t="str">
        <f t="shared" ref="CF90:CP91" si="48">CF77</f>
        <v>tC/ha/yr</v>
      </c>
      <c r="CG90" s="2560"/>
      <c r="CH90" s="2560" t="str">
        <f t="shared" si="48"/>
        <v>kgCH4/ha/yr</v>
      </c>
      <c r="CI90" s="2560"/>
      <c r="CJ90" s="2560" t="str">
        <f t="shared" si="48"/>
        <v>kgN2O-N/ha/yr</v>
      </c>
      <c r="CK90" s="2560"/>
      <c r="CL90" s="2560"/>
      <c r="CM90" s="2560" t="str">
        <f t="shared" si="48"/>
        <v>tC/ha/yr</v>
      </c>
      <c r="CN90" s="2560"/>
      <c r="CO90" s="2560" t="str">
        <f t="shared" si="48"/>
        <v>kgCH4/ha/yr</v>
      </c>
      <c r="CP90" s="2560"/>
      <c r="CQ90" s="2560"/>
      <c r="CT90" s="2560"/>
      <c r="CU90" s="2591"/>
      <c r="CV90" s="2591"/>
      <c r="CW90" s="2591"/>
      <c r="CX90" s="2591"/>
      <c r="CY90" s="2591"/>
      <c r="CZ90" s="2591"/>
      <c r="DA90" s="2591"/>
      <c r="DB90" s="2560"/>
      <c r="DC90" s="2560"/>
      <c r="DD90" s="2560"/>
      <c r="DE90" s="2560"/>
      <c r="DF90" s="2560"/>
      <c r="DG90" s="2560"/>
      <c r="DH90" s="2560"/>
      <c r="DI90" s="2560"/>
      <c r="DJ90" s="2560"/>
      <c r="DK90" s="2560"/>
      <c r="DL90" s="2560"/>
      <c r="DM90" s="2560"/>
      <c r="DN90" s="2560"/>
      <c r="DO90" s="2560"/>
      <c r="DP90" s="2560"/>
      <c r="DU90" s="2591"/>
      <c r="DV90" s="2591"/>
      <c r="DW90" s="2591"/>
      <c r="DX90" s="2591" t="s">
        <v>92</v>
      </c>
      <c r="DY90" s="2591"/>
      <c r="DZ90" s="2591" t="s">
        <v>1050</v>
      </c>
      <c r="EA90" s="2591"/>
      <c r="EB90" s="2591" t="s">
        <v>1051</v>
      </c>
      <c r="EC90" s="2591"/>
      <c r="ED90" s="2591"/>
      <c r="EE90" s="2591" t="s">
        <v>92</v>
      </c>
      <c r="EF90" s="2591"/>
      <c r="EG90" s="2591"/>
      <c r="EH90" s="2591"/>
    </row>
    <row r="91" spans="2:138" x14ac:dyDescent="0.2">
      <c r="B91" s="1960"/>
      <c r="C91" s="1838" t="str">
        <f t="shared" ref="C91:C96" si="49">I80</f>
        <v>Please select</v>
      </c>
      <c r="D91" s="1960"/>
      <c r="E91" s="1838" t="str">
        <f t="shared" ref="E91:E96" si="50">K80</f>
        <v>Please select</v>
      </c>
      <c r="F91" s="1960"/>
      <c r="G91" s="1960"/>
      <c r="H91" s="1960"/>
      <c r="I91" s="1960"/>
      <c r="J91" s="1960"/>
      <c r="K91" s="1841">
        <f t="shared" ref="K91:K96" si="51">MAX(N80,P80)</f>
        <v>0</v>
      </c>
      <c r="L91" s="1960"/>
      <c r="M91" s="4192">
        <v>0</v>
      </c>
      <c r="N91" s="4193">
        <v>0</v>
      </c>
      <c r="O91" s="4098" t="s">
        <v>86</v>
      </c>
      <c r="P91" s="4193">
        <v>0</v>
      </c>
      <c r="Q91" s="4098" t="s">
        <v>86</v>
      </c>
      <c r="R91" s="1838"/>
      <c r="S91" s="2107">
        <f t="shared" ref="S91:S96" si="52">$K91-M91</f>
        <v>0</v>
      </c>
      <c r="T91" s="2107">
        <f t="shared" ref="T91:T96" si="53">$K91-N91</f>
        <v>0</v>
      </c>
      <c r="U91" s="2107">
        <f t="shared" ref="U91:U96" si="54">$K91-P91</f>
        <v>0</v>
      </c>
      <c r="V91" s="1960"/>
      <c r="W91" s="4195">
        <v>0</v>
      </c>
      <c r="X91" s="4195">
        <v>0</v>
      </c>
      <c r="Y91" s="4195">
        <v>0</v>
      </c>
      <c r="Z91" s="1960"/>
      <c r="AA91" s="2129" t="s">
        <v>1053</v>
      </c>
      <c r="AB91" s="4321"/>
      <c r="AC91" s="4321"/>
      <c r="AD91" s="1838"/>
      <c r="AE91" s="2107">
        <f>+'Inl. wetlands'!AI255+'Inl. wetlands'!AI277+'Inl. wetlands'!AI304</f>
        <v>0</v>
      </c>
      <c r="AF91" s="2107">
        <f>+'Inl. wetlands'!AJ255+'Inl. wetlands'!AJ277+'Inl. wetlands'!AJ304</f>
        <v>0</v>
      </c>
      <c r="AG91" s="1806">
        <f t="shared" ref="AG91:AG96" si="55">AF91-AE91</f>
        <v>0</v>
      </c>
      <c r="AH91" s="1838"/>
      <c r="AI91" s="1838"/>
      <c r="AS91" s="2591"/>
      <c r="AT91" s="2591"/>
      <c r="AU91" s="2591"/>
      <c r="AV91" s="2591"/>
      <c r="AW91" s="2560" t="s">
        <v>84</v>
      </c>
      <c r="AX91" s="2560" t="s">
        <v>66</v>
      </c>
      <c r="AY91" s="2591"/>
      <c r="AZ91" s="2591"/>
      <c r="BA91" s="2591"/>
      <c r="BB91" s="2591"/>
      <c r="BC91" s="2591"/>
      <c r="BD91" s="2591"/>
      <c r="BE91" s="2591"/>
      <c r="BF91" s="2591"/>
      <c r="BH91" s="1996"/>
      <c r="BI91" s="1996"/>
      <c r="BJ91" s="1996"/>
      <c r="CD91" s="4165"/>
      <c r="CE91" s="2591"/>
      <c r="CF91" s="2560" t="str">
        <f t="shared" si="48"/>
        <v>Default</v>
      </c>
      <c r="CG91" s="2560" t="str">
        <f t="shared" si="48"/>
        <v>Tier 2</v>
      </c>
      <c r="CH91" s="2560" t="str">
        <f t="shared" si="48"/>
        <v>Default</v>
      </c>
      <c r="CI91" s="2560" t="str">
        <f t="shared" si="48"/>
        <v>Tier 2</v>
      </c>
      <c r="CJ91" s="2560" t="str">
        <f t="shared" si="48"/>
        <v>Default</v>
      </c>
      <c r="CK91" s="2560" t="str">
        <f t="shared" si="48"/>
        <v>Tier 2</v>
      </c>
      <c r="CL91" s="2560"/>
      <c r="CM91" s="2560" t="str">
        <f t="shared" si="48"/>
        <v>Default</v>
      </c>
      <c r="CN91" s="2560" t="str">
        <f t="shared" si="48"/>
        <v>Tier 2</v>
      </c>
      <c r="CO91" s="2560" t="str">
        <f t="shared" si="48"/>
        <v>Default</v>
      </c>
      <c r="CP91" s="2560" t="str">
        <f t="shared" si="48"/>
        <v>Tier 2</v>
      </c>
      <c r="CQ91" s="2560"/>
      <c r="CT91" s="2560"/>
      <c r="CU91" s="2591"/>
      <c r="CV91" s="2591"/>
      <c r="CW91" s="2591"/>
      <c r="CX91" s="2591"/>
      <c r="CY91" s="2591"/>
      <c r="CZ91" s="2591"/>
      <c r="DA91" s="2591"/>
      <c r="DB91" s="2560"/>
      <c r="DC91" s="2560"/>
      <c r="DD91" s="2560"/>
      <c r="DE91" s="2560"/>
      <c r="DF91" s="2560"/>
      <c r="DG91" s="2560"/>
      <c r="DH91" s="2560"/>
      <c r="DI91" s="2560"/>
      <c r="DJ91" s="2560"/>
      <c r="DK91" s="2560"/>
      <c r="DL91" s="2560"/>
      <c r="DM91" s="2560"/>
      <c r="DN91" s="2560"/>
      <c r="DO91" s="2560"/>
      <c r="DP91" s="2560"/>
      <c r="DU91" s="2591"/>
      <c r="DV91" s="2591" t="str">
        <f t="shared" ref="DV91:DV96" si="56">K80</f>
        <v>Please select</v>
      </c>
      <c r="DW91" s="2591"/>
      <c r="DX91" s="2612">
        <f>'Inl. wetlands'!$H307</f>
        <v>0</v>
      </c>
      <c r="DY91" s="4206"/>
      <c r="DZ91" s="4155">
        <f>'Inl. wetlands'!$J307</f>
        <v>0</v>
      </c>
      <c r="EA91" s="4206"/>
      <c r="EB91" s="4155">
        <f>'Inl. wetlands'!$L307</f>
        <v>0</v>
      </c>
      <c r="EC91" s="4206"/>
      <c r="ED91" s="2591"/>
      <c r="EE91" s="4156">
        <f>'Inl. wetlands'!$N307</f>
        <v>0</v>
      </c>
      <c r="EF91" s="4206"/>
      <c r="EG91" s="2591"/>
      <c r="EH91" s="2591"/>
    </row>
    <row r="92" spans="2:138" x14ac:dyDescent="0.2">
      <c r="B92" s="1960"/>
      <c r="C92" s="1838" t="str">
        <f t="shared" si="49"/>
        <v>Please select</v>
      </c>
      <c r="D92" s="1960"/>
      <c r="E92" s="1838" t="str">
        <f t="shared" si="50"/>
        <v>Please select</v>
      </c>
      <c r="F92" s="1960"/>
      <c r="G92" s="1960"/>
      <c r="H92" s="1960"/>
      <c r="I92" s="1960"/>
      <c r="J92" s="1960"/>
      <c r="K92" s="1841">
        <f t="shared" si="51"/>
        <v>0</v>
      </c>
      <c r="L92" s="1960"/>
      <c r="M92" s="4192">
        <v>0</v>
      </c>
      <c r="N92" s="4193">
        <v>0</v>
      </c>
      <c r="O92" s="4098" t="s">
        <v>86</v>
      </c>
      <c r="P92" s="4193">
        <v>0</v>
      </c>
      <c r="Q92" s="4098" t="s">
        <v>86</v>
      </c>
      <c r="R92" s="1838"/>
      <c r="S92" s="2107">
        <f t="shared" si="52"/>
        <v>0</v>
      </c>
      <c r="T92" s="2107">
        <f t="shared" si="53"/>
        <v>0</v>
      </c>
      <c r="U92" s="2107">
        <f t="shared" si="54"/>
        <v>0</v>
      </c>
      <c r="V92" s="1960"/>
      <c r="W92" s="4195">
        <v>0</v>
      </c>
      <c r="X92" s="4195">
        <v>0</v>
      </c>
      <c r="Y92" s="4195">
        <v>0</v>
      </c>
      <c r="Z92" s="1960"/>
      <c r="AA92" s="2129" t="s">
        <v>1053</v>
      </c>
      <c r="AB92" s="4321"/>
      <c r="AC92" s="4321"/>
      <c r="AD92" s="1838"/>
      <c r="AE92" s="2107">
        <f>+'Inl. wetlands'!AI256+'Inl. wetlands'!AI278+'Inl. wetlands'!AI305</f>
        <v>0</v>
      </c>
      <c r="AF92" s="2107">
        <f>+'Inl. wetlands'!AJ256+'Inl. wetlands'!AJ278+'Inl. wetlands'!AJ305</f>
        <v>0</v>
      </c>
      <c r="AG92" s="1806">
        <f t="shared" si="55"/>
        <v>0</v>
      </c>
      <c r="AH92" s="1838"/>
      <c r="AI92" s="1838"/>
      <c r="AS92" s="2591"/>
      <c r="AT92" s="2591" t="str">
        <f t="shared" ref="AT92:AT97" si="57">K80</f>
        <v>Please select</v>
      </c>
      <c r="AU92" s="2591"/>
      <c r="AV92" s="2591"/>
      <c r="AW92" s="2612">
        <f>'Inl. wetlands'!O224</f>
        <v>0</v>
      </c>
      <c r="AX92" s="4205"/>
      <c r="AY92" s="2591"/>
      <c r="AZ92" s="2591"/>
      <c r="BA92" s="2591"/>
      <c r="BB92" s="2591"/>
      <c r="BC92" s="2591"/>
      <c r="BD92" s="2591"/>
      <c r="BE92" s="2591"/>
      <c r="BF92" s="2591"/>
      <c r="BH92" s="1996"/>
      <c r="BI92" s="1996"/>
      <c r="BJ92" s="1996"/>
      <c r="CD92" s="4165"/>
      <c r="CE92" s="2591"/>
      <c r="CF92" s="2591"/>
      <c r="CG92" s="2591"/>
      <c r="CH92" s="2591"/>
      <c r="CI92" s="2591"/>
      <c r="CJ92" s="2591"/>
      <c r="CK92" s="2591"/>
      <c r="CL92" s="2591"/>
      <c r="CM92" s="2591"/>
      <c r="CN92" s="4156"/>
      <c r="CO92" s="2591"/>
      <c r="CP92" s="2591"/>
      <c r="CQ92" s="2591"/>
      <c r="CT92" s="2560"/>
      <c r="CU92" s="2591"/>
      <c r="CV92" s="2591"/>
      <c r="CW92" s="2591"/>
      <c r="CX92" s="2591"/>
      <c r="CY92" s="2591"/>
      <c r="CZ92" s="2591"/>
      <c r="DA92" s="2591"/>
      <c r="DB92" s="2560"/>
      <c r="DC92" s="2560"/>
      <c r="DD92" s="2560"/>
      <c r="DE92" s="2560"/>
      <c r="DF92" s="2560"/>
      <c r="DG92" s="2560"/>
      <c r="DH92" s="2560"/>
      <c r="DI92" s="2560"/>
      <c r="DJ92" s="2560"/>
      <c r="DK92" s="2560"/>
      <c r="DL92" s="2560"/>
      <c r="DM92" s="2560"/>
      <c r="DN92" s="2560"/>
      <c r="DO92" s="2560"/>
      <c r="DP92" s="2560"/>
      <c r="DU92" s="2591"/>
      <c r="DV92" s="2591" t="str">
        <f t="shared" si="56"/>
        <v>Please select</v>
      </c>
      <c r="DW92" s="2591"/>
      <c r="DX92" s="2612">
        <f>'Inl. wetlands'!$H308</f>
        <v>0</v>
      </c>
      <c r="DY92" s="4206"/>
      <c r="DZ92" s="4155">
        <f>'Inl. wetlands'!$J308</f>
        <v>0</v>
      </c>
      <c r="EA92" s="4206"/>
      <c r="EB92" s="4155">
        <f>'Inl. wetlands'!$L308</f>
        <v>0</v>
      </c>
      <c r="EC92" s="4206"/>
      <c r="ED92" s="2591"/>
      <c r="EE92" s="4156">
        <f>'Inl. wetlands'!$N308</f>
        <v>0</v>
      </c>
      <c r="EF92" s="4206"/>
      <c r="EG92" s="2591"/>
      <c r="EH92" s="2591"/>
    </row>
    <row r="93" spans="2:138" x14ac:dyDescent="0.2">
      <c r="B93" s="1960"/>
      <c r="C93" s="1838" t="str">
        <f t="shared" si="49"/>
        <v>Please select</v>
      </c>
      <c r="D93" s="1960"/>
      <c r="E93" s="1838" t="str">
        <f t="shared" si="50"/>
        <v>Please select</v>
      </c>
      <c r="F93" s="1960"/>
      <c r="G93" s="1960"/>
      <c r="H93" s="1960"/>
      <c r="I93" s="1960"/>
      <c r="J93" s="1960"/>
      <c r="K93" s="1841">
        <f t="shared" si="51"/>
        <v>0</v>
      </c>
      <c r="L93" s="1960"/>
      <c r="M93" s="4192">
        <v>0</v>
      </c>
      <c r="N93" s="4193">
        <v>0</v>
      </c>
      <c r="O93" s="4098" t="s">
        <v>86</v>
      </c>
      <c r="P93" s="4193">
        <v>0</v>
      </c>
      <c r="Q93" s="4098" t="s">
        <v>86</v>
      </c>
      <c r="R93" s="1838"/>
      <c r="S93" s="2107">
        <f t="shared" si="52"/>
        <v>0</v>
      </c>
      <c r="T93" s="2107">
        <f t="shared" si="53"/>
        <v>0</v>
      </c>
      <c r="U93" s="2107">
        <f t="shared" si="54"/>
        <v>0</v>
      </c>
      <c r="V93" s="1960"/>
      <c r="W93" s="4195">
        <v>0</v>
      </c>
      <c r="X93" s="4195">
        <v>0</v>
      </c>
      <c r="Y93" s="4195">
        <v>0</v>
      </c>
      <c r="Z93" s="1960"/>
      <c r="AA93" s="2129" t="s">
        <v>1053</v>
      </c>
      <c r="AB93" s="4321"/>
      <c r="AC93" s="4321"/>
      <c r="AD93" s="1838"/>
      <c r="AE93" s="2107">
        <f>+'Inl. wetlands'!AI257+'Inl. wetlands'!AI279+'Inl. wetlands'!AI306</f>
        <v>0</v>
      </c>
      <c r="AF93" s="2107">
        <f>+'Inl. wetlands'!AJ257+'Inl. wetlands'!AJ279+'Inl. wetlands'!AJ306</f>
        <v>0</v>
      </c>
      <c r="AG93" s="1806">
        <f t="shared" si="55"/>
        <v>0</v>
      </c>
      <c r="AH93" s="1838"/>
      <c r="AI93" s="1838"/>
      <c r="AS93" s="2591"/>
      <c r="AT93" s="2591" t="str">
        <f t="shared" si="57"/>
        <v>Please select</v>
      </c>
      <c r="AU93" s="2591"/>
      <c r="AV93" s="2591"/>
      <c r="AW93" s="2612">
        <f>'Inl. wetlands'!O225</f>
        <v>0</v>
      </c>
      <c r="AX93" s="4205"/>
      <c r="AY93" s="2591"/>
      <c r="AZ93" s="2591"/>
      <c r="BA93" s="2591"/>
      <c r="BB93" s="2591"/>
      <c r="BC93" s="2591"/>
      <c r="BD93" s="2591"/>
      <c r="BE93" s="2591"/>
      <c r="BF93" s="2591"/>
      <c r="BH93" s="1996"/>
      <c r="BI93" s="1996"/>
      <c r="BJ93" s="1996"/>
      <c r="CD93" s="4165"/>
      <c r="CE93" s="2591" t="str">
        <f t="shared" ref="CE93:CE98" si="58">AT92</f>
        <v>Please select</v>
      </c>
      <c r="CF93" s="4156">
        <f>'Inl. wetlands'!B280</f>
        <v>0</v>
      </c>
      <c r="CG93" s="4209"/>
      <c r="CH93" s="4156">
        <f>'Inl. wetlands'!D280</f>
        <v>0</v>
      </c>
      <c r="CI93" s="4209"/>
      <c r="CJ93" s="4156">
        <f>'Inl. wetlands'!F280</f>
        <v>0</v>
      </c>
      <c r="CK93" s="4209"/>
      <c r="CL93" s="2591"/>
      <c r="CM93" s="4156">
        <f>'Inl. wetlands'!H280</f>
        <v>0</v>
      </c>
      <c r="CN93" s="4209"/>
      <c r="CO93" s="4156">
        <f>'Inl. wetlands'!J280</f>
        <v>0</v>
      </c>
      <c r="CP93" s="4209"/>
      <c r="CQ93" s="2591"/>
      <c r="CT93" s="2560"/>
      <c r="CU93" s="2591"/>
      <c r="CV93" s="2591"/>
      <c r="CW93" s="2591"/>
      <c r="CX93" s="2591"/>
      <c r="CY93" s="2591"/>
      <c r="CZ93" s="2591"/>
      <c r="DA93" s="2591"/>
      <c r="DB93" s="2560"/>
      <c r="DC93" s="2560"/>
      <c r="DD93" s="2560"/>
      <c r="DE93" s="2560"/>
      <c r="DF93" s="2560"/>
      <c r="DG93" s="2560"/>
      <c r="DH93" s="2560"/>
      <c r="DI93" s="2560"/>
      <c r="DJ93" s="2560"/>
      <c r="DK93" s="2560"/>
      <c r="DL93" s="2560"/>
      <c r="DM93" s="2560"/>
      <c r="DN93" s="2560"/>
      <c r="DO93" s="2560"/>
      <c r="DP93" s="2560"/>
      <c r="DU93" s="2591"/>
      <c r="DV93" s="2591" t="str">
        <f t="shared" si="56"/>
        <v>Please select</v>
      </c>
      <c r="DW93" s="2591"/>
      <c r="DX93" s="2612">
        <f>'Inl. wetlands'!$H309</f>
        <v>0</v>
      </c>
      <c r="DY93" s="4206"/>
      <c r="DZ93" s="4155">
        <f>'Inl. wetlands'!$J309</f>
        <v>0</v>
      </c>
      <c r="EA93" s="4206"/>
      <c r="EB93" s="4155">
        <f>'Inl. wetlands'!$L309</f>
        <v>0</v>
      </c>
      <c r="EC93" s="4206"/>
      <c r="ED93" s="2591"/>
      <c r="EE93" s="4156">
        <f>'Inl. wetlands'!$N309</f>
        <v>0</v>
      </c>
      <c r="EF93" s="4206"/>
      <c r="EG93" s="2591"/>
      <c r="EH93" s="2591"/>
    </row>
    <row r="94" spans="2:138" x14ac:dyDescent="0.2">
      <c r="B94" s="1960"/>
      <c r="C94" s="1838" t="str">
        <f t="shared" si="49"/>
        <v>Please select</v>
      </c>
      <c r="D94" s="1960"/>
      <c r="E94" s="1838" t="str">
        <f t="shared" si="50"/>
        <v>Please select</v>
      </c>
      <c r="F94" s="1960"/>
      <c r="G94" s="1960"/>
      <c r="H94" s="1960"/>
      <c r="I94" s="1960"/>
      <c r="J94" s="1960"/>
      <c r="K94" s="1841">
        <f t="shared" si="51"/>
        <v>0</v>
      </c>
      <c r="L94" s="1960"/>
      <c r="M94" s="4192">
        <v>0</v>
      </c>
      <c r="N94" s="4193">
        <v>0</v>
      </c>
      <c r="O94" s="4098" t="s">
        <v>86</v>
      </c>
      <c r="P94" s="4193">
        <v>0</v>
      </c>
      <c r="Q94" s="4098" t="s">
        <v>86</v>
      </c>
      <c r="R94" s="1838"/>
      <c r="S94" s="2107">
        <f t="shared" si="52"/>
        <v>0</v>
      </c>
      <c r="T94" s="2107">
        <f t="shared" si="53"/>
        <v>0</v>
      </c>
      <c r="U94" s="2107">
        <f t="shared" si="54"/>
        <v>0</v>
      </c>
      <c r="V94" s="1960"/>
      <c r="W94" s="4195">
        <v>0</v>
      </c>
      <c r="X94" s="4195">
        <v>0</v>
      </c>
      <c r="Y94" s="4195">
        <v>0</v>
      </c>
      <c r="Z94" s="1960"/>
      <c r="AA94" s="2129" t="s">
        <v>1053</v>
      </c>
      <c r="AB94" s="4321"/>
      <c r="AC94" s="4321"/>
      <c r="AD94" s="1838"/>
      <c r="AE94" s="2107">
        <f>+'Inl. wetlands'!AI258+'Inl. wetlands'!AI280+'Inl. wetlands'!AI307</f>
        <v>0</v>
      </c>
      <c r="AF94" s="2107">
        <f>+'Inl. wetlands'!AJ258+'Inl. wetlands'!AJ280+'Inl. wetlands'!AJ307</f>
        <v>0</v>
      </c>
      <c r="AG94" s="1806">
        <f t="shared" si="55"/>
        <v>0</v>
      </c>
      <c r="AH94" s="1838"/>
      <c r="AI94" s="1838"/>
      <c r="AS94" s="2591"/>
      <c r="AT94" s="2591" t="str">
        <f t="shared" si="57"/>
        <v>Please select</v>
      </c>
      <c r="AU94" s="2591"/>
      <c r="AV94" s="2591"/>
      <c r="AW94" s="2612">
        <f>'Inl. wetlands'!O226</f>
        <v>0</v>
      </c>
      <c r="AX94" s="4205"/>
      <c r="AY94" s="2591"/>
      <c r="AZ94" s="2591"/>
      <c r="BA94" s="2591"/>
      <c r="BB94" s="2591"/>
      <c r="BC94" s="2591"/>
      <c r="BD94" s="2591"/>
      <c r="BE94" s="2591"/>
      <c r="BF94" s="2591"/>
      <c r="BH94" s="1996"/>
      <c r="BI94" s="1996"/>
      <c r="BJ94" s="1996"/>
      <c r="CD94" s="4165"/>
      <c r="CE94" s="2591" t="str">
        <f t="shared" si="58"/>
        <v>Please select</v>
      </c>
      <c r="CF94" s="4156">
        <f>'Inl. wetlands'!B281</f>
        <v>0</v>
      </c>
      <c r="CG94" s="4209"/>
      <c r="CH94" s="4156">
        <f>'Inl. wetlands'!D281</f>
        <v>0</v>
      </c>
      <c r="CI94" s="4209"/>
      <c r="CJ94" s="4156">
        <f>'Inl. wetlands'!F281</f>
        <v>0</v>
      </c>
      <c r="CK94" s="4209"/>
      <c r="CL94" s="2591"/>
      <c r="CM94" s="4156">
        <f>'Inl. wetlands'!H281</f>
        <v>0</v>
      </c>
      <c r="CN94" s="4209"/>
      <c r="CO94" s="4156">
        <f>'Inl. wetlands'!J281</f>
        <v>0</v>
      </c>
      <c r="CP94" s="4209"/>
      <c r="CQ94" s="2591"/>
      <c r="CT94" s="2560"/>
      <c r="CU94" s="2591"/>
      <c r="CV94" s="2591"/>
      <c r="CW94" s="2591"/>
      <c r="CX94" s="2591"/>
      <c r="CY94" s="2591"/>
      <c r="CZ94" s="2591"/>
      <c r="DA94" s="2591"/>
      <c r="DB94" s="2560"/>
      <c r="DC94" s="2560"/>
      <c r="DD94" s="2560"/>
      <c r="DE94" s="2560"/>
      <c r="DF94" s="2560"/>
      <c r="DG94" s="2560"/>
      <c r="DH94" s="2560"/>
      <c r="DI94" s="2560"/>
      <c r="DJ94" s="2560"/>
      <c r="DK94" s="2560"/>
      <c r="DL94" s="2560"/>
      <c r="DM94" s="2560"/>
      <c r="DN94" s="2560"/>
      <c r="DO94" s="2560"/>
      <c r="DP94" s="2560"/>
      <c r="DU94" s="2591"/>
      <c r="DV94" s="2591" t="str">
        <f t="shared" si="56"/>
        <v>Please select</v>
      </c>
      <c r="DW94" s="2591"/>
      <c r="DX94" s="2612">
        <f>'Inl. wetlands'!$H310</f>
        <v>0</v>
      </c>
      <c r="DY94" s="4206"/>
      <c r="DZ94" s="4155">
        <f>'Inl. wetlands'!$J310</f>
        <v>0</v>
      </c>
      <c r="EA94" s="4206"/>
      <c r="EB94" s="4155">
        <f>'Inl. wetlands'!$L310</f>
        <v>0</v>
      </c>
      <c r="EC94" s="4206"/>
      <c r="ED94" s="2591"/>
      <c r="EE94" s="4156">
        <f>'Inl. wetlands'!$N310</f>
        <v>0</v>
      </c>
      <c r="EF94" s="4206"/>
      <c r="EG94" s="2591"/>
      <c r="EH94" s="2591"/>
    </row>
    <row r="95" spans="2:138" x14ac:dyDescent="0.2">
      <c r="B95" s="1960"/>
      <c r="C95" s="1838" t="str">
        <f t="shared" si="49"/>
        <v>Please select</v>
      </c>
      <c r="D95" s="1960"/>
      <c r="E95" s="1838" t="str">
        <f t="shared" si="50"/>
        <v>Please select</v>
      </c>
      <c r="F95" s="1960"/>
      <c r="G95" s="1960"/>
      <c r="H95" s="1960"/>
      <c r="I95" s="1960"/>
      <c r="J95" s="1960"/>
      <c r="K95" s="1841">
        <f t="shared" si="51"/>
        <v>0</v>
      </c>
      <c r="L95" s="1960"/>
      <c r="M95" s="4192">
        <v>0</v>
      </c>
      <c r="N95" s="4193">
        <v>0</v>
      </c>
      <c r="O95" s="4098" t="s">
        <v>86</v>
      </c>
      <c r="P95" s="4193">
        <v>0</v>
      </c>
      <c r="Q95" s="4098" t="s">
        <v>86</v>
      </c>
      <c r="R95" s="1838"/>
      <c r="S95" s="2107">
        <f t="shared" si="52"/>
        <v>0</v>
      </c>
      <c r="T95" s="2107">
        <f t="shared" si="53"/>
        <v>0</v>
      </c>
      <c r="U95" s="2107">
        <f t="shared" si="54"/>
        <v>0</v>
      </c>
      <c r="V95" s="1960"/>
      <c r="W95" s="4195">
        <v>0</v>
      </c>
      <c r="X95" s="4195">
        <v>0</v>
      </c>
      <c r="Y95" s="4195">
        <v>0</v>
      </c>
      <c r="Z95" s="1960"/>
      <c r="AA95" s="2129" t="s">
        <v>1053</v>
      </c>
      <c r="AB95" s="4321"/>
      <c r="AC95" s="4321"/>
      <c r="AD95" s="1838"/>
      <c r="AE95" s="2107">
        <f>+'Inl. wetlands'!AI259+'Inl. wetlands'!AI281+'Inl. wetlands'!AI308</f>
        <v>0</v>
      </c>
      <c r="AF95" s="2107">
        <f>+'Inl. wetlands'!AJ259+'Inl. wetlands'!AJ281+'Inl. wetlands'!AJ308</f>
        <v>0</v>
      </c>
      <c r="AG95" s="1806">
        <f t="shared" si="55"/>
        <v>0</v>
      </c>
      <c r="AH95" s="1838"/>
      <c r="AI95" s="1838"/>
      <c r="AS95" s="2591"/>
      <c r="AT95" s="2591" t="str">
        <f t="shared" si="57"/>
        <v>Please select</v>
      </c>
      <c r="AU95" s="2591"/>
      <c r="AV95" s="2591"/>
      <c r="AW95" s="2612">
        <f>'Inl. wetlands'!O227</f>
        <v>0</v>
      </c>
      <c r="AX95" s="4205"/>
      <c r="AY95" s="2591"/>
      <c r="AZ95" s="2591"/>
      <c r="BA95" s="2591"/>
      <c r="BB95" s="2591"/>
      <c r="BC95" s="2591"/>
      <c r="BD95" s="2591"/>
      <c r="BE95" s="2591"/>
      <c r="BF95" s="2591"/>
      <c r="BH95" s="1996"/>
      <c r="BI95" s="1996"/>
      <c r="BJ95" s="1996"/>
      <c r="CD95" s="4165"/>
      <c r="CE95" s="2591" t="str">
        <f t="shared" si="58"/>
        <v>Please select</v>
      </c>
      <c r="CF95" s="4156">
        <f>'Inl. wetlands'!B282</f>
        <v>0</v>
      </c>
      <c r="CG95" s="4209"/>
      <c r="CH95" s="4156">
        <f>'Inl. wetlands'!D282</f>
        <v>0</v>
      </c>
      <c r="CI95" s="4209"/>
      <c r="CJ95" s="4156">
        <f>'Inl. wetlands'!F282</f>
        <v>0</v>
      </c>
      <c r="CK95" s="4209"/>
      <c r="CL95" s="2591"/>
      <c r="CM95" s="4156">
        <f>'Inl. wetlands'!H282</f>
        <v>0</v>
      </c>
      <c r="CN95" s="4209"/>
      <c r="CO95" s="4156">
        <f>'Inl. wetlands'!J282</f>
        <v>0</v>
      </c>
      <c r="CP95" s="4209"/>
      <c r="CQ95" s="2591"/>
      <c r="CT95" s="2560"/>
      <c r="CU95" s="2591"/>
      <c r="CV95" s="2591"/>
      <c r="CW95" s="2591"/>
      <c r="CX95" s="2591"/>
      <c r="CY95" s="2591"/>
      <c r="CZ95" s="2591"/>
      <c r="DA95" s="2591"/>
      <c r="DB95" s="2560"/>
      <c r="DC95" s="2560"/>
      <c r="DD95" s="2560"/>
      <c r="DE95" s="2560"/>
      <c r="DF95" s="2560"/>
      <c r="DG95" s="2560"/>
      <c r="DH95" s="2560"/>
      <c r="DI95" s="2560"/>
      <c r="DJ95" s="2560"/>
      <c r="DK95" s="2560"/>
      <c r="DL95" s="2560"/>
      <c r="DM95" s="2560"/>
      <c r="DN95" s="2560"/>
      <c r="DO95" s="2560"/>
      <c r="DP95" s="2560"/>
      <c r="DU95" s="2591"/>
      <c r="DV95" s="2591" t="str">
        <f t="shared" si="56"/>
        <v>Please select</v>
      </c>
      <c r="DW95" s="2591"/>
      <c r="DX95" s="2612">
        <f>'Inl. wetlands'!$H311</f>
        <v>0</v>
      </c>
      <c r="DY95" s="4206"/>
      <c r="DZ95" s="4155">
        <f>'Inl. wetlands'!$J311</f>
        <v>0</v>
      </c>
      <c r="EA95" s="4206"/>
      <c r="EB95" s="4155">
        <f>'Inl. wetlands'!$L311</f>
        <v>0</v>
      </c>
      <c r="EC95" s="4206"/>
      <c r="ED95" s="2591"/>
      <c r="EE95" s="4156">
        <f>'Inl. wetlands'!$N311</f>
        <v>0</v>
      </c>
      <c r="EF95" s="4206"/>
      <c r="EG95" s="2591"/>
      <c r="EH95" s="2591"/>
    </row>
    <row r="96" spans="2:138" x14ac:dyDescent="0.2">
      <c r="B96" s="1960"/>
      <c r="C96" s="1838" t="str">
        <f t="shared" si="49"/>
        <v>Please select</v>
      </c>
      <c r="D96" s="1960"/>
      <c r="E96" s="1838" t="str">
        <f t="shared" si="50"/>
        <v>Please select</v>
      </c>
      <c r="F96" s="1960"/>
      <c r="G96" s="1960"/>
      <c r="H96" s="1960"/>
      <c r="I96" s="1960"/>
      <c r="J96" s="1960"/>
      <c r="K96" s="1841">
        <f t="shared" si="51"/>
        <v>0</v>
      </c>
      <c r="L96" s="1960"/>
      <c r="M96" s="4192">
        <v>0</v>
      </c>
      <c r="N96" s="4193">
        <v>0</v>
      </c>
      <c r="O96" s="4098" t="s">
        <v>86</v>
      </c>
      <c r="P96" s="4193">
        <v>0</v>
      </c>
      <c r="Q96" s="4098" t="s">
        <v>86</v>
      </c>
      <c r="R96" s="1838"/>
      <c r="S96" s="2107">
        <f t="shared" si="52"/>
        <v>0</v>
      </c>
      <c r="T96" s="2107">
        <f t="shared" si="53"/>
        <v>0</v>
      </c>
      <c r="U96" s="2107">
        <f t="shared" si="54"/>
        <v>0</v>
      </c>
      <c r="V96" s="1960"/>
      <c r="W96" s="4195">
        <v>0</v>
      </c>
      <c r="X96" s="4195">
        <v>0</v>
      </c>
      <c r="Y96" s="4195">
        <v>0</v>
      </c>
      <c r="Z96" s="1960"/>
      <c r="AA96" s="2129" t="s">
        <v>1053</v>
      </c>
      <c r="AB96" s="4321"/>
      <c r="AC96" s="4321"/>
      <c r="AD96" s="1838"/>
      <c r="AE96" s="2107">
        <f>+'Inl. wetlands'!AI260+'Inl. wetlands'!AI282+'Inl. wetlands'!AI309</f>
        <v>0</v>
      </c>
      <c r="AF96" s="2107">
        <f>+'Inl. wetlands'!AJ260+'Inl. wetlands'!AJ282+'Inl. wetlands'!AJ309</f>
        <v>0</v>
      </c>
      <c r="AG96" s="1806">
        <f t="shared" si="55"/>
        <v>0</v>
      </c>
      <c r="AH96" s="1838"/>
      <c r="AI96" s="1838"/>
      <c r="AS96" s="2591"/>
      <c r="AT96" s="2591" t="str">
        <f t="shared" si="57"/>
        <v>Please select</v>
      </c>
      <c r="AU96" s="2591"/>
      <c r="AV96" s="2591"/>
      <c r="AW96" s="2612">
        <f>'Inl. wetlands'!O228</f>
        <v>0</v>
      </c>
      <c r="AX96" s="4205"/>
      <c r="AY96" s="2591"/>
      <c r="AZ96" s="2591"/>
      <c r="BA96" s="2591"/>
      <c r="BB96" s="2591"/>
      <c r="BC96" s="2591"/>
      <c r="BD96" s="2591"/>
      <c r="BE96" s="2591"/>
      <c r="BF96" s="2591"/>
      <c r="BH96" s="1996"/>
      <c r="BI96" s="1996"/>
      <c r="BJ96" s="1996"/>
      <c r="CD96" s="4165"/>
      <c r="CE96" s="2591" t="str">
        <f t="shared" si="58"/>
        <v>Please select</v>
      </c>
      <c r="CF96" s="4156">
        <f>'Inl. wetlands'!B283</f>
        <v>0</v>
      </c>
      <c r="CG96" s="4209"/>
      <c r="CH96" s="4156">
        <f>'Inl. wetlands'!D283</f>
        <v>0</v>
      </c>
      <c r="CI96" s="4209"/>
      <c r="CJ96" s="4156">
        <f>'Inl. wetlands'!F283</f>
        <v>0</v>
      </c>
      <c r="CK96" s="4209"/>
      <c r="CL96" s="2591"/>
      <c r="CM96" s="4156">
        <f>'Inl. wetlands'!H283</f>
        <v>0</v>
      </c>
      <c r="CN96" s="4209"/>
      <c r="CO96" s="4156">
        <f>'Inl. wetlands'!J283</f>
        <v>0</v>
      </c>
      <c r="CP96" s="4209"/>
      <c r="CQ96" s="2591"/>
      <c r="CT96" s="2560"/>
      <c r="CU96" s="2591"/>
      <c r="CV96" s="2591"/>
      <c r="CW96" s="2591"/>
      <c r="CX96" s="2591"/>
      <c r="CY96" s="2591"/>
      <c r="CZ96" s="2591"/>
      <c r="DA96" s="2591"/>
      <c r="DB96" s="2560"/>
      <c r="DC96" s="2560"/>
      <c r="DD96" s="2560"/>
      <c r="DE96" s="2560"/>
      <c r="DF96" s="2560"/>
      <c r="DG96" s="2560"/>
      <c r="DH96" s="2560"/>
      <c r="DI96" s="2560"/>
      <c r="DJ96" s="2560"/>
      <c r="DK96" s="2560"/>
      <c r="DL96" s="2560"/>
      <c r="DM96" s="2560"/>
      <c r="DN96" s="2560"/>
      <c r="DO96" s="2560"/>
      <c r="DP96" s="2560"/>
      <c r="DU96" s="2591"/>
      <c r="DV96" s="2591" t="str">
        <f t="shared" si="56"/>
        <v>Please select</v>
      </c>
      <c r="DW96" s="2591"/>
      <c r="DX96" s="2612">
        <f>'Inl. wetlands'!$H312</f>
        <v>0</v>
      </c>
      <c r="DY96" s="4206"/>
      <c r="DZ96" s="4155">
        <f>'Inl. wetlands'!$J312</f>
        <v>0</v>
      </c>
      <c r="EA96" s="4206"/>
      <c r="EB96" s="4155">
        <f>'Inl. wetlands'!$L312</f>
        <v>0</v>
      </c>
      <c r="EC96" s="4206"/>
      <c r="ED96" s="2591"/>
      <c r="EE96" s="4156">
        <f>'Inl. wetlands'!$N312</f>
        <v>0</v>
      </c>
      <c r="EF96" s="4206"/>
      <c r="EG96" s="2591"/>
      <c r="EH96" s="2591"/>
    </row>
    <row r="97" spans="2:138" x14ac:dyDescent="0.2">
      <c r="B97" s="1960"/>
      <c r="C97" s="4142"/>
      <c r="D97" s="1960"/>
      <c r="E97" s="1960"/>
      <c r="F97" s="1960"/>
      <c r="G97" s="1960"/>
      <c r="H97" s="1960"/>
      <c r="I97" s="1960"/>
      <c r="J97" s="1960"/>
      <c r="K97" s="1841"/>
      <c r="L97" s="1960"/>
      <c r="M97" s="1960"/>
      <c r="N97" s="1960"/>
      <c r="O97" s="1960"/>
      <c r="P97" s="1960"/>
      <c r="Q97" s="1960"/>
      <c r="R97" s="1960"/>
      <c r="S97" s="1960"/>
      <c r="T97" s="1960"/>
      <c r="U97" s="1960"/>
      <c r="V97" s="1960"/>
      <c r="W97" s="1960"/>
      <c r="X97" s="1960"/>
      <c r="Y97" s="1960"/>
      <c r="Z97" s="1960"/>
      <c r="AA97" s="4271" t="str">
        <f>IF(OR(AND(AA91&lt;&gt;"Y/N", AA91&lt;&gt;"No"), AND(AA92&lt;&gt;"Y/N",AA92&lt;&gt;"No" ), AND(AA93&lt;&gt;"Y/N",AA93&lt;&gt;"No" ), AND(AA94&lt;&gt;"Y/N", AA94&lt;&gt;"No"), AND(AA95&lt;&gt;"Y/N", AA95&lt;&gt;"No"), AND(AA96&lt;&gt;"Y/N", AA96&lt;&gt;"No")), list!$B$279, "")</f>
        <v/>
      </c>
      <c r="AB97" s="1960"/>
      <c r="AC97" s="4321"/>
      <c r="AD97" s="1838"/>
      <c r="AE97" s="4322"/>
      <c r="AF97" s="4322"/>
      <c r="AG97" s="1780"/>
      <c r="AH97" s="1838"/>
      <c r="AI97" s="1838"/>
      <c r="AS97" s="2591"/>
      <c r="AT97" s="2591" t="str">
        <f t="shared" si="57"/>
        <v>Please select</v>
      </c>
      <c r="AU97" s="2591"/>
      <c r="AV97" s="2591"/>
      <c r="AW97" s="2612">
        <f>'Inl. wetlands'!O229</f>
        <v>0</v>
      </c>
      <c r="AX97" s="4205"/>
      <c r="AY97" s="2591"/>
      <c r="AZ97" s="2591"/>
      <c r="BA97" s="2591"/>
      <c r="BB97" s="2591"/>
      <c r="BC97" s="2591"/>
      <c r="BD97" s="2591"/>
      <c r="BE97" s="2591"/>
      <c r="BF97" s="2591"/>
      <c r="BH97" s="1996"/>
      <c r="BI97" s="1996"/>
      <c r="BJ97" s="1996"/>
      <c r="CD97" s="4165"/>
      <c r="CE97" s="2591" t="str">
        <f t="shared" si="58"/>
        <v>Please select</v>
      </c>
      <c r="CF97" s="4156">
        <f>'Inl. wetlands'!B284</f>
        <v>0</v>
      </c>
      <c r="CG97" s="4209"/>
      <c r="CH97" s="4156">
        <f>'Inl. wetlands'!D284</f>
        <v>0</v>
      </c>
      <c r="CI97" s="4209"/>
      <c r="CJ97" s="4156">
        <f>'Inl. wetlands'!F284</f>
        <v>0</v>
      </c>
      <c r="CK97" s="4209"/>
      <c r="CL97" s="2591"/>
      <c r="CM97" s="4156">
        <f>'Inl. wetlands'!H284</f>
        <v>0</v>
      </c>
      <c r="CN97" s="4209"/>
      <c r="CO97" s="4156">
        <f>'Inl. wetlands'!J284</f>
        <v>0</v>
      </c>
      <c r="CP97" s="4209"/>
      <c r="CQ97" s="2591"/>
      <c r="CT97" s="2560"/>
      <c r="CU97" s="2591"/>
      <c r="CV97" s="2591"/>
      <c r="CW97" s="2591"/>
      <c r="CX97" s="2591"/>
      <c r="CY97" s="2591"/>
      <c r="CZ97" s="2591"/>
      <c r="DA97" s="2591"/>
      <c r="DB97" s="2560"/>
      <c r="DC97" s="2560"/>
      <c r="DD97" s="2560"/>
      <c r="DE97" s="2560"/>
      <c r="DF97" s="2560"/>
      <c r="DG97" s="2560"/>
      <c r="DH97" s="2560"/>
      <c r="DI97" s="2560"/>
      <c r="DJ97" s="2560"/>
      <c r="DK97" s="2560"/>
      <c r="DL97" s="2560"/>
      <c r="DM97" s="2560"/>
      <c r="DN97" s="2560"/>
      <c r="DO97" s="2560"/>
      <c r="DP97" s="2560"/>
      <c r="DU97" s="2591"/>
      <c r="DV97" s="2591"/>
      <c r="DW97" s="2591"/>
      <c r="DX97" s="2612"/>
      <c r="DY97" s="2591"/>
      <c r="DZ97" s="4155"/>
      <c r="EA97" s="2591"/>
      <c r="EB97" s="4155"/>
      <c r="EC97" s="2591"/>
      <c r="ED97" s="2591"/>
      <c r="EE97" s="4156"/>
      <c r="EF97" s="2591"/>
      <c r="EG97" s="2591"/>
      <c r="EH97" s="2591"/>
    </row>
    <row r="98" spans="2:138" x14ac:dyDescent="0.2">
      <c r="B98" s="1960"/>
      <c r="C98" s="4142"/>
      <c r="D98" s="1960"/>
      <c r="E98" s="1960"/>
      <c r="F98" s="1960"/>
      <c r="G98" s="1960"/>
      <c r="H98" s="1960"/>
      <c r="I98" s="1960"/>
      <c r="J98" s="1960"/>
      <c r="K98" s="1960"/>
      <c r="L98" s="1960"/>
      <c r="M98" s="1960"/>
      <c r="N98" s="1960"/>
      <c r="O98" s="1960"/>
      <c r="P98" s="1960"/>
      <c r="Q98" s="1960"/>
      <c r="R98" s="1960"/>
      <c r="S98" s="1960"/>
      <c r="T98" s="1960"/>
      <c r="U98" s="1960"/>
      <c r="V98" s="1960"/>
      <c r="W98" s="1960"/>
      <c r="X98" s="1960"/>
      <c r="Y98" s="1960"/>
      <c r="Z98" s="1960"/>
      <c r="AA98" s="1960"/>
      <c r="AB98" s="1960"/>
      <c r="AC98" s="4321"/>
      <c r="AD98" s="1838"/>
      <c r="AE98" s="4322"/>
      <c r="AF98" s="4322"/>
      <c r="AG98" s="1780"/>
      <c r="AH98" s="1838"/>
      <c r="AI98" s="1838"/>
      <c r="AS98" s="2591"/>
      <c r="AT98" s="2591"/>
      <c r="AU98" s="2591"/>
      <c r="AV98" s="2591"/>
      <c r="AW98" s="2591"/>
      <c r="AX98" s="2591"/>
      <c r="AY98" s="2591"/>
      <c r="AZ98" s="2591"/>
      <c r="BA98" s="2591"/>
      <c r="BB98" s="2591"/>
      <c r="BC98" s="2591"/>
      <c r="BD98" s="2591"/>
      <c r="BE98" s="2591"/>
      <c r="BF98" s="2591"/>
      <c r="BH98" s="1996"/>
      <c r="BI98" s="1996"/>
      <c r="BJ98" s="1996"/>
      <c r="CD98" s="4165"/>
      <c r="CE98" s="2591" t="str">
        <f t="shared" si="58"/>
        <v>Please select</v>
      </c>
      <c r="CF98" s="4156">
        <f>'Inl. wetlands'!B285</f>
        <v>0</v>
      </c>
      <c r="CG98" s="4209"/>
      <c r="CH98" s="4156">
        <f>'Inl. wetlands'!D285</f>
        <v>0</v>
      </c>
      <c r="CI98" s="4209"/>
      <c r="CJ98" s="4156">
        <f>'Inl. wetlands'!F285</f>
        <v>0</v>
      </c>
      <c r="CK98" s="4209"/>
      <c r="CL98" s="2591"/>
      <c r="CM98" s="4156">
        <f>'Inl. wetlands'!H285</f>
        <v>0</v>
      </c>
      <c r="CN98" s="4209"/>
      <c r="CO98" s="4156">
        <f>'Inl. wetlands'!J285</f>
        <v>0</v>
      </c>
      <c r="CP98" s="4209"/>
      <c r="CQ98" s="2591"/>
      <c r="CT98" s="2560"/>
      <c r="CU98" s="2591"/>
      <c r="CV98" s="2591"/>
      <c r="CW98" s="2591"/>
      <c r="CX98" s="2591"/>
      <c r="CY98" s="2591"/>
      <c r="CZ98" s="2591"/>
      <c r="DA98" s="2591"/>
      <c r="DB98" s="2560"/>
      <c r="DC98" s="2560"/>
      <c r="DD98" s="2560"/>
      <c r="DE98" s="2560"/>
      <c r="DF98" s="2560"/>
      <c r="DG98" s="2560"/>
      <c r="DH98" s="2560"/>
      <c r="DI98" s="2560"/>
      <c r="DJ98" s="2560"/>
      <c r="DK98" s="2560"/>
      <c r="DL98" s="2560"/>
      <c r="DM98" s="2560"/>
      <c r="DN98" s="2560"/>
      <c r="DO98" s="2560"/>
      <c r="DP98" s="2560"/>
      <c r="DU98" s="2591"/>
      <c r="DV98" s="2591"/>
      <c r="DW98" s="2591"/>
      <c r="DX98" s="2591"/>
      <c r="DY98" s="2591"/>
      <c r="DZ98" s="2591"/>
      <c r="EA98" s="2591"/>
      <c r="EB98" s="2591"/>
      <c r="EC98" s="2591"/>
      <c r="ED98" s="2591"/>
      <c r="EE98" s="2591"/>
      <c r="EF98" s="4161" t="str">
        <f>CK100</f>
        <v>Nutrient poor</v>
      </c>
      <c r="EG98" s="4145" t="s">
        <v>1054</v>
      </c>
      <c r="EH98" s="2591"/>
    </row>
    <row r="99" spans="2:138" x14ac:dyDescent="0.2">
      <c r="B99" s="1960"/>
      <c r="C99" s="4142"/>
      <c r="D99" s="1960"/>
      <c r="E99" s="1960"/>
      <c r="F99" s="1960"/>
      <c r="G99" s="1960"/>
      <c r="H99" s="1960"/>
      <c r="I99" s="1960"/>
      <c r="J99" s="1960"/>
      <c r="K99" s="1960"/>
      <c r="L99" s="1960"/>
      <c r="M99" s="1960"/>
      <c r="N99" s="1960"/>
      <c r="O99" s="1960"/>
      <c r="P99" s="1960"/>
      <c r="Q99" s="1960"/>
      <c r="R99" s="1960"/>
      <c r="S99" s="1960"/>
      <c r="T99" s="1960"/>
      <c r="U99" s="1960"/>
      <c r="V99" s="1960"/>
      <c r="W99" s="1960"/>
      <c r="X99" s="1960"/>
      <c r="Y99" s="1960"/>
      <c r="Z99" s="1960"/>
      <c r="AA99" s="1960"/>
      <c r="AB99" s="1960"/>
      <c r="AC99" s="4321"/>
      <c r="AD99" s="1838"/>
      <c r="AE99" s="4322"/>
      <c r="AF99" s="4322"/>
      <c r="AG99" s="1780"/>
      <c r="AH99" s="1838"/>
      <c r="AI99" s="1838"/>
      <c r="AS99" s="2591"/>
      <c r="AT99" s="2591"/>
      <c r="AU99" s="2591"/>
      <c r="AV99" s="2591"/>
      <c r="AW99" s="2591"/>
      <c r="AX99" s="2591"/>
      <c r="AY99" s="2591"/>
      <c r="AZ99" s="2591"/>
      <c r="BA99" s="2591"/>
      <c r="BB99" s="2591"/>
      <c r="BC99" s="2591"/>
      <c r="BD99" s="2591"/>
      <c r="BE99" s="2591"/>
      <c r="BF99" s="2591"/>
      <c r="BH99" s="1996"/>
      <c r="BI99" s="1996"/>
      <c r="BJ99" s="1996"/>
      <c r="CD99" s="4165"/>
      <c r="CE99" s="2591"/>
      <c r="CF99" s="4156"/>
      <c r="CG99" s="4209"/>
      <c r="CH99" s="4156"/>
      <c r="CI99" s="4209"/>
      <c r="CJ99" s="4156"/>
      <c r="CK99" s="4209"/>
      <c r="CL99" s="2591"/>
      <c r="CM99" s="4156"/>
      <c r="CN99" s="4209"/>
      <c r="CO99" s="4156"/>
      <c r="CP99" s="4209"/>
      <c r="CQ99" s="2591"/>
      <c r="CT99" s="2560"/>
      <c r="CU99" s="2591"/>
      <c r="CV99" s="2591"/>
      <c r="CW99" s="2591"/>
      <c r="CX99" s="2591"/>
      <c r="CY99" s="2591"/>
      <c r="CZ99" s="2591"/>
      <c r="DA99" s="2591"/>
      <c r="DB99" s="2560"/>
      <c r="DC99" s="2560"/>
      <c r="DD99" s="2560"/>
      <c r="DE99" s="2560"/>
      <c r="DF99" s="2560"/>
      <c r="DG99" s="2560"/>
      <c r="DH99" s="2560"/>
      <c r="DI99" s="2560"/>
      <c r="DJ99" s="2560"/>
      <c r="DK99" s="2560"/>
      <c r="DL99" s="2560"/>
      <c r="DM99" s="2560"/>
      <c r="DN99" s="2560"/>
      <c r="DO99" s="2560"/>
      <c r="DP99" s="2560"/>
      <c r="DU99" s="2591"/>
      <c r="DV99" s="2591"/>
      <c r="DW99" s="2591"/>
      <c r="DX99" s="2591"/>
      <c r="DY99" s="2591"/>
      <c r="DZ99" s="2591"/>
      <c r="EA99" s="2591"/>
      <c r="EB99" s="2591"/>
      <c r="EC99" s="2591"/>
      <c r="ED99" s="2591"/>
      <c r="EE99" s="2591"/>
      <c r="EF99" s="4161"/>
      <c r="EG99" s="4145"/>
      <c r="EH99" s="2591"/>
    </row>
    <row r="100" spans="2:138" x14ac:dyDescent="0.2">
      <c r="B100" s="1960"/>
      <c r="C100" s="4142"/>
      <c r="D100" s="1960"/>
      <c r="E100" s="1960"/>
      <c r="F100" s="1960"/>
      <c r="G100" s="1960"/>
      <c r="H100" s="1960"/>
      <c r="I100" s="1960"/>
      <c r="J100" s="1960"/>
      <c r="K100" s="1960"/>
      <c r="L100" s="1960"/>
      <c r="M100" s="1960"/>
      <c r="N100" s="1960"/>
      <c r="O100" s="1960"/>
      <c r="P100" s="1960"/>
      <c r="Q100" s="1960"/>
      <c r="R100" s="1960"/>
      <c r="S100" s="1960"/>
      <c r="T100" s="1960"/>
      <c r="U100" s="1960"/>
      <c r="V100" s="1960"/>
      <c r="W100" s="1960"/>
      <c r="X100" s="1960"/>
      <c r="Y100" s="1960"/>
      <c r="Z100" s="1960"/>
      <c r="AA100" s="1960"/>
      <c r="AB100" s="4144"/>
      <c r="AC100" s="1960"/>
      <c r="AD100" s="1960"/>
      <c r="AE100" s="1960"/>
      <c r="AF100" s="1960"/>
      <c r="AG100" s="1960"/>
      <c r="AH100" s="1960"/>
      <c r="AI100" s="1960"/>
      <c r="AS100" s="2591"/>
      <c r="AT100" s="2591"/>
      <c r="AU100" s="2591"/>
      <c r="AV100" s="2591"/>
      <c r="AW100" s="2591"/>
      <c r="AX100" s="2591"/>
      <c r="AY100" s="2591"/>
      <c r="AZ100" s="2591"/>
      <c r="BA100" s="2591"/>
      <c r="BB100" s="2591"/>
      <c r="BC100" s="2591"/>
      <c r="BD100" s="2591"/>
      <c r="BE100" s="2591"/>
      <c r="BF100" s="2591"/>
      <c r="BH100" s="1996"/>
      <c r="BI100" s="1996"/>
      <c r="BJ100" s="1996"/>
      <c r="CD100" s="4165" t="str">
        <f>CD65</f>
        <v>Please indicate the dominant quality of peat, this can influence the emission factors above:</v>
      </c>
      <c r="CE100" s="2591"/>
      <c r="CF100" s="2591"/>
      <c r="CG100" s="2591"/>
      <c r="CH100" s="2591"/>
      <c r="CI100" s="2591"/>
      <c r="CJ100" s="2591"/>
      <c r="CK100" s="4205" t="s">
        <v>1055</v>
      </c>
      <c r="CL100" s="4205"/>
      <c r="CM100" s="4205"/>
      <c r="CN100" s="2591"/>
      <c r="CO100" s="2591"/>
      <c r="CP100" s="2591"/>
      <c r="CQ100" s="2591"/>
      <c r="CT100" s="2560"/>
      <c r="CU100" s="2591"/>
      <c r="CV100" s="2591"/>
      <c r="CW100" s="2591"/>
      <c r="CX100" s="2591"/>
      <c r="CY100" s="2591"/>
      <c r="CZ100" s="2591"/>
      <c r="DA100" s="2591"/>
      <c r="DB100" s="2560"/>
      <c r="DC100" s="2560"/>
      <c r="DD100" s="2560"/>
      <c r="DE100" s="2560"/>
      <c r="DF100" s="2560"/>
      <c r="DG100" s="2560"/>
      <c r="DH100" s="2560"/>
      <c r="DI100" s="2560"/>
      <c r="DJ100" s="2560"/>
      <c r="DK100" s="2560"/>
      <c r="DL100" s="2560"/>
      <c r="DM100" s="2560"/>
      <c r="DN100" s="2560"/>
      <c r="DO100" s="2560"/>
      <c r="DP100" s="2560"/>
      <c r="DU100" s="2591"/>
      <c r="DV100" s="2591"/>
      <c r="DW100" s="2591"/>
      <c r="DX100" s="2591"/>
      <c r="DY100" s="2591"/>
      <c r="DZ100" s="2591"/>
      <c r="EA100" s="2591"/>
      <c r="EB100" s="2591"/>
      <c r="EC100" s="2591"/>
      <c r="ED100" s="2591"/>
      <c r="EE100" s="2591"/>
      <c r="EF100" s="4161"/>
      <c r="EG100" s="4145"/>
      <c r="EH100" s="2591"/>
    </row>
    <row r="101" spans="2:138" x14ac:dyDescent="0.2">
      <c r="B101" s="1960"/>
      <c r="C101" s="4142"/>
      <c r="D101" s="1960"/>
      <c r="E101" s="1960"/>
      <c r="F101" s="1960"/>
      <c r="G101" s="1960"/>
      <c r="H101" s="1960"/>
      <c r="I101" s="1960"/>
      <c r="J101" s="1960"/>
      <c r="K101" s="1960"/>
      <c r="L101" s="1960"/>
      <c r="M101" s="1960"/>
      <c r="N101" s="1960"/>
      <c r="O101" s="1960"/>
      <c r="P101" s="1960"/>
      <c r="Q101" s="1960"/>
      <c r="R101" s="1960"/>
      <c r="S101" s="1960"/>
      <c r="T101" s="1960"/>
      <c r="U101" s="1960"/>
      <c r="V101" s="1960"/>
      <c r="W101" s="1960"/>
      <c r="X101" s="1960"/>
      <c r="Y101" s="1960"/>
      <c r="Z101" s="1960"/>
      <c r="AA101" s="1960"/>
      <c r="AB101" s="1960"/>
      <c r="AC101" s="4163" t="str">
        <f>Languages!B377</f>
        <v>Total other land-use changes on organic soils (tCO2-e)</v>
      </c>
      <c r="AD101" s="4162"/>
      <c r="AE101" s="4164">
        <f>SUM(AE80:AE85)+SUM(AE91:AE96)</f>
        <v>0</v>
      </c>
      <c r="AF101" s="4164">
        <f>SUM(AF80:AF85)+SUM(AF91:AF96)</f>
        <v>0</v>
      </c>
      <c r="AG101" s="2036">
        <f>SUM(AG80:AG85)+SUM(AG91:AG96)</f>
        <v>0</v>
      </c>
      <c r="AH101" s="4162"/>
      <c r="AI101" s="4162"/>
      <c r="AS101" s="2591" t="str">
        <f>'5.Management'!AQ23</f>
        <v>Use this part only if you want to refine the analysis at Tier 2</v>
      </c>
      <c r="AT101" s="2591"/>
      <c r="AU101" s="2591"/>
      <c r="AV101" s="2591"/>
      <c r="AW101" s="2591"/>
      <c r="AX101" s="2591"/>
      <c r="AY101" s="2591"/>
      <c r="AZ101" s="2591"/>
      <c r="BA101" s="2591"/>
      <c r="BB101" s="2591"/>
      <c r="BC101" s="2591"/>
      <c r="BD101" s="2591"/>
      <c r="BE101" s="2591"/>
      <c r="BF101" s="2591"/>
      <c r="BH101" s="1996"/>
      <c r="BI101" s="1996"/>
      <c r="BJ101" s="1996"/>
      <c r="CD101" s="2591" t="str">
        <f>CD67</f>
        <v>Use this part only if you want to refine the analysis at Tier 2</v>
      </c>
      <c r="CE101" s="2591"/>
      <c r="CF101" s="2591"/>
      <c r="CG101" s="2591"/>
      <c r="CH101" s="2591"/>
      <c r="CI101" s="2591"/>
      <c r="CJ101" s="2591"/>
      <c r="CK101" s="2591"/>
      <c r="CL101" s="2591"/>
      <c r="CM101" s="2591"/>
      <c r="CN101" s="2591"/>
      <c r="CO101" s="2591"/>
      <c r="CP101" s="2591"/>
      <c r="CQ101" s="2591"/>
      <c r="CT101" s="2591" t="str">
        <f>CD101</f>
        <v>Use this part only if you want to refine the analysis at Tier 2</v>
      </c>
      <c r="CU101" s="2591"/>
      <c r="CV101" s="2591"/>
      <c r="CW101" s="2591"/>
      <c r="CX101" s="2591"/>
      <c r="CY101" s="2591"/>
      <c r="CZ101" s="2591"/>
      <c r="DA101" s="2591"/>
      <c r="DB101" s="2591"/>
      <c r="DC101" s="2591"/>
      <c r="DD101" s="2591"/>
      <c r="DE101" s="2591"/>
      <c r="DF101" s="2591"/>
      <c r="DG101" s="2591"/>
      <c r="DH101" s="2591"/>
      <c r="DI101" s="2591"/>
      <c r="DJ101" s="2591"/>
      <c r="DK101" s="2591"/>
      <c r="DL101" s="2591"/>
      <c r="DM101" s="2591"/>
      <c r="DN101" s="2591"/>
      <c r="DO101" s="2591"/>
      <c r="DP101" s="2591"/>
      <c r="DU101" s="2591" t="str">
        <f>CT101</f>
        <v>Use this part only if you want to refine the analysis at Tier 2</v>
      </c>
      <c r="DV101" s="2591"/>
      <c r="DW101" s="2591"/>
      <c r="DX101" s="2591"/>
      <c r="DY101" s="2591"/>
      <c r="DZ101" s="2591"/>
      <c r="EA101" s="2591"/>
      <c r="EB101" s="2591"/>
      <c r="EC101" s="2591"/>
      <c r="ED101" s="2591"/>
      <c r="EE101" s="2591"/>
      <c r="EF101" s="2591"/>
      <c r="EG101" s="2591"/>
      <c r="EH101" s="2591"/>
    </row>
    <row r="102" spans="2:138" x14ac:dyDescent="0.2">
      <c r="B102" s="1960"/>
      <c r="C102" s="1960" t="str">
        <f>C67</f>
        <v>*The selection of "D" corresponds to a default (linear) dynamics of change. Other selection options include "I" for immediate changes and "E" for exponential - please refer to the guidelines for further explanation of these assumptions.</v>
      </c>
      <c r="D102" s="1960"/>
      <c r="E102" s="1960"/>
      <c r="F102" s="1960"/>
      <c r="G102" s="1960"/>
      <c r="H102" s="1960"/>
      <c r="I102" s="1960"/>
      <c r="J102" s="1960"/>
      <c r="K102" s="1960"/>
      <c r="L102" s="1960"/>
      <c r="M102" s="1960"/>
      <c r="N102" s="1960"/>
      <c r="O102" s="1960"/>
      <c r="P102" s="1960"/>
      <c r="Q102" s="1960"/>
      <c r="R102" s="1960"/>
      <c r="S102" s="1960"/>
      <c r="T102" s="1960"/>
      <c r="U102" s="1960"/>
      <c r="V102" s="1960"/>
      <c r="W102" s="1960"/>
      <c r="X102" s="1960"/>
      <c r="Y102" s="1960"/>
      <c r="Z102" s="1960"/>
      <c r="AA102" s="1960"/>
      <c r="AB102" s="1960"/>
      <c r="AC102" s="1960"/>
      <c r="AD102" s="1960"/>
      <c r="AE102" s="1960"/>
      <c r="AF102" s="1960"/>
      <c r="AG102" s="1960"/>
      <c r="AH102" s="1960"/>
      <c r="AI102" s="1960"/>
      <c r="AS102" s="2591" t="str">
        <f>'5.Management'!AQ24</f>
        <v>IPCC default values are provided for your information only; EX-ACT will use Tier 2 values automatically wherever specified.</v>
      </c>
      <c r="AT102" s="2591"/>
      <c r="AU102" s="2591"/>
      <c r="AV102" s="2591"/>
      <c r="AW102" s="2591"/>
      <c r="AX102" s="2591"/>
      <c r="AY102" s="2591"/>
      <c r="AZ102" s="2591"/>
      <c r="BA102" s="2591"/>
      <c r="BB102" s="2591"/>
      <c r="BC102" s="2591"/>
      <c r="BD102" s="2591"/>
      <c r="BE102" s="2591"/>
      <c r="BF102" s="2591"/>
      <c r="BH102" s="1996"/>
      <c r="BI102" s="1996"/>
      <c r="BJ102" s="1996"/>
      <c r="CD102" s="2591" t="str">
        <f>CD68</f>
        <v>IPCC default values are provided for your information only; EX-ACT will use Tier 2 values automatically wherever specified.</v>
      </c>
      <c r="CE102" s="2591"/>
      <c r="CF102" s="2591"/>
      <c r="CG102" s="2591"/>
      <c r="CH102" s="2591"/>
      <c r="CI102" s="2591"/>
      <c r="CJ102" s="2591"/>
      <c r="CK102" s="2591"/>
      <c r="CL102" s="2591"/>
      <c r="CM102" s="2591"/>
      <c r="CN102" s="2591"/>
      <c r="CO102" s="2591"/>
      <c r="CP102" s="2591"/>
      <c r="CQ102" s="2591"/>
      <c r="CT102" s="2591" t="str">
        <f>CD102</f>
        <v>IPCC default values are provided for your information only; EX-ACT will use Tier 2 values automatically wherever specified.</v>
      </c>
      <c r="CU102" s="2591"/>
      <c r="CV102" s="2591"/>
      <c r="CW102" s="2591"/>
      <c r="CX102" s="2591"/>
      <c r="CY102" s="2591"/>
      <c r="CZ102" s="2591"/>
      <c r="DA102" s="2591"/>
      <c r="DB102" s="2591"/>
      <c r="DC102" s="2591"/>
      <c r="DD102" s="2591"/>
      <c r="DE102" s="2591"/>
      <c r="DF102" s="2591"/>
      <c r="DG102" s="2591"/>
      <c r="DH102" s="2591"/>
      <c r="DI102" s="2591"/>
      <c r="DJ102" s="2591"/>
      <c r="DK102" s="2591"/>
      <c r="DL102" s="2591"/>
      <c r="DM102" s="2591"/>
      <c r="DN102" s="2591"/>
      <c r="DO102" s="2591"/>
      <c r="DP102" s="2591"/>
      <c r="DU102" s="2591" t="str">
        <f>CT102</f>
        <v>IPCC default values are provided for your information only; EX-ACT will use Tier 2 values automatically wherever specified.</v>
      </c>
      <c r="DV102" s="2591"/>
      <c r="DW102" s="2591"/>
      <c r="DX102" s="2591"/>
      <c r="DY102" s="2591"/>
      <c r="DZ102" s="2591"/>
      <c r="EA102" s="2591"/>
      <c r="EB102" s="2591"/>
      <c r="EC102" s="2591"/>
      <c r="ED102" s="2591"/>
      <c r="EE102" s="2591"/>
      <c r="EF102" s="2591"/>
      <c r="EG102" s="2591"/>
      <c r="EH102" s="2591"/>
    </row>
    <row r="110" spans="2:138" ht="45" customHeight="1" x14ac:dyDescent="0.2">
      <c r="B110" s="1976"/>
      <c r="C110" s="2168" t="str">
        <f>Languages!B354</f>
        <v>6.2 LAND MANAGEMENT ON ORGANIC SOIL</v>
      </c>
      <c r="D110" s="1769"/>
      <c r="E110" s="1769"/>
      <c r="F110" s="1769"/>
      <c r="G110" s="1769"/>
      <c r="H110" s="1769"/>
      <c r="I110" s="1769"/>
      <c r="J110" s="1769"/>
      <c r="K110" s="1769"/>
      <c r="L110" s="1769"/>
      <c r="M110" s="1769"/>
      <c r="N110" s="1769"/>
      <c r="O110" s="1769"/>
      <c r="P110" s="1769"/>
      <c r="Q110" s="1769"/>
      <c r="R110" s="1769"/>
      <c r="S110" s="1769"/>
      <c r="T110" s="1769"/>
      <c r="U110" s="1769"/>
      <c r="V110" s="1769"/>
      <c r="W110" s="1769"/>
      <c r="X110" s="1769"/>
      <c r="Y110" s="1769"/>
      <c r="Z110" s="1769"/>
      <c r="AA110" s="1769"/>
      <c r="AB110" s="1769"/>
      <c r="AC110" s="1769"/>
      <c r="AD110" s="1769"/>
      <c r="AE110" s="1769"/>
      <c r="AF110" s="1769"/>
      <c r="AG110" s="1769"/>
      <c r="AH110" s="1769"/>
      <c r="AI110" s="1769"/>
    </row>
    <row r="111" spans="2:138" ht="5.25" customHeight="1" x14ac:dyDescent="0.2"/>
    <row r="112" spans="2:138" ht="45" customHeight="1" x14ac:dyDescent="0.2">
      <c r="B112" s="1976"/>
      <c r="C112" s="2542" t="str">
        <f>Languages!B355</f>
        <v>6.2.1 Forest management</v>
      </c>
      <c r="D112" s="1769"/>
      <c r="E112" s="1769"/>
      <c r="F112" s="1769"/>
      <c r="G112" s="1769"/>
      <c r="H112" s="1769"/>
      <c r="I112" s="1769"/>
      <c r="J112" s="1769"/>
      <c r="K112" s="1769"/>
      <c r="L112" s="1769"/>
      <c r="M112" s="1769"/>
      <c r="N112" s="1769"/>
      <c r="O112" s="1769"/>
      <c r="P112" s="1769"/>
      <c r="Q112" s="1976"/>
      <c r="R112" s="1976"/>
      <c r="S112" s="1976"/>
      <c r="T112" s="1976"/>
      <c r="U112" s="1976"/>
      <c r="V112" s="1976"/>
      <c r="W112" s="1976"/>
      <c r="X112" s="1976"/>
      <c r="Y112" s="1976"/>
      <c r="Z112" s="1976"/>
      <c r="AA112" s="4172" t="str">
        <f>AA74</f>
        <v>If country-specific data are available, please go to Tier 2:</v>
      </c>
      <c r="AB112" s="1976"/>
      <c r="AC112" s="1976"/>
      <c r="AD112" s="1976"/>
      <c r="AE112" s="1976"/>
      <c r="AF112" s="1976"/>
      <c r="AG112" s="1769"/>
      <c r="AH112" s="1976"/>
      <c r="AI112" s="1769"/>
      <c r="AS112" s="1977" t="str">
        <f>C112</f>
        <v>6.2.1 Forest management</v>
      </c>
      <c r="AT112" s="2054"/>
      <c r="AU112" s="2054"/>
      <c r="AV112" s="2054"/>
      <c r="AW112" s="2054"/>
      <c r="AX112" s="2054"/>
      <c r="AY112" s="2054"/>
      <c r="AZ112" s="2054"/>
      <c r="BA112" s="2054"/>
      <c r="BB112" s="2054"/>
      <c r="BC112" s="2054"/>
      <c r="BD112" s="2054"/>
      <c r="BE112" s="2054"/>
      <c r="BF112" s="2054"/>
      <c r="BG112" s="2054"/>
      <c r="BH112" s="2054"/>
      <c r="BI112" s="2054"/>
      <c r="BJ112" s="2054"/>
      <c r="BK112" s="2054"/>
      <c r="BL112" s="2054"/>
      <c r="BM112" s="2054"/>
      <c r="BN112" s="1976"/>
      <c r="BO112" s="1976"/>
      <c r="BP112" s="1976"/>
      <c r="BQ112" s="1976"/>
      <c r="BR112" s="1976"/>
      <c r="BS112" s="1976"/>
      <c r="BU112" s="4366" t="s">
        <v>71</v>
      </c>
      <c r="BV112" s="4366"/>
      <c r="BW112" s="4366"/>
      <c r="CD112" s="1975" t="str">
        <f>Languages!B366</f>
        <v>6.2.1 Emission factors for drainage associated with forest management</v>
      </c>
      <c r="CE112" s="1976"/>
      <c r="CF112" s="1976"/>
      <c r="CG112" s="1976"/>
      <c r="CH112" s="1976"/>
      <c r="CI112" s="1976"/>
      <c r="CJ112" s="1976"/>
      <c r="CK112" s="1976"/>
      <c r="CL112" s="1976"/>
      <c r="CM112" s="1976"/>
      <c r="CN112" s="1976"/>
      <c r="CO112" s="1976"/>
      <c r="CP112" s="1976"/>
      <c r="CQ112" s="1976"/>
      <c r="CT112" s="1975" t="str">
        <f>Languages!B373</f>
        <v>6.2.1 Emissions factors for fire on organic soils associated with forest management</v>
      </c>
      <c r="CU112" s="1976"/>
      <c r="CV112" s="1976"/>
      <c r="CW112" s="1976"/>
      <c r="CX112" s="1976"/>
      <c r="CY112" s="1976"/>
      <c r="CZ112" s="1976"/>
      <c r="DA112" s="1976"/>
      <c r="DB112" s="1976"/>
      <c r="DC112" s="1976"/>
      <c r="DD112" s="1976"/>
      <c r="DE112" s="1976"/>
      <c r="DF112" s="1976"/>
      <c r="DG112" s="1976"/>
      <c r="DH112" s="1976"/>
      <c r="DI112" s="1976"/>
      <c r="DJ112" s="1976"/>
      <c r="DK112" s="1976"/>
      <c r="DL112" s="1976"/>
      <c r="DM112" s="1976"/>
      <c r="DN112" s="1976"/>
      <c r="DO112" s="1976"/>
      <c r="DP112" s="1976"/>
      <c r="DU112" s="1975" t="str">
        <f>Languages!B383</f>
        <v>6.2.1 Rewetting associated with forest management</v>
      </c>
      <c r="DV112" s="1976"/>
      <c r="DW112" s="1976"/>
      <c r="DX112" s="1976"/>
      <c r="DY112" s="1976"/>
      <c r="DZ112" s="1976"/>
      <c r="EA112" s="1976"/>
      <c r="EB112" s="1976"/>
      <c r="EC112" s="1976"/>
      <c r="ED112" s="1976"/>
      <c r="EE112" s="1976"/>
      <c r="EF112" s="1976"/>
      <c r="EG112" s="1976"/>
      <c r="EH112" s="1976"/>
    </row>
    <row r="113" spans="2:138" ht="17" x14ac:dyDescent="0.2">
      <c r="B113" s="1781"/>
      <c r="C113" s="1781"/>
      <c r="D113" s="1781"/>
      <c r="E113" s="1781"/>
      <c r="F113" s="1781"/>
      <c r="G113" s="1781"/>
      <c r="H113" s="1781"/>
      <c r="I113" s="1781"/>
      <c r="J113" s="1781"/>
      <c r="K113" s="1781"/>
      <c r="L113" s="1781"/>
      <c r="M113" s="1781"/>
      <c r="N113" s="1781"/>
      <c r="O113" s="1781"/>
      <c r="P113" s="1781"/>
      <c r="Q113" s="1960"/>
      <c r="R113" s="1960"/>
      <c r="S113" s="1960"/>
      <c r="T113" s="1960"/>
      <c r="U113" s="1960"/>
      <c r="V113" s="1960"/>
      <c r="W113" s="1960"/>
      <c r="X113" s="1960"/>
      <c r="Y113" s="1960"/>
      <c r="Z113" s="1960"/>
      <c r="AA113" s="1960"/>
      <c r="AB113" s="1960"/>
      <c r="AC113" s="1960"/>
      <c r="AD113" s="1960"/>
      <c r="AE113" s="1960"/>
      <c r="AF113" s="1960"/>
      <c r="AG113" s="1960"/>
      <c r="AH113" s="1960"/>
      <c r="AI113" s="1781"/>
      <c r="AS113" s="2591"/>
      <c r="AT113" s="4173" t="s">
        <v>1068</v>
      </c>
      <c r="AU113" s="2591"/>
      <c r="AV113" s="2591"/>
      <c r="AW113" s="2057"/>
      <c r="AX113" s="2057"/>
      <c r="AY113" s="2057"/>
      <c r="AZ113" s="2057"/>
      <c r="BA113" s="2057"/>
      <c r="BB113" s="2057"/>
      <c r="BC113" s="2057"/>
      <c r="BD113" s="2057"/>
      <c r="BE113" s="2056"/>
      <c r="BF113" s="2056"/>
      <c r="BG113" s="2056"/>
      <c r="BH113" s="2056"/>
      <c r="BI113" s="2056"/>
      <c r="BJ113" s="2056"/>
      <c r="BK113" s="2056"/>
      <c r="BL113" s="2056"/>
      <c r="BM113" s="2056"/>
      <c r="BN113" s="2591"/>
      <c r="BO113" s="2591"/>
      <c r="BP113" s="2591"/>
      <c r="BQ113" s="2591"/>
      <c r="BR113" s="2591"/>
      <c r="BS113" s="2591"/>
      <c r="BU113" s="2591"/>
      <c r="BV113" s="2591"/>
      <c r="BW113" s="2591"/>
      <c r="CD113" s="2591"/>
      <c r="CE113" s="2591"/>
      <c r="CF113" s="4140" t="str">
        <f>CF75</f>
        <v>On-site emission factors</v>
      </c>
      <c r="CG113" s="4140"/>
      <c r="CH113" s="4140"/>
      <c r="CI113" s="4140"/>
      <c r="CJ113" s="4140"/>
      <c r="CK113" s="4140"/>
      <c r="CL113" s="4145"/>
      <c r="CM113" s="4140" t="str">
        <f>CM75</f>
        <v>Off-site emission factors</v>
      </c>
      <c r="CN113" s="4140"/>
      <c r="CO113" s="4140"/>
      <c r="CP113" s="4140"/>
      <c r="CQ113" s="2591"/>
      <c r="CT113" s="2591"/>
      <c r="CU113" s="2591"/>
      <c r="CV113" s="2591"/>
      <c r="CW113" s="2591"/>
      <c r="CX113" s="2591"/>
      <c r="CY113" s="2591"/>
      <c r="CZ113" s="2591"/>
      <c r="DA113" s="2591"/>
      <c r="DB113" s="2591"/>
      <c r="DC113" s="2591"/>
      <c r="DD113" s="2591"/>
      <c r="DE113" s="2591"/>
      <c r="DF113" s="2591"/>
      <c r="DG113" s="2591"/>
      <c r="DH113" s="2591"/>
      <c r="DI113" s="2591"/>
      <c r="DJ113" s="2591"/>
      <c r="DK113" s="2591"/>
      <c r="DL113" s="2591"/>
      <c r="DM113" s="2591"/>
      <c r="DN113" s="2591"/>
      <c r="DO113" s="2591"/>
      <c r="DP113" s="2591"/>
      <c r="DU113" s="2591"/>
      <c r="DV113" s="2591"/>
      <c r="DW113" s="2591"/>
      <c r="DX113" s="2591"/>
      <c r="DY113" s="2591"/>
      <c r="DZ113" s="2591"/>
      <c r="EA113" s="2591"/>
      <c r="EB113" s="2591"/>
      <c r="EC113" s="2591"/>
      <c r="ED113" s="2591"/>
      <c r="EE113" s="2591"/>
      <c r="EF113" s="2591"/>
      <c r="EG113" s="2591"/>
      <c r="EH113" s="2591"/>
    </row>
    <row r="114" spans="2:138" ht="17" x14ac:dyDescent="0.2">
      <c r="B114" s="1781"/>
      <c r="C114" s="1781"/>
      <c r="D114" s="1781"/>
      <c r="E114" s="1781"/>
      <c r="F114" s="1781"/>
      <c r="G114" s="1781"/>
      <c r="H114" s="1781"/>
      <c r="I114" s="1781"/>
      <c r="J114" s="1781"/>
      <c r="K114" s="1781"/>
      <c r="L114" s="1781"/>
      <c r="M114" s="1781"/>
      <c r="N114" s="1781"/>
      <c r="O114" s="1781"/>
      <c r="P114" s="1781"/>
      <c r="Q114" s="1960"/>
      <c r="R114" s="1960"/>
      <c r="S114" s="1960"/>
      <c r="T114" s="4569" t="str">
        <f>Languages!B402</f>
        <v>Management practices</v>
      </c>
      <c r="U114" s="1960"/>
      <c r="V114" s="1960"/>
      <c r="W114" s="1960"/>
      <c r="X114" s="1960"/>
      <c r="Y114" s="1826"/>
      <c r="Z114" s="1826"/>
      <c r="AA114" s="1826"/>
      <c r="AB114" s="1826"/>
      <c r="AC114" s="1826"/>
      <c r="AD114" s="1826"/>
      <c r="AE114" s="1826"/>
      <c r="AF114" s="1826"/>
      <c r="AG114" s="1826"/>
      <c r="AH114" s="1781"/>
      <c r="AI114" s="1781"/>
      <c r="AS114" s="2057"/>
      <c r="AT114" s="2591"/>
      <c r="AU114" s="2591"/>
      <c r="AV114" s="2015" t="s">
        <v>967</v>
      </c>
      <c r="AW114" s="2059"/>
      <c r="AX114" s="2060"/>
      <c r="AY114" s="2060"/>
      <c r="AZ114" s="2060"/>
      <c r="BA114" s="2060"/>
      <c r="BB114" s="2056"/>
      <c r="BC114" s="4174" t="s">
        <v>1070</v>
      </c>
      <c r="BD114" s="2061"/>
      <c r="BE114" s="2062"/>
      <c r="BF114" s="2062"/>
      <c r="BG114" s="2062"/>
      <c r="BH114" s="2062"/>
      <c r="BI114" s="2062"/>
      <c r="BJ114" s="2062"/>
      <c r="BK114" s="2062"/>
      <c r="BL114" s="2062"/>
      <c r="BM114" s="2591"/>
      <c r="BN114" s="4141" t="str">
        <f>Languages!B341</f>
        <v>Fire occurrence and severity</v>
      </c>
      <c r="BO114" s="4141"/>
      <c r="BP114" s="4141"/>
      <c r="BQ114" s="4141"/>
      <c r="BR114" s="4141"/>
      <c r="BS114" s="4141"/>
      <c r="BU114" s="1784"/>
      <c r="BV114" s="1784"/>
      <c r="BW114" s="1996"/>
      <c r="CD114" s="2591"/>
      <c r="CE114" s="2591"/>
      <c r="CF114" s="4151" t="str">
        <f>CF76</f>
        <v>CO2</v>
      </c>
      <c r="CG114" s="2591"/>
      <c r="CH114" s="4169" t="str">
        <f>CH76</f>
        <v>CH4</v>
      </c>
      <c r="CI114" s="2591"/>
      <c r="CJ114" s="4149" t="str">
        <f>CJ76</f>
        <v>N2O</v>
      </c>
      <c r="CK114" s="2591"/>
      <c r="CL114" s="2591"/>
      <c r="CM114" s="4151" t="str">
        <f>CM76</f>
        <v>DOC</v>
      </c>
      <c r="CN114" s="2591"/>
      <c r="CO114" s="4151" t="str">
        <f>CO76</f>
        <v>CH4</v>
      </c>
      <c r="CP114" s="2591"/>
      <c r="CQ114" s="2591"/>
      <c r="CT114" s="2591"/>
      <c r="CU114" s="2591"/>
      <c r="CV114" s="2591"/>
      <c r="CW114" s="4140" t="s">
        <v>323</v>
      </c>
      <c r="CX114" s="4141"/>
      <c r="CY114" s="2591"/>
      <c r="CZ114" s="4140" t="str">
        <f>CZ76</f>
        <v>Fire occurrence and severity</v>
      </c>
      <c r="DA114" s="4140"/>
      <c r="DB114" s="4141"/>
      <c r="DC114" s="4141"/>
      <c r="DD114" s="4141"/>
      <c r="DE114" s="4141"/>
      <c r="DF114" s="4141"/>
      <c r="DG114" s="2591"/>
      <c r="DH114" s="4140" t="s">
        <v>1032</v>
      </c>
      <c r="DI114" s="4141"/>
      <c r="DJ114" s="4141"/>
      <c r="DK114" s="4141"/>
      <c r="DL114" s="4141"/>
      <c r="DM114" s="4141"/>
      <c r="DN114" s="4141"/>
      <c r="DO114" s="4141"/>
      <c r="DP114" s="2591"/>
      <c r="DU114" s="2591"/>
      <c r="DV114" s="2591"/>
      <c r="DW114" s="2591"/>
      <c r="DX114" s="2591"/>
      <c r="DY114" s="2591"/>
      <c r="DZ114" s="2591"/>
      <c r="EA114" s="2591"/>
      <c r="EB114" s="2591"/>
      <c r="EC114" s="2591"/>
      <c r="ED114" s="2591"/>
      <c r="EE114" s="2591"/>
      <c r="EF114" s="2591"/>
      <c r="EG114" s="2591"/>
      <c r="EH114" s="2591"/>
    </row>
    <row r="115" spans="2:138" ht="17" x14ac:dyDescent="0.2">
      <c r="B115" s="1781"/>
      <c r="C115" s="1780" t="str">
        <f>'5.Management'!C10</f>
        <v xml:space="preserve">Type of forest vegetation </v>
      </c>
      <c r="D115" s="1781"/>
      <c r="E115" s="1781"/>
      <c r="F115" s="2064"/>
      <c r="G115" s="4354" t="str">
        <f>'5.Management'!E10</f>
        <v>Forest degradation level</v>
      </c>
      <c r="H115" s="4355"/>
      <c r="I115" s="4355"/>
      <c r="J115" s="4355"/>
      <c r="K115" s="4355"/>
      <c r="L115" s="1781"/>
      <c r="M115" s="4354" t="str">
        <f>M10</f>
        <v>Forested area (ha)</v>
      </c>
      <c r="N115" s="4355"/>
      <c r="O115" s="4355"/>
      <c r="P115" s="4355"/>
      <c r="Q115" s="2066"/>
      <c r="R115" s="1960"/>
      <c r="S115" s="1960" t="s">
        <v>282</v>
      </c>
      <c r="T115" s="4570"/>
      <c r="U115" s="1838"/>
      <c r="V115" s="1838"/>
      <c r="W115" s="1838"/>
      <c r="X115" s="1838"/>
      <c r="Y115" s="1826"/>
      <c r="Z115" s="1826"/>
      <c r="AA115" s="1826"/>
      <c r="AB115" s="1826"/>
      <c r="AC115" s="1826"/>
      <c r="AD115" s="1826"/>
      <c r="AE115" s="4175" t="str">
        <f>AE77</f>
        <v>Total emissions (tCO2-e)</v>
      </c>
      <c r="AF115" s="4175"/>
      <c r="AG115" s="4143"/>
      <c r="AH115" s="1781"/>
      <c r="AI115" s="1781"/>
      <c r="AS115" s="2068"/>
      <c r="AT115" s="2591"/>
      <c r="AU115" s="2591"/>
      <c r="AV115" s="2069"/>
      <c r="AW115" s="2069"/>
      <c r="AX115" s="2069"/>
      <c r="AY115" s="2069"/>
      <c r="AZ115" s="2069"/>
      <c r="BA115" s="2069"/>
      <c r="BB115" s="2069"/>
      <c r="BC115" s="2056"/>
      <c r="BD115" s="2056"/>
      <c r="BE115" s="2056"/>
      <c r="BF115" s="2056"/>
      <c r="BG115" s="2056"/>
      <c r="BH115" s="2056"/>
      <c r="BI115" s="2056"/>
      <c r="BJ115" s="2056"/>
      <c r="BK115" s="2056"/>
      <c r="BL115" s="2056"/>
      <c r="BM115" s="2591"/>
      <c r="BN115" s="4149" t="str">
        <f>Languages!B12</f>
        <v>Without</v>
      </c>
      <c r="BO115" s="2591"/>
      <c r="BP115" s="2591"/>
      <c r="BQ115" s="4150" t="str">
        <f>Languages!B13</f>
        <v>With</v>
      </c>
      <c r="BR115" s="2591"/>
      <c r="BS115" s="2591"/>
      <c r="BU115" s="1889" t="s">
        <v>74</v>
      </c>
      <c r="BV115" s="1889"/>
      <c r="BW115" s="1996"/>
      <c r="CD115" s="2591"/>
      <c r="CE115" s="4145" t="str">
        <f>CE77</f>
        <v>Initial land-use</v>
      </c>
      <c r="CF115" s="4151" t="str">
        <f>CF77</f>
        <v>tC/ha/yr</v>
      </c>
      <c r="CG115" s="2560"/>
      <c r="CH115" s="4149" t="str">
        <f>CH77</f>
        <v>kgCH4/ha/yr</v>
      </c>
      <c r="CI115" s="2560"/>
      <c r="CJ115" s="2319" t="str">
        <f>CJ77</f>
        <v>kgN2O-N/ha/yr</v>
      </c>
      <c r="CK115" s="2560"/>
      <c r="CL115" s="2560"/>
      <c r="CM115" s="4149" t="str">
        <f>CM77</f>
        <v>tC/ha/yr</v>
      </c>
      <c r="CN115" s="2591"/>
      <c r="CO115" s="4154" t="str">
        <f>CO77</f>
        <v>kgCH4/ha/yr</v>
      </c>
      <c r="CP115" s="2591"/>
      <c r="CQ115" s="2591"/>
      <c r="CT115" s="2591"/>
      <c r="CU115" s="4145" t="str">
        <f>CE115</f>
        <v>Initial land-use</v>
      </c>
      <c r="CV115" s="2560"/>
      <c r="CW115" s="2560"/>
      <c r="CX115" s="2591"/>
      <c r="CY115" s="2591"/>
      <c r="CZ115" s="2591"/>
      <c r="DA115" s="4151"/>
      <c r="DB115" s="4151" t="str">
        <f>DB77</f>
        <v>Without</v>
      </c>
      <c r="DC115" s="2591"/>
      <c r="DD115" s="2591"/>
      <c r="DE115" s="4150" t="str">
        <f>DE77</f>
        <v>With</v>
      </c>
      <c r="DF115" s="2591"/>
      <c r="DG115" s="2591"/>
      <c r="DH115" s="4147" t="str">
        <f>DH77</f>
        <v>CO2</v>
      </c>
      <c r="DI115" s="4147"/>
      <c r="DJ115" s="4147" t="str">
        <f>DJ77</f>
        <v>CO</v>
      </c>
      <c r="DK115" s="4147"/>
      <c r="DL115" s="4147" t="str">
        <f>DL77</f>
        <v>CH4</v>
      </c>
      <c r="DM115" s="4147"/>
      <c r="DN115" s="4147" t="str">
        <f>DN77</f>
        <v xml:space="preserve">Mean dry matter </v>
      </c>
      <c r="DO115" s="4147"/>
      <c r="DP115" s="4145"/>
      <c r="DU115" s="2591"/>
      <c r="DV115" s="4145" t="str">
        <f>DV88</f>
        <v>Final land-use</v>
      </c>
      <c r="DW115" s="2591"/>
      <c r="DX115" s="4140" t="s">
        <v>1033</v>
      </c>
      <c r="DY115" s="4141"/>
      <c r="DZ115" s="4141"/>
      <c r="EA115" s="4141"/>
      <c r="EB115" s="4141"/>
      <c r="EC115" s="4141"/>
      <c r="ED115" s="2591"/>
      <c r="EE115" s="4140" t="s">
        <v>1034</v>
      </c>
      <c r="EF115" s="4141"/>
      <c r="EG115" s="4141"/>
      <c r="EH115" s="2591"/>
    </row>
    <row r="116" spans="2:138" ht="17" x14ac:dyDescent="0.2">
      <c r="B116" s="1781"/>
      <c r="C116" s="1780" t="str">
        <f>'5.Management'!C11</f>
        <v>that will be managed</v>
      </c>
      <c r="D116" s="1781"/>
      <c r="E116" s="1781"/>
      <c r="F116" s="1781"/>
      <c r="G116" s="1806" t="str">
        <f>S90</f>
        <v>Start</v>
      </c>
      <c r="H116" s="1781"/>
      <c r="I116" s="1806" t="str">
        <f>T90</f>
        <v>Without</v>
      </c>
      <c r="J116" s="1781"/>
      <c r="K116" s="1806" t="str">
        <f>U90</f>
        <v>With</v>
      </c>
      <c r="L116" s="1781"/>
      <c r="M116" s="1960"/>
      <c r="N116" s="1960"/>
      <c r="O116" s="1960"/>
      <c r="P116" s="1960"/>
      <c r="Q116" s="1960"/>
      <c r="R116" s="1960"/>
      <c r="S116" s="1960"/>
      <c r="T116" s="1838" t="str">
        <f>X78</f>
        <v>Burning of</v>
      </c>
      <c r="U116" s="1838"/>
      <c r="V116" s="1838"/>
      <c r="W116" s="1838"/>
      <c r="X116" s="1838"/>
      <c r="Y116" s="1826"/>
      <c r="Z116" s="1826"/>
      <c r="AA116" s="1826"/>
      <c r="AB116" s="1826"/>
      <c r="AC116" s="1826"/>
      <c r="AD116" s="1826"/>
      <c r="AE116" s="1960"/>
      <c r="AF116" s="1960"/>
      <c r="AG116" s="1960"/>
      <c r="AH116" s="1781"/>
      <c r="AI116" s="1781"/>
      <c r="AS116" s="2068"/>
      <c r="AT116" s="2591"/>
      <c r="AU116" s="2591"/>
      <c r="AV116" s="1989" t="s">
        <v>219</v>
      </c>
      <c r="AW116" s="2056"/>
      <c r="AX116" s="1989" t="s">
        <v>179</v>
      </c>
      <c r="AY116" s="2056"/>
      <c r="AZ116" s="1989" t="s">
        <v>180</v>
      </c>
      <c r="BA116" s="2056"/>
      <c r="BB116" s="2591"/>
      <c r="BC116" s="1887" t="s">
        <v>973</v>
      </c>
      <c r="BD116" s="2070"/>
      <c r="BE116" s="1887" t="s">
        <v>411</v>
      </c>
      <c r="BF116" s="2070"/>
      <c r="BG116" s="1939" t="s">
        <v>79</v>
      </c>
      <c r="BH116" s="2070"/>
      <c r="BI116" s="1887" t="s">
        <v>80</v>
      </c>
      <c r="BJ116" s="2070"/>
      <c r="BK116" s="1887"/>
      <c r="BL116" s="2070"/>
      <c r="BM116" s="2591"/>
      <c r="BN116" s="2560" t="str">
        <f>Languages!B342</f>
        <v>Periodicity</v>
      </c>
      <c r="BO116" s="2560" t="str">
        <f>Languages!B343</f>
        <v>Impact</v>
      </c>
      <c r="BP116" s="2591"/>
      <c r="BQ116" s="2560" t="str">
        <f>BN116</f>
        <v>Periodicity</v>
      </c>
      <c r="BR116" s="2560" t="str">
        <f>BO116</f>
        <v>Impact</v>
      </c>
      <c r="BS116" s="2591"/>
      <c r="BU116" s="2014" t="s">
        <v>82</v>
      </c>
      <c r="BV116" s="2014"/>
      <c r="BW116" s="1996"/>
      <c r="CD116" s="2591"/>
      <c r="CE116" s="2591"/>
      <c r="CF116" s="2560" t="str">
        <f>CF78</f>
        <v>Default</v>
      </c>
      <c r="CG116" s="2560" t="str">
        <f>CG78</f>
        <v>Tier 2</v>
      </c>
      <c r="CH116" s="2560" t="str">
        <f>CF116</f>
        <v>Default</v>
      </c>
      <c r="CI116" s="2560" t="str">
        <f>CG116</f>
        <v>Tier 2</v>
      </c>
      <c r="CJ116" s="2560" t="str">
        <f>CH116</f>
        <v>Default</v>
      </c>
      <c r="CK116" s="2560" t="str">
        <f>CI116</f>
        <v>Tier 2</v>
      </c>
      <c r="CL116" s="2560"/>
      <c r="CM116" s="2560" t="str">
        <f>CJ116</f>
        <v>Default</v>
      </c>
      <c r="CN116" s="2560" t="str">
        <f>CK116</f>
        <v>Tier 2</v>
      </c>
      <c r="CO116" s="2560">
        <f>CL116</f>
        <v>0</v>
      </c>
      <c r="CP116" s="2560" t="str">
        <f>CM116</f>
        <v>Default</v>
      </c>
      <c r="CQ116" s="2591"/>
      <c r="CT116" s="2591"/>
      <c r="CU116" s="2591"/>
      <c r="CV116" s="2591"/>
      <c r="CW116" s="2591"/>
      <c r="CX116" s="2591"/>
      <c r="CY116" s="2591"/>
      <c r="CZ116" s="2591" t="str">
        <f>CZ78</f>
        <v>Type of fire</v>
      </c>
      <c r="DA116" s="2591"/>
      <c r="DB116" s="2560" t="str">
        <f>DB78</f>
        <v>Periodicity</v>
      </c>
      <c r="DC116" s="2560" t="str">
        <f>DC78</f>
        <v>Impact</v>
      </c>
      <c r="DD116" s="2560"/>
      <c r="DE116" s="2560" t="str">
        <f>DB116</f>
        <v>Periodicity</v>
      </c>
      <c r="DF116" s="2560" t="str">
        <f>DC116</f>
        <v>Impact</v>
      </c>
      <c r="DG116" s="2591"/>
      <c r="DH116" s="4153" t="str">
        <f>DH78</f>
        <v>gC/kg d.m.</v>
      </c>
      <c r="DI116" s="4153"/>
      <c r="DJ116" s="4153" t="str">
        <f>DJ78</f>
        <v>gCO/kg d.m.</v>
      </c>
      <c r="DK116" s="4153"/>
      <c r="DL116" s="4153" t="str">
        <f>DL78</f>
        <v>gCH4/kg d.m.</v>
      </c>
      <c r="DM116" s="4153"/>
      <c r="DN116" s="4153" t="str">
        <f>DN78</f>
        <v>(tDM/ha)</v>
      </c>
      <c r="DO116" s="4153"/>
      <c r="DP116" s="2591"/>
      <c r="DU116" s="2591"/>
      <c r="DV116" s="2591"/>
      <c r="DW116" s="2591"/>
      <c r="DX116" s="2591" t="s">
        <v>1040</v>
      </c>
      <c r="DY116" s="2591"/>
      <c r="DZ116" s="2591" t="s">
        <v>1041</v>
      </c>
      <c r="EA116" s="2591"/>
      <c r="EB116" s="2591" t="s">
        <v>177</v>
      </c>
      <c r="EC116" s="2591"/>
      <c r="ED116" s="2591"/>
      <c r="EE116" s="2591" t="s">
        <v>1042</v>
      </c>
      <c r="EF116" s="2591"/>
      <c r="EG116" s="2591"/>
      <c r="EH116" s="2591"/>
    </row>
    <row r="117" spans="2:138" ht="17" x14ac:dyDescent="0.2">
      <c r="B117" s="1781"/>
      <c r="C117" s="1781"/>
      <c r="D117" s="1781"/>
      <c r="E117" s="1781"/>
      <c r="F117" s="1781"/>
      <c r="G117" s="1781"/>
      <c r="H117" s="1781"/>
      <c r="I117" s="1781"/>
      <c r="J117" s="1781"/>
      <c r="K117" s="1781"/>
      <c r="L117" s="1781"/>
      <c r="M117" s="1806" t="str">
        <f>G116</f>
        <v>Start</v>
      </c>
      <c r="N117" s="1806" t="str">
        <f>I116</f>
        <v>Without</v>
      </c>
      <c r="O117" s="1781" t="s">
        <v>83</v>
      </c>
      <c r="P117" s="1806" t="str">
        <f>K116</f>
        <v>With</v>
      </c>
      <c r="Q117" s="1781" t="s">
        <v>83</v>
      </c>
      <c r="R117" s="1960"/>
      <c r="S117" s="1960"/>
      <c r="T117" s="1838" t="str">
        <f>X79</f>
        <v xml:space="preserve">Biomass </v>
      </c>
      <c r="U117" s="1838"/>
      <c r="V117" s="1838"/>
      <c r="W117" s="1838"/>
      <c r="X117" s="1838"/>
      <c r="Y117" s="1826"/>
      <c r="Z117" s="1826"/>
      <c r="AA117" s="1826"/>
      <c r="AB117" s="1826"/>
      <c r="AC117" s="1826"/>
      <c r="AD117" s="1826"/>
      <c r="AE117" s="1806" t="str">
        <f>AE90</f>
        <v>Without</v>
      </c>
      <c r="AF117" s="1806" t="str">
        <f>AF90</f>
        <v>With</v>
      </c>
      <c r="AG117" s="1780" t="str">
        <f>AG90</f>
        <v>Balance</v>
      </c>
      <c r="AH117" s="1781"/>
      <c r="AI117" s="1781"/>
      <c r="AS117" s="2057"/>
      <c r="AT117" s="2591"/>
      <c r="AU117" s="2591"/>
      <c r="AV117" s="2024" t="str">
        <f>AW79</f>
        <v xml:space="preserve">Default </v>
      </c>
      <c r="AW117" s="2029" t="str">
        <f>AX79</f>
        <v>Tier 2</v>
      </c>
      <c r="AX117" s="2024" t="str">
        <f>AV117</f>
        <v xml:space="preserve">Default </v>
      </c>
      <c r="AY117" s="2029" t="str">
        <f>AW117</f>
        <v>Tier 2</v>
      </c>
      <c r="AZ117" s="2029" t="str">
        <f>AX117</f>
        <v xml:space="preserve">Default </v>
      </c>
      <c r="BA117" s="2024" t="str">
        <f>AY117</f>
        <v>Tier 2</v>
      </c>
      <c r="BB117" s="2591"/>
      <c r="BC117" s="2024" t="str">
        <f>AZ117</f>
        <v xml:space="preserve">Default </v>
      </c>
      <c r="BD117" s="2029" t="str">
        <f>BA117</f>
        <v>Tier 2</v>
      </c>
      <c r="BE117" s="2024" t="str">
        <f t="shared" ref="BE117:BJ117" si="59">BC117</f>
        <v xml:space="preserve">Default </v>
      </c>
      <c r="BF117" s="2029" t="str">
        <f t="shared" si="59"/>
        <v>Tier 2</v>
      </c>
      <c r="BG117" s="2024" t="str">
        <f t="shared" si="59"/>
        <v xml:space="preserve">Default </v>
      </c>
      <c r="BH117" s="2029" t="str">
        <f t="shared" si="59"/>
        <v>Tier 2</v>
      </c>
      <c r="BI117" s="2024" t="str">
        <f t="shared" si="59"/>
        <v xml:space="preserve">Default </v>
      </c>
      <c r="BJ117" s="2029" t="str">
        <f t="shared" si="59"/>
        <v>Tier 2</v>
      </c>
      <c r="BK117" s="2024"/>
      <c r="BL117" s="2029"/>
      <c r="BM117" s="2591"/>
      <c r="BN117" s="2560" t="str">
        <f>Languages!B346</f>
        <v>Year</v>
      </c>
      <c r="BO117" s="2560" t="str">
        <f>Languages!B345</f>
        <v>% burnt</v>
      </c>
      <c r="BP117" s="2591"/>
      <c r="BQ117" s="2560" t="str">
        <f>BN117</f>
        <v>Year</v>
      </c>
      <c r="BR117" s="2560" t="str">
        <f>BO117</f>
        <v>% burnt</v>
      </c>
      <c r="BS117" s="2591"/>
      <c r="BU117" s="1996"/>
      <c r="BV117" s="1893"/>
      <c r="BW117" s="1996"/>
      <c r="CD117" s="2591"/>
      <c r="CE117" s="2591"/>
      <c r="CF117" s="2591"/>
      <c r="CG117" s="2591"/>
      <c r="CH117" s="2591"/>
      <c r="CI117" s="2591"/>
      <c r="CJ117" s="2591"/>
      <c r="CK117" s="2591"/>
      <c r="CL117" s="2591"/>
      <c r="CM117" s="2591"/>
      <c r="CN117" s="2591"/>
      <c r="CO117" s="2591"/>
      <c r="CP117" s="2591"/>
      <c r="CQ117" s="2591"/>
      <c r="CT117" s="2591"/>
      <c r="CU117" s="2319"/>
      <c r="CV117" s="2585"/>
      <c r="CW117" s="2585"/>
      <c r="CX117" s="2591"/>
      <c r="CY117" s="2591"/>
      <c r="CZ117" s="2591"/>
      <c r="DA117" s="2591"/>
      <c r="DB117" s="2560" t="str">
        <f>DB79</f>
        <v>Year</v>
      </c>
      <c r="DC117" s="2560" t="str">
        <f>DC79</f>
        <v>% burnt</v>
      </c>
      <c r="DD117" s="2560"/>
      <c r="DE117" s="2560" t="str">
        <f>DB117</f>
        <v>Year</v>
      </c>
      <c r="DF117" s="2560" t="str">
        <f>DC117</f>
        <v>% burnt</v>
      </c>
      <c r="DG117" s="2591"/>
      <c r="DH117" s="2560" t="str">
        <f>DH79</f>
        <v>Default</v>
      </c>
      <c r="DI117" s="2560" t="str">
        <f>DI79</f>
        <v>Tier 2</v>
      </c>
      <c r="DJ117" s="2560" t="str">
        <f t="shared" ref="DJ117:DO117" si="60">DH117</f>
        <v>Default</v>
      </c>
      <c r="DK117" s="2560" t="str">
        <f t="shared" si="60"/>
        <v>Tier 2</v>
      </c>
      <c r="DL117" s="2560" t="str">
        <f t="shared" si="60"/>
        <v>Default</v>
      </c>
      <c r="DM117" s="2560" t="str">
        <f t="shared" si="60"/>
        <v>Tier 2</v>
      </c>
      <c r="DN117" s="2560" t="str">
        <f t="shared" si="60"/>
        <v>Default</v>
      </c>
      <c r="DO117" s="2560" t="str">
        <f t="shared" si="60"/>
        <v>Tier 2</v>
      </c>
      <c r="DP117" s="2591"/>
      <c r="DU117" s="2591"/>
      <c r="DV117" s="2591"/>
      <c r="DW117" s="2591"/>
      <c r="DX117" s="2591" t="s">
        <v>92</v>
      </c>
      <c r="DY117" s="2591"/>
      <c r="DZ117" s="2591" t="s">
        <v>1050</v>
      </c>
      <c r="EA117" s="2591"/>
      <c r="EB117" s="2591" t="s">
        <v>1051</v>
      </c>
      <c r="EC117" s="2591"/>
      <c r="ED117" s="2591"/>
      <c r="EE117" s="2591" t="s">
        <v>92</v>
      </c>
      <c r="EF117" s="2591"/>
      <c r="EG117" s="2591"/>
      <c r="EH117" s="2591"/>
    </row>
    <row r="118" spans="2:138" x14ac:dyDescent="0.2">
      <c r="B118" s="1781"/>
      <c r="C118" s="2129" t="s">
        <v>57</v>
      </c>
      <c r="D118" s="1781"/>
      <c r="E118" s="1781"/>
      <c r="F118" s="1781"/>
      <c r="G118" s="2131" t="s">
        <v>57</v>
      </c>
      <c r="H118" s="1781"/>
      <c r="I118" s="2131" t="s">
        <v>57</v>
      </c>
      <c r="J118" s="1806"/>
      <c r="K118" s="2131" t="s">
        <v>57</v>
      </c>
      <c r="L118" s="1781"/>
      <c r="M118" s="2103">
        <v>0</v>
      </c>
      <c r="N118" s="1841">
        <f t="shared" ref="N118:N123" si="61">M118</f>
        <v>0</v>
      </c>
      <c r="O118" s="2104" t="s">
        <v>86</v>
      </c>
      <c r="P118" s="1841">
        <f t="shared" ref="P118:P123" si="62">M118</f>
        <v>0</v>
      </c>
      <c r="Q118" s="2104" t="s">
        <v>86</v>
      </c>
      <c r="R118" s="1960"/>
      <c r="S118" s="1838"/>
      <c r="T118" s="4194" t="s">
        <v>1053</v>
      </c>
      <c r="U118" s="1838"/>
      <c r="V118" s="1838"/>
      <c r="W118" s="1838"/>
      <c r="X118" s="1838"/>
      <c r="Y118" s="1826"/>
      <c r="Z118" s="1826"/>
      <c r="AA118" s="1826"/>
      <c r="AB118" s="1826"/>
      <c r="AC118" s="1826"/>
      <c r="AD118" s="1826"/>
      <c r="AE118" s="1841">
        <f>+'Inl. wetlands'!AI339</f>
        <v>0</v>
      </c>
      <c r="AF118" s="1841">
        <f>+'Inl. wetlands'!AJ339</f>
        <v>0</v>
      </c>
      <c r="AG118" s="1806">
        <f t="shared" ref="AG118:AG123" si="63">AF118-AE118</f>
        <v>0</v>
      </c>
      <c r="AH118" s="1781"/>
      <c r="AI118" s="1781"/>
      <c r="AS118" s="1801" t="str">
        <f t="shared" ref="AS118:AS123" si="64">C118</f>
        <v>Please select</v>
      </c>
      <c r="AT118" s="2591"/>
      <c r="AU118" s="2591"/>
      <c r="AV118" s="4176" t="str">
        <f>VLOOKUP($G118, list!$O$7:$P$13, 2, FALSE)</f>
        <v>?</v>
      </c>
      <c r="AW118" s="4202"/>
      <c r="AX118" s="4176" t="str">
        <f>VLOOKUP($I118, list!$O$7:$P$13, 2, FALSE)</f>
        <v>?</v>
      </c>
      <c r="AY118" s="4202"/>
      <c r="AZ118" s="4176" t="str">
        <f>VLOOKUP($K118, list!$O$7:$P$13, 2, FALSE)</f>
        <v>?</v>
      </c>
      <c r="BA118" s="4202"/>
      <c r="BB118" s="2591"/>
      <c r="BC118" s="2000">
        <f>'Inl. wetlands'!C327</f>
        <v>0</v>
      </c>
      <c r="BD118" s="4207"/>
      <c r="BE118" s="2003">
        <f>'Inl. wetlands'!E327</f>
        <v>0</v>
      </c>
      <c r="BF118" s="4207"/>
      <c r="BG118" s="2000">
        <f>'Inl. wetlands'!G327</f>
        <v>0</v>
      </c>
      <c r="BH118" s="4207"/>
      <c r="BI118" s="2000">
        <f>'Inl. wetlands'!I327</f>
        <v>0</v>
      </c>
      <c r="BJ118" s="4207"/>
      <c r="BK118" s="2000"/>
      <c r="BL118" s="1801"/>
      <c r="BM118" s="2591"/>
      <c r="BN118" s="4196">
        <v>1</v>
      </c>
      <c r="BO118" s="4208">
        <v>1</v>
      </c>
      <c r="BP118" s="2591"/>
      <c r="BQ118" s="4196">
        <v>1</v>
      </c>
      <c r="BR118" s="4208">
        <v>1</v>
      </c>
      <c r="BS118" s="2591"/>
      <c r="BU118" s="4363">
        <v>1</v>
      </c>
      <c r="BV118" s="4364"/>
      <c r="BW118" s="1996"/>
      <c r="CD118" s="2591"/>
      <c r="CE118" s="2591" t="str">
        <f t="shared" ref="CE118:CE123" si="65">C118</f>
        <v>Please select</v>
      </c>
      <c r="CF118" s="4156">
        <f>'Inl. wetlands'!B373</f>
        <v>0</v>
      </c>
      <c r="CG118" s="4209"/>
      <c r="CH118" s="4156">
        <f>'Inl. wetlands'!D373</f>
        <v>0</v>
      </c>
      <c r="CI118" s="4209"/>
      <c r="CJ118" s="4156">
        <f>'Inl. wetlands'!F373</f>
        <v>0</v>
      </c>
      <c r="CK118" s="4209"/>
      <c r="CL118" s="2591"/>
      <c r="CM118" s="4156">
        <f>'Inl. wetlands'!H373</f>
        <v>0</v>
      </c>
      <c r="CN118" s="4209"/>
      <c r="CO118" s="4156">
        <f>'Inl. wetlands'!J373</f>
        <v>0</v>
      </c>
      <c r="CP118" s="4209"/>
      <c r="CQ118" s="2591"/>
      <c r="CT118" s="2560"/>
      <c r="CU118" s="2319" t="str">
        <f t="shared" ref="CU118:CU123" si="66">CE118</f>
        <v>Please select</v>
      </c>
      <c r="CV118" s="2585"/>
      <c r="CW118" s="2585">
        <f t="shared" ref="CW118:CW123" si="67">M118</f>
        <v>0</v>
      </c>
      <c r="CX118" s="2560"/>
      <c r="CY118" s="2560"/>
      <c r="CZ118" s="4105" t="s">
        <v>57</v>
      </c>
      <c r="DA118" s="2560"/>
      <c r="DB118" s="2129">
        <v>1</v>
      </c>
      <c r="DC118" s="4210">
        <v>0.5</v>
      </c>
      <c r="DD118" s="4171"/>
      <c r="DE118" s="2129">
        <v>1</v>
      </c>
      <c r="DF118" s="4210">
        <v>0.5</v>
      </c>
      <c r="DG118" s="2560"/>
      <c r="DH118" s="2585">
        <f>'Inl. wetlands'!O357</f>
        <v>362</v>
      </c>
      <c r="DI118" s="2129"/>
      <c r="DJ118" s="2585">
        <f>'Inl. wetlands'!Q357</f>
        <v>207</v>
      </c>
      <c r="DK118" s="2129"/>
      <c r="DL118" s="2585">
        <f>'Inl. wetlands'!S357</f>
        <v>9</v>
      </c>
      <c r="DM118" s="2129"/>
      <c r="DN118" s="2585">
        <f>'Inl. wetlands'!U357</f>
        <v>0</v>
      </c>
      <c r="DO118" s="2129"/>
      <c r="DP118" s="2560"/>
      <c r="DU118" s="2591"/>
      <c r="DV118" s="2591" t="str">
        <f t="shared" ref="DV118:DV123" si="68">C118</f>
        <v>Please select</v>
      </c>
      <c r="DW118" s="2591"/>
      <c r="DX118" s="2612">
        <f>'Inl. wetlands'!H388</f>
        <v>0</v>
      </c>
      <c r="DY118" s="4205"/>
      <c r="DZ118" s="4155">
        <f>'Inl. wetlands'!J388</f>
        <v>0</v>
      </c>
      <c r="EA118" s="4205"/>
      <c r="EB118" s="4155">
        <f>'Inl. wetlands'!L388</f>
        <v>0</v>
      </c>
      <c r="EC118" s="4205"/>
      <c r="ED118" s="2591"/>
      <c r="EE118" s="4156">
        <f>'Inl. wetlands'!N388</f>
        <v>0</v>
      </c>
      <c r="EF118" s="4205"/>
      <c r="EG118" s="2591"/>
      <c r="EH118" s="2591"/>
    </row>
    <row r="119" spans="2:138" x14ac:dyDescent="0.2">
      <c r="B119" s="1781"/>
      <c r="C119" s="2129" t="s">
        <v>57</v>
      </c>
      <c r="D119" s="1781"/>
      <c r="E119" s="1781"/>
      <c r="F119" s="1781"/>
      <c r="G119" s="2131" t="s">
        <v>57</v>
      </c>
      <c r="H119" s="1781"/>
      <c r="I119" s="2131" t="s">
        <v>57</v>
      </c>
      <c r="J119" s="1806"/>
      <c r="K119" s="2131" t="s">
        <v>57</v>
      </c>
      <c r="L119" s="1781"/>
      <c r="M119" s="2103">
        <v>0</v>
      </c>
      <c r="N119" s="1841">
        <f t="shared" si="61"/>
        <v>0</v>
      </c>
      <c r="O119" s="2104" t="s">
        <v>86</v>
      </c>
      <c r="P119" s="1841">
        <f t="shared" si="62"/>
        <v>0</v>
      </c>
      <c r="Q119" s="2104" t="s">
        <v>86</v>
      </c>
      <c r="R119" s="1781"/>
      <c r="S119" s="1838"/>
      <c r="T119" s="4194" t="s">
        <v>1053</v>
      </c>
      <c r="U119" s="1838"/>
      <c r="V119" s="1838"/>
      <c r="W119" s="1838"/>
      <c r="X119" s="1838"/>
      <c r="Y119" s="1826"/>
      <c r="Z119" s="1826"/>
      <c r="AA119" s="1826"/>
      <c r="AB119" s="1826"/>
      <c r="AC119" s="1826"/>
      <c r="AD119" s="1826"/>
      <c r="AE119" s="1841">
        <f>+'Inl. wetlands'!AI340</f>
        <v>0</v>
      </c>
      <c r="AF119" s="1841">
        <f>+'Inl. wetlands'!AJ340</f>
        <v>0</v>
      </c>
      <c r="AG119" s="1806">
        <f t="shared" si="63"/>
        <v>0</v>
      </c>
      <c r="AH119" s="1781"/>
      <c r="AI119" s="1781"/>
      <c r="AS119" s="1801" t="str">
        <f t="shared" si="64"/>
        <v>Please select</v>
      </c>
      <c r="AT119" s="2591"/>
      <c r="AU119" s="2591"/>
      <c r="AV119" s="4176" t="str">
        <f>VLOOKUP($G119, list!$O$7:$P$13, 2, FALSE)</f>
        <v>?</v>
      </c>
      <c r="AW119" s="4202"/>
      <c r="AX119" s="4176" t="str">
        <f>VLOOKUP($I119, list!$O$7:$P$13, 2, FALSE)</f>
        <v>?</v>
      </c>
      <c r="AY119" s="4202"/>
      <c r="AZ119" s="4176" t="str">
        <f>VLOOKUP($K119, list!$O$7:$P$13, 2, FALSE)</f>
        <v>?</v>
      </c>
      <c r="BA119" s="4202"/>
      <c r="BB119" s="2591"/>
      <c r="BC119" s="2000">
        <f>'Inl. wetlands'!C328</f>
        <v>0</v>
      </c>
      <c r="BD119" s="4207"/>
      <c r="BE119" s="2003">
        <f>'Inl. wetlands'!E328</f>
        <v>0</v>
      </c>
      <c r="BF119" s="4207"/>
      <c r="BG119" s="2000">
        <f>'Inl. wetlands'!G328</f>
        <v>0</v>
      </c>
      <c r="BH119" s="4207"/>
      <c r="BI119" s="2000">
        <f>'Inl. wetlands'!I328</f>
        <v>0</v>
      </c>
      <c r="BJ119" s="4207"/>
      <c r="BK119" s="2000"/>
      <c r="BL119" s="1801"/>
      <c r="BM119" s="2591"/>
      <c r="BN119" s="4196">
        <v>1</v>
      </c>
      <c r="BO119" s="4208">
        <v>1</v>
      </c>
      <c r="BP119" s="2591"/>
      <c r="BQ119" s="4196">
        <v>1</v>
      </c>
      <c r="BR119" s="4208">
        <v>1</v>
      </c>
      <c r="BS119" s="2591"/>
      <c r="BU119" s="4363">
        <v>1</v>
      </c>
      <c r="BV119" s="4364"/>
      <c r="BW119" s="1996"/>
      <c r="CD119" s="2591"/>
      <c r="CE119" s="2591" t="str">
        <f t="shared" si="65"/>
        <v>Please select</v>
      </c>
      <c r="CF119" s="4156">
        <f>'Inl. wetlands'!B374</f>
        <v>0</v>
      </c>
      <c r="CG119" s="4209"/>
      <c r="CH119" s="4156">
        <f>'Inl. wetlands'!D374</f>
        <v>0</v>
      </c>
      <c r="CI119" s="4209"/>
      <c r="CJ119" s="4156">
        <f>'Inl. wetlands'!F374</f>
        <v>0</v>
      </c>
      <c r="CK119" s="4209"/>
      <c r="CL119" s="2591"/>
      <c r="CM119" s="4156">
        <f>'Inl. wetlands'!H374</f>
        <v>0</v>
      </c>
      <c r="CN119" s="4209"/>
      <c r="CO119" s="4156">
        <f>'Inl. wetlands'!J374</f>
        <v>0</v>
      </c>
      <c r="CP119" s="4209"/>
      <c r="CQ119" s="2591"/>
      <c r="CT119" s="2560"/>
      <c r="CU119" s="2319" t="str">
        <f t="shared" si="66"/>
        <v>Please select</v>
      </c>
      <c r="CV119" s="2585"/>
      <c r="CW119" s="2585">
        <f t="shared" si="67"/>
        <v>0</v>
      </c>
      <c r="CX119" s="2560"/>
      <c r="CY119" s="2560"/>
      <c r="CZ119" s="4105" t="s">
        <v>57</v>
      </c>
      <c r="DA119" s="2560"/>
      <c r="DB119" s="2129">
        <v>1</v>
      </c>
      <c r="DC119" s="4210">
        <v>0.01</v>
      </c>
      <c r="DD119" s="4171"/>
      <c r="DE119" s="2129">
        <v>1</v>
      </c>
      <c r="DF119" s="4210">
        <v>0.01</v>
      </c>
      <c r="DG119" s="2560"/>
      <c r="DH119" s="2585">
        <f>'Inl. wetlands'!O358</f>
        <v>362</v>
      </c>
      <c r="DI119" s="2129"/>
      <c r="DJ119" s="2585">
        <f>'Inl. wetlands'!Q358</f>
        <v>207</v>
      </c>
      <c r="DK119" s="2129"/>
      <c r="DL119" s="2585">
        <f>'Inl. wetlands'!S358</f>
        <v>9</v>
      </c>
      <c r="DM119" s="2129"/>
      <c r="DN119" s="2585">
        <f>'Inl. wetlands'!U358</f>
        <v>0</v>
      </c>
      <c r="DO119" s="2129"/>
      <c r="DP119" s="2560"/>
      <c r="DU119" s="2591"/>
      <c r="DV119" s="2591" t="str">
        <f t="shared" si="68"/>
        <v>Please select</v>
      </c>
      <c r="DW119" s="2591"/>
      <c r="DX119" s="2612">
        <f>'Inl. wetlands'!H389</f>
        <v>0</v>
      </c>
      <c r="DY119" s="4205"/>
      <c r="DZ119" s="4155">
        <f>'Inl. wetlands'!J389</f>
        <v>0</v>
      </c>
      <c r="EA119" s="4205"/>
      <c r="EB119" s="4155">
        <f>'Inl. wetlands'!L389</f>
        <v>0</v>
      </c>
      <c r="EC119" s="4205"/>
      <c r="ED119" s="2591"/>
      <c r="EE119" s="4156">
        <f>'Inl. wetlands'!N389</f>
        <v>0</v>
      </c>
      <c r="EF119" s="4205"/>
      <c r="EG119" s="2591"/>
      <c r="EH119" s="2591"/>
    </row>
    <row r="120" spans="2:138" x14ac:dyDescent="0.2">
      <c r="B120" s="1781"/>
      <c r="C120" s="2129" t="s">
        <v>57</v>
      </c>
      <c r="D120" s="1781"/>
      <c r="E120" s="1781"/>
      <c r="F120" s="1781"/>
      <c r="G120" s="2131" t="s">
        <v>57</v>
      </c>
      <c r="H120" s="1781"/>
      <c r="I120" s="2131" t="s">
        <v>57</v>
      </c>
      <c r="J120" s="1806"/>
      <c r="K120" s="2131" t="s">
        <v>57</v>
      </c>
      <c r="L120" s="1781"/>
      <c r="M120" s="2103">
        <v>0</v>
      </c>
      <c r="N120" s="1841">
        <f t="shared" si="61"/>
        <v>0</v>
      </c>
      <c r="O120" s="2104" t="s">
        <v>86</v>
      </c>
      <c r="P120" s="1841">
        <f t="shared" si="62"/>
        <v>0</v>
      </c>
      <c r="Q120" s="2104" t="s">
        <v>86</v>
      </c>
      <c r="R120" s="1781"/>
      <c r="S120" s="1838"/>
      <c r="T120" s="4194" t="s">
        <v>1053</v>
      </c>
      <c r="U120" s="1838"/>
      <c r="V120" s="1838"/>
      <c r="W120" s="1838"/>
      <c r="X120" s="1838"/>
      <c r="Y120" s="1826"/>
      <c r="Z120" s="1826"/>
      <c r="AA120" s="1826"/>
      <c r="AB120" s="1826"/>
      <c r="AC120" s="1826"/>
      <c r="AD120" s="1826"/>
      <c r="AE120" s="1841">
        <f>+'Inl. wetlands'!AI341</f>
        <v>0</v>
      </c>
      <c r="AF120" s="1841">
        <f>+'Inl. wetlands'!AJ341</f>
        <v>0</v>
      </c>
      <c r="AG120" s="1806">
        <f t="shared" si="63"/>
        <v>0</v>
      </c>
      <c r="AH120" s="1781"/>
      <c r="AI120" s="1781"/>
      <c r="AS120" s="1801" t="str">
        <f t="shared" si="64"/>
        <v>Please select</v>
      </c>
      <c r="AT120" s="2591"/>
      <c r="AU120" s="2591"/>
      <c r="AV120" s="4176" t="str">
        <f>VLOOKUP($G120, list!$O$7:$P$13, 2, FALSE)</f>
        <v>?</v>
      </c>
      <c r="AW120" s="4202"/>
      <c r="AX120" s="4176" t="str">
        <f>VLOOKUP($I120, list!$O$7:$P$13, 2, FALSE)</f>
        <v>?</v>
      </c>
      <c r="AY120" s="4202"/>
      <c r="AZ120" s="4176" t="str">
        <f>VLOOKUP($K120, list!$O$7:$P$13, 2, FALSE)</f>
        <v>?</v>
      </c>
      <c r="BA120" s="4202"/>
      <c r="BB120" s="2591"/>
      <c r="BC120" s="2000">
        <f>'Inl. wetlands'!C329</f>
        <v>0</v>
      </c>
      <c r="BD120" s="4207"/>
      <c r="BE120" s="2003">
        <f>'Inl. wetlands'!E329</f>
        <v>0</v>
      </c>
      <c r="BF120" s="4207"/>
      <c r="BG120" s="2000">
        <f>'Inl. wetlands'!G329</f>
        <v>0</v>
      </c>
      <c r="BH120" s="4207"/>
      <c r="BI120" s="2000">
        <f>'Inl. wetlands'!I329</f>
        <v>0</v>
      </c>
      <c r="BJ120" s="4207"/>
      <c r="BK120" s="2000"/>
      <c r="BL120" s="1801"/>
      <c r="BM120" s="2591"/>
      <c r="BN120" s="4196">
        <v>1</v>
      </c>
      <c r="BO120" s="4208">
        <v>1</v>
      </c>
      <c r="BP120" s="2591"/>
      <c r="BQ120" s="4196">
        <v>1</v>
      </c>
      <c r="BR120" s="4208">
        <v>1</v>
      </c>
      <c r="BS120" s="2591"/>
      <c r="BU120" s="4363">
        <v>1</v>
      </c>
      <c r="BV120" s="4364"/>
      <c r="BW120" s="1996"/>
      <c r="CD120" s="2591"/>
      <c r="CE120" s="2591" t="str">
        <f t="shared" si="65"/>
        <v>Please select</v>
      </c>
      <c r="CF120" s="4156">
        <f>'Inl. wetlands'!B375</f>
        <v>0</v>
      </c>
      <c r="CG120" s="4209"/>
      <c r="CH120" s="4156">
        <f>'Inl. wetlands'!D375</f>
        <v>0</v>
      </c>
      <c r="CI120" s="4209"/>
      <c r="CJ120" s="4156">
        <f>'Inl. wetlands'!F375</f>
        <v>0</v>
      </c>
      <c r="CK120" s="4209"/>
      <c r="CL120" s="2591"/>
      <c r="CM120" s="4156">
        <f>'Inl. wetlands'!H375</f>
        <v>0</v>
      </c>
      <c r="CN120" s="4209"/>
      <c r="CO120" s="4156">
        <f>'Inl. wetlands'!J375</f>
        <v>0</v>
      </c>
      <c r="CP120" s="4209"/>
      <c r="CQ120" s="2591"/>
      <c r="CT120" s="2560"/>
      <c r="CU120" s="2319" t="str">
        <f t="shared" si="66"/>
        <v>Please select</v>
      </c>
      <c r="CV120" s="2585"/>
      <c r="CW120" s="2585">
        <f t="shared" si="67"/>
        <v>0</v>
      </c>
      <c r="CX120" s="2560"/>
      <c r="CY120" s="2560"/>
      <c r="CZ120" s="4105" t="s">
        <v>57</v>
      </c>
      <c r="DA120" s="2560"/>
      <c r="DB120" s="2129">
        <v>1</v>
      </c>
      <c r="DC120" s="4210">
        <v>0.01</v>
      </c>
      <c r="DD120" s="4171"/>
      <c r="DE120" s="2129">
        <v>1</v>
      </c>
      <c r="DF120" s="4210">
        <v>0.01</v>
      </c>
      <c r="DG120" s="2560"/>
      <c r="DH120" s="2585">
        <f>'Inl. wetlands'!O359</f>
        <v>362</v>
      </c>
      <c r="DI120" s="2129"/>
      <c r="DJ120" s="2585">
        <f>'Inl. wetlands'!Q359</f>
        <v>207</v>
      </c>
      <c r="DK120" s="2129"/>
      <c r="DL120" s="2585">
        <f>'Inl. wetlands'!S359</f>
        <v>9</v>
      </c>
      <c r="DM120" s="2129"/>
      <c r="DN120" s="2585">
        <f>'Inl. wetlands'!U359</f>
        <v>0</v>
      </c>
      <c r="DO120" s="2129"/>
      <c r="DP120" s="2560"/>
      <c r="DU120" s="2591"/>
      <c r="DV120" s="2591" t="str">
        <f t="shared" si="68"/>
        <v>Please select</v>
      </c>
      <c r="DW120" s="2591"/>
      <c r="DX120" s="2612">
        <f>'Inl. wetlands'!H390</f>
        <v>0</v>
      </c>
      <c r="DY120" s="4205"/>
      <c r="DZ120" s="4155">
        <f>'Inl. wetlands'!J390</f>
        <v>0</v>
      </c>
      <c r="EA120" s="4205"/>
      <c r="EB120" s="4155">
        <f>'Inl. wetlands'!L390</f>
        <v>0</v>
      </c>
      <c r="EC120" s="4205"/>
      <c r="ED120" s="2591"/>
      <c r="EE120" s="4156">
        <f>'Inl. wetlands'!N390</f>
        <v>0</v>
      </c>
      <c r="EF120" s="4205"/>
      <c r="EG120" s="2591"/>
      <c r="EH120" s="2591"/>
    </row>
    <row r="121" spans="2:138" x14ac:dyDescent="0.2">
      <c r="B121" s="1781"/>
      <c r="C121" s="2129" t="s">
        <v>57</v>
      </c>
      <c r="D121" s="1781"/>
      <c r="E121" s="1781"/>
      <c r="F121" s="1781"/>
      <c r="G121" s="2131" t="s">
        <v>57</v>
      </c>
      <c r="H121" s="1781"/>
      <c r="I121" s="2131" t="s">
        <v>57</v>
      </c>
      <c r="J121" s="1806"/>
      <c r="K121" s="2131" t="s">
        <v>57</v>
      </c>
      <c r="L121" s="1781"/>
      <c r="M121" s="2103">
        <v>0</v>
      </c>
      <c r="N121" s="1841">
        <f t="shared" si="61"/>
        <v>0</v>
      </c>
      <c r="O121" s="2104" t="s">
        <v>86</v>
      </c>
      <c r="P121" s="1841">
        <f t="shared" si="62"/>
        <v>0</v>
      </c>
      <c r="Q121" s="2104" t="s">
        <v>86</v>
      </c>
      <c r="R121" s="1781"/>
      <c r="S121" s="1838"/>
      <c r="T121" s="4194" t="s">
        <v>1053</v>
      </c>
      <c r="U121" s="1838"/>
      <c r="V121" s="1838"/>
      <c r="W121" s="1838"/>
      <c r="X121" s="1838"/>
      <c r="Y121" s="1826"/>
      <c r="Z121" s="1826"/>
      <c r="AA121" s="1826"/>
      <c r="AB121" s="1826"/>
      <c r="AC121" s="1826"/>
      <c r="AD121" s="1826"/>
      <c r="AE121" s="1841">
        <f>+'Inl. wetlands'!AI342</f>
        <v>0</v>
      </c>
      <c r="AF121" s="1841">
        <f>+'Inl. wetlands'!AJ342</f>
        <v>0</v>
      </c>
      <c r="AG121" s="1806">
        <f t="shared" si="63"/>
        <v>0</v>
      </c>
      <c r="AH121" s="1781"/>
      <c r="AI121" s="1781"/>
      <c r="AS121" s="1801" t="str">
        <f t="shared" si="64"/>
        <v>Please select</v>
      </c>
      <c r="AT121" s="2591"/>
      <c r="AU121" s="2591"/>
      <c r="AV121" s="4176" t="str">
        <f>VLOOKUP($G121, list!$O$7:$P$13, 2, FALSE)</f>
        <v>?</v>
      </c>
      <c r="AW121" s="4202"/>
      <c r="AX121" s="4176" t="str">
        <f>VLOOKUP($I121, list!$O$7:$P$13, 2, FALSE)</f>
        <v>?</v>
      </c>
      <c r="AY121" s="4202"/>
      <c r="AZ121" s="4176" t="str">
        <f>VLOOKUP($K121, list!$O$7:$P$13, 2, FALSE)</f>
        <v>?</v>
      </c>
      <c r="BA121" s="4202"/>
      <c r="BB121" s="2591"/>
      <c r="BC121" s="2000">
        <f>'Inl. wetlands'!C330</f>
        <v>0</v>
      </c>
      <c r="BD121" s="4207"/>
      <c r="BE121" s="2003">
        <f>'Inl. wetlands'!E330</f>
        <v>0</v>
      </c>
      <c r="BF121" s="4207"/>
      <c r="BG121" s="2000">
        <f>'Inl. wetlands'!G330</f>
        <v>0</v>
      </c>
      <c r="BH121" s="4207"/>
      <c r="BI121" s="2000">
        <f>'Inl. wetlands'!I330</f>
        <v>0</v>
      </c>
      <c r="BJ121" s="4207"/>
      <c r="BK121" s="2000"/>
      <c r="BL121" s="1801"/>
      <c r="BM121" s="2591"/>
      <c r="BN121" s="4196">
        <v>1</v>
      </c>
      <c r="BO121" s="4208">
        <v>1</v>
      </c>
      <c r="BP121" s="2591"/>
      <c r="BQ121" s="4196">
        <v>1</v>
      </c>
      <c r="BR121" s="4208">
        <v>1</v>
      </c>
      <c r="BS121" s="2591"/>
      <c r="BU121" s="4363">
        <v>1</v>
      </c>
      <c r="BV121" s="4364"/>
      <c r="BW121" s="1996"/>
      <c r="CD121" s="2591"/>
      <c r="CE121" s="2591" t="str">
        <f t="shared" si="65"/>
        <v>Please select</v>
      </c>
      <c r="CF121" s="4156">
        <f>'Inl. wetlands'!B376</f>
        <v>0</v>
      </c>
      <c r="CG121" s="4209"/>
      <c r="CH121" s="4156">
        <f>'Inl. wetlands'!D376</f>
        <v>0</v>
      </c>
      <c r="CI121" s="4209"/>
      <c r="CJ121" s="4156">
        <f>'Inl. wetlands'!F376</f>
        <v>0</v>
      </c>
      <c r="CK121" s="4209"/>
      <c r="CL121" s="2591"/>
      <c r="CM121" s="4156">
        <f>'Inl. wetlands'!H376</f>
        <v>0</v>
      </c>
      <c r="CN121" s="4209"/>
      <c r="CO121" s="4156">
        <f>'Inl. wetlands'!J376</f>
        <v>0</v>
      </c>
      <c r="CP121" s="4209"/>
      <c r="CQ121" s="2591"/>
      <c r="CT121" s="2560"/>
      <c r="CU121" s="2319" t="str">
        <f t="shared" si="66"/>
        <v>Please select</v>
      </c>
      <c r="CV121" s="2585"/>
      <c r="CW121" s="2585">
        <f t="shared" si="67"/>
        <v>0</v>
      </c>
      <c r="CX121" s="2560"/>
      <c r="CY121" s="2560"/>
      <c r="CZ121" s="4105" t="s">
        <v>57</v>
      </c>
      <c r="DA121" s="2560"/>
      <c r="DB121" s="2129">
        <v>1</v>
      </c>
      <c r="DC121" s="4210">
        <v>0.01</v>
      </c>
      <c r="DD121" s="4171"/>
      <c r="DE121" s="2129">
        <v>1</v>
      </c>
      <c r="DF121" s="4210">
        <v>0.01</v>
      </c>
      <c r="DG121" s="2560"/>
      <c r="DH121" s="2585">
        <f>'Inl. wetlands'!O360</f>
        <v>362</v>
      </c>
      <c r="DI121" s="2129"/>
      <c r="DJ121" s="2585">
        <f>'Inl. wetlands'!Q360</f>
        <v>207</v>
      </c>
      <c r="DK121" s="2129"/>
      <c r="DL121" s="2585">
        <f>'Inl. wetlands'!S360</f>
        <v>9</v>
      </c>
      <c r="DM121" s="2129"/>
      <c r="DN121" s="2585">
        <f>'Inl. wetlands'!U360</f>
        <v>0</v>
      </c>
      <c r="DO121" s="2129"/>
      <c r="DP121" s="2560"/>
      <c r="DU121" s="2591"/>
      <c r="DV121" s="2591" t="str">
        <f t="shared" si="68"/>
        <v>Please select</v>
      </c>
      <c r="DW121" s="2591"/>
      <c r="DX121" s="2612">
        <f>'Inl. wetlands'!H391</f>
        <v>0</v>
      </c>
      <c r="DY121" s="4205"/>
      <c r="DZ121" s="4155">
        <f>'Inl. wetlands'!J391</f>
        <v>0</v>
      </c>
      <c r="EA121" s="4205"/>
      <c r="EB121" s="4155">
        <f>'Inl. wetlands'!L391</f>
        <v>0</v>
      </c>
      <c r="EC121" s="4205"/>
      <c r="ED121" s="2591"/>
      <c r="EE121" s="4156">
        <f>'Inl. wetlands'!N391</f>
        <v>0</v>
      </c>
      <c r="EF121" s="4205"/>
      <c r="EG121" s="2591"/>
      <c r="EH121" s="2591"/>
    </row>
    <row r="122" spans="2:138" x14ac:dyDescent="0.2">
      <c r="B122" s="1781"/>
      <c r="C122" s="2129" t="s">
        <v>57</v>
      </c>
      <c r="D122" s="1781"/>
      <c r="E122" s="1781"/>
      <c r="F122" s="1781"/>
      <c r="G122" s="2131" t="s">
        <v>57</v>
      </c>
      <c r="H122" s="1781"/>
      <c r="I122" s="2131" t="s">
        <v>57</v>
      </c>
      <c r="J122" s="1806"/>
      <c r="K122" s="2131" t="s">
        <v>57</v>
      </c>
      <c r="L122" s="1781"/>
      <c r="M122" s="2103">
        <v>0</v>
      </c>
      <c r="N122" s="1841">
        <f t="shared" si="61"/>
        <v>0</v>
      </c>
      <c r="O122" s="2104" t="s">
        <v>86</v>
      </c>
      <c r="P122" s="1841">
        <f t="shared" si="62"/>
        <v>0</v>
      </c>
      <c r="Q122" s="2104" t="s">
        <v>86</v>
      </c>
      <c r="R122" s="1781"/>
      <c r="S122" s="1838"/>
      <c r="T122" s="4194" t="s">
        <v>1053</v>
      </c>
      <c r="U122" s="1838"/>
      <c r="V122" s="1838"/>
      <c r="W122" s="1838"/>
      <c r="X122" s="1838"/>
      <c r="Y122" s="1826"/>
      <c r="Z122" s="1826"/>
      <c r="AA122" s="1826"/>
      <c r="AB122" s="1826"/>
      <c r="AC122" s="1826"/>
      <c r="AD122" s="1826"/>
      <c r="AE122" s="1841">
        <f>+'Inl. wetlands'!AI343</f>
        <v>0</v>
      </c>
      <c r="AF122" s="1841">
        <f>+'Inl. wetlands'!AJ343</f>
        <v>0</v>
      </c>
      <c r="AG122" s="1806">
        <f t="shared" si="63"/>
        <v>0</v>
      </c>
      <c r="AH122" s="1781"/>
      <c r="AI122" s="1781"/>
      <c r="AS122" s="1801" t="str">
        <f t="shared" si="64"/>
        <v>Please select</v>
      </c>
      <c r="AT122" s="2591"/>
      <c r="AU122" s="2591"/>
      <c r="AV122" s="4176" t="str">
        <f>VLOOKUP($G122, list!$O$7:$P$13, 2, FALSE)</f>
        <v>?</v>
      </c>
      <c r="AW122" s="4202"/>
      <c r="AX122" s="4176" t="str">
        <f>VLOOKUP($I122, list!$O$7:$P$13, 2, FALSE)</f>
        <v>?</v>
      </c>
      <c r="AY122" s="4202"/>
      <c r="AZ122" s="4176" t="str">
        <f>VLOOKUP($K122, list!$O$7:$P$13, 2, FALSE)</f>
        <v>?</v>
      </c>
      <c r="BA122" s="4202"/>
      <c r="BB122" s="2591"/>
      <c r="BC122" s="2000">
        <f>'Inl. wetlands'!C331</f>
        <v>0</v>
      </c>
      <c r="BD122" s="4207"/>
      <c r="BE122" s="2003">
        <f>'Inl. wetlands'!E331</f>
        <v>0</v>
      </c>
      <c r="BF122" s="4207"/>
      <c r="BG122" s="2000">
        <f>'Inl. wetlands'!G331</f>
        <v>0</v>
      </c>
      <c r="BH122" s="4207"/>
      <c r="BI122" s="2000">
        <f>'Inl. wetlands'!I331</f>
        <v>0</v>
      </c>
      <c r="BJ122" s="4207"/>
      <c r="BK122" s="2000"/>
      <c r="BL122" s="1801"/>
      <c r="BM122" s="2591"/>
      <c r="BN122" s="4196">
        <v>1</v>
      </c>
      <c r="BO122" s="4208">
        <v>1</v>
      </c>
      <c r="BP122" s="2591"/>
      <c r="BQ122" s="4196">
        <v>1</v>
      </c>
      <c r="BR122" s="4208">
        <v>1</v>
      </c>
      <c r="BS122" s="2591"/>
      <c r="BU122" s="4363">
        <v>1</v>
      </c>
      <c r="BV122" s="4364"/>
      <c r="BW122" s="1996"/>
      <c r="CD122" s="2591"/>
      <c r="CE122" s="2591" t="str">
        <f t="shared" si="65"/>
        <v>Please select</v>
      </c>
      <c r="CF122" s="4156">
        <f>'Inl. wetlands'!B377</f>
        <v>0</v>
      </c>
      <c r="CG122" s="4209"/>
      <c r="CH122" s="4156">
        <f>'Inl. wetlands'!D377</f>
        <v>0</v>
      </c>
      <c r="CI122" s="4209"/>
      <c r="CJ122" s="4156">
        <f>'Inl. wetlands'!F377</f>
        <v>0</v>
      </c>
      <c r="CK122" s="4209"/>
      <c r="CL122" s="2591"/>
      <c r="CM122" s="4156">
        <f>'Inl. wetlands'!H377</f>
        <v>0</v>
      </c>
      <c r="CN122" s="4209"/>
      <c r="CO122" s="4156">
        <f>'Inl. wetlands'!J377</f>
        <v>0</v>
      </c>
      <c r="CP122" s="4209"/>
      <c r="CQ122" s="2591"/>
      <c r="CT122" s="2560"/>
      <c r="CU122" s="2319" t="str">
        <f t="shared" si="66"/>
        <v>Please select</v>
      </c>
      <c r="CV122" s="2585"/>
      <c r="CW122" s="2585">
        <f t="shared" si="67"/>
        <v>0</v>
      </c>
      <c r="CX122" s="2560"/>
      <c r="CY122" s="2560"/>
      <c r="CZ122" s="4105" t="s">
        <v>57</v>
      </c>
      <c r="DA122" s="2560"/>
      <c r="DB122" s="2129">
        <v>1</v>
      </c>
      <c r="DC122" s="4210">
        <v>0.01</v>
      </c>
      <c r="DD122" s="4171"/>
      <c r="DE122" s="2129">
        <v>1</v>
      </c>
      <c r="DF122" s="4210">
        <v>0.01</v>
      </c>
      <c r="DG122" s="2560"/>
      <c r="DH122" s="2585">
        <f>'Inl. wetlands'!O361</f>
        <v>362</v>
      </c>
      <c r="DI122" s="2129"/>
      <c r="DJ122" s="2585">
        <f>'Inl. wetlands'!Q361</f>
        <v>207</v>
      </c>
      <c r="DK122" s="2129"/>
      <c r="DL122" s="2585">
        <f>'Inl. wetlands'!S361</f>
        <v>9</v>
      </c>
      <c r="DM122" s="2129"/>
      <c r="DN122" s="2585">
        <f>'Inl. wetlands'!U361</f>
        <v>0</v>
      </c>
      <c r="DO122" s="2129"/>
      <c r="DP122" s="2560"/>
      <c r="DU122" s="2591"/>
      <c r="DV122" s="2591" t="str">
        <f t="shared" si="68"/>
        <v>Please select</v>
      </c>
      <c r="DW122" s="2591"/>
      <c r="DX122" s="2612">
        <f>'Inl. wetlands'!H392</f>
        <v>0</v>
      </c>
      <c r="DY122" s="4205"/>
      <c r="DZ122" s="4155">
        <f>'Inl. wetlands'!J392</f>
        <v>0</v>
      </c>
      <c r="EA122" s="4205"/>
      <c r="EB122" s="4155">
        <f>'Inl. wetlands'!L392</f>
        <v>0</v>
      </c>
      <c r="EC122" s="4205"/>
      <c r="ED122" s="2591"/>
      <c r="EE122" s="4156">
        <f>'Inl. wetlands'!N392</f>
        <v>0</v>
      </c>
      <c r="EF122" s="4205"/>
      <c r="EG122" s="2591"/>
      <c r="EH122" s="2591"/>
    </row>
    <row r="123" spans="2:138" x14ac:dyDescent="0.2">
      <c r="B123" s="1781"/>
      <c r="C123" s="2129" t="s">
        <v>57</v>
      </c>
      <c r="D123" s="1781"/>
      <c r="E123" s="1781"/>
      <c r="F123" s="1781"/>
      <c r="G123" s="2131" t="s">
        <v>57</v>
      </c>
      <c r="H123" s="1781"/>
      <c r="I123" s="2131" t="s">
        <v>57</v>
      </c>
      <c r="J123" s="1806"/>
      <c r="K123" s="2131" t="s">
        <v>57</v>
      </c>
      <c r="L123" s="1781"/>
      <c r="M123" s="2103">
        <v>0</v>
      </c>
      <c r="N123" s="1841">
        <f t="shared" si="61"/>
        <v>0</v>
      </c>
      <c r="O123" s="2104" t="s">
        <v>86</v>
      </c>
      <c r="P123" s="1841">
        <f t="shared" si="62"/>
        <v>0</v>
      </c>
      <c r="Q123" s="2104" t="s">
        <v>86</v>
      </c>
      <c r="R123" s="1781"/>
      <c r="S123" s="1838"/>
      <c r="T123" s="4194" t="s">
        <v>1053</v>
      </c>
      <c r="U123" s="1838"/>
      <c r="V123" s="1838"/>
      <c r="W123" s="1838"/>
      <c r="X123" s="1838"/>
      <c r="Y123" s="1826"/>
      <c r="Z123" s="1960"/>
      <c r="AA123" s="1826"/>
      <c r="AB123" s="1826"/>
      <c r="AC123" s="1826"/>
      <c r="AD123" s="1826"/>
      <c r="AE123" s="1841">
        <f>+'Inl. wetlands'!AI344</f>
        <v>0</v>
      </c>
      <c r="AF123" s="1841">
        <f>+'Inl. wetlands'!AJ344</f>
        <v>0</v>
      </c>
      <c r="AG123" s="1806">
        <f t="shared" si="63"/>
        <v>0</v>
      </c>
      <c r="AH123" s="1781"/>
      <c r="AI123" s="1781"/>
      <c r="AS123" s="1801" t="str">
        <f t="shared" si="64"/>
        <v>Please select</v>
      </c>
      <c r="AT123" s="2591"/>
      <c r="AU123" s="2591"/>
      <c r="AV123" s="4176" t="str">
        <f>VLOOKUP($G123, list!$O$7:$P$13, 2, FALSE)</f>
        <v>?</v>
      </c>
      <c r="AW123" s="4202"/>
      <c r="AX123" s="4176" t="str">
        <f>VLOOKUP($I123, list!$O$7:$P$13, 2, FALSE)</f>
        <v>?</v>
      </c>
      <c r="AY123" s="4202"/>
      <c r="AZ123" s="4176" t="str">
        <f>VLOOKUP($K123, list!$O$7:$P$13, 2, FALSE)</f>
        <v>?</v>
      </c>
      <c r="BA123" s="4202"/>
      <c r="BB123" s="2591"/>
      <c r="BC123" s="2000">
        <f>'Inl. wetlands'!C332</f>
        <v>0</v>
      </c>
      <c r="BD123" s="4207"/>
      <c r="BE123" s="2003">
        <f>'Inl. wetlands'!E332</f>
        <v>0</v>
      </c>
      <c r="BF123" s="4207"/>
      <c r="BG123" s="2000">
        <f>'Inl. wetlands'!G332</f>
        <v>0</v>
      </c>
      <c r="BH123" s="4207"/>
      <c r="BI123" s="2000">
        <f>'Inl. wetlands'!I332</f>
        <v>0</v>
      </c>
      <c r="BJ123" s="4207"/>
      <c r="BK123" s="2000"/>
      <c r="BL123" s="1801"/>
      <c r="BM123" s="2591"/>
      <c r="BN123" s="4196">
        <v>1</v>
      </c>
      <c r="BO123" s="4208">
        <v>1</v>
      </c>
      <c r="BP123" s="2591"/>
      <c r="BQ123" s="4196">
        <v>1</v>
      </c>
      <c r="BR123" s="4208">
        <v>1</v>
      </c>
      <c r="BS123" s="2591"/>
      <c r="BU123" s="4363">
        <v>1</v>
      </c>
      <c r="BV123" s="4364"/>
      <c r="BW123" s="1996"/>
      <c r="CD123" s="2591"/>
      <c r="CE123" s="2591" t="str">
        <f t="shared" si="65"/>
        <v>Please select</v>
      </c>
      <c r="CF123" s="4156">
        <f>'Inl. wetlands'!B378</f>
        <v>0</v>
      </c>
      <c r="CG123" s="4209"/>
      <c r="CH123" s="4156">
        <f>'Inl. wetlands'!D378</f>
        <v>0</v>
      </c>
      <c r="CI123" s="4209"/>
      <c r="CJ123" s="4156">
        <f>'Inl. wetlands'!F378</f>
        <v>0</v>
      </c>
      <c r="CK123" s="4209"/>
      <c r="CL123" s="2591"/>
      <c r="CM123" s="4156">
        <f>'Inl. wetlands'!H378</f>
        <v>0</v>
      </c>
      <c r="CN123" s="4209"/>
      <c r="CO123" s="4156">
        <f>'Inl. wetlands'!J378</f>
        <v>0</v>
      </c>
      <c r="CP123" s="4209"/>
      <c r="CQ123" s="2591"/>
      <c r="CT123" s="2560"/>
      <c r="CU123" s="2319" t="str">
        <f t="shared" si="66"/>
        <v>Please select</v>
      </c>
      <c r="CV123" s="2585"/>
      <c r="CW123" s="2585">
        <f t="shared" si="67"/>
        <v>0</v>
      </c>
      <c r="CX123" s="2560"/>
      <c r="CY123" s="2560"/>
      <c r="CZ123" s="4105" t="s">
        <v>57</v>
      </c>
      <c r="DA123" s="2560"/>
      <c r="DB123" s="2129">
        <v>1</v>
      </c>
      <c r="DC123" s="4210">
        <v>0.01</v>
      </c>
      <c r="DD123" s="4171"/>
      <c r="DE123" s="2129">
        <v>1</v>
      </c>
      <c r="DF123" s="4210">
        <v>0.01</v>
      </c>
      <c r="DG123" s="2560"/>
      <c r="DH123" s="2585">
        <f>'Inl. wetlands'!O362</f>
        <v>362</v>
      </c>
      <c r="DI123" s="2129"/>
      <c r="DJ123" s="2585">
        <f>'Inl. wetlands'!Q362</f>
        <v>207</v>
      </c>
      <c r="DK123" s="2129"/>
      <c r="DL123" s="2585">
        <f>'Inl. wetlands'!S362</f>
        <v>9</v>
      </c>
      <c r="DM123" s="2129"/>
      <c r="DN123" s="2585">
        <f>'Inl. wetlands'!U362</f>
        <v>0</v>
      </c>
      <c r="DO123" s="2129"/>
      <c r="DP123" s="2560"/>
      <c r="DU123" s="2591"/>
      <c r="DV123" s="2591" t="str">
        <f t="shared" si="68"/>
        <v>Please select</v>
      </c>
      <c r="DW123" s="2591"/>
      <c r="DX123" s="2612">
        <f>'Inl. wetlands'!H393</f>
        <v>0</v>
      </c>
      <c r="DY123" s="4205"/>
      <c r="DZ123" s="4155">
        <f>'Inl. wetlands'!J393</f>
        <v>0</v>
      </c>
      <c r="EA123" s="4205"/>
      <c r="EB123" s="4155">
        <f>'Inl. wetlands'!L393</f>
        <v>0</v>
      </c>
      <c r="EC123" s="4205"/>
      <c r="ED123" s="2591"/>
      <c r="EE123" s="4156">
        <f>'Inl. wetlands'!N393</f>
        <v>0</v>
      </c>
      <c r="EF123" s="4205"/>
      <c r="EG123" s="2591"/>
      <c r="EH123" s="2591"/>
    </row>
    <row r="124" spans="2:138" ht="14.75" customHeight="1" x14ac:dyDescent="0.2">
      <c r="B124" s="1781"/>
      <c r="C124" s="1781"/>
      <c r="D124" s="1781"/>
      <c r="E124" s="1781"/>
      <c r="F124" s="1781"/>
      <c r="G124" s="1781"/>
      <c r="H124" s="1781"/>
      <c r="I124" s="1781"/>
      <c r="J124" s="1781"/>
      <c r="K124" s="1781"/>
      <c r="L124" s="1836"/>
      <c r="M124" s="1781"/>
      <c r="N124" s="1781"/>
      <c r="O124" s="1781"/>
      <c r="P124" s="1781"/>
      <c r="Q124" s="1781"/>
      <c r="R124" s="1781"/>
      <c r="S124" s="4271"/>
      <c r="T124" s="1838"/>
      <c r="U124" s="1838"/>
      <c r="V124" s="1838"/>
      <c r="W124" s="1838"/>
      <c r="X124" s="1838"/>
      <c r="Y124" s="1826"/>
      <c r="Z124" s="4271"/>
      <c r="AA124" s="1781"/>
      <c r="AB124" s="4569" t="str">
        <f>T114</f>
        <v>Management practices</v>
      </c>
      <c r="AC124" s="1781"/>
      <c r="AD124" s="1781"/>
      <c r="AE124" s="1781"/>
      <c r="AF124" s="1781"/>
      <c r="AG124" s="1781"/>
      <c r="AH124" s="1781"/>
      <c r="AI124" s="1781"/>
      <c r="AS124" s="2591"/>
      <c r="AT124" s="1801"/>
      <c r="AU124" s="2591"/>
      <c r="AV124" s="2591"/>
      <c r="AW124" s="1801"/>
      <c r="AX124" s="1801"/>
      <c r="AY124" s="1795"/>
      <c r="AZ124" s="1801"/>
      <c r="BA124" s="1801"/>
      <c r="BB124" s="1795"/>
      <c r="BC124" s="1801"/>
      <c r="BD124" s="1801"/>
      <c r="BE124" s="2000"/>
      <c r="BF124" s="1801"/>
      <c r="BG124" s="2003"/>
      <c r="BH124" s="1801"/>
      <c r="BI124" s="2000"/>
      <c r="BJ124" s="1801"/>
      <c r="BK124" s="2000"/>
      <c r="BL124" s="1801"/>
      <c r="BM124" s="2000"/>
      <c r="BN124" s="1801"/>
      <c r="BO124" s="2591"/>
      <c r="BP124" s="2591"/>
      <c r="BQ124" s="2591"/>
      <c r="BR124" s="2591"/>
      <c r="BS124" s="2591"/>
      <c r="BU124" s="1996"/>
      <c r="BV124" s="1996"/>
      <c r="BW124" s="1996"/>
      <c r="CD124" s="2591"/>
      <c r="CE124" s="2591"/>
      <c r="CF124" s="2591"/>
      <c r="CG124" s="2591"/>
      <c r="CH124" s="2591"/>
      <c r="CI124" s="2591"/>
      <c r="CJ124" s="2591"/>
      <c r="CK124" s="2591"/>
      <c r="CL124" s="2591"/>
      <c r="CM124" s="2591"/>
      <c r="CN124" s="2591"/>
      <c r="CO124" s="2591"/>
      <c r="CP124" s="2591"/>
      <c r="CQ124" s="2591"/>
      <c r="CT124" s="2560"/>
      <c r="CU124" s="2319"/>
      <c r="CV124" s="2560"/>
      <c r="CW124" s="2560"/>
      <c r="CX124" s="2560"/>
      <c r="CY124" s="2560"/>
      <c r="CZ124" s="2560"/>
      <c r="DA124" s="2560"/>
      <c r="DB124" s="2560"/>
      <c r="DC124" s="4171"/>
      <c r="DD124" s="4171"/>
      <c r="DE124" s="2560"/>
      <c r="DF124" s="4171"/>
      <c r="DG124" s="2560"/>
      <c r="DH124" s="2585"/>
      <c r="DI124" s="2560"/>
      <c r="DJ124" s="2585"/>
      <c r="DK124" s="2560"/>
      <c r="DL124" s="2585"/>
      <c r="DM124" s="2560"/>
      <c r="DN124" s="2585"/>
      <c r="DO124" s="2560"/>
      <c r="DP124" s="2560"/>
      <c r="DU124" s="2591"/>
      <c r="DV124" s="2591"/>
      <c r="DW124" s="2591"/>
      <c r="DX124" s="2612"/>
      <c r="DY124" s="2591"/>
      <c r="DZ124" s="4155"/>
      <c r="EA124" s="2591"/>
      <c r="EB124" s="4155"/>
      <c r="EC124" s="2591"/>
      <c r="ED124" s="2591"/>
      <c r="EE124" s="4156"/>
      <c r="EF124" s="2591"/>
      <c r="EG124" s="2591"/>
      <c r="EH124" s="2591"/>
    </row>
    <row r="125" spans="2:138" ht="14.75" customHeight="1" x14ac:dyDescent="0.2">
      <c r="B125" s="1781"/>
      <c r="C125" s="1781"/>
      <c r="D125" s="1781"/>
      <c r="E125" s="1781"/>
      <c r="F125" s="1781"/>
      <c r="G125" s="1781"/>
      <c r="H125" s="1781"/>
      <c r="I125" s="1781"/>
      <c r="J125" s="1781"/>
      <c r="K125" s="1834" t="str">
        <f>K87</f>
        <v>Maximum area available for</v>
      </c>
      <c r="L125" s="1836"/>
      <c r="M125" s="1781"/>
      <c r="N125" s="1781"/>
      <c r="O125" s="1781"/>
      <c r="P125" s="1781"/>
      <c r="Q125" s="1781"/>
      <c r="R125" s="1781"/>
      <c r="S125" s="4271"/>
      <c r="T125" s="1838"/>
      <c r="U125" s="1838"/>
      <c r="V125" s="1838"/>
      <c r="W125" s="1838"/>
      <c r="X125" s="1838"/>
      <c r="Y125" s="1826"/>
      <c r="Z125" s="4271"/>
      <c r="AA125" s="1781"/>
      <c r="AB125" s="4569"/>
      <c r="AC125" s="1781"/>
      <c r="AD125" s="1781"/>
      <c r="AE125" s="1781"/>
      <c r="AF125" s="1781"/>
      <c r="AG125" s="1781"/>
      <c r="AH125" s="1781"/>
      <c r="AI125" s="1781"/>
      <c r="AS125" s="2591"/>
      <c r="AT125" s="1801"/>
      <c r="AU125" s="2591"/>
      <c r="AV125" s="2591"/>
      <c r="AW125" s="1801"/>
      <c r="AX125" s="1801"/>
      <c r="AY125" s="1795"/>
      <c r="AZ125" s="1801"/>
      <c r="BA125" s="1801"/>
      <c r="BB125" s="1795"/>
      <c r="BC125" s="1801"/>
      <c r="BD125" s="1801"/>
      <c r="BE125" s="2000"/>
      <c r="BF125" s="1801"/>
      <c r="BG125" s="2003"/>
      <c r="BH125" s="1801"/>
      <c r="BI125" s="2000"/>
      <c r="BJ125" s="1801"/>
      <c r="BK125" s="2000"/>
      <c r="BL125" s="1801"/>
      <c r="BM125" s="2000"/>
      <c r="BN125" s="1801"/>
      <c r="BO125" s="2591"/>
      <c r="BP125" s="2591"/>
      <c r="BQ125" s="2591"/>
      <c r="BR125" s="2591"/>
      <c r="BS125" s="2591"/>
      <c r="BU125" s="4548" t="s">
        <v>87</v>
      </c>
      <c r="BV125" s="4548"/>
      <c r="BW125" s="4548"/>
      <c r="CD125" s="2591"/>
      <c r="CE125" s="2591"/>
      <c r="CF125" s="2591"/>
      <c r="CG125" s="2591"/>
      <c r="CH125" s="2591"/>
      <c r="CI125" s="2591"/>
      <c r="CJ125" s="2591"/>
      <c r="CK125" s="2591"/>
      <c r="CL125" s="2591"/>
      <c r="CM125" s="2591"/>
      <c r="CN125" s="2591"/>
      <c r="CO125" s="2591"/>
      <c r="CP125" s="2591"/>
      <c r="CQ125" s="2591"/>
      <c r="CT125" s="2560"/>
      <c r="CU125" s="2319"/>
      <c r="CV125" s="2560"/>
      <c r="CW125" s="2560"/>
      <c r="CX125" s="2560"/>
      <c r="CY125" s="2560"/>
      <c r="CZ125" s="2560"/>
      <c r="DA125" s="2560"/>
      <c r="DB125" s="2560"/>
      <c r="DC125" s="4171"/>
      <c r="DD125" s="4171"/>
      <c r="DE125" s="2560"/>
      <c r="DF125" s="4171"/>
      <c r="DG125" s="2560"/>
      <c r="DH125" s="2585"/>
      <c r="DI125" s="2560"/>
      <c r="DJ125" s="2585"/>
      <c r="DK125" s="2560"/>
      <c r="DL125" s="2585"/>
      <c r="DM125" s="2560"/>
      <c r="DN125" s="2585"/>
      <c r="DO125" s="2560"/>
      <c r="DP125" s="2560"/>
      <c r="DU125" s="2591"/>
      <c r="DV125" s="2591"/>
      <c r="DW125" s="2591"/>
      <c r="DX125" s="2612"/>
      <c r="DY125" s="2591"/>
      <c r="DZ125" s="4155"/>
      <c r="EA125" s="2591"/>
      <c r="EB125" s="4155"/>
      <c r="EC125" s="2591"/>
      <c r="ED125" s="2591"/>
      <c r="EE125" s="4156"/>
      <c r="EF125" s="2591"/>
      <c r="EG125" s="2591"/>
      <c r="EH125" s="2591"/>
    </row>
    <row r="126" spans="2:138" x14ac:dyDescent="0.2">
      <c r="B126" s="1781"/>
      <c r="C126" s="1834" t="str">
        <f>C115</f>
        <v xml:space="preserve">Type of forest vegetation </v>
      </c>
      <c r="D126" s="1781"/>
      <c r="E126" s="1781"/>
      <c r="F126" s="1781"/>
      <c r="G126" s="1781"/>
      <c r="H126" s="1781"/>
      <c r="I126" s="1781"/>
      <c r="J126" s="1781"/>
      <c r="K126" s="1834" t="str">
        <f>K88</f>
        <v>water management</v>
      </c>
      <c r="L126" s="1781"/>
      <c r="M126" s="4143" t="str">
        <f>M88</f>
        <v>Area under drainage (ha)</v>
      </c>
      <c r="N126" s="4143"/>
      <c r="O126" s="4143"/>
      <c r="P126" s="4143"/>
      <c r="Q126" s="4142"/>
      <c r="R126" s="1781"/>
      <c r="S126" s="4143" t="str">
        <f>S88</f>
        <v>Area not drained or rewetted (ha)</v>
      </c>
      <c r="T126" s="4143"/>
      <c r="U126" s="4143"/>
      <c r="V126" s="1781"/>
      <c r="W126" s="4352" t="str">
        <f>W88</f>
        <v>% area occupied by ditches</v>
      </c>
      <c r="X126" s="4352"/>
      <c r="Y126" s="4352"/>
      <c r="Z126" s="1781"/>
      <c r="AA126" s="1826"/>
      <c r="AB126" s="4570"/>
      <c r="AC126" s="1960"/>
      <c r="AD126" s="1781"/>
      <c r="AE126" s="1781"/>
      <c r="AF126" s="1781"/>
      <c r="AG126" s="1781"/>
      <c r="AH126" s="1781"/>
      <c r="AI126" s="1781"/>
      <c r="AS126" s="2591"/>
      <c r="AT126" s="1801"/>
      <c r="AU126" s="2591"/>
      <c r="AV126" s="2591"/>
      <c r="AW126" s="1801"/>
      <c r="AX126" s="1801"/>
      <c r="AY126" s="1795"/>
      <c r="AZ126" s="1801"/>
      <c r="BA126" s="1801"/>
      <c r="BB126" s="1795"/>
      <c r="BC126" s="1801"/>
      <c r="BD126" s="1801"/>
      <c r="BE126" s="2000"/>
      <c r="BF126" s="1801"/>
      <c r="BG126" s="2003"/>
      <c r="BH126" s="1801"/>
      <c r="BI126" s="2000"/>
      <c r="BJ126" s="1801"/>
      <c r="BK126" s="2000"/>
      <c r="BL126" s="1801"/>
      <c r="BM126" s="2000"/>
      <c r="BN126" s="1801"/>
      <c r="BO126" s="2591"/>
      <c r="BP126" s="2591"/>
      <c r="BQ126" s="2591"/>
      <c r="BR126" s="2591"/>
      <c r="BS126" s="2591"/>
      <c r="BU126" s="4548"/>
      <c r="BV126" s="4548"/>
      <c r="BW126" s="4548"/>
      <c r="CD126" s="4165" t="str">
        <f>CD87</f>
        <v>Please indicate the dominant quality of peat, this can influence the emission factors above:</v>
      </c>
      <c r="CE126" s="2591"/>
      <c r="CF126" s="2591"/>
      <c r="CG126" s="2591"/>
      <c r="CH126" s="2591"/>
      <c r="CI126" s="2591"/>
      <c r="CJ126" s="2591"/>
      <c r="CK126" s="4205" t="s">
        <v>1055</v>
      </c>
      <c r="CL126" s="4205"/>
      <c r="CM126" s="4205"/>
      <c r="CN126" s="2591"/>
      <c r="CO126" s="2591"/>
      <c r="CP126" s="2591"/>
      <c r="CQ126" s="2591"/>
      <c r="CT126" s="2560"/>
      <c r="CU126" s="2591"/>
      <c r="CV126" s="2591"/>
      <c r="CW126" s="2591"/>
      <c r="CX126" s="2591"/>
      <c r="CY126" s="2591"/>
      <c r="CZ126" s="2591"/>
      <c r="DA126" s="2591"/>
      <c r="DB126" s="2560"/>
      <c r="DC126" s="2560"/>
      <c r="DD126" s="2560"/>
      <c r="DE126" s="2560"/>
      <c r="DF126" s="2560"/>
      <c r="DG126" s="2560"/>
      <c r="DH126" s="2560"/>
      <c r="DI126" s="2560"/>
      <c r="DJ126" s="2560"/>
      <c r="DK126" s="2560"/>
      <c r="DL126" s="2560"/>
      <c r="DM126" s="2560"/>
      <c r="DN126" s="2560"/>
      <c r="DO126" s="2560"/>
      <c r="DP126" s="2560"/>
      <c r="DU126" s="2591"/>
      <c r="DV126" s="2591"/>
      <c r="DW126" s="2591"/>
      <c r="DX126" s="2591"/>
      <c r="DY126" s="2591"/>
      <c r="DZ126" s="2591"/>
      <c r="EA126" s="2591"/>
      <c r="EB126" s="2591"/>
      <c r="EC126" s="2591"/>
      <c r="ED126" s="2591"/>
      <c r="EE126" s="2591"/>
      <c r="EF126" s="4161" t="str">
        <f>CK126</f>
        <v>Nutrient poor</v>
      </c>
      <c r="EG126" s="4145" t="s">
        <v>1054</v>
      </c>
      <c r="EH126" s="2591"/>
    </row>
    <row r="127" spans="2:138" x14ac:dyDescent="0.2">
      <c r="B127" s="1781"/>
      <c r="C127" s="1834" t="str">
        <f>C116</f>
        <v>that will be managed</v>
      </c>
      <c r="D127" s="1781"/>
      <c r="E127" s="1781"/>
      <c r="F127" s="1781"/>
      <c r="G127" s="1781"/>
      <c r="H127" s="1781"/>
      <c r="I127" s="1781"/>
      <c r="J127" s="1781"/>
      <c r="K127" s="1806"/>
      <c r="L127" s="1781"/>
      <c r="M127" s="1960"/>
      <c r="N127" s="1960"/>
      <c r="O127" s="1960"/>
      <c r="P127" s="1960"/>
      <c r="Q127" s="1960"/>
      <c r="R127" s="1781"/>
      <c r="S127" s="1838"/>
      <c r="T127" s="1838"/>
      <c r="U127" s="1838"/>
      <c r="V127" s="1960"/>
      <c r="W127" s="1960"/>
      <c r="X127" s="1806"/>
      <c r="Y127" s="1806"/>
      <c r="Z127" s="1781"/>
      <c r="AA127" s="1826"/>
      <c r="AB127" s="1838" t="str">
        <f>AA89</f>
        <v>Fire on</v>
      </c>
      <c r="AC127" s="1781"/>
      <c r="AD127" s="1781"/>
      <c r="AE127" s="1781"/>
      <c r="AF127" s="1781"/>
      <c r="AG127" s="1781"/>
      <c r="AH127" s="1781"/>
      <c r="AI127" s="1781"/>
      <c r="AS127" s="2591"/>
      <c r="AT127" s="1801"/>
      <c r="AU127" s="2591"/>
      <c r="AV127" s="2591"/>
      <c r="AW127" s="1801"/>
      <c r="AX127" s="1801"/>
      <c r="AY127" s="1795"/>
      <c r="AZ127" s="1801"/>
      <c r="BA127" s="1801"/>
      <c r="BB127" s="1795"/>
      <c r="BC127" s="1801"/>
      <c r="BD127" s="1801"/>
      <c r="BE127" s="2000"/>
      <c r="BF127" s="1801"/>
      <c r="BG127" s="2003"/>
      <c r="BH127" s="1801"/>
      <c r="BI127" s="2000"/>
      <c r="BJ127" s="1801"/>
      <c r="BK127" s="2000"/>
      <c r="BL127" s="1801"/>
      <c r="BM127" s="2000"/>
      <c r="BN127" s="1801"/>
      <c r="BO127" s="2591"/>
      <c r="BP127" s="2591"/>
      <c r="BQ127" s="2591"/>
      <c r="BR127" s="2591"/>
      <c r="BS127" s="2591"/>
      <c r="BU127" s="4548"/>
      <c r="BV127" s="4548"/>
      <c r="BW127" s="4548"/>
      <c r="CD127" s="4165"/>
      <c r="CE127" s="2591"/>
      <c r="CF127" s="2591"/>
      <c r="CG127" s="2591"/>
      <c r="CH127" s="2591"/>
      <c r="CI127" s="2591"/>
      <c r="CJ127" s="2591"/>
      <c r="CK127" s="2591"/>
      <c r="CL127" s="2591"/>
      <c r="CM127" s="2591"/>
      <c r="CN127" s="2591"/>
      <c r="CO127" s="2591"/>
      <c r="CP127" s="2591"/>
      <c r="CQ127" s="2591"/>
      <c r="CT127" s="2560"/>
      <c r="CU127" s="2591"/>
      <c r="CV127" s="2591"/>
      <c r="CW127" s="2591"/>
      <c r="CX127" s="2591"/>
      <c r="CY127" s="2591"/>
      <c r="CZ127" s="2591"/>
      <c r="DA127" s="2591"/>
      <c r="DB127" s="2560"/>
      <c r="DC127" s="2560"/>
      <c r="DD127" s="2560"/>
      <c r="DE127" s="2560"/>
      <c r="DF127" s="2560"/>
      <c r="DG127" s="2560"/>
      <c r="DH127" s="2560"/>
      <c r="DI127" s="2560"/>
      <c r="DJ127" s="2560"/>
      <c r="DK127" s="2560"/>
      <c r="DL127" s="2560"/>
      <c r="DM127" s="2560"/>
      <c r="DN127" s="2560"/>
      <c r="DO127" s="2560"/>
      <c r="DP127" s="2560"/>
      <c r="DU127" s="2591"/>
      <c r="DV127" s="2591"/>
      <c r="DW127" s="2591"/>
      <c r="DX127" s="2591"/>
      <c r="DY127" s="2591"/>
      <c r="DZ127" s="2591"/>
      <c r="EA127" s="2591"/>
      <c r="EB127" s="2591"/>
      <c r="EC127" s="2591"/>
      <c r="ED127" s="2591"/>
      <c r="EE127" s="2591"/>
      <c r="EF127" s="4161"/>
      <c r="EG127" s="4145"/>
      <c r="EH127" s="2591"/>
    </row>
    <row r="128" spans="2:138" x14ac:dyDescent="0.2">
      <c r="B128" s="1781"/>
      <c r="C128" s="1781"/>
      <c r="D128" s="1781"/>
      <c r="E128" s="1781"/>
      <c r="F128" s="1781"/>
      <c r="G128" s="1781"/>
      <c r="H128" s="1781"/>
      <c r="I128" s="1781"/>
      <c r="J128" s="1781"/>
      <c r="K128" s="1781"/>
      <c r="L128" s="1781"/>
      <c r="M128" s="1838" t="str">
        <f>M117</f>
        <v>Start</v>
      </c>
      <c r="N128" s="1838" t="str">
        <f>N117</f>
        <v>Without</v>
      </c>
      <c r="O128" s="1838"/>
      <c r="P128" s="1838" t="str">
        <f>P117</f>
        <v>With</v>
      </c>
      <c r="Q128" s="1838"/>
      <c r="R128" s="1781"/>
      <c r="S128" s="1838" t="str">
        <f>M128</f>
        <v>Start</v>
      </c>
      <c r="T128" s="1838" t="str">
        <f>N128</f>
        <v>Without</v>
      </c>
      <c r="U128" s="1838" t="str">
        <f>P128</f>
        <v>With</v>
      </c>
      <c r="V128" s="1838"/>
      <c r="W128" s="1838" t="str">
        <f>G116</f>
        <v>Start</v>
      </c>
      <c r="X128" s="1838" t="str">
        <f>X90</f>
        <v>Without</v>
      </c>
      <c r="Y128" s="1838" t="str">
        <f>Y90</f>
        <v>With</v>
      </c>
      <c r="Z128" s="1781"/>
      <c r="AA128" s="1826"/>
      <c r="AB128" s="1838" t="str">
        <f>AA90</f>
        <v>Soil</v>
      </c>
      <c r="AC128" s="1781"/>
      <c r="AD128" s="1781"/>
      <c r="AE128" s="1806" t="str">
        <f>AE117</f>
        <v>Without</v>
      </c>
      <c r="AF128" s="1806" t="str">
        <f>AF117</f>
        <v>With</v>
      </c>
      <c r="AG128" s="1780" t="str">
        <f>AG117</f>
        <v>Balance</v>
      </c>
      <c r="AH128" s="1781"/>
      <c r="AI128" s="1781"/>
      <c r="AS128" s="2591"/>
      <c r="AT128" s="1801"/>
      <c r="AU128" s="2591"/>
      <c r="AV128" s="2591"/>
      <c r="AW128" s="1801"/>
      <c r="AX128" s="1801"/>
      <c r="AY128" s="1795"/>
      <c r="AZ128" s="1801"/>
      <c r="BA128" s="1801"/>
      <c r="BB128" s="1795"/>
      <c r="BC128" s="1801"/>
      <c r="BD128" s="1801"/>
      <c r="BE128" s="2000"/>
      <c r="BF128" s="1801"/>
      <c r="BG128" s="2003"/>
      <c r="BH128" s="1801"/>
      <c r="BI128" s="2000"/>
      <c r="BJ128" s="1801"/>
      <c r="BK128" s="2000"/>
      <c r="BL128" s="1801"/>
      <c r="BM128" s="2000"/>
      <c r="BN128" s="1801"/>
      <c r="BO128" s="2591"/>
      <c r="BP128" s="2591"/>
      <c r="BQ128" s="2591"/>
      <c r="BR128" s="2591"/>
      <c r="BS128" s="2591"/>
      <c r="BU128" s="1996"/>
      <c r="BV128" s="1996"/>
      <c r="BW128" s="1996"/>
      <c r="CD128" s="4165"/>
      <c r="CE128" s="2591"/>
      <c r="CF128" s="2591"/>
      <c r="CG128" s="2591"/>
      <c r="CH128" s="2591"/>
      <c r="CI128" s="2591"/>
      <c r="CJ128" s="2591"/>
      <c r="CK128" s="2591"/>
      <c r="CL128" s="2591"/>
      <c r="CM128" s="2591"/>
      <c r="CN128" s="2591"/>
      <c r="CO128" s="2591"/>
      <c r="CP128" s="2591"/>
      <c r="CQ128" s="2591"/>
      <c r="CT128" s="2560"/>
      <c r="CU128" s="2591"/>
      <c r="CV128" s="2591"/>
      <c r="CW128" s="2591"/>
      <c r="CX128" s="2591"/>
      <c r="CY128" s="2591"/>
      <c r="CZ128" s="2591"/>
      <c r="DA128" s="2591"/>
      <c r="DB128" s="2560"/>
      <c r="DC128" s="2560"/>
      <c r="DD128" s="2560"/>
      <c r="DE128" s="2560"/>
      <c r="DF128" s="2560"/>
      <c r="DG128" s="2560"/>
      <c r="DH128" s="2560"/>
      <c r="DI128" s="2560"/>
      <c r="DJ128" s="2560"/>
      <c r="DK128" s="2560"/>
      <c r="DL128" s="2560"/>
      <c r="DM128" s="2560"/>
      <c r="DN128" s="2560"/>
      <c r="DO128" s="2560"/>
      <c r="DP128" s="2560"/>
      <c r="DU128" s="2591"/>
      <c r="DV128" s="2591"/>
      <c r="DW128" s="2591"/>
      <c r="DX128" s="2591"/>
      <c r="DY128" s="2591"/>
      <c r="DZ128" s="2591"/>
      <c r="EA128" s="2591"/>
      <c r="EB128" s="2591"/>
      <c r="EC128" s="2591"/>
      <c r="ED128" s="2591"/>
      <c r="EE128" s="2591"/>
      <c r="EF128" s="4161"/>
      <c r="EG128" s="4145"/>
      <c r="EH128" s="2591"/>
    </row>
    <row r="129" spans="2:138" x14ac:dyDescent="0.2">
      <c r="B129" s="1781"/>
      <c r="C129" s="1806" t="str">
        <f t="shared" ref="C129:C134" si="69">C118</f>
        <v>Please select</v>
      </c>
      <c r="D129" s="1781"/>
      <c r="E129" s="1781"/>
      <c r="F129" s="1781"/>
      <c r="G129" s="1781"/>
      <c r="H129" s="1781"/>
      <c r="I129" s="1781"/>
      <c r="J129" s="1781"/>
      <c r="K129" s="1841">
        <f t="shared" ref="K129:K134" si="70">M118</f>
        <v>0</v>
      </c>
      <c r="L129" s="1781"/>
      <c r="M129" s="4192">
        <v>0</v>
      </c>
      <c r="N129" s="4193">
        <v>0</v>
      </c>
      <c r="O129" s="4098" t="s">
        <v>86</v>
      </c>
      <c r="P129" s="4193">
        <v>0</v>
      </c>
      <c r="Q129" s="4098" t="s">
        <v>86</v>
      </c>
      <c r="R129" s="1781"/>
      <c r="S129" s="2107">
        <f t="shared" ref="S129:T134" si="71">$K129-M129</f>
        <v>0</v>
      </c>
      <c r="T129" s="2107">
        <f t="shared" si="71"/>
        <v>0</v>
      </c>
      <c r="U129" s="2107">
        <f t="shared" ref="U129:U134" si="72">$K129-P129</f>
        <v>0</v>
      </c>
      <c r="V129" s="1838"/>
      <c r="W129" s="4195">
        <v>0</v>
      </c>
      <c r="X129" s="4195">
        <v>0</v>
      </c>
      <c r="Y129" s="4195">
        <v>0</v>
      </c>
      <c r="Z129" s="1781"/>
      <c r="AA129" s="1826"/>
      <c r="AB129" s="2129" t="s">
        <v>1053</v>
      </c>
      <c r="AC129" s="1781"/>
      <c r="AD129" s="1781"/>
      <c r="AE129" s="1841">
        <f>'Inl. wetlands'!AI388+'Inl. wetlands'!AI373+'Inl. wetlands'!AI357</f>
        <v>0</v>
      </c>
      <c r="AF129" s="1841">
        <f>'Inl. wetlands'!AJ388+'Inl. wetlands'!AJ373+'Inl. wetlands'!AJ357</f>
        <v>0</v>
      </c>
      <c r="AG129" s="1806">
        <f t="shared" ref="AG129:AG134" si="73">AF129-AE129</f>
        <v>0</v>
      </c>
      <c r="AH129" s="1781"/>
      <c r="AI129" s="1781"/>
      <c r="AS129" s="2591"/>
      <c r="AT129" s="1801"/>
      <c r="AU129" s="2591"/>
      <c r="AV129" s="2591"/>
      <c r="AW129" s="1801"/>
      <c r="AX129" s="1801"/>
      <c r="AY129" s="1795"/>
      <c r="AZ129" s="1801"/>
      <c r="BA129" s="1801"/>
      <c r="BB129" s="1795"/>
      <c r="BC129" s="1801"/>
      <c r="BD129" s="1801"/>
      <c r="BE129" s="2000"/>
      <c r="BF129" s="1801"/>
      <c r="BG129" s="2003"/>
      <c r="BH129" s="1801"/>
      <c r="BI129" s="2000"/>
      <c r="BJ129" s="1801"/>
      <c r="BK129" s="2000"/>
      <c r="BL129" s="1801"/>
      <c r="BM129" s="2000"/>
      <c r="BN129" s="1801"/>
      <c r="BO129" s="2591"/>
      <c r="BP129" s="2591"/>
      <c r="BQ129" s="2591"/>
      <c r="BR129" s="2591"/>
      <c r="BS129" s="2591"/>
      <c r="BU129" s="1996"/>
      <c r="BV129" s="1996"/>
      <c r="BW129" s="1996"/>
      <c r="CD129" s="4165"/>
      <c r="CE129" s="2591"/>
      <c r="CF129" s="2591"/>
      <c r="CG129" s="2591"/>
      <c r="CH129" s="2591"/>
      <c r="CI129" s="2591"/>
      <c r="CJ129" s="2591"/>
      <c r="CK129" s="2591"/>
      <c r="CL129" s="2591"/>
      <c r="CM129" s="2591"/>
      <c r="CN129" s="2591"/>
      <c r="CO129" s="2591"/>
      <c r="CP129" s="2591"/>
      <c r="CQ129" s="2591"/>
      <c r="CT129" s="2560"/>
      <c r="CU129" s="2591"/>
      <c r="CV129" s="2591"/>
      <c r="CW129" s="2591"/>
      <c r="CX129" s="2591"/>
      <c r="CY129" s="2591"/>
      <c r="CZ129" s="2591"/>
      <c r="DA129" s="2591"/>
      <c r="DB129" s="2560"/>
      <c r="DC129" s="2560"/>
      <c r="DD129" s="2560"/>
      <c r="DE129" s="2560"/>
      <c r="DF129" s="2560"/>
      <c r="DG129" s="2560"/>
      <c r="DH129" s="2560"/>
      <c r="DI129" s="2560"/>
      <c r="DJ129" s="2560"/>
      <c r="DK129" s="2560"/>
      <c r="DL129" s="2560"/>
      <c r="DM129" s="2560"/>
      <c r="DN129" s="2560"/>
      <c r="DO129" s="2560"/>
      <c r="DP129" s="2560"/>
      <c r="DU129" s="2591"/>
      <c r="DV129" s="2591"/>
      <c r="DW129" s="2591"/>
      <c r="DX129" s="2591"/>
      <c r="DY129" s="2591"/>
      <c r="DZ129" s="2591"/>
      <c r="EA129" s="2591"/>
      <c r="EB129" s="2591"/>
      <c r="EC129" s="2591"/>
      <c r="ED129" s="2591"/>
      <c r="EE129" s="2591"/>
      <c r="EF129" s="4161"/>
      <c r="EG129" s="4145"/>
      <c r="EH129" s="2591"/>
    </row>
    <row r="130" spans="2:138" x14ac:dyDescent="0.2">
      <c r="B130" s="1781"/>
      <c r="C130" s="1806" t="str">
        <f t="shared" si="69"/>
        <v>Please select</v>
      </c>
      <c r="D130" s="1781"/>
      <c r="E130" s="1781"/>
      <c r="F130" s="1781"/>
      <c r="G130" s="1781"/>
      <c r="H130" s="1781"/>
      <c r="I130" s="1781"/>
      <c r="J130" s="1781"/>
      <c r="K130" s="1841">
        <f t="shared" si="70"/>
        <v>0</v>
      </c>
      <c r="L130" s="1781"/>
      <c r="M130" s="4192">
        <v>0</v>
      </c>
      <c r="N130" s="4193">
        <v>0</v>
      </c>
      <c r="O130" s="4098" t="s">
        <v>86</v>
      </c>
      <c r="P130" s="4193">
        <v>0</v>
      </c>
      <c r="Q130" s="4098" t="s">
        <v>86</v>
      </c>
      <c r="R130" s="1781"/>
      <c r="S130" s="2107">
        <f t="shared" si="71"/>
        <v>0</v>
      </c>
      <c r="T130" s="2107">
        <f t="shared" si="71"/>
        <v>0</v>
      </c>
      <c r="U130" s="2107">
        <f t="shared" si="72"/>
        <v>0</v>
      </c>
      <c r="V130" s="1838"/>
      <c r="W130" s="4195">
        <v>0</v>
      </c>
      <c r="X130" s="4195">
        <v>0</v>
      </c>
      <c r="Y130" s="4195">
        <v>0</v>
      </c>
      <c r="Z130" s="1781"/>
      <c r="AA130" s="1826"/>
      <c r="AB130" s="2129" t="s">
        <v>1053</v>
      </c>
      <c r="AC130" s="1781"/>
      <c r="AD130" s="1781"/>
      <c r="AE130" s="1841">
        <f>'Inl. wetlands'!AI389+'Inl. wetlands'!AI374+'Inl. wetlands'!AI358</f>
        <v>0</v>
      </c>
      <c r="AF130" s="1841">
        <f>'Inl. wetlands'!AJ389+'Inl. wetlands'!AJ374+'Inl. wetlands'!AJ358</f>
        <v>0</v>
      </c>
      <c r="AG130" s="1806">
        <f t="shared" si="73"/>
        <v>0</v>
      </c>
      <c r="AH130" s="1781"/>
      <c r="AI130" s="1781"/>
      <c r="AS130" s="2591"/>
      <c r="AT130" s="1801"/>
      <c r="AU130" s="2591"/>
      <c r="AV130" s="2591"/>
      <c r="AW130" s="1801"/>
      <c r="AX130" s="1801"/>
      <c r="AY130" s="1795"/>
      <c r="AZ130" s="1801"/>
      <c r="BA130" s="1801"/>
      <c r="BB130" s="1795"/>
      <c r="BC130" s="1801"/>
      <c r="BD130" s="1801"/>
      <c r="BE130" s="2000"/>
      <c r="BF130" s="1801"/>
      <c r="BG130" s="2003"/>
      <c r="BH130" s="1801"/>
      <c r="BI130" s="2000"/>
      <c r="BJ130" s="1801"/>
      <c r="BK130" s="2000"/>
      <c r="BL130" s="1801"/>
      <c r="BM130" s="2000"/>
      <c r="BN130" s="1801"/>
      <c r="BO130" s="2591"/>
      <c r="BP130" s="2591"/>
      <c r="BQ130" s="2591"/>
      <c r="BR130" s="2591"/>
      <c r="BS130" s="2591"/>
      <c r="BU130" s="1996"/>
      <c r="BV130" s="1996"/>
      <c r="BW130" s="1996"/>
      <c r="CD130" s="4165"/>
      <c r="CE130" s="2591"/>
      <c r="CF130" s="2591"/>
      <c r="CG130" s="2591"/>
      <c r="CH130" s="2591"/>
      <c r="CI130" s="2591"/>
      <c r="CJ130" s="2591"/>
      <c r="CK130" s="2591"/>
      <c r="CL130" s="2591"/>
      <c r="CM130" s="2591"/>
      <c r="CN130" s="2591"/>
      <c r="CO130" s="2591"/>
      <c r="CP130" s="2591"/>
      <c r="CQ130" s="2591"/>
      <c r="CT130" s="2560"/>
      <c r="CU130" s="2591"/>
      <c r="CV130" s="2591"/>
      <c r="CW130" s="2591"/>
      <c r="CX130" s="2591"/>
      <c r="CY130" s="2591"/>
      <c r="CZ130" s="2591"/>
      <c r="DA130" s="2591"/>
      <c r="DB130" s="2560"/>
      <c r="DC130" s="2560"/>
      <c r="DD130" s="2560"/>
      <c r="DE130" s="2560"/>
      <c r="DF130" s="2560"/>
      <c r="DG130" s="2560"/>
      <c r="DH130" s="2560"/>
      <c r="DI130" s="2560"/>
      <c r="DJ130" s="2560"/>
      <c r="DK130" s="2560"/>
      <c r="DL130" s="2560"/>
      <c r="DM130" s="2560"/>
      <c r="DN130" s="2560"/>
      <c r="DO130" s="2560"/>
      <c r="DP130" s="2560"/>
      <c r="DU130" s="2591"/>
      <c r="DV130" s="2591"/>
      <c r="DW130" s="2591"/>
      <c r="DX130" s="2591"/>
      <c r="DY130" s="2591"/>
      <c r="DZ130" s="2591"/>
      <c r="EA130" s="2591"/>
      <c r="EB130" s="2591"/>
      <c r="EC130" s="2591"/>
      <c r="ED130" s="2591"/>
      <c r="EE130" s="2591"/>
      <c r="EF130" s="4161"/>
      <c r="EG130" s="4145"/>
      <c r="EH130" s="2591"/>
    </row>
    <row r="131" spans="2:138" x14ac:dyDescent="0.2">
      <c r="B131" s="1781"/>
      <c r="C131" s="1806" t="str">
        <f t="shared" si="69"/>
        <v>Please select</v>
      </c>
      <c r="D131" s="1781"/>
      <c r="E131" s="1781"/>
      <c r="F131" s="1781"/>
      <c r="G131" s="1781"/>
      <c r="H131" s="1781"/>
      <c r="I131" s="1781"/>
      <c r="J131" s="1781"/>
      <c r="K131" s="1841">
        <f t="shared" si="70"/>
        <v>0</v>
      </c>
      <c r="L131" s="1781"/>
      <c r="M131" s="4192">
        <v>0</v>
      </c>
      <c r="N131" s="4193">
        <v>0</v>
      </c>
      <c r="O131" s="4098" t="s">
        <v>86</v>
      </c>
      <c r="P131" s="4193">
        <v>0</v>
      </c>
      <c r="Q131" s="4098" t="s">
        <v>86</v>
      </c>
      <c r="R131" s="1781"/>
      <c r="S131" s="2107">
        <f t="shared" si="71"/>
        <v>0</v>
      </c>
      <c r="T131" s="2107">
        <f t="shared" si="71"/>
        <v>0</v>
      </c>
      <c r="U131" s="2107">
        <f t="shared" si="72"/>
        <v>0</v>
      </c>
      <c r="V131" s="1838"/>
      <c r="W131" s="4195">
        <v>0</v>
      </c>
      <c r="X131" s="4195">
        <v>0</v>
      </c>
      <c r="Y131" s="4195">
        <v>0</v>
      </c>
      <c r="Z131" s="1781"/>
      <c r="AA131" s="1826"/>
      <c r="AB131" s="2129" t="s">
        <v>1053</v>
      </c>
      <c r="AC131" s="1781"/>
      <c r="AD131" s="1781"/>
      <c r="AE131" s="1841">
        <f>'Inl. wetlands'!AI390+'Inl. wetlands'!AI375+'Inl. wetlands'!AI359</f>
        <v>0</v>
      </c>
      <c r="AF131" s="1841">
        <f>'Inl. wetlands'!AJ390+'Inl. wetlands'!AJ375+'Inl. wetlands'!AJ359</f>
        <v>0</v>
      </c>
      <c r="AG131" s="1806">
        <f t="shared" si="73"/>
        <v>0</v>
      </c>
      <c r="AH131" s="1781"/>
      <c r="AI131" s="1781"/>
      <c r="AS131" s="2591"/>
      <c r="AT131" s="1801"/>
      <c r="AU131" s="2591"/>
      <c r="AV131" s="2591"/>
      <c r="AW131" s="1801"/>
      <c r="AX131" s="1801"/>
      <c r="AY131" s="1795"/>
      <c r="AZ131" s="1801"/>
      <c r="BA131" s="1801"/>
      <c r="BB131" s="1795"/>
      <c r="BC131" s="1801"/>
      <c r="BD131" s="1801"/>
      <c r="BE131" s="2000"/>
      <c r="BF131" s="1801"/>
      <c r="BG131" s="2003"/>
      <c r="BH131" s="1801"/>
      <c r="BI131" s="2000"/>
      <c r="BJ131" s="1801"/>
      <c r="BK131" s="2000"/>
      <c r="BL131" s="1801"/>
      <c r="BM131" s="2000"/>
      <c r="BN131" s="1801"/>
      <c r="BO131" s="2591"/>
      <c r="BP131" s="2591"/>
      <c r="BQ131" s="2591"/>
      <c r="BR131" s="2591"/>
      <c r="BS131" s="2591"/>
      <c r="BU131" s="1996"/>
      <c r="BV131" s="1996"/>
      <c r="BW131" s="1996"/>
      <c r="CD131" s="4165"/>
      <c r="CE131" s="2591"/>
      <c r="CF131" s="2591"/>
      <c r="CG131" s="2591"/>
      <c r="CH131" s="2591"/>
      <c r="CI131" s="2591"/>
      <c r="CJ131" s="2591"/>
      <c r="CK131" s="2591"/>
      <c r="CL131" s="2591"/>
      <c r="CM131" s="2591"/>
      <c r="CN131" s="2591"/>
      <c r="CO131" s="2591"/>
      <c r="CP131" s="2591"/>
      <c r="CQ131" s="2591"/>
      <c r="CT131" s="2560"/>
      <c r="CU131" s="2591"/>
      <c r="CV131" s="2591"/>
      <c r="CW131" s="2591"/>
      <c r="CX131" s="2591"/>
      <c r="CY131" s="2591"/>
      <c r="CZ131" s="2591"/>
      <c r="DA131" s="2591"/>
      <c r="DB131" s="2560"/>
      <c r="DC131" s="2560"/>
      <c r="DD131" s="2560"/>
      <c r="DE131" s="2560"/>
      <c r="DF131" s="2560"/>
      <c r="DG131" s="2560"/>
      <c r="DH131" s="2560"/>
      <c r="DI131" s="2560"/>
      <c r="DJ131" s="2560"/>
      <c r="DK131" s="2560"/>
      <c r="DL131" s="2560"/>
      <c r="DM131" s="2560"/>
      <c r="DN131" s="2560"/>
      <c r="DO131" s="2560"/>
      <c r="DP131" s="2560"/>
      <c r="DU131" s="2591"/>
      <c r="DV131" s="2591"/>
      <c r="DW131" s="2591"/>
      <c r="DX131" s="2591"/>
      <c r="DY131" s="2591"/>
      <c r="DZ131" s="2591"/>
      <c r="EA131" s="2591"/>
      <c r="EB131" s="2591"/>
      <c r="EC131" s="2591"/>
      <c r="ED131" s="2591"/>
      <c r="EE131" s="2591"/>
      <c r="EF131" s="4161"/>
      <c r="EG131" s="4145"/>
      <c r="EH131" s="2591"/>
    </row>
    <row r="132" spans="2:138" x14ac:dyDescent="0.2">
      <c r="B132" s="1781"/>
      <c r="C132" s="1806" t="str">
        <f t="shared" si="69"/>
        <v>Please select</v>
      </c>
      <c r="D132" s="1781"/>
      <c r="E132" s="1781"/>
      <c r="F132" s="1781"/>
      <c r="G132" s="1781"/>
      <c r="H132" s="1781"/>
      <c r="I132" s="1781"/>
      <c r="J132" s="1781"/>
      <c r="K132" s="1841">
        <f t="shared" si="70"/>
        <v>0</v>
      </c>
      <c r="L132" s="1781"/>
      <c r="M132" s="4192">
        <v>0</v>
      </c>
      <c r="N132" s="4193">
        <v>0</v>
      </c>
      <c r="O132" s="4098" t="s">
        <v>86</v>
      </c>
      <c r="P132" s="4193">
        <v>0</v>
      </c>
      <c r="Q132" s="4098" t="s">
        <v>86</v>
      </c>
      <c r="R132" s="1781"/>
      <c r="S132" s="2107">
        <f t="shared" si="71"/>
        <v>0</v>
      </c>
      <c r="T132" s="2107">
        <f t="shared" si="71"/>
        <v>0</v>
      </c>
      <c r="U132" s="2107">
        <f t="shared" si="72"/>
        <v>0</v>
      </c>
      <c r="V132" s="1838"/>
      <c r="W132" s="4195">
        <v>0</v>
      </c>
      <c r="X132" s="4195">
        <v>0</v>
      </c>
      <c r="Y132" s="4195">
        <v>0</v>
      </c>
      <c r="Z132" s="1781"/>
      <c r="AA132" s="1826"/>
      <c r="AB132" s="2129" t="s">
        <v>1053</v>
      </c>
      <c r="AC132" s="1781"/>
      <c r="AD132" s="1781"/>
      <c r="AE132" s="1841">
        <f>'Inl. wetlands'!AI391+'Inl. wetlands'!AI376+'Inl. wetlands'!AI360</f>
        <v>0</v>
      </c>
      <c r="AF132" s="1841">
        <f>'Inl. wetlands'!AJ391+'Inl. wetlands'!AJ376+'Inl. wetlands'!AJ360</f>
        <v>0</v>
      </c>
      <c r="AG132" s="1806">
        <f t="shared" si="73"/>
        <v>0</v>
      </c>
      <c r="AH132" s="1781"/>
      <c r="AI132" s="1781"/>
      <c r="AS132" s="2591"/>
      <c r="AT132" s="1801"/>
      <c r="AU132" s="2591"/>
      <c r="AV132" s="2591"/>
      <c r="AW132" s="1801"/>
      <c r="AX132" s="1801"/>
      <c r="AY132" s="1795"/>
      <c r="AZ132" s="1801"/>
      <c r="BA132" s="1801"/>
      <c r="BB132" s="1795"/>
      <c r="BC132" s="1801"/>
      <c r="BD132" s="1801"/>
      <c r="BE132" s="2000"/>
      <c r="BF132" s="1801"/>
      <c r="BG132" s="2003"/>
      <c r="BH132" s="1801"/>
      <c r="BI132" s="2000"/>
      <c r="BJ132" s="1801"/>
      <c r="BK132" s="2000"/>
      <c r="BL132" s="1801"/>
      <c r="BM132" s="2000"/>
      <c r="BN132" s="1801"/>
      <c r="BO132" s="2591"/>
      <c r="BP132" s="2591"/>
      <c r="BQ132" s="2591"/>
      <c r="BR132" s="2591"/>
      <c r="BS132" s="2591"/>
      <c r="BU132" s="1996"/>
      <c r="BV132" s="1996"/>
      <c r="BW132" s="1996"/>
      <c r="CD132" s="4165"/>
      <c r="CE132" s="2591"/>
      <c r="CF132" s="2591"/>
      <c r="CG132" s="2591"/>
      <c r="CH132" s="2591"/>
      <c r="CI132" s="2591"/>
      <c r="CJ132" s="2591"/>
      <c r="CK132" s="2591"/>
      <c r="CL132" s="2591"/>
      <c r="CM132" s="2591"/>
      <c r="CN132" s="2591"/>
      <c r="CO132" s="2591"/>
      <c r="CP132" s="2591"/>
      <c r="CQ132" s="2591"/>
      <c r="CT132" s="2560"/>
      <c r="CU132" s="2591"/>
      <c r="CV132" s="2591"/>
      <c r="CW132" s="2591"/>
      <c r="CX132" s="2591"/>
      <c r="CY132" s="2591"/>
      <c r="CZ132" s="2591"/>
      <c r="DA132" s="2591"/>
      <c r="DB132" s="2560"/>
      <c r="DC132" s="2560"/>
      <c r="DD132" s="2560"/>
      <c r="DE132" s="2560"/>
      <c r="DF132" s="2560"/>
      <c r="DG132" s="2560"/>
      <c r="DH132" s="2560"/>
      <c r="DI132" s="2560"/>
      <c r="DJ132" s="2560"/>
      <c r="DK132" s="2560"/>
      <c r="DL132" s="2560"/>
      <c r="DM132" s="2560"/>
      <c r="DN132" s="2560"/>
      <c r="DO132" s="2560"/>
      <c r="DP132" s="2560"/>
      <c r="DU132" s="2591"/>
      <c r="DV132" s="2591"/>
      <c r="DW132" s="2591"/>
      <c r="DX132" s="2591"/>
      <c r="DY132" s="2591"/>
      <c r="DZ132" s="2591"/>
      <c r="EA132" s="2591"/>
      <c r="EB132" s="2591"/>
      <c r="EC132" s="2591"/>
      <c r="ED132" s="2591"/>
      <c r="EE132" s="2591"/>
      <c r="EF132" s="4161"/>
      <c r="EG132" s="4145"/>
      <c r="EH132" s="2591"/>
    </row>
    <row r="133" spans="2:138" x14ac:dyDescent="0.2">
      <c r="B133" s="1781"/>
      <c r="C133" s="1806" t="str">
        <f t="shared" si="69"/>
        <v>Please select</v>
      </c>
      <c r="D133" s="1781"/>
      <c r="E133" s="1781"/>
      <c r="F133" s="1781"/>
      <c r="G133" s="1781"/>
      <c r="H133" s="1781"/>
      <c r="I133" s="1781"/>
      <c r="J133" s="1781"/>
      <c r="K133" s="1841">
        <f t="shared" si="70"/>
        <v>0</v>
      </c>
      <c r="L133" s="1781"/>
      <c r="M133" s="4192">
        <v>0</v>
      </c>
      <c r="N133" s="4193">
        <v>0</v>
      </c>
      <c r="O133" s="4098" t="s">
        <v>86</v>
      </c>
      <c r="P133" s="4193">
        <v>0</v>
      </c>
      <c r="Q133" s="4098" t="s">
        <v>86</v>
      </c>
      <c r="R133" s="1781"/>
      <c r="S133" s="2107">
        <f t="shared" si="71"/>
        <v>0</v>
      </c>
      <c r="T133" s="2107">
        <f t="shared" si="71"/>
        <v>0</v>
      </c>
      <c r="U133" s="2107">
        <f t="shared" si="72"/>
        <v>0</v>
      </c>
      <c r="V133" s="1838"/>
      <c r="W133" s="4195">
        <v>0</v>
      </c>
      <c r="X133" s="4195">
        <v>0</v>
      </c>
      <c r="Y133" s="4195">
        <v>0</v>
      </c>
      <c r="Z133" s="1781"/>
      <c r="AA133" s="1826"/>
      <c r="AB133" s="2129" t="s">
        <v>1053</v>
      </c>
      <c r="AC133" s="1781"/>
      <c r="AD133" s="1781"/>
      <c r="AE133" s="1841">
        <f>'Inl. wetlands'!AI392+'Inl. wetlands'!AI377+'Inl. wetlands'!AI361</f>
        <v>0</v>
      </c>
      <c r="AF133" s="1841">
        <f>'Inl. wetlands'!AJ392+'Inl. wetlands'!AJ377+'Inl. wetlands'!AJ361</f>
        <v>0</v>
      </c>
      <c r="AG133" s="1806">
        <f t="shared" si="73"/>
        <v>0</v>
      </c>
      <c r="AH133" s="1781"/>
      <c r="AI133" s="1781"/>
      <c r="AS133" s="2591"/>
      <c r="AT133" s="1801"/>
      <c r="AU133" s="2591"/>
      <c r="AV133" s="2591"/>
      <c r="AW133" s="1801"/>
      <c r="AX133" s="1801"/>
      <c r="AY133" s="1795"/>
      <c r="AZ133" s="1801"/>
      <c r="BA133" s="1801"/>
      <c r="BB133" s="1795"/>
      <c r="BC133" s="1801"/>
      <c r="BD133" s="1801"/>
      <c r="BE133" s="2000"/>
      <c r="BF133" s="1801"/>
      <c r="BG133" s="2003"/>
      <c r="BH133" s="1801"/>
      <c r="BI133" s="2000"/>
      <c r="BJ133" s="1801"/>
      <c r="BK133" s="2000"/>
      <c r="BL133" s="1801"/>
      <c r="BM133" s="2000"/>
      <c r="BN133" s="1801"/>
      <c r="BO133" s="2591"/>
      <c r="BP133" s="2591"/>
      <c r="BQ133" s="2591"/>
      <c r="BR133" s="2591"/>
      <c r="BS133" s="2591"/>
      <c r="BU133" s="1996"/>
      <c r="BV133" s="1996"/>
      <c r="BW133" s="1996"/>
      <c r="CD133" s="4165"/>
      <c r="CE133" s="2591"/>
      <c r="CF133" s="2591"/>
      <c r="CG133" s="2591"/>
      <c r="CH133" s="2591"/>
      <c r="CI133" s="2591"/>
      <c r="CJ133" s="2591"/>
      <c r="CK133" s="2591"/>
      <c r="CL133" s="2591"/>
      <c r="CM133" s="2591"/>
      <c r="CN133" s="2591"/>
      <c r="CO133" s="2591"/>
      <c r="CP133" s="2591"/>
      <c r="CQ133" s="2591"/>
      <c r="CT133" s="2560"/>
      <c r="CU133" s="2591"/>
      <c r="CV133" s="2591"/>
      <c r="CW133" s="2591"/>
      <c r="CX133" s="2591"/>
      <c r="CY133" s="2591"/>
      <c r="CZ133" s="2591"/>
      <c r="DA133" s="2591"/>
      <c r="DB133" s="2560"/>
      <c r="DC133" s="2560"/>
      <c r="DD133" s="2560"/>
      <c r="DE133" s="2560"/>
      <c r="DF133" s="2560"/>
      <c r="DG133" s="2560"/>
      <c r="DH133" s="2560"/>
      <c r="DI133" s="2560"/>
      <c r="DJ133" s="2560"/>
      <c r="DK133" s="2560"/>
      <c r="DL133" s="2560"/>
      <c r="DM133" s="2560"/>
      <c r="DN133" s="2560"/>
      <c r="DO133" s="2560"/>
      <c r="DP133" s="2560"/>
      <c r="DU133" s="2591"/>
      <c r="DV133" s="2591"/>
      <c r="DW133" s="2591"/>
      <c r="DX133" s="2591"/>
      <c r="DY133" s="2591"/>
      <c r="DZ133" s="2591"/>
      <c r="EA133" s="2591"/>
      <c r="EB133" s="2591"/>
      <c r="EC133" s="2591"/>
      <c r="ED133" s="2591"/>
      <c r="EE133" s="2591"/>
      <c r="EF133" s="4161"/>
      <c r="EG133" s="4145"/>
      <c r="EH133" s="2591"/>
    </row>
    <row r="134" spans="2:138" x14ac:dyDescent="0.2">
      <c r="B134" s="1781"/>
      <c r="C134" s="1806" t="str">
        <f t="shared" si="69"/>
        <v>Please select</v>
      </c>
      <c r="D134" s="1781"/>
      <c r="E134" s="1781"/>
      <c r="F134" s="1781"/>
      <c r="G134" s="1781"/>
      <c r="H134" s="1781"/>
      <c r="I134" s="1781"/>
      <c r="J134" s="1781"/>
      <c r="K134" s="1841">
        <f t="shared" si="70"/>
        <v>0</v>
      </c>
      <c r="L134" s="1781"/>
      <c r="M134" s="4192">
        <v>0</v>
      </c>
      <c r="N134" s="4193">
        <v>0</v>
      </c>
      <c r="O134" s="4098" t="s">
        <v>86</v>
      </c>
      <c r="P134" s="4193">
        <v>0</v>
      </c>
      <c r="Q134" s="4098" t="s">
        <v>86</v>
      </c>
      <c r="R134" s="1781"/>
      <c r="S134" s="2107">
        <f t="shared" si="71"/>
        <v>0</v>
      </c>
      <c r="T134" s="2107">
        <f t="shared" si="71"/>
        <v>0</v>
      </c>
      <c r="U134" s="2107">
        <f t="shared" si="72"/>
        <v>0</v>
      </c>
      <c r="V134" s="1838"/>
      <c r="W134" s="4195">
        <v>0</v>
      </c>
      <c r="X134" s="4195">
        <v>0</v>
      </c>
      <c r="Y134" s="4195">
        <v>0</v>
      </c>
      <c r="Z134" s="1781"/>
      <c r="AA134" s="1826"/>
      <c r="AB134" s="2129" t="s">
        <v>1053</v>
      </c>
      <c r="AC134" s="1781"/>
      <c r="AD134" s="1781"/>
      <c r="AE134" s="1841">
        <f>'Inl. wetlands'!AI393+'Inl. wetlands'!AI378+'Inl. wetlands'!AI362</f>
        <v>0</v>
      </c>
      <c r="AF134" s="1841">
        <f>'Inl. wetlands'!AJ393+'Inl. wetlands'!AJ378+'Inl. wetlands'!AJ362</f>
        <v>0</v>
      </c>
      <c r="AG134" s="1806">
        <f t="shared" si="73"/>
        <v>0</v>
      </c>
      <c r="AH134" s="1781"/>
      <c r="AI134" s="1781"/>
      <c r="AS134" s="2591"/>
      <c r="AT134" s="1801"/>
      <c r="AU134" s="2591"/>
      <c r="AV134" s="2591"/>
      <c r="AW134" s="1801"/>
      <c r="AX134" s="1801"/>
      <c r="AY134" s="1795"/>
      <c r="AZ134" s="1801"/>
      <c r="BA134" s="1801"/>
      <c r="BB134" s="1795"/>
      <c r="BC134" s="1801"/>
      <c r="BD134" s="1801"/>
      <c r="BE134" s="2000"/>
      <c r="BF134" s="1801"/>
      <c r="BG134" s="2003"/>
      <c r="BH134" s="1801"/>
      <c r="BI134" s="2000"/>
      <c r="BJ134" s="1801"/>
      <c r="BK134" s="2000"/>
      <c r="BL134" s="1801"/>
      <c r="BM134" s="2000"/>
      <c r="BN134" s="1801"/>
      <c r="BO134" s="2591"/>
      <c r="BP134" s="2591"/>
      <c r="BQ134" s="2591"/>
      <c r="BR134" s="2591"/>
      <c r="BS134" s="2591"/>
      <c r="BU134" s="1996"/>
      <c r="BV134" s="1996"/>
      <c r="BW134" s="1996"/>
      <c r="CD134" s="4165"/>
      <c r="CE134" s="2591"/>
      <c r="CF134" s="2591"/>
      <c r="CG134" s="2591"/>
      <c r="CH134" s="2591"/>
      <c r="CI134" s="2591"/>
      <c r="CJ134" s="2591"/>
      <c r="CK134" s="2591"/>
      <c r="CL134" s="2591"/>
      <c r="CM134" s="2591"/>
      <c r="CN134" s="2591"/>
      <c r="CO134" s="2591"/>
      <c r="CP134" s="2591"/>
      <c r="CQ134" s="2591"/>
      <c r="CT134" s="2560"/>
      <c r="CU134" s="2591"/>
      <c r="CV134" s="2591"/>
      <c r="CW134" s="2591"/>
      <c r="CX134" s="2591"/>
      <c r="CY134" s="2591"/>
      <c r="CZ134" s="2591"/>
      <c r="DA134" s="2591"/>
      <c r="DB134" s="2560"/>
      <c r="DC134" s="2560"/>
      <c r="DD134" s="2560"/>
      <c r="DE134" s="2560"/>
      <c r="DF134" s="2560"/>
      <c r="DG134" s="2560"/>
      <c r="DH134" s="2560"/>
      <c r="DI134" s="2560"/>
      <c r="DJ134" s="2560"/>
      <c r="DK134" s="2560"/>
      <c r="DL134" s="2560"/>
      <c r="DM134" s="2560"/>
      <c r="DN134" s="2560"/>
      <c r="DO134" s="2560"/>
      <c r="DP134" s="2560"/>
      <c r="DU134" s="2591"/>
      <c r="DV134" s="2591"/>
      <c r="DW134" s="2591"/>
      <c r="DX134" s="2591"/>
      <c r="DY134" s="2591"/>
      <c r="DZ134" s="2591"/>
      <c r="EA134" s="2591"/>
      <c r="EB134" s="2591"/>
      <c r="EC134" s="2591"/>
      <c r="ED134" s="2591"/>
      <c r="EE134" s="2591"/>
      <c r="EF134" s="4161"/>
      <c r="EG134" s="4145"/>
      <c r="EH134" s="2591"/>
    </row>
    <row r="135" spans="2:138" x14ac:dyDescent="0.2">
      <c r="B135" s="1781"/>
      <c r="C135" s="1781"/>
      <c r="D135" s="1781"/>
      <c r="E135" s="1781"/>
      <c r="F135" s="1781"/>
      <c r="G135" s="1781"/>
      <c r="H135" s="1781"/>
      <c r="I135" s="1781"/>
      <c r="J135" s="1781"/>
      <c r="K135" s="1781"/>
      <c r="L135" s="1781"/>
      <c r="M135" s="1781"/>
      <c r="N135" s="1781"/>
      <c r="O135" s="1781"/>
      <c r="P135" s="1781"/>
      <c r="Q135" s="1781"/>
      <c r="R135" s="1781"/>
      <c r="S135" s="1781"/>
      <c r="T135" s="1781"/>
      <c r="U135" s="1781"/>
      <c r="V135" s="1781"/>
      <c r="W135" s="1781"/>
      <c r="X135" s="1781"/>
      <c r="Y135" s="1781"/>
      <c r="Z135" s="1781"/>
      <c r="AA135" s="4271" t="str">
        <f>IF(OR(AND(AB129&lt;&gt;"Y/N", AB129&lt;&gt;"No"), AND(AB130&lt;&gt;"Y/N",AB130&lt;&gt;"No" ), AND(AB131&lt;&gt;"Y/N",AB131&lt;&gt;"No" ), AND(AB132&lt;&gt;"Y/N", AB132&lt;&gt;"No"), AND(AB133&lt;&gt;"Y/N", AB133&lt;&gt;"No"), AND(AB134&lt;&gt;"Y/N", AB134&lt;&gt;"No")), list!$B$279, "")</f>
        <v/>
      </c>
      <c r="AB135" s="1781"/>
      <c r="AC135" s="1781"/>
      <c r="AD135" s="1781"/>
      <c r="AE135" s="1781"/>
      <c r="AF135" s="1781"/>
      <c r="AG135" s="1781"/>
      <c r="AH135" s="1781"/>
      <c r="AI135" s="1781"/>
      <c r="AS135" s="2591"/>
      <c r="AT135" s="1801"/>
      <c r="AU135" s="2591"/>
      <c r="AV135" s="2591"/>
      <c r="AW135" s="1801"/>
      <c r="AX135" s="1801"/>
      <c r="AY135" s="1795"/>
      <c r="AZ135" s="1801"/>
      <c r="BA135" s="1801"/>
      <c r="BB135" s="1795"/>
      <c r="BC135" s="1801"/>
      <c r="BD135" s="1801"/>
      <c r="BE135" s="2000"/>
      <c r="BF135" s="1801"/>
      <c r="BG135" s="2003"/>
      <c r="BH135" s="1801"/>
      <c r="BI135" s="2000"/>
      <c r="BJ135" s="1801"/>
      <c r="BK135" s="2000"/>
      <c r="BL135" s="1801"/>
      <c r="BM135" s="2000"/>
      <c r="BN135" s="1801"/>
      <c r="BO135" s="2591"/>
      <c r="BP135" s="2591"/>
      <c r="BQ135" s="2591"/>
      <c r="BR135" s="2591"/>
      <c r="BS135" s="2591"/>
      <c r="BU135" s="1996"/>
      <c r="BV135" s="1996"/>
      <c r="BW135" s="1996"/>
      <c r="CD135" s="4165"/>
      <c r="CE135" s="2591"/>
      <c r="CF135" s="2591"/>
      <c r="CG135" s="2591"/>
      <c r="CH135" s="2591"/>
      <c r="CI135" s="2591"/>
      <c r="CJ135" s="2591"/>
      <c r="CK135" s="2591"/>
      <c r="CL135" s="2591"/>
      <c r="CM135" s="2591"/>
      <c r="CN135" s="2591"/>
      <c r="CO135" s="2591"/>
      <c r="CP135" s="2591"/>
      <c r="CQ135" s="2591"/>
      <c r="CT135" s="2560"/>
      <c r="CU135" s="2591"/>
      <c r="CV135" s="2591"/>
      <c r="CW135" s="2591"/>
      <c r="CX135" s="2591"/>
      <c r="CY135" s="2591"/>
      <c r="CZ135" s="2591"/>
      <c r="DA135" s="2591"/>
      <c r="DB135" s="2560"/>
      <c r="DC135" s="2560"/>
      <c r="DD135" s="2560"/>
      <c r="DE135" s="2560"/>
      <c r="DF135" s="2560"/>
      <c r="DG135" s="2560"/>
      <c r="DH135" s="2560"/>
      <c r="DI135" s="2560"/>
      <c r="DJ135" s="2560"/>
      <c r="DK135" s="2560"/>
      <c r="DL135" s="2560"/>
      <c r="DM135" s="2560"/>
      <c r="DN135" s="2560"/>
      <c r="DO135" s="2560"/>
      <c r="DP135" s="2560"/>
      <c r="DU135" s="2591"/>
      <c r="DV135" s="2591"/>
      <c r="DW135" s="2591"/>
      <c r="DX135" s="2591"/>
      <c r="DY135" s="2591"/>
      <c r="DZ135" s="2591"/>
      <c r="EA135" s="2591"/>
      <c r="EB135" s="2591"/>
      <c r="EC135" s="2591"/>
      <c r="ED135" s="2591"/>
      <c r="EE135" s="2591"/>
      <c r="EF135" s="4161"/>
      <c r="EG135" s="4145"/>
      <c r="EH135" s="2591"/>
    </row>
    <row r="136" spans="2:138" x14ac:dyDescent="0.2">
      <c r="B136" s="1960"/>
      <c r="C136" s="1826"/>
      <c r="D136" s="1781"/>
      <c r="E136" s="1781"/>
      <c r="F136" s="1781"/>
      <c r="G136" s="1781"/>
      <c r="H136" s="1781"/>
      <c r="I136" s="1781"/>
      <c r="J136" s="1781"/>
      <c r="K136" s="1781"/>
      <c r="L136" s="1781"/>
      <c r="M136" s="1781"/>
      <c r="N136" s="1781"/>
      <c r="O136" s="1781"/>
      <c r="P136" s="1781"/>
      <c r="Q136" s="1781"/>
      <c r="R136" s="1781"/>
      <c r="S136" s="1781"/>
      <c r="T136" s="1781"/>
      <c r="U136" s="1781"/>
      <c r="V136" s="1781"/>
      <c r="W136" s="1781"/>
      <c r="X136" s="1781"/>
      <c r="Y136" s="1781"/>
      <c r="Z136" s="1781"/>
      <c r="AA136" s="1781"/>
      <c r="AB136" s="1789"/>
      <c r="AC136" s="1781"/>
      <c r="AD136" s="1781"/>
      <c r="AE136" s="1781"/>
      <c r="AF136" s="1781"/>
      <c r="AG136" s="1781"/>
      <c r="AH136" s="1781"/>
      <c r="AI136" s="1781"/>
      <c r="AS136" s="1801" t="str">
        <f>'5.Management'!AQ23</f>
        <v>Use this part only if you want to refine the analysis at Tier 2</v>
      </c>
      <c r="AT136" s="1801"/>
      <c r="AU136" s="1801"/>
      <c r="AV136" s="1801"/>
      <c r="AW136" s="1801"/>
      <c r="AX136" s="1801"/>
      <c r="AY136" s="1801"/>
      <c r="AZ136" s="1801"/>
      <c r="BA136" s="1801"/>
      <c r="BB136" s="1801"/>
      <c r="BC136" s="1801"/>
      <c r="BD136" s="1801"/>
      <c r="BE136" s="1801"/>
      <c r="BF136" s="1801"/>
      <c r="BG136" s="1801"/>
      <c r="BH136" s="1801"/>
      <c r="BI136" s="1801"/>
      <c r="BJ136" s="1801"/>
      <c r="BK136" s="1801"/>
      <c r="BL136" s="1801"/>
      <c r="BM136" s="1801"/>
      <c r="BN136" s="2591"/>
      <c r="BO136" s="2591"/>
      <c r="BP136" s="2591"/>
      <c r="BQ136" s="2591"/>
      <c r="BR136" s="2591"/>
      <c r="BS136" s="2591"/>
      <c r="BU136" s="1996"/>
      <c r="BV136" s="1996"/>
      <c r="BW136" s="1996"/>
      <c r="CD136" s="2591" t="str">
        <f>CD101</f>
        <v>Use this part only if you want to refine the analysis at Tier 2</v>
      </c>
      <c r="CE136" s="2591"/>
      <c r="CF136" s="2591"/>
      <c r="CG136" s="2591"/>
      <c r="CH136" s="2591"/>
      <c r="CI136" s="2591"/>
      <c r="CJ136" s="2591"/>
      <c r="CK136" s="2591"/>
      <c r="CL136" s="2591"/>
      <c r="CM136" s="2591"/>
      <c r="CN136" s="2591"/>
      <c r="CO136" s="2591"/>
      <c r="CP136" s="2591"/>
      <c r="CQ136" s="2591"/>
      <c r="CT136" s="2591" t="str">
        <f>CD136</f>
        <v>Use this part only if you want to refine the analysis at Tier 2</v>
      </c>
      <c r="CU136" s="2591"/>
      <c r="CV136" s="2591"/>
      <c r="CW136" s="2591"/>
      <c r="CX136" s="2591"/>
      <c r="CY136" s="2591"/>
      <c r="CZ136" s="2591"/>
      <c r="DA136" s="2591"/>
      <c r="DB136" s="2591"/>
      <c r="DC136" s="2591"/>
      <c r="DD136" s="2591"/>
      <c r="DE136" s="2591"/>
      <c r="DF136" s="2591"/>
      <c r="DG136" s="2591"/>
      <c r="DH136" s="2591"/>
      <c r="DI136" s="2591"/>
      <c r="DJ136" s="2591"/>
      <c r="DK136" s="2591"/>
      <c r="DL136" s="2591"/>
      <c r="DM136" s="2591"/>
      <c r="DN136" s="2591"/>
      <c r="DO136" s="2591"/>
      <c r="DP136" s="2591"/>
      <c r="DU136" s="2591" t="str">
        <f>CT136</f>
        <v>Use this part only if you want to refine the analysis at Tier 2</v>
      </c>
      <c r="DV136" s="2591"/>
      <c r="DW136" s="2591"/>
      <c r="DX136" s="2591"/>
      <c r="DY136" s="2591"/>
      <c r="DZ136" s="2591"/>
      <c r="EA136" s="2591"/>
      <c r="EB136" s="2591"/>
      <c r="EC136" s="2591"/>
      <c r="ED136" s="2591"/>
      <c r="EE136" s="2591"/>
      <c r="EF136" s="2591"/>
      <c r="EG136" s="2591"/>
      <c r="EH136" s="2591"/>
    </row>
    <row r="137" spans="2:138" x14ac:dyDescent="0.2">
      <c r="B137" s="1960"/>
      <c r="C137" s="1826"/>
      <c r="D137" s="1781"/>
      <c r="E137" s="1781"/>
      <c r="F137" s="1781"/>
      <c r="G137" s="1781"/>
      <c r="H137" s="1781"/>
      <c r="I137" s="1781"/>
      <c r="J137" s="1781"/>
      <c r="K137" s="1781"/>
      <c r="L137" s="1781"/>
      <c r="M137" s="1781"/>
      <c r="N137" s="1781"/>
      <c r="O137" s="1781"/>
      <c r="P137" s="1781"/>
      <c r="Q137" s="1781"/>
      <c r="R137" s="1781"/>
      <c r="S137" s="1781"/>
      <c r="T137" s="1781"/>
      <c r="U137" s="1781"/>
      <c r="V137" s="1781"/>
      <c r="W137" s="1781"/>
      <c r="X137" s="1781"/>
      <c r="Y137" s="1781"/>
      <c r="Z137" s="1781"/>
      <c r="AA137" s="1781"/>
      <c r="AB137" s="1781"/>
      <c r="AC137" s="2018"/>
      <c r="AD137" s="4353" t="str">
        <f>Languages!B403</f>
        <v>Total forest management on organic soils (tCO2-e)</v>
      </c>
      <c r="AE137" s="2035">
        <f>SUM(AE118:AE123)+SUM(AE129:AE134)</f>
        <v>0</v>
      </c>
      <c r="AF137" s="2035">
        <f>SUM(AF118:AF123)+SUM(AF129:AF134)</f>
        <v>0</v>
      </c>
      <c r="AG137" s="2036">
        <f>SUM(AG118:AG123)+SUM(AG129:AG134)</f>
        <v>0</v>
      </c>
      <c r="AH137" s="1781"/>
      <c r="AI137" s="1781"/>
      <c r="AS137" s="1801"/>
      <c r="AT137" s="1801"/>
      <c r="AU137" s="1801"/>
      <c r="AV137" s="1801"/>
      <c r="AW137" s="1801"/>
      <c r="AX137" s="1801"/>
      <c r="AY137" s="1801"/>
      <c r="AZ137" s="1801"/>
      <c r="BA137" s="1801"/>
      <c r="BB137" s="1801"/>
      <c r="BC137" s="1801"/>
      <c r="BD137" s="1801"/>
      <c r="BE137" s="1801"/>
      <c r="BF137" s="1801"/>
      <c r="BG137" s="1801"/>
      <c r="BH137" s="1801"/>
      <c r="BI137" s="1801"/>
      <c r="BJ137" s="1801"/>
      <c r="BK137" s="1801"/>
      <c r="BL137" s="1801"/>
      <c r="BM137" s="1801"/>
      <c r="BN137" s="2591"/>
      <c r="BO137" s="2591"/>
      <c r="BP137" s="2591"/>
      <c r="BQ137" s="2591"/>
      <c r="BR137" s="2591"/>
      <c r="BS137" s="2591"/>
      <c r="BU137" s="1996"/>
      <c r="BV137" s="1996"/>
      <c r="BW137" s="1996"/>
      <c r="CD137" s="2591"/>
      <c r="CE137" s="2591"/>
      <c r="CF137" s="2591"/>
      <c r="CG137" s="2591"/>
      <c r="CH137" s="2591"/>
      <c r="CI137" s="2591"/>
      <c r="CJ137" s="2591"/>
      <c r="CK137" s="2591"/>
      <c r="CL137" s="2591"/>
      <c r="CM137" s="2591"/>
      <c r="CN137" s="2591"/>
      <c r="CO137" s="2591"/>
      <c r="CP137" s="2591"/>
      <c r="CQ137" s="2591"/>
      <c r="CT137" s="2591"/>
      <c r="CU137" s="2591"/>
      <c r="CV137" s="2591"/>
      <c r="CW137" s="2591"/>
      <c r="CX137" s="2591"/>
      <c r="CY137" s="2591"/>
      <c r="CZ137" s="2591"/>
      <c r="DA137" s="2591"/>
      <c r="DB137" s="2591"/>
      <c r="DC137" s="2591"/>
      <c r="DD137" s="2591"/>
      <c r="DE137" s="2591"/>
      <c r="DF137" s="2591"/>
      <c r="DG137" s="2591"/>
      <c r="DH137" s="2591"/>
      <c r="DI137" s="2591"/>
      <c r="DJ137" s="2591"/>
      <c r="DK137" s="2591"/>
      <c r="DL137" s="2591"/>
      <c r="DM137" s="2591"/>
      <c r="DN137" s="2591"/>
      <c r="DO137" s="2591"/>
      <c r="DP137" s="2591"/>
      <c r="DU137" s="2591"/>
      <c r="DV137" s="2591"/>
      <c r="DW137" s="2591"/>
      <c r="DX137" s="2591"/>
      <c r="DY137" s="2591"/>
      <c r="DZ137" s="2591"/>
      <c r="EA137" s="2591"/>
      <c r="EB137" s="2591"/>
      <c r="EC137" s="2591"/>
      <c r="ED137" s="2591"/>
      <c r="EE137" s="2591"/>
      <c r="EF137" s="2591"/>
      <c r="EG137" s="2591"/>
      <c r="EH137" s="2591"/>
    </row>
    <row r="138" spans="2:138" x14ac:dyDescent="0.2">
      <c r="B138" s="1820"/>
      <c r="C138" s="1781" t="str">
        <f>C102</f>
        <v>*The selection of "D" corresponds to a default (linear) dynamics of change. Other selection options include "I" for immediate changes and "E" for exponential - please refer to the guidelines for further explanation of these assumptions.</v>
      </c>
      <c r="D138" s="1781"/>
      <c r="E138" s="1781"/>
      <c r="F138" s="1781"/>
      <c r="G138" s="1781"/>
      <c r="H138" s="1781"/>
      <c r="I138" s="1781"/>
      <c r="J138" s="1781"/>
      <c r="K138" s="1781"/>
      <c r="L138" s="1781"/>
      <c r="M138" s="1781"/>
      <c r="N138" s="1781"/>
      <c r="O138" s="1781"/>
      <c r="P138" s="1781"/>
      <c r="Q138" s="1781"/>
      <c r="R138" s="1781"/>
      <c r="S138" s="1781"/>
      <c r="T138" s="1781"/>
      <c r="U138" s="1781"/>
      <c r="V138" s="1781"/>
      <c r="W138" s="1781"/>
      <c r="X138" s="1781"/>
      <c r="Y138" s="1781"/>
      <c r="Z138" s="1781"/>
      <c r="AA138" s="1781"/>
      <c r="AB138" s="1781"/>
      <c r="AC138" s="1781"/>
      <c r="AD138" s="1781"/>
      <c r="AE138" s="1781"/>
      <c r="AF138" s="1781"/>
      <c r="AG138" s="1781"/>
      <c r="AH138" s="1781"/>
      <c r="AI138" s="1781"/>
      <c r="AS138" s="1801" t="str">
        <f>'5.Management'!AQ24</f>
        <v>IPCC default values are provided for your information only; EX-ACT will use Tier 2 values automatically wherever specified.</v>
      </c>
      <c r="AT138" s="1782"/>
      <c r="AU138" s="1782"/>
      <c r="AV138" s="1782"/>
      <c r="AW138" s="1782"/>
      <c r="AX138" s="1782"/>
      <c r="AY138" s="1782"/>
      <c r="AZ138" s="1782"/>
      <c r="BA138" s="1782"/>
      <c r="BB138" s="1782"/>
      <c r="BC138" s="1782"/>
      <c r="BD138" s="1782"/>
      <c r="BE138" s="1782"/>
      <c r="BF138" s="1782"/>
      <c r="BG138" s="1782"/>
      <c r="BH138" s="1782"/>
      <c r="BI138" s="1782"/>
      <c r="BJ138" s="1782"/>
      <c r="BK138" s="1782"/>
      <c r="BL138" s="1782"/>
      <c r="BM138" s="1782"/>
      <c r="BN138" s="2591"/>
      <c r="BO138" s="2591"/>
      <c r="BP138" s="2591"/>
      <c r="BQ138" s="2591"/>
      <c r="BR138" s="2591"/>
      <c r="BS138" s="2591"/>
      <c r="BU138" s="1996"/>
      <c r="BV138" s="1996"/>
      <c r="BW138" s="1996"/>
      <c r="CD138" s="2591" t="str">
        <f>CD102</f>
        <v>IPCC default values are provided for your information only; EX-ACT will use Tier 2 values automatically wherever specified.</v>
      </c>
      <c r="CE138" s="2591"/>
      <c r="CF138" s="2591"/>
      <c r="CG138" s="2591"/>
      <c r="CH138" s="2591"/>
      <c r="CI138" s="2591"/>
      <c r="CJ138" s="2591"/>
      <c r="CK138" s="2591"/>
      <c r="CL138" s="2591"/>
      <c r="CM138" s="2591"/>
      <c r="CN138" s="2591"/>
      <c r="CO138" s="2591"/>
      <c r="CP138" s="2591"/>
      <c r="CQ138" s="2591"/>
      <c r="CT138" s="2591" t="str">
        <f>CD138</f>
        <v>IPCC default values are provided for your information only; EX-ACT will use Tier 2 values automatically wherever specified.</v>
      </c>
      <c r="CU138" s="2591"/>
      <c r="CV138" s="2591"/>
      <c r="CW138" s="2591"/>
      <c r="CX138" s="2591"/>
      <c r="CY138" s="2591"/>
      <c r="CZ138" s="2591"/>
      <c r="DA138" s="2591"/>
      <c r="DB138" s="2591"/>
      <c r="DC138" s="2591"/>
      <c r="DD138" s="2591"/>
      <c r="DE138" s="2591"/>
      <c r="DF138" s="2591"/>
      <c r="DG138" s="2591"/>
      <c r="DH138" s="2591"/>
      <c r="DI138" s="2591"/>
      <c r="DJ138" s="2591"/>
      <c r="DK138" s="2591"/>
      <c r="DL138" s="2591"/>
      <c r="DM138" s="2591"/>
      <c r="DN138" s="2591"/>
      <c r="DO138" s="2591"/>
      <c r="DP138" s="2591"/>
      <c r="DU138" s="2591" t="str">
        <f>CT138</f>
        <v>IPCC default values are provided for your information only; EX-ACT will use Tier 2 values automatically wherever specified.</v>
      </c>
      <c r="DV138" s="2591"/>
      <c r="DW138" s="2591"/>
      <c r="DX138" s="2591"/>
      <c r="DY138" s="2591"/>
      <c r="DZ138" s="2591"/>
      <c r="EA138" s="2591"/>
      <c r="EB138" s="2591"/>
      <c r="EC138" s="2591"/>
      <c r="ED138" s="2591"/>
      <c r="EE138" s="2591"/>
      <c r="EF138" s="2591"/>
      <c r="EG138" s="2591"/>
      <c r="EH138" s="2591"/>
    </row>
    <row r="139" spans="2:138" ht="10.25" customHeight="1" x14ac:dyDescent="0.2">
      <c r="B139" s="3489"/>
      <c r="C139" s="1771"/>
      <c r="D139" s="1771"/>
      <c r="E139" s="1771"/>
      <c r="F139" s="1771"/>
      <c r="G139" s="1771"/>
      <c r="H139" s="1771"/>
      <c r="I139" s="1771"/>
      <c r="J139" s="1771"/>
      <c r="K139" s="1771"/>
      <c r="L139" s="1771"/>
      <c r="M139" s="1771"/>
      <c r="N139" s="1771"/>
      <c r="O139" s="1771"/>
      <c r="P139" s="1771"/>
      <c r="Q139" s="1771"/>
      <c r="R139" s="1771"/>
      <c r="S139" s="1771"/>
      <c r="T139" s="1771"/>
      <c r="U139" s="1771"/>
      <c r="V139" s="1771"/>
      <c r="W139" s="1771"/>
      <c r="X139" s="1771"/>
      <c r="Y139" s="1771"/>
      <c r="Z139" s="1771"/>
      <c r="AA139" s="1771"/>
      <c r="AB139" s="1771"/>
      <c r="AC139" s="1771"/>
      <c r="AD139" s="1771"/>
      <c r="AE139" s="1771"/>
      <c r="AF139" s="1771"/>
      <c r="AG139" s="1771"/>
      <c r="AH139" s="1771"/>
      <c r="AI139" s="1771"/>
      <c r="AS139" s="1917"/>
      <c r="AT139" s="1771"/>
      <c r="AU139" s="1771"/>
      <c r="AV139" s="1771"/>
      <c r="AW139" s="1771"/>
      <c r="AX139" s="1771"/>
      <c r="AY139" s="1771"/>
      <c r="AZ139" s="1771"/>
      <c r="BA139" s="1771"/>
      <c r="BB139" s="1771"/>
      <c r="BC139" s="1771"/>
      <c r="BD139" s="1771"/>
      <c r="BE139" s="1771"/>
      <c r="BF139" s="1771"/>
      <c r="BG139" s="1771"/>
      <c r="BH139" s="1771"/>
      <c r="BI139" s="1771"/>
      <c r="BJ139" s="1771"/>
      <c r="BK139" s="1771"/>
      <c r="BL139" s="1771"/>
      <c r="BM139" s="1771"/>
    </row>
    <row r="140" spans="2:138" x14ac:dyDescent="0.2">
      <c r="B140" s="3489"/>
      <c r="C140" s="1771"/>
      <c r="D140" s="1771"/>
      <c r="E140" s="1771"/>
      <c r="F140" s="1771"/>
      <c r="G140" s="1771"/>
      <c r="H140" s="1771"/>
      <c r="I140" s="1771"/>
      <c r="J140" s="1771"/>
      <c r="K140" s="1771"/>
      <c r="L140" s="1771"/>
      <c r="M140" s="1771"/>
      <c r="N140" s="1771"/>
      <c r="O140" s="1771"/>
      <c r="P140" s="1771"/>
      <c r="Q140" s="1771"/>
      <c r="R140" s="1771"/>
      <c r="S140" s="1771"/>
      <c r="T140" s="1771"/>
      <c r="U140" s="1771"/>
      <c r="V140" s="1771"/>
      <c r="W140" s="1771"/>
      <c r="X140" s="1771"/>
      <c r="Y140" s="1771"/>
      <c r="Z140" s="1771"/>
      <c r="AA140" s="1771"/>
      <c r="AB140" s="1771"/>
      <c r="AC140" s="1771"/>
      <c r="AD140" s="1771"/>
      <c r="AE140" s="1771"/>
      <c r="AF140" s="1771"/>
      <c r="AG140" s="1771"/>
      <c r="AH140" s="1771"/>
      <c r="AI140" s="1771"/>
      <c r="AS140" s="1917"/>
      <c r="AT140" s="1771"/>
      <c r="AU140" s="1771"/>
      <c r="AV140" s="1771"/>
      <c r="AW140" s="1771"/>
      <c r="AX140" s="1771"/>
      <c r="AY140" s="1771"/>
      <c r="AZ140" s="1771"/>
      <c r="BA140" s="1771"/>
      <c r="BB140" s="1771"/>
      <c r="BC140" s="1771"/>
      <c r="BD140" s="1771"/>
      <c r="BE140" s="1771"/>
      <c r="BF140" s="1771"/>
      <c r="BG140" s="1771"/>
      <c r="BH140" s="1771"/>
      <c r="BI140" s="1771"/>
      <c r="BJ140" s="1771"/>
      <c r="BK140" s="1771"/>
      <c r="BL140" s="1771"/>
      <c r="BM140" s="1771"/>
    </row>
    <row r="141" spans="2:138" ht="4.25" customHeight="1" x14ac:dyDescent="0.2">
      <c r="B141" s="3489"/>
      <c r="C141" s="1771"/>
      <c r="D141" s="1771"/>
      <c r="E141" s="1771"/>
      <c r="F141" s="1771"/>
      <c r="G141" s="1771"/>
      <c r="H141" s="1771"/>
      <c r="I141" s="1771"/>
      <c r="J141" s="1771"/>
      <c r="K141" s="1771"/>
      <c r="L141" s="1771"/>
      <c r="M141" s="1771"/>
      <c r="N141" s="1771"/>
      <c r="O141" s="1771"/>
      <c r="P141" s="1771"/>
      <c r="Q141" s="1771"/>
      <c r="R141" s="1771"/>
      <c r="S141" s="1771"/>
      <c r="T141" s="1771"/>
      <c r="U141" s="1771"/>
      <c r="V141" s="1771"/>
      <c r="W141" s="1771"/>
      <c r="X141" s="1771"/>
      <c r="Y141" s="1771"/>
      <c r="Z141" s="1771"/>
      <c r="AA141" s="1771"/>
      <c r="AB141" s="1771"/>
      <c r="AC141" s="1771"/>
      <c r="AD141" s="1771"/>
      <c r="AE141" s="1771"/>
      <c r="AF141" s="1771"/>
      <c r="AG141" s="1771"/>
      <c r="AH141" s="1771"/>
      <c r="AI141" s="1771"/>
      <c r="AS141" s="1917"/>
      <c r="AT141" s="1771"/>
      <c r="AU141" s="1771"/>
      <c r="AV141" s="1771"/>
      <c r="AW141" s="1771"/>
      <c r="AX141" s="1771"/>
      <c r="AY141" s="1771"/>
      <c r="AZ141" s="1771"/>
      <c r="BA141" s="1771"/>
      <c r="BB141" s="1771"/>
      <c r="BC141" s="1771"/>
      <c r="BD141" s="1771"/>
      <c r="BE141" s="1771"/>
      <c r="BF141" s="1771"/>
      <c r="BG141" s="1771"/>
      <c r="BH141" s="1771"/>
      <c r="BI141" s="1771"/>
      <c r="BJ141" s="1771"/>
      <c r="BK141" s="1771"/>
      <c r="BL141" s="1771"/>
      <c r="BM141" s="1771"/>
    </row>
    <row r="142" spans="2:138" x14ac:dyDescent="0.2">
      <c r="AS142" s="4177"/>
      <c r="AT142" s="1771"/>
      <c r="AU142" s="1771"/>
      <c r="AV142" s="1771"/>
      <c r="AW142" s="1771"/>
      <c r="AX142" s="1771"/>
      <c r="AY142" s="1771"/>
      <c r="AZ142" s="1771"/>
      <c r="BA142" s="1771"/>
      <c r="BB142" s="1771"/>
      <c r="BC142" s="1771"/>
      <c r="BD142" s="1771"/>
      <c r="BE142" s="1771"/>
      <c r="BF142" s="1771"/>
      <c r="BG142" s="1771"/>
      <c r="BH142" s="1771"/>
      <c r="BI142" s="1771"/>
      <c r="BJ142" s="1771"/>
      <c r="BK142" s="1771"/>
      <c r="BL142" s="1771"/>
      <c r="BM142" s="1771"/>
    </row>
    <row r="143" spans="2:138" x14ac:dyDescent="0.2">
      <c r="AS143" s="4177"/>
      <c r="AT143" s="1771"/>
      <c r="AU143" s="1771"/>
      <c r="AV143" s="1771"/>
      <c r="AW143" s="1771"/>
      <c r="AX143" s="1771"/>
      <c r="AY143" s="1771"/>
      <c r="AZ143" s="1771"/>
      <c r="BA143" s="1771"/>
      <c r="BB143" s="1771"/>
      <c r="BC143" s="1771"/>
      <c r="BD143" s="1771"/>
      <c r="BE143" s="1771"/>
      <c r="BF143" s="1771"/>
      <c r="BG143" s="1771"/>
      <c r="BH143" s="1771"/>
      <c r="BI143" s="1771"/>
      <c r="BJ143" s="1771"/>
      <c r="BK143" s="1771"/>
      <c r="BL143" s="1771"/>
      <c r="BM143" s="1771"/>
    </row>
    <row r="144" spans="2:138" x14ac:dyDescent="0.2">
      <c r="AS144" s="1771"/>
      <c r="AT144" s="1771"/>
      <c r="AU144" s="1771"/>
      <c r="AV144" s="1771"/>
      <c r="AW144" s="1771"/>
      <c r="AX144" s="1771"/>
      <c r="AY144" s="1771"/>
      <c r="AZ144" s="1771"/>
      <c r="BA144" s="1771"/>
      <c r="BB144" s="1771"/>
      <c r="BC144" s="1771"/>
      <c r="BD144" s="1771"/>
      <c r="BE144" s="1771"/>
      <c r="BF144" s="1771"/>
      <c r="BG144" s="1771"/>
      <c r="BH144" s="1771"/>
      <c r="BI144" s="1771"/>
      <c r="BJ144" s="1771"/>
      <c r="BK144" s="1771"/>
      <c r="BL144" s="1771"/>
      <c r="BM144" s="1771"/>
    </row>
    <row r="145" spans="2:138" ht="45" customHeight="1" x14ac:dyDescent="0.2">
      <c r="B145" s="1976"/>
      <c r="C145" s="2542" t="str">
        <f>Languages!B356</f>
        <v>6.2.2 Other land-use management</v>
      </c>
      <c r="D145" s="1769"/>
      <c r="E145" s="1769"/>
      <c r="F145" s="1769"/>
      <c r="G145" s="1769"/>
      <c r="H145" s="1769"/>
      <c r="I145" s="1769"/>
      <c r="J145" s="1769"/>
      <c r="K145" s="1769"/>
      <c r="L145" s="1769"/>
      <c r="M145" s="1769"/>
      <c r="N145" s="1769"/>
      <c r="O145" s="1769"/>
      <c r="P145" s="1769"/>
      <c r="Q145" s="1976"/>
      <c r="R145" s="1976"/>
      <c r="S145" s="1976"/>
      <c r="T145" s="1976"/>
      <c r="U145" s="1976"/>
      <c r="V145" s="1976"/>
      <c r="W145" s="1976"/>
      <c r="X145" s="1976"/>
      <c r="Y145" s="1976"/>
      <c r="Z145" s="1976"/>
      <c r="AA145" s="1976"/>
      <c r="AB145" s="1978" t="str">
        <f>AA112</f>
        <v>If country-specific data are available, please go to Tier 2:</v>
      </c>
      <c r="AC145" s="1976"/>
      <c r="AD145" s="1976"/>
      <c r="AE145" s="1976"/>
      <c r="AF145" s="1976"/>
      <c r="AG145" s="1769"/>
      <c r="AH145" s="1976"/>
      <c r="AI145" s="1769"/>
      <c r="AS145" s="2074"/>
      <c r="BH145" s="4178"/>
      <c r="BI145" s="4178"/>
      <c r="BJ145" s="4178"/>
      <c r="BK145" s="4178"/>
      <c r="BL145" s="4178"/>
      <c r="BM145" s="4178"/>
      <c r="BZ145" s="4366" t="s">
        <v>71</v>
      </c>
      <c r="CA145" s="4366"/>
      <c r="CB145" s="4366"/>
      <c r="CD145" s="1975" t="str">
        <f>Languages!B367</f>
        <v>6.2.2 Emission factors for drainage associated with other land-use management</v>
      </c>
      <c r="CE145" s="1976"/>
      <c r="CF145" s="1976"/>
      <c r="CG145" s="1976"/>
      <c r="CH145" s="1976"/>
      <c r="CI145" s="1976"/>
      <c r="CJ145" s="1976"/>
      <c r="CK145" s="1976"/>
      <c r="CL145" s="1976"/>
      <c r="CM145" s="1976"/>
      <c r="CN145" s="1976"/>
      <c r="CO145" s="1976"/>
      <c r="CP145" s="1976"/>
      <c r="CQ145" s="1976"/>
      <c r="CT145" s="1975" t="str">
        <f>Languages!B374</f>
        <v>6.2.2 Emissions factors for fire on organic soils associated with other land-use management</v>
      </c>
      <c r="CU145" s="1976"/>
      <c r="CV145" s="1976"/>
      <c r="CW145" s="1976"/>
      <c r="CX145" s="1976"/>
      <c r="CY145" s="1976"/>
      <c r="CZ145" s="1976"/>
      <c r="DA145" s="1976"/>
      <c r="DB145" s="1976"/>
      <c r="DC145" s="1976"/>
      <c r="DD145" s="1976"/>
      <c r="DE145" s="1976"/>
      <c r="DF145" s="1976"/>
      <c r="DG145" s="1976"/>
      <c r="DH145" s="1976"/>
      <c r="DI145" s="1976"/>
      <c r="DJ145" s="1976"/>
      <c r="DK145" s="1976"/>
      <c r="DL145" s="1976"/>
      <c r="DM145" s="1976"/>
      <c r="DN145" s="1976"/>
      <c r="DO145" s="1976"/>
      <c r="DP145" s="1976"/>
      <c r="DU145" s="1975" t="str">
        <f>Languages!B384</f>
        <v>6.2.2 Rewetting associated with other land-use management</v>
      </c>
      <c r="DV145" s="1976"/>
      <c r="DW145" s="1976"/>
      <c r="DX145" s="1976"/>
      <c r="DY145" s="1976"/>
      <c r="DZ145" s="1976"/>
      <c r="EA145" s="1976"/>
      <c r="EB145" s="1976"/>
      <c r="EC145" s="1976"/>
      <c r="ED145" s="1976"/>
      <c r="EE145" s="1976"/>
      <c r="EF145" s="1976"/>
      <c r="EG145" s="1976"/>
      <c r="EH145" s="1976"/>
    </row>
    <row r="146" spans="2:138" x14ac:dyDescent="0.2">
      <c r="B146" s="1960"/>
      <c r="C146" s="1960"/>
      <c r="D146" s="1960"/>
      <c r="E146" s="1960"/>
      <c r="F146" s="1960"/>
      <c r="G146" s="1960"/>
      <c r="H146" s="1960"/>
      <c r="I146" s="1960"/>
      <c r="J146" s="1960"/>
      <c r="K146" s="1960"/>
      <c r="L146" s="1960"/>
      <c r="M146" s="1960"/>
      <c r="N146" s="1960"/>
      <c r="O146" s="1960"/>
      <c r="P146" s="1960"/>
      <c r="Q146" s="1960"/>
      <c r="R146" s="1960"/>
      <c r="S146" s="1960"/>
      <c r="T146" s="1960"/>
      <c r="U146" s="1960"/>
      <c r="V146" s="1960"/>
      <c r="W146" s="1960"/>
      <c r="X146" s="1960"/>
      <c r="Y146" s="1960"/>
      <c r="Z146" s="1960"/>
      <c r="AA146" s="1960"/>
      <c r="AB146" s="1960"/>
      <c r="AC146" s="1960"/>
      <c r="AD146" s="1960"/>
      <c r="AE146" s="1960"/>
      <c r="AF146" s="1960"/>
      <c r="AG146" s="1960"/>
      <c r="AH146" s="1960"/>
      <c r="AI146" s="1960"/>
      <c r="BZ146" s="2591"/>
      <c r="CA146" s="2591"/>
      <c r="CB146" s="2591"/>
      <c r="CD146" s="2591"/>
      <c r="CE146" s="2591"/>
      <c r="CF146" s="4140" t="str">
        <f>CF113</f>
        <v>On-site emission factors</v>
      </c>
      <c r="CG146" s="4140"/>
      <c r="CH146" s="4140"/>
      <c r="CI146" s="4140"/>
      <c r="CJ146" s="4140"/>
      <c r="CK146" s="4140"/>
      <c r="CL146" s="4145"/>
      <c r="CM146" s="4140" t="str">
        <f>CM113</f>
        <v>Off-site emission factors</v>
      </c>
      <c r="CN146" s="4140"/>
      <c r="CO146" s="4140"/>
      <c r="CP146" s="4140"/>
      <c r="CQ146" s="2591"/>
      <c r="CT146" s="2591"/>
      <c r="CU146" s="2591"/>
      <c r="CV146" s="2591"/>
      <c r="CW146" s="2591"/>
      <c r="CX146" s="2591"/>
      <c r="CY146" s="2591"/>
      <c r="CZ146" s="2591"/>
      <c r="DA146" s="2591"/>
      <c r="DB146" s="2591"/>
      <c r="DC146" s="2591"/>
      <c r="DD146" s="2591"/>
      <c r="DE146" s="2591"/>
      <c r="DF146" s="2591"/>
      <c r="DG146" s="2591"/>
      <c r="DH146" s="2591"/>
      <c r="DI146" s="2591"/>
      <c r="DJ146" s="2591"/>
      <c r="DK146" s="2591"/>
      <c r="DL146" s="2591"/>
      <c r="DM146" s="2591"/>
      <c r="DN146" s="2591"/>
      <c r="DO146" s="2591"/>
      <c r="DP146" s="2591"/>
      <c r="DU146" s="2591"/>
      <c r="DV146" s="2591"/>
      <c r="DW146" s="2591"/>
      <c r="DX146" s="2591"/>
      <c r="DY146" s="2591"/>
      <c r="DZ146" s="2591"/>
      <c r="EA146" s="2591"/>
      <c r="EB146" s="2591"/>
      <c r="EC146" s="2591"/>
      <c r="ED146" s="2591"/>
      <c r="EE146" s="2591"/>
      <c r="EF146" s="2591"/>
      <c r="EG146" s="2591"/>
      <c r="EH146" s="2591"/>
    </row>
    <row r="147" spans="2:138" x14ac:dyDescent="0.2">
      <c r="B147" s="1960"/>
      <c r="C147" s="1838"/>
      <c r="D147" s="1960"/>
      <c r="E147" s="1838"/>
      <c r="F147" s="1960"/>
      <c r="G147" s="1960"/>
      <c r="H147" s="1960"/>
      <c r="I147" s="1838"/>
      <c r="J147" s="1838"/>
      <c r="K147" s="1838"/>
      <c r="L147" s="1960"/>
      <c r="M147" s="4352" t="str">
        <f>M126</f>
        <v>Area under drainage (ha)</v>
      </c>
      <c r="N147" s="4352"/>
      <c r="O147" s="4352"/>
      <c r="P147" s="4352"/>
      <c r="Q147" s="4352"/>
      <c r="R147" s="4142"/>
      <c r="S147" s="4352" t="str">
        <f>S126</f>
        <v>Area not drained or rewetted (ha)</v>
      </c>
      <c r="T147" s="4352"/>
      <c r="U147" s="4352"/>
      <c r="V147" s="1960"/>
      <c r="W147" s="4352" t="str">
        <f>W126</f>
        <v>% area occupied by ditches</v>
      </c>
      <c r="X147" s="4352"/>
      <c r="Y147" s="4352"/>
      <c r="Z147" s="1960"/>
      <c r="AA147" s="4143" t="str">
        <f>AB124</f>
        <v>Management practices</v>
      </c>
      <c r="AB147" s="4144"/>
      <c r="AC147" s="1960"/>
      <c r="AD147" s="4144"/>
      <c r="AE147" s="4143" t="str">
        <f>AE115</f>
        <v>Total emissions (tCO2-e)</v>
      </c>
      <c r="AF147" s="4143"/>
      <c r="AG147" s="4143"/>
      <c r="AH147" s="1960"/>
      <c r="AI147" s="1960"/>
      <c r="BZ147" s="1889" t="s">
        <v>74</v>
      </c>
      <c r="CA147" s="1889"/>
      <c r="CB147" s="1996"/>
      <c r="CD147" s="2591"/>
      <c r="CE147" s="2591"/>
      <c r="CF147" s="4151" t="str">
        <f>CF114</f>
        <v>CO2</v>
      </c>
      <c r="CG147" s="2560"/>
      <c r="CH147" s="4149" t="str">
        <f>CH114</f>
        <v>CH4</v>
      </c>
      <c r="CI147" s="2560"/>
      <c r="CJ147" s="2319" t="str">
        <f>CJ114</f>
        <v>N2O</v>
      </c>
      <c r="CK147" s="2560"/>
      <c r="CL147" s="2560"/>
      <c r="CM147" s="4149" t="str">
        <f>CM114</f>
        <v>DOC</v>
      </c>
      <c r="CN147" s="2591"/>
      <c r="CO147" s="4154" t="str">
        <f>CO114</f>
        <v>CH4</v>
      </c>
      <c r="CP147" s="2591"/>
      <c r="CQ147" s="2591"/>
      <c r="CT147" s="2591"/>
      <c r="CU147" s="2591"/>
      <c r="CV147" s="4140" t="s">
        <v>323</v>
      </c>
      <c r="CW147" s="4141"/>
      <c r="CX147" s="4141"/>
      <c r="CY147" s="2591"/>
      <c r="CZ147" s="4140" t="str">
        <f>CZ114</f>
        <v>Fire occurrence and severity</v>
      </c>
      <c r="DA147" s="4140"/>
      <c r="DB147" s="4141"/>
      <c r="DC147" s="4141"/>
      <c r="DD147" s="4141"/>
      <c r="DE147" s="4141"/>
      <c r="DF147" s="4141"/>
      <c r="DG147" s="2591"/>
      <c r="DH147" s="4140" t="s">
        <v>1032</v>
      </c>
      <c r="DI147" s="4141"/>
      <c r="DJ147" s="4141"/>
      <c r="DK147" s="4141"/>
      <c r="DL147" s="4141"/>
      <c r="DM147" s="4141"/>
      <c r="DN147" s="4141"/>
      <c r="DO147" s="4141"/>
      <c r="DP147" s="2591"/>
      <c r="DU147" s="2591"/>
      <c r="DV147" s="2591"/>
      <c r="DW147" s="2591"/>
      <c r="DX147" s="2591"/>
      <c r="DY147" s="2591"/>
      <c r="DZ147" s="2591"/>
      <c r="EA147" s="2591"/>
      <c r="EB147" s="2591"/>
      <c r="EC147" s="2591"/>
      <c r="ED147" s="2591"/>
      <c r="EE147" s="2591"/>
      <c r="EF147" s="2591"/>
      <c r="EG147" s="2591"/>
      <c r="EH147" s="2591"/>
    </row>
    <row r="148" spans="2:138" x14ac:dyDescent="0.2">
      <c r="B148" s="1960"/>
      <c r="C148" s="1838" t="str">
        <f>C78</f>
        <v>User notes</v>
      </c>
      <c r="D148" s="1960"/>
      <c r="E148" s="1838"/>
      <c r="F148" s="1960"/>
      <c r="G148" s="1960"/>
      <c r="H148" s="1960"/>
      <c r="I148" s="1834" t="str">
        <f>Languages!B24</f>
        <v>Land-use cover</v>
      </c>
      <c r="J148" s="1838"/>
      <c r="K148" s="1834" t="str">
        <f>Languages!B404</f>
        <v>Land use area (ha)</v>
      </c>
      <c r="L148" s="1960"/>
      <c r="M148" s="1838"/>
      <c r="N148" s="1838"/>
      <c r="O148" s="1838"/>
      <c r="P148" s="1838"/>
      <c r="Q148" s="1838"/>
      <c r="R148" s="1960"/>
      <c r="S148" s="1838"/>
      <c r="T148" s="1838"/>
      <c r="U148" s="1838"/>
      <c r="V148" s="1960"/>
      <c r="W148" s="1960"/>
      <c r="X148" s="1960"/>
      <c r="Y148" s="1960"/>
      <c r="Z148" s="1960"/>
      <c r="AA148" s="1838" t="str">
        <f>T116</f>
        <v>Burning of</v>
      </c>
      <c r="AB148" s="1838" t="str">
        <f>AB127</f>
        <v>Fire on</v>
      </c>
      <c r="AC148" s="1960"/>
      <c r="AD148" s="1960"/>
      <c r="AE148" s="1960"/>
      <c r="AF148" s="1960"/>
      <c r="AG148" s="1960"/>
      <c r="AH148" s="1960"/>
      <c r="AI148" s="1960"/>
      <c r="AW148" s="4179"/>
      <c r="AX148" s="1971"/>
      <c r="BC148" s="4179"/>
      <c r="BD148" s="1971"/>
      <c r="BZ148" s="2014" t="s">
        <v>82</v>
      </c>
      <c r="CA148" s="2014"/>
      <c r="CB148" s="1996"/>
      <c r="CD148" s="2591"/>
      <c r="CE148" s="4145" t="str">
        <f>Languages!B24</f>
        <v>Land-use cover</v>
      </c>
      <c r="CF148" s="2560" t="str">
        <f>CF115</f>
        <v>tC/ha/yr</v>
      </c>
      <c r="CG148" s="2560"/>
      <c r="CH148" s="2560" t="str">
        <f>CH115</f>
        <v>kgCH4/ha/yr</v>
      </c>
      <c r="CI148" s="2560"/>
      <c r="CJ148" s="2560" t="str">
        <f>CJ115</f>
        <v>kgN2O-N/ha/yr</v>
      </c>
      <c r="CK148" s="2560"/>
      <c r="CL148" s="2560"/>
      <c r="CM148" s="2560" t="str">
        <f>CM115</f>
        <v>tC/ha/yr</v>
      </c>
      <c r="CN148" s="2560"/>
      <c r="CO148" s="2319" t="str">
        <f>CO115</f>
        <v>kgCH4/ha/yr</v>
      </c>
      <c r="CP148" s="2560"/>
      <c r="CQ148" s="2591"/>
      <c r="CT148" s="2591"/>
      <c r="CU148" s="4145" t="str">
        <f>CE148</f>
        <v>Land-use cover</v>
      </c>
      <c r="CV148" s="4180"/>
      <c r="CW148" s="2560"/>
      <c r="CX148" s="2591"/>
      <c r="CY148" s="2591"/>
      <c r="CZ148" s="2591"/>
      <c r="DA148" s="4151"/>
      <c r="DB148" s="4151" t="str">
        <f>DB115</f>
        <v>Without</v>
      </c>
      <c r="DC148" s="2591"/>
      <c r="DD148" s="2591"/>
      <c r="DE148" s="4150" t="str">
        <f>DE115</f>
        <v>With</v>
      </c>
      <c r="DF148" s="2591"/>
      <c r="DG148" s="2591"/>
      <c r="DH148" s="4147" t="str">
        <f>DH115</f>
        <v>CO2</v>
      </c>
      <c r="DI148" s="4147"/>
      <c r="DJ148" s="4147" t="str">
        <f>DJ115</f>
        <v>CO</v>
      </c>
      <c r="DK148" s="4147"/>
      <c r="DL148" s="4147" t="str">
        <f>DL115</f>
        <v>CH4</v>
      </c>
      <c r="DM148" s="4147"/>
      <c r="DN148" s="4147" t="str">
        <f>DN115</f>
        <v xml:space="preserve">Mean dry matter </v>
      </c>
      <c r="DO148" s="4147"/>
      <c r="DP148" s="4145"/>
      <c r="DU148" s="2591"/>
      <c r="DV148" s="4145" t="str">
        <f>CE148</f>
        <v>Land-use cover</v>
      </c>
      <c r="DW148" s="2591"/>
      <c r="DX148" s="4140" t="s">
        <v>1033</v>
      </c>
      <c r="DY148" s="4141"/>
      <c r="DZ148" s="4141"/>
      <c r="EA148" s="4141"/>
      <c r="EB148" s="4141"/>
      <c r="EC148" s="4141"/>
      <c r="ED148" s="2591"/>
      <c r="EE148" s="4140" t="s">
        <v>1034</v>
      </c>
      <c r="EF148" s="4141"/>
      <c r="EG148" s="4141"/>
      <c r="EH148" s="2591"/>
    </row>
    <row r="149" spans="2:138" x14ac:dyDescent="0.2">
      <c r="B149" s="1960"/>
      <c r="C149" s="1838"/>
      <c r="D149" s="1960"/>
      <c r="E149" s="1838"/>
      <c r="F149" s="1960"/>
      <c r="G149" s="1960"/>
      <c r="H149" s="1960"/>
      <c r="I149" s="1960"/>
      <c r="J149" s="1960"/>
      <c r="K149" s="1960"/>
      <c r="L149" s="1960"/>
      <c r="M149" s="1838" t="str">
        <f>M117</f>
        <v>Start</v>
      </c>
      <c r="N149" s="1838" t="str">
        <f>N117</f>
        <v>Without</v>
      </c>
      <c r="O149" s="1781" t="s">
        <v>83</v>
      </c>
      <c r="P149" s="1838" t="str">
        <f>P117</f>
        <v>With</v>
      </c>
      <c r="Q149" s="1781" t="s">
        <v>83</v>
      </c>
      <c r="R149" s="1960"/>
      <c r="S149" s="1838" t="str">
        <f>M149</f>
        <v>Start</v>
      </c>
      <c r="T149" s="1838" t="str">
        <f>N149</f>
        <v>Without</v>
      </c>
      <c r="U149" s="1838" t="str">
        <f>P149</f>
        <v>With</v>
      </c>
      <c r="V149" s="1960"/>
      <c r="W149" s="1838" t="str">
        <f>M149</f>
        <v>Start</v>
      </c>
      <c r="X149" s="1838" t="str">
        <f>N149</f>
        <v>Without</v>
      </c>
      <c r="Y149" s="1838" t="str">
        <f>P149</f>
        <v>With</v>
      </c>
      <c r="Z149" s="1960"/>
      <c r="AA149" s="1838" t="str">
        <f>'3.Cropland'!K23</f>
        <v>management</v>
      </c>
      <c r="AB149" s="1838" t="str">
        <f>AB128</f>
        <v>Soil</v>
      </c>
      <c r="AC149" s="1960"/>
      <c r="AD149" s="1960"/>
      <c r="AE149" s="1838" t="str">
        <f>X149</f>
        <v>Without</v>
      </c>
      <c r="AF149" s="1838" t="str">
        <f>Y149</f>
        <v>With</v>
      </c>
      <c r="AG149" s="1834" t="str">
        <f>AG117</f>
        <v>Balance</v>
      </c>
      <c r="AH149" s="1960"/>
      <c r="AI149" s="1960"/>
      <c r="AW149" s="4181"/>
      <c r="BC149" s="4181"/>
      <c r="BZ149" s="1996"/>
      <c r="CA149" s="1893"/>
      <c r="CB149" s="1996"/>
      <c r="CD149" s="2591"/>
      <c r="CE149" s="2591"/>
      <c r="CF149" s="2591" t="str">
        <f>CF116</f>
        <v>Default</v>
      </c>
      <c r="CG149" s="2591" t="str">
        <f>CG116</f>
        <v>Tier 2</v>
      </c>
      <c r="CH149" s="2591" t="str">
        <f>CH116</f>
        <v>Default</v>
      </c>
      <c r="CI149" s="2591" t="str">
        <f>CI116</f>
        <v>Tier 2</v>
      </c>
      <c r="CJ149" s="2591" t="str">
        <f>CJ116</f>
        <v>Default</v>
      </c>
      <c r="CK149" s="2591" t="str">
        <f>CK116</f>
        <v>Tier 2</v>
      </c>
      <c r="CL149" s="2591"/>
      <c r="CM149" s="2591" t="str">
        <f>CM116</f>
        <v>Default</v>
      </c>
      <c r="CN149" s="2591" t="str">
        <f>CN116</f>
        <v>Tier 2</v>
      </c>
      <c r="CO149" s="2591"/>
      <c r="CP149" s="2591" t="str">
        <f>CP116</f>
        <v>Default</v>
      </c>
      <c r="CQ149" s="2591"/>
      <c r="CT149" s="2591"/>
      <c r="CU149" s="2591"/>
      <c r="CV149" s="2591"/>
      <c r="CW149" s="2591"/>
      <c r="CX149" s="2591"/>
      <c r="CY149" s="2591"/>
      <c r="CZ149" s="2591" t="str">
        <f>CZ116</f>
        <v>Type of fire</v>
      </c>
      <c r="DA149" s="2591"/>
      <c r="DB149" s="2560" t="str">
        <f>DB116</f>
        <v>Periodicity</v>
      </c>
      <c r="DC149" s="2560" t="str">
        <f>DC116</f>
        <v>Impact</v>
      </c>
      <c r="DD149" s="2560"/>
      <c r="DE149" s="2560" t="str">
        <f>DE116</f>
        <v>Periodicity</v>
      </c>
      <c r="DF149" s="2560" t="str">
        <f>DF116</f>
        <v>Impact</v>
      </c>
      <c r="DG149" s="2591"/>
      <c r="DH149" s="4153" t="str">
        <f>DH116</f>
        <v>gC/kg d.m.</v>
      </c>
      <c r="DI149" s="4153"/>
      <c r="DJ149" s="4153" t="str">
        <f>DJ116</f>
        <v>gCO/kg d.m.</v>
      </c>
      <c r="DK149" s="4153"/>
      <c r="DL149" s="4153" t="str">
        <f>DL116</f>
        <v>gCH4/kg d.m.</v>
      </c>
      <c r="DM149" s="4153"/>
      <c r="DN149" s="4153" t="str">
        <f>DN116</f>
        <v>(tDM/ha)</v>
      </c>
      <c r="DO149" s="4153"/>
      <c r="DP149" s="2591"/>
      <c r="DU149" s="2591"/>
      <c r="DV149" s="2591"/>
      <c r="DW149" s="2591"/>
      <c r="DX149" s="2591" t="s">
        <v>1040</v>
      </c>
      <c r="DY149" s="2591"/>
      <c r="DZ149" s="2591" t="s">
        <v>1041</v>
      </c>
      <c r="EA149" s="2591"/>
      <c r="EB149" s="2591" t="s">
        <v>177</v>
      </c>
      <c r="EC149" s="2591"/>
      <c r="ED149" s="2591"/>
      <c r="EE149" s="2591" t="s">
        <v>1042</v>
      </c>
      <c r="EF149" s="2591"/>
      <c r="EG149" s="2591"/>
      <c r="EH149" s="2591"/>
    </row>
    <row r="150" spans="2:138" x14ac:dyDescent="0.2">
      <c r="B150" s="1960"/>
      <c r="C150" s="4572"/>
      <c r="D150" s="4572"/>
      <c r="E150" s="4572"/>
      <c r="F150" s="1960"/>
      <c r="G150" s="1960"/>
      <c r="H150" s="1960"/>
      <c r="I150" s="2131" t="s">
        <v>57</v>
      </c>
      <c r="J150" s="1960"/>
      <c r="K150" s="4200">
        <v>0</v>
      </c>
      <c r="L150" s="1960"/>
      <c r="M150" s="4200">
        <v>0</v>
      </c>
      <c r="N150" s="2128">
        <v>0</v>
      </c>
      <c r="O150" s="2104" t="s">
        <v>86</v>
      </c>
      <c r="P150" s="2128">
        <v>0</v>
      </c>
      <c r="Q150" s="2104" t="s">
        <v>86</v>
      </c>
      <c r="R150" s="1960"/>
      <c r="S150" s="2107">
        <f t="shared" ref="S150:S155" si="74">$K150-M150</f>
        <v>0</v>
      </c>
      <c r="T150" s="2107">
        <f t="shared" ref="T150:T155" si="75">$K150-N150</f>
        <v>0</v>
      </c>
      <c r="U150" s="2107">
        <f t="shared" ref="U150:U155" si="76">$K150-P150</f>
        <v>0</v>
      </c>
      <c r="V150" s="1960"/>
      <c r="W150" s="4195">
        <v>0</v>
      </c>
      <c r="X150" s="4195">
        <v>0</v>
      </c>
      <c r="Y150" s="4195">
        <v>0</v>
      </c>
      <c r="Z150" s="1960"/>
      <c r="AA150" s="4194" t="s">
        <v>1053</v>
      </c>
      <c r="AB150" s="2129" t="s">
        <v>1053</v>
      </c>
      <c r="AC150" s="1960"/>
      <c r="AD150" s="1960"/>
      <c r="AE150" s="2107">
        <f>'Inl. wetlands'!AI453+'Inl. wetlands'!AI439+'Inl. wetlands'!AI425+'Inl. wetlands'!AI413</f>
        <v>0</v>
      </c>
      <c r="AF150" s="2107">
        <f>'Inl. wetlands'!AJ453+'Inl. wetlands'!AJ439+'Inl. wetlands'!AJ425+'Inl. wetlands'!AJ413</f>
        <v>0</v>
      </c>
      <c r="AG150" s="1806">
        <f t="shared" ref="AG150:AG155" si="77">AF150-AE150</f>
        <v>0</v>
      </c>
      <c r="AH150" s="1960"/>
      <c r="AI150" s="1960"/>
      <c r="AW150" s="4132"/>
      <c r="AX150" s="4132"/>
      <c r="BC150" s="4132"/>
      <c r="BD150" s="4132"/>
      <c r="BZ150" s="4363">
        <v>1</v>
      </c>
      <c r="CA150" s="4364"/>
      <c r="CB150" s="1996"/>
      <c r="CD150" s="2591"/>
      <c r="CE150" s="2591" t="str">
        <f t="shared" ref="CE150:CE155" si="78">I150</f>
        <v>Please select</v>
      </c>
      <c r="CF150" s="2612">
        <f>'Inl. wetlands'!B439</f>
        <v>0</v>
      </c>
      <c r="CG150" s="4205"/>
      <c r="CH150" s="2612">
        <f>'Inl. wetlands'!D439</f>
        <v>0</v>
      </c>
      <c r="CI150" s="4205"/>
      <c r="CJ150" s="2612">
        <f>'Inl. wetlands'!F439</f>
        <v>0</v>
      </c>
      <c r="CK150" s="4205"/>
      <c r="CL150" s="2591"/>
      <c r="CM150" s="2612">
        <f>'Inl. wetlands'!H439</f>
        <v>0</v>
      </c>
      <c r="CN150" s="4205"/>
      <c r="CO150" s="4156">
        <f>'Inl. wetlands'!J439</f>
        <v>0</v>
      </c>
      <c r="CP150" s="4205"/>
      <c r="CQ150" s="2591"/>
      <c r="CT150" s="2591"/>
      <c r="CU150" s="2319"/>
      <c r="CV150" s="2585" t="str">
        <f t="shared" ref="CV150:CW156" si="79">M149</f>
        <v>Start</v>
      </c>
      <c r="CW150" s="2585" t="str">
        <f t="shared" si="79"/>
        <v>Without</v>
      </c>
      <c r="CX150" s="2585" t="str">
        <f>DE115</f>
        <v>With</v>
      </c>
      <c r="CY150" s="2591"/>
      <c r="CZ150" s="2591"/>
      <c r="DA150" s="2591"/>
      <c r="DB150" s="2560" t="str">
        <f>DB117</f>
        <v>Year</v>
      </c>
      <c r="DC150" s="2560" t="str">
        <f>DC117</f>
        <v>% burnt</v>
      </c>
      <c r="DD150" s="2560"/>
      <c r="DE150" s="2560" t="str">
        <f>DB150</f>
        <v>Year</v>
      </c>
      <c r="DF150" s="2560" t="str">
        <f>DC150</f>
        <v>% burnt</v>
      </c>
      <c r="DG150" s="2591"/>
      <c r="DH150" s="2560" t="str">
        <f>DH117</f>
        <v>Default</v>
      </c>
      <c r="DI150" s="2560" t="str">
        <f>DI117</f>
        <v>Tier 2</v>
      </c>
      <c r="DJ150" s="2560" t="str">
        <f t="shared" ref="DJ150:DO150" si="80">DH150</f>
        <v>Default</v>
      </c>
      <c r="DK150" s="2560" t="str">
        <f t="shared" si="80"/>
        <v>Tier 2</v>
      </c>
      <c r="DL150" s="2560" t="str">
        <f t="shared" si="80"/>
        <v>Default</v>
      </c>
      <c r="DM150" s="2560" t="str">
        <f t="shared" si="80"/>
        <v>Tier 2</v>
      </c>
      <c r="DN150" s="2560" t="str">
        <f t="shared" si="80"/>
        <v>Default</v>
      </c>
      <c r="DO150" s="2560" t="str">
        <f t="shared" si="80"/>
        <v>Tier 2</v>
      </c>
      <c r="DP150" s="2591"/>
      <c r="DU150" s="2591"/>
      <c r="DV150" s="2591"/>
      <c r="DW150" s="2591"/>
      <c r="DX150" s="2591" t="s">
        <v>92</v>
      </c>
      <c r="DY150" s="2591"/>
      <c r="DZ150" s="2591" t="s">
        <v>1050</v>
      </c>
      <c r="EA150" s="2591"/>
      <c r="EB150" s="2591" t="s">
        <v>1051</v>
      </c>
      <c r="EC150" s="2591"/>
      <c r="ED150" s="2591"/>
      <c r="EE150" s="2591" t="s">
        <v>92</v>
      </c>
      <c r="EF150" s="2591"/>
      <c r="EG150" s="2591"/>
      <c r="EH150" s="2591"/>
    </row>
    <row r="151" spans="2:138" x14ac:dyDescent="0.2">
      <c r="B151" s="1960"/>
      <c r="C151" s="4572"/>
      <c r="D151" s="4572"/>
      <c r="E151" s="4572"/>
      <c r="F151" s="1960"/>
      <c r="G151" s="1960"/>
      <c r="H151" s="1960"/>
      <c r="I151" s="2131" t="s">
        <v>57</v>
      </c>
      <c r="J151" s="1960"/>
      <c r="K151" s="4200">
        <v>0</v>
      </c>
      <c r="L151" s="1960"/>
      <c r="M151" s="4200">
        <v>0</v>
      </c>
      <c r="N151" s="2128">
        <v>0</v>
      </c>
      <c r="O151" s="2104" t="s">
        <v>86</v>
      </c>
      <c r="P151" s="2128">
        <v>0</v>
      </c>
      <c r="Q151" s="2104" t="s">
        <v>86</v>
      </c>
      <c r="R151" s="1960"/>
      <c r="S151" s="2107">
        <f>$K151-M151</f>
        <v>0</v>
      </c>
      <c r="T151" s="2107">
        <f>$K151-N151</f>
        <v>0</v>
      </c>
      <c r="U151" s="2107">
        <f t="shared" si="76"/>
        <v>0</v>
      </c>
      <c r="V151" s="1960"/>
      <c r="W151" s="4195">
        <v>0</v>
      </c>
      <c r="X151" s="4195">
        <v>0</v>
      </c>
      <c r="Y151" s="4195">
        <v>0</v>
      </c>
      <c r="Z151" s="1960"/>
      <c r="AA151" s="4194" t="s">
        <v>1053</v>
      </c>
      <c r="AB151" s="2129" t="s">
        <v>1053</v>
      </c>
      <c r="AC151" s="1960"/>
      <c r="AD151" s="1960"/>
      <c r="AE151" s="2107">
        <f>'Inl. wetlands'!AI454+'Inl. wetlands'!AI440+'Inl. wetlands'!AI426+'Inl. wetlands'!AI414</f>
        <v>0</v>
      </c>
      <c r="AF151" s="2107">
        <f>'Inl. wetlands'!AJ454+'Inl. wetlands'!AJ440+'Inl. wetlands'!AJ426+'Inl. wetlands'!AJ414</f>
        <v>0</v>
      </c>
      <c r="AG151" s="1806">
        <f t="shared" si="77"/>
        <v>0</v>
      </c>
      <c r="AH151" s="1960"/>
      <c r="AI151" s="1960"/>
      <c r="AW151" s="4159"/>
      <c r="BC151" s="4159"/>
      <c r="BZ151" s="4363">
        <v>1</v>
      </c>
      <c r="CA151" s="4364"/>
      <c r="CB151" s="1996"/>
      <c r="CD151" s="2591"/>
      <c r="CE151" s="2591" t="str">
        <f t="shared" si="78"/>
        <v>Please select</v>
      </c>
      <c r="CF151" s="2612">
        <f>'Inl. wetlands'!B440</f>
        <v>0</v>
      </c>
      <c r="CG151" s="4205"/>
      <c r="CH151" s="2612">
        <f>'Inl. wetlands'!D440</f>
        <v>0</v>
      </c>
      <c r="CI151" s="4205"/>
      <c r="CJ151" s="2612">
        <f>'Inl. wetlands'!F440</f>
        <v>0</v>
      </c>
      <c r="CK151" s="4205"/>
      <c r="CL151" s="2591"/>
      <c r="CM151" s="2612">
        <f>'Inl. wetlands'!H440</f>
        <v>0</v>
      </c>
      <c r="CN151" s="4205"/>
      <c r="CO151" s="4156">
        <f>'Inl. wetlands'!J440</f>
        <v>0</v>
      </c>
      <c r="CP151" s="4205"/>
      <c r="CQ151" s="2591"/>
      <c r="CT151" s="2560"/>
      <c r="CU151" s="2319" t="str">
        <f t="shared" ref="CU151:CU156" si="81">CE150</f>
        <v>Please select</v>
      </c>
      <c r="CV151" s="2585">
        <f t="shared" si="79"/>
        <v>0</v>
      </c>
      <c r="CW151" s="2585">
        <f t="shared" si="79"/>
        <v>0</v>
      </c>
      <c r="CX151" s="2585">
        <f t="shared" ref="CX151:CX156" si="82">P150</f>
        <v>0</v>
      </c>
      <c r="CY151" s="2560"/>
      <c r="CZ151" s="4105" t="s">
        <v>57</v>
      </c>
      <c r="DA151" s="2560"/>
      <c r="DB151" s="2129">
        <v>1</v>
      </c>
      <c r="DC151" s="4210">
        <v>0.01</v>
      </c>
      <c r="DD151" s="4171"/>
      <c r="DE151" s="2129">
        <v>1</v>
      </c>
      <c r="DF151" s="4210">
        <v>0.01</v>
      </c>
      <c r="DG151" s="2560"/>
      <c r="DH151" s="2585">
        <f>'Inl. wetlands'!O425</f>
        <v>362</v>
      </c>
      <c r="DI151" s="2129"/>
      <c r="DJ151" s="2585">
        <f>'Inl. wetlands'!Q425</f>
        <v>207</v>
      </c>
      <c r="DK151" s="2129"/>
      <c r="DL151" s="2585">
        <f>'Inl. wetlands'!S425</f>
        <v>9</v>
      </c>
      <c r="DM151" s="2129"/>
      <c r="DN151" s="2585">
        <f>'Inl. wetlands'!U425</f>
        <v>0</v>
      </c>
      <c r="DO151" s="2129"/>
      <c r="DP151" s="2560"/>
      <c r="DU151" s="2591"/>
      <c r="DV151" s="2591" t="str">
        <f t="shared" ref="DV151:DV156" si="83">CE150</f>
        <v>Please select</v>
      </c>
      <c r="DW151" s="2591"/>
      <c r="DX151" s="2612">
        <f>'Inl. wetlands'!H453</f>
        <v>0</v>
      </c>
      <c r="DY151" s="4206"/>
      <c r="DZ151" s="4155">
        <f>'Inl. wetlands'!J453</f>
        <v>0</v>
      </c>
      <c r="EA151" s="2128"/>
      <c r="EB151" s="4155">
        <f>'Inl. wetlands'!L453</f>
        <v>0</v>
      </c>
      <c r="EC151" s="2128"/>
      <c r="ED151" s="2591"/>
      <c r="EE151" s="4156">
        <f>'Inl. wetlands'!N453</f>
        <v>0</v>
      </c>
      <c r="EF151" s="4209"/>
      <c r="EG151" s="2591"/>
      <c r="EH151" s="2591"/>
    </row>
    <row r="152" spans="2:138" x14ac:dyDescent="0.2">
      <c r="B152" s="1960"/>
      <c r="C152" s="4572"/>
      <c r="D152" s="4572"/>
      <c r="E152" s="4572"/>
      <c r="F152" s="1960"/>
      <c r="G152" s="1960"/>
      <c r="H152" s="1960"/>
      <c r="I152" s="2131" t="s">
        <v>57</v>
      </c>
      <c r="J152" s="1960"/>
      <c r="K152" s="4200">
        <v>0</v>
      </c>
      <c r="L152" s="1960"/>
      <c r="M152" s="4200">
        <v>0</v>
      </c>
      <c r="N152" s="2128">
        <v>0</v>
      </c>
      <c r="O152" s="2104" t="s">
        <v>86</v>
      </c>
      <c r="P152" s="2128">
        <v>0</v>
      </c>
      <c r="Q152" s="2104" t="s">
        <v>86</v>
      </c>
      <c r="R152" s="1960"/>
      <c r="S152" s="2107">
        <f t="shared" si="74"/>
        <v>0</v>
      </c>
      <c r="T152" s="2107">
        <f t="shared" si="75"/>
        <v>0</v>
      </c>
      <c r="U152" s="2107">
        <f t="shared" si="76"/>
        <v>0</v>
      </c>
      <c r="V152" s="1960"/>
      <c r="W152" s="4195">
        <v>0</v>
      </c>
      <c r="X152" s="4195">
        <v>0</v>
      </c>
      <c r="Y152" s="4195">
        <v>0</v>
      </c>
      <c r="Z152" s="1960"/>
      <c r="AA152" s="4194" t="s">
        <v>1053</v>
      </c>
      <c r="AB152" s="2129" t="s">
        <v>1053</v>
      </c>
      <c r="AC152" s="1960"/>
      <c r="AD152" s="1960"/>
      <c r="AE152" s="2107">
        <f>'Inl. wetlands'!AI455+'Inl. wetlands'!AI441+'Inl. wetlands'!AI427+'Inl. wetlands'!AI415</f>
        <v>0</v>
      </c>
      <c r="AF152" s="2107">
        <f>'Inl. wetlands'!AJ455+'Inl. wetlands'!AJ441+'Inl. wetlands'!AJ427+'Inl. wetlands'!AJ415</f>
        <v>0</v>
      </c>
      <c r="AG152" s="1806">
        <f t="shared" si="77"/>
        <v>0</v>
      </c>
      <c r="AH152" s="1960"/>
      <c r="AI152" s="1960"/>
      <c r="AW152" s="4159"/>
      <c r="BC152" s="4159"/>
      <c r="BZ152" s="4363">
        <v>1</v>
      </c>
      <c r="CA152" s="4364"/>
      <c r="CB152" s="1996"/>
      <c r="CD152" s="2591"/>
      <c r="CE152" s="2591" t="str">
        <f t="shared" si="78"/>
        <v>Please select</v>
      </c>
      <c r="CF152" s="2612">
        <f>'Inl. wetlands'!B441</f>
        <v>0</v>
      </c>
      <c r="CG152" s="4205"/>
      <c r="CH152" s="2612">
        <f>'Inl. wetlands'!D441</f>
        <v>0</v>
      </c>
      <c r="CI152" s="4205"/>
      <c r="CJ152" s="2612">
        <f>'Inl. wetlands'!F441</f>
        <v>0</v>
      </c>
      <c r="CK152" s="4205"/>
      <c r="CL152" s="2591"/>
      <c r="CM152" s="2612">
        <f>'Inl. wetlands'!H441</f>
        <v>0</v>
      </c>
      <c r="CN152" s="4205"/>
      <c r="CO152" s="4156">
        <f>'Inl. wetlands'!J441</f>
        <v>0</v>
      </c>
      <c r="CP152" s="4205"/>
      <c r="CQ152" s="2591"/>
      <c r="CT152" s="2560"/>
      <c r="CU152" s="2319" t="str">
        <f t="shared" si="81"/>
        <v>Please select</v>
      </c>
      <c r="CV152" s="2585">
        <f t="shared" si="79"/>
        <v>0</v>
      </c>
      <c r="CW152" s="2585">
        <f t="shared" si="79"/>
        <v>0</v>
      </c>
      <c r="CX152" s="2585">
        <f t="shared" si="82"/>
        <v>0</v>
      </c>
      <c r="CY152" s="2560"/>
      <c r="CZ152" s="4105" t="s">
        <v>57</v>
      </c>
      <c r="DA152" s="2560"/>
      <c r="DB152" s="2129">
        <v>1</v>
      </c>
      <c r="DC152" s="4210">
        <v>0.01</v>
      </c>
      <c r="DD152" s="4171"/>
      <c r="DE152" s="2129">
        <v>1</v>
      </c>
      <c r="DF152" s="4210">
        <v>0.01</v>
      </c>
      <c r="DG152" s="2560"/>
      <c r="DH152" s="2585">
        <f>'Inl. wetlands'!O426</f>
        <v>362</v>
      </c>
      <c r="DI152" s="2129"/>
      <c r="DJ152" s="2585">
        <f>'Inl. wetlands'!Q426</f>
        <v>207</v>
      </c>
      <c r="DK152" s="2129"/>
      <c r="DL152" s="2585">
        <f>'Inl. wetlands'!S426</f>
        <v>9</v>
      </c>
      <c r="DM152" s="2129"/>
      <c r="DN152" s="2585">
        <f>'Inl. wetlands'!U426</f>
        <v>0</v>
      </c>
      <c r="DO152" s="2129"/>
      <c r="DP152" s="2560"/>
      <c r="DU152" s="2591"/>
      <c r="DV152" s="2591" t="str">
        <f t="shared" si="83"/>
        <v>Please select</v>
      </c>
      <c r="DW152" s="2591"/>
      <c r="DX152" s="2612">
        <f>'Inl. wetlands'!H454</f>
        <v>0</v>
      </c>
      <c r="DY152" s="4206"/>
      <c r="DZ152" s="4155">
        <f>'Inl. wetlands'!J454</f>
        <v>0</v>
      </c>
      <c r="EA152" s="2128"/>
      <c r="EB152" s="4155">
        <f>'Inl. wetlands'!L454</f>
        <v>0</v>
      </c>
      <c r="EC152" s="2128"/>
      <c r="ED152" s="2591"/>
      <c r="EE152" s="4156">
        <f>'Inl. wetlands'!N454</f>
        <v>0</v>
      </c>
      <c r="EF152" s="4209"/>
      <c r="EG152" s="2591"/>
      <c r="EH152" s="2591"/>
    </row>
    <row r="153" spans="2:138" x14ac:dyDescent="0.2">
      <c r="B153" s="1960"/>
      <c r="C153" s="4572"/>
      <c r="D153" s="4572"/>
      <c r="E153" s="4572"/>
      <c r="F153" s="1960"/>
      <c r="G153" s="1960"/>
      <c r="H153" s="1960"/>
      <c r="I153" s="2131" t="s">
        <v>57</v>
      </c>
      <c r="J153" s="1960"/>
      <c r="K153" s="4200">
        <v>0</v>
      </c>
      <c r="L153" s="1960"/>
      <c r="M153" s="4200">
        <v>0</v>
      </c>
      <c r="N153" s="2128">
        <v>0</v>
      </c>
      <c r="O153" s="2104" t="s">
        <v>86</v>
      </c>
      <c r="P153" s="2128">
        <v>0</v>
      </c>
      <c r="Q153" s="2104" t="s">
        <v>86</v>
      </c>
      <c r="R153" s="1960"/>
      <c r="S153" s="2107">
        <f t="shared" si="74"/>
        <v>0</v>
      </c>
      <c r="T153" s="2107">
        <f t="shared" si="75"/>
        <v>0</v>
      </c>
      <c r="U153" s="2107">
        <f t="shared" si="76"/>
        <v>0</v>
      </c>
      <c r="V153" s="1960"/>
      <c r="W153" s="4195">
        <v>0</v>
      </c>
      <c r="X153" s="4195">
        <v>0</v>
      </c>
      <c r="Y153" s="4195">
        <v>0</v>
      </c>
      <c r="Z153" s="1960"/>
      <c r="AA153" s="4194" t="s">
        <v>1053</v>
      </c>
      <c r="AB153" s="2129" t="s">
        <v>1053</v>
      </c>
      <c r="AC153" s="1960"/>
      <c r="AD153" s="1960"/>
      <c r="AE153" s="2107">
        <f>'Inl. wetlands'!AI456+'Inl. wetlands'!AI442+'Inl. wetlands'!AI428+'Inl. wetlands'!AI416</f>
        <v>0</v>
      </c>
      <c r="AF153" s="2107">
        <f>'Inl. wetlands'!AJ456+'Inl. wetlands'!AJ442+'Inl. wetlands'!AJ428+'Inl. wetlands'!AJ416</f>
        <v>0</v>
      </c>
      <c r="AG153" s="1806">
        <f t="shared" si="77"/>
        <v>0</v>
      </c>
      <c r="AH153" s="1960"/>
      <c r="AI153" s="1960"/>
      <c r="AW153" s="4159"/>
      <c r="BC153" s="4159"/>
      <c r="BZ153" s="4363">
        <v>1</v>
      </c>
      <c r="CA153" s="4364"/>
      <c r="CB153" s="1996"/>
      <c r="CD153" s="2591"/>
      <c r="CE153" s="2591" t="str">
        <f t="shared" si="78"/>
        <v>Please select</v>
      </c>
      <c r="CF153" s="2612">
        <f>'Inl. wetlands'!B442</f>
        <v>0</v>
      </c>
      <c r="CG153" s="4205"/>
      <c r="CH153" s="2612">
        <f>'Inl. wetlands'!D442</f>
        <v>0</v>
      </c>
      <c r="CI153" s="4205"/>
      <c r="CJ153" s="2612">
        <f>'Inl. wetlands'!F442</f>
        <v>0</v>
      </c>
      <c r="CK153" s="4205"/>
      <c r="CL153" s="2591"/>
      <c r="CM153" s="2612">
        <f>'Inl. wetlands'!H442</f>
        <v>0</v>
      </c>
      <c r="CN153" s="4205"/>
      <c r="CO153" s="4156">
        <f>'Inl. wetlands'!J442</f>
        <v>0</v>
      </c>
      <c r="CP153" s="4205"/>
      <c r="CQ153" s="2591"/>
      <c r="CT153" s="2560"/>
      <c r="CU153" s="2319" t="str">
        <f t="shared" si="81"/>
        <v>Please select</v>
      </c>
      <c r="CV153" s="2585">
        <f t="shared" si="79"/>
        <v>0</v>
      </c>
      <c r="CW153" s="2585">
        <f t="shared" si="79"/>
        <v>0</v>
      </c>
      <c r="CX153" s="2585">
        <f t="shared" si="82"/>
        <v>0</v>
      </c>
      <c r="CY153" s="2560"/>
      <c r="CZ153" s="4105" t="s">
        <v>57</v>
      </c>
      <c r="DA153" s="2560"/>
      <c r="DB153" s="2129">
        <v>1</v>
      </c>
      <c r="DC153" s="4210">
        <v>0.01</v>
      </c>
      <c r="DD153" s="4171"/>
      <c r="DE153" s="2129">
        <v>1</v>
      </c>
      <c r="DF153" s="4210">
        <v>0.01</v>
      </c>
      <c r="DG153" s="2560"/>
      <c r="DH153" s="2585">
        <f>'Inl. wetlands'!O427</f>
        <v>362</v>
      </c>
      <c r="DI153" s="2129"/>
      <c r="DJ153" s="2585">
        <f>'Inl. wetlands'!Q427</f>
        <v>207</v>
      </c>
      <c r="DK153" s="2129"/>
      <c r="DL153" s="2585">
        <f>'Inl. wetlands'!S427</f>
        <v>9</v>
      </c>
      <c r="DM153" s="2129"/>
      <c r="DN153" s="2585">
        <f>'Inl. wetlands'!U427</f>
        <v>0</v>
      </c>
      <c r="DO153" s="2129"/>
      <c r="DP153" s="2560"/>
      <c r="DU153" s="2591"/>
      <c r="DV153" s="2591" t="str">
        <f t="shared" si="83"/>
        <v>Please select</v>
      </c>
      <c r="DW153" s="2591"/>
      <c r="DX153" s="2612">
        <f>'Inl. wetlands'!H455</f>
        <v>0</v>
      </c>
      <c r="DY153" s="4206"/>
      <c r="DZ153" s="4155">
        <f>'Inl. wetlands'!J455</f>
        <v>0</v>
      </c>
      <c r="EA153" s="2128"/>
      <c r="EB153" s="4155">
        <f>'Inl. wetlands'!L455</f>
        <v>0</v>
      </c>
      <c r="EC153" s="2128"/>
      <c r="ED153" s="2591"/>
      <c r="EE153" s="4156">
        <f>'Inl. wetlands'!N455</f>
        <v>0</v>
      </c>
      <c r="EF153" s="4209"/>
      <c r="EG153" s="2591"/>
      <c r="EH153" s="2591"/>
    </row>
    <row r="154" spans="2:138" x14ac:dyDescent="0.2">
      <c r="B154" s="1960"/>
      <c r="C154" s="4572"/>
      <c r="D154" s="4572"/>
      <c r="E154" s="4572"/>
      <c r="F154" s="1960"/>
      <c r="G154" s="1960"/>
      <c r="H154" s="1960"/>
      <c r="I154" s="2131" t="s">
        <v>57</v>
      </c>
      <c r="J154" s="1960"/>
      <c r="K154" s="4200">
        <v>0</v>
      </c>
      <c r="L154" s="1960"/>
      <c r="M154" s="4200">
        <v>0</v>
      </c>
      <c r="N154" s="2128">
        <v>0</v>
      </c>
      <c r="O154" s="2104" t="s">
        <v>86</v>
      </c>
      <c r="P154" s="2128">
        <v>0</v>
      </c>
      <c r="Q154" s="2104" t="s">
        <v>86</v>
      </c>
      <c r="R154" s="1960"/>
      <c r="S154" s="2107">
        <f t="shared" si="74"/>
        <v>0</v>
      </c>
      <c r="T154" s="2107">
        <f t="shared" si="75"/>
        <v>0</v>
      </c>
      <c r="U154" s="2107">
        <f t="shared" si="76"/>
        <v>0</v>
      </c>
      <c r="V154" s="1960"/>
      <c r="W154" s="4195">
        <v>0</v>
      </c>
      <c r="X154" s="4195">
        <v>0</v>
      </c>
      <c r="Y154" s="4195">
        <v>0</v>
      </c>
      <c r="Z154" s="1960"/>
      <c r="AA154" s="4194" t="s">
        <v>1053</v>
      </c>
      <c r="AB154" s="2129" t="s">
        <v>1053</v>
      </c>
      <c r="AC154" s="1960"/>
      <c r="AD154" s="1960"/>
      <c r="AE154" s="2107">
        <f>'Inl. wetlands'!AI457+'Inl. wetlands'!AI443+'Inl. wetlands'!AI429+'Inl. wetlands'!AI417</f>
        <v>0</v>
      </c>
      <c r="AF154" s="2107">
        <f>'Inl. wetlands'!AJ457+'Inl. wetlands'!AJ443+'Inl. wetlands'!AJ429+'Inl. wetlands'!AJ417</f>
        <v>0</v>
      </c>
      <c r="AG154" s="1806">
        <f t="shared" si="77"/>
        <v>0</v>
      </c>
      <c r="AH154" s="1960"/>
      <c r="AI154" s="1960"/>
      <c r="AW154" s="4159"/>
      <c r="BC154" s="4159"/>
      <c r="BZ154" s="4363">
        <v>1</v>
      </c>
      <c r="CA154" s="4364"/>
      <c r="CB154" s="1996"/>
      <c r="CD154" s="2591"/>
      <c r="CE154" s="2591" t="str">
        <f t="shared" si="78"/>
        <v>Please select</v>
      </c>
      <c r="CF154" s="2612">
        <f>'Inl. wetlands'!B443</f>
        <v>0</v>
      </c>
      <c r="CG154" s="4205"/>
      <c r="CH154" s="2612">
        <f>'Inl. wetlands'!D443</f>
        <v>0</v>
      </c>
      <c r="CI154" s="4205"/>
      <c r="CJ154" s="2612">
        <f>'Inl. wetlands'!F443</f>
        <v>0</v>
      </c>
      <c r="CK154" s="4205"/>
      <c r="CL154" s="2591"/>
      <c r="CM154" s="2612">
        <f>'Inl. wetlands'!H443</f>
        <v>0</v>
      </c>
      <c r="CN154" s="4205"/>
      <c r="CO154" s="4156">
        <f>'Inl. wetlands'!J443</f>
        <v>0</v>
      </c>
      <c r="CP154" s="4205"/>
      <c r="CQ154" s="2591"/>
      <c r="CT154" s="2560"/>
      <c r="CU154" s="2319" t="str">
        <f t="shared" si="81"/>
        <v>Please select</v>
      </c>
      <c r="CV154" s="2585">
        <f t="shared" si="79"/>
        <v>0</v>
      </c>
      <c r="CW154" s="2585">
        <f t="shared" si="79"/>
        <v>0</v>
      </c>
      <c r="CX154" s="2585">
        <f t="shared" si="82"/>
        <v>0</v>
      </c>
      <c r="CY154" s="2560"/>
      <c r="CZ154" s="4105" t="s">
        <v>57</v>
      </c>
      <c r="DA154" s="2560"/>
      <c r="DB154" s="2129">
        <v>1</v>
      </c>
      <c r="DC154" s="4210">
        <v>0.01</v>
      </c>
      <c r="DD154" s="4171"/>
      <c r="DE154" s="2129">
        <v>1</v>
      </c>
      <c r="DF154" s="4210">
        <v>0.01</v>
      </c>
      <c r="DG154" s="2560"/>
      <c r="DH154" s="2585">
        <f>'Inl. wetlands'!O428</f>
        <v>362</v>
      </c>
      <c r="DI154" s="2129"/>
      <c r="DJ154" s="2585">
        <f>'Inl. wetlands'!Q428</f>
        <v>207</v>
      </c>
      <c r="DK154" s="2129"/>
      <c r="DL154" s="2585">
        <f>'Inl. wetlands'!S428</f>
        <v>9</v>
      </c>
      <c r="DM154" s="2129"/>
      <c r="DN154" s="2585">
        <f>'Inl. wetlands'!U428</f>
        <v>0</v>
      </c>
      <c r="DO154" s="2129"/>
      <c r="DP154" s="2560"/>
      <c r="DU154" s="2591"/>
      <c r="DV154" s="2591" t="str">
        <f t="shared" si="83"/>
        <v>Please select</v>
      </c>
      <c r="DW154" s="2591"/>
      <c r="DX154" s="2612">
        <f>'Inl. wetlands'!H456</f>
        <v>0</v>
      </c>
      <c r="DY154" s="4206"/>
      <c r="DZ154" s="4155">
        <f>'Inl. wetlands'!J456</f>
        <v>0</v>
      </c>
      <c r="EA154" s="2128"/>
      <c r="EB154" s="4155">
        <f>'Inl. wetlands'!L456</f>
        <v>0</v>
      </c>
      <c r="EC154" s="2128"/>
      <c r="ED154" s="2591"/>
      <c r="EE154" s="4156">
        <f>'Inl. wetlands'!N456</f>
        <v>0</v>
      </c>
      <c r="EF154" s="4209"/>
      <c r="EG154" s="2591"/>
      <c r="EH154" s="2591"/>
    </row>
    <row r="155" spans="2:138" x14ac:dyDescent="0.2">
      <c r="B155" s="1960"/>
      <c r="C155" s="4572"/>
      <c r="D155" s="4572"/>
      <c r="E155" s="4572"/>
      <c r="F155" s="1960"/>
      <c r="G155" s="1960"/>
      <c r="H155" s="1960"/>
      <c r="I155" s="2131" t="s">
        <v>57</v>
      </c>
      <c r="J155" s="1960"/>
      <c r="K155" s="4200">
        <v>0</v>
      </c>
      <c r="L155" s="1960"/>
      <c r="M155" s="4200">
        <v>0</v>
      </c>
      <c r="N155" s="2128">
        <v>0</v>
      </c>
      <c r="O155" s="2104" t="s">
        <v>86</v>
      </c>
      <c r="P155" s="2128">
        <v>0</v>
      </c>
      <c r="Q155" s="2104" t="s">
        <v>86</v>
      </c>
      <c r="R155" s="1960"/>
      <c r="S155" s="2107">
        <f t="shared" si="74"/>
        <v>0</v>
      </c>
      <c r="T155" s="2107">
        <f t="shared" si="75"/>
        <v>0</v>
      </c>
      <c r="U155" s="2107">
        <f t="shared" si="76"/>
        <v>0</v>
      </c>
      <c r="V155" s="1960"/>
      <c r="W155" s="4195">
        <v>0</v>
      </c>
      <c r="X155" s="4195">
        <v>0</v>
      </c>
      <c r="Y155" s="4195">
        <v>0</v>
      </c>
      <c r="Z155" s="1960"/>
      <c r="AA155" s="4194" t="s">
        <v>1053</v>
      </c>
      <c r="AB155" s="2129" t="s">
        <v>1053</v>
      </c>
      <c r="AC155" s="1960"/>
      <c r="AD155" s="1960"/>
      <c r="AE155" s="2107">
        <f>'Inl. wetlands'!AI458+'Inl. wetlands'!AI444+'Inl. wetlands'!AI430+'Inl. wetlands'!AI418</f>
        <v>0</v>
      </c>
      <c r="AF155" s="2107">
        <f>'Inl. wetlands'!AJ458+'Inl. wetlands'!AJ444+'Inl. wetlands'!AJ430+'Inl. wetlands'!AJ418</f>
        <v>0</v>
      </c>
      <c r="AG155" s="1806">
        <f t="shared" si="77"/>
        <v>0</v>
      </c>
      <c r="AH155" s="1960"/>
      <c r="AI155" s="1960"/>
      <c r="AW155" s="4159"/>
      <c r="BC155" s="4159"/>
      <c r="BZ155" s="4363">
        <v>1</v>
      </c>
      <c r="CA155" s="4364"/>
      <c r="CB155" s="1996"/>
      <c r="CD155" s="2591"/>
      <c r="CE155" s="2591" t="str">
        <f t="shared" si="78"/>
        <v>Please select</v>
      </c>
      <c r="CF155" s="2612">
        <f>'Inl. wetlands'!B444</f>
        <v>0</v>
      </c>
      <c r="CG155" s="4205"/>
      <c r="CH155" s="2612">
        <f>'Inl. wetlands'!D444</f>
        <v>0</v>
      </c>
      <c r="CI155" s="4205"/>
      <c r="CJ155" s="2612">
        <f>'Inl. wetlands'!F444</f>
        <v>0</v>
      </c>
      <c r="CK155" s="4205"/>
      <c r="CL155" s="2591"/>
      <c r="CM155" s="2612">
        <f>'Inl. wetlands'!H444</f>
        <v>0</v>
      </c>
      <c r="CN155" s="4205"/>
      <c r="CO155" s="4156">
        <f>'Inl. wetlands'!J444</f>
        <v>0</v>
      </c>
      <c r="CP155" s="4205"/>
      <c r="CQ155" s="2591"/>
      <c r="CT155" s="2560"/>
      <c r="CU155" s="2319" t="str">
        <f t="shared" si="81"/>
        <v>Please select</v>
      </c>
      <c r="CV155" s="2585">
        <f t="shared" si="79"/>
        <v>0</v>
      </c>
      <c r="CW155" s="2585">
        <f t="shared" si="79"/>
        <v>0</v>
      </c>
      <c r="CX155" s="2585">
        <f t="shared" si="82"/>
        <v>0</v>
      </c>
      <c r="CY155" s="2560"/>
      <c r="CZ155" s="4105" t="s">
        <v>57</v>
      </c>
      <c r="DA155" s="2560"/>
      <c r="DB155" s="2129">
        <v>1</v>
      </c>
      <c r="DC155" s="4210">
        <v>0.01</v>
      </c>
      <c r="DD155" s="4171"/>
      <c r="DE155" s="2129">
        <v>1</v>
      </c>
      <c r="DF155" s="4210">
        <v>0.01</v>
      </c>
      <c r="DG155" s="2560"/>
      <c r="DH155" s="2585">
        <f>'Inl. wetlands'!O429</f>
        <v>362</v>
      </c>
      <c r="DI155" s="2129"/>
      <c r="DJ155" s="2585">
        <f>'Inl. wetlands'!Q429</f>
        <v>207</v>
      </c>
      <c r="DK155" s="2129"/>
      <c r="DL155" s="2585">
        <f>'Inl. wetlands'!S429</f>
        <v>9</v>
      </c>
      <c r="DM155" s="2129"/>
      <c r="DN155" s="2585">
        <f>'Inl. wetlands'!U429</f>
        <v>0</v>
      </c>
      <c r="DO155" s="2129"/>
      <c r="DP155" s="2560"/>
      <c r="DU155" s="2591"/>
      <c r="DV155" s="2591" t="str">
        <f t="shared" si="83"/>
        <v>Please select</v>
      </c>
      <c r="DW155" s="2591"/>
      <c r="DX155" s="2612">
        <f>'Inl. wetlands'!H457</f>
        <v>0</v>
      </c>
      <c r="DY155" s="4206"/>
      <c r="DZ155" s="4155">
        <f>'Inl. wetlands'!J457</f>
        <v>0</v>
      </c>
      <c r="EA155" s="2128"/>
      <c r="EB155" s="4155">
        <f>'Inl. wetlands'!L457</f>
        <v>0</v>
      </c>
      <c r="EC155" s="2128"/>
      <c r="ED155" s="2591"/>
      <c r="EE155" s="4156">
        <f>'Inl. wetlands'!N457</f>
        <v>0</v>
      </c>
      <c r="EF155" s="4209"/>
      <c r="EG155" s="2591"/>
      <c r="EH155" s="2591"/>
    </row>
    <row r="156" spans="2:138" x14ac:dyDescent="0.2">
      <c r="B156" s="1960"/>
      <c r="C156" s="1960"/>
      <c r="D156" s="1960"/>
      <c r="E156" s="1960"/>
      <c r="F156" s="1960"/>
      <c r="G156" s="1960"/>
      <c r="H156" s="1960"/>
      <c r="I156" s="4271" t="str" cm="1">
        <f t="array" ref="I156">IF(OR(I150:I155="Degraded land",I150:I155="Other land (non-vegetated)"),"There are no EFs for water table management practices on degraded or other land. Please use tier 2 to account for GHG fluxes", "")</f>
        <v/>
      </c>
      <c r="J156" s="1960"/>
      <c r="K156" s="4185"/>
      <c r="L156" s="1960"/>
      <c r="M156" s="4182"/>
      <c r="N156" s="4182"/>
      <c r="O156" s="4183"/>
      <c r="P156" s="4182"/>
      <c r="Q156" s="1960"/>
      <c r="R156" s="1960"/>
      <c r="S156" s="4271"/>
      <c r="T156" s="1960"/>
      <c r="U156" s="4271"/>
      <c r="V156" s="4271"/>
      <c r="W156" s="4271"/>
      <c r="X156" s="1960"/>
      <c r="Y156" s="4271"/>
      <c r="Z156" s="4271"/>
      <c r="AA156" s="4271" t="str">
        <f>IF(OR(AND(AB150&lt;&gt;"Y/N", AB150&lt;&gt;"No"), AND(AB151&lt;&gt;"Y/N",AB151&lt;&gt;"No" ), AND(AB152&lt;&gt;"Y/N",AB152&lt;&gt;"No" ), AND(AB153&lt;&gt;"Y/N", AB153&lt;&gt;"No"), AND(AB154&lt;&gt;"Y/N", AB154&lt;&gt;"No"), AND(AB155&lt;&gt;"Y/N", AB155&lt;&gt;"No")), list!$B$279, "")</f>
        <v/>
      </c>
      <c r="AB156" s="4144"/>
      <c r="AC156" s="4144"/>
      <c r="AD156" s="1960"/>
      <c r="AE156" s="1960"/>
      <c r="AF156" s="1960"/>
      <c r="AG156" s="1960"/>
      <c r="AH156" s="1960"/>
      <c r="AI156" s="1960"/>
      <c r="AW156" s="4159"/>
      <c r="BC156" s="4159"/>
      <c r="BZ156" s="1996"/>
      <c r="CA156" s="1996"/>
      <c r="CB156" s="1996"/>
      <c r="CD156" s="2591"/>
      <c r="CE156" s="2591"/>
      <c r="CF156" s="2591"/>
      <c r="CG156" s="2591"/>
      <c r="CH156" s="2591"/>
      <c r="CI156" s="2591"/>
      <c r="CJ156" s="2591"/>
      <c r="CK156" s="2591"/>
      <c r="CL156" s="2591"/>
      <c r="CM156" s="2591"/>
      <c r="CN156" s="2591"/>
      <c r="CO156" s="2591"/>
      <c r="CP156" s="2591"/>
      <c r="CQ156" s="2591"/>
      <c r="CT156" s="2560"/>
      <c r="CU156" s="2319" t="str">
        <f t="shared" si="81"/>
        <v>Please select</v>
      </c>
      <c r="CV156" s="2585">
        <f t="shared" si="79"/>
        <v>0</v>
      </c>
      <c r="CW156" s="2585">
        <f t="shared" si="79"/>
        <v>0</v>
      </c>
      <c r="CX156" s="2585">
        <f t="shared" si="82"/>
        <v>0</v>
      </c>
      <c r="CY156" s="2560"/>
      <c r="CZ156" s="4105" t="s">
        <v>57</v>
      </c>
      <c r="DA156" s="2560"/>
      <c r="DB156" s="2129">
        <v>1</v>
      </c>
      <c r="DC156" s="4210">
        <v>0.01</v>
      </c>
      <c r="DD156" s="4171"/>
      <c r="DE156" s="2129">
        <v>1</v>
      </c>
      <c r="DF156" s="4210">
        <v>0.01</v>
      </c>
      <c r="DG156" s="2560"/>
      <c r="DH156" s="2585">
        <f>'Inl. wetlands'!O430</f>
        <v>362</v>
      </c>
      <c r="DI156" s="2129"/>
      <c r="DJ156" s="2585">
        <f>'Inl. wetlands'!Q430</f>
        <v>207</v>
      </c>
      <c r="DK156" s="2129"/>
      <c r="DL156" s="2585">
        <f>'Inl. wetlands'!S430</f>
        <v>9</v>
      </c>
      <c r="DM156" s="2129"/>
      <c r="DN156" s="2585">
        <f>'Inl. wetlands'!U430</f>
        <v>0</v>
      </c>
      <c r="DO156" s="2129"/>
      <c r="DP156" s="2560"/>
      <c r="DU156" s="2591"/>
      <c r="DV156" s="2591" t="str">
        <f t="shared" si="83"/>
        <v>Please select</v>
      </c>
      <c r="DW156" s="2591"/>
      <c r="DX156" s="2612">
        <f>'Inl. wetlands'!H458</f>
        <v>0</v>
      </c>
      <c r="DY156" s="4206"/>
      <c r="DZ156" s="4155">
        <f>'Inl. wetlands'!J458</f>
        <v>0</v>
      </c>
      <c r="EA156" s="2128"/>
      <c r="EB156" s="4155">
        <f>'Inl. wetlands'!L458</f>
        <v>0</v>
      </c>
      <c r="EC156" s="2128"/>
      <c r="ED156" s="2591"/>
      <c r="EE156" s="4156">
        <f>'Inl. wetlands'!N458</f>
        <v>0</v>
      </c>
      <c r="EF156" s="4209"/>
      <c r="EG156" s="2591"/>
      <c r="EH156" s="2591"/>
    </row>
    <row r="157" spans="2:138" x14ac:dyDescent="0.2">
      <c r="B157" s="1960"/>
      <c r="C157" s="1838"/>
      <c r="D157" s="1838"/>
      <c r="E157" s="1838"/>
      <c r="F157" s="1960"/>
      <c r="G157" s="1960"/>
      <c r="H157" s="1960"/>
      <c r="I157" s="1960"/>
      <c r="J157" s="1960"/>
      <c r="K157" s="1960"/>
      <c r="L157" s="1960"/>
      <c r="M157" s="4184"/>
      <c r="N157" s="4185"/>
      <c r="O157" s="4185"/>
      <c r="P157" s="4185"/>
      <c r="Q157" s="4185"/>
      <c r="R157" s="1960"/>
      <c r="S157" s="1960"/>
      <c r="T157" s="1960"/>
      <c r="U157" s="1960"/>
      <c r="V157" s="1960"/>
      <c r="W157" s="1960"/>
      <c r="X157" s="1960"/>
      <c r="Y157" s="1960"/>
      <c r="Z157" s="1960"/>
      <c r="AA157" s="1960"/>
      <c r="AB157" s="1960"/>
      <c r="AC157" s="1960"/>
      <c r="AD157" s="2018" t="str">
        <f>Languages!B379</f>
        <v>Total other land-use management (tCO2-e)</v>
      </c>
      <c r="AE157" s="2035">
        <f>SUM(AE150:AE155)</f>
        <v>0</v>
      </c>
      <c r="AF157" s="2035">
        <f>SUM(AF150:AF155)</f>
        <v>0</v>
      </c>
      <c r="AG157" s="2036">
        <f>SUM(AG150:AG155)</f>
        <v>0</v>
      </c>
      <c r="AH157" s="1960"/>
      <c r="AI157" s="1960"/>
      <c r="BZ157" s="4548" t="s">
        <v>87</v>
      </c>
      <c r="CA157" s="4548"/>
      <c r="CB157" s="4548"/>
      <c r="CD157" s="4165" t="str">
        <f>CD126</f>
        <v>Please indicate the dominant quality of peat, this can influence the emission factors above:</v>
      </c>
      <c r="CE157" s="2591"/>
      <c r="CF157" s="2591"/>
      <c r="CG157" s="2591"/>
      <c r="CH157" s="2591"/>
      <c r="CI157" s="2591"/>
      <c r="CJ157" s="2591"/>
      <c r="CK157" s="4205" t="s">
        <v>1055</v>
      </c>
      <c r="CL157" s="4205"/>
      <c r="CM157" s="4205"/>
      <c r="CN157" s="2591"/>
      <c r="CO157" s="2591"/>
      <c r="CP157" s="2591"/>
      <c r="CQ157" s="2591"/>
      <c r="CT157" s="2560"/>
      <c r="CU157" s="2319"/>
      <c r="CV157" s="2560"/>
      <c r="CW157" s="2560"/>
      <c r="CX157" s="2560"/>
      <c r="CY157" s="2560"/>
      <c r="CZ157" s="2560"/>
      <c r="DA157" s="2560"/>
      <c r="DB157" s="2560"/>
      <c r="DC157" s="4171"/>
      <c r="DD157" s="4171"/>
      <c r="DE157" s="2560"/>
      <c r="DF157" s="4171"/>
      <c r="DG157" s="2560"/>
      <c r="DH157" s="2585"/>
      <c r="DI157" s="2560"/>
      <c r="DJ157" s="2585"/>
      <c r="DK157" s="2560"/>
      <c r="DL157" s="2585"/>
      <c r="DM157" s="2560"/>
      <c r="DN157" s="2585"/>
      <c r="DO157" s="2560"/>
      <c r="DP157" s="2560"/>
      <c r="DU157" s="2591"/>
      <c r="DV157" s="2591"/>
      <c r="DW157" s="2591"/>
      <c r="DX157" s="2612"/>
      <c r="DY157" s="2591"/>
      <c r="DZ157" s="4155"/>
      <c r="EA157" s="2591"/>
      <c r="EB157" s="4155"/>
      <c r="EC157" s="2591"/>
      <c r="ED157" s="2591"/>
      <c r="EE157" s="4156"/>
      <c r="EF157" s="2591"/>
      <c r="EG157" s="2591"/>
      <c r="EH157" s="2591"/>
    </row>
    <row r="158" spans="2:138" x14ac:dyDescent="0.2">
      <c r="B158" s="1960"/>
      <c r="C158" s="4142"/>
      <c r="D158" s="1960"/>
      <c r="E158" s="1960"/>
      <c r="F158" s="1960"/>
      <c r="G158" s="1960"/>
      <c r="H158" s="1960"/>
      <c r="I158" s="1960"/>
      <c r="J158" s="1960"/>
      <c r="K158" s="1960"/>
      <c r="L158" s="1960"/>
      <c r="M158" s="1960"/>
      <c r="N158" s="1960"/>
      <c r="O158" s="1960"/>
      <c r="P158" s="1960"/>
      <c r="Q158" s="1960"/>
      <c r="R158" s="1960"/>
      <c r="S158" s="1960"/>
      <c r="T158" s="1960"/>
      <c r="U158" s="1960"/>
      <c r="V158" s="1960"/>
      <c r="W158" s="1960"/>
      <c r="X158" s="1960"/>
      <c r="Y158" s="1960"/>
      <c r="Z158" s="1960"/>
      <c r="AA158" s="1960"/>
      <c r="AB158" s="1960"/>
      <c r="AC158" s="1960"/>
      <c r="AD158" s="1960"/>
      <c r="AE158" s="1960"/>
      <c r="AF158" s="1960"/>
      <c r="AG158" s="1960"/>
      <c r="AH158" s="1960"/>
      <c r="AI158" s="1960"/>
      <c r="BZ158" s="4548"/>
      <c r="CA158" s="4548"/>
      <c r="CB158" s="4548"/>
      <c r="CD158" s="2591" t="str">
        <f>CD136</f>
        <v>Use this part only if you want to refine the analysis at Tier 2</v>
      </c>
      <c r="CE158" s="2591"/>
      <c r="CF158" s="2591"/>
      <c r="CG158" s="2591"/>
      <c r="CH158" s="2591"/>
      <c r="CI158" s="2591"/>
      <c r="CJ158" s="2591"/>
      <c r="CK158" s="2591"/>
      <c r="CL158" s="2591"/>
      <c r="CM158" s="2591"/>
      <c r="CN158" s="2591"/>
      <c r="CO158" s="2591"/>
      <c r="CP158" s="2591"/>
      <c r="CQ158" s="2591"/>
      <c r="CT158" s="2319" t="str">
        <f>CD158</f>
        <v>Use this part only if you want to refine the analysis at Tier 2</v>
      </c>
      <c r="CU158" s="4186"/>
      <c r="CV158" s="2591"/>
      <c r="CW158" s="2591"/>
      <c r="CX158" s="2591"/>
      <c r="CY158" s="2591"/>
      <c r="CZ158" s="2591"/>
      <c r="DA158" s="2591"/>
      <c r="DB158" s="2560"/>
      <c r="DC158" s="2560"/>
      <c r="DD158" s="2560"/>
      <c r="DE158" s="2560"/>
      <c r="DF158" s="2560"/>
      <c r="DG158" s="2560"/>
      <c r="DH158" s="2560"/>
      <c r="DI158" s="2560"/>
      <c r="DJ158" s="2560"/>
      <c r="DK158" s="2560"/>
      <c r="DL158" s="2560"/>
      <c r="DM158" s="2560"/>
      <c r="DN158" s="2560"/>
      <c r="DO158" s="2560"/>
      <c r="DP158" s="2560"/>
      <c r="DU158" s="2591"/>
      <c r="DV158" s="2591"/>
      <c r="DW158" s="2591"/>
      <c r="DX158" s="2591"/>
      <c r="DY158" s="2591"/>
      <c r="DZ158" s="2591"/>
      <c r="EA158" s="2591"/>
      <c r="EB158" s="2591"/>
      <c r="EC158" s="2591"/>
      <c r="ED158" s="4186"/>
      <c r="EE158" s="2591"/>
      <c r="EF158" s="4161" t="str">
        <f>CK157</f>
        <v>Nutrient poor</v>
      </c>
      <c r="EG158" s="4145" t="s">
        <v>1054</v>
      </c>
      <c r="EH158" s="2591"/>
    </row>
    <row r="159" spans="2:138" x14ac:dyDescent="0.2">
      <c r="B159" s="1960"/>
      <c r="C159" s="1960" t="str">
        <f>C138</f>
        <v>*The selection of "D" corresponds to a default (linear) dynamics of change. Other selection options include "I" for immediate changes and "E" for exponential - please refer to the guidelines for further explanation of these assumptions.</v>
      </c>
      <c r="D159" s="1960"/>
      <c r="E159" s="1960"/>
      <c r="F159" s="1960"/>
      <c r="G159" s="1960"/>
      <c r="H159" s="1960"/>
      <c r="I159" s="1960"/>
      <c r="J159" s="1960"/>
      <c r="K159" s="1960"/>
      <c r="L159" s="1960"/>
      <c r="M159" s="1960"/>
      <c r="N159" s="1960"/>
      <c r="O159" s="1960"/>
      <c r="P159" s="1960"/>
      <c r="Q159" s="1960"/>
      <c r="R159" s="1960"/>
      <c r="S159" s="1960"/>
      <c r="T159" s="1960"/>
      <c r="U159" s="1960"/>
      <c r="V159" s="1960"/>
      <c r="W159" s="1960"/>
      <c r="X159" s="1960"/>
      <c r="Y159" s="1960"/>
      <c r="Z159" s="1960"/>
      <c r="AA159" s="1960"/>
      <c r="AB159" s="1960"/>
      <c r="AC159" s="1960"/>
      <c r="AD159" s="1960"/>
      <c r="AE159" s="1960"/>
      <c r="AF159" s="1960"/>
      <c r="AG159" s="1960"/>
      <c r="AH159" s="1960"/>
      <c r="AI159" s="1960"/>
      <c r="BZ159" s="4548"/>
      <c r="CA159" s="4548"/>
      <c r="CB159" s="4548"/>
      <c r="CD159" s="2591" t="str">
        <f>CD138</f>
        <v>IPCC default values are provided for your information only; EX-ACT will use Tier 2 values automatically wherever specified.</v>
      </c>
      <c r="CE159" s="2591"/>
      <c r="CF159" s="2591"/>
      <c r="CG159" s="2591"/>
      <c r="CH159" s="2591"/>
      <c r="CI159" s="2591"/>
      <c r="CJ159" s="2591"/>
      <c r="CK159" s="2591"/>
      <c r="CL159" s="2591"/>
      <c r="CM159" s="2591"/>
      <c r="CN159" s="2591"/>
      <c r="CO159" s="2591"/>
      <c r="CP159" s="2591"/>
      <c r="CQ159" s="2591"/>
      <c r="CT159" s="2319" t="str">
        <f>CD159</f>
        <v>IPCC default values are provided for your information only; EX-ACT will use Tier 2 values automatically wherever specified.</v>
      </c>
      <c r="CU159" s="4186"/>
      <c r="CV159" s="2591"/>
      <c r="CW159" s="2591"/>
      <c r="CX159" s="2591"/>
      <c r="CY159" s="2591"/>
      <c r="CZ159" s="2591"/>
      <c r="DA159" s="2591"/>
      <c r="DB159" s="2591"/>
      <c r="DC159" s="2591"/>
      <c r="DD159" s="2591"/>
      <c r="DE159" s="2591"/>
      <c r="DF159" s="2591"/>
      <c r="DG159" s="2591"/>
      <c r="DH159" s="2591"/>
      <c r="DI159" s="2591"/>
      <c r="DJ159" s="2591"/>
      <c r="DK159" s="2591"/>
      <c r="DL159" s="2591"/>
      <c r="DM159" s="2591"/>
      <c r="DN159" s="2591"/>
      <c r="DO159" s="2591"/>
      <c r="DP159" s="2591"/>
      <c r="DU159" s="2591" t="str">
        <f>DU136</f>
        <v>Use this part only if you want to refine the analysis at Tier 2</v>
      </c>
      <c r="DV159" s="2591"/>
      <c r="DW159" s="2591"/>
      <c r="DX159" s="2591"/>
      <c r="DY159" s="2591"/>
      <c r="DZ159" s="2591"/>
      <c r="EA159" s="2591"/>
      <c r="EB159" s="2591"/>
      <c r="EC159" s="2591"/>
      <c r="ED159" s="2591"/>
      <c r="EE159" s="2591"/>
      <c r="EF159" s="2591"/>
      <c r="EG159" s="2591"/>
      <c r="EH159" s="2591"/>
    </row>
    <row r="160" spans="2:138" x14ac:dyDescent="0.2">
      <c r="B160" s="1960"/>
      <c r="C160" s="1960"/>
      <c r="D160" s="1960"/>
      <c r="E160" s="1960"/>
      <c r="F160" s="1960"/>
      <c r="G160" s="1960"/>
      <c r="H160" s="1960"/>
      <c r="I160" s="1960"/>
      <c r="J160" s="1960"/>
      <c r="K160" s="1960"/>
      <c r="L160" s="1960"/>
      <c r="M160" s="1960"/>
      <c r="N160" s="1960"/>
      <c r="O160" s="1960"/>
      <c r="P160" s="1960"/>
      <c r="Q160" s="1960"/>
      <c r="R160" s="1960"/>
      <c r="S160" s="1960"/>
      <c r="T160" s="1960"/>
      <c r="U160" s="1960"/>
      <c r="V160" s="1960"/>
      <c r="W160" s="1960"/>
      <c r="X160" s="1960"/>
      <c r="Y160" s="1960"/>
      <c r="Z160" s="1960"/>
      <c r="AA160" s="1960"/>
      <c r="AB160" s="1960"/>
      <c r="AC160" s="1960"/>
      <c r="AD160" s="1960"/>
      <c r="AE160" s="1960"/>
      <c r="AF160" s="1960"/>
      <c r="AG160" s="1960"/>
      <c r="AH160" s="1960"/>
      <c r="AI160" s="1960"/>
      <c r="BZ160" s="1996"/>
      <c r="CA160" s="1996"/>
      <c r="CB160" s="1996"/>
      <c r="CD160" s="2591"/>
      <c r="CE160" s="2591"/>
      <c r="CF160" s="2591"/>
      <c r="CG160" s="2591"/>
      <c r="CH160" s="2591"/>
      <c r="CI160" s="2591"/>
      <c r="CJ160" s="2591"/>
      <c r="CK160" s="2591"/>
      <c r="CL160" s="2591"/>
      <c r="CM160" s="2591"/>
      <c r="CN160" s="2591"/>
      <c r="CO160" s="2591"/>
      <c r="CP160" s="2591"/>
      <c r="CQ160" s="2591"/>
      <c r="CT160" s="2591"/>
      <c r="CU160" s="2591"/>
      <c r="CV160" s="2591"/>
      <c r="CW160" s="2591"/>
      <c r="CX160" s="2591"/>
      <c r="CY160" s="2591"/>
      <c r="CZ160" s="2591"/>
      <c r="DA160" s="2591"/>
      <c r="DB160" s="2591"/>
      <c r="DC160" s="2591"/>
      <c r="DD160" s="2591"/>
      <c r="DE160" s="2591"/>
      <c r="DF160" s="2591"/>
      <c r="DG160" s="2591"/>
      <c r="DH160" s="2591"/>
      <c r="DI160" s="2591"/>
      <c r="DJ160" s="2591"/>
      <c r="DK160" s="2591"/>
      <c r="DL160" s="2591"/>
      <c r="DM160" s="2591"/>
      <c r="DN160" s="2591"/>
      <c r="DO160" s="2591"/>
      <c r="DP160" s="2591"/>
      <c r="DU160" s="2591" t="str">
        <f>DU138</f>
        <v>IPCC default values are provided for your information only; EX-ACT will use Tier 2 values automatically wherever specified.</v>
      </c>
      <c r="DV160" s="2591"/>
      <c r="DW160" s="2591"/>
      <c r="DX160" s="2591"/>
      <c r="DY160" s="2591"/>
      <c r="DZ160" s="2591"/>
      <c r="EA160" s="2591"/>
      <c r="EB160" s="2591"/>
      <c r="EC160" s="2591"/>
      <c r="ED160" s="2591"/>
      <c r="EE160" s="2591"/>
      <c r="EF160" s="2591"/>
      <c r="EG160" s="2591"/>
      <c r="EH160" s="2591"/>
    </row>
    <row r="169" spans="2:100" ht="45" customHeight="1" x14ac:dyDescent="0.2">
      <c r="B169" s="1976"/>
      <c r="C169" s="2168" t="str">
        <f>Languages!B357</f>
        <v>6.3 LAND MANAGED FOR PEAT EXTRACTION</v>
      </c>
      <c r="D169" s="1769"/>
      <c r="E169" s="1769"/>
      <c r="F169" s="1769"/>
      <c r="G169" s="1769"/>
      <c r="H169" s="1769"/>
      <c r="I169" s="1769"/>
      <c r="J169" s="1769"/>
      <c r="K169" s="1769"/>
      <c r="L169" s="1769"/>
      <c r="M169" s="1769"/>
      <c r="N169" s="1769"/>
      <c r="O169" s="1769"/>
      <c r="P169" s="1769"/>
      <c r="Q169" s="1976"/>
      <c r="R169" s="1976"/>
      <c r="S169" s="1976"/>
      <c r="T169" s="1976"/>
      <c r="U169" s="1976"/>
      <c r="V169" s="1976"/>
      <c r="W169" s="1976"/>
      <c r="X169" s="1976"/>
      <c r="Y169" s="1976"/>
      <c r="Z169" s="1976"/>
      <c r="AA169" s="1976"/>
      <c r="AB169" s="1976"/>
      <c r="AC169" s="1976"/>
      <c r="AD169" s="1976"/>
      <c r="AE169" s="1978" t="str">
        <f>AB145</f>
        <v>If country-specific data are available, please go to Tier 2:</v>
      </c>
      <c r="AF169" s="1976"/>
      <c r="AG169" s="1769"/>
      <c r="AH169" s="1976"/>
      <c r="AI169" s="1976"/>
      <c r="BZ169" s="4366" t="s">
        <v>71</v>
      </c>
      <c r="CA169" s="4366"/>
      <c r="CB169" s="4366"/>
      <c r="CD169" s="1975" t="str">
        <f>Languages!B368</f>
        <v>6.3 LAND MANAGED FOR PEAT EXTRACTION</v>
      </c>
      <c r="CE169" s="1976"/>
      <c r="CF169" s="1976"/>
      <c r="CG169" s="1976"/>
      <c r="CH169" s="1976"/>
      <c r="CI169" s="1976"/>
      <c r="CJ169" s="1976"/>
      <c r="CK169" s="1976"/>
      <c r="CL169" s="1976"/>
      <c r="CM169" s="1976"/>
      <c r="CN169" s="1976"/>
      <c r="CO169" s="1976"/>
      <c r="CP169" s="1976"/>
      <c r="CQ169" s="1976"/>
      <c r="CR169" s="1976"/>
      <c r="CS169" s="1976"/>
      <c r="CT169" s="1976"/>
      <c r="CU169" s="1976"/>
      <c r="CV169" s="1976"/>
    </row>
    <row r="170" spans="2:100" ht="5.25" customHeight="1" x14ac:dyDescent="0.2">
      <c r="BZ170" s="1915"/>
      <c r="CA170" s="1915"/>
    </row>
    <row r="171" spans="2:100" ht="17" x14ac:dyDescent="0.2">
      <c r="B171" s="1960"/>
      <c r="C171" s="1960"/>
      <c r="D171" s="1960"/>
      <c r="E171" s="1960"/>
      <c r="F171" s="1960"/>
      <c r="G171" s="1960"/>
      <c r="H171" s="1960"/>
      <c r="I171" s="1960"/>
      <c r="J171" s="1960"/>
      <c r="K171" s="1960"/>
      <c r="L171" s="1960"/>
      <c r="M171" s="1960"/>
      <c r="N171" s="1960"/>
      <c r="O171" s="1960"/>
      <c r="P171" s="1960"/>
      <c r="Q171" s="1960"/>
      <c r="R171" s="1960"/>
      <c r="S171" s="1960"/>
      <c r="T171" s="1960"/>
      <c r="U171" s="1960"/>
      <c r="V171" s="1960"/>
      <c r="W171" s="1960"/>
      <c r="X171" s="1960"/>
      <c r="Y171" s="1960"/>
      <c r="Z171" s="1960"/>
      <c r="AA171" s="1960"/>
      <c r="AB171" s="1960"/>
      <c r="AC171" s="1960"/>
      <c r="AD171" s="1960"/>
      <c r="AE171" s="1960"/>
      <c r="AF171" s="1960"/>
      <c r="AG171" s="1960"/>
      <c r="AH171" s="1960"/>
      <c r="AI171" s="1960"/>
      <c r="BZ171" s="1784"/>
      <c r="CA171" s="1784"/>
      <c r="CB171" s="1996"/>
      <c r="CD171" s="2591"/>
      <c r="CE171" s="2591"/>
      <c r="CF171" s="4140" t="str">
        <f>CF146</f>
        <v>On-site emission factors</v>
      </c>
      <c r="CG171" s="4140"/>
      <c r="CH171" s="4140"/>
      <c r="CI171" s="4140"/>
      <c r="CJ171" s="4140"/>
      <c r="CK171" s="4140"/>
      <c r="CL171" s="4145"/>
      <c r="CM171" s="4140" t="str">
        <f>CM146</f>
        <v>Off-site emission factors</v>
      </c>
      <c r="CN171" s="4140"/>
      <c r="CO171" s="4140"/>
      <c r="CP171" s="4140"/>
      <c r="CQ171" s="2591"/>
      <c r="CR171" s="4140" t="str">
        <f>Languages!B415</f>
        <v>CO2 emission from peat use</v>
      </c>
      <c r="CS171" s="4140"/>
      <c r="CT171" s="4140"/>
      <c r="CU171" s="4141"/>
      <c r="CV171" s="2591"/>
    </row>
    <row r="172" spans="2:100" x14ac:dyDescent="0.2">
      <c r="B172" s="1960"/>
      <c r="C172" s="4350"/>
      <c r="D172" s="4350"/>
      <c r="E172" s="4350"/>
      <c r="F172" s="1960"/>
      <c r="G172" s="1960"/>
      <c r="H172" s="1960"/>
      <c r="I172" s="4142"/>
      <c r="J172" s="1960"/>
      <c r="K172" s="1960"/>
      <c r="L172" s="1960"/>
      <c r="M172" s="4143" t="str">
        <f>Languages!B406</f>
        <v>Surface where peat is extracted (ha)</v>
      </c>
      <c r="N172" s="4144"/>
      <c r="O172" s="4144"/>
      <c r="P172" s="4144"/>
      <c r="Q172" s="4144"/>
      <c r="R172" s="1960"/>
      <c r="S172" s="4352" t="str">
        <f>W147</f>
        <v>% area occupied by ditches</v>
      </c>
      <c r="T172" s="4352"/>
      <c r="U172" s="4352"/>
      <c r="V172" s="1960"/>
      <c r="W172" s="4143" t="str">
        <f>Languages!B407</f>
        <v>Height of extraction (cm)</v>
      </c>
      <c r="X172" s="4144"/>
      <c r="Y172" s="4144"/>
      <c r="Z172" s="1960"/>
      <c r="AA172" s="4143" t="str">
        <f>Languages!B408</f>
        <v>Quantity of peat produced (tonne/year)</v>
      </c>
      <c r="AB172" s="4144"/>
      <c r="AC172" s="4144"/>
      <c r="AD172" s="1960"/>
      <c r="AE172" s="1960"/>
      <c r="AF172" s="4143" t="str">
        <f>AE147</f>
        <v>Total emissions (tCO2-e)</v>
      </c>
      <c r="AG172" s="4143"/>
      <c r="AH172" s="4143"/>
      <c r="AI172" s="1960"/>
      <c r="BZ172" s="1889" t="s">
        <v>74</v>
      </c>
      <c r="CA172" s="1889"/>
      <c r="CB172" s="1996"/>
      <c r="CD172" s="2591"/>
      <c r="CE172" s="2591"/>
      <c r="CF172" s="4151" t="str">
        <f>CF147</f>
        <v>CO2</v>
      </c>
      <c r="CG172" s="4151"/>
      <c r="CH172" s="4151" t="str">
        <f t="shared" ref="CH172:CO172" si="84">CH147</f>
        <v>CH4</v>
      </c>
      <c r="CI172" s="4151"/>
      <c r="CJ172" s="4151" t="str">
        <f t="shared" si="84"/>
        <v>N2O</v>
      </c>
      <c r="CK172" s="4151"/>
      <c r="CL172" s="4151"/>
      <c r="CM172" s="4151" t="str">
        <f t="shared" si="84"/>
        <v>DOC</v>
      </c>
      <c r="CN172" s="4151"/>
      <c r="CO172" s="4149" t="str">
        <f t="shared" si="84"/>
        <v>CH4</v>
      </c>
      <c r="CP172" s="2591"/>
      <c r="CQ172" s="2591"/>
      <c r="CR172" s="2591" t="str">
        <f>Languages!B414</f>
        <v>Peat density</v>
      </c>
      <c r="CS172" s="2591"/>
      <c r="CT172" s="2591"/>
      <c r="CU172" s="2591"/>
      <c r="CV172" s="2591"/>
    </row>
    <row r="173" spans="2:100" x14ac:dyDescent="0.2">
      <c r="B173" s="1960"/>
      <c r="C173" s="1838" t="str">
        <f>C148</f>
        <v>User notes</v>
      </c>
      <c r="D173" s="1960"/>
      <c r="E173" s="1960"/>
      <c r="F173" s="1960"/>
      <c r="G173" s="1960"/>
      <c r="H173" s="1960"/>
      <c r="I173" s="1834" t="str">
        <f>Languages!B405</f>
        <v>Type of peat</v>
      </c>
      <c r="J173" s="1960"/>
      <c r="K173" s="1960"/>
      <c r="L173" s="1960"/>
      <c r="M173" s="1960"/>
      <c r="N173" s="1960"/>
      <c r="O173" s="1960"/>
      <c r="P173" s="1960"/>
      <c r="Q173" s="1960"/>
      <c r="R173" s="1960"/>
      <c r="S173" s="1960"/>
      <c r="T173" s="1838"/>
      <c r="U173" s="1838"/>
      <c r="V173" s="1960"/>
      <c r="W173" s="1838"/>
      <c r="X173" s="1838"/>
      <c r="Y173" s="1838"/>
      <c r="Z173" s="1960"/>
      <c r="AA173" s="1960"/>
      <c r="AB173" s="1960"/>
      <c r="AC173" s="1960"/>
      <c r="AD173" s="1960"/>
      <c r="AE173" s="1960"/>
      <c r="AF173" s="1960"/>
      <c r="AG173" s="1960"/>
      <c r="AH173" s="1960"/>
      <c r="AI173" s="1960"/>
      <c r="BZ173" s="2014" t="s">
        <v>82</v>
      </c>
      <c r="CA173" s="2014"/>
      <c r="CB173" s="1996"/>
      <c r="CD173" s="2591"/>
      <c r="CE173" s="4145" t="str">
        <f>I173</f>
        <v>Type of peat</v>
      </c>
      <c r="CF173" s="2560" t="str">
        <f>CF148</f>
        <v>tC/ha/yr</v>
      </c>
      <c r="CG173" s="2560"/>
      <c r="CH173" s="2560" t="str">
        <f>CH148</f>
        <v>kgCH4/ha/yr</v>
      </c>
      <c r="CI173" s="2560"/>
      <c r="CJ173" s="2560" t="str">
        <f>CJ148</f>
        <v>kgN2O-N/ha/yr</v>
      </c>
      <c r="CK173" s="2560"/>
      <c r="CL173" s="2560"/>
      <c r="CM173" s="2560" t="str">
        <f>CM148</f>
        <v>tC/ha/yr</v>
      </c>
      <c r="CN173" s="2560"/>
      <c r="CO173" s="2560" t="str">
        <f>CO148</f>
        <v>kgCH4/ha/yr</v>
      </c>
      <c r="CP173" s="2560"/>
      <c r="CQ173" s="2591"/>
      <c r="CR173" s="2591" t="s">
        <v>1080</v>
      </c>
      <c r="CS173" s="2591"/>
      <c r="CT173" s="2591"/>
      <c r="CU173" s="2560" t="str">
        <f>Languages!B416</f>
        <v>Use for energy?*</v>
      </c>
      <c r="CV173" s="2591"/>
    </row>
    <row r="174" spans="2:100" ht="13.25" customHeight="1" x14ac:dyDescent="0.2">
      <c r="B174" s="1960"/>
      <c r="C174" s="1960"/>
      <c r="D174" s="1960"/>
      <c r="E174" s="1960"/>
      <c r="F174" s="1960"/>
      <c r="G174" s="1960"/>
      <c r="H174" s="1960"/>
      <c r="I174" s="1834"/>
      <c r="J174" s="1960"/>
      <c r="K174" s="1960"/>
      <c r="L174" s="1960"/>
      <c r="M174" s="1960"/>
      <c r="N174" s="1960"/>
      <c r="O174" s="1960"/>
      <c r="P174" s="1960"/>
      <c r="Q174" s="1960"/>
      <c r="R174" s="1960"/>
      <c r="S174" s="1960"/>
      <c r="T174" s="1960"/>
      <c r="U174" s="1960"/>
      <c r="V174" s="1960"/>
      <c r="W174" s="1960"/>
      <c r="X174" s="1960"/>
      <c r="Y174" s="1960"/>
      <c r="Z174" s="1960"/>
      <c r="AA174" s="1960"/>
      <c r="AB174" s="1960"/>
      <c r="AC174" s="1960"/>
      <c r="AD174" s="1960"/>
      <c r="AE174" s="1960"/>
      <c r="AF174" s="1960"/>
      <c r="AG174" s="1960"/>
      <c r="AH174" s="1960"/>
      <c r="AI174" s="1960"/>
      <c r="BZ174" s="1996"/>
      <c r="CA174" s="1893"/>
      <c r="CB174" s="1996"/>
      <c r="CD174" s="2591"/>
      <c r="CE174" s="2591"/>
      <c r="CF174" s="2591" t="str">
        <f>CF149</f>
        <v>Default</v>
      </c>
      <c r="CG174" s="2591" t="str">
        <f>CG149</f>
        <v>Tier 2</v>
      </c>
      <c r="CH174" s="2591" t="str">
        <f>CF174</f>
        <v>Default</v>
      </c>
      <c r="CI174" s="2591" t="str">
        <f>CG174</f>
        <v>Tier 2</v>
      </c>
      <c r="CJ174" s="2560" t="str">
        <f>CH174</f>
        <v>Default</v>
      </c>
      <c r="CK174" s="2591" t="str">
        <f>CI174</f>
        <v>Tier 2</v>
      </c>
      <c r="CL174" s="2591"/>
      <c r="CM174" s="2591" t="str">
        <f>CJ174</f>
        <v>Default</v>
      </c>
      <c r="CN174" s="2591" t="str">
        <f>CK174</f>
        <v>Tier 2</v>
      </c>
      <c r="CO174" s="2591" t="str">
        <f>CM174</f>
        <v>Default</v>
      </c>
      <c r="CP174" s="2591" t="str">
        <f>CN174</f>
        <v>Tier 2</v>
      </c>
      <c r="CQ174" s="2591"/>
      <c r="CR174" s="2591" t="str">
        <f>CO174</f>
        <v>Default</v>
      </c>
      <c r="CS174" s="2591" t="str">
        <f>CP174</f>
        <v>Tier 2</v>
      </c>
      <c r="CT174" s="2591"/>
      <c r="CU174" s="2591"/>
      <c r="CV174" s="2591"/>
    </row>
    <row r="175" spans="2:100" ht="15.5" customHeight="1" x14ac:dyDescent="0.2">
      <c r="B175" s="1960"/>
      <c r="C175" s="1960"/>
      <c r="D175" s="1960"/>
      <c r="E175" s="1960"/>
      <c r="F175" s="1960"/>
      <c r="G175" s="1960"/>
      <c r="H175" s="1960"/>
      <c r="I175" s="1960"/>
      <c r="J175" s="1960"/>
      <c r="K175" s="1960"/>
      <c r="L175" s="1960"/>
      <c r="M175" s="1838" t="str">
        <f>M149</f>
        <v>Start</v>
      </c>
      <c r="N175" s="1838" t="str">
        <f>N149</f>
        <v>Without</v>
      </c>
      <c r="O175" s="1838" t="s">
        <v>83</v>
      </c>
      <c r="P175" s="1838" t="str">
        <f>P149</f>
        <v>With</v>
      </c>
      <c r="Q175" s="1960" t="s">
        <v>83</v>
      </c>
      <c r="R175" s="1960"/>
      <c r="S175" s="4187" t="str">
        <f>M175</f>
        <v>Start</v>
      </c>
      <c r="T175" s="4187" t="str">
        <f>N175</f>
        <v>Without</v>
      </c>
      <c r="U175" s="4187" t="str">
        <f>P175</f>
        <v>With</v>
      </c>
      <c r="V175" s="1960"/>
      <c r="W175" s="1838" t="str">
        <f>M175</f>
        <v>Start</v>
      </c>
      <c r="X175" s="1838" t="str">
        <f>N175</f>
        <v>Without</v>
      </c>
      <c r="Y175" s="1838" t="str">
        <f>P175</f>
        <v>With</v>
      </c>
      <c r="Z175" s="1960"/>
      <c r="AA175" s="1838" t="str">
        <f>W175</f>
        <v>Start</v>
      </c>
      <c r="AB175" s="1838" t="str">
        <f>X175</f>
        <v>Without</v>
      </c>
      <c r="AC175" s="1838" t="str">
        <f>Y175</f>
        <v>With</v>
      </c>
      <c r="AD175" s="1960"/>
      <c r="AE175" s="1960"/>
      <c r="AF175" s="1838" t="str">
        <f>X175</f>
        <v>Without</v>
      </c>
      <c r="AG175" s="1838" t="str">
        <f>Y175</f>
        <v>With</v>
      </c>
      <c r="AH175" s="1834" t="str">
        <f>AG149</f>
        <v>Balance</v>
      </c>
      <c r="AI175" s="1960"/>
      <c r="BZ175" s="4363">
        <v>1</v>
      </c>
      <c r="CA175" s="4364"/>
      <c r="CB175" s="1996"/>
      <c r="CD175" s="2591"/>
      <c r="CE175" s="2591" t="str">
        <f>I176</f>
        <v>Nutrient-rich</v>
      </c>
      <c r="CF175" s="2612">
        <f>'Inl. wetlands'!H468</f>
        <v>2.8</v>
      </c>
      <c r="CG175" s="4205"/>
      <c r="CH175" s="2612">
        <f>'Inl. wetlands'!J468</f>
        <v>6.1</v>
      </c>
      <c r="CI175" s="4205"/>
      <c r="CJ175" s="2612">
        <f>'Inl. wetlands'!L468</f>
        <v>0.3</v>
      </c>
      <c r="CK175" s="4205"/>
      <c r="CL175" s="2591"/>
      <c r="CM175" s="4156">
        <f>'Inl. wetlands'!N468</f>
        <v>0.31</v>
      </c>
      <c r="CN175" s="4205"/>
      <c r="CO175" s="4156">
        <f>'Inl. wetlands'!P468</f>
        <v>542</v>
      </c>
      <c r="CP175" s="4205"/>
      <c r="CQ175" s="2591"/>
      <c r="CR175" s="2596">
        <f>'Inl. wetlands'!K488</f>
        <v>0.6</v>
      </c>
      <c r="CS175" s="4205"/>
      <c r="CT175" s="2591"/>
      <c r="CU175" s="2129" t="s">
        <v>1657</v>
      </c>
      <c r="CV175" s="2591"/>
    </row>
    <row r="176" spans="2:100" ht="14.75" customHeight="1" x14ac:dyDescent="0.2">
      <c r="B176" s="1960"/>
      <c r="C176" s="4572"/>
      <c r="D176" s="4572"/>
      <c r="E176" s="4572"/>
      <c r="F176" s="1960"/>
      <c r="G176" s="1960"/>
      <c r="H176" s="1960"/>
      <c r="I176" s="4201" t="s">
        <v>1655</v>
      </c>
      <c r="J176" s="1960"/>
      <c r="K176" s="1960"/>
      <c r="L176" s="1960"/>
      <c r="M176" s="4200">
        <v>500</v>
      </c>
      <c r="N176" s="2128">
        <v>30</v>
      </c>
      <c r="O176" s="2104" t="s">
        <v>86</v>
      </c>
      <c r="P176" s="2128">
        <v>32</v>
      </c>
      <c r="Q176" s="2104" t="s">
        <v>86</v>
      </c>
      <c r="R176" s="1960"/>
      <c r="S176" s="4203">
        <v>0.5</v>
      </c>
      <c r="T176" s="4203">
        <v>0.5</v>
      </c>
      <c r="U176" s="4202">
        <v>0.5</v>
      </c>
      <c r="V176" s="1960"/>
      <c r="W176" s="2128">
        <v>50</v>
      </c>
      <c r="X176" s="4204">
        <v>50</v>
      </c>
      <c r="Y176" s="2075">
        <v>50</v>
      </c>
      <c r="Z176" s="1960"/>
      <c r="AA176" s="2107">
        <f>'Inl. wetlands'!P488</f>
        <v>1500000</v>
      </c>
      <c r="AB176" s="2107">
        <f>'Inl. wetlands'!Q488</f>
        <v>90000</v>
      </c>
      <c r="AC176" s="2107">
        <f>'Inl. wetlands'!R488</f>
        <v>96000</v>
      </c>
      <c r="AD176" s="1960"/>
      <c r="AE176" s="1960"/>
      <c r="AF176" s="2107">
        <f>'Inl. wetlands'!AI488+'Inl. wetlands'!AI478</f>
        <v>7181202.7005952382</v>
      </c>
      <c r="AG176" s="2107">
        <f>'Inl. wetlands'!AJ488+'Inl. wetlands'!AJ478</f>
        <v>7291682.7421428571</v>
      </c>
      <c r="AH176" s="1806">
        <f>'Inl. wetlands'!AK488+'Inl. wetlands'!AK478</f>
        <v>110480.04154761904</v>
      </c>
      <c r="AI176" s="1960"/>
      <c r="BZ176" s="4363">
        <v>1</v>
      </c>
      <c r="CA176" s="4364"/>
      <c r="CB176" s="1996"/>
      <c r="CD176" s="2591"/>
      <c r="CE176" s="2591" t="str">
        <f>I177</f>
        <v>Please select</v>
      </c>
      <c r="CF176" s="2612">
        <f>'Inl. wetlands'!H469</f>
        <v>0</v>
      </c>
      <c r="CG176" s="4205"/>
      <c r="CH176" s="2612">
        <f>'Inl. wetlands'!J469</f>
        <v>0</v>
      </c>
      <c r="CI176" s="4205"/>
      <c r="CJ176" s="2612">
        <f>'Inl. wetlands'!L469</f>
        <v>0</v>
      </c>
      <c r="CK176" s="4205"/>
      <c r="CL176" s="2591"/>
      <c r="CM176" s="4156">
        <f>'Inl. wetlands'!N469</f>
        <v>0</v>
      </c>
      <c r="CN176" s="4205"/>
      <c r="CO176" s="4156">
        <f>'Inl. wetlands'!P469</f>
        <v>0</v>
      </c>
      <c r="CP176" s="4205"/>
      <c r="CQ176" s="2591"/>
      <c r="CR176" s="2596">
        <f>'Inl. wetlands'!K489</f>
        <v>0</v>
      </c>
      <c r="CS176" s="4205"/>
      <c r="CT176" s="2591"/>
      <c r="CU176" s="2129" t="s">
        <v>57</v>
      </c>
      <c r="CV176" s="2591"/>
    </row>
    <row r="177" spans="2:100" ht="14.75" customHeight="1" x14ac:dyDescent="0.2">
      <c r="B177" s="1960"/>
      <c r="C177" s="4572"/>
      <c r="D177" s="4572"/>
      <c r="E177" s="4572"/>
      <c r="F177" s="1960"/>
      <c r="G177" s="1960"/>
      <c r="H177" s="1960"/>
      <c r="I177" s="4201" t="s">
        <v>57</v>
      </c>
      <c r="J177" s="1960"/>
      <c r="K177" s="1960"/>
      <c r="L177" s="1960"/>
      <c r="M177" s="4200">
        <v>0</v>
      </c>
      <c r="N177" s="2128">
        <v>0</v>
      </c>
      <c r="O177" s="2104" t="s">
        <v>86</v>
      </c>
      <c r="P177" s="2128">
        <v>0</v>
      </c>
      <c r="Q177" s="2104" t="s">
        <v>86</v>
      </c>
      <c r="R177" s="1960"/>
      <c r="S177" s="4203">
        <v>0</v>
      </c>
      <c r="T177" s="4203">
        <v>0</v>
      </c>
      <c r="U177" s="4202">
        <v>0</v>
      </c>
      <c r="V177" s="1960"/>
      <c r="W177" s="2128">
        <v>50</v>
      </c>
      <c r="X177" s="4204">
        <v>50</v>
      </c>
      <c r="Y177" s="2075">
        <v>50</v>
      </c>
      <c r="Z177" s="1960"/>
      <c r="AA177" s="2107">
        <f>'Inl. wetlands'!P489</f>
        <v>0</v>
      </c>
      <c r="AB177" s="2107">
        <f>'Inl. wetlands'!Q489</f>
        <v>0</v>
      </c>
      <c r="AC177" s="2107">
        <f>'Inl. wetlands'!R489</f>
        <v>0</v>
      </c>
      <c r="AD177" s="1960"/>
      <c r="AE177" s="1960"/>
      <c r="AF177" s="2107">
        <f>'Inl. wetlands'!AI489+'Inl. wetlands'!AI479</f>
        <v>0</v>
      </c>
      <c r="AG177" s="2107">
        <f>'Inl. wetlands'!AJ489+'Inl. wetlands'!AJ479</f>
        <v>0</v>
      </c>
      <c r="AH177" s="1806">
        <f>'Inl. wetlands'!AK489+'Inl. wetlands'!AK479</f>
        <v>0</v>
      </c>
      <c r="AI177" s="1960"/>
      <c r="BZ177" s="4363">
        <v>1</v>
      </c>
      <c r="CA177" s="4364"/>
      <c r="CB177" s="1996"/>
      <c r="CD177" s="2591"/>
      <c r="CE177" s="2591" t="str">
        <f>I178</f>
        <v>Please select</v>
      </c>
      <c r="CF177" s="2612">
        <f>'Inl. wetlands'!H470</f>
        <v>0</v>
      </c>
      <c r="CG177" s="4205"/>
      <c r="CH177" s="2612">
        <f>'Inl. wetlands'!J470</f>
        <v>0</v>
      </c>
      <c r="CI177" s="4205"/>
      <c r="CJ177" s="2612">
        <f>'Inl. wetlands'!L470</f>
        <v>0</v>
      </c>
      <c r="CK177" s="4205"/>
      <c r="CL177" s="2591"/>
      <c r="CM177" s="4156">
        <f>'Inl. wetlands'!N470</f>
        <v>0</v>
      </c>
      <c r="CN177" s="4205"/>
      <c r="CO177" s="4156">
        <f>'Inl. wetlands'!P470</f>
        <v>0</v>
      </c>
      <c r="CP177" s="4205"/>
      <c r="CQ177" s="2591"/>
      <c r="CR177" s="2596">
        <f>'Inl. wetlands'!K490</f>
        <v>0</v>
      </c>
      <c r="CS177" s="4205"/>
      <c r="CT177" s="2591"/>
      <c r="CU177" s="2129" t="s">
        <v>57</v>
      </c>
      <c r="CV177" s="2591"/>
    </row>
    <row r="178" spans="2:100" x14ac:dyDescent="0.2">
      <c r="B178" s="1960"/>
      <c r="C178" s="4572"/>
      <c r="D178" s="4572"/>
      <c r="E178" s="4572"/>
      <c r="F178" s="1960"/>
      <c r="G178" s="1960"/>
      <c r="H178" s="1960"/>
      <c r="I178" s="4201" t="s">
        <v>57</v>
      </c>
      <c r="J178" s="1960"/>
      <c r="K178" s="1960"/>
      <c r="L178" s="1960"/>
      <c r="M178" s="4200">
        <v>0</v>
      </c>
      <c r="N178" s="2128">
        <v>0</v>
      </c>
      <c r="O178" s="2104" t="s">
        <v>86</v>
      </c>
      <c r="P178" s="2128">
        <v>0</v>
      </c>
      <c r="Q178" s="2104" t="s">
        <v>86</v>
      </c>
      <c r="R178" s="1960"/>
      <c r="S178" s="4203">
        <v>0</v>
      </c>
      <c r="T178" s="4203">
        <v>0</v>
      </c>
      <c r="U178" s="4202">
        <v>0</v>
      </c>
      <c r="V178" s="1960"/>
      <c r="W178" s="2128">
        <v>50</v>
      </c>
      <c r="X178" s="4204">
        <v>50</v>
      </c>
      <c r="Y178" s="2075">
        <v>50</v>
      </c>
      <c r="Z178" s="1960"/>
      <c r="AA178" s="2107">
        <f>'Inl. wetlands'!P490</f>
        <v>0</v>
      </c>
      <c r="AB178" s="2107">
        <f>'Inl. wetlands'!Q490</f>
        <v>0</v>
      </c>
      <c r="AC178" s="2107">
        <f>'Inl. wetlands'!R490</f>
        <v>0</v>
      </c>
      <c r="AD178" s="1960"/>
      <c r="AE178" s="1960"/>
      <c r="AF178" s="2107">
        <f>'Inl. wetlands'!AI490+'Inl. wetlands'!AI480</f>
        <v>0</v>
      </c>
      <c r="AG178" s="2107">
        <f>'Inl. wetlands'!AJ490+'Inl. wetlands'!AJ480</f>
        <v>0</v>
      </c>
      <c r="AH178" s="1806">
        <f>'Inl. wetlands'!AK490+'Inl. wetlands'!AK480</f>
        <v>0</v>
      </c>
      <c r="AI178" s="1960"/>
      <c r="BZ178" s="4363">
        <v>1</v>
      </c>
      <c r="CA178" s="4364"/>
      <c r="CB178" s="1996"/>
      <c r="CD178" s="2591"/>
      <c r="CE178" s="2591" t="str">
        <f>I179</f>
        <v>Please select</v>
      </c>
      <c r="CF178" s="2612">
        <f>'Inl. wetlands'!H471</f>
        <v>0</v>
      </c>
      <c r="CG178" s="4205"/>
      <c r="CH178" s="2612">
        <f>'Inl. wetlands'!J471</f>
        <v>0</v>
      </c>
      <c r="CI178" s="4205"/>
      <c r="CJ178" s="2612">
        <f>'Inl. wetlands'!L471</f>
        <v>0</v>
      </c>
      <c r="CK178" s="4205"/>
      <c r="CL178" s="2591"/>
      <c r="CM178" s="4156">
        <f>'Inl. wetlands'!N471</f>
        <v>0</v>
      </c>
      <c r="CN178" s="4205"/>
      <c r="CO178" s="2585">
        <f>'Inl. wetlands'!P471</f>
        <v>0</v>
      </c>
      <c r="CP178" s="4205"/>
      <c r="CQ178" s="2591"/>
      <c r="CR178" s="2596">
        <f>'Inl. wetlands'!K491</f>
        <v>0</v>
      </c>
      <c r="CS178" s="4205"/>
      <c r="CT178" s="2591"/>
      <c r="CU178" s="2129" t="s">
        <v>57</v>
      </c>
      <c r="CV178" s="2591"/>
    </row>
    <row r="179" spans="2:100" x14ac:dyDescent="0.2">
      <c r="B179" s="1960"/>
      <c r="C179" s="4572"/>
      <c r="D179" s="4572"/>
      <c r="E179" s="4572"/>
      <c r="F179" s="1960"/>
      <c r="G179" s="1960"/>
      <c r="H179" s="1960"/>
      <c r="I179" s="4201" t="s">
        <v>57</v>
      </c>
      <c r="J179" s="1960"/>
      <c r="K179" s="1960"/>
      <c r="L179" s="1960"/>
      <c r="M179" s="4200">
        <v>0</v>
      </c>
      <c r="N179" s="2128">
        <v>0</v>
      </c>
      <c r="O179" s="2104" t="s">
        <v>86</v>
      </c>
      <c r="P179" s="2128">
        <v>0</v>
      </c>
      <c r="Q179" s="2104" t="s">
        <v>86</v>
      </c>
      <c r="R179" s="1960"/>
      <c r="S179" s="4203">
        <v>0</v>
      </c>
      <c r="T179" s="4203">
        <v>0</v>
      </c>
      <c r="U179" s="4202">
        <v>0</v>
      </c>
      <c r="V179" s="1960"/>
      <c r="W179" s="2128">
        <v>50</v>
      </c>
      <c r="X179" s="4204">
        <v>50</v>
      </c>
      <c r="Y179" s="2075">
        <v>50</v>
      </c>
      <c r="Z179" s="1960"/>
      <c r="AA179" s="2107">
        <f>'Inl. wetlands'!P491</f>
        <v>0</v>
      </c>
      <c r="AB179" s="2107">
        <f>'Inl. wetlands'!Q491</f>
        <v>0</v>
      </c>
      <c r="AC179" s="2107">
        <f>'Inl. wetlands'!R491</f>
        <v>0</v>
      </c>
      <c r="AD179" s="1960"/>
      <c r="AE179" s="1960"/>
      <c r="AF179" s="2107">
        <f>'Inl. wetlands'!AI491+'Inl. wetlands'!AI481</f>
        <v>0</v>
      </c>
      <c r="AG179" s="2107">
        <f>'Inl. wetlands'!AJ491+'Inl. wetlands'!AJ481</f>
        <v>0</v>
      </c>
      <c r="AH179" s="1806">
        <f>'Inl. wetlands'!AK491+'Inl. wetlands'!AK481</f>
        <v>0</v>
      </c>
      <c r="AI179" s="1960"/>
      <c r="BZ179" s="1996"/>
      <c r="CA179" s="1996"/>
      <c r="CB179" s="1996"/>
      <c r="CD179" s="2591"/>
      <c r="CE179" s="2591"/>
      <c r="CF179" s="2612"/>
      <c r="CG179" s="2591"/>
      <c r="CH179" s="2612"/>
      <c r="CI179" s="2591"/>
      <c r="CJ179" s="2612"/>
      <c r="CK179" s="2591"/>
      <c r="CL179" s="2591"/>
      <c r="CM179" s="2612"/>
      <c r="CN179" s="2591"/>
      <c r="CO179" s="2585"/>
      <c r="CP179" s="2591"/>
      <c r="CQ179" s="2591"/>
      <c r="CR179" s="2591"/>
      <c r="CS179" s="2591"/>
      <c r="CT179" s="2591"/>
      <c r="CU179" s="2591"/>
      <c r="CV179" s="2591"/>
    </row>
    <row r="180" spans="2:100" ht="14" customHeight="1" x14ac:dyDescent="0.2">
      <c r="B180" s="1960"/>
      <c r="C180" s="1960"/>
      <c r="D180" s="1960"/>
      <c r="E180" s="1960"/>
      <c r="F180" s="1960"/>
      <c r="G180" s="1960"/>
      <c r="H180" s="1960"/>
      <c r="I180" s="1960"/>
      <c r="J180" s="1960"/>
      <c r="K180" s="1960"/>
      <c r="L180" s="1960"/>
      <c r="M180" s="1960"/>
      <c r="N180" s="1960"/>
      <c r="O180" s="1960"/>
      <c r="P180" s="1960"/>
      <c r="Q180" s="1960"/>
      <c r="R180" s="1960"/>
      <c r="S180" s="1960"/>
      <c r="T180" s="1960"/>
      <c r="U180" s="1960"/>
      <c r="V180" s="1960"/>
      <c r="W180" s="1960"/>
      <c r="X180" s="1960"/>
      <c r="Y180" s="1960"/>
      <c r="Z180" s="1960"/>
      <c r="AA180" s="1960"/>
      <c r="AB180" s="1960"/>
      <c r="AC180" s="1960"/>
      <c r="AD180" s="1960"/>
      <c r="AE180" s="1960"/>
      <c r="AF180" s="1960"/>
      <c r="AG180" s="4144"/>
      <c r="AH180" s="4144"/>
      <c r="AI180" s="1960"/>
      <c r="BZ180" s="4548" t="s">
        <v>87</v>
      </c>
      <c r="CA180" s="4548"/>
      <c r="CB180" s="4548"/>
      <c r="CD180" s="2591" t="str">
        <f>CD158</f>
        <v>Use this part only if you want to refine the analysis at Tier 2</v>
      </c>
      <c r="CE180" s="2591"/>
      <c r="CF180" s="2591"/>
      <c r="CG180" s="2591"/>
      <c r="CH180" s="2591"/>
      <c r="CI180" s="2591"/>
      <c r="CJ180" s="2591"/>
      <c r="CK180" s="2591"/>
      <c r="CL180" s="2591"/>
      <c r="CM180" s="2591"/>
      <c r="CN180" s="2591"/>
      <c r="CO180" s="2591"/>
      <c r="CP180" s="2591"/>
      <c r="CQ180" s="2591"/>
      <c r="CR180" s="2591"/>
      <c r="CS180" s="2591"/>
      <c r="CT180" s="2591"/>
      <c r="CU180" s="4571" t="str">
        <f>Languages!B419</f>
        <v>*If yes it is automatically accounted for in the 9.Inputs module</v>
      </c>
      <c r="CV180" s="2591"/>
    </row>
    <row r="181" spans="2:100" x14ac:dyDescent="0.2">
      <c r="B181" s="1960"/>
      <c r="C181" s="4142"/>
      <c r="D181" s="1960"/>
      <c r="E181" s="1960"/>
      <c r="F181" s="1960"/>
      <c r="G181" s="1960"/>
      <c r="H181" s="1960"/>
      <c r="I181" s="1960"/>
      <c r="J181" s="1960"/>
      <c r="K181" s="1960"/>
      <c r="L181" s="1960"/>
      <c r="M181" s="1960"/>
      <c r="N181" s="1960"/>
      <c r="O181" s="1960"/>
      <c r="P181" s="1960"/>
      <c r="Q181" s="1960"/>
      <c r="R181" s="1960"/>
      <c r="S181" s="1960"/>
      <c r="T181" s="1960"/>
      <c r="U181" s="1960"/>
      <c r="V181" s="1960"/>
      <c r="W181" s="1960"/>
      <c r="X181" s="1960"/>
      <c r="Y181" s="1960"/>
      <c r="Z181" s="1960"/>
      <c r="AA181" s="1960"/>
      <c r="AB181" s="1960"/>
      <c r="AC181" s="1960"/>
      <c r="AD181" s="1960"/>
      <c r="AE181" s="2018" t="str">
        <f>Languages!B353</f>
        <v>Total peat extraction (tCO2-e)</v>
      </c>
      <c r="AF181" s="2035">
        <f>SUM(AF176:AF179)</f>
        <v>7181202.7005952382</v>
      </c>
      <c r="AG181" s="1843">
        <f>SUM(AG176:AG179)</f>
        <v>7291682.7421428571</v>
      </c>
      <c r="AH181" s="1780">
        <f>SUM(AH176:AH179)</f>
        <v>110480.04154761904</v>
      </c>
      <c r="AI181" s="1960"/>
      <c r="BZ181" s="4548"/>
      <c r="CA181" s="4548"/>
      <c r="CB181" s="4548"/>
      <c r="CD181" s="2591" t="str">
        <f>CD159</f>
        <v>IPCC default values are provided for your information only; EX-ACT will use Tier 2 values automatically wherever specified.</v>
      </c>
      <c r="CE181" s="4145"/>
      <c r="CF181" s="2591"/>
      <c r="CG181" s="2591"/>
      <c r="CH181" s="2591"/>
      <c r="CI181" s="2591"/>
      <c r="CJ181" s="2591"/>
      <c r="CK181" s="2591"/>
      <c r="CL181" s="2591"/>
      <c r="CM181" s="2591"/>
      <c r="CN181" s="2591"/>
      <c r="CO181" s="2591"/>
      <c r="CP181" s="2591"/>
      <c r="CQ181" s="2591"/>
      <c r="CR181" s="2591"/>
      <c r="CS181" s="2591"/>
      <c r="CT181" s="2591"/>
      <c r="CU181" s="4571"/>
      <c r="CV181" s="2591"/>
    </row>
    <row r="182" spans="2:100" x14ac:dyDescent="0.2">
      <c r="B182" s="1960"/>
      <c r="C182" s="1960" t="str">
        <f>C159</f>
        <v>*The selection of "D" corresponds to a default (linear) dynamics of change. Other selection options include "I" for immediate changes and "E" for exponential - please refer to the guidelines for further explanation of these assumptions.</v>
      </c>
      <c r="D182" s="1960"/>
      <c r="E182" s="1960"/>
      <c r="F182" s="1960"/>
      <c r="G182" s="1960"/>
      <c r="H182" s="1960"/>
      <c r="I182" s="1960"/>
      <c r="J182" s="1960"/>
      <c r="K182" s="1960"/>
      <c r="L182" s="1960"/>
      <c r="M182" s="1960"/>
      <c r="N182" s="1960"/>
      <c r="O182" s="1960"/>
      <c r="P182" s="1960"/>
      <c r="Q182" s="1960"/>
      <c r="R182" s="1960"/>
      <c r="S182" s="1960"/>
      <c r="T182" s="1960"/>
      <c r="U182" s="1960"/>
      <c r="V182" s="1960"/>
      <c r="W182" s="1960"/>
      <c r="X182" s="1960"/>
      <c r="Y182" s="1960"/>
      <c r="Z182" s="1960"/>
      <c r="AA182" s="1960"/>
      <c r="AB182" s="1960"/>
      <c r="AC182" s="1960"/>
      <c r="AD182" s="1960"/>
      <c r="AE182" s="1960"/>
      <c r="AF182" s="1960"/>
      <c r="AG182" s="1960"/>
      <c r="AH182" s="1960"/>
      <c r="AI182" s="1960"/>
      <c r="BZ182" s="4548"/>
      <c r="CA182" s="4548"/>
      <c r="CB182" s="4548"/>
      <c r="CD182" s="2591"/>
      <c r="CE182" s="2591"/>
      <c r="CF182" s="2591"/>
      <c r="CG182" s="2591"/>
      <c r="CH182" s="2591"/>
      <c r="CI182" s="2591"/>
      <c r="CJ182" s="2591"/>
      <c r="CK182" s="2591"/>
      <c r="CL182" s="2591"/>
      <c r="CM182" s="2591"/>
      <c r="CN182" s="2591"/>
      <c r="CO182" s="2591"/>
      <c r="CP182" s="2591"/>
      <c r="CQ182" s="2591"/>
      <c r="CR182" s="2591"/>
      <c r="CS182" s="2591"/>
      <c r="CT182" s="2591"/>
      <c r="CU182" s="4571"/>
      <c r="CV182" s="2591"/>
    </row>
    <row r="190" spans="2:100" ht="45" customHeight="1" x14ac:dyDescent="0.2">
      <c r="B190" s="1976"/>
      <c r="C190" s="2168" t="str">
        <f>Languages!B358</f>
        <v>6.4 INLAND WATERBODIES</v>
      </c>
      <c r="D190" s="1769"/>
      <c r="E190" s="1769"/>
      <c r="F190" s="1769"/>
      <c r="G190" s="1769"/>
      <c r="H190" s="1769"/>
      <c r="I190" s="1769"/>
      <c r="J190" s="1769"/>
      <c r="K190" s="1769"/>
      <c r="L190" s="1769"/>
      <c r="M190" s="1769"/>
      <c r="N190" s="1769"/>
      <c r="O190" s="1769"/>
      <c r="P190" s="1769"/>
      <c r="Q190" s="1976"/>
      <c r="R190" s="1976"/>
      <c r="S190" s="1976"/>
      <c r="T190" s="1976"/>
      <c r="U190" s="1976"/>
      <c r="V190" s="1976"/>
      <c r="W190" s="1976"/>
      <c r="X190" s="1976"/>
      <c r="Y190" s="1976"/>
      <c r="Z190" s="1976"/>
      <c r="AA190" s="1976"/>
      <c r="AB190" s="1976"/>
      <c r="AC190" s="1976"/>
      <c r="AD190" s="1976"/>
      <c r="AE190" s="1978" t="str">
        <f>AE169</f>
        <v>If country-specific data are available, please go to Tier 2:</v>
      </c>
      <c r="AF190" s="1976"/>
      <c r="AG190" s="1769"/>
      <c r="AH190" s="1976"/>
      <c r="AI190" s="1976"/>
      <c r="BZ190" s="4366" t="s">
        <v>71</v>
      </c>
      <c r="CA190" s="4366"/>
      <c r="CB190" s="4366"/>
      <c r="CD190" s="1975" t="str">
        <f>Languages!B369</f>
        <v>6.4 INLAND WATERBODIES</v>
      </c>
      <c r="CE190" s="1976"/>
      <c r="CF190" s="1976"/>
      <c r="CG190" s="1976"/>
      <c r="CH190" s="1976"/>
      <c r="CI190" s="1976"/>
      <c r="CJ190" s="1976"/>
      <c r="CK190" s="1976"/>
      <c r="CL190" s="1976"/>
      <c r="CM190" s="1976"/>
      <c r="CN190" s="1976"/>
      <c r="CO190" s="1976"/>
      <c r="CP190" s="1976"/>
      <c r="CQ190" s="1976"/>
      <c r="CR190" s="1976"/>
    </row>
    <row r="191" spans="2:100" ht="7.5" customHeight="1" x14ac:dyDescent="0.2">
      <c r="BZ191" s="1915"/>
      <c r="CA191" s="1915"/>
    </row>
    <row r="192" spans="2:100" ht="17" x14ac:dyDescent="0.2">
      <c r="B192" s="1960"/>
      <c r="C192" s="4188" t="str">
        <f>Languages!B386</f>
        <v xml:space="preserve">For Mineral soil only - This accounts for CH4 emissions from (i) canals for water supply or navigation, (ii) ditches for agriculture (irrigation, drainage, etc.) ,and (iii) ponds for agriculture and aquaculture </v>
      </c>
      <c r="D192" s="1960"/>
      <c r="E192" s="1960"/>
      <c r="F192" s="1960"/>
      <c r="G192" s="1960"/>
      <c r="H192" s="1960"/>
      <c r="I192" s="1960"/>
      <c r="J192" s="1960"/>
      <c r="K192" s="1960"/>
      <c r="L192" s="1960"/>
      <c r="M192" s="1960"/>
      <c r="N192" s="1960"/>
      <c r="O192" s="1960"/>
      <c r="P192" s="1960"/>
      <c r="Q192" s="1960"/>
      <c r="R192" s="1960"/>
      <c r="S192" s="1960"/>
      <c r="T192" s="1960"/>
      <c r="U192" s="1960"/>
      <c r="V192" s="1960"/>
      <c r="W192" s="1960"/>
      <c r="X192" s="1960"/>
      <c r="Y192" s="1960"/>
      <c r="Z192" s="1960"/>
      <c r="AA192" s="1960"/>
      <c r="AB192" s="1960"/>
      <c r="AC192" s="1960"/>
      <c r="AD192" s="1960"/>
      <c r="AE192" s="1960"/>
      <c r="AF192" s="1960"/>
      <c r="AG192" s="1960"/>
      <c r="AH192" s="1960"/>
      <c r="AI192" s="1960"/>
      <c r="BZ192" s="1784"/>
      <c r="CA192" s="1784"/>
      <c r="CB192" s="1996"/>
      <c r="CD192" s="2591"/>
      <c r="CE192" s="2591"/>
      <c r="CF192" s="2591"/>
      <c r="CG192" s="2591"/>
      <c r="CH192" s="2591"/>
      <c r="CI192" s="2591"/>
      <c r="CJ192" s="2591"/>
      <c r="CK192" s="2591"/>
      <c r="CL192" s="2591"/>
      <c r="CM192" s="2591"/>
      <c r="CN192" s="2591"/>
      <c r="CO192" s="2591"/>
      <c r="CP192" s="2591"/>
      <c r="CQ192" s="2591"/>
      <c r="CR192" s="2591"/>
    </row>
    <row r="193" spans="2:96" x14ac:dyDescent="0.2">
      <c r="B193" s="1960"/>
      <c r="C193" s="4188" t="s">
        <v>1083</v>
      </c>
      <c r="D193" s="1960"/>
      <c r="E193" s="1960"/>
      <c r="F193" s="1960"/>
      <c r="G193" s="1960"/>
      <c r="H193" s="1960"/>
      <c r="I193" s="1960"/>
      <c r="J193" s="1960"/>
      <c r="K193" s="1960"/>
      <c r="L193" s="1960"/>
      <c r="M193" s="1960"/>
      <c r="N193" s="1960"/>
      <c r="O193" s="1960"/>
      <c r="P193" s="1960"/>
      <c r="Q193" s="1960"/>
      <c r="R193" s="1960"/>
      <c r="S193" s="1960"/>
      <c r="T193" s="1960"/>
      <c r="U193" s="1960"/>
      <c r="V193" s="1960"/>
      <c r="W193" s="1960"/>
      <c r="X193" s="1960"/>
      <c r="Y193" s="1960"/>
      <c r="Z193" s="1960"/>
      <c r="AA193" s="1960"/>
      <c r="AB193" s="1960"/>
      <c r="AC193" s="1960"/>
      <c r="AD193" s="1960"/>
      <c r="AE193" s="1960"/>
      <c r="AF193" s="1960"/>
      <c r="AG193" s="1960"/>
      <c r="AH193" s="1960"/>
      <c r="AI193" s="1960"/>
      <c r="BZ193" s="1889" t="s">
        <v>74</v>
      </c>
      <c r="CA193" s="1889"/>
      <c r="CB193" s="1996"/>
      <c r="CD193" s="2591"/>
      <c r="CE193" s="2591"/>
      <c r="CF193" s="4140" t="str">
        <f>Languages!B417</f>
        <v>CH4 emission factor from waterbodies</v>
      </c>
      <c r="CG193" s="4141"/>
      <c r="CH193" s="4141"/>
      <c r="CI193" s="4141"/>
      <c r="CJ193" s="4141"/>
      <c r="CK193" s="4141"/>
      <c r="CL193" s="2591"/>
      <c r="CM193" s="4140" t="str">
        <f>T194</f>
        <v>Trophic class</v>
      </c>
      <c r="CN193" s="4141"/>
      <c r="CO193" s="4141"/>
      <c r="CP193" s="4141"/>
      <c r="CQ193" s="4141"/>
      <c r="CR193" s="2591"/>
    </row>
    <row r="194" spans="2:96" x14ac:dyDescent="0.2">
      <c r="B194" s="1960"/>
      <c r="C194" s="1960"/>
      <c r="D194" s="1960"/>
      <c r="E194" s="1960"/>
      <c r="F194" s="1960"/>
      <c r="G194" s="1960"/>
      <c r="H194" s="1960"/>
      <c r="I194" s="1834"/>
      <c r="J194" s="1960"/>
      <c r="K194" s="1960"/>
      <c r="L194" s="1960"/>
      <c r="M194" s="4143" t="str">
        <f>Languages!B360</f>
        <v>Tota area of waterbodies (ha)</v>
      </c>
      <c r="N194" s="4143"/>
      <c r="O194" s="4144"/>
      <c r="P194" s="4144"/>
      <c r="Q194" s="4144"/>
      <c r="R194" s="1960"/>
      <c r="S194" s="1960"/>
      <c r="T194" s="4189" t="str">
        <f>Languages!B361</f>
        <v>Trophic class</v>
      </c>
      <c r="U194" s="1834"/>
      <c r="V194" s="1834"/>
      <c r="W194" s="1960"/>
      <c r="X194" s="1960"/>
      <c r="Y194" s="1960"/>
      <c r="Z194" s="1834"/>
      <c r="AA194" s="1960"/>
      <c r="AB194" s="1960"/>
      <c r="AC194" s="1960"/>
      <c r="AD194" s="1960"/>
      <c r="AE194" s="1960"/>
      <c r="AF194" s="4143" t="str">
        <f>AF172</f>
        <v>Total emissions (tCO2-e)</v>
      </c>
      <c r="AG194" s="4144"/>
      <c r="AH194" s="4144"/>
      <c r="AI194" s="1960"/>
      <c r="BZ194" s="2014" t="s">
        <v>82</v>
      </c>
      <c r="CA194" s="2014"/>
      <c r="CB194" s="1996"/>
      <c r="CD194" s="2591"/>
      <c r="CE194" s="4145" t="str">
        <f>I195</f>
        <v>Waterbody type</v>
      </c>
      <c r="CF194" s="2591" t="str">
        <f>CO173</f>
        <v>kgCH4/ha/yr</v>
      </c>
      <c r="CG194" s="2591"/>
      <c r="CH194" s="2591"/>
      <c r="CI194" s="2591"/>
      <c r="CJ194" s="2591"/>
      <c r="CK194" s="2591"/>
      <c r="CL194" s="2591"/>
      <c r="CM194" s="2591"/>
      <c r="CN194" s="2591"/>
      <c r="CO194" s="2591"/>
      <c r="CP194" s="2560" t="str">
        <f>Languages!B418</f>
        <v>Mean annual [Chlo.a]</v>
      </c>
      <c r="CQ194" s="2591"/>
      <c r="CR194" s="2591"/>
    </row>
    <row r="195" spans="2:96" ht="19" x14ac:dyDescent="0.2">
      <c r="B195" s="1960"/>
      <c r="C195" s="1838" t="s">
        <v>394</v>
      </c>
      <c r="D195" s="1960"/>
      <c r="E195" s="1960"/>
      <c r="F195" s="1960"/>
      <c r="G195" s="1960"/>
      <c r="H195" s="1960"/>
      <c r="I195" s="1834" t="str">
        <f>Languages!B359</f>
        <v>Waterbody type</v>
      </c>
      <c r="J195" s="1960"/>
      <c r="K195" s="1960"/>
      <c r="L195" s="1960"/>
      <c r="M195" s="1960"/>
      <c r="N195" s="1960"/>
      <c r="O195" s="1960"/>
      <c r="P195" s="1960"/>
      <c r="Q195" s="1960"/>
      <c r="R195" s="1960"/>
      <c r="S195" s="1960"/>
      <c r="T195" s="1960"/>
      <c r="U195" s="1960"/>
      <c r="V195" s="1960"/>
      <c r="W195" s="1960"/>
      <c r="X195" s="1960"/>
      <c r="Y195" s="1960"/>
      <c r="Z195" s="1960"/>
      <c r="AA195" s="1960"/>
      <c r="AB195" s="1960"/>
      <c r="AC195" s="1960"/>
      <c r="AD195" s="1960"/>
      <c r="AE195" s="1960"/>
      <c r="AF195" s="1960"/>
      <c r="AG195" s="1960"/>
      <c r="AH195" s="1960"/>
      <c r="AI195" s="1960"/>
      <c r="BZ195" s="1996"/>
      <c r="CA195" s="1893"/>
      <c r="CB195" s="1996"/>
      <c r="CD195" s="2591"/>
      <c r="CE195" s="2591"/>
      <c r="CF195" s="4151" t="str">
        <f>M196</f>
        <v>Start</v>
      </c>
      <c r="CG195" s="2591"/>
      <c r="CH195" s="4149" t="str">
        <f>N196</f>
        <v>Without</v>
      </c>
      <c r="CI195" s="2591"/>
      <c r="CJ195" s="4169" t="str">
        <f>P196</f>
        <v>With</v>
      </c>
      <c r="CK195" s="2591"/>
      <c r="CL195" s="2591"/>
      <c r="CM195" s="4190" t="s">
        <v>1086</v>
      </c>
      <c r="CN195" s="2591"/>
      <c r="CO195" s="2591"/>
      <c r="CP195" s="2591" t="s">
        <v>1087</v>
      </c>
      <c r="CQ195" s="2591"/>
      <c r="CR195" s="2591"/>
    </row>
    <row r="196" spans="2:96" x14ac:dyDescent="0.2">
      <c r="B196" s="1960"/>
      <c r="C196" s="1960"/>
      <c r="D196" s="1960"/>
      <c r="E196" s="1960"/>
      <c r="F196" s="1960"/>
      <c r="G196" s="1960"/>
      <c r="H196" s="1960"/>
      <c r="I196" s="1960"/>
      <c r="J196" s="1960"/>
      <c r="K196" s="1960"/>
      <c r="L196" s="1960"/>
      <c r="M196" s="1838" t="str">
        <f>M175</f>
        <v>Start</v>
      </c>
      <c r="N196" s="1838" t="str">
        <f>N175</f>
        <v>Without</v>
      </c>
      <c r="O196" s="1806" t="s">
        <v>83</v>
      </c>
      <c r="P196" s="1838" t="str">
        <f>P175</f>
        <v>With</v>
      </c>
      <c r="Q196" s="1806" t="s">
        <v>83</v>
      </c>
      <c r="R196" s="1960"/>
      <c r="S196" s="1960"/>
      <c r="T196" s="1960"/>
      <c r="U196" s="1960"/>
      <c r="V196" s="1960"/>
      <c r="W196" s="1960"/>
      <c r="X196" s="1960"/>
      <c r="Y196" s="1960"/>
      <c r="Z196" s="1960"/>
      <c r="AA196" s="1960"/>
      <c r="AB196" s="1960"/>
      <c r="AC196" s="1960"/>
      <c r="AD196" s="1960"/>
      <c r="AE196" s="1960"/>
      <c r="AF196" s="1838" t="str">
        <f>AF175</f>
        <v>Without</v>
      </c>
      <c r="AG196" s="1838" t="str">
        <f>AG175</f>
        <v>With</v>
      </c>
      <c r="AH196" s="1834" t="str">
        <f>AH175</f>
        <v>Balance</v>
      </c>
      <c r="AI196" s="1960"/>
      <c r="BZ196" s="1996"/>
      <c r="CA196" s="1996"/>
      <c r="CB196" s="1996"/>
      <c r="CD196" s="2591"/>
      <c r="CE196" s="2591"/>
      <c r="CF196" s="2560" t="str">
        <f>CF174</f>
        <v>Default</v>
      </c>
      <c r="CG196" s="2560" t="str">
        <f>CG174</f>
        <v>Tier 2</v>
      </c>
      <c r="CH196" s="2560" t="str">
        <f>CF196</f>
        <v>Default</v>
      </c>
      <c r="CI196" s="2560" t="str">
        <f>CG196</f>
        <v>Tier 2</v>
      </c>
      <c r="CJ196" s="2560" t="str">
        <f>CH196</f>
        <v>Default</v>
      </c>
      <c r="CK196" s="2560" t="str">
        <f>CI196</f>
        <v>Tier 2</v>
      </c>
      <c r="CL196" s="2591"/>
      <c r="CM196" s="2560" t="s">
        <v>65</v>
      </c>
      <c r="CN196" s="2560" t="s">
        <v>66</v>
      </c>
      <c r="CO196" s="2591"/>
      <c r="CP196" s="2591"/>
      <c r="CQ196" s="2591"/>
      <c r="CR196" s="2591"/>
    </row>
    <row r="197" spans="2:96" x14ac:dyDescent="0.2">
      <c r="B197" s="1960"/>
      <c r="C197" s="4572"/>
      <c r="D197" s="4572"/>
      <c r="E197" s="4572"/>
      <c r="F197" s="1960"/>
      <c r="G197" s="1960"/>
      <c r="H197" s="1960"/>
      <c r="I197" s="2129" t="s">
        <v>1658</v>
      </c>
      <c r="J197" s="1960"/>
      <c r="K197" s="1960"/>
      <c r="L197" s="1960"/>
      <c r="M197" s="2128">
        <v>43</v>
      </c>
      <c r="N197" s="2128">
        <v>43</v>
      </c>
      <c r="O197" s="2104" t="s">
        <v>86</v>
      </c>
      <c r="P197" s="2128">
        <v>43</v>
      </c>
      <c r="Q197" s="2104" t="s">
        <v>86</v>
      </c>
      <c r="R197" s="1960"/>
      <c r="S197" s="1960"/>
      <c r="T197" s="4105" t="s">
        <v>2249</v>
      </c>
      <c r="U197" s="1960"/>
      <c r="V197" s="1960"/>
      <c r="W197" s="1960"/>
      <c r="X197" s="1960"/>
      <c r="Y197" s="1960"/>
      <c r="Z197" s="1960"/>
      <c r="AA197" s="1960"/>
      <c r="AB197" s="1960"/>
      <c r="AC197" s="1960"/>
      <c r="AD197" s="1960"/>
      <c r="AE197" s="1960"/>
      <c r="AF197" s="2107">
        <f>'Inl. wetlands'!AI504</f>
        <v>9914.94</v>
      </c>
      <c r="AG197" s="2107">
        <f>'Inl. wetlands'!AJ504</f>
        <v>9914.94</v>
      </c>
      <c r="AH197" s="1806">
        <f t="shared" ref="AH197:AH204" si="85">AG197-AF197</f>
        <v>0</v>
      </c>
      <c r="AI197" s="1960"/>
      <c r="BZ197" s="4363">
        <v>1</v>
      </c>
      <c r="CA197" s="4364"/>
      <c r="CB197" s="1996"/>
      <c r="CD197" s="2591"/>
      <c r="CE197" s="2591" t="str">
        <f t="shared" ref="CE197:CE204" si="86">I197</f>
        <v>Freshwater pond</v>
      </c>
      <c r="CF197" s="2612">
        <f>'Inl. wetlands'!K504</f>
        <v>183</v>
      </c>
      <c r="CG197" s="4206"/>
      <c r="CH197" s="2612">
        <f>CF197</f>
        <v>183</v>
      </c>
      <c r="CI197" s="4206"/>
      <c r="CJ197" s="2612">
        <f>CH197</f>
        <v>183</v>
      </c>
      <c r="CK197" s="4206"/>
      <c r="CL197" s="2591"/>
      <c r="CM197" s="2612">
        <f>'Inl. wetlands'!H504</f>
        <v>3</v>
      </c>
      <c r="CN197" s="2129"/>
      <c r="CO197" s="2591"/>
      <c r="CP197" s="2129"/>
      <c r="CQ197" s="2591"/>
      <c r="CR197" s="2591"/>
    </row>
    <row r="198" spans="2:96" x14ac:dyDescent="0.2">
      <c r="B198" s="1960"/>
      <c r="C198" s="4572"/>
      <c r="D198" s="4572"/>
      <c r="E198" s="4572"/>
      <c r="F198" s="1960"/>
      <c r="G198" s="1960"/>
      <c r="H198" s="1960"/>
      <c r="I198" s="2129" t="s">
        <v>57</v>
      </c>
      <c r="J198" s="1960"/>
      <c r="K198" s="1960"/>
      <c r="L198" s="1960"/>
      <c r="M198" s="2128">
        <v>0</v>
      </c>
      <c r="N198" s="2128">
        <v>0</v>
      </c>
      <c r="O198" s="2104" t="s">
        <v>86</v>
      </c>
      <c r="P198" s="2128">
        <v>0</v>
      </c>
      <c r="Q198" s="2104" t="s">
        <v>86</v>
      </c>
      <c r="R198" s="1960"/>
      <c r="S198" s="1960"/>
      <c r="T198" s="4105" t="s">
        <v>57</v>
      </c>
      <c r="U198" s="1960"/>
      <c r="V198" s="1960"/>
      <c r="W198" s="1960"/>
      <c r="X198" s="1960"/>
      <c r="Y198" s="1960"/>
      <c r="Z198" s="1960"/>
      <c r="AA198" s="1960"/>
      <c r="AB198" s="1960"/>
      <c r="AC198" s="1960"/>
      <c r="AD198" s="1960"/>
      <c r="AE198" s="1960"/>
      <c r="AF198" s="2107">
        <f>'Inl. wetlands'!AI505</f>
        <v>0</v>
      </c>
      <c r="AG198" s="2107">
        <f>'Inl. wetlands'!AJ505</f>
        <v>0</v>
      </c>
      <c r="AH198" s="1806">
        <f t="shared" si="85"/>
        <v>0</v>
      </c>
      <c r="AI198" s="1960"/>
      <c r="BZ198" s="4363">
        <v>1</v>
      </c>
      <c r="CA198" s="4364"/>
      <c r="CB198" s="1996"/>
      <c r="CD198" s="2591"/>
      <c r="CE198" s="2591" t="str">
        <f t="shared" si="86"/>
        <v>Please select</v>
      </c>
      <c r="CF198" s="2612">
        <f>'Inl. wetlands'!K505</f>
        <v>0</v>
      </c>
      <c r="CG198" s="4206"/>
      <c r="CH198" s="2612">
        <f t="shared" ref="CH198:CH204" si="87">CF198</f>
        <v>0</v>
      </c>
      <c r="CI198" s="4206"/>
      <c r="CJ198" s="2612">
        <f t="shared" ref="CJ198:CJ204" si="88">CH198</f>
        <v>0</v>
      </c>
      <c r="CK198" s="4206"/>
      <c r="CL198" s="2591"/>
      <c r="CM198" s="2612">
        <f>'Inl. wetlands'!H505</f>
        <v>0</v>
      </c>
      <c r="CN198" s="2129"/>
      <c r="CO198" s="2591"/>
      <c r="CP198" s="2129"/>
      <c r="CQ198" s="2591"/>
      <c r="CR198" s="2591"/>
    </row>
    <row r="199" spans="2:96" x14ac:dyDescent="0.2">
      <c r="B199" s="1960"/>
      <c r="C199" s="4572"/>
      <c r="D199" s="4572"/>
      <c r="E199" s="4572"/>
      <c r="F199" s="1960"/>
      <c r="G199" s="1960"/>
      <c r="H199" s="1960"/>
      <c r="I199" s="2129" t="s">
        <v>57</v>
      </c>
      <c r="J199" s="1960"/>
      <c r="K199" s="1960"/>
      <c r="L199" s="1960"/>
      <c r="M199" s="2128">
        <v>0</v>
      </c>
      <c r="N199" s="2128">
        <v>0</v>
      </c>
      <c r="O199" s="2104" t="s">
        <v>86</v>
      </c>
      <c r="P199" s="2128">
        <v>0</v>
      </c>
      <c r="Q199" s="2104" t="s">
        <v>86</v>
      </c>
      <c r="R199" s="1960"/>
      <c r="S199" s="1960"/>
      <c r="T199" s="4105" t="s">
        <v>57</v>
      </c>
      <c r="U199" s="1960"/>
      <c r="V199" s="1960"/>
      <c r="W199" s="1960"/>
      <c r="X199" s="1960"/>
      <c r="Y199" s="1960"/>
      <c r="Z199" s="1960"/>
      <c r="AA199" s="1960"/>
      <c r="AB199" s="1960"/>
      <c r="AC199" s="1960"/>
      <c r="AD199" s="1960"/>
      <c r="AE199" s="1960"/>
      <c r="AF199" s="2107">
        <f>'Inl. wetlands'!AI506</f>
        <v>0</v>
      </c>
      <c r="AG199" s="2107">
        <f>'Inl. wetlands'!AJ506</f>
        <v>0</v>
      </c>
      <c r="AH199" s="1806">
        <f t="shared" si="85"/>
        <v>0</v>
      </c>
      <c r="AI199" s="1960"/>
      <c r="BZ199" s="4363">
        <v>1</v>
      </c>
      <c r="CA199" s="4364"/>
      <c r="CB199" s="1996"/>
      <c r="CD199" s="2591"/>
      <c r="CE199" s="2591" t="str">
        <f t="shared" si="86"/>
        <v>Please select</v>
      </c>
      <c r="CF199" s="2612">
        <f>'Inl. wetlands'!K506</f>
        <v>0</v>
      </c>
      <c r="CG199" s="4206"/>
      <c r="CH199" s="2612">
        <f t="shared" si="87"/>
        <v>0</v>
      </c>
      <c r="CI199" s="4206"/>
      <c r="CJ199" s="2612">
        <f t="shared" si="88"/>
        <v>0</v>
      </c>
      <c r="CK199" s="4206"/>
      <c r="CL199" s="2591"/>
      <c r="CM199" s="2612">
        <f>'Inl. wetlands'!H506</f>
        <v>0</v>
      </c>
      <c r="CN199" s="2129"/>
      <c r="CO199" s="2591"/>
      <c r="CP199" s="2129"/>
      <c r="CQ199" s="2591"/>
      <c r="CR199" s="2591"/>
    </row>
    <row r="200" spans="2:96" x14ac:dyDescent="0.2">
      <c r="B200" s="1960"/>
      <c r="C200" s="4572"/>
      <c r="D200" s="4572"/>
      <c r="E200" s="4572"/>
      <c r="F200" s="1960"/>
      <c r="G200" s="1960"/>
      <c r="H200" s="1960"/>
      <c r="I200" s="2129" t="s">
        <v>57</v>
      </c>
      <c r="J200" s="1960"/>
      <c r="K200" s="1960"/>
      <c r="L200" s="1960"/>
      <c r="M200" s="2128">
        <v>0</v>
      </c>
      <c r="N200" s="2128">
        <v>0</v>
      </c>
      <c r="O200" s="2104" t="s">
        <v>86</v>
      </c>
      <c r="P200" s="2128">
        <v>0</v>
      </c>
      <c r="Q200" s="2104" t="s">
        <v>86</v>
      </c>
      <c r="R200" s="1960"/>
      <c r="S200" s="1960"/>
      <c r="T200" s="4105" t="s">
        <v>57</v>
      </c>
      <c r="U200" s="1960"/>
      <c r="V200" s="1960"/>
      <c r="W200" s="1960"/>
      <c r="X200" s="1960"/>
      <c r="Y200" s="1960"/>
      <c r="Z200" s="1960"/>
      <c r="AA200" s="1960"/>
      <c r="AB200" s="1960"/>
      <c r="AC200" s="1960"/>
      <c r="AD200" s="1960"/>
      <c r="AE200" s="1960"/>
      <c r="AF200" s="2107">
        <f>'Inl. wetlands'!AI507</f>
        <v>0</v>
      </c>
      <c r="AG200" s="2107">
        <f>'Inl. wetlands'!AJ507</f>
        <v>0</v>
      </c>
      <c r="AH200" s="1806">
        <f t="shared" si="85"/>
        <v>0</v>
      </c>
      <c r="AI200" s="1960"/>
      <c r="BZ200" s="4363">
        <v>1</v>
      </c>
      <c r="CA200" s="4364"/>
      <c r="CB200" s="1996"/>
      <c r="CD200" s="2591"/>
      <c r="CE200" s="2591" t="str">
        <f t="shared" si="86"/>
        <v>Please select</v>
      </c>
      <c r="CF200" s="2612">
        <f>'Inl. wetlands'!K507</f>
        <v>0</v>
      </c>
      <c r="CG200" s="4206"/>
      <c r="CH200" s="2612">
        <f t="shared" si="87"/>
        <v>0</v>
      </c>
      <c r="CI200" s="4206"/>
      <c r="CJ200" s="2612">
        <f t="shared" si="88"/>
        <v>0</v>
      </c>
      <c r="CK200" s="4206"/>
      <c r="CL200" s="2591"/>
      <c r="CM200" s="2612">
        <f>'Inl. wetlands'!H507</f>
        <v>0</v>
      </c>
      <c r="CN200" s="2129"/>
      <c r="CO200" s="2591"/>
      <c r="CP200" s="2129"/>
      <c r="CQ200" s="2591"/>
      <c r="CR200" s="2591"/>
    </row>
    <row r="201" spans="2:96" x14ac:dyDescent="0.2">
      <c r="B201" s="1960"/>
      <c r="C201" s="4572"/>
      <c r="D201" s="4572"/>
      <c r="E201" s="4572"/>
      <c r="F201" s="1960"/>
      <c r="G201" s="1960"/>
      <c r="H201" s="1960"/>
      <c r="I201" s="2129" t="s">
        <v>57</v>
      </c>
      <c r="J201" s="1960"/>
      <c r="K201" s="1960"/>
      <c r="L201" s="1960"/>
      <c r="M201" s="2128">
        <v>0</v>
      </c>
      <c r="N201" s="2128">
        <v>0</v>
      </c>
      <c r="O201" s="2104" t="s">
        <v>86</v>
      </c>
      <c r="P201" s="2128">
        <v>0</v>
      </c>
      <c r="Q201" s="2104" t="s">
        <v>86</v>
      </c>
      <c r="R201" s="1960"/>
      <c r="S201" s="1960"/>
      <c r="T201" s="4105" t="s">
        <v>57</v>
      </c>
      <c r="U201" s="1960"/>
      <c r="V201" s="1960"/>
      <c r="W201" s="1960"/>
      <c r="X201" s="1960"/>
      <c r="Y201" s="1960"/>
      <c r="Z201" s="1960"/>
      <c r="AA201" s="1960"/>
      <c r="AB201" s="1960"/>
      <c r="AC201" s="1960"/>
      <c r="AD201" s="1960"/>
      <c r="AE201" s="1960"/>
      <c r="AF201" s="2107">
        <f>'Inl. wetlands'!AI508</f>
        <v>0</v>
      </c>
      <c r="AG201" s="2107">
        <f>'Inl. wetlands'!AJ508</f>
        <v>0</v>
      </c>
      <c r="AH201" s="1806">
        <f t="shared" si="85"/>
        <v>0</v>
      </c>
      <c r="AI201" s="1960"/>
      <c r="BZ201" s="4363">
        <v>1</v>
      </c>
      <c r="CA201" s="4364"/>
      <c r="CB201" s="1996"/>
      <c r="CD201" s="2591"/>
      <c r="CE201" s="2591" t="str">
        <f t="shared" si="86"/>
        <v>Please select</v>
      </c>
      <c r="CF201" s="2612">
        <f>'Inl. wetlands'!K508</f>
        <v>0</v>
      </c>
      <c r="CG201" s="4206"/>
      <c r="CH201" s="2612">
        <f t="shared" si="87"/>
        <v>0</v>
      </c>
      <c r="CI201" s="4206"/>
      <c r="CJ201" s="2612">
        <f t="shared" si="88"/>
        <v>0</v>
      </c>
      <c r="CK201" s="4206"/>
      <c r="CL201" s="2591"/>
      <c r="CM201" s="2612">
        <f>'Inl. wetlands'!H508</f>
        <v>0</v>
      </c>
      <c r="CN201" s="2129"/>
      <c r="CO201" s="2591"/>
      <c r="CP201" s="2129"/>
      <c r="CQ201" s="2591"/>
      <c r="CR201" s="2591"/>
    </row>
    <row r="202" spans="2:96" x14ac:dyDescent="0.2">
      <c r="B202" s="1960"/>
      <c r="C202" s="4572"/>
      <c r="D202" s="4572"/>
      <c r="E202" s="4572"/>
      <c r="F202" s="1960"/>
      <c r="G202" s="1960"/>
      <c r="H202" s="1960"/>
      <c r="I202" s="2129" t="s">
        <v>57</v>
      </c>
      <c r="J202" s="1960"/>
      <c r="K202" s="1960"/>
      <c r="L202" s="1960"/>
      <c r="M202" s="2128">
        <v>0</v>
      </c>
      <c r="N202" s="2128">
        <v>0</v>
      </c>
      <c r="O202" s="2104" t="s">
        <v>86</v>
      </c>
      <c r="P202" s="2128">
        <v>0</v>
      </c>
      <c r="Q202" s="2104" t="s">
        <v>86</v>
      </c>
      <c r="R202" s="1960"/>
      <c r="S202" s="1960"/>
      <c r="T202" s="4105" t="s">
        <v>57</v>
      </c>
      <c r="U202" s="1960"/>
      <c r="V202" s="1960"/>
      <c r="W202" s="1960"/>
      <c r="X202" s="1960"/>
      <c r="Y202" s="1960"/>
      <c r="Z202" s="1960"/>
      <c r="AA202" s="1960"/>
      <c r="AB202" s="1960"/>
      <c r="AC202" s="1960"/>
      <c r="AD202" s="1960"/>
      <c r="AE202" s="1960"/>
      <c r="AF202" s="2107">
        <f>'Inl. wetlands'!AI509</f>
        <v>0</v>
      </c>
      <c r="AG202" s="2107">
        <f>'Inl. wetlands'!AJ509</f>
        <v>0</v>
      </c>
      <c r="AH202" s="1806">
        <f t="shared" si="85"/>
        <v>0</v>
      </c>
      <c r="AI202" s="1960"/>
      <c r="BZ202" s="4363">
        <v>1</v>
      </c>
      <c r="CA202" s="4364"/>
      <c r="CB202" s="1996"/>
      <c r="CD202" s="2591"/>
      <c r="CE202" s="2591" t="str">
        <f t="shared" si="86"/>
        <v>Please select</v>
      </c>
      <c r="CF202" s="2612">
        <f>'Inl. wetlands'!K509</f>
        <v>0</v>
      </c>
      <c r="CG202" s="4206"/>
      <c r="CH202" s="2612">
        <f t="shared" si="87"/>
        <v>0</v>
      </c>
      <c r="CI202" s="4206"/>
      <c r="CJ202" s="2612">
        <f t="shared" si="88"/>
        <v>0</v>
      </c>
      <c r="CK202" s="4206"/>
      <c r="CL202" s="2591"/>
      <c r="CM202" s="2612">
        <f>'Inl. wetlands'!H509</f>
        <v>0</v>
      </c>
      <c r="CN202" s="2129"/>
      <c r="CO202" s="2591"/>
      <c r="CP202" s="2129"/>
      <c r="CQ202" s="2591"/>
      <c r="CR202" s="2591"/>
    </row>
    <row r="203" spans="2:96" x14ac:dyDescent="0.2">
      <c r="B203" s="1960"/>
      <c r="C203" s="4572"/>
      <c r="D203" s="4572"/>
      <c r="E203" s="4572"/>
      <c r="F203" s="1960"/>
      <c r="G203" s="1960"/>
      <c r="H203" s="1960"/>
      <c r="I203" s="2129" t="s">
        <v>57</v>
      </c>
      <c r="J203" s="1960"/>
      <c r="K203" s="1960"/>
      <c r="L203" s="1960"/>
      <c r="M203" s="2128">
        <v>0</v>
      </c>
      <c r="N203" s="2128">
        <v>0</v>
      </c>
      <c r="O203" s="2104" t="s">
        <v>86</v>
      </c>
      <c r="P203" s="2128">
        <v>0</v>
      </c>
      <c r="Q203" s="2104" t="s">
        <v>86</v>
      </c>
      <c r="R203" s="1960"/>
      <c r="S203" s="1960"/>
      <c r="T203" s="4105" t="s">
        <v>57</v>
      </c>
      <c r="U203" s="1960"/>
      <c r="V203" s="1960"/>
      <c r="W203" s="1960"/>
      <c r="X203" s="1960"/>
      <c r="Y203" s="1960"/>
      <c r="Z203" s="1960"/>
      <c r="AA203" s="1960"/>
      <c r="AB203" s="1960"/>
      <c r="AC203" s="1960"/>
      <c r="AD203" s="1960"/>
      <c r="AE203" s="1960"/>
      <c r="AF203" s="2107">
        <f>'Inl. wetlands'!AI510</f>
        <v>0</v>
      </c>
      <c r="AG203" s="2107">
        <f>'Inl. wetlands'!AJ510</f>
        <v>0</v>
      </c>
      <c r="AH203" s="1806">
        <f t="shared" si="85"/>
        <v>0</v>
      </c>
      <c r="AI203" s="1960"/>
      <c r="BZ203" s="4363">
        <v>1</v>
      </c>
      <c r="CA203" s="4364"/>
      <c r="CB203" s="1996"/>
      <c r="CD203" s="2591"/>
      <c r="CE203" s="2591" t="str">
        <f t="shared" si="86"/>
        <v>Please select</v>
      </c>
      <c r="CF203" s="2612">
        <f>'Inl. wetlands'!K510</f>
        <v>0</v>
      </c>
      <c r="CG203" s="4206"/>
      <c r="CH203" s="2612">
        <f t="shared" si="87"/>
        <v>0</v>
      </c>
      <c r="CI203" s="4206"/>
      <c r="CJ203" s="2612">
        <f t="shared" si="88"/>
        <v>0</v>
      </c>
      <c r="CK203" s="4206"/>
      <c r="CL203" s="2591"/>
      <c r="CM203" s="2612">
        <f>'Inl. wetlands'!H510</f>
        <v>0</v>
      </c>
      <c r="CN203" s="2129"/>
      <c r="CO203" s="2591"/>
      <c r="CP203" s="2129"/>
      <c r="CQ203" s="2591"/>
      <c r="CR203" s="2591"/>
    </row>
    <row r="204" spans="2:96" x14ac:dyDescent="0.2">
      <c r="B204" s="1960"/>
      <c r="C204" s="4572"/>
      <c r="D204" s="4572"/>
      <c r="E204" s="4572"/>
      <c r="F204" s="1960"/>
      <c r="G204" s="1960"/>
      <c r="H204" s="1960"/>
      <c r="I204" s="2129" t="s">
        <v>57</v>
      </c>
      <c r="J204" s="1960"/>
      <c r="K204" s="1960"/>
      <c r="L204" s="1960"/>
      <c r="M204" s="2128">
        <v>0</v>
      </c>
      <c r="N204" s="2128">
        <v>0</v>
      </c>
      <c r="O204" s="2104" t="s">
        <v>86</v>
      </c>
      <c r="P204" s="2128">
        <v>0</v>
      </c>
      <c r="Q204" s="2104" t="s">
        <v>86</v>
      </c>
      <c r="R204" s="1960"/>
      <c r="S204" s="1960"/>
      <c r="T204" s="4105" t="s">
        <v>57</v>
      </c>
      <c r="U204" s="1960"/>
      <c r="V204" s="1960"/>
      <c r="W204" s="1960"/>
      <c r="X204" s="1960"/>
      <c r="Y204" s="1960"/>
      <c r="Z204" s="1960"/>
      <c r="AA204" s="1960"/>
      <c r="AB204" s="1960"/>
      <c r="AC204" s="1960"/>
      <c r="AD204" s="1960"/>
      <c r="AE204" s="1960"/>
      <c r="AF204" s="2107">
        <f>'Inl. wetlands'!AI511</f>
        <v>0</v>
      </c>
      <c r="AG204" s="2107">
        <f>'Inl. wetlands'!AJ511</f>
        <v>0</v>
      </c>
      <c r="AH204" s="1806">
        <f t="shared" si="85"/>
        <v>0</v>
      </c>
      <c r="AI204" s="1960"/>
      <c r="BZ204" s="4363">
        <v>1</v>
      </c>
      <c r="CA204" s="4364"/>
      <c r="CB204" s="1996"/>
      <c r="CD204" s="2591"/>
      <c r="CE204" s="2591" t="str">
        <f t="shared" si="86"/>
        <v>Please select</v>
      </c>
      <c r="CF204" s="2612">
        <f>'Inl. wetlands'!K511</f>
        <v>0</v>
      </c>
      <c r="CG204" s="4206"/>
      <c r="CH204" s="2612">
        <f t="shared" si="87"/>
        <v>0</v>
      </c>
      <c r="CI204" s="4206"/>
      <c r="CJ204" s="2612">
        <f t="shared" si="88"/>
        <v>0</v>
      </c>
      <c r="CK204" s="4206"/>
      <c r="CL204" s="2591"/>
      <c r="CM204" s="2612">
        <f>'Inl. wetlands'!H511</f>
        <v>0</v>
      </c>
      <c r="CN204" s="2129"/>
      <c r="CO204" s="2591"/>
      <c r="CP204" s="2129"/>
      <c r="CQ204" s="2591"/>
      <c r="CR204" s="2591"/>
    </row>
    <row r="205" spans="2:96" x14ac:dyDescent="0.2">
      <c r="B205" s="1960"/>
      <c r="C205" s="1960"/>
      <c r="D205" s="1960"/>
      <c r="E205" s="1960"/>
      <c r="F205" s="1960"/>
      <c r="G205" s="1960"/>
      <c r="H205" s="1960"/>
      <c r="I205" s="1960"/>
      <c r="J205" s="1960"/>
      <c r="K205" s="1960"/>
      <c r="L205" s="1960"/>
      <c r="M205" s="4182">
        <f>SUM(M197:M204)</f>
        <v>43</v>
      </c>
      <c r="N205" s="4182">
        <f>SUM(N197:N204)</f>
        <v>43</v>
      </c>
      <c r="O205" s="4182"/>
      <c r="P205" s="4182">
        <f>SUM(P197:P204)</f>
        <v>43</v>
      </c>
      <c r="Q205" s="1960"/>
      <c r="R205" s="1960"/>
      <c r="S205" s="1960"/>
      <c r="T205" s="1960"/>
      <c r="U205" s="1960"/>
      <c r="V205" s="1960"/>
      <c r="W205" s="1960"/>
      <c r="X205" s="1960"/>
      <c r="Y205" s="1960"/>
      <c r="Z205" s="1960"/>
      <c r="AA205" s="1960"/>
      <c r="AB205" s="1960"/>
      <c r="AC205" s="1960"/>
      <c r="AD205" s="1960"/>
      <c r="AE205" s="1960"/>
      <c r="AF205" s="1960"/>
      <c r="AG205" s="1960"/>
      <c r="AH205" s="4144"/>
      <c r="AI205" s="1960"/>
      <c r="BZ205" s="1996"/>
      <c r="CA205" s="1996"/>
      <c r="CB205" s="1996"/>
      <c r="CD205" s="2591"/>
      <c r="CE205" s="2591"/>
      <c r="CF205" s="2591"/>
      <c r="CG205" s="2591"/>
      <c r="CH205" s="2591"/>
      <c r="CI205" s="2591"/>
      <c r="CJ205" s="2591"/>
      <c r="CK205" s="2591"/>
      <c r="CL205" s="2591"/>
      <c r="CM205" s="2591"/>
      <c r="CN205" s="2591"/>
      <c r="CO205" s="2591"/>
      <c r="CP205" s="2591"/>
      <c r="CQ205" s="2591"/>
      <c r="CR205" s="2591"/>
    </row>
    <row r="206" spans="2:96" x14ac:dyDescent="0.2">
      <c r="B206" s="1960"/>
      <c r="C206" s="1960"/>
      <c r="D206" s="1960"/>
      <c r="E206" s="1960"/>
      <c r="F206" s="1960"/>
      <c r="G206" s="1960"/>
      <c r="H206" s="1960"/>
      <c r="I206" s="1960"/>
      <c r="J206" s="1960"/>
      <c r="K206" s="1960"/>
      <c r="L206" s="1960"/>
      <c r="M206" s="4279" t="str">
        <f>IF($M$205=$N$205, IF($N$205=$P$205,"", "Error! Please correct areas!"), "Error!  Please correct areas!")</f>
        <v/>
      </c>
      <c r="N206" s="1960"/>
      <c r="O206" s="1960"/>
      <c r="P206" s="1960"/>
      <c r="Q206" s="1960"/>
      <c r="R206" s="1960"/>
      <c r="S206" s="1960"/>
      <c r="T206" s="1960"/>
      <c r="U206" s="1960"/>
      <c r="V206" s="1960"/>
      <c r="W206" s="1960"/>
      <c r="X206" s="1960"/>
      <c r="Y206" s="1960"/>
      <c r="Z206" s="1960"/>
      <c r="AA206" s="1960"/>
      <c r="AB206" s="1960"/>
      <c r="AC206" s="1960"/>
      <c r="AD206" s="1960"/>
      <c r="AE206" s="2018" t="str">
        <f>Languages!B388</f>
        <v>Total inland waterbodies on mineral soil (tCO2-e)</v>
      </c>
      <c r="AF206" s="2035">
        <f>SUM(AF197:AF204)</f>
        <v>9914.94</v>
      </c>
      <c r="AG206" s="2035">
        <f>SUM(AG197:AG204)</f>
        <v>9914.94</v>
      </c>
      <c r="AH206" s="1780">
        <f>SUM(AH197:AH204)</f>
        <v>0</v>
      </c>
      <c r="AI206" s="1960"/>
      <c r="BZ206" s="4548" t="s">
        <v>87</v>
      </c>
      <c r="CA206" s="4548"/>
      <c r="CB206" s="4548"/>
      <c r="CD206" s="2591"/>
      <c r="CE206" s="2591"/>
      <c r="CF206" s="2591"/>
      <c r="CG206" s="2591"/>
      <c r="CH206" s="2591"/>
      <c r="CI206" s="2591"/>
      <c r="CJ206" s="2591"/>
      <c r="CK206" s="2591"/>
      <c r="CL206" s="2591"/>
      <c r="CM206" s="2591"/>
      <c r="CN206" s="2591"/>
      <c r="CO206" s="2591"/>
      <c r="CP206" s="2591"/>
      <c r="CQ206" s="2591"/>
      <c r="CR206" s="2591"/>
    </row>
    <row r="207" spans="2:96" x14ac:dyDescent="0.2">
      <c r="B207" s="1960"/>
      <c r="C207" s="1960"/>
      <c r="D207" s="1960"/>
      <c r="E207" s="1960"/>
      <c r="F207" s="1960"/>
      <c r="G207" s="1960"/>
      <c r="H207" s="1960"/>
      <c r="I207" s="1960"/>
      <c r="J207" s="1960"/>
      <c r="K207" s="1960"/>
      <c r="L207" s="1960"/>
      <c r="M207" s="1960"/>
      <c r="N207" s="1960"/>
      <c r="O207" s="1960"/>
      <c r="P207" s="1960"/>
      <c r="Q207" s="1960"/>
      <c r="R207" s="1960"/>
      <c r="S207" s="1960"/>
      <c r="T207" s="1960"/>
      <c r="U207" s="1960"/>
      <c r="V207" s="1960"/>
      <c r="W207" s="1960"/>
      <c r="X207" s="1960"/>
      <c r="Y207" s="1960"/>
      <c r="Z207" s="1960"/>
      <c r="AA207" s="1960"/>
      <c r="AB207" s="1960"/>
      <c r="AC207" s="1960"/>
      <c r="AD207" s="1960"/>
      <c r="AE207" s="1960"/>
      <c r="AF207" s="1960"/>
      <c r="AG207" s="1960"/>
      <c r="AH207" s="1960"/>
      <c r="AI207" s="1960"/>
      <c r="BZ207" s="4548"/>
      <c r="CA207" s="4548"/>
      <c r="CB207" s="4548"/>
      <c r="CD207" s="2591"/>
      <c r="CE207" s="2591"/>
      <c r="CF207" s="2591"/>
      <c r="CG207" s="2591"/>
      <c r="CH207" s="2591"/>
      <c r="CI207" s="2591"/>
      <c r="CJ207" s="2591"/>
      <c r="CK207" s="2591"/>
      <c r="CL207" s="2591"/>
      <c r="CM207" s="2591"/>
      <c r="CN207" s="2591"/>
      <c r="CO207" s="2591"/>
      <c r="CP207" s="2591"/>
      <c r="CQ207" s="2591"/>
      <c r="CR207" s="2591"/>
    </row>
    <row r="208" spans="2:96" x14ac:dyDescent="0.2">
      <c r="B208" s="1960"/>
      <c r="C208" s="1960" t="str">
        <f>C182</f>
        <v>*The selection of "D" corresponds to a default (linear) dynamics of change. Other selection options include "I" for immediate changes and "E" for exponential - please refer to the guidelines for further explanation of these assumptions.</v>
      </c>
      <c r="D208" s="1960"/>
      <c r="E208" s="1960"/>
      <c r="F208" s="1960"/>
      <c r="G208" s="1960"/>
      <c r="H208" s="1960"/>
      <c r="I208" s="1960"/>
      <c r="J208" s="1960"/>
      <c r="K208" s="1960"/>
      <c r="L208" s="1960"/>
      <c r="M208" s="1960"/>
      <c r="N208" s="1960"/>
      <c r="O208" s="1960"/>
      <c r="P208" s="1960"/>
      <c r="Q208" s="1960"/>
      <c r="R208" s="1960"/>
      <c r="S208" s="1960"/>
      <c r="T208" s="1960"/>
      <c r="U208" s="1960"/>
      <c r="V208" s="1960"/>
      <c r="W208" s="1960"/>
      <c r="X208" s="1960"/>
      <c r="Y208" s="1960"/>
      <c r="Z208" s="1960"/>
      <c r="AA208" s="1960"/>
      <c r="AB208" s="1960"/>
      <c r="AC208" s="1960"/>
      <c r="AD208" s="1960"/>
      <c r="AE208" s="1960"/>
      <c r="AF208" s="1960"/>
      <c r="AG208" s="1960"/>
      <c r="AH208" s="1960"/>
      <c r="AI208" s="1960"/>
      <c r="BZ208" s="4548"/>
      <c r="CA208" s="4548"/>
      <c r="CB208" s="4548"/>
      <c r="CD208" s="2591"/>
      <c r="CE208" s="2591"/>
      <c r="CF208" s="2591"/>
      <c r="CG208" s="2591"/>
      <c r="CH208" s="2591"/>
      <c r="CI208" s="2591"/>
      <c r="CJ208" s="2591"/>
      <c r="CK208" s="2591"/>
      <c r="CL208" s="2591"/>
      <c r="CM208" s="2591"/>
      <c r="CN208" s="2591"/>
      <c r="CO208" s="2591"/>
      <c r="CP208" s="2591"/>
      <c r="CQ208" s="2591"/>
      <c r="CR208" s="2591"/>
    </row>
    <row r="209" spans="78:96" x14ac:dyDescent="0.2">
      <c r="BZ209" s="1996"/>
      <c r="CA209" s="1996"/>
      <c r="CB209" s="1996"/>
      <c r="CD209" s="2591"/>
      <c r="CE209" s="2591"/>
      <c r="CF209" s="2591"/>
      <c r="CG209" s="2591"/>
      <c r="CH209" s="2591"/>
      <c r="CI209" s="2591"/>
      <c r="CJ209" s="2591"/>
      <c r="CK209" s="2591"/>
      <c r="CL209" s="2591"/>
      <c r="CM209" s="2591"/>
      <c r="CN209" s="2591"/>
      <c r="CO209" s="2591"/>
      <c r="CP209" s="2591"/>
      <c r="CQ209" s="2591"/>
      <c r="CR209" s="2591"/>
    </row>
    <row r="397" spans="30:30" x14ac:dyDescent="0.2">
      <c r="AD397" s="1969">
        <f>IF('6.Inland wetlands'!DO151="",'6.Inland wetlands'!DN151,'6.Inland wetlands'!$DO281)</f>
        <v>0</v>
      </c>
    </row>
  </sheetData>
  <sheetProtection algorithmName="SHA-512" hashValue="bOleAV4gT37KSU6mxmTtN3JimrFnS6D9R3gY9ROhanti6rJNXpqZKhGslPy7cC+H5kRl1Lk/U9Tfm953qHCi9A==" saltValue="sSgQDGxFTv5OHnIKHLny3A==" spinCount="100000" sheet="1" formatColumns="0"/>
  <mergeCells count="35">
    <mergeCell ref="D22:F24"/>
    <mergeCell ref="W76:Y77"/>
    <mergeCell ref="Z87:AB88"/>
    <mergeCell ref="C154:E154"/>
    <mergeCell ref="C155:E155"/>
    <mergeCell ref="AB124:AB126"/>
    <mergeCell ref="T114:T115"/>
    <mergeCell ref="C150:E150"/>
    <mergeCell ref="C151:E151"/>
    <mergeCell ref="C152:E152"/>
    <mergeCell ref="C153:E153"/>
    <mergeCell ref="CU180:CU182"/>
    <mergeCell ref="C203:E203"/>
    <mergeCell ref="C204:E204"/>
    <mergeCell ref="C176:E176"/>
    <mergeCell ref="C177:E177"/>
    <mergeCell ref="C178:E178"/>
    <mergeCell ref="C179:E179"/>
    <mergeCell ref="C197:E197"/>
    <mergeCell ref="C198:E198"/>
    <mergeCell ref="C199:E199"/>
    <mergeCell ref="C200:E200"/>
    <mergeCell ref="C201:E201"/>
    <mergeCell ref="C202:E202"/>
    <mergeCell ref="BU125:BW127"/>
    <mergeCell ref="BZ206:CB208"/>
    <mergeCell ref="BZ157:CB159"/>
    <mergeCell ref="W9:Y10"/>
    <mergeCell ref="Z21:AB22"/>
    <mergeCell ref="W42:Y43"/>
    <mergeCell ref="Z54:AB55"/>
    <mergeCell ref="BZ180:CB182"/>
    <mergeCell ref="BI21:BK23"/>
    <mergeCell ref="BR54:BT56"/>
    <mergeCell ref="BH87:BJ89"/>
  </mergeCells>
  <conditionalFormatting sqref="E192">
    <cfRule type="expression" priority="29">
      <formula>IF(SUM($M$13:$N$18,$P$13:$P$18,$N$46:$N$51,$P$46:$P$51,$N$80:$N$85,$P$80:$P$85,$M$118:$M$123,$M$150:$N$155,$P$150:$P$155,$M$176:$N$179)&gt;0,)</formula>
    </cfRule>
  </conditionalFormatting>
  <conditionalFormatting sqref="K156">
    <cfRule type="expression" dxfId="180" priority="5">
      <formula>$M$157&lt;&gt;" "</formula>
    </cfRule>
  </conditionalFormatting>
  <conditionalFormatting sqref="M80:M85">
    <cfRule type="cellIs" dxfId="179" priority="23" operator="notEqual">
      <formula>""""""</formula>
    </cfRule>
  </conditionalFormatting>
  <conditionalFormatting sqref="M157:Q157">
    <cfRule type="expression" dxfId="178" priority="50">
      <formula>$M$157&lt;&gt;" "</formula>
    </cfRule>
  </conditionalFormatting>
  <conditionalFormatting sqref="S176:T176">
    <cfRule type="expression" dxfId="177" priority="2">
      <formula>$N$152&gt;0</formula>
    </cfRule>
  </conditionalFormatting>
  <conditionalFormatting sqref="S177:T177">
    <cfRule type="expression" dxfId="176" priority="1">
      <formula>"$U$116=""Drained"""</formula>
    </cfRule>
  </conditionalFormatting>
  <conditionalFormatting sqref="S178:T178">
    <cfRule type="expression" dxfId="175" priority="3">
      <formula>$N$154&gt;0</formula>
    </cfRule>
  </conditionalFormatting>
  <conditionalFormatting sqref="S179:T179">
    <cfRule type="expression" dxfId="174" priority="4">
      <formula>$N$155&gt;0</formula>
    </cfRule>
  </conditionalFormatting>
  <conditionalFormatting sqref="W25">
    <cfRule type="expression" dxfId="173" priority="92">
      <formula>$M$25&gt;0</formula>
    </cfRule>
  </conditionalFormatting>
  <conditionalFormatting sqref="W26">
    <cfRule type="expression" dxfId="172" priority="91">
      <formula>$M$26&gt;0</formula>
    </cfRule>
  </conditionalFormatting>
  <conditionalFormatting sqref="W27">
    <cfRule type="expression" dxfId="171" priority="90">
      <formula>$M$27&gt;0</formula>
    </cfRule>
  </conditionalFormatting>
  <conditionalFormatting sqref="W28">
    <cfRule type="expression" dxfId="170" priority="89">
      <formula>$M$28&gt;0</formula>
    </cfRule>
  </conditionalFormatting>
  <conditionalFormatting sqref="W29">
    <cfRule type="expression" dxfId="169" priority="88">
      <formula>$M$29&gt;0</formula>
    </cfRule>
  </conditionalFormatting>
  <conditionalFormatting sqref="W30">
    <cfRule type="expression" dxfId="168" priority="87">
      <formula>$M$30&gt;0</formula>
    </cfRule>
  </conditionalFormatting>
  <conditionalFormatting sqref="W58">
    <cfRule type="expression" dxfId="167" priority="20">
      <formula>$M$58&gt;0</formula>
    </cfRule>
  </conditionalFormatting>
  <conditionalFormatting sqref="W59">
    <cfRule type="expression" dxfId="166" priority="18">
      <formula>$M$59&gt;0</formula>
    </cfRule>
  </conditionalFormatting>
  <conditionalFormatting sqref="W60">
    <cfRule type="expression" dxfId="165" priority="15">
      <formula>$M$60&gt;0</formula>
    </cfRule>
  </conditionalFormatting>
  <conditionalFormatting sqref="W61">
    <cfRule type="expression" dxfId="164" priority="14">
      <formula>$M$61&gt;0</formula>
    </cfRule>
  </conditionalFormatting>
  <conditionalFormatting sqref="W62">
    <cfRule type="expression" dxfId="163" priority="13">
      <formula>$M$62&gt;0</formula>
    </cfRule>
  </conditionalFormatting>
  <conditionalFormatting sqref="W63">
    <cfRule type="expression" dxfId="162" priority="12">
      <formula>$M$63&gt;0</formula>
    </cfRule>
  </conditionalFormatting>
  <conditionalFormatting sqref="W91">
    <cfRule type="expression" dxfId="161" priority="504">
      <formula>$M$91&gt;0</formula>
    </cfRule>
  </conditionalFormatting>
  <conditionalFormatting sqref="W92">
    <cfRule type="expression" dxfId="160" priority="505">
      <formula>$M$92&gt;0</formula>
    </cfRule>
  </conditionalFormatting>
  <conditionalFormatting sqref="W93">
    <cfRule type="expression" dxfId="159" priority="506">
      <formula>$M$93&gt;0</formula>
    </cfRule>
  </conditionalFormatting>
  <conditionalFormatting sqref="W94">
    <cfRule type="expression" dxfId="158" priority="507">
      <formula>$M$94&gt;0</formula>
    </cfRule>
  </conditionalFormatting>
  <conditionalFormatting sqref="W95">
    <cfRule type="expression" dxfId="157" priority="508">
      <formula>$M$95&gt;0</formula>
    </cfRule>
  </conditionalFormatting>
  <conditionalFormatting sqref="W96">
    <cfRule type="expression" dxfId="156" priority="509">
      <formula>$M$96&gt;0</formula>
    </cfRule>
  </conditionalFormatting>
  <conditionalFormatting sqref="W129">
    <cfRule type="expression" dxfId="155" priority="62">
      <formula>$M$129&gt;0</formula>
    </cfRule>
  </conditionalFormatting>
  <conditionalFormatting sqref="W130">
    <cfRule type="expression" dxfId="154" priority="61">
      <formula>$M$130&gt;0</formula>
    </cfRule>
  </conditionalFormatting>
  <conditionalFormatting sqref="W131">
    <cfRule type="expression" dxfId="153" priority="60">
      <formula>$M$131&gt;0</formula>
    </cfRule>
  </conditionalFormatting>
  <conditionalFormatting sqref="W132">
    <cfRule type="expression" dxfId="152" priority="59">
      <formula>$M$132&gt;0</formula>
    </cfRule>
  </conditionalFormatting>
  <conditionalFormatting sqref="W133">
    <cfRule type="expression" dxfId="151" priority="58">
      <formula>$M$133&gt;0</formula>
    </cfRule>
  </conditionalFormatting>
  <conditionalFormatting sqref="W134">
    <cfRule type="expression" dxfId="150" priority="57">
      <formula>$M$134&gt;0</formula>
    </cfRule>
  </conditionalFormatting>
  <conditionalFormatting sqref="W150">
    <cfRule type="expression" dxfId="149" priority="534">
      <formula>$M$150&gt;0</formula>
    </cfRule>
  </conditionalFormatting>
  <conditionalFormatting sqref="W151">
    <cfRule type="expression" dxfId="148" priority="535">
      <formula>$M$151&gt;0</formula>
    </cfRule>
  </conditionalFormatting>
  <conditionalFormatting sqref="W152">
    <cfRule type="expression" dxfId="147" priority="536">
      <formula>$M$152&gt;0</formula>
    </cfRule>
  </conditionalFormatting>
  <conditionalFormatting sqref="W153">
    <cfRule type="expression" dxfId="146" priority="537">
      <formula>$M$153&gt;0</formula>
    </cfRule>
  </conditionalFormatting>
  <conditionalFormatting sqref="W154">
    <cfRule type="expression" dxfId="145" priority="538">
      <formula>$M$154&gt;0</formula>
    </cfRule>
  </conditionalFormatting>
  <conditionalFormatting sqref="W155">
    <cfRule type="expression" dxfId="144" priority="539">
      <formula>$M$155&gt;0</formula>
    </cfRule>
  </conditionalFormatting>
  <conditionalFormatting sqref="X25">
    <cfRule type="expression" dxfId="143" priority="391">
      <formula>$N$25&gt;0</formula>
    </cfRule>
  </conditionalFormatting>
  <conditionalFormatting sqref="X26">
    <cfRule type="expression" dxfId="142" priority="394">
      <formula>$N$26&gt;0</formula>
    </cfRule>
  </conditionalFormatting>
  <conditionalFormatting sqref="X27">
    <cfRule type="expression" dxfId="141" priority="397">
      <formula>$N$27&gt;0</formula>
    </cfRule>
  </conditionalFormatting>
  <conditionalFormatting sqref="X28">
    <cfRule type="expression" dxfId="140" priority="400">
      <formula>$N$28&gt;0</formula>
    </cfRule>
  </conditionalFormatting>
  <conditionalFormatting sqref="X29">
    <cfRule type="expression" dxfId="139" priority="403">
      <formula>$N$29&gt;0</formula>
    </cfRule>
  </conditionalFormatting>
  <conditionalFormatting sqref="X30">
    <cfRule type="expression" dxfId="138" priority="406">
      <formula>$N$30&gt;0</formula>
    </cfRule>
  </conditionalFormatting>
  <conditionalFormatting sqref="X58">
    <cfRule type="expression" dxfId="137" priority="80">
      <formula>$N$58&gt;0</formula>
    </cfRule>
  </conditionalFormatting>
  <conditionalFormatting sqref="X59">
    <cfRule type="expression" dxfId="136" priority="79">
      <formula>$N$59&gt;0</formula>
    </cfRule>
  </conditionalFormatting>
  <conditionalFormatting sqref="X60">
    <cfRule type="expression" dxfId="135" priority="78">
      <formula>$N$60&gt;0</formula>
    </cfRule>
  </conditionalFormatting>
  <conditionalFormatting sqref="X61">
    <cfRule type="expression" dxfId="134" priority="77">
      <formula>$N$61&gt;0</formula>
    </cfRule>
  </conditionalFormatting>
  <conditionalFormatting sqref="X62">
    <cfRule type="expression" dxfId="133" priority="76">
      <formula>$N$62&gt;0</formula>
    </cfRule>
  </conditionalFormatting>
  <conditionalFormatting sqref="X63">
    <cfRule type="expression" dxfId="132" priority="75">
      <formula>$N$63&gt;0</formula>
    </cfRule>
  </conditionalFormatting>
  <conditionalFormatting sqref="X91">
    <cfRule type="expression" dxfId="131" priority="499">
      <formula>$N$91&gt;0</formula>
    </cfRule>
  </conditionalFormatting>
  <conditionalFormatting sqref="X92">
    <cfRule type="expression" dxfId="130" priority="500">
      <formula>$N$92&gt;0</formula>
    </cfRule>
  </conditionalFormatting>
  <conditionalFormatting sqref="X93">
    <cfRule type="expression" dxfId="129" priority="501">
      <formula>$N$93&gt;0</formula>
    </cfRule>
  </conditionalFormatting>
  <conditionalFormatting sqref="X94">
    <cfRule type="expression" dxfId="128" priority="444">
      <formula>$N$94&gt;0</formula>
    </cfRule>
  </conditionalFormatting>
  <conditionalFormatting sqref="X95">
    <cfRule type="expression" dxfId="127" priority="502">
      <formula>$N$95&gt;0</formula>
    </cfRule>
  </conditionalFormatting>
  <conditionalFormatting sqref="X96">
    <cfRule type="expression" dxfId="126" priority="503">
      <formula>$N$96&gt;0</formula>
    </cfRule>
  </conditionalFormatting>
  <conditionalFormatting sqref="X129">
    <cfRule type="expression" dxfId="125" priority="443">
      <formula>$N$129&gt;0</formula>
    </cfRule>
  </conditionalFormatting>
  <conditionalFormatting sqref="X130">
    <cfRule type="expression" dxfId="124" priority="428">
      <formula>$N$130&gt;0</formula>
    </cfRule>
  </conditionalFormatting>
  <conditionalFormatting sqref="X131">
    <cfRule type="expression" dxfId="123" priority="148">
      <formula>$N$131&gt;0</formula>
    </cfRule>
  </conditionalFormatting>
  <conditionalFormatting sqref="X132">
    <cfRule type="expression" dxfId="122" priority="432">
      <formula>$N$132&gt;0</formula>
    </cfRule>
  </conditionalFormatting>
  <conditionalFormatting sqref="X133">
    <cfRule type="expression" dxfId="121" priority="434">
      <formula>$N$133&gt;0</formula>
    </cfRule>
  </conditionalFormatting>
  <conditionalFormatting sqref="X134">
    <cfRule type="expression" dxfId="120" priority="145">
      <formula>$N$134&gt;0</formula>
    </cfRule>
  </conditionalFormatting>
  <conditionalFormatting sqref="X150">
    <cfRule type="expression" dxfId="119" priority="540">
      <formula>$N$150&gt;0</formula>
    </cfRule>
  </conditionalFormatting>
  <conditionalFormatting sqref="X151">
    <cfRule type="expression" dxfId="118" priority="541">
      <formula>$N$151&gt;0</formula>
    </cfRule>
  </conditionalFormatting>
  <conditionalFormatting sqref="X152">
    <cfRule type="expression" dxfId="117" priority="531">
      <formula>$N$152&gt;0</formula>
    </cfRule>
  </conditionalFormatting>
  <conditionalFormatting sqref="X153">
    <cfRule type="expression" dxfId="116" priority="140">
      <formula>$N$153&gt;0</formula>
    </cfRule>
  </conditionalFormatting>
  <conditionalFormatting sqref="X154">
    <cfRule type="expression" dxfId="115" priority="544">
      <formula>$N$154&gt;0</formula>
    </cfRule>
  </conditionalFormatting>
  <conditionalFormatting sqref="X155">
    <cfRule type="expression" dxfId="114" priority="546">
      <formula>$N$155&gt;0</formula>
    </cfRule>
  </conditionalFormatting>
  <conditionalFormatting sqref="Y25">
    <cfRule type="expression" dxfId="113" priority="192">
      <formula>$P$25&gt;0</formula>
    </cfRule>
  </conditionalFormatting>
  <conditionalFormatting sqref="Y26">
    <cfRule type="expression" dxfId="112" priority="191">
      <formula>$P$26&gt;0</formula>
    </cfRule>
  </conditionalFormatting>
  <conditionalFormatting sqref="Y27">
    <cfRule type="expression" dxfId="111" priority="190">
      <formula>$P$27&gt;0</formula>
    </cfRule>
  </conditionalFormatting>
  <conditionalFormatting sqref="Y28">
    <cfRule type="expression" dxfId="110" priority="189">
      <formula>$P$28&gt;0</formula>
    </cfRule>
  </conditionalFormatting>
  <conditionalFormatting sqref="Y29">
    <cfRule type="expression" dxfId="109" priority="188">
      <formula>$P$29&gt;0</formula>
    </cfRule>
  </conditionalFormatting>
  <conditionalFormatting sqref="Y30">
    <cfRule type="expression" dxfId="108" priority="187">
      <formula>$P$30&gt;0</formula>
    </cfRule>
  </conditionalFormatting>
  <conditionalFormatting sqref="Y58">
    <cfRule type="expression" dxfId="107" priority="74">
      <formula>$P$58&gt;0</formula>
    </cfRule>
  </conditionalFormatting>
  <conditionalFormatting sqref="Y59">
    <cfRule type="expression" dxfId="106" priority="73">
      <formula>$P$59&gt;0</formula>
    </cfRule>
  </conditionalFormatting>
  <conditionalFormatting sqref="Y60">
    <cfRule type="expression" dxfId="105" priority="72">
      <formula>$P$60&gt;0</formula>
    </cfRule>
  </conditionalFormatting>
  <conditionalFormatting sqref="Y61">
    <cfRule type="expression" dxfId="104" priority="71">
      <formula>$P$61&gt;0</formula>
    </cfRule>
  </conditionalFormatting>
  <conditionalFormatting sqref="Y62">
    <cfRule type="expression" dxfId="103" priority="70">
      <formula>$P$62&gt;0</formula>
    </cfRule>
  </conditionalFormatting>
  <conditionalFormatting sqref="Y63">
    <cfRule type="expression" dxfId="102" priority="69">
      <formula>$P$63&gt;0</formula>
    </cfRule>
  </conditionalFormatting>
  <conditionalFormatting sqref="Y91">
    <cfRule type="expression" dxfId="101" priority="491">
      <formula>$P$91&gt;0</formula>
    </cfRule>
  </conditionalFormatting>
  <conditionalFormatting sqref="Y92">
    <cfRule type="expression" dxfId="100" priority="493">
      <formula>$P$92&gt;0</formula>
    </cfRule>
  </conditionalFormatting>
  <conditionalFormatting sqref="Y93">
    <cfRule type="expression" dxfId="99" priority="494">
      <formula>$P$93&gt;0</formula>
    </cfRule>
  </conditionalFormatting>
  <conditionalFormatting sqref="Y94">
    <cfRule type="expression" dxfId="98" priority="496">
      <formula>$P$94&gt;0</formula>
    </cfRule>
  </conditionalFormatting>
  <conditionalFormatting sqref="Y95">
    <cfRule type="expression" dxfId="97" priority="497">
      <formula>$P$95&gt;0</formula>
    </cfRule>
  </conditionalFormatting>
  <conditionalFormatting sqref="Y96">
    <cfRule type="expression" dxfId="96" priority="498">
      <formula>$P$96&gt;0</formula>
    </cfRule>
  </conditionalFormatting>
  <conditionalFormatting sqref="Y129">
    <cfRule type="expression" dxfId="95" priority="22">
      <formula>$P$129&gt;0</formula>
    </cfRule>
  </conditionalFormatting>
  <conditionalFormatting sqref="Y130">
    <cfRule type="expression" dxfId="94" priority="437">
      <formula>$P$130&gt;0</formula>
    </cfRule>
  </conditionalFormatting>
  <conditionalFormatting sqref="Y131">
    <cfRule type="expression" dxfId="93" priority="438">
      <formula>$P$131&gt;0</formula>
    </cfRule>
  </conditionalFormatting>
  <conditionalFormatting sqref="Y132">
    <cfRule type="expression" dxfId="92" priority="439">
      <formula>$P$132&gt;0</formula>
    </cfRule>
  </conditionalFormatting>
  <conditionalFormatting sqref="Y133">
    <cfRule type="expression" dxfId="91" priority="440">
      <formula>$P$133&gt;0</formula>
    </cfRule>
  </conditionalFormatting>
  <conditionalFormatting sqref="Y134">
    <cfRule type="expression" dxfId="90" priority="441">
      <formula>$P$134&gt;0</formula>
    </cfRule>
  </conditionalFormatting>
  <conditionalFormatting sqref="Y150">
    <cfRule type="expression" dxfId="89" priority="542">
      <formula>$P$150&gt;0</formula>
    </cfRule>
  </conditionalFormatting>
  <conditionalFormatting sqref="Y151">
    <cfRule type="expression" dxfId="88" priority="543">
      <formula>$P$151&gt;0</formula>
    </cfRule>
  </conditionalFormatting>
  <conditionalFormatting sqref="Y152">
    <cfRule type="expression" dxfId="87" priority="533">
      <formula>$P$152&gt;0</formula>
    </cfRule>
  </conditionalFormatting>
  <conditionalFormatting sqref="Y153">
    <cfRule type="expression" dxfId="86" priority="548">
      <formula>$P$153&gt;0</formula>
    </cfRule>
  </conditionalFormatting>
  <conditionalFormatting sqref="Y154">
    <cfRule type="expression" dxfId="85" priority="549">
      <formula>$P$154&gt;0</formula>
    </cfRule>
  </conditionalFormatting>
  <conditionalFormatting sqref="Y155">
    <cfRule type="expression" dxfId="84" priority="550">
      <formula>$P$155&gt;0</formula>
    </cfRule>
  </conditionalFormatting>
  <dataValidations count="10">
    <dataValidation type="decimal" operator="lessThanOrEqual" allowBlank="1" showInputMessage="1" showErrorMessage="1" sqref="N13:N18" xr:uid="{00000000-0002-0000-1000-000000000000}">
      <formula1>M13</formula1>
    </dataValidation>
    <dataValidation type="decimal" operator="lessThanOrEqual" allowBlank="1" showInputMessage="1" showErrorMessage="1" sqref="P13:P18 N25:N30 N58:N63 N91:N96 N129:N134 N150:N155" xr:uid="{00000000-0002-0000-1000-000001000000}">
      <formula1>K13</formula1>
    </dataValidation>
    <dataValidation type="decimal" operator="greaterThanOrEqual" allowBlank="1" showInputMessage="1" showErrorMessage="1" sqref="BF118:BF135 AW118:AW135 AY118:AY123 AZ124:AZ135 BA118:BA123 BC124:BC135 BN124:BN135 BL118:BL135 BJ118:BJ135 BH118:BH135 BD118:BD123 M118:M123" xr:uid="{00000000-0002-0000-1000-000002000000}">
      <formula1>0</formula1>
    </dataValidation>
    <dataValidation type="decimal" operator="lessThanOrEqual" allowBlank="1" showInputMessage="1" showErrorMessage="1" sqref="W13:W18" xr:uid="{00000000-0002-0000-1000-000003000000}">
      <formula1>M13</formula1>
    </dataValidation>
    <dataValidation type="decimal" operator="lessThanOrEqual" allowBlank="1" showInputMessage="1" showErrorMessage="1" sqref="W46:W51 W80:W85" xr:uid="{00000000-0002-0000-1000-000004000000}">
      <formula1>MAX(N46,P46)</formula1>
    </dataValidation>
    <dataValidation type="decimal" operator="lessThanOrEqual" allowBlank="1" showInputMessage="1" showErrorMessage="1" sqref="Y46:Y51 Y80:Y85" xr:uid="{00000000-0002-0000-1000-000005000000}">
      <formula1>MAX(N46,P46)</formula1>
    </dataValidation>
    <dataValidation type="decimal" operator="lessThanOrEqual" allowBlank="1" showInputMessage="1" showErrorMessage="1" sqref="U13:U18" xr:uid="{00000000-0002-0000-1000-000006000000}">
      <formula1>M13</formula1>
    </dataValidation>
    <dataValidation type="decimal" operator="lessThanOrEqual" allowBlank="1" showInputMessage="1" showErrorMessage="1" sqref="U80:U85 U46:U51" xr:uid="{00000000-0002-0000-1000-000007000000}">
      <formula1>MAX(N46,P46)</formula1>
    </dataValidation>
    <dataValidation type="decimal" operator="lessThanOrEqual" allowBlank="1" showInputMessage="1" showErrorMessage="1" sqref="P25:P30 P58:P63 P91:P96 P129:P134 P150:P155" xr:uid="{00000000-0002-0000-1000-000008000000}">
      <formula1>K25</formula1>
    </dataValidation>
    <dataValidation type="decimal" operator="lessThanOrEqual" allowBlank="1" showInputMessage="1" showErrorMessage="1" sqref="M25:M30 M58:M63 M91:M96 M129:M134 M150:M155" xr:uid="{00000000-0002-0000-1000-000009000000}">
      <formula1>K25</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51" id="{198F9C83-E9E2-4082-A784-30DA0C9E963D}">
            <xm:f>OR($AA$25=list!$E$211,$AA$25=list!$E$212,$AA$25=list!$E$213)</xm:f>
            <x14:dxf>
              <font>
                <color auto="1"/>
              </font>
              <fill>
                <patternFill>
                  <bgColor theme="0"/>
                </patternFill>
              </fill>
            </x14:dxf>
          </x14:cfRule>
          <xm:sqref>CZ118:CZ123</xm:sqref>
        </x14:conditionalFormatting>
      </x14:conditionalFormattings>
    </ext>
    <ext xmlns:x14="http://schemas.microsoft.com/office/spreadsheetml/2009/9/main" uri="{CCE6A557-97BC-4b89-ADB6-D9C93CAAB3DF}">
      <x14:dataValidations xmlns:xm="http://schemas.microsoft.com/office/excel/2006/main" count="19">
        <x14:dataValidation type="list" allowBlank="1" showInputMessage="1" showErrorMessage="1" xr:uid="{00000000-0002-0000-1000-00000A000000}">
          <x14:formula1>
            <xm:f>list!$J$210:$J$211</xm:f>
          </x14:formula1>
          <xm:sqref>CK157 CK64:CK65 CK100 CK20 CK31:CK33 CK42 CK53:CK57 CK87 CK126</xm:sqref>
        </x14:dataValidation>
        <x14:dataValidation type="list" allowBlank="1" showInputMessage="1" showErrorMessage="1" xr:uid="{00000000-0002-0000-1000-00000B000000}">
          <x14:formula1>
            <xm:f>OFFSET(IPCC!$B$571, 1, MATCH(climate, IPCC!$B$571:$F$571,0)-1, COUNTA(OFFSET(IPCC!$B$571,1, MATCH(climate, IPCC!$B$571:$F$571,0)-1,10,1)), 1)</xm:f>
          </x14:formula1>
          <xm:sqref>C118:C123</xm:sqref>
        </x14:dataValidation>
        <x14:dataValidation type="list" allowBlank="1" showInputMessage="1" showErrorMessage="1" xr:uid="{00000000-0002-0000-1000-00000C000000}">
          <x14:formula1>
            <xm:f>list!$I$48:$I$50</xm:f>
          </x14:formula1>
          <xm:sqref>O13:O18 Q13:Q18 O46:O51 Q46:Q51 O80:O85 Q80:Q85 O118:O123 Q118:Q123 O150:O155 Q150:Q155 O176:O179 Q176:Q179 Q197:Q204 O197:O204 O129:O134 Q129:Q134 Z46:Z51 O25:O30 Q25:Q30 O58:O63 Q58:Q63 O91:O96 Q91:Q96</xm:sqref>
        </x14:dataValidation>
        <x14:dataValidation type="list" allowBlank="1" showInputMessage="1" showErrorMessage="1" xr:uid="{00000000-0002-0000-1000-00000D000000}">
          <x14:formula1>
            <xm:f>list!$O$7:$O$13</xm:f>
          </x14:formula1>
          <xm:sqref>G118:G123 I118:I123 K118:K123</xm:sqref>
        </x14:dataValidation>
        <x14:dataValidation type="list" allowBlank="1" showInputMessage="1" showErrorMessage="1" xr:uid="{00000000-0002-0000-1000-00000E000000}">
          <x14:formula1>
            <xm:f>OFFSET(list!$F$130, 1, MATCH(clim_moist, list!$F$130:$O$130,0)-1, COUNTA(OFFSET(list!$F$130,1, MATCH(clim_moist, list!$F$130:$O$130,0)-1,8,1)), 1)</xm:f>
          </x14:formula1>
          <xm:sqref>I46:I51 I13:I18</xm:sqref>
        </x14:dataValidation>
        <x14:dataValidation type="list" allowBlank="1" showInputMessage="1" showErrorMessage="1" xr:uid="{00000000-0002-0000-1000-00000F000000}">
          <x14:formula1>
            <xm:f>IF(I46="Agroforestry",INDEX(list!$F$140:$O$151,,MATCH(clim_moist,list!$F$139:$O$139,0)),"")</xm:f>
          </x14:formula1>
          <xm:sqref>K46:K51</xm:sqref>
        </x14:dataValidation>
        <x14:dataValidation type="list" allowBlank="1" showInputMessage="1" showErrorMessage="1" xr:uid="{00000000-0002-0000-1000-000010000000}">
          <x14:formula1>
            <xm:f>list!$F$210:$F$213</xm:f>
          </x14:formula1>
          <xm:sqref>CZ13:CZ18 CZ46:CZ51 CZ80:CZ85 CZ118:CZ123 CZ151:CZ156</xm:sqref>
        </x14:dataValidation>
        <x14:dataValidation type="list" allowBlank="1" showInputMessage="1" showErrorMessage="1" xr:uid="{00000000-0002-0000-1000-000011000000}">
          <x14:formula1>
            <xm:f>list!$E$210:$E$214</xm:f>
          </x14:formula1>
          <xm:sqref>Z150:AB155 T118:T123 AB129:AB134 X13:X18 AA25:AA30 X46:X51 AA58:AA63 X80:X85 AA91:AA96</xm:sqref>
        </x14:dataValidation>
        <x14:dataValidation type="list" allowBlank="1" showInputMessage="1" showErrorMessage="1" xr:uid="{00000000-0002-0000-1000-000012000000}">
          <x14:formula1>
            <xm:f>OFFSET(list!$G$169, 1, MATCH(climate, list!$G$169:$K$169,0)-1, COUNTA(OFFSET(list!$G$169,1, MATCH(climate, list!$G$169:$K$169,0)-1,10,1)), 1)</xm:f>
          </x14:formula1>
          <xm:sqref>C46:C51</xm:sqref>
        </x14:dataValidation>
        <x14:dataValidation type="list" allowBlank="1" showInputMessage="1" showErrorMessage="1" xr:uid="{00000000-0002-0000-1000-000013000000}">
          <x14:formula1>
            <xm:f>OFFSET(list!$F$186, 1, MATCH(climate, list!$F$186:$J$186,0)-1, COUNTA(OFFSET(list!$F$186,1, MATCH(climate, list!$F$186:$J$186,0)-1,19,1)), 1)</xm:f>
          </x14:formula1>
          <xm:sqref>I80:I85 I150:I155</xm:sqref>
        </x14:dataValidation>
        <x14:dataValidation type="list" allowBlank="1" showInputMessage="1" showErrorMessage="1" prompt="Please make sure the final land use with the project differs from the intitial land use without the project" xr:uid="{00000000-0002-0000-1000-000014000000}">
          <x14:formula1>
            <xm:f>OFFSET(list!$F$186, 1, MATCH(climate, list!$F$186:$J$186,0)-1, COUNTA(OFFSET(list!$F$186,1, MATCH(climate, list!$F$186:$J$186,0)-1,19,1)), 1)</xm:f>
          </x14:formula1>
          <xm:sqref>K80:K85</xm:sqref>
        </x14:dataValidation>
        <x14:dataValidation type="list" allowBlank="1" showInputMessage="1" showErrorMessage="1" xr:uid="{00000000-0002-0000-1000-000015000000}">
          <x14:formula1>
            <xm:f>IF($I13="Agroforestry", OFFSET(list!$F$139, 1, MATCH(clim_moist, list!$F$139:$O$139,0)-1, COUNTA(OFFSET(list!$F$139,1, MATCH(clim_moist, list!$F$139:$O$139,0)-1,15,1)), 1),)</xm:f>
          </x14:formula1>
          <xm:sqref>K13:K18</xm:sqref>
        </x14:dataValidation>
        <x14:dataValidation type="list" allowBlank="1" showInputMessage="1" showErrorMessage="1" xr:uid="{00000000-0002-0000-1000-000016000000}">
          <x14:formula1>
            <xm:f>list!$E$217:$E$219</xm:f>
          </x14:formula1>
          <xm:sqref>I176:I179</xm:sqref>
        </x14:dataValidation>
        <x14:dataValidation type="list" allowBlank="1" showInputMessage="1" showErrorMessage="1" xr:uid="{00000000-0002-0000-1000-000017000000}">
          <x14:formula1>
            <xm:f>list!$E$222:$E$224</xm:f>
          </x14:formula1>
          <xm:sqref>CU175:CU178</xm:sqref>
        </x14:dataValidation>
        <x14:dataValidation type="list" allowBlank="1" showInputMessage="1" showErrorMessage="1" xr:uid="{00000000-0002-0000-1000-000018000000}">
          <x14:formula1>
            <xm:f>list!$B$223:$B$226</xm:f>
          </x14:formula1>
          <xm:sqref>I197:I204</xm:sqref>
        </x14:dataValidation>
        <x14:dataValidation type="list" allowBlank="1" showInputMessage="1" showErrorMessage="1" xr:uid="{00000000-0002-0000-1000-000019000000}">
          <x14:formula1>
            <xm:f>IPCC!$A$3222:$A$3227</xm:f>
          </x14:formula1>
          <xm:sqref>T197:T204</xm:sqref>
        </x14:dataValidation>
        <x14:dataValidation type="list" allowBlank="1" showInputMessage="1" showErrorMessage="1" xr:uid="{00000000-0002-0000-1000-00001A000000}">
          <x14:formula1>
            <xm:f>OFFSET(list!$M$209, 1, MATCH(climate,list!$M$209:$Q$209,0)-1, COUNTA(OFFSET(list!$M$209,1, MATCH(climate,list!$M$209:$Q$209,0)-1,10,1)), 1)</xm:f>
          </x14:formula1>
          <xm:sqref>C13:C18</xm:sqref>
        </x14:dataValidation>
        <x14:dataValidation type="list" allowBlank="1" showInputMessage="1" showErrorMessage="1" xr:uid="{00000000-0002-0000-1000-00001B000000}">
          <x14:formula1>
            <xm:f>list!$J$41:$J$42</xm:f>
          </x14:formula1>
          <xm:sqref>G13:G18 G46:G51 G80:G85</xm:sqref>
        </x14:dataValidation>
        <x14:dataValidation type="whole" operator="lessThanOrEqual" allowBlank="1" showInputMessage="1" showErrorMessage="1" error="The start year of the activity cannot be after the end of the implementation period." xr:uid="{00000000-0002-0000-1000-00001C000000}">
          <x14:formula1>
            <xm:f>'1.Description'!$T$13</xm:f>
          </x14:formula1>
          <xm:sqref>BJ13:BJ18 BS47:BS52 BI80:BI85 BV118:BV123 CA150:CA155 CA175:CA178 CA197:CA204</xm:sqref>
        </x14:dataValidation>
      </x14:dataValidations>
    </ext>
  </extLst>
</worksheet>
</file>

<file path=xl/worksheets/sheet18.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dimension ref="A1:BU515"/>
  <sheetViews>
    <sheetView topLeftCell="T25" zoomScale="75" zoomScaleNormal="85" workbookViewId="0">
      <selection activeCell="AE53" sqref="AE53:AH53"/>
    </sheetView>
  </sheetViews>
  <sheetFormatPr baseColWidth="10" defaultColWidth="9.33203125" defaultRowHeight="14" x14ac:dyDescent="0.15"/>
  <cols>
    <col min="1" max="1" width="9.33203125" style="973"/>
    <col min="2" max="2" width="36.5" style="973" customWidth="1"/>
    <col min="3" max="3" width="22.6640625" style="973" customWidth="1"/>
    <col min="4" max="4" width="21.5" style="973" customWidth="1"/>
    <col min="5" max="5" width="13.5" style="973" customWidth="1"/>
    <col min="6" max="6" width="17.6640625" style="973" customWidth="1"/>
    <col min="7" max="7" width="13.5" style="973" customWidth="1"/>
    <col min="8" max="8" width="12.33203125" style="973" customWidth="1"/>
    <col min="9" max="9" width="21.6640625" style="973" customWidth="1"/>
    <col min="10" max="10" width="16.5" style="973" customWidth="1"/>
    <col min="11" max="11" width="18.6640625" style="973" customWidth="1"/>
    <col min="12" max="12" width="13.5" style="973" customWidth="1"/>
    <col min="13" max="13" width="20.5" style="973" customWidth="1"/>
    <col min="14" max="14" width="16.5" style="973" customWidth="1"/>
    <col min="15" max="15" width="15.6640625" style="973" customWidth="1"/>
    <col min="16" max="16" width="14.6640625" style="973" customWidth="1"/>
    <col min="17" max="17" width="12.5" style="973" customWidth="1"/>
    <col min="18" max="18" width="18.33203125" style="973" customWidth="1"/>
    <col min="19" max="19" width="12.5" style="973" customWidth="1"/>
    <col min="20" max="20" width="13.6640625" style="973" customWidth="1"/>
    <col min="21" max="21" width="14" style="973" customWidth="1"/>
    <col min="22" max="22" width="11.5" style="973" customWidth="1"/>
    <col min="23" max="23" width="12.6640625" style="973" customWidth="1"/>
    <col min="24" max="24" width="13" style="973" customWidth="1"/>
    <col min="25" max="25" width="13.5" style="973" customWidth="1"/>
    <col min="26" max="26" width="19.5" style="973" customWidth="1"/>
    <col min="27" max="27" width="14" style="973" customWidth="1"/>
    <col min="28" max="28" width="10.5" style="973" customWidth="1"/>
    <col min="29" max="29" width="13.6640625" style="973" customWidth="1"/>
    <col min="30" max="30" width="14" style="973" customWidth="1"/>
    <col min="31" max="31" width="18.5" style="973" customWidth="1"/>
    <col min="32" max="32" width="12.5" style="973" customWidth="1"/>
    <col min="33" max="33" width="18.33203125" style="973" customWidth="1"/>
    <col min="34" max="34" width="17.5" style="973" customWidth="1"/>
    <col min="35" max="35" width="17.6640625" style="973" customWidth="1"/>
    <col min="36" max="36" width="19.5" style="973" customWidth="1"/>
    <col min="37" max="38" width="13" style="973" customWidth="1"/>
    <col min="39" max="39" width="13" style="973" hidden="1" customWidth="1"/>
    <col min="40" max="40" width="14.33203125" style="973" hidden="1" customWidth="1"/>
    <col min="41" max="41" width="13.6640625" style="973" hidden="1" customWidth="1"/>
    <col min="42" max="44" width="9.33203125" style="973" hidden="1" customWidth="1"/>
    <col min="45" max="45" width="15.5" style="973" hidden="1" customWidth="1"/>
    <col min="46" max="46" width="14.6640625" style="973" hidden="1" customWidth="1"/>
    <col min="47" max="47" width="11.6640625" style="973" hidden="1" customWidth="1"/>
    <col min="48" max="49" width="9.33203125" style="973" hidden="1" customWidth="1"/>
    <col min="50" max="50" width="15.6640625" style="1264" customWidth="1"/>
    <col min="51" max="51" width="13.5" style="1264" customWidth="1"/>
    <col min="52" max="52" width="15.6640625" style="1264" customWidth="1"/>
    <col min="53" max="53" width="13.5" style="1264" customWidth="1"/>
    <col min="54" max="54" width="15.6640625" style="1264" customWidth="1"/>
    <col min="55" max="55" width="13.5" style="1264" customWidth="1"/>
    <col min="56" max="57" width="15.6640625" style="1264" customWidth="1"/>
    <col min="58" max="58" width="13.5" style="1264" customWidth="1"/>
    <col min="59" max="59" width="15.6640625" style="1264" customWidth="1"/>
    <col min="60" max="61" width="9.33203125" style="973"/>
    <col min="62" max="62" width="9.33203125" style="973" customWidth="1"/>
    <col min="63" max="63" width="25.5" style="973" customWidth="1"/>
    <col min="64" max="64" width="11.6640625" style="973" customWidth="1"/>
    <col min="65" max="65" width="12.5" style="973" customWidth="1"/>
    <col min="66" max="66" width="14.5" style="973" customWidth="1"/>
    <col min="67" max="67" width="9.33203125" style="973"/>
    <col min="68" max="68" width="24" style="973" customWidth="1"/>
    <col min="69" max="69" width="13.5" style="973" customWidth="1"/>
    <col min="70" max="70" width="14.6640625" style="973" customWidth="1"/>
    <col min="71" max="71" width="14.5" style="973" customWidth="1"/>
    <col min="72" max="72" width="13" style="973" customWidth="1"/>
    <col min="73" max="16384" width="9.33203125" style="973"/>
  </cols>
  <sheetData>
    <row r="1" spans="1:59" ht="15" customHeight="1" x14ac:dyDescent="0.15">
      <c r="J1" s="1122"/>
      <c r="K1" s="1122"/>
      <c r="L1" s="1122"/>
      <c r="M1" s="1122"/>
      <c r="N1" s="1122"/>
    </row>
    <row r="2" spans="1:59" x14ac:dyDescent="0.15">
      <c r="J2" s="1058"/>
      <c r="K2" s="1058"/>
      <c r="L2" s="1058"/>
      <c r="M2" s="1058"/>
      <c r="N2" s="1058"/>
    </row>
    <row r="3" spans="1:59" x14ac:dyDescent="0.15">
      <c r="J3" s="1058"/>
      <c r="K3" s="1058"/>
      <c r="L3" s="1058"/>
      <c r="M3" s="1058"/>
      <c r="N3" s="1058"/>
    </row>
    <row r="4" spans="1:59" x14ac:dyDescent="0.15">
      <c r="J4" s="1058"/>
      <c r="K4" s="1058"/>
      <c r="L4" s="1058"/>
      <c r="M4" s="1058"/>
      <c r="N4" s="1058"/>
    </row>
    <row r="5" spans="1:59" s="975" customFormat="1" ht="62.75" customHeight="1" x14ac:dyDescent="0.15">
      <c r="B5" s="975" t="str">
        <f>Languages!B332</f>
        <v>6.1 LAND-USE CHANGE ON ORGANIC SOIL</v>
      </c>
      <c r="J5" s="1123"/>
      <c r="K5" s="1123"/>
      <c r="L5" s="1123"/>
      <c r="M5" s="1123"/>
      <c r="N5" s="1123"/>
    </row>
    <row r="6" spans="1:59" s="1080" customFormat="1" x14ac:dyDescent="0.15">
      <c r="J6" s="1058"/>
      <c r="K6" s="1058"/>
      <c r="L6" s="1058"/>
      <c r="M6" s="1058"/>
      <c r="N6" s="1058"/>
      <c r="AX6" s="1504"/>
      <c r="AY6" s="1504"/>
      <c r="AZ6" s="1504"/>
      <c r="BA6" s="1504"/>
      <c r="BB6" s="1504"/>
      <c r="BC6" s="1504"/>
      <c r="BD6" s="1504"/>
      <c r="BE6" s="1504"/>
      <c r="BF6" s="1504"/>
      <c r="BG6" s="1504"/>
    </row>
    <row r="7" spans="1:59" s="975" customFormat="1" ht="42.75" customHeight="1" x14ac:dyDescent="0.15">
      <c r="B7" s="975" t="str">
        <f>CONCATENATE(Languages!B333," ", "&amp; management options during conversion")</f>
        <v>6.1.1 Organic soil management practices associated with deforestation &amp; management options during conversion</v>
      </c>
      <c r="J7" s="1123"/>
      <c r="K7" s="1123"/>
      <c r="L7" s="1123"/>
      <c r="M7" s="1123"/>
      <c r="N7" s="1123"/>
    </row>
    <row r="8" spans="1:59" s="1080" customFormat="1" x14ac:dyDescent="0.15">
      <c r="J8" s="1058"/>
      <c r="K8" s="1058"/>
      <c r="L8" s="1058"/>
      <c r="M8" s="1058"/>
      <c r="N8" s="1058"/>
      <c r="AX8" s="1504"/>
      <c r="AY8" s="1504"/>
      <c r="AZ8" s="1504"/>
      <c r="BA8" s="1504"/>
      <c r="BB8" s="1504"/>
      <c r="BC8" s="1504"/>
      <c r="BD8" s="1504"/>
      <c r="BE8" s="1504"/>
      <c r="BF8" s="1504"/>
      <c r="BG8" s="1504"/>
    </row>
    <row r="9" spans="1:59" s="1089" customFormat="1" ht="30.75" customHeight="1" x14ac:dyDescent="0.2">
      <c r="A9" s="1310"/>
      <c r="B9" s="1311" t="s">
        <v>1088</v>
      </c>
      <c r="C9" s="1310"/>
      <c r="D9" s="1310"/>
      <c r="E9" s="1310"/>
      <c r="F9" s="1310"/>
      <c r="G9" s="1310"/>
      <c r="H9" s="1310"/>
      <c r="I9" s="1310"/>
      <c r="J9" s="1310"/>
      <c r="K9" s="1310"/>
      <c r="L9" s="1310"/>
      <c r="M9" s="1310"/>
      <c r="N9" s="1310"/>
      <c r="O9" s="1310"/>
      <c r="P9" s="1310"/>
      <c r="Q9" s="1310"/>
      <c r="R9" s="1310"/>
      <c r="S9" s="1310"/>
      <c r="T9" s="1310"/>
      <c r="U9" s="1310"/>
      <c r="V9" s="1310"/>
      <c r="W9" s="1310"/>
      <c r="X9" s="1310"/>
      <c r="Y9" s="1310"/>
      <c r="Z9" s="1310"/>
      <c r="AA9" s="1310"/>
      <c r="AB9" s="1310"/>
      <c r="AC9" s="1310"/>
      <c r="AD9" s="1310"/>
      <c r="AE9" s="1310"/>
      <c r="AF9" s="1310"/>
      <c r="AG9" s="1310"/>
      <c r="AH9" s="1310"/>
      <c r="AI9" s="1310"/>
      <c r="AJ9" s="1310"/>
      <c r="AK9" s="1310"/>
      <c r="AX9" s="1447"/>
      <c r="AY9" s="1447"/>
      <c r="AZ9" s="1447"/>
      <c r="BA9" s="1447"/>
      <c r="BB9" s="1447"/>
      <c r="BC9" s="1447"/>
      <c r="BD9" s="1447"/>
      <c r="BE9" s="1447"/>
      <c r="BF9" s="1447"/>
      <c r="BG9" s="1447"/>
    </row>
    <row r="10" spans="1:59" ht="45" x14ac:dyDescent="0.15">
      <c r="C10" s="973" t="s">
        <v>1089</v>
      </c>
      <c r="J10" s="1058"/>
      <c r="K10" s="1058"/>
      <c r="L10" s="1058"/>
      <c r="M10" s="4263" t="s">
        <v>1090</v>
      </c>
      <c r="N10" s="1058"/>
    </row>
    <row r="11" spans="1:59" x14ac:dyDescent="0.15">
      <c r="C11" s="1291" t="s">
        <v>987</v>
      </c>
      <c r="D11" s="1293"/>
      <c r="E11" s="1292"/>
      <c r="F11" s="1291" t="s">
        <v>103</v>
      </c>
      <c r="G11" s="1293"/>
      <c r="H11" s="1292"/>
      <c r="I11" s="1291" t="s">
        <v>1091</v>
      </c>
      <c r="J11" s="1294"/>
      <c r="K11" s="1295" t="s">
        <v>1092</v>
      </c>
      <c r="L11" s="1294"/>
      <c r="M11" s="4258" t="s">
        <v>1093</v>
      </c>
      <c r="O11" s="1296" t="s">
        <v>1094</v>
      </c>
      <c r="P11" s="1296" t="s">
        <v>1095</v>
      </c>
      <c r="Q11" s="1296" t="s">
        <v>1096</v>
      </c>
      <c r="S11" s="1296" t="s">
        <v>1094</v>
      </c>
      <c r="T11" s="1296" t="s">
        <v>1095</v>
      </c>
      <c r="U11" s="1296" t="s">
        <v>1096</v>
      </c>
    </row>
    <row r="12" spans="1:59" x14ac:dyDescent="0.15">
      <c r="A12" s="1141"/>
      <c r="B12" s="1124" t="s">
        <v>100</v>
      </c>
      <c r="C12" s="1299" t="s">
        <v>1097</v>
      </c>
      <c r="D12" s="1176" t="s">
        <v>1097</v>
      </c>
      <c r="E12" s="1300" t="s">
        <v>66</v>
      </c>
      <c r="F12" s="1301" t="s">
        <v>1097</v>
      </c>
      <c r="G12" s="1176" t="s">
        <v>1097</v>
      </c>
      <c r="H12" s="1300" t="s">
        <v>66</v>
      </c>
      <c r="I12" s="1176" t="s">
        <v>1097</v>
      </c>
      <c r="J12" s="1300" t="s">
        <v>66</v>
      </c>
      <c r="K12" s="1176" t="s">
        <v>1097</v>
      </c>
      <c r="L12" s="1300" t="s">
        <v>66</v>
      </c>
      <c r="M12" s="4259" t="s">
        <v>864</v>
      </c>
      <c r="O12" s="1488" t="s">
        <v>813</v>
      </c>
      <c r="P12" s="1171"/>
      <c r="Q12" s="1171"/>
      <c r="S12" s="1488" t="s">
        <v>813</v>
      </c>
      <c r="T12" s="1171"/>
      <c r="U12" s="1171"/>
    </row>
    <row r="13" spans="1:59" ht="15" thickBot="1" x14ac:dyDescent="0.2">
      <c r="A13" s="1168"/>
      <c r="B13" s="1125" t="str">
        <f>climate2</f>
        <v>WarmTemperate</v>
      </c>
      <c r="C13" s="1302" t="s">
        <v>1098</v>
      </c>
      <c r="D13" s="1303" t="s">
        <v>117</v>
      </c>
      <c r="E13" s="3477" t="s">
        <v>62</v>
      </c>
      <c r="F13" s="1303" t="s">
        <v>1098</v>
      </c>
      <c r="G13" s="1303" t="s">
        <v>117</v>
      </c>
      <c r="H13" s="3477" t="s">
        <v>62</v>
      </c>
      <c r="I13" s="1304" t="s">
        <v>117</v>
      </c>
      <c r="J13" s="3477" t="s">
        <v>62</v>
      </c>
      <c r="K13" s="1304" t="s">
        <v>117</v>
      </c>
      <c r="L13" s="3477" t="s">
        <v>62</v>
      </c>
      <c r="M13" s="4260" t="s">
        <v>62</v>
      </c>
      <c r="O13" s="1489"/>
      <c r="P13" s="1305" t="s">
        <v>1099</v>
      </c>
      <c r="Q13" s="1305" t="s">
        <v>1099</v>
      </c>
      <c r="S13" s="1489"/>
      <c r="T13" s="1305" t="s">
        <v>1099</v>
      </c>
      <c r="U13" s="1305" t="s">
        <v>1099</v>
      </c>
    </row>
    <row r="14" spans="1:59" ht="15" thickBot="1" x14ac:dyDescent="0.2">
      <c r="A14" s="1184"/>
      <c r="B14" s="1126" t="str">
        <f t="shared" ref="B14:B19" si="0">B24</f>
        <v>Tropical rainforest</v>
      </c>
      <c r="C14" s="1484">
        <f t="shared" ref="C14:C19" si="1">IF($E14="","",$E14/0.47)</f>
        <v>300</v>
      </c>
      <c r="D14" s="1486">
        <f>IF(OR($B14= "",$B14="Please select"), "", IF($B14="Mangrove Forest",VLOOKUP(clim_moist,IPCC!$A$1502:$G$1510,4,FALSE),INDEX(IPCC!$B$591:$AK$606,MATCH(continent_selected,IPCC!$A$591:$A$606,0),MATCH($B14,IPCC!$B$590:$AK$590,0))*0.47))</f>
        <v>141</v>
      </c>
      <c r="E14" s="1280">
        <f>IF(OR($B14="",$B14="Please select"),"",IF('6.Inland wetlands'!$AZ13="",'6.Inland wetlands'!$AY13,'6.Inland wetlands'!$AZ13))</f>
        <v>141</v>
      </c>
      <c r="F14" s="1484">
        <f t="shared" ref="F14:F19" si="2">IFERROR(IF(B14="Please select","",$H14/0.47),0)</f>
        <v>111.00000000000001</v>
      </c>
      <c r="G14" s="1483">
        <f>IF(OR($B14 = "",$B14="Please select"), "", IF($B14="Mangrove Forest",VLOOKUP(clim_moist,IPCC!$A$1502:$G$1510,7,FALSE),IF(OR($D14&lt;=125,$D14&lt;=75),INDEX(IPCC!$B$618:$AI$633,MATCH(continent_selected,IPCC!$A$618:$A$633,0),MATCH($B14,IPCC!$B$616:$AI$616,0)),(IF(OR($D14&gt;125,$D14&gt;75),INDEX(IPCC!$AJ$618:$BS$633,MATCH(continent_selected,IPCC!$A$618:$A$633,0),MATCH($B14,IPCC!$AJ$616:$BS$616,0)),"")))*$D14))</f>
        <v>52.17</v>
      </c>
      <c r="H14" s="1280">
        <f>IF(OR($B14="Please select",$B14=""),"",IF('6.Inland wetlands'!$BB13="",'6.Inland wetlands'!$BA13,'6.Inland wetlands'!$BB13))</f>
        <v>52.17</v>
      </c>
      <c r="I14" s="1297">
        <f>IF($B14 = "Please select", "", IF($B14 = "Mangrove Forest", VLOOKUP(clim_moist, IPCC!$A$1502:$J$1511, 8, FALSE),   VLOOKUP($B14, IPCC!$A$643:$B$677, 2, FALSE)))</f>
        <v>4.8</v>
      </c>
      <c r="J14" s="1280">
        <f>IF($B14="Please select","",IF('6.Inland wetlands'!$BD13="",'6.Inland wetlands'!$BC13,'6.Inland wetlands'!$BD13))</f>
        <v>4.8</v>
      </c>
      <c r="K14" s="1298">
        <f>IF($B14 = "Please select", "", IF($B14= "Mangrove Forest", VLOOKUP(clim_moist, IPCC!$A$1502:$J$1511, 9, FALSE),  VLOOKUP($B14, IPCC!$A$643:$C$677, 3, FALSE)))</f>
        <v>14.8</v>
      </c>
      <c r="L14" s="1280">
        <f>IF($B14="Please select","",IF('6.Inland wetlands'!$BF13="",'6.Inland wetlands'!$BE13,'6.Inland wetlands'!$BF13))</f>
        <v>14.8</v>
      </c>
      <c r="M14" s="4261"/>
      <c r="O14" s="1491">
        <f>IF(B14="please select",0,VLOOKUP($B14, IPCC!$A$871:$E$906,2, FALSE))</f>
        <v>0.32</v>
      </c>
      <c r="P14" s="1490">
        <f>IF(B14="Please select",0, VLOOKUP($B14, IPCC!$A$871:$E$906, 4, FALSE))</f>
        <v>6.8</v>
      </c>
      <c r="Q14" s="1490">
        <f>IF(B14="Please select",0, VLOOKUP($B14, IPCC!$A$871:$E$906, 5, FALSE))</f>
        <v>0.2</v>
      </c>
      <c r="S14" s="4325">
        <f>IFERROR(VLOOKUP(G24,  IPCC!$A$1473:$E$1496, 2, FALSE),0)</f>
        <v>0.4</v>
      </c>
      <c r="T14" s="1490">
        <f>IFERROR(VLOOKUP(G24,  IPCC!$A$1473:$E$1496, 4, FALSE),0)</f>
        <v>2.7</v>
      </c>
      <c r="U14" s="1490">
        <f>IFERROR(VLOOKUP(G24,  IPCC!$A$1473:$E$1496, 5, FALSE),0)</f>
        <v>7.0000000000000007E-2</v>
      </c>
    </row>
    <row r="15" spans="1:59" ht="15" thickBot="1" x14ac:dyDescent="0.2">
      <c r="A15" s="1184"/>
      <c r="B15" s="1126" t="str">
        <f t="shared" si="0"/>
        <v>Please select</v>
      </c>
      <c r="C15" s="1485" t="str">
        <f t="shared" si="1"/>
        <v/>
      </c>
      <c r="D15" s="1487" t="str">
        <f>IF(OR($B15= "",$B15="Please select"), "", IF($B15="Mangrove Forest",VLOOKUP(clim_moist,IPCC!$A$1502:$G$1510,4,FALSE),INDEX(IPCC!$B$591:$AK$606,MATCH(continent_selected,IPCC!$A$591:$A$606,0),MATCH($B15,IPCC!$B$590:$AK$590,0))*0.47))</f>
        <v/>
      </c>
      <c r="E15" s="1280" t="str">
        <f>IF(OR($B15="",$B15="Please select"),"",IF('6.Inland wetlands'!$AZ14="",'6.Inland wetlands'!$AY14,'6.Inland wetlands'!$AZ14))</f>
        <v/>
      </c>
      <c r="F15" s="1485" t="str">
        <f t="shared" si="2"/>
        <v/>
      </c>
      <c r="G15" s="1483" t="str">
        <f>IF(OR($B15 = "",$B15="Please select"), "", IF($B15="Mangrove Forest",VLOOKUP(clim_moist,IPCC!$A$1502:$G$1510,7,FALSE),IF(OR($D15&lt;=125,$D15&lt;=75),INDEX(IPCC!$B$618:$AI$633,MATCH(continent_selected,IPCC!$A$618:$A$633,0),MATCH($B15,IPCC!$B$616:$AI$616,0)),(IF(OR($D15&gt;125,$D15&gt;75),INDEX(IPCC!$AJ$618:$BS$633,MATCH(continent_selected,IPCC!$A$618:$A$633,0),MATCH($B15,IPCC!$AJ$616:$BS$616,0)),"")))*$D15))</f>
        <v/>
      </c>
      <c r="H15" s="1280" t="str">
        <f>IF(OR($B15="Please select",$B15=""),"",IF('6.Inland wetlands'!$BB14="",'6.Inland wetlands'!$BA14,'6.Inland wetlands'!$BB14))</f>
        <v/>
      </c>
      <c r="I15" s="1297" t="str">
        <f>IF($B15 = "Please select", "", IF($B15 = "Mangrove Forest", VLOOKUP(clim_moist, IPCC!$A$1502:$J$1511, 8, FALSE),   VLOOKUP($B15, IPCC!$A$643:$B$677, 2, FALSE)))</f>
        <v/>
      </c>
      <c r="J15" s="1280" t="str">
        <f>IF($B15="Please select","",IF('6.Inland wetlands'!$BD14="",'6.Inland wetlands'!$BC14,'6.Inland wetlands'!$BD14))</f>
        <v/>
      </c>
      <c r="K15" s="1298" t="str">
        <f>IF($B15 = "Please select", "", IF($B15= "Mangrove Forest", VLOOKUP(clim_moist, IPCC!$A$1502:$J$1511, 9, FALSE),  VLOOKUP($B15, IPCC!$A$643:$C$677, 3, FALSE)))</f>
        <v/>
      </c>
      <c r="L15" s="1280" t="str">
        <f>IF($B15="Please select","",IF('6.Inland wetlands'!$BF14="",'6.Inland wetlands'!$BE14,'6.Inland wetlands'!$BF14))</f>
        <v/>
      </c>
      <c r="M15" s="4262"/>
      <c r="O15" s="1491">
        <f>IF(B15="please select",0,VLOOKUP($B15, IPCC!$A$871:$E$906,2, FALSE))</f>
        <v>0</v>
      </c>
      <c r="P15" s="1490">
        <f>IF(B15="Please select",0, VLOOKUP($B15, IPCC!$A$871:$E$906, 4, FALSE))</f>
        <v>0</v>
      </c>
      <c r="Q15" s="1490">
        <f>IF(B15="Please select",0, VLOOKUP($B15, IPCC!$A$871:$E$906, 5, FALSE))</f>
        <v>0</v>
      </c>
      <c r="S15" s="4325">
        <f>IFERROR(VLOOKUP(G25,  IPCC!$A$1473:$E$1496, 2, FALSE),0)</f>
        <v>0</v>
      </c>
      <c r="T15" s="1490">
        <f>IFERROR(VLOOKUP(G25,  IPCC!$A$1473:$E$1496, 4, FALSE),0)</f>
        <v>0</v>
      </c>
      <c r="U15" s="1490">
        <f>IFERROR(VLOOKUP(G25,  IPCC!$A$1473:$E$1496, 5, FALSE),0)</f>
        <v>0</v>
      </c>
    </row>
    <row r="16" spans="1:59" ht="15" thickBot="1" x14ac:dyDescent="0.2">
      <c r="A16" s="1184"/>
      <c r="B16" s="1126" t="str">
        <f t="shared" si="0"/>
        <v>Please select</v>
      </c>
      <c r="C16" s="1485" t="str">
        <f t="shared" si="1"/>
        <v/>
      </c>
      <c r="D16" s="1487" t="str">
        <f>IF(OR($B16= "",$B16="Please select"), "", IF($B16="Mangrove Forest",VLOOKUP(clim_moist,IPCC!$A$1502:$G$1510,4,FALSE),INDEX(IPCC!$B$591:$AK$606,MATCH(continent_selected,IPCC!$A$591:$A$606,0),MATCH($B16,IPCC!$B$590:$AK$590,0))*0.47))</f>
        <v/>
      </c>
      <c r="E16" s="1280" t="str">
        <f>IF(OR($B16="",$B16="Please select"),"",IF('6.Inland wetlands'!$AZ15="",'6.Inland wetlands'!$AY15,'6.Inland wetlands'!$AZ15))</f>
        <v/>
      </c>
      <c r="F16" s="1485" t="str">
        <f t="shared" si="2"/>
        <v/>
      </c>
      <c r="G16" s="1483" t="str">
        <f>IF(OR($B16 = "",$B16="Please select"), "", IF($B16="Mangrove Forest",VLOOKUP(clim_moist,IPCC!$A$1502:$G$1510,7,FALSE),IF(OR($D16&lt;=125,$D16&lt;=75),INDEX(IPCC!$B$618:$AI$633,MATCH(continent_selected,IPCC!$A$618:$A$633,0),MATCH($B16,IPCC!$B$616:$AI$616,0)),(IF(OR($D16&gt;125,$D16&gt;75),INDEX(IPCC!$AJ$618:$BS$633,MATCH(continent_selected,IPCC!$A$618:$A$633,0),MATCH($B16,IPCC!$AJ$616:$BS$616,0)),"")))*$D16))</f>
        <v/>
      </c>
      <c r="H16" s="1280" t="str">
        <f>IF(OR($B16="Please select",$B16=""),"",IF('6.Inland wetlands'!$BB15="",'6.Inland wetlands'!$BA15,'6.Inland wetlands'!$BB15))</f>
        <v/>
      </c>
      <c r="I16" s="1297" t="str">
        <f>IF($B16 = "Please select", "", IF($B16 = "Mangrove Forest", VLOOKUP(clim_moist, IPCC!$A$1502:$J$1511, 8, FALSE),   VLOOKUP($B16, IPCC!$A$643:$B$677, 2, FALSE)))</f>
        <v/>
      </c>
      <c r="J16" s="1280" t="str">
        <f>IF($B16="Please select","",IF('6.Inland wetlands'!$BD15="",'6.Inland wetlands'!$BC15,'6.Inland wetlands'!$BD15))</f>
        <v/>
      </c>
      <c r="K16" s="1298" t="str">
        <f>IF($B16 = "Please select", "", IF($B16= "Mangrove Forest", VLOOKUP(clim_moist, IPCC!$A$1502:$J$1511, 9, FALSE),  VLOOKUP($B16, IPCC!$A$643:$C$677, 3, FALSE)))</f>
        <v/>
      </c>
      <c r="L16" s="1280" t="str">
        <f>IF($B16="Please select","",IF('6.Inland wetlands'!$BF15="",'6.Inland wetlands'!$BE15,'6.Inland wetlands'!$BF15))</f>
        <v/>
      </c>
      <c r="M16" s="4262"/>
      <c r="O16" s="1491">
        <f>IF(B16="please select",0,VLOOKUP($B16, IPCC!$A$871:$E$906,2, FALSE))</f>
        <v>0</v>
      </c>
      <c r="P16" s="1490">
        <f>IF(B16="Please select",0, VLOOKUP($B16, IPCC!$A$871:$E$906, 4, FALSE))</f>
        <v>0</v>
      </c>
      <c r="Q16" s="1490">
        <f>IF(B16="Please select",0, VLOOKUP($B16, IPCC!$A$871:$E$906, 5, FALSE))</f>
        <v>0</v>
      </c>
      <c r="S16" s="4325">
        <f>IFERROR(VLOOKUP(G26,  IPCC!$A$1473:$E$1496, 2, FALSE),0)</f>
        <v>0</v>
      </c>
      <c r="T16" s="1490">
        <f>IFERROR(VLOOKUP(G26,  IPCC!$A$1473:$E$1496, 4, FALSE),0)</f>
        <v>0</v>
      </c>
      <c r="U16" s="1490">
        <f>IFERROR(VLOOKUP(G26,  IPCC!$A$1473:$E$1496, 5, FALSE),0)</f>
        <v>0</v>
      </c>
    </row>
    <row r="17" spans="1:71" ht="15" thickBot="1" x14ac:dyDescent="0.2">
      <c r="A17" s="1184"/>
      <c r="B17" s="1126" t="str">
        <f t="shared" si="0"/>
        <v>Please select</v>
      </c>
      <c r="C17" s="1485" t="str">
        <f t="shared" si="1"/>
        <v/>
      </c>
      <c r="D17" s="1487" t="str">
        <f>IF(OR($B17= "",$B17="Please select"), "", IF($B17="Mangrove Forest",VLOOKUP(clim_moist,IPCC!$A$1502:$G$1510,4,FALSE),INDEX(IPCC!$B$591:$AK$606,MATCH(continent_selected,IPCC!$A$591:$A$606,0),MATCH($B17,IPCC!$B$590:$AK$590,0))*0.47))</f>
        <v/>
      </c>
      <c r="E17" s="1280" t="str">
        <f>IF(OR($B17="",$B17="Please select"),"",IF('6.Inland wetlands'!$AZ16="",'6.Inland wetlands'!$AY16,'6.Inland wetlands'!$AZ16))</f>
        <v/>
      </c>
      <c r="F17" s="1485" t="str">
        <f t="shared" si="2"/>
        <v/>
      </c>
      <c r="G17" s="1483" t="str">
        <f>IF(OR($B17 = "",$B17="Please select"), "", IF($B17="Mangrove Forest",VLOOKUP(clim_moist,IPCC!$A$1502:$G$1510,7,FALSE),IF(OR($D17&lt;=125,$D17&lt;=75),INDEX(IPCC!$B$618:$AI$633,MATCH(continent_selected,IPCC!$A$618:$A$633,0),MATCH($B17,IPCC!$B$616:$AI$616,0)),(IF(OR($D17&gt;125,$D17&gt;75),INDEX(IPCC!$AJ$618:$BS$633,MATCH(continent_selected,IPCC!$A$618:$A$633,0),MATCH($B17,IPCC!$AJ$616:$BS$616,0)),"")))*$D17))</f>
        <v/>
      </c>
      <c r="H17" s="1280" t="str">
        <f>IF(OR($B17="Please select",$B17=""),"",IF('6.Inland wetlands'!$BB16="",'6.Inland wetlands'!$BA16,'6.Inland wetlands'!$BB16))</f>
        <v/>
      </c>
      <c r="I17" s="1297" t="str">
        <f>IF($B17 = "Please select", "", IF($B17 = "Mangrove Forest", VLOOKUP(clim_moist, IPCC!$A$1502:$J$1511, 8, FALSE),   VLOOKUP($B17, IPCC!$A$643:$B$677, 2, FALSE)))</f>
        <v/>
      </c>
      <c r="J17" s="1280" t="str">
        <f>IF($B17="Please select","",IF('6.Inland wetlands'!$BD16="",'6.Inland wetlands'!$BC16,'6.Inland wetlands'!$BD16))</f>
        <v/>
      </c>
      <c r="K17" s="1298" t="str">
        <f>IF($B17 = "Please select", "", IF($B17= "Mangrove Forest", VLOOKUP(clim_moist, IPCC!$A$1502:$J$1511, 9, FALSE),  VLOOKUP($B17, IPCC!$A$643:$C$677, 3, FALSE)))</f>
        <v/>
      </c>
      <c r="L17" s="1280" t="str">
        <f>IF($B17="Please select","",IF('6.Inland wetlands'!$BF16="",'6.Inland wetlands'!$BE16,'6.Inland wetlands'!$BF16))</f>
        <v/>
      </c>
      <c r="M17" s="4262"/>
      <c r="O17" s="1491">
        <f>IF(B17="please select",0,VLOOKUP($B17, IPCC!$A$871:$E$906,2, FALSE))</f>
        <v>0</v>
      </c>
      <c r="P17" s="1490">
        <f>IF(B17="Please select",0, VLOOKUP($B17, IPCC!$A$871:$E$906, 4, FALSE))</f>
        <v>0</v>
      </c>
      <c r="Q17" s="1490">
        <f>IF(B17="Please select",0, VLOOKUP($B17, IPCC!$A$871:$E$906, 5, FALSE))</f>
        <v>0</v>
      </c>
      <c r="S17" s="4325">
        <f>IFERROR(VLOOKUP(G27,  IPCC!$A$1473:$E$1496, 2, FALSE),0)</f>
        <v>0</v>
      </c>
      <c r="T17" s="1490">
        <f>IFERROR(VLOOKUP(G27,  IPCC!$A$1473:$E$1496, 4, FALSE),0)</f>
        <v>0</v>
      </c>
      <c r="U17" s="1490">
        <f>IFERROR(VLOOKUP(G27,  IPCC!$A$1473:$E$1496, 5, FALSE),0)</f>
        <v>0</v>
      </c>
      <c r="AX17" s="4280" t="s">
        <v>1100</v>
      </c>
    </row>
    <row r="18" spans="1:71" ht="15" thickBot="1" x14ac:dyDescent="0.2">
      <c r="A18" s="1184"/>
      <c r="B18" s="1126" t="str">
        <f t="shared" si="0"/>
        <v>Please select</v>
      </c>
      <c r="C18" s="1485" t="str">
        <f t="shared" si="1"/>
        <v/>
      </c>
      <c r="D18" s="1487" t="str">
        <f>IF(OR($B18= "",$B18="Please select"), "", IF($B18="Mangrove Forest",VLOOKUP(clim_moist,IPCC!$A$1502:$G$1510,4,FALSE),INDEX(IPCC!$B$591:$AK$606,MATCH(continent_selected,IPCC!$A$591:$A$606,0),MATCH($B18,IPCC!$B$590:$AK$590,0))*0.47))</f>
        <v/>
      </c>
      <c r="E18" s="1280" t="str">
        <f>IF(OR($B18="",$B18="Please select"),"",IF('6.Inland wetlands'!$AZ17="",'6.Inland wetlands'!$AY17,'6.Inland wetlands'!$AZ17))</f>
        <v/>
      </c>
      <c r="F18" s="1485" t="str">
        <f t="shared" si="2"/>
        <v/>
      </c>
      <c r="G18" s="1483" t="str">
        <f>IF(OR($B18 = "",$B18="Please select"), "", IF($B18="Mangrove Forest",VLOOKUP(clim_moist,IPCC!$A$1502:$G$1510,7,FALSE),IF(OR($D18&lt;=125,$D18&lt;=75),INDEX(IPCC!$B$618:$AI$633,MATCH(continent_selected,IPCC!$A$618:$A$633,0),MATCH($B18,IPCC!$B$616:$AI$616,0)),(IF(OR($D18&gt;125,$D18&gt;75),INDEX(IPCC!$AJ$618:$BS$633,MATCH(continent_selected,IPCC!$A$618:$A$633,0),MATCH($B18,IPCC!$AJ$616:$BS$616,0)),"")))*$D18))</f>
        <v/>
      </c>
      <c r="H18" s="1280" t="str">
        <f>IF(OR($B18="Please select",$B18=""),"",IF('6.Inland wetlands'!$BB17="",'6.Inland wetlands'!$BA17,'6.Inland wetlands'!$BB17))</f>
        <v/>
      </c>
      <c r="I18" s="1297" t="str">
        <f>IF($B18 = "Please select", "", IF($B18 = "Mangrove Forest", VLOOKUP(clim_moist, IPCC!$A$1502:$J$1511, 8, FALSE),   VLOOKUP($B18, IPCC!$A$643:$B$677, 2, FALSE)))</f>
        <v/>
      </c>
      <c r="J18" s="1280" t="str">
        <f>IF($B18="Please select","",IF('6.Inland wetlands'!$BD17="",'6.Inland wetlands'!$BC17,'6.Inland wetlands'!$BD17))</f>
        <v/>
      </c>
      <c r="K18" s="1298" t="str">
        <f>IF($B18 = "Please select", "", IF($B18= "Mangrove Forest", VLOOKUP(clim_moist, IPCC!$A$1502:$J$1511, 9, FALSE),  VLOOKUP($B18, IPCC!$A$643:$C$677, 3, FALSE)))</f>
        <v/>
      </c>
      <c r="L18" s="1280" t="str">
        <f>IF($B18="Please select","",IF('6.Inland wetlands'!$BF17="",'6.Inland wetlands'!$BE17,'6.Inland wetlands'!$BF17))</f>
        <v/>
      </c>
      <c r="M18" s="4262"/>
      <c r="O18" s="1491">
        <f>IF(B18="please select",0,VLOOKUP($B18, IPCC!$A$871:$E$906,2, FALSE))</f>
        <v>0</v>
      </c>
      <c r="P18" s="1490">
        <f>IF(B18="Please select",0, VLOOKUP($B18, IPCC!$A$871:$E$906, 4, FALSE))</f>
        <v>0</v>
      </c>
      <c r="Q18" s="1490">
        <f>IF(B18="Please select",0, VLOOKUP($B18, IPCC!$A$871:$E$906, 5, FALSE))</f>
        <v>0</v>
      </c>
      <c r="S18" s="4325">
        <f>IFERROR(VLOOKUP(G28,  IPCC!$A$1473:$E$1496, 2, FALSE),0)</f>
        <v>0</v>
      </c>
      <c r="T18" s="1490">
        <f>IFERROR(VLOOKUP(G28,  IPCC!$A$1473:$E$1496, 4, FALSE),0)</f>
        <v>0</v>
      </c>
      <c r="U18" s="1490">
        <f>IFERROR(VLOOKUP(G28,  IPCC!$A$1473:$E$1496, 5, FALSE),0)</f>
        <v>0</v>
      </c>
    </row>
    <row r="19" spans="1:71" ht="15" thickBot="1" x14ac:dyDescent="0.2">
      <c r="A19" s="1184"/>
      <c r="B19" s="1127" t="str">
        <f t="shared" si="0"/>
        <v>Please select</v>
      </c>
      <c r="C19" s="1485" t="str">
        <f t="shared" si="1"/>
        <v/>
      </c>
      <c r="D19" s="1487" t="str">
        <f>IF(OR($B19= "",$B19="Please select"), "", IF($B19="Mangrove Forest",VLOOKUP(clim_moist,IPCC!$A$1502:$G$1510,4,FALSE),INDEX(IPCC!$B$591:$AK$606,MATCH(continent_selected,IPCC!$A$591:$A$606,0),MATCH($B19,IPCC!$B$590:$AK$590,0))*0.47))</f>
        <v/>
      </c>
      <c r="E19" s="1280" t="str">
        <f>IF(OR($B19="",$B19="Please select"),"",IF('6.Inland wetlands'!$AZ18="",'6.Inland wetlands'!$AY18,'6.Inland wetlands'!$AZ18))</f>
        <v/>
      </c>
      <c r="F19" s="1485" t="str">
        <f t="shared" si="2"/>
        <v/>
      </c>
      <c r="G19" s="1483" t="str">
        <f>IF(OR($B19 = "",$B19="Please select"), "", IF($B19="Mangrove Forest",VLOOKUP(clim_moist,IPCC!$A$1502:$G$1510,7,FALSE),IF(OR($D19&lt;=125,$D19&lt;=75),INDEX(IPCC!$B$618:$AI$633,MATCH(continent_selected,IPCC!$A$618:$A$633,0),MATCH($B19,IPCC!$B$616:$AI$616,0)),(IF(OR($D19&gt;125,$D19&gt;75),INDEX(IPCC!$AJ$618:$BS$633,MATCH(continent_selected,IPCC!$A$618:$A$633,0),MATCH($B19,IPCC!$AJ$616:$BS$616,0)),"")))*$D19))</f>
        <v/>
      </c>
      <c r="H19" s="1280" t="str">
        <f>IF(OR($B19="Please select",$B19=""),"",IF('6.Inland wetlands'!$BB18="",'6.Inland wetlands'!$BA18,'6.Inland wetlands'!$BB18))</f>
        <v/>
      </c>
      <c r="I19" s="1297" t="str">
        <f>IF($B19 = "Please select", "", IF($B19 = "Mangrove Forest", VLOOKUP(clim_moist, IPCC!$A$1502:$J$1511, 8, FALSE),   VLOOKUP($B19, IPCC!$A$643:$B$677, 2, FALSE)))</f>
        <v/>
      </c>
      <c r="J19" s="1280" t="str">
        <f>IF($B19="Please select","",IF('6.Inland wetlands'!$BD18="",'6.Inland wetlands'!$BC18,'6.Inland wetlands'!$BD18))</f>
        <v/>
      </c>
      <c r="K19" s="1298" t="str">
        <f>IF($B19 = "Please select", "", IF($B19= "Mangrove Forest", VLOOKUP(clim_moist, IPCC!$A$1502:$J$1511, 9, FALSE),  VLOOKUP($B19, IPCC!$A$643:$C$677, 3, FALSE)))</f>
        <v/>
      </c>
      <c r="L19" s="1280" t="str">
        <f>IF($B19="Please select","",IF('6.Inland wetlands'!$BF18="",'6.Inland wetlands'!$BE18,'6.Inland wetlands'!$BF18))</f>
        <v/>
      </c>
      <c r="M19" s="4262"/>
      <c r="O19" s="1491">
        <f>IF(B19="please select",0,VLOOKUP($B19, IPCC!$A$871:$E$906,2, FALSE))</f>
        <v>0</v>
      </c>
      <c r="P19" s="1490">
        <f>IF(B19="Please select",0, VLOOKUP($B19, IPCC!$A$871:$E$906, 4, FALSE))</f>
        <v>0</v>
      </c>
      <c r="Q19" s="1490">
        <f>IF(B19="Please select",0, VLOOKUP($B19, IPCC!$A$871:$E$906, 5, FALSE))</f>
        <v>0</v>
      </c>
      <c r="S19" s="4325">
        <f>IFERROR(VLOOKUP(G29,  IPCC!$A$1473:$E$1496, 2, FALSE),0)</f>
        <v>0</v>
      </c>
      <c r="T19" s="1490">
        <f>IFERROR(VLOOKUP(G29,  IPCC!$A$1473:$E$1496, 4, FALSE),0)</f>
        <v>0</v>
      </c>
      <c r="U19" s="1490">
        <f>IFERROR(VLOOKUP(G29,  IPCC!$A$1473:$E$1496, 5, FALSE),0)</f>
        <v>0</v>
      </c>
    </row>
    <row r="20" spans="1:71" x14ac:dyDescent="0.15">
      <c r="B20" s="1058"/>
      <c r="C20" s="1058"/>
      <c r="D20" s="1058"/>
      <c r="E20" s="1058"/>
      <c r="F20" s="1058"/>
    </row>
    <row r="21" spans="1:71" x14ac:dyDescent="0.15">
      <c r="C21" s="1081"/>
      <c r="D21" s="1081"/>
      <c r="E21" s="1081"/>
      <c r="F21" s="1081"/>
      <c r="G21" s="1081"/>
      <c r="H21" s="1131"/>
      <c r="I21" s="1131"/>
      <c r="J21" s="1132" t="s">
        <v>1101</v>
      </c>
      <c r="K21" s="1133" t="s">
        <v>1102</v>
      </c>
      <c r="L21" s="1132"/>
      <c r="M21" s="1131" t="s">
        <v>1103</v>
      </c>
      <c r="N21" s="1131"/>
      <c r="O21" s="1138" t="s">
        <v>1104</v>
      </c>
      <c r="P21" s="1139"/>
      <c r="Q21" s="1139"/>
      <c r="R21" s="1138" t="s">
        <v>1105</v>
      </c>
      <c r="S21" s="1139"/>
      <c r="T21" s="1139"/>
      <c r="Z21" s="4573" t="s">
        <v>688</v>
      </c>
      <c r="AA21" s="4573"/>
      <c r="AB21" s="4573" t="s">
        <v>689</v>
      </c>
      <c r="AC21" s="4573"/>
      <c r="AD21" s="4288" t="s">
        <v>690</v>
      </c>
    </row>
    <row r="22" spans="1:71" x14ac:dyDescent="0.15">
      <c r="B22" s="1128" t="str">
        <f>'6.Inland wetlands'!C10</f>
        <v xml:space="preserve">Type of vegetation </v>
      </c>
      <c r="C22" s="1193" t="s">
        <v>166</v>
      </c>
      <c r="D22" s="1085"/>
      <c r="E22" s="1082" t="s">
        <v>167</v>
      </c>
      <c r="F22" s="1082" t="s">
        <v>813</v>
      </c>
      <c r="G22" s="1081" t="str">
        <f>'6.Inland wetlands'!I10</f>
        <v>Final land-use after deforestation</v>
      </c>
      <c r="H22" s="1131"/>
      <c r="I22" s="1131"/>
      <c r="J22" s="1134" t="s">
        <v>1106</v>
      </c>
      <c r="K22" s="1135"/>
      <c r="L22" s="1135"/>
      <c r="M22" s="1136"/>
      <c r="N22" s="1131"/>
      <c r="O22" s="1137" t="s">
        <v>1107</v>
      </c>
      <c r="P22" s="1140" t="s">
        <v>176</v>
      </c>
      <c r="Q22" s="1140" t="s">
        <v>177</v>
      </c>
      <c r="R22" s="1137" t="s">
        <v>1107</v>
      </c>
      <c r="S22" s="1140" t="s">
        <v>176</v>
      </c>
      <c r="T22" s="1140" t="s">
        <v>177</v>
      </c>
      <c r="Z22" s="4288" t="s">
        <v>698</v>
      </c>
      <c r="AA22" s="4288"/>
      <c r="AB22" s="4288" t="s">
        <v>698</v>
      </c>
      <c r="AC22" s="4288"/>
      <c r="AD22" s="4288" t="s">
        <v>699</v>
      </c>
    </row>
    <row r="23" spans="1:71" x14ac:dyDescent="0.15">
      <c r="B23" s="1128" t="str">
        <f>'6.Inland wetlands'!C11</f>
        <v>that will be deforested</v>
      </c>
      <c r="C23" s="1082" t="s">
        <v>183</v>
      </c>
      <c r="D23" s="1069" t="s">
        <v>184</v>
      </c>
      <c r="E23" s="1069" t="s">
        <v>185</v>
      </c>
      <c r="F23" s="1082"/>
      <c r="G23" s="1081" t="str">
        <f>'6.Inland wetlands'!I11</f>
        <v>Land-use type</v>
      </c>
      <c r="H23" s="1131"/>
      <c r="I23" s="1131"/>
      <c r="J23" s="1137" t="s">
        <v>1108</v>
      </c>
      <c r="K23" s="1135" t="s">
        <v>117</v>
      </c>
      <c r="L23" s="1135" t="s">
        <v>189</v>
      </c>
      <c r="M23" s="1135" t="s">
        <v>117</v>
      </c>
      <c r="N23" s="1135" t="s">
        <v>189</v>
      </c>
      <c r="O23" s="1137" t="s">
        <v>192</v>
      </c>
      <c r="P23" s="1137" t="s">
        <v>193</v>
      </c>
      <c r="Q23" s="1137" t="s">
        <v>194</v>
      </c>
      <c r="R23" s="1137" t="s">
        <v>192</v>
      </c>
      <c r="S23" s="1137" t="s">
        <v>193</v>
      </c>
      <c r="T23" s="1137" t="s">
        <v>194</v>
      </c>
      <c r="Z23" s="4288" t="s">
        <v>65</v>
      </c>
      <c r="AA23" s="4288" t="s">
        <v>66</v>
      </c>
      <c r="AB23" s="4288" t="s">
        <v>65</v>
      </c>
      <c r="AC23" s="4288" t="s">
        <v>66</v>
      </c>
      <c r="AD23" s="4288" t="s">
        <v>708</v>
      </c>
    </row>
    <row r="24" spans="1:71" x14ac:dyDescent="0.15">
      <c r="B24" s="1129" t="str">
        <f>'6.Inland wetlands'!C13</f>
        <v>Tropical rainforest</v>
      </c>
      <c r="C24" s="1130">
        <f>'6.Inland wetlands'!E13</f>
        <v>10</v>
      </c>
      <c r="D24" s="1130">
        <f t="shared" ref="D24:D29" si="3">IF($B24&lt;&gt;"Please select",IF($C24*0.47&gt;$E14,$E14,$C24*0.47),0)</f>
        <v>4.6999999999999993</v>
      </c>
      <c r="E24" s="1454" t="str">
        <f>'6.Inland wetlands'!G13</f>
        <v>YES</v>
      </c>
      <c r="F24" s="1454">
        <f>IF($B24&lt;&gt; "Please select", IF(OR($E24=list!$E$211,$E24=list!$E$212,$E24=list!$E$213), VLOOKUP($B24,IPCC!$A$871:$B$906, 2, FALSE),0), )</f>
        <v>0</v>
      </c>
      <c r="G24" s="1121" t="str">
        <f>IF('6.Inland wetlands'!K13="Please select",'6.Inland wetlands'!I13,'6.Inland wetlands'!K13)</f>
        <v>Annual cropland</v>
      </c>
      <c r="H24" s="1121" t="str">
        <f>'6.Inland wetlands'!I13</f>
        <v>Annual cropland</v>
      </c>
      <c r="I24" s="1121"/>
      <c r="J24" s="1144">
        <f>IF('6.Inland wetlands'!AZ24=0, IF($G24 &lt;&gt; "Please select", INDEX(IPCC!$D$686:$Y$845,MATCH(clim_moist_cont,IPCC!$C$686:$C$845,0),MATCH($G24,IPCC!$D$682:$Y$682,0)), 0), '6.Inland wetlands'!AZ24)</f>
        <v>4.7</v>
      </c>
      <c r="K24" s="1145">
        <f t="shared" ref="K24:K29" si="4">IF(B24&lt;&gt;"Please select",SUM((E14-D24),H14),0)</f>
        <v>188.47000000000003</v>
      </c>
      <c r="L24" s="1145">
        <f t="shared" ref="L24:L29" si="5">K24*44/12</f>
        <v>691.05666666666673</v>
      </c>
      <c r="M24" s="1145">
        <f t="shared" ref="M24:M29" si="6">IF($B24&lt;&gt;"Please select",SUM($J14,$L14),0)</f>
        <v>19.600000000000001</v>
      </c>
      <c r="N24" s="1145">
        <f t="shared" ref="N24:N29" si="7">M24*44/12</f>
        <v>71.866666666666674</v>
      </c>
      <c r="O24" s="1145">
        <f t="shared" ref="O24:O29" si="8">IF($E24="no",0,(VLOOKUP($B24,$B$13:$M$19,2,FALSE)-$C24))</f>
        <v>290</v>
      </c>
      <c r="P24" s="1145">
        <f>IF($O24&lt;&gt;0,$O24*$O14*$P14, 0)</f>
        <v>631.04</v>
      </c>
      <c r="Q24" s="1145">
        <f t="shared" ref="Q24:Q29" si="9">IF($O24&lt;&gt;0,$O24*$O14*$Q14, 0)</f>
        <v>18.559999999999999</v>
      </c>
      <c r="R24" s="1146">
        <f t="shared" ref="R24:R29" si="10">IF($E24="NO",0,(VLOOKUP($B24,$B$13:$M$19,2,FALSE)-$C24))</f>
        <v>290</v>
      </c>
      <c r="S24" s="1145">
        <f t="shared" ref="S24:S29" si="11">IF($R24&lt;&gt;0,$R24*$O14*$P14, 0)</f>
        <v>631.04</v>
      </c>
      <c r="T24" s="1145">
        <f t="shared" ref="T24:T29" si="12">IF($R24&lt;&gt;0,$R24*$O14*$Q14, 0)</f>
        <v>18.559999999999999</v>
      </c>
      <c r="Z24" s="1260">
        <f>(IF('6.Inland wetlands'!I13="Agroforestry",INDEX(IPCC!$E$107:$T$298,MATCH(clim_moist_cont,IPCC!$C$107:$C$298,0),MATCH('Inl. wetlands'!G24,IPCC!$E$105:$T$105,0))*(44/12), 0))</f>
        <v>0</v>
      </c>
      <c r="AB24" s="1260">
        <f>(IF('6.Inland wetlands'!I13="Agroforestry",INDEX(IPCC!$E$310:$T$501,MATCH(clim_moist_cont,IPCC!$C$310:$C$501,0),MATCH('Inl. wetlands'!G24,IPCC!$E$308:$T$308,0))*(44/12),0))</f>
        <v>0</v>
      </c>
      <c r="AD24" s="1663">
        <f t="shared" ref="AD24:AD29" si="13">SUM(Z24,AB24)</f>
        <v>0</v>
      </c>
    </row>
    <row r="25" spans="1:71" x14ac:dyDescent="0.15">
      <c r="B25" s="1129" t="str">
        <f>'6.Inland wetlands'!C14</f>
        <v>Please select</v>
      </c>
      <c r="C25" s="1130">
        <f>'6.Inland wetlands'!E14</f>
        <v>0</v>
      </c>
      <c r="D25" s="1130">
        <f t="shared" si="3"/>
        <v>0</v>
      </c>
      <c r="E25" s="1454" t="str">
        <f>'6.Inland wetlands'!G14</f>
        <v>NO</v>
      </c>
      <c r="F25" s="1454">
        <f>IF($B25&lt;&gt; "Please select", IF(OR($E25=list!$E$211,$E25=list!$E$212,$E25=list!$E$213), VLOOKUP($B25,IPCC!$A$871:$B$906, 2, FALSE),0), )</f>
        <v>0</v>
      </c>
      <c r="G25" s="1121" t="str">
        <f>IF('6.Inland wetlands'!K14="Please select",'6.Inland wetlands'!I14,'6.Inland wetlands'!K14)</f>
        <v>Please select</v>
      </c>
      <c r="H25" s="1121" t="str">
        <f>'6.Inland wetlands'!I14</f>
        <v>Please select</v>
      </c>
      <c r="I25" s="1121"/>
      <c r="J25" s="1144">
        <f>IF('6.Inland wetlands'!AZ25=0, IF($G25 &lt;&gt; "Please select", INDEX(IPCC!$D$686:$Y$845,MATCH(clim_moist_cont,IPCC!$C$686:$C$845,0),MATCH($G25,IPCC!$D$682:$Y$682,0)), 0), '6.Inland wetlands'!AZ25)</f>
        <v>0</v>
      </c>
      <c r="K25" s="1145">
        <f t="shared" si="4"/>
        <v>0</v>
      </c>
      <c r="L25" s="1147">
        <f t="shared" si="5"/>
        <v>0</v>
      </c>
      <c r="M25" s="1145">
        <f t="shared" si="6"/>
        <v>0</v>
      </c>
      <c r="N25" s="1147">
        <f>M25*44/12</f>
        <v>0</v>
      </c>
      <c r="O25" s="1145">
        <f t="shared" si="8"/>
        <v>0</v>
      </c>
      <c r="P25" s="1145">
        <f>IF($O25&lt;&gt;0,$O25*O15*P15, 0)</f>
        <v>0</v>
      </c>
      <c r="Q25" s="1145">
        <f t="shared" si="9"/>
        <v>0</v>
      </c>
      <c r="R25" s="1146">
        <f t="shared" si="10"/>
        <v>0</v>
      </c>
      <c r="S25" s="1145">
        <f>IF($R25&lt;&gt;0,$R25*$O15*$P15, 0)</f>
        <v>0</v>
      </c>
      <c r="T25" s="1145">
        <f t="shared" si="12"/>
        <v>0</v>
      </c>
      <c r="Z25" s="1260">
        <f>(IF('6.Inland wetlands'!I14="Agroforestry",INDEX(IPCC!$E$107:$T$298,MATCH(clim_moist_cont,IPCC!$C$107:$C$298,0),MATCH('Inl. wetlands'!G25,IPCC!$E$105:$T$105,0))*(44/12), 0))</f>
        <v>0</v>
      </c>
      <c r="AB25" s="1260">
        <f>(IF('6.Inland wetlands'!I14="Agroforestry",INDEX(IPCC!$E$310:$T$501,MATCH(clim_moist_cont,IPCC!$C$310:$C$501,0),MATCH('Inl. wetlands'!G25,IPCC!$E$308:$T$308,0))*(44/12),0))</f>
        <v>0</v>
      </c>
      <c r="AD25" s="1663">
        <f t="shared" si="13"/>
        <v>0</v>
      </c>
      <c r="AX25" s="1461"/>
      <c r="AY25" s="1461"/>
      <c r="AZ25" s="1461"/>
      <c r="BA25" s="1461"/>
      <c r="BB25" s="1461"/>
      <c r="BC25" s="1461"/>
      <c r="BD25" s="1461"/>
      <c r="BE25" s="1461"/>
      <c r="BF25" s="1461"/>
      <c r="BG25" s="1461"/>
    </row>
    <row r="26" spans="1:71" x14ac:dyDescent="0.15">
      <c r="B26" s="1129" t="str">
        <f>'6.Inland wetlands'!C15</f>
        <v>Please select</v>
      </c>
      <c r="C26" s="1130">
        <f>'6.Inland wetlands'!E15</f>
        <v>0</v>
      </c>
      <c r="D26" s="1130">
        <f t="shared" si="3"/>
        <v>0</v>
      </c>
      <c r="E26" s="1454" t="str">
        <f>'6.Inland wetlands'!G15</f>
        <v>NO</v>
      </c>
      <c r="F26" s="1454">
        <f>IF($B26&lt;&gt; "Please select", IF(OR($E26=list!$E$211,$E26=list!$E$212,$E26=list!$E$213), VLOOKUP($B26,IPCC!$A$871:$B$906, 2, FALSE),0), )</f>
        <v>0</v>
      </c>
      <c r="G26" s="1121" t="str">
        <f>IF('6.Inland wetlands'!K15="Please select",'6.Inland wetlands'!I15,'6.Inland wetlands'!K15)</f>
        <v>Please select</v>
      </c>
      <c r="H26" s="1121" t="str">
        <f>'6.Inland wetlands'!I15</f>
        <v>Please select</v>
      </c>
      <c r="I26" s="1121"/>
      <c r="J26" s="1144">
        <f>IF('6.Inland wetlands'!AZ26=0, IF($G26 &lt;&gt; "Please select", INDEX(IPCC!$D$686:$Y$845,MATCH(clim_moist_cont,IPCC!$C$686:$C$845,0),MATCH($G26,IPCC!$D$682:$Y$682,0)), 0), '6.Inland wetlands'!AZ26)</f>
        <v>0</v>
      </c>
      <c r="K26" s="1145">
        <f t="shared" si="4"/>
        <v>0</v>
      </c>
      <c r="L26" s="1147">
        <f t="shared" si="5"/>
        <v>0</v>
      </c>
      <c r="M26" s="1145">
        <f t="shared" si="6"/>
        <v>0</v>
      </c>
      <c r="N26" s="1147">
        <f t="shared" si="7"/>
        <v>0</v>
      </c>
      <c r="O26" s="1145">
        <f t="shared" si="8"/>
        <v>0</v>
      </c>
      <c r="P26" s="1145">
        <f>IF($O26&lt;&gt;0,$O26*O16*P16, 0)</f>
        <v>0</v>
      </c>
      <c r="Q26" s="1145">
        <f t="shared" si="9"/>
        <v>0</v>
      </c>
      <c r="R26" s="1146">
        <f t="shared" si="10"/>
        <v>0</v>
      </c>
      <c r="S26" s="1145">
        <f t="shared" si="11"/>
        <v>0</v>
      </c>
      <c r="T26" s="1145">
        <f t="shared" si="12"/>
        <v>0</v>
      </c>
      <c r="Z26" s="1260">
        <f>(IF('6.Inland wetlands'!I15="Agroforestry",INDEX(IPCC!$E$107:$T$298,MATCH(clim_moist_cont,IPCC!$C$107:$C$298,0),MATCH('Inl. wetlands'!G26,IPCC!$E$105:$T$105,0))*(44/12), 0))</f>
        <v>0</v>
      </c>
      <c r="AB26" s="1260">
        <f>(IF('6.Inland wetlands'!I15="Agroforestry",INDEX(IPCC!$E$310:$T$501,MATCH(clim_moist_cont,IPCC!$C$310:$C$501,0),MATCH('Inl. wetlands'!G26,IPCC!$E$308:$T$308,0))*(44/12),0))</f>
        <v>0</v>
      </c>
      <c r="AD26" s="1663">
        <f t="shared" si="13"/>
        <v>0</v>
      </c>
      <c r="AY26" s="1451"/>
      <c r="AZ26" s="1451"/>
      <c r="BA26" s="1451"/>
      <c r="BB26" s="1451"/>
      <c r="BC26" s="1451"/>
      <c r="BD26" s="1451"/>
      <c r="BE26" s="1451"/>
      <c r="BF26" s="1451"/>
      <c r="BG26" s="1451"/>
    </row>
    <row r="27" spans="1:71" x14ac:dyDescent="0.15">
      <c r="B27" s="1129" t="str">
        <f>'6.Inland wetlands'!C16</f>
        <v>Please select</v>
      </c>
      <c r="C27" s="1130">
        <f>'6.Inland wetlands'!E16</f>
        <v>0</v>
      </c>
      <c r="D27" s="1130">
        <f t="shared" si="3"/>
        <v>0</v>
      </c>
      <c r="E27" s="1454" t="str">
        <f>'6.Inland wetlands'!G16</f>
        <v>NO</v>
      </c>
      <c r="F27" s="1454">
        <f>IF($B27&lt;&gt; "Please select", IF(OR($E27=list!$E$211,$E27=list!$E$212,$E27=list!$E$213), VLOOKUP($B27,IPCC!$A$871:$B$906, 2, FALSE),0), )</f>
        <v>0</v>
      </c>
      <c r="G27" s="1121" t="str">
        <f>IF('6.Inland wetlands'!K16="Please select",'6.Inland wetlands'!I16,'6.Inland wetlands'!K16)</f>
        <v>Please select</v>
      </c>
      <c r="H27" s="1121" t="str">
        <f>'6.Inland wetlands'!I16</f>
        <v>Please select</v>
      </c>
      <c r="I27" s="1121"/>
      <c r="J27" s="1144">
        <f>IF('6.Inland wetlands'!AZ27=0, IF($G27 &lt;&gt; "Please select", INDEX(IPCC!$D$686:$Y$845,MATCH(clim_moist_cont,IPCC!$C$686:$C$845,0),MATCH($G27,IPCC!$D$682:$Y$682,0)), 0), '6.Inland wetlands'!AZ27)</f>
        <v>0</v>
      </c>
      <c r="K27" s="1145">
        <f t="shared" si="4"/>
        <v>0</v>
      </c>
      <c r="L27" s="1147">
        <f t="shared" si="5"/>
        <v>0</v>
      </c>
      <c r="M27" s="1145">
        <f t="shared" si="6"/>
        <v>0</v>
      </c>
      <c r="N27" s="1147">
        <f t="shared" si="7"/>
        <v>0</v>
      </c>
      <c r="O27" s="1145">
        <f t="shared" si="8"/>
        <v>0</v>
      </c>
      <c r="P27" s="1145">
        <f>IF($O27&lt;&gt;0,$O27*O17*P17, 0)</f>
        <v>0</v>
      </c>
      <c r="Q27" s="1145">
        <f t="shared" si="9"/>
        <v>0</v>
      </c>
      <c r="R27" s="1146">
        <f t="shared" si="10"/>
        <v>0</v>
      </c>
      <c r="S27" s="1145">
        <f t="shared" si="11"/>
        <v>0</v>
      </c>
      <c r="T27" s="1145">
        <f t="shared" si="12"/>
        <v>0</v>
      </c>
      <c r="Z27" s="1260">
        <f>(IF('6.Inland wetlands'!I16="Agroforestry",INDEX(IPCC!$E$107:$T$298,MATCH(clim_moist_cont,IPCC!$C$107:$C$298,0),MATCH('Inl. wetlands'!G27,IPCC!$E$105:$T$105,0))*(44/12), 0))</f>
        <v>0</v>
      </c>
      <c r="AB27" s="1260">
        <f>(IF('6.Inland wetlands'!I16="Agroforestry",INDEX(IPCC!$E$310:$T$501,MATCH(clim_moist_cont,IPCC!$C$310:$C$501,0),MATCH('Inl. wetlands'!G27,IPCC!$E$308:$T$308,0))*(44/12),0))</f>
        <v>0</v>
      </c>
      <c r="AD27" s="1663">
        <f t="shared" si="13"/>
        <v>0</v>
      </c>
      <c r="AX27" s="1271"/>
    </row>
    <row r="28" spans="1:71" x14ac:dyDescent="0.15">
      <c r="B28" s="1129" t="str">
        <f>'6.Inland wetlands'!C17</f>
        <v>Please select</v>
      </c>
      <c r="C28" s="1130">
        <f>'6.Inland wetlands'!E17</f>
        <v>0</v>
      </c>
      <c r="D28" s="1130">
        <f t="shared" si="3"/>
        <v>0</v>
      </c>
      <c r="E28" s="1454" t="str">
        <f>'6.Inland wetlands'!G17</f>
        <v>NO</v>
      </c>
      <c r="F28" s="1454">
        <f>IF($B28&lt;&gt; "Please select", IF(OR($E28=list!$E$211,$E28=list!$E$212,$E28=list!$E$213), VLOOKUP($B28,IPCC!$A$871:$B$906, 2, FALSE),0), )</f>
        <v>0</v>
      </c>
      <c r="G28" s="1121" t="str">
        <f>IF('6.Inland wetlands'!K17="Please select",'6.Inland wetlands'!I17,'6.Inland wetlands'!K17)</f>
        <v>Please select</v>
      </c>
      <c r="H28" s="1121" t="str">
        <f>'6.Inland wetlands'!I17</f>
        <v>Please select</v>
      </c>
      <c r="I28" s="1121"/>
      <c r="J28" s="1144">
        <f>IF('6.Inland wetlands'!AZ28=0, IF($G28 &lt;&gt; "Please select", INDEX(IPCC!$D$686:$Y$845,MATCH(clim_moist_cont,IPCC!$C$686:$C$845,0),MATCH($G28,IPCC!$D$682:$Y$682,0)), 0), '6.Inland wetlands'!AZ28)</f>
        <v>0</v>
      </c>
      <c r="K28" s="1145">
        <f t="shared" si="4"/>
        <v>0</v>
      </c>
      <c r="L28" s="1147">
        <f t="shared" si="5"/>
        <v>0</v>
      </c>
      <c r="M28" s="1145">
        <f t="shared" si="6"/>
        <v>0</v>
      </c>
      <c r="N28" s="1147">
        <f t="shared" si="7"/>
        <v>0</v>
      </c>
      <c r="O28" s="1145">
        <f t="shared" si="8"/>
        <v>0</v>
      </c>
      <c r="P28" s="1145">
        <f>IF($O28&lt;&gt;0,$O28*O18*P18, 0)</f>
        <v>0</v>
      </c>
      <c r="Q28" s="1145">
        <f t="shared" si="9"/>
        <v>0</v>
      </c>
      <c r="R28" s="1146">
        <f t="shared" si="10"/>
        <v>0</v>
      </c>
      <c r="S28" s="1145">
        <f t="shared" si="11"/>
        <v>0</v>
      </c>
      <c r="T28" s="1145">
        <f t="shared" si="12"/>
        <v>0</v>
      </c>
      <c r="Z28" s="1260">
        <f>(IF('6.Inland wetlands'!I17="Agroforestry",INDEX(IPCC!$E$107:$T$298,MATCH(clim_moist_cont,IPCC!$C$107:$C$298,0),MATCH('Inl. wetlands'!G28,IPCC!$E$105:$T$105,0))*(44/12), 0))</f>
        <v>0</v>
      </c>
      <c r="AB28" s="1260">
        <f>(IF('6.Inland wetlands'!I17="Agroforestry",INDEX(IPCC!$E$310:$T$501,MATCH(clim_moist_cont,IPCC!$C$310:$C$501,0),MATCH('Inl. wetlands'!G28,IPCC!$E$308:$T$308,0))*(44/12),0))</f>
        <v>0</v>
      </c>
      <c r="AD28" s="1663">
        <f t="shared" si="13"/>
        <v>0</v>
      </c>
      <c r="AJ28" s="1455"/>
      <c r="AX28" s="1271"/>
      <c r="AY28" s="1271"/>
      <c r="AZ28" s="1271"/>
      <c r="BA28" s="1271"/>
      <c r="BB28" s="1271"/>
      <c r="BD28" s="1463"/>
      <c r="BF28" s="1271"/>
    </row>
    <row r="29" spans="1:71" x14ac:dyDescent="0.15">
      <c r="B29" s="1129" t="str">
        <f>'6.Inland wetlands'!C18</f>
        <v>Please select</v>
      </c>
      <c r="C29" s="1130">
        <f>'6.Inland wetlands'!E18</f>
        <v>0</v>
      </c>
      <c r="D29" s="1130">
        <f t="shared" si="3"/>
        <v>0</v>
      </c>
      <c r="E29" s="1454" t="str">
        <f>'6.Inland wetlands'!G18</f>
        <v>NO</v>
      </c>
      <c r="F29" s="1454">
        <f>IF($B29&lt;&gt; "Please select", IF(OR($E29=list!$E$211,$E29=list!$E$212,$E29=list!$E$213), VLOOKUP($B29,IPCC!$A$871:$B$906, 2, FALSE),0), )</f>
        <v>0</v>
      </c>
      <c r="G29" s="1121" t="str">
        <f>IF('6.Inland wetlands'!K18="Please select",'6.Inland wetlands'!I18,'6.Inland wetlands'!K18)</f>
        <v>Please select</v>
      </c>
      <c r="H29" s="1121" t="str">
        <f>'6.Inland wetlands'!I18</f>
        <v>Please select</v>
      </c>
      <c r="I29" s="1121"/>
      <c r="J29" s="1144">
        <f>IF('6.Inland wetlands'!AZ29=0, IF($G29 &lt;&gt; "Please select", INDEX(IPCC!$D$686:$Y$845,MATCH(clim_moist_cont,IPCC!$C$686:$C$845,0),MATCH($G29,IPCC!$D$682:$Y$682,0)), 0), '6.Inland wetlands'!AZ29)</f>
        <v>0</v>
      </c>
      <c r="K29" s="1145">
        <f t="shared" si="4"/>
        <v>0</v>
      </c>
      <c r="L29" s="1149">
        <f t="shared" si="5"/>
        <v>0</v>
      </c>
      <c r="M29" s="1145">
        <f t="shared" si="6"/>
        <v>0</v>
      </c>
      <c r="N29" s="1149">
        <f t="shared" si="7"/>
        <v>0</v>
      </c>
      <c r="O29" s="1145">
        <f t="shared" si="8"/>
        <v>0</v>
      </c>
      <c r="P29" s="1145">
        <f>IF($O29&lt;&gt;0,$O29*O19*P19, 0)</f>
        <v>0</v>
      </c>
      <c r="Q29" s="1145">
        <f t="shared" si="9"/>
        <v>0</v>
      </c>
      <c r="R29" s="1146">
        <f t="shared" si="10"/>
        <v>0</v>
      </c>
      <c r="S29" s="1145">
        <f t="shared" si="11"/>
        <v>0</v>
      </c>
      <c r="T29" s="1145">
        <f t="shared" si="12"/>
        <v>0</v>
      </c>
      <c r="Z29" s="1260">
        <f>(IF('6.Inland wetlands'!I18="Agroforestry",INDEX(IPCC!$E$107:$T$298,MATCH(clim_moist_cont,IPCC!$C$107:$C$298,0),MATCH('Inl. wetlands'!G29,IPCC!$E$105:$T$105,0))*(44/12), 0))</f>
        <v>0</v>
      </c>
      <c r="AB29" s="1260">
        <f>(IF('6.Inland wetlands'!I18="Agroforestry",INDEX(IPCC!$E$310:$T$501,MATCH(clim_moist_cont,IPCC!$C$310:$C$501,0),MATCH('Inl. wetlands'!G29,IPCC!$E$308:$T$308,0))*(44/12),0))</f>
        <v>0</v>
      </c>
      <c r="AD29" s="1663">
        <f t="shared" si="13"/>
        <v>0</v>
      </c>
      <c r="AJ29" s="1455"/>
    </row>
    <row r="30" spans="1:71" x14ac:dyDescent="0.15">
      <c r="B30" s="1058"/>
      <c r="D30" s="973" t="s">
        <v>1109</v>
      </c>
      <c r="F30" s="1454"/>
      <c r="H30" s="1121"/>
      <c r="J30" s="973" t="s">
        <v>1110</v>
      </c>
      <c r="O30" s="973" t="s">
        <v>1111</v>
      </c>
      <c r="R30" s="973" t="s">
        <v>1111</v>
      </c>
    </row>
    <row r="31" spans="1:71" x14ac:dyDescent="0.15">
      <c r="F31" s="1454"/>
    </row>
    <row r="32" spans="1:71" ht="16" x14ac:dyDescent="0.2">
      <c r="A32" s="973" t="s">
        <v>1112</v>
      </c>
      <c r="M32" s="1278" t="s">
        <v>1113</v>
      </c>
      <c r="N32" s="1081"/>
      <c r="O32" s="1081"/>
      <c r="P32" s="1081"/>
      <c r="Q32" s="1081"/>
      <c r="R32" s="1081"/>
      <c r="S32" s="1081"/>
      <c r="T32" s="1081"/>
      <c r="Z32" s="1278" t="s">
        <v>1114</v>
      </c>
      <c r="AA32" s="1081"/>
      <c r="AB32" s="1081"/>
      <c r="AC32" s="1081"/>
      <c r="AD32" s="1081"/>
      <c r="AE32" s="1081"/>
      <c r="AF32" s="1081"/>
      <c r="AG32" s="1081"/>
      <c r="AI32" s="1270" t="s">
        <v>1115</v>
      </c>
      <c r="AJ32" s="1115"/>
      <c r="AK32" s="1116"/>
      <c r="AX32" s="1287" t="s">
        <v>1116</v>
      </c>
      <c r="AY32" s="1501"/>
      <c r="AZ32" s="1501"/>
      <c r="BA32" s="1501"/>
      <c r="BB32" s="1501"/>
      <c r="BD32" s="1271"/>
      <c r="BK32" s="1262" t="s">
        <v>860</v>
      </c>
      <c r="BL32" s="3464"/>
      <c r="BM32" s="3464"/>
      <c r="BP32" s="1262" t="s">
        <v>861</v>
      </c>
      <c r="BQ32" s="3464"/>
      <c r="BR32" s="3464"/>
      <c r="BS32" s="3464"/>
    </row>
    <row r="33" spans="1:72" ht="17" x14ac:dyDescent="0.2">
      <c r="A33" s="1138"/>
      <c r="B33" s="1138"/>
      <c r="C33" s="1138" t="s">
        <v>1117</v>
      </c>
      <c r="D33" s="1139"/>
      <c r="E33" s="1138" t="s">
        <v>1118</v>
      </c>
      <c r="F33" s="1139"/>
      <c r="G33" s="1139" t="s">
        <v>1119</v>
      </c>
      <c r="H33" s="1139"/>
      <c r="I33" s="1139" t="s">
        <v>1120</v>
      </c>
      <c r="J33" s="1139"/>
      <c r="M33" s="1081"/>
      <c r="N33" s="1081"/>
      <c r="O33" s="1081"/>
      <c r="P33" s="1081"/>
      <c r="Q33" s="1081"/>
      <c r="R33" s="1081"/>
      <c r="S33" s="1081"/>
      <c r="T33" s="1081"/>
      <c r="Z33" s="1081"/>
      <c r="AA33" s="1081"/>
      <c r="AB33" s="1081"/>
      <c r="AC33" s="1081"/>
      <c r="AD33" s="1081"/>
      <c r="AE33" s="1081"/>
      <c r="AF33" s="1081"/>
      <c r="AG33" s="1081"/>
      <c r="AI33" s="1270" t="s">
        <v>1121</v>
      </c>
      <c r="AJ33" s="1104"/>
      <c r="AK33" s="1116"/>
      <c r="AX33" s="1503" t="s">
        <v>313</v>
      </c>
      <c r="AY33" s="1502"/>
      <c r="AZ33" s="1502" t="s">
        <v>176</v>
      </c>
      <c r="BA33" s="1502"/>
      <c r="BB33" s="1502" t="s">
        <v>177</v>
      </c>
      <c r="BC33" s="1450"/>
      <c r="BD33" s="1450"/>
      <c r="BE33" s="1450"/>
      <c r="BF33" s="1450"/>
      <c r="BG33" s="1450"/>
    </row>
    <row r="34" spans="1:72" ht="16" x14ac:dyDescent="0.2">
      <c r="A34" s="1137" t="s">
        <v>1122</v>
      </c>
      <c r="B34" s="1137"/>
      <c r="C34" s="1140" t="s">
        <v>176</v>
      </c>
      <c r="D34" s="1140" t="s">
        <v>177</v>
      </c>
      <c r="E34" s="1140" t="s">
        <v>176</v>
      </c>
      <c r="F34" s="1140" t="s">
        <v>177</v>
      </c>
      <c r="G34" s="1140" t="str">
        <f t="shared" ref="G34:J35" si="14">C34</f>
        <v>CH4</v>
      </c>
      <c r="H34" s="1140" t="str">
        <f t="shared" si="14"/>
        <v>N2O</v>
      </c>
      <c r="I34" s="1140" t="str">
        <f t="shared" si="14"/>
        <v>CH4</v>
      </c>
      <c r="J34" s="1140" t="str">
        <f t="shared" si="14"/>
        <v>N2O</v>
      </c>
      <c r="M34" s="1537" t="s">
        <v>1023</v>
      </c>
      <c r="N34" s="1081" t="s">
        <v>199</v>
      </c>
      <c r="O34" s="1100" t="s">
        <v>200</v>
      </c>
      <c r="P34" s="1100"/>
      <c r="Q34" s="1101" t="s">
        <v>201</v>
      </c>
      <c r="R34" s="1101"/>
      <c r="S34" s="1081" t="s">
        <v>212</v>
      </c>
      <c r="T34" s="1081"/>
      <c r="Z34" s="1081" t="s">
        <v>1123</v>
      </c>
      <c r="AA34" s="1081"/>
      <c r="AB34" s="1081" t="s">
        <v>1124</v>
      </c>
      <c r="AC34" s="1081"/>
      <c r="AD34" s="1081" t="s">
        <v>1125</v>
      </c>
      <c r="AE34" s="1081"/>
      <c r="AF34" s="1081" t="s">
        <v>1126</v>
      </c>
      <c r="AG34" s="1081"/>
      <c r="AI34" s="1270" t="s">
        <v>1127</v>
      </c>
      <c r="AJ34" s="1116"/>
      <c r="AK34" s="1116"/>
      <c r="BK34" s="1321" t="s">
        <v>866</v>
      </c>
      <c r="BL34" s="1317" t="s">
        <v>200</v>
      </c>
      <c r="BM34" s="1317" t="s">
        <v>201</v>
      </c>
      <c r="BP34" s="1321" t="s">
        <v>866</v>
      </c>
      <c r="BQ34" s="1317" t="s">
        <v>324</v>
      </c>
      <c r="BR34" s="1317" t="s">
        <v>867</v>
      </c>
      <c r="BS34" s="1318" t="s">
        <v>868</v>
      </c>
      <c r="BT34" s="1454"/>
    </row>
    <row r="35" spans="1:72" x14ac:dyDescent="0.15">
      <c r="A35" s="1137" t="s">
        <v>117</v>
      </c>
      <c r="B35" s="1137" t="s">
        <v>416</v>
      </c>
      <c r="C35" s="1137" t="s">
        <v>193</v>
      </c>
      <c r="D35" s="1137" t="s">
        <v>194</v>
      </c>
      <c r="E35" s="1137" t="s">
        <v>193</v>
      </c>
      <c r="F35" s="1137" t="s">
        <v>194</v>
      </c>
      <c r="G35" s="1137" t="str">
        <f t="shared" si="14"/>
        <v>kgCH4</v>
      </c>
      <c r="H35" s="1137" t="str">
        <f t="shared" si="14"/>
        <v>kgN2O</v>
      </c>
      <c r="I35" s="1137" t="str">
        <f t="shared" si="14"/>
        <v>kgCH4</v>
      </c>
      <c r="J35" s="1137" t="str">
        <f t="shared" si="14"/>
        <v>kgN2O</v>
      </c>
      <c r="M35" s="1128" t="str">
        <f>B22</f>
        <v xml:space="preserve">Type of vegetation </v>
      </c>
      <c r="N35" s="1069" t="s">
        <v>371</v>
      </c>
      <c r="O35" s="1102" t="s">
        <v>371</v>
      </c>
      <c r="P35" s="1102" t="s">
        <v>1128</v>
      </c>
      <c r="Q35" s="1103" t="s">
        <v>371</v>
      </c>
      <c r="R35" s="1103" t="s">
        <v>1128</v>
      </c>
      <c r="S35" s="1102" t="s">
        <v>179</v>
      </c>
      <c r="T35" s="1103" t="s">
        <v>266</v>
      </c>
      <c r="Z35" s="1102" t="s">
        <v>179</v>
      </c>
      <c r="AA35" s="1103" t="s">
        <v>266</v>
      </c>
      <c r="AB35" s="1102" t="s">
        <v>179</v>
      </c>
      <c r="AC35" s="1103" t="s">
        <v>266</v>
      </c>
      <c r="AD35" s="1102" t="s">
        <v>179</v>
      </c>
      <c r="AE35" s="1103" t="s">
        <v>266</v>
      </c>
      <c r="AF35" s="1102" t="s">
        <v>179</v>
      </c>
      <c r="AG35" s="1103" t="s">
        <v>266</v>
      </c>
      <c r="AI35" s="1102" t="s">
        <v>200</v>
      </c>
      <c r="AJ35" s="1103" t="s">
        <v>201</v>
      </c>
      <c r="AK35" s="1104" t="s">
        <v>324</v>
      </c>
      <c r="AX35" s="1272" t="s">
        <v>200</v>
      </c>
      <c r="AY35" s="1272" t="s">
        <v>201</v>
      </c>
      <c r="AZ35" s="1272" t="s">
        <v>200</v>
      </c>
      <c r="BA35" s="1272" t="s">
        <v>201</v>
      </c>
      <c r="BB35" s="1272" t="s">
        <v>200</v>
      </c>
      <c r="BC35" s="1272" t="s">
        <v>201</v>
      </c>
      <c r="BD35" s="1272"/>
      <c r="BE35" s="1272"/>
      <c r="BF35" s="1272"/>
      <c r="BG35" s="1272"/>
      <c r="BK35" s="1084" t="s">
        <v>850</v>
      </c>
      <c r="BL35" s="1312">
        <f>SUM(Z36:Z41)+SUM(AB36:AB41)+SUM(AD36:AD41)</f>
        <v>0</v>
      </c>
      <c r="BM35" s="1313">
        <f>SUM(AA36:AA41)+SUM(AC36:AC41)+SUM(AE36:AE41)</f>
        <v>0</v>
      </c>
      <c r="BN35" s="1246">
        <f>BM35-BL35</f>
        <v>0</v>
      </c>
      <c r="BP35" s="1322" t="str">
        <f>BK35</f>
        <v>CO2 biomass</v>
      </c>
      <c r="BQ35" s="1312">
        <f>BM35-BL35</f>
        <v>0</v>
      </c>
      <c r="BR35" s="1312">
        <f>IF(time=0,0,BQ35)</f>
        <v>0</v>
      </c>
      <c r="BS35" s="1453">
        <f t="shared" ref="BS35:BS40" si="15">BQ35-BR35</f>
        <v>0</v>
      </c>
      <c r="BT35" s="1455">
        <f>SUM(BR35:BS35)</f>
        <v>0</v>
      </c>
    </row>
    <row r="36" spans="1:72" x14ac:dyDescent="0.15">
      <c r="A36" s="1145">
        <f>IF('6.Inland wetlands'!AZ24=0, IF(AND($G24 &lt;&gt; "Please select", $H24&lt;&gt; "Agroforestry"), INDEX(IPCC!$D$686:$Y$845,MATCH(clim_moist_cont,IPCC!$C$686:$C$845,0),MATCH($G24,IPCC!$D$682:$Y$682,0)), IF($G24 = "Please select", 0, INDEX(IPCC!$E$107:$T$298,MATCH(clim_moist_cont,IPCC!$C$107:$C$298,0),MATCH(G24,IPCC!$E$105:$T$105,0)))), '6.Inland wetlands'!AZ24)</f>
        <v>4.7</v>
      </c>
      <c r="B36" s="1145">
        <f t="shared" ref="B36:B41" si="16">A36/0.47</f>
        <v>10.000000000000002</v>
      </c>
      <c r="C36" s="1145">
        <f>IF(AND('6.Inland wetlands'!X13 &lt;&gt; "W/out project", '6.Inland wetlands'!X13 &lt;&gt;"W/out&amp;With"), 0, IF($S36&lt;&gt;0,$B36*$S14*$T14, 0))</f>
        <v>0</v>
      </c>
      <c r="D36" s="1145">
        <f>IF(AND('6.Inland wetlands'!X13 &lt;&gt; "W/out project", '6.Inland wetlands'!X13 &lt;&gt;"W/out&amp;With"), 0,IF($S36&lt;&gt;0,$B36*$S14*$U14, 0))</f>
        <v>0</v>
      </c>
      <c r="E36" s="1145">
        <f>IF(AND('6.Inland wetlands'!X13 &lt;&gt; "With project", '6.Inland wetlands'!X13 &lt;&gt;"W/out&amp;With"), 0,IF($T36&lt;&gt;0,$B36*$S14*$T14, 0))</f>
        <v>0</v>
      </c>
      <c r="F36" s="1145">
        <f>IF(AND('6.Inland wetlands'!X13 &lt;&gt; "With project", '6.Inland wetlands'!X13 &lt;&gt;"W/out&amp;With"), 0, IF($T36&lt;&gt;0,$B36*$S14*$U14, 0))</f>
        <v>0</v>
      </c>
      <c r="G36" s="1145">
        <f>C36*S36*(time_cap+time*(VLOOKUP(P36, list!$J$48:$K$50,2,)))*methane/1000</f>
        <v>0</v>
      </c>
      <c r="H36" s="1145">
        <f>D36*S36*(time_cap+time*(VLOOKUP(P36, list!$J$48:$K$50,2,)))*Nitrous/1000</f>
        <v>0</v>
      </c>
      <c r="I36" s="1145">
        <f>E36*T36*(time_cap+time*(VLOOKUP(R36, list!$J$48:$K$50,2,)))*methane/1000</f>
        <v>0</v>
      </c>
      <c r="J36" s="1145">
        <f>F36*T36*(time_cap+time*(VLOOKUP(R36, list!$J$48:$K$50,2,)))*Nitrous/1000</f>
        <v>0</v>
      </c>
      <c r="M36" s="1129" t="str">
        <f t="shared" ref="M36:M41" si="17">B24</f>
        <v>Tropical rainforest</v>
      </c>
      <c r="N36" s="3468">
        <f>'6.Inland wetlands'!M13</f>
        <v>100</v>
      </c>
      <c r="O36" s="1151">
        <f>'6.Inland wetlands'!N13</f>
        <v>100</v>
      </c>
      <c r="P36" s="1151" t="str">
        <f>VLOOKUP('6.Inland wetlands'!O13, list!$I$48:$J$50,2,FALSE )</f>
        <v>Linear</v>
      </c>
      <c r="Q36" s="1151">
        <f>'6.Inland wetlands'!P13</f>
        <v>100</v>
      </c>
      <c r="R36" s="1151" t="str">
        <f>VLOOKUP('6.Inland wetlands'!Q13, list!$I$48:$J$50,2,FALSE )</f>
        <v>Linear</v>
      </c>
      <c r="S36" s="1151">
        <f t="shared" ref="S36:S41" si="18">N36-O36</f>
        <v>0</v>
      </c>
      <c r="T36" s="1151">
        <f t="shared" ref="T36:T41" si="19">N36-Q36</f>
        <v>0</v>
      </c>
      <c r="Z36" s="1151">
        <f t="shared" ref="Z36:Z41" si="20">$L24*$S36</f>
        <v>0</v>
      </c>
      <c r="AA36" s="1151">
        <f t="shared" ref="AA36:AA41" si="21">$L24*$T36</f>
        <v>0</v>
      </c>
      <c r="AB36" s="1151">
        <f t="shared" ref="AB36:AB41" si="22">-$J24*$S36*44/12</f>
        <v>0</v>
      </c>
      <c r="AC36" s="1151">
        <f t="shared" ref="AC36:AC41" si="23">-$J24*44/12*$T36</f>
        <v>0</v>
      </c>
      <c r="AD36" s="1151">
        <f t="shared" ref="AD36:AD41" si="24">$N24*$S36</f>
        <v>0</v>
      </c>
      <c r="AE36" s="1151">
        <f t="shared" ref="AE36:AE41" si="25">$N24*$T36</f>
        <v>0</v>
      </c>
      <c r="AF36" s="1151">
        <f t="shared" ref="AF36:AF41" si="26">($P24*methane+$Q24*Nitrous)/1000*$S36+G36+H36</f>
        <v>0</v>
      </c>
      <c r="AG36" s="1151">
        <f t="shared" ref="AG36:AG41" si="27">($S24*methane+$T24*Nitrous)/1000*$T36+I36+J36</f>
        <v>0</v>
      </c>
      <c r="AI36" s="1152">
        <f>Z36+AB36+AD36+AF36</f>
        <v>0</v>
      </c>
      <c r="AJ36" s="1152">
        <f>AA36+AC36+AE36+AG36</f>
        <v>0</v>
      </c>
      <c r="AK36" s="3145">
        <f t="shared" ref="AK36:AK41" si="28">AJ36-AI36</f>
        <v>0</v>
      </c>
      <c r="AX36" s="1449">
        <f t="shared" ref="AX36:AX41" si="29">SUM($AD36,$AB36,$Z36)</f>
        <v>0</v>
      </c>
      <c r="AY36" s="1449">
        <f t="shared" ref="AY36:AY41" si="30">SUM($AE36,$AC36,$AA36)</f>
        <v>0</v>
      </c>
      <c r="AZ36" s="1449">
        <f t="shared" ref="AZ36:AZ41" si="31">$P24/1000*methane*$S36</f>
        <v>0</v>
      </c>
      <c r="BA36" s="1449">
        <f t="shared" ref="BA36:BA41" si="32">$S24/1000*methane*$T36</f>
        <v>0</v>
      </c>
      <c r="BB36" s="1449">
        <f t="shared" ref="BB36:BB41" si="33">$Q24/1000*Nitrous*$S36</f>
        <v>0</v>
      </c>
      <c r="BC36" s="1449">
        <f t="shared" ref="BC36:BC41" si="34">$T24/1000*Nitrous*$T36</f>
        <v>0</v>
      </c>
      <c r="BD36" s="1449"/>
      <c r="BE36" s="1449"/>
      <c r="BF36" s="1449"/>
      <c r="BG36" s="1449"/>
      <c r="BK36" s="1084" t="s">
        <v>1129</v>
      </c>
      <c r="BL36" s="1314">
        <f>SUM(AB66:AB71)+SUM($AB77:$AB82)</f>
        <v>6135.2499999999991</v>
      </c>
      <c r="BM36" s="1315">
        <f>SUM(AC66:AC71)+SUM($AC77:$AC82)</f>
        <v>8802.75</v>
      </c>
      <c r="BN36" s="1246">
        <f t="shared" ref="BN36:BN43" si="35">BM36-BL36</f>
        <v>2667.5000000000009</v>
      </c>
      <c r="BP36" s="1322" t="str">
        <f t="shared" ref="BP36:BP44" si="36">BK36</f>
        <v>CO2 soil drainage</v>
      </c>
      <c r="BQ36" s="1312">
        <f t="shared" ref="BQ36:BQ43" si="37">BM36-BL36</f>
        <v>2667.5000000000009</v>
      </c>
      <c r="BR36" s="1312">
        <f>IF(time=0,0,SUM(AY66:AY71,BE66:BE71)-SUM(AX66:AX71,BD66:BD71))</f>
        <v>533.5</v>
      </c>
      <c r="BS36" s="1453">
        <f t="shared" si="15"/>
        <v>2134.0000000000009</v>
      </c>
      <c r="BT36" s="1455">
        <f t="shared" ref="BT36:BT44" si="38">SUM(BR36:BS36)</f>
        <v>2667.5000000000009</v>
      </c>
    </row>
    <row r="37" spans="1:72" x14ac:dyDescent="0.15">
      <c r="A37" s="1145">
        <f>IF('6.Inland wetlands'!AZ25=0, IF(AND($G25 &lt;&gt; "Please select", $H25&lt;&gt; "Agroforestry"), INDEX(IPCC!$D$686:$Y$845,MATCH(clim_moist_cont,IPCC!$C$686:$C$845,0),MATCH($G25,IPCC!$D$682:$Y$682,0)), IF($G25 = "Please select", 0, INDEX(IPCC!$E$107:$T$298,MATCH(clim_moist_cont,IPCC!$C$107:$C$298,0),MATCH(G25,IPCC!$E$105:$T$105,0)))), '6.Inland wetlands'!AZ25)</f>
        <v>0</v>
      </c>
      <c r="B37" s="1145">
        <f t="shared" si="16"/>
        <v>0</v>
      </c>
      <c r="C37" s="1145">
        <f>IF(AND('6.Inland wetlands'!X14 &lt;&gt; "W/out project", '6.Inland wetlands'!X14 &lt;&gt;"W/out&amp;With"), 0, IF($S37&lt;&gt;0,$B37*$S15*$T15, 0))</f>
        <v>0</v>
      </c>
      <c r="D37" s="1145">
        <f>IF(AND('6.Inland wetlands'!X14 &lt;&gt; "W/out project", '6.Inland wetlands'!X14 &lt;&gt;"W/out&amp;With"), 0,IF($S37&lt;&gt;0,$B37*$S15*$U15, 0))</f>
        <v>0</v>
      </c>
      <c r="E37" s="1145">
        <f>IF(AND('6.Inland wetlands'!X14 &lt;&gt; "With project", '6.Inland wetlands'!X14 &lt;&gt;"W/out&amp;With"), 0,IF($T37&lt;&gt;0,$B37*$S15*$T15, 0))</f>
        <v>0</v>
      </c>
      <c r="F37" s="1145">
        <f>IF(AND('6.Inland wetlands'!X14 &lt;&gt; "With project", '6.Inland wetlands'!X14 &lt;&gt;"W/out&amp;With"), 0, IF($T37&lt;&gt;0,$B37*$S15*$U15, 0))</f>
        <v>0</v>
      </c>
      <c r="G37" s="1145">
        <f>C37*S37*(time_cap+time*(VLOOKUP(P37, list!$J$48:$K$50,2,)))*methane/1000</f>
        <v>0</v>
      </c>
      <c r="H37" s="1145">
        <f>D37*S37*(time_cap+time*(VLOOKUP(P37, list!$J$48:$K$50,2,)))*Nitrous/1000</f>
        <v>0</v>
      </c>
      <c r="I37" s="1145">
        <f>E37*T37*(time_cap+time*(VLOOKUP(R37, list!$J$48:$K$50,2,)))*methane/1000</f>
        <v>0</v>
      </c>
      <c r="J37" s="1145">
        <f>F37*T37*(time_cap+time*(VLOOKUP(R37, list!$J$48:$K$50,2,)))*Nitrous/1000</f>
        <v>0</v>
      </c>
      <c r="M37" s="1129" t="str">
        <f t="shared" si="17"/>
        <v>Please select</v>
      </c>
      <c r="N37" s="3470">
        <f>'6.Inland wetlands'!M14</f>
        <v>0</v>
      </c>
      <c r="O37" s="1152">
        <f>'6.Inland wetlands'!N14</f>
        <v>0</v>
      </c>
      <c r="P37" s="1152" t="str">
        <f>VLOOKUP('6.Inland wetlands'!O14, list!$I$48:$J$50,2,FALSE )</f>
        <v>Linear</v>
      </c>
      <c r="Q37" s="1152">
        <f>'6.Inland wetlands'!P14</f>
        <v>0</v>
      </c>
      <c r="R37" s="1152" t="str">
        <f>VLOOKUP('6.Inland wetlands'!Q14, list!$I$48:$J$50,2,FALSE )</f>
        <v>Linear</v>
      </c>
      <c r="S37" s="1152">
        <f t="shared" si="18"/>
        <v>0</v>
      </c>
      <c r="T37" s="1152">
        <f t="shared" si="19"/>
        <v>0</v>
      </c>
      <c r="Z37" s="1151">
        <f t="shared" si="20"/>
        <v>0</v>
      </c>
      <c r="AA37" s="1151">
        <f t="shared" si="21"/>
        <v>0</v>
      </c>
      <c r="AB37" s="1152">
        <f t="shared" si="22"/>
        <v>0</v>
      </c>
      <c r="AC37" s="1152">
        <f t="shared" si="23"/>
        <v>0</v>
      </c>
      <c r="AD37" s="1151">
        <f t="shared" si="24"/>
        <v>0</v>
      </c>
      <c r="AE37" s="1151">
        <f t="shared" si="25"/>
        <v>0</v>
      </c>
      <c r="AF37" s="1151">
        <f t="shared" si="26"/>
        <v>0</v>
      </c>
      <c r="AG37" s="1151">
        <f t="shared" si="27"/>
        <v>0</v>
      </c>
      <c r="AI37" s="1152">
        <f>Z37+AB37+AD37+AF37+G37+H37</f>
        <v>0</v>
      </c>
      <c r="AJ37" s="1152">
        <f>AA37+AC37+AE37+AG37+I37+J37</f>
        <v>0</v>
      </c>
      <c r="AK37" s="3145">
        <f t="shared" si="28"/>
        <v>0</v>
      </c>
      <c r="AX37" s="1449">
        <f t="shared" si="29"/>
        <v>0</v>
      </c>
      <c r="AY37" s="1449">
        <f t="shared" si="30"/>
        <v>0</v>
      </c>
      <c r="AZ37" s="1449">
        <f t="shared" si="31"/>
        <v>0</v>
      </c>
      <c r="BA37" s="1449">
        <f t="shared" si="32"/>
        <v>0</v>
      </c>
      <c r="BB37" s="1449">
        <f t="shared" si="33"/>
        <v>0</v>
      </c>
      <c r="BC37" s="1449">
        <f t="shared" si="34"/>
        <v>0</v>
      </c>
      <c r="BD37" s="1449"/>
      <c r="BE37" s="1449"/>
      <c r="BF37" s="1449"/>
      <c r="BG37" s="1449"/>
      <c r="BK37" s="1084" t="s">
        <v>1130</v>
      </c>
      <c r="BL37" s="1314">
        <f>SUM($AD77:$AD82)+SUM($AD66:$AD71)</f>
        <v>9398.375</v>
      </c>
      <c r="BM37" s="1315">
        <f>SUM(AE66:AE71)+SUM($AE77:$AE82)</f>
        <v>13484.624999999998</v>
      </c>
      <c r="BN37" s="1246">
        <f t="shared" si="35"/>
        <v>4086.2499999999982</v>
      </c>
      <c r="BP37" s="1322" t="str">
        <f t="shared" si="36"/>
        <v>CH4 soil drainage</v>
      </c>
      <c r="BQ37" s="1312">
        <f t="shared" si="37"/>
        <v>4086.2499999999982</v>
      </c>
      <c r="BR37" s="1312">
        <f>IF(time=0,0,SUM(BA66:BA71,BG66:BG71)-SUM(AZ66:AZ71,BF66:BF71))</f>
        <v>817.25</v>
      </c>
      <c r="BS37" s="1453">
        <f t="shared" si="15"/>
        <v>3268.9999999999982</v>
      </c>
      <c r="BT37" s="1455">
        <f t="shared" si="38"/>
        <v>4086.2499999999982</v>
      </c>
    </row>
    <row r="38" spans="1:72" x14ac:dyDescent="0.15">
      <c r="A38" s="1145">
        <f>IF('6.Inland wetlands'!AZ26=0, IF(AND($G26 &lt;&gt; "Please select", $H26&lt;&gt; "Agroforestry"), INDEX(IPCC!$D$686:$Y$845,MATCH(clim_moist_cont,IPCC!$C$686:$C$845,0),MATCH($G26,IPCC!$D$682:$Y$682,0)), IF($G26 = "Please select", 0, INDEX(IPCC!$E$107:$T$298,MATCH(clim_moist_cont,IPCC!$C$107:$C$298,0),MATCH(G26,IPCC!$E$105:$T$105,0)))), '6.Inland wetlands'!AZ26)</f>
        <v>0</v>
      </c>
      <c r="B38" s="1145">
        <f t="shared" si="16"/>
        <v>0</v>
      </c>
      <c r="C38" s="1145">
        <f>IF(AND('6.Inland wetlands'!X15 &lt;&gt; "W/out project", '6.Inland wetlands'!X15 &lt;&gt;"W/out&amp;With"), 0, IF($S38&lt;&gt;0,$B38*$S16*$T16, 0))</f>
        <v>0</v>
      </c>
      <c r="D38" s="1145">
        <f>IF(AND('6.Inland wetlands'!X15 &lt;&gt; "W/out project", '6.Inland wetlands'!X15 &lt;&gt;"W/out&amp;With"), 0,IF($S38&lt;&gt;0,$B38*$S16*$U16, 0))</f>
        <v>0</v>
      </c>
      <c r="E38" s="1145">
        <f>IF(AND('6.Inland wetlands'!X15 &lt;&gt; "With project", '6.Inland wetlands'!X15 &lt;&gt;"W/out&amp;With"), 0,IF($T38&lt;&gt;0,$B38*$S16*$T16, 0))</f>
        <v>0</v>
      </c>
      <c r="F38" s="1145">
        <f>IF(AND('6.Inland wetlands'!X15 &lt;&gt; "With project", '6.Inland wetlands'!X15 &lt;&gt;"W/out&amp;With"), 0, IF($T38&lt;&gt;0,$B38*$S16*$U16, 0))</f>
        <v>0</v>
      </c>
      <c r="G38" s="1145">
        <f>C38*S38*(time_cap+time*(VLOOKUP(P38, list!$J$48:$K$50,2,)))*methane/1000</f>
        <v>0</v>
      </c>
      <c r="H38" s="1145">
        <f>D38*S38*(time_cap+time*(VLOOKUP(P38, list!$J$48:$K$50,2,)))*Nitrous/1000</f>
        <v>0</v>
      </c>
      <c r="I38" s="1145">
        <f>E38*T38*(time_cap+time*(VLOOKUP(R38, list!$J$48:$K$50,2,)))*methane/1000</f>
        <v>0</v>
      </c>
      <c r="J38" s="1145">
        <f>F38*T38*(time_cap+time*(VLOOKUP(R38, list!$J$48:$K$50,2,)))*Nitrous/1000</f>
        <v>0</v>
      </c>
      <c r="M38" s="1129" t="str">
        <f t="shared" si="17"/>
        <v>Please select</v>
      </c>
      <c r="N38" s="3470">
        <f>'6.Inland wetlands'!M15</f>
        <v>0</v>
      </c>
      <c r="O38" s="1152">
        <f>'6.Inland wetlands'!N15</f>
        <v>0</v>
      </c>
      <c r="P38" s="1152" t="str">
        <f>VLOOKUP('6.Inland wetlands'!O15, list!$I$48:$J$50,2,FALSE )</f>
        <v>Linear</v>
      </c>
      <c r="Q38" s="1152">
        <f>'6.Inland wetlands'!P15</f>
        <v>0</v>
      </c>
      <c r="R38" s="1152" t="str">
        <f>VLOOKUP('6.Inland wetlands'!Q15, list!$I$48:$J$50,2,FALSE )</f>
        <v>Linear</v>
      </c>
      <c r="S38" s="1152">
        <f t="shared" si="18"/>
        <v>0</v>
      </c>
      <c r="T38" s="1152">
        <f t="shared" si="19"/>
        <v>0</v>
      </c>
      <c r="Z38" s="1151">
        <f t="shared" si="20"/>
        <v>0</v>
      </c>
      <c r="AA38" s="1151">
        <f t="shared" si="21"/>
        <v>0</v>
      </c>
      <c r="AB38" s="1152">
        <f t="shared" si="22"/>
        <v>0</v>
      </c>
      <c r="AC38" s="1152">
        <f t="shared" si="23"/>
        <v>0</v>
      </c>
      <c r="AD38" s="1151">
        <f t="shared" si="24"/>
        <v>0</v>
      </c>
      <c r="AE38" s="1151">
        <f t="shared" si="25"/>
        <v>0</v>
      </c>
      <c r="AF38" s="1151">
        <f t="shared" si="26"/>
        <v>0</v>
      </c>
      <c r="AG38" s="1151">
        <f t="shared" si="27"/>
        <v>0</v>
      </c>
      <c r="AI38" s="1152">
        <f>Z38+AB38+AD38+AF38+G38+H38</f>
        <v>0</v>
      </c>
      <c r="AJ38" s="1152">
        <f>AA38+AC38+AE38+AG38+I38+J38</f>
        <v>0</v>
      </c>
      <c r="AK38" s="3145">
        <f t="shared" si="28"/>
        <v>0</v>
      </c>
      <c r="AX38" s="1449">
        <f t="shared" si="29"/>
        <v>0</v>
      </c>
      <c r="AY38" s="1449">
        <f t="shared" si="30"/>
        <v>0</v>
      </c>
      <c r="AZ38" s="1449">
        <f t="shared" si="31"/>
        <v>0</v>
      </c>
      <c r="BA38" s="1449">
        <f t="shared" si="32"/>
        <v>0</v>
      </c>
      <c r="BB38" s="1449">
        <f t="shared" si="33"/>
        <v>0</v>
      </c>
      <c r="BC38" s="1449">
        <f t="shared" si="34"/>
        <v>0</v>
      </c>
      <c r="BD38" s="1449"/>
      <c r="BE38" s="1449"/>
      <c r="BF38" s="1449"/>
      <c r="BG38" s="1449"/>
      <c r="BK38" s="1084" t="s">
        <v>1131</v>
      </c>
      <c r="BL38" s="1314">
        <f>SUM(AF66:AF71)+SUM($AF77:$AF82)</f>
        <v>670.44999999999993</v>
      </c>
      <c r="BM38" s="1315">
        <f>SUM(AG66:AG71)+SUM($AG77:$AG82)</f>
        <v>961.95</v>
      </c>
      <c r="BN38" s="1246">
        <f t="shared" si="35"/>
        <v>291.50000000000011</v>
      </c>
      <c r="BP38" s="1322" t="str">
        <f t="shared" si="36"/>
        <v>N2O soil drainage</v>
      </c>
      <c r="BQ38" s="1312">
        <f t="shared" si="37"/>
        <v>291.50000000000011</v>
      </c>
      <c r="BR38" s="1312">
        <f>IF(time=0,0,SUM(BC66:BC71)-SUM(BB66:BB71))</f>
        <v>58.300000000000068</v>
      </c>
      <c r="BS38" s="1453">
        <f t="shared" si="15"/>
        <v>233.20000000000005</v>
      </c>
      <c r="BT38" s="1455">
        <f t="shared" si="38"/>
        <v>291.50000000000011</v>
      </c>
    </row>
    <row r="39" spans="1:72" x14ac:dyDescent="0.15">
      <c r="A39" s="1145">
        <f>IF('6.Inland wetlands'!AZ27=0, IF(AND($G27 &lt;&gt; "Please select", $H27&lt;&gt; "Agroforestry"), INDEX(IPCC!$D$686:$Y$845,MATCH(clim_moist_cont,IPCC!$C$686:$C$845,0),MATCH($G27,IPCC!$D$682:$Y$682,0)), IF($G27 = "Please select", 0, INDEX(IPCC!$E$107:$T$298,MATCH(clim_moist_cont,IPCC!$C$107:$C$298,0),MATCH(G27,IPCC!$E$105:$T$105,0)))), '6.Inland wetlands'!AZ27)</f>
        <v>0</v>
      </c>
      <c r="B39" s="1145">
        <f t="shared" si="16"/>
        <v>0</v>
      </c>
      <c r="C39" s="1145">
        <f>IF(AND('6.Inland wetlands'!X16 &lt;&gt; "W/out project", '6.Inland wetlands'!X16 &lt;&gt;"W/out&amp;With"), 0, IF($S39&lt;&gt;0,$B39*$S17*$T17, 0))</f>
        <v>0</v>
      </c>
      <c r="D39" s="1145">
        <f>IF(AND('6.Inland wetlands'!X16 &lt;&gt; "W/out project", '6.Inland wetlands'!X16 &lt;&gt;"W/out&amp;With"), 0,IF($S39&lt;&gt;0,$B39*$S17*$U17, 0))</f>
        <v>0</v>
      </c>
      <c r="E39" s="1145">
        <f>IF(AND('6.Inland wetlands'!X16 &lt;&gt; "With project", '6.Inland wetlands'!X16 &lt;&gt;"W/out&amp;With"), 0,IF($T39&lt;&gt;0,$B39*$S17*$T17, 0))</f>
        <v>0</v>
      </c>
      <c r="F39" s="1145">
        <f>IF(AND('6.Inland wetlands'!X16 &lt;&gt; "With project", '6.Inland wetlands'!X16 &lt;&gt;"W/out&amp;With"), 0, IF($T39&lt;&gt;0,$B39*$S17*$U17, 0))</f>
        <v>0</v>
      </c>
      <c r="G39" s="1145">
        <f>C39*S39*(time_cap+time*(VLOOKUP(P39, list!$J$48:$K$50,2,)))*methane/1000</f>
        <v>0</v>
      </c>
      <c r="H39" s="1145">
        <f>D39*S39*(time_cap+time*(VLOOKUP(P39, list!$J$48:$K$50,2,)))*Nitrous/1000</f>
        <v>0</v>
      </c>
      <c r="I39" s="1145">
        <f>E39*T39*(time_cap+time*(VLOOKUP(R39, list!$J$48:$K$50,2,)))*methane/1000</f>
        <v>0</v>
      </c>
      <c r="J39" s="1145">
        <f>F39*T39*(time_cap+time*(VLOOKUP(R39, list!$J$48:$K$50,2,)))*Nitrous/1000</f>
        <v>0</v>
      </c>
      <c r="M39" s="1129" t="str">
        <f t="shared" si="17"/>
        <v>Please select</v>
      </c>
      <c r="N39" s="3470">
        <f>'6.Inland wetlands'!M16</f>
        <v>0</v>
      </c>
      <c r="O39" s="1152">
        <f>'6.Inland wetlands'!N16</f>
        <v>0</v>
      </c>
      <c r="P39" s="1152" t="str">
        <f>VLOOKUP('6.Inland wetlands'!O16, list!$I$48:$J$50,2,FALSE )</f>
        <v>Linear</v>
      </c>
      <c r="Q39" s="1152">
        <f>'6.Inland wetlands'!P16</f>
        <v>0</v>
      </c>
      <c r="R39" s="1152" t="str">
        <f>VLOOKUP('6.Inland wetlands'!Q16, list!$I$48:$J$50,2,FALSE )</f>
        <v>Linear</v>
      </c>
      <c r="S39" s="1152">
        <f t="shared" si="18"/>
        <v>0</v>
      </c>
      <c r="T39" s="1152">
        <f t="shared" si="19"/>
        <v>0</v>
      </c>
      <c r="Z39" s="1151">
        <f t="shared" si="20"/>
        <v>0</v>
      </c>
      <c r="AA39" s="1151">
        <f t="shared" si="21"/>
        <v>0</v>
      </c>
      <c r="AB39" s="1152">
        <f t="shared" si="22"/>
        <v>0</v>
      </c>
      <c r="AC39" s="1152">
        <f t="shared" si="23"/>
        <v>0</v>
      </c>
      <c r="AD39" s="1151">
        <f t="shared" si="24"/>
        <v>0</v>
      </c>
      <c r="AE39" s="1151">
        <f t="shared" si="25"/>
        <v>0</v>
      </c>
      <c r="AF39" s="1151">
        <f t="shared" si="26"/>
        <v>0</v>
      </c>
      <c r="AG39" s="1151">
        <f t="shared" si="27"/>
        <v>0</v>
      </c>
      <c r="AI39" s="1152">
        <f>Z39+AB39+AD39+AF39+G39+H39</f>
        <v>0</v>
      </c>
      <c r="AJ39" s="1152">
        <f>AA39+AC39+AE39+AG39+I39+J39</f>
        <v>0</v>
      </c>
      <c r="AK39" s="3145">
        <f t="shared" si="28"/>
        <v>0</v>
      </c>
      <c r="AX39" s="1449">
        <f t="shared" si="29"/>
        <v>0</v>
      </c>
      <c r="AY39" s="1449">
        <f t="shared" si="30"/>
        <v>0</v>
      </c>
      <c r="AZ39" s="1449">
        <f t="shared" si="31"/>
        <v>0</v>
      </c>
      <c r="BA39" s="1449">
        <f t="shared" si="32"/>
        <v>0</v>
      </c>
      <c r="BB39" s="1449">
        <f t="shared" si="33"/>
        <v>0</v>
      </c>
      <c r="BC39" s="1449">
        <f t="shared" si="34"/>
        <v>0</v>
      </c>
      <c r="BD39" s="1449"/>
      <c r="BE39" s="1449"/>
      <c r="BF39" s="1449"/>
      <c r="BG39" s="1449"/>
      <c r="BK39" s="1084" t="s">
        <v>1132</v>
      </c>
      <c r="BL39" s="1314">
        <f>SUM(AB102:AB107)+SUM(AB91:AB96)</f>
        <v>32.083333333333272</v>
      </c>
      <c r="BM39" s="1315">
        <f>SUM(AC91:AC96)+SUM(AC102:AC107)</f>
        <v>22.916666666666622</v>
      </c>
      <c r="BN39" s="1246">
        <f t="shared" si="35"/>
        <v>-9.1666666666666501</v>
      </c>
      <c r="BP39" s="1322" t="str">
        <f t="shared" si="36"/>
        <v>CO2 soil rewetting</v>
      </c>
      <c r="BQ39" s="1312">
        <f t="shared" si="37"/>
        <v>-9.1666666666666501</v>
      </c>
      <c r="BR39" s="1312">
        <f>IF(time=0,0,SUM(AY91:AY96)-SUM(AX91:AX96))</f>
        <v>-1.8333333333333304</v>
      </c>
      <c r="BS39" s="1453">
        <f t="shared" si="15"/>
        <v>-7.3333333333333197</v>
      </c>
      <c r="BT39" s="1455">
        <f t="shared" si="38"/>
        <v>-9.1666666666666501</v>
      </c>
    </row>
    <row r="40" spans="1:72" x14ac:dyDescent="0.15">
      <c r="A40" s="1145">
        <f>IF('6.Inland wetlands'!AZ28=0, IF(AND($G28 &lt;&gt; "Please select", $H28&lt;&gt; "Agroforestry"), INDEX(IPCC!$D$686:$Y$845,MATCH(clim_moist_cont,IPCC!$C$686:$C$845,0),MATCH($G28,IPCC!$D$682:$Y$682,0)), IF($G28 = "Please select", 0, INDEX(IPCC!$E$107:$T$298,MATCH(clim_moist_cont,IPCC!$C$107:$C$298,0),MATCH(G28,IPCC!$E$105:$T$105,0)))), '6.Inland wetlands'!AZ28)</f>
        <v>0</v>
      </c>
      <c r="B40" s="1145">
        <f t="shared" si="16"/>
        <v>0</v>
      </c>
      <c r="C40" s="1145">
        <f>IF(AND('6.Inland wetlands'!X17 &lt;&gt; "W/out project", '6.Inland wetlands'!X17 &lt;&gt;"W/out&amp;With"), 0, IF($S40&lt;&gt;0,$B40*$S18*$T18, 0))</f>
        <v>0</v>
      </c>
      <c r="D40" s="1145">
        <f>IF(AND('6.Inland wetlands'!X17 &lt;&gt; "W/out project", '6.Inland wetlands'!X17 &lt;&gt;"W/out&amp;With"), 0,IF($S40&lt;&gt;0,$B40*$S18*$U18, 0))</f>
        <v>0</v>
      </c>
      <c r="E40" s="1145">
        <f>IF(AND('6.Inland wetlands'!X17 &lt;&gt; "With project", '6.Inland wetlands'!X17 &lt;&gt;"W/out&amp;With"), 0,IF($T40&lt;&gt;0,$B40*$S18*$T18, 0))</f>
        <v>0</v>
      </c>
      <c r="F40" s="1145">
        <f>IF(AND('6.Inland wetlands'!X17 &lt;&gt; "With project", '6.Inland wetlands'!X17 &lt;&gt;"W/out&amp;With"), 0, IF($T40&lt;&gt;0,$B40*$S18*$U18, 0))</f>
        <v>0</v>
      </c>
      <c r="G40" s="1145">
        <f>C40*S40*(time_cap+time*(VLOOKUP(P40, list!$J$48:$K$50,2,)))*methane/1000</f>
        <v>0</v>
      </c>
      <c r="H40" s="1145">
        <f>D40*S40*(time_cap+time*(VLOOKUP(P40, list!$J$48:$K$50,2,)))*Nitrous/1000</f>
        <v>0</v>
      </c>
      <c r="I40" s="1145">
        <f>E40*T40*(time_cap+time*(VLOOKUP(R40, list!$J$48:$K$50,2,)))*methane/1000</f>
        <v>0</v>
      </c>
      <c r="J40" s="1145">
        <f>F40*T40*(time_cap+time*(VLOOKUP(R40, list!$J$48:$K$50,2,)))*Nitrous/1000</f>
        <v>0</v>
      </c>
      <c r="M40" s="1129" t="str">
        <f t="shared" si="17"/>
        <v>Please select</v>
      </c>
      <c r="N40" s="3470">
        <f>'6.Inland wetlands'!M17</f>
        <v>0</v>
      </c>
      <c r="O40" s="1152">
        <f>'6.Inland wetlands'!N17</f>
        <v>0</v>
      </c>
      <c r="P40" s="1152" t="str">
        <f>VLOOKUP('6.Inland wetlands'!O17, list!$I$48:$J$50,2,FALSE )</f>
        <v>Linear</v>
      </c>
      <c r="Q40" s="1152">
        <f>'6.Inland wetlands'!P17</f>
        <v>0</v>
      </c>
      <c r="R40" s="1152" t="str">
        <f>VLOOKUP('6.Inland wetlands'!Q17, list!$I$48:$J$50,2,FALSE )</f>
        <v>Linear</v>
      </c>
      <c r="S40" s="1152">
        <f t="shared" si="18"/>
        <v>0</v>
      </c>
      <c r="T40" s="1152">
        <f t="shared" si="19"/>
        <v>0</v>
      </c>
      <c r="Z40" s="1151">
        <f t="shared" si="20"/>
        <v>0</v>
      </c>
      <c r="AA40" s="1151">
        <f t="shared" si="21"/>
        <v>0</v>
      </c>
      <c r="AB40" s="1152">
        <f t="shared" si="22"/>
        <v>0</v>
      </c>
      <c r="AC40" s="1152">
        <f t="shared" si="23"/>
        <v>0</v>
      </c>
      <c r="AD40" s="1151">
        <f t="shared" si="24"/>
        <v>0</v>
      </c>
      <c r="AE40" s="1151">
        <f t="shared" si="25"/>
        <v>0</v>
      </c>
      <c r="AF40" s="1151">
        <f t="shared" si="26"/>
        <v>0</v>
      </c>
      <c r="AG40" s="1151">
        <f t="shared" si="27"/>
        <v>0</v>
      </c>
      <c r="AI40" s="1152">
        <f>Z40+AB40+AD40+AF40+G40+H40</f>
        <v>0</v>
      </c>
      <c r="AJ40" s="1152">
        <f>AA40+AC40+AE40+AG40+I40+J40</f>
        <v>0</v>
      </c>
      <c r="AK40" s="3145">
        <f t="shared" si="28"/>
        <v>0</v>
      </c>
      <c r="AX40" s="1449">
        <f t="shared" si="29"/>
        <v>0</v>
      </c>
      <c r="AY40" s="1449">
        <f t="shared" si="30"/>
        <v>0</v>
      </c>
      <c r="AZ40" s="1449">
        <f t="shared" si="31"/>
        <v>0</v>
      </c>
      <c r="BA40" s="1449">
        <f t="shared" si="32"/>
        <v>0</v>
      </c>
      <c r="BB40" s="1449">
        <f t="shared" si="33"/>
        <v>0</v>
      </c>
      <c r="BC40" s="1449">
        <f t="shared" si="34"/>
        <v>0</v>
      </c>
      <c r="BD40" s="1449"/>
      <c r="BE40" s="1449"/>
      <c r="BF40" s="1449"/>
      <c r="BG40" s="1449"/>
      <c r="BK40" s="1084" t="s">
        <v>1133</v>
      </c>
      <c r="BL40" s="1314">
        <f>SUM(AD91:AD96)+SUM(AD102:AD107)</f>
        <v>3005.333333333333</v>
      </c>
      <c r="BM40" s="1315">
        <f>SUM(AE91:AE96)+SUM(AE102:AE107)</f>
        <v>2146.6666666666665</v>
      </c>
      <c r="BN40" s="1246">
        <f t="shared" si="35"/>
        <v>-858.66666666666652</v>
      </c>
      <c r="BP40" s="1322" t="str">
        <f t="shared" si="36"/>
        <v>CH4 soil rewetting</v>
      </c>
      <c r="BQ40" s="1312">
        <f t="shared" si="37"/>
        <v>-858.66666666666652</v>
      </c>
      <c r="BR40" s="1312">
        <f>IF(time=0,0,SUM(BA91:BA96)-SUM(AZ91:AZ96))</f>
        <v>-171.73333333333335</v>
      </c>
      <c r="BS40" s="1453">
        <f t="shared" si="15"/>
        <v>-686.93333333333317</v>
      </c>
      <c r="BT40" s="1455">
        <f>SUM(BR40:BS40)</f>
        <v>-858.66666666666652</v>
      </c>
    </row>
    <row r="41" spans="1:72" x14ac:dyDescent="0.15">
      <c r="A41" s="1145">
        <f>IF('6.Inland wetlands'!AZ29=0, IF(AND($G29 &lt;&gt; "Please select", $H29&lt;&gt; "Agroforestry"), INDEX(IPCC!$D$686:$Y$845,MATCH(clim_moist_cont,IPCC!$C$686:$C$845,0),MATCH($G29,IPCC!$D$682:$Y$682,0)), IF($G29 = "Please select", 0, INDEX(IPCC!$E$107:$T$298,MATCH(clim_moist_cont,IPCC!$C$107:$C$298,0),MATCH(G29,IPCC!$E$105:$T$105,0)))), '6.Inland wetlands'!AZ29)</f>
        <v>0</v>
      </c>
      <c r="B41" s="1145">
        <f t="shared" si="16"/>
        <v>0</v>
      </c>
      <c r="C41" s="1145">
        <f>IF(AND('6.Inland wetlands'!X18 &lt;&gt; "W/out project", '6.Inland wetlands'!X18 &lt;&gt;"W/out&amp;With"), 0, IF($S41&lt;&gt;0,$B41*$S19*$T19, 0))</f>
        <v>0</v>
      </c>
      <c r="D41" s="1145">
        <f>IF(AND('6.Inland wetlands'!X18 &lt;&gt; "W/out project", '6.Inland wetlands'!X18 &lt;&gt;"W/out&amp;With"), 0,IF($S41&lt;&gt;0,$B41*$S19*$U19, 0))</f>
        <v>0</v>
      </c>
      <c r="E41" s="1145">
        <f>IF(AND('6.Inland wetlands'!X18 &lt;&gt; "With project", '6.Inland wetlands'!X18 &lt;&gt;"W/out&amp;With"), 0,IF($T41&lt;&gt;0,$B41*$S19*$T19, 0))</f>
        <v>0</v>
      </c>
      <c r="F41" s="1145">
        <f>IF(AND('6.Inland wetlands'!X18 &lt;&gt; "With project", '6.Inland wetlands'!X18 &lt;&gt;"W/out&amp;With"), 0, IF($T41&lt;&gt;0,$B41*$S19*$U19, 0))</f>
        <v>0</v>
      </c>
      <c r="G41" s="1145">
        <f>C41*S41*(time_cap+time*(VLOOKUP(P41, list!$J$48:$K$50,2,)))*methane/1000</f>
        <v>0</v>
      </c>
      <c r="H41" s="1145">
        <f>D41*S41*(time_cap+time*(VLOOKUP(P41, list!$J$48:$K$50,2,)))*Nitrous/1000</f>
        <v>0</v>
      </c>
      <c r="I41" s="1145">
        <f>E41*T41*(time_cap+time*(VLOOKUP(R41, list!$J$48:$K$50,2,)))*methane/1000</f>
        <v>0</v>
      </c>
      <c r="J41" s="1145">
        <f>F41*T41*(time_cap+time*(VLOOKUP(R41, list!$J$48:$K$50,2,)))*Nitrous/1000</f>
        <v>0</v>
      </c>
      <c r="M41" s="1129" t="str">
        <f t="shared" si="17"/>
        <v>Please select</v>
      </c>
      <c r="N41" s="3471">
        <f>'6.Inland wetlands'!M18</f>
        <v>0</v>
      </c>
      <c r="O41" s="1153">
        <f>'6.Inland wetlands'!N18</f>
        <v>0</v>
      </c>
      <c r="P41" s="1153" t="str">
        <f>VLOOKUP('6.Inland wetlands'!O18, list!$I$48:$J$50,2,FALSE )</f>
        <v>Linear</v>
      </c>
      <c r="Q41" s="1153">
        <f>'6.Inland wetlands'!P18</f>
        <v>0</v>
      </c>
      <c r="R41" s="1153" t="str">
        <f>VLOOKUP('6.Inland wetlands'!Q18, list!$I$48:$J$50,2,FALSE )</f>
        <v>Linear</v>
      </c>
      <c r="S41" s="1153">
        <f t="shared" si="18"/>
        <v>0</v>
      </c>
      <c r="T41" s="1153">
        <f t="shared" si="19"/>
        <v>0</v>
      </c>
      <c r="Z41" s="1151">
        <f t="shared" si="20"/>
        <v>0</v>
      </c>
      <c r="AA41" s="1151">
        <f t="shared" si="21"/>
        <v>0</v>
      </c>
      <c r="AB41" s="1153">
        <f t="shared" si="22"/>
        <v>0</v>
      </c>
      <c r="AC41" s="1153">
        <f t="shared" si="23"/>
        <v>0</v>
      </c>
      <c r="AD41" s="1151">
        <f t="shared" si="24"/>
        <v>0</v>
      </c>
      <c r="AE41" s="1151">
        <f t="shared" si="25"/>
        <v>0</v>
      </c>
      <c r="AF41" s="1151">
        <f t="shared" si="26"/>
        <v>0</v>
      </c>
      <c r="AG41" s="1151">
        <f t="shared" si="27"/>
        <v>0</v>
      </c>
      <c r="AI41" s="1152">
        <f>Z41+AB41+AD41+AF41+G41+H41</f>
        <v>0</v>
      </c>
      <c r="AJ41" s="1152">
        <f>AA41+AC41+AE41+AG41+I41+J41</f>
        <v>0</v>
      </c>
      <c r="AK41" s="3145">
        <f t="shared" si="28"/>
        <v>0</v>
      </c>
      <c r="AX41" s="1449">
        <f t="shared" si="29"/>
        <v>0</v>
      </c>
      <c r="AY41" s="1449">
        <f t="shared" si="30"/>
        <v>0</v>
      </c>
      <c r="AZ41" s="1449">
        <f t="shared" si="31"/>
        <v>0</v>
      </c>
      <c r="BA41" s="1449">
        <f t="shared" si="32"/>
        <v>0</v>
      </c>
      <c r="BB41" s="1449">
        <f t="shared" si="33"/>
        <v>0</v>
      </c>
      <c r="BC41" s="1449">
        <f t="shared" si="34"/>
        <v>0</v>
      </c>
      <c r="BD41" s="1449"/>
      <c r="BE41" s="1449"/>
      <c r="BF41" s="1449"/>
      <c r="BG41" s="1449"/>
      <c r="BK41" s="1084" t="s">
        <v>1134</v>
      </c>
      <c r="BL41" s="1314">
        <f>SUM(AF91:AF96)+SUM(AF102:AF107)</f>
        <v>0</v>
      </c>
      <c r="BM41" s="1315">
        <f>SUM(AG91:AG96)+SUM(AG102:AG107)</f>
        <v>0</v>
      </c>
      <c r="BN41" s="1246">
        <f t="shared" si="35"/>
        <v>0</v>
      </c>
      <c r="BP41" s="1322" t="str">
        <f t="shared" si="36"/>
        <v>N2O soil rewetting</v>
      </c>
      <c r="BQ41" s="1312">
        <f t="shared" si="37"/>
        <v>0</v>
      </c>
      <c r="BR41" s="1312">
        <f>IF(time=0,0,SUM(BC91:BC96)-SUM(BB91:BB96))</f>
        <v>0</v>
      </c>
      <c r="BS41" s="1453">
        <f>BQ41-BR41</f>
        <v>0</v>
      </c>
      <c r="BT41" s="1455">
        <f t="shared" si="38"/>
        <v>0</v>
      </c>
    </row>
    <row r="42" spans="1:72" x14ac:dyDescent="0.15">
      <c r="AH42" s="1469"/>
      <c r="BK42" s="1084" t="s">
        <v>1135</v>
      </c>
      <c r="BL42" s="1314">
        <f>SUM(AE53:AE58)</f>
        <v>0</v>
      </c>
      <c r="BM42" s="1315">
        <f>SUM(AF53:AF58)</f>
        <v>0</v>
      </c>
      <c r="BN42" s="1246">
        <f t="shared" si="35"/>
        <v>0</v>
      </c>
      <c r="BP42" s="1322" t="str">
        <f t="shared" si="36"/>
        <v>CO2 Fire</v>
      </c>
      <c r="BQ42" s="1312">
        <f t="shared" si="37"/>
        <v>0</v>
      </c>
      <c r="BR42" s="1312">
        <f>IF(time=0,0,SUM(AZ53:AZ58)-SUM(AY53:AY58))</f>
        <v>0</v>
      </c>
      <c r="BS42" s="1453">
        <f>BQ42-BR42</f>
        <v>0</v>
      </c>
      <c r="BT42" s="1455">
        <f t="shared" si="38"/>
        <v>0</v>
      </c>
    </row>
    <row r="43" spans="1:72" x14ac:dyDescent="0.15">
      <c r="B43" s="1058"/>
      <c r="AX43" s="1451">
        <f t="shared" ref="AX43:BC43" si="39">SUM(AX36:AX41)</f>
        <v>0</v>
      </c>
      <c r="AY43" s="1451">
        <f t="shared" si="39"/>
        <v>0</v>
      </c>
      <c r="AZ43" s="1451">
        <f t="shared" si="39"/>
        <v>0</v>
      </c>
      <c r="BA43" s="1451">
        <f>SUM(BA36:BA41)</f>
        <v>0</v>
      </c>
      <c r="BB43" s="1451">
        <f t="shared" si="39"/>
        <v>0</v>
      </c>
      <c r="BC43" s="1451">
        <f t="shared" si="39"/>
        <v>0</v>
      </c>
      <c r="BK43" s="1084" t="s">
        <v>1136</v>
      </c>
      <c r="BL43" s="1314">
        <f>SUMPRODUCT($P24:$P29,$S36:$S41)*methane/1000+SUM($AG53:$AG58)+SUM(G36:G41)</f>
        <v>0</v>
      </c>
      <c r="BM43" s="1314">
        <f>SUMPRODUCT($S24:$S29,$T36:$T41)*methane/1000+SUM(AH53:AH58)+SUM(I36:I41)</f>
        <v>0</v>
      </c>
      <c r="BN43" s="1246">
        <f t="shared" si="35"/>
        <v>0</v>
      </c>
      <c r="BP43" s="1322" t="str">
        <f t="shared" si="36"/>
        <v>CH4 Fire</v>
      </c>
      <c r="BQ43" s="1312">
        <f t="shared" si="37"/>
        <v>0</v>
      </c>
      <c r="BR43" s="1312">
        <f>IF(time=0,0,SUM(BA36:BA41)-SUM(AZ36:AZ41)+SUM(BB53:BB58)-SUM(BA53:BA58))</f>
        <v>0</v>
      </c>
      <c r="BS43" s="1453">
        <f>BQ43-BR43</f>
        <v>0</v>
      </c>
      <c r="BT43" s="1455">
        <f>SUM(BR43:BS43)</f>
        <v>0</v>
      </c>
    </row>
    <row r="44" spans="1:72" x14ac:dyDescent="0.15">
      <c r="AY44" s="1451">
        <f>AY43-AX43</f>
        <v>0</v>
      </c>
      <c r="AZ44" s="1451"/>
      <c r="BA44" s="1451">
        <f>BA43-AZ43</f>
        <v>0</v>
      </c>
      <c r="BB44" s="1451"/>
      <c r="BC44" s="1451">
        <f>BC43-BB43</f>
        <v>0</v>
      </c>
      <c r="BK44" s="1459" t="s">
        <v>626</v>
      </c>
      <c r="BL44" s="1319">
        <f>SUMPRODUCT($Q24:$Q29,$S36:$S41)*Nitrous/1000+SUM(H36:H41)</f>
        <v>0</v>
      </c>
      <c r="BM44" s="1320">
        <f>SUMPRODUCT($T24:$T29,$T36:$T41)*Nitrous/1000+SUM(J36:J41)</f>
        <v>0</v>
      </c>
      <c r="BN44" s="1246">
        <f>BM44-BL44</f>
        <v>0</v>
      </c>
      <c r="BP44" s="1323" t="str">
        <f t="shared" si="36"/>
        <v>N2O Fire</v>
      </c>
      <c r="BQ44" s="1312">
        <f>BM44-BL44</f>
        <v>0</v>
      </c>
      <c r="BR44" s="1319">
        <f>IF(time=0,0,SUM(BC36:BC41)-SUM(BB36:BB41))</f>
        <v>0</v>
      </c>
      <c r="BS44" s="1320">
        <f>BQ44-BR44</f>
        <v>0</v>
      </c>
      <c r="BT44" s="1455">
        <f t="shared" si="38"/>
        <v>0</v>
      </c>
    </row>
    <row r="45" spans="1:72" s="1089" customFormat="1" ht="30.75" customHeight="1" x14ac:dyDescent="0.15">
      <c r="B45" s="1112" t="s">
        <v>1137</v>
      </c>
      <c r="C45" s="1113"/>
      <c r="D45" s="1113"/>
      <c r="E45" s="1113"/>
      <c r="F45" s="1113"/>
      <c r="G45" s="1113"/>
      <c r="H45" s="1113"/>
      <c r="I45" s="1113"/>
      <c r="J45" s="1113"/>
      <c r="K45" s="1113"/>
      <c r="L45" s="1113"/>
      <c r="M45" s="1113"/>
      <c r="N45" s="1113"/>
      <c r="O45" s="1113"/>
      <c r="P45" s="1113"/>
      <c r="Q45" s="1113"/>
      <c r="R45" s="1113"/>
      <c r="S45" s="1113"/>
      <c r="T45" s="1113"/>
      <c r="U45" s="1113"/>
      <c r="V45" s="1113"/>
      <c r="W45" s="1113"/>
      <c r="X45" s="1113"/>
      <c r="Y45" s="1113"/>
      <c r="Z45" s="1113"/>
      <c r="AA45" s="1113"/>
      <c r="AB45" s="1113"/>
      <c r="AC45" s="1113"/>
      <c r="AD45" s="1113"/>
      <c r="AE45" s="1113"/>
      <c r="AF45" s="1113"/>
      <c r="AG45" s="1113"/>
      <c r="AH45" s="1113"/>
      <c r="AI45" s="1113"/>
      <c r="AJ45" s="1113"/>
      <c r="AK45" s="1113"/>
      <c r="AX45" s="1447"/>
      <c r="AY45" s="1447"/>
      <c r="AZ45" s="1447"/>
      <c r="BA45" s="1447"/>
      <c r="BB45" s="1447"/>
      <c r="BC45" s="1447"/>
      <c r="BD45" s="1447"/>
      <c r="BE45" s="1447"/>
      <c r="BF45" s="1447"/>
      <c r="BG45" s="1447"/>
      <c r="BI45" s="973"/>
      <c r="BK45" s="973"/>
      <c r="BL45" s="973"/>
      <c r="BM45" s="973"/>
      <c r="BN45" s="973"/>
      <c r="BO45" s="973"/>
      <c r="BP45" s="1316"/>
      <c r="BQ45" s="1460">
        <f>SUM(BQ35:BQ44)</f>
        <v>6177.4166666666661</v>
      </c>
      <c r="BR45" s="1460">
        <f>SUM(BR35:BR44)</f>
        <v>1235.4833333333336</v>
      </c>
      <c r="BS45" s="1460">
        <f>SUM(BS35:BS44)</f>
        <v>4941.9333333333325</v>
      </c>
      <c r="BT45" s="992">
        <f>BR45+BS45</f>
        <v>6177.4166666666661</v>
      </c>
    </row>
    <row r="46" spans="1:72" x14ac:dyDescent="0.15">
      <c r="BK46" s="973" t="s">
        <v>871</v>
      </c>
      <c r="BL46" s="992">
        <f>SUM(BL35:BL44)</f>
        <v>19241.491666666669</v>
      </c>
      <c r="BM46" s="992">
        <f>SUM(BM35:BM44)</f>
        <v>25418.908333333336</v>
      </c>
      <c r="BN46" s="1246">
        <f>BM46-BL46</f>
        <v>6177.4166666666679</v>
      </c>
      <c r="BO46" s="1246"/>
    </row>
    <row r="47" spans="1:72" ht="18" x14ac:dyDescent="0.2">
      <c r="B47" s="1257" t="s">
        <v>1138</v>
      </c>
      <c r="D47" s="1250" t="str">
        <f>'6.Inland wetlands'!CK20</f>
        <v>Nutrient poor</v>
      </c>
      <c r="F47" s="1257" t="s">
        <v>1139</v>
      </c>
      <c r="J47" s="1250" t="str">
        <f>'6.Inland wetlands'!CK33</f>
        <v>Nutrient poor</v>
      </c>
      <c r="BK47" s="973" t="s">
        <v>1140</v>
      </c>
      <c r="BL47" s="992">
        <f>SUM(AI36:AI41,AJ53:AJ58,AI98:AI103,AI71:AI76)</f>
        <v>19241.491666666669</v>
      </c>
      <c r="BM47" s="992">
        <f>SUM(AJ36:AJ41,AK53:AK58,AJ98:AJ103,AJ71:AJ76)</f>
        <v>25418.908333333333</v>
      </c>
      <c r="BN47" s="992">
        <f>SUM(AK36:AK41,AL53:AL58,AK98:AK103,AK71:AK76)</f>
        <v>6177.4166666666679</v>
      </c>
      <c r="BO47" s="1246"/>
    </row>
    <row r="48" spans="1:72" x14ac:dyDescent="0.15">
      <c r="Q48" s="1120" t="s">
        <v>1141</v>
      </c>
    </row>
    <row r="49" spans="1:66" ht="16" x14ac:dyDescent="0.2">
      <c r="A49" s="1276"/>
      <c r="B49" s="1231" t="s">
        <v>1142</v>
      </c>
      <c r="G49" s="1262" t="s">
        <v>1143</v>
      </c>
      <c r="H49" s="3464"/>
      <c r="I49" s="3464"/>
      <c r="J49" s="3464"/>
      <c r="K49" s="3464"/>
      <c r="L49" s="3464"/>
      <c r="M49" s="3464"/>
      <c r="N49" s="3464"/>
      <c r="P49" s="1275" t="s">
        <v>1144</v>
      </c>
      <c r="Q49" s="1275"/>
      <c r="R49" s="1275"/>
      <c r="S49" s="1276"/>
      <c r="T49" s="1276"/>
      <c r="U49" s="1276"/>
      <c r="V49" s="1276"/>
      <c r="W49" s="1276"/>
      <c r="X49" s="1276"/>
      <c r="Y49" s="1276" t="s">
        <v>1145</v>
      </c>
      <c r="Z49" s="1276"/>
      <c r="AA49" s="1276"/>
      <c r="AE49" s="1497" t="s">
        <v>1146</v>
      </c>
      <c r="AF49" s="1276"/>
      <c r="AG49" s="1276"/>
      <c r="AH49" s="1276"/>
      <c r="AJ49" s="1270" t="s">
        <v>1115</v>
      </c>
      <c r="AK49" s="1115"/>
      <c r="AL49" s="1116"/>
      <c r="AX49" s="973"/>
      <c r="AY49" s="1287" t="s">
        <v>1147</v>
      </c>
      <c r="AZ49" s="1501"/>
      <c r="BA49" s="1501"/>
      <c r="BH49" s="1264"/>
      <c r="BL49" s="1246">
        <f>BL47-BL46</f>
        <v>0</v>
      </c>
      <c r="BM49" s="1246">
        <f>BM47-BM46</f>
        <v>0</v>
      </c>
      <c r="BN49" s="1246">
        <f>BN47-BN46</f>
        <v>0</v>
      </c>
    </row>
    <row r="50" spans="1:66" ht="17" x14ac:dyDescent="0.2">
      <c r="A50" s="1276"/>
      <c r="F50" s="1081" t="s">
        <v>199</v>
      </c>
      <c r="G50" s="1105" t="s">
        <v>200</v>
      </c>
      <c r="H50" s="1100"/>
      <c r="I50" s="1100"/>
      <c r="J50" s="1100"/>
      <c r="K50" s="1106" t="s">
        <v>201</v>
      </c>
      <c r="L50" s="1101"/>
      <c r="M50" s="1101"/>
      <c r="N50" s="1101"/>
      <c r="P50" s="1275" t="s">
        <v>1036</v>
      </c>
      <c r="Q50" s="1276"/>
      <c r="R50" s="1275" t="s">
        <v>1038</v>
      </c>
      <c r="S50" s="1276"/>
      <c r="T50" s="1275" t="s">
        <v>176</v>
      </c>
      <c r="U50" s="1276"/>
      <c r="V50" s="1275" t="s">
        <v>1148</v>
      </c>
      <c r="W50" s="1276"/>
      <c r="X50" s="1276"/>
      <c r="Y50" s="1276"/>
      <c r="Z50" s="1276"/>
      <c r="AA50" s="1276"/>
      <c r="AE50" s="1276" t="s">
        <v>1149</v>
      </c>
      <c r="AF50" s="1276"/>
      <c r="AG50" s="1276"/>
      <c r="AH50" s="1276"/>
      <c r="AI50" s="1281"/>
      <c r="AJ50" s="1270" t="s">
        <v>1121</v>
      </c>
      <c r="AK50" s="1104"/>
      <c r="AL50" s="1116"/>
      <c r="AX50" s="973"/>
      <c r="AY50" s="1502" t="s">
        <v>1036</v>
      </c>
      <c r="AZ50" s="1502"/>
      <c r="BA50" s="1502" t="s">
        <v>176</v>
      </c>
      <c r="BB50" s="1450"/>
      <c r="BH50" s="1264"/>
    </row>
    <row r="51" spans="1:66" ht="16" x14ac:dyDescent="0.2">
      <c r="A51" s="1276"/>
      <c r="B51" s="1281" t="s">
        <v>93</v>
      </c>
      <c r="D51" s="1281" t="str">
        <f>Languages!B339</f>
        <v>Final land-use</v>
      </c>
      <c r="F51" s="1069" t="s">
        <v>371</v>
      </c>
      <c r="G51" s="1100" t="s">
        <v>1150</v>
      </c>
      <c r="H51" s="1100"/>
      <c r="I51" s="1100" t="s">
        <v>1151</v>
      </c>
      <c r="J51" s="1100" t="s">
        <v>1152</v>
      </c>
      <c r="K51" s="1101" t="s">
        <v>1150</v>
      </c>
      <c r="L51" s="1101"/>
      <c r="M51" s="1101" t="s">
        <v>1151</v>
      </c>
      <c r="N51" s="1101" t="s">
        <v>1152</v>
      </c>
      <c r="P51" s="1276" t="s">
        <v>1047</v>
      </c>
      <c r="Q51" s="1276"/>
      <c r="R51" s="1276" t="s">
        <v>1048</v>
      </c>
      <c r="S51" s="1276"/>
      <c r="T51" s="1276" t="s">
        <v>1049</v>
      </c>
      <c r="U51" s="1276"/>
      <c r="V51" s="1276" t="s">
        <v>116</v>
      </c>
      <c r="W51" s="1276"/>
      <c r="X51" s="1276"/>
      <c r="Y51" s="1309" t="s">
        <v>1153</v>
      </c>
      <c r="Z51" s="1276"/>
      <c r="AA51" s="1276"/>
      <c r="AE51" s="1276" t="s">
        <v>1154</v>
      </c>
      <c r="AF51" s="1276"/>
      <c r="AG51" s="1276" t="s">
        <v>176</v>
      </c>
      <c r="AH51" s="1276"/>
      <c r="AJ51" s="1270" t="s">
        <v>1155</v>
      </c>
      <c r="AK51" s="1116"/>
      <c r="AL51" s="1116"/>
      <c r="AX51" s="973"/>
      <c r="AY51" s="1264" t="s">
        <v>859</v>
      </c>
      <c r="BA51" s="1264" t="s">
        <v>859</v>
      </c>
      <c r="BH51" s="1264"/>
    </row>
    <row r="52" spans="1:66" ht="15" x14ac:dyDescent="0.15">
      <c r="A52" s="1276"/>
      <c r="B52" s="1281" t="s">
        <v>1156</v>
      </c>
      <c r="C52" s="1281" t="s">
        <v>1157</v>
      </c>
      <c r="D52" s="1281" t="s">
        <v>1156</v>
      </c>
      <c r="E52" s="1281" t="s">
        <v>1157</v>
      </c>
      <c r="F52" s="1281"/>
      <c r="G52" s="1102" t="s">
        <v>371</v>
      </c>
      <c r="H52" s="1102" t="s">
        <v>225</v>
      </c>
      <c r="I52" s="1102" t="s">
        <v>1158</v>
      </c>
      <c r="J52" s="1107" t="s">
        <v>1159</v>
      </c>
      <c r="K52" s="1103" t="s">
        <v>371</v>
      </c>
      <c r="L52" s="1103" t="s">
        <v>225</v>
      </c>
      <c r="M52" s="1103" t="s">
        <v>1158</v>
      </c>
      <c r="N52" s="1108" t="s">
        <v>1159</v>
      </c>
      <c r="P52" s="1277" t="s">
        <v>864</v>
      </c>
      <c r="Q52" s="1277" t="s">
        <v>66</v>
      </c>
      <c r="R52" s="1277" t="s">
        <v>864</v>
      </c>
      <c r="S52" s="1277" t="s">
        <v>66</v>
      </c>
      <c r="T52" s="1277" t="s">
        <v>864</v>
      </c>
      <c r="U52" s="1277" t="s">
        <v>66</v>
      </c>
      <c r="V52" s="1277" t="s">
        <v>864</v>
      </c>
      <c r="W52" s="1277" t="s">
        <v>66</v>
      </c>
      <c r="X52" s="1276"/>
      <c r="Y52" s="973" t="s">
        <v>219</v>
      </c>
      <c r="Z52" s="1102" t="s">
        <v>179</v>
      </c>
      <c r="AA52" s="1103" t="s">
        <v>180</v>
      </c>
      <c r="AE52" s="1102" t="s">
        <v>179</v>
      </c>
      <c r="AF52" s="1103" t="s">
        <v>180</v>
      </c>
      <c r="AG52" s="1102" t="s">
        <v>179</v>
      </c>
      <c r="AH52" s="1103" t="s">
        <v>180</v>
      </c>
      <c r="AI52" s="1688"/>
      <c r="AJ52" s="1102" t="s">
        <v>200</v>
      </c>
      <c r="AK52" s="1103" t="s">
        <v>201</v>
      </c>
      <c r="AL52" s="1104" t="s">
        <v>324</v>
      </c>
      <c r="AM52" s="1688"/>
      <c r="AN52" s="1688"/>
      <c r="AX52" s="973"/>
      <c r="AY52" s="1272" t="s">
        <v>200</v>
      </c>
      <c r="AZ52" s="1272" t="s">
        <v>201</v>
      </c>
      <c r="BA52" s="1272" t="s">
        <v>200</v>
      </c>
      <c r="BB52" s="1272" t="s">
        <v>201</v>
      </c>
      <c r="BH52" s="1264"/>
    </row>
    <row r="53" spans="1:66" x14ac:dyDescent="0.15">
      <c r="A53" s="1276" t="s">
        <v>1160</v>
      </c>
      <c r="B53" s="973" t="str">
        <f>'6.Inland wetlands'!C13</f>
        <v>Tropical rainforest</v>
      </c>
      <c r="C53" s="1109" t="str">
        <f t="shared" ref="C53:C58" si="40">IF(B53="Please select","",IF(ISNUMBER(SEARCH("Planted",B53)),"Plantation","Forest"))</f>
        <v>Forest</v>
      </c>
      <c r="D53" s="973" t="str">
        <f>'6.Inland wetlands'!I13</f>
        <v>Annual cropland</v>
      </c>
      <c r="E53" s="1109" t="str">
        <f>IF(D53="Please select","",IF(ISNUMBER(SEARCH("Annual",$D53)),"Annual",IF(ISNUMBER(SEARCH(list!$C$218,'Inl. wetlands'!$D53)),"Other land",IF($D53="Agroforestry","Perennial",'Inl. wetlands'!$D53))))</f>
        <v>Annual</v>
      </c>
      <c r="F53" s="3468" t="s">
        <v>282</v>
      </c>
      <c r="G53" s="3468">
        <f>'6.Inland wetlands'!S13</f>
        <v>0</v>
      </c>
      <c r="H53" s="1154" t="str">
        <f>VLOOKUP('6.Inland wetlands'!O13, list!$I$48:$J$50,2,FALSE )</f>
        <v>Linear</v>
      </c>
      <c r="I53" s="1154">
        <f>'6.Inland wetlands'!DB13</f>
        <v>1</v>
      </c>
      <c r="J53" s="1155">
        <f>'6.Inland wetlands'!DC13</f>
        <v>0.6</v>
      </c>
      <c r="K53" s="1151">
        <f>'6.Inland wetlands'!T13</f>
        <v>0</v>
      </c>
      <c r="L53" s="1154" t="str">
        <f>VLOOKUP('6.Inland wetlands'!Q13, list!$I$48:$J$50,2,FALSE )</f>
        <v>Linear</v>
      </c>
      <c r="M53" s="1154">
        <f>'6.Inland wetlands'!DE13</f>
        <v>1</v>
      </c>
      <c r="N53" s="1156">
        <f>'6.Inland wetlands'!DF13</f>
        <v>0.6</v>
      </c>
      <c r="P53" s="1111">
        <f>IFERROR(INDEX(IPCC!$A$2037:$D$2048,MATCH(clim_moist,IPCC!$A$2037:$A$2048,0),MATCH('Inl. wetlands'!$P$50,IPCC!$A$2037:$D$2037,0)),0)</f>
        <v>362</v>
      </c>
      <c r="Q53" s="3467">
        <f>IF('6.Inland wetlands'!DI13="",'6.Inland wetlands'!DH13,'6.Inland wetlands'!DI13)</f>
        <v>362</v>
      </c>
      <c r="R53" s="1111">
        <f>IFERROR(INDEX(IPCC!$A$2037:$D$2048,MATCH(clim_moist,IPCC!$A$2037:$A$2048,0),MATCH('Inl. wetlands'!$R$50,IPCC!$A$2037:$D$2037,0)),0)</f>
        <v>207</v>
      </c>
      <c r="S53" s="3467">
        <f>IF('6.Inland wetlands'!DK13="",'6.Inland wetlands'!DJ13,'6.Inland wetlands'!DK13)</f>
        <v>207</v>
      </c>
      <c r="T53" s="1111">
        <f>IFERROR(INDEX(IPCC!$A$2037:$D$2048,MATCH(clim_moist,IPCC!$A$2037:$A$2048,0),MATCH('Inl. wetlands'!$T$50,IPCC!$A$2037:$D$2037,0)),0)</f>
        <v>9</v>
      </c>
      <c r="U53" s="3467">
        <f>IF('6.Inland wetlands'!DM13="",'6.Inland wetlands'!DL13,'6.Inland wetlands'!DM13)</f>
        <v>9</v>
      </c>
      <c r="V53" s="1111">
        <f>IFERROR(INDEX(IPCC!$A$2020:$D$2031,MATCH(clim_moist,IPCC!$A$2021:$A$2031,0),MATCH('6.Inland wetlands'!$CZ13,IPCC!$A$2020:$D$2020,0)),0)</f>
        <v>0</v>
      </c>
      <c r="W53" s="3467">
        <f>IF('6.Inland wetlands'!DO13="",'6.Inland wetlands'!DN13,'6.Inland wetlands'!DO13)</f>
        <v>0</v>
      </c>
      <c r="X53" s="1276"/>
      <c r="Y53" s="1151">
        <v>0</v>
      </c>
      <c r="Z53" s="1151">
        <f>IF('6.Inland wetlands'!$CZ13=list!$F$210,0,W53*G53)</f>
        <v>0</v>
      </c>
      <c r="AA53" s="1151">
        <f>IF('6.Inland wetlands'!$CZ13=list!$F$210,0,W53*K53)</f>
        <v>0</v>
      </c>
      <c r="AE53" s="1151">
        <f>IF(OR('6.Inland wetlands'!$AA25=list!$E$214,'6.Inland wetlands'!$AA25=list!$E$212,'6.Inland wetlands'!$AA25=list!$E$210),0,IF($I53&gt;time_tot,0,MIN($Y53,$Z53)*time_tot+ABS($Z53-$Y53)*IF($Z53&gt;$Y53,time_cap+time*VLOOKUP($H53,list!$J$48:$K$50,2,0),time*(1-VLOOKUP($H53,list!$J$48:$K$50,2,0))))*(1/$I53)*($J53)*($Q53*44/12/1000)+IF($I53&gt;time_tot,0,MIN($Y53,$Z53)*time_tot+ABS($Z53-$Y53)*IF($Z53&gt;$Y53,time_cap+time*VLOOKUP($H53,list!$J$48:$K$50,2,0),time*(1-VLOOKUP($H53,list!$J$48:$K$50,2,0))))*(1/$I53)*($J53)*($S53*2/1000))</f>
        <v>0</v>
      </c>
      <c r="AF53" s="1151">
        <f>IF(OR('6.Inland wetlands'!$AA25=list!$E$214,'6.Inland wetlands'!$AA25=list!$E$211,'6.Inland wetlands'!$AA25=list!$E$210),0,IF($M53&gt;time_tot,0,MIN($Y53,$AA53)*time_tot+ABS($AA53-$Y53)*IF($AA53&gt;$Y53,time_cap+time*VLOOKUP($L53,list!$J$48:$K$50,2,0),time*(1-VLOOKUP($L53,list!$J$48:$K$50,2,0))))*(1/$M53)*($N53)*($Q53*44/12/1000)+IF($M53&gt;time_tot,0,MIN($Y53,$AA53)*time_tot+ABS($AA53-$Y53)*IF($AA53&gt;$Y53,time_cap+time*VLOOKUP($L53,list!$J$48:$K$50,2,0),time*(1-VLOOKUP($L53,list!$J$48:$K$50,2,0))))*(1/$M53)*($N53)*($S53*2/1000))</f>
        <v>0</v>
      </c>
      <c r="AG53" s="1151">
        <f>IF(OR('6.Inland wetlands'!$AA25=list!$E$214,'6.Inland wetlands'!$AA25=list!$E$212,'6.Inland wetlands'!$AA25=list!$E$210),0,IF($I53&gt;time_tot,0,MIN($Y53,$Z53)*time_tot+ABS($Z53-$Y53)*IF($Z53&gt;$Y53,time_cap+time*VLOOKUP($H53,list!$J$48:$K$50,2,0),time*(1-VLOOKUP($H53,list!$J$48:$K$50,2,0))))*(1/$I53)*($J53)*(U53*methane/1000))</f>
        <v>0</v>
      </c>
      <c r="AH53" s="1151">
        <f>IF(OR('6.Inland wetlands'!$AA25=list!$E$214,'6.Inland wetlands'!$AA25=list!$E$211,'6.Inland wetlands'!$AA25=list!$E$210),0,IF($M53&gt;time_tot,0,MIN($Y53,$AA53)*time_tot+ABS($AA53-$Y53)*IF($AA53&gt;$Y53,time_cap+time*VLOOKUP($L53,list!$J$48:$K$50,2,0),time*(1-VLOOKUP($L53,list!$J$48:$K$50,2,0))))*(1/$M53)*($N53)*($U53*methane/1000))</f>
        <v>0</v>
      </c>
      <c r="AI53" s="1165"/>
      <c r="AJ53" s="1152">
        <f t="shared" ref="AJ53:AJ58" si="41">$AE53+$AG53</f>
        <v>0</v>
      </c>
      <c r="AK53" s="1152">
        <f t="shared" ref="AK53:AK58" si="42">$AF53+$AH53</f>
        <v>0</v>
      </c>
      <c r="AL53" s="3145">
        <f t="shared" ref="AL53:AL58" si="43">AK53-AJ53</f>
        <v>0</v>
      </c>
      <c r="AM53" s="992"/>
      <c r="AN53" s="992"/>
      <c r="AX53" s="973"/>
      <c r="AY53" s="1449">
        <f>IF('6.Inland wetlands'!$CZ13=list!$F$210,0,IF($I53&gt;time_tot,0,MIN($Y53,$Z53)*time+ABS($Z53-$Y53)*IF($Z53&gt;$Y53,time*VLOOKUP($H53,list!$J$48:$K$50,2,0),time*(1-VLOOKUP($H53,list!$J$48:$K$50,2,0))))*(1/$I53)*($J53)*($Q53/1000)+IF($I53&gt;time_tot,0,MIN($Y53,$Z53)*time+ABS($Z53-$Y53)*IF($Z53&gt;$Y53,time*VLOOKUP($H53,list!$J$48:$K$50,2,0),time*(1-VLOOKUP($H53,list!$J$48:$K$50,2,0))))*(1/$I53)*($J53)*($S53*2/1000))</f>
        <v>0</v>
      </c>
      <c r="AZ53" s="1449">
        <f>IF('6.Inland wetlands'!$CZ13=list!$F$210,0,IF($M53&gt;time_tot,0,MIN($Y53,$AA53)*time+ABS($AA53-$Y53)*IF($AA53&gt;$Y53,time*VLOOKUP($L53,list!$J$48:$K$50,2,0),time*(1-VLOOKUP($L53,list!$J$48:$K$50,2,0))))*(1/$M53)*($N53)*($Q53/1000)+IF($M53&gt;time_tot,0,MIN($Y53,$AA53)*time+ABS($AA53-$Y53)*IF($AA53&gt;$Y53,time*VLOOKUP($L53,list!$J$48:$K$50,2,0),time*(1-VLOOKUP($L53,list!$J$48:$K$50,2,0))))*(1/$M53)*($N53)*($S53*2/1000))</f>
        <v>0</v>
      </c>
      <c r="BA53" s="1449">
        <f>IF('6.Inland wetlands'!$CZ13=list!$F$210,0,IF($I53&gt;time_tot,0,MIN($Y53,$Z53)*time+ABS($Z53-$Y53)*IF($Z53&gt;$Y53,time*VLOOKUP($H53,list!$J$48:$K$50,2,0),time*(1-VLOOKUP($H53,list!$J$48:$K$50,2,0))))*(1/$I53)*($J53)*(U53*methane/1000))</f>
        <v>0</v>
      </c>
      <c r="BB53" s="1449">
        <f>IF('6.Inland wetlands'!$CZ13=list!$F$210,0,IF($M53&gt;time_tot,0,MIN($Y53,$AA53)*time+ABS($AA53-$Y53)*IF($AA53&gt;$Y53,time*VLOOKUP($L53,list!$J$48:$K$50,2,0),time*(1-VLOOKUP($L53,list!$J$48:$K$50,2,0))))*(1/$M53)*($N53)*($U53*methane/1000))</f>
        <v>0</v>
      </c>
      <c r="BH53" s="1264"/>
    </row>
    <row r="54" spans="1:66" x14ac:dyDescent="0.15">
      <c r="A54" s="1276" t="s">
        <v>1161</v>
      </c>
      <c r="B54" s="973" t="str">
        <f>'6.Inland wetlands'!C14</f>
        <v>Please select</v>
      </c>
      <c r="C54" s="1109" t="str">
        <f t="shared" si="40"/>
        <v/>
      </c>
      <c r="D54" s="973" t="str">
        <f>'6.Inland wetlands'!I14</f>
        <v>Please select</v>
      </c>
      <c r="E54" s="1109" t="str">
        <f>IF(D54="Please select","",IF(ISNUMBER(SEARCH("Annual",$D54)),"Annual",IF(ISNUMBER(SEARCH(list!$C$218,'Inl. wetlands'!$D54)),"Other land",IF($D54="Agroforestry","Perennial",'Inl. wetlands'!$D54))))</f>
        <v/>
      </c>
      <c r="F54" s="3468">
        <f>N37</f>
        <v>0</v>
      </c>
      <c r="G54" s="3468">
        <f>'6.Inland wetlands'!S14</f>
        <v>0</v>
      </c>
      <c r="H54" s="1154" t="str">
        <f>VLOOKUP('6.Inland wetlands'!O14, list!$I$48:$J$50,2,FALSE )</f>
        <v>Linear</v>
      </c>
      <c r="I54" s="1154">
        <f>'6.Inland wetlands'!DB14</f>
        <v>1</v>
      </c>
      <c r="J54" s="1155">
        <f>'6.Inland wetlands'!DC14</f>
        <v>0.01</v>
      </c>
      <c r="K54" s="1151">
        <f>'6.Inland wetlands'!T14</f>
        <v>0</v>
      </c>
      <c r="L54" s="1154" t="str">
        <f>VLOOKUP('6.Inland wetlands'!Q14, list!$I$48:$J$50,2,FALSE )</f>
        <v>Linear</v>
      </c>
      <c r="M54" s="1154">
        <f>'6.Inland wetlands'!DE14</f>
        <v>1</v>
      </c>
      <c r="N54" s="1156">
        <f>'6.Inland wetlands'!DF14</f>
        <v>0.01</v>
      </c>
      <c r="P54" s="1111">
        <f>IFERROR(INDEX(IPCC!$A$2037:$D$2048,MATCH(clim_moist,IPCC!$A$2037:$A$2048,0),MATCH('Inl. wetlands'!$P$50,IPCC!$A$2037:$D$2037,0)),0)</f>
        <v>362</v>
      </c>
      <c r="Q54" s="3467">
        <f>IF('6.Inland wetlands'!DI14="",'6.Inland wetlands'!DH14,'6.Inland wetlands'!DI14)</f>
        <v>362</v>
      </c>
      <c r="R54" s="1111">
        <f>IFERROR(INDEX(IPCC!$A$2037:$D$2048,MATCH(clim_moist,IPCC!$A$2037:$A$2048,0),MATCH('Inl. wetlands'!$R$50,IPCC!$A$2037:$D$2037,0)),0)</f>
        <v>207</v>
      </c>
      <c r="S54" s="3467">
        <f>IF('6.Inland wetlands'!DK14="",'6.Inland wetlands'!DJ14,'6.Inland wetlands'!DK14)</f>
        <v>207</v>
      </c>
      <c r="T54" s="1111">
        <f>IFERROR(INDEX(IPCC!$A$2037:$D$2048,MATCH(clim_moist,IPCC!$A$2037:$A$2048,0),MATCH('Inl. wetlands'!$T$50,IPCC!$A$2037:$D$2037,0)),0)</f>
        <v>9</v>
      </c>
      <c r="U54" s="3467">
        <f>IF('6.Inland wetlands'!DM14="",'6.Inland wetlands'!DL14,'6.Inland wetlands'!DM14)</f>
        <v>9</v>
      </c>
      <c r="V54" s="1111">
        <f>IFERROR(INDEX(IPCC!$A$2020:$D$2031,MATCH(clim_moist,IPCC!$A$2021:$A$2031,0),MATCH('6.Inland wetlands'!$CZ14,IPCC!$A$2020:$D$2020,0)),0)</f>
        <v>0</v>
      </c>
      <c r="W54" s="3467">
        <f>IF('6.Inland wetlands'!DO14="",'6.Inland wetlands'!DN14,'6.Inland wetlands'!DO14)</f>
        <v>0</v>
      </c>
      <c r="X54" s="1276"/>
      <c r="Y54" s="1151">
        <v>0</v>
      </c>
      <c r="Z54" s="1151">
        <f>IF('6.Inland wetlands'!$CZ14=list!$F$210,0,W54*G54)</f>
        <v>0</v>
      </c>
      <c r="AA54" s="1151">
        <f>IF('6.Inland wetlands'!$CZ14=list!$F$210,0,W54*K54)</f>
        <v>0</v>
      </c>
      <c r="AE54" s="1151">
        <f>IF(OR('6.Inland wetlands'!$AA26=list!$E$214,'6.Inland wetlands'!$AA26=list!$E$212,'6.Inland wetlands'!$AA26=list!$E$210),0,IF($I54&gt;time_tot,0,MIN($Y54,$Z54)*time_tot+ABS($Z54-$Y54)*IF($Z54&gt;$Y54,time_cap+time*VLOOKUP($H54,list!$J$48:$K$50,2,0),time*(1-VLOOKUP($H54,list!$J$48:$K$50,2,0))))*(1/$I54)*($J54)*($Q54*44/12/1000)+IF($I54&gt;time_tot,0,MIN($Y54,$Z54)*time_tot+ABS($Z54-$Y54)*IF($Z54&gt;$Y54,time_cap+time*VLOOKUP($H54,list!$J$48:$K$50,2,0),time*(1-VLOOKUP($H54,list!$J$48:$K$50,2,0))))*(1/$I54)*($J54)*($S54*2/1000))</f>
        <v>0</v>
      </c>
      <c r="AF54" s="1151">
        <f>IF(OR('6.Inland wetlands'!$AA26=list!$E$214,'6.Inland wetlands'!$AA26=list!$E$211,'6.Inland wetlands'!$AA26=list!$E$210),0,IF($M54&gt;time_tot,0,MIN($Y54,$AA54)*time_tot+ABS($AA54-$Y54)*IF($AA54&gt;$Y54,time_cap+time*VLOOKUP($L54,list!$J$48:$K$50,2,0),time*(1-VLOOKUP($L54,list!$J$48:$K$50,2,0))))*(1/$M54)*($N54)*($Q54*44/12/1000)+IF($M54&gt;time_tot,0,MIN($Y54,$AA54)*time_tot+ABS($AA54-$Y54)*IF($AA54&gt;$Y54,time_cap+time*VLOOKUP($L54,list!$J$48:$K$50,2,0),time*(1-VLOOKUP($L54,list!$J$48:$K$50,2,0))))*(1/$M54)*($N54)*($S54*2/1000))</f>
        <v>0</v>
      </c>
      <c r="AG54" s="1151">
        <f>IF(OR('6.Inland wetlands'!$AA26=list!$E$214,'6.Inland wetlands'!$AA26=list!$E$212,'6.Inland wetlands'!$AA26=list!$E$210),0,IF($I54&gt;time_tot,0,MIN($Y54,$Z54)*time_tot+ABS($Z54-$Y54)*IF($Z54&gt;$Y54,time_cap+time*VLOOKUP($H54,list!$J$48:$K$50,2,0),time*(1-VLOOKUP($H54,list!$J$48:$K$50,2,0))))*(1/$I54)*($J54)*(U54*methane/1000))</f>
        <v>0</v>
      </c>
      <c r="AH54" s="1151">
        <f>IF(OR('6.Inland wetlands'!$AA26=list!$E$214,'6.Inland wetlands'!$AA26=list!$E$211,'6.Inland wetlands'!$AA26=list!$E$210),0,IF($M54&gt;time_tot,0,MIN($Y54,$AA54)*time_tot+ABS($AA54-$Y54)*IF($AA54&gt;$Y54,time_cap+time*VLOOKUP($L54,list!$J$48:$K$50,2,0),time*(1-VLOOKUP($L54,list!$J$48:$K$50,2,0))))*(1/$M54)*($N54)*($U54*methane/1000))</f>
        <v>0</v>
      </c>
      <c r="AI54" s="1165"/>
      <c r="AJ54" s="1152">
        <f t="shared" si="41"/>
        <v>0</v>
      </c>
      <c r="AK54" s="1152">
        <f t="shared" si="42"/>
        <v>0</v>
      </c>
      <c r="AL54" s="3145">
        <f t="shared" si="43"/>
        <v>0</v>
      </c>
      <c r="AM54" s="992"/>
      <c r="AN54" s="992"/>
      <c r="AX54" s="973"/>
      <c r="AY54" s="1449">
        <f>IF('6.Inland wetlands'!$CZ14=list!$F$210,0,IF($I54&gt;time_tot,0,MIN($Y54,$Z54)*time+ABS($Z54-$Y54)*IF($Z54&gt;$Y54,time*VLOOKUP($H54,list!$J$48:$K$50,2,0),time*(1-VLOOKUP($H54,list!$J$48:$K$50,2,0))))*(1/$I54)*($J54)*($Q54/1000)+IF($I54&gt;time_tot,0,MIN($Y54,$Z54)*time+ABS($Z54-$Y54)*IF($Z54&gt;$Y54,time*VLOOKUP($H54,list!$J$48:$K$50,2,0),time*(1-VLOOKUP($H54,list!$J$48:$K$50,2,0))))*(1/$I54)*($J54)*($S54*2/1000))</f>
        <v>0</v>
      </c>
      <c r="AZ54" s="1449">
        <f>IF('6.Inland wetlands'!$CZ14=list!$F$210,0,IF($M54&gt;time_tot,0,MIN($Y54,$AA54)*time+ABS($AA54-$Y54)*IF($AA54&gt;$Y54,time*VLOOKUP($L54,list!$J$48:$K$50,2,0),time*(1-VLOOKUP($L54,list!$J$48:$K$50,2,0))))*(1/$M54)*($N54)*($Q54/1000)+IF($M54&gt;time_tot,0,MIN($Y54,$AA54)*time+ABS($AA54-$Y54)*IF($AA54&gt;$Y54,time*VLOOKUP($L54,list!$J$48:$K$50,2,0),time*(1-VLOOKUP($L54,list!$J$48:$K$50,2,0))))*(1/$M54)*($N54)*($S54*2/1000))</f>
        <v>0</v>
      </c>
      <c r="BA54" s="1449">
        <f>IF('6.Inland wetlands'!$CZ14=list!$F$210,0,IF($I54&gt;time_tot,0,MIN($Y54,$Z54)*time+ABS($Z54-$Y54)*IF($Z54&gt;$Y54,time*VLOOKUP($H54,list!$J$48:$K$50,2,0),time*(1-VLOOKUP($H54,list!$J$48:$K$50,2,0))))*(1/$I54)*($J54)*(U54*methane/1000))</f>
        <v>0</v>
      </c>
      <c r="BB54" s="1449">
        <f>IF('6.Inland wetlands'!$CZ14=list!$F$210,0,IF($M54&gt;time_tot,0,MIN($Y54,$AA54)*time+ABS($AA54-$Y54)*IF($AA54&gt;$Y54,time*VLOOKUP($L54,list!$J$48:$K$50,2,0),time*(1-VLOOKUP($L54,list!$J$48:$K$50,2,0))))*(1/$M54)*($N54)*($U54*methane/1000))</f>
        <v>0</v>
      </c>
      <c r="BC54" s="1451"/>
      <c r="BD54" s="1451"/>
      <c r="BH54" s="1264"/>
    </row>
    <row r="55" spans="1:66" x14ac:dyDescent="0.15">
      <c r="A55" s="1276" t="s">
        <v>1162</v>
      </c>
      <c r="B55" s="973" t="str">
        <f>'6.Inland wetlands'!C15</f>
        <v>Please select</v>
      </c>
      <c r="C55" s="1109" t="str">
        <f t="shared" si="40"/>
        <v/>
      </c>
      <c r="D55" s="973" t="str">
        <f>'6.Inland wetlands'!I15</f>
        <v>Please select</v>
      </c>
      <c r="E55" s="1109" t="str">
        <f>IF(D55="Please select","",IF(ISNUMBER(SEARCH("Annual",$D55)),"Annual",IF(ISNUMBER(SEARCH(list!$C$218,'Inl. wetlands'!$D55)),"Other land",IF($D55="Agroforestry","Perennial",'Inl. wetlands'!$D55))))</f>
        <v/>
      </c>
      <c r="F55" s="3468">
        <f>N38</f>
        <v>0</v>
      </c>
      <c r="G55" s="3468">
        <f>'6.Inland wetlands'!S15</f>
        <v>0</v>
      </c>
      <c r="H55" s="1154" t="str">
        <f>VLOOKUP('6.Inland wetlands'!O15, list!$I$48:$J$50,2,FALSE )</f>
        <v>Linear</v>
      </c>
      <c r="I55" s="1154">
        <f>'6.Inland wetlands'!DB15</f>
        <v>1</v>
      </c>
      <c r="J55" s="1155">
        <f>'6.Inland wetlands'!DC15</f>
        <v>0.01</v>
      </c>
      <c r="K55" s="1151">
        <f>'6.Inland wetlands'!T15</f>
        <v>0</v>
      </c>
      <c r="L55" s="1154" t="str">
        <f>VLOOKUP('6.Inland wetlands'!Q15, list!$I$48:$J$50,2,FALSE )</f>
        <v>Linear</v>
      </c>
      <c r="M55" s="1154">
        <f>'6.Inland wetlands'!DE15</f>
        <v>1</v>
      </c>
      <c r="N55" s="1156">
        <f>'6.Inland wetlands'!DF15</f>
        <v>0.01</v>
      </c>
      <c r="P55" s="1111">
        <f>IFERROR(INDEX(IPCC!$A$2037:$D$2048,MATCH(clim_moist,IPCC!$A$2037:$A$2048,0),MATCH('Inl. wetlands'!$P$50,IPCC!$A$2037:$D$2037,0)),0)</f>
        <v>362</v>
      </c>
      <c r="Q55" s="3467">
        <f>IF('6.Inland wetlands'!DI15="",'6.Inland wetlands'!DH15,'6.Inland wetlands'!DI15)</f>
        <v>362</v>
      </c>
      <c r="R55" s="1111">
        <f>IFERROR(INDEX(IPCC!$A$2037:$D$2048,MATCH(clim_moist,IPCC!$A$2037:$A$2048,0),MATCH('Inl. wetlands'!$R$50,IPCC!$A$2037:$D$2037,0)),0)</f>
        <v>207</v>
      </c>
      <c r="S55" s="3467">
        <f>IF('6.Inland wetlands'!DK15="",'6.Inland wetlands'!DJ15,'6.Inland wetlands'!DK15)</f>
        <v>207</v>
      </c>
      <c r="T55" s="1111">
        <f>IFERROR(INDEX(IPCC!$A$2037:$D$2048,MATCH(clim_moist,IPCC!$A$2037:$A$2048,0),MATCH('Inl. wetlands'!$T$50,IPCC!$A$2037:$D$2037,0)),0)</f>
        <v>9</v>
      </c>
      <c r="U55" s="3467">
        <f>IF('6.Inland wetlands'!DM15="",'6.Inland wetlands'!DL15,'6.Inland wetlands'!DM15)</f>
        <v>9</v>
      </c>
      <c r="V55" s="1111">
        <f>IFERROR(INDEX(IPCC!$A$2020:$D$2031,MATCH(clim_moist,IPCC!$A$2021:$A$2031,0),MATCH('6.Inland wetlands'!$CZ15,IPCC!$A$2020:$D$2020,0)),0)</f>
        <v>0</v>
      </c>
      <c r="W55" s="3467">
        <f>IF('6.Inland wetlands'!DO15="",'6.Inland wetlands'!DN15,'6.Inland wetlands'!DO15)</f>
        <v>0</v>
      </c>
      <c r="X55" s="1276"/>
      <c r="Y55" s="1151">
        <v>0</v>
      </c>
      <c r="Z55" s="1151">
        <f>IF('6.Inland wetlands'!$CZ15=list!$F$210,0,W55*G55)</f>
        <v>0</v>
      </c>
      <c r="AA55" s="1151">
        <f>IF('6.Inland wetlands'!$CZ15=list!$F$210,0,W55*K55)</f>
        <v>0</v>
      </c>
      <c r="AE55" s="1151">
        <f>IF(OR('6.Inland wetlands'!$AA27=list!$E$214,'6.Inland wetlands'!$AA27=list!$E$212,'6.Inland wetlands'!$AA27=list!$E$210),0,IF($I55&gt;time_tot,0,MIN($Y55,$Z55)*time_tot+ABS($Z55-$Y55)*IF($Z55&gt;$Y55,time_cap+time*VLOOKUP($H55,list!$J$48:$K$50,2,0),time*(1-VLOOKUP($H55,list!$J$48:$K$50,2,0))))*(1/$I55)*($J55)*($Q55*44/12/1000)+IF($I55&gt;time_tot,0,MIN($Y55,$Z55)*time_tot+ABS($Z55-$Y55)*IF($Z55&gt;$Y55,time_cap+time*VLOOKUP($H55,list!$J$48:$K$50,2,0),time*(1-VLOOKUP($H55,list!$J$48:$K$50,2,0))))*(1/$I55)*($J55)*($S55*2/1000))</f>
        <v>0</v>
      </c>
      <c r="AF55" s="1151">
        <f>IF(OR('6.Inland wetlands'!$AA27=list!$E$214,'6.Inland wetlands'!$AA27=list!$E$211,'6.Inland wetlands'!$AA27=list!$E$210),0,IF($M55&gt;time_tot,0,MIN($Y55,$AA55)*time_tot+ABS($AA55-$Y55)*IF($AA55&gt;$Y55,time_cap+time*VLOOKUP($L55,list!$J$48:$K$50,2,0),time*(1-VLOOKUP($L55,list!$J$48:$K$50,2,0))))*(1/$M55)*($N55)*($Q55*44/12/1000)+IF($M55&gt;time_tot,0,MIN($Y55,$AA55)*time_tot+ABS($AA55-$Y55)*IF($AA55&gt;$Y55,time_cap+time*VLOOKUP($L55,list!$J$48:$K$50,2,0),time*(1-VLOOKUP($L55,list!$J$48:$K$50,2,0))))*(1/$M55)*($N55)*($S55*2/1000))</f>
        <v>0</v>
      </c>
      <c r="AG55" s="1151">
        <f>IF(OR('6.Inland wetlands'!$AA27=list!$E$214,'6.Inland wetlands'!$AA27=list!$E$212,'6.Inland wetlands'!$AA27=list!$E$210),0,IF($I55&gt;time_tot,0,MIN($Y55,$Z55)*time_tot+ABS($Z55-$Y55)*IF($Z55&gt;$Y55,time_cap+time*VLOOKUP($H55,list!$J$48:$K$50,2,0),time*(1-VLOOKUP($H55,list!$J$48:$K$50,2,0))))*(1/$I55)*($J55)*(U55*methane/1000))</f>
        <v>0</v>
      </c>
      <c r="AH55" s="1151">
        <f>IF(OR('6.Inland wetlands'!$AA27=list!$E$214,'6.Inland wetlands'!$AA27=list!$E$211,'6.Inland wetlands'!$AA27=list!$E$210),0,IF($M55&gt;time_tot,0,MIN($Y55,$AA55)*time_tot+ABS($AA55-$Y55)*IF($AA55&gt;$Y55,time_cap+time*VLOOKUP($L55,list!$J$48:$K$50,2,0),time*(1-VLOOKUP($L55,list!$J$48:$K$50,2,0))))*(1/$M55)*($N55)*($U55*methane/1000))</f>
        <v>0</v>
      </c>
      <c r="AI55" s="1165"/>
      <c r="AJ55" s="1152">
        <f t="shared" si="41"/>
        <v>0</v>
      </c>
      <c r="AK55" s="1152">
        <f t="shared" si="42"/>
        <v>0</v>
      </c>
      <c r="AL55" s="3145">
        <f t="shared" si="43"/>
        <v>0</v>
      </c>
      <c r="AM55" s="992"/>
      <c r="AN55" s="992"/>
      <c r="AX55" s="973"/>
      <c r="AY55" s="1449">
        <f>IF('6.Inland wetlands'!$CZ15=list!$F$210,0,IF($I55&gt;time_tot,0,MIN($Y55,$Z55)*time+ABS($Z55-$Y55)*IF($Z55&gt;$Y55,time*VLOOKUP($H55,list!$J$48:$K$50,2,0),time*(1-VLOOKUP($H55,list!$J$48:$K$50,2,0))))*(1/$I55)*($J55)*($Q55/1000)+IF($I55&gt;time_tot,0,MIN($Y55,$Z55)*time+ABS($Z55-$Y55)*IF($Z55&gt;$Y55,time*VLOOKUP($H55,list!$J$48:$K$50,2,0),time*(1-VLOOKUP($H55,list!$J$48:$K$50,2,0))))*(1/$I55)*($J55)*($S55*2/1000))</f>
        <v>0</v>
      </c>
      <c r="AZ55" s="1449">
        <f>IF('6.Inland wetlands'!$CZ15=list!$F$210,0,IF($M55&gt;time_tot,0,MIN($Y55,$AA55)*time+ABS($AA55-$Y55)*IF($AA55&gt;$Y55,time*VLOOKUP($L55,list!$J$48:$K$50,2,0),time*(1-VLOOKUP($L55,list!$J$48:$K$50,2,0))))*(1/$M55)*($N55)*($Q55/1000)+IF($M55&gt;time_tot,0,MIN($Y55,$AA55)*time+ABS($AA55-$Y55)*IF($AA55&gt;$Y55,time*VLOOKUP($L55,list!$J$48:$K$50,2,0),time*(1-VLOOKUP($L55,list!$J$48:$K$50,2,0))))*(1/$M55)*($N55)*($S55*2/1000))</f>
        <v>0</v>
      </c>
      <c r="BA55" s="1449">
        <f>IF('6.Inland wetlands'!$CZ15=list!$F$210,0,IF($I55&gt;time_tot,0,MIN($Y55,$Z55)*time+ABS($Z55-$Y55)*IF($Z55&gt;$Y55,time*VLOOKUP($H55,list!$J$48:$K$50,2,0),time*(1-VLOOKUP($H55,list!$J$48:$K$50,2,0))))*(1/$I55)*($J55)*(U55*methane/1000))</f>
        <v>0</v>
      </c>
      <c r="BB55" s="1449">
        <f>IF('6.Inland wetlands'!$CZ15=list!$F$210,0,IF($M55&gt;time_tot,0,MIN($Y55,$AA55)*time+ABS($AA55-$Y55)*IF($AA55&gt;$Y55,time*VLOOKUP($L55,list!$J$48:$K$50,2,0),time*(1-VLOOKUP($L55,list!$J$48:$K$50,2,0))))*(1/$M55)*($N55)*($U55*methane/1000))</f>
        <v>0</v>
      </c>
      <c r="BH55" s="1264"/>
    </row>
    <row r="56" spans="1:66" x14ac:dyDescent="0.15">
      <c r="A56" s="1276" t="s">
        <v>1163</v>
      </c>
      <c r="B56" s="973" t="str">
        <f>'6.Inland wetlands'!C16</f>
        <v>Please select</v>
      </c>
      <c r="C56" s="1109" t="str">
        <f t="shared" si="40"/>
        <v/>
      </c>
      <c r="D56" s="973" t="str">
        <f>'6.Inland wetlands'!I16</f>
        <v>Please select</v>
      </c>
      <c r="E56" s="1109" t="str">
        <f>IF(D56="Please select","",IF(ISNUMBER(SEARCH("Annual",$D56)),"Annual",IF(ISNUMBER(SEARCH(list!$C$218,'Inl. wetlands'!$D56)),"Other land",IF($D56="Agroforestry","Perennial",'Inl. wetlands'!$D56))))</f>
        <v/>
      </c>
      <c r="F56" s="3468">
        <f>N39</f>
        <v>0</v>
      </c>
      <c r="G56" s="3468">
        <f>'6.Inland wetlands'!S16</f>
        <v>0</v>
      </c>
      <c r="H56" s="1154" t="str">
        <f>VLOOKUP('6.Inland wetlands'!O16, list!$I$48:$J$50,2,FALSE )</f>
        <v>Linear</v>
      </c>
      <c r="I56" s="1154">
        <f>'6.Inland wetlands'!DB16</f>
        <v>1</v>
      </c>
      <c r="J56" s="1155">
        <f>'6.Inland wetlands'!DC16</f>
        <v>0.01</v>
      </c>
      <c r="K56" s="1151">
        <f>'6.Inland wetlands'!T16</f>
        <v>0</v>
      </c>
      <c r="L56" s="1154" t="str">
        <f>VLOOKUP('6.Inland wetlands'!Q16, list!$I$48:$J$50,2,FALSE )</f>
        <v>Linear</v>
      </c>
      <c r="M56" s="1154">
        <f>'6.Inland wetlands'!DE16</f>
        <v>1</v>
      </c>
      <c r="N56" s="1156">
        <f>'6.Inland wetlands'!DF16</f>
        <v>0.01</v>
      </c>
      <c r="P56" s="1111">
        <f>IFERROR(INDEX(IPCC!$A$2037:$D$2048,MATCH(clim_moist,IPCC!$A$2037:$A$2048,0),MATCH('Inl. wetlands'!$P$50,IPCC!$A$2037:$D$2037,0)),0)</f>
        <v>362</v>
      </c>
      <c r="Q56" s="3467">
        <f>IF('6.Inland wetlands'!DI16="",'6.Inland wetlands'!DH16,'6.Inland wetlands'!DI16)</f>
        <v>362</v>
      </c>
      <c r="R56" s="1111">
        <f>IFERROR(INDEX(IPCC!$A$2037:$D$2048,MATCH(clim_moist,IPCC!$A$2037:$A$2048,0),MATCH('Inl. wetlands'!$R$50,IPCC!$A$2037:$D$2037,0)),0)</f>
        <v>207</v>
      </c>
      <c r="S56" s="3467">
        <f>IF('6.Inland wetlands'!DK16="",'6.Inland wetlands'!DJ16,'6.Inland wetlands'!DK16)</f>
        <v>207</v>
      </c>
      <c r="T56" s="1111">
        <f>IFERROR(INDEX(IPCC!$A$2037:$D$2048,MATCH(clim_moist,IPCC!$A$2037:$A$2048,0),MATCH('Inl. wetlands'!$T$50,IPCC!$A$2037:$D$2037,0)),0)</f>
        <v>9</v>
      </c>
      <c r="U56" s="3467">
        <f>IF('6.Inland wetlands'!DM16="",'6.Inland wetlands'!DL16,'6.Inland wetlands'!DM16)</f>
        <v>9</v>
      </c>
      <c r="V56" s="1111">
        <f>IFERROR(INDEX(IPCC!$A$2020:$D$2031,MATCH(clim_moist,IPCC!$A$2021:$A$2031,0),MATCH('6.Inland wetlands'!$CZ16,IPCC!$A$2020:$D$2020,0)),0)</f>
        <v>0</v>
      </c>
      <c r="W56" s="3467">
        <f>IF('6.Inland wetlands'!DO16="",'6.Inland wetlands'!DN16,'6.Inland wetlands'!DO16)</f>
        <v>0</v>
      </c>
      <c r="X56" s="1276"/>
      <c r="Y56" s="1151">
        <v>0</v>
      </c>
      <c r="Z56" s="1151">
        <f>IF('6.Inland wetlands'!$CZ16=list!$F$210,0,W56*G56)</f>
        <v>0</v>
      </c>
      <c r="AA56" s="1151">
        <f>IF('6.Inland wetlands'!$CZ16=list!$F$210,0,W56*K56)</f>
        <v>0</v>
      </c>
      <c r="AE56" s="1151">
        <f>IF(OR('6.Inland wetlands'!$AA28=list!$E$214,'6.Inland wetlands'!$AA28=list!$E$212,'6.Inland wetlands'!$AA28=list!$E$210),0,IF($I56&gt;time_tot,0,MIN($Y56,$Z56)*time_tot+ABS($Z56-$Y56)*IF($Z56&gt;$Y56,time_cap+time*VLOOKUP($H56,list!$J$48:$K$50,2,0),time*(1-VLOOKUP($H56,list!$J$48:$K$50,2,0))))*(1/$I56)*($J56)*($Q56*44/12/1000)+IF($I56&gt;time_tot,0,MIN($Y56,$Z56)*time_tot+ABS($Z56-$Y56)*IF($Z56&gt;$Y56,time_cap+time*VLOOKUP($H56,list!$J$48:$K$50,2,0),time*(1-VLOOKUP($H56,list!$J$48:$K$50,2,0))))*(1/$I56)*($J56)*($S56*2/1000))</f>
        <v>0</v>
      </c>
      <c r="AF56" s="1151">
        <f>IF(OR('6.Inland wetlands'!$AA28=list!$E$214,'6.Inland wetlands'!$AA28=list!$E$211,'6.Inland wetlands'!$AA28=list!$E$210),0,IF($M56&gt;time_tot,0,MIN($Y56,$AA56)*time_tot+ABS($AA56-$Y56)*IF($AA56&gt;$Y56,time_cap+time*VLOOKUP($L56,list!$J$48:$K$50,2,0),time*(1-VLOOKUP($L56,list!$J$48:$K$50,2,0))))*(1/$M56)*($N56)*($Q56*44/12/1000)+IF($M56&gt;time_tot,0,MIN($Y56,$AA56)*time_tot+ABS($AA56-$Y56)*IF($AA56&gt;$Y56,time_cap+time*VLOOKUP($L56,list!$J$48:$K$50,2,0),time*(1-VLOOKUP($L56,list!$J$48:$K$50,2,0))))*(1/$M56)*($N56)*($S56*2/1000))</f>
        <v>0</v>
      </c>
      <c r="AG56" s="1151">
        <f>IF(OR('6.Inland wetlands'!$AA28=list!$E$214,'6.Inland wetlands'!$AA28=list!$E$212,'6.Inland wetlands'!$AA28=list!$E$210),0,IF($I56&gt;time_tot,0,MIN($Y56,$Z56)*time_tot+ABS($Z56-$Y56)*IF($Z56&gt;$Y56,time_cap+time*VLOOKUP($H56,list!$J$48:$K$50,2,0),time*(1-VLOOKUP($H56,list!$J$48:$K$50,2,0))))*(1/$I56)*($J56)*(U56*methane/1000))</f>
        <v>0</v>
      </c>
      <c r="AH56" s="1151">
        <f>IF(OR('6.Inland wetlands'!$AA28=list!$E$214,'6.Inland wetlands'!$AA28=list!$E$211,'6.Inland wetlands'!$AA28=list!$E$210),0,IF($M56&gt;time_tot,0,MIN($Y56,$AA56)*time_tot+ABS($AA56-$Y56)*IF($AA56&gt;$Y56,time_cap+time*VLOOKUP($L56,list!$J$48:$K$50,2,0),time*(1-VLOOKUP($L56,list!$J$48:$K$50,2,0))))*(1/$M56)*($N56)*($U56*methane/1000))</f>
        <v>0</v>
      </c>
      <c r="AI56" s="1165"/>
      <c r="AJ56" s="1152">
        <f t="shared" si="41"/>
        <v>0</v>
      </c>
      <c r="AK56" s="1152">
        <f t="shared" si="42"/>
        <v>0</v>
      </c>
      <c r="AL56" s="3145">
        <f t="shared" si="43"/>
        <v>0</v>
      </c>
      <c r="AM56" s="992"/>
      <c r="AN56" s="992"/>
      <c r="AX56" s="973"/>
      <c r="AY56" s="1449">
        <f>IF('6.Inland wetlands'!$CZ16=list!$F$210,0,IF($I56&gt;time_tot,0,MIN($Y56,$Z56)*time+ABS($Z56-$Y56)*IF($Z56&gt;$Y56,time*VLOOKUP($H56,list!$J$48:$K$50,2,0),time*(1-VLOOKUP($H56,list!$J$48:$K$50,2,0))))*(1/$I56)*($J56)*($Q56/1000)+IF($I56&gt;time_tot,0,MIN($Y56,$Z56)*time+ABS($Z56-$Y56)*IF($Z56&gt;$Y56,time*VLOOKUP($H56,list!$J$48:$K$50,2,0),time*(1-VLOOKUP($H56,list!$J$48:$K$50,2,0))))*(1/$I56)*($J56)*($S56*2/1000))</f>
        <v>0</v>
      </c>
      <c r="AZ56" s="1449">
        <f>IF('6.Inland wetlands'!$CZ16=list!$F$210,0,IF($M56&gt;time_tot,0,MIN($Y56,$AA56)*time+ABS($AA56-$Y56)*IF($AA56&gt;$Y56,time*VLOOKUP($L56,list!$J$48:$K$50,2,0),time*(1-VLOOKUP($L56,list!$J$48:$K$50,2,0))))*(1/$M56)*($N56)*($Q56/1000)+IF($M56&gt;time_tot,0,MIN($Y56,$AA56)*time+ABS($AA56-$Y56)*IF($AA56&gt;$Y56,time*VLOOKUP($L56,list!$J$48:$K$50,2,0),time*(1-VLOOKUP($L56,list!$J$48:$K$50,2,0))))*(1/$M56)*($N56)*($S56*2/1000))</f>
        <v>0</v>
      </c>
      <c r="BA56" s="1449">
        <f>IF('6.Inland wetlands'!$CZ16=list!$F$210,0,IF($I56&gt;time_tot,0,MIN($Y56,$Z56)*time+ABS($Z56-$Y56)*IF($Z56&gt;$Y56,time*VLOOKUP($H56,list!$J$48:$K$50,2,0),time*(1-VLOOKUP($H56,list!$J$48:$K$50,2,0))))*(1/$I56)*($J56)*(U56*methane/1000))</f>
        <v>0</v>
      </c>
      <c r="BB56" s="1449">
        <f>IF('6.Inland wetlands'!$CZ16=list!$F$210,0,IF($M56&gt;time_tot,0,MIN($Y56,$AA56)*time+ABS($AA56-$Y56)*IF($AA56&gt;$Y56,time*VLOOKUP($L56,list!$J$48:$K$50,2,0),time*(1-VLOOKUP($L56,list!$J$48:$K$50,2,0))))*(1/$M56)*($N56)*($U56*methane/1000))</f>
        <v>0</v>
      </c>
      <c r="BH56" s="1264"/>
    </row>
    <row r="57" spans="1:66" x14ac:dyDescent="0.15">
      <c r="A57" s="1276" t="s">
        <v>1164</v>
      </c>
      <c r="B57" s="973" t="str">
        <f>'6.Inland wetlands'!C17</f>
        <v>Please select</v>
      </c>
      <c r="C57" s="1109" t="str">
        <f t="shared" si="40"/>
        <v/>
      </c>
      <c r="D57" s="973" t="str">
        <f>'6.Inland wetlands'!I17</f>
        <v>Please select</v>
      </c>
      <c r="E57" s="1109" t="str">
        <f>IF(D57="Please select","",IF(ISNUMBER(SEARCH("Annual",$D57)),"Annual",IF(ISNUMBER(SEARCH(list!$C$218,'Inl. wetlands'!$D57)),"Other land",IF($D57="Agroforestry","Perennial",'Inl. wetlands'!$D57))))</f>
        <v/>
      </c>
      <c r="F57" s="3468">
        <f>N40</f>
        <v>0</v>
      </c>
      <c r="G57" s="3468">
        <f>'6.Inland wetlands'!S17</f>
        <v>0</v>
      </c>
      <c r="H57" s="1154" t="str">
        <f>VLOOKUP('6.Inland wetlands'!O17, list!$I$48:$J$50,2,FALSE )</f>
        <v>Linear</v>
      </c>
      <c r="I57" s="1154">
        <f>'6.Inland wetlands'!DB17</f>
        <v>1</v>
      </c>
      <c r="J57" s="1155">
        <f>'6.Inland wetlands'!DC17</f>
        <v>0.01</v>
      </c>
      <c r="K57" s="1151">
        <f>'6.Inland wetlands'!T17</f>
        <v>0</v>
      </c>
      <c r="L57" s="1154" t="str">
        <f>VLOOKUP('6.Inland wetlands'!Q17, list!$I$48:$J$50,2,FALSE )</f>
        <v>Linear</v>
      </c>
      <c r="M57" s="1154">
        <f>'6.Inland wetlands'!DE17</f>
        <v>1</v>
      </c>
      <c r="N57" s="1156">
        <f>'6.Inland wetlands'!DF17</f>
        <v>0.01</v>
      </c>
      <c r="P57" s="1111">
        <f>IFERROR(INDEX(IPCC!$A$2037:$D$2048,MATCH(clim_moist,IPCC!$A$2037:$A$2048,0),MATCH('Inl. wetlands'!$P$50,IPCC!$A$2037:$D$2037,0)),0)</f>
        <v>362</v>
      </c>
      <c r="Q57" s="3467">
        <f>IF('6.Inland wetlands'!DI17="",'6.Inland wetlands'!DH17,'6.Inland wetlands'!DI17)</f>
        <v>362</v>
      </c>
      <c r="R57" s="1111">
        <f>IFERROR(INDEX(IPCC!$A$2037:$D$2048,MATCH(clim_moist,IPCC!$A$2037:$A$2048,0),MATCH('Inl. wetlands'!$R$50,IPCC!$A$2037:$D$2037,0)),0)</f>
        <v>207</v>
      </c>
      <c r="S57" s="3467">
        <f>IF('6.Inland wetlands'!DK17="",'6.Inland wetlands'!DJ17,'6.Inland wetlands'!DK17)</f>
        <v>207</v>
      </c>
      <c r="T57" s="1111">
        <f>IFERROR(INDEX(IPCC!$A$2037:$D$2048,MATCH(clim_moist,IPCC!$A$2037:$A$2048,0),MATCH('Inl. wetlands'!$T$50,IPCC!$A$2037:$D$2037,0)),0)</f>
        <v>9</v>
      </c>
      <c r="U57" s="3467">
        <f>IF('6.Inland wetlands'!DM17="",'6.Inland wetlands'!DL17,'6.Inland wetlands'!DM17)</f>
        <v>9</v>
      </c>
      <c r="V57" s="1111">
        <f>IFERROR(INDEX(IPCC!$A$2020:$D$2031,MATCH(clim_moist,IPCC!$A$2021:$A$2031,0),MATCH('6.Inland wetlands'!$CZ17,IPCC!$A$2020:$D$2020,0)),0)</f>
        <v>0</v>
      </c>
      <c r="W57" s="3467">
        <f>IF('6.Inland wetlands'!DO17="",'6.Inland wetlands'!DN17,'6.Inland wetlands'!DO17)</f>
        <v>0</v>
      </c>
      <c r="X57" s="1276"/>
      <c r="Y57" s="1151">
        <v>0</v>
      </c>
      <c r="Z57" s="1151">
        <f>IF('6.Inland wetlands'!$CZ17=list!$F$210,0,W57*G57)</f>
        <v>0</v>
      </c>
      <c r="AA57" s="1151">
        <f>IF('6.Inland wetlands'!$CZ17=list!$F$210,0,W57*K57)</f>
        <v>0</v>
      </c>
      <c r="AE57" s="1151">
        <f>IF(OR('6.Inland wetlands'!$AA29=list!$E$214,'6.Inland wetlands'!$AA29=list!$E$212,'6.Inland wetlands'!$AA29=list!$E$210),0,IF($I57&gt;time_tot,0,MIN($Y57,$Z57)*time_tot+ABS($Z57-$Y57)*IF($Z57&gt;$Y57,time_cap+time*VLOOKUP($H57,list!$J$48:$K$50,2,0),time*(1-VLOOKUP($H57,list!$J$48:$K$50,2,0))))*(1/$I57)*($J57)*($Q57*44/12/1000)+IF($I57&gt;time_tot,0,MIN($Y57,$Z57)*time_tot+ABS($Z57-$Y57)*IF($Z57&gt;$Y57,time_cap+time*VLOOKUP($H57,list!$J$48:$K$50,2,0),time*(1-VLOOKUP($H57,list!$J$48:$K$50,2,0))))*(1/$I57)*($J57)*($S57*2/1000))</f>
        <v>0</v>
      </c>
      <c r="AF57" s="1151">
        <f>IF(OR('6.Inland wetlands'!$AA29=list!$E$214,'6.Inland wetlands'!$AA29=list!$E$211,'6.Inland wetlands'!$AA29=list!$E$210),0,IF($M57&gt;time_tot,0,MIN($Y57,$AA57)*time_tot+ABS($AA57-$Y57)*IF($AA57&gt;$Y57,time_cap+time*VLOOKUP($L57,list!$J$48:$K$50,2,0),time*(1-VLOOKUP($L57,list!$J$48:$K$50,2,0))))*(1/$M57)*($N57)*($Q57*44/12/1000)+IF($M57&gt;time_tot,0,MIN($Y57,$AA57)*time_tot+ABS($AA57-$Y57)*IF($AA57&gt;$Y57,time_cap+time*VLOOKUP($L57,list!$J$48:$K$50,2,0),time*(1-VLOOKUP($L57,list!$J$48:$K$50,2,0))))*(1/$M57)*($N57)*($S57*2/1000))</f>
        <v>0</v>
      </c>
      <c r="AG57" s="1151">
        <f>IF(OR('6.Inland wetlands'!$AA29=list!$E$214,'6.Inland wetlands'!$AA29=list!$E$212,'6.Inland wetlands'!$AA29=list!$E$210),0,IF($I57&gt;time_tot,0,MIN($Y57,$Z57)*time_tot+ABS($Z57-$Y57)*IF($Z57&gt;$Y57,time_cap+time*VLOOKUP($H57,list!$J$48:$K$50,2,0),time*(1-VLOOKUP($H57,list!$J$48:$K$50,2,0))))*(1/$I57)*($J57)*(U57*methane/1000))</f>
        <v>0</v>
      </c>
      <c r="AH57" s="1151">
        <f>IF(OR('6.Inland wetlands'!$AA29=list!$E$214,'6.Inland wetlands'!$AA29=list!$E$211,'6.Inland wetlands'!$AA29=list!$E$210),0,IF($M57&gt;time_tot,0,MIN($Y57,$AA57)*time_tot+ABS($AA57-$Y57)*IF($AA57&gt;$Y57,time_cap+time*VLOOKUP($L57,list!$J$48:$K$50,2,0),time*(1-VLOOKUP($L57,list!$J$48:$K$50,2,0))))*(1/$M57)*($N57)*($U57*methane/1000))</f>
        <v>0</v>
      </c>
      <c r="AI57" s="1165"/>
      <c r="AJ57" s="1152">
        <f t="shared" si="41"/>
        <v>0</v>
      </c>
      <c r="AK57" s="1152">
        <f t="shared" si="42"/>
        <v>0</v>
      </c>
      <c r="AL57" s="3145">
        <f t="shared" si="43"/>
        <v>0</v>
      </c>
      <c r="AM57" s="992"/>
      <c r="AN57" s="992"/>
      <c r="AX57" s="973"/>
      <c r="AY57" s="1449">
        <f>IF('6.Inland wetlands'!$CZ17=list!$F$210,0,IF($I57&gt;time_tot,0,MIN($Y57,$Z57)*time+ABS($Z57-$Y57)*IF($Z57&gt;$Y57,time*VLOOKUP($H57,list!$J$48:$K$50,2,0),time*(1-VLOOKUP($H57,list!$J$48:$K$50,2,0))))*(1/$I57)*($J57)*($Q57/1000)+IF($I57&gt;time_tot,0,MIN($Y57,$Z57)*time+ABS($Z57-$Y57)*IF($Z57&gt;$Y57,time*VLOOKUP($H57,list!$J$48:$K$50,2,0),time*(1-VLOOKUP($H57,list!$J$48:$K$50,2,0))))*(1/$I57)*($J57)*($S57*2/1000))</f>
        <v>0</v>
      </c>
      <c r="AZ57" s="1449">
        <f>IF('6.Inland wetlands'!$CZ17=list!$F$210,0,IF($M57&gt;time_tot,0,MIN($Y57,$AA57)*time+ABS($AA57-$Y57)*IF($AA57&gt;$Y57,time*VLOOKUP($L57,list!$J$48:$K$50,2,0),time*(1-VLOOKUP($L57,list!$J$48:$K$50,2,0))))*(1/$M57)*($N57)*($Q57/1000)+IF($M57&gt;time_tot,0,MIN($Y57,$AA57)*time+ABS($AA57-$Y57)*IF($AA57&gt;$Y57,time*VLOOKUP($L57,list!$J$48:$K$50,2,0),time*(1-VLOOKUP($L57,list!$J$48:$K$50,2,0))))*(1/$M57)*($N57)*($S57*2/1000))</f>
        <v>0</v>
      </c>
      <c r="BA57" s="1449">
        <f>IF('6.Inland wetlands'!$CZ17=list!$F$210,0,IF($I57&gt;time_tot,0,MIN($Y57,$Z57)*time+ABS($Z57-$Y57)*IF($Z57&gt;$Y57,time*VLOOKUP($H57,list!$J$48:$K$50,2,0),time*(1-VLOOKUP($H57,list!$J$48:$K$50,2,0))))*(1/$I57)*($J57)*(U57*methane/1000))</f>
        <v>0</v>
      </c>
      <c r="BB57" s="1449">
        <f>IF('6.Inland wetlands'!$CZ17=list!$F$210,0,IF($M57&gt;time_tot,0,MIN($Y57,$AA57)*time+ABS($AA57-$Y57)*IF($AA57&gt;$Y57,time*VLOOKUP($L57,list!$J$48:$K$50,2,0),time*(1-VLOOKUP($L57,list!$J$48:$K$50,2,0))))*(1/$M57)*($N57)*($U57*methane/1000))</f>
        <v>0</v>
      </c>
      <c r="BH57" s="1264"/>
    </row>
    <row r="58" spans="1:66" x14ac:dyDescent="0.15">
      <c r="A58" s="1276" t="s">
        <v>1165</v>
      </c>
      <c r="B58" s="973" t="str">
        <f>'6.Inland wetlands'!C18</f>
        <v>Please select</v>
      </c>
      <c r="C58" s="1109" t="str">
        <f t="shared" si="40"/>
        <v/>
      </c>
      <c r="D58" s="973" t="str">
        <f>'6.Inland wetlands'!I18</f>
        <v>Please select</v>
      </c>
      <c r="E58" s="1109" t="str">
        <f>IF(D58="Please select","",IF(ISNUMBER(SEARCH("Annual",$D58)),"Annual",IF(ISNUMBER(SEARCH(list!$C$218,'Inl. wetlands'!$D58)),"Other land",IF($D58="Agroforestry","Perennial",'Inl. wetlands'!$D58))))</f>
        <v/>
      </c>
      <c r="F58" s="3468">
        <f>N41</f>
        <v>0</v>
      </c>
      <c r="G58" s="3468">
        <f>'6.Inland wetlands'!S18</f>
        <v>0</v>
      </c>
      <c r="H58" s="1154" t="str">
        <f>VLOOKUP('6.Inland wetlands'!O18, list!$I$48:$J$50,2,FALSE )</f>
        <v>Linear</v>
      </c>
      <c r="I58" s="1154">
        <f>'6.Inland wetlands'!DB18</f>
        <v>1</v>
      </c>
      <c r="J58" s="1155">
        <f>'6.Inland wetlands'!DC18</f>
        <v>0.01</v>
      </c>
      <c r="K58" s="1151">
        <f>'6.Inland wetlands'!T18</f>
        <v>0</v>
      </c>
      <c r="L58" s="1154" t="str">
        <f>VLOOKUP('6.Inland wetlands'!Q18, list!$I$48:$J$50,2,FALSE )</f>
        <v>Linear</v>
      </c>
      <c r="M58" s="1154">
        <f>'6.Inland wetlands'!DE18</f>
        <v>1</v>
      </c>
      <c r="N58" s="1156">
        <f>'6.Inland wetlands'!DF18</f>
        <v>0.01</v>
      </c>
      <c r="P58" s="1111">
        <f>IFERROR(INDEX(IPCC!$A$2037:$D$2048,MATCH(clim_moist,IPCC!$A$2037:$A$2048,0),MATCH('Inl. wetlands'!$P$50,IPCC!$A$2037:$D$2037,0)),0)</f>
        <v>362</v>
      </c>
      <c r="Q58" s="3467">
        <f>IF('6.Inland wetlands'!DI18="",'6.Inland wetlands'!DH18,'6.Inland wetlands'!DI18)</f>
        <v>362</v>
      </c>
      <c r="R58" s="1111">
        <f>IFERROR(INDEX(IPCC!$A$2037:$D$2048,MATCH(clim_moist,IPCC!$A$2037:$A$2048,0),MATCH('Inl. wetlands'!$R$50,IPCC!$A$2037:$D$2037,0)),0)</f>
        <v>207</v>
      </c>
      <c r="S58" s="3467">
        <f>IF('6.Inland wetlands'!DK18="",'6.Inland wetlands'!DJ18,'6.Inland wetlands'!DK18)</f>
        <v>207</v>
      </c>
      <c r="T58" s="1111">
        <f>IFERROR(INDEX(IPCC!$A$2037:$D$2048,MATCH(clim_moist,IPCC!$A$2037:$A$2048,0),MATCH('Inl. wetlands'!$T$50,IPCC!$A$2037:$D$2037,0)),0)</f>
        <v>9</v>
      </c>
      <c r="U58" s="3467">
        <f>IF('6.Inland wetlands'!DM18="",'6.Inland wetlands'!DL18,'6.Inland wetlands'!DM18)</f>
        <v>9</v>
      </c>
      <c r="V58" s="1111">
        <f>IFERROR(INDEX(IPCC!$A$2020:$D$2031,MATCH(clim_moist,IPCC!$A$2021:$A$2031,0),MATCH('6.Inland wetlands'!$CZ18,IPCC!$A$2020:$D$2020,0)),0)</f>
        <v>0</v>
      </c>
      <c r="W58" s="3467">
        <f>IF('6.Inland wetlands'!DO18="",'6.Inland wetlands'!DN18,'6.Inland wetlands'!DO18)</f>
        <v>0</v>
      </c>
      <c r="X58" s="1276"/>
      <c r="Y58" s="1151">
        <v>0</v>
      </c>
      <c r="Z58" s="1151">
        <f>IF('6.Inland wetlands'!$CZ18=list!$F$210,0,W58*G58)</f>
        <v>0</v>
      </c>
      <c r="AA58" s="1151">
        <f>IF('6.Inland wetlands'!$CZ18=list!$F$210,0,W58*K58)</f>
        <v>0</v>
      </c>
      <c r="AE58" s="1151">
        <f>IF(OR('6.Inland wetlands'!$AA30=list!$E$214,'6.Inland wetlands'!$AA30=list!$E$212,'6.Inland wetlands'!$AA30=list!$E$210),0,IF($I58&gt;time_tot,0,MIN($Y58,$Z58)*time_tot+ABS($Z58-$Y58)*IF($Z58&gt;$Y58,time_cap+time*VLOOKUP($H58,list!$J$48:$K$50,2,0),time*(1-VLOOKUP($H58,list!$J$48:$K$50,2,0))))*(1/$I58)*($J58)*($Q58*44/12/1000)+IF($I58&gt;time_tot,0,MIN($Y58,$Z58)*time_tot+ABS($Z58-$Y58)*IF($Z58&gt;$Y58,time_cap+time*VLOOKUP($H58,list!$J$48:$K$50,2,0),time*(1-VLOOKUP($H58,list!$J$48:$K$50,2,0))))*(1/$I58)*($J58)*($S58*2/1000))</f>
        <v>0</v>
      </c>
      <c r="AF58" s="1151">
        <f>IF(OR('6.Inland wetlands'!$AA30=list!$E$214,'6.Inland wetlands'!$AA30=list!$E$211,'6.Inland wetlands'!$AA30=list!$E$210),0,IF($M58&gt;time_tot,0,MIN($Y58,$AA58)*time_tot+ABS($AA58-$Y58)*IF($AA58&gt;$Y58,time_cap+time*VLOOKUP($L58,list!$J$48:$K$50,2,0),time*(1-VLOOKUP($L58,list!$J$48:$K$50,2,0))))*(1/$M58)*($N58)*($Q58*44/12/1000)+IF($M58&gt;time_tot,0,MIN($Y58,$AA58)*time_tot+ABS($AA58-$Y58)*IF($AA58&gt;$Y58,time_cap+time*VLOOKUP($L58,list!$J$48:$K$50,2,0),time*(1-VLOOKUP($L58,list!$J$48:$K$50,2,0))))*(1/$M58)*($N58)*($S58*2/1000))</f>
        <v>0</v>
      </c>
      <c r="AG58" s="1151">
        <f>IF(OR('6.Inland wetlands'!$AA30=list!$E$214,'6.Inland wetlands'!$AA30=list!$E$212,'6.Inland wetlands'!$AA30=list!$E$210),0,IF($I58&gt;time_tot,0,MIN($Y58,$Z58)*time_tot+ABS($Z58-$Y58)*IF($Z58&gt;$Y58,time_cap+time*VLOOKUP($H58,list!$J$48:$K$50,2,0),time*(1-VLOOKUP($H58,list!$J$48:$K$50,2,0))))*(1/$I58)*($J58)*(U58*methane/1000))</f>
        <v>0</v>
      </c>
      <c r="AH58" s="1151">
        <f>IF(OR('6.Inland wetlands'!$AA30=list!$E$214,'6.Inland wetlands'!$AA30=list!$E$211,'6.Inland wetlands'!$AA30=list!$E$210),0,IF($M58&gt;time_tot,0,MIN($Y58,$AA58)*time_tot+ABS($AA58-$Y58)*IF($AA58&gt;$Y58,time_cap+time*VLOOKUP($L58,list!$J$48:$K$50,2,0),time*(1-VLOOKUP($L58,list!$J$48:$K$50,2,0))))*(1/$M58)*($N58)*($U58*methane/1000))</f>
        <v>0</v>
      </c>
      <c r="AI58" s="1165"/>
      <c r="AJ58" s="1152">
        <f t="shared" si="41"/>
        <v>0</v>
      </c>
      <c r="AK58" s="1152">
        <f t="shared" si="42"/>
        <v>0</v>
      </c>
      <c r="AL58" s="3145">
        <f t="shared" si="43"/>
        <v>0</v>
      </c>
      <c r="AM58" s="992"/>
      <c r="AN58" s="992"/>
      <c r="AX58" s="973"/>
      <c r="AY58" s="1449">
        <f>IF('6.Inland wetlands'!$CZ18=list!$F$210,0,IF($I58&gt;time_tot,0,MIN($Y58,$Z58)*time+ABS($Z58-$Y58)*IF($Z58&gt;$Y58,time*VLOOKUP($H58,list!$J$48:$K$50,2,0),time*(1-VLOOKUP($H58,list!$J$48:$K$50,2,0))))*(1/$I58)*($J58)*($Q58/1000)+IF($I58&gt;time_tot,0,MIN($Y58,$Z58)*time+ABS($Z58-$Y58)*IF($Z58&gt;$Y58,time*VLOOKUP($H58,list!$J$48:$K$50,2,0),time*(1-VLOOKUP($H58,list!$J$48:$K$50,2,0))))*(1/$I58)*($J58)*($S58*2/1000))</f>
        <v>0</v>
      </c>
      <c r="AZ58" s="1449">
        <f>IF('6.Inland wetlands'!$CZ18=list!$F$210,0,IF($M58&gt;time_tot,0,MIN($Y58,$AA58)*time+ABS($AA58-$Y58)*IF($AA58&gt;$Y58,time*VLOOKUP($L58,list!$J$48:$K$50,2,0),time*(1-VLOOKUP($L58,list!$J$48:$K$50,2,0))))*(1/$M58)*($N58)*($Q58/1000)+IF($M58&gt;time_tot,0,MIN($Y58,$AA58)*time+ABS($AA58-$Y58)*IF($AA58&gt;$Y58,time*VLOOKUP($L58,list!$J$48:$K$50,2,0),time*(1-VLOOKUP($L58,list!$J$48:$K$50,2,0))))*(1/$M58)*($N58)*($S58*2/1000))</f>
        <v>0</v>
      </c>
      <c r="BA58" s="1449">
        <f>IF('6.Inland wetlands'!$CZ18=list!$F$210,0,IF($I58&gt;time_tot,0,MIN($Y58,$Z58)*time+ABS($Z58-$Y58)*IF($Z58&gt;$Y58,time*VLOOKUP($H58,list!$J$48:$K$50,2,0),time*(1-VLOOKUP($H58,list!$J$48:$K$50,2,0))))*(1/$I58)*($J58)*(U58*methane/1000))</f>
        <v>0</v>
      </c>
      <c r="BB58" s="1449">
        <f>IF('6.Inland wetlands'!$CZ18=list!$F$210,0,IF($M58&gt;time_tot,0,MIN($Y58,$AA58)*time+ABS($AA58-$Y58)*IF($AA58&gt;$Y58,time*VLOOKUP($L58,list!$J$48:$K$50,2,0),time*(1-VLOOKUP($L58,list!$J$48:$K$50,2,0))))*(1/$M58)*($N58)*($U58*methane/1000))</f>
        <v>0</v>
      </c>
      <c r="BH58" s="1264"/>
    </row>
    <row r="59" spans="1:66" ht="15.75" customHeight="1" x14ac:dyDescent="0.15">
      <c r="B59" s="973" t="s">
        <v>1166</v>
      </c>
      <c r="F59" s="1041"/>
      <c r="G59" s="1688"/>
      <c r="AX59" s="1449"/>
      <c r="AY59" s="1449"/>
      <c r="AZ59" s="1449"/>
      <c r="BA59" s="1449"/>
    </row>
    <row r="60" spans="1:66" ht="15.75" customHeight="1" x14ac:dyDescent="0.15">
      <c r="B60" s="973" t="s">
        <v>1167</v>
      </c>
      <c r="F60" s="1041"/>
      <c r="G60" s="1688"/>
      <c r="AX60" s="1451">
        <f>SUM(AY53:AY58)</f>
        <v>0</v>
      </c>
      <c r="AY60" s="1451">
        <f>SUM(AZ53:AZ58)</f>
        <v>0</v>
      </c>
      <c r="AZ60" s="1451">
        <f>SUM(BA53:BA58)</f>
        <v>0</v>
      </c>
      <c r="BA60" s="1451">
        <f>SUM(BB53:BB58)</f>
        <v>0</v>
      </c>
      <c r="BB60" s="1451"/>
      <c r="BC60" s="1451"/>
      <c r="BD60" s="1461"/>
      <c r="BE60" s="1461"/>
      <c r="BF60" s="1461"/>
      <c r="BG60" s="1461"/>
    </row>
    <row r="61" spans="1:66" ht="15.75" customHeight="1" x14ac:dyDescent="0.15">
      <c r="F61" s="1041"/>
      <c r="G61" s="1688"/>
      <c r="AY61" s="1451">
        <f>AY60-AX60</f>
        <v>0</v>
      </c>
      <c r="AZ61" s="1451"/>
      <c r="BA61" s="1451">
        <f>BA60-AZ60</f>
        <v>0</v>
      </c>
      <c r="BB61" s="1451"/>
      <c r="BC61" s="1451"/>
      <c r="BD61" s="1451"/>
      <c r="BE61" s="1451"/>
      <c r="BF61" s="1451"/>
      <c r="BG61" s="1451"/>
    </row>
    <row r="62" spans="1:66" s="1097" customFormat="1" ht="33" customHeight="1" x14ac:dyDescent="0.2">
      <c r="A62" s="1308" t="s">
        <v>1168</v>
      </c>
      <c r="B62" s="1271" t="s">
        <v>1169</v>
      </c>
      <c r="C62" s="1271"/>
      <c r="D62" s="1271"/>
      <c r="E62" s="1271"/>
      <c r="F62" s="1271"/>
      <c r="G62" s="1271"/>
      <c r="H62" s="1273" t="s">
        <v>1170</v>
      </c>
      <c r="I62" s="1273"/>
      <c r="J62" s="1273"/>
      <c r="K62" s="1273"/>
      <c r="L62" s="1307" t="s">
        <v>1171</v>
      </c>
      <c r="M62" s="1308"/>
      <c r="N62" s="1307"/>
      <c r="O62" s="1307"/>
      <c r="P62" s="1307"/>
      <c r="Q62" s="1307"/>
      <c r="R62" s="1307"/>
      <c r="S62" s="1307"/>
      <c r="T62" s="1307"/>
      <c r="U62" s="1279"/>
      <c r="V62" s="1279"/>
      <c r="W62" s="1279"/>
      <c r="X62" s="1279"/>
      <c r="Y62" s="1279"/>
      <c r="Z62" s="1279"/>
      <c r="AB62" s="1287" t="s">
        <v>1172</v>
      </c>
      <c r="AC62" s="1264"/>
      <c r="AD62" s="1264"/>
      <c r="AE62" s="1264"/>
      <c r="AF62" s="1264"/>
      <c r="AG62" s="1264"/>
      <c r="AO62" s="1220"/>
      <c r="AP62" s="1220"/>
      <c r="AQ62" s="1220"/>
      <c r="AR62" s="1220"/>
      <c r="AS62" s="1220"/>
      <c r="AT62" s="1220"/>
      <c r="AU62" s="1220"/>
      <c r="AV62" s="1220"/>
      <c r="AW62" s="1220"/>
      <c r="AX62" s="1287" t="s">
        <v>1173</v>
      </c>
      <c r="AY62" s="1501"/>
      <c r="AZ62" s="1501"/>
      <c r="BA62" s="1501"/>
      <c r="BB62" s="1501"/>
      <c r="BC62" s="1501"/>
      <c r="BD62" s="1287" t="s">
        <v>1174</v>
      </c>
      <c r="BE62" s="1501"/>
      <c r="BF62" s="1501"/>
      <c r="BG62" s="1264"/>
    </row>
    <row r="63" spans="1:66" ht="17" x14ac:dyDescent="0.2">
      <c r="A63" s="1308"/>
      <c r="B63" s="1271" t="s">
        <v>1036</v>
      </c>
      <c r="C63" s="1264"/>
      <c r="D63" s="1271" t="s">
        <v>176</v>
      </c>
      <c r="E63" s="1264"/>
      <c r="F63" s="1271" t="s">
        <v>177</v>
      </c>
      <c r="G63" s="1264"/>
      <c r="H63" s="1273" t="s">
        <v>1037</v>
      </c>
      <c r="I63" s="1261"/>
      <c r="J63" s="1273" t="s">
        <v>176</v>
      </c>
      <c r="K63" s="1261"/>
      <c r="L63" s="1264"/>
      <c r="M63" s="1264"/>
      <c r="N63" s="1264"/>
      <c r="O63" s="1264"/>
      <c r="P63" s="1264"/>
      <c r="Q63" s="1264"/>
      <c r="R63" s="1264"/>
      <c r="S63" s="1264"/>
      <c r="T63" s="1264"/>
      <c r="U63" s="1261"/>
      <c r="V63" s="1261"/>
      <c r="W63" s="1261"/>
      <c r="X63" s="1261"/>
      <c r="Y63" s="1261"/>
      <c r="Z63" s="1261"/>
      <c r="AB63" s="1287" t="s">
        <v>1175</v>
      </c>
      <c r="AC63" s="1264"/>
      <c r="AD63" s="1264"/>
      <c r="AE63" s="1264"/>
      <c r="AF63" s="1264"/>
      <c r="AG63" s="1264"/>
      <c r="AX63" s="1502" t="s">
        <v>1036</v>
      </c>
      <c r="AY63" s="1502"/>
      <c r="AZ63" s="1502" t="s">
        <v>176</v>
      </c>
      <c r="BA63" s="1502"/>
      <c r="BB63" s="1502" t="s">
        <v>177</v>
      </c>
      <c r="BC63" s="1502"/>
      <c r="BD63" s="1502" t="s">
        <v>1037</v>
      </c>
      <c r="BE63" s="1502"/>
      <c r="BF63" s="1502" t="s">
        <v>176</v>
      </c>
      <c r="BG63" s="1450"/>
    </row>
    <row r="64" spans="1:66" x14ac:dyDescent="0.15">
      <c r="A64" s="1264"/>
      <c r="B64" s="1264" t="s">
        <v>92</v>
      </c>
      <c r="C64" s="1264"/>
      <c r="D64" s="1264" t="s">
        <v>1044</v>
      </c>
      <c r="E64" s="1264"/>
      <c r="F64" s="1264" t="s">
        <v>1045</v>
      </c>
      <c r="G64" s="1264"/>
      <c r="H64" s="1261" t="s">
        <v>92</v>
      </c>
      <c r="I64" s="1261"/>
      <c r="J64" s="1261" t="s">
        <v>1044</v>
      </c>
      <c r="K64" s="1261"/>
      <c r="L64" s="1271" t="s">
        <v>1036</v>
      </c>
      <c r="M64" s="1264"/>
      <c r="N64" s="1271"/>
      <c r="O64" s="1271" t="s">
        <v>176</v>
      </c>
      <c r="P64" s="1264"/>
      <c r="Q64" s="1271"/>
      <c r="R64" s="1271" t="s">
        <v>177</v>
      </c>
      <c r="S64" s="1264"/>
      <c r="T64" s="1271"/>
      <c r="U64" s="1273" t="s">
        <v>1037</v>
      </c>
      <c r="V64" s="1261"/>
      <c r="W64" s="1273"/>
      <c r="X64" s="1273" t="s">
        <v>176</v>
      </c>
      <c r="Y64" s="1261"/>
      <c r="Z64" s="1273"/>
      <c r="AB64" s="1264" t="s">
        <v>1176</v>
      </c>
      <c r="AC64" s="1264"/>
      <c r="AD64" s="1264" t="s">
        <v>176</v>
      </c>
      <c r="AE64" s="1264"/>
      <c r="AF64" s="1264" t="s">
        <v>177</v>
      </c>
      <c r="AG64" s="1264"/>
      <c r="AO64" s="1114"/>
      <c r="AP64" s="1114"/>
      <c r="AQ64" s="1114"/>
      <c r="AR64" s="1114"/>
      <c r="AS64" s="1114"/>
      <c r="AT64" s="1114"/>
      <c r="AU64" s="1114"/>
      <c r="AV64" s="1114"/>
      <c r="AW64" s="1114"/>
      <c r="AX64" s="1264" t="s">
        <v>859</v>
      </c>
      <c r="AZ64" s="1264" t="s">
        <v>859</v>
      </c>
      <c r="BB64" s="1264" t="s">
        <v>859</v>
      </c>
      <c r="BD64" s="1264" t="s">
        <v>859</v>
      </c>
      <c r="BF64" s="1264" t="s">
        <v>859</v>
      </c>
    </row>
    <row r="65" spans="1:59" x14ac:dyDescent="0.15">
      <c r="A65" s="1264"/>
      <c r="B65" s="1272" t="s">
        <v>864</v>
      </c>
      <c r="C65" s="1272" t="s">
        <v>66</v>
      </c>
      <c r="D65" s="1272" t="s">
        <v>864</v>
      </c>
      <c r="E65" s="1272" t="s">
        <v>66</v>
      </c>
      <c r="F65" s="1272" t="s">
        <v>864</v>
      </c>
      <c r="G65" s="1272" t="s">
        <v>66</v>
      </c>
      <c r="H65" s="1274" t="s">
        <v>864</v>
      </c>
      <c r="I65" s="1274" t="s">
        <v>66</v>
      </c>
      <c r="J65" s="1274" t="s">
        <v>864</v>
      </c>
      <c r="K65" s="1274" t="s">
        <v>66</v>
      </c>
      <c r="L65" s="973" t="s">
        <v>219</v>
      </c>
      <c r="M65" s="1102" t="s">
        <v>179</v>
      </c>
      <c r="N65" s="1103" t="s">
        <v>180</v>
      </c>
      <c r="O65" s="973" t="s">
        <v>219</v>
      </c>
      <c r="P65" s="1102" t="s">
        <v>179</v>
      </c>
      <c r="Q65" s="1103" t="s">
        <v>180</v>
      </c>
      <c r="R65" s="973" t="s">
        <v>219</v>
      </c>
      <c r="S65" s="1102" t="s">
        <v>179</v>
      </c>
      <c r="T65" s="1103" t="s">
        <v>180</v>
      </c>
      <c r="U65" s="973" t="s">
        <v>219</v>
      </c>
      <c r="V65" s="1102" t="s">
        <v>179</v>
      </c>
      <c r="W65" s="1103" t="s">
        <v>180</v>
      </c>
      <c r="X65" s="973" t="s">
        <v>219</v>
      </c>
      <c r="Y65" s="1102" t="s">
        <v>179</v>
      </c>
      <c r="Z65" s="1103" t="s">
        <v>180</v>
      </c>
      <c r="AB65" s="1102" t="s">
        <v>179</v>
      </c>
      <c r="AC65" s="1103" t="s">
        <v>180</v>
      </c>
      <c r="AD65" s="1102" t="s">
        <v>179</v>
      </c>
      <c r="AE65" s="1103" t="s">
        <v>180</v>
      </c>
      <c r="AF65" s="1102" t="s">
        <v>179</v>
      </c>
      <c r="AG65" s="1103" t="s">
        <v>180</v>
      </c>
      <c r="AO65" s="992"/>
      <c r="AP65" s="992"/>
      <c r="AQ65" s="992"/>
      <c r="AR65" s="992"/>
      <c r="AS65" s="992"/>
      <c r="AT65" s="992"/>
      <c r="AU65" s="992"/>
      <c r="AV65" s="992"/>
      <c r="AW65" s="992"/>
      <c r="AX65" s="1272" t="s">
        <v>200</v>
      </c>
      <c r="AY65" s="1272" t="s">
        <v>201</v>
      </c>
      <c r="AZ65" s="1272" t="s">
        <v>200</v>
      </c>
      <c r="BA65" s="1272" t="s">
        <v>201</v>
      </c>
      <c r="BB65" s="1272" t="s">
        <v>200</v>
      </c>
      <c r="BC65" s="1272" t="s">
        <v>201</v>
      </c>
      <c r="BD65" s="1272" t="s">
        <v>200</v>
      </c>
      <c r="BE65" s="1272" t="s">
        <v>201</v>
      </c>
      <c r="BF65" s="1272" t="s">
        <v>200</v>
      </c>
      <c r="BG65" s="1272" t="s">
        <v>201</v>
      </c>
    </row>
    <row r="66" spans="1:59" x14ac:dyDescent="0.15">
      <c r="A66" s="1467" t="s">
        <v>1160</v>
      </c>
      <c r="B66" s="1110">
        <f>IFERROR(IF(AND(OR($C53="Other land",$C53="Degraded land"),$D$47=list!$J$210),INDEX(IPCC!$A$1762:$J$1773,MATCH(clim_moist,IPCC!$A$1762:$A$1773,0),MATCH('Inl. wetlands'!$C53,IPCC!$A$1762:$J$1762,0)),IF(AND(OR($C53="Other land",$C53="Degraded land"),$D$47=list!$J$211),INDEX(IPCC!$A$1781:$J$1792,MATCH(clim_moist,IPCC!$A$1781:$A$1792,0),MATCH('Inl. wetlands'!$C53,IPCC!$A$1781:$J$1781,0)),IF($D$47=list!$J$210,INDEX(IPCC!$A$1762:$J$1773,MATCH(clim_moist,IPCC!$A$1781:$A$1792,0),MATCH('Inl. wetlands'!$C53,IPCC!$A$1781:$J$1781,0)),IF($D$47=list!$J$211,INDEX(IPCC!$A$1781:$J$1792,MATCH(clim_moist,IPCC!$A$1781:$A$1792,0),MATCH('Inl. wetlands'!$C53,IPCC!$A$1781:$J$1781,0)))))),0)</f>
        <v>2.6</v>
      </c>
      <c r="C66" s="1104">
        <f>IF('6.Inland wetlands'!CG13="",'6.Inland wetlands'!CF13,'6.Inland wetlands'!CG13)</f>
        <v>2.6</v>
      </c>
      <c r="D66" s="1044">
        <f>IFERROR(IF(AND(OR($C53="Other land",$C53="Degraded land"),$D$47=list!$J$210),INDEX(IPCC!$A$1818:$J$1829,MATCH(clim_moist,IPCC!$A$1818:$A$1829,0),MATCH('Inl. wetlands'!C53,IPCC!$A$1818:$J$1818,0)),IF(AND(OR($C53="Other land",$C53="Degraded land"),$D$47=list!$J$211),INDEX(IPCC!$A$1836:$J$1847,MATCH(clim_moist,IPCC!$A$1836:$A$1847,0),MATCH('Inl. wetlands'!$C53,IPCC!$A$1836:$J$1836,0)),IF($D$47=list!$J$210,INDEX(IPCC!$A$1818:$G$1829,MATCH(clim_moist,IPCC!$A$1818:$A$1829,0),MATCH('Inl. wetlands'!$C53,IPCC!$A$1818:$J$1818,0)),IF($D$47=list!$J$211,INDEX(IPCC!$A$1836:$J$1847,MATCH(clim_moist,IPCC!$A$1836:$A$1847,0),MATCH('Inl. wetlands'!$C53,IPCC!$A$1836:$J$1836,0)))))),0)</f>
        <v>2.5</v>
      </c>
      <c r="E66" s="1104">
        <f>IF('6.Inland wetlands'!CI13="",'6.Inland wetlands'!CH13,'6.Inland wetlands'!CI13)</f>
        <v>2.5</v>
      </c>
      <c r="F66" s="1044">
        <f>IFERROR(IF(AND(OR($C53="Other land",$C53="Degraded land"),$D$47=list!$J$210),INDEX(IPCC!$A$1872:$J$1883,MATCH(clim_moist,IPCC!$A$1872:$A$1883,0),MATCH('Inl. wetlands'!C53,IPCC!$A$1872:$J$1872,0)),IF(AND(OR($C53="Other land",$C53="Degraded land"),$D$47=list!$J$211),INDEX(IPCC!$A$1890:$J$1901,MATCH(clim_moist,IPCC!$A$1890:$A$1901,0),MATCH('Inl. wetlands'!$C53,IPCC!$A$1890:$J$1890,0)),IF($D$47=list!$J$210,INDEX(IPCC!$A$1872:$J$1883,MATCH(clim_moist,IPCC!$A$1872:$A$1883,0),MATCH('Inl. wetlands'!$C53,IPCC!$A$1872:$J$1872,0)),IF($D$47=list!$J$211,INDEX(IPCC!$A$1890:$J$1901,MATCH(clim_moist,IPCC!$A$1890:$A$1901,0),MATCH('Inl. wetlands'!$C53,IPCC!$A$1890:$J$1890,0)))))),0)</f>
        <v>2.8</v>
      </c>
      <c r="G66" s="1104">
        <f>IF('6.Inland wetlands'!CK13="",'6.Inland wetlands'!CJ13,'6.Inland wetlands'!CK13)</f>
        <v>2.8</v>
      </c>
      <c r="H66" s="1110">
        <f>IFERROR(IF(AND(OR($C53="Other land",$C53="Degraded land"),$D$47=list!$J$210),INDEX(IPCC!$A$1800:$J$1811,MATCH(clim_moist,IPCC!$A$1800:$A$1811,0),MATCH('Inl. wetlands'!C53,IPCC!$A$1800:$J$1800,0)),IF(AND(OR($C53="Other land",$C53="Degraded land"),$D$47=list!$J$211),INDEX(IPCC!$A$1800:$J$1811,MATCH(clim_moist,IPCC!$A$1800:$A$1811,0),MATCH('Inl. wetlands'!$C53,IPCC!$A$1800:$J$1800,0)),IF($D$47=list!$J$210,INDEX(IPCC!$A$1800:$J$1811,MATCH(clim_moist,IPCC!$A$1800:$A$1811,0),MATCH('Inl. wetlands'!$C53,IPCC!$A$1800:$J$1800,0)),IF($D$47=list!$J$211,INDEX(IPCC!$A$1800:$J$1811,MATCH(clim_moist,IPCC!$A$1800:$A$1811,0),MATCH('Inl. wetlands'!$C53,IPCC!$A$1800:$J$1800,0)))))),0)</f>
        <v>0.31</v>
      </c>
      <c r="I66" s="1104">
        <f>IF('6.Inland wetlands'!CN13="",'6.Inland wetlands'!CM13,'6.Inland wetlands'!CN13)</f>
        <v>0.31</v>
      </c>
      <c r="J66" s="1111">
        <f>IFERROR(IF(AND(OR($E53="Other land",$E53="Degraded land"),$D$47=list!$J$210),INDEX(IPCC!$A$1854:$J$1865,MATCH(clim_moist,IPCC!$A$1854:$A$1865,0),MATCH('Inl. wetlands'!$C53,IPCC!$A$1854:$J$1854,0)),IF(AND(OR($E53="Other land",$E53="Degraded land"),$D$47=list!$J$211),INDEX(IPCC!$A$1854:$J$1865,MATCH(clim_moist,IPCC!$A$1854:A$1865,0),MATCH('Inl. wetlands'!$C53,IPCC!$A$1854:$J$1854,0)),IF($D$47=list!$J$210,INDEX(IPCC!$A$1854:$J$1865,MATCH(clim_moist,IPCC!$A$1854:$A$1865,0),MATCH('Inl. wetlands'!$E53,IPCC!$A$1854:$J$1854,0)),IF($D$47=list!$J$211,INDEX(IPCC!$A$1854:$J$1865,MATCH(clim_moist,IPCC!$A$1854:$A$1865,0),MATCH('Inl. wetlands'!$E53,IPCC!$A$1854:$J$1854,0)))))),0)</f>
        <v>1165</v>
      </c>
      <c r="K66" s="3467">
        <f>IF('6.Inland wetlands'!CP13="",'6.Inland wetlands'!CO13,'6.Inland wetlands'!CP13)</f>
        <v>1165</v>
      </c>
      <c r="L66" s="4517">
        <f>IF('6.Inland wetlands'!M25=0, 0,'Inl. wetlands'!C66*44/12*'6.Inland wetlands'!M25)</f>
        <v>762.66666666666663</v>
      </c>
      <c r="M66" s="3468">
        <f>IF('6.Inland wetlands'!S13=0, C66*44/12*'6.Inland wetlands'!N25, IF('6.Inland wetlands'!N25&lt;'6.Inland wetlands'!S13,0, 'Inl. wetlands'!C66*44/12*('6.Inland wetlands'!N25-'6.Inland wetlands'!S13)))</f>
        <v>286</v>
      </c>
      <c r="N66" s="1151">
        <f>IF('6.Inland wetlands'!T13=0, C66*44/12*'6.Inland wetlands'!P25, IF('6.Inland wetlands'!P25&lt;'6.Inland wetlands'!T13,0, 'Inl. wetlands'!C66*44/12*('6.Inland wetlands'!P25-'6.Inland wetlands'!T13)))</f>
        <v>476.66666666666669</v>
      </c>
      <c r="O66" s="4323">
        <f>IF('6.Inland wetlands'!M25=0, 0,$E66*methane/1000*'6.Inland wetlands'!M25*(1-'6.Inland wetlands'!W25))</f>
        <v>2.8000000000000003</v>
      </c>
      <c r="P66" s="4323">
        <f>IF('6.Inland wetlands'!S13=0,$E66*methane/1000*'6.Inland wetlands'!N25*(1-'6.Inland wetlands'!X25),IF('6.Inland wetlands'!N25&lt;'6.Inland wetlands'!S13,0, $E66*methane/1000*('6.Inland wetlands'!N25-'6.Inland wetlands'!S13)*(1-'6.Inland wetlands'!X25)))</f>
        <v>1.05</v>
      </c>
      <c r="Q66" s="4323">
        <f>IF('6.Inland wetlands'!T13=0,$E66*methane/1000*'6.Inland wetlands'!P25*(1-'6.Inland wetlands'!Y25),IF('6.Inland wetlands'!P25&lt;'6.Inland wetlands'!T13,0, $E66*methane/1000*('6.Inland wetlands'!P25-'6.Inland wetlands'!T13)*(1-'6.Inland wetlands'!Y25)))</f>
        <v>1.7500000000000002</v>
      </c>
      <c r="R66" s="4323">
        <f>IF('6.Inland wetlands'!M25=0, 0, $G66*'6.Inland wetlands'!M25*44/28*Nitrous/1000)</f>
        <v>93.28</v>
      </c>
      <c r="S66" s="4323">
        <f>IF('6.Inland wetlands'!S13=0, $G66*'6.Inland wetlands'!N25*44/28*Nitrous/1000, IF('6.Inland wetlands'!N25&lt;'6.Inland wetlands'!S13,0, $G66*('6.Inland wetlands'!N25-'6.Inland wetlands'!S13)*44/28*Nitrous/1000))</f>
        <v>34.979999999999997</v>
      </c>
      <c r="T66" s="4323">
        <f>IF('6.Inland wetlands'!T13=0, $G66*'6.Inland wetlands'!P25*44/28*Nitrous/1000, IF('6.Inland wetlands'!P25&lt;'6.Inland wetlands'!T13,0,$G66*44/28*Nitrous/1000*('6.Inland wetlands'!P25-'6.Inland wetlands'!T13)))</f>
        <v>58.3</v>
      </c>
      <c r="U66" s="4516">
        <f>IF('6.Inland wetlands'!M25=0, 0, $I66*'6.Inland wetlands'!M25*44/12)</f>
        <v>90.933333333333337</v>
      </c>
      <c r="V66" s="4323">
        <f>IF('6.Inland wetlands'!S13=0, I66*44/12*'6.Inland wetlands'!N25, IF('6.Inland wetlands'!N25&lt;'6.Inland wetlands'!S13,0, 'Inl. wetlands'!I66*44/12*('6.Inland wetlands'!N25-'6.Inland wetlands'!S13)))</f>
        <v>34.1</v>
      </c>
      <c r="W66" s="4323">
        <f>IF('6.Inland wetlands'!T13=0, I66*44/12*'6.Inland wetlands'!P25, IF('6.Inland wetlands'!P25&lt;'6.Inland wetlands'!T13,0, 'Inl. wetlands'!I66*44/12*('6.Inland wetlands'!P25-'6.Inland wetlands'!T13)))</f>
        <v>56.833333333333336</v>
      </c>
      <c r="X66" s="4323">
        <f>IF('6.Inland wetlands'!M25=0,0, $K66/1000*methane*'6.Inland wetlands'!M25*'6.Inland wetlands'!$W25)</f>
        <v>1304.8000000000002</v>
      </c>
      <c r="Y66" s="4323">
        <f>IF('6.Inland wetlands'!S13=0,$K66*methane/1000*'6.Inland wetlands'!N25*('6.Inland wetlands'!X25),IF('6.Inland wetlands'!N25&lt;'6.Inland wetlands'!S13,0, $K66*methane/1000*('6.Inland wetlands'!N25-'6.Inland wetlands'!S13)*('6.Inland wetlands'!X25)))</f>
        <v>489.29999999999995</v>
      </c>
      <c r="Z66" s="4323">
        <f>IF('6.Inland wetlands'!T13=0,$K66*methane/1000*'6.Inland wetlands'!P25*('6.Inland wetlands'!Y25),IF('6.Inland wetlands'!P25&lt;'6.Inland wetlands'!T13,0, $K66*methane/1000*('6.Inland wetlands'!P25-'6.Inland wetlands'!T13)*('6.Inland wetlands'!Y25)))</f>
        <v>815.49999999999989</v>
      </c>
      <c r="AB66" s="3468">
        <f>MIN('Inl. wetlands'!$L66,'Inl. wetlands'!$M66)*time_tot+ABS('Inl. wetlands'!$M66-'Inl. wetlands'!$L66)*IF('Inl. wetlands'!$M66&gt;'Inl. wetlands'!$L66,time_cap+time*(VLOOKUP('6.Inland wetlands'!O25,list!$I$48:$K$50,3,0)),time*(1-(VLOOKUP('6.Inland wetlands'!O25,list!$I$48:$K$50,3,0))))+MIN('Inl. wetlands'!$U66,'Inl. wetlands'!$V66)*time_tot+ABS('Inl. wetlands'!$V66-'Inl. wetlands'!$U66)*IF('Inl. wetlands'!$V66&gt;'Inl. wetlands'!$U66,time_cap+time*(VLOOKUP('6.Inland wetlands'!O25,list!$I$48:$K$50,3,0)),time*(1-(VLOOKUP('6.Inland wetlands'!O25,list!$I$48:$K$50,3,0))))</f>
        <v>6135.2499999999991</v>
      </c>
      <c r="AC66" s="3468">
        <f>MIN('Inl. wetlands'!$L66,'Inl. wetlands'!$N66)*time_tot+ABS('Inl. wetlands'!$N66-'Inl. wetlands'!$L66)*IF('Inl. wetlands'!$N66&gt;'Inl. wetlands'!$L66,time_cap+time*(VLOOKUP('6.Inland wetlands'!Q25,list!$I$48:$K$50,3,0)),time*(1-(VLOOKUP('6.Inland wetlands'!Q25,list!$I$48:$K$50,3,0))))+MIN('Inl. wetlands'!$U66,'Inl. wetlands'!$W66)*time_tot+ABS('Inl. wetlands'!$W66-'Inl. wetlands'!$U66)*IF('Inl. wetlands'!$W66&gt;'Inl. wetlands'!$U66,time_cap+time*(VLOOKUP('6.Inland wetlands'!Q25,list!$I$48:$K$50,3,0)),time*(1-(VLOOKUP('6.Inland wetlands'!Q25,list!$I$48:$K$50,3,0))))</f>
        <v>8802.75</v>
      </c>
      <c r="AD66" s="3468">
        <f>MIN('Inl. wetlands'!$O66,'Inl. wetlands'!$P66)*time_tot+ABS('Inl. wetlands'!$P66-'Inl. wetlands'!$O66)*IF('Inl. wetlands'!$P66&gt;'Inl. wetlands'!$O66,time_cap+time*(VLOOKUP('6.Inland wetlands'!O25,list!$I$48:$K$50,3,0)),time*(1-(VLOOKUP('6.Inland wetlands'!O25,list!$I$48:$K$50,3,0))))+MIN('Inl. wetlands'!$X66,'Inl. wetlands'!$Y66)*time_tot+ABS('Inl. wetlands'!$Y66-'Inl. wetlands'!$X66)*IF('Inl. wetlands'!$Y66&gt;'Inl. wetlands'!$X66,time_cap+time*(VLOOKUP('6.Inland wetlands'!O25,list!$I$48:$K$50,3,0)),time*(1-(VLOOKUP('6.Inland wetlands'!O25,list!$I$48:$K$50,3,0))))</f>
        <v>9398.375</v>
      </c>
      <c r="AE66" s="3468">
        <f>MIN('Inl. wetlands'!$O66,'Inl. wetlands'!$Q66)*time_tot+ABS('Inl. wetlands'!$Q66-'Inl. wetlands'!$O66)*IF('Inl. wetlands'!$Q66&gt;'Inl. wetlands'!$O66,time_cap+time*(VLOOKUP('6.Inland wetlands'!Q25,list!$I$48:$K$50,3,0)),time*(1-(VLOOKUP('6.Inland wetlands'!Q25,list!$I$48:$K$50,3,0))))+MIN('Inl. wetlands'!$X66,'Inl. wetlands'!$Z66)*time_tot+ABS('Inl. wetlands'!$Z66-'Inl. wetlands'!$X66)*IF('Inl. wetlands'!$Z66&gt;'Inl. wetlands'!$X66,time_cap+time*(VLOOKUP('6.Inland wetlands'!Q25,list!$I$48:$K$50,3,0)),time*(1-(VLOOKUP('6.Inland wetlands'!Q25,list!$I$48:$K$50,3,0))))</f>
        <v>13484.624999999998</v>
      </c>
      <c r="AF66" s="3468">
        <f>MIN('Inl. wetlands'!$R66,'Inl. wetlands'!$S66)*time_tot+ABS('Inl. wetlands'!$S66-'Inl. wetlands'!$R66)*IF('Inl. wetlands'!$S66&gt;'Inl. wetlands'!$R66,time_cap+time*(VLOOKUP('6.Inland wetlands'!O25,list!$I$48:$K$50,3,0)),time*(1-(VLOOKUP('6.Inland wetlands'!O25,list!$I$48:$K$50,3,0))))</f>
        <v>670.44999999999993</v>
      </c>
      <c r="AG66" s="3468">
        <f>MIN('Inl. wetlands'!$R66,'Inl. wetlands'!$T66)*time_tot+ABS('Inl. wetlands'!$T66-'Inl. wetlands'!$R66)*IF('Inl. wetlands'!$T66&gt;'Inl. wetlands'!$R66,time_cap+time*(VLOOKUP('6.Inland wetlands'!Q25,list!$I$48:$K$50,3,0)),time*(1-(VLOOKUP('6.Inland wetlands'!Q25,list!$I$48:$K$50,3,0))))</f>
        <v>961.95</v>
      </c>
      <c r="AO66" s="992"/>
      <c r="AP66" s="992"/>
      <c r="AQ66" s="992"/>
      <c r="AR66" s="992"/>
      <c r="AS66" s="992"/>
      <c r="AT66" s="992"/>
      <c r="AU66" s="992"/>
      <c r="AV66" s="992"/>
      <c r="AW66" s="992"/>
      <c r="AX66" s="1449">
        <f>MIN($L66,$M66)*time+ABS($M66-$L66)*IF($M66&gt;$L66,time*(VLOOKUP($H53,list!$J$48:$K$50,2,0)),time*(1-(VLOOKUP($H53,list!$J$48:$K$50,2,0))))</f>
        <v>2621.6666666666665</v>
      </c>
      <c r="AY66" s="1449">
        <f>MIN($L66,$N66)*time+ABS($N66-$L66)*IF($N66&gt;$L66,time*(VLOOKUP($L53,list!$J$48:$K$50,2,0)),time*(1-(VLOOKUP($L53,list!$J$48:$K$50,2,0))))</f>
        <v>3098.3333333333335</v>
      </c>
      <c r="AZ66" s="1449">
        <f>MIN($O66,$P66)*time+ABS($P66-$O66)*IF($P66&gt;$O66,time*(VLOOKUP($H53,list!$J$48:$K$50,2,0)),time*(1-(VLOOKUP($H53,list!$J$48:$K$50,2,0))))</f>
        <v>9.625</v>
      </c>
      <c r="BA66" s="1449">
        <f>MIN($O66,$Q66)*time+ABS($Q66-$O66)*IF($Q66&gt;$O66,time*(VLOOKUP($L53,list!$J$48:$K$50,2,0)),time*(1-(VLOOKUP($L53,list!$J$48:$K$50,2,0))))</f>
        <v>11.375000000000002</v>
      </c>
      <c r="BB66" s="1449">
        <f>MIN($R66,$S66)*time+ABS($S66-$R66)*IF($S66&gt;$R66,time*(VLOOKUP($H53,list!$J$48:$K$50,2,0)),time*(1-(VLOOKUP($H53,list!$J$48:$K$50,2,0))))</f>
        <v>320.64999999999998</v>
      </c>
      <c r="BC66" s="1449">
        <f>MIN($R66,$T66)*time+ABS($T66-$R66)*IF($T66&gt;$R66,time*(VLOOKUP($L53,list!$J$48:$K$50,2,0)),time*(1-(VLOOKUP($L53,list!$J$48:$K$50,2,0))))</f>
        <v>378.95000000000005</v>
      </c>
      <c r="BD66" s="1449">
        <f>MIN($U66,$V66)*time+ABS($V66-$U66)*IF($V66&gt;$U66,time*(VLOOKUP($H53,list!$J$48:$K$50,2,0)),time*(1-(VLOOKUP($H53,list!$J$48:$K$50,2,0))))</f>
        <v>312.58333333333337</v>
      </c>
      <c r="BE66" s="1449">
        <f>MIN($U66,$W66)*time+ABS($W66-$U66)*IF($W66&gt;$U66,time*(VLOOKUP($L53,list!$J$48:$K$50,2,0)),time*(1-(VLOOKUP($L53,list!$J$48:$K$50,2,0))))</f>
        <v>369.41666666666669</v>
      </c>
      <c r="BF66" s="1449">
        <f>MIN($X66,$Y66)*time+ABS($Y66-$X66)*IF($Y66&gt;$X66,time*(VLOOKUP($H53,list!$J$48:$K$50,2,0)),time*(1-(VLOOKUP($H53,list!$J$48:$K$50,2,0))))</f>
        <v>4485.25</v>
      </c>
      <c r="BG66" s="1449">
        <f>MIN($X66,$Z66)*time+ABS($Z66-$X66)*IF($Z66&gt;$X66,time*(VLOOKUP($L53,list!$J$48:$K$50,2,0)),time*(1-(VLOOKUP($L53,list!$J$48:$K$50,2,0))))</f>
        <v>5300.75</v>
      </c>
    </row>
    <row r="67" spans="1:59" ht="16" x14ac:dyDescent="0.2">
      <c r="A67" s="1467" t="s">
        <v>1161</v>
      </c>
      <c r="B67" s="1110">
        <f>IFERROR(IF(AND(OR($E54="Other land",$E54="Degraded land"),$D$47=list!$J$210),INDEX(IPCC!$A$1762:$J$1773,MATCH(clim_moist,IPCC!$A$1762:$A$1773,0),MATCH('Inl. wetlands'!$C54,IPCC!$A$1762:$J$1762,0)),IF(AND(OR($E54="Other land",$E54="Degraded land"),$D$47=list!$J$211),INDEX(IPCC!$A$1781:$J$1792,MATCH(clim_moist,IPCC!$A$1781:$A$1792,0),MATCH('Inl. wetlands'!$C54,IPCC!$A$1781:$J$1781,0)),IF($D$47=list!$J$210,INDEX(IPCC!$A$1762:$J$1773,MATCH(clim_moist,IPCC!$A$1781:$A$1792,0),MATCH('Inl. wetlands'!$E54,IPCC!$A$1781:$J$1781,0)),IF($D$47=list!$J$211,INDEX(IPCC!$A$1781:$J$1792,MATCH(clim_moist,IPCC!$A$1781:$A$1792,0),MATCH('Inl. wetlands'!$E54,IPCC!$A$1781:$J$1781,0)))))),0)</f>
        <v>0</v>
      </c>
      <c r="C67" s="1104">
        <f>IF('6.Inland wetlands'!CG14="",'6.Inland wetlands'!CF14,'6.Inland wetlands'!CG14)</f>
        <v>0</v>
      </c>
      <c r="D67" s="1044">
        <f>IFERROR(IF(AND(OR($E54="Other land",$E54="Degraded land"),$D$47=list!$J$210),INDEX(IPCC!$A$1818:$J$1829,MATCH(clim_moist,IPCC!$A$1818:$A$1829,0),MATCH('Inl. wetlands'!C54,IPCC!$A$1818:$J$1818,0)),IF(AND(OR($E54="Other land",$E54="Degraded land"),$D$47=list!$J$211),INDEX(IPCC!$A$1836:$J$1847,MATCH(clim_moist,IPCC!$A$1836:$A$1847,0),MATCH('Inl. wetlands'!$C54,IPCC!$A$1836:$J$1836,0)),IF($D$47=list!$J$210,INDEX(IPCC!$A$1818:$G$1829,MATCH(clim_moist,IPCC!$A$1818:$A$1829,0),MATCH('Inl. wetlands'!$E54,IPCC!$A$1818:$J$1818,0)),IF($D$47=list!$J$211,INDEX(IPCC!$A$1836:$J$1847,MATCH(clim_moist,IPCC!$A$1836:$A$1847,0),MATCH('Inl. wetlands'!$E54,IPCC!$A$1836:$J$1836,0)))))),0)</f>
        <v>0</v>
      </c>
      <c r="E67" s="1104">
        <f>IF('6.Inland wetlands'!CI14="",'6.Inland wetlands'!CH14,'6.Inland wetlands'!CI14)</f>
        <v>0</v>
      </c>
      <c r="F67" s="1044">
        <f>IFERROR(IF(AND(OR($E54="Other land",$E54="Degraded land"),$D$47=list!$J$210),INDEX(IPCC!$A$1872:$J$1883,MATCH(clim_moist,IPCC!$A$1872:$A$1883,0),MATCH('Inl. wetlands'!D54,IPCC!$A$1872:$J$1872,0)),IF(AND(OR($E54="Other land",$E54="Degraded land"),$D$47=list!$J$211),INDEX(IPCC!$A$1890:$J$1901,MATCH(clim_moist,IPCC!$A$1890:$A$1901,0),MATCH('Inl. wetlands'!$C54,IPCC!$A$1890:$J$1890,0)),IF($D$47=list!$J$210,INDEX(IPCC!$A$1872:$J$1883,MATCH(clim_moist,IPCC!$A$1872:$A$1883,0),MATCH('Inl. wetlands'!$E54,IPCC!$A$1872:$J$1872,0)),IF($D$47=list!$J$211,INDEX(IPCC!$A$1890:$J$1901,MATCH(clim_moist,IPCC!$A$1890:$A$1901,0),MATCH('Inl. wetlands'!$E54,IPCC!$A$1890:$J$1890,0)))))),0)</f>
        <v>0</v>
      </c>
      <c r="G67" s="1104">
        <f>IF('6.Inland wetlands'!CK14="",'6.Inland wetlands'!CJ14,'6.Inland wetlands'!CK14)</f>
        <v>0</v>
      </c>
      <c r="H67" s="1110">
        <f>IFERROR(IF(AND(OR($E54="Other land",$E54="Degraded land"),$D$47=list!$J$210),INDEX(IPCC!$A$1800:$J$1811,MATCH(clim_moist,IPCC!$A$1800:$A$1811,0),MATCH('Inl. wetlands'!C54,IPCC!$A$1800:$J$1800,0)),IF(AND(OR($E54="Other land",$E54="Degraded land"),$D$47=list!$J$211),INDEX(IPCC!$A$1800:$J$1811,MATCH(clim_moist,IPCC!$A$1800:$A$1811,0),MATCH('Inl. wetlands'!$C54,IPCC!$A$1800:$J$1800,0)),IF($D$47=list!$J$210,INDEX(IPCC!$A$1800:$J$1811,MATCH(clim_moist,IPCC!$A$1800:$A$1811,0),MATCH('Inl. wetlands'!$E54,IPCC!$A$1800:$J$1800,0)),IF($D$47=list!$J$211,INDEX(IPCC!$A$1800:$J$1811,MATCH(clim_moist,IPCC!$A$1800:$A$1811,0),MATCH('Inl. wetlands'!$E54,IPCC!$A$1800:$J$1800,0)))))),0)</f>
        <v>0</v>
      </c>
      <c r="I67" s="1104">
        <f>IF('6.Inland wetlands'!CN14="",'6.Inland wetlands'!CM14,'6.Inland wetlands'!CN14)</f>
        <v>0</v>
      </c>
      <c r="J67" s="1111">
        <f>IFERROR(IF(AND(OR($E54="Other land",$E54="Degraded land"),$D$47=list!$J$210),INDEX(IPCC!$A$1854:$J$1865,MATCH(clim_moist,IPCC!$A$1854:$A$1865,0),MATCH('Inl. wetlands'!$C54,IPCC!$A$1854:$J$1854,0)),IF(AND(OR($E54="Other land",$E54="Degraded land"),$D$47=list!$J$211),INDEX(IPCC!$A$1854:$J$1865,MATCH(clim_moist,IPCC!$A$1854:A$1865,0),MATCH('Inl. wetlands'!$C54,IPCC!$A$1854:$J$1854,0)),IF($D$47=list!$J$210,INDEX(IPCC!$A$1854:$J$1865,MATCH(clim_moist,IPCC!$A$1854:$A$1865,0),MATCH('Inl. wetlands'!$E54,IPCC!$A$1854:$J$1854,0)),IF($D$47=list!$J$211,INDEX(IPCC!$A$1854:$J$1865,MATCH(clim_moist,IPCC!$A$1854:$A$1865,0),MATCH('Inl. wetlands'!$E54,IPCC!$A$1854:$J$1854,0)))))),0)</f>
        <v>0</v>
      </c>
      <c r="K67" s="3467">
        <f>IF('6.Inland wetlands'!CP14="",'6.Inland wetlands'!CO14,'6.Inland wetlands'!CP14)</f>
        <v>0</v>
      </c>
      <c r="L67" s="3468">
        <f>IF('6.Inland wetlands'!M26=0, 0,'Inl. wetlands'!C67*44/12*'6.Inland wetlands'!M26)</f>
        <v>0</v>
      </c>
      <c r="M67" s="3468">
        <f>IF('6.Inland wetlands'!S14=0, C67*44/12*'6.Inland wetlands'!N26, IF('6.Inland wetlands'!N26&lt;'6.Inland wetlands'!S14,0, 'Inl. wetlands'!C67*44/12*('6.Inland wetlands'!N26-'6.Inland wetlands'!S14)))</f>
        <v>0</v>
      </c>
      <c r="N67" s="1151">
        <f>IF('6.Inland wetlands'!S14=0, C67*44/12*'6.Inland wetlands'!N26, IF('6.Inland wetlands'!P26&lt;'6.Inland wetlands'!T14,0, 'Inl. wetlands'!C67*44/12*('6.Inland wetlands'!P26-'6.Inland wetlands'!T14)))</f>
        <v>0</v>
      </c>
      <c r="O67" s="4323">
        <f>IF('6.Inland wetlands'!M26=0, 0,$E67*methane/1000*'6.Inland wetlands'!M26*(1-'6.Inland wetlands'!W26))</f>
        <v>0</v>
      </c>
      <c r="P67" s="4323">
        <f>IF('6.Inland wetlands'!S14=0,$E67*methane/1000*'6.Inland wetlands'!N26*(1-'6.Inland wetlands'!X26),IF('6.Inland wetlands'!N26&lt;'6.Inland wetlands'!S14,0, $E67*methane/1000*('6.Inland wetlands'!N26-'6.Inland wetlands'!S14)*(1-'6.Inland wetlands'!X26)))</f>
        <v>0</v>
      </c>
      <c r="Q67" s="4323">
        <f>IF('6.Inland wetlands'!T14=0,$E67*methane/1000*'6.Inland wetlands'!P26*(1-'6.Inland wetlands'!Y26),IF('6.Inland wetlands'!P26&lt;'6.Inland wetlands'!T14,0, $E67*methane/1000*('6.Inland wetlands'!P26-'6.Inland wetlands'!T14)*(1-'6.Inland wetlands'!Y26)))</f>
        <v>0</v>
      </c>
      <c r="R67" s="4323">
        <f>IF('6.Inland wetlands'!M26=0, 0, $G67*'6.Inland wetlands'!M26*44/28*Nitrous/1000)</f>
        <v>0</v>
      </c>
      <c r="S67" s="4323">
        <f>IF('6.Inland wetlands'!S14=0, $G67*'6.Inland wetlands'!N26*44/28*Nitrous/1000, IF('6.Inland wetlands'!N26&lt;'6.Inland wetlands'!S14,0, $G67*('6.Inland wetlands'!N26-'6.Inland wetlands'!S14)*44/28*Nitrous/1000))</f>
        <v>0</v>
      </c>
      <c r="T67" s="4323">
        <f>IF('6.Inland wetlands'!T14=0, $G67*'6.Inland wetlands'!P26*44/28*Nitrous/1000, IF('6.Inland wetlands'!P26&lt;'6.Inland wetlands'!T14,0,$G67*44/28*Nitrous/1000*('6.Inland wetlands'!P26-'6.Inland wetlands'!T14)))</f>
        <v>0</v>
      </c>
      <c r="U67" s="4323">
        <f>IF('6.Inland wetlands'!M26=0, 0, $I67*'6.Inland wetlands'!M26*44/12)</f>
        <v>0</v>
      </c>
      <c r="V67" s="4323">
        <f>IF('6.Inland wetlands'!S14=0, I67*44/12*'6.Inland wetlands'!N26, IF('6.Inland wetlands'!N26&lt;'6.Inland wetlands'!S14,0, 'Inl. wetlands'!I67*44/12*('6.Inland wetlands'!N26-'6.Inland wetlands'!S14)))</f>
        <v>0</v>
      </c>
      <c r="W67" s="4323">
        <f>IF('6.Inland wetlands'!$AC$13=list!$G$213,$I67*'6.Inland wetlands'!Y14*44/12,0)</f>
        <v>0</v>
      </c>
      <c r="X67" s="4323">
        <f>IF('6.Inland wetlands'!M26=0,0, $K67/1000*methane*'6.Inland wetlands'!M26*'6.Inland wetlands'!$W26)</f>
        <v>0</v>
      </c>
      <c r="Y67" s="4323">
        <f>IF('6.Inland wetlands'!S14=0,$K67*methane/1000*'6.Inland wetlands'!N26*('6.Inland wetlands'!X26),IF('6.Inland wetlands'!N26&lt;'6.Inland wetlands'!S14,0, $K67*methane/1000*('6.Inland wetlands'!N26-'6.Inland wetlands'!S14)*('6.Inland wetlands'!X26)))</f>
        <v>0</v>
      </c>
      <c r="Z67" s="4323">
        <f>IF('6.Inland wetlands'!T14=0,$K67*methane/1000*'6.Inland wetlands'!P26*('6.Inland wetlands'!Y26),IF('6.Inland wetlands'!P26&lt;'6.Inland wetlands'!T14,0, $K67*methane/1000*('6.Inland wetlands'!P26-'6.Inland wetlands'!T14)*('6.Inland wetlands'!Y26)))</f>
        <v>0</v>
      </c>
      <c r="AB67" s="3468">
        <f>MIN('Inl. wetlands'!$L67,'Inl. wetlands'!$M67)*time_tot+ABS('Inl. wetlands'!$M67-'Inl. wetlands'!$L67)*IF('Inl. wetlands'!$M67&gt;'Inl. wetlands'!$L67,time_cap+time*(VLOOKUP('6.Inland wetlands'!O26,list!$I$48:$K$50,3,0)),time*(1-(VLOOKUP('6.Inland wetlands'!O26,list!$I$48:$K$50,3,0))))+MIN('Inl. wetlands'!$U67,'Inl. wetlands'!$V67)*time_tot+ABS('Inl. wetlands'!$V67-'Inl. wetlands'!$U67)*IF('Inl. wetlands'!$V67&gt;'Inl. wetlands'!$U67,time_cap+time*(VLOOKUP('6.Inland wetlands'!O26,list!$I$48:$K$50,3,0)),time*(1-(VLOOKUP('6.Inland wetlands'!O26,list!$I$48:$K$50,3,0))))</f>
        <v>0</v>
      </c>
      <c r="AC67" s="3468">
        <f>MIN('Inl. wetlands'!$L67,'Inl. wetlands'!$N67)*time_tot+ABS('Inl. wetlands'!$N67-'Inl. wetlands'!$L67)*IF('Inl. wetlands'!$N67&gt;'Inl. wetlands'!$L67,time_cap+time*(VLOOKUP('6.Inland wetlands'!Q26,list!$I$48:$K$50,3,0)),time*(1-(VLOOKUP('6.Inland wetlands'!Q26,list!$I$48:$K$50,3,0))))+MIN('Inl. wetlands'!$U67,'Inl. wetlands'!$W67)*time_tot+ABS('Inl. wetlands'!$W67-'Inl. wetlands'!$U67)*IF('Inl. wetlands'!$W67&gt;'Inl. wetlands'!$U67,time_cap+time*(VLOOKUP('6.Inland wetlands'!Q26,list!$I$48:$K$50,3,0)),time*(1-(VLOOKUP('6.Inland wetlands'!Q26,list!$I$48:$K$50,3,0))))</f>
        <v>0</v>
      </c>
      <c r="AD67" s="3468">
        <f>MIN('Inl. wetlands'!$O67,'Inl. wetlands'!$P67)*time_tot+ABS('Inl. wetlands'!$P67-'Inl. wetlands'!$O67)*IF('Inl. wetlands'!$P67&gt;'Inl. wetlands'!$O67,time_cap+time*(VLOOKUP('6.Inland wetlands'!O26,list!$I$48:$K$50,3,0)),time*(1-(VLOOKUP('6.Inland wetlands'!O26,list!$I$48:$K$50,3,0))))+MIN('Inl. wetlands'!$X67,'Inl. wetlands'!$Y67)*time_tot+ABS('Inl. wetlands'!$Y67-'Inl. wetlands'!$X67)*IF('Inl. wetlands'!$Y67&gt;'Inl. wetlands'!$X67,time_cap+time*(VLOOKUP('6.Inland wetlands'!O26,list!$I$48:$K$50,3,0)),time*(1-(VLOOKUP('6.Inland wetlands'!O26,list!$I$48:$K$50,3,0))))</f>
        <v>0</v>
      </c>
      <c r="AE67" s="3468">
        <f>MIN('Inl. wetlands'!$O67,'Inl. wetlands'!$Q67)*time_tot+ABS('Inl. wetlands'!$Q67-'Inl. wetlands'!$O67)*IF('Inl. wetlands'!$Q67&gt;'Inl. wetlands'!$O67,time_cap+time*(VLOOKUP('6.Inland wetlands'!Q26,list!$I$48:$K$50,3,0)),time*(1-(VLOOKUP('6.Inland wetlands'!Q26,list!$I$48:$K$50,3,0))))+MIN('Inl. wetlands'!$X67,'Inl. wetlands'!$Z67)*time_tot+ABS('Inl. wetlands'!$Z67-'Inl. wetlands'!$X67)*IF('Inl. wetlands'!$Z67&gt;'Inl. wetlands'!$X67,time_cap+time*(VLOOKUP('6.Inland wetlands'!Q26,list!$I$48:$K$50,3,0)),time*(1-(VLOOKUP('6.Inland wetlands'!Q26,list!$I$48:$K$50,3,0))))</f>
        <v>0</v>
      </c>
      <c r="AF67" s="3468">
        <f>MIN('Inl. wetlands'!$R67,'Inl. wetlands'!$S67)*time_tot+ABS('Inl. wetlands'!$S67-'Inl. wetlands'!$R67)*IF('Inl. wetlands'!$S67&gt;'Inl. wetlands'!$R67,time_cap+time*(VLOOKUP('6.Inland wetlands'!O26,list!$I$48:$K$50,3,0)),time*(1-(VLOOKUP('6.Inland wetlands'!O26,list!$I$48:$K$50,3,0))))</f>
        <v>0</v>
      </c>
      <c r="AG67" s="3468">
        <f>MIN('Inl. wetlands'!$R67,'Inl. wetlands'!$T67)*time_tot+ABS('Inl. wetlands'!$T67-'Inl. wetlands'!$R67)*IF('Inl. wetlands'!$T67&gt;'Inl. wetlands'!$R67,time_cap+time*(VLOOKUP('6.Inland wetlands'!Q26,list!$I$48:$K$50,3,0)),time*(1-(VLOOKUP('6.Inland wetlands'!Q26,list!$I$48:$K$50,3,0))))</f>
        <v>0</v>
      </c>
      <c r="AI67" s="1270" t="s">
        <v>1115</v>
      </c>
      <c r="AJ67" s="1116"/>
      <c r="AK67" s="1116"/>
      <c r="AO67" s="992"/>
      <c r="AP67" s="992"/>
      <c r="AQ67" s="992"/>
      <c r="AR67" s="992"/>
      <c r="AS67" s="992"/>
      <c r="AT67" s="992"/>
      <c r="AU67" s="992"/>
      <c r="AV67" s="992"/>
      <c r="AW67" s="992"/>
      <c r="AX67" s="1449">
        <f>MIN($L67,$M67)*time+ABS($M67-$L67)*IF($M67&gt;$L67,time*(VLOOKUP($H54,list!$J$48:$K$50,2,0)),time*(1-(VLOOKUP($H54,list!$J$48:$K$50,2,0))))</f>
        <v>0</v>
      </c>
      <c r="AY67" s="1449">
        <f>MIN($L67,$N67)*time+ABS($N67-$L67)*IF($N67&gt;$L67,time*(VLOOKUP($L54,list!$J$48:$K$50,2,0)),time*(1-(VLOOKUP($L54,list!$J$48:$K$50,2,0))))</f>
        <v>0</v>
      </c>
      <c r="AZ67" s="1449">
        <f>MIN($O67,$P67)*time+ABS($P67-$O67)*IF($P67&gt;$O67,time*(VLOOKUP($H54,list!$J$48:$K$50,2,0)),time*(1-(VLOOKUP($H54,list!$J$48:$K$50,2,0))))</f>
        <v>0</v>
      </c>
      <c r="BA67" s="1449">
        <f>MIN($O67,$Q67)*time+ABS($Q67-$O67)*IF($Q67&gt;$O67,time*(VLOOKUP($L54,list!$J$48:$K$50,2,0)),time*(1-(VLOOKUP($L54,list!$J$48:$K$50,2,0))))</f>
        <v>0</v>
      </c>
      <c r="BB67" s="1449">
        <f>MIN($R67,$S67)*time+ABS($S67-$R67)*IF($S67&gt;$R67,time*(VLOOKUP($H54,list!$J$48:$K$50,2,0)),time*(1-(VLOOKUP($H54,list!$J$48:$K$50,2,0))))</f>
        <v>0</v>
      </c>
      <c r="BC67" s="1449">
        <f>MIN($R67,$T67)*time+ABS($T67-$R67)*IF($T67&gt;$R67,time*(VLOOKUP($L54,list!$J$48:$K$50,2,0)),time*(1-(VLOOKUP($L54,list!$J$48:$K$50,2,0))))</f>
        <v>0</v>
      </c>
      <c r="BD67" s="1449">
        <f>MIN($U67,$V67)*time+ABS($V67-$U67)*IF($V67&gt;$U67,time*(VLOOKUP($H54,list!$J$48:$K$50,2,0)),time*(1-(VLOOKUP($H54,list!$J$48:$K$50,2,0))))</f>
        <v>0</v>
      </c>
      <c r="BE67" s="1449">
        <f>MIN($U67,$W67)*time+ABS($W67-$U67)*IF($W67&gt;$U67,time*(VLOOKUP($L54,list!$J$48:$K$50,2,0)),time*(1-(VLOOKUP($L54,list!$J$48:$K$50,2,0))))</f>
        <v>0</v>
      </c>
      <c r="BF67" s="1449">
        <f>MIN($X67,$Y67)*time+ABS($Y67-$X67)*IF($Y67&gt;$X67,time*(VLOOKUP($H54,list!$J$48:$K$50,2,0)),time*(1-(VLOOKUP($H54,list!$J$48:$K$50,2,0))))</f>
        <v>0</v>
      </c>
      <c r="BG67" s="1449">
        <f>MIN($X67,$Z67)*time+ABS($Z67-$X67)*IF($Z67&gt;$X67,time*(VLOOKUP($L54,list!$J$48:$K$50,2,0)),time*(1-(VLOOKUP($L54,list!$J$48:$K$50,2,0))))</f>
        <v>0</v>
      </c>
    </row>
    <row r="68" spans="1:59" ht="16" x14ac:dyDescent="0.2">
      <c r="A68" s="1467" t="s">
        <v>1162</v>
      </c>
      <c r="B68" s="1110">
        <f>IFERROR(IF(AND(OR($E55="Other land",$E55="Degraded land"),$D$47=list!$J$210),INDEX(IPCC!$A$1762:$J$1773,MATCH(clim_moist,IPCC!$A$1762:$A$1773,0),MATCH('Inl. wetlands'!$C55,IPCC!$A$1762:$J$1762,0)),IF(AND(OR($E55="Other land",$E55="Degraded land"),$D$47=list!$J$211),INDEX(IPCC!$A$1781:$J$1792,MATCH(clim_moist,IPCC!$A$1781:$A$1792,0),MATCH('Inl. wetlands'!$C55,IPCC!$A$1781:$J$1781,0)),IF($D$47=list!$J$210,INDEX(IPCC!$A$1762:$J$1773,MATCH(clim_moist,IPCC!$A$1781:$A$1792,0),MATCH('Inl. wetlands'!$E55,IPCC!$A$1781:$J$1781,0)),IF($D$47=list!$J$211,INDEX(IPCC!$A$1781:$J$1792,MATCH(clim_moist,IPCC!$A$1781:$A$1792,0),MATCH('Inl. wetlands'!$E55,IPCC!$A$1781:$J$1781,0)))))),0)</f>
        <v>0</v>
      </c>
      <c r="C68" s="1104">
        <f>IF('6.Inland wetlands'!CG15="",'6.Inland wetlands'!CF15,'6.Inland wetlands'!CG15)</f>
        <v>0</v>
      </c>
      <c r="D68" s="1044">
        <f>IFERROR(IF(AND(OR($E55="Other land",$E55="Degraded land"),$D$47=list!$J$210),INDEX(IPCC!$A$1818:$J$1829,MATCH(clim_moist,IPCC!$A$1818:$A$1829,0),MATCH('Inl. wetlands'!C55,IPCC!$A$1818:$J$1818,0)),IF(AND(OR($E55="Other land",$E55="Degraded land"),$D$47=list!$J$211),INDEX(IPCC!$A$1836:$J$1847,MATCH(clim_moist,IPCC!$A$1836:$A$1847,0),MATCH('Inl. wetlands'!$C55,IPCC!$A$1836:$J$1836,0)),IF($D$47=list!$J$210,INDEX(IPCC!$A$1818:$G$1829,MATCH(clim_moist,IPCC!$A$1818:$A$1829,0),MATCH('Inl. wetlands'!$E55,IPCC!$A$1818:$J$1818,0)),IF($D$47=list!$J$211,INDEX(IPCC!$A$1836:$J$1847,MATCH(clim_moist,IPCC!$A$1836:$A$1847,0),MATCH('Inl. wetlands'!$E55,IPCC!$A$1836:$J$1836,0)))))),0)</f>
        <v>0</v>
      </c>
      <c r="E68" s="1104">
        <f>IF('6.Inland wetlands'!CI15="",'6.Inland wetlands'!CH15,'6.Inland wetlands'!CI15)</f>
        <v>0</v>
      </c>
      <c r="F68" s="1044">
        <f>IFERROR(IF(AND(OR($E55="Other land",$E55="Degraded land"),$D$47=list!$J$210),INDEX(IPCC!$A$1872:$J$1883,MATCH(clim_moist,IPCC!$A$1872:$A$1883,0),MATCH('Inl. wetlands'!D55,IPCC!$A$1872:$J$1872,0)),IF(AND(OR($E55="Other land",$E55="Degraded land"),$D$47=list!$J$211),INDEX(IPCC!$A$1890:$J$1901,MATCH(clim_moist,IPCC!$A$1890:$A$1901,0),MATCH('Inl. wetlands'!$C55,IPCC!$A$1890:$J$1890,0)),IF($D$47=list!$J$210,INDEX(IPCC!$A$1872:$J$1883,MATCH(clim_moist,IPCC!$A$1872:$A$1883,0),MATCH('Inl. wetlands'!$E55,IPCC!$A$1872:$J$1872,0)),IF($D$47=list!$J$211,INDEX(IPCC!$A$1890:$J$1901,MATCH(clim_moist,IPCC!$A$1890:$A$1901,0),MATCH('Inl. wetlands'!$E55,IPCC!$A$1890:$J$1890,0)))))),0)</f>
        <v>0</v>
      </c>
      <c r="G68" s="1104">
        <f>IF('6.Inland wetlands'!CK15="",'6.Inland wetlands'!CJ15,'6.Inland wetlands'!CK15)</f>
        <v>0</v>
      </c>
      <c r="H68" s="1110">
        <f>IFERROR(IF(AND(OR($E55="Other land",$E55="Degraded land"),$D$47=list!$J$210),INDEX(IPCC!$A$1800:$J$1811,MATCH(clim_moist,IPCC!$A$1800:$A$1811,0),MATCH('Inl. wetlands'!C55,IPCC!$A$1800:$J$1800,0)),IF(AND(OR($E55="Other land",$E55="Degraded land"),$D$47=list!$J$211),INDEX(IPCC!$A$1800:$J$1811,MATCH(clim_moist,IPCC!$A$1800:$A$1811,0),MATCH('Inl. wetlands'!$C55,IPCC!$A$1800:$J$1800,0)),IF($D$47=list!$J$210,INDEX(IPCC!$A$1800:$J$1811,MATCH(clim_moist,IPCC!$A$1800:$A$1811,0),MATCH('Inl. wetlands'!$E55,IPCC!$A$1800:$J$1800,0)),IF($D$47=list!$J$211,INDEX(IPCC!$A$1800:$J$1811,MATCH(clim_moist,IPCC!$A$1800:$A$1811,0),MATCH('Inl. wetlands'!$E55,IPCC!$A$1800:$J$1800,0)))))),0)</f>
        <v>0</v>
      </c>
      <c r="I68" s="1104">
        <f>IF('6.Inland wetlands'!CN15="",'6.Inland wetlands'!CM15,'6.Inland wetlands'!CN15)</f>
        <v>0</v>
      </c>
      <c r="J68" s="1111">
        <f>IFERROR(IF(AND(OR($E55="Other land",$E55="Degraded land"),$D$47=list!$J$210),INDEX(IPCC!$A$1854:$J$1865,MATCH(clim_moist,IPCC!$A$1854:$A$1865,0),MATCH('Inl. wetlands'!$C55,IPCC!$A$1854:$J$1854,0)),IF(AND(OR($E55="Other land",$E55="Degraded land"),$D$47=list!$J$211),INDEX(IPCC!$A$1854:$J$1865,MATCH(clim_moist,IPCC!$A$1854:A$1865,0),MATCH('Inl. wetlands'!$C55,IPCC!$A$1854:$J$1854,0)),IF($D$47=list!$J$210,INDEX(IPCC!$A$1854:$J$1865,MATCH(clim_moist,IPCC!$A$1854:$A$1865,0),MATCH('Inl. wetlands'!$E55,IPCC!$A$1854:$J$1854,0)),IF($D$47=list!$J$211,INDEX(IPCC!$A$1854:$J$1865,MATCH(clim_moist,IPCC!$A$1854:$A$1865,0),MATCH('Inl. wetlands'!$E55,IPCC!$A$1854:$J$1854,0)))))),0)</f>
        <v>0</v>
      </c>
      <c r="K68" s="3467">
        <f>IF('6.Inland wetlands'!CP15="",'6.Inland wetlands'!CO15,'6.Inland wetlands'!CP15)</f>
        <v>0</v>
      </c>
      <c r="L68" s="3468">
        <f>IF('6.Inland wetlands'!M27=0, 0,'Inl. wetlands'!C68*44/12*'6.Inland wetlands'!M27)</f>
        <v>0</v>
      </c>
      <c r="M68" s="3468">
        <f>IF('6.Inland wetlands'!S15=0, C68*44/12*'6.Inland wetlands'!N27, IF('6.Inland wetlands'!N27&lt;'6.Inland wetlands'!S15,0, 'Inl. wetlands'!C68*44/12*('6.Inland wetlands'!N27-'6.Inland wetlands'!S15)))</f>
        <v>0</v>
      </c>
      <c r="N68" s="1151">
        <f>IF('6.Inland wetlands'!S15=0, C68*44/12*'6.Inland wetlands'!N27, IF('6.Inland wetlands'!P27&lt;'6.Inland wetlands'!T15,0, 'Inl. wetlands'!C68*44/12*('6.Inland wetlands'!P27-'6.Inland wetlands'!T15)))</f>
        <v>0</v>
      </c>
      <c r="O68" s="4323">
        <f>IF('6.Inland wetlands'!M27=0, 0,$E68*methane/1000*'6.Inland wetlands'!M27*(1-'6.Inland wetlands'!W27))</f>
        <v>0</v>
      </c>
      <c r="P68" s="4323">
        <f>IF('6.Inland wetlands'!S15=0,$E68*methane/1000*'6.Inland wetlands'!N27*(1-'6.Inland wetlands'!X27),IF('6.Inland wetlands'!N27&lt;'6.Inland wetlands'!S15,0, $E68*methane/1000*('6.Inland wetlands'!N27-'6.Inland wetlands'!S15)*(1-'6.Inland wetlands'!X27)))</f>
        <v>0</v>
      </c>
      <c r="Q68" s="4323">
        <f>IF('6.Inland wetlands'!T15=0,$E68*methane/1000*'6.Inland wetlands'!P27*(1-'6.Inland wetlands'!Y27),IF('6.Inland wetlands'!P27&lt;'6.Inland wetlands'!T15,0, $E68*methane/1000*('6.Inland wetlands'!P27-'6.Inland wetlands'!T15)*(1-'6.Inland wetlands'!Y27)))</f>
        <v>0</v>
      </c>
      <c r="R68" s="4323">
        <f>IF('6.Inland wetlands'!M27=0, 0, $G68*'6.Inland wetlands'!M27*44/28*Nitrous/1000)</f>
        <v>0</v>
      </c>
      <c r="S68" s="4323">
        <f>IF('6.Inland wetlands'!S15=0, $G68*'6.Inland wetlands'!N27*44/28*Nitrous/1000, IF('6.Inland wetlands'!N27&lt;'6.Inland wetlands'!S15,0, $G68*('6.Inland wetlands'!N27-'6.Inland wetlands'!S15)*44/28*Nitrous/1000))</f>
        <v>0</v>
      </c>
      <c r="T68" s="4323">
        <f>IF('6.Inland wetlands'!T15=0, $G68*'6.Inland wetlands'!P27*44/28*Nitrous/1000, IF('6.Inland wetlands'!P27&lt;'6.Inland wetlands'!T15,0,$G68*44/28*Nitrous/1000*('6.Inland wetlands'!P27-'6.Inland wetlands'!T15)))</f>
        <v>0</v>
      </c>
      <c r="U68" s="4323">
        <f>IF('6.Inland wetlands'!M27=0, 0, $I68*'6.Inland wetlands'!M27*44/12)</f>
        <v>0</v>
      </c>
      <c r="V68" s="4323">
        <f>IF('6.Inland wetlands'!S15=0, I68*44/12*'6.Inland wetlands'!N27, IF('6.Inland wetlands'!N27&lt;'6.Inland wetlands'!S15,0, 'Inl. wetlands'!I68*44/12*('6.Inland wetlands'!N27-'6.Inland wetlands'!S15)))</f>
        <v>0</v>
      </c>
      <c r="W68" s="4323">
        <f>IF('6.Inland wetlands'!$AC$13=list!$G$213,$I68*'6.Inland wetlands'!Y15*44/12,0)</f>
        <v>0</v>
      </c>
      <c r="X68" s="4323">
        <f>IF('6.Inland wetlands'!M27=0,0, $K68/1000*methane*'6.Inland wetlands'!M27*'6.Inland wetlands'!$W27)</f>
        <v>0</v>
      </c>
      <c r="Y68" s="4323">
        <f>IF('6.Inland wetlands'!S15=0,$K68*methane/1000*'6.Inland wetlands'!N27*('6.Inland wetlands'!X27),IF('6.Inland wetlands'!N27&lt;'6.Inland wetlands'!S15,0, $K68*methane/1000*('6.Inland wetlands'!N27-'6.Inland wetlands'!S15)*('6.Inland wetlands'!X27)))</f>
        <v>0</v>
      </c>
      <c r="Z68" s="4323">
        <f>IF('6.Inland wetlands'!T15=0,$K68*methane/1000*'6.Inland wetlands'!P27*('6.Inland wetlands'!Y27),IF('6.Inland wetlands'!P27&lt;'6.Inland wetlands'!T15,0, $K68*methane/1000*('6.Inland wetlands'!P27-'6.Inland wetlands'!T15)*('6.Inland wetlands'!Y27)))</f>
        <v>0</v>
      </c>
      <c r="AB68" s="3468">
        <f>MIN('Inl. wetlands'!$L68,'Inl. wetlands'!$M68)*time_tot+ABS('Inl. wetlands'!$M68-'Inl. wetlands'!$L68)*IF('Inl. wetlands'!$M68&gt;'Inl. wetlands'!$L68,time_cap+time*(VLOOKUP('6.Inland wetlands'!O27,list!$I$48:$K$50,3,0)),time*(1-(VLOOKUP('6.Inland wetlands'!O27,list!$I$48:$K$50,3,0))))+MIN('Inl. wetlands'!$U68,'Inl. wetlands'!$V68)*time_tot+ABS('Inl. wetlands'!$V68-'Inl. wetlands'!$U68)*IF('Inl. wetlands'!$V68&gt;'Inl. wetlands'!$U68,time_cap+time*(VLOOKUP('6.Inland wetlands'!O27,list!$I$48:$K$50,3,0)),time*(1-(VLOOKUP('6.Inland wetlands'!O27,list!$I$48:$K$50,3,0))))</f>
        <v>0</v>
      </c>
      <c r="AC68" s="3468">
        <f>MIN('Inl. wetlands'!$L68,'Inl. wetlands'!$N68)*time_tot+ABS('Inl. wetlands'!$N68-'Inl. wetlands'!$L68)*IF('Inl. wetlands'!$N68&gt;'Inl. wetlands'!$L68,time_cap+time*(VLOOKUP('6.Inland wetlands'!Q27,list!$I$48:$K$50,3,0)),time*(1-(VLOOKUP('6.Inland wetlands'!Q27,list!$I$48:$K$50,3,0))))+MIN('Inl. wetlands'!$U68,'Inl. wetlands'!$W68)*time_tot+ABS('Inl. wetlands'!$W68-'Inl. wetlands'!$U68)*IF('Inl. wetlands'!$W68&gt;'Inl. wetlands'!$U68,time_cap+time*(VLOOKUP('6.Inland wetlands'!Q27,list!$I$48:$K$50,3,0)),time*(1-(VLOOKUP('6.Inland wetlands'!Q27,list!$I$48:$K$50,3,0))))</f>
        <v>0</v>
      </c>
      <c r="AD68" s="3468">
        <f>MIN('Inl. wetlands'!$O68,'Inl. wetlands'!$P68)*time_tot+ABS('Inl. wetlands'!$P68-'Inl. wetlands'!$O68)*IF('Inl. wetlands'!$P68&gt;'Inl. wetlands'!$O68,time_cap+time*(VLOOKUP('6.Inland wetlands'!O27,list!$I$48:$K$50,3,0)),time*(1-(VLOOKUP('6.Inland wetlands'!O27,list!$I$48:$K$50,3,0))))+MIN('Inl. wetlands'!$X68,'Inl. wetlands'!$Y68)*time_tot+ABS('Inl. wetlands'!$Y68-'Inl. wetlands'!$X68)*IF('Inl. wetlands'!$Y68&gt;'Inl. wetlands'!$X68,time_cap+time*(VLOOKUP('6.Inland wetlands'!O27,list!$I$48:$K$50,3,0)),time*(1-(VLOOKUP('6.Inland wetlands'!O27,list!$I$48:$K$50,3,0))))</f>
        <v>0</v>
      </c>
      <c r="AE68" s="3468">
        <f>MIN('Inl. wetlands'!$O68,'Inl. wetlands'!$Q68)*time_tot+ABS('Inl. wetlands'!$Q68-'Inl. wetlands'!$O68)*IF('Inl. wetlands'!$Q68&gt;'Inl. wetlands'!$O68,time_cap+time*(VLOOKUP('6.Inland wetlands'!Q27,list!$I$48:$K$50,3,0)),time*(1-(VLOOKUP('6.Inland wetlands'!Q27,list!$I$48:$K$50,3,0))))+MIN('Inl. wetlands'!$X68,'Inl. wetlands'!$Z68)*time_tot+ABS('Inl. wetlands'!$Z68-'Inl. wetlands'!$X68)*IF('Inl. wetlands'!$Z68&gt;'Inl. wetlands'!$X68,time_cap+time*(VLOOKUP('6.Inland wetlands'!Q27,list!$I$48:$K$50,3,0)),time*(1-(VLOOKUP('6.Inland wetlands'!Q27,list!$I$48:$K$50,3,0))))</f>
        <v>0</v>
      </c>
      <c r="AF68" s="3468">
        <f>MIN('Inl. wetlands'!$R68,'Inl. wetlands'!$S68)*time_tot+ABS('Inl. wetlands'!$S68-'Inl. wetlands'!$R68)*IF('Inl. wetlands'!$S68&gt;'Inl. wetlands'!$R68,time_cap+time*(VLOOKUP('6.Inland wetlands'!O27,list!$I$48:$K$50,3,0)),time*(1-(VLOOKUP('6.Inland wetlands'!O27,list!$I$48:$K$50,3,0))))</f>
        <v>0</v>
      </c>
      <c r="AG68" s="3468">
        <f>MIN('Inl. wetlands'!$R68,'Inl. wetlands'!$T68)*time_tot+ABS('Inl. wetlands'!$T68-'Inl. wetlands'!$R68)*IF('Inl. wetlands'!$T68&gt;'Inl. wetlands'!$R68,time_cap+time*(VLOOKUP('6.Inland wetlands'!Q27,list!$I$48:$K$50,3,0)),time*(1-(VLOOKUP('6.Inland wetlands'!Q27,list!$I$48:$K$50,3,0))))</f>
        <v>0</v>
      </c>
      <c r="AI68" s="1270" t="s">
        <v>1121</v>
      </c>
      <c r="AJ68" s="1116"/>
      <c r="AK68" s="1116"/>
      <c r="AO68" s="992"/>
      <c r="AP68" s="992"/>
      <c r="AQ68" s="992"/>
      <c r="AR68" s="992"/>
      <c r="AS68" s="992"/>
      <c r="AT68" s="992"/>
      <c r="AU68" s="992"/>
      <c r="AV68" s="992"/>
      <c r="AW68" s="992"/>
      <c r="AX68" s="1449">
        <f>MIN($L68,$M68)*time+ABS($M68-$L68)*IF($M68&gt;$L68,time*(VLOOKUP($H55,list!$J$48:$K$50,2,0)),time*(1-(VLOOKUP($H55,list!$J$48:$K$50,2,0))))</f>
        <v>0</v>
      </c>
      <c r="AY68" s="1449">
        <f>MIN($L68,$N68)*time+ABS($N68-$L68)*IF($N68&gt;$L68,time*(VLOOKUP($L55,list!$J$48:$K$50,2,0)),time*(1-(VLOOKUP($L55,list!$J$48:$K$50,2,0))))</f>
        <v>0</v>
      </c>
      <c r="AZ68" s="1449">
        <f>MIN($O68,$P68)*time+ABS($P68-$O68)*IF($P68&gt;$O68,time*(VLOOKUP($H55,list!$J$48:$K$50,2,0)),time*(1-(VLOOKUP($H55,list!$J$48:$K$50,2,0))))</f>
        <v>0</v>
      </c>
      <c r="BA68" s="1449">
        <f>MIN($O68,$Q68)*time+ABS($Q68-$O68)*IF($Q68&gt;$O68,time*(VLOOKUP($L55,list!$J$48:$K$50,2,0)),time*(1-(VLOOKUP($L55,list!$J$48:$K$50,2,0))))</f>
        <v>0</v>
      </c>
      <c r="BB68" s="1449">
        <f>MIN($R68,$S68)*time+ABS($S68-$R68)*IF($S68&gt;$R68,time*(VLOOKUP($H55,list!$J$48:$K$50,2,0)),time*(1-(VLOOKUP($H55,list!$J$48:$K$50,2,0))))</f>
        <v>0</v>
      </c>
      <c r="BC68" s="1449">
        <f>MIN($R68,$T68)*time+ABS($T68-$R68)*IF($T68&gt;$R68,time*(VLOOKUP($L55,list!$J$48:$K$50,2,0)),time*(1-(VLOOKUP($L55,list!$J$48:$K$50,2,0))))</f>
        <v>0</v>
      </c>
      <c r="BD68" s="1449">
        <f>MIN($U68,$V68)*time+ABS($V68-$U68)*IF($V68&gt;$U68,time*(VLOOKUP($H55,list!$J$48:$K$50,2,0)),time*(1-(VLOOKUP($H55,list!$J$48:$K$50,2,0))))</f>
        <v>0</v>
      </c>
      <c r="BE68" s="1449">
        <f>MIN($U68,$W68)*time+ABS($W68-$U68)*IF($W68&gt;$U68,time*(VLOOKUP($L55,list!$J$48:$K$50,2,0)),time*(1-(VLOOKUP($L55,list!$J$48:$K$50,2,0))))</f>
        <v>0</v>
      </c>
      <c r="BF68" s="1449">
        <f>MIN($X68,$Y68)*time+ABS($Y68-$X68)*IF($Y68&gt;$X68,time*(VLOOKUP($H55,list!$J$48:$K$50,2,0)),time*(1-(VLOOKUP($H55,list!$J$48:$K$50,2,0))))</f>
        <v>0</v>
      </c>
      <c r="BG68" s="1449">
        <f>MIN($X68,$Z68)*time+ABS($Z68-$X68)*IF($Z68&gt;$X68,time*(VLOOKUP($L55,list!$J$48:$K$50,2,0)),time*(1-(VLOOKUP($L55,list!$J$48:$K$50,2,0))))</f>
        <v>0</v>
      </c>
    </row>
    <row r="69" spans="1:59" ht="16" x14ac:dyDescent="0.2">
      <c r="A69" s="1467" t="s">
        <v>1163</v>
      </c>
      <c r="B69" s="1110">
        <f>IFERROR(IF(AND(OR($E56="Other land",$E56="Degraded land"),$D$47=list!$J$210),INDEX(IPCC!$A$1762:$J$1773,MATCH(clim_moist,IPCC!$A$1762:$A$1773,0),MATCH('Inl. wetlands'!$C56,IPCC!$A$1762:$J$1762,0)),IF(AND(OR($E56="Other land",$E56="Degraded land"),$D$47=list!$J$211),INDEX(IPCC!$A$1781:$J$1792,MATCH(clim_moist,IPCC!$A$1781:$A$1792,0),MATCH('Inl. wetlands'!$C56,IPCC!$A$1781:$J$1781,0)),IF($D$47=list!$J$210,INDEX(IPCC!$A$1762:$J$1773,MATCH(clim_moist,IPCC!$A$1781:$A$1792,0),MATCH('Inl. wetlands'!$E56,IPCC!$A$1781:$J$1781,0)),IF($D$47=list!$J$211,INDEX(IPCC!$A$1781:$J$1792,MATCH(clim_moist,IPCC!$A$1781:$A$1792,0),MATCH('Inl. wetlands'!$E56,IPCC!$A$1781:$J$1781,0)))))),0)</f>
        <v>0</v>
      </c>
      <c r="C69" s="1104">
        <f>IF('6.Inland wetlands'!CG16="",'6.Inland wetlands'!CF16,'6.Inland wetlands'!CG16)</f>
        <v>0</v>
      </c>
      <c r="D69" s="1044">
        <f>IFERROR(IF(AND(OR($E56="Other land",$E56="Degraded land"),$D$47=list!$J$210),INDEX(IPCC!$A$1818:$J$1829,MATCH(clim_moist,IPCC!$A$1818:$A$1829,0),MATCH('Inl. wetlands'!C56,IPCC!$A$1818:$J$1818,0)),IF(AND(OR($E56="Other land",$E56="Degraded land"),$D$47=list!$J$211),INDEX(IPCC!$A$1836:$J$1847,MATCH(clim_moist,IPCC!$A$1836:$A$1847,0),MATCH('Inl. wetlands'!$C56,IPCC!$A$1836:$J$1836,0)),IF($D$47=list!$J$210,INDEX(IPCC!$A$1818:$G$1829,MATCH(clim_moist,IPCC!$A$1818:$A$1829,0),MATCH('Inl. wetlands'!$E56,IPCC!$A$1818:$J$1818,0)),IF($D$47=list!$J$211,INDEX(IPCC!$A$1836:$J$1847,MATCH(clim_moist,IPCC!$A$1836:$A$1847,0),MATCH('Inl. wetlands'!$E56,IPCC!$A$1836:$J$1836,0)))))),0)</f>
        <v>0</v>
      </c>
      <c r="E69" s="1104">
        <f>IF('6.Inland wetlands'!CI16="",'6.Inland wetlands'!CH16,'6.Inland wetlands'!CI16)</f>
        <v>0</v>
      </c>
      <c r="F69" s="1044">
        <f>IFERROR(IF(AND(OR($E56="Other land",$E56="Degraded land"),$D$47=list!$J$210),INDEX(IPCC!$A$1872:$J$1883,MATCH(clim_moist,IPCC!$A$1872:$A$1883,0),MATCH('Inl. wetlands'!D56,IPCC!$A$1872:$J$1872,0)),IF(AND(OR($E56="Other land",$E56="Degraded land"),$D$47=list!$J$211),INDEX(IPCC!$A$1890:$J$1901,MATCH(clim_moist,IPCC!$A$1890:$A$1901,0),MATCH('Inl. wetlands'!$C56,IPCC!$A$1890:$J$1890,0)),IF($D$47=list!$J$210,INDEX(IPCC!$A$1872:$J$1883,MATCH(clim_moist,IPCC!$A$1872:$A$1883,0),MATCH('Inl. wetlands'!$E56,IPCC!$A$1872:$J$1872,0)),IF($D$47=list!$J$211,INDEX(IPCC!$A$1890:$J$1901,MATCH(clim_moist,IPCC!$A$1890:$A$1901,0),MATCH('Inl. wetlands'!$E56,IPCC!$A$1890:$J$1890,0)))))),0)</f>
        <v>0</v>
      </c>
      <c r="G69" s="1104">
        <f>IF('6.Inland wetlands'!CK16="",'6.Inland wetlands'!CJ16,'6.Inland wetlands'!CK16)</f>
        <v>0</v>
      </c>
      <c r="H69" s="1110">
        <f>IFERROR(IF(AND(OR($E56="Other land",$E56="Degraded land"),$D$47=list!$J$210),INDEX(IPCC!$A$1800:$J$1811,MATCH(clim_moist,IPCC!$A$1800:$A$1811,0),MATCH('Inl. wetlands'!C56,IPCC!$A$1800:$J$1800,0)),IF(AND(OR($E56="Other land",$E56="Degraded land"),$D$47=list!$J$211),INDEX(IPCC!$A$1800:$J$1811,MATCH(clim_moist,IPCC!$A$1800:$A$1811,0),MATCH('Inl. wetlands'!$C56,IPCC!$A$1800:$J$1800,0)),IF($D$47=list!$J$210,INDEX(IPCC!$A$1800:$J$1811,MATCH(clim_moist,IPCC!$A$1800:$A$1811,0),MATCH('Inl. wetlands'!$E56,IPCC!$A$1800:$J$1800,0)),IF($D$47=list!$J$211,INDEX(IPCC!$A$1800:$J$1811,MATCH(clim_moist,IPCC!$A$1800:$A$1811,0),MATCH('Inl. wetlands'!$E56,IPCC!$A$1800:$J$1800,0)))))),0)</f>
        <v>0</v>
      </c>
      <c r="I69" s="1104">
        <f>IF('6.Inland wetlands'!CN16="",'6.Inland wetlands'!CM16,'6.Inland wetlands'!CN16)</f>
        <v>0</v>
      </c>
      <c r="J69" s="1111">
        <f>IFERROR(IF(AND(OR($E56="Other land",$E56="Degraded land"),$D$47=list!$J$210),INDEX(IPCC!$A$1854:$J$1865,MATCH(clim_moist,IPCC!$A$1854:$A$1865,0),MATCH('Inl. wetlands'!$C56,IPCC!$A$1854:$J$1854,0)),IF(AND(OR($E56="Other land",$E56="Degraded land"),$D$47=list!$J$211),INDEX(IPCC!$A$1854:$J$1865,MATCH(clim_moist,IPCC!$A$1854:A$1865,0),MATCH('Inl. wetlands'!$C56,IPCC!$A$1854:$J$1854,0)),IF($D$47=list!$J$210,INDEX(IPCC!$A$1854:$J$1865,MATCH(clim_moist,IPCC!$A$1854:$A$1865,0),MATCH('Inl. wetlands'!$E56,IPCC!$A$1854:$J$1854,0)),IF($D$47=list!$J$211,INDEX(IPCC!$A$1854:$J$1865,MATCH(clim_moist,IPCC!$A$1854:$A$1865,0),MATCH('Inl. wetlands'!$E56,IPCC!$A$1854:$J$1854,0)))))),0)</f>
        <v>0</v>
      </c>
      <c r="K69" s="3467">
        <f>IF('6.Inland wetlands'!CP16="",'6.Inland wetlands'!CO16,'6.Inland wetlands'!CP16)</f>
        <v>0</v>
      </c>
      <c r="L69" s="3468">
        <f>IF('6.Inland wetlands'!M28=0, 0,'Inl. wetlands'!C69*44/12*'6.Inland wetlands'!M28)</f>
        <v>0</v>
      </c>
      <c r="M69" s="3468">
        <f>IF('6.Inland wetlands'!S16=0, C69*44/12*'6.Inland wetlands'!N28, IF('6.Inland wetlands'!N28&lt;'6.Inland wetlands'!S16,0, 'Inl. wetlands'!C69*44/12*('6.Inland wetlands'!N28-'6.Inland wetlands'!S16)))</f>
        <v>0</v>
      </c>
      <c r="N69" s="1151">
        <f>IF('6.Inland wetlands'!S16=0, C69*44/12*'6.Inland wetlands'!N28, IF('6.Inland wetlands'!P28&lt;'6.Inland wetlands'!T16,0, 'Inl. wetlands'!C69*44/12*('6.Inland wetlands'!P28-'6.Inland wetlands'!T16)))</f>
        <v>0</v>
      </c>
      <c r="O69" s="4323">
        <f>IF('6.Inland wetlands'!M28=0, 0,$E69*methane/1000*'6.Inland wetlands'!M28*(1-'6.Inland wetlands'!W28))</f>
        <v>0</v>
      </c>
      <c r="P69" s="4323">
        <f>IF('6.Inland wetlands'!S16=0,$E69*methane/1000*'6.Inland wetlands'!N28*(1-'6.Inland wetlands'!X28),IF('6.Inland wetlands'!N28&lt;'6.Inland wetlands'!S16,0, $E69*methane/1000*('6.Inland wetlands'!N28-'6.Inland wetlands'!S16)*(1-'6.Inland wetlands'!X28)))</f>
        <v>0</v>
      </c>
      <c r="Q69" s="4323">
        <f>IF('6.Inland wetlands'!T16=0,$E69*methane/1000*'6.Inland wetlands'!P28*(1-'6.Inland wetlands'!Y28),IF('6.Inland wetlands'!P28&lt;'6.Inland wetlands'!T16,0, $E69*methane/1000*('6.Inland wetlands'!P28-'6.Inland wetlands'!T16)*(1-'6.Inland wetlands'!Y28)))</f>
        <v>0</v>
      </c>
      <c r="R69" s="4323">
        <f>IF('6.Inland wetlands'!M28=0, 0, $G69*'6.Inland wetlands'!M28*44/28*Nitrous/1000)</f>
        <v>0</v>
      </c>
      <c r="S69" s="4323">
        <f>IF('6.Inland wetlands'!S16=0, $G69*'6.Inland wetlands'!N28*44/28*Nitrous/1000, IF('6.Inland wetlands'!N28&lt;'6.Inland wetlands'!S16,0, $G69*('6.Inland wetlands'!N28-'6.Inland wetlands'!S16)*44/28*Nitrous/1000))</f>
        <v>0</v>
      </c>
      <c r="T69" s="4323">
        <f>IF('6.Inland wetlands'!T16=0, $G69*'6.Inland wetlands'!P28*44/28*Nitrous/1000, IF('6.Inland wetlands'!P28&lt;'6.Inland wetlands'!T16,0,$G69*44/28*Nitrous/1000*('6.Inland wetlands'!P28-'6.Inland wetlands'!T16)))</f>
        <v>0</v>
      </c>
      <c r="U69" s="4323">
        <f>IF('6.Inland wetlands'!M28=0, 0, $I69*'6.Inland wetlands'!M28*44/12)</f>
        <v>0</v>
      </c>
      <c r="V69" s="4323">
        <f>IF('6.Inland wetlands'!S16=0, I69*44/12*'6.Inland wetlands'!N28, IF('6.Inland wetlands'!N28&lt;'6.Inland wetlands'!S16,0, 'Inl. wetlands'!I69*44/12*('6.Inland wetlands'!N28-'6.Inland wetlands'!S16)))</f>
        <v>0</v>
      </c>
      <c r="W69" s="4323">
        <f>IF('6.Inland wetlands'!$AC$13=list!$G$213,$I69*'6.Inland wetlands'!Y16*44/12,0)</f>
        <v>0</v>
      </c>
      <c r="X69" s="4323">
        <f>IF('6.Inland wetlands'!M28=0,0, $K69/1000*methane*'6.Inland wetlands'!M28*'6.Inland wetlands'!$W28)</f>
        <v>0</v>
      </c>
      <c r="Y69" s="4323">
        <f>IF('6.Inland wetlands'!S16=0,$K69*methane/1000*'6.Inland wetlands'!N28*('6.Inland wetlands'!X28),IF('6.Inland wetlands'!N28&lt;'6.Inland wetlands'!S16,0, $K69*methane/1000*('6.Inland wetlands'!N28-'6.Inland wetlands'!S16)*('6.Inland wetlands'!X28)))</f>
        <v>0</v>
      </c>
      <c r="Z69" s="4323">
        <f>IF('6.Inland wetlands'!T16=0,$K69*methane/1000*'6.Inland wetlands'!P28*('6.Inland wetlands'!Y28),IF('6.Inland wetlands'!P28&lt;'6.Inland wetlands'!T16,0, $K69*methane/1000*('6.Inland wetlands'!P28-'6.Inland wetlands'!T16)*('6.Inland wetlands'!Y28)))</f>
        <v>0</v>
      </c>
      <c r="AB69" s="3468">
        <f>MIN('Inl. wetlands'!$L69,'Inl. wetlands'!$M69)*time_tot+ABS('Inl. wetlands'!$M69-'Inl. wetlands'!$L69)*IF('Inl. wetlands'!$M69&gt;'Inl. wetlands'!$L69,time_cap+time*(VLOOKUP('6.Inland wetlands'!O28,list!$I$48:$K$50,3,0)),time*(1-(VLOOKUP('6.Inland wetlands'!O28,list!$I$48:$K$50,3,0))))+MIN('Inl. wetlands'!$U69,'Inl. wetlands'!$V69)*time_tot+ABS('Inl. wetlands'!$V69-'Inl. wetlands'!$U69)*IF('Inl. wetlands'!$V69&gt;'Inl. wetlands'!$U69,time_cap+time*(VLOOKUP('6.Inland wetlands'!O28,list!$I$48:$K$50,3,0)),time*(1-(VLOOKUP('6.Inland wetlands'!O28,list!$I$48:$K$50,3,0))))</f>
        <v>0</v>
      </c>
      <c r="AC69" s="3468">
        <f>MIN('Inl. wetlands'!$L69,'Inl. wetlands'!$N69)*time_tot+ABS('Inl. wetlands'!$N69-'Inl. wetlands'!$L69)*IF('Inl. wetlands'!$N69&gt;'Inl. wetlands'!$L69,time_cap+time*(VLOOKUP('6.Inland wetlands'!Q28,list!$I$48:$K$50,3,0)),time*(1-(VLOOKUP('6.Inland wetlands'!Q28,list!$I$48:$K$50,3,0))))+MIN('Inl. wetlands'!$U69,'Inl. wetlands'!$W69)*time_tot+ABS('Inl. wetlands'!$W69-'Inl. wetlands'!$U69)*IF('Inl. wetlands'!$W69&gt;'Inl. wetlands'!$U69,time_cap+time*(VLOOKUP('6.Inland wetlands'!Q28,list!$I$48:$K$50,3,0)),time*(1-(VLOOKUP('6.Inland wetlands'!Q28,list!$I$48:$K$50,3,0))))</f>
        <v>0</v>
      </c>
      <c r="AD69" s="3468">
        <f>MIN('Inl. wetlands'!$O69,'Inl. wetlands'!$P69)*time_tot+ABS('Inl. wetlands'!$P69-'Inl. wetlands'!$O69)*IF('Inl. wetlands'!$P69&gt;'Inl. wetlands'!$O69,time_cap+time*(VLOOKUP('6.Inland wetlands'!O28,list!$I$48:$K$50,3,0)),time*(1-(VLOOKUP('6.Inland wetlands'!O28,list!$I$48:$K$50,3,0))))+MIN('Inl. wetlands'!$X69,'Inl. wetlands'!$Y69)*time_tot+ABS('Inl. wetlands'!$Y69-'Inl. wetlands'!$X69)*IF('Inl. wetlands'!$Y69&gt;'Inl. wetlands'!$X69,time_cap+time*(VLOOKUP('6.Inland wetlands'!O28,list!$I$48:$K$50,3,0)),time*(1-(VLOOKUP('6.Inland wetlands'!O28,list!$I$48:$K$50,3,0))))</f>
        <v>0</v>
      </c>
      <c r="AE69" s="3468">
        <f>MIN('Inl. wetlands'!$O69,'Inl. wetlands'!$Q69)*time_tot+ABS('Inl. wetlands'!$Q69-'Inl. wetlands'!$O69)*IF('Inl. wetlands'!$Q69&gt;'Inl. wetlands'!$O69,time_cap+time*(VLOOKUP('6.Inland wetlands'!Q28,list!$I$48:$K$50,3,0)),time*(1-(VLOOKUP('6.Inland wetlands'!Q28,list!$I$48:$K$50,3,0))))+MIN('Inl. wetlands'!$X69,'Inl. wetlands'!$Z69)*time_tot+ABS('Inl. wetlands'!$Z69-'Inl. wetlands'!$X69)*IF('Inl. wetlands'!$Z69&gt;'Inl. wetlands'!$X69,time_cap+time*(VLOOKUP('6.Inland wetlands'!Q28,list!$I$48:$K$50,3,0)),time*(1-(VLOOKUP('6.Inland wetlands'!Q28,list!$I$48:$K$50,3,0))))</f>
        <v>0</v>
      </c>
      <c r="AF69" s="3468">
        <f>MIN('Inl. wetlands'!$R69,'Inl. wetlands'!$S69)*time_tot+ABS('Inl. wetlands'!$S69-'Inl. wetlands'!$R69)*IF('Inl. wetlands'!$S69&gt;'Inl. wetlands'!$R69,time_cap+time*(VLOOKUP('6.Inland wetlands'!O28,list!$I$48:$K$50,3,0)),time*(1-(VLOOKUP('6.Inland wetlands'!O28,list!$I$48:$K$50,3,0))))</f>
        <v>0</v>
      </c>
      <c r="AG69" s="3468">
        <f>MIN('Inl. wetlands'!$R69,'Inl. wetlands'!$T69)*time_tot+ABS('Inl. wetlands'!$T69-'Inl. wetlands'!$R69)*IF('Inl. wetlands'!$T69&gt;'Inl. wetlands'!$R69,time_cap+time*(VLOOKUP('6.Inland wetlands'!Q28,list!$I$48:$K$50,3,0)),time*(1-(VLOOKUP('6.Inland wetlands'!Q28,list!$I$48:$K$50,3,0))))</f>
        <v>0</v>
      </c>
      <c r="AI69" s="1270" t="s">
        <v>1177</v>
      </c>
      <c r="AJ69" s="1116"/>
      <c r="AK69" s="1116"/>
      <c r="AO69" s="992"/>
      <c r="AP69" s="992"/>
      <c r="AQ69" s="992"/>
      <c r="AR69" s="992"/>
      <c r="AS69" s="992"/>
      <c r="AT69" s="992"/>
      <c r="AU69" s="992"/>
      <c r="AV69" s="992"/>
      <c r="AW69" s="992"/>
      <c r="AX69" s="1449">
        <f>MIN($L69,$M69)*time+ABS($M69-$L69)*IF($M69&gt;$L69,time*(VLOOKUP($H56,list!$J$48:$K$50,2,0)),time*(1-(VLOOKUP($H56,list!$J$48:$K$50,2,0))))</f>
        <v>0</v>
      </c>
      <c r="AY69" s="1449">
        <f>MIN($L69,$N69)*time+ABS($N69-$L69)*IF($N69&gt;$L69,time*(VLOOKUP($L56,list!$J$48:$K$50,2,0)),time*(1-(VLOOKUP($L56,list!$J$48:$K$50,2,0))))</f>
        <v>0</v>
      </c>
      <c r="AZ69" s="1449">
        <f>MIN($O69,$P69)*time+ABS($P69-$O69)*IF($P69&gt;$O69,time*(VLOOKUP($H56,list!$J$48:$K$50,2,0)),time*(1-(VLOOKUP($H56,list!$J$48:$K$50,2,0))))</f>
        <v>0</v>
      </c>
      <c r="BA69" s="1449">
        <f>MIN($O69,$Q69)*time+ABS($Q69-$O69)*IF($Q69&gt;$O69,time*(VLOOKUP($L56,list!$J$48:$K$50,2,0)),time*(1-(VLOOKUP($L56,list!$J$48:$K$50,2,0))))</f>
        <v>0</v>
      </c>
      <c r="BB69" s="1449">
        <f>MIN($R69,$S69)*time+ABS($S69-$R69)*IF($S69&gt;$R69,time*(VLOOKUP($H56,list!$J$48:$K$50,2,0)),time*(1-(VLOOKUP($H56,list!$J$48:$K$50,2,0))))</f>
        <v>0</v>
      </c>
      <c r="BC69" s="1449">
        <f>MIN($R69,$T69)*time+ABS($T69-$R69)*IF($T69&gt;$R69,time*(VLOOKUP($L56,list!$J$48:$K$50,2,0)),time*(1-(VLOOKUP($L56,list!$J$48:$K$50,2,0))))</f>
        <v>0</v>
      </c>
      <c r="BD69" s="1449">
        <f>MIN($U69,$V69)*time+ABS($V69-$U69)*IF($V69&gt;$U69,time*(VLOOKUP($H56,list!$J$48:$K$50,2,0)),time*(1-(VLOOKUP($H56,list!$J$48:$K$50,2,0))))</f>
        <v>0</v>
      </c>
      <c r="BE69" s="1449">
        <f>MIN($U69,$W69)*time+ABS($W69-$U69)*IF($W69&gt;$U69,time*(VLOOKUP($L56,list!$J$48:$K$50,2,0)),time*(1-(VLOOKUP($L56,list!$J$48:$K$50,2,0))))</f>
        <v>0</v>
      </c>
      <c r="BF69" s="1449">
        <f>MIN($X69,$Y69)*time+ABS($Y69-$X69)*IF($Y69&gt;$X69,time*(VLOOKUP($H56,list!$J$48:$K$50,2,0)),time*(1-(VLOOKUP($H56,list!$J$48:$K$50,2,0))))</f>
        <v>0</v>
      </c>
      <c r="BG69" s="1449">
        <f>MIN($X69,$Z69)*time+ABS($Z69-$X69)*IF($Z69&gt;$X69,time*(VLOOKUP($L56,list!$J$48:$K$50,2,0)),time*(1-(VLOOKUP($L56,list!$J$48:$K$50,2,0))))</f>
        <v>0</v>
      </c>
    </row>
    <row r="70" spans="1:59" x14ac:dyDescent="0.15">
      <c r="A70" s="1467" t="s">
        <v>1164</v>
      </c>
      <c r="B70" s="1110">
        <f>IFERROR(IF(AND(OR($E57="Other land",$E57="Degraded land"),$D$47=list!$J$210),INDEX(IPCC!$A$1762:$J$1773,MATCH(clim_moist,IPCC!$A$1762:$A$1773,0),MATCH('Inl. wetlands'!$C57,IPCC!$A$1762:$J$1762,0)),IF(AND(OR($E57="Other land",$E57="Degraded land"),$D$47=list!$J$211),INDEX(IPCC!$A$1781:$J$1792,MATCH(clim_moist,IPCC!$A$1781:$A$1792,0),MATCH('Inl. wetlands'!$C57,IPCC!$A$1781:$J$1781,0)),IF($D$47=list!$J$210,INDEX(IPCC!$A$1762:$J$1773,MATCH(clim_moist,IPCC!$A$1781:$A$1792,0),MATCH('Inl. wetlands'!$E57,IPCC!$A$1781:$J$1781,0)),IF($D$47=list!$J$211,INDEX(IPCC!$A$1781:$J$1792,MATCH(clim_moist,IPCC!$A$1781:$A$1792,0),MATCH('Inl. wetlands'!$E57,IPCC!$A$1781:$J$1781,0)))))),0)</f>
        <v>0</v>
      </c>
      <c r="C70" s="1104">
        <f>IF('6.Inland wetlands'!CG17="",'6.Inland wetlands'!CF17,'6.Inland wetlands'!CG17)</f>
        <v>0</v>
      </c>
      <c r="D70" s="1044">
        <f>IFERROR(IF(AND(OR($E57="Other land",$E57="Degraded land"),$D$47=list!$J$210),INDEX(IPCC!$A$1818:$J$1829,MATCH(clim_moist,IPCC!$A$1818:$A$1829,0),MATCH('Inl. wetlands'!C57,IPCC!$A$1818:$J$1818,0)),IF(AND(OR($E57="Other land",$E57="Degraded land"),$D$47=list!$J$211),INDEX(IPCC!$A$1836:$J$1847,MATCH(clim_moist,IPCC!$A$1836:$A$1847,0),MATCH('Inl. wetlands'!$C57,IPCC!$A$1836:$J$1836,0)),IF($D$47=list!$J$210,INDEX(IPCC!$A$1818:$G$1829,MATCH(clim_moist,IPCC!$A$1818:$A$1829,0),MATCH('Inl. wetlands'!$E57,IPCC!$A$1818:$J$1818,0)),IF($D$47=list!$J$211,INDEX(IPCC!$A$1836:$J$1847,MATCH(clim_moist,IPCC!$A$1836:$A$1847,0),MATCH('Inl. wetlands'!$E57,IPCC!$A$1836:$J$1836,0)))))),0)</f>
        <v>0</v>
      </c>
      <c r="E70" s="1104">
        <f>IF('6.Inland wetlands'!CI17="",'6.Inland wetlands'!CH17,'6.Inland wetlands'!CI17)</f>
        <v>0</v>
      </c>
      <c r="F70" s="1044">
        <f>IFERROR(IF(AND(OR($E57="Other land",$E57="Degraded land"),$D$47=list!$J$210),INDEX(IPCC!$A$1872:$J$1883,MATCH(clim_moist,IPCC!$A$1872:$A$1883,0),MATCH('Inl. wetlands'!D57,IPCC!$A$1872:$J$1872,0)),IF(AND(OR($E57="Other land",$E57="Degraded land"),$D$47=list!$J$211),INDEX(IPCC!$A$1890:$J$1901,MATCH(clim_moist,IPCC!$A$1890:$A$1901,0),MATCH('Inl. wetlands'!$C57,IPCC!$A$1890:$J$1890,0)),IF($D$47=list!$J$210,INDEX(IPCC!$A$1872:$J$1883,MATCH(clim_moist,IPCC!$A$1872:$A$1883,0),MATCH('Inl. wetlands'!$E57,IPCC!$A$1872:$J$1872,0)),IF($D$47=list!$J$211,INDEX(IPCC!$A$1890:$J$1901,MATCH(clim_moist,IPCC!$A$1890:$A$1901,0),MATCH('Inl. wetlands'!$E57,IPCC!$A$1890:$J$1890,0)))))),0)</f>
        <v>0</v>
      </c>
      <c r="G70" s="1104">
        <f>IF('6.Inland wetlands'!CK17="",'6.Inland wetlands'!CJ17,'6.Inland wetlands'!CK17)</f>
        <v>0</v>
      </c>
      <c r="H70" s="1110">
        <f>IFERROR(IF(AND(OR($E57="Other land",$E57="Degraded land"),$D$47=list!$J$210),INDEX(IPCC!$A$1800:$J$1811,MATCH(clim_moist,IPCC!$A$1800:$A$1811,0),MATCH('Inl. wetlands'!C57,IPCC!$A$1800:$J$1800,0)),IF(AND(OR($E57="Other land",$E57="Degraded land"),$D$47=list!$J$211),INDEX(IPCC!$A$1800:$J$1811,MATCH(clim_moist,IPCC!$A$1800:$A$1811,0),MATCH('Inl. wetlands'!$C57,IPCC!$A$1800:$J$1800,0)),IF($D$47=list!$J$210,INDEX(IPCC!$A$1800:$J$1811,MATCH(clim_moist,IPCC!$A$1800:$A$1811,0),MATCH('Inl. wetlands'!$E57,IPCC!$A$1800:$J$1800,0)),IF($D$47=list!$J$211,INDEX(IPCC!$A$1800:$J$1811,MATCH(clim_moist,IPCC!$A$1800:$A$1811,0),MATCH('Inl. wetlands'!$E57,IPCC!$A$1800:$J$1800,0)))))),0)</f>
        <v>0</v>
      </c>
      <c r="I70" s="1104">
        <f>IF('6.Inland wetlands'!CN17="",'6.Inland wetlands'!CM17,'6.Inland wetlands'!CN17)</f>
        <v>0</v>
      </c>
      <c r="J70" s="1111">
        <f>IFERROR(IF(AND(OR($E57="Other land",$E57="Degraded land"),$D$47=list!$J$210),INDEX(IPCC!$A$1854:$J$1865,MATCH(clim_moist,IPCC!$A$1854:$A$1865,0),MATCH('Inl. wetlands'!$C57,IPCC!$A$1854:$J$1854,0)),IF(AND(OR($E57="Other land",$E57="Degraded land"),$D$47=list!$J$211),INDEX(IPCC!$A$1854:$J$1865,MATCH(clim_moist,IPCC!$A$1854:A$1865,0),MATCH('Inl. wetlands'!$C57,IPCC!$A$1854:$J$1854,0)),IF($D$47=list!$J$210,INDEX(IPCC!$A$1854:$J$1865,MATCH(clim_moist,IPCC!$A$1854:$A$1865,0),MATCH('Inl. wetlands'!$E57,IPCC!$A$1854:$J$1854,0)),IF($D$47=list!$J$211,INDEX(IPCC!$A$1854:$J$1865,MATCH(clim_moist,IPCC!$A$1854:$A$1865,0),MATCH('Inl. wetlands'!$E57,IPCC!$A$1854:$J$1854,0)))))),0)</f>
        <v>0</v>
      </c>
      <c r="K70" s="3467">
        <f>IF('6.Inland wetlands'!CP17="",'6.Inland wetlands'!CO17,'6.Inland wetlands'!CP17)</f>
        <v>0</v>
      </c>
      <c r="L70" s="3468">
        <f>IF('6.Inland wetlands'!M29=0, 0,'Inl. wetlands'!C70*44/12*'6.Inland wetlands'!M29)</f>
        <v>0</v>
      </c>
      <c r="M70" s="3468">
        <f>IF('6.Inland wetlands'!S17=0, C70*44/12*'6.Inland wetlands'!N29, IF('6.Inland wetlands'!N29&lt;'6.Inland wetlands'!S17,0, 'Inl. wetlands'!C70*44/12*('6.Inland wetlands'!N29-'6.Inland wetlands'!S17)))</f>
        <v>0</v>
      </c>
      <c r="N70" s="1151">
        <f>IF('6.Inland wetlands'!S17=0, C70*44/12*'6.Inland wetlands'!N29, IF('6.Inland wetlands'!P29&lt;'6.Inland wetlands'!T17,0, 'Inl. wetlands'!C70*44/12*('6.Inland wetlands'!P29-'6.Inland wetlands'!T17)))</f>
        <v>0</v>
      </c>
      <c r="O70" s="4323">
        <f>IF('6.Inland wetlands'!M29=0, 0,$E70*methane/1000*'6.Inland wetlands'!M29*(1-'6.Inland wetlands'!W29))</f>
        <v>0</v>
      </c>
      <c r="P70" s="4323">
        <f>IF('6.Inland wetlands'!S17=0,$E70*methane/1000*'6.Inland wetlands'!N29*(1-'6.Inland wetlands'!X29),IF('6.Inland wetlands'!N29&lt;'6.Inland wetlands'!S17,0, $E70*methane/1000*('6.Inland wetlands'!N29-'6.Inland wetlands'!S17)*(1-'6.Inland wetlands'!X29)))</f>
        <v>0</v>
      </c>
      <c r="Q70" s="4323">
        <f>IF('6.Inland wetlands'!T17=0,$E70*methane/1000*'6.Inland wetlands'!P29*(1-'6.Inland wetlands'!Y29),IF('6.Inland wetlands'!P29&lt;'6.Inland wetlands'!T17,0, $E70*methane/1000*('6.Inland wetlands'!P29-'6.Inland wetlands'!T17)*(1-'6.Inland wetlands'!Y29)))</f>
        <v>0</v>
      </c>
      <c r="R70" s="4323">
        <f>IF('6.Inland wetlands'!M29=0, 0, $G70*'6.Inland wetlands'!M29*44/28*Nitrous/1000)</f>
        <v>0</v>
      </c>
      <c r="S70" s="4323">
        <f>IF('6.Inland wetlands'!S17=0, $G70*'6.Inland wetlands'!N29*44/28*Nitrous/1000, IF('6.Inland wetlands'!N29&lt;'6.Inland wetlands'!S17,0, $G70*('6.Inland wetlands'!N29-'6.Inland wetlands'!S17)*44/28*Nitrous/1000))</f>
        <v>0</v>
      </c>
      <c r="T70" s="4323">
        <f>IF('6.Inland wetlands'!T17=0, $G70*'6.Inland wetlands'!P29*44/28*Nitrous/1000, IF('6.Inland wetlands'!P29&lt;'6.Inland wetlands'!T17,0,$G70*44/28*Nitrous/1000*('6.Inland wetlands'!P29-'6.Inland wetlands'!T17)))</f>
        <v>0</v>
      </c>
      <c r="U70" s="4323">
        <f>IF('6.Inland wetlands'!M29=0, 0, $I70*'6.Inland wetlands'!M29*44/12)</f>
        <v>0</v>
      </c>
      <c r="V70" s="4323">
        <f>IF('6.Inland wetlands'!S17=0, I70*44/12*'6.Inland wetlands'!N29, IF('6.Inland wetlands'!N29&lt;'6.Inland wetlands'!S17,0, 'Inl. wetlands'!I70*44/12*('6.Inland wetlands'!N29-'6.Inland wetlands'!S17)))</f>
        <v>0</v>
      </c>
      <c r="W70" s="4323">
        <f>IF('6.Inland wetlands'!$AC$13=list!$G$213,$I70*'6.Inland wetlands'!Y17*44/12,0)</f>
        <v>0</v>
      </c>
      <c r="X70" s="4323">
        <f>IF('6.Inland wetlands'!M29=0,0, $K70/1000*methane*'6.Inland wetlands'!M29*'6.Inland wetlands'!$W29)</f>
        <v>0</v>
      </c>
      <c r="Y70" s="4323">
        <f>IF('6.Inland wetlands'!S17=0,$K70*methane/1000*'6.Inland wetlands'!N29*('6.Inland wetlands'!X29),IF('6.Inland wetlands'!N29&lt;'6.Inland wetlands'!S17,0, $K70*methane/1000*('6.Inland wetlands'!N29-'6.Inland wetlands'!S17)*('6.Inland wetlands'!X29)))</f>
        <v>0</v>
      </c>
      <c r="Z70" s="4323">
        <f>IF('6.Inland wetlands'!T17=0,$K70*methane/1000*'6.Inland wetlands'!P29*('6.Inland wetlands'!Y29),IF('6.Inland wetlands'!P29&lt;'6.Inland wetlands'!T17,0, $K70*methane/1000*('6.Inland wetlands'!P29-'6.Inland wetlands'!T17)*('6.Inland wetlands'!Y29)))</f>
        <v>0</v>
      </c>
      <c r="AB70" s="3468">
        <f>MIN('Inl. wetlands'!$L70,'Inl. wetlands'!$M70)*time_tot+ABS('Inl. wetlands'!$M70-'Inl. wetlands'!$L70)*IF('Inl. wetlands'!$M70&gt;'Inl. wetlands'!$L70,time_cap+time*(VLOOKUP('6.Inland wetlands'!O29,list!$I$48:$K$50,3,0)),time*(1-(VLOOKUP('6.Inland wetlands'!O29,list!$I$48:$K$50,3,0))))+MIN('Inl. wetlands'!$U70,'Inl. wetlands'!$V70)*time_tot+ABS('Inl. wetlands'!$V70-'Inl. wetlands'!$U70)*IF('Inl. wetlands'!$V70&gt;'Inl. wetlands'!$U70,time_cap+time*(VLOOKUP('6.Inland wetlands'!O29,list!$I$48:$K$50,3,0)),time*(1-(VLOOKUP('6.Inland wetlands'!O29,list!$I$48:$K$50,3,0))))</f>
        <v>0</v>
      </c>
      <c r="AC70" s="3468">
        <f>MIN('Inl. wetlands'!$L70,'Inl. wetlands'!$N70)*time_tot+ABS('Inl. wetlands'!$N70-'Inl. wetlands'!$L70)*IF('Inl. wetlands'!$N70&gt;'Inl. wetlands'!$L70,time_cap+time*(VLOOKUP('6.Inland wetlands'!Q29,list!$I$48:$K$50,3,0)),time*(1-(VLOOKUP('6.Inland wetlands'!Q29,list!$I$48:$K$50,3,0))))+MIN('Inl. wetlands'!$U70,'Inl. wetlands'!$W70)*time_tot+ABS('Inl. wetlands'!$W70-'Inl. wetlands'!$U70)*IF('Inl. wetlands'!$W70&gt;'Inl. wetlands'!$U70,time_cap+time*(VLOOKUP('6.Inland wetlands'!Q29,list!$I$48:$K$50,3,0)),time*(1-(VLOOKUP('6.Inland wetlands'!Q29,list!$I$48:$K$50,3,0))))</f>
        <v>0</v>
      </c>
      <c r="AD70" s="3468">
        <f>MIN('Inl. wetlands'!$O70,'Inl. wetlands'!$P70)*time_tot+ABS('Inl. wetlands'!$P70-'Inl. wetlands'!$O70)*IF('Inl. wetlands'!$P70&gt;'Inl. wetlands'!$O70,time_cap+time*(VLOOKUP('6.Inland wetlands'!O29,list!$I$48:$K$50,3,0)),time*(1-(VLOOKUP('6.Inland wetlands'!O29,list!$I$48:$K$50,3,0))))+MIN('Inl. wetlands'!$X70,'Inl. wetlands'!$Y70)*time_tot+ABS('Inl. wetlands'!$Y70-'Inl. wetlands'!$X70)*IF('Inl. wetlands'!$Y70&gt;'Inl. wetlands'!$X70,time_cap+time*(VLOOKUP('6.Inland wetlands'!O29,list!$I$48:$K$50,3,0)),time*(1-(VLOOKUP('6.Inland wetlands'!O29,list!$I$48:$K$50,3,0))))</f>
        <v>0</v>
      </c>
      <c r="AE70" s="3468">
        <f>MIN('Inl. wetlands'!$O70,'Inl. wetlands'!$Q70)*time_tot+ABS('Inl. wetlands'!$Q70-'Inl. wetlands'!$O70)*IF('Inl. wetlands'!$Q70&gt;'Inl. wetlands'!$O70,time_cap+time*(VLOOKUP('6.Inland wetlands'!Q29,list!$I$48:$K$50,3,0)),time*(1-(VLOOKUP('6.Inland wetlands'!Q29,list!$I$48:$K$50,3,0))))+MIN('Inl. wetlands'!$X70,'Inl. wetlands'!$Z70)*time_tot+ABS('Inl. wetlands'!$Z70-'Inl. wetlands'!$X70)*IF('Inl. wetlands'!$Z70&gt;'Inl. wetlands'!$X70,time_cap+time*(VLOOKUP('6.Inland wetlands'!Q29,list!$I$48:$K$50,3,0)),time*(1-(VLOOKUP('6.Inland wetlands'!Q29,list!$I$48:$K$50,3,0))))</f>
        <v>0</v>
      </c>
      <c r="AF70" s="3468">
        <f>MIN('Inl. wetlands'!$R70,'Inl. wetlands'!$S70)*time_tot+ABS('Inl. wetlands'!$S70-'Inl. wetlands'!$R70)*IF('Inl. wetlands'!$S70&gt;'Inl. wetlands'!$R70,time_cap+time*(VLOOKUP('6.Inland wetlands'!O29,list!$I$48:$K$50,3,0)),time*(1-(VLOOKUP('6.Inland wetlands'!O29,list!$I$48:$K$50,3,0))))</f>
        <v>0</v>
      </c>
      <c r="AG70" s="3468">
        <f>MIN('Inl. wetlands'!$R70,'Inl. wetlands'!$T70)*time_tot+ABS('Inl. wetlands'!$T70-'Inl. wetlands'!$R70)*IF('Inl. wetlands'!$T70&gt;'Inl. wetlands'!$R70,time_cap+time*(VLOOKUP('6.Inland wetlands'!Q29,list!$I$48:$K$50,3,0)),time*(1-(VLOOKUP('6.Inland wetlands'!Q29,list!$I$48:$K$50,3,0))))</f>
        <v>0</v>
      </c>
      <c r="AI70" s="1102" t="s">
        <v>200</v>
      </c>
      <c r="AJ70" s="1103" t="s">
        <v>201</v>
      </c>
      <c r="AK70" s="1104" t="s">
        <v>324</v>
      </c>
      <c r="AO70" s="992"/>
      <c r="AP70" s="992"/>
      <c r="AQ70" s="992"/>
      <c r="AR70" s="992"/>
      <c r="AS70" s="992"/>
      <c r="AT70" s="992"/>
      <c r="AU70" s="992"/>
      <c r="AV70" s="992"/>
      <c r="AW70" s="992"/>
      <c r="AX70" s="1449">
        <f>MIN($L70,$M70)*time+ABS($M70-$L70)*IF($M70&gt;$L70,time*(VLOOKUP($H57,list!$J$48:$K$50,2,0)),time*(1-(VLOOKUP($H57,list!$J$48:$K$50,2,0))))</f>
        <v>0</v>
      </c>
      <c r="AY70" s="1449">
        <f>MIN($L70,$N70)*time+ABS($N70-$L70)*IF($N70&gt;$L70,time*(VLOOKUP($L57,list!$J$48:$K$50,2,0)),time*(1-(VLOOKUP($L57,list!$J$48:$K$50,2,0))))</f>
        <v>0</v>
      </c>
      <c r="AZ70" s="1449">
        <f>MIN($O70,$P70)*time+ABS($P70-$O70)*IF($P70&gt;$O70,time*(VLOOKUP($H57,list!$J$48:$K$50,2,0)),time*(1-(VLOOKUP($H57,list!$J$48:$K$50,2,0))))</f>
        <v>0</v>
      </c>
      <c r="BA70" s="1449">
        <f>MIN($O70,$Q70)*time+ABS($Q70-$O70)*IF($Q70&gt;$O70,time*(VLOOKUP($L57,list!$J$48:$K$50,2,0)),time*(1-(VLOOKUP($L57,list!$J$48:$K$50,2,0))))</f>
        <v>0</v>
      </c>
      <c r="BB70" s="1449">
        <f>MIN($R70,$S70)*time+ABS($S70-$R70)*IF($S70&gt;$R70,time*(VLOOKUP($H57,list!$J$48:$K$50,2,0)),time*(1-(VLOOKUP($H57,list!$J$48:$K$50,2,0))))</f>
        <v>0</v>
      </c>
      <c r="BC70" s="1449">
        <f>MIN($R70,$T70)*time+ABS($T70-$R70)*IF($T70&gt;$R70,time*(VLOOKUP($L57,list!$J$48:$K$50,2,0)),time*(1-(VLOOKUP($L57,list!$J$48:$K$50,2,0))))</f>
        <v>0</v>
      </c>
      <c r="BD70" s="1449">
        <f>MIN($U70,$V70)*time+ABS($V70-$U70)*IF($V70&gt;$U70,time*(VLOOKUP($H57,list!$J$48:$K$50,2,0)),time*(1-(VLOOKUP($H57,list!$J$48:$K$50,2,0))))</f>
        <v>0</v>
      </c>
      <c r="BE70" s="1449">
        <f>MIN($U70,$W70)*time+ABS($W70-$U70)*IF($W70&gt;$U70,time*(VLOOKUP($L57,list!$J$48:$K$50,2,0)),time*(1-(VLOOKUP($L57,list!$J$48:$K$50,2,0))))</f>
        <v>0</v>
      </c>
      <c r="BF70" s="1449">
        <f>MIN($X70,$Y70)*time+ABS($Y70-$X70)*IF($Y70&gt;$X70,time*(VLOOKUP($H57,list!$J$48:$K$50,2,0)),time*(1-(VLOOKUP($H57,list!$J$48:$K$50,2,0))))</f>
        <v>0</v>
      </c>
      <c r="BG70" s="1449">
        <f>MIN($X70,$Z70)*time+ABS($Z70-$X70)*IF($Z70&gt;$X70,time*(VLOOKUP($L57,list!$J$48:$K$50,2,0)),time*(1-(VLOOKUP($L57,list!$J$48:$K$50,2,0))))</f>
        <v>0</v>
      </c>
    </row>
    <row r="71" spans="1:59" x14ac:dyDescent="0.15">
      <c r="A71" s="1467" t="s">
        <v>1165</v>
      </c>
      <c r="B71" s="1110">
        <f>IFERROR(IF(AND(OR($E58="Other land",$E58="Degraded land"),$D$47=list!$J$210),INDEX(IPCC!$A$1762:$J$1773,MATCH(clim_moist,IPCC!$A$1762:$A$1773,0),MATCH('Inl. wetlands'!$C58,IPCC!$A$1762:$J$1762,0)),IF(AND(OR($E58="Other land",$E58="Degraded land"),$D$47=list!$J$211),INDEX(IPCC!$A$1781:$J$1792,MATCH(clim_moist,IPCC!$A$1781:$A$1792,0),MATCH('Inl. wetlands'!$C58,IPCC!$A$1781:$J$1781,0)),IF($D$47=list!$J$210,INDEX(IPCC!$A$1762:$J$1773,MATCH(clim_moist,IPCC!$A$1781:$A$1792,0),MATCH('Inl. wetlands'!$E58,IPCC!$A$1781:$J$1781,0)),IF($D$47=list!$J$211,INDEX(IPCC!$A$1781:$J$1792,MATCH(clim_moist,IPCC!$A$1781:$A$1792,0),MATCH('Inl. wetlands'!$E58,IPCC!$A$1781:$J$1781,0)))))),0)</f>
        <v>0</v>
      </c>
      <c r="C71" s="1104">
        <f>IF('6.Inland wetlands'!CG18="",'6.Inland wetlands'!CF18,'6.Inland wetlands'!CG18)</f>
        <v>0</v>
      </c>
      <c r="D71" s="1044">
        <f>IFERROR(IF(AND(OR($E58="Other land",$E58="Degraded land"),$D$47=list!$J$210),INDEX(IPCC!$A$1818:$J$1829,MATCH(clim_moist,IPCC!$A$1818:$A$1829,0),MATCH('Inl. wetlands'!C58,IPCC!$A$1818:$J$1818,0)),IF(AND(OR($E58="Other land",$E58="Degraded land"),$D$47=list!$J$211),INDEX(IPCC!$A$1836:$J$1847,MATCH(clim_moist,IPCC!$A$1836:$A$1847,0),MATCH('Inl. wetlands'!$C58,IPCC!$A$1836:$J$1836,0)),IF($D$47=list!$J$210,INDEX(IPCC!$A$1818:$G$1829,MATCH(clim_moist,IPCC!$A$1818:$A$1829,0),MATCH('Inl. wetlands'!$E58,IPCC!$A$1818:$J$1818,0)),IF($D$47=list!$J$211,INDEX(IPCC!$A$1836:$J$1847,MATCH(clim_moist,IPCC!$A$1836:$A$1847,0),MATCH('Inl. wetlands'!$E58,IPCC!$A$1836:$J$1836,0)))))),0)</f>
        <v>0</v>
      </c>
      <c r="E71" s="1104">
        <f>IF('6.Inland wetlands'!CI18="",'6.Inland wetlands'!CH18,'6.Inland wetlands'!CI18)</f>
        <v>0</v>
      </c>
      <c r="F71" s="1044">
        <f>IFERROR(IF(AND(OR($E58="Other land",$E58="Degraded land"),$D$47=list!$J$210),INDEX(IPCC!$A$1872:$J$1883,MATCH(clim_moist,IPCC!$A$1872:$A$1883,0),MATCH('Inl. wetlands'!D58,IPCC!$A$1872:$J$1872,0)),IF(AND(OR($E58="Other land",$E58="Degraded land"),$D$47=list!$J$211),INDEX(IPCC!$A$1890:$J$1901,MATCH(clim_moist,IPCC!$A$1890:$A$1901,0),MATCH('Inl. wetlands'!$C58,IPCC!$A$1890:$J$1890,0)),IF($D$47=list!$J$210,INDEX(IPCC!$A$1872:$J$1883,MATCH(clim_moist,IPCC!$A$1872:$A$1883,0),MATCH('Inl. wetlands'!$E58,IPCC!$A$1872:$J$1872,0)),IF($D$47=list!$J$211,INDEX(IPCC!$A$1890:$J$1901,MATCH(clim_moist,IPCC!$A$1890:$A$1901,0),MATCH('Inl. wetlands'!$E58,IPCC!$A$1890:$J$1890,0)))))),0)</f>
        <v>0</v>
      </c>
      <c r="G71" s="1104">
        <f>IF('6.Inland wetlands'!CK18="",'6.Inland wetlands'!CJ18,'6.Inland wetlands'!CK18)</f>
        <v>0</v>
      </c>
      <c r="H71" s="1110">
        <f>IFERROR(IF(AND(OR($E58="Other land",$E58="Degraded land"),$D$47=list!$J$210),INDEX(IPCC!$A$1800:$J$1811,MATCH(clim_moist,IPCC!$A$1800:$A$1811,0),MATCH('Inl. wetlands'!C58,IPCC!$A$1800:$J$1800,0)),IF(AND(OR($E58="Other land",$E58="Degraded land"),$D$47=list!$J$211),INDEX(IPCC!$A$1800:$J$1811,MATCH(clim_moist,IPCC!$A$1800:$A$1811,0),MATCH('Inl. wetlands'!$C58,IPCC!$A$1800:$J$1800,0)),IF($D$47=list!$J$210,INDEX(IPCC!$A$1800:$J$1811,MATCH(clim_moist,IPCC!$A$1800:$A$1811,0),MATCH('Inl. wetlands'!$E58,IPCC!$A$1800:$J$1800,0)),IF($D$47=list!$J$211,INDEX(IPCC!$A$1800:$J$1811,MATCH(clim_moist,IPCC!$A$1800:$A$1811,0),MATCH('Inl. wetlands'!$E58,IPCC!$A$1800:$J$1800,0)))))),0)</f>
        <v>0</v>
      </c>
      <c r="I71" s="1104">
        <f>IF('6.Inland wetlands'!CN18="",'6.Inland wetlands'!CM18,'6.Inland wetlands'!CN18)</f>
        <v>0</v>
      </c>
      <c r="J71" s="1111">
        <f>IFERROR(IF(AND(OR($E58="Other land",$E58="Degraded land"),$D$47=list!$J$210),INDEX(IPCC!$A$1854:$J$1865,MATCH(clim_moist,IPCC!$A$1854:$A$1865,0),MATCH('Inl. wetlands'!$C58,IPCC!$A$1854:$J$1854,0)),IF(AND(OR($E58="Other land",$E58="Degraded land"),$D$47=list!$J$211),INDEX(IPCC!$A$1854:$J$1865,MATCH(clim_moist,IPCC!$A$1854:A$1865,0),MATCH('Inl. wetlands'!$C58,IPCC!$A$1854:$J$1854,0)),IF($D$47=list!$J$210,INDEX(IPCC!$A$1854:$J$1865,MATCH(clim_moist,IPCC!$A$1854:$A$1865,0),MATCH('Inl. wetlands'!$E58,IPCC!$A$1854:$J$1854,0)),IF($D$47=list!$J$211,INDEX(IPCC!$A$1854:$J$1865,MATCH(clim_moist,IPCC!$A$1854:$A$1865,0),MATCH('Inl. wetlands'!$E58,IPCC!$A$1854:$J$1854,0)))))),0)</f>
        <v>0</v>
      </c>
      <c r="K71" s="3467">
        <f>IF('6.Inland wetlands'!CP18="",'6.Inland wetlands'!CO18,'6.Inland wetlands'!CP18)</f>
        <v>0</v>
      </c>
      <c r="L71" s="3468">
        <f>IF('6.Inland wetlands'!M30=0, 0,'Inl. wetlands'!C71*44/12*'6.Inland wetlands'!M30)</f>
        <v>0</v>
      </c>
      <c r="M71" s="3468">
        <f>IF('6.Inland wetlands'!S18=0, C71*44/12*'6.Inland wetlands'!N30, IF('6.Inland wetlands'!N30&lt;'6.Inland wetlands'!S18,0, 'Inl. wetlands'!C71*44/12*('6.Inland wetlands'!N30-'6.Inland wetlands'!S18)))</f>
        <v>0</v>
      </c>
      <c r="N71" s="1151">
        <f>IF('6.Inland wetlands'!S18=0, C71*44/12*'6.Inland wetlands'!N30, IF('6.Inland wetlands'!P30&lt;'6.Inland wetlands'!T18,0, 'Inl. wetlands'!C71*44/12*('6.Inland wetlands'!P30-'6.Inland wetlands'!T18)))</f>
        <v>0</v>
      </c>
      <c r="O71" s="4323">
        <f>IF('6.Inland wetlands'!M30=0, 0,$E71*methane/1000*'6.Inland wetlands'!M30*(1-'6.Inland wetlands'!W30))</f>
        <v>0</v>
      </c>
      <c r="P71" s="4323">
        <f>IF('6.Inland wetlands'!S18=0,$E71*methane/1000*'6.Inland wetlands'!N30*(1-'6.Inland wetlands'!X30),IF('6.Inland wetlands'!N30&lt;'6.Inland wetlands'!S18,0, $E71*methane/1000*('6.Inland wetlands'!N30-'6.Inland wetlands'!S18)*(1-'6.Inland wetlands'!X30)))</f>
        <v>0</v>
      </c>
      <c r="Q71" s="4323">
        <f>IF('6.Inland wetlands'!T18=0,$E71*methane/1000*'6.Inland wetlands'!P30*(1-'6.Inland wetlands'!Y30),IF('6.Inland wetlands'!P30&lt;'6.Inland wetlands'!T18,0, $E71*methane/1000*('6.Inland wetlands'!P30-'6.Inland wetlands'!T18)*(1-'6.Inland wetlands'!Y30)))</f>
        <v>0</v>
      </c>
      <c r="R71" s="4323">
        <f>IF('6.Inland wetlands'!M30=0, 0, $G71*'6.Inland wetlands'!M30*44/28*Nitrous/1000)</f>
        <v>0</v>
      </c>
      <c r="S71" s="4323">
        <f>IF('6.Inland wetlands'!S18=0, $G71*'6.Inland wetlands'!N30*44/28*Nitrous/1000, IF('6.Inland wetlands'!N30&lt;'6.Inland wetlands'!S18,0, $G71*('6.Inland wetlands'!N30-'6.Inland wetlands'!S18)*44/28*Nitrous/1000))</f>
        <v>0</v>
      </c>
      <c r="T71" s="4323">
        <f>IF('6.Inland wetlands'!T18=0, $G71*'6.Inland wetlands'!P30*44/28*Nitrous/1000, IF('6.Inland wetlands'!P30&lt;'6.Inland wetlands'!T18,0,$G71*44/28*Nitrous/1000*('6.Inland wetlands'!P30-'6.Inland wetlands'!T18)))</f>
        <v>0</v>
      </c>
      <c r="U71" s="4323">
        <f>IF('6.Inland wetlands'!M30=0, 0, $I71*'6.Inland wetlands'!M30*44/12)</f>
        <v>0</v>
      </c>
      <c r="V71" s="4323">
        <f>IF('6.Inland wetlands'!S18=0, I71*44/12*'6.Inland wetlands'!N30, IF('6.Inland wetlands'!N30&lt;'6.Inland wetlands'!S18,0, 'Inl. wetlands'!I71*44/12*('6.Inland wetlands'!N30-'6.Inland wetlands'!S18)))</f>
        <v>0</v>
      </c>
      <c r="W71" s="4323">
        <f>IF('6.Inland wetlands'!$AC$13=list!$G$213,$I71*'6.Inland wetlands'!Y18*44/12,0)</f>
        <v>0</v>
      </c>
      <c r="X71" s="4323">
        <f>IF('6.Inland wetlands'!M30=0,0, $K71/1000*methane*'6.Inland wetlands'!M30*'6.Inland wetlands'!$W30)</f>
        <v>0</v>
      </c>
      <c r="Y71" s="4323">
        <f>IF('6.Inland wetlands'!S18=0,$K71*methane/1000*'6.Inland wetlands'!N30*('6.Inland wetlands'!X30),IF('6.Inland wetlands'!N30&lt;'6.Inland wetlands'!S18,0, $K71*methane/1000*('6.Inland wetlands'!N30-'6.Inland wetlands'!S18)*('6.Inland wetlands'!X30)))</f>
        <v>0</v>
      </c>
      <c r="Z71" s="4323">
        <f>IF('6.Inland wetlands'!T18=0,$K71*methane/1000*'6.Inland wetlands'!P30*('6.Inland wetlands'!Y30),IF('6.Inland wetlands'!P30&lt;'6.Inland wetlands'!T18,0, $K71*methane/1000*('6.Inland wetlands'!P30-'6.Inland wetlands'!T18)*('6.Inland wetlands'!Y30)))</f>
        <v>0</v>
      </c>
      <c r="AB71" s="3468">
        <f>MIN('Inl. wetlands'!$L71,'Inl. wetlands'!$M71)*time_tot+ABS('Inl. wetlands'!$M71-'Inl. wetlands'!$L71)*IF('Inl. wetlands'!$M71&gt;'Inl. wetlands'!$L71,time_cap+time*(VLOOKUP('6.Inland wetlands'!O30,list!$I$48:$K$50,3,0)),time*(1-(VLOOKUP('6.Inland wetlands'!O30,list!$I$48:$K$50,3,0))))+MIN('Inl. wetlands'!$U71,'Inl. wetlands'!$V71)*time_tot+ABS('Inl. wetlands'!$V71-'Inl. wetlands'!$U71)*IF('Inl. wetlands'!$V71&gt;'Inl. wetlands'!$U71,time_cap+time*(VLOOKUP('6.Inland wetlands'!O30,list!$I$48:$K$50,3,0)),time*(1-(VLOOKUP('6.Inland wetlands'!O30,list!$I$48:$K$50,3,0))))</f>
        <v>0</v>
      </c>
      <c r="AC71" s="3468">
        <f>MIN('Inl. wetlands'!$L71,'Inl. wetlands'!$N71)*time_tot+ABS('Inl. wetlands'!$N71-'Inl. wetlands'!$L71)*IF('Inl. wetlands'!$N71&gt;'Inl. wetlands'!$L71,time_cap+time*(VLOOKUP('6.Inland wetlands'!Q30,list!$I$48:$K$50,3,0)),time*(1-(VLOOKUP('6.Inland wetlands'!Q30,list!$I$48:$K$50,3,0))))+MIN('Inl. wetlands'!$U71,'Inl. wetlands'!$W71)*time_tot+ABS('Inl. wetlands'!$W71-'Inl. wetlands'!$U71)*IF('Inl. wetlands'!$W71&gt;'Inl. wetlands'!$U71,time_cap+time*(VLOOKUP('6.Inland wetlands'!Q30,list!$I$48:$K$50,3,0)),time*(1-(VLOOKUP('6.Inland wetlands'!Q30,list!$I$48:$K$50,3,0))))</f>
        <v>0</v>
      </c>
      <c r="AD71" s="3468">
        <f>MIN('Inl. wetlands'!$O71,'Inl. wetlands'!$P71)*time_tot+ABS('Inl. wetlands'!$P71-'Inl. wetlands'!$O71)*IF('Inl. wetlands'!$P71&gt;'Inl. wetlands'!$O71,time_cap+time*(VLOOKUP('6.Inland wetlands'!O30,list!$I$48:$K$50,3,0)),time*(1-(VLOOKUP('6.Inland wetlands'!O30,list!$I$48:$K$50,3,0))))+MIN('Inl. wetlands'!$X71,'Inl. wetlands'!$Y71)*time_tot+ABS('Inl. wetlands'!$Y71-'Inl. wetlands'!$X71)*IF('Inl. wetlands'!$Y71&gt;'Inl. wetlands'!$X71,time_cap+time*(VLOOKUP('6.Inland wetlands'!O30,list!$I$48:$K$50,3,0)),time*(1-(VLOOKUP('6.Inland wetlands'!O30,list!$I$48:$K$50,3,0))))</f>
        <v>0</v>
      </c>
      <c r="AE71" s="3468">
        <f>MIN('Inl. wetlands'!$O71,'Inl. wetlands'!$Q71)*time_tot+ABS('Inl. wetlands'!$Q71-'Inl. wetlands'!$O71)*IF('Inl. wetlands'!$Q71&gt;'Inl. wetlands'!$O71,time_cap+time*(VLOOKUP('6.Inland wetlands'!Q30,list!$I$48:$K$50,3,0)),time*(1-(VLOOKUP('6.Inland wetlands'!Q30,list!$I$48:$K$50,3,0))))+MIN('Inl. wetlands'!$X71,'Inl. wetlands'!$Z71)*time_tot+ABS('Inl. wetlands'!$Z71-'Inl. wetlands'!$X71)*IF('Inl. wetlands'!$Z71&gt;'Inl. wetlands'!$X71,time_cap+time*(VLOOKUP('6.Inland wetlands'!Q30,list!$I$48:$K$50,3,0)),time*(1-(VLOOKUP('6.Inland wetlands'!Q30,list!$I$48:$K$50,3,0))))</f>
        <v>0</v>
      </c>
      <c r="AF71" s="3468">
        <f>MIN('Inl. wetlands'!$R71,'Inl. wetlands'!$S71)*time_tot+ABS('Inl. wetlands'!$S71-'Inl. wetlands'!$R71)*IF('Inl. wetlands'!$S71&gt;'Inl. wetlands'!$R71,time_cap+time*(VLOOKUP('6.Inland wetlands'!O30,list!$I$48:$K$50,3,0)),time*(1-(VLOOKUP('6.Inland wetlands'!O30,list!$I$48:$K$50,3,0))))</f>
        <v>0</v>
      </c>
      <c r="AG71" s="3468">
        <f>MIN('Inl. wetlands'!$R71,'Inl. wetlands'!$T71)*time_tot+ABS('Inl. wetlands'!$T71-'Inl. wetlands'!$R71)*IF('Inl. wetlands'!$T71&gt;'Inl. wetlands'!$R71,time_cap+time*(VLOOKUP('6.Inland wetlands'!Q30,list!$I$48:$K$50,3,0)),time*(1-(VLOOKUP('6.Inland wetlands'!Q30,list!$I$48:$K$50,3,0))))</f>
        <v>0</v>
      </c>
      <c r="AI71" s="3467">
        <f>SUM('Inl. wetlands'!AB77,'Inl. wetlands'!AD77,'Inl. wetlands'!AF77)+SUM('Inl. wetlands'!AB66,'Inl. wetlands'!AD66,'Inl. wetlands'!AF66)</f>
        <v>16204.075000000001</v>
      </c>
      <c r="AJ71" s="3467">
        <f>SUM('Inl. wetlands'!AC77,'Inl. wetlands'!AE77,'Inl. wetlands'!AG77)+SUM('Inl. wetlands'!AC66,'Inl. wetlands'!AE66,'Inl. wetlands'!AG66)</f>
        <v>23249.325000000001</v>
      </c>
      <c r="AK71" s="3145">
        <f t="shared" ref="AK71:AK76" si="44">AJ71-AI71</f>
        <v>7045.25</v>
      </c>
      <c r="AX71" s="1449">
        <f>MIN($L71,$M71)*time+ABS($M71-$L71)*IF($M71&gt;$L71,time*(VLOOKUP($H58,list!$J$48:$K$50,2,0)),time*(1-(VLOOKUP($H58,list!$J$48:$K$50,2,0))))</f>
        <v>0</v>
      </c>
      <c r="AY71" s="1449">
        <f>MIN($L71,$N71)*time+ABS($N71-$L71)*IF($N71&gt;$L71,time*(VLOOKUP($L58,list!$J$48:$K$50,2,0)),time*(1-(VLOOKUP($L58,list!$J$48:$K$50,2,0))))</f>
        <v>0</v>
      </c>
      <c r="AZ71" s="1449">
        <f>MIN($O71,$P71)*time+ABS($P71-$O71)*IF($P71&gt;$O71,time*(VLOOKUP($H58,list!$J$48:$K$50,2,0)),time*(1-(VLOOKUP($H58,list!$J$48:$K$50,2,0))))</f>
        <v>0</v>
      </c>
      <c r="BA71" s="1449">
        <f>MIN($O71,$Q71)*time+ABS($Q71-$O71)*IF($Q71&gt;$O71,time*(VLOOKUP($L58,list!$J$48:$K$50,2,0)),time*(1-(VLOOKUP($L58,list!$J$48:$K$50,2,0))))</f>
        <v>0</v>
      </c>
      <c r="BB71" s="1449">
        <f>MIN($R71,$S71)*time+ABS($S71-$R71)*IF($S71&gt;$R71,time*(VLOOKUP($H58,list!$J$48:$K$50,2,0)),time*(1-(VLOOKUP($H58,list!$J$48:$K$50,2,0))))</f>
        <v>0</v>
      </c>
      <c r="BC71" s="1449">
        <f>MIN($R71,$T71)*time+ABS($T71-$R71)*IF($T71&gt;$R71,time*(VLOOKUP($L58,list!$J$48:$K$50,2,0)),time*(1-(VLOOKUP($L58,list!$J$48:$K$50,2,0))))</f>
        <v>0</v>
      </c>
      <c r="BD71" s="1449">
        <f>MIN($U71,$V71)*time+ABS($V71-$U71)*IF($V71&gt;$U71,time*(VLOOKUP($H58,list!$J$48:$K$50,2,0)),time*(1-(VLOOKUP($H58,list!$J$48:$K$50,2,0))))</f>
        <v>0</v>
      </c>
      <c r="BE71" s="1449">
        <f>MIN($U71,$W71)*time+ABS($W71-$U71)*IF($W71&gt;$U71,time*(VLOOKUP($L58,list!$J$48:$K$50,2,0)),time*(1-(VLOOKUP($L58,list!$J$48:$K$50,2,0))))</f>
        <v>0</v>
      </c>
      <c r="BF71" s="1449">
        <f>MIN($X71,$Y71)*time+ABS($Y71-$X71)*IF($Y71&gt;$X71,time*(VLOOKUP($H58,list!$J$48:$K$50,2,0)),time*(1-(VLOOKUP($H58,list!$J$48:$K$50,2,0))))</f>
        <v>0</v>
      </c>
      <c r="BG71" s="1449">
        <f>MIN($X71,$Z71)*time+ABS($Z71-$X71)*IF($Z71&gt;$X71,time*(VLOOKUP($L58,list!$J$48:$K$50,2,0)),time*(1-(VLOOKUP($L58,list!$J$48:$K$50,2,0))))</f>
        <v>0</v>
      </c>
    </row>
    <row r="72" spans="1:59" x14ac:dyDescent="0.15">
      <c r="I72" s="1246"/>
      <c r="L72" s="1246"/>
      <c r="AA72" s="1246"/>
      <c r="AB72" s="1246"/>
      <c r="AC72" s="1246"/>
      <c r="AD72" s="1246"/>
      <c r="AE72" s="1246"/>
      <c r="AF72" s="1246"/>
      <c r="AI72" s="3467">
        <f t="shared" ref="AI72:AJ76" si="45">SUM(AB78,AD78,AF78)+SUM(AB67,AD67,AF67)</f>
        <v>0</v>
      </c>
      <c r="AJ72" s="3467">
        <f t="shared" si="45"/>
        <v>0</v>
      </c>
      <c r="AK72" s="3145">
        <f t="shared" si="44"/>
        <v>0</v>
      </c>
    </row>
    <row r="73" spans="1:59" ht="16" x14ac:dyDescent="0.2">
      <c r="A73" s="1308" t="s">
        <v>1178</v>
      </c>
      <c r="B73" s="1271" t="s">
        <v>1169</v>
      </c>
      <c r="C73" s="1271"/>
      <c r="D73" s="1271"/>
      <c r="E73" s="1271"/>
      <c r="F73" s="1271"/>
      <c r="G73" s="1271"/>
      <c r="H73" s="1273" t="s">
        <v>1170</v>
      </c>
      <c r="I73" s="1273"/>
      <c r="J73" s="1273"/>
      <c r="K73" s="1273"/>
      <c r="L73" s="1307" t="s">
        <v>1171</v>
      </c>
      <c r="M73" s="1308"/>
      <c r="N73" s="1307"/>
      <c r="O73" s="1307"/>
      <c r="P73" s="1307"/>
      <c r="Q73" s="1307"/>
      <c r="R73" s="1307"/>
      <c r="S73" s="1307"/>
      <c r="T73" s="1307"/>
      <c r="U73" s="1279"/>
      <c r="V73" s="1279"/>
      <c r="W73" s="1279"/>
      <c r="X73" s="1279"/>
      <c r="Y73" s="1279"/>
      <c r="Z73" s="1279"/>
      <c r="AA73" s="1246"/>
      <c r="AB73" s="1287" t="s">
        <v>1172</v>
      </c>
      <c r="AC73" s="1264"/>
      <c r="AD73" s="1264"/>
      <c r="AE73" s="1264"/>
      <c r="AF73" s="1264"/>
      <c r="AG73" s="1264"/>
      <c r="AI73" s="3467">
        <f t="shared" si="45"/>
        <v>0</v>
      </c>
      <c r="AJ73" s="3467">
        <f t="shared" si="45"/>
        <v>0</v>
      </c>
      <c r="AK73" s="3145">
        <f t="shared" si="44"/>
        <v>0</v>
      </c>
    </row>
    <row r="74" spans="1:59" ht="16" x14ac:dyDescent="0.2">
      <c r="A74" s="1308"/>
      <c r="B74" s="1271" t="s">
        <v>1036</v>
      </c>
      <c r="C74" s="1264"/>
      <c r="D74" s="1271" t="s">
        <v>176</v>
      </c>
      <c r="E74" s="1264"/>
      <c r="F74" s="1271" t="s">
        <v>177</v>
      </c>
      <c r="G74" s="1264"/>
      <c r="H74" s="1273" t="s">
        <v>1037</v>
      </c>
      <c r="I74" s="1261"/>
      <c r="J74" s="1273" t="s">
        <v>176</v>
      </c>
      <c r="K74" s="1261"/>
      <c r="L74" s="1264"/>
      <c r="M74" s="1264"/>
      <c r="N74" s="1264"/>
      <c r="O74" s="1264"/>
      <c r="P74" s="1264"/>
      <c r="Q74" s="1264"/>
      <c r="R74" s="1264"/>
      <c r="S74" s="1264"/>
      <c r="T74" s="1264"/>
      <c r="U74" s="1261"/>
      <c r="V74" s="1261"/>
      <c r="W74" s="1261"/>
      <c r="X74" s="1261"/>
      <c r="Y74" s="1261"/>
      <c r="Z74" s="1261"/>
      <c r="AA74" s="1246"/>
      <c r="AB74" s="1287" t="s">
        <v>1175</v>
      </c>
      <c r="AC74" s="1264"/>
      <c r="AD74" s="1264"/>
      <c r="AE74" s="1264"/>
      <c r="AF74" s="1264"/>
      <c r="AG74" s="1264"/>
      <c r="AI74" s="3467">
        <f t="shared" si="45"/>
        <v>0</v>
      </c>
      <c r="AJ74" s="3467">
        <f t="shared" si="45"/>
        <v>0</v>
      </c>
      <c r="AK74" s="3145">
        <f t="shared" si="44"/>
        <v>0</v>
      </c>
    </row>
    <row r="75" spans="1:59" x14ac:dyDescent="0.15">
      <c r="A75" s="1264"/>
      <c r="B75" s="1264" t="s">
        <v>92</v>
      </c>
      <c r="C75" s="1264"/>
      <c r="D75" s="1264" t="s">
        <v>1044</v>
      </c>
      <c r="E75" s="1264"/>
      <c r="F75" s="1264" t="s">
        <v>1045</v>
      </c>
      <c r="G75" s="1264"/>
      <c r="H75" s="1261" t="s">
        <v>92</v>
      </c>
      <c r="I75" s="1261"/>
      <c r="J75" s="1261" t="s">
        <v>1044</v>
      </c>
      <c r="K75" s="1261"/>
      <c r="L75" s="1271" t="s">
        <v>1036</v>
      </c>
      <c r="M75" s="1264"/>
      <c r="N75" s="1271"/>
      <c r="O75" s="1271" t="s">
        <v>176</v>
      </c>
      <c r="P75" s="1264"/>
      <c r="Q75" s="1271"/>
      <c r="R75" s="1271" t="s">
        <v>177</v>
      </c>
      <c r="S75" s="1264"/>
      <c r="T75" s="1271"/>
      <c r="U75" s="1273" t="s">
        <v>1037</v>
      </c>
      <c r="V75" s="1261"/>
      <c r="W75" s="1273"/>
      <c r="X75" s="1273" t="s">
        <v>176</v>
      </c>
      <c r="Y75" s="1261"/>
      <c r="Z75" s="1273"/>
      <c r="AA75" s="1246"/>
      <c r="AB75" s="1264" t="s">
        <v>1176</v>
      </c>
      <c r="AC75" s="1264"/>
      <c r="AD75" s="1264" t="s">
        <v>176</v>
      </c>
      <c r="AE75" s="1264"/>
      <c r="AF75" s="1264" t="s">
        <v>177</v>
      </c>
      <c r="AG75" s="1264"/>
      <c r="AI75" s="3467">
        <f t="shared" si="45"/>
        <v>0</v>
      </c>
      <c r="AJ75" s="3467">
        <f t="shared" si="45"/>
        <v>0</v>
      </c>
      <c r="AK75" s="3145">
        <f t="shared" si="44"/>
        <v>0</v>
      </c>
    </row>
    <row r="76" spans="1:59" x14ac:dyDescent="0.15">
      <c r="A76" s="1264"/>
      <c r="B76" s="1272" t="s">
        <v>864</v>
      </c>
      <c r="C76" s="1272" t="s">
        <v>66</v>
      </c>
      <c r="D76" s="1272" t="s">
        <v>864</v>
      </c>
      <c r="E76" s="1272" t="s">
        <v>66</v>
      </c>
      <c r="F76" s="1272" t="s">
        <v>864</v>
      </c>
      <c r="G76" s="1272" t="s">
        <v>66</v>
      </c>
      <c r="H76" s="1274" t="s">
        <v>864</v>
      </c>
      <c r="I76" s="1274" t="s">
        <v>66</v>
      </c>
      <c r="J76" s="1274" t="s">
        <v>864</v>
      </c>
      <c r="K76" s="1274" t="s">
        <v>66</v>
      </c>
      <c r="L76" s="973" t="s">
        <v>219</v>
      </c>
      <c r="M76" s="1102" t="s">
        <v>179</v>
      </c>
      <c r="N76" s="1103" t="s">
        <v>180</v>
      </c>
      <c r="O76" s="973" t="s">
        <v>219</v>
      </c>
      <c r="P76" s="1102" t="s">
        <v>179</v>
      </c>
      <c r="Q76" s="1103" t="s">
        <v>180</v>
      </c>
      <c r="R76" s="973" t="s">
        <v>219</v>
      </c>
      <c r="S76" s="1102" t="s">
        <v>179</v>
      </c>
      <c r="T76" s="1103" t="s">
        <v>180</v>
      </c>
      <c r="U76" s="973" t="s">
        <v>219</v>
      </c>
      <c r="V76" s="1102" t="s">
        <v>179</v>
      </c>
      <c r="W76" s="1103" t="s">
        <v>180</v>
      </c>
      <c r="X76" s="973" t="s">
        <v>219</v>
      </c>
      <c r="Y76" s="1102" t="s">
        <v>179</v>
      </c>
      <c r="Z76" s="1103" t="s">
        <v>180</v>
      </c>
      <c r="AA76" s="1246"/>
      <c r="AB76" s="1102" t="s">
        <v>179</v>
      </c>
      <c r="AC76" s="1103" t="s">
        <v>180</v>
      </c>
      <c r="AD76" s="1102" t="s">
        <v>179</v>
      </c>
      <c r="AE76" s="1103" t="s">
        <v>180</v>
      </c>
      <c r="AF76" s="1102" t="s">
        <v>179</v>
      </c>
      <c r="AG76" s="1103" t="s">
        <v>180</v>
      </c>
      <c r="AI76" s="3467">
        <f t="shared" si="45"/>
        <v>0</v>
      </c>
      <c r="AJ76" s="3467">
        <f t="shared" si="45"/>
        <v>0</v>
      </c>
      <c r="AK76" s="3145">
        <f t="shared" si="44"/>
        <v>0</v>
      </c>
    </row>
    <row r="77" spans="1:59" x14ac:dyDescent="0.15">
      <c r="A77" s="1467" t="s">
        <v>1160</v>
      </c>
      <c r="B77" s="1110">
        <f>IFERROR(IF(AND(OR('Inl. wetlands'!$E53="Other land",'Inl. wetlands'!$E53="Degraded land"),'Inl. wetlands'!$J$47=list!$J$210),INDEX(IPCC!$A$1762:$J$1773,MATCH(clim_moist,IPCC!$A$1762:$A$1773,0),MATCH('Inl. wetlands'!$E53,IPCC!$A$1762:$J$1762,0)),IF(AND(OR('Inl. wetlands'!$E53="Other land",'Inl. wetlands'!$E53="Degraded land"),'Inl. wetlands'!$J$47=list!$J$211),INDEX(IPCC!$A$1781:$J$1792,MATCH(clim_moist,IPCC!$A$1781:$A$1792,0),MATCH('Inl. wetlands'!$E53,IPCC!$A$1781:$J$1781,0)),IF('Inl. wetlands'!$J$47=list!$J$210,INDEX(IPCC!$A$1762:$J$1773,MATCH(clim_moist,IPCC!$A$1781:$A$1792,0),MATCH('Inl. wetlands'!$E53,IPCC!$A$1781:$J$1781,0)),IF('Inl. wetlands'!$J$47=list!$J$211,INDEX(IPCC!$A$1781:$J$1792,MATCH(clim_moist,IPCC!$A$1781:$A$1792,0),MATCH('Inl. wetlands'!$E53,IPCC!$A$1781:$J$1781,0)))))),0)</f>
        <v>7.9</v>
      </c>
      <c r="C77" s="1104">
        <f>IF('6.Inland wetlands'!CG25="",'6.Inland wetlands'!CF25,'6.Inland wetlands'!CG25)</f>
        <v>7.9</v>
      </c>
      <c r="D77" s="1044">
        <f>IFERROR(IF(AND(OR('Inl. wetlands'!$E53="Other land",'Inl. wetlands'!$E53="Degraded land"),'Inl. wetlands'!$J$47=list!$J$210),INDEX(IPCC!$A$1818:$J$1829,MATCH(clim_moist,IPCC!$A$1818:$A$1829,0),MATCH('Inl. wetlands'!E53,IPCC!$A$1818:$J$1818,0)),IF(AND(OR('Inl. wetlands'!$E53="Other land",'Inl. wetlands'!$E53="Degraded land"),'Inl. wetlands'!$J$47=list!$J$211),INDEX(IPCC!$A$1836:$J$1847,MATCH(clim_moist,IPCC!$A$1836:$A$1847,0),MATCH('Inl. wetlands'!$E53,IPCC!$A$1836:$J$1836,0)),IF('Inl. wetlands'!$J$47=list!$J$210,INDEX(IPCC!$A$1818:$G$1829,MATCH(clim_moist,IPCC!$A$1818:$A$1829,0),MATCH('Inl. wetlands'!$E53,IPCC!$A$1818:$J$1818,0)),IF('Inl. wetlands'!$J$47=list!$J$211,INDEX(IPCC!$A$1836:$J$1847,MATCH(clim_moist,IPCC!$A$1836:$A$1847,0),MATCH('Inl. wetlands'!$E53,IPCC!$A$1836:$J$1836,0)))))),0)</f>
        <v>0</v>
      </c>
      <c r="E77" s="1104">
        <f>IF('6.Inland wetlands'!CI25="",'6.Inland wetlands'!CH25,'6.Inland wetlands'!CI25)</f>
        <v>0</v>
      </c>
      <c r="F77" s="1044">
        <f>IFERROR(IF(AND(OR('Inl. wetlands'!$E53="Other land",'Inl. wetlands'!$E53="Degraded land"),'Inl. wetlands'!$J$47=list!$J$210),INDEX(IPCC!$A$1872:$J$1883,MATCH(clim_moist,IPCC!$A$1872:$A$1883,0),MATCH('Inl. wetlands'!D53,IPCC!$A$1872:$J$1872,0)),IF(AND(OR('Inl. wetlands'!$E53="Other land",'Inl. wetlands'!$E53="Degraded land"),'Inl. wetlands'!$J$47=list!$J$211),INDEX(IPCC!$A$1890:$J$1901,MATCH(clim_moist,IPCC!$A$1890:$A$1901,0),MATCH('Inl. wetlands'!$E53,IPCC!$A$1890:$J$1890,0)),IF('Inl. wetlands'!$J$47=list!$J$210,INDEX(IPCC!$A$1872:$J$1883,MATCH(clim_moist,IPCC!$A$1872:$A$1883,0),MATCH('Inl. wetlands'!$E53,IPCC!$A$1872:$J$1872,0)),IF('Inl. wetlands'!$J$47=list!$J$211,INDEX(IPCC!$A$1890:$J$1901,MATCH(clim_moist,IPCC!$A$1890:$A$1901,0),MATCH('Inl. wetlands'!$E53,IPCC!$A$1890:$J$1890,0)))))),0)</f>
        <v>13</v>
      </c>
      <c r="G77" s="1104">
        <f>IF('6.Inland wetlands'!CK25="",'6.Inland wetlands'!CJ25,'6.Inland wetlands'!CK25)</f>
        <v>13</v>
      </c>
      <c r="H77" s="1110">
        <f>IFERROR(IF(AND(OR('Inl. wetlands'!$E53="Other land",'Inl. wetlands'!$E53="Degraded land"),'Inl. wetlands'!$J$47=list!$J$210),INDEX(IPCC!$A$1800:$J$1811,MATCH(clim_moist,IPCC!$A$1800:$A$1811,0),MATCH('Inl. wetlands'!E53,IPCC!$A$1800:$J$1800,0)),IF(AND(OR('Inl. wetlands'!$E53="Other land",'Inl. wetlands'!$E53="Degraded land"),'Inl. wetlands'!$J$47=list!$J$211),INDEX(IPCC!$A$1800:$J$1811,MATCH(clim_moist,IPCC!$A$1800:$A$1811,0),MATCH('Inl. wetlands'!$E53,IPCC!$A$1800:$J$1800,0)),IF('Inl. wetlands'!$J$47=list!$J$210,INDEX(IPCC!$A$1800:$J$1811,MATCH(clim_moist,IPCC!$A$1800:$A$1811,0),MATCH('Inl. wetlands'!$E53,IPCC!$A$1800:$J$1800,0)),IF('Inl. wetlands'!$J$47=list!$J$211,INDEX(IPCC!$A$1800:$J$1811,MATCH(clim_moist,IPCC!$A$1800:$A$1811,0),MATCH('Inl. wetlands'!$E53,IPCC!$A$1800:$J$1800,0)))))),0)</f>
        <v>0.31</v>
      </c>
      <c r="I77" s="1104">
        <f>IF('6.Inland wetlands'!CN25="",'6.Inland wetlands'!CM25,'6.Inland wetlands'!CN25)</f>
        <v>0.31</v>
      </c>
      <c r="J77" s="1111">
        <f>IFERROR(IF(AND(OR('Inl. wetlands'!$E53="Other land",'Inl. wetlands'!$E53="Degraded land"),'Inl. wetlands'!$J$47=list!$J$210),INDEX(IPCC!$A$1854:$J$1865,MATCH(clim_moist,IPCC!$A$1854:$A$1865,0),MATCH('Inl. wetlands'!$E53,IPCC!$A$1854:$J$1854,0)),IF(AND(OR('Inl. wetlands'!$E53="Other land",'Inl. wetlands'!$E53="Degraded land"),'Inl. wetlands'!$J$47=list!$J$211),INDEX(IPCC!$A$1854:$J$1865,MATCH(clim_moist,IPCC!$A$1854:A$1865,0),MATCH('Inl. wetlands'!$E53,IPCC!$A$1854:$J$1854,0)),IF('Inl. wetlands'!$J$47=list!$J$210,INDEX(IPCC!$A$1854:$J$1865,MATCH(clim_moist,IPCC!$A$1854:$A$1865,0),MATCH('Inl. wetlands'!$E53,IPCC!$A$1854:$J$1854,0)),IF('Inl. wetlands'!$J$47=list!$J$211,INDEX(IPCC!$A$1854:$J$1865,MATCH(clim_moist,IPCC!$A$1854:$A$1865,0),MATCH('Inl. wetlands'!$E53,IPCC!$A$1854:$J$1854,0)))))),0)</f>
        <v>1165</v>
      </c>
      <c r="K77" s="3467">
        <f>IF('6.Inland wetlands'!CP25="",'6.Inland wetlands'!CO25,'6.Inland wetlands'!CP25)</f>
        <v>1165</v>
      </c>
      <c r="L77" s="1543">
        <v>0</v>
      </c>
      <c r="M77" s="1543">
        <f>IF('6.Inland wetlands'!S13=0, 0, IF('6.Inland wetlands'!N25&lt;'6.Inland wetlands'!S13, 'Inl. wetlands'!C77*44/12*'6.Inland wetlands'!N25, 'Inl. wetlands'!C77*44/12*('6.Inland wetlands'!S13)))</f>
        <v>0</v>
      </c>
      <c r="N77" s="4323">
        <f>IF('6.Inland wetlands'!T13=0, 0, IF('6.Inland wetlands'!P25&lt;'6.Inland wetlands'!T13, 'Inl. wetlands'!C77*44/12*'6.Inland wetlands'!P25, 'Inl. wetlands'!C77*44/12*('6.Inland wetlands'!T13)))</f>
        <v>0</v>
      </c>
      <c r="O77" s="4323">
        <v>0</v>
      </c>
      <c r="P77" s="4323">
        <f>IF('6.Inland wetlands'!S13=0, 0, IF('6.Inland wetlands'!N25&lt;'6.Inland wetlands'!S13, 'Inl. wetlands'!E77*methane/1000*'6.Inland wetlands'!N25*(1-'6.Inland wetlands'!X25), 'Inl. wetlands'!E77*methane/1000*('6.Inland wetlands'!S13*(1-'6.Inland wetlands'!X25))))</f>
        <v>0</v>
      </c>
      <c r="Q77" s="4323">
        <f>IF('6.Inland wetlands'!T13=0, 0, IF('6.Inland wetlands'!P25&lt;'6.Inland wetlands'!T13, 'Inl. wetlands'!E77*methane/1000*'6.Inland wetlands'!P25*(1-'6.Inland wetlands'!Y25), 'Inl. wetlands'!E77*methane/1000*('6.Inland wetlands'!T13*(1-'6.Inland wetlands'!Y25))))</f>
        <v>0</v>
      </c>
      <c r="R77" s="4323">
        <v>0</v>
      </c>
      <c r="S77" s="4323">
        <f>IF('6.Inland wetlands'!S13=0, 0, IF('6.Inland wetlands'!N25&lt;'6.Inland wetlands'!S13, 'Inl. wetlands'!G77*44/28*Nitrous/1000*'6.Inland wetlands'!N25, 'Inl. wetlands'!G77*44/28*Nitrous/1000*('6.Inland wetlands'!S13)))</f>
        <v>0</v>
      </c>
      <c r="T77" s="4323">
        <f>IF('6.Inland wetlands'!T13=0, 0, IF('6.Inland wetlands'!P25&lt;'6.Inland wetlands'!T13, 'Inl. wetlands'!G77*44/28*Nitrous/1000*'6.Inland wetlands'!P25, 'Inl. wetlands'!G77*44/28*Nitrous/1000*('6.Inland wetlands'!T13)))</f>
        <v>0</v>
      </c>
      <c r="U77" s="4323">
        <v>0</v>
      </c>
      <c r="V77" s="4323">
        <f>IF('6.Inland wetlands'!S13=0, 0, IF('6.Inland wetlands'!N25&lt;'6.Inland wetlands'!S13, 'Inl. wetlands'!I77*44/12*'6.Inland wetlands'!N25, 'Inl. wetlands'!I77*44/12*('6.Inland wetlands'!S13)))</f>
        <v>0</v>
      </c>
      <c r="W77" s="4323">
        <f>IF('6.Inland wetlands'!T13=0, 0, IF('6.Inland wetlands'!P25&lt;'6.Inland wetlands'!T13, 'Inl. wetlands'!I77*44/12*'6.Inland wetlands'!P25, 'Inl. wetlands'!I77*44/12*('6.Inland wetlands'!T13)))</f>
        <v>0</v>
      </c>
      <c r="X77" s="4323">
        <v>0</v>
      </c>
      <c r="Y77" s="1146">
        <f>IF('6.Inland wetlands'!S13=0, 0, IF('6.Inland wetlands'!N25&lt;'6.Inland wetlands'!S13, 'Inl. wetlands'!K77*methane/1000*'6.Inland wetlands'!N25*('6.Inland wetlands'!X25), 'Inl. wetlands'!K77*methane/1000*('6.Inland wetlands'!S13*('6.Inland wetlands'!X25))))</f>
        <v>0</v>
      </c>
      <c r="Z77" s="1146">
        <f>IF('6.Inland wetlands'!T13=0, 0, IF('6.Inland wetlands'!P25&lt;'6.Inland wetlands'!T13, 'Inl. wetlands'!K77*methane/1000*'6.Inland wetlands'!P25*('6.Inland wetlands'!Y25), 'Inl. wetlands'!K77*methane/1000*('6.Inland wetlands'!T13*('6.Inland wetlands'!Y25))))</f>
        <v>0</v>
      </c>
      <c r="AA77" s="1246"/>
      <c r="AB77" s="3468">
        <f>MIN('Inl. wetlands'!$L77,'Inl. wetlands'!$M77)*time_tot+ABS('Inl. wetlands'!$M77-'Inl. wetlands'!$L77)*IF('Inl. wetlands'!$M77&gt;'Inl. wetlands'!$L77,time_cap+time*(VLOOKUP('6.Inland wetlands'!O25,list!$I$48:$K$50,3,0)),time*(1-(VLOOKUP('6.Inland wetlands'!O25,list!$I$48:$K$50,3,0))))+MIN('Inl. wetlands'!$U77,'Inl. wetlands'!$V77)*time_tot+ABS('Inl. wetlands'!$V77-'Inl. wetlands'!$U77)*IF('Inl. wetlands'!$V77&gt;'Inl. wetlands'!$U77,time_cap+time*(VLOOKUP('6.Inland wetlands'!O25,list!$I$48:$K$50,3,0)),time*(1-(VLOOKUP('6.Inland wetlands'!O25,list!$I$48:$K$50,3,0))))</f>
        <v>0</v>
      </c>
      <c r="AC77" s="3468">
        <f>MIN('Inl. wetlands'!$L77,'Inl. wetlands'!$N77)*time_tot+ABS('Inl. wetlands'!$N77-'Inl. wetlands'!$L77)*IF('Inl. wetlands'!$N77&gt;'Inl. wetlands'!$L77,time_cap+time*(VLOOKUP('6.Inland wetlands'!Q25,list!$I$48:$K$50,3,0)),time*(1-(VLOOKUP('6.Inland wetlands'!Q25,list!$I$48:$K$50,3,0))))+MIN('Inl. wetlands'!$U77,'Inl. wetlands'!$W77)*time_tot+ABS('Inl. wetlands'!$W77-'Inl. wetlands'!$U77)*IF('Inl. wetlands'!$W77&gt;'Inl. wetlands'!$U77,time_cap+time*(VLOOKUP('6.Inland wetlands'!Q25,list!$I$48:$K$50,3,0)),time*(1-(VLOOKUP('6.Inland wetlands'!Q25,list!$I$48:$K$50,3,0))))</f>
        <v>0</v>
      </c>
      <c r="AD77" s="3468">
        <f>MIN('Inl. wetlands'!$O77,'Inl. wetlands'!$P77)*time_tot+ABS('Inl. wetlands'!$P77-'Inl. wetlands'!$O77)*IF('Inl. wetlands'!$P77&gt;'Inl. wetlands'!$O77,time_cap+time*(VLOOKUP('6.Inland wetlands'!O25,list!$I$48:$K$50,3,0)),time*(1-(VLOOKUP('6.Inland wetlands'!O25,list!$I$48:$K$50,3,0))))+MIN('Inl. wetlands'!$X77,'Inl. wetlands'!$Y77)*time_tot+ABS('Inl. wetlands'!$Y77-'Inl. wetlands'!$X77)*IF('Inl. wetlands'!$Y77&gt;'Inl. wetlands'!$X77,time_cap+time*(VLOOKUP('6.Inland wetlands'!O25,list!$I$48:$K$50,3,0)),time*(1-(VLOOKUP('6.Inland wetlands'!O25,list!$I$48:$K$50,3,0))))</f>
        <v>0</v>
      </c>
      <c r="AE77" s="3468">
        <f>MIN('Inl. wetlands'!$O77,'Inl. wetlands'!$Q77)*time_tot+ABS('Inl. wetlands'!$Q77-'Inl. wetlands'!$O77)*IF('Inl. wetlands'!$Q77&gt;'Inl. wetlands'!$O77,time_cap+time*(VLOOKUP('6.Inland wetlands'!Q25,list!$I$48:$K$50,3,0)),time*(1-(VLOOKUP('6.Inland wetlands'!Q25,list!$I$48:$K$50,3,0))))+MIN('Inl. wetlands'!$X77,'Inl. wetlands'!$Z77)*time_tot+ABS('Inl. wetlands'!$Z77-'Inl. wetlands'!$X77)*IF('Inl. wetlands'!$Z77&gt;'Inl. wetlands'!$X77,time_cap+time*(VLOOKUP('6.Inland wetlands'!Q25,list!$I$48:$K$50,3,0)),time*(1-(VLOOKUP('6.Inland wetlands'!Q25,list!$I$48:$K$50,3,0))))</f>
        <v>0</v>
      </c>
      <c r="AF77" s="3468">
        <f>MIN('Inl. wetlands'!$R77,'Inl. wetlands'!$S77)*time_tot+ABS('Inl. wetlands'!$S77-'Inl. wetlands'!$R77)*IF('Inl. wetlands'!$S77&gt;'Inl. wetlands'!$R77,time_cap+time*(VLOOKUP('6.Inland wetlands'!O25,list!$I$48:$K$50,3,0)),time*(1-(VLOOKUP('6.Inland wetlands'!O25,list!$I$48:$K$50,3,0))))</f>
        <v>0</v>
      </c>
      <c r="AG77" s="3468">
        <f>MIN('Inl. wetlands'!$R77,'Inl. wetlands'!$T77)*time_tot+ABS('Inl. wetlands'!$T77-'Inl. wetlands'!$R77)*IF('Inl. wetlands'!$T77&gt;'Inl. wetlands'!$R77,time_cap+time*(VLOOKUP('6.Inland wetlands'!Q25,list!$I$48:$K$50,3,0)),time*(1-(VLOOKUP('6.Inland wetlands'!Q25,list!$I$48:$K$50,3,0))))</f>
        <v>0</v>
      </c>
      <c r="AI77" s="992"/>
      <c r="AJ77" s="992"/>
      <c r="AK77" s="992"/>
    </row>
    <row r="78" spans="1:59" x14ac:dyDescent="0.15">
      <c r="A78" s="1467" t="s">
        <v>1161</v>
      </c>
      <c r="B78" s="1110">
        <f>IFERROR(IF(AND(OR('Inl. wetlands'!$E54="Other land",'Inl. wetlands'!$E54="Degraded land"),'Inl. wetlands'!$J$47=list!$J$210),INDEX(IPCC!$A$1762:$J$1773,MATCH(clim_moist,IPCC!$A$1762:$A$1773,0),MATCH('Inl. wetlands'!$E54,IPCC!$A$1762:$J$1762,0)),IF(AND(OR('Inl. wetlands'!$E54="Other land",'Inl. wetlands'!$E54="Degraded land"),'Inl. wetlands'!$J$47=list!$J$211),INDEX(IPCC!$A$1781:$J$1792,MATCH(clim_moist,IPCC!$A$1781:$A$1792,0),MATCH('Inl. wetlands'!$E54,IPCC!$A$1781:$J$1781,0)),IF('Inl. wetlands'!$J$47=list!$J$210,INDEX(IPCC!$A$1762:$J$1773,MATCH(clim_moist,IPCC!$A$1781:$A$1792,0),MATCH('Inl. wetlands'!$E54,IPCC!$A$1781:$J$1781,0)),IF('Inl. wetlands'!$J$47=list!$J$211,INDEX(IPCC!$A$1781:$J$1792,MATCH(clim_moist,IPCC!$A$1781:$A$1792,0),MATCH('Inl. wetlands'!$E54,IPCC!$A$1781:$J$1781,0)))))),0)</f>
        <v>0</v>
      </c>
      <c r="C78" s="1104">
        <f>IF('6.Inland wetlands'!CG26="",'6.Inland wetlands'!CF26,'6.Inland wetlands'!CG26)</f>
        <v>0</v>
      </c>
      <c r="D78" s="1044">
        <f>IFERROR(IF(AND(OR('Inl. wetlands'!$E54="Other land",'Inl. wetlands'!$E54="Degraded land"),'Inl. wetlands'!$J$47=list!$J$210),INDEX(IPCC!$A$1818:$J$1829,MATCH(clim_moist,IPCC!$A$1818:$A$1829,0),MATCH('Inl. wetlands'!E54,IPCC!$A$1818:$J$1818,0)),IF(AND(OR('Inl. wetlands'!$E54="Other land",'Inl. wetlands'!$E54="Degraded land"),'Inl. wetlands'!$J$47=list!$J$211),INDEX(IPCC!$A$1836:$J$1847,MATCH(clim_moist,IPCC!$A$1836:$A$1847,0),MATCH('Inl. wetlands'!$E54,IPCC!$A$1836:$J$1836,0)),IF('Inl. wetlands'!$J$47=list!$J$210,INDEX(IPCC!$A$1818:$G$1829,MATCH(clim_moist,IPCC!$A$1818:$A$1829,0),MATCH('Inl. wetlands'!$E54,IPCC!$A$1818:$J$1818,0)),IF('Inl. wetlands'!$J$47=list!$J$211,INDEX(IPCC!$A$1836:$J$1847,MATCH(clim_moist,IPCC!$A$1836:$A$1847,0),MATCH('Inl. wetlands'!$E54,IPCC!$A$1836:$J$1836,0)))))),0)</f>
        <v>0</v>
      </c>
      <c r="E78" s="1104">
        <f>IF('6.Inland wetlands'!CI26="",'6.Inland wetlands'!CH26,'6.Inland wetlands'!CI26)</f>
        <v>0</v>
      </c>
      <c r="F78" s="1044">
        <f>IFERROR(IF(AND(OR('Inl. wetlands'!$E54="Other land",'Inl. wetlands'!$E54="Degraded land"),'Inl. wetlands'!$J$47=list!$J$210),INDEX(IPCC!$A$1872:$J$1883,MATCH(clim_moist,IPCC!$A$1872:$A$1883,0),MATCH('Inl. wetlands'!D54,IPCC!$A$1872:$J$1872,0)),IF(AND(OR('Inl. wetlands'!$E54="Other land",'Inl. wetlands'!$E54="Degraded land"),'Inl. wetlands'!$J$47=list!$J$211),INDEX(IPCC!$A$1890:$J$1901,MATCH(clim_moist,IPCC!$A$1890:$A$1901,0),MATCH('Inl. wetlands'!$E54,IPCC!$A$1890:$J$1890,0)),IF('Inl. wetlands'!$J$47=list!$J$210,INDEX(IPCC!$A$1872:$J$1883,MATCH(clim_moist,IPCC!$A$1872:$A$1883,0),MATCH('Inl. wetlands'!$E54,IPCC!$A$1872:$J$1872,0)),IF('Inl. wetlands'!$J$47=list!$J$211,INDEX(IPCC!$A$1890:$J$1901,MATCH(clim_moist,IPCC!$A$1890:$A$1901,0),MATCH('Inl. wetlands'!$E54,IPCC!$A$1890:$J$1890,0)))))),0)</f>
        <v>0</v>
      </c>
      <c r="G78" s="1104">
        <f>IF('6.Inland wetlands'!CK26="",'6.Inland wetlands'!CJ26,'6.Inland wetlands'!CK26)</f>
        <v>0</v>
      </c>
      <c r="H78" s="1110">
        <f>IFERROR(IF(AND(OR('Inl. wetlands'!$E54="Other land",'Inl. wetlands'!$E54="Degraded land"),'Inl. wetlands'!$J$47=list!$J$210),INDEX(IPCC!$A$1800:$J$1811,MATCH(clim_moist,IPCC!$A$1800:$A$1811,0),MATCH('Inl. wetlands'!E54,IPCC!$A$1800:$J$1800,0)),IF(AND(OR('Inl. wetlands'!$E54="Other land",'Inl. wetlands'!$E54="Degraded land"),'Inl. wetlands'!$J$47=list!$J$211),INDEX(IPCC!$A$1800:$J$1811,MATCH(clim_moist,IPCC!$A$1800:$A$1811,0),MATCH('Inl. wetlands'!$E54,IPCC!$A$1800:$J$1800,0)),IF('Inl. wetlands'!$J$47=list!$J$210,INDEX(IPCC!$A$1800:$J$1811,MATCH(clim_moist,IPCC!$A$1800:$A$1811,0),MATCH('Inl. wetlands'!$E54,IPCC!$A$1800:$J$1800,0)),IF('Inl. wetlands'!$J$47=list!$J$211,INDEX(IPCC!$A$1800:$J$1811,MATCH(clim_moist,IPCC!$A$1800:$A$1811,0),MATCH('Inl. wetlands'!$E54,IPCC!$A$1800:$J$1800,0)))))),0)</f>
        <v>0</v>
      </c>
      <c r="I78" s="1104">
        <f>IF('6.Inland wetlands'!CN26="",'6.Inland wetlands'!CM26,'6.Inland wetlands'!CN26)</f>
        <v>0</v>
      </c>
      <c r="J78" s="1111">
        <f>IFERROR(IF(AND(OR('Inl. wetlands'!$E54="Other land",'Inl. wetlands'!$E54="Degraded land"),'Inl. wetlands'!$J$47=list!$J$210),INDEX(IPCC!$A$1854:$J$1865,MATCH(clim_moist,IPCC!$A$1854:$A$1865,0),MATCH('Inl. wetlands'!$E54,IPCC!$A$1854:$J$1854,0)),IF(AND(OR('Inl. wetlands'!$E54="Other land",'Inl. wetlands'!$E54="Degraded land"),'Inl. wetlands'!$J$47=list!$J$211),INDEX(IPCC!$A$1854:$J$1865,MATCH(clim_moist,IPCC!$A$1854:A$1865,0),MATCH('Inl. wetlands'!$E54,IPCC!$A$1854:$J$1854,0)),IF('Inl. wetlands'!$J$47=list!$J$210,INDEX(IPCC!$A$1854:$J$1865,MATCH(clim_moist,IPCC!$A$1854:$A$1865,0),MATCH('Inl. wetlands'!$E54,IPCC!$A$1854:$J$1854,0)),IF('Inl. wetlands'!$J$47=list!$J$211,INDEX(IPCC!$A$1854:$J$1865,MATCH(clim_moist,IPCC!$A$1854:$A$1865,0),MATCH('Inl. wetlands'!$E54,IPCC!$A$1854:$J$1854,0)))))),0)</f>
        <v>0</v>
      </c>
      <c r="K78" s="3467">
        <f>IF('6.Inland wetlands'!CP26="",'6.Inland wetlands'!CO26,'6.Inland wetlands'!CP26)</f>
        <v>0</v>
      </c>
      <c r="L78" s="1543">
        <v>0</v>
      </c>
      <c r="M78" s="1543">
        <f>IF('6.Inland wetlands'!S14=0, 0, IF('6.Inland wetlands'!N26&lt;'6.Inland wetlands'!S14, C78*44/12*'6.Inland wetlands'!N26, 'Inl. wetlands'!C78*44/12*('6.Inland wetlands'!S14)))</f>
        <v>0</v>
      </c>
      <c r="N78" s="4323">
        <f>IF('6.Inland wetlands'!T14=0, 0, IF('6.Inland wetlands'!P26&lt;'6.Inland wetlands'!T14, C78*44/12*'6.Inland wetlands'!P26, 'Inl. wetlands'!C78*44/12*('6.Inland wetlands'!T14)))</f>
        <v>0</v>
      </c>
      <c r="O78" s="4323">
        <v>0</v>
      </c>
      <c r="P78" s="4323">
        <f>IF('6.Inland wetlands'!S14=0, 0, IF('6.Inland wetlands'!N26&lt;'6.Inland wetlands'!S14, E78*methane/1000*'6.Inland wetlands'!N26*(1-'6.Inland wetlands'!X26), 'Inl. wetlands'!E78*methane/1000*('6.Inland wetlands'!S14*(1-'6.Inland wetlands'!X26))))</f>
        <v>0</v>
      </c>
      <c r="Q78" s="4323">
        <f>IF('6.Inland wetlands'!T14=0, 0, IF('6.Inland wetlands'!P26&lt;'6.Inland wetlands'!T14, E78*methane/1000*'6.Inland wetlands'!P26*(1-'6.Inland wetlands'!Y26), 'Inl. wetlands'!E78*methane/1000*('6.Inland wetlands'!T14*(1-'6.Inland wetlands'!Y26))))</f>
        <v>0</v>
      </c>
      <c r="R78" s="4323">
        <v>0</v>
      </c>
      <c r="S78" s="4323">
        <f>IF('6.Inland wetlands'!S14=0, 0, IF('6.Inland wetlands'!N26&lt;'6.Inland wetlands'!S14, G78*44/28*Nitrous/1000*'6.Inland wetlands'!N26, 'Inl. wetlands'!G78*44/28*Nitrous/1000*('6.Inland wetlands'!S14)))</f>
        <v>0</v>
      </c>
      <c r="T78" s="4323">
        <f>IF('6.Inland wetlands'!T14=0, 0, IF('6.Inland wetlands'!P26&lt;'6.Inland wetlands'!T14, G78*44/28*Nitrous/1000*'6.Inland wetlands'!P26, 'Inl. wetlands'!G78*44/28*Nitrous/1000*('6.Inland wetlands'!T14)))</f>
        <v>0</v>
      </c>
      <c r="U78" s="4323">
        <v>0</v>
      </c>
      <c r="V78" s="4323">
        <f>IF('6.Inland wetlands'!S14=0, 0, IF('6.Inland wetlands'!N26&lt;'6.Inland wetlands'!S14, I78*44/12*'6.Inland wetlands'!N26, 'Inl. wetlands'!I78*44/12*('6.Inland wetlands'!S14)))</f>
        <v>0</v>
      </c>
      <c r="W78" s="4323">
        <f>IF('6.Inland wetlands'!T14=0, 0, IF('6.Inland wetlands'!P26&lt;'6.Inland wetlands'!T14, I78*44/12*'6.Inland wetlands'!P26, 'Inl. wetlands'!I78*44/12*('6.Inland wetlands'!T14)))</f>
        <v>0</v>
      </c>
      <c r="X78" s="4323">
        <v>0</v>
      </c>
      <c r="Y78" s="1146">
        <f>IF('6.Inland wetlands'!S14=0, 0, IF('6.Inland wetlands'!N26&lt;'6.Inland wetlands'!S14, K78*methane/1000*'6.Inland wetlands'!N26*('6.Inland wetlands'!X26), 'Inl. wetlands'!K78*methane/1000*('6.Inland wetlands'!S14*('6.Inland wetlands'!X26))))</f>
        <v>0</v>
      </c>
      <c r="Z78" s="1146">
        <f>IF('6.Inland wetlands'!T14=0, 0, IF('6.Inland wetlands'!P26&lt;'6.Inland wetlands'!T14, K78*methane/1000*'6.Inland wetlands'!P26*('6.Inland wetlands'!Y26), 'Inl. wetlands'!K78*methane/1000*('6.Inland wetlands'!T14*('6.Inland wetlands'!Y26))))</f>
        <v>0</v>
      </c>
      <c r="AA78" s="1246"/>
      <c r="AB78" s="3468">
        <f>MIN('Inl. wetlands'!$L78,'Inl. wetlands'!$M78)*time_tot+ABS('Inl. wetlands'!$M78-'Inl. wetlands'!$L78)*IF('Inl. wetlands'!$M78&gt;'Inl. wetlands'!$L78,time_cap+time*(VLOOKUP('6.Inland wetlands'!O26,list!$I$48:$K$50,3,0)),time*(1-(VLOOKUP('6.Inland wetlands'!O26,list!$I$48:$K$50,3,0))))+MIN('Inl. wetlands'!$U78,'Inl. wetlands'!$V78)*time_tot+ABS('Inl. wetlands'!$V78-'Inl. wetlands'!$U78)*IF('Inl. wetlands'!$V78&gt;'Inl. wetlands'!$U78,time_cap+time*(VLOOKUP('6.Inland wetlands'!O26,list!$I$48:$K$50,3,0)),time*(1-(VLOOKUP('6.Inland wetlands'!O26,list!$I$48:$K$50,3,0))))</f>
        <v>0</v>
      </c>
      <c r="AC78" s="3468">
        <f>MIN('Inl. wetlands'!$L78,'Inl. wetlands'!$N78)*time_tot+ABS('Inl. wetlands'!$N78-'Inl. wetlands'!$L78)*IF('Inl. wetlands'!$N78&gt;'Inl. wetlands'!$L78,time_cap+time*(VLOOKUP('6.Inland wetlands'!Q26,list!$I$48:$K$50,3,0)),time*(1-(VLOOKUP('6.Inland wetlands'!Q26,list!$I$48:$K$50,3,0))))+MIN('Inl. wetlands'!$U78,'Inl. wetlands'!$W78)*time_tot+ABS('Inl. wetlands'!$W78-'Inl. wetlands'!$U78)*IF('Inl. wetlands'!$W78&gt;'Inl. wetlands'!$U78,time_cap+time*(VLOOKUP('6.Inland wetlands'!Q26,list!$I$48:$K$50,3,0)),time*(1-(VLOOKUP('6.Inland wetlands'!Q26,list!$I$48:$K$50,3,0))))</f>
        <v>0</v>
      </c>
      <c r="AD78" s="3468">
        <f>MIN('Inl. wetlands'!$O78,'Inl. wetlands'!$P78)*time_tot+ABS('Inl. wetlands'!$P78-'Inl. wetlands'!$O78)*IF('Inl. wetlands'!$P78&gt;'Inl. wetlands'!$O78,time_cap+time*(VLOOKUP('6.Inland wetlands'!O26,list!$I$48:$K$50,3,0)),time*(1-(VLOOKUP('6.Inland wetlands'!O26,list!$I$48:$K$50,3,0))))+MIN('Inl. wetlands'!$X78,'Inl. wetlands'!$Y78)*time_tot+ABS('Inl. wetlands'!$Y78-'Inl. wetlands'!$X78)*IF('Inl. wetlands'!$Y78&gt;'Inl. wetlands'!$X78,time_cap+time*(VLOOKUP('6.Inland wetlands'!O26,list!$I$48:$K$50,3,0)),time*(1-(VLOOKUP('6.Inland wetlands'!O26,list!$I$48:$K$50,3,0))))</f>
        <v>0</v>
      </c>
      <c r="AE78" s="3468">
        <f>MIN('Inl. wetlands'!$O78,'Inl. wetlands'!$Q78)*time_tot+ABS('Inl. wetlands'!$Q78-'Inl. wetlands'!$O78)*IF('Inl. wetlands'!$Q78&gt;'Inl. wetlands'!$O78,time_cap+time*(VLOOKUP('6.Inland wetlands'!Q26,list!$I$48:$K$50,3,0)),time*(1-(VLOOKUP('6.Inland wetlands'!Q26,list!$I$48:$K$50,3,0))))+MIN('Inl. wetlands'!$X78,'Inl. wetlands'!$Z78)*time_tot+ABS('Inl. wetlands'!$Z78-'Inl. wetlands'!$X78)*IF('Inl. wetlands'!$Z78&gt;'Inl. wetlands'!$X78,time_cap+time*(VLOOKUP('6.Inland wetlands'!Q26,list!$I$48:$K$50,3,0)),time*(1-(VLOOKUP('6.Inland wetlands'!Q26,list!$I$48:$K$50,3,0))))</f>
        <v>0</v>
      </c>
      <c r="AF78" s="3468">
        <f>MIN('Inl. wetlands'!$R78,'Inl. wetlands'!$S78)*time_tot+ABS('Inl. wetlands'!$S78-'Inl. wetlands'!$R78)*IF('Inl. wetlands'!$S78&gt;'Inl. wetlands'!$R78,time_cap+time*(VLOOKUP('6.Inland wetlands'!O26,list!$I$48:$K$50,3,0)),time*(1-(VLOOKUP('6.Inland wetlands'!O26,list!$I$48:$K$50,3,0))))</f>
        <v>0</v>
      </c>
      <c r="AG78" s="3468">
        <f>MIN('Inl. wetlands'!$R78,'Inl. wetlands'!$T78)*time_tot+ABS('Inl. wetlands'!$T78-'Inl. wetlands'!$R78)*IF('Inl. wetlands'!$T78&gt;'Inl. wetlands'!$R78,time_cap+time*(VLOOKUP('6.Inland wetlands'!Q26,list!$I$48:$K$50,3,0)),time*(1-(VLOOKUP('6.Inland wetlands'!Q26,list!$I$48:$K$50,3,0))))</f>
        <v>0</v>
      </c>
      <c r="AI78" s="992"/>
      <c r="AJ78" s="992"/>
      <c r="AK78" s="992"/>
    </row>
    <row r="79" spans="1:59" x14ac:dyDescent="0.15">
      <c r="A79" s="1467" t="s">
        <v>1162</v>
      </c>
      <c r="B79" s="1110">
        <f>IFERROR(IF(AND(OR('Inl. wetlands'!$E55="Other land",'Inl. wetlands'!$E55="Degraded land"),'Inl. wetlands'!$J$47=list!$J$210),INDEX(IPCC!$A$1762:$J$1773,MATCH(clim_moist,IPCC!$A$1762:$A$1773,0),MATCH('Inl. wetlands'!$E55,IPCC!$A$1762:$J$1762,0)),IF(AND(OR('Inl. wetlands'!$E55="Other land",'Inl. wetlands'!$E55="Degraded land"),'Inl. wetlands'!$J$47=list!$J$211),INDEX(IPCC!$A$1781:$J$1792,MATCH(clim_moist,IPCC!$A$1781:$A$1792,0),MATCH('Inl. wetlands'!$E55,IPCC!$A$1781:$J$1781,0)),IF('Inl. wetlands'!$J$47=list!$J$210,INDEX(IPCC!$A$1762:$J$1773,MATCH(clim_moist,IPCC!$A$1781:$A$1792,0),MATCH('Inl. wetlands'!$E55,IPCC!$A$1781:$J$1781,0)),IF('Inl. wetlands'!$J$47=list!$J$211,INDEX(IPCC!$A$1781:$J$1792,MATCH(clim_moist,IPCC!$A$1781:$A$1792,0),MATCH('Inl. wetlands'!$E55,IPCC!$A$1781:$J$1781,0)))))),0)</f>
        <v>0</v>
      </c>
      <c r="C79" s="1104">
        <f>IF('6.Inland wetlands'!CG27="",'6.Inland wetlands'!CF27,'6.Inland wetlands'!CG27)</f>
        <v>0</v>
      </c>
      <c r="D79" s="1044">
        <f>IFERROR(IF(AND(OR('Inl. wetlands'!$E55="Other land",'Inl. wetlands'!$E55="Degraded land"),'Inl. wetlands'!$J$47=list!$J$210),INDEX(IPCC!$A$1818:$J$1829,MATCH(clim_moist,IPCC!$A$1818:$A$1829,0),MATCH('Inl. wetlands'!E55,IPCC!$A$1818:$J$1818,0)),IF(AND(OR('Inl. wetlands'!$E55="Other land",'Inl. wetlands'!$E55="Degraded land"),'Inl. wetlands'!$J$47=list!$J$211),INDEX(IPCC!$A$1836:$J$1847,MATCH(clim_moist,IPCC!$A$1836:$A$1847,0),MATCH('Inl. wetlands'!$E55,IPCC!$A$1836:$J$1836,0)),IF('Inl. wetlands'!$J$47=list!$J$210,INDEX(IPCC!$A$1818:$G$1829,MATCH(clim_moist,IPCC!$A$1818:$A$1829,0),MATCH('Inl. wetlands'!$E55,IPCC!$A$1818:$J$1818,0)),IF('Inl. wetlands'!$J$47=list!$J$211,INDEX(IPCC!$A$1836:$J$1847,MATCH(clim_moist,IPCC!$A$1836:$A$1847,0),MATCH('Inl. wetlands'!$E55,IPCC!$A$1836:$J$1836,0)))))),0)</f>
        <v>0</v>
      </c>
      <c r="E79" s="1104">
        <f>IF('6.Inland wetlands'!CI27="",'6.Inland wetlands'!CH27,'6.Inland wetlands'!CI27)</f>
        <v>0</v>
      </c>
      <c r="F79" s="1044">
        <f>IFERROR(IF(AND(OR('Inl. wetlands'!$E55="Other land",'Inl. wetlands'!$E55="Degraded land"),'Inl. wetlands'!$J$47=list!$J$210),INDEX(IPCC!$A$1872:$J$1883,MATCH(clim_moist,IPCC!$A$1872:$A$1883,0),MATCH('Inl. wetlands'!D55,IPCC!$A$1872:$J$1872,0)),IF(AND(OR('Inl. wetlands'!$E55="Other land",'Inl. wetlands'!$E55="Degraded land"),'Inl. wetlands'!$J$47=list!$J$211),INDEX(IPCC!$A$1890:$J$1901,MATCH(clim_moist,IPCC!$A$1890:$A$1901,0),MATCH('Inl. wetlands'!$E55,IPCC!$A$1890:$J$1890,0)),IF('Inl. wetlands'!$J$47=list!$J$210,INDEX(IPCC!$A$1872:$J$1883,MATCH(clim_moist,IPCC!$A$1872:$A$1883,0),MATCH('Inl. wetlands'!$E55,IPCC!$A$1872:$J$1872,0)),IF('Inl. wetlands'!$J$47=list!$J$211,INDEX(IPCC!$A$1890:$J$1901,MATCH(clim_moist,IPCC!$A$1890:$A$1901,0),MATCH('Inl. wetlands'!$E55,IPCC!$A$1890:$J$1890,0)))))),0)</f>
        <v>0</v>
      </c>
      <c r="G79" s="1104">
        <f>IF('6.Inland wetlands'!CK27="",'6.Inland wetlands'!CJ27,'6.Inland wetlands'!CK27)</f>
        <v>0</v>
      </c>
      <c r="H79" s="1110">
        <f>IFERROR(IF(AND(OR('Inl. wetlands'!$E55="Other land",'Inl. wetlands'!$E55="Degraded land"),'Inl. wetlands'!$J$47=list!$J$210),INDEX(IPCC!$A$1800:$J$1811,MATCH(clim_moist,IPCC!$A$1800:$A$1811,0),MATCH('Inl. wetlands'!E55,IPCC!$A$1800:$J$1800,0)),IF(AND(OR('Inl. wetlands'!$E55="Other land",'Inl. wetlands'!$E55="Degraded land"),'Inl. wetlands'!$J$47=list!$J$211),INDEX(IPCC!$A$1800:$J$1811,MATCH(clim_moist,IPCC!$A$1800:$A$1811,0),MATCH('Inl. wetlands'!$E55,IPCC!$A$1800:$J$1800,0)),IF('Inl. wetlands'!$J$47=list!$J$210,INDEX(IPCC!$A$1800:$J$1811,MATCH(clim_moist,IPCC!$A$1800:$A$1811,0),MATCH('Inl. wetlands'!$E55,IPCC!$A$1800:$J$1800,0)),IF('Inl. wetlands'!$J$47=list!$J$211,INDEX(IPCC!$A$1800:$J$1811,MATCH(clim_moist,IPCC!$A$1800:$A$1811,0),MATCH('Inl. wetlands'!$E55,IPCC!$A$1800:$J$1800,0)))))),0)</f>
        <v>0</v>
      </c>
      <c r="I79" s="1104">
        <f>IF('6.Inland wetlands'!CN27="",'6.Inland wetlands'!CM27,'6.Inland wetlands'!CN27)</f>
        <v>0</v>
      </c>
      <c r="J79" s="1111">
        <f>IFERROR(IF(AND(OR('Inl. wetlands'!$E55="Other land",'Inl. wetlands'!$E55="Degraded land"),'Inl. wetlands'!$J$47=list!$J$210),INDEX(IPCC!$A$1854:$J$1865,MATCH(clim_moist,IPCC!$A$1854:$A$1865,0),MATCH('Inl. wetlands'!$E55,IPCC!$A$1854:$J$1854,0)),IF(AND(OR('Inl. wetlands'!$E55="Other land",'Inl. wetlands'!$E55="Degraded land"),'Inl. wetlands'!$J$47=list!$J$211),INDEX(IPCC!$A$1854:$J$1865,MATCH(clim_moist,IPCC!$A$1854:A$1865,0),MATCH('Inl. wetlands'!$E55,IPCC!$A$1854:$J$1854,0)),IF('Inl. wetlands'!$J$47=list!$J$210,INDEX(IPCC!$A$1854:$J$1865,MATCH(clim_moist,IPCC!$A$1854:$A$1865,0),MATCH('Inl. wetlands'!$E55,IPCC!$A$1854:$J$1854,0)),IF('Inl. wetlands'!$J$47=list!$J$211,INDEX(IPCC!$A$1854:$J$1865,MATCH(clim_moist,IPCC!$A$1854:$A$1865,0),MATCH('Inl. wetlands'!$E55,IPCC!$A$1854:$J$1854,0)))))),0)</f>
        <v>0</v>
      </c>
      <c r="K79" s="3467">
        <f>IF('6.Inland wetlands'!CP27="",'6.Inland wetlands'!CO27,'6.Inland wetlands'!CP27)</f>
        <v>0</v>
      </c>
      <c r="L79" s="1543">
        <v>0</v>
      </c>
      <c r="M79" s="1543">
        <f>IF('6.Inland wetlands'!S15=0, 0, IF('6.Inland wetlands'!N27&lt;'6.Inland wetlands'!S15, C79*44/12*'6.Inland wetlands'!N27, 'Inl. wetlands'!C79*44/12*('6.Inland wetlands'!S15)))</f>
        <v>0</v>
      </c>
      <c r="N79" s="4323">
        <f>IF('6.Inland wetlands'!T15=0, 0, IF('6.Inland wetlands'!P27&lt;'6.Inland wetlands'!T15, C79*44/12*'6.Inland wetlands'!P27, 'Inl. wetlands'!C79*44/12*('6.Inland wetlands'!T15)))</f>
        <v>0</v>
      </c>
      <c r="O79" s="4323">
        <v>0</v>
      </c>
      <c r="P79" s="4323">
        <f>IF('6.Inland wetlands'!S15=0, 0, IF('6.Inland wetlands'!N27&lt;'6.Inland wetlands'!S15, E79*methane/1000*'6.Inland wetlands'!N27*(1-'6.Inland wetlands'!X27), 'Inl. wetlands'!E79*methane/1000*('6.Inland wetlands'!S15*(1-'6.Inland wetlands'!X27))))</f>
        <v>0</v>
      </c>
      <c r="Q79" s="4323">
        <f>IF('6.Inland wetlands'!T15=0, 0, IF('6.Inland wetlands'!P27&lt;'6.Inland wetlands'!T15, E79*methane/1000*'6.Inland wetlands'!P27*(1-'6.Inland wetlands'!Y27), 'Inl. wetlands'!E79*methane/1000*('6.Inland wetlands'!T15*(1-'6.Inland wetlands'!Y27))))</f>
        <v>0</v>
      </c>
      <c r="R79" s="4323">
        <v>0</v>
      </c>
      <c r="S79" s="4323">
        <f>IF('6.Inland wetlands'!S15=0, 0, IF('6.Inland wetlands'!N27&lt;'6.Inland wetlands'!S15, G79*44/28*Nitrous/1000*'6.Inland wetlands'!N27, 'Inl. wetlands'!G79*44/28*Nitrous/1000*('6.Inland wetlands'!S15)))</f>
        <v>0</v>
      </c>
      <c r="T79" s="4323">
        <f>IF('6.Inland wetlands'!T15=0, 0, IF('6.Inland wetlands'!P27&lt;'6.Inland wetlands'!T15, G79*44/28*Nitrous/1000*'6.Inland wetlands'!P27, 'Inl. wetlands'!G79*44/28*Nitrous/1000*('6.Inland wetlands'!T15)))</f>
        <v>0</v>
      </c>
      <c r="U79" s="4323">
        <v>0</v>
      </c>
      <c r="V79" s="4323">
        <f>IF('6.Inland wetlands'!S15=0, 0, IF('6.Inland wetlands'!N27&lt;'6.Inland wetlands'!S15, I79*44/12*'6.Inland wetlands'!N27, 'Inl. wetlands'!I79*44/12*('6.Inland wetlands'!S15)))</f>
        <v>0</v>
      </c>
      <c r="W79" s="4323">
        <f>IF('6.Inland wetlands'!T15=0, 0, IF('6.Inland wetlands'!P27&lt;'6.Inland wetlands'!T15, I79*44/12*'6.Inland wetlands'!P27, 'Inl. wetlands'!I79*44/12*('6.Inland wetlands'!T15)))</f>
        <v>0</v>
      </c>
      <c r="X79" s="4323">
        <v>0</v>
      </c>
      <c r="Y79" s="1146">
        <f>IF('6.Inland wetlands'!S15=0, 0, IF('6.Inland wetlands'!N27&lt;'6.Inland wetlands'!S15, K79*methane/1000*'6.Inland wetlands'!N27*('6.Inland wetlands'!X27), 'Inl. wetlands'!K79*methane/1000*('6.Inland wetlands'!S15*('6.Inland wetlands'!X27))))</f>
        <v>0</v>
      </c>
      <c r="Z79" s="1146">
        <f>IF('6.Inland wetlands'!T15=0, 0, IF('6.Inland wetlands'!P27&lt;'6.Inland wetlands'!T15, K79*methane/1000*'6.Inland wetlands'!P27*('6.Inland wetlands'!Y27), 'Inl. wetlands'!K79*methane/1000*('6.Inland wetlands'!T15*('6.Inland wetlands'!Y27))))</f>
        <v>0</v>
      </c>
      <c r="AA79" s="1246"/>
      <c r="AB79" s="3468">
        <f>MIN('Inl. wetlands'!$L79,'Inl. wetlands'!$M79)*time_tot+ABS('Inl. wetlands'!$M79-'Inl. wetlands'!$L79)*IF('Inl. wetlands'!$M79&gt;'Inl. wetlands'!$L79,time_cap+time*(VLOOKUP('6.Inland wetlands'!O27,list!$I$48:$K$50,3,0)),time*(1-(VLOOKUP('6.Inland wetlands'!O27,list!$I$48:$K$50,3,0))))+MIN('Inl. wetlands'!$U79,'Inl. wetlands'!$V79)*time_tot+ABS('Inl. wetlands'!$V79-'Inl. wetlands'!$U79)*IF('Inl. wetlands'!$V79&gt;'Inl. wetlands'!$U79,time_cap+time*(VLOOKUP('6.Inland wetlands'!O27,list!$I$48:$K$50,3,0)),time*(1-(VLOOKUP('6.Inland wetlands'!O27,list!$I$48:$K$50,3,0))))</f>
        <v>0</v>
      </c>
      <c r="AC79" s="3468">
        <f>MIN('Inl. wetlands'!$L79,'Inl. wetlands'!$N79)*time_tot+ABS('Inl. wetlands'!$N79-'Inl. wetlands'!$L79)*IF('Inl. wetlands'!$N79&gt;'Inl. wetlands'!$L79,time_cap+time*(VLOOKUP('6.Inland wetlands'!Q27,list!$I$48:$K$50,3,0)),time*(1-(VLOOKUP('6.Inland wetlands'!Q27,list!$I$48:$K$50,3,0))))+MIN('Inl. wetlands'!$U79,'Inl. wetlands'!$W79)*time_tot+ABS('Inl. wetlands'!$W79-'Inl. wetlands'!$U79)*IF('Inl. wetlands'!$W79&gt;'Inl. wetlands'!$U79,time_cap+time*(VLOOKUP('6.Inland wetlands'!Q27,list!$I$48:$K$50,3,0)),time*(1-(VLOOKUP('6.Inland wetlands'!Q27,list!$I$48:$K$50,3,0))))</f>
        <v>0</v>
      </c>
      <c r="AD79" s="3468">
        <f>MIN('Inl. wetlands'!$O79,'Inl. wetlands'!$P79)*time_tot+ABS('Inl. wetlands'!$P79-'Inl. wetlands'!$O79)*IF('Inl. wetlands'!$P79&gt;'Inl. wetlands'!$O79,time_cap+time*(VLOOKUP('6.Inland wetlands'!O27,list!$I$48:$K$50,3,0)),time*(1-(VLOOKUP('6.Inland wetlands'!O27,list!$I$48:$K$50,3,0))))+MIN('Inl. wetlands'!$X79,'Inl. wetlands'!$Y79)*time_tot+ABS('Inl. wetlands'!$Y79-'Inl. wetlands'!$X79)*IF('Inl. wetlands'!$Y79&gt;'Inl. wetlands'!$X79,time_cap+time*(VLOOKUP('6.Inland wetlands'!O27,list!$I$48:$K$50,3,0)),time*(1-(VLOOKUP('6.Inland wetlands'!O27,list!$I$48:$K$50,3,0))))</f>
        <v>0</v>
      </c>
      <c r="AE79" s="3468">
        <f>MIN('Inl. wetlands'!$O79,'Inl. wetlands'!$Q79)*time_tot+ABS('Inl. wetlands'!$Q79-'Inl. wetlands'!$O79)*IF('Inl. wetlands'!$Q79&gt;'Inl. wetlands'!$O79,time_cap+time*(VLOOKUP('6.Inland wetlands'!Q27,list!$I$48:$K$50,3,0)),time*(1-(VLOOKUP('6.Inland wetlands'!Q27,list!$I$48:$K$50,3,0))))+MIN('Inl. wetlands'!$X79,'Inl. wetlands'!$Z79)*time_tot+ABS('Inl. wetlands'!$Z79-'Inl. wetlands'!$X79)*IF('Inl. wetlands'!$Z79&gt;'Inl. wetlands'!$X79,time_cap+time*(VLOOKUP('6.Inland wetlands'!Q27,list!$I$48:$K$50,3,0)),time*(1-(VLOOKUP('6.Inland wetlands'!Q27,list!$I$48:$K$50,3,0))))</f>
        <v>0</v>
      </c>
      <c r="AF79" s="3468">
        <f>MIN('Inl. wetlands'!$R79,'Inl. wetlands'!$S79)*time_tot+ABS('Inl. wetlands'!$S79-'Inl. wetlands'!$R79)*IF('Inl. wetlands'!$S79&gt;'Inl. wetlands'!$R79,time_cap+time*(VLOOKUP('6.Inland wetlands'!O27,list!$I$48:$K$50,3,0)),time*(1-(VLOOKUP('6.Inland wetlands'!O27,list!$I$48:$K$50,3,0))))</f>
        <v>0</v>
      </c>
      <c r="AG79" s="3468">
        <f>MIN('Inl. wetlands'!$R79,'Inl. wetlands'!$T79)*time_tot+ABS('Inl. wetlands'!$T79-'Inl. wetlands'!$R79)*IF('Inl. wetlands'!$T79&gt;'Inl. wetlands'!$R79,time_cap+time*(VLOOKUP('6.Inland wetlands'!Q27,list!$I$48:$K$50,3,0)),time*(1-(VLOOKUP('6.Inland wetlands'!Q27,list!$I$48:$K$50,3,0))))</f>
        <v>0</v>
      </c>
      <c r="AI79" s="992"/>
      <c r="AJ79" s="992"/>
      <c r="AK79" s="992"/>
    </row>
    <row r="80" spans="1:59" x14ac:dyDescent="0.15">
      <c r="A80" s="1467" t="s">
        <v>1163</v>
      </c>
      <c r="B80" s="1110">
        <f>IFERROR(IF(AND(OR('Inl. wetlands'!$E56="Other land",'Inl. wetlands'!$E56="Degraded land"),'Inl. wetlands'!$J$47=list!$J$210),INDEX(IPCC!$A$1762:$J$1773,MATCH(clim_moist,IPCC!$A$1762:$A$1773,0),MATCH('Inl. wetlands'!$E56,IPCC!$A$1762:$J$1762,0)),IF(AND(OR('Inl. wetlands'!$E56="Other land",'Inl. wetlands'!$E56="Degraded land"),'Inl. wetlands'!$J$47=list!$J$211),INDEX(IPCC!$A$1781:$J$1792,MATCH(clim_moist,IPCC!$A$1781:$A$1792,0),MATCH('Inl. wetlands'!$E56,IPCC!$A$1781:$J$1781,0)),IF('Inl. wetlands'!$J$47=list!$J$210,INDEX(IPCC!$A$1762:$J$1773,MATCH(clim_moist,IPCC!$A$1781:$A$1792,0),MATCH('Inl. wetlands'!$E56,IPCC!$A$1781:$J$1781,0)),IF('Inl. wetlands'!$J$47=list!$J$211,INDEX(IPCC!$A$1781:$J$1792,MATCH(clim_moist,IPCC!$A$1781:$A$1792,0),MATCH('Inl. wetlands'!$E56,IPCC!$A$1781:$J$1781,0)))))),0)</f>
        <v>0</v>
      </c>
      <c r="C80" s="1104">
        <f>IF('6.Inland wetlands'!CG28="",'6.Inland wetlands'!CF28,'6.Inland wetlands'!CG28)</f>
        <v>0</v>
      </c>
      <c r="D80" s="1044">
        <f>IFERROR(IF(AND(OR('Inl. wetlands'!$E56="Other land",'Inl. wetlands'!$E56="Degraded land"),'Inl. wetlands'!$J$47=list!$J$210),INDEX(IPCC!$A$1818:$J$1829,MATCH(clim_moist,IPCC!$A$1818:$A$1829,0),MATCH('Inl. wetlands'!E56,IPCC!$A$1818:$J$1818,0)),IF(AND(OR('Inl. wetlands'!$E56="Other land",'Inl. wetlands'!$E56="Degraded land"),'Inl. wetlands'!$J$47=list!$J$211),INDEX(IPCC!$A$1836:$J$1847,MATCH(clim_moist,IPCC!$A$1836:$A$1847,0),MATCH('Inl. wetlands'!$E56,IPCC!$A$1836:$J$1836,0)),IF('Inl. wetlands'!$J$47=list!$J$210,INDEX(IPCC!$A$1818:$G$1829,MATCH(clim_moist,IPCC!$A$1818:$A$1829,0),MATCH('Inl. wetlands'!$E56,IPCC!$A$1818:$J$1818,0)),IF('Inl. wetlands'!$J$47=list!$J$211,INDEX(IPCC!$A$1836:$J$1847,MATCH(clim_moist,IPCC!$A$1836:$A$1847,0),MATCH('Inl. wetlands'!$E56,IPCC!$A$1836:$J$1836,0)))))),0)</f>
        <v>0</v>
      </c>
      <c r="E80" s="1104">
        <f>IF('6.Inland wetlands'!CI28="",'6.Inland wetlands'!CH28,'6.Inland wetlands'!CI28)</f>
        <v>0</v>
      </c>
      <c r="F80" s="1044">
        <f>IFERROR(IF(AND(OR('Inl. wetlands'!$E56="Other land",'Inl. wetlands'!$E56="Degraded land"),'Inl. wetlands'!$J$47=list!$J$210),INDEX(IPCC!$A$1872:$J$1883,MATCH(clim_moist,IPCC!$A$1872:$A$1883,0),MATCH('Inl. wetlands'!D56,IPCC!$A$1872:$J$1872,0)),IF(AND(OR('Inl. wetlands'!$E56="Other land",'Inl. wetlands'!$E56="Degraded land"),'Inl. wetlands'!$J$47=list!$J$211),INDEX(IPCC!$A$1890:$J$1901,MATCH(clim_moist,IPCC!$A$1890:$A$1901,0),MATCH('Inl. wetlands'!$E56,IPCC!$A$1890:$J$1890,0)),IF('Inl. wetlands'!$J$47=list!$J$210,INDEX(IPCC!$A$1872:$J$1883,MATCH(clim_moist,IPCC!$A$1872:$A$1883,0),MATCH('Inl. wetlands'!$E56,IPCC!$A$1872:$J$1872,0)),IF('Inl. wetlands'!$J$47=list!$J$211,INDEX(IPCC!$A$1890:$J$1901,MATCH(clim_moist,IPCC!$A$1890:$A$1901,0),MATCH('Inl. wetlands'!$E56,IPCC!$A$1890:$J$1890,0)))))),0)</f>
        <v>0</v>
      </c>
      <c r="G80" s="1104">
        <f>IF('6.Inland wetlands'!CK28="",'6.Inland wetlands'!CJ28,'6.Inland wetlands'!CK28)</f>
        <v>0</v>
      </c>
      <c r="H80" s="1110">
        <f>IFERROR(IF(AND(OR('Inl. wetlands'!$E56="Other land",'Inl. wetlands'!$E56="Degraded land"),'Inl. wetlands'!$J$47=list!$J$210),INDEX(IPCC!$A$1800:$J$1811,MATCH(clim_moist,IPCC!$A$1800:$A$1811,0),MATCH('Inl. wetlands'!E56,IPCC!$A$1800:$J$1800,0)),IF(AND(OR('Inl. wetlands'!$E56="Other land",'Inl. wetlands'!$E56="Degraded land"),'Inl. wetlands'!$J$47=list!$J$211),INDEX(IPCC!$A$1800:$J$1811,MATCH(clim_moist,IPCC!$A$1800:$A$1811,0),MATCH('Inl. wetlands'!$E56,IPCC!$A$1800:$J$1800,0)),IF('Inl. wetlands'!$J$47=list!$J$210,INDEX(IPCC!$A$1800:$J$1811,MATCH(clim_moist,IPCC!$A$1800:$A$1811,0),MATCH('Inl. wetlands'!$E56,IPCC!$A$1800:$J$1800,0)),IF('Inl. wetlands'!$J$47=list!$J$211,INDEX(IPCC!$A$1800:$J$1811,MATCH(clim_moist,IPCC!$A$1800:$A$1811,0),MATCH('Inl. wetlands'!$E56,IPCC!$A$1800:$J$1800,0)))))),0)</f>
        <v>0</v>
      </c>
      <c r="I80" s="1104">
        <f>IF('6.Inland wetlands'!CN28="",'6.Inland wetlands'!CM28,'6.Inland wetlands'!CN28)</f>
        <v>0</v>
      </c>
      <c r="J80" s="1111">
        <f>IFERROR(IF(AND(OR('Inl. wetlands'!$E56="Other land",'Inl. wetlands'!$E56="Degraded land"),'Inl. wetlands'!$J$47=list!$J$210),INDEX(IPCC!$A$1854:$J$1865,MATCH(clim_moist,IPCC!$A$1854:$A$1865,0),MATCH('Inl. wetlands'!$E56,IPCC!$A$1854:$J$1854,0)),IF(AND(OR('Inl. wetlands'!$E56="Other land",'Inl. wetlands'!$E56="Degraded land"),'Inl. wetlands'!$J$47=list!$J$211),INDEX(IPCC!$A$1854:$J$1865,MATCH(clim_moist,IPCC!$A$1854:A$1865,0),MATCH('Inl. wetlands'!$E56,IPCC!$A$1854:$J$1854,0)),IF('Inl. wetlands'!$J$47=list!$J$210,INDEX(IPCC!$A$1854:$J$1865,MATCH(clim_moist,IPCC!$A$1854:$A$1865,0),MATCH('Inl. wetlands'!$E56,IPCC!$A$1854:$J$1854,0)),IF('Inl. wetlands'!$J$47=list!$J$211,INDEX(IPCC!$A$1854:$J$1865,MATCH(clim_moist,IPCC!$A$1854:$A$1865,0),MATCH('Inl. wetlands'!$E56,IPCC!$A$1854:$J$1854,0)))))),0)</f>
        <v>0</v>
      </c>
      <c r="K80" s="3467">
        <f>IF('6.Inland wetlands'!CP28="",'6.Inland wetlands'!CO28,'6.Inland wetlands'!CP28)</f>
        <v>0</v>
      </c>
      <c r="L80" s="1543">
        <v>0</v>
      </c>
      <c r="M80" s="1543">
        <f>IF('6.Inland wetlands'!S16=0, 0, IF('6.Inland wetlands'!N28&lt;'6.Inland wetlands'!S16, C80*44/12*'6.Inland wetlands'!N28, 'Inl. wetlands'!C80*44/12*('6.Inland wetlands'!S16)))</f>
        <v>0</v>
      </c>
      <c r="N80" s="4323">
        <f>IF('6.Inland wetlands'!T16=0, 0, IF('6.Inland wetlands'!P28&lt;'6.Inland wetlands'!T16, C80*44/12*'6.Inland wetlands'!P28, 'Inl. wetlands'!C80*44/12*('6.Inland wetlands'!T16)))</f>
        <v>0</v>
      </c>
      <c r="O80" s="4323">
        <v>0</v>
      </c>
      <c r="P80" s="4323">
        <f>IF('6.Inland wetlands'!S16=0, 0, IF('6.Inland wetlands'!N28&lt;'6.Inland wetlands'!S16, E80*methane/1000*'6.Inland wetlands'!N28*(1-'6.Inland wetlands'!X28), 'Inl. wetlands'!E80*methane/1000*('6.Inland wetlands'!S16*(1-'6.Inland wetlands'!X28))))</f>
        <v>0</v>
      </c>
      <c r="Q80" s="4323">
        <f>IF('6.Inland wetlands'!T16=0, 0, IF('6.Inland wetlands'!P28&lt;'6.Inland wetlands'!T16, E80*methane/1000*'6.Inland wetlands'!P28*(1-'6.Inland wetlands'!Y28), 'Inl. wetlands'!E80*methane/1000*('6.Inland wetlands'!T16*(1-'6.Inland wetlands'!Y28))))</f>
        <v>0</v>
      </c>
      <c r="R80" s="4323">
        <v>0</v>
      </c>
      <c r="S80" s="4323">
        <f>IF('6.Inland wetlands'!S16=0, 0, IF('6.Inland wetlands'!N28&lt;'6.Inland wetlands'!S16, G80*44/28*Nitrous/1000*'6.Inland wetlands'!N28, 'Inl. wetlands'!G80*44/28*Nitrous/1000*('6.Inland wetlands'!S16)))</f>
        <v>0</v>
      </c>
      <c r="T80" s="4323">
        <f>IF('6.Inland wetlands'!T16=0, 0, IF('6.Inland wetlands'!P28&lt;'6.Inland wetlands'!T16, G80*44/28*Nitrous/1000*'6.Inland wetlands'!P28, 'Inl. wetlands'!G80*44/28*Nitrous/1000*('6.Inland wetlands'!T16)))</f>
        <v>0</v>
      </c>
      <c r="U80" s="4323">
        <v>0</v>
      </c>
      <c r="V80" s="4323">
        <f>IF('6.Inland wetlands'!S16=0, 0, IF('6.Inland wetlands'!N28&lt;'6.Inland wetlands'!S16, I80*44/12*'6.Inland wetlands'!N28, 'Inl. wetlands'!I80*44/12*('6.Inland wetlands'!S16)))</f>
        <v>0</v>
      </c>
      <c r="W80" s="4323">
        <f>IF('6.Inland wetlands'!T16=0, 0, IF('6.Inland wetlands'!P28&lt;'6.Inland wetlands'!T16, I80*44/12*'6.Inland wetlands'!P28, 'Inl. wetlands'!I80*44/12*('6.Inland wetlands'!T16)))</f>
        <v>0</v>
      </c>
      <c r="X80" s="4323">
        <v>0</v>
      </c>
      <c r="Y80" s="1146">
        <f>IF('6.Inland wetlands'!S16=0, 0, IF('6.Inland wetlands'!N28&lt;'6.Inland wetlands'!S16, K80*methane/1000*'6.Inland wetlands'!N28*('6.Inland wetlands'!X28), 'Inl. wetlands'!K80*methane/1000*('6.Inland wetlands'!S16*('6.Inland wetlands'!X28))))</f>
        <v>0</v>
      </c>
      <c r="Z80" s="1146">
        <f>IF('6.Inland wetlands'!T16=0, 0, IF('6.Inland wetlands'!P28&lt;'6.Inland wetlands'!T16, K80*methane/1000*'6.Inland wetlands'!P28*('6.Inland wetlands'!Y28), 'Inl. wetlands'!K80*methane/1000*('6.Inland wetlands'!T16*('6.Inland wetlands'!Y28))))</f>
        <v>0</v>
      </c>
      <c r="AA80" s="1246"/>
      <c r="AB80" s="3468">
        <f>MIN('Inl. wetlands'!$L80,'Inl. wetlands'!$M80)*time_tot+ABS('Inl. wetlands'!$M80-'Inl. wetlands'!$L80)*IF('Inl. wetlands'!$M80&gt;'Inl. wetlands'!$L80,time_cap+time*(VLOOKUP('6.Inland wetlands'!O28,list!$I$48:$K$50,3,0)),time*(1-(VLOOKUP('6.Inland wetlands'!O28,list!$I$48:$K$50,3,0))))+MIN('Inl. wetlands'!$U80,'Inl. wetlands'!$V80)*time_tot+ABS('Inl. wetlands'!$V80-'Inl. wetlands'!$U80)*IF('Inl. wetlands'!$V80&gt;'Inl. wetlands'!$U80,time_cap+time*(VLOOKUP('6.Inland wetlands'!O28,list!$I$48:$K$50,3,0)),time*(1-(VLOOKUP('6.Inland wetlands'!O28,list!$I$48:$K$50,3,0))))</f>
        <v>0</v>
      </c>
      <c r="AC80" s="3468">
        <f>MIN('Inl. wetlands'!$L80,'Inl. wetlands'!$N80)*time_tot+ABS('Inl. wetlands'!$N80-'Inl. wetlands'!$L80)*IF('Inl. wetlands'!$N80&gt;'Inl. wetlands'!$L80,time_cap+time*(VLOOKUP('6.Inland wetlands'!Q28,list!$I$48:$K$50,3,0)),time*(1-(VLOOKUP('6.Inland wetlands'!Q28,list!$I$48:$K$50,3,0))))+MIN('Inl. wetlands'!$U80,'Inl. wetlands'!$W80)*time_tot+ABS('Inl. wetlands'!$W80-'Inl. wetlands'!$U80)*IF('Inl. wetlands'!$W80&gt;'Inl. wetlands'!$U80,time_cap+time*(VLOOKUP('6.Inland wetlands'!Q28,list!$I$48:$K$50,3,0)),time*(1-(VLOOKUP('6.Inland wetlands'!Q28,list!$I$48:$K$50,3,0))))</f>
        <v>0</v>
      </c>
      <c r="AD80" s="3468">
        <f>MIN('Inl. wetlands'!$O80,'Inl. wetlands'!$P80)*time_tot+ABS('Inl. wetlands'!$P80-'Inl. wetlands'!$O80)*IF('Inl. wetlands'!$P80&gt;'Inl. wetlands'!$O80,time_cap+time*(VLOOKUP('6.Inland wetlands'!O28,list!$I$48:$K$50,3,0)),time*(1-(VLOOKUP('6.Inland wetlands'!O28,list!$I$48:$K$50,3,0))))+MIN('Inl. wetlands'!$X80,'Inl. wetlands'!$Y80)*time_tot+ABS('Inl. wetlands'!$Y80-'Inl. wetlands'!$X80)*IF('Inl. wetlands'!$Y80&gt;'Inl. wetlands'!$X80,time_cap+time*(VLOOKUP('6.Inland wetlands'!O28,list!$I$48:$K$50,3,0)),time*(1-(VLOOKUP('6.Inland wetlands'!O28,list!$I$48:$K$50,3,0))))</f>
        <v>0</v>
      </c>
      <c r="AE80" s="3468">
        <f>MIN('Inl. wetlands'!$O80,'Inl. wetlands'!$Q80)*time_tot+ABS('Inl. wetlands'!$Q80-'Inl. wetlands'!$O80)*IF('Inl. wetlands'!$Q80&gt;'Inl. wetlands'!$O80,time_cap+time*(VLOOKUP('6.Inland wetlands'!Q28,list!$I$48:$K$50,3,0)),time*(1-(VLOOKUP('6.Inland wetlands'!Q28,list!$I$48:$K$50,3,0))))+MIN('Inl. wetlands'!$X80,'Inl. wetlands'!$Z80)*time_tot+ABS('Inl. wetlands'!$Z80-'Inl. wetlands'!$X80)*IF('Inl. wetlands'!$Z80&gt;'Inl. wetlands'!$X80,time_cap+time*(VLOOKUP('6.Inland wetlands'!Q28,list!$I$48:$K$50,3,0)),time*(1-(VLOOKUP('6.Inland wetlands'!Q28,list!$I$48:$K$50,3,0))))</f>
        <v>0</v>
      </c>
      <c r="AF80" s="3468">
        <f>MIN('Inl. wetlands'!$R80,'Inl. wetlands'!$S80)*time_tot+ABS('Inl. wetlands'!$S80-'Inl. wetlands'!$R80)*IF('Inl. wetlands'!$S80&gt;'Inl. wetlands'!$R80,time_cap+time*(VLOOKUP('6.Inland wetlands'!O28,list!$I$48:$K$50,3,0)),time*(1-(VLOOKUP('6.Inland wetlands'!O28,list!$I$48:$K$50,3,0))))</f>
        <v>0</v>
      </c>
      <c r="AG80" s="3468">
        <f>MIN('Inl. wetlands'!$R80,'Inl. wetlands'!$T80)*time_tot+ABS('Inl. wetlands'!$T80-'Inl. wetlands'!$R80)*IF('Inl. wetlands'!$T80&gt;'Inl. wetlands'!$R80,time_cap+time*(VLOOKUP('6.Inland wetlands'!Q28,list!$I$48:$K$50,3,0)),time*(1-(VLOOKUP('6.Inland wetlands'!Q28,list!$I$48:$K$50,3,0))))</f>
        <v>0</v>
      </c>
      <c r="AI80" s="992"/>
      <c r="AJ80" s="992"/>
      <c r="AK80" s="992"/>
    </row>
    <row r="81" spans="1:59" x14ac:dyDescent="0.15">
      <c r="A81" s="1467" t="s">
        <v>1164</v>
      </c>
      <c r="B81" s="1110">
        <f>IFERROR(IF(AND(OR('Inl. wetlands'!$E57="Other land",'Inl. wetlands'!$E57="Degraded land"),'Inl. wetlands'!$J$47=list!$J$210),INDEX(IPCC!$A$1762:$J$1773,MATCH(clim_moist,IPCC!$A$1762:$A$1773,0),MATCH('Inl. wetlands'!$E57,IPCC!$A$1762:$J$1762,0)),IF(AND(OR('Inl. wetlands'!$E57="Other land",'Inl. wetlands'!$E57="Degraded land"),'Inl. wetlands'!$J$47=list!$J$211),INDEX(IPCC!$A$1781:$J$1792,MATCH(clim_moist,IPCC!$A$1781:$A$1792,0),MATCH('Inl. wetlands'!$E57,IPCC!$A$1781:$J$1781,0)),IF('Inl. wetlands'!$J$47=list!$J$210,INDEX(IPCC!$A$1762:$J$1773,MATCH(clim_moist,IPCC!$A$1781:$A$1792,0),MATCH('Inl. wetlands'!$E57,IPCC!$A$1781:$J$1781,0)),IF('Inl. wetlands'!$J$47=list!$J$211,INDEX(IPCC!$A$1781:$J$1792,MATCH(clim_moist,IPCC!$A$1781:$A$1792,0),MATCH('Inl. wetlands'!$E57,IPCC!$A$1781:$J$1781,0)))))),0)</f>
        <v>0</v>
      </c>
      <c r="C81" s="1104">
        <f>IF('6.Inland wetlands'!CG29="",'6.Inland wetlands'!CF29,'6.Inland wetlands'!CG29)</f>
        <v>0</v>
      </c>
      <c r="D81" s="1044">
        <f>IFERROR(IF(AND(OR('Inl. wetlands'!$E57="Other land",'Inl. wetlands'!$E57="Degraded land"),'Inl. wetlands'!$J$47=list!$J$210),INDEX(IPCC!$A$1818:$J$1829,MATCH(clim_moist,IPCC!$A$1818:$A$1829,0),MATCH('Inl. wetlands'!E57,IPCC!$A$1818:$J$1818,0)),IF(AND(OR('Inl. wetlands'!$E57="Other land",'Inl. wetlands'!$E57="Degraded land"),'Inl. wetlands'!$J$47=list!$J$211),INDEX(IPCC!$A$1836:$J$1847,MATCH(clim_moist,IPCC!$A$1836:$A$1847,0),MATCH('Inl. wetlands'!$E57,IPCC!$A$1836:$J$1836,0)),IF('Inl. wetlands'!$J$47=list!$J$210,INDEX(IPCC!$A$1818:$G$1829,MATCH(clim_moist,IPCC!$A$1818:$A$1829,0),MATCH('Inl. wetlands'!$E57,IPCC!$A$1818:$J$1818,0)),IF('Inl. wetlands'!$J$47=list!$J$211,INDEX(IPCC!$A$1836:$J$1847,MATCH(clim_moist,IPCC!$A$1836:$A$1847,0),MATCH('Inl. wetlands'!$E57,IPCC!$A$1836:$J$1836,0)))))),0)</f>
        <v>0</v>
      </c>
      <c r="E81" s="1104">
        <f>IF('6.Inland wetlands'!CI29="",'6.Inland wetlands'!CH29,'6.Inland wetlands'!CI29)</f>
        <v>0</v>
      </c>
      <c r="F81" s="1044">
        <f>IFERROR(IF(AND(OR('Inl. wetlands'!$E57="Other land",'Inl. wetlands'!$E57="Degraded land"),'Inl. wetlands'!$J$47=list!$J$210),INDEX(IPCC!$A$1872:$J$1883,MATCH(clim_moist,IPCC!$A$1872:$A$1883,0),MATCH('Inl. wetlands'!D57,IPCC!$A$1872:$J$1872,0)),IF(AND(OR('Inl. wetlands'!$E57="Other land",'Inl. wetlands'!$E57="Degraded land"),'Inl. wetlands'!$J$47=list!$J$211),INDEX(IPCC!$A$1890:$J$1901,MATCH(clim_moist,IPCC!$A$1890:$A$1901,0),MATCH('Inl. wetlands'!$E57,IPCC!$A$1890:$J$1890,0)),IF('Inl. wetlands'!$J$47=list!$J$210,INDEX(IPCC!$A$1872:$J$1883,MATCH(clim_moist,IPCC!$A$1872:$A$1883,0),MATCH('Inl. wetlands'!$E57,IPCC!$A$1872:$J$1872,0)),IF('Inl. wetlands'!$J$47=list!$J$211,INDEX(IPCC!$A$1890:$J$1901,MATCH(clim_moist,IPCC!$A$1890:$A$1901,0),MATCH('Inl. wetlands'!$E57,IPCC!$A$1890:$J$1890,0)))))),0)</f>
        <v>0</v>
      </c>
      <c r="G81" s="1104">
        <f>IF('6.Inland wetlands'!CK29="",'6.Inland wetlands'!CJ29,'6.Inland wetlands'!CK29)</f>
        <v>0</v>
      </c>
      <c r="H81" s="1110">
        <f>IFERROR(IF(AND(OR('Inl. wetlands'!$E57="Other land",'Inl. wetlands'!$E57="Degraded land"),'Inl. wetlands'!$J$47=list!$J$210),INDEX(IPCC!$A$1800:$J$1811,MATCH(clim_moist,IPCC!$A$1800:$A$1811,0),MATCH('Inl. wetlands'!E57,IPCC!$A$1800:$J$1800,0)),IF(AND(OR('Inl. wetlands'!$E57="Other land",'Inl. wetlands'!$E57="Degraded land"),'Inl. wetlands'!$J$47=list!$J$211),INDEX(IPCC!$A$1800:$J$1811,MATCH(clim_moist,IPCC!$A$1800:$A$1811,0),MATCH('Inl. wetlands'!$E57,IPCC!$A$1800:$J$1800,0)),IF('Inl. wetlands'!$J$47=list!$J$210,INDEX(IPCC!$A$1800:$J$1811,MATCH(clim_moist,IPCC!$A$1800:$A$1811,0),MATCH('Inl. wetlands'!$E57,IPCC!$A$1800:$J$1800,0)),IF('Inl. wetlands'!$J$47=list!$J$211,INDEX(IPCC!$A$1800:$J$1811,MATCH(clim_moist,IPCC!$A$1800:$A$1811,0),MATCH('Inl. wetlands'!$E57,IPCC!$A$1800:$J$1800,0)))))),0)</f>
        <v>0</v>
      </c>
      <c r="I81" s="1104">
        <f>IF('6.Inland wetlands'!CN29="",'6.Inland wetlands'!CM29,'6.Inland wetlands'!CN29)</f>
        <v>0</v>
      </c>
      <c r="J81" s="1111">
        <f>IFERROR(IF(AND(OR('Inl. wetlands'!$E57="Other land",'Inl. wetlands'!$E57="Degraded land"),'Inl. wetlands'!$J$47=list!$J$210),INDEX(IPCC!$A$1854:$J$1865,MATCH(clim_moist,IPCC!$A$1854:$A$1865,0),MATCH('Inl. wetlands'!$E57,IPCC!$A$1854:$J$1854,0)),IF(AND(OR('Inl. wetlands'!$E57="Other land",'Inl. wetlands'!$E57="Degraded land"),'Inl. wetlands'!$J$47=list!$J$211),INDEX(IPCC!$A$1854:$J$1865,MATCH(clim_moist,IPCC!$A$1854:A$1865,0),MATCH('Inl. wetlands'!$E57,IPCC!$A$1854:$J$1854,0)),IF('Inl. wetlands'!$J$47=list!$J$210,INDEX(IPCC!$A$1854:$J$1865,MATCH(clim_moist,IPCC!$A$1854:$A$1865,0),MATCH('Inl. wetlands'!$E57,IPCC!$A$1854:$J$1854,0)),IF('Inl. wetlands'!$J$47=list!$J$211,INDEX(IPCC!$A$1854:$J$1865,MATCH(clim_moist,IPCC!$A$1854:$A$1865,0),MATCH('Inl. wetlands'!$E57,IPCC!$A$1854:$J$1854,0)))))),0)</f>
        <v>0</v>
      </c>
      <c r="K81" s="3467">
        <f>IF('6.Inland wetlands'!CP29="",'6.Inland wetlands'!CO29,'6.Inland wetlands'!CP29)</f>
        <v>0</v>
      </c>
      <c r="L81" s="1543">
        <v>0</v>
      </c>
      <c r="M81" s="1543">
        <f>IF('6.Inland wetlands'!S17=0, 0, IF('6.Inland wetlands'!N29&lt;'6.Inland wetlands'!S17, C81*44/12*'6.Inland wetlands'!N29, 'Inl. wetlands'!C81*44/12*('6.Inland wetlands'!S17)))</f>
        <v>0</v>
      </c>
      <c r="N81" s="4323">
        <f>IF('6.Inland wetlands'!T17=0, 0, IF('6.Inland wetlands'!P29&lt;'6.Inland wetlands'!T17, C81*44/12*'6.Inland wetlands'!P29, 'Inl. wetlands'!C81*44/12*('6.Inland wetlands'!T17)))</f>
        <v>0</v>
      </c>
      <c r="O81" s="4323">
        <v>0</v>
      </c>
      <c r="P81" s="4323">
        <f>IF('6.Inland wetlands'!S17=0, 0, IF('6.Inland wetlands'!N29&lt;'6.Inland wetlands'!S17, E81*methane/1000*'6.Inland wetlands'!N29*(1-'6.Inland wetlands'!X29), 'Inl. wetlands'!E81*methane/1000*('6.Inland wetlands'!S17*(1-'6.Inland wetlands'!X29))))</f>
        <v>0</v>
      </c>
      <c r="Q81" s="4323">
        <f>IF('6.Inland wetlands'!T17=0, 0, IF('6.Inland wetlands'!P29&lt;'6.Inland wetlands'!T17, E81*methane/1000*'6.Inland wetlands'!P29*(1-'6.Inland wetlands'!Y29), 'Inl. wetlands'!E81*methane/1000*('6.Inland wetlands'!T17*(1-'6.Inland wetlands'!Y29))))</f>
        <v>0</v>
      </c>
      <c r="R81" s="4323">
        <v>0</v>
      </c>
      <c r="S81" s="4323">
        <f>IF('6.Inland wetlands'!S17=0, 0, IF('6.Inland wetlands'!N29&lt;'6.Inland wetlands'!S17, G81*44/28*Nitrous/1000*'6.Inland wetlands'!N29, 'Inl. wetlands'!G81*44/28*Nitrous/1000*('6.Inland wetlands'!S17)))</f>
        <v>0</v>
      </c>
      <c r="T81" s="4323">
        <f>IF('6.Inland wetlands'!T17=0, 0, IF('6.Inland wetlands'!P29&lt;'6.Inland wetlands'!T17, G81*44/28*Nitrous/1000*'6.Inland wetlands'!P29, 'Inl. wetlands'!G81*44/28*Nitrous/1000*('6.Inland wetlands'!T17)))</f>
        <v>0</v>
      </c>
      <c r="U81" s="4323">
        <v>0</v>
      </c>
      <c r="V81" s="4323">
        <f>IF('6.Inland wetlands'!S17=0, 0, IF('6.Inland wetlands'!N29&lt;'6.Inland wetlands'!S17, I81*44/12*'6.Inland wetlands'!N29, 'Inl. wetlands'!I81*44/12*('6.Inland wetlands'!S17)))</f>
        <v>0</v>
      </c>
      <c r="W81" s="4323">
        <f>IF('6.Inland wetlands'!T17=0, 0, IF('6.Inland wetlands'!P29&lt;'6.Inland wetlands'!T17, I81*44/12*'6.Inland wetlands'!P29, 'Inl. wetlands'!I81*44/12*('6.Inland wetlands'!T17)))</f>
        <v>0</v>
      </c>
      <c r="X81" s="4323">
        <v>0</v>
      </c>
      <c r="Y81" s="1146">
        <f>IF('6.Inland wetlands'!S17=0, 0, IF('6.Inland wetlands'!N29&lt;'6.Inland wetlands'!S17, K81*methane/1000*'6.Inland wetlands'!N29*('6.Inland wetlands'!X29), 'Inl. wetlands'!K81*methane/1000*('6.Inland wetlands'!S17*('6.Inland wetlands'!X29))))</f>
        <v>0</v>
      </c>
      <c r="Z81" s="1146">
        <f>IF('6.Inland wetlands'!T17=0, 0, IF('6.Inland wetlands'!P29&lt;'6.Inland wetlands'!T17, K81*methane/1000*'6.Inland wetlands'!P29*('6.Inland wetlands'!Y29), 'Inl. wetlands'!K81*methane/1000*('6.Inland wetlands'!T17*('6.Inland wetlands'!Y29))))</f>
        <v>0</v>
      </c>
      <c r="AA81" s="1246"/>
      <c r="AB81" s="3468">
        <f>MIN('Inl. wetlands'!$L81,'Inl. wetlands'!$M81)*time_tot+ABS('Inl. wetlands'!$M81-'Inl. wetlands'!$L81)*IF('Inl. wetlands'!$M81&gt;'Inl. wetlands'!$L81,time_cap+time*(VLOOKUP('6.Inland wetlands'!O29,list!$I$48:$K$50,3,0)),time*(1-(VLOOKUP('6.Inland wetlands'!O29,list!$I$48:$K$50,3,0))))+MIN('Inl. wetlands'!$U81,'Inl. wetlands'!$V81)*time_tot+ABS('Inl. wetlands'!$V81-'Inl. wetlands'!$U81)*IF('Inl. wetlands'!$V81&gt;'Inl. wetlands'!$U81,time_cap+time*(VLOOKUP('6.Inland wetlands'!O29,list!$I$48:$K$50,3,0)),time*(1-(VLOOKUP('6.Inland wetlands'!O29,list!$I$48:$K$50,3,0))))</f>
        <v>0</v>
      </c>
      <c r="AC81" s="3468">
        <f>MIN('Inl. wetlands'!$L81,'Inl. wetlands'!$N81)*time_tot+ABS('Inl. wetlands'!$N81-'Inl. wetlands'!$L81)*IF('Inl. wetlands'!$N81&gt;'Inl. wetlands'!$L81,time_cap+time*(VLOOKUP('6.Inland wetlands'!Q29,list!$I$48:$K$50,3,0)),time*(1-(VLOOKUP('6.Inland wetlands'!Q29,list!$I$48:$K$50,3,0))))+MIN('Inl. wetlands'!$U81,'Inl. wetlands'!$W81)*time_tot+ABS('Inl. wetlands'!$W81-'Inl. wetlands'!$U81)*IF('Inl. wetlands'!$W81&gt;'Inl. wetlands'!$U81,time_cap+time*(VLOOKUP('6.Inland wetlands'!Q29,list!$I$48:$K$50,3,0)),time*(1-(VLOOKUP('6.Inland wetlands'!Q29,list!$I$48:$K$50,3,0))))</f>
        <v>0</v>
      </c>
      <c r="AD81" s="3468">
        <f>MIN('Inl. wetlands'!$O81,'Inl. wetlands'!$P81)*time_tot+ABS('Inl. wetlands'!$P81-'Inl. wetlands'!$O81)*IF('Inl. wetlands'!$P81&gt;'Inl. wetlands'!$O81,time_cap+time*(VLOOKUP('6.Inland wetlands'!O29,list!$I$48:$K$50,3,0)),time*(1-(VLOOKUP('6.Inland wetlands'!O29,list!$I$48:$K$50,3,0))))+MIN('Inl. wetlands'!$X81,'Inl. wetlands'!$Y81)*time_tot+ABS('Inl. wetlands'!$Y81-'Inl. wetlands'!$X81)*IF('Inl. wetlands'!$Y81&gt;'Inl. wetlands'!$X81,time_cap+time*(VLOOKUP('6.Inland wetlands'!O29,list!$I$48:$K$50,3,0)),time*(1-(VLOOKUP('6.Inland wetlands'!O29,list!$I$48:$K$50,3,0))))</f>
        <v>0</v>
      </c>
      <c r="AE81" s="3468">
        <f>MIN('Inl. wetlands'!$O81,'Inl. wetlands'!$Q81)*time_tot+ABS('Inl. wetlands'!$Q81-'Inl. wetlands'!$O81)*IF('Inl. wetlands'!$Q81&gt;'Inl. wetlands'!$O81,time_cap+time*(VLOOKUP('6.Inland wetlands'!Q29,list!$I$48:$K$50,3,0)),time*(1-(VLOOKUP('6.Inland wetlands'!Q29,list!$I$48:$K$50,3,0))))+MIN('Inl. wetlands'!$X81,'Inl. wetlands'!$Z81)*time_tot+ABS('Inl. wetlands'!$Z81-'Inl. wetlands'!$X81)*IF('Inl. wetlands'!$Z81&gt;'Inl. wetlands'!$X81,time_cap+time*(VLOOKUP('6.Inland wetlands'!Q29,list!$I$48:$K$50,3,0)),time*(1-(VLOOKUP('6.Inland wetlands'!Q29,list!$I$48:$K$50,3,0))))</f>
        <v>0</v>
      </c>
      <c r="AF81" s="3468">
        <f>MIN('Inl. wetlands'!$R81,'Inl. wetlands'!$S81)*time_tot+ABS('Inl. wetlands'!$S81-'Inl. wetlands'!$R81)*IF('Inl. wetlands'!$S81&gt;'Inl. wetlands'!$R81,time_cap+time*(VLOOKUP('6.Inland wetlands'!O29,list!$I$48:$K$50,3,0)),time*(1-(VLOOKUP('6.Inland wetlands'!O29,list!$I$48:$K$50,3,0))))</f>
        <v>0</v>
      </c>
      <c r="AG81" s="3468">
        <f>MIN('Inl. wetlands'!$R81,'Inl. wetlands'!$T81)*time_tot+ABS('Inl. wetlands'!$T81-'Inl. wetlands'!$R81)*IF('Inl. wetlands'!$T81&gt;'Inl. wetlands'!$R81,time_cap+time*(VLOOKUP('6.Inland wetlands'!Q29,list!$I$48:$K$50,3,0)),time*(1-(VLOOKUP('6.Inland wetlands'!Q29,list!$I$48:$K$50,3,0))))</f>
        <v>0</v>
      </c>
      <c r="AI81" s="992"/>
      <c r="AJ81" s="992"/>
      <c r="AK81" s="992"/>
    </row>
    <row r="82" spans="1:59" x14ac:dyDescent="0.15">
      <c r="A82" s="1467" t="s">
        <v>1165</v>
      </c>
      <c r="B82" s="1110">
        <f>IFERROR(IF(AND(OR('Inl. wetlands'!$E58="Other land",'Inl. wetlands'!$E58="Degraded land"),'Inl. wetlands'!$J$47=list!$J$210),INDEX(IPCC!$A$1762:$J$1773,MATCH(clim_moist,IPCC!$A$1762:$A$1773,0),MATCH('Inl. wetlands'!$E58,IPCC!$A$1762:$J$1762,0)),IF(AND(OR('Inl. wetlands'!$E58="Other land",'Inl. wetlands'!$E58="Degraded land"),'Inl. wetlands'!$J$47=list!$J$211),INDEX(IPCC!$A$1781:$J$1792,MATCH(clim_moist,IPCC!$A$1781:$A$1792,0),MATCH('Inl. wetlands'!$E58,IPCC!$A$1781:$J$1781,0)),IF('Inl. wetlands'!$J$47=list!$J$210,INDEX(IPCC!$A$1762:$J$1773,MATCH(clim_moist,IPCC!$A$1781:$A$1792,0),MATCH('Inl. wetlands'!$E58,IPCC!$A$1781:$J$1781,0)),IF('Inl. wetlands'!$J$47=list!$J$211,INDEX(IPCC!$A$1781:$J$1792,MATCH(clim_moist,IPCC!$A$1781:$A$1792,0),MATCH('Inl. wetlands'!$E58,IPCC!$A$1781:$J$1781,0)))))),0)</f>
        <v>0</v>
      </c>
      <c r="C82" s="1104">
        <f>IF('6.Inland wetlands'!CG30="",'6.Inland wetlands'!CF30,'6.Inland wetlands'!CG30)</f>
        <v>0</v>
      </c>
      <c r="D82" s="1044">
        <f>IFERROR(IF(AND(OR('Inl. wetlands'!$E58="Other land",'Inl. wetlands'!$E58="Degraded land"),'Inl. wetlands'!$J$47=list!$J$210),INDEX(IPCC!$A$1818:$J$1829,MATCH(clim_moist,IPCC!$A$1818:$A$1829,0),MATCH('Inl. wetlands'!E58,IPCC!$A$1818:$J$1818,0)),IF(AND(OR('Inl. wetlands'!$E58="Other land",'Inl. wetlands'!$E58="Degraded land"),'Inl. wetlands'!$J$47=list!$J$211),INDEX(IPCC!$A$1836:$J$1847,MATCH(clim_moist,IPCC!$A$1836:$A$1847,0),MATCH('Inl. wetlands'!$E58,IPCC!$A$1836:$J$1836,0)),IF('Inl. wetlands'!$J$47=list!$J$210,INDEX(IPCC!$A$1818:$G$1829,MATCH(clim_moist,IPCC!$A$1818:$A$1829,0),MATCH('Inl. wetlands'!$E58,IPCC!$A$1818:$J$1818,0)),IF('Inl. wetlands'!$J$47=list!$J$211,INDEX(IPCC!$A$1836:$J$1847,MATCH(clim_moist,IPCC!$A$1836:$A$1847,0),MATCH('Inl. wetlands'!$E58,IPCC!$A$1836:$J$1836,0)))))),0)</f>
        <v>0</v>
      </c>
      <c r="E82" s="1104">
        <f>IF('6.Inland wetlands'!CI30="",'6.Inland wetlands'!CH30,'6.Inland wetlands'!CI30)</f>
        <v>0</v>
      </c>
      <c r="F82" s="1044">
        <f>IFERROR(IF(AND(OR('Inl. wetlands'!$E58="Other land",'Inl. wetlands'!$E58="Degraded land"),'Inl. wetlands'!$J$47=list!$J$210),INDEX(IPCC!$A$1872:$J$1883,MATCH(clim_moist,IPCC!$A$1872:$A$1883,0),MATCH('Inl. wetlands'!D58,IPCC!$A$1872:$J$1872,0)),IF(AND(OR('Inl. wetlands'!$E58="Other land",'Inl. wetlands'!$E58="Degraded land"),'Inl. wetlands'!$J$47=list!$J$211),INDEX(IPCC!$A$1890:$J$1901,MATCH(clim_moist,IPCC!$A$1890:$A$1901,0),MATCH('Inl. wetlands'!$E58,IPCC!$A$1890:$J$1890,0)),IF('Inl. wetlands'!$J$47=list!$J$210,INDEX(IPCC!$A$1872:$J$1883,MATCH(clim_moist,IPCC!$A$1872:$A$1883,0),MATCH('Inl. wetlands'!$E58,IPCC!$A$1872:$J$1872,0)),IF('Inl. wetlands'!$J$47=list!$J$211,INDEX(IPCC!$A$1890:$J$1901,MATCH(clim_moist,IPCC!$A$1890:$A$1901,0),MATCH('Inl. wetlands'!$E58,IPCC!$A$1890:$J$1890,0)))))),0)</f>
        <v>0</v>
      </c>
      <c r="G82" s="1104">
        <f>IF('6.Inland wetlands'!CK30="",'6.Inland wetlands'!CJ30,'6.Inland wetlands'!CK30)</f>
        <v>0</v>
      </c>
      <c r="H82" s="1110">
        <f>IFERROR(IF(AND(OR('Inl. wetlands'!$E58="Other land",'Inl. wetlands'!$E58="Degraded land"),'Inl. wetlands'!$J$47=list!$J$210),INDEX(IPCC!$A$1800:$J$1811,MATCH(clim_moist,IPCC!$A$1800:$A$1811,0),MATCH('Inl. wetlands'!E58,IPCC!$A$1800:$J$1800,0)),IF(AND(OR('Inl. wetlands'!$E58="Other land",'Inl. wetlands'!$E58="Degraded land"),'Inl. wetlands'!$J$47=list!$J$211),INDEX(IPCC!$A$1800:$J$1811,MATCH(clim_moist,IPCC!$A$1800:$A$1811,0),MATCH('Inl. wetlands'!$E58,IPCC!$A$1800:$J$1800,0)),IF('Inl. wetlands'!$J$47=list!$J$210,INDEX(IPCC!$A$1800:$J$1811,MATCH(clim_moist,IPCC!$A$1800:$A$1811,0),MATCH('Inl. wetlands'!$E58,IPCC!$A$1800:$J$1800,0)),IF('Inl. wetlands'!$J$47=list!$J$211,INDEX(IPCC!$A$1800:$J$1811,MATCH(clim_moist,IPCC!$A$1800:$A$1811,0),MATCH('Inl. wetlands'!$E58,IPCC!$A$1800:$J$1800,0)))))),0)</f>
        <v>0</v>
      </c>
      <c r="I82" s="1104">
        <f>IF('6.Inland wetlands'!CN30="",'6.Inland wetlands'!CM30,'6.Inland wetlands'!CN30)</f>
        <v>0</v>
      </c>
      <c r="J82" s="1111">
        <f>IFERROR(IF(AND(OR('Inl. wetlands'!$E58="Other land",'Inl. wetlands'!$E58="Degraded land"),'Inl. wetlands'!$J$47=list!$J$210),INDEX(IPCC!$A$1854:$J$1865,MATCH(clim_moist,IPCC!$A$1854:$A$1865,0),MATCH('Inl. wetlands'!$E58,IPCC!$A$1854:$J$1854,0)),IF(AND(OR('Inl. wetlands'!$E58="Other land",'Inl. wetlands'!$E58="Degraded land"),'Inl. wetlands'!$J$47=list!$J$211),INDEX(IPCC!$A$1854:$J$1865,MATCH(clim_moist,IPCC!$A$1854:A$1865,0),MATCH('Inl. wetlands'!$E58,IPCC!$A$1854:$J$1854,0)),IF('Inl. wetlands'!$J$47=list!$J$210,INDEX(IPCC!$A$1854:$J$1865,MATCH(clim_moist,IPCC!$A$1854:$A$1865,0),MATCH('Inl. wetlands'!$E58,IPCC!$A$1854:$J$1854,0)),IF('Inl. wetlands'!$J$47=list!$J$211,INDEX(IPCC!$A$1854:$J$1865,MATCH(clim_moist,IPCC!$A$1854:$A$1865,0),MATCH('Inl. wetlands'!$E58,IPCC!$A$1854:$J$1854,0)))))),0)</f>
        <v>0</v>
      </c>
      <c r="K82" s="3467">
        <f>IF('6.Inland wetlands'!CP30="",'6.Inland wetlands'!CO30,'6.Inland wetlands'!CP30)</f>
        <v>0</v>
      </c>
      <c r="L82" s="1543">
        <v>0</v>
      </c>
      <c r="M82" s="1543">
        <f>IF('6.Inland wetlands'!S18=0, 0, IF('6.Inland wetlands'!N30&lt;'6.Inland wetlands'!S18, C82*44/12*'6.Inland wetlands'!N30, 'Inl. wetlands'!C82*44/12*('6.Inland wetlands'!S18)))</f>
        <v>0</v>
      </c>
      <c r="N82" s="4323">
        <f>IF('6.Inland wetlands'!T18=0, 0, IF('6.Inland wetlands'!P30&lt;'6.Inland wetlands'!T18, C82*44/12*'6.Inland wetlands'!P30, 'Inl. wetlands'!C82*44/12*('6.Inland wetlands'!T18)))</f>
        <v>0</v>
      </c>
      <c r="O82" s="4323">
        <v>0</v>
      </c>
      <c r="P82" s="4323">
        <f>IF('6.Inland wetlands'!S18=0, 0, IF('6.Inland wetlands'!N30&lt;'6.Inland wetlands'!S18, E82*methane/1000*'6.Inland wetlands'!N30*(1-'6.Inland wetlands'!X30), 'Inl. wetlands'!E82*methane/1000*('6.Inland wetlands'!S18*(1-'6.Inland wetlands'!X30))))</f>
        <v>0</v>
      </c>
      <c r="Q82" s="4323">
        <f>IF('6.Inland wetlands'!T18=0, 0, IF('6.Inland wetlands'!P30&lt;'6.Inland wetlands'!T18, E82*methane/1000*'6.Inland wetlands'!P30*(1-'6.Inland wetlands'!Y30), 'Inl. wetlands'!E82*methane/1000*('6.Inland wetlands'!T18*(1-'6.Inland wetlands'!Y30))))</f>
        <v>0</v>
      </c>
      <c r="R82" s="4323">
        <v>0</v>
      </c>
      <c r="S82" s="4323">
        <f>IF('6.Inland wetlands'!S18=0, 0, IF('6.Inland wetlands'!N30&lt;'6.Inland wetlands'!S18, G82*44/28*Nitrous/1000*'6.Inland wetlands'!N30, 'Inl. wetlands'!G82*44/28*Nitrous/1000*('6.Inland wetlands'!S18)))</f>
        <v>0</v>
      </c>
      <c r="T82" s="4323">
        <f>IF('6.Inland wetlands'!T18=0, 0, IF('6.Inland wetlands'!P30&lt;'6.Inland wetlands'!T18, G82*44/28*Nitrous/1000*'6.Inland wetlands'!P30, 'Inl. wetlands'!G82*44/28*Nitrous/1000*('6.Inland wetlands'!T18)))</f>
        <v>0</v>
      </c>
      <c r="U82" s="4323">
        <v>0</v>
      </c>
      <c r="V82" s="4323">
        <f>IF('6.Inland wetlands'!S18=0, 0, IF('6.Inland wetlands'!N30&lt;'6.Inland wetlands'!S18, I82*44/12*'6.Inland wetlands'!N30, 'Inl. wetlands'!I82*44/12*('6.Inland wetlands'!S18)))</f>
        <v>0</v>
      </c>
      <c r="W82" s="4323">
        <f>IF('6.Inland wetlands'!T18=0, 0, IF('6.Inland wetlands'!P30&lt;'6.Inland wetlands'!T18, I82*44/12*'6.Inland wetlands'!P30, 'Inl. wetlands'!I82*44/12*('6.Inland wetlands'!T18)))</f>
        <v>0</v>
      </c>
      <c r="X82" s="4323">
        <v>0</v>
      </c>
      <c r="Y82" s="1146">
        <f>IF('6.Inland wetlands'!S18=0, 0, IF('6.Inland wetlands'!N30&lt;'6.Inland wetlands'!S18, K82*methane/1000*'6.Inland wetlands'!N30*('6.Inland wetlands'!X30), 'Inl. wetlands'!K82*methane/1000*('6.Inland wetlands'!S18*('6.Inland wetlands'!X30))))</f>
        <v>0</v>
      </c>
      <c r="Z82" s="1146">
        <f>IF('6.Inland wetlands'!T18=0, 0, IF('6.Inland wetlands'!P30&lt;'6.Inland wetlands'!T18, K82*methane/1000*'6.Inland wetlands'!P30*('6.Inland wetlands'!Y30), 'Inl. wetlands'!K82*methane/1000*('6.Inland wetlands'!T18*('6.Inland wetlands'!Y30))))</f>
        <v>0</v>
      </c>
      <c r="AA82" s="1246"/>
      <c r="AB82" s="3468">
        <f>MIN('Inl. wetlands'!$L82,'Inl. wetlands'!$M82)*time_tot+ABS('Inl. wetlands'!$M82-'Inl. wetlands'!$L82)*IF('Inl. wetlands'!$M82&gt;'Inl. wetlands'!$L82,time_cap+time*(VLOOKUP('6.Inland wetlands'!O30,list!$I$48:$K$50,3,0)),time*(1-(VLOOKUP('6.Inland wetlands'!O30,list!$I$48:$K$50,3,0))))+MIN('Inl. wetlands'!$U82,'Inl. wetlands'!$V82)*time_tot+ABS('Inl. wetlands'!$V82-'Inl. wetlands'!$U82)*IF('Inl. wetlands'!$V82&gt;'Inl. wetlands'!$U82,time_cap+time*(VLOOKUP('6.Inland wetlands'!O30,list!$I$48:$K$50,3,0)),time*(1-(VLOOKUP('6.Inland wetlands'!O30,list!$I$48:$K$50,3,0))))</f>
        <v>0</v>
      </c>
      <c r="AC82" s="3468">
        <f>MIN('Inl. wetlands'!$L82,'Inl. wetlands'!$N82)*time_tot+ABS('Inl. wetlands'!$N82-'Inl. wetlands'!$L82)*IF('Inl. wetlands'!$N82&gt;'Inl. wetlands'!$L82,time_cap+time*(VLOOKUP('6.Inland wetlands'!Q30,list!$I$48:$K$50,3,0)),time*(1-(VLOOKUP('6.Inland wetlands'!Q30,list!$I$48:$K$50,3,0))))+MIN('Inl. wetlands'!$U82,'Inl. wetlands'!$W82)*time_tot+ABS('Inl. wetlands'!$W82-'Inl. wetlands'!$U82)*IF('Inl. wetlands'!$W82&gt;'Inl. wetlands'!$U82,time_cap+time*(VLOOKUP('6.Inland wetlands'!Q30,list!$I$48:$K$50,3,0)),time*(1-(VLOOKUP('6.Inland wetlands'!Q30,list!$I$48:$K$50,3,0))))</f>
        <v>0</v>
      </c>
      <c r="AD82" s="3468">
        <f>MIN('Inl. wetlands'!$O82,'Inl. wetlands'!$P82)*time_tot+ABS('Inl. wetlands'!$P82-'Inl. wetlands'!$O82)*IF('Inl. wetlands'!$P82&gt;'Inl. wetlands'!$O82,time_cap+time*(VLOOKUP('6.Inland wetlands'!O30,list!$I$48:$K$50,3,0)),time*(1-(VLOOKUP('6.Inland wetlands'!O30,list!$I$48:$K$50,3,0))))+MIN('Inl. wetlands'!$X82,'Inl. wetlands'!$Y82)*time_tot+ABS('Inl. wetlands'!$Y82-'Inl. wetlands'!$X82)*IF('Inl. wetlands'!$Y82&gt;'Inl. wetlands'!$X82,time_cap+time*(VLOOKUP('6.Inland wetlands'!O30,list!$I$48:$K$50,3,0)),time*(1-(VLOOKUP('6.Inland wetlands'!O30,list!$I$48:$K$50,3,0))))</f>
        <v>0</v>
      </c>
      <c r="AE82" s="3468">
        <f>MIN('Inl. wetlands'!$O82,'Inl. wetlands'!$Q82)*time_tot+ABS('Inl. wetlands'!$Q82-'Inl. wetlands'!$O82)*IF('Inl. wetlands'!$Q82&gt;'Inl. wetlands'!$O82,time_cap+time*(VLOOKUP('6.Inland wetlands'!Q30,list!$I$48:$K$50,3,0)),time*(1-(VLOOKUP('6.Inland wetlands'!Q30,list!$I$48:$K$50,3,0))))+MIN('Inl. wetlands'!$X82,'Inl. wetlands'!$Z82)*time_tot+ABS('Inl. wetlands'!$Z82-'Inl. wetlands'!$X82)*IF('Inl. wetlands'!$Z82&gt;'Inl. wetlands'!$X82,time_cap+time*(VLOOKUP('6.Inland wetlands'!Q30,list!$I$48:$K$50,3,0)),time*(1-(VLOOKUP('6.Inland wetlands'!Q30,list!$I$48:$K$50,3,0))))</f>
        <v>0</v>
      </c>
      <c r="AF82" s="3468">
        <f>MIN('Inl. wetlands'!$R82,'Inl. wetlands'!$S82)*time_tot+ABS('Inl. wetlands'!$S82-'Inl. wetlands'!$R82)*IF('Inl. wetlands'!$S82&gt;'Inl. wetlands'!$R82,time_cap+time*(VLOOKUP('6.Inland wetlands'!O30,list!$I$48:$K$50,3,0)),time*(1-(VLOOKUP('6.Inland wetlands'!O30,list!$I$48:$K$50,3,0))))</f>
        <v>0</v>
      </c>
      <c r="AG82" s="3468">
        <f>MIN('Inl. wetlands'!$R82,'Inl. wetlands'!$T82)*time_tot+ABS('Inl. wetlands'!$T82-'Inl. wetlands'!$R82)*IF('Inl. wetlands'!$T82&gt;'Inl. wetlands'!$R82,time_cap+time*(VLOOKUP('6.Inland wetlands'!Q30,list!$I$48:$K$50,3,0)),time*(1-(VLOOKUP('6.Inland wetlands'!Q30,list!$I$48:$K$50,3,0))))</f>
        <v>0</v>
      </c>
      <c r="AI82" s="992"/>
      <c r="AJ82" s="992"/>
      <c r="AK82" s="992"/>
    </row>
    <row r="83" spans="1:59" x14ac:dyDescent="0.15">
      <c r="I83" s="1246"/>
      <c r="L83" s="1246"/>
      <c r="AA83" s="1246"/>
      <c r="AB83" s="1246"/>
      <c r="AC83" s="1246"/>
      <c r="AD83" s="1246"/>
      <c r="AE83" s="1246"/>
      <c r="AF83" s="1246"/>
      <c r="AI83" s="992"/>
      <c r="AJ83" s="992"/>
      <c r="AK83" s="992"/>
    </row>
    <row r="84" spans="1:59" ht="16" x14ac:dyDescent="0.2">
      <c r="E84" s="3992" t="s">
        <v>1179</v>
      </c>
      <c r="F84" s="3992">
        <f>SUMIF(L66:L71,"&gt;0",N36:N41)</f>
        <v>100</v>
      </c>
      <c r="G84" s="3992">
        <f>SUMIF(M66:M71,"&gt;0",O36:O41)</f>
        <v>100</v>
      </c>
      <c r="H84" s="3992">
        <f>SUMIF(N66:N71,"&gt;0",Q36:Q41)</f>
        <v>100</v>
      </c>
      <c r="W84" s="1231"/>
      <c r="X84" s="1231"/>
      <c r="Y84" s="1231"/>
      <c r="Z84" s="1231"/>
      <c r="AA84" s="1457"/>
      <c r="AB84" s="1231"/>
      <c r="AC84" s="1458"/>
      <c r="AD84" s="1458"/>
      <c r="AE84" s="1458"/>
      <c r="AX84" s="1451">
        <f t="shared" ref="AX84:BG84" si="46">SUM(AX66:AX71)</f>
        <v>2621.6666666666665</v>
      </c>
      <c r="AY84" s="1451">
        <f t="shared" si="46"/>
        <v>3098.3333333333335</v>
      </c>
      <c r="AZ84" s="1451">
        <f t="shared" si="46"/>
        <v>9.625</v>
      </c>
      <c r="BA84" s="1451">
        <f t="shared" si="46"/>
        <v>11.375000000000002</v>
      </c>
      <c r="BB84" s="1451">
        <f t="shared" si="46"/>
        <v>320.64999999999998</v>
      </c>
      <c r="BC84" s="1451">
        <f t="shared" si="46"/>
        <v>378.95000000000005</v>
      </c>
      <c r="BD84" s="1451">
        <f t="shared" si="46"/>
        <v>312.58333333333337</v>
      </c>
      <c r="BE84" s="1451">
        <f t="shared" si="46"/>
        <v>369.41666666666669</v>
      </c>
      <c r="BF84" s="1451">
        <f t="shared" si="46"/>
        <v>4485.25</v>
      </c>
      <c r="BG84" s="1451">
        <f t="shared" si="46"/>
        <v>5300.75</v>
      </c>
    </row>
    <row r="85" spans="1:59" s="1089" customFormat="1" ht="30.5" customHeight="1" x14ac:dyDescent="0.15">
      <c r="B85" s="1112" t="s">
        <v>1180</v>
      </c>
      <c r="C85" s="1113"/>
      <c r="D85" s="1113"/>
      <c r="E85" s="1113"/>
      <c r="F85" s="1113"/>
      <c r="G85" s="1113"/>
      <c r="H85" s="1113"/>
      <c r="I85" s="1113"/>
      <c r="J85" s="1113"/>
      <c r="K85" s="1113"/>
      <c r="L85" s="1113"/>
      <c r="M85" s="1113"/>
      <c r="N85" s="1113"/>
      <c r="O85" s="1113"/>
      <c r="P85" s="1113"/>
      <c r="Q85" s="1113"/>
      <c r="R85" s="1113"/>
      <c r="S85" s="1113"/>
      <c r="T85" s="1113"/>
      <c r="U85" s="1113"/>
      <c r="V85" s="1113"/>
      <c r="W85" s="1113"/>
      <c r="X85" s="1113"/>
      <c r="Y85" s="1113"/>
      <c r="Z85" s="1113"/>
      <c r="AA85" s="1113"/>
      <c r="AB85" s="1113"/>
      <c r="AC85" s="1113"/>
      <c r="AD85" s="1113"/>
      <c r="AE85" s="1113"/>
      <c r="AF85" s="1113"/>
      <c r="AG85" s="1113"/>
      <c r="AH85" s="1113"/>
      <c r="AI85" s="1113"/>
      <c r="AJ85" s="1113"/>
      <c r="AK85" s="1113"/>
      <c r="AX85" s="1264"/>
      <c r="AY85" s="1451">
        <f>AY84-AX84</f>
        <v>476.66666666666697</v>
      </c>
      <c r="AZ85" s="1451"/>
      <c r="BA85" s="1451">
        <f>BA84-AZ84</f>
        <v>1.7500000000000018</v>
      </c>
      <c r="BB85" s="1264"/>
      <c r="BC85" s="1451">
        <f>BC84-BB84</f>
        <v>58.300000000000068</v>
      </c>
      <c r="BD85" s="1451"/>
      <c r="BE85" s="1451">
        <f>BE84-BD84</f>
        <v>56.833333333333314</v>
      </c>
      <c r="BF85" s="1264"/>
      <c r="BG85" s="1451">
        <f>BG84-BF84</f>
        <v>815.5</v>
      </c>
    </row>
    <row r="86" spans="1:59" x14ac:dyDescent="0.15">
      <c r="C86" s="1246"/>
      <c r="BD86" s="1271"/>
    </row>
    <row r="87" spans="1:59" ht="16.5" customHeight="1" x14ac:dyDescent="0.2">
      <c r="A87" s="1492"/>
      <c r="E87" s="1265" t="s">
        <v>1181</v>
      </c>
      <c r="F87" s="1262"/>
      <c r="G87" s="1262"/>
      <c r="H87" s="1262"/>
      <c r="I87" s="1473" t="s">
        <v>1182</v>
      </c>
      <c r="J87" s="1474"/>
      <c r="K87" s="1474"/>
      <c r="L87" s="1475"/>
      <c r="M87" s="1474"/>
      <c r="N87" s="1476"/>
      <c r="O87" s="1476" t="s">
        <v>1183</v>
      </c>
      <c r="P87" s="1476"/>
      <c r="Q87" s="1481" t="s">
        <v>1184</v>
      </c>
      <c r="R87" s="1482"/>
      <c r="S87" s="1482"/>
      <c r="T87" s="1482"/>
      <c r="U87" s="1482"/>
      <c r="V87" s="1482"/>
      <c r="W87" s="1482"/>
      <c r="X87" s="1482"/>
      <c r="Y87" s="1482"/>
      <c r="AB87" s="1505" t="s">
        <v>1185</v>
      </c>
      <c r="AC87" s="1470"/>
      <c r="AD87" s="1470"/>
      <c r="AE87" s="1470"/>
      <c r="AF87" s="1470"/>
      <c r="AG87" s="1470"/>
      <c r="AX87" s="1287" t="s">
        <v>1186</v>
      </c>
      <c r="AY87" s="1501"/>
      <c r="AZ87" s="1501"/>
      <c r="BA87" s="1501"/>
      <c r="BB87" s="1501"/>
      <c r="BC87" s="1451">
        <f>AY85+BE85</f>
        <v>533.50000000000023</v>
      </c>
      <c r="BD87" s="1448"/>
      <c r="BE87" s="1448"/>
      <c r="BF87" s="1448"/>
      <c r="BG87" s="1448"/>
    </row>
    <row r="88" spans="1:59" ht="17" x14ac:dyDescent="0.2">
      <c r="A88" s="1492"/>
      <c r="D88" s="1576" t="s">
        <v>199</v>
      </c>
      <c r="E88" s="1105" t="s">
        <v>200</v>
      </c>
      <c r="F88" s="1105"/>
      <c r="G88" s="1106" t="s">
        <v>201</v>
      </c>
      <c r="H88" s="1106"/>
      <c r="I88" s="1477" t="s">
        <v>1187</v>
      </c>
      <c r="J88" s="1478"/>
      <c r="K88" s="1477" t="s">
        <v>1188</v>
      </c>
      <c r="L88" s="1478"/>
      <c r="M88" s="1477" t="s">
        <v>1189</v>
      </c>
      <c r="N88" s="1478"/>
      <c r="O88" s="1477" t="s">
        <v>1190</v>
      </c>
      <c r="P88" s="1478"/>
      <c r="Q88" s="1482"/>
      <c r="R88" s="1482"/>
      <c r="S88" s="1482"/>
      <c r="T88" s="1482"/>
      <c r="U88" s="1482"/>
      <c r="V88" s="1482"/>
      <c r="W88" s="1482"/>
      <c r="X88" s="1482"/>
      <c r="Y88" s="1482"/>
      <c r="AB88" s="1505" t="s">
        <v>1191</v>
      </c>
      <c r="AC88" s="1471"/>
      <c r="AD88" s="1471"/>
      <c r="AE88" s="1470"/>
      <c r="AF88" s="1471"/>
      <c r="AG88" s="1470"/>
      <c r="AX88" s="1502" t="s">
        <v>1036</v>
      </c>
      <c r="AY88" s="1502"/>
      <c r="AZ88" s="1502" t="s">
        <v>176</v>
      </c>
      <c r="BA88" s="1502"/>
      <c r="BB88" s="1502" t="s">
        <v>177</v>
      </c>
      <c r="BC88" s="1450"/>
    </row>
    <row r="89" spans="1:59" x14ac:dyDescent="0.15">
      <c r="A89" s="1462"/>
      <c r="B89" s="1281" t="str">
        <f>B51</f>
        <v>Initial land use</v>
      </c>
      <c r="C89" s="1281"/>
      <c r="D89" s="1688"/>
      <c r="E89" s="1100"/>
      <c r="F89" s="1100"/>
      <c r="G89" s="1101"/>
      <c r="H89" s="1101"/>
      <c r="I89" s="1479" t="s">
        <v>92</v>
      </c>
      <c r="J89" s="1479"/>
      <c r="K89" s="1479" t="s">
        <v>1044</v>
      </c>
      <c r="L89" s="1479"/>
      <c r="M89" s="1479" t="s">
        <v>1045</v>
      </c>
      <c r="N89" s="1479"/>
      <c r="O89" s="1479" t="s">
        <v>92</v>
      </c>
      <c r="P89" s="1479"/>
      <c r="Q89" s="1482" t="s">
        <v>1176</v>
      </c>
      <c r="R89" s="1482"/>
      <c r="S89" s="1482"/>
      <c r="T89" s="1482" t="s">
        <v>176</v>
      </c>
      <c r="U89" s="1482"/>
      <c r="V89" s="1482"/>
      <c r="W89" s="1482" t="s">
        <v>1192</v>
      </c>
      <c r="X89" s="1482"/>
      <c r="Y89" s="1482"/>
      <c r="AB89" s="1472" t="s">
        <v>1176</v>
      </c>
      <c r="AC89" s="1472"/>
      <c r="AD89" s="1472" t="s">
        <v>176</v>
      </c>
      <c r="AE89" s="1472"/>
      <c r="AF89" s="1472" t="s">
        <v>1192</v>
      </c>
      <c r="AG89" s="1472"/>
      <c r="AX89" s="1264" t="s">
        <v>859</v>
      </c>
      <c r="AZ89" s="1264" t="s">
        <v>859</v>
      </c>
      <c r="BB89" s="1264" t="s">
        <v>859</v>
      </c>
      <c r="BD89" s="1272"/>
      <c r="BE89" s="1272"/>
      <c r="BF89" s="1272"/>
      <c r="BG89" s="1272"/>
    </row>
    <row r="90" spans="1:59" x14ac:dyDescent="0.15">
      <c r="A90" s="1462"/>
      <c r="B90" s="1281" t="str">
        <f>D52</f>
        <v>User selection</v>
      </c>
      <c r="C90" s="1281" t="str">
        <f>E52</f>
        <v>IPCC equivalent*</v>
      </c>
      <c r="D90" s="1688" t="s">
        <v>371</v>
      </c>
      <c r="E90" s="1100" t="str">
        <f>G52</f>
        <v>ha</v>
      </c>
      <c r="F90" s="1100" t="str">
        <f t="shared" ref="F90:F96" si="47">H52</f>
        <v>Rate</v>
      </c>
      <c r="G90" s="1101" t="str">
        <f>K52</f>
        <v>ha</v>
      </c>
      <c r="H90" s="1101" t="str">
        <f t="shared" ref="H90:H96" si="48">L52</f>
        <v>Rate</v>
      </c>
      <c r="I90" s="1480" t="s">
        <v>65</v>
      </c>
      <c r="J90" s="1480" t="s">
        <v>66</v>
      </c>
      <c r="K90" s="1480" t="s">
        <v>65</v>
      </c>
      <c r="L90" s="1480" t="s">
        <v>66</v>
      </c>
      <c r="M90" s="1480" t="s">
        <v>65</v>
      </c>
      <c r="N90" s="1480" t="s">
        <v>66</v>
      </c>
      <c r="O90" s="1480" t="s">
        <v>65</v>
      </c>
      <c r="P90" s="1480" t="s">
        <v>66</v>
      </c>
      <c r="Q90" s="973" t="s">
        <v>219</v>
      </c>
      <c r="R90" s="1100" t="s">
        <v>179</v>
      </c>
      <c r="S90" s="1101" t="s">
        <v>180</v>
      </c>
      <c r="T90" s="973" t="s">
        <v>219</v>
      </c>
      <c r="U90" s="1100" t="s">
        <v>179</v>
      </c>
      <c r="V90" s="1101" t="s">
        <v>180</v>
      </c>
      <c r="W90" s="973" t="str">
        <f>T90</f>
        <v>Start</v>
      </c>
      <c r="X90" s="1100" t="s">
        <v>179</v>
      </c>
      <c r="Y90" s="1101" t="s">
        <v>180</v>
      </c>
      <c r="AB90" s="1100" t="s">
        <v>179</v>
      </c>
      <c r="AC90" s="1101" t="s">
        <v>180</v>
      </c>
      <c r="AD90" s="1100" t="s">
        <v>179</v>
      </c>
      <c r="AE90" s="1101" t="s">
        <v>180</v>
      </c>
      <c r="AF90" s="1100" t="s">
        <v>179</v>
      </c>
      <c r="AG90" s="1101" t="s">
        <v>180</v>
      </c>
      <c r="AX90" s="1272" t="s">
        <v>200</v>
      </c>
      <c r="AY90" s="1272" t="s">
        <v>201</v>
      </c>
      <c r="AZ90" s="1272" t="s">
        <v>200</v>
      </c>
      <c r="BA90" s="1272" t="s">
        <v>201</v>
      </c>
      <c r="BB90" s="1272" t="s">
        <v>200</v>
      </c>
      <c r="BC90" s="1272" t="s">
        <v>201</v>
      </c>
      <c r="BD90" s="1449"/>
      <c r="BE90" s="1449"/>
      <c r="BF90" s="1449"/>
      <c r="BG90" s="1449"/>
    </row>
    <row r="91" spans="1:59" x14ac:dyDescent="0.15">
      <c r="A91" s="1493" t="s">
        <v>1160</v>
      </c>
      <c r="B91" s="973" t="str">
        <f t="shared" ref="B91:C96" si="49">B53</f>
        <v>Tropical rainforest</v>
      </c>
      <c r="C91" s="973" t="str">
        <f t="shared" si="49"/>
        <v>Forest</v>
      </c>
      <c r="D91" s="992">
        <f>'6.Inland wetlands'!M13</f>
        <v>100</v>
      </c>
      <c r="E91" s="992">
        <f>IF('6.Inland wetlands'!S25='6.Inland wetlands'!K25, 0, IF(('6.Inland wetlands'!T25-'6.Inland wetlands'!S25)-'6.Inland wetlands'!S13&gt;0,('6.Inland wetlands'!T25-'6.Inland wetlands'!S25)-'6.Inland wetlands'!S13,0))</f>
        <v>50</v>
      </c>
      <c r="F91" s="1688" t="str">
        <f t="shared" si="47"/>
        <v>Linear</v>
      </c>
      <c r="G91" s="992">
        <f>IF(('6.Inland wetlands'!U25-'6.Inland wetlands'!S25)-'6.Inland wetlands'!T13&gt;0,('6.Inland wetlands'!U25-'6.Inland wetlands'!S25)-'6.Inland wetlands'!T13,0)</f>
        <v>30</v>
      </c>
      <c r="H91" s="1688" t="str">
        <f t="shared" si="48"/>
        <v>Linear</v>
      </c>
      <c r="I91" s="1004">
        <f>IFERROR(IF($B91="Please select",0,IF($D$47="Nutrient poor",INDEX(IPCC!$A$1910:$J$1921,MATCH(clim_moist,IPCC!$A$1910:$A$1921,0),MATCH($C91,IPCC!$A$1910:$J$1910,0)),INDEX(IPCC!$A$1928:$J$1939,MATCH(clim_moist,IPCC!$A$1928:$A$1939,0),MATCH($C91,IPCC!$A$1928:$J$1928,0)))),0)</f>
        <v>-0.23</v>
      </c>
      <c r="J91" s="1259">
        <f>IF('6.Inland wetlands'!$DY12="",'6.Inland wetlands'!$DX12,'6.Inland wetlands'!$DY12)</f>
        <v>-0.23</v>
      </c>
      <c r="K91" s="1004">
        <f>IFERROR(IF($B91="Please select",0,IF($D$47="Nutrient poor",INDEX(IPCC!$A$1964:$J$1975,MATCH(clim_moist,IPCC!$A$1964:$A$1975,0),MATCH($C91,IPCC!$A$1964:$J$1964,0)),INDEX(IPCC!$A$1982:$J$1993,MATCH(clim_moist,IPCC!$A$1982:$A$1993,0),MATCH($C91,IPCC!$A$1982:$J$1982,0)))),0)</f>
        <v>92</v>
      </c>
      <c r="L91" s="1259">
        <f>IF('6.Inland wetlands'!$EA12="",'6.Inland wetlands'!$DZ12,'6.Inland wetlands'!$EA12)</f>
        <v>92</v>
      </c>
      <c r="M91" s="1004">
        <f>IFERROR(IF($B91="Please select",0,INDEX(IPCC!$A$2000:$J$2011,MATCH(clim_moist,IPCC!$A$2000:$A$2011,0),MATCH($C91,IPCC!$A$2000:$J$2000,0))),0)</f>
        <v>0</v>
      </c>
      <c r="N91" s="1259">
        <f>IF('6.Inland wetlands'!$EC12="",'6.Inland wetlands'!$EB12,'6.Inland wetlands'!$EC12)</f>
        <v>0</v>
      </c>
      <c r="O91" s="1260">
        <f>IFERROR(IF($B91="Please select",0,INDEX(IPCC!$A$1946:$J$1957,MATCH(clim_moist,IPCC!$A$1946:$A$1957,0),MATCH($C91,IPCC!$A$1946:$J$1946,0))),0)</f>
        <v>0.24</v>
      </c>
      <c r="P91" s="1259">
        <f>IF('6.Inland wetlands'!$EF12="",'6.Inland wetlands'!$EE12,'6.Inland wetlands'!$EF12)</f>
        <v>0.24</v>
      </c>
      <c r="Q91" s="3468">
        <v>0</v>
      </c>
      <c r="R91" s="3468">
        <f t="shared" ref="R91:R96" si="50">SUM($J91,$P91)*44/12*E91</f>
        <v>1.8333333333333299</v>
      </c>
      <c r="S91" s="1151">
        <f t="shared" ref="S91:S96" si="51">SUM($J91,$P91)*44/12*G91</f>
        <v>1.0999999999999979</v>
      </c>
      <c r="T91" s="3468">
        <v>0</v>
      </c>
      <c r="U91" s="1151">
        <f t="shared" ref="U91:U96" si="52">$L91/1000*16/12*methane*E91</f>
        <v>171.73333333333332</v>
      </c>
      <c r="V91" s="1151">
        <f t="shared" ref="V91:V96" si="53">$L91/1000*16/12*methane*G91</f>
        <v>103.03999999999999</v>
      </c>
      <c r="W91" s="3468">
        <v>0</v>
      </c>
      <c r="X91" s="1151">
        <f t="shared" ref="X91:X96" si="54">$N91/1000*44/28*Nitrous*E91</f>
        <v>0</v>
      </c>
      <c r="Y91" s="3469">
        <f t="shared" ref="Y91:Y96" si="55">$N91/1000*44/28*Nitrous*G91</f>
        <v>0</v>
      </c>
      <c r="AB91" s="3468">
        <f>MIN('Inl. wetlands'!$Q91,'Inl. wetlands'!$R91)*time_tot+ABS('Inl. wetlands'!$R91-'Inl. wetlands'!$Q91)*IF('Inl. wetlands'!$R91&gt;'Inl. wetlands'!$Q91,time_cap+time*(VLOOKUP('6.Inland wetlands'!O25,list!$I$48:$K$50,3,0)),time*(1-(VLOOKUP('6.Inland wetlands'!O25,list!$I$48:$K$50,3,0))))</f>
        <v>22.916666666666625</v>
      </c>
      <c r="AC91" s="3468">
        <f>MIN('Inl. wetlands'!$Q91,'Inl. wetlands'!$S91)*time_tot+ABS('Inl. wetlands'!$S91-'Inl. wetlands'!$Q91)*IF('Inl. wetlands'!$S91&gt;'Inl. wetlands'!$Q91,time_cap+time*(VLOOKUP('6.Inland wetlands'!Q25,list!$I$48:$K$50,3,0)),time*(1-(VLOOKUP('6.Inland wetlands'!Q25,list!$I$48:$K$50,3,0))))</f>
        <v>13.749999999999973</v>
      </c>
      <c r="AD91" s="3468">
        <f>MIN('Inl. wetlands'!$T91,'Inl. wetlands'!$U91)*time_tot+ABS('Inl. wetlands'!$U91-'Inl. wetlands'!$T91)*IF('Inl. wetlands'!$U91&gt;'Inl. wetlands'!$T91,time_cap+time*(VLOOKUP('6.Inland wetlands'!O25,list!$I$48:$K$50,3,0)),time*(1-(VLOOKUP('6.Inland wetlands'!O25,list!$I$48:$K$50,3,0))))</f>
        <v>2146.6666666666665</v>
      </c>
      <c r="AE91" s="3468">
        <f>MIN('Inl. wetlands'!$T91,'Inl. wetlands'!$V91)*time_tot+ABS('Inl. wetlands'!$V91-'Inl. wetlands'!$T91)*IF('Inl. wetlands'!$V91&gt;'Inl. wetlands'!$T91,time_cap+time*(VLOOKUP('6.Inland wetlands'!Q25,list!$I$48:$K$50,3,0)),time*(1-(VLOOKUP('6.Inland wetlands'!Q25,list!$I$48:$K$50,3,0))))</f>
        <v>1288</v>
      </c>
      <c r="AF91" s="3468">
        <f>MIN('Inl. wetlands'!$W91,'Inl. wetlands'!$X91)*time_tot+ABS('Inl. wetlands'!$X91-'Inl. wetlands'!$W91)*IF('Inl. wetlands'!$X91&gt;'Inl. wetlands'!$W91,time_cap+time*(VLOOKUP('6.Inland wetlands'!O25,list!$I$48:$K$50,3,0)),time*(1-(VLOOKUP('6.Inland wetlands'!O25,list!$I$48:$K$50,3,0))))</f>
        <v>0</v>
      </c>
      <c r="AG91" s="3468">
        <f>MIN('Inl. wetlands'!$W91,'Inl. wetlands'!$Y91)*time_tot+ABS('Inl. wetlands'!$Y91-'Inl. wetlands'!$W91)*IF('Inl. wetlands'!$Y91&gt;'Inl. wetlands'!$W91,time_cap+time*(VLOOKUP('6.Inland wetlands'!Q25,list!$I$48:$K$50,3,0)),time*(1-(VLOOKUP('6.Inland wetlands'!Q25,list!$I$48:$K$50,3,0))))</f>
        <v>0</v>
      </c>
      <c r="AX91" s="1449">
        <f>MIN($Q91,$R91)*time+ABS($R91-$Q91)*IF($R91&gt;$Q91,time*(VLOOKUP($H53,list!$J$48:$K$50,2,0)),time*(1-(VLOOKUP($H53,list!$J$48:$K$50,2,0))))</f>
        <v>4.583333333333325</v>
      </c>
      <c r="AY91" s="1449">
        <f>MIN($Q91,$S91)*time+ABS($S91-$Q91)*IF($S91&gt;$Q91,time*(VLOOKUP($L53,list!$J$48:$K$50,2,0)),time*(1-(VLOOKUP($L53,list!$J$48:$K$50,2,0))))</f>
        <v>2.7499999999999947</v>
      </c>
      <c r="AZ91" s="1449">
        <f>MIN($T91,$U91)*time+ABS($U91-$T91)*IF($U91&gt;$T91,time*(VLOOKUP($H53,list!$J$48:$K$50,2,0)),time*(1-(VLOOKUP($H53,list!$J$48:$K$50,2,0))))</f>
        <v>429.33333333333331</v>
      </c>
      <c r="BA91" s="1449">
        <f>MIN($T91,$V91)*time+ABS($V91-$T91)*IF($V91&gt;$T91,time*(VLOOKUP($L53,list!$J$48:$K$50,2,0)),time*(1-(VLOOKUP($L53,list!$J$48:$K$50,2,0))))</f>
        <v>257.59999999999997</v>
      </c>
      <c r="BB91" s="1449">
        <f>MIN($W91,$X91)*time+ABS($X91-$W91)*IF($X91&gt;$W91,time*(VLOOKUP($H53,list!$J$48:$K$50,2,0)),time*(1-(VLOOKUP($H53,list!$J$48:$K$50,2,0))))</f>
        <v>0</v>
      </c>
      <c r="BC91" s="1449">
        <f>MIN($W91,$Y91)*time+ABS($Y91-$W91)*IF($Y91&gt;$W91,time*(VLOOKUP($L53,list!$J$48:$K$50,2,0)),time*(1-(VLOOKUP($L53,list!$J$48:$K$50,2,0))))</f>
        <v>0</v>
      </c>
      <c r="BD91" s="1449"/>
      <c r="BE91" s="1449"/>
      <c r="BF91" s="1449"/>
      <c r="BG91" s="1449"/>
    </row>
    <row r="92" spans="1:59" x14ac:dyDescent="0.15">
      <c r="A92" s="1493" t="s">
        <v>1161</v>
      </c>
      <c r="B92" s="973" t="str">
        <f t="shared" si="49"/>
        <v>Please select</v>
      </c>
      <c r="C92" s="973" t="str">
        <f t="shared" si="49"/>
        <v/>
      </c>
      <c r="D92" s="992">
        <f>'6.Inland wetlands'!M14</f>
        <v>0</v>
      </c>
      <c r="E92" s="992">
        <f>IF('6.Inland wetlands'!S26='6.Inland wetlands'!K26, 0, IF(('6.Inland wetlands'!T26-'6.Inland wetlands'!S26)-'6.Inland wetlands'!S14&gt;0,('6.Inland wetlands'!T26-'6.Inland wetlands'!S26)-'6.Inland wetlands'!S14,0))</f>
        <v>0</v>
      </c>
      <c r="F92" s="1688" t="str">
        <f t="shared" si="47"/>
        <v>Linear</v>
      </c>
      <c r="G92" s="992">
        <f>IF(('6.Inland wetlands'!U26-'6.Inland wetlands'!S26)-'6.Inland wetlands'!T14&gt;0,('6.Inland wetlands'!U26-'6.Inland wetlands'!S26)-'6.Inland wetlands'!T14,0)</f>
        <v>0</v>
      </c>
      <c r="H92" s="1688" t="str">
        <f t="shared" si="48"/>
        <v>Linear</v>
      </c>
      <c r="I92" s="1004">
        <f>IFERROR(IF($B92="Please select",0,IF($D$47="Nutrient poor",INDEX(IPCC!$A$1910:$J$1921,MATCH(clim_moist,IPCC!$A$1910:$A$1921,0),MATCH($C92,IPCC!$A$1910:$J$1910,0)),INDEX(IPCC!$A$1928:$J$1939,MATCH(clim_moist,IPCC!$A$1928:$A$1939,0),MATCH($C92,IPCC!$A$1928:$J$1928,0)))),0)</f>
        <v>0</v>
      </c>
      <c r="J92" s="1259">
        <f>IF('6.Inland wetlands'!$DY13="",'6.Inland wetlands'!$DX13,'6.Inland wetlands'!$DY13)</f>
        <v>0</v>
      </c>
      <c r="K92" s="1004">
        <f>IFERROR(IF($B92="Please select",0,IF($D$47="Nutrient poor",INDEX(IPCC!$A$1964:$J$1975,MATCH(clim_moist,IPCC!$A$1964:$A$1975,0),MATCH($C92,IPCC!$A$1964:$J$1964,0)),INDEX(IPCC!$A$1982:$J$1993,MATCH(clim_moist,IPCC!$A$1982:$A$1993,0),MATCH($C92,IPCC!$A$1982:$J$1982,0)))),0)</f>
        <v>0</v>
      </c>
      <c r="L92" s="1259">
        <f>IF('6.Inland wetlands'!$EA13="",'6.Inland wetlands'!$DZ13,'6.Inland wetlands'!$EA13)</f>
        <v>0</v>
      </c>
      <c r="M92" s="1004">
        <f>IFERROR(IF($B92="Please select",0,INDEX(IPCC!$A$2000:$J$2011,MATCH(clim_moist,IPCC!$A$2000:$A$2011,0),MATCH($C92,IPCC!$A$2000:$J$2000,0))),0)</f>
        <v>0</v>
      </c>
      <c r="N92" s="1259">
        <f>IF('6.Inland wetlands'!$EC13="",'6.Inland wetlands'!$EB13,'6.Inland wetlands'!$EC13)</f>
        <v>0</v>
      </c>
      <c r="O92" s="1260">
        <f>IFERROR(IF($B92="Please select",0,INDEX(IPCC!$A$1946:$J$1957,MATCH(clim_moist,IPCC!$A$1946:$A$1957,0),MATCH($C92,IPCC!$A$1946:$J$1946,0))),0)</f>
        <v>0</v>
      </c>
      <c r="P92" s="1259">
        <f>IF('6.Inland wetlands'!$EF13="",'6.Inland wetlands'!$EE13,'6.Inland wetlands'!$EF13)</f>
        <v>0</v>
      </c>
      <c r="Q92" s="3468">
        <v>0</v>
      </c>
      <c r="R92" s="3468">
        <f t="shared" si="50"/>
        <v>0</v>
      </c>
      <c r="S92" s="1151">
        <f t="shared" si="51"/>
        <v>0</v>
      </c>
      <c r="T92" s="3468">
        <v>0</v>
      </c>
      <c r="U92" s="1151">
        <f t="shared" si="52"/>
        <v>0</v>
      </c>
      <c r="V92" s="1151">
        <f t="shared" si="53"/>
        <v>0</v>
      </c>
      <c r="W92" s="3468">
        <v>0</v>
      </c>
      <c r="X92" s="1151">
        <f t="shared" si="54"/>
        <v>0</v>
      </c>
      <c r="Y92" s="3469">
        <f t="shared" si="55"/>
        <v>0</v>
      </c>
      <c r="AB92" s="3468">
        <f>MIN('Inl. wetlands'!$Q92,'Inl. wetlands'!$R92)*time_tot+ABS('Inl. wetlands'!$R92-'Inl. wetlands'!$Q92)*IF('Inl. wetlands'!$R92&gt;'Inl. wetlands'!$Q92,time_cap+time*(VLOOKUP('6.Inland wetlands'!O26,list!$I$48:$K$50,3,0)),time*(1-(VLOOKUP('6.Inland wetlands'!O26,list!$I$48:$K$50,3,0))))</f>
        <v>0</v>
      </c>
      <c r="AC92" s="3468">
        <f>MIN('Inl. wetlands'!$Q92,'Inl. wetlands'!$S92)*time_tot+ABS('Inl. wetlands'!$S92-'Inl. wetlands'!$Q92)*IF('Inl. wetlands'!$S92&gt;'Inl. wetlands'!$Q92,time_cap+time*(VLOOKUP('6.Inland wetlands'!Q26,list!$I$48:$K$50,3,0)),time*(1-(VLOOKUP('6.Inland wetlands'!Q26,list!$I$48:$K$50,3,0))))</f>
        <v>0</v>
      </c>
      <c r="AD92" s="3468">
        <f>MIN('Inl. wetlands'!$T92,'Inl. wetlands'!$U92)*time_tot+ABS('Inl. wetlands'!$U92-'Inl. wetlands'!$T92)*IF('Inl. wetlands'!$U92&gt;'Inl. wetlands'!$T92,time_cap+time*(VLOOKUP('6.Inland wetlands'!O26,list!$I$48:$K$50,3,0)),time*(1-(VLOOKUP('6.Inland wetlands'!O26,list!$I$48:$K$50,3,0))))</f>
        <v>0</v>
      </c>
      <c r="AE92" s="3468">
        <f>MIN('Inl. wetlands'!$T92,'Inl. wetlands'!$V92)*time_tot+ABS('Inl. wetlands'!$V92-'Inl. wetlands'!$T92)*IF('Inl. wetlands'!$V92&gt;'Inl. wetlands'!$T92,time_cap+time*(VLOOKUP('6.Inland wetlands'!Q26,list!$I$48:$K$50,3,0)),time*(1-(VLOOKUP('6.Inland wetlands'!Q26,list!$I$48:$K$50,3,0))))</f>
        <v>0</v>
      </c>
      <c r="AF92" s="3468">
        <f>MIN('Inl. wetlands'!$W92,'Inl. wetlands'!$X92)*time_tot+ABS('Inl. wetlands'!$X92-'Inl. wetlands'!$W92)*IF('Inl. wetlands'!$X92&gt;'Inl. wetlands'!$W92,time_cap+time*(VLOOKUP('6.Inland wetlands'!O26,list!$I$48:$K$50,3,0)),time*(1-(VLOOKUP('6.Inland wetlands'!O26,list!$I$48:$K$50,3,0))))</f>
        <v>0</v>
      </c>
      <c r="AG92" s="3468">
        <f>MIN('Inl. wetlands'!$W92,'Inl. wetlands'!$Y92)*time_tot+ABS('Inl. wetlands'!$Y92-'Inl. wetlands'!$W92)*IF('Inl. wetlands'!$Y92&gt;'Inl. wetlands'!$W92,time_cap+time*(VLOOKUP('6.Inland wetlands'!Q26,list!$I$48:$K$50,3,0)),time*(1-(VLOOKUP('6.Inland wetlands'!Q26,list!$I$48:$K$50,3,0))))</f>
        <v>0</v>
      </c>
      <c r="AX92" s="1449">
        <f>MIN($Q92,$R92)*time+ABS($R92-$Q92)*IF($R92&gt;$Q92,time*(VLOOKUP($H54,list!$J$48:$K$50,2,0)),time*(1-(VLOOKUP($H54,list!$J$48:$K$50,2,0))))</f>
        <v>0</v>
      </c>
      <c r="AY92" s="1449">
        <f>MIN($Q92,$S92)*time+ABS($S92-$Q92)*IF($S92&gt;$Q92,time*(VLOOKUP($L54,list!$J$48:$K$50,2,0)),time*(1-(VLOOKUP($L54,list!$J$48:$K$50,2,0))))</f>
        <v>0</v>
      </c>
      <c r="AZ92" s="1449">
        <f>MIN($T92,$U92)*time+ABS($U92-$T92)*IF($U92&gt;$T92,time*(VLOOKUP($H54,list!$J$48:$K$50,2,0)),time*(1-(VLOOKUP($H54,list!$J$48:$K$50,2,0))))</f>
        <v>0</v>
      </c>
      <c r="BA92" s="1449">
        <f>MIN($T92,$V92)*time+ABS($V92-$T92)*IF($V92&gt;$T92,time*(VLOOKUP($L54,list!$J$48:$K$50,2,0)),time*(1-(VLOOKUP($L54,list!$J$48:$K$50,2,0))))</f>
        <v>0</v>
      </c>
      <c r="BB92" s="1449">
        <f>MIN($W92,$X92)*time+ABS($X92-$W92)*IF($X92&gt;$W92,time*(VLOOKUP($H54,list!$J$48:$K$50,2,0)),time*(1-(VLOOKUP($H54,list!$J$48:$K$50,2,0))))</f>
        <v>0</v>
      </c>
      <c r="BC92" s="1449">
        <f>MIN($W92,$Y92)*time+ABS($Y92-$W92)*IF($Y92&gt;$W92,time*(VLOOKUP($L54,list!$J$48:$K$50,2,0)),time*(1-(VLOOKUP($L54,list!$J$48:$K$50,2,0))))</f>
        <v>0</v>
      </c>
      <c r="BD92" s="1449"/>
      <c r="BE92" s="1449"/>
      <c r="BF92" s="1449"/>
      <c r="BG92" s="1449"/>
    </row>
    <row r="93" spans="1:59" x14ac:dyDescent="0.15">
      <c r="A93" s="1493" t="s">
        <v>1162</v>
      </c>
      <c r="B93" s="973" t="str">
        <f t="shared" si="49"/>
        <v>Please select</v>
      </c>
      <c r="C93" s="973" t="str">
        <f t="shared" si="49"/>
        <v/>
      </c>
      <c r="D93" s="992">
        <f>'6.Inland wetlands'!M15</f>
        <v>0</v>
      </c>
      <c r="E93" s="992">
        <f>IF('6.Inland wetlands'!S27='6.Inland wetlands'!K27, 0, IF(('6.Inland wetlands'!T27-'6.Inland wetlands'!S27)-'6.Inland wetlands'!S15&gt;0,('6.Inland wetlands'!T27-'6.Inland wetlands'!S27)-'6.Inland wetlands'!S15,0))</f>
        <v>0</v>
      </c>
      <c r="F93" s="1688" t="str">
        <f t="shared" si="47"/>
        <v>Linear</v>
      </c>
      <c r="G93" s="992">
        <f>IF(('6.Inland wetlands'!U27-'6.Inland wetlands'!S27)-'6.Inland wetlands'!T15&gt;0,('6.Inland wetlands'!U27-'6.Inland wetlands'!S27)-'6.Inland wetlands'!T15,0)</f>
        <v>0</v>
      </c>
      <c r="H93" s="1688" t="str">
        <f t="shared" si="48"/>
        <v>Linear</v>
      </c>
      <c r="I93" s="1004">
        <f>IFERROR(IF($B93="Please select",0,IF($D$47="Nutrient poor",INDEX(IPCC!$A$1910:$J$1921,MATCH(clim_moist,IPCC!$A$1910:$A$1921,0),MATCH($C93,IPCC!$A$1910:$J$1910,0)),INDEX(IPCC!$A$1928:$J$1939,MATCH(clim_moist,IPCC!$A$1928:$A$1939,0),MATCH($C93,IPCC!$A$1928:$J$1928,0)))),0)</f>
        <v>0</v>
      </c>
      <c r="J93" s="1259">
        <f>IF('6.Inland wetlands'!$DY14="",'6.Inland wetlands'!$DX14,'6.Inland wetlands'!$DY14)</f>
        <v>0</v>
      </c>
      <c r="K93" s="1004">
        <f>IFERROR(IF($B93="Please select",0,IF($D$47="Nutrient poor",INDEX(IPCC!$A$1964:$J$1975,MATCH(clim_moist,IPCC!$A$1964:$A$1975,0),MATCH($C93,IPCC!$A$1964:$J$1964,0)),INDEX(IPCC!$A$1982:$J$1993,MATCH(clim_moist,IPCC!$A$1982:$A$1993,0),MATCH($C93,IPCC!$A$1982:$J$1982,0)))),0)</f>
        <v>0</v>
      </c>
      <c r="L93" s="1259">
        <f>IF('6.Inland wetlands'!$EA14="",'6.Inland wetlands'!$DZ14,'6.Inland wetlands'!$EA14)</f>
        <v>0</v>
      </c>
      <c r="M93" s="1004">
        <f>IFERROR(IF($B93="Please select",0,INDEX(IPCC!$A$2000:$J$2011,MATCH(clim_moist,IPCC!$A$2000:$A$2011,0),MATCH($C93,IPCC!$A$2000:$J$2000,0))),0)</f>
        <v>0</v>
      </c>
      <c r="N93" s="1259">
        <f>IF('6.Inland wetlands'!$EC14="",'6.Inland wetlands'!$EB14,'6.Inland wetlands'!$EC14)</f>
        <v>0</v>
      </c>
      <c r="O93" s="1260">
        <f>IFERROR(IF($B93="Please select",0,INDEX(IPCC!$A$1946:$J$1957,MATCH(clim_moist,IPCC!$A$1946:$A$1957,0),MATCH($C93,IPCC!$A$1946:$J$1946,0))),0)</f>
        <v>0</v>
      </c>
      <c r="P93" s="1259">
        <f>IF('6.Inland wetlands'!$EF14="",'6.Inland wetlands'!$EE14,'6.Inland wetlands'!$EF14)</f>
        <v>0</v>
      </c>
      <c r="Q93" s="3468">
        <v>0</v>
      </c>
      <c r="R93" s="3468">
        <f t="shared" si="50"/>
        <v>0</v>
      </c>
      <c r="S93" s="1151">
        <f t="shared" si="51"/>
        <v>0</v>
      </c>
      <c r="T93" s="3468">
        <v>0</v>
      </c>
      <c r="U93" s="1151">
        <f t="shared" si="52"/>
        <v>0</v>
      </c>
      <c r="V93" s="1151">
        <f t="shared" si="53"/>
        <v>0</v>
      </c>
      <c r="W93" s="3468">
        <v>0</v>
      </c>
      <c r="X93" s="1151">
        <f t="shared" si="54"/>
        <v>0</v>
      </c>
      <c r="Y93" s="3469">
        <f t="shared" si="55"/>
        <v>0</v>
      </c>
      <c r="AB93" s="3468">
        <f>MIN('Inl. wetlands'!$Q93,'Inl. wetlands'!$R93)*time_tot+ABS('Inl. wetlands'!$R93-'Inl. wetlands'!$Q93)*IF('Inl. wetlands'!$R93&gt;'Inl. wetlands'!$Q93,time_cap+time*(VLOOKUP('6.Inland wetlands'!O27,list!$I$48:$K$50,3,0)),time*(1-(VLOOKUP('6.Inland wetlands'!O27,list!$I$48:$K$50,3,0))))</f>
        <v>0</v>
      </c>
      <c r="AC93" s="3468">
        <f>MIN('Inl. wetlands'!$Q93,'Inl. wetlands'!$S93)*time_tot+ABS('Inl. wetlands'!$S93-'Inl. wetlands'!$Q93)*IF('Inl. wetlands'!$S93&gt;'Inl. wetlands'!$Q93,time_cap+time*(VLOOKUP('6.Inland wetlands'!Q27,list!$I$48:$K$50,3,0)),time*(1-(VLOOKUP('6.Inland wetlands'!Q27,list!$I$48:$K$50,3,0))))</f>
        <v>0</v>
      </c>
      <c r="AD93" s="3468">
        <f>MIN('Inl. wetlands'!$T93,'Inl. wetlands'!$U93)*time_tot+ABS('Inl. wetlands'!$U93-'Inl. wetlands'!$T93)*IF('Inl. wetlands'!$U93&gt;'Inl. wetlands'!$T93,time_cap+time*(VLOOKUP('6.Inland wetlands'!O27,list!$I$48:$K$50,3,0)),time*(1-(VLOOKUP('6.Inland wetlands'!O27,list!$I$48:$K$50,3,0))))</f>
        <v>0</v>
      </c>
      <c r="AE93" s="3468">
        <f>MIN('Inl. wetlands'!$T93,'Inl. wetlands'!$V93)*time_tot+ABS('Inl. wetlands'!$V93-'Inl. wetlands'!$T93)*IF('Inl. wetlands'!$V93&gt;'Inl. wetlands'!$T93,time_cap+time*(VLOOKUP('6.Inland wetlands'!Q27,list!$I$48:$K$50,3,0)),time*(1-(VLOOKUP('6.Inland wetlands'!Q27,list!$I$48:$K$50,3,0))))</f>
        <v>0</v>
      </c>
      <c r="AF93" s="3468">
        <f>MIN('Inl. wetlands'!$W93,'Inl. wetlands'!$X93)*time_tot+ABS('Inl. wetlands'!$X93-'Inl. wetlands'!$W93)*IF('Inl. wetlands'!$X93&gt;'Inl. wetlands'!$W93,time_cap+time*(VLOOKUP('6.Inland wetlands'!O27,list!$I$48:$K$50,3,0)),time*(1-(VLOOKUP('6.Inland wetlands'!O27,list!$I$48:$K$50,3,0))))</f>
        <v>0</v>
      </c>
      <c r="AG93" s="3468">
        <f>MIN('Inl. wetlands'!$W93,'Inl. wetlands'!$Y93)*time_tot+ABS('Inl. wetlands'!$Y93-'Inl. wetlands'!$W93)*IF('Inl. wetlands'!$Y93&gt;'Inl. wetlands'!$W93,time_cap+time*(VLOOKUP('6.Inland wetlands'!Q27,list!$I$48:$K$50,3,0)),time*(1-(VLOOKUP('6.Inland wetlands'!Q27,list!$I$48:$K$50,3,0))))</f>
        <v>0</v>
      </c>
      <c r="AX93" s="1449">
        <f>MIN($Q93,$R93)*time+ABS($R93-$Q93)*IF($R93&gt;$Q93,time*(VLOOKUP($H55,list!$J$48:$K$50,2,0)),time*(1-(VLOOKUP($H55,list!$J$48:$K$50,2,0))))</f>
        <v>0</v>
      </c>
      <c r="AY93" s="1449">
        <f>MIN($Q93,$S93)*time+ABS($S93-$Q93)*IF($S93&gt;$Q93,time*(VLOOKUP($L55,list!$J$48:$K$50,2,0)),time*(1-(VLOOKUP($L55,list!$J$48:$K$50,2,0))))</f>
        <v>0</v>
      </c>
      <c r="AZ93" s="1449">
        <f>MIN($T93,$U93)*time+ABS($U93-$T93)*IF($U93&gt;$T93,time*(VLOOKUP($H55,list!$J$48:$K$50,2,0)),time*(1-(VLOOKUP($H55,list!$J$48:$K$50,2,0))))</f>
        <v>0</v>
      </c>
      <c r="BA93" s="1449">
        <f>MIN($T93,$V93)*time+ABS($V93-$T93)*IF($V93&gt;$T93,time*(VLOOKUP($L55,list!$J$48:$K$50,2,0)),time*(1-(VLOOKUP($L55,list!$J$48:$K$50,2,0))))</f>
        <v>0</v>
      </c>
      <c r="BB93" s="1449">
        <f>MIN($W93,$X93)*time+ABS($X93-$W93)*IF($X93&gt;$W93,time*(VLOOKUP($H55,list!$J$48:$K$50,2,0)),time*(1-(VLOOKUP($H55,list!$J$48:$K$50,2,0))))</f>
        <v>0</v>
      </c>
      <c r="BC93" s="1449">
        <f>MIN($W93,$Y93)*time+ABS($Y93-$W93)*IF($Y93&gt;$W93,time*(VLOOKUP($L55,list!$J$48:$K$50,2,0)),time*(1-(VLOOKUP($L55,list!$J$48:$K$50,2,0))))</f>
        <v>0</v>
      </c>
      <c r="BD93" s="1449"/>
      <c r="BE93" s="1449"/>
      <c r="BF93" s="1449"/>
      <c r="BG93" s="1449"/>
    </row>
    <row r="94" spans="1:59" ht="16" x14ac:dyDescent="0.2">
      <c r="A94" s="1493" t="s">
        <v>1163</v>
      </c>
      <c r="B94" s="973" t="str">
        <f t="shared" si="49"/>
        <v>Please select</v>
      </c>
      <c r="C94" s="973" t="str">
        <f t="shared" si="49"/>
        <v/>
      </c>
      <c r="D94" s="992">
        <f>'6.Inland wetlands'!M16</f>
        <v>0</v>
      </c>
      <c r="E94" s="992">
        <f>IF('6.Inland wetlands'!S28='6.Inland wetlands'!K28, 0, IF(('6.Inland wetlands'!T28-'6.Inland wetlands'!S28)-'6.Inland wetlands'!S16&gt;0,('6.Inland wetlands'!T28-'6.Inland wetlands'!S28)-'6.Inland wetlands'!S16,0))</f>
        <v>0</v>
      </c>
      <c r="F94" s="1688" t="str">
        <f t="shared" si="47"/>
        <v>Linear</v>
      </c>
      <c r="G94" s="992">
        <f>IF(('6.Inland wetlands'!U28-'6.Inland wetlands'!S28)-'6.Inland wetlands'!T16&gt;0,('6.Inland wetlands'!U28-'6.Inland wetlands'!S28)-'6.Inland wetlands'!T16,0)</f>
        <v>0</v>
      </c>
      <c r="H94" s="1688" t="str">
        <f t="shared" si="48"/>
        <v>Linear</v>
      </c>
      <c r="I94" s="1004">
        <f>IFERROR(IF($B94="Please select",0,IF($D$47="Nutrient poor",INDEX(IPCC!$A$1910:$J$1921,MATCH(clim_moist,IPCC!$A$1910:$A$1921,0),MATCH($C94,IPCC!$A$1910:$J$1910,0)),INDEX(IPCC!$A$1928:$J$1939,MATCH(clim_moist,IPCC!$A$1928:$A$1939,0),MATCH($C94,IPCC!$A$1928:$J$1928,0)))),0)</f>
        <v>0</v>
      </c>
      <c r="J94" s="1259">
        <f>IF('6.Inland wetlands'!$DY15="",'6.Inland wetlands'!$DX15,'6.Inland wetlands'!$DY15)</f>
        <v>0</v>
      </c>
      <c r="K94" s="1004">
        <f>IFERROR(IF($B94="Please select",0,IF($D$47="Nutrient poor",INDEX(IPCC!$A$1964:$J$1975,MATCH(clim_moist,IPCC!$A$1964:$A$1975,0),MATCH($C94,IPCC!$A$1964:$J$1964,0)),INDEX(IPCC!$A$1982:$J$1993,MATCH(clim_moist,IPCC!$A$1982:$A$1993,0),MATCH($C94,IPCC!$A$1982:$J$1982,0)))),0)</f>
        <v>0</v>
      </c>
      <c r="L94" s="1259">
        <f>IF('6.Inland wetlands'!$EA15="",'6.Inland wetlands'!$DZ15,'6.Inland wetlands'!$EA15)</f>
        <v>0</v>
      </c>
      <c r="M94" s="1004">
        <f>IFERROR(IF($B94="Please select",0,INDEX(IPCC!$A$2000:$J$2011,MATCH(clim_moist,IPCC!$A$2000:$A$2011,0),MATCH($C94,IPCC!$A$2000:$J$2000,0))),0)</f>
        <v>0</v>
      </c>
      <c r="N94" s="1259">
        <f>IF('6.Inland wetlands'!$EC15="",'6.Inland wetlands'!$EB15,'6.Inland wetlands'!$EC15)</f>
        <v>0</v>
      </c>
      <c r="O94" s="1260">
        <f>IFERROR(IF($B94="Please select",0,INDEX(IPCC!$A$1946:$J$1957,MATCH(clim_moist,IPCC!$A$1946:$A$1957,0),MATCH($C94,IPCC!$A$1946:$J$1946,0))),0)</f>
        <v>0</v>
      </c>
      <c r="P94" s="1259">
        <f>IF('6.Inland wetlands'!$EF15="",'6.Inland wetlands'!$EE15,'6.Inland wetlands'!$EF15)</f>
        <v>0</v>
      </c>
      <c r="Q94" s="3468">
        <v>0</v>
      </c>
      <c r="R94" s="3468">
        <f t="shared" si="50"/>
        <v>0</v>
      </c>
      <c r="S94" s="1151">
        <f t="shared" si="51"/>
        <v>0</v>
      </c>
      <c r="T94" s="3468">
        <v>0</v>
      </c>
      <c r="U94" s="1151">
        <f t="shared" si="52"/>
        <v>0</v>
      </c>
      <c r="V94" s="1151">
        <f t="shared" si="53"/>
        <v>0</v>
      </c>
      <c r="W94" s="3468">
        <v>0</v>
      </c>
      <c r="X94" s="1151">
        <f t="shared" si="54"/>
        <v>0</v>
      </c>
      <c r="Y94" s="3469">
        <f t="shared" si="55"/>
        <v>0</v>
      </c>
      <c r="AB94" s="3468">
        <f>MIN('Inl. wetlands'!$Q94,'Inl. wetlands'!$R94)*time_tot+ABS('Inl. wetlands'!$R94-'Inl. wetlands'!$Q94)*IF('Inl. wetlands'!$R94&gt;'Inl. wetlands'!$Q94,time_cap+time*(VLOOKUP('6.Inland wetlands'!O28,list!$I$48:$K$50,3,0)),time*(1-(VLOOKUP('6.Inland wetlands'!O28,list!$I$48:$K$50,3,0))))</f>
        <v>0</v>
      </c>
      <c r="AC94" s="3468">
        <f>MIN('Inl. wetlands'!$Q94,'Inl. wetlands'!$S94)*time_tot+ABS('Inl. wetlands'!$S94-'Inl. wetlands'!$Q94)*IF('Inl. wetlands'!$S94&gt;'Inl. wetlands'!$Q94,time_cap+time*(VLOOKUP('6.Inland wetlands'!Q28,list!$I$48:$K$50,3,0)),time*(1-(VLOOKUP('6.Inland wetlands'!Q28,list!$I$48:$K$50,3,0))))</f>
        <v>0</v>
      </c>
      <c r="AD94" s="3468">
        <f>MIN('Inl. wetlands'!$T94,'Inl. wetlands'!$U94)*time_tot+ABS('Inl. wetlands'!$U94-'Inl. wetlands'!$T94)*IF('Inl. wetlands'!$U94&gt;'Inl. wetlands'!$T94,time_cap+time*(VLOOKUP('6.Inland wetlands'!O28,list!$I$48:$K$50,3,0)),time*(1-(VLOOKUP('6.Inland wetlands'!O28,list!$I$48:$K$50,3,0))))</f>
        <v>0</v>
      </c>
      <c r="AE94" s="3468">
        <f>MIN('Inl. wetlands'!$T94,'Inl. wetlands'!$V94)*time_tot+ABS('Inl. wetlands'!$V94-'Inl. wetlands'!$T94)*IF('Inl. wetlands'!$V94&gt;'Inl. wetlands'!$T94,time_cap+time*(VLOOKUP('6.Inland wetlands'!Q28,list!$I$48:$K$50,3,0)),time*(1-(VLOOKUP('6.Inland wetlands'!Q28,list!$I$48:$K$50,3,0))))</f>
        <v>0</v>
      </c>
      <c r="AF94" s="3468">
        <f>MIN('Inl. wetlands'!$W94,'Inl. wetlands'!$X94)*time_tot+ABS('Inl. wetlands'!$X94-'Inl. wetlands'!$W94)*IF('Inl. wetlands'!$X94&gt;'Inl. wetlands'!$W94,time_cap+time*(VLOOKUP('6.Inland wetlands'!O28,list!$I$48:$K$50,3,0)),time*(1-(VLOOKUP('6.Inland wetlands'!O28,list!$I$48:$K$50,3,0))))</f>
        <v>0</v>
      </c>
      <c r="AG94" s="3468">
        <f>MIN('Inl. wetlands'!$W94,'Inl. wetlands'!$Y94)*time_tot+ABS('Inl. wetlands'!$Y94-'Inl. wetlands'!$W94)*IF('Inl. wetlands'!$Y94&gt;'Inl. wetlands'!$W94,time_cap+time*(VLOOKUP('6.Inland wetlands'!Q28,list!$I$48:$K$50,3,0)),time*(1-(VLOOKUP('6.Inland wetlands'!Q28,list!$I$48:$K$50,3,0))))</f>
        <v>0</v>
      </c>
      <c r="AI94" s="1270" t="s">
        <v>1115</v>
      </c>
      <c r="AJ94" s="1116"/>
      <c r="AK94" s="1116"/>
      <c r="AX94" s="1449">
        <f>MIN($Q94,$R94)*time+ABS($R94-$Q94)*IF($R94&gt;$Q94,time*(VLOOKUP($H56,list!$J$48:$K$50,2,0)),time*(1-(VLOOKUP($H56,list!$J$48:$K$50,2,0))))</f>
        <v>0</v>
      </c>
      <c r="AY94" s="1449">
        <f>MIN($Q94,$S94)*time+ABS($S94-$Q94)*IF($S94&gt;$Q94,time*(VLOOKUP($L56,list!$J$48:$K$50,2,0)),time*(1-(VLOOKUP($L56,list!$J$48:$K$50,2,0))))</f>
        <v>0</v>
      </c>
      <c r="AZ94" s="1449">
        <f>MIN($T94,$U94)*time+ABS($U94-$T94)*IF($U94&gt;$T94,time*(VLOOKUP($H56,list!$J$48:$K$50,2,0)),time*(1-(VLOOKUP($H56,list!$J$48:$K$50,2,0))))</f>
        <v>0</v>
      </c>
      <c r="BA94" s="1449">
        <f>MIN($T94,$V94)*time+ABS($V94-$T94)*IF($V94&gt;$T94,time*(VLOOKUP($L56,list!$J$48:$K$50,2,0)),time*(1-(VLOOKUP($L56,list!$J$48:$K$50,2,0))))</f>
        <v>0</v>
      </c>
      <c r="BB94" s="1449">
        <f>MIN($W94,$X94)*time+ABS($X94-$W94)*IF($X94&gt;$W94,time*(VLOOKUP($H56,list!$J$48:$K$50,2,0)),time*(1-(VLOOKUP($H56,list!$J$48:$K$50,2,0))))</f>
        <v>0</v>
      </c>
      <c r="BC94" s="1449">
        <f>MIN($W94,$Y94)*time+ABS($Y94-$W94)*IF($Y94&gt;$W94,time*(VLOOKUP($L56,list!$J$48:$K$50,2,0)),time*(1-(VLOOKUP($L56,list!$J$48:$K$50,2,0))))</f>
        <v>0</v>
      </c>
      <c r="BD94" s="1449"/>
      <c r="BE94" s="1449"/>
      <c r="BF94" s="1449"/>
      <c r="BG94" s="1449"/>
    </row>
    <row r="95" spans="1:59" ht="16" x14ac:dyDescent="0.2">
      <c r="A95" s="1493" t="s">
        <v>1164</v>
      </c>
      <c r="B95" s="973" t="str">
        <f t="shared" si="49"/>
        <v>Please select</v>
      </c>
      <c r="C95" s="973" t="str">
        <f t="shared" si="49"/>
        <v/>
      </c>
      <c r="D95" s="992">
        <f>'6.Inland wetlands'!M17</f>
        <v>0</v>
      </c>
      <c r="E95" s="992">
        <f>IF('6.Inland wetlands'!S29='6.Inland wetlands'!K29, 0, IF(('6.Inland wetlands'!T29-'6.Inland wetlands'!S29)-'6.Inland wetlands'!S17&gt;0,('6.Inland wetlands'!T29-'6.Inland wetlands'!S29)-'6.Inland wetlands'!S17,0))</f>
        <v>0</v>
      </c>
      <c r="F95" s="1688" t="str">
        <f t="shared" si="47"/>
        <v>Linear</v>
      </c>
      <c r="G95" s="992">
        <f>IF(('6.Inland wetlands'!U29-'6.Inland wetlands'!S29)-'6.Inland wetlands'!T17&gt;0,('6.Inland wetlands'!U29-'6.Inland wetlands'!S29)-'6.Inland wetlands'!T17,0)</f>
        <v>0</v>
      </c>
      <c r="H95" s="1688" t="str">
        <f t="shared" si="48"/>
        <v>Linear</v>
      </c>
      <c r="I95" s="1004">
        <f>IFERROR(IF($B95="Please select",0,IF($D$47="Nutrient poor",INDEX(IPCC!$A$1910:$J$1921,MATCH(clim_moist,IPCC!$A$1910:$A$1921,0),MATCH($C95,IPCC!$A$1910:$J$1910,0)),INDEX(IPCC!$A$1928:$J$1939,MATCH(clim_moist,IPCC!$A$1928:$A$1939,0),MATCH($C95,IPCC!$A$1928:$J$1928,0)))),0)</f>
        <v>0</v>
      </c>
      <c r="J95" s="1259">
        <f>IF('6.Inland wetlands'!$DY16="",'6.Inland wetlands'!$DX16,'6.Inland wetlands'!$DY16)</f>
        <v>0</v>
      </c>
      <c r="K95" s="1004">
        <f>IFERROR(IF($B95="Please select",0,IF($D$47="Nutrient poor",INDEX(IPCC!$A$1964:$J$1975,MATCH(clim_moist,IPCC!$A$1964:$A$1975,0),MATCH($C95,IPCC!$A$1964:$J$1964,0)),INDEX(IPCC!$A$1982:$J$1993,MATCH(clim_moist,IPCC!$A$1982:$A$1993,0),MATCH($C95,IPCC!$A$1982:$J$1982,0)))),0)</f>
        <v>0</v>
      </c>
      <c r="L95" s="1259">
        <f>IF('6.Inland wetlands'!$EA16="",'6.Inland wetlands'!$DZ16,'6.Inland wetlands'!$EA16)</f>
        <v>0</v>
      </c>
      <c r="M95" s="1004">
        <f>IFERROR(IF($B95="Please select",0,INDEX(IPCC!$A$2000:$J$2011,MATCH(clim_moist,IPCC!$A$2000:$A$2011,0),MATCH($C95,IPCC!$A$2000:$J$2000,0))),0)</f>
        <v>0</v>
      </c>
      <c r="N95" s="1259">
        <f>IF('6.Inland wetlands'!$EC16="",'6.Inland wetlands'!$EB16,'6.Inland wetlands'!$EC16)</f>
        <v>0</v>
      </c>
      <c r="O95" s="1260">
        <f>IFERROR(IF($B95="Please select",0,INDEX(IPCC!$A$1946:$J$1957,MATCH(clim_moist,IPCC!$A$1946:$A$1957,0),MATCH($C95,IPCC!$A$1946:$J$1946,0))),0)</f>
        <v>0</v>
      </c>
      <c r="P95" s="1259">
        <f>IF('6.Inland wetlands'!$EF16="",'6.Inland wetlands'!$EE16,'6.Inland wetlands'!$EF16)</f>
        <v>0</v>
      </c>
      <c r="Q95" s="3468">
        <v>0</v>
      </c>
      <c r="R95" s="3468">
        <f t="shared" si="50"/>
        <v>0</v>
      </c>
      <c r="S95" s="1151">
        <f t="shared" si="51"/>
        <v>0</v>
      </c>
      <c r="T95" s="3468">
        <v>0</v>
      </c>
      <c r="U95" s="1151">
        <f t="shared" si="52"/>
        <v>0</v>
      </c>
      <c r="V95" s="1151">
        <f t="shared" si="53"/>
        <v>0</v>
      </c>
      <c r="W95" s="3468">
        <v>0</v>
      </c>
      <c r="X95" s="1151">
        <f t="shared" si="54"/>
        <v>0</v>
      </c>
      <c r="Y95" s="3469">
        <f t="shared" si="55"/>
        <v>0</v>
      </c>
      <c r="AB95" s="3468">
        <f>MIN('Inl. wetlands'!$Q95,'Inl. wetlands'!$R95)*time_tot+ABS('Inl. wetlands'!$R95-'Inl. wetlands'!$Q95)*IF('Inl. wetlands'!$R95&gt;'Inl. wetlands'!$Q95,time_cap+time*(VLOOKUP('6.Inland wetlands'!O29,list!$I$48:$K$50,3,0)),time*(1-(VLOOKUP('6.Inland wetlands'!O29,list!$I$48:$K$50,3,0))))</f>
        <v>0</v>
      </c>
      <c r="AC95" s="3468">
        <f>MIN('Inl. wetlands'!$Q95,'Inl. wetlands'!$S95)*time_tot+ABS('Inl. wetlands'!$S95-'Inl. wetlands'!$Q95)*IF('Inl. wetlands'!$S95&gt;'Inl. wetlands'!$Q95,time_cap+time*(VLOOKUP('6.Inland wetlands'!Q29,list!$I$48:$K$50,3,0)),time*(1-(VLOOKUP('6.Inland wetlands'!Q29,list!$I$48:$K$50,3,0))))</f>
        <v>0</v>
      </c>
      <c r="AD95" s="3468">
        <f>MIN('Inl. wetlands'!$T95,'Inl. wetlands'!$U95)*time_tot+ABS('Inl. wetlands'!$U95-'Inl. wetlands'!$T95)*IF('Inl. wetlands'!$U95&gt;'Inl. wetlands'!$T95,time_cap+time*(VLOOKUP('6.Inland wetlands'!O29,list!$I$48:$K$50,3,0)),time*(1-(VLOOKUP('6.Inland wetlands'!O29,list!$I$48:$K$50,3,0))))</f>
        <v>0</v>
      </c>
      <c r="AE95" s="3468">
        <f>MIN('Inl. wetlands'!$T95,'Inl. wetlands'!$V95)*time_tot+ABS('Inl. wetlands'!$V95-'Inl. wetlands'!$T95)*IF('Inl. wetlands'!$V95&gt;'Inl. wetlands'!$T95,time_cap+time*(VLOOKUP('6.Inland wetlands'!Q29,list!$I$48:$K$50,3,0)),time*(1-(VLOOKUP('6.Inland wetlands'!Q29,list!$I$48:$K$50,3,0))))</f>
        <v>0</v>
      </c>
      <c r="AF95" s="3468">
        <f>MIN('Inl. wetlands'!$W95,'Inl. wetlands'!$X95)*time_tot+ABS('Inl. wetlands'!$X95-'Inl. wetlands'!$W95)*IF('Inl. wetlands'!$X95&gt;'Inl. wetlands'!$W95,time_cap+time*(VLOOKUP('6.Inland wetlands'!O29,list!$I$48:$K$50,3,0)),time*(1-(VLOOKUP('6.Inland wetlands'!O29,list!$I$48:$K$50,3,0))))</f>
        <v>0</v>
      </c>
      <c r="AG95" s="3468">
        <f>MIN('Inl. wetlands'!$W95,'Inl. wetlands'!$Y95)*time_tot+ABS('Inl. wetlands'!$Y95-'Inl. wetlands'!$W95)*IF('Inl. wetlands'!$Y95&gt;'Inl. wetlands'!$W95,time_cap+time*(VLOOKUP('6.Inland wetlands'!Q29,list!$I$48:$K$50,3,0)),time*(1-(VLOOKUP('6.Inland wetlands'!Q29,list!$I$48:$K$50,3,0))))</f>
        <v>0</v>
      </c>
      <c r="AI95" s="1270" t="s">
        <v>1121</v>
      </c>
      <c r="AJ95" s="1116"/>
      <c r="AK95" s="1116"/>
      <c r="AX95" s="1449">
        <f>MIN($Q95,$R95)*time+ABS($R95-$Q95)*IF($R95&gt;$Q95,time*(VLOOKUP($H57,list!$J$48:$K$50,2,0)),time*(1-(VLOOKUP($H57,list!$J$48:$K$50,2,0))))</f>
        <v>0</v>
      </c>
      <c r="AY95" s="1449">
        <f>MIN($Q95,$S95)*time+ABS($S95-$Q95)*IF($S95&gt;$Q95,time*(VLOOKUP($L57,list!$J$48:$K$50,2,0)),time*(1-(VLOOKUP($L57,list!$J$48:$K$50,2,0))))</f>
        <v>0</v>
      </c>
      <c r="AZ95" s="1449">
        <f>MIN($T95,$U95)*time+ABS($U95-$T95)*IF($U95&gt;$T95,time*(VLOOKUP($H57,list!$J$48:$K$50,2,0)),time*(1-(VLOOKUP($H57,list!$J$48:$K$50,2,0))))</f>
        <v>0</v>
      </c>
      <c r="BA95" s="1449">
        <f>MIN($T95,$V95)*time+ABS($V95-$T95)*IF($V95&gt;$T95,time*(VLOOKUP($L57,list!$J$48:$K$50,2,0)),time*(1-(VLOOKUP($L57,list!$J$48:$K$50,2,0))))</f>
        <v>0</v>
      </c>
      <c r="BB95" s="1449">
        <f>MIN($W95,$X95)*time+ABS($X95-$W95)*IF($X95&gt;$W95,time*(VLOOKUP($H57,list!$J$48:$K$50,2,0)),time*(1-(VLOOKUP($H57,list!$J$48:$K$50,2,0))))</f>
        <v>0</v>
      </c>
      <c r="BC95" s="1449">
        <f>MIN($W95,$Y95)*time+ABS($Y95-$W95)*IF($Y95&gt;$W95,time*(VLOOKUP($L57,list!$J$48:$K$50,2,0)),time*(1-(VLOOKUP($L57,list!$J$48:$K$50,2,0))))</f>
        <v>0</v>
      </c>
      <c r="BD95" s="1449"/>
      <c r="BE95" s="1449"/>
      <c r="BF95" s="1449"/>
      <c r="BG95" s="1449"/>
    </row>
    <row r="96" spans="1:59" ht="16" x14ac:dyDescent="0.2">
      <c r="A96" s="1493" t="s">
        <v>1165</v>
      </c>
      <c r="B96" s="973" t="str">
        <f t="shared" si="49"/>
        <v>Please select</v>
      </c>
      <c r="C96" s="973" t="str">
        <f t="shared" si="49"/>
        <v/>
      </c>
      <c r="D96" s="992">
        <f>'6.Inland wetlands'!M18</f>
        <v>0</v>
      </c>
      <c r="E96" s="992">
        <f>IF('6.Inland wetlands'!S30='6.Inland wetlands'!K30, 0, IF(('6.Inland wetlands'!T30-'6.Inland wetlands'!S30)-'6.Inland wetlands'!S18&gt;0,('6.Inland wetlands'!T30-'6.Inland wetlands'!S30)-'6.Inland wetlands'!S18,0))</f>
        <v>0</v>
      </c>
      <c r="F96" s="1688" t="str">
        <f t="shared" si="47"/>
        <v>Linear</v>
      </c>
      <c r="G96" s="992">
        <f>IF(('6.Inland wetlands'!U30-'6.Inland wetlands'!S30)-'6.Inland wetlands'!T18&gt;0,('6.Inland wetlands'!U30-'6.Inland wetlands'!S30)-'6.Inland wetlands'!T18,0)</f>
        <v>0</v>
      </c>
      <c r="H96" s="1688" t="str">
        <f t="shared" si="48"/>
        <v>Linear</v>
      </c>
      <c r="I96" s="1004">
        <f>IFERROR(IF($B96="Please select",0,IF($D$47="Nutrient poor",INDEX(IPCC!$A$1910:$J$1921,MATCH(clim_moist,IPCC!$A$1910:$A$1921,0),MATCH($C96,IPCC!$A$1910:$J$1910,0)),INDEX(IPCC!$A$1928:$J$1939,MATCH(clim_moist,IPCC!$A$1928:$A$1939,0),MATCH($C96,IPCC!$A$1928:$J$1928,0)))),0)</f>
        <v>0</v>
      </c>
      <c r="J96" s="1259">
        <f>IF('6.Inland wetlands'!$DY17="",'6.Inland wetlands'!$DX17,'6.Inland wetlands'!$DY17)</f>
        <v>0</v>
      </c>
      <c r="K96" s="1004">
        <f>IFERROR(IF($B96="Please select",0,IF($D$47="Nutrient poor",INDEX(IPCC!$A$1964:$J$1975,MATCH(clim_moist,IPCC!$A$1964:$A$1975,0),MATCH($C96,IPCC!$A$1964:$J$1964,0)),INDEX(IPCC!$A$1982:$J$1993,MATCH(clim_moist,IPCC!$A$1982:$A$1993,0),MATCH($C96,IPCC!$A$1982:$J$1982,0)))),0)</f>
        <v>0</v>
      </c>
      <c r="L96" s="1259">
        <f>IF('6.Inland wetlands'!$EA17="",'6.Inland wetlands'!$DZ17,'6.Inland wetlands'!$EA17)</f>
        <v>0</v>
      </c>
      <c r="M96" s="1004">
        <f>IFERROR(IF($B96="Please select",0,INDEX(IPCC!$A$2000:$J$2011,MATCH(clim_moist,IPCC!$A$2000:$A$2011,0),MATCH($C96,IPCC!$A$2000:$J$2000,0))),0)</f>
        <v>0</v>
      </c>
      <c r="N96" s="1259">
        <f>IF('6.Inland wetlands'!$EC17="",'6.Inland wetlands'!$EB17,'6.Inland wetlands'!$EC17)</f>
        <v>0</v>
      </c>
      <c r="O96" s="1260">
        <f>IFERROR(IF($B96="Please select",0,INDEX(IPCC!$A$1946:$J$1957,MATCH(clim_moist,IPCC!$A$1946:$A$1957,0),MATCH($C96,IPCC!$A$1946:$J$1946,0))),0)</f>
        <v>0</v>
      </c>
      <c r="P96" s="1259">
        <f>IF('6.Inland wetlands'!$EF17="",'6.Inland wetlands'!$EE17,'6.Inland wetlands'!$EF17)</f>
        <v>0</v>
      </c>
      <c r="Q96" s="3468">
        <v>0</v>
      </c>
      <c r="R96" s="3468">
        <f t="shared" si="50"/>
        <v>0</v>
      </c>
      <c r="S96" s="1151">
        <f t="shared" si="51"/>
        <v>0</v>
      </c>
      <c r="T96" s="3468">
        <v>0</v>
      </c>
      <c r="U96" s="1151">
        <f t="shared" si="52"/>
        <v>0</v>
      </c>
      <c r="V96" s="1151">
        <f t="shared" si="53"/>
        <v>0</v>
      </c>
      <c r="W96" s="3468">
        <v>0</v>
      </c>
      <c r="X96" s="1151">
        <f t="shared" si="54"/>
        <v>0</v>
      </c>
      <c r="Y96" s="3469">
        <f t="shared" si="55"/>
        <v>0</v>
      </c>
      <c r="AB96" s="3468">
        <f>MIN('Inl. wetlands'!$Q96,'Inl. wetlands'!$R96)*time_tot+ABS('Inl. wetlands'!$R96-'Inl. wetlands'!$Q96)*IF('Inl. wetlands'!$R96&gt;'Inl. wetlands'!$Q96,time_cap+time*(VLOOKUP('6.Inland wetlands'!O30,list!$I$48:$K$50,3,0)),time*(1-(VLOOKUP('6.Inland wetlands'!O30,list!$I$48:$K$50,3,0))))</f>
        <v>0</v>
      </c>
      <c r="AC96" s="3468">
        <f>MIN('Inl. wetlands'!$Q96,'Inl. wetlands'!$S96)*time_tot+ABS('Inl. wetlands'!$S96-'Inl. wetlands'!$Q96)*IF('Inl. wetlands'!$S96&gt;'Inl. wetlands'!$Q96,time_cap+time*(VLOOKUP('6.Inland wetlands'!Q30,list!$I$48:$K$50,3,0)),time*(1-(VLOOKUP('6.Inland wetlands'!Q30,list!$I$48:$K$50,3,0))))</f>
        <v>0</v>
      </c>
      <c r="AD96" s="3468">
        <f>MIN('Inl. wetlands'!$T96,'Inl. wetlands'!$U96)*time_tot+ABS('Inl. wetlands'!$U96-'Inl. wetlands'!$T96)*IF('Inl. wetlands'!$U96&gt;'Inl. wetlands'!$T96,time_cap+time*(VLOOKUP('6.Inland wetlands'!O30,list!$I$48:$K$50,3,0)),time*(1-(VLOOKUP('6.Inland wetlands'!O30,list!$I$48:$K$50,3,0))))</f>
        <v>0</v>
      </c>
      <c r="AE96" s="3468">
        <f>MIN('Inl. wetlands'!$T96,'Inl. wetlands'!$V96)*time_tot+ABS('Inl. wetlands'!$V96-'Inl. wetlands'!$T96)*IF('Inl. wetlands'!$V96&gt;'Inl. wetlands'!$T96,time_cap+time*(VLOOKUP('6.Inland wetlands'!Q30,list!$I$48:$K$50,3,0)),time*(1-(VLOOKUP('6.Inland wetlands'!Q30,list!$I$48:$K$50,3,0))))</f>
        <v>0</v>
      </c>
      <c r="AF96" s="3468">
        <f>MIN('Inl. wetlands'!$W96,'Inl. wetlands'!$X96)*time_tot+ABS('Inl. wetlands'!$X96-'Inl. wetlands'!$W96)*IF('Inl. wetlands'!$X96&gt;'Inl. wetlands'!$W96,time_cap+time*(VLOOKUP('6.Inland wetlands'!O30,list!$I$48:$K$50,3,0)),time*(1-(VLOOKUP('6.Inland wetlands'!O30,list!$I$48:$K$50,3,0))))</f>
        <v>0</v>
      </c>
      <c r="AG96" s="3468">
        <f>MIN('Inl. wetlands'!$W96,'Inl. wetlands'!$Y96)*time_tot+ABS('Inl. wetlands'!$Y96-'Inl. wetlands'!$W96)*IF('Inl. wetlands'!$Y96&gt;'Inl. wetlands'!$W96,time_cap+time*(VLOOKUP('6.Inland wetlands'!Q30,list!$I$48:$K$50,3,0)),time*(1-(VLOOKUP('6.Inland wetlands'!Q30,list!$I$48:$K$50,3,0))))</f>
        <v>0</v>
      </c>
      <c r="AI96" s="1270" t="s">
        <v>1186</v>
      </c>
      <c r="AJ96" s="1116"/>
      <c r="AK96" s="1116"/>
      <c r="AX96" s="1449">
        <f>MIN($Q96,$R96)*time+ABS($R96-$Q96)*IF($R96&gt;$Q96,time*(VLOOKUP($H58,list!$J$48:$K$50,2,0)),time*(1-(VLOOKUP($H58,list!$J$48:$K$50,2,0))))</f>
        <v>0</v>
      </c>
      <c r="AY96" s="1449">
        <f>MIN($Q96,$S96)*time+ABS($S96-$Q96)*IF($S96&gt;$Q96,time*(VLOOKUP($L58,list!$J$48:$K$50,2,0)),time*(1-(VLOOKUP($L58,list!$J$48:$K$50,2,0))))</f>
        <v>0</v>
      </c>
      <c r="AZ96" s="1449">
        <f>MIN($T96,$U96)*time+ABS($U96-$T96)*IF($U96&gt;$T96,time*(VLOOKUP($H58,list!$J$48:$K$50,2,0)),time*(1-(VLOOKUP($H58,list!$J$48:$K$50,2,0))))</f>
        <v>0</v>
      </c>
      <c r="BA96" s="1449">
        <f>MIN($T96,$V96)*time+ABS($V96-$T96)*IF($V96&gt;$T96,time*(VLOOKUP($L58,list!$J$48:$K$50,2,0)),time*(1-(VLOOKUP($L58,list!$J$48:$K$50,2,0))))</f>
        <v>0</v>
      </c>
      <c r="BB96" s="1449">
        <f>MIN($W96,$X96)*time+ABS($X96-$W96)*IF($X96&gt;$W96,time*(VLOOKUP($H58,list!$J$48:$K$50,2,0)),time*(1-(VLOOKUP($H58,list!$J$48:$K$50,2,0))))</f>
        <v>0</v>
      </c>
      <c r="BC96" s="1449">
        <f>MIN($W96,$Y96)*time+ABS($Y96-$W96)*IF($Y96&gt;$W96,time*(VLOOKUP($L58,list!$J$48:$K$50,2,0)),time*(1-(VLOOKUP($L58,list!$J$48:$K$50,2,0))))</f>
        <v>0</v>
      </c>
    </row>
    <row r="97" spans="1:59" x14ac:dyDescent="0.15">
      <c r="G97" s="992"/>
      <c r="H97" s="1688"/>
      <c r="I97" s="1688"/>
      <c r="J97" s="1164"/>
      <c r="K97" s="992"/>
      <c r="L97" s="1688"/>
      <c r="M97" s="1688"/>
      <c r="N97" s="1071"/>
      <c r="O97" s="1201"/>
      <c r="P97" s="1200"/>
      <c r="AI97" s="1102" t="s">
        <v>200</v>
      </c>
      <c r="AJ97" s="1103" t="s">
        <v>201</v>
      </c>
      <c r="AK97" s="1104" t="s">
        <v>324</v>
      </c>
      <c r="BD97" s="1461"/>
      <c r="BE97" s="1461"/>
      <c r="BF97" s="1461"/>
      <c r="BG97" s="1461"/>
    </row>
    <row r="98" spans="1:59" ht="18" x14ac:dyDescent="0.2">
      <c r="A98" s="1492"/>
      <c r="E98" s="1265" t="s">
        <v>1181</v>
      </c>
      <c r="I98" s="1473" t="s">
        <v>1182</v>
      </c>
      <c r="J98" s="1474"/>
      <c r="K98" s="1474"/>
      <c r="L98" s="1475"/>
      <c r="M98" s="1474"/>
      <c r="N98" s="1476"/>
      <c r="O98" s="1476" t="s">
        <v>1183</v>
      </c>
      <c r="P98" s="1476"/>
      <c r="Q98" s="1481" t="s">
        <v>1184</v>
      </c>
      <c r="R98" s="1482"/>
      <c r="S98" s="1482"/>
      <c r="T98" s="1482"/>
      <c r="U98" s="1482"/>
      <c r="V98" s="1482"/>
      <c r="W98" s="1482"/>
      <c r="X98" s="1482"/>
      <c r="Y98" s="1482"/>
      <c r="Z98" s="992"/>
      <c r="AA98" s="992"/>
      <c r="AB98" s="1505" t="s">
        <v>1185</v>
      </c>
      <c r="AC98" s="1470"/>
      <c r="AD98" s="1470"/>
      <c r="AE98" s="1470"/>
      <c r="AF98" s="1470"/>
      <c r="AG98" s="1470"/>
      <c r="AI98" s="3468">
        <f>'Inl. wetlands'!AB91+'Inl. wetlands'!AD91+'Inl. wetlands'!AF91+AB102+AD102+AF102</f>
        <v>3037.4166666666661</v>
      </c>
      <c r="AJ98" s="3468">
        <f>'Inl. wetlands'!AC91+'Inl. wetlands'!AE91+'Inl. wetlands'!AG91+AC102+AE102+AG102</f>
        <v>2169.5833333333335</v>
      </c>
      <c r="AK98" s="1465">
        <f t="shared" ref="AK98:AK103" si="56">AJ98-AI98</f>
        <v>-867.83333333333258</v>
      </c>
      <c r="AX98" s="1451">
        <f t="shared" ref="AX98:BC98" si="57">SUM(AX91:AX96)</f>
        <v>4.583333333333325</v>
      </c>
      <c r="AY98" s="1451">
        <f t="shared" si="57"/>
        <v>2.7499999999999947</v>
      </c>
      <c r="AZ98" s="1451">
        <f t="shared" si="57"/>
        <v>429.33333333333331</v>
      </c>
      <c r="BA98" s="1451">
        <f t="shared" si="57"/>
        <v>257.59999999999997</v>
      </c>
      <c r="BB98" s="1451">
        <f t="shared" si="57"/>
        <v>0</v>
      </c>
      <c r="BC98" s="1451">
        <f t="shared" si="57"/>
        <v>0</v>
      </c>
      <c r="BD98" s="1451"/>
      <c r="BE98" s="1451"/>
      <c r="BF98" s="1451"/>
      <c r="BG98" s="1451"/>
    </row>
    <row r="99" spans="1:59" ht="16" x14ac:dyDescent="0.2">
      <c r="A99" s="1492"/>
      <c r="D99" s="1576" t="s">
        <v>199</v>
      </c>
      <c r="E99" s="1105" t="s">
        <v>200</v>
      </c>
      <c r="F99" s="1105"/>
      <c r="G99" s="1106" t="s">
        <v>201</v>
      </c>
      <c r="H99" s="1106"/>
      <c r="I99" s="1477" t="s">
        <v>1187</v>
      </c>
      <c r="J99" s="1478"/>
      <c r="K99" s="1477" t="s">
        <v>1188</v>
      </c>
      <c r="L99" s="1478"/>
      <c r="M99" s="1477" t="s">
        <v>1189</v>
      </c>
      <c r="N99" s="1478"/>
      <c r="O99" s="1477" t="s">
        <v>1190</v>
      </c>
      <c r="P99" s="1478"/>
      <c r="Q99" s="1482"/>
      <c r="R99" s="1482"/>
      <c r="S99" s="1482"/>
      <c r="T99" s="1482"/>
      <c r="U99" s="1482"/>
      <c r="V99" s="1482"/>
      <c r="W99" s="1482"/>
      <c r="X99" s="1482"/>
      <c r="Y99" s="1482"/>
      <c r="Z99" s="992"/>
      <c r="AA99" s="992"/>
      <c r="AB99" s="1505" t="s">
        <v>1191</v>
      </c>
      <c r="AC99" s="1471"/>
      <c r="AD99" s="1471"/>
      <c r="AE99" s="1470"/>
      <c r="AF99" s="1471"/>
      <c r="AG99" s="1470"/>
      <c r="AI99" s="3468">
        <f>'Inl. wetlands'!AB92+'Inl. wetlands'!AD92+'Inl. wetlands'!AF92+AB103+AD103+AF103</f>
        <v>0</v>
      </c>
      <c r="AJ99" s="3468">
        <f>'Inl. wetlands'!AC92+'Inl. wetlands'!AE92+'Inl. wetlands'!AG92+AC103+AE103+AG103</f>
        <v>0</v>
      </c>
      <c r="AK99" s="1465">
        <f t="shared" si="56"/>
        <v>0</v>
      </c>
      <c r="AX99" s="1451"/>
      <c r="AY99" s="1451"/>
      <c r="AZ99" s="1451"/>
      <c r="BA99" s="1451"/>
      <c r="BB99" s="1451"/>
      <c r="BC99" s="1451"/>
      <c r="BD99" s="1451"/>
      <c r="BE99" s="1451"/>
      <c r="BF99" s="1451"/>
      <c r="BG99" s="1451"/>
    </row>
    <row r="100" spans="1:59" x14ac:dyDescent="0.15">
      <c r="A100" s="1462"/>
      <c r="B100" s="1281" t="str">
        <f>B89</f>
        <v>Initial land use</v>
      </c>
      <c r="C100" s="1281"/>
      <c r="D100" s="1688"/>
      <c r="E100" s="1100"/>
      <c r="F100" s="1100"/>
      <c r="G100" s="1101"/>
      <c r="H100" s="1101"/>
      <c r="I100" s="1479" t="s">
        <v>92</v>
      </c>
      <c r="J100" s="1479"/>
      <c r="K100" s="1479" t="s">
        <v>1044</v>
      </c>
      <c r="L100" s="1479"/>
      <c r="M100" s="1479" t="s">
        <v>1045</v>
      </c>
      <c r="N100" s="1479"/>
      <c r="O100" s="1479" t="s">
        <v>92</v>
      </c>
      <c r="P100" s="1479"/>
      <c r="Q100" s="1482" t="s">
        <v>1176</v>
      </c>
      <c r="R100" s="1482"/>
      <c r="S100" s="1482"/>
      <c r="T100" s="1482" t="s">
        <v>176</v>
      </c>
      <c r="U100" s="1482"/>
      <c r="V100" s="1482"/>
      <c r="W100" s="1482" t="s">
        <v>1192</v>
      </c>
      <c r="X100" s="1482"/>
      <c r="Y100" s="1482"/>
      <c r="Z100" s="992"/>
      <c r="AA100" s="992"/>
      <c r="AB100" s="1472" t="s">
        <v>1176</v>
      </c>
      <c r="AC100" s="1472"/>
      <c r="AD100" s="1472" t="s">
        <v>176</v>
      </c>
      <c r="AE100" s="1472"/>
      <c r="AF100" s="1472" t="s">
        <v>1192</v>
      </c>
      <c r="AG100" s="1472"/>
      <c r="AI100" s="3468">
        <f>'Inl. wetlands'!AB93+'Inl. wetlands'!AD93+'Inl. wetlands'!AF93+AB104+AD104+AF104</f>
        <v>0</v>
      </c>
      <c r="AJ100" s="3468">
        <f>'Inl. wetlands'!AC93+'Inl. wetlands'!AE93+'Inl. wetlands'!AG93+AC104+AE104+AG104</f>
        <v>0</v>
      </c>
      <c r="AK100" s="1465">
        <f t="shared" si="56"/>
        <v>0</v>
      </c>
      <c r="AX100" s="1451"/>
      <c r="AY100" s="1451"/>
      <c r="AZ100" s="1451"/>
      <c r="BA100" s="1451"/>
      <c r="BB100" s="1451"/>
      <c r="BC100" s="1451"/>
      <c r="BD100" s="1451"/>
      <c r="BE100" s="1451"/>
      <c r="BF100" s="1451"/>
      <c r="BG100" s="1451"/>
    </row>
    <row r="101" spans="1:59" x14ac:dyDescent="0.15">
      <c r="A101" s="1462"/>
      <c r="B101" s="1281" t="str">
        <f>B90</f>
        <v>User selection</v>
      </c>
      <c r="C101" s="1281" t="str">
        <f>C90</f>
        <v>IPCC equivalent*</v>
      </c>
      <c r="D101" s="1688" t="s">
        <v>371</v>
      </c>
      <c r="E101" s="1100" t="str">
        <f>E90</f>
        <v>ha</v>
      </c>
      <c r="F101" s="1100" t="str">
        <f t="shared" ref="F101:F107" si="58">F90</f>
        <v>Rate</v>
      </c>
      <c r="G101" s="1101" t="str">
        <f>G90</f>
        <v>ha</v>
      </c>
      <c r="H101" s="1101" t="str">
        <f t="shared" ref="H101:H107" si="59">H90</f>
        <v>Rate</v>
      </c>
      <c r="I101" s="1480" t="s">
        <v>65</v>
      </c>
      <c r="J101" s="1480" t="s">
        <v>66</v>
      </c>
      <c r="K101" s="1480" t="s">
        <v>65</v>
      </c>
      <c r="L101" s="1480" t="s">
        <v>66</v>
      </c>
      <c r="M101" s="1480" t="s">
        <v>65</v>
      </c>
      <c r="N101" s="1480" t="s">
        <v>66</v>
      </c>
      <c r="O101" s="1480" t="s">
        <v>65</v>
      </c>
      <c r="P101" s="1480" t="s">
        <v>66</v>
      </c>
      <c r="Q101" s="973" t="s">
        <v>219</v>
      </c>
      <c r="R101" s="1100" t="s">
        <v>179</v>
      </c>
      <c r="S101" s="1101" t="s">
        <v>180</v>
      </c>
      <c r="T101" s="973" t="s">
        <v>219</v>
      </c>
      <c r="U101" s="1100" t="s">
        <v>179</v>
      </c>
      <c r="V101" s="1101" t="s">
        <v>180</v>
      </c>
      <c r="W101" s="973" t="s">
        <v>219</v>
      </c>
      <c r="X101" s="1100" t="s">
        <v>179</v>
      </c>
      <c r="Y101" s="1101" t="s">
        <v>180</v>
      </c>
      <c r="Z101" s="992"/>
      <c r="AA101" s="992"/>
      <c r="AB101" s="1100" t="s">
        <v>179</v>
      </c>
      <c r="AC101" s="1101" t="s">
        <v>180</v>
      </c>
      <c r="AD101" s="1100" t="s">
        <v>179</v>
      </c>
      <c r="AE101" s="1101" t="s">
        <v>180</v>
      </c>
      <c r="AF101" s="1100" t="s">
        <v>179</v>
      </c>
      <c r="AG101" s="1101" t="s">
        <v>180</v>
      </c>
      <c r="AI101" s="3468">
        <f>'Inl. wetlands'!AB94+'Inl. wetlands'!AD94+'Inl. wetlands'!AF94+AB105+AD105+AF105</f>
        <v>0</v>
      </c>
      <c r="AJ101" s="3468">
        <f>'Inl. wetlands'!AC94+'Inl. wetlands'!AE94+'Inl. wetlands'!AG94+AC105+AE105+AG105</f>
        <v>0</v>
      </c>
      <c r="AK101" s="1465">
        <f t="shared" si="56"/>
        <v>0</v>
      </c>
      <c r="AX101" s="1451"/>
      <c r="AY101" s="1451"/>
      <c r="AZ101" s="1451"/>
      <c r="BA101" s="1451"/>
      <c r="BB101" s="1451"/>
      <c r="BC101" s="1451"/>
      <c r="BD101" s="1451"/>
      <c r="BE101" s="1451"/>
      <c r="BF101" s="1451"/>
      <c r="BG101" s="1451"/>
    </row>
    <row r="102" spans="1:59" x14ac:dyDescent="0.15">
      <c r="A102" s="1493" t="s">
        <v>1160</v>
      </c>
      <c r="B102" s="973" t="str">
        <f t="shared" ref="B102:C107" si="60">D53</f>
        <v>Annual cropland</v>
      </c>
      <c r="C102" s="1121" t="str">
        <f t="shared" si="60"/>
        <v>Annual</v>
      </c>
      <c r="D102" s="992">
        <f t="shared" ref="D102:D107" si="61">N47</f>
        <v>0</v>
      </c>
      <c r="E102" s="992">
        <f>IF('6.Inland wetlands'!S25='6.Inland wetlands'!K25, 0,'6.Inland wetlands'!T25-'Inl. wetlands'!E91)</f>
        <v>20</v>
      </c>
      <c r="F102" s="1688" t="str">
        <f t="shared" si="58"/>
        <v>Linear</v>
      </c>
      <c r="G102" s="992">
        <f>IF('6.Inland wetlands'!S25='6.Inland wetlands'!K25, 0, '6.Inland wetlands'!U25-'Inl. wetlands'!G91)</f>
        <v>20</v>
      </c>
      <c r="H102" s="1688" t="str">
        <f t="shared" si="59"/>
        <v>Linear</v>
      </c>
      <c r="I102" s="1004">
        <f>IFERROR(IF('Inl. wetlands'!$B102="Please select",0,IF('Inl. wetlands'!$J$47="Nutrient poor",INDEX(IPCC!$A$1910:$J$1921,MATCH(clim_moist,IPCC!$A$1910:$A$1921,0),MATCH('Inl. wetlands'!$C102,IPCC!$A$1910:$J$1910,0)),INDEX(IPCC!$A$1928:$J$1939,MATCH(clim_moist,IPCC!$A$1928:$A$1939,0),MATCH('Inl. wetlands'!$C102,IPCC!$A$1928:$J$1928,0)))),0)</f>
        <v>-0.23</v>
      </c>
      <c r="J102" s="1259">
        <f>IF('6.Inland wetlands'!$DY24="",'6.Inland wetlands'!$DX24,'6.Inland wetlands'!$DY24)</f>
        <v>-0.23</v>
      </c>
      <c r="K102" s="1004">
        <f>IFERROR(IF('Inl. wetlands'!$B102="Please select",0,IF('Inl. wetlands'!$J$47="Nutrient poor",INDEX(IPCC!$A$1964:$J$1975,MATCH(clim_moist,IPCC!$A$1964:$A$1975,0),MATCH('Inl. wetlands'!$C102,IPCC!$A$1964:$J$1964,0)),INDEX(IPCC!$A$1982:$J$1993,MATCH(clim_moist,IPCC!$A$1982:$A$1993,0),MATCH('Inl. wetlands'!$C102,IPCC!$A$1982:$J$1982,0)))),0)</f>
        <v>92</v>
      </c>
      <c r="L102" s="1259">
        <f>IF('6.Inland wetlands'!$EA24="",'6.Inland wetlands'!$DZ24,'6.Inland wetlands'!$EA24)</f>
        <v>92</v>
      </c>
      <c r="M102" s="1004">
        <f>IFERROR(IF('Inl. wetlands'!$B102="Please select",0,INDEX(IPCC!$A$2000:$J$2011,MATCH(clim_moist,IPCC!$A$2000:$A$2011,0),MATCH('Inl. wetlands'!$C102,IPCC!$A$2000:$J$2000,0))),0)</f>
        <v>0</v>
      </c>
      <c r="N102" s="1259">
        <f>IF('6.Inland wetlands'!$EC24="",'6.Inland wetlands'!$EB24,'6.Inland wetlands'!$EC24)</f>
        <v>0</v>
      </c>
      <c r="O102" s="1260">
        <f>IFERROR(IF('Inl. wetlands'!$B102="Please select",0,INDEX(IPCC!$A$1946:$J$1957,MATCH(clim_moist,IPCC!$A$1946:$A$1957,0),MATCH('Inl. wetlands'!$C102,IPCC!$A$1946:$J$1946,0))),0)</f>
        <v>0.24</v>
      </c>
      <c r="P102" s="1259">
        <f>IF('6.Inland wetlands'!$EF24="",'6.Inland wetlands'!$EE24,'6.Inland wetlands'!$EF24)</f>
        <v>0.24</v>
      </c>
      <c r="Q102" s="3468">
        <v>0</v>
      </c>
      <c r="R102" s="3468">
        <f>SUM('Inl. wetlands'!$J102,'Inl. wetlands'!$P102)*44/12*E102</f>
        <v>0.73333333333333195</v>
      </c>
      <c r="S102" s="1151">
        <f>SUM('Inl. wetlands'!$J102,'Inl. wetlands'!$P102)*44/12*G102</f>
        <v>0.73333333333333195</v>
      </c>
      <c r="T102" s="3468">
        <v>0</v>
      </c>
      <c r="U102" s="1151">
        <f>'Inl. wetlands'!$L102/1000*16/12*methane*E102</f>
        <v>68.693333333333328</v>
      </c>
      <c r="V102" s="1151">
        <f>'Inl. wetlands'!$L102/1000*16/12*methane*G102</f>
        <v>68.693333333333328</v>
      </c>
      <c r="W102" s="3468">
        <v>0</v>
      </c>
      <c r="X102" s="1151">
        <f>'Inl. wetlands'!$N102/1000*44/28*Nitrous*E102</f>
        <v>0</v>
      </c>
      <c r="Y102" s="3469">
        <f>'Inl. wetlands'!$N102/1000*44/28*Nitrous*G102</f>
        <v>0</v>
      </c>
      <c r="Z102" s="992"/>
      <c r="AA102" s="992"/>
      <c r="AB102" s="3468">
        <f>MIN('Inl. wetlands'!$Q102,'Inl. wetlands'!$R102)*time_tot+ABS('Inl. wetlands'!$R102-'Inl. wetlands'!$Q102)*IF('Inl. wetlands'!$R102&gt;'Inl. wetlands'!$Q102,time_cap+time*(VLOOKUP('6.Inland wetlands'!O25,list!$I$48:$K$50,3,0)),time*(1-(VLOOKUP('6.Inland wetlands'!O25,list!$I$48:$K$50,3,0))))</f>
        <v>9.1666666666666501</v>
      </c>
      <c r="AC102" s="3468">
        <f>MIN('Inl. wetlands'!$Q102,'Inl. wetlands'!$S102)*time_tot+ABS('Inl. wetlands'!$S102-'Inl. wetlands'!$Q102)*IF('Inl. wetlands'!$S102&gt;'Inl. wetlands'!$Q102,time_cap+time*(VLOOKUP('6.Inland wetlands'!Q25,list!$I$48:$K$50,3,0)),time*(1-(VLOOKUP('6.Inland wetlands'!Q25,list!$I$48:$K$50,3,0))))</f>
        <v>9.1666666666666501</v>
      </c>
      <c r="AD102" s="3468">
        <f>MIN('Inl. wetlands'!$T102,'Inl. wetlands'!$U102)*time_tot+ABS('Inl. wetlands'!$U102-'Inl. wetlands'!$T102)*IF('Inl. wetlands'!$U102&gt;'Inl. wetlands'!$T102,time_cap+time*(VLOOKUP('6.Inland wetlands'!O25,list!$I$48:$K$50,3,0)),time*(1-(VLOOKUP('6.Inland wetlands'!O25,list!$I$48:$K$50,3,0))))</f>
        <v>858.66666666666663</v>
      </c>
      <c r="AE102" s="3468">
        <f>MIN('Inl. wetlands'!$T102,'Inl. wetlands'!$V102)*time_tot+ABS('Inl. wetlands'!$V102-'Inl. wetlands'!$T102)*IF('Inl. wetlands'!$V102&gt;'Inl. wetlands'!$T102,time_cap+time*(VLOOKUP('6.Inland wetlands'!Q25,list!$I$48:$K$50,3,0)),time*(1-(VLOOKUP('6.Inland wetlands'!Q25,list!$I$48:$K$50,3,0))))</f>
        <v>858.66666666666663</v>
      </c>
      <c r="AF102" s="3468">
        <f>MIN('Inl. wetlands'!$W102,'Inl. wetlands'!$X102)*time_tot+ABS('Inl. wetlands'!$X102-'Inl. wetlands'!$W102)*IF('Inl. wetlands'!$X102&gt;'Inl. wetlands'!$W102,time_cap+time*(VLOOKUP('6.Inland wetlands'!O25,list!$I$48:$K$50,3,0)),time*(1-(VLOOKUP('6.Inland wetlands'!O25,list!$I$48:$K$50,3,0))))</f>
        <v>0</v>
      </c>
      <c r="AG102" s="3468">
        <f>MIN('Inl. wetlands'!$W102,'Inl. wetlands'!$Y102)*time_tot+ABS('Inl. wetlands'!$Y102-'Inl. wetlands'!$W102)*IF('Inl. wetlands'!$Y102&gt;'Inl. wetlands'!$W102,time_cap+time*(VLOOKUP('6.Inland wetlands'!Q25,list!$I$48:$K$50,3,0)),time*(1-(VLOOKUP('6.Inland wetlands'!Q25,list!$I$48:$K$50,3,0))))</f>
        <v>0</v>
      </c>
      <c r="AI102" s="3468">
        <f>'Inl. wetlands'!AB95+'Inl. wetlands'!AD95+'Inl. wetlands'!AF95+AB106+AD106+AF106</f>
        <v>0</v>
      </c>
      <c r="AJ102" s="3468">
        <f>'Inl. wetlands'!AC95+'Inl. wetlands'!AE95+'Inl. wetlands'!AG95+AC106+AE106+AG106</f>
        <v>0</v>
      </c>
      <c r="AK102" s="1465">
        <f t="shared" si="56"/>
        <v>0</v>
      </c>
      <c r="AX102" s="1451"/>
      <c r="AY102" s="1451"/>
      <c r="AZ102" s="1451"/>
      <c r="BA102" s="1451"/>
      <c r="BB102" s="1451"/>
      <c r="BC102" s="1451"/>
      <c r="BD102" s="1451"/>
      <c r="BE102" s="1451"/>
      <c r="BF102" s="1451"/>
      <c r="BG102" s="1451"/>
    </row>
    <row r="103" spans="1:59" x14ac:dyDescent="0.15">
      <c r="A103" s="1493" t="s">
        <v>1161</v>
      </c>
      <c r="B103" s="973" t="str">
        <f t="shared" si="60"/>
        <v>Please select</v>
      </c>
      <c r="C103" s="1121" t="str">
        <f t="shared" si="60"/>
        <v/>
      </c>
      <c r="D103" s="992">
        <f t="shared" si="61"/>
        <v>0</v>
      </c>
      <c r="E103" s="992">
        <f>IF('6.Inland wetlands'!S26='6.Inland wetlands'!K26, 0,'6.Inland wetlands'!T26-'Inl. wetlands'!E92)</f>
        <v>0</v>
      </c>
      <c r="F103" s="1688" t="str">
        <f t="shared" si="58"/>
        <v>Linear</v>
      </c>
      <c r="G103" s="992">
        <f>IF('6.Inland wetlands'!S26='6.Inland wetlands'!K26, 0, '6.Inland wetlands'!U26-'Inl. wetlands'!G92)</f>
        <v>0</v>
      </c>
      <c r="H103" s="1688" t="str">
        <f t="shared" si="59"/>
        <v>Linear</v>
      </c>
      <c r="I103" s="1004">
        <f>IFERROR(IF('Inl. wetlands'!$B103="Please select",0,IF('Inl. wetlands'!$J$47="Nutrient poor",INDEX(IPCC!$A$1910:$J$1921,MATCH(clim_moist,IPCC!$A$1910:$A$1921,0),MATCH('Inl. wetlands'!$C103,IPCC!$A$1910:$J$1910,0)),INDEX(IPCC!$A$1928:$J$1939,MATCH(clim_moist,IPCC!$A$1928:$A$1939,0),MATCH('Inl. wetlands'!$C103,IPCC!$A$1928:$J$1928,0)))),0)</f>
        <v>0</v>
      </c>
      <c r="J103" s="1259">
        <f>IF('6.Inland wetlands'!$DY25="",'6.Inland wetlands'!$DX25,'6.Inland wetlands'!$DY25)</f>
        <v>0</v>
      </c>
      <c r="K103" s="1004">
        <f>IFERROR(IF('Inl. wetlands'!$B103="Please select",0,IF('Inl. wetlands'!$J$47="Nutrient poor",INDEX(IPCC!$A$1964:$J$1975,MATCH(clim_moist,IPCC!$A$1964:$A$1975,0),MATCH('Inl. wetlands'!$C103,IPCC!$A$1964:$J$1964,0)),INDEX(IPCC!$A$1982:$J$1993,MATCH(clim_moist,IPCC!$A$1982:$A$1993,0),MATCH('Inl. wetlands'!$C103,IPCC!$A$1982:$J$1982,0)))),0)</f>
        <v>0</v>
      </c>
      <c r="L103" s="1259">
        <f>IF('6.Inland wetlands'!$EA25="",'6.Inland wetlands'!$DZ25,'6.Inland wetlands'!$EA25)</f>
        <v>0</v>
      </c>
      <c r="M103" s="1004">
        <f>IFERROR(IF('Inl. wetlands'!$B103="Please select",0,INDEX(IPCC!$A$2000:$J$2011,MATCH(clim_moist,IPCC!$A$2000:$A$2011,0),MATCH('Inl. wetlands'!$C103,IPCC!$A$2000:$J$2000,0))),0)</f>
        <v>0</v>
      </c>
      <c r="N103" s="1259">
        <f>IF('6.Inland wetlands'!$EC25="",'6.Inland wetlands'!$EB25,'6.Inland wetlands'!$EC25)</f>
        <v>0</v>
      </c>
      <c r="O103" s="1260">
        <f>IFERROR(IF('Inl. wetlands'!$B103="Please select",0,INDEX(IPCC!$A$1946:$J$1957,MATCH(clim_moist,IPCC!$A$1946:$A$1957,0),MATCH('Inl. wetlands'!$C103,IPCC!$A$1946:$J$1946,0))),0)</f>
        <v>0</v>
      </c>
      <c r="P103" s="1259">
        <f>IF('6.Inland wetlands'!$EF25="",'6.Inland wetlands'!$EE25,'6.Inland wetlands'!$EF25)</f>
        <v>0</v>
      </c>
      <c r="Q103" s="3468">
        <v>0</v>
      </c>
      <c r="R103" s="3468">
        <f>SUM($J103,$P103)*44/12*E103</f>
        <v>0</v>
      </c>
      <c r="S103" s="1151">
        <f>SUM($J103,$P103)*44/12*G103</f>
        <v>0</v>
      </c>
      <c r="T103" s="3468">
        <v>0</v>
      </c>
      <c r="U103" s="1151">
        <f>$L103/1000*16/12*methane*E103</f>
        <v>0</v>
      </c>
      <c r="V103" s="1151">
        <f>$L103/1000*16/12*methane*G103</f>
        <v>0</v>
      </c>
      <c r="W103" s="3468">
        <v>0</v>
      </c>
      <c r="X103" s="1151">
        <f>$N103/1000*44/28*Nitrous*E103</f>
        <v>0</v>
      </c>
      <c r="Y103" s="3469">
        <f>$N103/1000*44/28*Nitrous*G103</f>
        <v>0</v>
      </c>
      <c r="Z103" s="992"/>
      <c r="AA103" s="992"/>
      <c r="AB103" s="3468">
        <f>MIN('Inl. wetlands'!$Q103,'Inl. wetlands'!$R103)*time_tot+ABS('Inl. wetlands'!$R103-'Inl. wetlands'!$Q103)*IF('Inl. wetlands'!$R103&gt;'Inl. wetlands'!$Q103,time_cap+time*(VLOOKUP('6.Inland wetlands'!O26,list!$I$48:$K$50,3,0)),time*(1-(VLOOKUP('6.Inland wetlands'!O26,list!$I$48:$K$50,3,0))))</f>
        <v>0</v>
      </c>
      <c r="AC103" s="3468">
        <f>MIN('Inl. wetlands'!$Q103,'Inl. wetlands'!$S103)*time_tot+ABS('Inl. wetlands'!$S103-'Inl. wetlands'!$Q103)*IF('Inl. wetlands'!$S103&gt;'Inl. wetlands'!$Q103,time_cap+time*(VLOOKUP('6.Inland wetlands'!Q26,list!$I$48:$K$50,3,0)),time*(1-(VLOOKUP('6.Inland wetlands'!Q26,list!$I$48:$K$50,3,0))))</f>
        <v>0</v>
      </c>
      <c r="AD103" s="3468">
        <f>MIN('Inl. wetlands'!$T103,'Inl. wetlands'!$U103)*time_tot+ABS('Inl. wetlands'!$U103-'Inl. wetlands'!$T103)*IF('Inl. wetlands'!$U103&gt;'Inl. wetlands'!$T103,time_cap+time*(VLOOKUP('6.Inland wetlands'!O26,list!$I$48:$K$50,3,0)),time*(1-(VLOOKUP('6.Inland wetlands'!O26,list!$I$48:$K$50,3,0))))</f>
        <v>0</v>
      </c>
      <c r="AE103" s="3468">
        <f>MIN('Inl. wetlands'!$T103,'Inl. wetlands'!$V103)*time_tot+ABS('Inl. wetlands'!$V103-'Inl. wetlands'!$T103)*IF('Inl. wetlands'!$V103&gt;'Inl. wetlands'!$T103,time_cap+time*(VLOOKUP('6.Inland wetlands'!Q26,list!$I$48:$K$50,3,0)),time*(1-(VLOOKUP('6.Inland wetlands'!Q26,list!$I$48:$K$50,3,0))))</f>
        <v>0</v>
      </c>
      <c r="AF103" s="3468">
        <f>MIN('Inl. wetlands'!$W103,'Inl. wetlands'!$X103)*time_tot+ABS('Inl. wetlands'!$X103-'Inl. wetlands'!$W103)*IF('Inl. wetlands'!$X103&gt;'Inl. wetlands'!$W103,time_cap+time*(VLOOKUP('6.Inland wetlands'!O26,list!$I$48:$K$50,3,0)),time*(1-(VLOOKUP('6.Inland wetlands'!O26,list!$I$48:$K$50,3,0))))</f>
        <v>0</v>
      </c>
      <c r="AG103" s="3468">
        <f>MIN('Inl. wetlands'!$W103,'Inl. wetlands'!$Y103)*time_tot+ABS('Inl. wetlands'!$Y103-'Inl. wetlands'!$W103)*IF('Inl. wetlands'!$Y103&gt;'Inl. wetlands'!$W103,time_cap+time*(VLOOKUP('6.Inland wetlands'!Q26,list!$I$48:$K$50,3,0)),time*(1-(VLOOKUP('6.Inland wetlands'!Q26,list!$I$48:$K$50,3,0))))</f>
        <v>0</v>
      </c>
      <c r="AI103" s="3468">
        <f>'Inl. wetlands'!AB96+'Inl. wetlands'!AD96+'Inl. wetlands'!AF96+AB107+AD107+AF107</f>
        <v>0</v>
      </c>
      <c r="AJ103" s="3468">
        <f>'Inl. wetlands'!AC96+'Inl. wetlands'!AE96+'Inl. wetlands'!AG96+AC107+AE107+AG107</f>
        <v>0</v>
      </c>
      <c r="AK103" s="1465">
        <f t="shared" si="56"/>
        <v>0</v>
      </c>
      <c r="AX103" s="1451"/>
      <c r="AY103" s="1451"/>
      <c r="AZ103" s="1451"/>
      <c r="BA103" s="1451"/>
      <c r="BB103" s="1451"/>
      <c r="BC103" s="1451"/>
      <c r="BD103" s="1451"/>
      <c r="BE103" s="1451"/>
      <c r="BF103" s="1451"/>
      <c r="BG103" s="1451"/>
    </row>
    <row r="104" spans="1:59" x14ac:dyDescent="0.15">
      <c r="A104" s="1493" t="s">
        <v>1162</v>
      </c>
      <c r="B104" s="973" t="str">
        <f t="shared" si="60"/>
        <v>Please select</v>
      </c>
      <c r="C104" s="1121" t="str">
        <f t="shared" si="60"/>
        <v/>
      </c>
      <c r="D104" s="992">
        <f t="shared" si="61"/>
        <v>0</v>
      </c>
      <c r="E104" s="992">
        <f>IF('6.Inland wetlands'!S27='6.Inland wetlands'!K27, 0,'6.Inland wetlands'!T27-'Inl. wetlands'!E93)</f>
        <v>0</v>
      </c>
      <c r="F104" s="1688" t="str">
        <f t="shared" si="58"/>
        <v>Linear</v>
      </c>
      <c r="G104" s="992">
        <f>IF('6.Inland wetlands'!S27='6.Inland wetlands'!K27, 0, '6.Inland wetlands'!U27-'Inl. wetlands'!G93)</f>
        <v>0</v>
      </c>
      <c r="H104" s="1688" t="str">
        <f t="shared" si="59"/>
        <v>Linear</v>
      </c>
      <c r="I104" s="1004">
        <f>IFERROR(IF('Inl. wetlands'!$B104="Please select",0,IF('Inl. wetlands'!$J$47="Nutrient poor",INDEX(IPCC!$A$1910:$J$1921,MATCH(clim_moist,IPCC!$A$1910:$A$1921,0),MATCH('Inl. wetlands'!$C104,IPCC!$A$1910:$J$1910,0)),INDEX(IPCC!$A$1928:$J$1939,MATCH(clim_moist,IPCC!$A$1928:$A$1939,0),MATCH('Inl. wetlands'!$C104,IPCC!$A$1928:$J$1928,0)))),0)</f>
        <v>0</v>
      </c>
      <c r="J104" s="1259">
        <f>IF('6.Inland wetlands'!$DY26="",'6.Inland wetlands'!$DX26,'6.Inland wetlands'!$DY26)</f>
        <v>0</v>
      </c>
      <c r="K104" s="1004">
        <f>IFERROR(IF('Inl. wetlands'!$B104="Please select",0,IF('Inl. wetlands'!$J$47="Nutrient poor",INDEX(IPCC!$A$1964:$J$1975,MATCH(clim_moist,IPCC!$A$1964:$A$1975,0),MATCH('Inl. wetlands'!$C104,IPCC!$A$1964:$J$1964,0)),INDEX(IPCC!$A$1982:$J$1993,MATCH(clim_moist,IPCC!$A$1982:$A$1993,0),MATCH('Inl. wetlands'!$C104,IPCC!$A$1982:$J$1982,0)))),0)</f>
        <v>0</v>
      </c>
      <c r="L104" s="1259">
        <f>IF('6.Inland wetlands'!$EA26="",'6.Inland wetlands'!$DZ26,'6.Inland wetlands'!$EA26)</f>
        <v>0</v>
      </c>
      <c r="M104" s="1004">
        <f>IFERROR(IF('Inl. wetlands'!$B104="Please select",0,INDEX(IPCC!$A$2000:$J$2011,MATCH(clim_moist,IPCC!$A$2000:$A$2011,0),MATCH('Inl. wetlands'!$C104,IPCC!$A$2000:$J$2000,0))),0)</f>
        <v>0</v>
      </c>
      <c r="N104" s="1259">
        <f>IF('6.Inland wetlands'!$EC26="",'6.Inland wetlands'!$EB26,'6.Inland wetlands'!$EC26)</f>
        <v>0</v>
      </c>
      <c r="O104" s="1260">
        <f>IFERROR(IF('Inl. wetlands'!$B104="Please select",0,INDEX(IPCC!$A$1946:$J$1957,MATCH(clim_moist,IPCC!$A$1946:$A$1957,0),MATCH('Inl. wetlands'!$C104,IPCC!$A$1946:$J$1946,0))),0)</f>
        <v>0</v>
      </c>
      <c r="P104" s="1259">
        <f>IF('6.Inland wetlands'!$EF26="",'6.Inland wetlands'!$EE26,'6.Inland wetlands'!$EF26)</f>
        <v>0</v>
      </c>
      <c r="Q104" s="3468">
        <v>0</v>
      </c>
      <c r="R104" s="3468">
        <f>SUM($J104,$P104)*44/12*E104</f>
        <v>0</v>
      </c>
      <c r="S104" s="1151">
        <f>SUM($J104,$P104)*44/12*G104</f>
        <v>0</v>
      </c>
      <c r="T104" s="3468">
        <v>0</v>
      </c>
      <c r="U104" s="1151">
        <f>$L104/1000*16/12*methane*E104</f>
        <v>0</v>
      </c>
      <c r="V104" s="1151">
        <f>$L104/1000*16/12*methane*G104</f>
        <v>0</v>
      </c>
      <c r="W104" s="3468">
        <v>0</v>
      </c>
      <c r="X104" s="1151">
        <f>$N104/1000*44/28*Nitrous*E104</f>
        <v>0</v>
      </c>
      <c r="Y104" s="3469">
        <f>$N104/1000*44/28*Nitrous*G104</f>
        <v>0</v>
      </c>
      <c r="Z104" s="992"/>
      <c r="AA104" s="992"/>
      <c r="AB104" s="3468">
        <f>MIN('Inl. wetlands'!$Q104,'Inl. wetlands'!$R104)*time_tot+ABS('Inl. wetlands'!$R104-'Inl. wetlands'!$Q104)*IF('Inl. wetlands'!$R104&gt;'Inl. wetlands'!$Q104,time_cap+time*(VLOOKUP('6.Inland wetlands'!O27,list!$I$48:$K$50,3,0)),time*(1-(VLOOKUP('6.Inland wetlands'!O27,list!$I$48:$K$50,3,0))))</f>
        <v>0</v>
      </c>
      <c r="AC104" s="3468">
        <f>MIN('Inl. wetlands'!$Q104,'Inl. wetlands'!$S104)*time_tot+ABS('Inl. wetlands'!$S104-'Inl. wetlands'!$Q104)*IF('Inl. wetlands'!$S104&gt;'Inl. wetlands'!$Q104,time_cap+time*(VLOOKUP('6.Inland wetlands'!Q27,list!$I$48:$K$50,3,0)),time*(1-(VLOOKUP('6.Inland wetlands'!Q27,list!$I$48:$K$50,3,0))))</f>
        <v>0</v>
      </c>
      <c r="AD104" s="3468">
        <f>MIN('Inl. wetlands'!$T104,'Inl. wetlands'!$U104)*time_tot+ABS('Inl. wetlands'!$U104-'Inl. wetlands'!$T104)*IF('Inl. wetlands'!$U104&gt;'Inl. wetlands'!$T104,time_cap+time*(VLOOKUP('6.Inland wetlands'!O27,list!$I$48:$K$50,3,0)),time*(1-(VLOOKUP('6.Inland wetlands'!O27,list!$I$48:$K$50,3,0))))</f>
        <v>0</v>
      </c>
      <c r="AE104" s="3468">
        <f>MIN('Inl. wetlands'!$T104,'Inl. wetlands'!$V104)*time_tot+ABS('Inl. wetlands'!$V104-'Inl. wetlands'!$T104)*IF('Inl. wetlands'!$V104&gt;'Inl. wetlands'!$T104,time_cap+time*(VLOOKUP('6.Inland wetlands'!Q27,list!$I$48:$K$50,3,0)),time*(1-(VLOOKUP('6.Inland wetlands'!Q27,list!$I$48:$K$50,3,0))))</f>
        <v>0</v>
      </c>
      <c r="AF104" s="3468">
        <f>MIN('Inl. wetlands'!$W104,'Inl. wetlands'!$X104)*time_tot+ABS('Inl. wetlands'!$X104-'Inl. wetlands'!$W104)*IF('Inl. wetlands'!$X104&gt;'Inl. wetlands'!$W104,time_cap+time*(VLOOKUP('6.Inland wetlands'!O27,list!$I$48:$K$50,3,0)),time*(1-(VLOOKUP('6.Inland wetlands'!O27,list!$I$48:$K$50,3,0))))</f>
        <v>0</v>
      </c>
      <c r="AG104" s="3468">
        <f>MIN('Inl. wetlands'!$W104,'Inl. wetlands'!$Y104)*time_tot+ABS('Inl. wetlands'!$Y104-'Inl. wetlands'!$W104)*IF('Inl. wetlands'!$Y104&gt;'Inl. wetlands'!$W104,time_cap+time*(VLOOKUP('6.Inland wetlands'!Q27,list!$I$48:$K$50,3,0)),time*(1-(VLOOKUP('6.Inland wetlands'!Q27,list!$I$48:$K$50,3,0))))</f>
        <v>0</v>
      </c>
      <c r="AI104" s="992"/>
      <c r="AJ104" s="992"/>
      <c r="AK104" s="992"/>
      <c r="AX104" s="1451"/>
      <c r="AY104" s="1451"/>
      <c r="AZ104" s="1451"/>
      <c r="BA104" s="1451"/>
      <c r="BB104" s="1451"/>
      <c r="BC104" s="1451"/>
      <c r="BD104" s="1451"/>
      <c r="BE104" s="1451"/>
      <c r="BF104" s="1451"/>
      <c r="BG104" s="1451"/>
    </row>
    <row r="105" spans="1:59" x14ac:dyDescent="0.15">
      <c r="A105" s="1493" t="s">
        <v>1163</v>
      </c>
      <c r="B105" s="973" t="str">
        <f t="shared" si="60"/>
        <v>Please select</v>
      </c>
      <c r="C105" s="1121" t="str">
        <f t="shared" si="60"/>
        <v/>
      </c>
      <c r="D105" s="992">
        <f t="shared" si="61"/>
        <v>0</v>
      </c>
      <c r="E105" s="992">
        <f>IF('6.Inland wetlands'!S28='6.Inland wetlands'!K28, 0,'6.Inland wetlands'!T28-'Inl. wetlands'!E94)</f>
        <v>0</v>
      </c>
      <c r="F105" s="1688" t="str">
        <f t="shared" si="58"/>
        <v>Linear</v>
      </c>
      <c r="G105" s="992">
        <f>IF('6.Inland wetlands'!S28='6.Inland wetlands'!K28, 0, '6.Inland wetlands'!U28-'Inl. wetlands'!G94)</f>
        <v>0</v>
      </c>
      <c r="H105" s="1688" t="str">
        <f t="shared" si="59"/>
        <v>Linear</v>
      </c>
      <c r="I105" s="1004">
        <f>IFERROR(IF('Inl. wetlands'!$B105="Please select",0,IF('Inl. wetlands'!$J$47="Nutrient poor",INDEX(IPCC!$A$1910:$J$1921,MATCH(clim_moist,IPCC!$A$1910:$A$1921,0),MATCH('Inl. wetlands'!$C105,IPCC!$A$1910:$J$1910,0)),INDEX(IPCC!$A$1928:$J$1939,MATCH(clim_moist,IPCC!$A$1928:$A$1939,0),MATCH('Inl. wetlands'!$C105,IPCC!$A$1928:$J$1928,0)))),0)</f>
        <v>0</v>
      </c>
      <c r="J105" s="1259">
        <f>IF('6.Inland wetlands'!$DY27="",'6.Inland wetlands'!$DX27,'6.Inland wetlands'!$DY27)</f>
        <v>0</v>
      </c>
      <c r="K105" s="1004">
        <f>IFERROR(IF('Inl. wetlands'!$B105="Please select",0,IF('Inl. wetlands'!$J$47="Nutrient poor",INDEX(IPCC!$A$1964:$J$1975,MATCH(clim_moist,IPCC!$A$1964:$A$1975,0),MATCH('Inl. wetlands'!$C105,IPCC!$A$1964:$J$1964,0)),INDEX(IPCC!$A$1982:$J$1993,MATCH(clim_moist,IPCC!$A$1982:$A$1993,0),MATCH('Inl. wetlands'!$C105,IPCC!$A$1982:$J$1982,0)))),0)</f>
        <v>0</v>
      </c>
      <c r="L105" s="1259">
        <f>IF('6.Inland wetlands'!$EA27="",'6.Inland wetlands'!$DZ27,'6.Inland wetlands'!$EA27)</f>
        <v>0</v>
      </c>
      <c r="M105" s="1004">
        <f>IFERROR(IF('Inl. wetlands'!$B105="Please select",0,INDEX(IPCC!$A$2000:$J$2011,MATCH(clim_moist,IPCC!$A$2000:$A$2011,0),MATCH('Inl. wetlands'!$C105,IPCC!$A$2000:$J$2000,0))),0)</f>
        <v>0</v>
      </c>
      <c r="N105" s="1259">
        <f>IF('6.Inland wetlands'!$EC27="",'6.Inland wetlands'!$EB27,'6.Inland wetlands'!$EC27)</f>
        <v>0</v>
      </c>
      <c r="O105" s="1260">
        <f>IFERROR(IF('Inl. wetlands'!$B105="Please select",0,INDEX(IPCC!$A$1946:$J$1957,MATCH(clim_moist,IPCC!$A$1946:$A$1957,0),MATCH('Inl. wetlands'!$C105,IPCC!$A$1946:$J$1946,0))),0)</f>
        <v>0</v>
      </c>
      <c r="P105" s="1259">
        <f>IF('6.Inland wetlands'!$EF27="",'6.Inland wetlands'!$EE27,'6.Inland wetlands'!$EF27)</f>
        <v>0</v>
      </c>
      <c r="Q105" s="3468">
        <v>0</v>
      </c>
      <c r="R105" s="3468">
        <f>SUM($J105,$P105)*44/12*E105</f>
        <v>0</v>
      </c>
      <c r="S105" s="1151">
        <f>SUM($J105,$P105)*44/12*G105</f>
        <v>0</v>
      </c>
      <c r="T105" s="3468">
        <v>0</v>
      </c>
      <c r="U105" s="1151">
        <f>$L105/1000*16/12*methane*E105</f>
        <v>0</v>
      </c>
      <c r="V105" s="1151">
        <f>$L105/1000*16/12*methane*G105</f>
        <v>0</v>
      </c>
      <c r="W105" s="3468">
        <v>0</v>
      </c>
      <c r="X105" s="1151">
        <f>$N105/1000*44/28*Nitrous*E105</f>
        <v>0</v>
      </c>
      <c r="Y105" s="3469">
        <f>$N105/1000*44/28*Nitrous*G105</f>
        <v>0</v>
      </c>
      <c r="Z105" s="992"/>
      <c r="AA105" s="992"/>
      <c r="AB105" s="3468">
        <f>MIN('Inl. wetlands'!$Q105,'Inl. wetlands'!$R105)*time_tot+ABS('Inl. wetlands'!$R105-'Inl. wetlands'!$Q105)*IF('Inl. wetlands'!$R105&gt;'Inl. wetlands'!$Q105,time_cap+time*(VLOOKUP('6.Inland wetlands'!O28,list!$I$48:$K$50,3,0)),time*(1-(VLOOKUP('6.Inland wetlands'!O28,list!$I$48:$K$50,3,0))))</f>
        <v>0</v>
      </c>
      <c r="AC105" s="3468">
        <f>MIN('Inl. wetlands'!$Q105,'Inl. wetlands'!$S105)*time_tot+ABS('Inl. wetlands'!$S105-'Inl. wetlands'!$Q105)*IF('Inl. wetlands'!$S105&gt;'Inl. wetlands'!$Q105,time_cap+time*(VLOOKUP('6.Inland wetlands'!Q28,list!$I$48:$K$50,3,0)),time*(1-(VLOOKUP('6.Inland wetlands'!Q28,list!$I$48:$K$50,3,0))))</f>
        <v>0</v>
      </c>
      <c r="AD105" s="3468">
        <f>MIN('Inl. wetlands'!$T105,'Inl. wetlands'!$U105)*time_tot+ABS('Inl. wetlands'!$U105-'Inl. wetlands'!$T105)*IF('Inl. wetlands'!$U105&gt;'Inl. wetlands'!$T105,time_cap+time*(VLOOKUP('6.Inland wetlands'!O28,list!$I$48:$K$50,3,0)),time*(1-(VLOOKUP('6.Inland wetlands'!O28,list!$I$48:$K$50,3,0))))</f>
        <v>0</v>
      </c>
      <c r="AE105" s="3468">
        <f>MIN('Inl. wetlands'!$T105,'Inl. wetlands'!$V105)*time_tot+ABS('Inl. wetlands'!$V105-'Inl. wetlands'!$T105)*IF('Inl. wetlands'!$V105&gt;'Inl. wetlands'!$T105,time_cap+time*(VLOOKUP('6.Inland wetlands'!Q28,list!$I$48:$K$50,3,0)),time*(1-(VLOOKUP('6.Inland wetlands'!Q28,list!$I$48:$K$50,3,0))))</f>
        <v>0</v>
      </c>
      <c r="AF105" s="3468">
        <f>MIN('Inl. wetlands'!$W105,'Inl. wetlands'!$X105)*time_tot+ABS('Inl. wetlands'!$X105-'Inl. wetlands'!$W105)*IF('Inl. wetlands'!$X105&gt;'Inl. wetlands'!$W105,time_cap+time*(VLOOKUP('6.Inland wetlands'!O28,list!$I$48:$K$50,3,0)),time*(1-(VLOOKUP('6.Inland wetlands'!O28,list!$I$48:$K$50,3,0))))</f>
        <v>0</v>
      </c>
      <c r="AG105" s="3468">
        <f>MIN('Inl. wetlands'!$W105,'Inl. wetlands'!$Y105)*time_tot+ABS('Inl. wetlands'!$Y105-'Inl. wetlands'!$W105)*IF('Inl. wetlands'!$Y105&gt;'Inl. wetlands'!$W105,time_cap+time*(VLOOKUP('6.Inland wetlands'!Q28,list!$I$48:$K$50,3,0)),time*(1-(VLOOKUP('6.Inland wetlands'!Q28,list!$I$48:$K$50,3,0))))</f>
        <v>0</v>
      </c>
      <c r="AI105" s="992"/>
      <c r="AJ105" s="992"/>
      <c r="AK105" s="992"/>
      <c r="AX105" s="1451"/>
      <c r="AY105" s="1451"/>
      <c r="AZ105" s="1451"/>
      <c r="BA105" s="1451"/>
      <c r="BB105" s="1451"/>
      <c r="BC105" s="1451"/>
      <c r="BD105" s="1451"/>
      <c r="BE105" s="1451"/>
      <c r="BF105" s="1451"/>
      <c r="BG105" s="1451"/>
    </row>
    <row r="106" spans="1:59" x14ac:dyDescent="0.15">
      <c r="A106" s="1493" t="s">
        <v>1164</v>
      </c>
      <c r="B106" s="973" t="str">
        <f t="shared" si="60"/>
        <v>Please select</v>
      </c>
      <c r="C106" s="1121" t="str">
        <f t="shared" si="60"/>
        <v/>
      </c>
      <c r="D106" s="992" t="str">
        <f t="shared" si="61"/>
        <v>Impact</v>
      </c>
      <c r="E106" s="992">
        <f>IF('6.Inland wetlands'!S29='6.Inland wetlands'!K29, 0,'6.Inland wetlands'!T29-'Inl. wetlands'!E95)</f>
        <v>0</v>
      </c>
      <c r="F106" s="1688" t="str">
        <f t="shared" si="58"/>
        <v>Linear</v>
      </c>
      <c r="G106" s="992">
        <f>IF('6.Inland wetlands'!S29='6.Inland wetlands'!K29, 0, '6.Inland wetlands'!U29-'Inl. wetlands'!G95)</f>
        <v>0</v>
      </c>
      <c r="H106" s="1688" t="str">
        <f t="shared" si="59"/>
        <v>Linear</v>
      </c>
      <c r="I106" s="1004">
        <f>IFERROR(IF('Inl. wetlands'!$B106="Please select",0,IF('Inl. wetlands'!$J$47="Nutrient poor",INDEX(IPCC!$A$1910:$J$1921,MATCH(clim_moist,IPCC!$A$1910:$A$1921,0),MATCH('Inl. wetlands'!$C106,IPCC!$A$1910:$J$1910,0)),INDEX(IPCC!$A$1928:$J$1939,MATCH(clim_moist,IPCC!$A$1928:$A$1939,0),MATCH('Inl. wetlands'!$C106,IPCC!$A$1928:$J$1928,0)))),0)</f>
        <v>0</v>
      </c>
      <c r="J106" s="1259">
        <f>IF('6.Inland wetlands'!$DY28="",'6.Inland wetlands'!$DX28,'6.Inland wetlands'!$DY28)</f>
        <v>0</v>
      </c>
      <c r="K106" s="1004">
        <f>IFERROR(IF('Inl. wetlands'!$B106="Please select",0,IF('Inl. wetlands'!$J$47="Nutrient poor",INDEX(IPCC!$A$1964:$J$1975,MATCH(clim_moist,IPCC!$A$1964:$A$1975,0),MATCH('Inl. wetlands'!$C106,IPCC!$A$1964:$J$1964,0)),INDEX(IPCC!$A$1982:$J$1993,MATCH(clim_moist,IPCC!$A$1982:$A$1993,0),MATCH('Inl. wetlands'!$C106,IPCC!$A$1982:$J$1982,0)))),0)</f>
        <v>0</v>
      </c>
      <c r="L106" s="1259">
        <f>IF('6.Inland wetlands'!$EA28="",'6.Inland wetlands'!$DZ28,'6.Inland wetlands'!$EA28)</f>
        <v>0</v>
      </c>
      <c r="M106" s="1004">
        <f>IFERROR(IF('Inl. wetlands'!$B106="Please select",0,INDEX(IPCC!$A$2000:$J$2011,MATCH(clim_moist,IPCC!$A$2000:$A$2011,0),MATCH('Inl. wetlands'!$C106,IPCC!$A$2000:$J$2000,0))),0)</f>
        <v>0</v>
      </c>
      <c r="N106" s="1259">
        <f>IF('6.Inland wetlands'!$EC28="",'6.Inland wetlands'!$EB28,'6.Inland wetlands'!$EC28)</f>
        <v>0</v>
      </c>
      <c r="O106" s="1260">
        <f>IFERROR(IF('Inl. wetlands'!$B106="Please select",0,INDEX(IPCC!$A$1946:$J$1957,MATCH(clim_moist,IPCC!$A$1946:$A$1957,0),MATCH('Inl. wetlands'!$C106,IPCC!$A$1946:$J$1946,0))),0)</f>
        <v>0</v>
      </c>
      <c r="P106" s="1259">
        <f>IF('6.Inland wetlands'!$EF28="",'6.Inland wetlands'!$EE28,'6.Inland wetlands'!$EF28)</f>
        <v>0</v>
      </c>
      <c r="Q106" s="3468">
        <v>0</v>
      </c>
      <c r="R106" s="3468">
        <f>SUM($J106,$P106)*44/12*E106</f>
        <v>0</v>
      </c>
      <c r="S106" s="1151">
        <f>SUM($J106,$P106)*44/12*G106</f>
        <v>0</v>
      </c>
      <c r="T106" s="3468">
        <v>0</v>
      </c>
      <c r="U106" s="1151">
        <f>$L106/1000*16/12*methane*E106</f>
        <v>0</v>
      </c>
      <c r="V106" s="1151">
        <f>$L106/1000*16/12*methane*G106</f>
        <v>0</v>
      </c>
      <c r="W106" s="3468">
        <v>0</v>
      </c>
      <c r="X106" s="1151">
        <f>$N106/1000*44/28*Nitrous*E106</f>
        <v>0</v>
      </c>
      <c r="Y106" s="3469">
        <f>$N106/1000*44/28*Nitrous*G106</f>
        <v>0</v>
      </c>
      <c r="Z106" s="992"/>
      <c r="AA106" s="992"/>
      <c r="AB106" s="3468">
        <f>MIN('Inl. wetlands'!$Q106,'Inl. wetlands'!$R106)*time_tot+ABS('Inl. wetlands'!$R106-'Inl. wetlands'!$Q106)*IF('Inl. wetlands'!$R106&gt;'Inl. wetlands'!$Q106,time_cap+time*(VLOOKUP('6.Inland wetlands'!O29,list!$I$48:$K$50,3,0)),time*(1-(VLOOKUP('6.Inland wetlands'!O29,list!$I$48:$K$50,3,0))))</f>
        <v>0</v>
      </c>
      <c r="AC106" s="3468">
        <f>MIN('Inl. wetlands'!$Q106,'Inl. wetlands'!$S106)*time_tot+ABS('Inl. wetlands'!$S106-'Inl. wetlands'!$Q106)*IF('Inl. wetlands'!$S106&gt;'Inl. wetlands'!$Q106,time_cap+time*(VLOOKUP('6.Inland wetlands'!Q29,list!$I$48:$K$50,3,0)),time*(1-(VLOOKUP('6.Inland wetlands'!Q29,list!$I$48:$K$50,3,0))))</f>
        <v>0</v>
      </c>
      <c r="AD106" s="3468">
        <f>MIN('Inl. wetlands'!$T106,'Inl. wetlands'!$U106)*time_tot+ABS('Inl. wetlands'!$U106-'Inl. wetlands'!$T106)*IF('Inl. wetlands'!$U106&gt;'Inl. wetlands'!$T106,time_cap+time*(VLOOKUP('6.Inland wetlands'!O29,list!$I$48:$K$50,3,0)),time*(1-(VLOOKUP('6.Inland wetlands'!O29,list!$I$48:$K$50,3,0))))</f>
        <v>0</v>
      </c>
      <c r="AE106" s="3468">
        <f>MIN('Inl. wetlands'!$T106,'Inl. wetlands'!$V106)*time_tot+ABS('Inl. wetlands'!$V106-'Inl. wetlands'!$T106)*IF('Inl. wetlands'!$V106&gt;'Inl. wetlands'!$T106,time_cap+time*(VLOOKUP('6.Inland wetlands'!Q29,list!$I$48:$K$50,3,0)),time*(1-(VLOOKUP('6.Inland wetlands'!Q29,list!$I$48:$K$50,3,0))))</f>
        <v>0</v>
      </c>
      <c r="AF106" s="3468">
        <f>MIN('Inl. wetlands'!$W106,'Inl. wetlands'!$X106)*time_tot+ABS('Inl. wetlands'!$X106-'Inl. wetlands'!$W106)*IF('Inl. wetlands'!$X106&gt;'Inl. wetlands'!$W106,time_cap+time*(VLOOKUP('6.Inland wetlands'!O29,list!$I$48:$K$50,3,0)),time*(1-(VLOOKUP('6.Inland wetlands'!O29,list!$I$48:$K$50,3,0))))</f>
        <v>0</v>
      </c>
      <c r="AG106" s="3468">
        <f>MIN('Inl. wetlands'!$W106,'Inl. wetlands'!$Y106)*time_tot+ABS('Inl. wetlands'!$Y106-'Inl. wetlands'!$W106)*IF('Inl. wetlands'!$Y106&gt;'Inl. wetlands'!$W106,time_cap+time*(VLOOKUP('6.Inland wetlands'!Q29,list!$I$48:$K$50,3,0)),time*(1-(VLOOKUP('6.Inland wetlands'!Q29,list!$I$48:$K$50,3,0))))</f>
        <v>0</v>
      </c>
      <c r="AI106" s="992"/>
      <c r="AJ106" s="992"/>
      <c r="AK106" s="992"/>
      <c r="AX106" s="1451"/>
      <c r="AY106" s="1451"/>
      <c r="AZ106" s="1451"/>
      <c r="BA106" s="1451"/>
      <c r="BB106" s="1451"/>
      <c r="BC106" s="1451"/>
      <c r="BD106" s="1451"/>
      <c r="BE106" s="1451"/>
      <c r="BF106" s="1451"/>
      <c r="BG106" s="1451"/>
    </row>
    <row r="107" spans="1:59" x14ac:dyDescent="0.15">
      <c r="A107" s="1493" t="s">
        <v>1165</v>
      </c>
      <c r="B107" s="973" t="str">
        <f t="shared" si="60"/>
        <v>Please select</v>
      </c>
      <c r="C107" s="1121" t="str">
        <f t="shared" si="60"/>
        <v/>
      </c>
      <c r="D107" s="992" t="str">
        <f t="shared" si="61"/>
        <v>%area burnt</v>
      </c>
      <c r="E107" s="992">
        <f>IF('6.Inland wetlands'!S30='6.Inland wetlands'!K30, 0,'6.Inland wetlands'!T30-'Inl. wetlands'!E96)</f>
        <v>0</v>
      </c>
      <c r="F107" s="1688" t="str">
        <f t="shared" si="58"/>
        <v>Linear</v>
      </c>
      <c r="G107" s="992">
        <f>IF('6.Inland wetlands'!S30='6.Inland wetlands'!K30, 0, '6.Inland wetlands'!U30-'Inl. wetlands'!G96)</f>
        <v>0</v>
      </c>
      <c r="H107" s="1688" t="str">
        <f t="shared" si="59"/>
        <v>Linear</v>
      </c>
      <c r="I107" s="1004">
        <f>IFERROR(IF('Inl. wetlands'!$B107="Please select",0,IF('Inl. wetlands'!$J$47="Nutrient poor",INDEX(IPCC!$A$1910:$J$1921,MATCH(clim_moist,IPCC!$A$1910:$A$1921,0),MATCH('Inl. wetlands'!$C107,IPCC!$A$1910:$J$1910,0)),INDEX(IPCC!$A$1928:$J$1939,MATCH(clim_moist,IPCC!$A$1928:$A$1939,0),MATCH('Inl. wetlands'!$C107,IPCC!$A$1928:$J$1928,0)))),0)</f>
        <v>0</v>
      </c>
      <c r="J107" s="1259">
        <f>IF('6.Inland wetlands'!$DY29="",'6.Inland wetlands'!$DX29,'6.Inland wetlands'!$DY29)</f>
        <v>0</v>
      </c>
      <c r="K107" s="1004">
        <f>IFERROR(IF('Inl. wetlands'!$B107="Please select",0,IF('Inl. wetlands'!$J$47="Nutrient poor",INDEX(IPCC!$A$1964:$J$1975,MATCH(clim_moist,IPCC!$A$1964:$A$1975,0),MATCH('Inl. wetlands'!$C107,IPCC!$A$1964:$J$1964,0)),INDEX(IPCC!$A$1982:$J$1993,MATCH(clim_moist,IPCC!$A$1982:$A$1993,0),MATCH('Inl. wetlands'!$C107,IPCC!$A$1982:$J$1982,0)))),0)</f>
        <v>0</v>
      </c>
      <c r="L107" s="1259">
        <f>IF('6.Inland wetlands'!$EA29="",'6.Inland wetlands'!$DZ29,'6.Inland wetlands'!$EA29)</f>
        <v>0</v>
      </c>
      <c r="M107" s="1004">
        <f>IFERROR(IF('Inl. wetlands'!$B107="Please select",0,INDEX(IPCC!$A$2000:$J$2011,MATCH(clim_moist,IPCC!$A$2000:$A$2011,0),MATCH('Inl. wetlands'!$C107,IPCC!$A$2000:$J$2000,0))),0)</f>
        <v>0</v>
      </c>
      <c r="N107" s="1259">
        <f>IF('6.Inland wetlands'!$EC29="",'6.Inland wetlands'!$EB29,'6.Inland wetlands'!$EC29)</f>
        <v>0</v>
      </c>
      <c r="O107" s="1260">
        <f>IFERROR(IF('Inl. wetlands'!$B107="Please select",0,INDEX(IPCC!$A$1946:$J$1957,MATCH(clim_moist,IPCC!$A$1946:$A$1957,0),MATCH('Inl. wetlands'!$C107,IPCC!$A$1946:$J$1946,0))),0)</f>
        <v>0</v>
      </c>
      <c r="P107" s="1259">
        <f>IF('6.Inland wetlands'!$EF29="",'6.Inland wetlands'!$EE29,'6.Inland wetlands'!$EF29)</f>
        <v>0</v>
      </c>
      <c r="Q107" s="3468">
        <v>0</v>
      </c>
      <c r="R107" s="3468">
        <f>SUM($J107,$P107)*44/12*E107</f>
        <v>0</v>
      </c>
      <c r="S107" s="1151">
        <f>SUM($J107,$P107)*44/12*G107</f>
        <v>0</v>
      </c>
      <c r="T107" s="3468">
        <v>0</v>
      </c>
      <c r="U107" s="1151">
        <f>$L107/1000*16/12*methane*E107</f>
        <v>0</v>
      </c>
      <c r="V107" s="1151">
        <f>$L107/1000*16/12*methane*G107</f>
        <v>0</v>
      </c>
      <c r="W107" s="3468">
        <v>0</v>
      </c>
      <c r="X107" s="1151">
        <f>$N107/1000*44/28*Nitrous*E107</f>
        <v>0</v>
      </c>
      <c r="Y107" s="3469">
        <f>$N107/1000*44/28*Nitrous*G107</f>
        <v>0</v>
      </c>
      <c r="Z107" s="992"/>
      <c r="AA107" s="992"/>
      <c r="AB107" s="3468">
        <f>MIN('Inl. wetlands'!$Q107,'Inl. wetlands'!$R107)*time_tot+ABS('Inl. wetlands'!$R107-'Inl. wetlands'!$Q107)*IF('Inl. wetlands'!$R107&gt;'Inl. wetlands'!$Q107,time_cap+time*(VLOOKUP('6.Inland wetlands'!O30,list!$I$48:$K$50,3,0)),time*(1-(VLOOKUP('6.Inland wetlands'!O30,list!$I$48:$K$50,3,0))))</f>
        <v>0</v>
      </c>
      <c r="AC107" s="3468">
        <f>MIN('Inl. wetlands'!$Q107,'Inl. wetlands'!$S107)*time_tot+ABS('Inl. wetlands'!$S107-'Inl. wetlands'!$Q107)*IF('Inl. wetlands'!$S107&gt;'Inl. wetlands'!$Q107,time_cap+time*(VLOOKUP('6.Inland wetlands'!Q30,list!$I$48:$K$50,3,0)),time*(1-(VLOOKUP('6.Inland wetlands'!Q30,list!$I$48:$K$50,3,0))))</f>
        <v>0</v>
      </c>
      <c r="AD107" s="3468">
        <f>MIN('Inl. wetlands'!$T107,'Inl. wetlands'!$U107)*time_tot+ABS('Inl. wetlands'!$U107-'Inl. wetlands'!$T107)*IF('Inl. wetlands'!$U107&gt;'Inl. wetlands'!$T107,time_cap+time*(VLOOKUP('6.Inland wetlands'!O30,list!$I$48:$K$50,3,0)),time*(1-(VLOOKUP('6.Inland wetlands'!O30,list!$I$48:$K$50,3,0))))</f>
        <v>0</v>
      </c>
      <c r="AE107" s="3468">
        <f>MIN('Inl. wetlands'!$T107,'Inl. wetlands'!$V107)*time_tot+ABS('Inl. wetlands'!$V107-'Inl. wetlands'!$T107)*IF('Inl. wetlands'!$V107&gt;'Inl. wetlands'!$T107,time_cap+time*(VLOOKUP('6.Inland wetlands'!Q30,list!$I$48:$K$50,3,0)),time*(1-(VLOOKUP('6.Inland wetlands'!Q30,list!$I$48:$K$50,3,0))))</f>
        <v>0</v>
      </c>
      <c r="AF107" s="3468">
        <f>MIN('Inl. wetlands'!$W107,'Inl. wetlands'!$X107)*time_tot+ABS('Inl. wetlands'!$X107-'Inl. wetlands'!$W107)*IF('Inl. wetlands'!$X107&gt;'Inl. wetlands'!$W107,time_cap+time*(VLOOKUP('6.Inland wetlands'!O30,list!$I$48:$K$50,3,0)),time*(1-(VLOOKUP('6.Inland wetlands'!O30,list!$I$48:$K$50,3,0))))</f>
        <v>0</v>
      </c>
      <c r="AG107" s="3468">
        <f>MIN('Inl. wetlands'!$W107,'Inl. wetlands'!$Y107)*time_tot+ABS('Inl. wetlands'!$Y107-'Inl. wetlands'!$W107)*IF('Inl. wetlands'!$Y107&gt;'Inl. wetlands'!$W107,time_cap+time*(VLOOKUP('6.Inland wetlands'!Q30,list!$I$48:$K$50,3,0)),time*(1-(VLOOKUP('6.Inland wetlands'!Q30,list!$I$48:$K$50,3,0))))</f>
        <v>0</v>
      </c>
      <c r="AI107" s="992"/>
      <c r="AJ107" s="992"/>
      <c r="AK107" s="992"/>
      <c r="AX107" s="1451"/>
      <c r="AY107" s="1451"/>
      <c r="AZ107" s="1451"/>
      <c r="BA107" s="1451"/>
      <c r="BB107" s="1451"/>
      <c r="BC107" s="1451"/>
      <c r="BD107" s="1451"/>
      <c r="BE107" s="1451"/>
      <c r="BF107" s="1451"/>
      <c r="BG107" s="1451"/>
    </row>
    <row r="108" spans="1:59" ht="16" x14ac:dyDescent="0.2">
      <c r="AC108" s="1163"/>
      <c r="AD108" s="1163"/>
      <c r="AE108" s="1163"/>
      <c r="AF108" s="1163"/>
      <c r="AG108" s="1163"/>
      <c r="AH108" s="1143" t="s">
        <v>1193</v>
      </c>
      <c r="AI108" s="1192">
        <f>SUM(AI98:AI103,AI71:AI76,AJ53:AJ58,AI36:AI41)</f>
        <v>19241.491666666669</v>
      </c>
      <c r="AJ108" s="1192">
        <f>SUM(AJ98:AJ103,AJ71:AJ76,AK53:AK58,AJ36:AJ41)</f>
        <v>25418.908333333333</v>
      </c>
      <c r="AK108" s="1192">
        <f>SUM(AK98:AK103,AK71:AK76,AL53:AL58,AK36:AK41)</f>
        <v>6177.4166666666679</v>
      </c>
      <c r="AY108" s="1451">
        <f>AY98-AX98</f>
        <v>-1.8333333333333304</v>
      </c>
      <c r="AZ108" s="1451"/>
      <c r="BA108" s="1451">
        <f>BA98-AZ98</f>
        <v>-171.73333333333335</v>
      </c>
      <c r="BC108" s="1451">
        <f>BC98-BB98</f>
        <v>0</v>
      </c>
      <c r="BD108" s="1451"/>
      <c r="BE108" s="1451"/>
      <c r="BG108" s="1451"/>
    </row>
    <row r="109" spans="1:59" x14ac:dyDescent="0.15">
      <c r="BD109" s="1463"/>
      <c r="BF109" s="1271"/>
    </row>
    <row r="110" spans="1:59" ht="16" x14ac:dyDescent="0.2">
      <c r="E110" s="3993" t="s">
        <v>1194</v>
      </c>
      <c r="F110" s="4324">
        <f>MAX(G110:H110)</f>
        <v>70</v>
      </c>
      <c r="G110" s="4324">
        <f>SUM(E91:E96)+SUM(E102:E107)</f>
        <v>70</v>
      </c>
      <c r="H110" s="4324">
        <f>SUM(G91:G96)+SUM(G102:G107)</f>
        <v>50</v>
      </c>
      <c r="W110" s="1231"/>
      <c r="X110" s="1231"/>
      <c r="Y110" s="1231"/>
      <c r="Z110" s="1231"/>
      <c r="AB110" s="1231"/>
      <c r="AJ110" s="1445" t="s">
        <v>1195</v>
      </c>
      <c r="AK110" s="3156">
        <f>SUM('6.Inland wetlands'!CG13:CG18,'6.Inland wetlands'!CI13:CI18,'6.Inland wetlands'!CK13:CK18,'6.Inland wetlands'!CN13:CN18,'6.Inland wetlands'!CP13:CP18)</f>
        <v>0</v>
      </c>
      <c r="AL110" s="973" t="s">
        <v>1196</v>
      </c>
      <c r="AX110" s="1449"/>
      <c r="AY110" s="1449"/>
      <c r="BA110" s="1449"/>
      <c r="BD110" s="1449"/>
      <c r="BF110" s="1449"/>
    </row>
    <row r="111" spans="1:59" ht="16" x14ac:dyDescent="0.2">
      <c r="W111" s="1231"/>
      <c r="X111" s="1231"/>
      <c r="Y111" s="1231"/>
      <c r="Z111" s="1231"/>
      <c r="AA111" s="1457"/>
      <c r="AB111" s="1231"/>
      <c r="AC111" s="1458"/>
      <c r="AD111" s="1458"/>
      <c r="AE111" s="1458"/>
      <c r="AJ111" s="1445" t="s">
        <v>629</v>
      </c>
      <c r="AK111" s="3156">
        <f>SUM('6.Inland wetlands'!DY118:DY123,'6.Inland wetlands'!EA118:EA123,'6.Inland wetlands'!EC118:EC123,'6.Inland wetlands'!EF118:EF123)</f>
        <v>0</v>
      </c>
      <c r="AL111" s="973" t="s">
        <v>1197</v>
      </c>
    </row>
    <row r="112" spans="1:59" s="975" customFormat="1" ht="42.75" customHeight="1" x14ac:dyDescent="0.15">
      <c r="B112" s="975" t="s">
        <v>1198</v>
      </c>
      <c r="J112" s="1123"/>
      <c r="K112" s="1123"/>
      <c r="L112" s="1123"/>
      <c r="M112" s="1123"/>
      <c r="N112" s="1123"/>
    </row>
    <row r="114" spans="2:59" s="1089" customFormat="1" ht="30.75" customHeight="1" x14ac:dyDescent="0.15">
      <c r="B114" s="1112" t="s">
        <v>1088</v>
      </c>
      <c r="C114" s="1113"/>
      <c r="D114" s="1113"/>
      <c r="E114" s="1113"/>
      <c r="F114" s="1113"/>
      <c r="G114" s="1113"/>
      <c r="H114" s="1113"/>
      <c r="I114" s="1113"/>
      <c r="J114" s="1113"/>
      <c r="K114" s="1113"/>
      <c r="L114" s="973" t="s">
        <v>1112</v>
      </c>
      <c r="M114" s="973"/>
      <c r="N114" s="973"/>
      <c r="O114" s="973"/>
      <c r="P114" s="973"/>
      <c r="Q114" s="973"/>
      <c r="R114" s="973"/>
      <c r="S114" s="973"/>
      <c r="T114" s="973"/>
      <c r="U114" s="973"/>
      <c r="AX114" s="1447"/>
      <c r="AY114" s="1447"/>
      <c r="AZ114" s="1447"/>
      <c r="BA114" s="1447"/>
      <c r="BB114" s="1447"/>
      <c r="BC114" s="1447"/>
      <c r="BD114" s="1447"/>
      <c r="BE114" s="1447"/>
      <c r="BF114" s="1447"/>
      <c r="BG114" s="1447"/>
    </row>
    <row r="115" spans="2:59" x14ac:dyDescent="0.15">
      <c r="B115" s="1166"/>
      <c r="C115" s="3466"/>
      <c r="D115" s="1174" t="s">
        <v>239</v>
      </c>
      <c r="E115" s="1175"/>
      <c r="F115" s="1247" t="s">
        <v>1199</v>
      </c>
      <c r="G115" s="3466"/>
      <c r="H115" s="1176" t="s">
        <v>79</v>
      </c>
      <c r="I115" s="3475" t="s">
        <v>80</v>
      </c>
      <c r="J115" s="1171" t="s">
        <v>109</v>
      </c>
      <c r="L115" s="1138"/>
      <c r="M115" s="1138"/>
      <c r="N115" s="1138" t="s">
        <v>1117</v>
      </c>
      <c r="O115" s="1139"/>
      <c r="P115" s="1138" t="s">
        <v>1118</v>
      </c>
      <c r="Q115" s="1139"/>
      <c r="R115" s="1139" t="s">
        <v>1119</v>
      </c>
      <c r="S115" s="1139"/>
      <c r="T115" s="1139" t="s">
        <v>1120</v>
      </c>
      <c r="U115" s="1139"/>
      <c r="X115" s="1296" t="s">
        <v>1094</v>
      </c>
      <c r="Y115" s="1296" t="s">
        <v>1095</v>
      </c>
      <c r="Z115" s="1296" t="s">
        <v>1096</v>
      </c>
    </row>
    <row r="116" spans="2:59" x14ac:dyDescent="0.15">
      <c r="B116" s="1177" t="s">
        <v>100</v>
      </c>
      <c r="C116" s="1163" t="s">
        <v>250</v>
      </c>
      <c r="D116" s="1178" t="s">
        <v>251</v>
      </c>
      <c r="E116" s="1178" t="s">
        <v>251</v>
      </c>
      <c r="F116" s="1178" t="s">
        <v>251</v>
      </c>
      <c r="G116" s="1178" t="s">
        <v>251</v>
      </c>
      <c r="H116" s="1178" t="s">
        <v>62</v>
      </c>
      <c r="I116" s="1178" t="s">
        <v>62</v>
      </c>
      <c r="J116" s="1179" t="s">
        <v>62</v>
      </c>
      <c r="L116" s="1137" t="s">
        <v>1122</v>
      </c>
      <c r="M116" s="1137"/>
      <c r="N116" s="1140" t="s">
        <v>176</v>
      </c>
      <c r="O116" s="1140" t="s">
        <v>177</v>
      </c>
      <c r="P116" s="1140" t="s">
        <v>176</v>
      </c>
      <c r="Q116" s="1140" t="s">
        <v>177</v>
      </c>
      <c r="R116" s="1140" t="str">
        <f>N116</f>
        <v>CH4</v>
      </c>
      <c r="S116" s="1140" t="str">
        <f>O116</f>
        <v>N2O</v>
      </c>
      <c r="T116" s="1140" t="str">
        <f>P116</f>
        <v>CH4</v>
      </c>
      <c r="U116" s="1140" t="str">
        <f>Q116</f>
        <v>N2O</v>
      </c>
      <c r="X116" s="1488" t="s">
        <v>813</v>
      </c>
      <c r="Y116" s="1171"/>
      <c r="Z116" s="1171"/>
      <c r="AB116" s="973" t="s">
        <v>1200</v>
      </c>
      <c r="AC116" s="973" t="s">
        <v>1201</v>
      </c>
      <c r="AD116" s="973" t="s">
        <v>1202</v>
      </c>
      <c r="AE116" s="973" t="s">
        <v>1203</v>
      </c>
      <c r="AF116" s="973" t="s">
        <v>1204</v>
      </c>
    </row>
    <row r="117" spans="2:59" x14ac:dyDescent="0.15">
      <c r="B117" s="1180" t="str">
        <f>clim3</f>
        <v>WarmTemperate2</v>
      </c>
      <c r="C117" s="1181" t="str">
        <f>continent_selected</f>
        <v>Europe</v>
      </c>
      <c r="D117" s="1182" t="s">
        <v>88</v>
      </c>
      <c r="E117" s="1182" t="s">
        <v>89</v>
      </c>
      <c r="F117" s="1182" t="s">
        <v>88</v>
      </c>
      <c r="G117" s="1182" t="s">
        <v>89</v>
      </c>
      <c r="H117" s="1163"/>
      <c r="I117" s="1163"/>
      <c r="J117" s="1183"/>
      <c r="L117" s="1137" t="s">
        <v>117</v>
      </c>
      <c r="M117" s="1137" t="s">
        <v>416</v>
      </c>
      <c r="N117" s="1137" t="s">
        <v>193</v>
      </c>
      <c r="O117" s="1137" t="s">
        <v>194</v>
      </c>
      <c r="P117" s="1137" t="s">
        <v>193</v>
      </c>
      <c r="Q117" s="1137" t="s">
        <v>194</v>
      </c>
      <c r="R117" s="1137" t="s">
        <v>1205</v>
      </c>
      <c r="S117" s="1137" t="s">
        <v>1206</v>
      </c>
      <c r="T117" s="1137" t="s">
        <v>1205</v>
      </c>
      <c r="U117" s="1137" t="s">
        <v>1206</v>
      </c>
      <c r="X117" s="1489"/>
      <c r="Y117" s="1305" t="s">
        <v>1099</v>
      </c>
      <c r="Z117" s="1305" t="s">
        <v>1099</v>
      </c>
    </row>
    <row r="118" spans="2:59" x14ac:dyDescent="0.15">
      <c r="B118" s="1167" t="str">
        <f t="shared" ref="B118:B123" si="62">B134</f>
        <v>Please select</v>
      </c>
      <c r="C118" s="973" t="str">
        <f t="shared" ref="C118:C123" si="63">IF( B118 &lt;&gt; "Please select", CONCATENATE(B118,continent_selected), "")</f>
        <v/>
      </c>
      <c r="D118" s="1663">
        <f>IF(B118="Please select",0,VLOOKUP(C118, IPCC!$C$924:$E$1467, 3, FALSE))</f>
        <v>0</v>
      </c>
      <c r="E118" s="1663">
        <f>IF(B118="Please select",0,VLOOKUP($C118, IPCC!$C$924:$E$1467, 2, FALSE))</f>
        <v>0</v>
      </c>
      <c r="F118" s="1663">
        <f>IF(B118="Please select",0,IF(OR($D118&lt;=125,$D118&lt;=75),INDEX(IPCC!$B$618:$AI$633,MATCH(continent_selected,IPCC!$A$618:$A$633,0),MATCH($B118,IPCC!$B$616:$AI$616,0)),(IF(OR($D118&gt;125,$D118&gt;75),INDEX(IPCC!$AJ$618:$BS$633,MATCH(continent_selected,IPCC!$A$618:$A$633,0),MATCH($B118,IPCC!$AJ$616:$BS$616,0)),"")))*$D118)</f>
        <v>0</v>
      </c>
      <c r="G118" s="1663">
        <f>IF(B118="Please select",0,IF(OR($E118 &lt;=125, $E118 &lt;= 75),INDEX(IPCC!$B$618:$AI$633,MATCH(continent_selected,IPCC!$A$618:$A$633,0),MATCH($B118,IPCC!$B$616:$AI$616,0)),(IF(OR($E118&gt;125,$E118&gt;75),INDEX(IPCC!$AJ$618:$BS$633,MATCH(continent_selected,IPCC!$A$618:$A$633,0),MATCH($B118,IPCC!$AJ$616:$BS$616,0)),"")))*$E118)</f>
        <v>0</v>
      </c>
      <c r="H118" s="1663">
        <f>IF($B118="Please select",0, VLOOKUP($B118,IPCC!$A$643:$B$677, 2, FALSE))</f>
        <v>0</v>
      </c>
      <c r="I118" s="1663">
        <f>IF($B118="Please select",0,VLOOKUP($B118, IPCC!$A$643:$C$677, 3, FALSE))</f>
        <v>0</v>
      </c>
      <c r="J118" s="1184"/>
      <c r="L118" s="1145">
        <f>'Inl. wetlands'!D118</f>
        <v>0</v>
      </c>
      <c r="M118" s="1145">
        <f t="shared" ref="M118:M123" si="64">L118/0.47</f>
        <v>0</v>
      </c>
      <c r="N118" s="1145">
        <f>IF(AND('6.Inland wetlands'!X46&lt;&gt; "W/out project", '6.Inland wetlands'!X46 &lt;&gt;"W/out&amp;With"), 0, IF(P134&lt;&gt;0,M118*X118*Y118, 0))</f>
        <v>0</v>
      </c>
      <c r="O118" s="1145">
        <f>IF(AND('6.Inland wetlands'!X46 &lt;&gt; "W/out project", '6.Inland wetlands'!X46 &lt;&gt;"W/out&amp;With"), 0,IF(P134&lt;&gt;0,M118*X118*Z118, 0))</f>
        <v>0</v>
      </c>
      <c r="P118" s="1145">
        <f>IF(AND('6.Inland wetlands'!X46 &lt;&gt; "With project", '6.Inland wetlands'!X46 &lt;&gt;"W/out&amp;With"), 0,IF(R134&lt;&gt;0,M118*X118*Y118, 0))</f>
        <v>0</v>
      </c>
      <c r="Q118" s="1145">
        <f>IF(AND('6.Inland wetlands'!X46 &lt;&gt; "With project", '6.Inland wetlands'!X46 &lt;&gt;"W/out&amp;With"), 0, IF(R134&lt;&gt;0,M118*X118*Z118, 0))</f>
        <v>0</v>
      </c>
      <c r="R118" s="1145">
        <f>N118*P134*(time_cap+time*(VLOOKUP(Q134, list!$J$48:$K$50,2,)))*methane/1000</f>
        <v>0</v>
      </c>
      <c r="S118" s="1145">
        <f>O118*P134*(time_cap+time*(VLOOKUP(Q134, list!$J$48:$K$50,2,)))*Nitrous/1000</f>
        <v>0</v>
      </c>
      <c r="T118" s="1145">
        <f>P118*R134*(time_cap+time*(VLOOKUP(S134, list!$J$48:$K$50,2,)))*methane/1000</f>
        <v>0</v>
      </c>
      <c r="U118" s="1145">
        <f>Q118*R134*(time_cap+time*(VLOOKUP(S134, list!$J$48:$K$50,2,)))*Nitrous/1000</f>
        <v>0</v>
      </c>
      <c r="X118" s="4325">
        <f>IF(B118="please select",0,VLOOKUP(B118, IPCC!$A$871:$E$906,2, FALSE))</f>
        <v>0</v>
      </c>
      <c r="Y118" s="1490">
        <f>IF(B118="Please select",0, VLOOKUP(B118, IPCC!$A$871:$E$906, 4, FALSE))</f>
        <v>0</v>
      </c>
      <c r="Z118" s="1490">
        <f>IF(B118="Please select",0, VLOOKUP(B118, IPCC!$A$871:$E$906, 5, FALSE))</f>
        <v>0</v>
      </c>
      <c r="AB118" s="1195">
        <f>-(44/12)*($K134*(IF($Q134="Immediate",$P134*MIN(20,time_tot),$P134*IF(time_tot&gt;time+20,20,IF(time_tot&lt;20,(time*VLOOKUP($Q134, list!$J$48:$K$50, 2,))+(time_tot-time),((MIN(20,time)*VLOOKUP($Q134, list!$J$48:$K$50, 2,)) + (time_tot-MIN(20,time))-IF($Q134="Exponential",time_tot-20+0.217*time*(EXP(4.606*(20-time_tot)/time)-1),((time_tot-20)^2)*(0.5/time)))))))+($L134*(IF($E1239="Immediate", $P134*(time_tot-MIN(20,time_tot)),$P134*IF(time_tot&gt;time+20,(time*VLOOKUP($Q134, list!$J$48:$K$50,2,))+(time_tot-time-20),IF(time_tot&lt;20,0,IF($Q134="Exponential",time_tot-20+0.217*time*(EXP(4.606*(20-time_tot)/time)-1),((time_tot-20)^2)*(0.5/time))))))))</f>
        <v>0</v>
      </c>
      <c r="AC118" s="1195">
        <f>IFERROR(-(44/12)*($K134*(IF($S134="Immediate",$R134*MIN(20,time_tot),$R134*IF(time_tot&gt;time+20,20,IF(time_tot&lt;20,(time*VLOOKUP($S134, list!$J$48:$K$50, 2,))+(time_tot-time),((MIN(20,time)*VLOOKUP($S134, list!$J$48:$K$50, 2,)) + (time_tot-MIN(20,time))-IF($S134="Exponential",time_tot-20+0.217*time*(EXP(4.606*(20-time_tot)/time)-1),((time_tot-20)^2)*(0.5/time)))))))+($L134*(IF($E1239="Immediate", $R134*(time_tot-MIN(20,time_tot)),$R134*IF(time_tot&gt;time+20,(time*VLOOKUP($S134, list!$J$48:$K$50,2,))+(time_tot-time-20),IF(time_tot&lt;20,0,IF($S134="Exponential",time_tot-20+0.217*time*(EXP(4.606*(20-time_tot)/time)-1),((time_tot-20)^2)*(0.5/time)))))))),0)</f>
        <v>0</v>
      </c>
      <c r="AD118" s="973">
        <f>IF('6.Inland wetlands'!BH58&lt;&gt; "",'6.Inland wetlands'!BH58*44/12, IF('Inl. wetlands'!B118="Please select",0,INDEX(IPCC!$A$590:$AK$606,MATCH('Inl. wetlands'!$C$117,IPCC!$A$590:$A$606,0),MATCH('Inl. wetlands'!B118,IPCC!$A$590:$AK$590,0))+(INDEX(IPCC!$A$590:$AK$606,MATCH($C$117,IPCC!$A$590:$A$606,0),MATCH('Inl. wetlands'!B118,IPCC!$A$590:$AK$590,0))*INDEX(IPCC!$A$617:$BS$633,MATCH($C$117,IPCC!$A$617:$A$633,0),MATCH('Inl. wetlands'!B118,IPCC!$A$616:$BS$616,0))))*0.47*44/12)</f>
        <v>0</v>
      </c>
      <c r="AE118" s="973">
        <f t="shared" ref="AE118:AE123" si="65">AD118*P134</f>
        <v>0</v>
      </c>
      <c r="AF118" s="973">
        <f t="shared" ref="AF118:AF123" si="66">AD118*R134</f>
        <v>0</v>
      </c>
    </row>
    <row r="119" spans="2:59" x14ac:dyDescent="0.15">
      <c r="B119" s="1167" t="str">
        <f t="shared" si="62"/>
        <v>Please select</v>
      </c>
      <c r="C119" s="973" t="str">
        <f t="shared" si="63"/>
        <v/>
      </c>
      <c r="D119" s="1663">
        <f>IF(B119="Please select",0,VLOOKUP(C119, IPCC!$C$924:$E$1467, 3, FALSE))</f>
        <v>0</v>
      </c>
      <c r="E119" s="1663">
        <f>IF(B119="Please select",0,VLOOKUP($C119, IPCC!$C$924:$E$1467, 2, FALSE))</f>
        <v>0</v>
      </c>
      <c r="F119" s="1663">
        <f>IF(B119="Please select",0,IF(OR($D119&lt;=125,$D119&lt;=75),INDEX(IPCC!$B$618:$AI$633,MATCH(continent_selected,IPCC!$A$618:$A$633,0),MATCH($B119,IPCC!$B$616:$AI$616,0)),(IF(OR($D119&gt;125,$D119&gt;75),INDEX(IPCC!$AJ$618:$BS$633,MATCH(continent_selected,IPCC!$A$618:$A$633,0),MATCH($B119,IPCC!$AJ$616:$BS$616,0)),"")))*$D119)</f>
        <v>0</v>
      </c>
      <c r="G119" s="1663">
        <f>IF(B119="Please select",0,IF(OR($E119 &lt;=125, $E119 &lt;= 75),INDEX(IPCC!$B$618:$AI$633,MATCH(continent_selected,IPCC!$A$618:$A$633,0),MATCH($B119,IPCC!$B$616:$AI$616,0)),(IF(OR($E119&gt;125,$E119&gt;75),INDEX(IPCC!$AJ$618:$BS$633,MATCH(continent_selected,IPCC!$A$618:$A$633,0),MATCH($B119,IPCC!$AJ$616:$BS$616,0)),"")))*$E119)</f>
        <v>0</v>
      </c>
      <c r="H119" s="1663">
        <f>IF($B119="Please select",0, VLOOKUP($B119,IPCC!$A$643:$B$677, 2, FALSE))</f>
        <v>0</v>
      </c>
      <c r="I119" s="1663">
        <f>IF($B119="Please select",0,VLOOKUP($B119, IPCC!$A$643:$C$677, 3, FALSE))</f>
        <v>0</v>
      </c>
      <c r="J119" s="1184"/>
      <c r="L119" s="1145">
        <f>'Inl. wetlands'!D119</f>
        <v>0</v>
      </c>
      <c r="M119" s="1145">
        <f t="shared" si="64"/>
        <v>0</v>
      </c>
      <c r="N119" s="1145">
        <f>IF(AND('6.Inland wetlands'!X47&lt;&gt; "W/out project", '6.Inland wetlands'!X47 &lt;&gt;"W/out&amp;With"), 0, IF(P135&lt;&gt;0,M119*X119*Y119, 0))</f>
        <v>0</v>
      </c>
      <c r="O119" s="1145">
        <f>IF(AND('6.Inland wetlands'!X47 &lt;&gt; "W/out project", '6.Inland wetlands'!X47 &lt;&gt;"W/out&amp;With"), 0,IF(P135&lt;&gt;0,M119*X119*Z119, 0))</f>
        <v>0</v>
      </c>
      <c r="P119" s="1145">
        <f>IF(AND('6.Inland wetlands'!X47 &lt;&gt; "With project", '6.Inland wetlands'!X47 &lt;&gt;"W/out&amp;With"), 0,IF(R135&lt;&gt;0,M119*X119*Y119, 0))</f>
        <v>0</v>
      </c>
      <c r="Q119" s="1145">
        <f>IF(AND('6.Inland wetlands'!X47 &lt;&gt; "With project", '6.Inland wetlands'!X47 &lt;&gt;"W/out&amp;With"), 0, IF(R135&lt;&gt;0,M119*X119*Z119, 0))</f>
        <v>0</v>
      </c>
      <c r="R119" s="1145">
        <f>N119*P135*(time_cap+time*(VLOOKUP(Q135, list!$J$48:$K$50,2,)))*methane/1000</f>
        <v>0</v>
      </c>
      <c r="S119" s="1145">
        <f>O119*P135*(time_cap+time*(VLOOKUP(Q135, list!$J$48:$K$50,2,)))*Nitrous/1000</f>
        <v>0</v>
      </c>
      <c r="T119" s="1145">
        <f>P119*R135*(time_cap+time*(VLOOKUP(S135, list!$J$48:$K$50,2,)))*methane/1000</f>
        <v>0</v>
      </c>
      <c r="U119" s="1145">
        <f>Q119*R135*(time_cap+time*(VLOOKUP(S135, list!$J$48:$K$50,2,)))*Nitrous/1000</f>
        <v>0</v>
      </c>
      <c r="X119" s="4325">
        <f>IF(B119="please select",0,VLOOKUP(B119, IPCC!$A$871:$E$906,2, FALSE))</f>
        <v>0</v>
      </c>
      <c r="Y119" s="1490">
        <f>IF(B119="Please select",0, VLOOKUP(B119, IPCC!$A$871:$E$906, 4, FALSE))</f>
        <v>0</v>
      </c>
      <c r="Z119" s="1490">
        <f>IF(B119="Please select",0, VLOOKUP(B119, IPCC!$A$871:$E$906, 5, FALSE))</f>
        <v>0</v>
      </c>
      <c r="AB119" s="1195">
        <f>-(44/12)*($K135*(IF($Q135="Immediate",$P135*MIN(20,time_tot),$P135*IF(time_tot&gt;time+20,20,IF(time_tot&lt;20,(time*VLOOKUP($Q135, list!$J$48:$K$50, 2,))+(time_tot-time),((MIN(20,time)*VLOOKUP($Q135, list!$J$48:$K$50, 2,)) + (time_tot-MIN(20,time))-IF($Q135="Exponential",time_tot-20+0.217*time*(EXP(4.606*(20-time_tot)/time)-1),((time_tot-20)^2)*(0.5/time)))))))+($L135*(IF($E1240="Immediate", $P135*(time_tot-MIN(20,time_tot)),$P135*IF(time_tot&gt;time+20,(time*VLOOKUP($Q135, list!$J$48:$K$50,2,))+(time_tot-time-20),IF(time_tot&lt;20,0,IF($Q135="Exponential",time_tot-20+0.217*time*(EXP(4.606*(20-time_tot)/time)-1),((time_tot-20)^2)*(0.5/time))))))))</f>
        <v>0</v>
      </c>
      <c r="AC119" s="1195">
        <f>IFERROR(-(44/12)*($K135*(IF($S135="Immediate",$R135*MIN(20,time_tot),$R135*IF(time_tot&gt;time+20,20,IF(time_tot&lt;20,(time*VLOOKUP($S135, list!$J$48:$K$50, 2,))+(time_tot-time),((MIN(20,time)*VLOOKUP($S135, list!$J$48:$K$50, 2,)) + (time_tot-MIN(20,time))-IF($S135="Exponential",time_tot-20+0.217*time*(EXP(4.606*(20-time_tot)/time)-1),((time_tot-20)^2)*(0.5/time)))))))+($L135*(IF($E1240="Immediate", $R135*(time_tot-MIN(20,time_tot)),$R135*IF(time_tot&gt;time+20,(time*VLOOKUP($S135, list!$J$48:$K$50,2,))+(time_tot-time-20),IF(time_tot&lt;20,0,IF($S135="Exponential",time_tot-20+0.217*time*(EXP(4.606*(20-time_tot)/time)-1),((time_tot-20)^2)*(0.5/time)))))))),0)</f>
        <v>0</v>
      </c>
      <c r="AD119" s="973">
        <f>IF('6.Inland wetlands'!BH59&lt;&gt; "",'6.Inland wetlands'!BH59*44/12, IF('Inl. wetlands'!B119="Please select",0,INDEX(IPCC!$A$590:$AK$606,MATCH('Inl. wetlands'!$C$117,IPCC!$A$590:$A$606,0),MATCH('Inl. wetlands'!B119,IPCC!$A$590:$AK$590,0))+(INDEX(IPCC!$A$590:$AK$606,MATCH($C$117,IPCC!$A$590:$A$606,0),MATCH('Inl. wetlands'!B119,IPCC!$A$590:$AK$590,0))*INDEX(IPCC!$A$617:$BS$633,MATCH($C$117,IPCC!$A$617:$A$633,0),MATCH('Inl. wetlands'!B119,IPCC!$A$616:$BS$616,0))))*0.47*44/12)</f>
        <v>0</v>
      </c>
      <c r="AE119" s="973">
        <f t="shared" si="65"/>
        <v>0</v>
      </c>
      <c r="AF119" s="973">
        <f t="shared" si="66"/>
        <v>0</v>
      </c>
    </row>
    <row r="120" spans="2:59" x14ac:dyDescent="0.15">
      <c r="B120" s="1167" t="str">
        <f t="shared" si="62"/>
        <v>Please select</v>
      </c>
      <c r="C120" s="973" t="str">
        <f t="shared" si="63"/>
        <v/>
      </c>
      <c r="D120" s="1663">
        <f>IF(B120="Please select",0,VLOOKUP(C120, IPCC!$C$924:$E$1467, 3, FALSE))</f>
        <v>0</v>
      </c>
      <c r="E120" s="1663">
        <f>IF(B120="Please select",0,VLOOKUP($C120, IPCC!$C$924:$E$1467, 2, FALSE))</f>
        <v>0</v>
      </c>
      <c r="F120" s="1663">
        <f>IF(B120="Please select",0,IF(OR($D120&lt;=125,$D120&lt;=75),INDEX(IPCC!$B$618:$AI$633,MATCH(continent_selected,IPCC!$A$618:$A$633,0),MATCH($B120,IPCC!$B$616:$AI$616,0)),(IF(OR($D120&gt;125,$D120&gt;75),INDEX(IPCC!$AJ$618:$BS$633,MATCH(continent_selected,IPCC!$A$618:$A$633,0),MATCH($B120,IPCC!$AJ$616:$BS$616,0)),"")))*$D120)</f>
        <v>0</v>
      </c>
      <c r="G120" s="1663">
        <f>IF(B120="Please select",0,IF(OR($E120 &lt;=125, $E120 &lt;= 75),INDEX(IPCC!$B$618:$AI$633,MATCH(continent_selected,IPCC!$A$618:$A$633,0),MATCH($B120,IPCC!$B$616:$AI$616,0)),(IF(OR($E120&gt;125,$E120&gt;75),INDEX(IPCC!$AJ$618:$BS$633,MATCH(continent_selected,IPCC!$A$618:$A$633,0),MATCH($B120,IPCC!$AJ$616:$BS$616,0)),"")))*$E120)</f>
        <v>0</v>
      </c>
      <c r="H120" s="1663">
        <f>IF($B120="Please select",0, VLOOKUP($B120,IPCC!$A$643:$B$677, 2, FALSE))</f>
        <v>0</v>
      </c>
      <c r="I120" s="1663">
        <f>IF($B120="Please select",0,VLOOKUP($B120, IPCC!$A$643:$C$677, 3, FALSE))</f>
        <v>0</v>
      </c>
      <c r="J120" s="1184"/>
      <c r="L120" s="1145">
        <f>'Inl. wetlands'!D120</f>
        <v>0</v>
      </c>
      <c r="M120" s="1145">
        <f t="shared" si="64"/>
        <v>0</v>
      </c>
      <c r="N120" s="1145">
        <f>IF(AND('6.Inland wetlands'!X48&lt;&gt; "W/out project", '6.Inland wetlands'!X48 &lt;&gt;"W/out&amp;With"), 0, IF(P136&lt;&gt;0,M120*X120*Y120, 0))</f>
        <v>0</v>
      </c>
      <c r="O120" s="1145">
        <f>IF(AND('6.Inland wetlands'!X48 &lt;&gt; "W/out project", '6.Inland wetlands'!X48 &lt;&gt;"W/out&amp;With"), 0,IF(P136&lt;&gt;0,M120*X120*Z120, 0))</f>
        <v>0</v>
      </c>
      <c r="P120" s="1145">
        <f>IF(AND('6.Inland wetlands'!X48 &lt;&gt; "With project", '6.Inland wetlands'!X48 &lt;&gt;"W/out&amp;With"), 0,IF(R136&lt;&gt;0,M120*X120*Y120, 0))</f>
        <v>0</v>
      </c>
      <c r="Q120" s="1145">
        <f>IF(AND('6.Inland wetlands'!X48 &lt;&gt; "With project", '6.Inland wetlands'!X48 &lt;&gt;"W/out&amp;With"), 0, IF(R136&lt;&gt;0,M120*X120*Z120, 0))</f>
        <v>0</v>
      </c>
      <c r="R120" s="1145">
        <f>N120*P136*(time_cap+time*(VLOOKUP(Q136, list!$J$48:$K$50,2,)))*methane/1000</f>
        <v>0</v>
      </c>
      <c r="S120" s="1145">
        <f>O120*P136*(time_cap+time*(VLOOKUP(Q136, list!$J$48:$K$50,2,)))*Nitrous/1000</f>
        <v>0</v>
      </c>
      <c r="T120" s="1145">
        <f>P120*R136*(time_cap+time*(VLOOKUP(S136, list!$J$48:$K$50,2,)))*methane/1000</f>
        <v>0</v>
      </c>
      <c r="U120" s="1145">
        <f>Q120*R136*(time_cap+time*(VLOOKUP(S136, list!$J$48:$K$50,2,)))*Nitrous/1000</f>
        <v>0</v>
      </c>
      <c r="X120" s="4325">
        <f>IF(B120="please select",0,VLOOKUP(B120, IPCC!$A$871:$E$906,2, FALSE))</f>
        <v>0</v>
      </c>
      <c r="Y120" s="1490">
        <f>IF(B120="Please select",0, VLOOKUP(B120, IPCC!$A$871:$E$906, 4, FALSE))</f>
        <v>0</v>
      </c>
      <c r="Z120" s="1490">
        <f>IF(B120="Please select",0, VLOOKUP(B120, IPCC!$A$871:$E$906, 5, FALSE))</f>
        <v>0</v>
      </c>
      <c r="AB120" s="1195">
        <f>-(44/12)*($K136*(IF($Q136="Immediate",$P136*MIN(20,time_tot),$P136*IF(time_tot&gt;time+20,20,IF(time_tot&lt;20,(time*VLOOKUP($Q136, list!$J$48:$K$50, 2,))+(time_tot-time),((MIN(20,time)*VLOOKUP($Q136, list!$J$48:$K$50, 2,)) + (time_tot-MIN(20,time))-IF($Q136="Exponential",time_tot-20+0.217*time*(EXP(4.606*(20-time_tot)/time)-1),((time_tot-20)^2)*(0.5/time)))))))+($L136*(IF($E1241="Immediate", $P136*(time_tot-MIN(20,time_tot)),$P136*IF(time_tot&gt;time+20,(time*VLOOKUP($Q136, list!$J$48:$K$50,2,))+(time_tot-time-20),IF(time_tot&lt;20,0,IF($Q136="Exponential",time_tot-20+0.217*time*(EXP(4.606*(20-time_tot)/time)-1),((time_tot-20)^2)*(0.5/time))))))))</f>
        <v>0</v>
      </c>
      <c r="AC120" s="1195">
        <f>IFERROR(-(44/12)*($K136*(IF($S136="Immediate",$R136*MIN(20,time_tot),$R136*IF(time_tot&gt;time+20,20,IF(time_tot&lt;20,(time*VLOOKUP($S136, list!$J$48:$K$50, 2,))+(time_tot-time),((MIN(20,time)*VLOOKUP($S136, list!$J$48:$K$50, 2,)) + (time_tot-MIN(20,time))-IF($S136="Exponential",time_tot-20+0.217*time*(EXP(4.606*(20-time_tot)/time)-1),((time_tot-20)^2)*(0.5/time)))))))+($L136*(IF($E1241="Immediate", $R136*(time_tot-MIN(20,time_tot)),$R136*IF(time_tot&gt;time+20,(time*VLOOKUP($S136, list!$J$48:$K$50,2,))+(time_tot-time-20),IF(time_tot&lt;20,0,IF($S136="Exponential",time_tot-20+0.217*time*(EXP(4.606*(20-time_tot)/time)-1),((time_tot-20)^2)*(0.5/time)))))))),0)</f>
        <v>0</v>
      </c>
      <c r="AD120" s="973">
        <f>IF('6.Inland wetlands'!BH60&lt;&gt; "",'6.Inland wetlands'!BH60*44/12, IF('Inl. wetlands'!B120="Please select",0,INDEX(IPCC!$A$590:$AK$606,MATCH('Inl. wetlands'!$C$117,IPCC!$A$590:$A$606,0),MATCH('Inl. wetlands'!B120,IPCC!$A$590:$AK$590,0))+(INDEX(IPCC!$A$590:$AK$606,MATCH($C$117,IPCC!$A$590:$A$606,0),MATCH('Inl. wetlands'!B120,IPCC!$A$590:$AK$590,0))*INDEX(IPCC!$A$617:$BS$633,MATCH($C$117,IPCC!$A$617:$A$633,0),MATCH('Inl. wetlands'!B120,IPCC!$A$616:$BS$616,0))))*0.47*44/12)</f>
        <v>0</v>
      </c>
      <c r="AE120" s="973">
        <f t="shared" si="65"/>
        <v>0</v>
      </c>
      <c r="AF120" s="973">
        <f t="shared" si="66"/>
        <v>0</v>
      </c>
      <c r="BF120" s="1449"/>
    </row>
    <row r="121" spans="2:59" x14ac:dyDescent="0.15">
      <c r="B121" s="1167" t="str">
        <f t="shared" si="62"/>
        <v>Please select</v>
      </c>
      <c r="C121" s="973" t="str">
        <f t="shared" si="63"/>
        <v/>
      </c>
      <c r="D121" s="1663">
        <f>IF(B121="Please select",0,VLOOKUP(C121, IPCC!$C$924:$E$1467, 3, FALSE))</f>
        <v>0</v>
      </c>
      <c r="E121" s="1663">
        <f>IF(B121="Please select",0,VLOOKUP($C121, IPCC!$C$924:$E$1467, 2, FALSE))</f>
        <v>0</v>
      </c>
      <c r="F121" s="1663">
        <f>IF(B121="Please select",0,IF(OR($D121&lt;=125,$D121&lt;=75),INDEX(IPCC!$B$618:$AI$633,MATCH(continent_selected,IPCC!$A$618:$A$633,0),MATCH($B121,IPCC!$B$616:$AI$616,0)),(IF(OR($D121&gt;125,$D121&gt;75),INDEX(IPCC!$AJ$618:$BS$633,MATCH(continent_selected,IPCC!$A$618:$A$633,0),MATCH($B121,IPCC!$AJ$616:$BS$616,0)),"")))*$D121)</f>
        <v>0</v>
      </c>
      <c r="G121" s="1663">
        <f>IF(B121="Please select",0,IF(OR($E121 &lt;=125, $E121 &lt;= 75),INDEX(IPCC!$B$618:$AI$633,MATCH(continent_selected,IPCC!$A$618:$A$633,0),MATCH($B121,IPCC!$B$616:$AI$616,0)),(IF(OR($E121&gt;125,$E121&gt;75),INDEX(IPCC!$AJ$618:$BS$633,MATCH(continent_selected,IPCC!$A$618:$A$633,0),MATCH($B121,IPCC!$AJ$616:$BS$616,0)),"")))*$E121)</f>
        <v>0</v>
      </c>
      <c r="H121" s="1663">
        <f>IF($B121="Please select",0, VLOOKUP($B121,IPCC!$A$643:$B$677, 2, FALSE))</f>
        <v>0</v>
      </c>
      <c r="I121" s="1663">
        <f>IF($B121="Please select",0,VLOOKUP($B121, IPCC!$A$643:$C$677, 3, FALSE))</f>
        <v>0</v>
      </c>
      <c r="J121" s="1184"/>
      <c r="L121" s="1145">
        <f>'Inl. wetlands'!D121</f>
        <v>0</v>
      </c>
      <c r="M121" s="1145">
        <f t="shared" si="64"/>
        <v>0</v>
      </c>
      <c r="N121" s="1145">
        <f>IF(AND('6.Inland wetlands'!X49&lt;&gt; "W/out project", '6.Inland wetlands'!X49 &lt;&gt;"W/out&amp;With"), 0, IF(P137&lt;&gt;0,M121*X121*Y121, 0))</f>
        <v>0</v>
      </c>
      <c r="O121" s="1145">
        <f>IF(AND('6.Inland wetlands'!X49 &lt;&gt; "W/out project", '6.Inland wetlands'!X49 &lt;&gt;"W/out&amp;With"), 0,IF(P137&lt;&gt;0,M121*X121*Z121, 0))</f>
        <v>0</v>
      </c>
      <c r="P121" s="1145">
        <f>IF(AND('6.Inland wetlands'!X49 &lt;&gt; "With project", '6.Inland wetlands'!X49 &lt;&gt;"W/out&amp;With"), 0,IF(R137&lt;&gt;0,M121*X121*Y121, 0))</f>
        <v>0</v>
      </c>
      <c r="Q121" s="1145">
        <f>IF(AND('6.Inland wetlands'!X49 &lt;&gt; "With project", '6.Inland wetlands'!X49 &lt;&gt;"W/out&amp;With"), 0, IF(R137&lt;&gt;0,M121*X121*Z121, 0))</f>
        <v>0</v>
      </c>
      <c r="R121" s="1145">
        <f>N121*P137*(time_cap+time*(VLOOKUP(Q137, list!$J$48:$K$50,2,)))*methane/1000</f>
        <v>0</v>
      </c>
      <c r="S121" s="1145">
        <f>O121*P137*(time_cap+time*(VLOOKUP(Q137, list!$J$48:$K$50,2,)))*Nitrous/1000</f>
        <v>0</v>
      </c>
      <c r="T121" s="1145">
        <f>P121*R137*(time_cap+time*(VLOOKUP(S137, list!$J$48:$K$50,2,)))*methane/1000</f>
        <v>0</v>
      </c>
      <c r="U121" s="1145">
        <f>Q121*R137*(time_cap+time*(VLOOKUP(S137, list!$J$48:$K$50,2,)))*Nitrous/1000</f>
        <v>0</v>
      </c>
      <c r="X121" s="4325">
        <f>IF(B121="please select",0,VLOOKUP(B121, IPCC!$A$871:$E$906,2, FALSE))</f>
        <v>0</v>
      </c>
      <c r="Y121" s="1490">
        <f>IF(B121="Please select",0, VLOOKUP(B121, IPCC!$A$871:$E$906, 4, FALSE))</f>
        <v>0</v>
      </c>
      <c r="Z121" s="1490">
        <f>IF(B121="Please select",0, VLOOKUP(B121, IPCC!$A$871:$E$906, 5, FALSE))</f>
        <v>0</v>
      </c>
      <c r="AB121" s="1195">
        <f>-(44/12)*($K137*(IF($Q137="Immediate",$P137*MIN(20,time_tot),$P137*IF(time_tot&gt;time+20,20,IF(time_tot&lt;20,(time*VLOOKUP($Q137, list!$J$48:$K$50, 2,))+(time_tot-time),((MIN(20,time)*VLOOKUP($Q137, list!$J$48:$K$50, 2,)) + (time_tot-MIN(20,time))-IF($Q137="Exponential",time_tot-20+0.217*time*(EXP(4.606*(20-time_tot)/time)-1),((time_tot-20)^2)*(0.5/time)))))))+($L137*(IF($E1242="Immediate", $P137*(time_tot-MIN(20,time_tot)),$P137*IF(time_tot&gt;time+20,(time*VLOOKUP($Q137, list!$J$48:$K$50,2,))+(time_tot-time-20),IF(time_tot&lt;20,0,IF($Q137="Exponential",time_tot-20+0.217*time*(EXP(4.606*(20-time_tot)/time)-1),((time_tot-20)^2)*(0.5/time))))))))</f>
        <v>0</v>
      </c>
      <c r="AC121" s="1195">
        <f>IFERROR(-(44/12)*($K137*(IF($S137="Immediate",$R137*MIN(20,time_tot),$R137*IF(time_tot&gt;time+20,20,IF(time_tot&lt;20,(time*VLOOKUP($S137, list!$J$48:$K$50, 2,))+(time_tot-time),((MIN(20,time)*VLOOKUP($S137, list!$J$48:$K$50, 2,)) + (time_tot-MIN(20,time))-IF($S137="Exponential",time_tot-20+0.217*time*(EXP(4.606*(20-time_tot)/time)-1),((time_tot-20)^2)*(0.5/time)))))))+($L137*(IF($E1242="Immediate", $R137*(time_tot-MIN(20,time_tot)),$R137*IF(time_tot&gt;time+20,(time*VLOOKUP($S137, list!$J$48:$K$50,2,))+(time_tot-time-20),IF(time_tot&lt;20,0,IF($S137="Exponential",time_tot-20+0.217*time*(EXP(4.606*(20-time_tot)/time)-1),((time_tot-20)^2)*(0.5/time)))))))),0)</f>
        <v>0</v>
      </c>
      <c r="AD121" s="973">
        <f>IF('6.Inland wetlands'!BH61&lt;&gt; "",'6.Inland wetlands'!BH61*44/12, IF('Inl. wetlands'!B121="Please select",0,INDEX(IPCC!$A$590:$AK$606,MATCH('Inl. wetlands'!$C$117,IPCC!$A$590:$A$606,0),MATCH('Inl. wetlands'!B121,IPCC!$A$590:$AK$590,0))+(INDEX(IPCC!$A$590:$AK$606,MATCH($C$117,IPCC!$A$590:$A$606,0),MATCH('Inl. wetlands'!B121,IPCC!$A$590:$AK$590,0))*INDEX(IPCC!$A$617:$BS$633,MATCH($C$117,IPCC!$A$617:$A$633,0),MATCH('Inl. wetlands'!B121,IPCC!$A$616:$BS$616,0))))*0.47*44/12)</f>
        <v>0</v>
      </c>
      <c r="AE121" s="973">
        <f t="shared" si="65"/>
        <v>0</v>
      </c>
      <c r="AF121" s="973">
        <f t="shared" si="66"/>
        <v>0</v>
      </c>
    </row>
    <row r="122" spans="2:59" x14ac:dyDescent="0.15">
      <c r="B122" s="1167" t="str">
        <f t="shared" si="62"/>
        <v>Please select</v>
      </c>
      <c r="C122" s="973" t="str">
        <f t="shared" si="63"/>
        <v/>
      </c>
      <c r="D122" s="1663">
        <f>IF(B122="Please select",0,VLOOKUP(C122, IPCC!$C$924:$E$1467, 3, FALSE))</f>
        <v>0</v>
      </c>
      <c r="E122" s="1663">
        <f>IF(B122="Please select",0,VLOOKUP($C122, IPCC!$C$924:$E$1467, 2, FALSE))</f>
        <v>0</v>
      </c>
      <c r="F122" s="1663">
        <f>IF(B122="Please select",0,IF(OR($D122&lt;=125,$D122&lt;=75),INDEX(IPCC!$B$618:$AI$633,MATCH(continent_selected,IPCC!$A$618:$A$633,0),MATCH($B122,IPCC!$B$616:$AI$616,0)),(IF(OR($D122&gt;125,$D122&gt;75),INDEX(IPCC!$AJ$618:$BS$633,MATCH(continent_selected,IPCC!$A$618:$A$633,0),MATCH($B122,IPCC!$AJ$616:$BS$616,0)),"")))*$D122)</f>
        <v>0</v>
      </c>
      <c r="G122" s="1663">
        <f>IF(B122="Please select",0,IF(OR($E122 &lt;=125, $E122 &lt;= 75),INDEX(IPCC!$B$618:$AI$633,MATCH(continent_selected,IPCC!$A$618:$A$633,0),MATCH($B122,IPCC!$B$616:$AI$616,0)),(IF(OR($E122&gt;125,$E122&gt;75),INDEX(IPCC!$AJ$618:$BS$633,MATCH(continent_selected,IPCC!$A$618:$A$633,0),MATCH($B122,IPCC!$AJ$616:$BS$616,0)),"")))*$E122)</f>
        <v>0</v>
      </c>
      <c r="H122" s="1663">
        <f>IF($B122="Please select",0, VLOOKUP($B122,IPCC!$A$643:$B$677, 2, FALSE))</f>
        <v>0</v>
      </c>
      <c r="I122" s="1663">
        <f>IF($B122="Please select",0,VLOOKUP($B122, IPCC!$A$643:$C$677, 3, FALSE))</f>
        <v>0</v>
      </c>
      <c r="J122" s="1184"/>
      <c r="L122" s="1145">
        <f>'Inl. wetlands'!D122</f>
        <v>0</v>
      </c>
      <c r="M122" s="1145">
        <f t="shared" si="64"/>
        <v>0</v>
      </c>
      <c r="N122" s="1145">
        <f>IF(AND('6.Inland wetlands'!X50&lt;&gt; "W/out project", '6.Inland wetlands'!X50 &lt;&gt;"W/out&amp;With"), 0, IF(P138&lt;&gt;0,M122*X122*Y122, 0))</f>
        <v>0</v>
      </c>
      <c r="O122" s="1145">
        <f>IF(AND('6.Inland wetlands'!X50 &lt;&gt; "W/out project", '6.Inland wetlands'!X50 &lt;&gt;"W/out&amp;With"), 0,IF(P138&lt;&gt;0,M122*X122*Z122, 0))</f>
        <v>0</v>
      </c>
      <c r="P122" s="1145">
        <f>IF(AND('6.Inland wetlands'!X50 &lt;&gt; "With project", '6.Inland wetlands'!X50 &lt;&gt;"W/out&amp;With"), 0,IF(R138&lt;&gt;0,M122*X122*Y122, 0))</f>
        <v>0</v>
      </c>
      <c r="Q122" s="1145">
        <f>IF(AND('6.Inland wetlands'!X50 &lt;&gt; "With project", '6.Inland wetlands'!X50 &lt;&gt;"W/out&amp;With"), 0, IF(R138&lt;&gt;0,M122*X122*Z122, 0))</f>
        <v>0</v>
      </c>
      <c r="R122" s="1145">
        <f>N122*P138*(time_cap+time*(VLOOKUP(Q138, list!$J$48:$K$50,2,)))*methane/1000</f>
        <v>0</v>
      </c>
      <c r="S122" s="1145">
        <f>O122*P138*(time_cap+time*(VLOOKUP(Q138, list!$J$48:$K$50,2,)))*Nitrous/1000</f>
        <v>0</v>
      </c>
      <c r="T122" s="1145">
        <f>P122*R138*(time_cap+time*(VLOOKUP(S138, list!$J$48:$K$50,2,)))*methane/1000</f>
        <v>0</v>
      </c>
      <c r="U122" s="1145">
        <f>Q122*R138*(time_cap+time*(VLOOKUP(S138, list!$J$48:$K$50,2,)))*Nitrous/1000</f>
        <v>0</v>
      </c>
      <c r="X122" s="4325">
        <f>IF(B122="please select",0,VLOOKUP(B122, IPCC!$A$871:$E$906,2, FALSE))</f>
        <v>0</v>
      </c>
      <c r="Y122" s="1490">
        <f>IF(B122="Please select",0, VLOOKUP(B122, IPCC!$A$871:$E$906, 4, FALSE))</f>
        <v>0</v>
      </c>
      <c r="Z122" s="1490">
        <f>IF(B122="Please select",0, VLOOKUP(B122, IPCC!$A$871:$E$906, 5, FALSE))</f>
        <v>0</v>
      </c>
      <c r="AB122" s="1195">
        <f>-(44/12)*($K138*(IF($Q138="Immediate",$P138*MIN(20,time_tot),$P138*IF(time_tot&gt;time+20,20,IF(time_tot&lt;20,(time*VLOOKUP($Q138, list!$J$48:$K$50, 2,))+(time_tot-time),((MIN(20,time)*VLOOKUP($Q138, list!$J$48:$K$50, 2,)) + (time_tot-MIN(20,time))-IF($Q138="Exponential",time_tot-20+0.217*time*(EXP(4.606*(20-time_tot)/time)-1),((time_tot-20)^2)*(0.5/time)))))))+($L138*(IF($E1243="Immediate", $P138*(time_tot-MIN(20,time_tot)),$P138*IF(time_tot&gt;time+20,(time*VLOOKUP($Q138, list!$J$48:$K$50,2,))+(time_tot-time-20),IF(time_tot&lt;20,0,IF($Q138="Exponential",time_tot-20+0.217*time*(EXP(4.606*(20-time_tot)/time)-1),((time_tot-20)^2)*(0.5/time))))))))</f>
        <v>0</v>
      </c>
      <c r="AC122" s="1195">
        <f>IFERROR(-(44/12)*($K138*(IF($S138="Immediate",$R138*MIN(20,time_tot),$R138*IF(time_tot&gt;time+20,20,IF(time_tot&lt;20,(time*VLOOKUP($S138, list!$J$48:$K$50, 2,))+(time_tot-time),((MIN(20,time)*VLOOKUP($S138, list!$J$48:$K$50, 2,)) + (time_tot-MIN(20,time))-IF($S138="Exponential",time_tot-20+0.217*time*(EXP(4.606*(20-time_tot)/time)-1),((time_tot-20)^2)*(0.5/time)))))))+($L138*(IF($E1243="Immediate", $R138*(time_tot-MIN(20,time_tot)),$R138*IF(time_tot&gt;time+20,(time*VLOOKUP($S138, list!$J$48:$K$50,2,))+(time_tot-time-20),IF(time_tot&lt;20,0,IF($S138="Exponential",time_tot-20+0.217*time*(EXP(4.606*(20-time_tot)/time)-1),((time_tot-20)^2)*(0.5/time)))))))),0)</f>
        <v>0</v>
      </c>
      <c r="AD122" s="973">
        <f>IF('6.Inland wetlands'!BH62&lt;&gt; "",'6.Inland wetlands'!BH62*44/12, IF('Inl. wetlands'!B122="Please select",0,INDEX(IPCC!$A$590:$AK$606,MATCH('Inl. wetlands'!$C$117,IPCC!$A$590:$A$606,0),MATCH('Inl. wetlands'!B122,IPCC!$A$590:$AK$590,0))+(INDEX(IPCC!$A$590:$AK$606,MATCH($C$117,IPCC!$A$590:$A$606,0),MATCH('Inl. wetlands'!B122,IPCC!$A$590:$AK$590,0))*INDEX(IPCC!$A$617:$BS$633,MATCH($C$117,IPCC!$A$617:$A$633,0),MATCH('Inl. wetlands'!B122,IPCC!$A$616:$BS$616,0))))*0.47*44/12)</f>
        <v>0</v>
      </c>
      <c r="AE122" s="973">
        <f t="shared" si="65"/>
        <v>0</v>
      </c>
      <c r="AF122" s="973">
        <f t="shared" si="66"/>
        <v>0</v>
      </c>
    </row>
    <row r="123" spans="2:59" x14ac:dyDescent="0.15">
      <c r="B123" s="1167" t="str">
        <f t="shared" si="62"/>
        <v>Please select</v>
      </c>
      <c r="C123" s="973" t="str">
        <f t="shared" si="63"/>
        <v/>
      </c>
      <c r="D123" s="1663">
        <f>IF(B123="Please select",0,VLOOKUP(C123, IPCC!$C$924:$E$1467, 3, FALSE))</f>
        <v>0</v>
      </c>
      <c r="E123" s="1663">
        <f>IF(B123="Please select",0,VLOOKUP($C123, IPCC!$C$924:$E$1467, 2, FALSE))</f>
        <v>0</v>
      </c>
      <c r="F123" s="1663">
        <f>IF(B123="Please select",0,IF(OR($D123&lt;=125,$D123&lt;=75),INDEX(IPCC!$B$618:$AI$633,MATCH(continent_selected,IPCC!$A$618:$A$633,0),MATCH($B123,IPCC!$B$616:$AI$616,0)),(IF(OR($D123&gt;125,$D123&gt;75),INDEX(IPCC!$AJ$618:$BS$633,MATCH(continent_selected,IPCC!$A$618:$A$633,0),MATCH($B123,IPCC!$AJ$616:$BS$616,0)),"")))*$D123)</f>
        <v>0</v>
      </c>
      <c r="G123" s="1663">
        <f>IF(B123="Please select",0,IF(OR($E123 &lt;=125, $E123 &lt;= 75),INDEX(IPCC!$B$618:$AI$633,MATCH(continent_selected,IPCC!$A$618:$A$633,0),MATCH($B123,IPCC!$B$616:$AI$616,0)),(IF(OR($E123&gt;125,$E123&gt;75),INDEX(IPCC!$AJ$618:$BS$633,MATCH(continent_selected,IPCC!$A$618:$A$633,0),MATCH($B123,IPCC!$AJ$616:$BS$616,0)),"")))*$E123)</f>
        <v>0</v>
      </c>
      <c r="H123" s="1663">
        <f>IF($B123="Please select",0, VLOOKUP($B123,IPCC!$A$643:$B$677, 2, FALSE))</f>
        <v>0</v>
      </c>
      <c r="I123" s="1663">
        <f>IF($B123="Please select",0,VLOOKUP($B123, IPCC!$A$643:$C$677, 3, FALSE))</f>
        <v>0</v>
      </c>
      <c r="J123" s="1184"/>
      <c r="L123" s="1145">
        <f>'Inl. wetlands'!D123</f>
        <v>0</v>
      </c>
      <c r="M123" s="1145">
        <f t="shared" si="64"/>
        <v>0</v>
      </c>
      <c r="N123" s="1145">
        <f>IF(AND('6.Inland wetlands'!X51&lt;&gt; "W/out project", '6.Inland wetlands'!X51 &lt;&gt;"W/out&amp;With"), 0, IF(P139&lt;&gt;0,M123*X123*Y123, 0))</f>
        <v>0</v>
      </c>
      <c r="O123" s="1145">
        <f>IF(AND('6.Inland wetlands'!X51 &lt;&gt; "W/out project", '6.Inland wetlands'!X51 &lt;&gt;"W/out&amp;With"), 0,IF(P139&lt;&gt;0,M123*X123*Z123, 0))</f>
        <v>0</v>
      </c>
      <c r="P123" s="1145">
        <f>IF(AND('6.Inland wetlands'!X51 &lt;&gt; "With project", '6.Inland wetlands'!X51 &lt;&gt;"W/out&amp;With"), 0,IF(R139&lt;&gt;0,M123*X123*Y123, 0))</f>
        <v>0</v>
      </c>
      <c r="Q123" s="1145">
        <f>IF(AND('6.Inland wetlands'!X51 &lt;&gt; "With project", '6.Inland wetlands'!X51 &lt;&gt;"W/out&amp;With"), 0, IF(R139&lt;&gt;0,M123*X123*Z123, 0))</f>
        <v>0</v>
      </c>
      <c r="R123" s="1145">
        <f>N123*P139*(time_cap+time*(VLOOKUP(Q139, list!$J$48:$K$50,2,)))*methane/1000</f>
        <v>0</v>
      </c>
      <c r="S123" s="1145">
        <f>O123*P139*(time_cap+time*(VLOOKUP(Q139, list!$J$48:$K$50,2,)))*Nitrous/1000</f>
        <v>0</v>
      </c>
      <c r="T123" s="1145">
        <f>P123*R139*(time_cap+time*(VLOOKUP(S139, list!$J$48:$K$50,2,)))*methane/1000</f>
        <v>0</v>
      </c>
      <c r="U123" s="1145">
        <f>Q123*R139*(time_cap+time*(VLOOKUP(S139, list!$J$48:$K$50,2,)))*Nitrous/1000</f>
        <v>0</v>
      </c>
      <c r="X123" s="4325">
        <f>IF(B123="please select",0,VLOOKUP(B123, IPCC!$A$871:$E$906,2, FALSE))</f>
        <v>0</v>
      </c>
      <c r="Y123" s="1490">
        <f>IF(B123="Please select",0, VLOOKUP(B123, IPCC!$A$871:$E$906, 4, FALSE))</f>
        <v>0</v>
      </c>
      <c r="Z123" s="1490">
        <f>IF(B123="Please select",0, VLOOKUP(B123, IPCC!$A$871:$E$906, 5, FALSE))</f>
        <v>0</v>
      </c>
      <c r="AB123" s="1195">
        <f>-(44/12)*($K139*(IF($Q139="Immediate",$P139*MIN(20,time_tot),$P139*IF(time_tot&gt;time+20,20,IF(time_tot&lt;20,(time*VLOOKUP($Q139, list!$J$48:$K$50, 2,))+(time_tot-time),((MIN(20,time)*VLOOKUP($Q139, list!$J$48:$K$50, 2,)) + (time_tot-MIN(20,time))-IF($Q139="Exponential",time_tot-20+0.217*time*(EXP(4.606*(20-time_tot)/time)-1),((time_tot-20)^2)*(0.5/time)))))))+($L139*(IF($E1244="Immediate", $P139*(time_tot-MIN(20,time_tot)),$P139*IF(time_tot&gt;time+20,(time*VLOOKUP($Q139, list!$J$48:$K$50,2,))+(time_tot-time-20),IF(time_tot&lt;20,0,IF($Q139="Exponential",time_tot-20+0.217*time*(EXP(4.606*(20-time_tot)/time)-1),((time_tot-20)^2)*(0.5/time))))))))</f>
        <v>0</v>
      </c>
      <c r="AC123" s="1195">
        <f>IFERROR(-(44/12)*($K139*(IF($S139="Immediate",$R139*MIN(20,time_tot),$R139*IF(time_tot&gt;time+20,20,IF(time_tot&lt;20,(time*VLOOKUP($S139, list!$J$48:$K$50, 2,))+(time_tot-time),((MIN(20,time)*VLOOKUP($S139, list!$J$48:$K$50, 2,)) + (time_tot-MIN(20,time))-IF($S139="Exponential",time_tot-20+0.217*time*(EXP(4.606*(20-time_tot)/time)-1),((time_tot-20)^2)*(0.5/time)))))))+($L139*(IF($E1244="Immediate", $R139*(time_tot-MIN(20,time_tot)),$R139*IF(time_tot&gt;time+20,(time*VLOOKUP($S139, list!$J$48:$K$50,2,))+(time_tot-time-20),IF(time_tot&lt;20,0,IF($S139="Exponential",time_tot-20+0.217*time*(EXP(4.606*(20-time_tot)/time)-1),((time_tot-20)^2)*(0.5/time)))))))),0)</f>
        <v>0</v>
      </c>
      <c r="AD123" s="973">
        <f>IF('6.Inland wetlands'!BH63&lt;&gt; "",'6.Inland wetlands'!BH63*44/12, IF('Inl. wetlands'!B123="Please select",0,INDEX(IPCC!$A$590:$AK$606,MATCH('Inl. wetlands'!$C$117,IPCC!$A$590:$A$606,0),MATCH('Inl. wetlands'!B123,IPCC!$A$590:$AK$590,0))+(INDEX(IPCC!$A$590:$AK$606,MATCH($C$117,IPCC!$A$590:$A$606,0),MATCH('Inl. wetlands'!B123,IPCC!$A$590:$AK$590,0))*INDEX(IPCC!$A$617:$BS$633,MATCH($C$117,IPCC!$A$617:$A$633,0),MATCH('Inl. wetlands'!B123,IPCC!$A$616:$BS$616,0))))*0.47*44/12)</f>
        <v>0</v>
      </c>
      <c r="AE123" s="973">
        <f t="shared" si="65"/>
        <v>0</v>
      </c>
      <c r="AF123" s="973">
        <f t="shared" si="66"/>
        <v>0</v>
      </c>
    </row>
    <row r="124" spans="2:59" x14ac:dyDescent="0.15">
      <c r="B124" s="3466"/>
      <c r="C124" s="3466"/>
      <c r="D124" s="2543"/>
      <c r="E124" s="2543"/>
      <c r="F124" s="2543"/>
      <c r="G124" s="2543"/>
      <c r="H124" s="2543"/>
      <c r="I124" s="2543"/>
      <c r="J124" s="1300"/>
    </row>
    <row r="125" spans="2:59" x14ac:dyDescent="0.15">
      <c r="D125" s="1663"/>
      <c r="E125" s="1663"/>
      <c r="F125" s="1663"/>
      <c r="G125" s="1663"/>
      <c r="H125" s="1663"/>
      <c r="I125" s="1663"/>
      <c r="J125" s="1688"/>
    </row>
    <row r="127" spans="2:59" x14ac:dyDescent="0.15">
      <c r="D127" s="1663"/>
      <c r="E127" s="1663"/>
      <c r="F127" s="1663"/>
      <c r="G127" s="1663"/>
      <c r="H127" s="1663"/>
      <c r="I127" s="1663"/>
      <c r="J127" s="1688"/>
    </row>
    <row r="130" spans="2:73" ht="21" x14ac:dyDescent="0.25">
      <c r="B130" s="1231" t="s">
        <v>1207</v>
      </c>
      <c r="D130" s="1081"/>
      <c r="E130" s="1081"/>
      <c r="F130" s="1069" t="s">
        <v>1208</v>
      </c>
      <c r="G130" s="1069" t="s">
        <v>1209</v>
      </c>
      <c r="H130" s="1069"/>
      <c r="I130" s="1069"/>
      <c r="J130" s="1069"/>
      <c r="K130" s="1190" t="s">
        <v>280</v>
      </c>
      <c r="L130" s="1069"/>
      <c r="M130" s="1069" t="s">
        <v>258</v>
      </c>
      <c r="N130" s="1576"/>
      <c r="P130" s="1164"/>
      <c r="T130" s="1278" t="s">
        <v>1114</v>
      </c>
      <c r="U130" s="1081"/>
      <c r="V130" s="1081"/>
      <c r="W130" s="1081"/>
      <c r="X130" s="1081"/>
      <c r="Y130" s="1081"/>
      <c r="AI130" s="1270" t="s">
        <v>1115</v>
      </c>
      <c r="AJ130" s="1115"/>
      <c r="AK130" s="1116"/>
      <c r="AX130" s="1287" t="s">
        <v>1116</v>
      </c>
      <c r="AY130" s="1501"/>
      <c r="AZ130" s="1501"/>
      <c r="BA130" s="1501"/>
      <c r="BB130" s="1501"/>
      <c r="BC130" s="1501"/>
      <c r="BD130" s="1271"/>
      <c r="BE130" s="1449"/>
      <c r="BF130" s="1449"/>
      <c r="BG130" s="1449"/>
    </row>
    <row r="131" spans="2:73" ht="18" x14ac:dyDescent="0.2">
      <c r="D131" s="1081"/>
      <c r="E131" s="1081"/>
      <c r="F131" s="1191" t="s">
        <v>284</v>
      </c>
      <c r="G131" s="1069" t="s">
        <v>285</v>
      </c>
      <c r="H131" s="1069" t="s">
        <v>286</v>
      </c>
      <c r="I131" s="1069"/>
      <c r="J131" s="1069"/>
      <c r="K131" s="1069" t="s">
        <v>287</v>
      </c>
      <c r="L131" s="1069" t="s">
        <v>287</v>
      </c>
      <c r="M131" s="1069" t="s">
        <v>288</v>
      </c>
      <c r="N131" s="1576"/>
      <c r="T131" s="1081"/>
      <c r="U131" s="1081"/>
      <c r="V131" s="1081"/>
      <c r="W131" s="1081"/>
      <c r="X131" s="1081"/>
      <c r="Y131" s="1081"/>
      <c r="AI131" s="1270" t="s">
        <v>1121</v>
      </c>
      <c r="AJ131" s="1104"/>
      <c r="AK131" s="1116"/>
      <c r="AX131" s="1503" t="s">
        <v>313</v>
      </c>
      <c r="AY131" s="1502"/>
      <c r="AZ131" s="1502" t="s">
        <v>176</v>
      </c>
      <c r="BA131" s="1502"/>
      <c r="BB131" s="1502" t="s">
        <v>177</v>
      </c>
      <c r="BC131" s="1502"/>
      <c r="BD131" s="1450"/>
      <c r="BE131" s="1452"/>
      <c r="BF131" s="1452"/>
      <c r="BG131" s="1452"/>
      <c r="BJ131" s="1089"/>
      <c r="BK131" s="1262" t="s">
        <v>860</v>
      </c>
      <c r="BL131" s="3464"/>
      <c r="BM131" s="3464"/>
      <c r="BP131" s="1262" t="s">
        <v>861</v>
      </c>
      <c r="BQ131" s="3464"/>
      <c r="BR131" s="3464"/>
      <c r="BS131" s="3464"/>
      <c r="BU131" s="1089"/>
    </row>
    <row r="132" spans="2:73" ht="16" x14ac:dyDescent="0.2">
      <c r="B132" s="1281" t="s">
        <v>94</v>
      </c>
      <c r="C132" s="1281" t="s">
        <v>93</v>
      </c>
      <c r="D132" s="1081" t="s">
        <v>294</v>
      </c>
      <c r="E132" s="1083" t="s">
        <v>296</v>
      </c>
      <c r="F132" s="1191" t="s">
        <v>300</v>
      </c>
      <c r="G132" s="1069" t="s">
        <v>186</v>
      </c>
      <c r="H132" s="1069" t="s">
        <v>176</v>
      </c>
      <c r="I132" s="1069" t="s">
        <v>177</v>
      </c>
      <c r="J132" s="1069" t="s">
        <v>301</v>
      </c>
      <c r="K132" s="1069" t="s">
        <v>1210</v>
      </c>
      <c r="L132" s="1069" t="s">
        <v>1211</v>
      </c>
      <c r="M132" s="1069"/>
      <c r="N132" s="1537" t="s">
        <v>1023</v>
      </c>
      <c r="O132" s="1082" t="s">
        <v>219</v>
      </c>
      <c r="P132" s="1266" t="s">
        <v>179</v>
      </c>
      <c r="Q132" s="1267"/>
      <c r="R132" s="1268" t="s">
        <v>180</v>
      </c>
      <c r="S132" s="1269"/>
      <c r="T132" s="1081" t="s">
        <v>1124</v>
      </c>
      <c r="U132" s="1081"/>
      <c r="V132" s="1081" t="s">
        <v>1123</v>
      </c>
      <c r="W132" s="1081"/>
      <c r="X132" s="1081" t="s">
        <v>1126</v>
      </c>
      <c r="Y132" s="1081"/>
      <c r="AI132" s="1270" t="s">
        <v>1127</v>
      </c>
      <c r="AJ132" s="1116"/>
      <c r="AK132" s="1116"/>
    </row>
    <row r="133" spans="2:73" x14ac:dyDescent="0.15">
      <c r="D133" s="1081" t="s">
        <v>1212</v>
      </c>
      <c r="E133" s="1083" t="s">
        <v>62</v>
      </c>
      <c r="F133" s="1069" t="s">
        <v>308</v>
      </c>
      <c r="G133" s="1069" t="s">
        <v>309</v>
      </c>
      <c r="H133" s="1069" t="s">
        <v>310</v>
      </c>
      <c r="I133" s="1069" t="s">
        <v>311</v>
      </c>
      <c r="J133" s="1083" t="s">
        <v>197</v>
      </c>
      <c r="K133" s="1083" t="s">
        <v>252</v>
      </c>
      <c r="L133" s="1083" t="s">
        <v>252</v>
      </c>
      <c r="M133" s="1083" t="s">
        <v>62</v>
      </c>
      <c r="N133" s="1281" t="str">
        <f>B132</f>
        <v>Final land use</v>
      </c>
      <c r="O133" s="1069" t="s">
        <v>371</v>
      </c>
      <c r="P133" s="1102" t="s">
        <v>371</v>
      </c>
      <c r="Q133" s="1102" t="s">
        <v>1128</v>
      </c>
      <c r="R133" s="1103" t="s">
        <v>371</v>
      </c>
      <c r="S133" s="1103" t="s">
        <v>1128</v>
      </c>
      <c r="T133" s="1188" t="s">
        <v>179</v>
      </c>
      <c r="U133" s="1189" t="s">
        <v>180</v>
      </c>
      <c r="V133" s="1188" t="s">
        <v>179</v>
      </c>
      <c r="W133" s="1189" t="s">
        <v>180</v>
      </c>
      <c r="X133" s="1188" t="s">
        <v>179</v>
      </c>
      <c r="Y133" s="1189" t="s">
        <v>180</v>
      </c>
      <c r="AI133" s="1102" t="s">
        <v>200</v>
      </c>
      <c r="AJ133" s="1103" t="s">
        <v>201</v>
      </c>
      <c r="AK133" s="1104" t="s">
        <v>324</v>
      </c>
      <c r="AX133" s="1272" t="s">
        <v>200</v>
      </c>
      <c r="AY133" s="1272" t="s">
        <v>201</v>
      </c>
      <c r="AZ133" s="1272" t="s">
        <v>200</v>
      </c>
      <c r="BA133" s="1272" t="s">
        <v>201</v>
      </c>
      <c r="BB133" s="1272" t="s">
        <v>200</v>
      </c>
      <c r="BC133" s="1272" t="s">
        <v>201</v>
      </c>
      <c r="BD133" s="1272"/>
      <c r="BK133" s="1321" t="s">
        <v>866</v>
      </c>
      <c r="BL133" s="1317" t="s">
        <v>200</v>
      </c>
      <c r="BM133" s="1317" t="s">
        <v>201</v>
      </c>
      <c r="BP133" s="1321" t="s">
        <v>866</v>
      </c>
      <c r="BQ133" s="1317" t="s">
        <v>324</v>
      </c>
      <c r="BR133" s="1317" t="s">
        <v>867</v>
      </c>
      <c r="BS133" s="1318" t="s">
        <v>868</v>
      </c>
      <c r="BT133" s="1454"/>
    </row>
    <row r="134" spans="2:73" x14ac:dyDescent="0.15">
      <c r="B134" s="973" t="str">
        <f>'6.Inland wetlands'!C46</f>
        <v>Please select</v>
      </c>
      <c r="C134" s="973" t="str">
        <f>IF('6.Inland wetlands'!K46="Please select",'6.Inland wetlands'!I46,'6.Inland wetlands'!K46)</f>
        <v>Please select</v>
      </c>
      <c r="D134" s="1194" t="str">
        <f>'6.Inland wetlands'!G46</f>
        <v>NO</v>
      </c>
      <c r="E134" s="1146">
        <f>IF('6.Inland wetlands'!AZ47=0, IF($C134="Please select",0,INDEX(IPCC!$D$1521:$Y$1680,MATCH(clim_moist_cont,IPCC!$C$1521:$C$1680,0),MATCH($C134,IPCC!$D$1520:$Y$1520,0))), '6.Inland wetlands'!AZ47)</f>
        <v>0</v>
      </c>
      <c r="F134" s="1146">
        <f t="shared" ref="F134:F139" si="67">IF(OR(C134="Annual cropland",C134="Annual fallow"),$E134*40%,E134)</f>
        <v>0</v>
      </c>
      <c r="G134" s="1146">
        <f>IF($C134="Please select",0,VLOOKUP($C134,IPCC!$A$1473:$B$1495,2, FALSE))</f>
        <v>0</v>
      </c>
      <c r="H134" s="1146">
        <f>IFERROR($F134*$G134*VLOOKUP(C134,IPCC!$A$1473:$E$1496,4,FALSE),0)</f>
        <v>0</v>
      </c>
      <c r="I134" s="1146">
        <f>IFERROR($F134*$G134*VLOOKUP($C134, IPCC!$A$1473:$E$1496, 5, FALSE),0)</f>
        <v>0</v>
      </c>
      <c r="J134" s="1145">
        <f t="shared" ref="J134:J139" si="68">($H134*methane + $I134*Nitrous)/1000</f>
        <v>0</v>
      </c>
      <c r="K134" s="1145">
        <f>IF($B134="Please select",0,IF('6.Inland wetlands'!$AX58="",(VLOOKUP($B134,$B$117:$J$125,3,FALSE)+VLOOKUP($B134,$B$117:$J$125,5,FALSE))*0.47,'6.Inland wetlands'!$AX58))</f>
        <v>0</v>
      </c>
      <c r="L134" s="1145">
        <f>IF($B134="Please select",0,IF('6.Inland wetlands'!$AZ58="",(VLOOKUP($B134,$B$117:$J$125,4, FALSE) + VLOOKUP($B134,$B$117:$J$125,6, FALSE))*0.47,'6.Inland wetlands'!$AZ58))</f>
        <v>0</v>
      </c>
      <c r="M134" s="1195">
        <f>IF($B134="Please select",0,IF('6.Inland wetlands'!$BL58="",VLOOKUP($B134,$B$117:$J$125, 7, FALSE),'6.Inland wetlands'!$BL58) +IF('6.Inland wetlands'!$BO58="",VLOOKUP($B134,$B$117:$J$125,8, FALSE),'6.Inland wetlands'!$BO58))</f>
        <v>0</v>
      </c>
      <c r="N134" s="1121" t="str">
        <f t="shared" ref="N134:N139" si="69">B134</f>
        <v>Please select</v>
      </c>
      <c r="O134" s="1194">
        <v>0</v>
      </c>
      <c r="P134" s="1154">
        <f>'6.Inland wetlands'!N46</f>
        <v>0</v>
      </c>
      <c r="Q134" s="1154" t="str">
        <f>VLOOKUP('6.Inland wetlands'!O46, list!$I$48:$J$50,2,FALSE )</f>
        <v>Linear</v>
      </c>
      <c r="R134" s="1154">
        <f>'6.Inland wetlands'!P46</f>
        <v>0</v>
      </c>
      <c r="S134" s="1154" t="str">
        <f>VLOOKUP('6.Inland wetlands'!Q46, list!$I$48:$J$50,2,FALSE )</f>
        <v>Linear</v>
      </c>
      <c r="T134" s="1151">
        <f t="shared" ref="T134:T139" si="70">IF(AB118&lt;-AE118,-AE118,AB118+(-M134*P134*44/12))</f>
        <v>0</v>
      </c>
      <c r="U134" s="1151">
        <f t="shared" ref="U134:U139" si="71">IF(AC118&lt;-AF118,-AF118,AC118+(-M134*R134*44/12))</f>
        <v>0</v>
      </c>
      <c r="V134" s="1151">
        <f t="shared" ref="V134:V139" si="72">IF(N134="Please select",0,$P134*$E134*44/12)</f>
        <v>0</v>
      </c>
      <c r="W134" s="1151">
        <f t="shared" ref="W134:W139" si="73">IF(N134="Please select",0,$R134*$E134*44/12)</f>
        <v>0</v>
      </c>
      <c r="X134" s="1151">
        <f t="shared" ref="X134:X139" si="74">IF($D134="NO",0,$P134*$J134)+R118+S118</f>
        <v>0</v>
      </c>
      <c r="Y134" s="1151">
        <f t="shared" ref="Y134:Y139" si="75">IF($D134="NO", 0, $R134*$J134)+T118+U118</f>
        <v>0</v>
      </c>
      <c r="AB134" s="973">
        <f t="shared" ref="AB134:AB139" si="76">IF(AB118&lt;-AE118,-AE118,AB118+(-M134*P134*44/12))</f>
        <v>0</v>
      </c>
      <c r="AC134" s="973">
        <f t="shared" ref="AC134:AC139" si="77">IF(AC118&lt;-AF118,-AF118,AC118+(-M134*R134*44/12))</f>
        <v>0</v>
      </c>
      <c r="AI134" s="1151">
        <f t="shared" ref="AI134:AJ139" si="78">T134+V134+X134</f>
        <v>0</v>
      </c>
      <c r="AJ134" s="1151">
        <f>U134+W134+Y134</f>
        <v>0</v>
      </c>
      <c r="AK134" s="3473">
        <f t="shared" ref="AK134:AK139" si="79">AJ134-AI134</f>
        <v>0</v>
      </c>
      <c r="AX134" s="1449">
        <f t="shared" ref="AX134:AX139" si="80">SUM($V134,$T134)</f>
        <v>0</v>
      </c>
      <c r="AY134" s="1449">
        <f t="shared" ref="AY134:AY139" si="81">SUM($W134,$U134)</f>
        <v>0</v>
      </c>
      <c r="AZ134" s="1449">
        <f t="shared" ref="AZ134:AZ139" si="82">IF(D134= "YES",$H134/1000*methane*$P134,0)</f>
        <v>0</v>
      </c>
      <c r="BA134" s="1449">
        <f t="shared" ref="BA134:BA139" si="83">IF(D134= "YES",$H134/1000*methane*$R134,0)</f>
        <v>0</v>
      </c>
      <c r="BB134" s="1449">
        <f t="shared" ref="BB134:BB139" si="84">IF($D134="YES",$I134/1000*Nitrous*$P134,0)</f>
        <v>0</v>
      </c>
      <c r="BC134" s="1449">
        <f t="shared" ref="BC134:BC139" si="85">IF($D134= "YES",$I134/1000*Nitrous*$R134,0)</f>
        <v>0</v>
      </c>
      <c r="BD134" s="1449"/>
      <c r="BK134" s="1084" t="s">
        <v>850</v>
      </c>
      <c r="BL134" s="1312">
        <f>SUM($T134:$T139)+SUM($V134:$V139)</f>
        <v>0</v>
      </c>
      <c r="BM134" s="1312">
        <f>SUM($U134:$U139)+SUM($W134:$W139)</f>
        <v>0</v>
      </c>
      <c r="BN134" s="1246">
        <f>BM134-BL134</f>
        <v>0</v>
      </c>
      <c r="BP134" s="1322" t="str">
        <f>BK134</f>
        <v>CO2 biomass</v>
      </c>
      <c r="BQ134" s="1312">
        <f>BM134-BL134</f>
        <v>0</v>
      </c>
      <c r="BR134" s="1312">
        <f>IF(time=0,0,BQ134)</f>
        <v>0</v>
      </c>
      <c r="BS134" s="1453">
        <f t="shared" ref="BS134:BS139" si="86">BQ134-BR134</f>
        <v>0</v>
      </c>
      <c r="BT134" s="1455">
        <f t="shared" ref="BT134:BT143" si="87">SUM(BR134:BS134)</f>
        <v>0</v>
      </c>
    </row>
    <row r="135" spans="2:73" x14ac:dyDescent="0.15">
      <c r="B135" s="973" t="str">
        <f>'6.Inland wetlands'!C47</f>
        <v>Please select</v>
      </c>
      <c r="C135" s="973" t="str">
        <f>IF('6.Inland wetlands'!K47="Please select",'6.Inland wetlands'!I47,'6.Inland wetlands'!K47)</f>
        <v>Please select</v>
      </c>
      <c r="D135" s="1194" t="str">
        <f>'6.Inland wetlands'!G47</f>
        <v>NO</v>
      </c>
      <c r="E135" s="1146">
        <f>IF('6.Inland wetlands'!AZ48=0, IF($C135="Please select",0,INDEX(IPCC!$D$1521:$Y$1680,MATCH(clim_moist_cont,IPCC!$C$1521:$C$1680,0),MATCH($C135,IPCC!$D$1520:$Y$1520,0))), '6.Inland wetlands'!AZ48)</f>
        <v>0</v>
      </c>
      <c r="F135" s="1146">
        <f t="shared" si="67"/>
        <v>0</v>
      </c>
      <c r="G135" s="1148">
        <f>IF($C135="Please select",0,VLOOKUP($C135,IPCC!$A$1473:$B$1495,2, FALSE))</f>
        <v>0</v>
      </c>
      <c r="H135" s="1146">
        <f>IFERROR($F135*$G135*VLOOKUP(C135,IPCC!$A$1473:$E$1496,4,FALSE),0)</f>
        <v>0</v>
      </c>
      <c r="I135" s="1146">
        <f>IFERROR($F135*$G135*VLOOKUP($C135, IPCC!$A$1473:$E$1496, 5, FALSE),0)</f>
        <v>0</v>
      </c>
      <c r="J135" s="1147">
        <f t="shared" si="68"/>
        <v>0</v>
      </c>
      <c r="K135" s="1147">
        <f>IF($B135="Please select",0,IF('6.Inland wetlands'!$AX59="",(VLOOKUP($B135,$B$117:$J$125,3,FALSE)+VLOOKUP($B135,$B$117:$J$125,5,FALSE))*0.47,'6.Inland wetlands'!$AX59))</f>
        <v>0</v>
      </c>
      <c r="L135" s="1147">
        <f>IF($B135="Please select",0,IF('6.Inland wetlands'!$AZ59="",(VLOOKUP($B135,$B$117:$J$125,4, FALSE) + VLOOKUP($B135,$B$117:$J$125,6, FALSE))*0.47,'6.Inland wetlands'!$AZ59))</f>
        <v>0</v>
      </c>
      <c r="M135" s="1197">
        <f>IF($B135="Please select",0,IF('6.Inland wetlands'!$BL59="",VLOOKUP($B135,$B$117:$J$125, 7, FALSE),'6.Inland wetlands'!$BL59) +IF('6.Inland wetlands'!$BO59="",VLOOKUP($B135,$B$117:$J$125,8, FALSE),'6.Inland wetlands'!$BO59))</f>
        <v>0</v>
      </c>
      <c r="N135" s="1121" t="str">
        <f t="shared" si="69"/>
        <v>Please select</v>
      </c>
      <c r="O135" s="1196">
        <v>0</v>
      </c>
      <c r="P135" s="1157">
        <f>'6.Inland wetlands'!N47</f>
        <v>0</v>
      </c>
      <c r="Q135" s="1157" t="str">
        <f>VLOOKUP('6.Inland wetlands'!O47, list!$I$48:$J$50,2,FALSE )</f>
        <v>Linear</v>
      </c>
      <c r="R135" s="1157">
        <f>'6.Inland wetlands'!P47</f>
        <v>0</v>
      </c>
      <c r="S135" s="1157" t="str">
        <f>VLOOKUP('6.Inland wetlands'!Q47, list!$I$48:$J$50,2,FALSE )</f>
        <v>Linear</v>
      </c>
      <c r="T135" s="1151">
        <f t="shared" si="70"/>
        <v>0</v>
      </c>
      <c r="U135" s="1151">
        <f t="shared" si="71"/>
        <v>0</v>
      </c>
      <c r="V135" s="1152">
        <f t="shared" si="72"/>
        <v>0</v>
      </c>
      <c r="W135" s="1152">
        <f t="shared" si="73"/>
        <v>0</v>
      </c>
      <c r="X135" s="1151">
        <f t="shared" si="74"/>
        <v>0</v>
      </c>
      <c r="Y135" s="1151">
        <f t="shared" si="75"/>
        <v>0</v>
      </c>
      <c r="AB135" s="973">
        <f t="shared" si="76"/>
        <v>0</v>
      </c>
      <c r="AC135" s="973">
        <f t="shared" si="77"/>
        <v>0</v>
      </c>
      <c r="AI135" s="1151">
        <f t="shared" si="78"/>
        <v>0</v>
      </c>
      <c r="AJ135" s="1151">
        <f t="shared" si="78"/>
        <v>0</v>
      </c>
      <c r="AK135" s="1159">
        <f t="shared" si="79"/>
        <v>0</v>
      </c>
      <c r="AX135" s="1449">
        <f t="shared" si="80"/>
        <v>0</v>
      </c>
      <c r="AY135" s="1449">
        <f t="shared" si="81"/>
        <v>0</v>
      </c>
      <c r="AZ135" s="1449">
        <f t="shared" si="82"/>
        <v>0</v>
      </c>
      <c r="BA135" s="1449">
        <f t="shared" si="83"/>
        <v>0</v>
      </c>
      <c r="BB135" s="1449">
        <f t="shared" si="84"/>
        <v>0</v>
      </c>
      <c r="BC135" s="1449">
        <f t="shared" si="85"/>
        <v>0</v>
      </c>
      <c r="BD135" s="1449"/>
      <c r="BK135" s="1084" t="s">
        <v>1129</v>
      </c>
      <c r="BL135" s="1314">
        <f>SUM($AB176:$AB181)+SUM($AB165:$AB170)</f>
        <v>0</v>
      </c>
      <c r="BM135" s="1314">
        <f>SUM($AC165:$AC170)+SUM($AC176:$AC181)</f>
        <v>0</v>
      </c>
      <c r="BN135" s="1246">
        <f>BM135-BL135</f>
        <v>0</v>
      </c>
      <c r="BP135" s="1322" t="str">
        <f t="shared" ref="BP135:BP143" si="88">BK135</f>
        <v>CO2 soil drainage</v>
      </c>
      <c r="BQ135" s="1312">
        <f t="shared" ref="BQ135:BQ143" si="89">BM135-BL135</f>
        <v>0</v>
      </c>
      <c r="BR135" s="1312">
        <f>IF(time=0,0,SUM(AY165:AY170,BE165:BE170)-SUM(AX165:AX170,BD165:BD170))</f>
        <v>0</v>
      </c>
      <c r="BS135" s="1453">
        <f t="shared" si="86"/>
        <v>0</v>
      </c>
      <c r="BT135" s="1455">
        <f t="shared" si="87"/>
        <v>0</v>
      </c>
    </row>
    <row r="136" spans="2:73" x14ac:dyDescent="0.15">
      <c r="B136" s="973" t="str">
        <f>'6.Inland wetlands'!C48</f>
        <v>Please select</v>
      </c>
      <c r="C136" s="973" t="str">
        <f>IF('6.Inland wetlands'!K48="Please select",'6.Inland wetlands'!I48,'6.Inland wetlands'!K48)</f>
        <v>Please select</v>
      </c>
      <c r="D136" s="1194" t="str">
        <f>'6.Inland wetlands'!G48</f>
        <v>NO</v>
      </c>
      <c r="E136" s="1146">
        <f>IF('6.Inland wetlands'!AZ49=0, IF($C136="Please select",0,INDEX(IPCC!$D$1521:$Y$1680,MATCH(clim_moist_cont,IPCC!$C$1521:$C$1680,0),MATCH($C136,IPCC!$D$1520:$Y$1520,0))), '6.Inland wetlands'!AZ49)</f>
        <v>0</v>
      </c>
      <c r="F136" s="1146">
        <f t="shared" si="67"/>
        <v>0</v>
      </c>
      <c r="G136" s="1148">
        <f>IF($C136="Please select",0,VLOOKUP($C136,IPCC!$A$1473:$B$1495,2, FALSE))</f>
        <v>0</v>
      </c>
      <c r="H136" s="1146">
        <f>IFERROR($F136*$G136*VLOOKUP(C136,IPCC!$A$1473:$E$1496,4,FALSE),0)</f>
        <v>0</v>
      </c>
      <c r="I136" s="1146">
        <f>IFERROR($F136*$G136*VLOOKUP($C136, IPCC!$A$1473:$E$1496, 5, FALSE),0)</f>
        <v>0</v>
      </c>
      <c r="J136" s="1147">
        <f t="shared" si="68"/>
        <v>0</v>
      </c>
      <c r="K136" s="1147">
        <f>IF($B136="Please select",0,IF('6.Inland wetlands'!$AX60="",(VLOOKUP($B136,$B$117:$J$125,3,FALSE)+VLOOKUP($B136,$B$117:$J$125,5,FALSE))*0.47,'6.Inland wetlands'!$AX60))</f>
        <v>0</v>
      </c>
      <c r="L136" s="1147">
        <f>IF($B136="Please select",0,IF('6.Inland wetlands'!$AZ60="",(VLOOKUP($B136,$B$117:$J$125,4, FALSE) + VLOOKUP($B136,$B$117:$J$125,6, FALSE))*0.47,'6.Inland wetlands'!$AZ60))</f>
        <v>0</v>
      </c>
      <c r="M136" s="1197">
        <f>IF($B136="Please select",0,IF('6.Inland wetlands'!$BL60="",VLOOKUP($B136,$B$117:$J$125, 7, FALSE),'6.Inland wetlands'!$BL60) +IF('6.Inland wetlands'!$BO60="",VLOOKUP($B136,$B$117:$J$125,8, FALSE),'6.Inland wetlands'!$BO60))</f>
        <v>0</v>
      </c>
      <c r="N136" s="1121" t="str">
        <f t="shared" si="69"/>
        <v>Please select</v>
      </c>
      <c r="O136" s="1196">
        <v>0</v>
      </c>
      <c r="P136" s="1157">
        <f>'6.Inland wetlands'!N48</f>
        <v>0</v>
      </c>
      <c r="Q136" s="1157" t="str">
        <f>VLOOKUP('6.Inland wetlands'!O48, list!$I$48:$J$50,2,FALSE )</f>
        <v>Linear</v>
      </c>
      <c r="R136" s="1157">
        <f>'6.Inland wetlands'!P48</f>
        <v>0</v>
      </c>
      <c r="S136" s="1157" t="str">
        <f>VLOOKUP('6.Inland wetlands'!Q48, list!$I$48:$J$50,2,FALSE )</f>
        <v>Linear</v>
      </c>
      <c r="T136" s="1151">
        <f t="shared" si="70"/>
        <v>0</v>
      </c>
      <c r="U136" s="1151">
        <f t="shared" si="71"/>
        <v>0</v>
      </c>
      <c r="V136" s="1152">
        <f t="shared" si="72"/>
        <v>0</v>
      </c>
      <c r="W136" s="1152">
        <f t="shared" si="73"/>
        <v>0</v>
      </c>
      <c r="X136" s="1151">
        <f t="shared" si="74"/>
        <v>0</v>
      </c>
      <c r="Y136" s="1151">
        <f t="shared" si="75"/>
        <v>0</v>
      </c>
      <c r="AB136" s="973">
        <f t="shared" si="76"/>
        <v>0</v>
      </c>
      <c r="AC136" s="973">
        <f t="shared" si="77"/>
        <v>0</v>
      </c>
      <c r="AI136" s="1151">
        <f t="shared" si="78"/>
        <v>0</v>
      </c>
      <c r="AJ136" s="1151">
        <f t="shared" si="78"/>
        <v>0</v>
      </c>
      <c r="AK136" s="1159">
        <f t="shared" si="79"/>
        <v>0</v>
      </c>
      <c r="AX136" s="1449">
        <f t="shared" si="80"/>
        <v>0</v>
      </c>
      <c r="AY136" s="1449">
        <f t="shared" si="81"/>
        <v>0</v>
      </c>
      <c r="AZ136" s="1449">
        <f t="shared" si="82"/>
        <v>0</v>
      </c>
      <c r="BA136" s="1449">
        <f t="shared" si="83"/>
        <v>0</v>
      </c>
      <c r="BB136" s="1449">
        <f t="shared" si="84"/>
        <v>0</v>
      </c>
      <c r="BC136" s="1449">
        <f t="shared" si="85"/>
        <v>0</v>
      </c>
      <c r="BD136" s="1449"/>
      <c r="BK136" s="1084" t="s">
        <v>1130</v>
      </c>
      <c r="BL136" s="1314">
        <f>SUM($AD165:$AD170)+SUM($AD176:$AD181)</f>
        <v>0</v>
      </c>
      <c r="BM136" s="1314">
        <f>SUM($AE165:$AE170)+SUM($AE176:$AE181)</f>
        <v>0</v>
      </c>
      <c r="BN136" s="1246">
        <f t="shared" ref="BN136:BN142" si="90">BM136-BL136</f>
        <v>0</v>
      </c>
      <c r="BP136" s="1322" t="str">
        <f t="shared" si="88"/>
        <v>CH4 soil drainage</v>
      </c>
      <c r="BQ136" s="1312">
        <f t="shared" si="89"/>
        <v>0</v>
      </c>
      <c r="BR136" s="1312">
        <f>IF(time=0,0,SUM(BA165:BA170,BG165:BG170)-SUM(AZ165:AZ170,BF165:BF170))</f>
        <v>0</v>
      </c>
      <c r="BS136" s="1453">
        <f t="shared" si="86"/>
        <v>0</v>
      </c>
      <c r="BT136" s="1455">
        <f t="shared" si="87"/>
        <v>0</v>
      </c>
    </row>
    <row r="137" spans="2:73" x14ac:dyDescent="0.15">
      <c r="B137" s="973" t="str">
        <f>'6.Inland wetlands'!C49</f>
        <v>Please select</v>
      </c>
      <c r="C137" s="973" t="str">
        <f>IF('6.Inland wetlands'!K49="Please select",'6.Inland wetlands'!I49,'6.Inland wetlands'!K49)</f>
        <v>Please select</v>
      </c>
      <c r="D137" s="1194" t="str">
        <f>'6.Inland wetlands'!G49</f>
        <v>NO</v>
      </c>
      <c r="E137" s="1146">
        <f>IF('6.Inland wetlands'!AZ50=0, IF($C137="Please select",0,INDEX(IPCC!$D$1521:$Y$1680,MATCH(clim_moist_cont,IPCC!$C$1521:$C$1680,0),MATCH($C137,IPCC!$D$1520:$Y$1520,0))), '6.Inland wetlands'!AZ50)</f>
        <v>0</v>
      </c>
      <c r="F137" s="1146">
        <f t="shared" si="67"/>
        <v>0</v>
      </c>
      <c r="G137" s="1148">
        <f>IF($C137="Please select",0,VLOOKUP($C137,IPCC!$A$1473:$B$1495,2, FALSE))</f>
        <v>0</v>
      </c>
      <c r="H137" s="1146">
        <f>IFERROR($F137*$G137*VLOOKUP(C137,IPCC!$A$1473:$E$1496,4,FALSE),0)</f>
        <v>0</v>
      </c>
      <c r="I137" s="1146">
        <f>IFERROR($F137*$G137*VLOOKUP($C137, IPCC!$A$1473:$E$1496, 5, FALSE),0)</f>
        <v>0</v>
      </c>
      <c r="J137" s="1147">
        <f t="shared" si="68"/>
        <v>0</v>
      </c>
      <c r="K137" s="1147">
        <f>IF($B137="Please select",0,IF('6.Inland wetlands'!$AX61="",(VLOOKUP($B137,$B$117:$J$125,3,FALSE)+VLOOKUP($B137,$B$117:$J$125,5,FALSE))*0.47,'6.Inland wetlands'!$AX61))</f>
        <v>0</v>
      </c>
      <c r="L137" s="1147">
        <f>IF($B137="Please select",0,IF('6.Inland wetlands'!$AZ61="",(VLOOKUP($B137,$B$117:$J$125,4, FALSE) + VLOOKUP($B137,$B$117:$J$125,6, FALSE))*0.47,'6.Inland wetlands'!$AZ61))</f>
        <v>0</v>
      </c>
      <c r="M137" s="1197">
        <f>IF($B137="Please select",0,IF('6.Inland wetlands'!$BL61="",VLOOKUP($B137,$B$117:$J$125, 7, FALSE),'6.Inland wetlands'!$BL61) +IF('6.Inland wetlands'!$BO61="",VLOOKUP($B137,$B$117:$J$125,8, FALSE),'6.Inland wetlands'!$BO61))</f>
        <v>0</v>
      </c>
      <c r="N137" s="1121" t="str">
        <f t="shared" si="69"/>
        <v>Please select</v>
      </c>
      <c r="O137" s="1196">
        <v>0</v>
      </c>
      <c r="P137" s="1157">
        <f>'6.Inland wetlands'!N49</f>
        <v>0</v>
      </c>
      <c r="Q137" s="1157" t="str">
        <f>VLOOKUP('6.Inland wetlands'!O49, list!$I$48:$J$50,2,FALSE )</f>
        <v>Linear</v>
      </c>
      <c r="R137" s="1157">
        <f>'6.Inland wetlands'!P49</f>
        <v>0</v>
      </c>
      <c r="S137" s="1157" t="str">
        <f>VLOOKUP('6.Inland wetlands'!Q49, list!$I$48:$J$50,2,FALSE )</f>
        <v>Linear</v>
      </c>
      <c r="T137" s="1151">
        <f t="shared" si="70"/>
        <v>0</v>
      </c>
      <c r="U137" s="1151">
        <f t="shared" si="71"/>
        <v>0</v>
      </c>
      <c r="V137" s="1152">
        <f t="shared" si="72"/>
        <v>0</v>
      </c>
      <c r="W137" s="1152">
        <f t="shared" si="73"/>
        <v>0</v>
      </c>
      <c r="X137" s="1151">
        <f t="shared" si="74"/>
        <v>0</v>
      </c>
      <c r="Y137" s="1151">
        <f t="shared" si="75"/>
        <v>0</v>
      </c>
      <c r="AB137" s="973">
        <f t="shared" si="76"/>
        <v>0</v>
      </c>
      <c r="AC137" s="973">
        <f t="shared" si="77"/>
        <v>0</v>
      </c>
      <c r="AI137" s="1151">
        <f t="shared" si="78"/>
        <v>0</v>
      </c>
      <c r="AJ137" s="1151">
        <f t="shared" si="78"/>
        <v>0</v>
      </c>
      <c r="AK137" s="1159">
        <f t="shared" si="79"/>
        <v>0</v>
      </c>
      <c r="AX137" s="1449">
        <f t="shared" si="80"/>
        <v>0</v>
      </c>
      <c r="AY137" s="1449">
        <f t="shared" si="81"/>
        <v>0</v>
      </c>
      <c r="AZ137" s="1449">
        <f t="shared" si="82"/>
        <v>0</v>
      </c>
      <c r="BA137" s="1449">
        <f t="shared" si="83"/>
        <v>0</v>
      </c>
      <c r="BB137" s="1449">
        <f t="shared" si="84"/>
        <v>0</v>
      </c>
      <c r="BC137" s="1449">
        <f t="shared" si="85"/>
        <v>0</v>
      </c>
      <c r="BD137" s="1449"/>
      <c r="BK137" s="1084" t="s">
        <v>1131</v>
      </c>
      <c r="BL137" s="1314">
        <f>SUM($AF165:$AF170)+SUM($AF176:$AF181)</f>
        <v>0</v>
      </c>
      <c r="BM137" s="1314">
        <f>SUM($AG165:$AG170)+SUM($AG176:$AG181)</f>
        <v>0</v>
      </c>
      <c r="BN137" s="1246">
        <f t="shared" si="90"/>
        <v>0</v>
      </c>
      <c r="BP137" s="1322" t="str">
        <f t="shared" si="88"/>
        <v>N2O soil drainage</v>
      </c>
      <c r="BQ137" s="1312">
        <f t="shared" si="89"/>
        <v>0</v>
      </c>
      <c r="BR137" s="1312">
        <f>IF(time=0,0,SUM(BC165:BC170)-SUM(BB165:BB170))</f>
        <v>0</v>
      </c>
      <c r="BS137" s="1453">
        <f t="shared" si="86"/>
        <v>0</v>
      </c>
      <c r="BT137" s="1455">
        <f t="shared" si="87"/>
        <v>0</v>
      </c>
    </row>
    <row r="138" spans="2:73" x14ac:dyDescent="0.15">
      <c r="B138" s="973" t="str">
        <f>'6.Inland wetlands'!C50</f>
        <v>Please select</v>
      </c>
      <c r="C138" s="973" t="str">
        <f>IF('6.Inland wetlands'!K50="Please select",'6.Inland wetlands'!I50,'6.Inland wetlands'!K50)</f>
        <v>Please select</v>
      </c>
      <c r="D138" s="1194" t="str">
        <f>'6.Inland wetlands'!G50</f>
        <v>NO</v>
      </c>
      <c r="E138" s="1146">
        <f>IF('6.Inland wetlands'!AZ51=0, IF($C138="Please select",0,INDEX(IPCC!$D$1521:$Y$1680,MATCH(clim_moist_cont,IPCC!$C$1521:$C$1680,0),MATCH($C138,IPCC!$D$1520:$Y$1520,0))), '6.Inland wetlands'!AZ51)</f>
        <v>0</v>
      </c>
      <c r="F138" s="1146">
        <f t="shared" si="67"/>
        <v>0</v>
      </c>
      <c r="G138" s="1148">
        <f>IF($C138="Please select",0,VLOOKUP($C138,IPCC!$A$1473:$B$1495,2, FALSE))</f>
        <v>0</v>
      </c>
      <c r="H138" s="1146">
        <f>IFERROR($F138*$G138*VLOOKUP(C138,IPCC!$A$1473:$E$1496,4,FALSE),0)</f>
        <v>0</v>
      </c>
      <c r="I138" s="1146">
        <f>IFERROR($F138*$G138*VLOOKUP($C138, IPCC!$A$1473:$E$1496, 5, FALSE),0)</f>
        <v>0</v>
      </c>
      <c r="J138" s="1147">
        <f t="shared" si="68"/>
        <v>0</v>
      </c>
      <c r="K138" s="1147">
        <f>IF($B138="Please select",0,IF('6.Inland wetlands'!$AX62="",(VLOOKUP($B138,$B$117:$J$125,3,FALSE)+VLOOKUP($B138,$B$117:$J$125,5,FALSE))*0.47,'6.Inland wetlands'!$AX62))</f>
        <v>0</v>
      </c>
      <c r="L138" s="1147">
        <f>IF($B138="Please select",0,IF('6.Inland wetlands'!$AZ62="",(VLOOKUP($B138,$B$117:$J$125,4, FALSE) + VLOOKUP($B138,$B$117:$J$125,6, FALSE))*0.47,'6.Inland wetlands'!$AZ62))</f>
        <v>0</v>
      </c>
      <c r="M138" s="1197">
        <f>IF($B138="Please select",0,IF('6.Inland wetlands'!$BL62="",VLOOKUP($B138,$B$117:$J$125, 7, FALSE),'6.Inland wetlands'!$BL62) +IF('6.Inland wetlands'!$BO62="",VLOOKUP($B138,$B$117:$J$125,8, FALSE),'6.Inland wetlands'!$BO62))</f>
        <v>0</v>
      </c>
      <c r="N138" s="1121" t="str">
        <f t="shared" si="69"/>
        <v>Please select</v>
      </c>
      <c r="O138" s="1196">
        <v>0</v>
      </c>
      <c r="P138" s="1157">
        <f>'6.Inland wetlands'!N50</f>
        <v>0</v>
      </c>
      <c r="Q138" s="1157" t="str">
        <f>VLOOKUP('6.Inland wetlands'!O50, list!$I$48:$J$50,2,FALSE )</f>
        <v>Linear</v>
      </c>
      <c r="R138" s="1157">
        <f>'6.Inland wetlands'!P50</f>
        <v>0</v>
      </c>
      <c r="S138" s="1157" t="str">
        <f>VLOOKUP('6.Inland wetlands'!Q50, list!$I$48:$J$50,2,FALSE )</f>
        <v>Linear</v>
      </c>
      <c r="T138" s="1151">
        <f t="shared" si="70"/>
        <v>0</v>
      </c>
      <c r="U138" s="1151">
        <f t="shared" si="71"/>
        <v>0</v>
      </c>
      <c r="V138" s="1152">
        <f t="shared" si="72"/>
        <v>0</v>
      </c>
      <c r="W138" s="1152">
        <f t="shared" si="73"/>
        <v>0</v>
      </c>
      <c r="X138" s="1151">
        <f t="shared" si="74"/>
        <v>0</v>
      </c>
      <c r="Y138" s="1151">
        <f t="shared" si="75"/>
        <v>0</v>
      </c>
      <c r="AB138" s="973">
        <f t="shared" si="76"/>
        <v>0</v>
      </c>
      <c r="AC138" s="973">
        <f t="shared" si="77"/>
        <v>0</v>
      </c>
      <c r="AI138" s="1151">
        <f t="shared" si="78"/>
        <v>0</v>
      </c>
      <c r="AJ138" s="1151">
        <f t="shared" si="78"/>
        <v>0</v>
      </c>
      <c r="AK138" s="1159">
        <f t="shared" si="79"/>
        <v>0</v>
      </c>
      <c r="AX138" s="1449">
        <f t="shared" si="80"/>
        <v>0</v>
      </c>
      <c r="AY138" s="1449">
        <f t="shared" si="81"/>
        <v>0</v>
      </c>
      <c r="AZ138" s="1449">
        <f t="shared" si="82"/>
        <v>0</v>
      </c>
      <c r="BA138" s="1449">
        <f t="shared" si="83"/>
        <v>0</v>
      </c>
      <c r="BB138" s="1449">
        <f t="shared" si="84"/>
        <v>0</v>
      </c>
      <c r="BC138" s="1449">
        <f t="shared" si="85"/>
        <v>0</v>
      </c>
      <c r="BD138" s="1449"/>
      <c r="BK138" s="1084" t="s">
        <v>1132</v>
      </c>
      <c r="BL138" s="1314">
        <f>SUM($AB193:$AB198)+SUM(AB204:AB209)</f>
        <v>0</v>
      </c>
      <c r="BM138" s="1314">
        <f>SUM($AC193:$AC198)+SUM(AC204:AC209)</f>
        <v>0</v>
      </c>
      <c r="BN138" s="1246">
        <f t="shared" si="90"/>
        <v>0</v>
      </c>
      <c r="BP138" s="1322" t="str">
        <f t="shared" si="88"/>
        <v>CO2 soil rewetting</v>
      </c>
      <c r="BQ138" s="1312">
        <f t="shared" si="89"/>
        <v>0</v>
      </c>
      <c r="BR138" s="1312">
        <f>IF(time=0,0,SUM(AY191:AY196)-SUM(AX191:AX196))</f>
        <v>0</v>
      </c>
      <c r="BS138" s="1453">
        <f t="shared" si="86"/>
        <v>0</v>
      </c>
      <c r="BT138" s="1455">
        <f t="shared" si="87"/>
        <v>0</v>
      </c>
    </row>
    <row r="139" spans="2:73" x14ac:dyDescent="0.15">
      <c r="B139" s="973" t="str">
        <f>'6.Inland wetlands'!C51</f>
        <v>Please select</v>
      </c>
      <c r="C139" s="973" t="str">
        <f>IF('6.Inland wetlands'!K51="Please select",'6.Inland wetlands'!I51,'6.Inland wetlands'!K51)</f>
        <v>Please select</v>
      </c>
      <c r="D139" s="1194" t="str">
        <f>'6.Inland wetlands'!G51</f>
        <v>NO</v>
      </c>
      <c r="E139" s="1146">
        <f>IF('6.Inland wetlands'!AZ52=0, IF($C139="Please select",0,INDEX(IPCC!$D$1521:$Y$1680,MATCH(clim_moist_cont,IPCC!$C$1521:$C$1680,0),MATCH($C139,IPCC!$D$1520:$Y$1520,0))), '6.Inland wetlands'!AZ52)</f>
        <v>0</v>
      </c>
      <c r="F139" s="1146">
        <f t="shared" si="67"/>
        <v>0</v>
      </c>
      <c r="G139" s="1150">
        <f>IF($C139="Please select",0,VLOOKUP($C139,IPCC!$A$1473:$B$1495,2, FALSE))</f>
        <v>0</v>
      </c>
      <c r="H139" s="1146">
        <f>IFERROR($F139*$G139*VLOOKUP(C139,IPCC!$A$1473:$E$1496,4,FALSE),0)</f>
        <v>0</v>
      </c>
      <c r="I139" s="1146">
        <f>IFERROR($F139*$G139*VLOOKUP($C139, IPCC!$A$1473:$E$1496, 5, FALSE),0)</f>
        <v>0</v>
      </c>
      <c r="J139" s="1149">
        <f t="shared" si="68"/>
        <v>0</v>
      </c>
      <c r="K139" s="1149">
        <f>IF($B139="Please select",0,IF('6.Inland wetlands'!$AX63="",(VLOOKUP($B139,$B$117:$J$125,3,FALSE)+VLOOKUP($B139,$B$117:$J$125,5,FALSE))*0.47,'6.Inland wetlands'!$AX63))</f>
        <v>0</v>
      </c>
      <c r="L139" s="1149">
        <f>IF($B139="Please select",0,IF('6.Inland wetlands'!$AZ63="",(VLOOKUP($B139,$B$117:$J$125,4, FALSE) + VLOOKUP($B139,$B$117:$J$125,6, FALSE))*0.47,'6.Inland wetlands'!$AZ63))</f>
        <v>0</v>
      </c>
      <c r="M139" s="1199">
        <f>IF($B139="Please select",0,IF('6.Inland wetlands'!$BL63="",VLOOKUP($B139,$B$117:$J$125, 7, FALSE),'6.Inland wetlands'!$BL63) +IF('6.Inland wetlands'!$BO63="",VLOOKUP($B139,$B$117:$J$125,8, FALSE),'6.Inland wetlands'!$BO63))</f>
        <v>0</v>
      </c>
      <c r="N139" s="1121" t="str">
        <f t="shared" si="69"/>
        <v>Please select</v>
      </c>
      <c r="O139" s="1198">
        <v>0</v>
      </c>
      <c r="P139" s="1158">
        <f>'6.Inland wetlands'!N51</f>
        <v>0</v>
      </c>
      <c r="Q139" s="1158" t="str">
        <f>VLOOKUP('6.Inland wetlands'!O51, list!$I$48:$J$50,2,FALSE )</f>
        <v>Linear</v>
      </c>
      <c r="R139" s="1158">
        <f>'6.Inland wetlands'!P51</f>
        <v>0</v>
      </c>
      <c r="S139" s="1158" t="str">
        <f>VLOOKUP('6.Inland wetlands'!Q51, list!$I$48:$J$50,2,FALSE )</f>
        <v>Linear</v>
      </c>
      <c r="T139" s="1151">
        <f t="shared" si="70"/>
        <v>0</v>
      </c>
      <c r="U139" s="1151">
        <f t="shared" si="71"/>
        <v>0</v>
      </c>
      <c r="V139" s="1153">
        <f t="shared" si="72"/>
        <v>0</v>
      </c>
      <c r="W139" s="1153">
        <f t="shared" si="73"/>
        <v>0</v>
      </c>
      <c r="X139" s="1151">
        <f t="shared" si="74"/>
        <v>0</v>
      </c>
      <c r="Y139" s="1151">
        <f t="shared" si="75"/>
        <v>0</v>
      </c>
      <c r="AB139" s="973">
        <f t="shared" si="76"/>
        <v>0</v>
      </c>
      <c r="AC139" s="973">
        <f t="shared" si="77"/>
        <v>0</v>
      </c>
      <c r="AI139" s="1151">
        <f t="shared" si="78"/>
        <v>0</v>
      </c>
      <c r="AJ139" s="1151">
        <f t="shared" si="78"/>
        <v>0</v>
      </c>
      <c r="AK139" s="3474">
        <f t="shared" si="79"/>
        <v>0</v>
      </c>
      <c r="AX139" s="1449">
        <f t="shared" si="80"/>
        <v>0</v>
      </c>
      <c r="AY139" s="1449">
        <f t="shared" si="81"/>
        <v>0</v>
      </c>
      <c r="AZ139" s="1449">
        <f t="shared" si="82"/>
        <v>0</v>
      </c>
      <c r="BA139" s="1449">
        <f t="shared" si="83"/>
        <v>0</v>
      </c>
      <c r="BB139" s="1449">
        <f t="shared" si="84"/>
        <v>0</v>
      </c>
      <c r="BC139" s="1449">
        <f t="shared" si="85"/>
        <v>0</v>
      </c>
      <c r="BD139" s="1449"/>
      <c r="BK139" s="1084" t="s">
        <v>1133</v>
      </c>
      <c r="BL139" s="1314">
        <f>SUM($AD193:$AD198)+SUM(AD204:AD209)</f>
        <v>0</v>
      </c>
      <c r="BM139" s="1314">
        <f>SUM($AE193:$AE198)+SUM(AE204:AE209)</f>
        <v>0</v>
      </c>
      <c r="BN139" s="1246">
        <f t="shared" si="90"/>
        <v>0</v>
      </c>
      <c r="BP139" s="1322" t="str">
        <f t="shared" si="88"/>
        <v>CH4 soil rewetting</v>
      </c>
      <c r="BQ139" s="1312">
        <f t="shared" si="89"/>
        <v>0</v>
      </c>
      <c r="BR139" s="1312">
        <f>IF(time=0,0,SUM(BA191:BA196)-SUM(AZ191:AZ196))</f>
        <v>0</v>
      </c>
      <c r="BS139" s="1453">
        <f t="shared" si="86"/>
        <v>0</v>
      </c>
      <c r="BT139" s="1455">
        <f t="shared" si="87"/>
        <v>0</v>
      </c>
    </row>
    <row r="140" spans="2:73" x14ac:dyDescent="0.15">
      <c r="D140" s="1688"/>
      <c r="E140" s="1172"/>
      <c r="F140" s="1172"/>
      <c r="G140" s="1172"/>
      <c r="H140" s="1172"/>
      <c r="I140" s="1172"/>
      <c r="J140" s="1187"/>
      <c r="K140" s="1187"/>
      <c r="L140" s="1187"/>
      <c r="M140" s="1663"/>
      <c r="O140" s="1688"/>
      <c r="P140" s="1688"/>
      <c r="Q140" s="1688"/>
      <c r="R140" s="1688"/>
      <c r="S140" s="1688"/>
      <c r="T140" s="992"/>
      <c r="U140" s="992"/>
      <c r="V140" s="992"/>
      <c r="W140" s="992"/>
      <c r="X140" s="992"/>
      <c r="Y140" s="992"/>
      <c r="AI140" s="992"/>
      <c r="AJ140" s="992"/>
      <c r="AK140" s="992"/>
      <c r="AX140" s="1449"/>
      <c r="AY140" s="1449"/>
      <c r="AZ140" s="1449"/>
      <c r="BA140" s="1449"/>
      <c r="BB140" s="1449"/>
      <c r="BC140" s="1449"/>
      <c r="BD140" s="1449"/>
      <c r="BK140" s="1084" t="s">
        <v>1134</v>
      </c>
      <c r="BL140" s="1314">
        <f>SUM($AF193:$AF198)+SUM(AF204:AF209)</f>
        <v>0</v>
      </c>
      <c r="BM140" s="1314">
        <f>SUM($AG193:$AG198)+SUM(AG204:AG209)</f>
        <v>0</v>
      </c>
      <c r="BN140" s="1246">
        <f t="shared" si="90"/>
        <v>0</v>
      </c>
      <c r="BP140" s="1322" t="str">
        <f t="shared" si="88"/>
        <v>N2O soil rewetting</v>
      </c>
      <c r="BQ140" s="1312">
        <f t="shared" si="89"/>
        <v>0</v>
      </c>
      <c r="BR140" s="1312">
        <f>IF(time=0,0,SUM(BC191:BC196)-SUM(BB191:BB196))</f>
        <v>0</v>
      </c>
      <c r="BS140" s="1453">
        <f>BQ140-BR140</f>
        <v>0</v>
      </c>
      <c r="BT140" s="1455">
        <f t="shared" si="87"/>
        <v>0</v>
      </c>
    </row>
    <row r="141" spans="2:73" x14ac:dyDescent="0.15">
      <c r="D141" s="1688"/>
      <c r="E141" s="1172"/>
      <c r="F141" s="1172"/>
      <c r="G141" s="1172"/>
      <c r="H141" s="1172"/>
      <c r="I141" s="1172"/>
      <c r="J141" s="1187"/>
      <c r="K141" s="1187"/>
      <c r="L141" s="1187"/>
      <c r="M141" s="1663"/>
      <c r="O141" s="1688"/>
      <c r="P141" s="1688"/>
      <c r="Q141" s="1688"/>
      <c r="R141" s="1688"/>
      <c r="S141" s="1688"/>
      <c r="T141" s="992"/>
      <c r="U141" s="992"/>
      <c r="V141" s="992"/>
      <c r="W141" s="992"/>
      <c r="X141" s="992"/>
      <c r="Y141" s="992"/>
      <c r="AI141" s="992"/>
      <c r="AJ141" s="992"/>
      <c r="AK141" s="992"/>
      <c r="AX141" s="1449"/>
      <c r="AY141" s="1449"/>
      <c r="AZ141" s="1449"/>
      <c r="BA141" s="1449"/>
      <c r="BB141" s="1449"/>
      <c r="BC141" s="1449"/>
      <c r="BD141" s="1449"/>
      <c r="BK141" s="1084" t="s">
        <v>1135</v>
      </c>
      <c r="BL141" s="1314">
        <f>SUM($AD151:$AD156)</f>
        <v>0</v>
      </c>
      <c r="BM141" s="1314">
        <f>SUM($AE151:$AE156)</f>
        <v>0</v>
      </c>
      <c r="BN141" s="1246">
        <f t="shared" si="90"/>
        <v>0</v>
      </c>
      <c r="BP141" s="1322" t="str">
        <f t="shared" si="88"/>
        <v>CO2 Fire</v>
      </c>
      <c r="BQ141" s="1312">
        <f t="shared" si="89"/>
        <v>0</v>
      </c>
      <c r="BR141" s="1312">
        <f>IF(time=0,0,SUM(AY151:AY156)-SUM(AX151:AX156))</f>
        <v>0</v>
      </c>
      <c r="BS141" s="1453">
        <f>BQ141-BR141</f>
        <v>0</v>
      </c>
      <c r="BT141" s="1455">
        <f t="shared" si="87"/>
        <v>0</v>
      </c>
    </row>
    <row r="142" spans="2:73" x14ac:dyDescent="0.15">
      <c r="BK142" s="1084" t="s">
        <v>1136</v>
      </c>
      <c r="BL142" s="1314">
        <f>SUM($AZ134:$AZ139)+SUM($AF151:$AF156)+SUM(R118:R123)</f>
        <v>0</v>
      </c>
      <c r="BM142" s="1314">
        <f>SUM($BA134:$BA139)+SUM($AG151:$AG156)+SUM(T118:T123)</f>
        <v>0</v>
      </c>
      <c r="BN142" s="1246">
        <f t="shared" si="90"/>
        <v>0</v>
      </c>
      <c r="BP142" s="1322" t="str">
        <f t="shared" si="88"/>
        <v>CH4 Fire</v>
      </c>
      <c r="BQ142" s="1312">
        <f t="shared" si="89"/>
        <v>0</v>
      </c>
      <c r="BR142" s="1312">
        <f>IF(time=0,0,SUM(BA151:BA156)-SUM(AZ151:AZ156)+SUM(BA134:BA139)-SUM(AZ134:AZ139))</f>
        <v>0</v>
      </c>
      <c r="BS142" s="1453">
        <f>BQ142-BR142</f>
        <v>0</v>
      </c>
      <c r="BT142" s="1455">
        <f t="shared" si="87"/>
        <v>0</v>
      </c>
    </row>
    <row r="143" spans="2:73" s="1089" customFormat="1" ht="30.5" customHeight="1" x14ac:dyDescent="0.15">
      <c r="B143" s="1112" t="s">
        <v>1213</v>
      </c>
      <c r="C143" s="1113"/>
      <c r="D143" s="1113"/>
      <c r="E143" s="1113"/>
      <c r="F143" s="1113"/>
      <c r="G143" s="1113"/>
      <c r="H143" s="1113"/>
      <c r="I143" s="1113"/>
      <c r="J143" s="1113"/>
      <c r="K143" s="1113"/>
      <c r="L143" s="1113"/>
      <c r="M143" s="1113"/>
      <c r="N143" s="1113"/>
      <c r="O143" s="1113"/>
      <c r="P143" s="1113"/>
      <c r="Q143" s="1113"/>
      <c r="R143" s="1113"/>
      <c r="S143" s="1113"/>
      <c r="T143" s="1113"/>
      <c r="U143" s="1113"/>
      <c r="V143" s="1113"/>
      <c r="W143" s="1113"/>
      <c r="X143" s="1113"/>
      <c r="Y143" s="1113"/>
      <c r="Z143" s="1113"/>
      <c r="AA143" s="1113"/>
      <c r="AB143" s="1113"/>
      <c r="AC143" s="1113"/>
      <c r="AD143" s="1113"/>
      <c r="AE143" s="1113"/>
      <c r="AF143" s="1113"/>
      <c r="AG143" s="1113"/>
      <c r="AH143" s="1113"/>
      <c r="AI143" s="1113"/>
      <c r="AJ143" s="1113"/>
      <c r="AK143" s="1113"/>
      <c r="AX143" s="1447"/>
      <c r="AY143" s="1447"/>
      <c r="AZ143" s="1447"/>
      <c r="BA143" s="1447"/>
      <c r="BB143" s="1447"/>
      <c r="BC143" s="1447"/>
      <c r="BD143" s="1447"/>
      <c r="BE143" s="1447"/>
      <c r="BF143" s="1447"/>
      <c r="BG143" s="1447"/>
      <c r="BJ143" s="973"/>
      <c r="BK143" s="1459" t="s">
        <v>626</v>
      </c>
      <c r="BL143" s="1319">
        <f>SUM($BB134:$BB139)+SUM(S118:S123)</f>
        <v>0</v>
      </c>
      <c r="BM143" s="1319">
        <f>SUM($BC134:$BC139)+SUM(U118:U123)</f>
        <v>0</v>
      </c>
      <c r="BN143" s="1246">
        <f>BM143-BL143</f>
        <v>0</v>
      </c>
      <c r="BO143" s="973"/>
      <c r="BP143" s="1323" t="str">
        <f t="shared" si="88"/>
        <v>N2O Fire</v>
      </c>
      <c r="BQ143" s="1312">
        <f t="shared" si="89"/>
        <v>0</v>
      </c>
      <c r="BR143" s="1464">
        <f>IF(time=0,0,SUM(BC134:BC139)-SUM(BB134:BB139))</f>
        <v>0</v>
      </c>
      <c r="BS143" s="1320">
        <f>BQ143-BR143</f>
        <v>0</v>
      </c>
      <c r="BT143" s="1455">
        <f t="shared" si="87"/>
        <v>0</v>
      </c>
      <c r="BU143" s="973"/>
    </row>
    <row r="144" spans="2:73" s="1089" customFormat="1" ht="20.25" customHeight="1" x14ac:dyDescent="0.15">
      <c r="B144" s="1228"/>
      <c r="AX144" s="1447"/>
      <c r="AY144" s="1447"/>
      <c r="AZ144" s="1447"/>
      <c r="BA144" s="1447"/>
      <c r="BB144" s="1447"/>
      <c r="BC144" s="1447"/>
      <c r="BD144" s="1447"/>
      <c r="BE144" s="1447"/>
      <c r="BF144" s="1447"/>
      <c r="BG144" s="1447"/>
      <c r="BJ144" s="973"/>
      <c r="BK144" s="973"/>
      <c r="BL144" s="973"/>
      <c r="BM144" s="973"/>
      <c r="BN144" s="973"/>
      <c r="BO144" s="973"/>
      <c r="BP144" s="1316"/>
      <c r="BQ144" s="1460">
        <f>SUM(BQ134:BQ143)</f>
        <v>0</v>
      </c>
      <c r="BR144" s="1460">
        <f>SUM(BR134:BR143)</f>
        <v>0</v>
      </c>
      <c r="BS144" s="1460">
        <f>SUM(BS134:BS143)</f>
        <v>0</v>
      </c>
      <c r="BT144" s="992">
        <f>BR144+BS144</f>
        <v>0</v>
      </c>
      <c r="BU144" s="973"/>
    </row>
    <row r="145" spans="1:73" s="1089" customFormat="1" ht="20.25" customHeight="1" x14ac:dyDescent="0.2">
      <c r="B145" s="1257" t="s">
        <v>1138</v>
      </c>
      <c r="D145" s="1250" t="str">
        <f>'6.Inland wetlands'!CK53</f>
        <v>Nutrient poor</v>
      </c>
      <c r="F145" s="1257" t="s">
        <v>1139</v>
      </c>
      <c r="G145" s="973"/>
      <c r="H145" s="973"/>
      <c r="I145" s="973"/>
      <c r="J145" s="1250" t="str">
        <f>'6.Inland wetlands'!CK65</f>
        <v>Nutrient poor</v>
      </c>
      <c r="AX145" s="1447"/>
      <c r="AY145" s="1447"/>
      <c r="AZ145" s="1447"/>
      <c r="BA145" s="1447"/>
      <c r="BB145" s="1447"/>
      <c r="BC145" s="1447"/>
      <c r="BD145" s="1447"/>
      <c r="BE145" s="1447"/>
      <c r="BF145" s="1447"/>
      <c r="BG145" s="1447"/>
      <c r="BJ145" s="973"/>
      <c r="BK145" s="973" t="s">
        <v>871</v>
      </c>
      <c r="BL145" s="992">
        <f>SUM(BL134:BL143)</f>
        <v>0</v>
      </c>
      <c r="BM145" s="992">
        <f>SUM(BM134:BM143)</f>
        <v>0</v>
      </c>
      <c r="BN145" s="1246">
        <f>BM145-BL145</f>
        <v>0</v>
      </c>
      <c r="BO145" s="1246"/>
      <c r="BP145" s="973"/>
      <c r="BQ145" s="973"/>
      <c r="BR145" s="973"/>
      <c r="BS145" s="973"/>
      <c r="BT145" s="973"/>
      <c r="BU145" s="973"/>
    </row>
    <row r="146" spans="1:73" x14ac:dyDescent="0.15">
      <c r="Q146" s="1120" t="s">
        <v>1141</v>
      </c>
      <c r="BK146" s="973" t="s">
        <v>1140</v>
      </c>
      <c r="BL146" s="992">
        <f>SUM(AI134:AI139,AI151:AI156,AI171:AI176,AI200:AI205)</f>
        <v>0</v>
      </c>
      <c r="BM146" s="992">
        <f>SUM(AJ134:AJ139,AJ151:AJ156,AJ171:AJ176,AJ200:AJ205)</f>
        <v>0</v>
      </c>
      <c r="BN146" s="992">
        <f>SUM(AK134:AK139,AK151:AK156,AK171:AK176,AK200:AK205)</f>
        <v>0</v>
      </c>
      <c r="BO146" s="1246"/>
    </row>
    <row r="147" spans="1:73" ht="16" x14ac:dyDescent="0.2">
      <c r="A147" s="1306"/>
      <c r="B147" s="1231" t="str">
        <f>B130</f>
        <v>Conversion details (initial and final land use)</v>
      </c>
      <c r="F147" s="1262" t="s">
        <v>1214</v>
      </c>
      <c r="G147" s="3464"/>
      <c r="H147" s="3464"/>
      <c r="I147" s="3464"/>
      <c r="J147" s="3464"/>
      <c r="K147" s="3464"/>
      <c r="L147" s="3464"/>
      <c r="M147" s="3464"/>
      <c r="O147" s="1497" t="s">
        <v>1144</v>
      </c>
      <c r="P147" s="1497"/>
      <c r="Q147" s="1497"/>
      <c r="R147" s="1506"/>
      <c r="S147" s="1506"/>
      <c r="T147" s="1506"/>
      <c r="U147" s="1506"/>
      <c r="V147" s="1506"/>
      <c r="W147" s="1506"/>
      <c r="X147" s="1276" t="s">
        <v>1145</v>
      </c>
      <c r="Y147" s="1276"/>
      <c r="Z147" s="1276"/>
      <c r="AD147" s="1497" t="s">
        <v>1146</v>
      </c>
      <c r="AE147" s="1276"/>
      <c r="AF147" s="1276"/>
      <c r="AG147" s="1276"/>
      <c r="AI147" s="1270" t="s">
        <v>1115</v>
      </c>
      <c r="AJ147" s="1116"/>
      <c r="AK147" s="1116"/>
      <c r="AX147" s="1287" t="s">
        <v>1147</v>
      </c>
      <c r="AY147" s="1501"/>
      <c r="AZ147" s="1501"/>
    </row>
    <row r="148" spans="1:73" ht="17" x14ac:dyDescent="0.2">
      <c r="A148" s="1306"/>
      <c r="F148" s="1100" t="s">
        <v>200</v>
      </c>
      <c r="G148" s="1100"/>
      <c r="H148" s="1100"/>
      <c r="I148" s="1100"/>
      <c r="J148" s="1101" t="s">
        <v>201</v>
      </c>
      <c r="K148" s="1101"/>
      <c r="L148" s="1101"/>
      <c r="M148" s="1101"/>
      <c r="O148" s="1497" t="s">
        <v>1036</v>
      </c>
      <c r="P148" s="1506"/>
      <c r="Q148" s="1497" t="s">
        <v>1038</v>
      </c>
      <c r="R148" s="1506"/>
      <c r="S148" s="1497" t="s">
        <v>176</v>
      </c>
      <c r="T148" s="1506"/>
      <c r="U148" s="1497" t="s">
        <v>1148</v>
      </c>
      <c r="V148" s="1506"/>
      <c r="W148" s="1506"/>
      <c r="X148" s="1276"/>
      <c r="Y148" s="1276"/>
      <c r="Z148" s="1276"/>
      <c r="AD148" s="1506" t="s">
        <v>1149</v>
      </c>
      <c r="AE148" s="1276"/>
      <c r="AF148" s="1276"/>
      <c r="AG148" s="1276"/>
      <c r="AI148" s="1270" t="s">
        <v>1121</v>
      </c>
      <c r="AJ148" s="1116"/>
      <c r="AK148" s="1116"/>
      <c r="AX148" s="1502" t="s">
        <v>1036</v>
      </c>
      <c r="AY148" s="1502"/>
      <c r="AZ148" s="1502" t="s">
        <v>176</v>
      </c>
      <c r="BA148" s="1450"/>
      <c r="BB148" s="1452"/>
      <c r="BC148" s="1452"/>
      <c r="BD148" s="1452"/>
      <c r="BE148" s="1452"/>
      <c r="BF148" s="1452"/>
      <c r="BG148" s="1452"/>
    </row>
    <row r="149" spans="1:73" ht="16" x14ac:dyDescent="0.2">
      <c r="A149" s="1306"/>
      <c r="B149" s="1231" t="s">
        <v>94</v>
      </c>
      <c r="C149" s="1231"/>
      <c r="D149" s="1231" t="s">
        <v>93</v>
      </c>
      <c r="E149" s="1231"/>
      <c r="F149" s="1100"/>
      <c r="G149" s="1105"/>
      <c r="H149" s="1100" t="s">
        <v>1151</v>
      </c>
      <c r="I149" s="1100" t="s">
        <v>1152</v>
      </c>
      <c r="J149" s="1101"/>
      <c r="K149" s="1101"/>
      <c r="L149" s="1101" t="str">
        <f>H149</f>
        <v>Periodicity</v>
      </c>
      <c r="M149" s="1101" t="str">
        <f>I149</f>
        <v>Impact</v>
      </c>
      <c r="O149" s="1506" t="s">
        <v>1047</v>
      </c>
      <c r="P149" s="1506"/>
      <c r="Q149" s="1506" t="s">
        <v>1048</v>
      </c>
      <c r="R149" s="1506"/>
      <c r="S149" s="1506" t="s">
        <v>1049</v>
      </c>
      <c r="T149" s="1506"/>
      <c r="U149" s="1506" t="s">
        <v>116</v>
      </c>
      <c r="V149" s="1506"/>
      <c r="W149" s="1506"/>
      <c r="X149" s="1309" t="s">
        <v>1153</v>
      </c>
      <c r="Y149" s="1276"/>
      <c r="Z149" s="1276"/>
      <c r="AD149" s="1506" t="s">
        <v>1154</v>
      </c>
      <c r="AE149" s="1276"/>
      <c r="AF149" s="1506" t="s">
        <v>176</v>
      </c>
      <c r="AG149" s="1276"/>
      <c r="AI149" s="1270" t="s">
        <v>1215</v>
      </c>
      <c r="AJ149" s="1116"/>
      <c r="AK149" s="1116"/>
      <c r="AX149" s="1264" t="s">
        <v>859</v>
      </c>
      <c r="AZ149" s="1264" t="s">
        <v>859</v>
      </c>
    </row>
    <row r="150" spans="1:73" ht="16" x14ac:dyDescent="0.2">
      <c r="A150" s="1306"/>
      <c r="B150" s="1231" t="s">
        <v>1156</v>
      </c>
      <c r="C150" s="1231" t="s">
        <v>1216</v>
      </c>
      <c r="D150" s="1231" t="s">
        <v>1156</v>
      </c>
      <c r="E150" s="1231" t="s">
        <v>1216</v>
      </c>
      <c r="F150" s="1102" t="s">
        <v>371</v>
      </c>
      <c r="G150" s="1102" t="s">
        <v>225</v>
      </c>
      <c r="H150" s="1102" t="s">
        <v>1158</v>
      </c>
      <c r="I150" s="1107" t="s">
        <v>1159</v>
      </c>
      <c r="J150" s="1103" t="s">
        <v>371</v>
      </c>
      <c r="K150" s="1103" t="s">
        <v>225</v>
      </c>
      <c r="L150" s="1103" t="s">
        <v>1158</v>
      </c>
      <c r="M150" s="1108" t="s">
        <v>1159</v>
      </c>
      <c r="O150" s="1507" t="s">
        <v>864</v>
      </c>
      <c r="P150" s="1507" t="s">
        <v>66</v>
      </c>
      <c r="Q150" s="1507" t="s">
        <v>864</v>
      </c>
      <c r="R150" s="1507" t="s">
        <v>66</v>
      </c>
      <c r="S150" s="1507" t="s">
        <v>864</v>
      </c>
      <c r="T150" s="1507" t="s">
        <v>66</v>
      </c>
      <c r="U150" s="1507" t="s">
        <v>864</v>
      </c>
      <c r="V150" s="1507" t="s">
        <v>66</v>
      </c>
      <c r="W150" s="1506"/>
      <c r="X150" s="973" t="s">
        <v>219</v>
      </c>
      <c r="Y150" s="1102" t="s">
        <v>179</v>
      </c>
      <c r="Z150" s="1103" t="s">
        <v>180</v>
      </c>
      <c r="AA150" s="1688"/>
      <c r="AD150" s="1102" t="s">
        <v>179</v>
      </c>
      <c r="AE150" s="1103" t="s">
        <v>180</v>
      </c>
      <c r="AF150" s="1102" t="s">
        <v>179</v>
      </c>
      <c r="AG150" s="1103" t="s">
        <v>180</v>
      </c>
      <c r="AI150" s="1102" t="s">
        <v>200</v>
      </c>
      <c r="AJ150" s="1103" t="s">
        <v>201</v>
      </c>
      <c r="AK150" s="1104" t="s">
        <v>324</v>
      </c>
      <c r="AX150" s="1272" t="s">
        <v>200</v>
      </c>
      <c r="AY150" s="1272" t="s">
        <v>201</v>
      </c>
      <c r="AZ150" s="1272" t="s">
        <v>200</v>
      </c>
      <c r="BA150" s="1272" t="s">
        <v>201</v>
      </c>
    </row>
    <row r="151" spans="1:73" x14ac:dyDescent="0.15">
      <c r="A151" s="1466" t="s">
        <v>1160</v>
      </c>
      <c r="B151" s="973" t="str">
        <f>'6.Inland wetlands'!C46</f>
        <v>Please select</v>
      </c>
      <c r="C151" s="1121" t="str">
        <f t="shared" ref="C151:C156" si="91">IF($B151="Please select","",IF(ISNUMBER(SEARCH("Planted",$B151)),"Plantation","Forest"))</f>
        <v/>
      </c>
      <c r="D151" s="973" t="str">
        <f>IF('6.Inland wetlands'!K46="Please select",'6.Inland wetlands'!I46,'6.Inland wetlands'!K46)</f>
        <v>Please select</v>
      </c>
      <c r="E151" s="1121" t="str">
        <f>IF($D151="Please select","",IF(ISNUMBER(SEARCH("Annual",$D151)),"Annual",IF(ISNUMBER(SEARCH(list!$C$218,$D151)),"Other land",IF($D151="Agroforestry","Perennial",$D151))))</f>
        <v/>
      </c>
      <c r="F151" s="992">
        <f>'6.Inland wetlands'!N46</f>
        <v>0</v>
      </c>
      <c r="G151" s="1688" t="str">
        <f>VLOOKUP('6.Inland wetlands'!O46, list!$I$48:$J$50,2,FALSE )</f>
        <v>Linear</v>
      </c>
      <c r="H151" s="1688">
        <f>'6.Inland wetlands'!DB46</f>
        <v>1</v>
      </c>
      <c r="I151" s="1071">
        <f>'6.Inland wetlands'!DC46</f>
        <v>0.01</v>
      </c>
      <c r="J151" s="992">
        <f>'6.Inland wetlands'!P46</f>
        <v>0</v>
      </c>
      <c r="K151" s="1688" t="str">
        <f>VLOOKUP('6.Inland wetlands'!Q46, list!$I$48:$J$50,2,FALSE )</f>
        <v>Linear</v>
      </c>
      <c r="L151" s="1688">
        <f>'6.Inland wetlands'!DE46</f>
        <v>1</v>
      </c>
      <c r="M151" s="1071">
        <f>'6.Inland wetlands'!DF46</f>
        <v>0.01</v>
      </c>
      <c r="O151" s="1111">
        <f>IFERROR(INDEX(IPCC!$A$2037:$D$2048,MATCH(clim_moist,IPCC!$A$2037:$A$2048,0),MATCH($O$148,IPCC!$A$2037:$D$2037,0)),0)</f>
        <v>362</v>
      </c>
      <c r="P151" s="1161">
        <f>IF('6.Inland wetlands'!DI46="",'6.Inland wetlands'!DH46,'6.Inland wetlands'!DI46)</f>
        <v>362</v>
      </c>
      <c r="Q151" s="1111">
        <f>IFERROR(INDEX(IPCC!$A$2037:$D$2048,MATCH(clim_moist,IPCC!$A$2037:$A$2048,0),MATCH($Q$148,IPCC!$A$2037:$D$2037,0)),0)</f>
        <v>207</v>
      </c>
      <c r="R151" s="1161">
        <f>IF('6.Inland wetlands'!DK46="",'6.Inland wetlands'!DJ46,'6.Inland wetlands'!DK46)</f>
        <v>207</v>
      </c>
      <c r="S151" s="1111">
        <f>IFERROR(INDEX(IPCC!$A$2037:$D$2048,MATCH(clim_moist,IPCC!$A$2037:$A$2048,0),MATCH($S$148,IPCC!$A$2037:$D$2037,0)),0)</f>
        <v>9</v>
      </c>
      <c r="T151" s="1161">
        <f>IF('6.Inland wetlands'!DM46="",'6.Inland wetlands'!DL46,'6.Inland wetlands'!DM46)</f>
        <v>9</v>
      </c>
      <c r="U151" s="1111">
        <f>IFERROR(INDEX(IPCC!$A$2020:$D$2031,MATCH(clim_moist,IPCC!$A$2021:$A$2031,0),MATCH('6.Inland wetlands'!$CZ46,IPCC!$A$2020:$D$2020,0)),0)</f>
        <v>0</v>
      </c>
      <c r="V151" s="1161">
        <f>IF('6.Inland wetlands'!DO46="",'6.Inland wetlands'!DN46,'6.Inland wetlands'!DO46)</f>
        <v>0</v>
      </c>
      <c r="W151" s="1276"/>
      <c r="X151" s="1151">
        <v>0</v>
      </c>
      <c r="Y151" s="1151">
        <f>IF('6.Inland wetlands'!CZ46=list!$F$210,0,V151*F151)</f>
        <v>0</v>
      </c>
      <c r="Z151" s="1151">
        <f>IF('6.Inland wetlands'!$CZ46=list!$F$210,0,V151*J151)</f>
        <v>0</v>
      </c>
      <c r="AA151" s="1468"/>
      <c r="AD151" s="1151">
        <f>IF(OR('6.Inland wetlands'!$AA58=list!$E$210,'6.Inland wetlands'!$AA58=list!$E$212,'6.Inland wetlands'!$AA58=list!$E$214),0,IF($H151&gt;time_tot,0,MIN($X151,$Y151)*time_tot+ABS($Y151-$X151)*IF($Y151&gt;$X151,time_cap+time*VLOOKUP($G151,list!$J$48:$K$50,2,0),time*(1-VLOOKUP($G151,list!$J$48:$K$50,2,0))))*(1/$H151)*($I151)*($P151*44/12/1000)+IF($H151&gt;time_tot,0,MIN($X151,$Y151)*time_tot+ABS($Y151-$X151)*IF($Y151&gt;$X151,time_cap+time*VLOOKUP($G151,list!$J$48:$K$50,2,0),time*(1-VLOOKUP($G151,list!$J$48:$K$50,2,0))))*(1/$H151)*($I151)*($R151*2/1000))</f>
        <v>0</v>
      </c>
      <c r="AE151" s="1151">
        <f>IF(OR('6.Inland wetlands'!$AA58=list!$E$210,'6.Inland wetlands'!$AA58=list!$E$211,'6.Inland wetlands'!$AA58=list!$E$214),0,IF($L151&gt;time_tot,0,MIN($X151,$Z151)*time_tot+ABS($Z151-$X151)*IF($Z151&gt;$X151,time_cap+time*VLOOKUP($K151,list!$J$48:$K$50,2,0),time*(1-VLOOKUP($K151,list!$J$48:$K$50,2,0))))*(1/$L151)*($M151)*($P151*44/12/1000)+IF($K151&gt;time_tot,0,MIN($X151,$Z151)*time_tot+ABS($Z151-$X151)*IF($Z151&gt;$X151,time_cap+time*VLOOKUP($K151,list!$J$48:$K$50,2,0),time*(1-VLOOKUP($K151,list!$J$48:$K$50,2,0))))*(1/$L151)*($M151)*($R151*2/1000))</f>
        <v>0</v>
      </c>
      <c r="AF151" s="1151">
        <f>IF(OR('6.Inland wetlands'!$AA58=list!$E$210,'6.Inland wetlands'!$AA58=list!$E$212,'6.Inland wetlands'!$AA58=list!$E$214),0,IF($H151&gt;time_tot,0,MIN($X151,$Y151)*time_tot+ABS($Y151-$X151)*IF($Y151&gt;$X151,time_cap+time*VLOOKUP($G151,list!$J$48:$K$50,2,0),time*(1-VLOOKUP($G151,list!$J$48:$K$50,2,0))))*(1/$H151)*($I151)*($T151*methane/1000))</f>
        <v>0</v>
      </c>
      <c r="AG151" s="1151">
        <f>IF(OR('6.Inland wetlands'!$AA58=list!$E$210,'6.Inland wetlands'!$AA58=list!$E$211,'6.Inland wetlands'!$AA58=list!$E$214),0,IF($L151&gt;time_tot,0,MIN($X151,$Z151)*time_tot+ABS($Z151-$X151)*IF($Z151&gt;$X151,time_cap+time*VLOOKUP($K151,list!$J$48:$K$50,2,0),time*(1-VLOOKUP($K151,list!$J$48:$K$50,2,0))))*(1/$L151)*($M151)*($V151*methane/1000))</f>
        <v>0</v>
      </c>
      <c r="AI151" s="1151">
        <f t="shared" ref="AI151:AJ156" si="92">SUM(AD151,AF151)</f>
        <v>0</v>
      </c>
      <c r="AJ151" s="1151">
        <f t="shared" si="92"/>
        <v>0</v>
      </c>
      <c r="AK151" s="1160">
        <f t="shared" ref="AK151:AK156" si="93">AJ151-AI151</f>
        <v>0</v>
      </c>
      <c r="AX151" s="1449">
        <f>IF($H151&gt;time_tot,0,$X151*time*(VLOOKUP($G151,list!$J$48:$K$50,2,0)))</f>
        <v>0</v>
      </c>
      <c r="AY151" s="1449">
        <f>IF($L151&gt;time_tot,0,$Y151*time*(VLOOKUP($K151,list!$J$48:$K$50,2,0)))</f>
        <v>0</v>
      </c>
      <c r="AZ151" s="1449">
        <f>IF($H151&gt;time_tot,0,$Z151*time*(VLOOKUP($G151,list!$J$48:$K$50,2,0)))</f>
        <v>0</v>
      </c>
      <c r="BA151" s="1449">
        <f>IF($L151&gt;time_tot,0,$AA151*time*(VLOOKUP($K151,list!$J$48:$K$50,2,0)))</f>
        <v>0</v>
      </c>
    </row>
    <row r="152" spans="1:73" x14ac:dyDescent="0.15">
      <c r="A152" s="1466" t="s">
        <v>1161</v>
      </c>
      <c r="B152" s="973" t="str">
        <f>'6.Inland wetlands'!C47</f>
        <v>Please select</v>
      </c>
      <c r="C152" s="1121" t="str">
        <f t="shared" si="91"/>
        <v/>
      </c>
      <c r="D152" s="973" t="str">
        <f>IF('6.Inland wetlands'!K47="Please select",'6.Inland wetlands'!I47,'6.Inland wetlands'!K47)</f>
        <v>Please select</v>
      </c>
      <c r="E152" s="1121" t="str">
        <f>IF($D152="Please select","",IF(ISNUMBER(SEARCH("Annual",$D152)),"Annual",IF(ISNUMBER(SEARCH(list!$C$218,$D152)),"Other land",IF($D152="Agroforestry","Perennial",$D152))))</f>
        <v/>
      </c>
      <c r="F152" s="992">
        <f>'6.Inland wetlands'!N47</f>
        <v>0</v>
      </c>
      <c r="G152" s="1688" t="str">
        <f>VLOOKUP('6.Inland wetlands'!O47, list!$I$48:$J$50,2,FALSE )</f>
        <v>Linear</v>
      </c>
      <c r="H152" s="1688">
        <f>'6.Inland wetlands'!DB47</f>
        <v>1</v>
      </c>
      <c r="I152" s="1071">
        <f>'6.Inland wetlands'!DC47</f>
        <v>0.01</v>
      </c>
      <c r="J152" s="992">
        <f>'6.Inland wetlands'!P47</f>
        <v>0</v>
      </c>
      <c r="K152" s="1688" t="str">
        <f>VLOOKUP('6.Inland wetlands'!Q47, list!$I$48:$J$50,2,FALSE )</f>
        <v>Linear</v>
      </c>
      <c r="L152" s="1688">
        <f>'6.Inland wetlands'!DE47</f>
        <v>1</v>
      </c>
      <c r="M152" s="1071">
        <f>'6.Inland wetlands'!DF47</f>
        <v>0.01</v>
      </c>
      <c r="O152" s="1111">
        <f>IFERROR(INDEX(IPCC!$A$2037:$D$2048,MATCH(clim_moist,IPCC!$A$2037:$A$2048,0),MATCH($O$148,IPCC!$A$2037:$D$2037,0)),0)</f>
        <v>362</v>
      </c>
      <c r="P152" s="1161">
        <f>IF('6.Inland wetlands'!DI47="",'6.Inland wetlands'!DH47,'6.Inland wetlands'!DI47)</f>
        <v>362</v>
      </c>
      <c r="Q152" s="1111">
        <f>IFERROR(INDEX(IPCC!$A$2037:$D$2048,MATCH(clim_moist,IPCC!$A$2037:$A$2048,0),MATCH($Q$148,IPCC!$A$2037:$D$2037,0)),0)</f>
        <v>207</v>
      </c>
      <c r="R152" s="1161">
        <f>IF('6.Inland wetlands'!DK47="",'6.Inland wetlands'!DJ47,'6.Inland wetlands'!DK47)</f>
        <v>207</v>
      </c>
      <c r="S152" s="1111">
        <f>IFERROR(INDEX(IPCC!$A$2037:$D$2048,MATCH(clim_moist,IPCC!$A$2037:$A$2048,0),MATCH($S$148,IPCC!$A$2037:$D$2037,0)),0)</f>
        <v>9</v>
      </c>
      <c r="T152" s="1161">
        <f>IF('6.Inland wetlands'!DM47="",'6.Inland wetlands'!DL47,'6.Inland wetlands'!DM47)</f>
        <v>9</v>
      </c>
      <c r="U152" s="1111">
        <f>IFERROR(INDEX(IPCC!$A$2020:$D$2031,MATCH(clim_moist,IPCC!$A$2021:$A$2031,0),MATCH('6.Inland wetlands'!$CZ47,IPCC!$A$2020:$D$2020,0)),0)</f>
        <v>0</v>
      </c>
      <c r="V152" s="1161">
        <f>IF('6.Inland wetlands'!DO47="",'6.Inland wetlands'!DN47,'6.Inland wetlands'!DO47)</f>
        <v>0</v>
      </c>
      <c r="W152" s="1276"/>
      <c r="X152" s="1151">
        <v>0</v>
      </c>
      <c r="Y152" s="1151">
        <f>IF('6.Inland wetlands'!CZ47=list!$F$210,0,V152*F152)</f>
        <v>0</v>
      </c>
      <c r="Z152" s="1151">
        <f>IF('6.Inland wetlands'!$CZ47=list!$F$210,0,V152*J152)</f>
        <v>0</v>
      </c>
      <c r="AA152" s="1468"/>
      <c r="AD152" s="1151">
        <f>IF(OR('6.Inland wetlands'!$AA59=list!$E$210,'6.Inland wetlands'!$AA59=list!$E$212,'6.Inland wetlands'!$AA59=list!$E$214),0,IF($H152&gt;time_tot,0,MIN($X152,$Y152)*time_tot+ABS($Y152-$X152)*IF($Y152&gt;$X152,time_cap+time*VLOOKUP($G152,list!$J$48:$K$50,2,0),time*(1-VLOOKUP($G152,list!$J$48:$K$50,2,0))))*(1/$H152)*($I152)*($P152*44/12/1000)+IF($H152&gt;time_tot,0,MIN($X152,$Y152)*time_tot+ABS($Y152-$X152)*IF($Y152&gt;$X152,time_cap+time*VLOOKUP($G152,list!$J$48:$K$50,2,0),time*(1-VLOOKUP($G152,list!$J$48:$K$50,2,0))))*(1/$H152)*($I152)*($R152*2/1000))</f>
        <v>0</v>
      </c>
      <c r="AE152" s="1151">
        <f>IF(OR('6.Inland wetlands'!$AA59=list!$E$210,'6.Inland wetlands'!$AA59=list!$E$211,'6.Inland wetlands'!$AA59=list!$E$214),0,IF($L152&gt;time_tot,0,MIN($X152,$Z152)*time_tot+ABS($Z152-$X152)*IF($Z152&gt;$X152,time_cap+time*VLOOKUP($K152,list!$J$48:$K$50,2,0),time*(1-VLOOKUP($K152,list!$J$48:$K$50,2,0))))*(1/$L152)*($M152)*($P152*44/12/1000)+IF($K152&gt;time_tot,0,MIN($X152,$Z152)*time_tot+ABS($Z152-$X152)*IF($Z152&gt;$X152,time_cap+time*VLOOKUP($K152,list!$J$48:$K$50,2,0),time*(1-VLOOKUP($K152,list!$J$48:$K$50,2,0))))*(1/$L152)*($M152)*($R152*2/1000))</f>
        <v>0</v>
      </c>
      <c r="AF152" s="1151">
        <f>IF(OR('6.Inland wetlands'!$AA59=list!$E$210,'6.Inland wetlands'!$AA59=list!$E$212,'6.Inland wetlands'!$AA59=list!$E$214),0,IF($H152&gt;time_tot,0,MIN($X152,$Y152)*time_tot+ABS($Y152-$X152)*IF($Y152&gt;$X152,time_cap+time*VLOOKUP($G152,list!$J$48:$K$50,2,0),time*(1-VLOOKUP($G152,list!$J$48:$K$50,2,0))))*(1/$H152)*($I152)*($T152*methane/1000))</f>
        <v>0</v>
      </c>
      <c r="AG152" s="1151">
        <f>IF(OR('6.Inland wetlands'!$AA59=list!$E$210,'6.Inland wetlands'!$AA59=list!$E$211,'6.Inland wetlands'!$AA59=list!$E$214),0,IF($L152&gt;time_tot,0,MIN($X152,$Z152)*time_tot+ABS($Z152-$X152)*IF($Z152&gt;$X152,time_cap+time*VLOOKUP($K152,list!$J$48:$K$50,2,0),time*(1-VLOOKUP($K152,list!$J$48:$K$50,2,0))))*(1/$L152)*($M152)*($V152*methane/1000))</f>
        <v>0</v>
      </c>
      <c r="AI152" s="1151">
        <f t="shared" si="92"/>
        <v>0</v>
      </c>
      <c r="AJ152" s="1151">
        <f t="shared" si="92"/>
        <v>0</v>
      </c>
      <c r="AK152" s="1160">
        <f t="shared" si="93"/>
        <v>0</v>
      </c>
      <c r="AX152" s="1449">
        <f>IF($H152&gt;time_tot,0,$X152*time*(VLOOKUP($G152,list!$J$48:$K$50,2,0)))</f>
        <v>0</v>
      </c>
      <c r="AY152" s="1449">
        <f>IF($L152&gt;time_tot,0,$Y152*time*(VLOOKUP($K152,list!$J$48:$K$50,2,0)))</f>
        <v>0</v>
      </c>
      <c r="AZ152" s="1449">
        <f>IF($H152&gt;time_tot,0,$Z152*time*(VLOOKUP($G152,list!$J$48:$K$50,2,0)))</f>
        <v>0</v>
      </c>
      <c r="BA152" s="1449">
        <f>IF($L152&gt;time_tot,0,$AA152*time*(VLOOKUP($K152,list!$J$48:$K$50,2,0)))</f>
        <v>0</v>
      </c>
    </row>
    <row r="153" spans="1:73" x14ac:dyDescent="0.15">
      <c r="A153" s="1466" t="s">
        <v>1162</v>
      </c>
      <c r="B153" s="973" t="str">
        <f>'6.Inland wetlands'!C48</f>
        <v>Please select</v>
      </c>
      <c r="C153" s="1121" t="str">
        <f t="shared" si="91"/>
        <v/>
      </c>
      <c r="D153" s="973" t="str">
        <f>IF('6.Inland wetlands'!K48="Please select",'6.Inland wetlands'!I48,'6.Inland wetlands'!K48)</f>
        <v>Please select</v>
      </c>
      <c r="E153" s="1121" t="str">
        <f>IF($D153="Please select","",IF(ISNUMBER(SEARCH("Annual",$D153)),"Annual",IF(ISNUMBER(SEARCH(list!$C$218,$D153)),"Other land",IF($D153="Agroforestry","Perennial",$D153))))</f>
        <v/>
      </c>
      <c r="F153" s="992">
        <f>'6.Inland wetlands'!N48</f>
        <v>0</v>
      </c>
      <c r="G153" s="1688" t="str">
        <f>VLOOKUP('6.Inland wetlands'!O48, list!$I$48:$J$50,2,FALSE )</f>
        <v>Linear</v>
      </c>
      <c r="H153" s="1688">
        <f>'6.Inland wetlands'!DB48</f>
        <v>1</v>
      </c>
      <c r="I153" s="1071">
        <f>'6.Inland wetlands'!DC48</f>
        <v>0.01</v>
      </c>
      <c r="J153" s="992">
        <f>'6.Inland wetlands'!P48</f>
        <v>0</v>
      </c>
      <c r="K153" s="1688" t="str">
        <f>VLOOKUP('6.Inland wetlands'!Q48, list!$I$48:$J$50,2,FALSE )</f>
        <v>Linear</v>
      </c>
      <c r="L153" s="1688">
        <f>'6.Inland wetlands'!DE48</f>
        <v>1</v>
      </c>
      <c r="M153" s="1071">
        <f>'6.Inland wetlands'!DF48</f>
        <v>0.01</v>
      </c>
      <c r="O153" s="1111">
        <f>IFERROR(INDEX(IPCC!$A$2037:$D$2048,MATCH(clim_moist,IPCC!$A$2037:$A$2048,0),MATCH($O$148,IPCC!$A$2037:$D$2037,0)),0)</f>
        <v>362</v>
      </c>
      <c r="P153" s="1161">
        <f>IF('6.Inland wetlands'!DI48="",'6.Inland wetlands'!DH48,'6.Inland wetlands'!DI48)</f>
        <v>362</v>
      </c>
      <c r="Q153" s="1111">
        <f>IFERROR(INDEX(IPCC!$A$2037:$D$2048,MATCH(clim_moist,IPCC!$A$2037:$A$2048,0),MATCH($Q$148,IPCC!$A$2037:$D$2037,0)),0)</f>
        <v>207</v>
      </c>
      <c r="R153" s="1161">
        <f>IF('6.Inland wetlands'!DK48="",'6.Inland wetlands'!DJ48,'6.Inland wetlands'!DK48)</f>
        <v>207</v>
      </c>
      <c r="S153" s="1111">
        <f>IFERROR(INDEX(IPCC!$A$2037:$D$2048,MATCH(clim_moist,IPCC!$A$2037:$A$2048,0),MATCH($S$148,IPCC!$A$2037:$D$2037,0)),0)</f>
        <v>9</v>
      </c>
      <c r="T153" s="1161">
        <f>IF('6.Inland wetlands'!DM48="",'6.Inland wetlands'!DL48,'6.Inland wetlands'!DM48)</f>
        <v>9</v>
      </c>
      <c r="U153" s="1111">
        <f>IFERROR(INDEX(IPCC!$A$2020:$D$2031,MATCH(clim_moist,IPCC!$A$2021:$A$2031,0),MATCH('6.Inland wetlands'!$CZ48,IPCC!$A$2020:$D$2020,0)),0)</f>
        <v>0</v>
      </c>
      <c r="V153" s="1161">
        <f>IF('6.Inland wetlands'!DO48="",'6.Inland wetlands'!DN48,'6.Inland wetlands'!DO48)</f>
        <v>0</v>
      </c>
      <c r="W153" s="1276"/>
      <c r="X153" s="1151">
        <v>0</v>
      </c>
      <c r="Y153" s="1151">
        <f>IF('6.Inland wetlands'!CZ48=list!$F$210,0,V153*F153)</f>
        <v>0</v>
      </c>
      <c r="Z153" s="1151">
        <f>IF('6.Inland wetlands'!$CZ48=list!$F$210,0,V153*J153)</f>
        <v>0</v>
      </c>
      <c r="AA153" s="1468"/>
      <c r="AD153" s="1151">
        <f>IF(OR('6.Inland wetlands'!$AA60=list!$E$210,'6.Inland wetlands'!$AA60=list!$E$212,'6.Inland wetlands'!$AA60=list!$E$214),0,IF($H153&gt;time_tot,0,MIN($X153,$Y153)*time_tot+ABS($Y153-$X153)*IF($Y153&gt;$X153,time_cap+time*VLOOKUP($G153,list!$J$48:$K$50,2,0),time*(1-VLOOKUP($G153,list!$J$48:$K$50,2,0))))*(1/$H153)*($I153)*($P153*44/12/1000)+IF($H153&gt;time_tot,0,MIN($X153,$Y153)*time_tot+ABS($Y153-$X153)*IF($Y153&gt;$X153,time_cap+time*VLOOKUP($G153,list!$J$48:$K$50,2,0),time*(1-VLOOKUP($G153,list!$J$48:$K$50,2,0))))*(1/$H153)*($I153)*($R153*2/1000))</f>
        <v>0</v>
      </c>
      <c r="AE153" s="1151">
        <f>IF(OR('6.Inland wetlands'!$AA60=list!$E$210,'6.Inland wetlands'!$AA60=list!$E$211,'6.Inland wetlands'!$AA60=list!$E$214),0,IF($L153&gt;time_tot,0,MIN($X153,$Z153)*time_tot+ABS($Z153-$X153)*IF($Z153&gt;$X153,time_cap+time*VLOOKUP($K153,list!$J$48:$K$50,2,0),time*(1-VLOOKUP($K153,list!$J$48:$K$50,2,0))))*(1/$L153)*($M153)*($P153*44/12/1000)+IF($K153&gt;time_tot,0,MIN($X153,$Z153)*time_tot+ABS($Z153-$X153)*IF($Z153&gt;$X153,time_cap+time*VLOOKUP($K153,list!$J$48:$K$50,2,0),time*(1-VLOOKUP($K153,list!$J$48:$K$50,2,0))))*(1/$L153)*($M153)*($R153*2/1000))</f>
        <v>0</v>
      </c>
      <c r="AF153" s="1151">
        <f>IF(OR('6.Inland wetlands'!$AA60=list!$E$210,'6.Inland wetlands'!$AA60=list!$E$212,'6.Inland wetlands'!$AA60=list!$E$214),0,IF($H153&gt;time_tot,0,MIN($X153,$Y153)*time_tot+ABS($Y153-$X153)*IF($Y153&gt;$X153,time_cap+time*VLOOKUP($G153,list!$J$48:$K$50,2,0),time*(1-VLOOKUP($G153,list!$J$48:$K$50,2,0))))*(1/$H153)*($I153)*($T153*methane/1000))</f>
        <v>0</v>
      </c>
      <c r="AG153" s="1151">
        <f>IF(OR('6.Inland wetlands'!$AA60=list!$E$210,'6.Inland wetlands'!$AA60=list!$E$211,'6.Inland wetlands'!$AA60=list!$E$214),0,IF($L153&gt;time_tot,0,MIN($X153,$Z153)*time_tot+ABS($Z153-$X153)*IF($Z153&gt;$X153,time_cap+time*VLOOKUP($K153,list!$J$48:$K$50,2,0),time*(1-VLOOKUP($K153,list!$J$48:$K$50,2,0))))*(1/$L153)*($M153)*($V153*methane/1000))</f>
        <v>0</v>
      </c>
      <c r="AI153" s="1151">
        <f t="shared" si="92"/>
        <v>0</v>
      </c>
      <c r="AJ153" s="1151">
        <f t="shared" si="92"/>
        <v>0</v>
      </c>
      <c r="AK153" s="1160">
        <f t="shared" si="93"/>
        <v>0</v>
      </c>
      <c r="AX153" s="1449">
        <f>IF($H153&gt;time_tot,0,$X153*time*(VLOOKUP($G153,list!$J$48:$K$50,2,0)))</f>
        <v>0</v>
      </c>
      <c r="AY153" s="1449">
        <f>IF($L153&gt;time_tot,0,$Y153*time*(VLOOKUP($K153,list!$J$48:$K$50,2,0)))</f>
        <v>0</v>
      </c>
      <c r="AZ153" s="1449">
        <f>IF($H153&gt;time_tot,0,$Z153*time*(VLOOKUP($G153,list!$J$48:$K$50,2,0)))</f>
        <v>0</v>
      </c>
      <c r="BA153" s="1449">
        <f>IF($L153&gt;time_tot,0,$AA153*time*(VLOOKUP($K153,list!$J$48:$K$50,2,0)))</f>
        <v>0</v>
      </c>
    </row>
    <row r="154" spans="1:73" x14ac:dyDescent="0.15">
      <c r="A154" s="1466" t="s">
        <v>1163</v>
      </c>
      <c r="B154" s="973" t="str">
        <f>'6.Inland wetlands'!C49</f>
        <v>Please select</v>
      </c>
      <c r="C154" s="1121" t="str">
        <f t="shared" si="91"/>
        <v/>
      </c>
      <c r="D154" s="973" t="str">
        <f>IF('6.Inland wetlands'!K49="Please select",'6.Inland wetlands'!I49,'6.Inland wetlands'!K49)</f>
        <v>Please select</v>
      </c>
      <c r="E154" s="1121" t="str">
        <f>IF($D154="Please select","",IF(ISNUMBER(SEARCH("Annual",$D154)),"Annual",IF(ISNUMBER(SEARCH(list!$C$218,$D154)),"Other land",IF($D154="Agroforestry","Perennial",$D154))))</f>
        <v/>
      </c>
      <c r="F154" s="992">
        <f>'6.Inland wetlands'!N49</f>
        <v>0</v>
      </c>
      <c r="G154" s="1688" t="str">
        <f>VLOOKUP('6.Inland wetlands'!O49, list!$I$48:$J$50,2,FALSE )</f>
        <v>Linear</v>
      </c>
      <c r="H154" s="1688">
        <f>'6.Inland wetlands'!DB49</f>
        <v>1</v>
      </c>
      <c r="I154" s="1071">
        <f>'6.Inland wetlands'!DC49</f>
        <v>0.01</v>
      </c>
      <c r="J154" s="992">
        <f>'6.Inland wetlands'!P49</f>
        <v>0</v>
      </c>
      <c r="K154" s="1688" t="str">
        <f>VLOOKUP('6.Inland wetlands'!Q49, list!$I$48:$J$50,2,FALSE )</f>
        <v>Linear</v>
      </c>
      <c r="L154" s="1688">
        <f>'6.Inland wetlands'!DE49</f>
        <v>1</v>
      </c>
      <c r="M154" s="1071">
        <f>'6.Inland wetlands'!DF49</f>
        <v>0.01</v>
      </c>
      <c r="O154" s="1111">
        <f>IFERROR(INDEX(IPCC!$A$2037:$D$2048,MATCH(clim_moist,IPCC!$A$2037:$A$2048,0),MATCH($O$148,IPCC!$A$2037:$D$2037,0)),0)</f>
        <v>362</v>
      </c>
      <c r="P154" s="1161">
        <f>IF('6.Inland wetlands'!DI49="",'6.Inland wetlands'!DH49,'6.Inland wetlands'!DI49)</f>
        <v>362</v>
      </c>
      <c r="Q154" s="1111">
        <f>IFERROR(INDEX(IPCC!$A$2037:$D$2048,MATCH(clim_moist,IPCC!$A$2037:$A$2048,0),MATCH($Q$148,IPCC!$A$2037:$D$2037,0)),0)</f>
        <v>207</v>
      </c>
      <c r="R154" s="1161">
        <f>IF('6.Inland wetlands'!DK49="",'6.Inland wetlands'!DJ49,'6.Inland wetlands'!DK49)</f>
        <v>207</v>
      </c>
      <c r="S154" s="1111">
        <f>IFERROR(INDEX(IPCC!$A$2037:$D$2048,MATCH(clim_moist,IPCC!$A$2037:$A$2048,0),MATCH($S$148,IPCC!$A$2037:$D$2037,0)),0)</f>
        <v>9</v>
      </c>
      <c r="T154" s="1161">
        <f>IF('6.Inland wetlands'!DM49="",'6.Inland wetlands'!DL49,'6.Inland wetlands'!DM49)</f>
        <v>9</v>
      </c>
      <c r="U154" s="1111">
        <f>IFERROR(INDEX(IPCC!$A$2020:$D$2031,MATCH(clim_moist,IPCC!$A$2021:$A$2031,0),MATCH('6.Inland wetlands'!$CZ49,IPCC!$A$2020:$D$2020,0)),0)</f>
        <v>0</v>
      </c>
      <c r="V154" s="1161">
        <f>IF('6.Inland wetlands'!DO49="",'6.Inland wetlands'!DN49,'6.Inland wetlands'!DO49)</f>
        <v>0</v>
      </c>
      <c r="W154" s="1276"/>
      <c r="X154" s="1151">
        <v>0</v>
      </c>
      <c r="Y154" s="1151">
        <f>IF('6.Inland wetlands'!CZ49=list!$F$210,0,V154*F154)</f>
        <v>0</v>
      </c>
      <c r="Z154" s="1151">
        <f>IF('6.Inland wetlands'!$CZ49=list!$F$210,0,V154*J154)</f>
        <v>0</v>
      </c>
      <c r="AA154" s="1468"/>
      <c r="AD154" s="1151">
        <f>IF(OR('6.Inland wetlands'!$AA61=list!$E$210,'6.Inland wetlands'!$AA61=list!$E$212,'6.Inland wetlands'!$AA61=list!$E$214),0,IF($H154&gt;time_tot,0,MIN($X154,$Y154)*time_tot+ABS($Y154-$X154)*IF($Y154&gt;$X154,time_cap+time*VLOOKUP($G154,list!$J$48:$K$50,2,0),time*(1-VLOOKUP($G154,list!$J$48:$K$50,2,0))))*(1/$H154)*($I154)*($P154*44/12/1000)+IF($H154&gt;time_tot,0,MIN($X154,$Y154)*time_tot+ABS($Y154-$X154)*IF($Y154&gt;$X154,time_cap+time*VLOOKUP($G154,list!$J$48:$K$50,2,0),time*(1-VLOOKUP($G154,list!$J$48:$K$50,2,0))))*(1/$H154)*($I154)*($R154*2/1000))</f>
        <v>0</v>
      </c>
      <c r="AE154" s="1151">
        <f>IF(OR('6.Inland wetlands'!$AA61=list!$E$210,'6.Inland wetlands'!$AA61=list!$E$211,'6.Inland wetlands'!$AA61=list!$E$214),0,IF($L154&gt;time_tot,0,MIN($X154,$Z154)*time_tot+ABS($Z154-$X154)*IF($Z154&gt;$X154,time_cap+time*VLOOKUP($K154,list!$J$48:$K$50,2,0),time*(1-VLOOKUP($K154,list!$J$48:$K$50,2,0))))*(1/$L154)*($M154)*($P154*44/12/1000)+IF($K154&gt;time_tot,0,MIN($X154,$Z154)*time_tot+ABS($Z154-$X154)*IF($Z154&gt;$X154,time_cap+time*VLOOKUP($K154,list!$J$48:$K$50,2,0),time*(1-VLOOKUP($K154,list!$J$48:$K$50,2,0))))*(1/$L154)*($M154)*($R154*2/1000))</f>
        <v>0</v>
      </c>
      <c r="AF154" s="1151">
        <f>IF(OR('6.Inland wetlands'!$AA61=list!$E$210,'6.Inland wetlands'!$AA61=list!$E$212,'6.Inland wetlands'!$AA61=list!$E$214),0,IF($H154&gt;time_tot,0,MIN($X154,$Y154)*time_tot+ABS($Y154-$X154)*IF($Y154&gt;$X154,time_cap+time*VLOOKUP($G154,list!$J$48:$K$50,2,0),time*(1-VLOOKUP($G154,list!$J$48:$K$50,2,0))))*(1/$H154)*($I154)*($T154*methane/1000))</f>
        <v>0</v>
      </c>
      <c r="AG154" s="1151">
        <f>IF(OR('6.Inland wetlands'!$AA61=list!$E$210,'6.Inland wetlands'!$AA61=list!$E$211,'6.Inland wetlands'!$AA61=list!$E$214),0,IF($L154&gt;time_tot,0,MIN($X154,$Z154)*time_tot+ABS($Z154-$X154)*IF($Z154&gt;$X154,time_cap+time*VLOOKUP($K154,list!$J$48:$K$50,2,0),time*(1-VLOOKUP($K154,list!$J$48:$K$50,2,0))))*(1/$L154)*($M154)*($V154*methane/1000))</f>
        <v>0</v>
      </c>
      <c r="AI154" s="1151">
        <f t="shared" si="92"/>
        <v>0</v>
      </c>
      <c r="AJ154" s="1151">
        <f t="shared" si="92"/>
        <v>0</v>
      </c>
      <c r="AK154" s="1160">
        <f t="shared" si="93"/>
        <v>0</v>
      </c>
      <c r="AX154" s="1449">
        <f>IF($H154&gt;time_tot,0,$X154*time*(VLOOKUP($G154,list!$J$48:$K$50,2,0)))</f>
        <v>0</v>
      </c>
      <c r="AY154" s="1449">
        <f>IF($L154&gt;time_tot,0,$Y154*time*(VLOOKUP($K154,list!$J$48:$K$50,2,0)))</f>
        <v>0</v>
      </c>
      <c r="AZ154" s="1449">
        <f>IF($H154&gt;time_tot,0,$Z154*time*(VLOOKUP($G154,list!$J$48:$K$50,2,0)))</f>
        <v>0</v>
      </c>
      <c r="BA154" s="1449">
        <f>IF($L154&gt;time_tot,0,$AA154*time*(VLOOKUP($K154,list!$J$48:$K$50,2,0)))</f>
        <v>0</v>
      </c>
    </row>
    <row r="155" spans="1:73" x14ac:dyDescent="0.15">
      <c r="A155" s="1466" t="s">
        <v>1164</v>
      </c>
      <c r="B155" s="973" t="str">
        <f>'6.Inland wetlands'!C50</f>
        <v>Please select</v>
      </c>
      <c r="C155" s="1121" t="str">
        <f t="shared" si="91"/>
        <v/>
      </c>
      <c r="D155" s="973" t="str">
        <f>IF('6.Inland wetlands'!K50="Please select",'6.Inland wetlands'!I50,'6.Inland wetlands'!K50)</f>
        <v>Please select</v>
      </c>
      <c r="E155" s="1121" t="str">
        <f>IF($D155="Please select","",IF(ISNUMBER(SEARCH("Annual",$D155)),"Annual",IF(ISNUMBER(SEARCH(list!$C$218,$D155)),"Other land",IF($D155="Agroforestry","Perennial",$D155))))</f>
        <v/>
      </c>
      <c r="F155" s="992">
        <f>'6.Inland wetlands'!N50</f>
        <v>0</v>
      </c>
      <c r="G155" s="1688" t="str">
        <f>VLOOKUP('6.Inland wetlands'!O50, list!$I$48:$J$50,2,FALSE )</f>
        <v>Linear</v>
      </c>
      <c r="H155" s="1688">
        <f>'6.Inland wetlands'!DB50</f>
        <v>1</v>
      </c>
      <c r="I155" s="1071">
        <f>'6.Inland wetlands'!DC50</f>
        <v>0.01</v>
      </c>
      <c r="J155" s="992">
        <f>'6.Inland wetlands'!P50</f>
        <v>0</v>
      </c>
      <c r="K155" s="1688" t="str">
        <f>VLOOKUP('6.Inland wetlands'!Q50, list!$I$48:$J$50,2,FALSE )</f>
        <v>Linear</v>
      </c>
      <c r="L155" s="1688">
        <f>'6.Inland wetlands'!DE50</f>
        <v>1</v>
      </c>
      <c r="M155" s="1071">
        <f>'6.Inland wetlands'!DF50</f>
        <v>0.01</v>
      </c>
      <c r="O155" s="1111">
        <f>IFERROR(INDEX(IPCC!$A$2037:$D$2048,MATCH(clim_moist,IPCC!$A$2037:$A$2048,0),MATCH($O$148,IPCC!$A$2037:$D$2037,0)),0)</f>
        <v>362</v>
      </c>
      <c r="P155" s="1161">
        <f>IF('6.Inland wetlands'!DI50="",'6.Inland wetlands'!DH50,'6.Inland wetlands'!DI50)</f>
        <v>362</v>
      </c>
      <c r="Q155" s="1111">
        <f>IFERROR(INDEX(IPCC!$A$2037:$D$2048,MATCH(clim_moist,IPCC!$A$2037:$A$2048,0),MATCH($Q$148,IPCC!$A$2037:$D$2037,0)),0)</f>
        <v>207</v>
      </c>
      <c r="R155" s="1161">
        <f>IF('6.Inland wetlands'!DK50="",'6.Inland wetlands'!DJ50,'6.Inland wetlands'!DK50)</f>
        <v>207</v>
      </c>
      <c r="S155" s="1111">
        <f>IFERROR(INDEX(IPCC!$A$2037:$D$2048,MATCH(clim_moist,IPCC!$A$2037:$A$2048,0),MATCH($S$148,IPCC!$A$2037:$D$2037,0)),0)</f>
        <v>9</v>
      </c>
      <c r="T155" s="1161">
        <f>IF('6.Inland wetlands'!DM50="",'6.Inland wetlands'!DL50,'6.Inland wetlands'!DM50)</f>
        <v>9</v>
      </c>
      <c r="U155" s="1111">
        <f>IFERROR(INDEX(IPCC!$A$2020:$D$2031,MATCH(clim_moist,IPCC!$A$2021:$A$2031,0),MATCH('6.Inland wetlands'!$CZ50,IPCC!$A$2020:$D$2020,0)),0)</f>
        <v>0</v>
      </c>
      <c r="V155" s="1161">
        <f>IF('6.Inland wetlands'!DO50="",'6.Inland wetlands'!DN50,'6.Inland wetlands'!DO50)</f>
        <v>0</v>
      </c>
      <c r="W155" s="1276"/>
      <c r="X155" s="1151">
        <v>0</v>
      </c>
      <c r="Y155" s="1151">
        <f>IF('6.Inland wetlands'!CZ50=list!$F$210,0,V155*F155)</f>
        <v>0</v>
      </c>
      <c r="Z155" s="1151">
        <f>IF('6.Inland wetlands'!$CZ50=list!$F$210,0,V155*J155)</f>
        <v>0</v>
      </c>
      <c r="AA155" s="1468"/>
      <c r="AD155" s="1151">
        <f>IF(OR('6.Inland wetlands'!$AA62=list!$E$210,'6.Inland wetlands'!$AA62=list!$E$212,'6.Inland wetlands'!$AA62=list!$E$214),0,IF($H155&gt;time_tot,0,MIN($X155,$Y155)*time_tot+ABS($Y155-$X155)*IF($Y155&gt;$X155,time_cap+time*VLOOKUP($G155,list!$J$48:$K$50,2,0),time*(1-VLOOKUP($G155,list!$J$48:$K$50,2,0))))*(1/$H155)*($I155)*($P155*44/12/1000)+IF($H155&gt;time_tot,0,MIN($X155,$Y155)*time_tot+ABS($Y155-$X155)*IF($Y155&gt;$X155,time_cap+time*VLOOKUP($G155,list!$J$48:$K$50,2,0),time*(1-VLOOKUP($G155,list!$J$48:$K$50,2,0))))*(1/$H155)*($I155)*($R155*2/1000))</f>
        <v>0</v>
      </c>
      <c r="AE155" s="1151">
        <f>IF(OR('6.Inland wetlands'!$AA62=list!$E$210,'6.Inland wetlands'!$AA62=list!$E$211,'6.Inland wetlands'!$AA62=list!$E$214),0,IF($L155&gt;time_tot,0,MIN($X155,$Z155)*time_tot+ABS($Z155-$X155)*IF($Z155&gt;$X155,time_cap+time*VLOOKUP($K155,list!$J$48:$K$50,2,0),time*(1-VLOOKUP($K155,list!$J$48:$K$50,2,0))))*(1/$L155)*($M155)*($P155*44/12/1000)+IF($K155&gt;time_tot,0,MIN($X155,$Z155)*time_tot+ABS($Z155-$X155)*IF($Z155&gt;$X155,time_cap+time*VLOOKUP($K155,list!$J$48:$K$50,2,0),time*(1-VLOOKUP($K155,list!$J$48:$K$50,2,0))))*(1/$L155)*($M155)*($R155*2/1000))</f>
        <v>0</v>
      </c>
      <c r="AF155" s="1151">
        <f>IF(OR('6.Inland wetlands'!$AA62=list!$E$210,'6.Inland wetlands'!$AA62=list!$E$212,'6.Inland wetlands'!$AA62=list!$E$214),0,IF($H155&gt;time_tot,0,MIN($X155,$Y155)*time_tot+ABS($Y155-$X155)*IF($Y155&gt;$X155,time_cap+time*VLOOKUP($G155,list!$J$48:$K$50,2,0),time*(1-VLOOKUP($G155,list!$J$48:$K$50,2,0))))*(1/$H155)*($I155)*($T155*methane/1000))</f>
        <v>0</v>
      </c>
      <c r="AG155" s="1151">
        <f>IF(OR('6.Inland wetlands'!$AA62=list!$E$210,'6.Inland wetlands'!$AA62=list!$E$211,'6.Inland wetlands'!$AA62=list!$E$214),0,IF($L155&gt;time_tot,0,MIN($X155,$Z155)*time_tot+ABS($Z155-$X155)*IF($Z155&gt;$X155,time_cap+time*VLOOKUP($K155,list!$J$48:$K$50,2,0),time*(1-VLOOKUP($K155,list!$J$48:$K$50,2,0))))*(1/$L155)*($M155)*($V155*methane/1000))</f>
        <v>0</v>
      </c>
      <c r="AI155" s="1151">
        <f t="shared" si="92"/>
        <v>0</v>
      </c>
      <c r="AJ155" s="1151">
        <f t="shared" si="92"/>
        <v>0</v>
      </c>
      <c r="AK155" s="1160">
        <f t="shared" si="93"/>
        <v>0</v>
      </c>
      <c r="AX155" s="1449">
        <f>IF($H155&gt;time_tot,0,$X155*time*(VLOOKUP($G155,list!$J$48:$K$50,2,0)))</f>
        <v>0</v>
      </c>
      <c r="AY155" s="1449">
        <f>IF($L155&gt;time_tot,0,$Y155*time*(VLOOKUP($K155,list!$J$48:$K$50,2,0)))</f>
        <v>0</v>
      </c>
      <c r="AZ155" s="1449">
        <f>IF($H155&gt;time_tot,0,$Z155*time*(VLOOKUP($G155,list!$J$48:$K$50,2,0)))</f>
        <v>0</v>
      </c>
      <c r="BA155" s="1449">
        <f>IF($L155&gt;time_tot,0,$AA155*time*(VLOOKUP($K155,list!$J$48:$K$50,2,0)))</f>
        <v>0</v>
      </c>
    </row>
    <row r="156" spans="1:73" x14ac:dyDescent="0.15">
      <c r="A156" s="1466" t="s">
        <v>1165</v>
      </c>
      <c r="B156" s="973" t="str">
        <f>'6.Inland wetlands'!C51</f>
        <v>Please select</v>
      </c>
      <c r="C156" s="1121" t="str">
        <f t="shared" si="91"/>
        <v/>
      </c>
      <c r="D156" s="973" t="str">
        <f>IF('6.Inland wetlands'!K51="Please select",'6.Inland wetlands'!I51,'6.Inland wetlands'!K51)</f>
        <v>Please select</v>
      </c>
      <c r="E156" s="1121" t="str">
        <f>IF($D156="Please select","",IF(ISNUMBER(SEARCH("Annual",$D156)),"Annual",IF(ISNUMBER(SEARCH(list!$C$218,$D156)),"Other land",IF($D156="Agroforestry","Perennial",$D156))))</f>
        <v/>
      </c>
      <c r="F156" s="992">
        <f>'6.Inland wetlands'!N51</f>
        <v>0</v>
      </c>
      <c r="G156" s="1688" t="str">
        <f>VLOOKUP('6.Inland wetlands'!O51, list!$I$48:$J$50,2,FALSE )</f>
        <v>Linear</v>
      </c>
      <c r="H156" s="1688">
        <f>'6.Inland wetlands'!DB51</f>
        <v>1</v>
      </c>
      <c r="I156" s="1071">
        <f>'6.Inland wetlands'!DC51</f>
        <v>0.01</v>
      </c>
      <c r="J156" s="992">
        <f>'6.Inland wetlands'!P51</f>
        <v>0</v>
      </c>
      <c r="K156" s="1688" t="str">
        <f>VLOOKUP('6.Inland wetlands'!Q51, list!$I$48:$J$50,2,FALSE )</f>
        <v>Linear</v>
      </c>
      <c r="L156" s="1688">
        <f>'6.Inland wetlands'!DE51</f>
        <v>1</v>
      </c>
      <c r="M156" s="1071">
        <f>'6.Inland wetlands'!DF51</f>
        <v>0.01</v>
      </c>
      <c r="O156" s="1111">
        <f>IFERROR(INDEX(IPCC!$A$2037:$D$2048,MATCH(clim_moist,IPCC!$A$2037:$A$2048,0),MATCH($O$148,IPCC!$A$2037:$D$2037,0)),0)</f>
        <v>362</v>
      </c>
      <c r="P156" s="1161">
        <f>IF('6.Inland wetlands'!DI51="",'6.Inland wetlands'!DH51,'6.Inland wetlands'!DI51)</f>
        <v>362</v>
      </c>
      <c r="Q156" s="1111">
        <f>IFERROR(INDEX(IPCC!$A$2037:$D$2048,MATCH(clim_moist,IPCC!$A$2037:$A$2048,0),MATCH($Q$148,IPCC!$A$2037:$D$2037,0)),0)</f>
        <v>207</v>
      </c>
      <c r="R156" s="1161">
        <f>IF('6.Inland wetlands'!DK51="",'6.Inland wetlands'!DJ51,'6.Inland wetlands'!DK51)</f>
        <v>207</v>
      </c>
      <c r="S156" s="1111">
        <f>IFERROR(INDEX(IPCC!$A$2037:$D$2048,MATCH(clim_moist,IPCC!$A$2037:$A$2048,0),MATCH($S$148,IPCC!$A$2037:$D$2037,0)),0)</f>
        <v>9</v>
      </c>
      <c r="T156" s="1161">
        <f>IF('6.Inland wetlands'!DM51="",'6.Inland wetlands'!DL51,'6.Inland wetlands'!DM51)</f>
        <v>9</v>
      </c>
      <c r="U156" s="1111">
        <f>IFERROR(INDEX(IPCC!$A$2020:$D$2031,MATCH(clim_moist,IPCC!$A$2021:$A$2031,0),MATCH('6.Inland wetlands'!$CZ51,IPCC!$A$2020:$D$2020,0)),0)</f>
        <v>0</v>
      </c>
      <c r="V156" s="1161">
        <f>IF('6.Inland wetlands'!DO51="",'6.Inland wetlands'!DN51,'6.Inland wetlands'!DO51)</f>
        <v>0</v>
      </c>
      <c r="W156" s="1276"/>
      <c r="X156" s="1151">
        <v>0</v>
      </c>
      <c r="Y156" s="1151">
        <f>IF('6.Inland wetlands'!CZ51=list!$F$210,0,V156*F156)</f>
        <v>0</v>
      </c>
      <c r="Z156" s="1151">
        <f>IF('6.Inland wetlands'!$CZ51=list!$F$210,0,V156*J156)</f>
        <v>0</v>
      </c>
      <c r="AA156" s="1468"/>
      <c r="AD156" s="1151">
        <f>IF(OR('6.Inland wetlands'!$AA63=list!$E$210,'6.Inland wetlands'!$AA63=list!$E$212,'6.Inland wetlands'!$AA63=list!$E$214),0,IF($H156&gt;time_tot,0,MIN($X156,$Y156)*time_tot+ABS($Y156-$X156)*IF($Y156&gt;$X156,time_cap+time*VLOOKUP($G156,list!$J$48:$K$50,2,0),time*(1-VLOOKUP($G156,list!$J$48:$K$50,2,0))))*(1/$H156)*($I156)*($P156*44/12/1000)+IF($H156&gt;time_tot,0,MIN($X156,$Y156)*time_tot+ABS($Y156-$X156)*IF($Y156&gt;$X156,time_cap+time*VLOOKUP($G156,list!$J$48:$K$50,2,0),time*(1-VLOOKUP($G156,list!$J$48:$K$50,2,0))))*(1/$H156)*($I156)*($R156*2/1000))</f>
        <v>0</v>
      </c>
      <c r="AE156" s="1151">
        <f>IF(OR('6.Inland wetlands'!$AA63=list!$E$210,'6.Inland wetlands'!$AA63=list!$E$211,'6.Inland wetlands'!$AA63=list!$E$214),0,IF($L156&gt;time_tot,0,MIN($X156,$Z156)*time_tot+ABS($Z156-$X156)*IF($Z156&gt;$X156,time_cap+time*VLOOKUP($K156,list!$J$48:$K$50,2,0),time*(1-VLOOKUP($K156,list!$J$48:$K$50,2,0))))*(1/$L156)*($M156)*($P156*44/12/1000)+IF($K156&gt;time_tot,0,MIN($X156,$Z156)*time_tot+ABS($Z156-$X156)*IF($Z156&gt;$X156,time_cap+time*VLOOKUP($K156,list!$J$48:$K$50,2,0),time*(1-VLOOKUP($K156,list!$J$48:$K$50,2,0))))*(1/$L156)*($M156)*($R156*2/1000))</f>
        <v>0</v>
      </c>
      <c r="AF156" s="1151">
        <f>IF(OR('6.Inland wetlands'!$AA63=list!$E$210,'6.Inland wetlands'!$AA63=list!$E$212,'6.Inland wetlands'!$AA63=list!$E$214),0,IF($H156&gt;time_tot,0,MIN($X156,$Y156)*time_tot+ABS($Y156-$X156)*IF($Y156&gt;$X156,time_cap+time*VLOOKUP($G156,list!$J$48:$K$50,2,0),time*(1-VLOOKUP($G156,list!$J$48:$K$50,2,0))))*(1/$H156)*($I156)*($T156*methane/1000))</f>
        <v>0</v>
      </c>
      <c r="AG156" s="1151">
        <f>IF(OR('6.Inland wetlands'!$AA63=list!$E$210,'6.Inland wetlands'!$AA63=list!$E$211,'6.Inland wetlands'!$AA63=list!$E$214),0,IF($L156&gt;time_tot,0,MIN($X156,$Z156)*time_tot+ABS($Z156-$X156)*IF($Z156&gt;$X156,time_cap+time*VLOOKUP($K156,list!$J$48:$K$50,2,0),time*(1-VLOOKUP($K156,list!$J$48:$K$50,2,0))))*(1/$L156)*($M156)*($V156*methane/1000))</f>
        <v>0</v>
      </c>
      <c r="AI156" s="1151">
        <f t="shared" si="92"/>
        <v>0</v>
      </c>
      <c r="AJ156" s="1151">
        <f t="shared" si="92"/>
        <v>0</v>
      </c>
      <c r="AK156" s="1160">
        <f t="shared" si="93"/>
        <v>0</v>
      </c>
      <c r="AX156" s="1449">
        <f>IF($H156&gt;time_tot,0,$X156*time*(VLOOKUP($G156,list!$J$48:$K$50,2,0)))</f>
        <v>0</v>
      </c>
      <c r="AY156" s="1449">
        <f>IF($L156&gt;time_tot,0,$Y156*time*(VLOOKUP($K156,list!$J$48:$K$50,2,0)))</f>
        <v>0</v>
      </c>
      <c r="AZ156" s="1449">
        <f>IF($H156&gt;time_tot,0,$Z156*time*(VLOOKUP($G156,list!$J$48:$K$50,2,0)))</f>
        <v>0</v>
      </c>
      <c r="BA156" s="1449">
        <f>IF($L156&gt;time_tot,0,$AA156*time*(VLOOKUP($K156,list!$J$48:$K$50,2,0)))</f>
        <v>0</v>
      </c>
    </row>
    <row r="158" spans="1:73" x14ac:dyDescent="0.15">
      <c r="AX158" s="1451">
        <f>SUM(AX151:AX156)</f>
        <v>0</v>
      </c>
      <c r="AY158" s="1451">
        <f>SUM(AY151:AY156)</f>
        <v>0</v>
      </c>
      <c r="AZ158" s="1451">
        <f>SUM(AZ151:AZ156)</f>
        <v>0</v>
      </c>
      <c r="BA158" s="1451">
        <f>SUM(BA151:BA156)</f>
        <v>0</v>
      </c>
      <c r="BD158" s="1463"/>
      <c r="BF158" s="1271"/>
    </row>
    <row r="159" spans="1:73" x14ac:dyDescent="0.15">
      <c r="E159" s="3992" t="s">
        <v>1179</v>
      </c>
      <c r="F159" s="3992">
        <f>MAX(G159:H159)</f>
        <v>0</v>
      </c>
      <c r="G159" s="3992">
        <f>SUMIF(M166:M170,"&gt;0",F151:F156)</f>
        <v>0</v>
      </c>
      <c r="H159" s="3992">
        <f>SUMIF(N166:N170,"&gt;0",J151:J156)</f>
        <v>0</v>
      </c>
      <c r="AX159" s="1451"/>
      <c r="AY159" s="1451">
        <f>AY158-AX158</f>
        <v>0</v>
      </c>
      <c r="AZ159" s="1451"/>
      <c r="BA159" s="1451">
        <f>BA158-AZ158</f>
        <v>0</v>
      </c>
      <c r="BD159" s="1463"/>
      <c r="BF159" s="1271"/>
    </row>
    <row r="160" spans="1:73" x14ac:dyDescent="0.15">
      <c r="L160" s="2167" t="s">
        <v>1217</v>
      </c>
    </row>
    <row r="161" spans="1:59" ht="16" x14ac:dyDescent="0.2">
      <c r="A161" s="1264" t="s">
        <v>1168</v>
      </c>
      <c r="B161" s="1287" t="s">
        <v>1169</v>
      </c>
      <c r="C161" s="1287"/>
      <c r="D161" s="1287"/>
      <c r="E161" s="1287"/>
      <c r="F161" s="1287"/>
      <c r="G161" s="1287"/>
      <c r="H161" s="1508" t="s">
        <v>1218</v>
      </c>
      <c r="I161" s="1508"/>
      <c r="J161" s="1508"/>
      <c r="K161" s="1508"/>
      <c r="L161" s="1287" t="s">
        <v>1219</v>
      </c>
      <c r="M161" s="1501"/>
      <c r="N161" s="1501"/>
      <c r="O161" s="1501"/>
      <c r="P161" s="1501"/>
      <c r="Q161" s="1501"/>
      <c r="R161" s="1501"/>
      <c r="S161" s="1501"/>
      <c r="T161" s="1501"/>
      <c r="U161" s="1508"/>
      <c r="V161" s="1508"/>
      <c r="W161" s="1508"/>
      <c r="X161" s="1509"/>
      <c r="Y161" s="1509"/>
      <c r="Z161" s="1509"/>
      <c r="AB161" s="1287" t="s">
        <v>1172</v>
      </c>
      <c r="AC161" s="1264"/>
      <c r="AD161" s="1264"/>
      <c r="AE161" s="1264"/>
      <c r="AF161" s="1264"/>
      <c r="AG161" s="1264"/>
      <c r="AX161" s="1287" t="s">
        <v>1173</v>
      </c>
      <c r="AY161" s="1501"/>
      <c r="AZ161" s="1501"/>
      <c r="BA161" s="1501"/>
      <c r="BB161" s="1501"/>
      <c r="BC161" s="1501"/>
      <c r="BD161" s="1287" t="s">
        <v>1174</v>
      </c>
      <c r="BE161" s="1501"/>
      <c r="BF161" s="1501"/>
    </row>
    <row r="162" spans="1:59" ht="17" x14ac:dyDescent="0.2">
      <c r="A162" s="1264"/>
      <c r="B162" s="1287" t="s">
        <v>1036</v>
      </c>
      <c r="C162" s="1501"/>
      <c r="D162" s="1287" t="s">
        <v>176</v>
      </c>
      <c r="E162" s="1501"/>
      <c r="F162" s="1287" t="s">
        <v>177</v>
      </c>
      <c r="G162" s="1501"/>
      <c r="H162" s="1508" t="s">
        <v>1037</v>
      </c>
      <c r="I162" s="1509"/>
      <c r="J162" s="1508" t="s">
        <v>176</v>
      </c>
      <c r="K162" s="1509"/>
      <c r="L162" s="1501" t="s">
        <v>1220</v>
      </c>
      <c r="M162" s="1501"/>
      <c r="N162" s="1501"/>
      <c r="O162" s="1501"/>
      <c r="P162" s="1501"/>
      <c r="Q162" s="1501"/>
      <c r="R162" s="1501"/>
      <c r="S162" s="1501"/>
      <c r="T162" s="1501"/>
      <c r="U162" s="1508"/>
      <c r="V162" s="1508"/>
      <c r="W162" s="1508"/>
      <c r="X162" s="1509"/>
      <c r="Y162" s="1509"/>
      <c r="Z162" s="1510"/>
      <c r="AB162" s="1287" t="s">
        <v>1175</v>
      </c>
      <c r="AC162" s="1264"/>
      <c r="AD162" s="1264"/>
      <c r="AE162" s="1264"/>
      <c r="AF162" s="1264"/>
      <c r="AG162" s="1264"/>
      <c r="AX162" s="1502" t="s">
        <v>1036</v>
      </c>
      <c r="AY162" s="1502"/>
      <c r="AZ162" s="1502" t="s">
        <v>176</v>
      </c>
      <c r="BA162" s="1502"/>
      <c r="BB162" s="1502" t="s">
        <v>177</v>
      </c>
      <c r="BC162" s="1502"/>
      <c r="BD162" s="1502" t="s">
        <v>1037</v>
      </c>
      <c r="BE162" s="1502"/>
      <c r="BF162" s="1502" t="s">
        <v>176</v>
      </c>
      <c r="BG162" s="1450"/>
    </row>
    <row r="163" spans="1:59" ht="16" x14ac:dyDescent="0.2">
      <c r="A163" s="1264"/>
      <c r="B163" s="1501" t="s">
        <v>92</v>
      </c>
      <c r="C163" s="1501"/>
      <c r="D163" s="1501" t="s">
        <v>1044</v>
      </c>
      <c r="E163" s="1501"/>
      <c r="F163" s="1501" t="s">
        <v>1045</v>
      </c>
      <c r="G163" s="1501"/>
      <c r="H163" s="1509" t="s">
        <v>92</v>
      </c>
      <c r="I163" s="1509"/>
      <c r="J163" s="1509" t="s">
        <v>1044</v>
      </c>
      <c r="K163" s="1509"/>
      <c r="L163" s="1287" t="s">
        <v>1036</v>
      </c>
      <c r="M163" s="1501"/>
      <c r="N163" s="1287"/>
      <c r="O163" s="1287" t="s">
        <v>176</v>
      </c>
      <c r="P163" s="1501"/>
      <c r="Q163" s="1287"/>
      <c r="R163" s="1287" t="s">
        <v>177</v>
      </c>
      <c r="S163" s="1501"/>
      <c r="T163" s="1287"/>
      <c r="U163" s="1508" t="s">
        <v>1037</v>
      </c>
      <c r="V163" s="1508"/>
      <c r="W163" s="1508"/>
      <c r="X163" s="1508" t="s">
        <v>176</v>
      </c>
      <c r="Y163" s="1509"/>
      <c r="Z163" s="1508"/>
      <c r="AB163" s="1501" t="s">
        <v>1176</v>
      </c>
      <c r="AC163" s="1264"/>
      <c r="AD163" s="1501" t="s">
        <v>176</v>
      </c>
      <c r="AE163" s="1264"/>
      <c r="AF163" s="1501" t="s">
        <v>177</v>
      </c>
      <c r="AG163" s="1264"/>
      <c r="AX163" s="1264" t="s">
        <v>859</v>
      </c>
      <c r="AZ163" s="1264" t="s">
        <v>859</v>
      </c>
      <c r="BB163" s="1264" t="s">
        <v>859</v>
      </c>
      <c r="BD163" s="1264" t="s">
        <v>859</v>
      </c>
      <c r="BF163" s="1264" t="s">
        <v>859</v>
      </c>
    </row>
    <row r="164" spans="1:59" ht="16" x14ac:dyDescent="0.2">
      <c r="A164" s="1264"/>
      <c r="B164" s="1511" t="s">
        <v>864</v>
      </c>
      <c r="C164" s="1511" t="s">
        <v>66</v>
      </c>
      <c r="D164" s="1511" t="s">
        <v>864</v>
      </c>
      <c r="E164" s="1511" t="s">
        <v>66</v>
      </c>
      <c r="F164" s="1511" t="s">
        <v>864</v>
      </c>
      <c r="G164" s="1511" t="s">
        <v>66</v>
      </c>
      <c r="H164" s="1512" t="s">
        <v>864</v>
      </c>
      <c r="I164" s="1512" t="s">
        <v>66</v>
      </c>
      <c r="J164" s="1512" t="s">
        <v>864</v>
      </c>
      <c r="K164" s="1512" t="s">
        <v>66</v>
      </c>
      <c r="L164" s="973" t="s">
        <v>219</v>
      </c>
      <c r="M164" s="1102" t="s">
        <v>179</v>
      </c>
      <c r="N164" s="1103" t="s">
        <v>180</v>
      </c>
      <c r="O164" s="973" t="s">
        <v>219</v>
      </c>
      <c r="P164" s="1102" t="s">
        <v>179</v>
      </c>
      <c r="Q164" s="1103" t="s">
        <v>180</v>
      </c>
      <c r="R164" s="973" t="s">
        <v>219</v>
      </c>
      <c r="S164" s="1102" t="s">
        <v>179</v>
      </c>
      <c r="T164" s="1103" t="s">
        <v>180</v>
      </c>
      <c r="U164" s="973" t="s">
        <v>219</v>
      </c>
      <c r="V164" s="1102" t="s">
        <v>179</v>
      </c>
      <c r="W164" s="1103" t="s">
        <v>180</v>
      </c>
      <c r="X164" s="973" t="s">
        <v>219</v>
      </c>
      <c r="Y164" s="1102" t="s">
        <v>179</v>
      </c>
      <c r="Z164" s="1103" t="s">
        <v>180</v>
      </c>
      <c r="AB164" s="1102" t="s">
        <v>179</v>
      </c>
      <c r="AC164" s="1103" t="s">
        <v>180</v>
      </c>
      <c r="AD164" s="1102" t="s">
        <v>179</v>
      </c>
      <c r="AE164" s="1103" t="s">
        <v>180</v>
      </c>
      <c r="AF164" s="1102" t="s">
        <v>179</v>
      </c>
      <c r="AG164" s="1103" t="s">
        <v>180</v>
      </c>
      <c r="AX164" s="1272" t="s">
        <v>200</v>
      </c>
      <c r="AY164" s="1272" t="s">
        <v>201</v>
      </c>
      <c r="AZ164" s="1272" t="s">
        <v>200</v>
      </c>
      <c r="BA164" s="1272" t="s">
        <v>201</v>
      </c>
      <c r="BB164" s="1272" t="s">
        <v>200</v>
      </c>
      <c r="BC164" s="1272" t="s">
        <v>201</v>
      </c>
      <c r="BD164" s="1272" t="s">
        <v>200</v>
      </c>
      <c r="BE164" s="1272" t="s">
        <v>201</v>
      </c>
      <c r="BF164" s="1272" t="s">
        <v>200</v>
      </c>
      <c r="BG164" s="1272" t="s">
        <v>201</v>
      </c>
    </row>
    <row r="165" spans="1:59" x14ac:dyDescent="0.15">
      <c r="A165" s="1467" t="s">
        <v>1160</v>
      </c>
      <c r="B165" s="1044">
        <f>IFERROR(IF('Inl. wetlands'!$D$145=list!$J$210,INDEX(IPCC!$A$1762:$J$1773,MATCH(clim_moist,IPCC!$A$1781:$A$1792,0),MATCH('Inl. wetlands'!$E151,IPCC!$A$1781:$J$1781,0)),IF('Inl. wetlands'!$D$145=list!$J$211,INDEX(IPCC!$A$1781:$J$1792,MATCH(clim_moist,IPCC!$A$1781:$A$1792,0),MATCH('Inl. wetlands'!$E151,IPCC!$A$1781:$J$1781,0)))),0)</f>
        <v>0</v>
      </c>
      <c r="C165" s="1162">
        <f>IF('6.Inland wetlands'!CG46="",'6.Inland wetlands'!CF46,'6.Inland wetlands'!CG46)</f>
        <v>0</v>
      </c>
      <c r="D165" s="1044">
        <f>IFERROR(IF('Inl. wetlands'!$D$145=list!$J$210,INDEX(IPCC!$A$1818:$J$1829,MATCH(clim_moist,IPCC!$A$1818:$A$1829,0),MATCH('Inl. wetlands'!$E151,IPCC!$A$1818:$J$1818,0)),IF('Inl. wetlands'!$D$145=list!$J$211,INDEX(IPCC!$A$1836:$J$1847,MATCH(clim_moist,IPCC!$A$1836:$A$1847,0),MATCH('Inl. wetlands'!$E151,IPCC!$A$1836:$J$1836,0)))),0)</f>
        <v>0</v>
      </c>
      <c r="E165" s="1162">
        <f>IF('6.Inland wetlands'!CI46="",'6.Inland wetlands'!CH46,'6.Inland wetlands'!CI46)</f>
        <v>0</v>
      </c>
      <c r="F165" s="1044">
        <f>IFERROR(IF('Inl. wetlands'!$D$145=list!$J$210,INDEX(IPCC!$A$1872:$J$1883,MATCH(clim_moist,IPCC!$A$1872:$A$1883,0),MATCH('Inl. wetlands'!$E151,IPCC!$A$1872:$J$1872,0)),IF('Inl. wetlands'!$D$145=list!$J$211,INDEX(IPCC!$A$1890:$J$1901,MATCH(clim_moist,IPCC!$A$1890:$A$1901,0),MATCH('Inl. wetlands'!$E151,IPCC!$A$1890:$J$1890,0)))),0)</f>
        <v>0</v>
      </c>
      <c r="G165" s="1162">
        <f>IF('6.Inland wetlands'!CK46="",'6.Inland wetlands'!CJ46,'6.Inland wetlands'!CK46)</f>
        <v>0</v>
      </c>
      <c r="H165" s="1044">
        <f>IFERROR(IF('Inl. wetlands'!$D$145=list!$J$210,INDEX(IPCC!$A$1800:$J$1811,MATCH(clim_moist,IPCC!$A$1800:$A$1811,0),MATCH('Inl. wetlands'!$E151,IPCC!$A$1800:$J$1800,0)),IF('Inl. wetlands'!$D$145=list!$J$211,INDEX(IPCC!$A$1800:$J$1811,MATCH(clim_moist,IPCC!$A$1800:$A$1811,0),MATCH('Inl. wetlands'!$E151,IPCC!$A$1800:$J$1800,0)))),0)</f>
        <v>0</v>
      </c>
      <c r="I165" s="1162">
        <f>IF('6.Inland wetlands'!CN46="",'6.Inland wetlands'!CM46,'6.Inland wetlands'!CN46)</f>
        <v>0</v>
      </c>
      <c r="J165" s="1111">
        <f>IFERROR(IF('Inl. wetlands'!$D$145=list!$J$210,INDEX(IPCC!$A$1854:$J$1865,MATCH(clim_moist,IPCC!$A$1854:$A$1865,0),MATCH('Inl. wetlands'!$E151,IPCC!$A$1854:$J$1854,0)),IF('Inl. wetlands'!$D$145=list!$J$211,INDEX(IPCC!$A$1854:$J$1865,MATCH(clim_moist,IPCC!$A$1854:$A$1865,0),MATCH('Inl. wetlands'!$E151,IPCC!$A$1854:$J$1854,0)))),0)</f>
        <v>0</v>
      </c>
      <c r="K165" s="1161">
        <f>IF('6.Inland wetlands'!CP46="",'6.Inland wetlands'!CO46,'6.Inland wetlands'!CP46)</f>
        <v>0</v>
      </c>
      <c r="L165" s="3468">
        <f>IF('6.Inland wetlands'!M58=0, 0,'Inl. wetlands'!C165*44/12*'6.Inland wetlands'!M58)</f>
        <v>0</v>
      </c>
      <c r="M165" s="3468">
        <f>IF('6.Inland wetlands'!N46=0, 'Inl. wetlands'!C165*44/12*'6.Inland wetlands'!N58, IF('6.Inland wetlands'!N58&lt;'6.Inland wetlands'!N46,0, 'Inl. wetlands'!C165*44/12*('6.Inland wetlands'!N58-'6.Inland wetlands'!N46)))</f>
        <v>0</v>
      </c>
      <c r="N165" s="1151">
        <f>IF('6.Inland wetlands'!P46=0, 'Inl. wetlands'!C165*44/12*'6.Inland wetlands'!P58, IF('6.Inland wetlands'!P58&lt;'6.Inland wetlands'!P46,0, 'Inl. wetlands'!C165*44/12*('6.Inland wetlands'!P58-'6.Inland wetlands'!P46)))</f>
        <v>0</v>
      </c>
      <c r="O165" s="4323">
        <f>IF('6.Inland wetlands'!M58=0, 0,'Inl. wetlands'!$E165*methane/1000*'6.Inland wetlands'!M58*(1-'6.Inland wetlands'!W58))</f>
        <v>0</v>
      </c>
      <c r="P165" s="4323">
        <f>IF('6.Inland wetlands'!N46=0,'Inl. wetlands'!$E165*methane/1000*'6.Inland wetlands'!N58*(1-'6.Inland wetlands'!X58),IF('6.Inland wetlands'!N58&lt;'6.Inland wetlands'!N46,0, 'Inl. wetlands'!$E165*methane/1000*('6.Inland wetlands'!N58-'6.Inland wetlands'!N46)*(1-'6.Inland wetlands'!X58)))</f>
        <v>0</v>
      </c>
      <c r="Q165" s="4323">
        <f>IF('6.Inland wetlands'!P46=0,'Inl. wetlands'!$E165*methane/1000*'6.Inland wetlands'!P58*(1-'6.Inland wetlands'!Y58),IF('6.Inland wetlands'!P58&lt;'6.Inland wetlands'!P46,0, 'Inl. wetlands'!$E165*methane/1000*('6.Inland wetlands'!P58-'6.Inland wetlands'!P46)*(1-'6.Inland wetlands'!Y58)))</f>
        <v>0</v>
      </c>
      <c r="R165" s="4323">
        <f>IF('6.Inland wetlands'!M58=0, 0, 'Inl. wetlands'!$G165*'6.Inland wetlands'!M58*44/28*Nitrous/1000)</f>
        <v>0</v>
      </c>
      <c r="S165" s="4323">
        <f>IF('6.Inland wetlands'!N46=0, 'Inl. wetlands'!$G165*'6.Inland wetlands'!N58*44/28*Nitrous/1000, IF('6.Inland wetlands'!N58&lt;'6.Inland wetlands'!N46,0, 'Inl. wetlands'!$G165*('6.Inland wetlands'!N58-'6.Inland wetlands'!N46)*44/28*Nitrous/1000))</f>
        <v>0</v>
      </c>
      <c r="T165" s="4323">
        <f>IF('6.Inland wetlands'!P46=0, 'Inl. wetlands'!$G165*'6.Inland wetlands'!P58*44/28*Nitrous/1000, IF('6.Inland wetlands'!P58&lt;'6.Inland wetlands'!P46,0,'Inl. wetlands'!$G165*44/28*Nitrous/1000*('6.Inland wetlands'!P58-'6.Inland wetlands'!P46)))</f>
        <v>0</v>
      </c>
      <c r="U165" s="4323">
        <f>IF('6.Inland wetlands'!M58=0, 0, 'Inl. wetlands'!$I165*'6.Inland wetlands'!M58*44/12)</f>
        <v>0</v>
      </c>
      <c r="V165" s="4323">
        <f>IF('6.Inland wetlands'!N46=0, 'Inl. wetlands'!I165*44/12*'6.Inland wetlands'!N58, IF('6.Inland wetlands'!N58&lt;'6.Inland wetlands'!N46,0, 'Inl. wetlands'!I165*44/12*('6.Inland wetlands'!N58-'6.Inland wetlands'!N46)))</f>
        <v>0</v>
      </c>
      <c r="W165" s="4323">
        <f>IF('6.Inland wetlands'!P46=0, 'Inl. wetlands'!I165*44/12*'6.Inland wetlands'!P58, IF('6.Inland wetlands'!P58&lt;'6.Inland wetlands'!P46,0, 'Inl. wetlands'!I165*44/12*('6.Inland wetlands'!P58-'6.Inland wetlands'!P46)))</f>
        <v>0</v>
      </c>
      <c r="X165" s="4323">
        <f>IF('6.Inland wetlands'!M58=0,0, 'Inl. wetlands'!$K165/1000*methane*'6.Inland wetlands'!M58*'6.Inland wetlands'!$W58)</f>
        <v>0</v>
      </c>
      <c r="Y165" s="4323">
        <f>IF('6.Inland wetlands'!N46=0,'Inl. wetlands'!$K165*methane/1000*'6.Inland wetlands'!N58*('6.Inland wetlands'!X58),IF('6.Inland wetlands'!N58&lt;'6.Inland wetlands'!N46,0, 'Inl. wetlands'!$K165*methane/1000*('6.Inland wetlands'!N58-'6.Inland wetlands'!N46)*('6.Inland wetlands'!X58)))</f>
        <v>0</v>
      </c>
      <c r="Z165" s="4323">
        <f>IF('6.Inland wetlands'!P46=0,'Inl. wetlands'!$K165*methane/1000*'6.Inland wetlands'!P58*('6.Inland wetlands'!Y58),IF('6.Inland wetlands'!P58&lt;'6.Inland wetlands'!P46,0, 'Inl. wetlands'!$K165*methane/1000*('6.Inland wetlands'!P58-'6.Inland wetlands'!P46)*('6.Inland wetlands'!Y58)))</f>
        <v>0</v>
      </c>
      <c r="AB165" s="3468">
        <f>MIN('Inl. wetlands'!L165,'Inl. wetlands'!M165)*time_tot+ABS('Inl. wetlands'!M165-'Inl. wetlands'!L165)*IF('Inl. wetlands'!M165&gt;'Inl. wetlands'!L165,time_cap+time*(VLOOKUP('6.Inland wetlands'!O58,list!$I$48:$K$50,3,0)),time*(1-(VLOOKUP('6.Inland wetlands'!O58,list!$I$48:$K$50,3,0))))+MIN('Inl. wetlands'!U165,'Inl. wetlands'!V165)*time_tot+ABS('Inl. wetlands'!V165-'Inl. wetlands'!U165)*IF('Inl. wetlands'!V165&gt;'Inl. wetlands'!U165,time_cap+time*(VLOOKUP('6.Inland wetlands'!O58,list!$I$48:$K$50,3,0)),time*(1-(VLOOKUP('6.Inland wetlands'!O58,list!$I$48:$K$50,3,0))))</f>
        <v>0</v>
      </c>
      <c r="AC165" s="3468">
        <f>MIN('Inl. wetlands'!L165,'Inl. wetlands'!N165)*time_tot+ABS('Inl. wetlands'!N165-'Inl. wetlands'!L165)*IF('Inl. wetlands'!N165&gt;'Inl. wetlands'!L165,time_cap+time*(VLOOKUP('6.Inland wetlands'!Q58,list!$I$48:$K$50,3,0)),time*(1-(VLOOKUP('6.Inland wetlands'!Q58,list!$I$48:$K$50,3,0))))+MIN('Inl. wetlands'!U165,'Inl. wetlands'!W165)*time_tot+ABS('Inl. wetlands'!W165-'Inl. wetlands'!U165)*IF('Inl. wetlands'!W165&gt;'Inl. wetlands'!U165,time_cap+time*(VLOOKUP('6.Inland wetlands'!Q58,list!$I$48:$K$50,3,0)),time*(1-(VLOOKUP('6.Inland wetlands'!Q58,list!$I$48:$K$50,3,0))))</f>
        <v>0</v>
      </c>
      <c r="AD165" s="1151">
        <f>MIN('Inl. wetlands'!O165,'Inl. wetlands'!P165)*time_tot+ABS('Inl. wetlands'!P165-'Inl. wetlands'!O165)*IF('Inl. wetlands'!P165&gt;'Inl. wetlands'!O165,time_cap+time*(VLOOKUP('6.Inland wetlands'!O58,list!$I$48:$K$50,3,0)),time*(1-(VLOOKUP('6.Inland wetlands'!O58,list!$I$48:$K$50,3,0))))+MIN('Inl. wetlands'!X165,'Inl. wetlands'!Y165)*time_tot+ABS('Inl. wetlands'!Y165-'Inl. wetlands'!X165)*IF('Inl. wetlands'!Y165&gt;'Inl. wetlands'!X165,time_cap+time*(VLOOKUP('6.Inland wetlands'!O58,list!$I$48:$K$50,3,0)),time*(1-(VLOOKUP('6.Inland wetlands'!O58,list!$I$48:$K$50,3,0))))</f>
        <v>0</v>
      </c>
      <c r="AE165" s="1151">
        <f>MIN('Inl. wetlands'!O165,'Inl. wetlands'!Q165)*time_tot+ABS('Inl. wetlands'!Q165-'Inl. wetlands'!O165)*IF('Inl. wetlands'!Q165&gt;'Inl. wetlands'!O165,time_cap+time*(VLOOKUP('6.Inland wetlands'!Q58,list!$I$48:$K$50,3,0)),time*(1-(VLOOKUP('6.Inland wetlands'!Q58,list!$I$48:$K$50,3,0))))+MIN('Inl. wetlands'!X165,'Inl. wetlands'!Z165)*time_tot+ABS('Inl. wetlands'!Z165-'Inl. wetlands'!X165)*IF('Inl. wetlands'!Z165&gt;'Inl. wetlands'!X165,time_cap+time*(VLOOKUP('6.Inland wetlands'!Q58,list!$I$48:$K$50,3,0)),time*(1-(VLOOKUP('6.Inland wetlands'!Q58,list!$I$48:$K$50,3,0))))</f>
        <v>0</v>
      </c>
      <c r="AF165" s="1151">
        <f>MIN('Inl. wetlands'!R165,'Inl. wetlands'!S165)*time_tot+ABS('Inl. wetlands'!S165-'Inl. wetlands'!R165)*IF('Inl. wetlands'!S165&gt;'Inl. wetlands'!R165,time_cap+time*(VLOOKUP('6.Inland wetlands'!O58,list!$I$48:$K$50,3,0)),time*(1-(VLOOKUP('6.Inland wetlands'!O58,list!$I$48:$K$50,3,0))))</f>
        <v>0</v>
      </c>
      <c r="AG165" s="1151">
        <f>MIN('Inl. wetlands'!R165,'Inl. wetlands'!T165)*time_tot+ABS('Inl. wetlands'!T165-'Inl. wetlands'!R165)*IF('Inl. wetlands'!T165&gt;'Inl. wetlands'!R165,time_cap+time*(VLOOKUP('6.Inland wetlands'!Q58,list!$I$48:$K$50,3,0)),time*(1-(VLOOKUP('6.Inland wetlands'!Q58,list!$I$48:$K$50,3,0))))</f>
        <v>0</v>
      </c>
      <c r="AX165" s="1449">
        <f>'Inl. wetlands'!$M165*time*(VLOOKUP($G151,list!$J$48:$K$50,2,0))</f>
        <v>0</v>
      </c>
      <c r="AY165" s="1449">
        <f>'Inl. wetlands'!$N165*time*(VLOOKUP($K151,list!$J$48:$K$50,2,0))</f>
        <v>0</v>
      </c>
      <c r="AZ165" s="1449">
        <f>'Inl. wetlands'!$P165*time*(VLOOKUP($G151,list!$J$48:$K$50,2,0))</f>
        <v>0</v>
      </c>
      <c r="BA165" s="1449">
        <f>'Inl. wetlands'!$Q165*time*(VLOOKUP($K151,list!$J$48:$K$50,2,0))</f>
        <v>0</v>
      </c>
      <c r="BB165" s="1449">
        <f>'Inl. wetlands'!$S165*time*(VLOOKUP($G151,list!$J$48:$K$50,2,0))</f>
        <v>0</v>
      </c>
      <c r="BC165" s="1449">
        <f>'Inl. wetlands'!$T165*time*(VLOOKUP($K151,list!$J$48:$K$50,2,0))</f>
        <v>0</v>
      </c>
      <c r="BD165" s="1449">
        <f>'Inl. wetlands'!$V165*time*(VLOOKUP($G151,list!$J$48:$K$50,2,0))</f>
        <v>0</v>
      </c>
      <c r="BE165" s="1449">
        <f>'Inl. wetlands'!$W165*time*(VLOOKUP($K151,list!$J$48:$K$50,2,0))</f>
        <v>0</v>
      </c>
      <c r="BF165" s="1449">
        <f>'Inl. wetlands'!$Y165*time*(VLOOKUP($G151,list!$J$48:$K$50,2,0))</f>
        <v>0</v>
      </c>
      <c r="BG165" s="1449">
        <f>'Inl. wetlands'!$Z165*time*(VLOOKUP($K151,list!$J$48:$K$50,2,0))</f>
        <v>0</v>
      </c>
    </row>
    <row r="166" spans="1:59" x14ac:dyDescent="0.15">
      <c r="A166" s="1467" t="s">
        <v>1161</v>
      </c>
      <c r="B166" s="1044">
        <f>IFERROR(IF('Inl. wetlands'!$D$145=list!$J$210,INDEX(IPCC!$A$1762:$J$1773,MATCH(clim_moist,IPCC!$A$1781:$A$1792,0),MATCH('Inl. wetlands'!$E152,IPCC!$A$1781:$J$1781,0)),IF('Inl. wetlands'!$D$145=list!$J$211,INDEX(IPCC!$A$1781:$J$1792,MATCH(clim_moist,IPCC!$A$1781:$A$1792,0),MATCH('Inl. wetlands'!$E152,IPCC!$A$1781:$J$1781,0)))),0)</f>
        <v>0</v>
      </c>
      <c r="C166" s="1162">
        <f>IF('6.Inland wetlands'!CG47="",'6.Inland wetlands'!CF47,'6.Inland wetlands'!CG47)</f>
        <v>0</v>
      </c>
      <c r="D166" s="1044">
        <f>IFERROR(IF('Inl. wetlands'!$D$145=list!$J$210,INDEX(IPCC!$A$1818:$J$1829,MATCH(clim_moist,IPCC!$A$1818:$A$1829,0),MATCH('Inl. wetlands'!$E152,IPCC!$A$1818:$J$1818,0)),IF('Inl. wetlands'!$D$145=list!$J$211,INDEX(IPCC!$A$1836:$J$1847,MATCH(clim_moist,IPCC!$A$1836:$A$1847,0),MATCH('Inl. wetlands'!$E152,IPCC!$A$1836:$J$1836,0)))),0)</f>
        <v>0</v>
      </c>
      <c r="E166" s="1162">
        <f>IF('6.Inland wetlands'!CI47="",'6.Inland wetlands'!CH47,'6.Inland wetlands'!CI47)</f>
        <v>0</v>
      </c>
      <c r="F166" s="1044">
        <f>IFERROR(IF('Inl. wetlands'!$D$145=list!$J$210,INDEX(IPCC!$A$1872:$J$1883,MATCH(clim_moist,IPCC!$A$1872:$A$1883,0),MATCH('Inl. wetlands'!$E152,IPCC!$A$1872:$J$1872,0)),IF('Inl. wetlands'!$D$145=list!$J$211,INDEX(IPCC!$A$1890:$J$1901,MATCH(clim_moist,IPCC!$A$1890:$A$1901,0),MATCH('Inl. wetlands'!$E152,IPCC!$A$1890:$J$1890,0)))),0)</f>
        <v>0</v>
      </c>
      <c r="G166" s="1162">
        <f>IF('6.Inland wetlands'!CK47="",'6.Inland wetlands'!CJ47,'6.Inland wetlands'!CK47)</f>
        <v>0</v>
      </c>
      <c r="H166" s="1044">
        <f>IFERROR(IF('Inl. wetlands'!$D$145=list!$J$210,INDEX(IPCC!$A$1800:$J$1811,MATCH(clim_moist,IPCC!$A$1800:$A$1811,0),MATCH('Inl. wetlands'!$E152,IPCC!$A$1800:$J$1800,0)),IF('Inl. wetlands'!$D$145=list!$J$211,INDEX(IPCC!$A$1800:$J$1811,MATCH(clim_moist,IPCC!$A$1800:$A$1811,0),MATCH('Inl. wetlands'!$E152,IPCC!$A$1800:$J$1800,0)))),0)</f>
        <v>0</v>
      </c>
      <c r="I166" s="1162">
        <f>IF('6.Inland wetlands'!CN47="",'6.Inland wetlands'!CM47,'6.Inland wetlands'!CN47)</f>
        <v>0</v>
      </c>
      <c r="J166" s="1111">
        <f>IFERROR(IF('Inl. wetlands'!$D$145=list!$J$210,INDEX(IPCC!$A$1854:$J$1865,MATCH(clim_moist,IPCC!$A$1854:$A$1865,0),MATCH('Inl. wetlands'!$E152,IPCC!$A$1854:$J$1854,0)),IF('Inl. wetlands'!$D$145=list!$J$211,INDEX(IPCC!$A$1854:$J$1865,MATCH(clim_moist,IPCC!$A$1854:$A$1865,0),MATCH('Inl. wetlands'!$E152,IPCC!$A$1854:$J$1854,0)))),0)</f>
        <v>0</v>
      </c>
      <c r="K166" s="1161">
        <f>IF('6.Inland wetlands'!CP47="",'6.Inland wetlands'!CO47,'6.Inland wetlands'!CP47)</f>
        <v>0</v>
      </c>
      <c r="L166" s="3468">
        <f>IF('6.Inland wetlands'!M59=0, 0,'Inl. wetlands'!C166*44/12*'6.Inland wetlands'!M59)</f>
        <v>0</v>
      </c>
      <c r="M166" s="3468">
        <f>IF('6.Inland wetlands'!N47=0, 'Inl. wetlands'!C166*44/12*'6.Inland wetlands'!N59, IF('6.Inland wetlands'!N59&lt;'6.Inland wetlands'!N47,0, 'Inl. wetlands'!C166*44/12*('6.Inland wetlands'!N59-'6.Inland wetlands'!N47)))</f>
        <v>0</v>
      </c>
      <c r="N166" s="1151">
        <f>IF('6.Inland wetlands'!P47=0, 'Inl. wetlands'!C166*44/12*'6.Inland wetlands'!P59, IF('6.Inland wetlands'!P59&lt;'6.Inland wetlands'!P47,0, 'Inl. wetlands'!C166*44/12*('6.Inland wetlands'!P59-'6.Inland wetlands'!P47)))</f>
        <v>0</v>
      </c>
      <c r="O166" s="4323">
        <f>IF('6.Inland wetlands'!M59=0, 0,'Inl. wetlands'!$E166*methane/1000*'6.Inland wetlands'!M59*(1-'6.Inland wetlands'!W59))</f>
        <v>0</v>
      </c>
      <c r="P166" s="4323">
        <f>IF('6.Inland wetlands'!N47=0,'Inl. wetlands'!$E166*methane/1000*'6.Inland wetlands'!N59*(1-'6.Inland wetlands'!X59),IF('6.Inland wetlands'!N59&lt;'6.Inland wetlands'!N47,0, 'Inl. wetlands'!$E166*methane/1000*('6.Inland wetlands'!N59-'6.Inland wetlands'!N47)*(1-'6.Inland wetlands'!X59)))</f>
        <v>0</v>
      </c>
      <c r="Q166" s="4323">
        <f>IF('6.Inland wetlands'!P47=0,'Inl. wetlands'!$E166*methane/1000*'6.Inland wetlands'!P59*(1-'6.Inland wetlands'!Y59),IF('6.Inland wetlands'!P59&lt;'6.Inland wetlands'!P47,0, 'Inl. wetlands'!$E166*methane/1000*('6.Inland wetlands'!P59-'6.Inland wetlands'!P47)*(1-'6.Inland wetlands'!Y59)))</f>
        <v>0</v>
      </c>
      <c r="R166" s="4323">
        <f>IF('6.Inland wetlands'!M59=0, 0, 'Inl. wetlands'!$G166*'6.Inland wetlands'!M59*44/28*Nitrous/1000)</f>
        <v>0</v>
      </c>
      <c r="S166" s="4323">
        <f>IF('6.Inland wetlands'!N47=0, 'Inl. wetlands'!$G166*'6.Inland wetlands'!N59*44/28*Nitrous/1000, IF('6.Inland wetlands'!N59&lt;'6.Inland wetlands'!N47,0, 'Inl. wetlands'!$G166*('6.Inland wetlands'!N59-'6.Inland wetlands'!N47)*44/28*Nitrous/1000))</f>
        <v>0</v>
      </c>
      <c r="T166" s="4323">
        <f>IF('6.Inland wetlands'!P47=0, 'Inl. wetlands'!$G166*'6.Inland wetlands'!P59*44/28*Nitrous/1000, IF('6.Inland wetlands'!P59&lt;'6.Inland wetlands'!P47,0,'Inl. wetlands'!$G166*44/28*Nitrous/1000*('6.Inland wetlands'!P59-'6.Inland wetlands'!P47)))</f>
        <v>0</v>
      </c>
      <c r="U166" s="4323">
        <f>IF('6.Inland wetlands'!M59=0, 0, 'Inl. wetlands'!$I166*'6.Inland wetlands'!M59*44/12)</f>
        <v>0</v>
      </c>
      <c r="V166" s="4323">
        <f>IF('6.Inland wetlands'!N47=0, 'Inl. wetlands'!I166*44/12*'6.Inland wetlands'!N59, IF('6.Inland wetlands'!N59&lt;'6.Inland wetlands'!N47,0, 'Inl. wetlands'!I166*44/12*('6.Inland wetlands'!N59-'6.Inland wetlands'!N47)))</f>
        <v>0</v>
      </c>
      <c r="W166" s="4323">
        <f>IF('6.Inland wetlands'!P47=0, 'Inl. wetlands'!I166*44/12*'6.Inland wetlands'!P59, IF('6.Inland wetlands'!P59&lt;'6.Inland wetlands'!P47,0, 'Inl. wetlands'!I166*44/12*('6.Inland wetlands'!P59-'6.Inland wetlands'!P47)))</f>
        <v>0</v>
      </c>
      <c r="X166" s="4323">
        <f>IF('6.Inland wetlands'!M59=0,0, 'Inl. wetlands'!$K166/1000*methane*'6.Inland wetlands'!M59*'6.Inland wetlands'!$W59)</f>
        <v>0</v>
      </c>
      <c r="Y166" s="4323">
        <f>IF('6.Inland wetlands'!N47=0,'Inl. wetlands'!$K166*methane/1000*'6.Inland wetlands'!N59*('6.Inland wetlands'!X59),IF('6.Inland wetlands'!N59&lt;'6.Inland wetlands'!N47,0, 'Inl. wetlands'!$K166*methane/1000*('6.Inland wetlands'!N59-'6.Inland wetlands'!N47)*('6.Inland wetlands'!X59)))</f>
        <v>0</v>
      </c>
      <c r="Z166" s="4323">
        <f>IF('6.Inland wetlands'!P47=0,'Inl. wetlands'!$K166*methane/1000*'6.Inland wetlands'!P59*('6.Inland wetlands'!Y59),IF('6.Inland wetlands'!P59&lt;'6.Inland wetlands'!P47,0, 'Inl. wetlands'!$K166*methane/1000*('6.Inland wetlands'!P59-'6.Inland wetlands'!P47)*('6.Inland wetlands'!Y59)))</f>
        <v>0</v>
      </c>
      <c r="AB166" s="3468">
        <f>MIN('Inl. wetlands'!L166,'Inl. wetlands'!M166)*time_tot+ABS('Inl. wetlands'!M166-'Inl. wetlands'!L166)*IF('Inl. wetlands'!M166&gt;'Inl. wetlands'!L166,time_cap+time*(VLOOKUP('6.Inland wetlands'!O59,list!$I$48:$K$50,3,0)),time*(1-(VLOOKUP('6.Inland wetlands'!O59,list!$I$48:$K$50,3,0))))+MIN('Inl. wetlands'!U166,'Inl. wetlands'!V166)*time_tot+ABS('Inl. wetlands'!V166-'Inl. wetlands'!U166)*IF('Inl. wetlands'!V166&gt;'Inl. wetlands'!U166,time_cap+time*(VLOOKUP('6.Inland wetlands'!O59,list!$I$48:$K$50,3,0)),time*(1-(VLOOKUP('6.Inland wetlands'!O59,list!$I$48:$K$50,3,0))))</f>
        <v>0</v>
      </c>
      <c r="AC166" s="3468">
        <f>MIN('Inl. wetlands'!L166,'Inl. wetlands'!N166)*time_tot+ABS('Inl. wetlands'!N166-'Inl. wetlands'!L166)*IF('Inl. wetlands'!N166&gt;'Inl. wetlands'!L166,time_cap+time*(VLOOKUP('6.Inland wetlands'!Q59,list!$I$48:$K$50,3,0)),time*(1-(VLOOKUP('6.Inland wetlands'!Q59,list!$I$48:$K$50,3,0))))+MIN('Inl. wetlands'!U166,'Inl. wetlands'!W166)*time_tot+ABS('Inl. wetlands'!W166-'Inl. wetlands'!U166)*IF('Inl. wetlands'!W166&gt;'Inl. wetlands'!U166,time_cap+time*(VLOOKUP('6.Inland wetlands'!Q59,list!$I$48:$K$50,3,0)),time*(1-(VLOOKUP('6.Inland wetlands'!Q59,list!$I$48:$K$50,3,0))))</f>
        <v>0</v>
      </c>
      <c r="AD166" s="1151">
        <f>MIN('Inl. wetlands'!O166,'Inl. wetlands'!P166)*time_tot+ABS('Inl. wetlands'!P166-'Inl. wetlands'!O166)*IF('Inl. wetlands'!P166&gt;'Inl. wetlands'!O166,time_cap+time*(VLOOKUP('6.Inland wetlands'!O59,list!$I$48:$K$50,3,0)),time*(1-(VLOOKUP('6.Inland wetlands'!O59,list!$I$48:$K$50,3,0))))+MIN('Inl. wetlands'!X166,'Inl. wetlands'!Y166)*time_tot+ABS('Inl. wetlands'!Y166-'Inl. wetlands'!X166)*IF('Inl. wetlands'!Y166&gt;'Inl. wetlands'!X166,time_cap+time*(VLOOKUP('6.Inland wetlands'!O59,list!$I$48:$K$50,3,0)),time*(1-(VLOOKUP('6.Inland wetlands'!O59,list!$I$48:$K$50,3,0))))</f>
        <v>0</v>
      </c>
      <c r="AE166" s="1151">
        <f>MIN('Inl. wetlands'!O166,'Inl. wetlands'!Q166)*time_tot+ABS('Inl. wetlands'!Q166-'Inl. wetlands'!O166)*IF('Inl. wetlands'!Q166&gt;'Inl. wetlands'!O166,time_cap+time*(VLOOKUP('6.Inland wetlands'!Q59,list!$I$48:$K$50,3,0)),time*(1-(VLOOKUP('6.Inland wetlands'!Q59,list!$I$48:$K$50,3,0))))+MIN('Inl. wetlands'!X166,'Inl. wetlands'!Z166)*time_tot+ABS('Inl. wetlands'!Z166-'Inl. wetlands'!X166)*IF('Inl. wetlands'!Z166&gt;'Inl. wetlands'!X166,time_cap+time*(VLOOKUP('6.Inland wetlands'!Q59,list!$I$48:$K$50,3,0)),time*(1-(VLOOKUP('6.Inland wetlands'!Q59,list!$I$48:$K$50,3,0))))</f>
        <v>0</v>
      </c>
      <c r="AF166" s="1151">
        <f>MIN('Inl. wetlands'!R166,'Inl. wetlands'!S166)*time_tot+ABS('Inl. wetlands'!S166-'Inl. wetlands'!R166)*IF('Inl. wetlands'!S166&gt;'Inl. wetlands'!R166,time_cap+time*(VLOOKUP('6.Inland wetlands'!O59,list!$I$48:$K$50,3,0)),time*(1-(VLOOKUP('6.Inland wetlands'!O59,list!$I$48:$K$50,3,0))))</f>
        <v>0</v>
      </c>
      <c r="AG166" s="1151">
        <f>MIN('Inl. wetlands'!R166,'Inl. wetlands'!T166)*time_tot+ABS('Inl. wetlands'!T166-'Inl. wetlands'!R166)*IF('Inl. wetlands'!T166&gt;'Inl. wetlands'!R166,time_cap+time*(VLOOKUP('6.Inland wetlands'!Q59,list!$I$48:$K$50,3,0)),time*(1-(VLOOKUP('6.Inland wetlands'!Q59,list!$I$48:$K$50,3,0))))</f>
        <v>0</v>
      </c>
      <c r="AX166" s="1449">
        <f>$M166*time*(VLOOKUP($G152,list!$J$48:$K$50,2,0))</f>
        <v>0</v>
      </c>
      <c r="AY166" s="1449">
        <f>$N166*time*(VLOOKUP($K152,list!$J$48:$K$50,2,0))</f>
        <v>0</v>
      </c>
      <c r="AZ166" s="1449">
        <f>$P166*time*(VLOOKUP($G152,list!$J$48:$K$50,2,0))</f>
        <v>0</v>
      </c>
      <c r="BA166" s="1449">
        <f>$Q166*time*(VLOOKUP($K152,list!$J$48:$K$50,2,0))</f>
        <v>0</v>
      </c>
      <c r="BB166" s="1449">
        <f>$S166*time*(VLOOKUP($G152,list!$J$48:$K$50,2,0))</f>
        <v>0</v>
      </c>
      <c r="BC166" s="1449">
        <f>$T166*time*(VLOOKUP($K152,list!$J$48:$K$50,2,0))</f>
        <v>0</v>
      </c>
      <c r="BD166" s="1449">
        <f>$V166*time*(VLOOKUP($G152,list!$J$48:$K$50,2,0))</f>
        <v>0</v>
      </c>
      <c r="BE166" s="1449">
        <f>$W166*time*(VLOOKUP($K152,list!$J$48:$K$50,2,0))</f>
        <v>0</v>
      </c>
      <c r="BF166" s="1449">
        <f>$Y166*time*(VLOOKUP($G152,list!$J$48:$K$50,2,0))</f>
        <v>0</v>
      </c>
      <c r="BG166" s="1449">
        <f>$Z166*time*(VLOOKUP($K152,list!$J$48:$K$50,2,0))</f>
        <v>0</v>
      </c>
    </row>
    <row r="167" spans="1:59" ht="16" x14ac:dyDescent="0.2">
      <c r="A167" s="1467" t="s">
        <v>1162</v>
      </c>
      <c r="B167" s="1044">
        <f>IFERROR(IF('Inl. wetlands'!$D$145=list!$J$210,INDEX(IPCC!$A$1762:$J$1773,MATCH(clim_moist,IPCC!$A$1781:$A$1792,0),MATCH('Inl. wetlands'!$E153,IPCC!$A$1781:$J$1781,0)),IF('Inl. wetlands'!$D$145=list!$J$211,INDEX(IPCC!$A$1781:$J$1792,MATCH(clim_moist,IPCC!$A$1781:$A$1792,0),MATCH('Inl. wetlands'!$E153,IPCC!$A$1781:$J$1781,0)))),0)</f>
        <v>0</v>
      </c>
      <c r="C167" s="1162">
        <f>IF('6.Inland wetlands'!CG48="",'6.Inland wetlands'!CF48,'6.Inland wetlands'!CG48)</f>
        <v>0</v>
      </c>
      <c r="D167" s="1044">
        <f>IFERROR(IF('Inl. wetlands'!$D$145=list!$J$210,INDEX(IPCC!$A$1818:$J$1829,MATCH(clim_moist,IPCC!$A$1818:$A$1829,0),MATCH('Inl. wetlands'!$E153,IPCC!$A$1818:$J$1818,0)),IF('Inl. wetlands'!$D$145=list!$J$211,INDEX(IPCC!$A$1836:$J$1847,MATCH(clim_moist,IPCC!$A$1836:$A$1847,0),MATCH('Inl. wetlands'!$E153,IPCC!$A$1836:$J$1836,0)))),0)</f>
        <v>0</v>
      </c>
      <c r="E167" s="1162">
        <f>IF('6.Inland wetlands'!CI48="",'6.Inland wetlands'!CH48,'6.Inland wetlands'!CI48)</f>
        <v>0</v>
      </c>
      <c r="F167" s="1044">
        <f>IFERROR(IF('Inl. wetlands'!$D$145=list!$J$210,INDEX(IPCC!$A$1872:$J$1883,MATCH(clim_moist,IPCC!$A$1872:$A$1883,0),MATCH('Inl. wetlands'!$E153,IPCC!$A$1872:$J$1872,0)),IF('Inl. wetlands'!$D$145=list!$J$211,INDEX(IPCC!$A$1890:$J$1901,MATCH(clim_moist,IPCC!$A$1890:$A$1901,0),MATCH('Inl. wetlands'!$E153,IPCC!$A$1890:$J$1890,0)))),0)</f>
        <v>0</v>
      </c>
      <c r="G167" s="1162">
        <f>IF('6.Inland wetlands'!CK48="",'6.Inland wetlands'!CJ48,'6.Inland wetlands'!CK48)</f>
        <v>0</v>
      </c>
      <c r="H167" s="1044">
        <f>IFERROR(IF('Inl. wetlands'!$D$145=list!$J$210,INDEX(IPCC!$A$1800:$J$1811,MATCH(clim_moist,IPCC!$A$1800:$A$1811,0),MATCH('Inl. wetlands'!$E153,IPCC!$A$1800:$J$1800,0)),IF('Inl. wetlands'!$D$145=list!$J$211,INDEX(IPCC!$A$1800:$J$1811,MATCH(clim_moist,IPCC!$A$1800:$A$1811,0),MATCH('Inl. wetlands'!$E153,IPCC!$A$1800:$J$1800,0)))),0)</f>
        <v>0</v>
      </c>
      <c r="I167" s="1162">
        <f>IF('6.Inland wetlands'!CN48="",'6.Inland wetlands'!CM48,'6.Inland wetlands'!CN48)</f>
        <v>0</v>
      </c>
      <c r="J167" s="1111">
        <f>IFERROR(IF('Inl. wetlands'!$D$145=list!$J$210,INDEX(IPCC!$A$1854:$J$1865,MATCH(clim_moist,IPCC!$A$1854:$A$1865,0),MATCH('Inl. wetlands'!$E153,IPCC!$A$1854:$J$1854,0)),IF('Inl. wetlands'!$D$145=list!$J$211,INDEX(IPCC!$A$1854:$J$1865,MATCH(clim_moist,IPCC!$A$1854:$A$1865,0),MATCH('Inl. wetlands'!$E153,IPCC!$A$1854:$J$1854,0)))),0)</f>
        <v>0</v>
      </c>
      <c r="K167" s="1161">
        <f>IF('6.Inland wetlands'!CP48="",'6.Inland wetlands'!CO48,'6.Inland wetlands'!CP48)</f>
        <v>0</v>
      </c>
      <c r="L167" s="3468">
        <f>IF('6.Inland wetlands'!M60=0, 0,'Inl. wetlands'!C167*44/12*'6.Inland wetlands'!M60)</f>
        <v>0</v>
      </c>
      <c r="M167" s="3468">
        <f>IF('6.Inland wetlands'!N48=0, 'Inl. wetlands'!C167*44/12*'6.Inland wetlands'!N60, IF('6.Inland wetlands'!N60&lt;'6.Inland wetlands'!N48,0, 'Inl. wetlands'!C167*44/12*('6.Inland wetlands'!N60-'6.Inland wetlands'!N48)))</f>
        <v>0</v>
      </c>
      <c r="N167" s="1151">
        <f>IF('6.Inland wetlands'!P48=0, 'Inl. wetlands'!C167*44/12*'6.Inland wetlands'!P60, IF('6.Inland wetlands'!P60&lt;'6.Inland wetlands'!P48,0, 'Inl. wetlands'!C167*44/12*('6.Inland wetlands'!P60-'6.Inland wetlands'!P48)))</f>
        <v>0</v>
      </c>
      <c r="O167" s="4323">
        <f>IF('6.Inland wetlands'!M60=0, 0,'Inl. wetlands'!$E167*methane/1000*'6.Inland wetlands'!M60*(1-'6.Inland wetlands'!W60))</f>
        <v>0</v>
      </c>
      <c r="P167" s="4323">
        <f>IF('6.Inland wetlands'!N48=0,'Inl. wetlands'!$E167*methane/1000*'6.Inland wetlands'!N60*(1-'6.Inland wetlands'!X60),IF('6.Inland wetlands'!N60&lt;'6.Inland wetlands'!N48,0, 'Inl. wetlands'!$E167*methane/1000*('6.Inland wetlands'!N60-'6.Inland wetlands'!N48)*(1-'6.Inland wetlands'!X60)))</f>
        <v>0</v>
      </c>
      <c r="Q167" s="4323">
        <f>IF('6.Inland wetlands'!P48=0,'Inl. wetlands'!$E167*methane/1000*'6.Inland wetlands'!P60*(1-'6.Inland wetlands'!Y60),IF('6.Inland wetlands'!P60&lt;'6.Inland wetlands'!P48,0, 'Inl. wetlands'!$E167*methane/1000*('6.Inland wetlands'!P60-'6.Inland wetlands'!P48)*(1-'6.Inland wetlands'!Y60)))</f>
        <v>0</v>
      </c>
      <c r="R167" s="4323">
        <f>IF('6.Inland wetlands'!M60=0, 0, 'Inl. wetlands'!$G167*'6.Inland wetlands'!M60*44/28*Nitrous/1000)</f>
        <v>0</v>
      </c>
      <c r="S167" s="4323">
        <f>IF('6.Inland wetlands'!N48=0, 'Inl. wetlands'!$G167*'6.Inland wetlands'!N60*44/28*Nitrous/1000, IF('6.Inland wetlands'!N60&lt;'6.Inland wetlands'!N48,0, 'Inl. wetlands'!$G167*('6.Inland wetlands'!N60-'6.Inland wetlands'!N48)*44/28*Nitrous/1000))</f>
        <v>0</v>
      </c>
      <c r="T167" s="4323">
        <f>IF('6.Inland wetlands'!P48=0, 'Inl. wetlands'!$G167*'6.Inland wetlands'!P60*44/28*Nitrous/1000, IF('6.Inland wetlands'!P60&lt;'6.Inland wetlands'!P48,0,'Inl. wetlands'!$G167*44/28*Nitrous/1000*('6.Inland wetlands'!P60-'6.Inland wetlands'!P48)))</f>
        <v>0</v>
      </c>
      <c r="U167" s="4323">
        <f>IF('6.Inland wetlands'!M60=0, 0, 'Inl. wetlands'!$I167*'6.Inland wetlands'!M60*44/12)</f>
        <v>0</v>
      </c>
      <c r="V167" s="4323">
        <f>IF('6.Inland wetlands'!N48=0, 'Inl. wetlands'!I167*44/12*'6.Inland wetlands'!N60, IF('6.Inland wetlands'!N60&lt;'6.Inland wetlands'!N48,0, 'Inl. wetlands'!I167*44/12*('6.Inland wetlands'!N60-'6.Inland wetlands'!N48)))</f>
        <v>0</v>
      </c>
      <c r="W167" s="4323">
        <f>IF('6.Inland wetlands'!P48=0, 'Inl. wetlands'!I167*44/12*'6.Inland wetlands'!P60, IF('6.Inland wetlands'!P60&lt;'6.Inland wetlands'!P48,0, 'Inl. wetlands'!I167*44/12*('6.Inland wetlands'!P60-'6.Inland wetlands'!P48)))</f>
        <v>0</v>
      </c>
      <c r="X167" s="4323">
        <f>IF('6.Inland wetlands'!M60=0,0, 'Inl. wetlands'!$K167/1000*methane*'6.Inland wetlands'!M60*'6.Inland wetlands'!$W60)</f>
        <v>0</v>
      </c>
      <c r="Y167" s="4323">
        <f>IF('6.Inland wetlands'!N48=0,'Inl. wetlands'!$K167*methane/1000*'6.Inland wetlands'!N60*('6.Inland wetlands'!X60),IF('6.Inland wetlands'!N60&lt;'6.Inland wetlands'!N48,0, 'Inl. wetlands'!$K167*methane/1000*('6.Inland wetlands'!N60-'6.Inland wetlands'!N48)*('6.Inland wetlands'!X60)))</f>
        <v>0</v>
      </c>
      <c r="Z167" s="4323">
        <f>IF('6.Inland wetlands'!P48=0,'Inl. wetlands'!$K167*methane/1000*'6.Inland wetlands'!P60*('6.Inland wetlands'!Y60),IF('6.Inland wetlands'!P60&lt;'6.Inland wetlands'!P48,0, 'Inl. wetlands'!$K167*methane/1000*('6.Inland wetlands'!P60-'6.Inland wetlands'!P48)*('6.Inland wetlands'!Y60)))</f>
        <v>0</v>
      </c>
      <c r="AB167" s="3468">
        <f>MIN('Inl. wetlands'!L167,'Inl. wetlands'!M167)*time_tot+ABS('Inl. wetlands'!M167-'Inl. wetlands'!L167)*IF('Inl. wetlands'!M167&gt;'Inl. wetlands'!L167,time_cap+time*(VLOOKUP('6.Inland wetlands'!O60,list!$I$48:$K$50,3,0)),time*(1-(VLOOKUP('6.Inland wetlands'!O60,list!$I$48:$K$50,3,0))))+MIN('Inl. wetlands'!U167,'Inl. wetlands'!V167)*time_tot+ABS('Inl. wetlands'!V167-'Inl. wetlands'!U167)*IF('Inl. wetlands'!V167&gt;'Inl. wetlands'!U167,time_cap+time*(VLOOKUP('6.Inland wetlands'!O60,list!$I$48:$K$50,3,0)),time*(1-(VLOOKUP('6.Inland wetlands'!O60,list!$I$48:$K$50,3,0))))</f>
        <v>0</v>
      </c>
      <c r="AC167" s="3468">
        <f>MIN('Inl. wetlands'!L167,'Inl. wetlands'!N167)*time_tot+ABS('Inl. wetlands'!N167-'Inl. wetlands'!L167)*IF('Inl. wetlands'!N167&gt;'Inl. wetlands'!L167,time_cap+time*(VLOOKUP('6.Inland wetlands'!Q60,list!$I$48:$K$50,3,0)),time*(1-(VLOOKUP('6.Inland wetlands'!Q60,list!$I$48:$K$50,3,0))))+MIN('Inl. wetlands'!U167,'Inl. wetlands'!W167)*time_tot+ABS('Inl. wetlands'!W167-'Inl. wetlands'!U167)*IF('Inl. wetlands'!W167&gt;'Inl. wetlands'!U167,time_cap+time*(VLOOKUP('6.Inland wetlands'!Q60,list!$I$48:$K$50,3,0)),time*(1-(VLOOKUP('6.Inland wetlands'!Q60,list!$I$48:$K$50,3,0))))</f>
        <v>0</v>
      </c>
      <c r="AD167" s="1151">
        <f>MIN('Inl. wetlands'!O167,'Inl. wetlands'!P167)*time_tot+ABS('Inl. wetlands'!P167-'Inl. wetlands'!O167)*IF('Inl. wetlands'!P167&gt;'Inl. wetlands'!O167,time_cap+time*(VLOOKUP('6.Inland wetlands'!O60,list!$I$48:$K$50,3,0)),time*(1-(VLOOKUP('6.Inland wetlands'!O60,list!$I$48:$K$50,3,0))))+MIN('Inl. wetlands'!X167,'Inl. wetlands'!Y167)*time_tot+ABS('Inl. wetlands'!Y167-'Inl. wetlands'!X167)*IF('Inl. wetlands'!Y167&gt;'Inl. wetlands'!X167,time_cap+time*(VLOOKUP('6.Inland wetlands'!O60,list!$I$48:$K$50,3,0)),time*(1-(VLOOKUP('6.Inland wetlands'!O60,list!$I$48:$K$50,3,0))))</f>
        <v>0</v>
      </c>
      <c r="AE167" s="1151">
        <f>MIN('Inl. wetlands'!O167,'Inl. wetlands'!Q167)*time_tot+ABS('Inl. wetlands'!Q167-'Inl. wetlands'!O167)*IF('Inl. wetlands'!Q167&gt;'Inl. wetlands'!O167,time_cap+time*(VLOOKUP('6.Inland wetlands'!Q60,list!$I$48:$K$50,3,0)),time*(1-(VLOOKUP('6.Inland wetlands'!Q60,list!$I$48:$K$50,3,0))))+MIN('Inl. wetlands'!X167,'Inl. wetlands'!Z167)*time_tot+ABS('Inl. wetlands'!Z167-'Inl. wetlands'!X167)*IF('Inl. wetlands'!Z167&gt;'Inl. wetlands'!X167,time_cap+time*(VLOOKUP('6.Inland wetlands'!Q60,list!$I$48:$K$50,3,0)),time*(1-(VLOOKUP('6.Inland wetlands'!Q60,list!$I$48:$K$50,3,0))))</f>
        <v>0</v>
      </c>
      <c r="AF167" s="1151">
        <f>MIN('Inl. wetlands'!R167,'Inl. wetlands'!S167)*time_tot+ABS('Inl. wetlands'!S167-'Inl. wetlands'!R167)*IF('Inl. wetlands'!S167&gt;'Inl. wetlands'!R167,time_cap+time*(VLOOKUP('6.Inland wetlands'!O60,list!$I$48:$K$50,3,0)),time*(1-(VLOOKUP('6.Inland wetlands'!O60,list!$I$48:$K$50,3,0))))</f>
        <v>0</v>
      </c>
      <c r="AG167" s="1151">
        <f>MIN('Inl. wetlands'!R167,'Inl. wetlands'!T167)*time_tot+ABS('Inl. wetlands'!T167-'Inl. wetlands'!R167)*IF('Inl. wetlands'!T167&gt;'Inl. wetlands'!R167,time_cap+time*(VLOOKUP('6.Inland wetlands'!Q60,list!$I$48:$K$50,3,0)),time*(1-(VLOOKUP('6.Inland wetlands'!Q60,list!$I$48:$K$50,3,0))))</f>
        <v>0</v>
      </c>
      <c r="AI167" s="1270" t="s">
        <v>1115</v>
      </c>
      <c r="AJ167" s="1116"/>
      <c r="AK167" s="1116"/>
      <c r="AX167" s="1449">
        <f>$M167*time*(VLOOKUP($G153,list!$J$48:$K$50,2,0))</f>
        <v>0</v>
      </c>
      <c r="AY167" s="1449">
        <f>$N167*time*(VLOOKUP($K153,list!$J$48:$K$50,2,0))</f>
        <v>0</v>
      </c>
      <c r="AZ167" s="1449">
        <f>$P167*time*(VLOOKUP($G153,list!$J$48:$K$50,2,0))</f>
        <v>0</v>
      </c>
      <c r="BA167" s="1449">
        <f>$Q167*time*(VLOOKUP($K153,list!$J$48:$K$50,2,0))</f>
        <v>0</v>
      </c>
      <c r="BB167" s="1449">
        <f>$S167*time*(VLOOKUP($G153,list!$J$48:$K$50,2,0))</f>
        <v>0</v>
      </c>
      <c r="BC167" s="1449">
        <f>$T167*time*(VLOOKUP($K153,list!$J$48:$K$50,2,0))</f>
        <v>0</v>
      </c>
      <c r="BD167" s="1449">
        <f>$V167*time*(VLOOKUP($G153,list!$J$48:$K$50,2,0))</f>
        <v>0</v>
      </c>
      <c r="BE167" s="1449">
        <f>$W167*time*(VLOOKUP($K153,list!$J$48:$K$50,2,0))</f>
        <v>0</v>
      </c>
      <c r="BF167" s="1449">
        <f>$Y167*time*(VLOOKUP($G153,list!$J$48:$K$50,2,0))</f>
        <v>0</v>
      </c>
      <c r="BG167" s="1449">
        <f>$Z167*time*(VLOOKUP($K153,list!$J$48:$K$50,2,0))</f>
        <v>0</v>
      </c>
    </row>
    <row r="168" spans="1:59" ht="16" x14ac:dyDescent="0.2">
      <c r="A168" s="1467" t="s">
        <v>1163</v>
      </c>
      <c r="B168" s="1044">
        <f>IFERROR(IF('Inl. wetlands'!$D$145=list!$J$210,INDEX(IPCC!$A$1762:$J$1773,MATCH(clim_moist,IPCC!$A$1781:$A$1792,0),MATCH('Inl. wetlands'!$E154,IPCC!$A$1781:$J$1781,0)),IF('Inl. wetlands'!$D$145=list!$J$211,INDEX(IPCC!$A$1781:$J$1792,MATCH(clim_moist,IPCC!$A$1781:$A$1792,0),MATCH('Inl. wetlands'!$E154,IPCC!$A$1781:$J$1781,0)))),0)</f>
        <v>0</v>
      </c>
      <c r="C168" s="1162">
        <f>IF('6.Inland wetlands'!CG49="",'6.Inland wetlands'!CF49,'6.Inland wetlands'!CG49)</f>
        <v>0</v>
      </c>
      <c r="D168" s="1044">
        <f>IFERROR(IF('Inl. wetlands'!$D$145=list!$J$210,INDEX(IPCC!$A$1818:$J$1829,MATCH(clim_moist,IPCC!$A$1818:$A$1829,0),MATCH('Inl. wetlands'!$E154,IPCC!$A$1818:$J$1818,0)),IF('Inl. wetlands'!$D$145=list!$J$211,INDEX(IPCC!$A$1836:$J$1847,MATCH(clim_moist,IPCC!$A$1836:$A$1847,0),MATCH('Inl. wetlands'!$E154,IPCC!$A$1836:$J$1836,0)))),0)</f>
        <v>0</v>
      </c>
      <c r="E168" s="1162">
        <f>IF('6.Inland wetlands'!CI49="",'6.Inland wetlands'!CH49,'6.Inland wetlands'!CI49)</f>
        <v>0</v>
      </c>
      <c r="F168" s="1044">
        <f>IFERROR(IF('Inl. wetlands'!$D$145=list!$J$210,INDEX(IPCC!$A$1872:$J$1883,MATCH(clim_moist,IPCC!$A$1872:$A$1883,0),MATCH('Inl. wetlands'!$E154,IPCC!$A$1872:$J$1872,0)),IF('Inl. wetlands'!$D$145=list!$J$211,INDEX(IPCC!$A$1890:$J$1901,MATCH(clim_moist,IPCC!$A$1890:$A$1901,0),MATCH('Inl. wetlands'!$E154,IPCC!$A$1890:$J$1890,0)))),0)</f>
        <v>0</v>
      </c>
      <c r="G168" s="1162">
        <f>IF('6.Inland wetlands'!CK49="",'6.Inland wetlands'!CJ49,'6.Inland wetlands'!CK49)</f>
        <v>0</v>
      </c>
      <c r="H168" s="1044">
        <f>IFERROR(IF('Inl. wetlands'!$D$145=list!$J$210,INDEX(IPCC!$A$1800:$J$1811,MATCH(clim_moist,IPCC!$A$1800:$A$1811,0),MATCH('Inl. wetlands'!$E154,IPCC!$A$1800:$J$1800,0)),IF('Inl. wetlands'!$D$145=list!$J$211,INDEX(IPCC!$A$1800:$J$1811,MATCH(clim_moist,IPCC!$A$1800:$A$1811,0),MATCH('Inl. wetlands'!$E154,IPCC!$A$1800:$J$1800,0)))),0)</f>
        <v>0</v>
      </c>
      <c r="I168" s="1162">
        <f>IF('6.Inland wetlands'!CN49="",'6.Inland wetlands'!CM49,'6.Inland wetlands'!CN49)</f>
        <v>0</v>
      </c>
      <c r="J168" s="1111">
        <f>IFERROR(IF('Inl. wetlands'!$D$145=list!$J$210,INDEX(IPCC!$A$1854:$J$1865,MATCH(clim_moist,IPCC!$A$1854:$A$1865,0),MATCH('Inl. wetlands'!$E154,IPCC!$A$1854:$J$1854,0)),IF('Inl. wetlands'!$D$145=list!$J$211,INDEX(IPCC!$A$1854:$J$1865,MATCH(clim_moist,IPCC!$A$1854:$A$1865,0),MATCH('Inl. wetlands'!$E154,IPCC!$A$1854:$J$1854,0)))),0)</f>
        <v>0</v>
      </c>
      <c r="K168" s="1161">
        <f>IF('6.Inland wetlands'!CP49="",'6.Inland wetlands'!CO49,'6.Inland wetlands'!CP49)</f>
        <v>0</v>
      </c>
      <c r="L168" s="3468">
        <f>IF('6.Inland wetlands'!M61=0, 0,'Inl. wetlands'!C168*44/12*'6.Inland wetlands'!M61)</f>
        <v>0</v>
      </c>
      <c r="M168" s="3468">
        <f>IF('6.Inland wetlands'!N49=0, 'Inl. wetlands'!C168*44/12*'6.Inland wetlands'!N61, IF('6.Inland wetlands'!N61&lt;'6.Inland wetlands'!N49,0, 'Inl. wetlands'!C168*44/12*('6.Inland wetlands'!N61-'6.Inland wetlands'!N49)))</f>
        <v>0</v>
      </c>
      <c r="N168" s="1151">
        <f>IF('6.Inland wetlands'!P49=0, 'Inl. wetlands'!C168*44/12*'6.Inland wetlands'!P61, IF('6.Inland wetlands'!P61&lt;'6.Inland wetlands'!P49,0, 'Inl. wetlands'!C168*44/12*('6.Inland wetlands'!P61-'6.Inland wetlands'!P49)))</f>
        <v>0</v>
      </c>
      <c r="O168" s="4323">
        <f>IF('6.Inland wetlands'!M61=0, 0,'Inl. wetlands'!$E168*methane/1000*'6.Inland wetlands'!M61*(1-'6.Inland wetlands'!W61))</f>
        <v>0</v>
      </c>
      <c r="P168" s="4323">
        <f>IF('6.Inland wetlands'!N49=0,'Inl. wetlands'!$E168*methane/1000*'6.Inland wetlands'!N61*(1-'6.Inland wetlands'!X61),IF('6.Inland wetlands'!N61&lt;'6.Inland wetlands'!N49,0, 'Inl. wetlands'!$E168*methane/1000*('6.Inland wetlands'!N61-'6.Inland wetlands'!N49)*(1-'6.Inland wetlands'!X61)))</f>
        <v>0</v>
      </c>
      <c r="Q168" s="4323">
        <f>IF('6.Inland wetlands'!P49=0,'Inl. wetlands'!$E168*methane/1000*'6.Inland wetlands'!P61*(1-'6.Inland wetlands'!Y61),IF('6.Inland wetlands'!P61&lt;'6.Inland wetlands'!P49,0, 'Inl. wetlands'!$E168*methane/1000*('6.Inland wetlands'!P61-'6.Inland wetlands'!P49)*(1-'6.Inland wetlands'!Y61)))</f>
        <v>0</v>
      </c>
      <c r="R168" s="4323">
        <f>IF('6.Inland wetlands'!M61=0, 0, 'Inl. wetlands'!$G168*'6.Inland wetlands'!M61*44/28*Nitrous/1000)</f>
        <v>0</v>
      </c>
      <c r="S168" s="4323">
        <f>IF('6.Inland wetlands'!N49=0, 'Inl. wetlands'!$G168*'6.Inland wetlands'!N61*44/28*Nitrous/1000, IF('6.Inland wetlands'!N61&lt;'6.Inland wetlands'!N49,0, 'Inl. wetlands'!$G168*('6.Inland wetlands'!N61-'6.Inland wetlands'!N49)*44/28*Nitrous/1000))</f>
        <v>0</v>
      </c>
      <c r="T168" s="4323">
        <f>IF('6.Inland wetlands'!P49=0, 'Inl. wetlands'!$G168*'6.Inland wetlands'!P61*44/28*Nitrous/1000, IF('6.Inland wetlands'!P61&lt;'6.Inland wetlands'!P49,0,'Inl. wetlands'!$G168*44/28*Nitrous/1000*('6.Inland wetlands'!P61-'6.Inland wetlands'!P49)))</f>
        <v>0</v>
      </c>
      <c r="U168" s="4323">
        <f>IF('6.Inland wetlands'!M61=0, 0, 'Inl. wetlands'!$I168*'6.Inland wetlands'!M61*44/12)</f>
        <v>0</v>
      </c>
      <c r="V168" s="4323">
        <f>IF('6.Inland wetlands'!N49=0, 'Inl. wetlands'!I168*44/12*'6.Inland wetlands'!N61, IF('6.Inland wetlands'!N61&lt;'6.Inland wetlands'!N49,0, 'Inl. wetlands'!I168*44/12*('6.Inland wetlands'!N61-'6.Inland wetlands'!N49)))</f>
        <v>0</v>
      </c>
      <c r="W168" s="4323">
        <f>IF('6.Inland wetlands'!P49=0, 'Inl. wetlands'!I168*44/12*'6.Inland wetlands'!P61, IF('6.Inland wetlands'!P61&lt;'6.Inland wetlands'!P49,0, 'Inl. wetlands'!I168*44/12*('6.Inland wetlands'!P61-'6.Inland wetlands'!P49)))</f>
        <v>0</v>
      </c>
      <c r="X168" s="4323">
        <f>IF('6.Inland wetlands'!M61=0,0, 'Inl. wetlands'!$K168/1000*methane*'6.Inland wetlands'!M61*'6.Inland wetlands'!$W61)</f>
        <v>0</v>
      </c>
      <c r="Y168" s="4323">
        <f>IF('6.Inland wetlands'!N49=0,'Inl. wetlands'!$K168*methane/1000*'6.Inland wetlands'!N61*('6.Inland wetlands'!X61),IF('6.Inland wetlands'!N61&lt;'6.Inland wetlands'!N49,0, 'Inl. wetlands'!$K168*methane/1000*('6.Inland wetlands'!N61-'6.Inland wetlands'!N49)*('6.Inland wetlands'!X61)))</f>
        <v>0</v>
      </c>
      <c r="Z168" s="4323">
        <f>IF('6.Inland wetlands'!P49=0,'Inl. wetlands'!$K168*methane/1000*'6.Inland wetlands'!P61*('6.Inland wetlands'!Y61),IF('6.Inland wetlands'!P61&lt;'6.Inland wetlands'!P49,0, 'Inl. wetlands'!$K168*methane/1000*('6.Inland wetlands'!P61-'6.Inland wetlands'!P49)*('6.Inland wetlands'!Y61)))</f>
        <v>0</v>
      </c>
      <c r="AB168" s="3468">
        <f>MIN('Inl. wetlands'!L168,'Inl. wetlands'!M168)*time_tot+ABS('Inl. wetlands'!M168-'Inl. wetlands'!L168)*IF('Inl. wetlands'!M168&gt;'Inl. wetlands'!L168,time_cap+time*(VLOOKUP('6.Inland wetlands'!O61,list!$I$48:$K$50,3,0)),time*(1-(VLOOKUP('6.Inland wetlands'!O61,list!$I$48:$K$50,3,0))))+MIN('Inl. wetlands'!U168,'Inl. wetlands'!V168)*time_tot+ABS('Inl. wetlands'!V168-'Inl. wetlands'!U168)*IF('Inl. wetlands'!V168&gt;'Inl. wetlands'!U168,time_cap+time*(VLOOKUP('6.Inland wetlands'!O61,list!$I$48:$K$50,3,0)),time*(1-(VLOOKUP('6.Inland wetlands'!O61,list!$I$48:$K$50,3,0))))</f>
        <v>0</v>
      </c>
      <c r="AC168" s="3468">
        <f>MIN('Inl. wetlands'!L168,'Inl. wetlands'!N168)*time_tot+ABS('Inl. wetlands'!N168-'Inl. wetlands'!L168)*IF('Inl. wetlands'!N168&gt;'Inl. wetlands'!L168,time_cap+time*(VLOOKUP('6.Inland wetlands'!Q61,list!$I$48:$K$50,3,0)),time*(1-(VLOOKUP('6.Inland wetlands'!Q61,list!$I$48:$K$50,3,0))))+MIN('Inl. wetlands'!U168,'Inl. wetlands'!W168)*time_tot+ABS('Inl. wetlands'!W168-'Inl. wetlands'!U168)*IF('Inl. wetlands'!W168&gt;'Inl. wetlands'!U168,time_cap+time*(VLOOKUP('6.Inland wetlands'!Q61,list!$I$48:$K$50,3,0)),time*(1-(VLOOKUP('6.Inland wetlands'!Q61,list!$I$48:$K$50,3,0))))</f>
        <v>0</v>
      </c>
      <c r="AD168" s="1151">
        <f>MIN('Inl. wetlands'!O168,'Inl. wetlands'!P168)*time_tot+ABS('Inl. wetlands'!P168-'Inl. wetlands'!O168)*IF('Inl. wetlands'!P168&gt;'Inl. wetlands'!O168,time_cap+time*(VLOOKUP('6.Inland wetlands'!O61,list!$I$48:$K$50,3,0)),time*(1-(VLOOKUP('6.Inland wetlands'!O61,list!$I$48:$K$50,3,0))))+MIN('Inl. wetlands'!X168,'Inl. wetlands'!Y168)*time_tot+ABS('Inl. wetlands'!Y168-'Inl. wetlands'!X168)*IF('Inl. wetlands'!Y168&gt;'Inl. wetlands'!X168,time_cap+time*(VLOOKUP('6.Inland wetlands'!O61,list!$I$48:$K$50,3,0)),time*(1-(VLOOKUP('6.Inland wetlands'!O61,list!$I$48:$K$50,3,0))))</f>
        <v>0</v>
      </c>
      <c r="AE168" s="1151">
        <f>MIN('Inl. wetlands'!O168,'Inl. wetlands'!Q168)*time_tot+ABS('Inl. wetlands'!Q168-'Inl. wetlands'!O168)*IF('Inl. wetlands'!Q168&gt;'Inl. wetlands'!O168,time_cap+time*(VLOOKUP('6.Inland wetlands'!Q61,list!$I$48:$K$50,3,0)),time*(1-(VLOOKUP('6.Inland wetlands'!Q61,list!$I$48:$K$50,3,0))))+MIN('Inl. wetlands'!X168,'Inl. wetlands'!Z168)*time_tot+ABS('Inl. wetlands'!Z168-'Inl. wetlands'!X168)*IF('Inl. wetlands'!Z168&gt;'Inl. wetlands'!X168,time_cap+time*(VLOOKUP('6.Inland wetlands'!Q61,list!$I$48:$K$50,3,0)),time*(1-(VLOOKUP('6.Inland wetlands'!Q61,list!$I$48:$K$50,3,0))))</f>
        <v>0</v>
      </c>
      <c r="AF168" s="1151">
        <f>MIN('Inl. wetlands'!R168,'Inl. wetlands'!S168)*time_tot+ABS('Inl. wetlands'!S168-'Inl. wetlands'!R168)*IF('Inl. wetlands'!S168&gt;'Inl. wetlands'!R168,time_cap+time*(VLOOKUP('6.Inland wetlands'!O61,list!$I$48:$K$50,3,0)),time*(1-(VLOOKUP('6.Inland wetlands'!O61,list!$I$48:$K$50,3,0))))</f>
        <v>0</v>
      </c>
      <c r="AG168" s="1151">
        <f>MIN('Inl. wetlands'!R168,'Inl. wetlands'!T168)*time_tot+ABS('Inl. wetlands'!T168-'Inl. wetlands'!R168)*IF('Inl. wetlands'!T168&gt;'Inl. wetlands'!R168,time_cap+time*(VLOOKUP('6.Inland wetlands'!Q61,list!$I$48:$K$50,3,0)),time*(1-(VLOOKUP('6.Inland wetlands'!Q61,list!$I$48:$K$50,3,0))))</f>
        <v>0</v>
      </c>
      <c r="AI168" s="1270" t="s">
        <v>1121</v>
      </c>
      <c r="AJ168" s="1116"/>
      <c r="AK168" s="1116"/>
      <c r="AX168" s="1449">
        <f>$M168*time*(VLOOKUP($G154,list!$J$48:$K$50,2,0))</f>
        <v>0</v>
      </c>
      <c r="AY168" s="1449">
        <f>$N168*time*(VLOOKUP($K154,list!$J$48:$K$50,2,0))</f>
        <v>0</v>
      </c>
      <c r="AZ168" s="1449">
        <f>$P168*time*(VLOOKUP($G154,list!$J$48:$K$50,2,0))</f>
        <v>0</v>
      </c>
      <c r="BA168" s="1449">
        <f>$Q168*time*(VLOOKUP($K154,list!$J$48:$K$50,2,0))</f>
        <v>0</v>
      </c>
      <c r="BB168" s="1449">
        <f>$S168*time*(VLOOKUP($G154,list!$J$48:$K$50,2,0))</f>
        <v>0</v>
      </c>
      <c r="BC168" s="1449">
        <f>$T168*time*(VLOOKUP($K154,list!$J$48:$K$50,2,0))</f>
        <v>0</v>
      </c>
      <c r="BD168" s="1449">
        <f>$V168*time*(VLOOKUP($G154,list!$J$48:$K$50,2,0))</f>
        <v>0</v>
      </c>
      <c r="BE168" s="1449">
        <f>$W168*time*(VLOOKUP($K154,list!$J$48:$K$50,2,0))</f>
        <v>0</v>
      </c>
      <c r="BF168" s="1449">
        <f>$Y168*time*(VLOOKUP($G154,list!$J$48:$K$50,2,0))</f>
        <v>0</v>
      </c>
      <c r="BG168" s="1449">
        <f>$Z168*time*(VLOOKUP($K154,list!$J$48:$K$50,2,0))</f>
        <v>0</v>
      </c>
    </row>
    <row r="169" spans="1:59" ht="16" x14ac:dyDescent="0.2">
      <c r="A169" s="1467" t="s">
        <v>1164</v>
      </c>
      <c r="B169" s="1044">
        <f>IFERROR(IF('Inl. wetlands'!$D$145=list!$J$210,INDEX(IPCC!$A$1762:$J$1773,MATCH(clim_moist,IPCC!$A$1781:$A$1792,0),MATCH('Inl. wetlands'!$E155,IPCC!$A$1781:$J$1781,0)),IF('Inl. wetlands'!$D$145=list!$J$211,INDEX(IPCC!$A$1781:$J$1792,MATCH(clim_moist,IPCC!$A$1781:$A$1792,0),MATCH('Inl. wetlands'!$E155,IPCC!$A$1781:$J$1781,0)))),0)</f>
        <v>0</v>
      </c>
      <c r="C169" s="1162">
        <f>IF('6.Inland wetlands'!CG50="",'6.Inland wetlands'!CF50,'6.Inland wetlands'!CG50)</f>
        <v>0</v>
      </c>
      <c r="D169" s="1044">
        <f>IFERROR(IF('Inl. wetlands'!$D$145=list!$J$210,INDEX(IPCC!$A$1818:$J$1829,MATCH(clim_moist,IPCC!$A$1818:$A$1829,0),MATCH('Inl. wetlands'!$E155,IPCC!$A$1818:$J$1818,0)),IF('Inl. wetlands'!$D$145=list!$J$211,INDEX(IPCC!$A$1836:$J$1847,MATCH(clim_moist,IPCC!$A$1836:$A$1847,0),MATCH('Inl. wetlands'!$E155,IPCC!$A$1836:$J$1836,0)))),0)</f>
        <v>0</v>
      </c>
      <c r="E169" s="1162">
        <f>IF('6.Inland wetlands'!CI50="",'6.Inland wetlands'!CH50,'6.Inland wetlands'!CI50)</f>
        <v>0</v>
      </c>
      <c r="F169" s="1044">
        <f>IFERROR(IF('Inl. wetlands'!$D$145=list!$J$210,INDEX(IPCC!$A$1872:$J$1883,MATCH(clim_moist,IPCC!$A$1872:$A$1883,0),MATCH('Inl. wetlands'!$E155,IPCC!$A$1872:$J$1872,0)),IF('Inl. wetlands'!$D$145=list!$J$211,INDEX(IPCC!$A$1890:$J$1901,MATCH(clim_moist,IPCC!$A$1890:$A$1901,0),MATCH('Inl. wetlands'!$E155,IPCC!$A$1890:$J$1890,0)))),0)</f>
        <v>0</v>
      </c>
      <c r="G169" s="1162">
        <f>IF('6.Inland wetlands'!CK50="",'6.Inland wetlands'!CJ50,'6.Inland wetlands'!CK50)</f>
        <v>0</v>
      </c>
      <c r="H169" s="1044">
        <f>IFERROR(IF('Inl. wetlands'!$D$145=list!$J$210,INDEX(IPCC!$A$1800:$J$1811,MATCH(clim_moist,IPCC!$A$1800:$A$1811,0),MATCH('Inl. wetlands'!$E155,IPCC!$A$1800:$J$1800,0)),IF('Inl. wetlands'!$D$145=list!$J$211,INDEX(IPCC!$A$1800:$J$1811,MATCH(clim_moist,IPCC!$A$1800:$A$1811,0),MATCH('Inl. wetlands'!$E155,IPCC!$A$1800:$J$1800,0)))),0)</f>
        <v>0</v>
      </c>
      <c r="I169" s="1162">
        <f>IF('6.Inland wetlands'!CN50="",'6.Inland wetlands'!CM50,'6.Inland wetlands'!CN50)</f>
        <v>0</v>
      </c>
      <c r="J169" s="1111">
        <f>IFERROR(IF('Inl. wetlands'!$D$145=list!$J$210,INDEX(IPCC!$A$1854:$J$1865,MATCH(clim_moist,IPCC!$A$1854:$A$1865,0),MATCH('Inl. wetlands'!$E155,IPCC!$A$1854:$J$1854,0)),IF('Inl. wetlands'!$D$145=list!$J$211,INDEX(IPCC!$A$1854:$J$1865,MATCH(clim_moist,IPCC!$A$1854:$A$1865,0),MATCH('Inl. wetlands'!$E155,IPCC!$A$1854:$J$1854,0)))),0)</f>
        <v>0</v>
      </c>
      <c r="K169" s="1161">
        <f>IF('6.Inland wetlands'!CP50="",'6.Inland wetlands'!CO50,'6.Inland wetlands'!CP50)</f>
        <v>0</v>
      </c>
      <c r="L169" s="3468">
        <f>IF('6.Inland wetlands'!M62=0, 0,'Inl. wetlands'!C169*44/12*'6.Inland wetlands'!M62)</f>
        <v>0</v>
      </c>
      <c r="M169" s="3468">
        <f>IF('6.Inland wetlands'!N50=0, 'Inl. wetlands'!C169*44/12*'6.Inland wetlands'!N62, IF('6.Inland wetlands'!N62&lt;'6.Inland wetlands'!N50,0, 'Inl. wetlands'!C169*44/12*('6.Inland wetlands'!N62-'6.Inland wetlands'!N50)))</f>
        <v>0</v>
      </c>
      <c r="N169" s="1151">
        <f>IF('6.Inland wetlands'!P50=0, 'Inl. wetlands'!C169*44/12*'6.Inland wetlands'!P62, IF('6.Inland wetlands'!P62&lt;'6.Inland wetlands'!P50,0, 'Inl. wetlands'!C169*44/12*('6.Inland wetlands'!P62-'6.Inland wetlands'!P50)))</f>
        <v>0</v>
      </c>
      <c r="O169" s="4323">
        <f>IF('6.Inland wetlands'!M62=0, 0,'Inl. wetlands'!$E169*methane/1000*'6.Inland wetlands'!M62*(1-'6.Inland wetlands'!W62))</f>
        <v>0</v>
      </c>
      <c r="P169" s="4323">
        <f>IF('6.Inland wetlands'!N50=0,'Inl. wetlands'!$E169*methane/1000*'6.Inland wetlands'!N62*(1-'6.Inland wetlands'!X62),IF('6.Inland wetlands'!N62&lt;'6.Inland wetlands'!N50,0, 'Inl. wetlands'!$E169*methane/1000*('6.Inland wetlands'!N62-'6.Inland wetlands'!N50)*(1-'6.Inland wetlands'!X62)))</f>
        <v>0</v>
      </c>
      <c r="Q169" s="4323">
        <f>IF('6.Inland wetlands'!P50=0,'Inl. wetlands'!$E169*methane/1000*'6.Inland wetlands'!P62*(1-'6.Inland wetlands'!Y62),IF('6.Inland wetlands'!P62&lt;'6.Inland wetlands'!P50,0, 'Inl. wetlands'!$E169*methane/1000*('6.Inland wetlands'!P62-'6.Inland wetlands'!P50)*(1-'6.Inland wetlands'!Y62)))</f>
        <v>0</v>
      </c>
      <c r="R169" s="4323">
        <f>IF('6.Inland wetlands'!M62=0, 0, 'Inl. wetlands'!$G169*'6.Inland wetlands'!M62*44/28*Nitrous/1000)</f>
        <v>0</v>
      </c>
      <c r="S169" s="4323">
        <f>IF('6.Inland wetlands'!N50=0, 'Inl. wetlands'!$G169*'6.Inland wetlands'!N62*44/28*Nitrous/1000, IF('6.Inland wetlands'!N62&lt;'6.Inland wetlands'!N50,0, 'Inl. wetlands'!$G169*('6.Inland wetlands'!N62-'6.Inland wetlands'!N50)*44/28*Nitrous/1000))</f>
        <v>0</v>
      </c>
      <c r="T169" s="4323">
        <f>IF('6.Inland wetlands'!P50=0, 'Inl. wetlands'!$G169*'6.Inland wetlands'!P62*44/28*Nitrous/1000, IF('6.Inland wetlands'!P62&lt;'6.Inland wetlands'!P50,0,'Inl. wetlands'!$G169*44/28*Nitrous/1000*('6.Inland wetlands'!P62-'6.Inland wetlands'!P50)))</f>
        <v>0</v>
      </c>
      <c r="U169" s="4323">
        <f>IF('6.Inland wetlands'!M62=0, 0, 'Inl. wetlands'!$I169*'6.Inland wetlands'!M62*44/12)</f>
        <v>0</v>
      </c>
      <c r="V169" s="4323">
        <f>IF('6.Inland wetlands'!N50=0, 'Inl. wetlands'!I169*44/12*'6.Inland wetlands'!N62, IF('6.Inland wetlands'!N62&lt;'6.Inland wetlands'!N50,0, 'Inl. wetlands'!I169*44/12*('6.Inland wetlands'!N62-'6.Inland wetlands'!N50)))</f>
        <v>0</v>
      </c>
      <c r="W169" s="4323">
        <f>IF('6.Inland wetlands'!P50=0, 'Inl. wetlands'!I169*44/12*'6.Inland wetlands'!P62, IF('6.Inland wetlands'!P62&lt;'6.Inland wetlands'!P50,0, 'Inl. wetlands'!I169*44/12*('6.Inland wetlands'!P62-'6.Inland wetlands'!P50)))</f>
        <v>0</v>
      </c>
      <c r="X169" s="4323">
        <f>IF('6.Inland wetlands'!M62=0,0, 'Inl. wetlands'!$K169/1000*methane*'6.Inland wetlands'!M62*'6.Inland wetlands'!$W62)</f>
        <v>0</v>
      </c>
      <c r="Y169" s="4323">
        <f>IF('6.Inland wetlands'!N50=0,'Inl. wetlands'!$K169*methane/1000*'6.Inland wetlands'!N62*('6.Inland wetlands'!X62),IF('6.Inland wetlands'!N62&lt;'6.Inland wetlands'!N50,0, 'Inl. wetlands'!$K169*methane/1000*('6.Inland wetlands'!N62-'6.Inland wetlands'!N50)*('6.Inland wetlands'!X62)))</f>
        <v>0</v>
      </c>
      <c r="Z169" s="4323">
        <f>IF('6.Inland wetlands'!P50=0,'Inl. wetlands'!$K169*methane/1000*'6.Inland wetlands'!P62*('6.Inland wetlands'!Y62),IF('6.Inland wetlands'!P62&lt;'6.Inland wetlands'!P50,0, 'Inl. wetlands'!$K169*methane/1000*('6.Inland wetlands'!P62-'6.Inland wetlands'!P50)*('6.Inland wetlands'!Y62)))</f>
        <v>0</v>
      </c>
      <c r="AB169" s="3468">
        <f>MIN('Inl. wetlands'!L169,'Inl. wetlands'!M169)*time_tot+ABS('Inl. wetlands'!M169-'Inl. wetlands'!L169)*IF('Inl. wetlands'!M169&gt;'Inl. wetlands'!L169,time_cap+time*(VLOOKUP('6.Inland wetlands'!O62,list!$I$48:$K$50,3,0)),time*(1-(VLOOKUP('6.Inland wetlands'!O62,list!$I$48:$K$50,3,0))))+MIN('Inl. wetlands'!U169,'Inl. wetlands'!V169)*time_tot+ABS('Inl. wetlands'!V169-'Inl. wetlands'!U169)*IF('Inl. wetlands'!V169&gt;'Inl. wetlands'!U169,time_cap+time*(VLOOKUP('6.Inland wetlands'!O62,list!$I$48:$K$50,3,0)),time*(1-(VLOOKUP('6.Inland wetlands'!O62,list!$I$48:$K$50,3,0))))</f>
        <v>0</v>
      </c>
      <c r="AC169" s="3468">
        <f>MIN('Inl. wetlands'!L169,'Inl. wetlands'!N169)*time_tot+ABS('Inl. wetlands'!N169-'Inl. wetlands'!L169)*IF('Inl. wetlands'!N169&gt;'Inl. wetlands'!L169,time_cap+time*(VLOOKUP('6.Inland wetlands'!Q62,list!$I$48:$K$50,3,0)),time*(1-(VLOOKUP('6.Inland wetlands'!Q62,list!$I$48:$K$50,3,0))))+MIN('Inl. wetlands'!U169,'Inl. wetlands'!W169)*time_tot+ABS('Inl. wetlands'!W169-'Inl. wetlands'!U169)*IF('Inl. wetlands'!W169&gt;'Inl. wetlands'!U169,time_cap+time*(VLOOKUP('6.Inland wetlands'!Q62,list!$I$48:$K$50,3,0)),time*(1-(VLOOKUP('6.Inland wetlands'!Q62,list!$I$48:$K$50,3,0))))</f>
        <v>0</v>
      </c>
      <c r="AD169" s="1151">
        <f>MIN('Inl. wetlands'!O169,'Inl. wetlands'!P169)*time_tot+ABS('Inl. wetlands'!P169-'Inl. wetlands'!O169)*IF('Inl. wetlands'!P169&gt;'Inl. wetlands'!O169,time_cap+time*(VLOOKUP('6.Inland wetlands'!O62,list!$I$48:$K$50,3,0)),time*(1-(VLOOKUP('6.Inland wetlands'!O62,list!$I$48:$K$50,3,0))))+MIN('Inl. wetlands'!X169,'Inl. wetlands'!Y169)*time_tot+ABS('Inl. wetlands'!Y169-'Inl. wetlands'!X169)*IF('Inl. wetlands'!Y169&gt;'Inl. wetlands'!X169,time_cap+time*(VLOOKUP('6.Inland wetlands'!O62,list!$I$48:$K$50,3,0)),time*(1-(VLOOKUP('6.Inland wetlands'!O62,list!$I$48:$K$50,3,0))))</f>
        <v>0</v>
      </c>
      <c r="AE169" s="1151">
        <f>MIN('Inl. wetlands'!O169,'Inl. wetlands'!Q169)*time_tot+ABS('Inl. wetlands'!Q169-'Inl. wetlands'!O169)*IF('Inl. wetlands'!Q169&gt;'Inl. wetlands'!O169,time_cap+time*(VLOOKUP('6.Inland wetlands'!Q62,list!$I$48:$K$50,3,0)),time*(1-(VLOOKUP('6.Inland wetlands'!Q62,list!$I$48:$K$50,3,0))))+MIN('Inl. wetlands'!X169,'Inl. wetlands'!Z169)*time_tot+ABS('Inl. wetlands'!Z169-'Inl. wetlands'!X169)*IF('Inl. wetlands'!Z169&gt;'Inl. wetlands'!X169,time_cap+time*(VLOOKUP('6.Inland wetlands'!Q62,list!$I$48:$K$50,3,0)),time*(1-(VLOOKUP('6.Inland wetlands'!Q62,list!$I$48:$K$50,3,0))))</f>
        <v>0</v>
      </c>
      <c r="AF169" s="1151">
        <f>MIN('Inl. wetlands'!R169,'Inl. wetlands'!S169)*time_tot+ABS('Inl. wetlands'!S169-'Inl. wetlands'!R169)*IF('Inl. wetlands'!S169&gt;'Inl. wetlands'!R169,time_cap+time*(VLOOKUP('6.Inland wetlands'!O62,list!$I$48:$K$50,3,0)),time*(1-(VLOOKUP('6.Inland wetlands'!O62,list!$I$48:$K$50,3,0))))</f>
        <v>0</v>
      </c>
      <c r="AG169" s="1151">
        <f>MIN('Inl. wetlands'!R169,'Inl. wetlands'!T169)*time_tot+ABS('Inl. wetlands'!T169-'Inl. wetlands'!R169)*IF('Inl. wetlands'!T169&gt;'Inl. wetlands'!R169,time_cap+time*(VLOOKUP('6.Inland wetlands'!Q62,list!$I$48:$K$50,3,0)),time*(1-(VLOOKUP('6.Inland wetlands'!Q62,list!$I$48:$K$50,3,0))))</f>
        <v>0</v>
      </c>
      <c r="AI169" s="1270" t="s">
        <v>1177</v>
      </c>
      <c r="AJ169" s="1116"/>
      <c r="AK169" s="1116"/>
      <c r="AX169" s="1449">
        <f>$M169*time*(VLOOKUP($G155,list!$J$48:$K$50,2,0))</f>
        <v>0</v>
      </c>
      <c r="AY169" s="1449">
        <f>$N169*time*(VLOOKUP($K155,list!$J$48:$K$50,2,0))</f>
        <v>0</v>
      </c>
      <c r="AZ169" s="1449">
        <f>$P169*time*(VLOOKUP($G155,list!$J$48:$K$50,2,0))</f>
        <v>0</v>
      </c>
      <c r="BA169" s="1449">
        <f>$Q169*time*(VLOOKUP($K155,list!$J$48:$K$50,2,0))</f>
        <v>0</v>
      </c>
      <c r="BB169" s="1449">
        <f>$S169*time*(VLOOKUP($G155,list!$J$48:$K$50,2,0))</f>
        <v>0</v>
      </c>
      <c r="BC169" s="1449">
        <f>$T169*time*(VLOOKUP($K155,list!$J$48:$K$50,2,0))</f>
        <v>0</v>
      </c>
      <c r="BD169" s="1449">
        <f>$V169*time*(VLOOKUP($G155,list!$J$48:$K$50,2,0))</f>
        <v>0</v>
      </c>
      <c r="BE169" s="1449">
        <f>$W169*time*(VLOOKUP($K155,list!$J$48:$K$50,2,0))</f>
        <v>0</v>
      </c>
      <c r="BF169" s="1449">
        <f>$Y169*time*(VLOOKUP($G155,list!$J$48:$K$50,2,0))</f>
        <v>0</v>
      </c>
      <c r="BG169" s="1449">
        <f>$Z169*time*(VLOOKUP($K155,list!$J$48:$K$50,2,0))</f>
        <v>0</v>
      </c>
    </row>
    <row r="170" spans="1:59" x14ac:dyDescent="0.15">
      <c r="A170" s="1467" t="s">
        <v>1165</v>
      </c>
      <c r="B170" s="1044">
        <f>IFERROR(IF('Inl. wetlands'!$D$145=list!$J$210,INDEX(IPCC!$A$1762:$J$1773,MATCH(clim_moist,IPCC!$A$1781:$A$1792,0),MATCH('Inl. wetlands'!$E156,IPCC!$A$1781:$J$1781,0)),IF('Inl. wetlands'!$D$145=list!$J$211,INDEX(IPCC!$A$1781:$J$1792,MATCH(clim_moist,IPCC!$A$1781:$A$1792,0),MATCH('Inl. wetlands'!$E156,IPCC!$A$1781:$J$1781,0)))),0)</f>
        <v>0</v>
      </c>
      <c r="C170" s="1162">
        <f>IF('6.Inland wetlands'!CG51="",'6.Inland wetlands'!CF51,'6.Inland wetlands'!CG51)</f>
        <v>0</v>
      </c>
      <c r="D170" s="1044">
        <f>IFERROR(IF('Inl. wetlands'!$D$145=list!$J$210,INDEX(IPCC!$A$1818:$J$1829,MATCH(clim_moist,IPCC!$A$1818:$A$1829,0),MATCH('Inl. wetlands'!$E156,IPCC!$A$1818:$J$1818,0)),IF('Inl. wetlands'!$D$145=list!$J$211,INDEX(IPCC!$A$1836:$J$1847,MATCH(clim_moist,IPCC!$A$1836:$A$1847,0),MATCH('Inl. wetlands'!$E156,IPCC!$A$1836:$J$1836,0)))),0)</f>
        <v>0</v>
      </c>
      <c r="E170" s="1162">
        <f>IF('6.Inland wetlands'!CI51="",'6.Inland wetlands'!CH51,'6.Inland wetlands'!CI51)</f>
        <v>0</v>
      </c>
      <c r="F170" s="1044">
        <f>IFERROR(IF('Inl. wetlands'!$D$145=list!$J$210,INDEX(IPCC!$A$1872:$J$1883,MATCH(clim_moist,IPCC!$A$1872:$A$1883,0),MATCH('Inl. wetlands'!$E156,IPCC!$A$1872:$J$1872,0)),IF('Inl. wetlands'!$D$145=list!$J$211,INDEX(IPCC!$A$1890:$J$1901,MATCH(clim_moist,IPCC!$A$1890:$A$1901,0),MATCH('Inl. wetlands'!$E156,IPCC!$A$1890:$J$1890,0)))),0)</f>
        <v>0</v>
      </c>
      <c r="G170" s="1162">
        <f>IF('6.Inland wetlands'!CK51="",'6.Inland wetlands'!CJ51,'6.Inland wetlands'!CK51)</f>
        <v>0</v>
      </c>
      <c r="H170" s="1044">
        <f>IFERROR(IF('Inl. wetlands'!$D$145=list!$J$210,INDEX(IPCC!$A$1800:$J$1811,MATCH(clim_moist,IPCC!$A$1800:$A$1811,0),MATCH('Inl. wetlands'!$E156,IPCC!$A$1800:$J$1800,0)),IF('Inl. wetlands'!$D$145=list!$J$211,INDEX(IPCC!$A$1800:$J$1811,MATCH(clim_moist,IPCC!$A$1800:$A$1811,0),MATCH('Inl. wetlands'!$E156,IPCC!$A$1800:$J$1800,0)))),0)</f>
        <v>0</v>
      </c>
      <c r="I170" s="1162">
        <f>IF('6.Inland wetlands'!CN51="",'6.Inland wetlands'!CM51,'6.Inland wetlands'!CN51)</f>
        <v>0</v>
      </c>
      <c r="J170" s="1111">
        <f>IFERROR(IF('Inl. wetlands'!$D$145=list!$J$210,INDEX(IPCC!$A$1854:$J$1865,MATCH(clim_moist,IPCC!$A$1854:$A$1865,0),MATCH('Inl. wetlands'!$E156,IPCC!$A$1854:$J$1854,0)),IF('Inl. wetlands'!$D$145=list!$J$211,INDEX(IPCC!$A$1854:$J$1865,MATCH(clim_moist,IPCC!$A$1854:$A$1865,0),MATCH('Inl. wetlands'!$E156,IPCC!$A$1854:$J$1854,0)))),0)</f>
        <v>0</v>
      </c>
      <c r="K170" s="1161">
        <f>IF('6.Inland wetlands'!CP51="",'6.Inland wetlands'!CO51,'6.Inland wetlands'!CP51)</f>
        <v>0</v>
      </c>
      <c r="L170" s="3468">
        <f>IF('6.Inland wetlands'!M63=0, 0,'Inl. wetlands'!C170*44/12*'6.Inland wetlands'!M63)</f>
        <v>0</v>
      </c>
      <c r="M170" s="3468">
        <f>IF('6.Inland wetlands'!N51=0, 'Inl. wetlands'!C170*44/12*'6.Inland wetlands'!N63, IF('6.Inland wetlands'!N63&lt;'6.Inland wetlands'!N51,0, 'Inl. wetlands'!C170*44/12*('6.Inland wetlands'!N63-'6.Inland wetlands'!N51)))</f>
        <v>0</v>
      </c>
      <c r="N170" s="1151">
        <f>IF('6.Inland wetlands'!P51=0, 'Inl. wetlands'!C170*44/12*'6.Inland wetlands'!P63, IF('6.Inland wetlands'!P63&lt;'6.Inland wetlands'!P51,0, 'Inl. wetlands'!C170*44/12*('6.Inland wetlands'!P63-'6.Inland wetlands'!P51)))</f>
        <v>0</v>
      </c>
      <c r="O170" s="4323">
        <f>IF('6.Inland wetlands'!M63=0, 0,'Inl. wetlands'!$E170*methane/1000*'6.Inland wetlands'!M63*(1-'6.Inland wetlands'!W63))</f>
        <v>0</v>
      </c>
      <c r="P170" s="4323">
        <f>IF('6.Inland wetlands'!N51=0,'Inl. wetlands'!$E170*methane/1000*'6.Inland wetlands'!N63*(1-'6.Inland wetlands'!X63),IF('6.Inland wetlands'!N63&lt;'6.Inland wetlands'!N51,0, 'Inl. wetlands'!$E170*methane/1000*('6.Inland wetlands'!N63-'6.Inland wetlands'!N51)*(1-'6.Inland wetlands'!X63)))</f>
        <v>0</v>
      </c>
      <c r="Q170" s="4323">
        <f>IF('6.Inland wetlands'!P51=0,'Inl. wetlands'!$E170*methane/1000*'6.Inland wetlands'!P63*(1-'6.Inland wetlands'!Y63),IF('6.Inland wetlands'!P63&lt;'6.Inland wetlands'!P51,0, 'Inl. wetlands'!$E170*methane/1000*('6.Inland wetlands'!P63-'6.Inland wetlands'!P51)*(1-'6.Inland wetlands'!Y63)))</f>
        <v>0</v>
      </c>
      <c r="R170" s="4323">
        <f>IF('6.Inland wetlands'!M63=0, 0, 'Inl. wetlands'!$G170*'6.Inland wetlands'!M63*44/28*Nitrous/1000)</f>
        <v>0</v>
      </c>
      <c r="S170" s="4323">
        <f>IF('6.Inland wetlands'!N51=0, 'Inl. wetlands'!$G170*'6.Inland wetlands'!N63*44/28*Nitrous/1000, IF('6.Inland wetlands'!N63&lt;'6.Inland wetlands'!N51,0, 'Inl. wetlands'!$G170*('6.Inland wetlands'!N63-'6.Inland wetlands'!N51)*44/28*Nitrous/1000))</f>
        <v>0</v>
      </c>
      <c r="T170" s="4323">
        <f>IF('6.Inland wetlands'!P51=0, 'Inl. wetlands'!$G170*'6.Inland wetlands'!P63*44/28*Nitrous/1000, IF('6.Inland wetlands'!P63&lt;'6.Inland wetlands'!P51,0,'Inl. wetlands'!$G170*44/28*Nitrous/1000*('6.Inland wetlands'!P63-'6.Inland wetlands'!P51)))</f>
        <v>0</v>
      </c>
      <c r="U170" s="4323">
        <f>IF('6.Inland wetlands'!M63=0, 0, 'Inl. wetlands'!$I170*'6.Inland wetlands'!M63*44/12)</f>
        <v>0</v>
      </c>
      <c r="V170" s="4323">
        <f>IF('6.Inland wetlands'!N51=0, 'Inl. wetlands'!I170*44/12*'6.Inland wetlands'!N63, IF('6.Inland wetlands'!N63&lt;'6.Inland wetlands'!N51,0, 'Inl. wetlands'!I170*44/12*('6.Inland wetlands'!N63-'6.Inland wetlands'!N51)))</f>
        <v>0</v>
      </c>
      <c r="W170" s="4323">
        <f>IF('6.Inland wetlands'!P51=0, 'Inl. wetlands'!I170*44/12*'6.Inland wetlands'!P63, IF('6.Inland wetlands'!P63&lt;'6.Inland wetlands'!P51,0, 'Inl. wetlands'!I170*44/12*('6.Inland wetlands'!P63-'6.Inland wetlands'!P51)))</f>
        <v>0</v>
      </c>
      <c r="X170" s="4323">
        <f>IF('6.Inland wetlands'!M63=0,0, 'Inl. wetlands'!$K170/1000*methane*'6.Inland wetlands'!M63*'6.Inland wetlands'!$W63)</f>
        <v>0</v>
      </c>
      <c r="Y170" s="4323">
        <f>IF('6.Inland wetlands'!N51=0,'Inl. wetlands'!$K170*methane/1000*'6.Inland wetlands'!N63*('6.Inland wetlands'!X63),IF('6.Inland wetlands'!N63&lt;'6.Inland wetlands'!N51,0, 'Inl. wetlands'!$K170*methane/1000*('6.Inland wetlands'!N63-'6.Inland wetlands'!N51)*('6.Inland wetlands'!X63)))</f>
        <v>0</v>
      </c>
      <c r="Z170" s="4323">
        <f>IF('6.Inland wetlands'!P51=0,'Inl. wetlands'!$K170*methane/1000*'6.Inland wetlands'!P63*('6.Inland wetlands'!Y63),IF('6.Inland wetlands'!P63&lt;'6.Inland wetlands'!P51,0, 'Inl. wetlands'!$K170*methane/1000*('6.Inland wetlands'!P63-'6.Inland wetlands'!P51)*('6.Inland wetlands'!Y63)))</f>
        <v>0</v>
      </c>
      <c r="AB170" s="3468">
        <f>MIN('Inl. wetlands'!L170,'Inl. wetlands'!M170)*time_tot+ABS('Inl. wetlands'!M170-'Inl. wetlands'!L170)*IF('Inl. wetlands'!M170&gt;'Inl. wetlands'!L170,time_cap+time*(VLOOKUP('6.Inland wetlands'!O63,list!$I$48:$K$50,3,0)),time*(1-(VLOOKUP('6.Inland wetlands'!O63,list!$I$48:$K$50,3,0))))+MIN('Inl. wetlands'!U170,'Inl. wetlands'!V170)*time_tot+ABS('Inl. wetlands'!V170-'Inl. wetlands'!U170)*IF('Inl. wetlands'!V170&gt;'Inl. wetlands'!U170,time_cap+time*(VLOOKUP('6.Inland wetlands'!O63,list!$I$48:$K$50,3,0)),time*(1-(VLOOKUP('6.Inland wetlands'!O63,list!$I$48:$K$50,3,0))))</f>
        <v>0</v>
      </c>
      <c r="AC170" s="3468">
        <f>MIN('Inl. wetlands'!L170,'Inl. wetlands'!N170)*time_tot+ABS('Inl. wetlands'!N170-'Inl. wetlands'!L170)*IF('Inl. wetlands'!N170&gt;'Inl. wetlands'!L170,time_cap+time*(VLOOKUP('6.Inland wetlands'!Q63,list!$I$48:$K$50,3,0)),time*(1-(VLOOKUP('6.Inland wetlands'!Q63,list!$I$48:$K$50,3,0))))+MIN('Inl. wetlands'!U170,'Inl. wetlands'!W170)*time_tot+ABS('Inl. wetlands'!W170-'Inl. wetlands'!U170)*IF('Inl. wetlands'!W170&gt;'Inl. wetlands'!U170,time_cap+time*(VLOOKUP('6.Inland wetlands'!Q63,list!$I$48:$K$50,3,0)),time*(1-(VLOOKUP('6.Inland wetlands'!Q63,list!$I$48:$K$50,3,0))))</f>
        <v>0</v>
      </c>
      <c r="AD170" s="1151">
        <f>MIN('Inl. wetlands'!O170,'Inl. wetlands'!P170)*time_tot+ABS('Inl. wetlands'!P170-'Inl. wetlands'!O170)*IF('Inl. wetlands'!P170&gt;'Inl. wetlands'!O170,time_cap+time*(VLOOKUP('6.Inland wetlands'!O63,list!$I$48:$K$50,3,0)),time*(1-(VLOOKUP('6.Inland wetlands'!O63,list!$I$48:$K$50,3,0))))+MIN('Inl. wetlands'!X170,'Inl. wetlands'!Y170)*time_tot+ABS('Inl. wetlands'!Y170-'Inl. wetlands'!X170)*IF('Inl. wetlands'!Y170&gt;'Inl. wetlands'!X170,time_cap+time*(VLOOKUP('6.Inland wetlands'!O63,list!$I$48:$K$50,3,0)),time*(1-(VLOOKUP('6.Inland wetlands'!O63,list!$I$48:$K$50,3,0))))</f>
        <v>0</v>
      </c>
      <c r="AE170" s="1151">
        <f>MIN('Inl. wetlands'!O170,'Inl. wetlands'!Q170)*time_tot+ABS('Inl. wetlands'!Q170-'Inl. wetlands'!O170)*IF('Inl. wetlands'!Q170&gt;'Inl. wetlands'!O170,time_cap+time*(VLOOKUP('6.Inland wetlands'!Q63,list!$I$48:$K$50,3,0)),time*(1-(VLOOKUP('6.Inland wetlands'!Q63,list!$I$48:$K$50,3,0))))+MIN('Inl. wetlands'!X170,'Inl. wetlands'!Z170)*time_tot+ABS('Inl. wetlands'!Z170-'Inl. wetlands'!X170)*IF('Inl. wetlands'!Z170&gt;'Inl. wetlands'!X170,time_cap+time*(VLOOKUP('6.Inland wetlands'!Q63,list!$I$48:$K$50,3,0)),time*(1-(VLOOKUP('6.Inland wetlands'!Q63,list!$I$48:$K$50,3,0))))</f>
        <v>0</v>
      </c>
      <c r="AF170" s="1151">
        <f>MIN('Inl. wetlands'!R170,'Inl. wetlands'!S170)*time_tot+ABS('Inl. wetlands'!S170-'Inl. wetlands'!R170)*IF('Inl. wetlands'!S170&gt;'Inl. wetlands'!R170,time_cap+time*(VLOOKUP('6.Inland wetlands'!O63,list!$I$48:$K$50,3,0)),time*(1-(VLOOKUP('6.Inland wetlands'!O63,list!$I$48:$K$50,3,0))))</f>
        <v>0</v>
      </c>
      <c r="AG170" s="1151">
        <f>MIN('Inl. wetlands'!R170,'Inl. wetlands'!T170)*time_tot+ABS('Inl. wetlands'!T170-'Inl. wetlands'!R170)*IF('Inl. wetlands'!T170&gt;'Inl. wetlands'!R170,time_cap+time*(VLOOKUP('6.Inland wetlands'!Q63,list!$I$48:$K$50,3,0)),time*(1-(VLOOKUP('6.Inland wetlands'!Q63,list!$I$48:$K$50,3,0))))</f>
        <v>0</v>
      </c>
      <c r="AI170" s="1102" t="s">
        <v>200</v>
      </c>
      <c r="AJ170" s="1103" t="s">
        <v>201</v>
      </c>
      <c r="AK170" s="1104" t="s">
        <v>324</v>
      </c>
      <c r="AX170" s="1449">
        <f>$M170*time*(VLOOKUP($G156,list!$J$48:$K$50,2,0))</f>
        <v>0</v>
      </c>
      <c r="AY170" s="1449">
        <f>$N170*time*(VLOOKUP($K156,list!$J$48:$K$50,2,0))</f>
        <v>0</v>
      </c>
      <c r="AZ170" s="1449">
        <f>$P170*time*(VLOOKUP($G156,list!$J$48:$K$50,2,0))</f>
        <v>0</v>
      </c>
      <c r="BA170" s="1449">
        <f>$Q170*time*(VLOOKUP($K156,list!$J$48:$K$50,2,0))</f>
        <v>0</v>
      </c>
      <c r="BB170" s="1449">
        <f>$S170*time*(VLOOKUP($G156,list!$J$48:$K$50,2,0))</f>
        <v>0</v>
      </c>
      <c r="BC170" s="1449">
        <f>$T170*time*(VLOOKUP($K156,list!$J$48:$K$50,2,0))</f>
        <v>0</v>
      </c>
      <c r="BD170" s="1449">
        <f>$V170*time*(VLOOKUP($G156,list!$J$48:$K$50,2,0))</f>
        <v>0</v>
      </c>
      <c r="BE170" s="1449">
        <f>$W170*time*(VLOOKUP($K156,list!$J$48:$K$50,2,0))</f>
        <v>0</v>
      </c>
      <c r="BF170" s="1449">
        <f>$Y170*time*(VLOOKUP($G156,list!$J$48:$K$50,2,0))</f>
        <v>0</v>
      </c>
      <c r="BG170" s="1449">
        <f>$Z170*time*(VLOOKUP($K156,list!$J$48:$K$50,2,0))</f>
        <v>0</v>
      </c>
    </row>
    <row r="171" spans="1:59" x14ac:dyDescent="0.15">
      <c r="X171" s="1281"/>
      <c r="Y171" s="1281"/>
      <c r="Z171" s="1281"/>
      <c r="AA171" s="1281"/>
      <c r="AI171" s="1151">
        <f>SUM('Inl. wetlands'!AB165,'Inl. wetlands'!AD165,'Inl. wetlands'!AF165)+SUM(AB176,AD176,AF176)</f>
        <v>0</v>
      </c>
      <c r="AJ171" s="1151">
        <f>SUM('Inl. wetlands'!AC165,'Inl. wetlands'!AE165,'Inl. wetlands'!AG165)+SUM(AC176,AE176,AG176)</f>
        <v>0</v>
      </c>
      <c r="AK171" s="1160">
        <f t="shared" ref="AK171:AK176" si="94">AJ171-AI171</f>
        <v>0</v>
      </c>
    </row>
    <row r="172" spans="1:59" ht="16" x14ac:dyDescent="0.2">
      <c r="A172" s="1264" t="s">
        <v>1178</v>
      </c>
      <c r="B172" s="1287" t="s">
        <v>1169</v>
      </c>
      <c r="C172" s="1287"/>
      <c r="D172" s="1287"/>
      <c r="E172" s="1287"/>
      <c r="F172" s="1287"/>
      <c r="G172" s="1287"/>
      <c r="H172" s="1508" t="s">
        <v>1218</v>
      </c>
      <c r="I172" s="1508"/>
      <c r="J172" s="1508"/>
      <c r="K172" s="1508"/>
      <c r="L172" s="1287" t="s">
        <v>1219</v>
      </c>
      <c r="M172" s="1501"/>
      <c r="N172" s="1501"/>
      <c r="O172" s="1501"/>
      <c r="P172" s="1501"/>
      <c r="Q172" s="1501"/>
      <c r="R172" s="1501"/>
      <c r="S172" s="1501"/>
      <c r="T172" s="1501"/>
      <c r="U172" s="1508"/>
      <c r="V172" s="1508"/>
      <c r="W172" s="1508"/>
      <c r="X172" s="1509"/>
      <c r="Y172" s="1509"/>
      <c r="Z172" s="1509"/>
      <c r="AA172" s="1281"/>
      <c r="AB172" s="1287" t="s">
        <v>1172</v>
      </c>
      <c r="AC172" s="1264"/>
      <c r="AD172" s="1264"/>
      <c r="AE172" s="1264"/>
      <c r="AF172" s="1264"/>
      <c r="AG172" s="1264"/>
      <c r="AI172" s="1151">
        <f>SUM('Inl. wetlands'!AB166,'Inl. wetlands'!AD166,'Inl. wetlands'!AF166)+SUM(AB177,AD177,AF177)</f>
        <v>0</v>
      </c>
      <c r="AJ172" s="1151">
        <f>SUM('Inl. wetlands'!AC166,'Inl. wetlands'!AE166,'Inl. wetlands'!AG166)+SUM(AC177,AE177,AG177)</f>
        <v>0</v>
      </c>
      <c r="AK172" s="3473">
        <f t="shared" si="94"/>
        <v>0</v>
      </c>
    </row>
    <row r="173" spans="1:59" ht="16" x14ac:dyDescent="0.2">
      <c r="A173" s="1264"/>
      <c r="B173" s="1287" t="s">
        <v>1036</v>
      </c>
      <c r="C173" s="1501"/>
      <c r="D173" s="1287" t="s">
        <v>176</v>
      </c>
      <c r="E173" s="1501"/>
      <c r="F173" s="1287" t="s">
        <v>177</v>
      </c>
      <c r="G173" s="1501"/>
      <c r="H173" s="1508" t="s">
        <v>1037</v>
      </c>
      <c r="I173" s="1509"/>
      <c r="J173" s="1508" t="s">
        <v>176</v>
      </c>
      <c r="K173" s="1509"/>
      <c r="L173" s="1501" t="s">
        <v>1220</v>
      </c>
      <c r="M173" s="1501"/>
      <c r="N173" s="1501"/>
      <c r="O173" s="1501"/>
      <c r="P173" s="1501"/>
      <c r="Q173" s="1501"/>
      <c r="R173" s="1501"/>
      <c r="S173" s="1501"/>
      <c r="T173" s="1501"/>
      <c r="U173" s="1508"/>
      <c r="V173" s="1508"/>
      <c r="W173" s="1508"/>
      <c r="X173" s="1509"/>
      <c r="Y173" s="1509"/>
      <c r="Z173" s="1510"/>
      <c r="AA173" s="1281"/>
      <c r="AB173" s="1287" t="s">
        <v>1175</v>
      </c>
      <c r="AC173" s="1264"/>
      <c r="AD173" s="1264"/>
      <c r="AE173" s="1264"/>
      <c r="AF173" s="1264"/>
      <c r="AG173" s="1264"/>
      <c r="AI173" s="1151">
        <f>SUM('Inl. wetlands'!AB167,'Inl. wetlands'!AD167,'Inl. wetlands'!AF167)+SUM(AB178,AD178,AF178)</f>
        <v>0</v>
      </c>
      <c r="AJ173" s="1151">
        <f>SUM('Inl. wetlands'!AC167,'Inl. wetlands'!AE167,'Inl. wetlands'!AG167)+SUM(AC178,AE178,AG178)</f>
        <v>0</v>
      </c>
      <c r="AK173" s="1159">
        <f t="shared" si="94"/>
        <v>0</v>
      </c>
    </row>
    <row r="174" spans="1:59" ht="16" x14ac:dyDescent="0.2">
      <c r="A174" s="1264"/>
      <c r="B174" s="1501" t="s">
        <v>92</v>
      </c>
      <c r="C174" s="1501"/>
      <c r="D174" s="1501" t="s">
        <v>1044</v>
      </c>
      <c r="E174" s="1501"/>
      <c r="F174" s="1501" t="s">
        <v>1045</v>
      </c>
      <c r="G174" s="1501"/>
      <c r="H174" s="1509" t="s">
        <v>92</v>
      </c>
      <c r="I174" s="1509"/>
      <c r="J174" s="1509" t="s">
        <v>1044</v>
      </c>
      <c r="K174" s="1509"/>
      <c r="L174" s="1287" t="s">
        <v>1036</v>
      </c>
      <c r="M174" s="1501"/>
      <c r="N174" s="1287"/>
      <c r="O174" s="1287" t="s">
        <v>176</v>
      </c>
      <c r="P174" s="1501"/>
      <c r="Q174" s="1287"/>
      <c r="R174" s="1287" t="s">
        <v>177</v>
      </c>
      <c r="S174" s="1501"/>
      <c r="T174" s="1287"/>
      <c r="U174" s="1508" t="s">
        <v>1037</v>
      </c>
      <c r="V174" s="1508"/>
      <c r="W174" s="1508"/>
      <c r="X174" s="1508" t="s">
        <v>176</v>
      </c>
      <c r="Y174" s="1509"/>
      <c r="Z174" s="1508"/>
      <c r="AA174" s="1281"/>
      <c r="AB174" s="1501" t="s">
        <v>1176</v>
      </c>
      <c r="AC174" s="1264"/>
      <c r="AD174" s="1501" t="s">
        <v>176</v>
      </c>
      <c r="AE174" s="1264"/>
      <c r="AF174" s="1501" t="s">
        <v>177</v>
      </c>
      <c r="AG174" s="1264"/>
      <c r="AI174" s="1151">
        <f>SUM('Inl. wetlands'!AB168,'Inl. wetlands'!AD168,'Inl. wetlands'!AF168)+SUM(AB179,AD179,AF179)</f>
        <v>0</v>
      </c>
      <c r="AJ174" s="1151">
        <f>SUM('Inl. wetlands'!AC168,'Inl. wetlands'!AE168,'Inl. wetlands'!AG168)+SUM(AC179,AE179,AG179)</f>
        <v>0</v>
      </c>
      <c r="AK174" s="1159">
        <f t="shared" si="94"/>
        <v>0</v>
      </c>
    </row>
    <row r="175" spans="1:59" ht="16" x14ac:dyDescent="0.2">
      <c r="A175" s="1264"/>
      <c r="B175" s="1511" t="s">
        <v>864</v>
      </c>
      <c r="C175" s="1511" t="s">
        <v>66</v>
      </c>
      <c r="D175" s="1511" t="s">
        <v>864</v>
      </c>
      <c r="E175" s="1511" t="s">
        <v>66</v>
      </c>
      <c r="F175" s="1511" t="s">
        <v>864</v>
      </c>
      <c r="G175" s="1511" t="s">
        <v>66</v>
      </c>
      <c r="H175" s="1512" t="s">
        <v>864</v>
      </c>
      <c r="I175" s="1512" t="s">
        <v>66</v>
      </c>
      <c r="J175" s="1512" t="s">
        <v>864</v>
      </c>
      <c r="K175" s="1512" t="s">
        <v>66</v>
      </c>
      <c r="L175" s="973" t="s">
        <v>219</v>
      </c>
      <c r="M175" s="1102" t="s">
        <v>179</v>
      </c>
      <c r="N175" s="1103" t="s">
        <v>180</v>
      </c>
      <c r="O175" s="973" t="s">
        <v>219</v>
      </c>
      <c r="P175" s="1102" t="s">
        <v>179</v>
      </c>
      <c r="Q175" s="1103" t="s">
        <v>180</v>
      </c>
      <c r="R175" s="973" t="s">
        <v>219</v>
      </c>
      <c r="S175" s="1102" t="s">
        <v>179</v>
      </c>
      <c r="T175" s="1103" t="s">
        <v>180</v>
      </c>
      <c r="U175" s="973" t="s">
        <v>219</v>
      </c>
      <c r="V175" s="1102" t="s">
        <v>179</v>
      </c>
      <c r="W175" s="1103" t="s">
        <v>180</v>
      </c>
      <c r="X175" s="973" t="s">
        <v>219</v>
      </c>
      <c r="Y175" s="1102" t="s">
        <v>179</v>
      </c>
      <c r="Z175" s="1103" t="s">
        <v>180</v>
      </c>
      <c r="AA175" s="1281"/>
      <c r="AB175" s="1102" t="s">
        <v>179</v>
      </c>
      <c r="AC175" s="1103" t="s">
        <v>180</v>
      </c>
      <c r="AD175" s="1102" t="s">
        <v>179</v>
      </c>
      <c r="AE175" s="1103" t="s">
        <v>180</v>
      </c>
      <c r="AF175" s="1102" t="s">
        <v>179</v>
      </c>
      <c r="AG175" s="1103" t="s">
        <v>180</v>
      </c>
      <c r="AI175" s="1151">
        <f>SUM('Inl. wetlands'!AB169,'Inl. wetlands'!AD169,'Inl. wetlands'!AF169)+SUM(AB180,AD180,AF180)</f>
        <v>0</v>
      </c>
      <c r="AJ175" s="1151">
        <f>SUM('Inl. wetlands'!AC169,'Inl. wetlands'!AE169,'Inl. wetlands'!AG169)+SUM(AC180,AE180,AG180)</f>
        <v>0</v>
      </c>
      <c r="AK175" s="1159">
        <f t="shared" si="94"/>
        <v>0</v>
      </c>
    </row>
    <row r="176" spans="1:59" x14ac:dyDescent="0.15">
      <c r="A176" s="1467" t="s">
        <v>1160</v>
      </c>
      <c r="B176" s="1044">
        <f>IFERROR(IF('Inl. wetlands'!$J$145=list!$J$210,INDEX(IPCC!$A$1762:$J$1773,MATCH(clim_moist,IPCC!$A$1781:$A$1792,0),MATCH('Inl. wetlands'!$C151,IPCC!$A$1781:$J$1781,0)),IF('Inl. wetlands'!$J$145=list!$J$211,INDEX(IPCC!$A$1781:$J$1792,MATCH(clim_moist,IPCC!$A$1781:$A$1792,0),MATCH('Inl. wetlands'!$C151,IPCC!$A$1781:$J$1781,0)))),0)</f>
        <v>0</v>
      </c>
      <c r="C176" s="1162">
        <f>IF('6.Inland wetlands'!CG58="",'6.Inland wetlands'!CF58,'6.Inland wetlands'!CG58)</f>
        <v>0</v>
      </c>
      <c r="D176" s="1044">
        <f>IFERROR(IF('Inl. wetlands'!$J$145=list!$J$210,INDEX(IPCC!$A$1818:$J$1829,MATCH(clim_moist,IPCC!$A$1818:$A$1829,0),MATCH('Inl. wetlands'!$C151,IPCC!$A$1818:$J$1818,0)),IF('Inl. wetlands'!$J$145=list!$J$211,INDEX(IPCC!$A$1836:$J$1847,MATCH(clim_moist,IPCC!$A$1836:$A$1847,0),MATCH('Inl. wetlands'!$C151,IPCC!$A$1836:$J$1836,0)))),0)</f>
        <v>0</v>
      </c>
      <c r="E176" s="1162">
        <f>IF('6.Inland wetlands'!CI58="",'6.Inland wetlands'!CH58,'6.Inland wetlands'!CI58)</f>
        <v>0</v>
      </c>
      <c r="F176" s="1044">
        <f>IFERROR(IF('Inl. wetlands'!$J$145=list!$J$210,INDEX(IPCC!$A$1872:$J$1883,MATCH(clim_moist,IPCC!$A$1872:$A$1883,0),MATCH('Inl. wetlands'!$C151,IPCC!$A$1872:$J$1872,0)),IF('Inl. wetlands'!$J$145=list!$J$211,INDEX(IPCC!$A$1890:$J$1901,MATCH(clim_moist,IPCC!$A$1890:$A$1901,0),MATCH('Inl. wetlands'!$C151,IPCC!$A$1890:$J$1890,0)))),0)</f>
        <v>0</v>
      </c>
      <c r="G176" s="1162">
        <f>IF('6.Inland wetlands'!CK58="",'6.Inland wetlands'!CJ58,'6.Inland wetlands'!CK58)</f>
        <v>0</v>
      </c>
      <c r="H176" s="1044">
        <f>IFERROR(IF('Inl. wetlands'!$J$145=list!$J$210,INDEX(IPCC!$A$1800:$J$1811,MATCH(clim_moist,IPCC!$A$1800:$A$1811,0),MATCH('Inl. wetlands'!$C151,IPCC!$A$1800:$J$1800,0)),IF('Inl. wetlands'!$J$145=list!$J$211,INDEX(IPCC!$A$1800:$J$1811,MATCH(clim_moist,IPCC!$A$1800:$A$1811,0),MATCH('Inl. wetlands'!$C151,IPCC!$A$1800:$J$1800,0)))),0)</f>
        <v>0</v>
      </c>
      <c r="I176" s="1162">
        <f>IF('6.Inland wetlands'!CN58="",'6.Inland wetlands'!CM58,'6.Inland wetlands'!CN58)</f>
        <v>0</v>
      </c>
      <c r="J176" s="1111">
        <f>IFERROR(IF('Inl. wetlands'!$J$145=list!$J$210,INDEX(IPCC!$A$1854:$J$1865,MATCH(clim_moist,IPCC!$A$1854:$A$1865,0),MATCH('Inl. wetlands'!$C151,IPCC!$A$1854:$J$1854,0)),IF('Inl. wetlands'!$J$145=list!$J$211,INDEX(IPCC!$A$1854:$J$1865,MATCH(clim_moist,IPCC!$A$1854:$A$1865,0),MATCH('Inl. wetlands'!$C151,IPCC!$A$1854:$J$1854,0)))),0)</f>
        <v>0</v>
      </c>
      <c r="K176" s="1161">
        <f>IF('6.Inland wetlands'!CP58="",'6.Inland wetlands'!CO58,'6.Inland wetlands'!CP58)</f>
        <v>0</v>
      </c>
      <c r="L176" s="1543">
        <v>0</v>
      </c>
      <c r="M176" s="1543">
        <f>IF('6.Inland wetlands'!N46=0, 0, IF('6.Inland wetlands'!N58&lt;'6.Inland wetlands'!N46, 'Inl. wetlands'!C176*44/12*'6.Inland wetlands'!N58, 'Inl. wetlands'!C176*44/12*('6.Inland wetlands'!N46)))</f>
        <v>0</v>
      </c>
      <c r="N176" s="4323">
        <f>IF('6.Inland wetlands'!P46=0, 0, IF('6.Inland wetlands'!P58&lt;'6.Inland wetlands'!P46, 'Inl. wetlands'!C176*44/12*'6.Inland wetlands'!P58, 'Inl. wetlands'!C176*44/12*('6.Inland wetlands'!P46)))</f>
        <v>0</v>
      </c>
      <c r="O176" s="1543">
        <v>0</v>
      </c>
      <c r="P176" s="4323">
        <f>IF('6.Inland wetlands'!N46=0, 0, IF('6.Inland wetlands'!N58&lt;'6.Inland wetlands'!N46, 'Inl. wetlands'!E176*methane/1000*'6.Inland wetlands'!N58*(1-'6.Inland wetlands'!X58), 'Inl. wetlands'!E176*methane/1000*('6.Inland wetlands'!N46*(1-'6.Inland wetlands'!X58))))</f>
        <v>0</v>
      </c>
      <c r="Q176" s="4323">
        <f>IF('6.Inland wetlands'!P46=0, 0, IF('6.Inland wetlands'!P58&lt;'6.Inland wetlands'!P46, 'Inl. wetlands'!E176*methane/1000*'6.Inland wetlands'!P58*(1-'6.Inland wetlands'!Y58), 'Inl. wetlands'!E176*methane/1000*('6.Inland wetlands'!P46*(1-'6.Inland wetlands'!Y58))))</f>
        <v>0</v>
      </c>
      <c r="R176" s="1543">
        <v>0</v>
      </c>
      <c r="S176" s="4323">
        <f>IF('6.Inland wetlands'!N46=0, 0, IF('6.Inland wetlands'!N58&lt;'6.Inland wetlands'!N46, 'Inl. wetlands'!G176*44/28*Nitrous/1000*'6.Inland wetlands'!N58, 'Inl. wetlands'!G176*44/28*Nitrous/1000*('6.Inland wetlands'!N46)))</f>
        <v>0</v>
      </c>
      <c r="T176" s="4323">
        <f>IF('6.Inland wetlands'!P46=0, 0, IF('6.Inland wetlands'!P58&lt;'6.Inland wetlands'!P46, 'Inl. wetlands'!G176*44/28*Nitrous/1000*'6.Inland wetlands'!P58, 'Inl. wetlands'!G176*44/28*Nitrous/1000*('6.Inland wetlands'!P46)))</f>
        <v>0</v>
      </c>
      <c r="U176" s="1543">
        <v>0</v>
      </c>
      <c r="V176" s="4323">
        <f>IF('6.Inland wetlands'!N46=0, 0, IF('6.Inland wetlands'!N58&lt;'6.Inland wetlands'!N46, 'Inl. wetlands'!I176*44/12*'6.Inland wetlands'!N58, 'Inl. wetlands'!I176*44/12*('6.Inland wetlands'!N46)))</f>
        <v>0</v>
      </c>
      <c r="W176" s="4323">
        <f>IF('6.Inland wetlands'!P46=0, 0, IF('6.Inland wetlands'!P58&lt;'6.Inland wetlands'!P46, 'Inl. wetlands'!I176*44/12*'6.Inland wetlands'!P58, 'Inl. wetlands'!I176*44/12*('6.Inland wetlands'!P46)))</f>
        <v>0</v>
      </c>
      <c r="X176" s="4323">
        <v>0</v>
      </c>
      <c r="Y176" s="1146">
        <f>IF('6.Inland wetlands'!N46=0, 0, IF('6.Inland wetlands'!N58&lt;'6.Inland wetlands'!N46, 'Inl. wetlands'!K176*methane/1000*'6.Inland wetlands'!N58*('6.Inland wetlands'!X58), 'Inl. wetlands'!K176*methane/1000*('6.Inland wetlands'!N46*('6.Inland wetlands'!X58))))</f>
        <v>0</v>
      </c>
      <c r="Z176" s="1146">
        <f>IF('6.Inland wetlands'!P46=0, 0, IF('6.Inland wetlands'!P58&lt;'6.Inland wetlands'!P46, 'Inl. wetlands'!K176*methane/1000*'6.Inland wetlands'!P58*('6.Inland wetlands'!Y58), 'Inl. wetlands'!K176*methane/1000*('6.Inland wetlands'!P46*('6.Inland wetlands'!Y58))))</f>
        <v>0</v>
      </c>
      <c r="AA176" s="1281"/>
      <c r="AB176" s="3468">
        <f>MIN('Inl. wetlands'!L176,'Inl. wetlands'!M176)*time_tot+ABS('Inl. wetlands'!M176-'Inl. wetlands'!L176)*IF('Inl. wetlands'!M176&gt;'Inl. wetlands'!L176,time_cap+time*(VLOOKUP('6.Inland wetlands'!O58,list!$I$48:$K$50,3,0)),time*(1-(VLOOKUP('6.Inland wetlands'!O58,list!$I$48:$K$50,3,0))))+MIN('Inl. wetlands'!U176,'Inl. wetlands'!V176)*time_tot+ABS('Inl. wetlands'!V176-'Inl. wetlands'!U176)*IF('Inl. wetlands'!V176&gt;'Inl. wetlands'!U176,time_cap+time*(VLOOKUP('6.Inland wetlands'!O58,list!$I$48:$K$50,3,0)),time*(1-(VLOOKUP('6.Inland wetlands'!O58,list!$I$48:$K$50,3,0))))</f>
        <v>0</v>
      </c>
      <c r="AC176" s="3468">
        <f>MIN('Inl. wetlands'!L176,'Inl. wetlands'!N176)*time_tot+ABS('Inl. wetlands'!N176-'Inl. wetlands'!L176)*IF('Inl. wetlands'!N176&gt;'Inl. wetlands'!L176,time_cap+time*(VLOOKUP('6.Inland wetlands'!Q58,list!$I$48:$K$50,3,0)),time*(1-(VLOOKUP('6.Inland wetlands'!Q58,list!$I$48:$K$50,3,0))))+MIN('Inl. wetlands'!U176,'Inl. wetlands'!W176)*time_tot+ABS('Inl. wetlands'!W176-'Inl. wetlands'!U176)*IF('Inl. wetlands'!W176&gt;'Inl. wetlands'!U176,time_cap+time*(VLOOKUP('6.Inland wetlands'!Q58,list!$I$48:$K$50,3,0)),time*(1-(VLOOKUP('6.Inland wetlands'!Q58,list!$I$48:$K$50,3,0))))</f>
        <v>0</v>
      </c>
      <c r="AD176" s="1151">
        <f>MIN('Inl. wetlands'!O176,'Inl. wetlands'!P176)*time_tot+ABS('Inl. wetlands'!P176-'Inl. wetlands'!O176)*IF('Inl. wetlands'!P176&gt;'Inl. wetlands'!O176,time_cap+time*(VLOOKUP('6.Inland wetlands'!O58,list!$I$48:$K$50,3,0)),time*(1-(VLOOKUP('6.Inland wetlands'!O58,list!$I$48:$K$50,3,0))))+MIN('Inl. wetlands'!X176,'Inl. wetlands'!Y176)*time_tot+ABS('Inl. wetlands'!Y176-'Inl. wetlands'!X176)*IF('Inl. wetlands'!Y176&gt;'Inl. wetlands'!X176,time_cap+time*(VLOOKUP('6.Inland wetlands'!O58,list!$I$48:$K$50,3,0)),time*(1-(VLOOKUP('6.Inland wetlands'!O58,list!$I$48:$K$50,3,0))))</f>
        <v>0</v>
      </c>
      <c r="AE176" s="1151">
        <f>MIN('Inl. wetlands'!O176,'Inl. wetlands'!Q176)*time_tot+ABS('Inl. wetlands'!Q176-'Inl. wetlands'!O176)*IF('Inl. wetlands'!Q176&gt;'Inl. wetlands'!O176,time_cap+time*(VLOOKUP('6.Inland wetlands'!Q58,list!$I$48:$K$50,3,0)),time*(1-(VLOOKUP('6.Inland wetlands'!Q58,list!$I$48:$K$50,3,0))))+MIN('Inl. wetlands'!X176,'Inl. wetlands'!Z176)*time_tot+ABS('Inl. wetlands'!Z176-'Inl. wetlands'!X176)*IF('Inl. wetlands'!Z176&gt;'Inl. wetlands'!X176,time_cap+time*(VLOOKUP('6.Inland wetlands'!Q58,list!$I$48:$K$50,3,0)),time*(1-(VLOOKUP('6.Inland wetlands'!Q58,list!$I$48:$K$50,3,0))))</f>
        <v>0</v>
      </c>
      <c r="AF176" s="1151">
        <f>MIN('Inl. wetlands'!R176,'Inl. wetlands'!S176)*time_tot+ABS('Inl. wetlands'!S176-'Inl. wetlands'!R176)*IF('Inl. wetlands'!S176&gt;'Inl. wetlands'!R176,time_cap+time*(VLOOKUP('6.Inland wetlands'!O58,list!$I$48:$K$50,3,0)),time*(1-(VLOOKUP('6.Inland wetlands'!O58,list!$I$48:$K$50,3,0))))</f>
        <v>0</v>
      </c>
      <c r="AG176" s="1151">
        <f>MIN('Inl. wetlands'!R176,'Inl. wetlands'!T176)*time_tot+ABS('Inl. wetlands'!T176-'Inl. wetlands'!R176)*IF('Inl. wetlands'!T176&gt;'Inl. wetlands'!R176,time_cap+time*(VLOOKUP('6.Inland wetlands'!Q58,list!$I$48:$K$50,3,0)),time*(1-(VLOOKUP('6.Inland wetlands'!Q58,list!$I$48:$K$50,3,0))))</f>
        <v>0</v>
      </c>
      <c r="AI176" s="1151">
        <f>SUM('Inl. wetlands'!AB170,'Inl. wetlands'!AD170,'Inl. wetlands'!AF170)+SUM(AB181,AD181,AF181)</f>
        <v>0</v>
      </c>
      <c r="AJ176" s="1151">
        <f>SUM('Inl. wetlands'!AC170,'Inl. wetlands'!AE170,'Inl. wetlands'!AG170)+SUM(AC181,AE181,AG181)</f>
        <v>0</v>
      </c>
      <c r="AK176" s="3474">
        <f t="shared" si="94"/>
        <v>0</v>
      </c>
    </row>
    <row r="177" spans="1:59" x14ac:dyDescent="0.15">
      <c r="A177" s="1467" t="s">
        <v>1161</v>
      </c>
      <c r="B177" s="1044">
        <f>IFERROR(IF('Inl. wetlands'!$J$145=list!$J$210,INDEX(IPCC!$A$1762:$J$1773,MATCH(clim_moist,IPCC!$A$1781:$A$1792,0),MATCH('Inl. wetlands'!$C152,IPCC!$A$1781:$J$1781,0)),IF('Inl. wetlands'!$J$145=list!$J$211,INDEX(IPCC!$A$1781:$J$1792,MATCH(clim_moist,IPCC!$A$1781:$A$1792,0),MATCH('Inl. wetlands'!$C152,IPCC!$A$1781:$J$1781,0)))),0)</f>
        <v>0</v>
      </c>
      <c r="C177" s="1162">
        <f>IF('6.Inland wetlands'!CG59="",'6.Inland wetlands'!CF59,'6.Inland wetlands'!CG59)</f>
        <v>0</v>
      </c>
      <c r="D177" s="1044">
        <f>IFERROR(IF('Inl. wetlands'!$J$145=list!$J$210,INDEX(IPCC!$A$1818:$J$1829,MATCH(clim_moist,IPCC!$A$1818:$A$1829,0),MATCH('Inl. wetlands'!$C152,IPCC!$A$1818:$J$1818,0)),IF('Inl. wetlands'!$J$145=list!$J$211,INDEX(IPCC!$A$1836:$J$1847,MATCH(clim_moist,IPCC!$A$1836:$A$1847,0),MATCH('Inl. wetlands'!$C152,IPCC!$A$1836:$J$1836,0)))),0)</f>
        <v>0</v>
      </c>
      <c r="E177" s="1162">
        <f>IF('6.Inland wetlands'!CI59="",'6.Inland wetlands'!CH59,'6.Inland wetlands'!CI59)</f>
        <v>0</v>
      </c>
      <c r="F177" s="1044">
        <f>IFERROR(IF('Inl. wetlands'!$J$145=list!$J$210,INDEX(IPCC!$A$1872:$J$1883,MATCH(clim_moist,IPCC!$A$1872:$A$1883,0),MATCH('Inl. wetlands'!$C152,IPCC!$A$1872:$J$1872,0)),IF('Inl. wetlands'!$J$145=list!$J$211,INDEX(IPCC!$A$1890:$J$1901,MATCH(clim_moist,IPCC!$A$1890:$A$1901,0),MATCH('Inl. wetlands'!$C152,IPCC!$A$1890:$J$1890,0)))),0)</f>
        <v>0</v>
      </c>
      <c r="G177" s="1162">
        <f>IF('6.Inland wetlands'!CK59="",'6.Inland wetlands'!CJ59,'6.Inland wetlands'!CK59)</f>
        <v>0</v>
      </c>
      <c r="H177" s="1044">
        <f>IFERROR(IF('Inl. wetlands'!$J$145=list!$J$210,INDEX(IPCC!$A$1800:$J$1811,MATCH(clim_moist,IPCC!$A$1800:$A$1811,0),MATCH('Inl. wetlands'!$C152,IPCC!$A$1800:$J$1800,0)),IF('Inl. wetlands'!$J$145=list!$J$211,INDEX(IPCC!$A$1800:$J$1811,MATCH(clim_moist,IPCC!$A$1800:$A$1811,0),MATCH('Inl. wetlands'!$C152,IPCC!$A$1800:$J$1800,0)))),0)</f>
        <v>0</v>
      </c>
      <c r="I177" s="1162">
        <f>IF('6.Inland wetlands'!CN59="",'6.Inland wetlands'!CM59,'6.Inland wetlands'!CN59)</f>
        <v>0</v>
      </c>
      <c r="J177" s="1111">
        <f>IFERROR(IF('Inl. wetlands'!$J$145=list!$J$210,INDEX(IPCC!$A$1854:$J$1865,MATCH(clim_moist,IPCC!$A$1854:$A$1865,0),MATCH('Inl. wetlands'!$C152,IPCC!$A$1854:$J$1854,0)),IF('Inl. wetlands'!$J$145=list!$J$211,INDEX(IPCC!$A$1854:$J$1865,MATCH(clim_moist,IPCC!$A$1854:$A$1865,0),MATCH('Inl. wetlands'!$C152,IPCC!$A$1854:$J$1854,0)))),0)</f>
        <v>0</v>
      </c>
      <c r="K177" s="1161">
        <f>IF('6.Inland wetlands'!CP59="",'6.Inland wetlands'!CO59,'6.Inland wetlands'!CP59)</f>
        <v>0</v>
      </c>
      <c r="L177" s="1543">
        <v>0</v>
      </c>
      <c r="M177" s="1543">
        <f>IF('6.Inland wetlands'!N47=0, 0, IF('6.Inland wetlands'!N59&lt;'6.Inland wetlands'!N47, 'Inl. wetlands'!C177*44/12*'6.Inland wetlands'!N59, 'Inl. wetlands'!C177*44/12*('6.Inland wetlands'!N47)))</f>
        <v>0</v>
      </c>
      <c r="N177" s="4323">
        <f>IF('6.Inland wetlands'!P47=0, 0, IF('6.Inland wetlands'!P59&lt;'6.Inland wetlands'!P47, 'Inl. wetlands'!C177*44/12*'6.Inland wetlands'!P59, 'Inl. wetlands'!C177*44/12*('6.Inland wetlands'!P47)))</f>
        <v>0</v>
      </c>
      <c r="O177" s="1543">
        <v>0</v>
      </c>
      <c r="P177" s="4323">
        <f>IF('6.Inland wetlands'!N47=0, 0, IF('6.Inland wetlands'!N59&lt;'6.Inland wetlands'!N47, 'Inl. wetlands'!E177*methane/1000*'6.Inland wetlands'!N59*(1-'6.Inland wetlands'!X59), 'Inl. wetlands'!E177*methane/1000*('6.Inland wetlands'!N47*(1-'6.Inland wetlands'!X59))))</f>
        <v>0</v>
      </c>
      <c r="Q177" s="4323">
        <f>IF('6.Inland wetlands'!P47=0, 0, IF('6.Inland wetlands'!P59&lt;'6.Inland wetlands'!P47, 'Inl. wetlands'!E177*methane/1000*'6.Inland wetlands'!P59*(1-'6.Inland wetlands'!Y59), 'Inl. wetlands'!E177*methane/1000*('6.Inland wetlands'!P47*(1-'6.Inland wetlands'!Y59))))</f>
        <v>0</v>
      </c>
      <c r="R177" s="1543">
        <v>0</v>
      </c>
      <c r="S177" s="4323">
        <f>IF('6.Inland wetlands'!N47=0, 0, IF('6.Inland wetlands'!N59&lt;'6.Inland wetlands'!N47, 'Inl. wetlands'!G177*44/28*Nitrous/1000*'6.Inland wetlands'!N59, 'Inl. wetlands'!G177*44/28*Nitrous/1000*('6.Inland wetlands'!N47)))</f>
        <v>0</v>
      </c>
      <c r="T177" s="4323">
        <f>IF('6.Inland wetlands'!P47=0, 0, IF('6.Inland wetlands'!P59&lt;'6.Inland wetlands'!P47, 'Inl. wetlands'!G177*44/28*Nitrous/1000*'6.Inland wetlands'!P59, 'Inl. wetlands'!G177*44/28*Nitrous/1000*('6.Inland wetlands'!P47)))</f>
        <v>0</v>
      </c>
      <c r="U177" s="1543">
        <v>0</v>
      </c>
      <c r="V177" s="4323">
        <f>IF('6.Inland wetlands'!N47=0, 0, IF('6.Inland wetlands'!N59&lt;'6.Inland wetlands'!N47, 'Inl. wetlands'!I177*44/12*'6.Inland wetlands'!N59, 'Inl. wetlands'!I177*44/12*('6.Inland wetlands'!N47)))</f>
        <v>0</v>
      </c>
      <c r="W177" s="4323">
        <f>IF('6.Inland wetlands'!P47=0, 0, IF('6.Inland wetlands'!P59&lt;'6.Inland wetlands'!P47, 'Inl. wetlands'!I177*44/12*'6.Inland wetlands'!P59, 'Inl. wetlands'!I177*44/12*('6.Inland wetlands'!P47)))</f>
        <v>0</v>
      </c>
      <c r="X177" s="4323">
        <v>0</v>
      </c>
      <c r="Y177" s="1146">
        <f>IF('6.Inland wetlands'!N47=0, 0, IF('6.Inland wetlands'!N59&lt;'6.Inland wetlands'!N47, 'Inl. wetlands'!K177*methane/1000*'6.Inland wetlands'!N59*('6.Inland wetlands'!X59), 'Inl. wetlands'!K177*methane/1000*('6.Inland wetlands'!N47*('6.Inland wetlands'!X59))))</f>
        <v>0</v>
      </c>
      <c r="Z177" s="1146">
        <f>IF('6.Inland wetlands'!P47=0, 0, IF('6.Inland wetlands'!P59&lt;'6.Inland wetlands'!P47, 'Inl. wetlands'!K177*methane/1000*'6.Inland wetlands'!P59*('6.Inland wetlands'!Y59), 'Inl. wetlands'!K177*methane/1000*('6.Inland wetlands'!P47*('6.Inland wetlands'!Y59))))</f>
        <v>0</v>
      </c>
      <c r="AA177" s="1281"/>
      <c r="AB177" s="3468">
        <f>MIN('Inl. wetlands'!L177,'Inl. wetlands'!M177)*time_tot+ABS('Inl. wetlands'!M177-'Inl. wetlands'!L177)*IF('Inl. wetlands'!M177&gt;'Inl. wetlands'!L177,time_cap+time*(VLOOKUP('6.Inland wetlands'!O59,list!$I$48:$K$50,3,0)),time*(1-(VLOOKUP('6.Inland wetlands'!O59,list!$I$48:$K$50,3,0))))+MIN('Inl. wetlands'!U177,'Inl. wetlands'!V177)*time_tot+ABS('Inl. wetlands'!V177-'Inl. wetlands'!U177)*IF('Inl. wetlands'!V177&gt;'Inl. wetlands'!U177,time_cap+time*(VLOOKUP('6.Inland wetlands'!O59,list!$I$48:$K$50,3,0)),time*(1-(VLOOKUP('6.Inland wetlands'!O59,list!$I$48:$K$50,3,0))))</f>
        <v>0</v>
      </c>
      <c r="AC177" s="3468">
        <f>MIN('Inl. wetlands'!L177,'Inl. wetlands'!N177)*time_tot+ABS('Inl. wetlands'!N177-'Inl. wetlands'!L177)*IF('Inl. wetlands'!N177&gt;'Inl. wetlands'!L177,time_cap+time*(VLOOKUP('6.Inland wetlands'!Q59,list!$I$48:$K$50,3,0)),time*(1-(VLOOKUP('6.Inland wetlands'!Q59,list!$I$48:$K$50,3,0))))+MIN('Inl. wetlands'!U177,'Inl. wetlands'!W177)*time_tot+ABS('Inl. wetlands'!W177-'Inl. wetlands'!U177)*IF('Inl. wetlands'!W177&gt;'Inl. wetlands'!U177,time_cap+time*(VLOOKUP('6.Inland wetlands'!Q59,list!$I$48:$K$50,3,0)),time*(1-(VLOOKUP('6.Inland wetlands'!Q59,list!$I$48:$K$50,3,0))))</f>
        <v>0</v>
      </c>
      <c r="AD177" s="1151">
        <f>MIN('Inl. wetlands'!O177,'Inl. wetlands'!P177)*time_tot+ABS('Inl. wetlands'!P177-'Inl. wetlands'!O177)*IF('Inl. wetlands'!P177&gt;'Inl. wetlands'!O177,time_cap+time*(VLOOKUP('6.Inland wetlands'!O59,list!$I$48:$K$50,3,0)),time*(1-(VLOOKUP('6.Inland wetlands'!O59,list!$I$48:$K$50,3,0))))+MIN('Inl. wetlands'!X177,'Inl. wetlands'!Y177)*time_tot+ABS('Inl. wetlands'!Y177-'Inl. wetlands'!X177)*IF('Inl. wetlands'!Y177&gt;'Inl. wetlands'!X177,time_cap+time*(VLOOKUP('6.Inland wetlands'!O59,list!$I$48:$K$50,3,0)),time*(1-(VLOOKUP('6.Inland wetlands'!O59,list!$I$48:$K$50,3,0))))</f>
        <v>0</v>
      </c>
      <c r="AE177" s="1151">
        <f>MIN('Inl. wetlands'!O177,'Inl. wetlands'!Q177)*time_tot+ABS('Inl. wetlands'!Q177-'Inl. wetlands'!O177)*IF('Inl. wetlands'!Q177&gt;'Inl. wetlands'!O177,time_cap+time*(VLOOKUP('6.Inland wetlands'!Q59,list!$I$48:$K$50,3,0)),time*(1-(VLOOKUP('6.Inland wetlands'!Q59,list!$I$48:$K$50,3,0))))+MIN('Inl. wetlands'!X177,'Inl. wetlands'!Z177)*time_tot+ABS('Inl. wetlands'!Z177-'Inl. wetlands'!X177)*IF('Inl. wetlands'!Z177&gt;'Inl. wetlands'!X177,time_cap+time*(VLOOKUP('6.Inland wetlands'!Q59,list!$I$48:$K$50,3,0)),time*(1-(VLOOKUP('6.Inland wetlands'!Q59,list!$I$48:$K$50,3,0))))</f>
        <v>0</v>
      </c>
      <c r="AF177" s="1151">
        <f>MIN('Inl. wetlands'!R177,'Inl. wetlands'!S177)*time_tot+ABS('Inl. wetlands'!S177-'Inl. wetlands'!R177)*IF('Inl. wetlands'!S177&gt;'Inl. wetlands'!R177,time_cap+time*(VLOOKUP('6.Inland wetlands'!O59,list!$I$48:$K$50,3,0)),time*(1-(VLOOKUP('6.Inland wetlands'!O59,list!$I$48:$K$50,3,0))))</f>
        <v>0</v>
      </c>
      <c r="AG177" s="1151">
        <f>MIN('Inl. wetlands'!R177,'Inl. wetlands'!T177)*time_tot+ABS('Inl. wetlands'!T177-'Inl. wetlands'!R177)*IF('Inl. wetlands'!T177&gt;'Inl. wetlands'!R177,time_cap+time*(VLOOKUP('6.Inland wetlands'!Q59,list!$I$48:$K$50,3,0)),time*(1-(VLOOKUP('6.Inland wetlands'!Q59,list!$I$48:$K$50,3,0))))</f>
        <v>0</v>
      </c>
    </row>
    <row r="178" spans="1:59" x14ac:dyDescent="0.15">
      <c r="A178" s="1467" t="s">
        <v>1162</v>
      </c>
      <c r="B178" s="1044">
        <f>IFERROR(IF('Inl. wetlands'!$J$145=list!$J$210,INDEX(IPCC!$A$1762:$J$1773,MATCH(clim_moist,IPCC!$A$1781:$A$1792,0),MATCH('Inl. wetlands'!$C153,IPCC!$A$1781:$J$1781,0)),IF('Inl. wetlands'!$J$145=list!$J$211,INDEX(IPCC!$A$1781:$J$1792,MATCH(clim_moist,IPCC!$A$1781:$A$1792,0),MATCH('Inl. wetlands'!$C153,IPCC!$A$1781:$J$1781,0)))),0)</f>
        <v>0</v>
      </c>
      <c r="C178" s="1162">
        <f>IF('6.Inland wetlands'!CG60="",'6.Inland wetlands'!CF60,'6.Inland wetlands'!CG60)</f>
        <v>0</v>
      </c>
      <c r="D178" s="1044">
        <f>IFERROR(IF('Inl. wetlands'!$J$145=list!$J$210,INDEX(IPCC!$A$1818:$J$1829,MATCH(clim_moist,IPCC!$A$1818:$A$1829,0),MATCH('Inl. wetlands'!$C153,IPCC!$A$1818:$J$1818,0)),IF('Inl. wetlands'!$J$145=list!$J$211,INDEX(IPCC!$A$1836:$J$1847,MATCH(clim_moist,IPCC!$A$1836:$A$1847,0),MATCH('Inl. wetlands'!$C153,IPCC!$A$1836:$J$1836,0)))),0)</f>
        <v>0</v>
      </c>
      <c r="E178" s="1162">
        <f>IF('6.Inland wetlands'!CI60="",'6.Inland wetlands'!CH60,'6.Inland wetlands'!CI60)</f>
        <v>0</v>
      </c>
      <c r="F178" s="1044">
        <f>IFERROR(IF('Inl. wetlands'!$J$145=list!$J$210,INDEX(IPCC!$A$1872:$J$1883,MATCH(clim_moist,IPCC!$A$1872:$A$1883,0),MATCH('Inl. wetlands'!$C153,IPCC!$A$1872:$J$1872,0)),IF('Inl. wetlands'!$J$145=list!$J$211,INDEX(IPCC!$A$1890:$J$1901,MATCH(clim_moist,IPCC!$A$1890:$A$1901,0),MATCH('Inl. wetlands'!$C153,IPCC!$A$1890:$J$1890,0)))),0)</f>
        <v>0</v>
      </c>
      <c r="G178" s="1162">
        <f>IF('6.Inland wetlands'!CK60="",'6.Inland wetlands'!CJ60,'6.Inland wetlands'!CK60)</f>
        <v>0</v>
      </c>
      <c r="H178" s="1044">
        <f>IFERROR(IF('Inl. wetlands'!$J$145=list!$J$210,INDEX(IPCC!$A$1800:$J$1811,MATCH(clim_moist,IPCC!$A$1800:$A$1811,0),MATCH('Inl. wetlands'!$C153,IPCC!$A$1800:$J$1800,0)),IF('Inl. wetlands'!$J$145=list!$J$211,INDEX(IPCC!$A$1800:$J$1811,MATCH(clim_moist,IPCC!$A$1800:$A$1811,0),MATCH('Inl. wetlands'!$C153,IPCC!$A$1800:$J$1800,0)))),0)</f>
        <v>0</v>
      </c>
      <c r="I178" s="1162">
        <f>IF('6.Inland wetlands'!CN60="",'6.Inland wetlands'!CM60,'6.Inland wetlands'!CN60)</f>
        <v>0</v>
      </c>
      <c r="J178" s="1111">
        <f>IFERROR(IF('Inl. wetlands'!$J$145=list!$J$210,INDEX(IPCC!$A$1854:$J$1865,MATCH(clim_moist,IPCC!$A$1854:$A$1865,0),MATCH('Inl. wetlands'!$C153,IPCC!$A$1854:$J$1854,0)),IF('Inl. wetlands'!$J$145=list!$J$211,INDEX(IPCC!$A$1854:$J$1865,MATCH(clim_moist,IPCC!$A$1854:$A$1865,0),MATCH('Inl. wetlands'!$C153,IPCC!$A$1854:$J$1854,0)))),0)</f>
        <v>0</v>
      </c>
      <c r="K178" s="1161">
        <f>IF('6.Inland wetlands'!CP60="",'6.Inland wetlands'!CO60,'6.Inland wetlands'!CP60)</f>
        <v>0</v>
      </c>
      <c r="L178" s="1543">
        <v>0</v>
      </c>
      <c r="M178" s="1543">
        <f>IF('6.Inland wetlands'!N48=0, 0, IF('6.Inland wetlands'!N60&lt;'6.Inland wetlands'!N48, 'Inl. wetlands'!C178*44/12*'6.Inland wetlands'!N60, 'Inl. wetlands'!C178*44/12*('6.Inland wetlands'!N48)))</f>
        <v>0</v>
      </c>
      <c r="N178" s="4323">
        <f>IF('6.Inland wetlands'!P48=0, 0, IF('6.Inland wetlands'!P60&lt;'6.Inland wetlands'!P48, 'Inl. wetlands'!C178*44/12*'6.Inland wetlands'!P60, 'Inl. wetlands'!C178*44/12*('6.Inland wetlands'!P48)))</f>
        <v>0</v>
      </c>
      <c r="O178" s="1543">
        <v>0</v>
      </c>
      <c r="P178" s="4323">
        <f>IF('6.Inland wetlands'!N48=0, 0, IF('6.Inland wetlands'!N60&lt;'6.Inland wetlands'!N48, 'Inl. wetlands'!E178*methane/1000*'6.Inland wetlands'!N60*(1-'6.Inland wetlands'!X60), 'Inl. wetlands'!E178*methane/1000*('6.Inland wetlands'!N48*(1-'6.Inland wetlands'!X60))))</f>
        <v>0</v>
      </c>
      <c r="Q178" s="4323">
        <f>IF('6.Inland wetlands'!P48=0, 0, IF('6.Inland wetlands'!P60&lt;'6.Inland wetlands'!P48, 'Inl. wetlands'!E178*methane/1000*'6.Inland wetlands'!P60*(1-'6.Inland wetlands'!Y60), 'Inl. wetlands'!E178*methane/1000*('6.Inland wetlands'!P48*(1-'6.Inland wetlands'!Y60))))</f>
        <v>0</v>
      </c>
      <c r="R178" s="1543">
        <v>0</v>
      </c>
      <c r="S178" s="4323">
        <f>IF('6.Inland wetlands'!N48=0, 0, IF('6.Inland wetlands'!N60&lt;'6.Inland wetlands'!N48, 'Inl. wetlands'!G178*44/28*Nitrous/1000*'6.Inland wetlands'!N60, 'Inl. wetlands'!G178*44/28*Nitrous/1000*('6.Inland wetlands'!N48)))</f>
        <v>0</v>
      </c>
      <c r="T178" s="4323">
        <f>IF('6.Inland wetlands'!P48=0, 0, IF('6.Inland wetlands'!P60&lt;'6.Inland wetlands'!P48, 'Inl. wetlands'!G178*44/28*Nitrous/1000*'6.Inland wetlands'!P60, 'Inl. wetlands'!G178*44/28*Nitrous/1000*('6.Inland wetlands'!P48)))</f>
        <v>0</v>
      </c>
      <c r="U178" s="1543">
        <v>0</v>
      </c>
      <c r="V178" s="4323">
        <f>IF('6.Inland wetlands'!N48=0, 0, IF('6.Inland wetlands'!N60&lt;'6.Inland wetlands'!N48, 'Inl. wetlands'!I178*44/12*'6.Inland wetlands'!N60, 'Inl. wetlands'!I178*44/12*('6.Inland wetlands'!N48)))</f>
        <v>0</v>
      </c>
      <c r="W178" s="4323">
        <f>IF('6.Inland wetlands'!P48=0, 0, IF('6.Inland wetlands'!P60&lt;'6.Inland wetlands'!P48, 'Inl. wetlands'!I178*44/12*'6.Inland wetlands'!P60, 'Inl. wetlands'!I178*44/12*('6.Inland wetlands'!P48)))</f>
        <v>0</v>
      </c>
      <c r="X178" s="4323">
        <v>0</v>
      </c>
      <c r="Y178" s="1146">
        <f>IF('6.Inland wetlands'!N48=0, 0, IF('6.Inland wetlands'!N60&lt;'6.Inland wetlands'!N48, 'Inl. wetlands'!K178*methane/1000*'6.Inland wetlands'!N60*('6.Inland wetlands'!X60), 'Inl. wetlands'!K178*methane/1000*('6.Inland wetlands'!N48*('6.Inland wetlands'!X60))))</f>
        <v>0</v>
      </c>
      <c r="Z178" s="1146">
        <f>IF('6.Inland wetlands'!P48=0, 0, IF('6.Inland wetlands'!P60&lt;'6.Inland wetlands'!P48, 'Inl. wetlands'!K178*methane/1000*'6.Inland wetlands'!P60*('6.Inland wetlands'!Y60), 'Inl. wetlands'!K178*methane/1000*('6.Inland wetlands'!P48*('6.Inland wetlands'!Y60))))</f>
        <v>0</v>
      </c>
      <c r="AA178" s="1281"/>
      <c r="AB178" s="3468">
        <f>MIN('Inl. wetlands'!L178,'Inl. wetlands'!M178)*time_tot+ABS('Inl. wetlands'!M178-'Inl. wetlands'!L178)*IF('Inl. wetlands'!M178&gt;'Inl. wetlands'!L178,time_cap+time*(VLOOKUP('6.Inland wetlands'!O60,list!$I$48:$K$50,3,0)),time*(1-(VLOOKUP('6.Inland wetlands'!O60,list!$I$48:$K$50,3,0))))+MIN('Inl. wetlands'!U178,'Inl. wetlands'!V178)*time_tot+ABS('Inl. wetlands'!V178-'Inl. wetlands'!U178)*IF('Inl. wetlands'!V178&gt;'Inl. wetlands'!U178,time_cap+time*(VLOOKUP('6.Inland wetlands'!O60,list!$I$48:$K$50,3,0)),time*(1-(VLOOKUP('6.Inland wetlands'!O60,list!$I$48:$K$50,3,0))))</f>
        <v>0</v>
      </c>
      <c r="AC178" s="3468">
        <f>MIN('Inl. wetlands'!L178,'Inl. wetlands'!N178)*time_tot+ABS('Inl. wetlands'!N178-'Inl. wetlands'!L178)*IF('Inl. wetlands'!N178&gt;'Inl. wetlands'!L178,time_cap+time*(VLOOKUP('6.Inland wetlands'!Q60,list!$I$48:$K$50,3,0)),time*(1-(VLOOKUP('6.Inland wetlands'!Q60,list!$I$48:$K$50,3,0))))+MIN('Inl. wetlands'!U178,'Inl. wetlands'!W178)*time_tot+ABS('Inl. wetlands'!W178-'Inl. wetlands'!U178)*IF('Inl. wetlands'!W178&gt;'Inl. wetlands'!U178,time_cap+time*(VLOOKUP('6.Inland wetlands'!Q60,list!$I$48:$K$50,3,0)),time*(1-(VLOOKUP('6.Inland wetlands'!Q60,list!$I$48:$K$50,3,0))))</f>
        <v>0</v>
      </c>
      <c r="AD178" s="1151">
        <f>MIN('Inl. wetlands'!O178,'Inl. wetlands'!P178)*time_tot+ABS('Inl. wetlands'!P178-'Inl. wetlands'!O178)*IF('Inl. wetlands'!P178&gt;'Inl. wetlands'!O178,time_cap+time*(VLOOKUP('6.Inland wetlands'!O60,list!$I$48:$K$50,3,0)),time*(1-(VLOOKUP('6.Inland wetlands'!O60,list!$I$48:$K$50,3,0))))+MIN('Inl. wetlands'!X178,'Inl. wetlands'!Y178)*time_tot+ABS('Inl. wetlands'!Y178-'Inl. wetlands'!X178)*IF('Inl. wetlands'!Y178&gt;'Inl. wetlands'!X178,time_cap+time*(VLOOKUP('6.Inland wetlands'!O60,list!$I$48:$K$50,3,0)),time*(1-(VLOOKUP('6.Inland wetlands'!O60,list!$I$48:$K$50,3,0))))</f>
        <v>0</v>
      </c>
      <c r="AE178" s="1151">
        <f>MIN('Inl. wetlands'!O178,'Inl. wetlands'!Q178)*time_tot+ABS('Inl. wetlands'!Q178-'Inl. wetlands'!O178)*IF('Inl. wetlands'!Q178&gt;'Inl. wetlands'!O178,time_cap+time*(VLOOKUP('6.Inland wetlands'!Q60,list!$I$48:$K$50,3,0)),time*(1-(VLOOKUP('6.Inland wetlands'!Q60,list!$I$48:$K$50,3,0))))+MIN('Inl. wetlands'!X178,'Inl. wetlands'!Z178)*time_tot+ABS('Inl. wetlands'!Z178-'Inl. wetlands'!X178)*IF('Inl. wetlands'!Z178&gt;'Inl. wetlands'!X178,time_cap+time*(VLOOKUP('6.Inland wetlands'!Q60,list!$I$48:$K$50,3,0)),time*(1-(VLOOKUP('6.Inland wetlands'!Q60,list!$I$48:$K$50,3,0))))</f>
        <v>0</v>
      </c>
      <c r="AF178" s="1151">
        <f>MIN('Inl. wetlands'!R178,'Inl. wetlands'!S178)*time_tot+ABS('Inl. wetlands'!S178-'Inl. wetlands'!R178)*IF('Inl. wetlands'!S178&gt;'Inl. wetlands'!R178,time_cap+time*(VLOOKUP('6.Inland wetlands'!O60,list!$I$48:$K$50,3,0)),time*(1-(VLOOKUP('6.Inland wetlands'!O60,list!$I$48:$K$50,3,0))))</f>
        <v>0</v>
      </c>
      <c r="AG178" s="1151">
        <f>MIN('Inl. wetlands'!R178,'Inl. wetlands'!T178)*time_tot+ABS('Inl. wetlands'!T178-'Inl. wetlands'!R178)*IF('Inl. wetlands'!T178&gt;'Inl. wetlands'!R178,time_cap+time*(VLOOKUP('6.Inland wetlands'!Q60,list!$I$48:$K$50,3,0)),time*(1-(VLOOKUP('6.Inland wetlands'!Q60,list!$I$48:$K$50,3,0))))</f>
        <v>0</v>
      </c>
    </row>
    <row r="179" spans="1:59" x14ac:dyDescent="0.15">
      <c r="A179" s="1467" t="s">
        <v>1163</v>
      </c>
      <c r="B179" s="1044">
        <f>IFERROR(IF('Inl. wetlands'!$J$145=list!$J$210,INDEX(IPCC!$A$1762:$J$1773,MATCH(clim_moist,IPCC!$A$1781:$A$1792,0),MATCH('Inl. wetlands'!$C154,IPCC!$A$1781:$J$1781,0)),IF('Inl. wetlands'!$J$145=list!$J$211,INDEX(IPCC!$A$1781:$J$1792,MATCH(clim_moist,IPCC!$A$1781:$A$1792,0),MATCH('Inl. wetlands'!$C154,IPCC!$A$1781:$J$1781,0)))),0)</f>
        <v>0</v>
      </c>
      <c r="C179" s="1162">
        <f>IF('6.Inland wetlands'!CG61="",'6.Inland wetlands'!CF61,'6.Inland wetlands'!CG61)</f>
        <v>0</v>
      </c>
      <c r="D179" s="1044">
        <f>IFERROR(IF('Inl. wetlands'!$J$145=list!$J$210,INDEX(IPCC!$A$1818:$J$1829,MATCH(clim_moist,IPCC!$A$1818:$A$1829,0),MATCH('Inl. wetlands'!$C154,IPCC!$A$1818:$J$1818,0)),IF('Inl. wetlands'!$J$145=list!$J$211,INDEX(IPCC!$A$1836:$J$1847,MATCH(clim_moist,IPCC!$A$1836:$A$1847,0),MATCH('Inl. wetlands'!$C154,IPCC!$A$1836:$J$1836,0)))),0)</f>
        <v>0</v>
      </c>
      <c r="E179" s="1162">
        <f>IF('6.Inland wetlands'!CI61="",'6.Inland wetlands'!CH61,'6.Inland wetlands'!CI61)</f>
        <v>0</v>
      </c>
      <c r="F179" s="1044">
        <f>IFERROR(IF('Inl. wetlands'!$J$145=list!$J$210,INDEX(IPCC!$A$1872:$J$1883,MATCH(clim_moist,IPCC!$A$1872:$A$1883,0),MATCH('Inl. wetlands'!$C154,IPCC!$A$1872:$J$1872,0)),IF('Inl. wetlands'!$J$145=list!$J$211,INDEX(IPCC!$A$1890:$J$1901,MATCH(clim_moist,IPCC!$A$1890:$A$1901,0),MATCH('Inl. wetlands'!$C154,IPCC!$A$1890:$J$1890,0)))),0)</f>
        <v>0</v>
      </c>
      <c r="G179" s="1162">
        <f>IF('6.Inland wetlands'!CK61="",'6.Inland wetlands'!CJ61,'6.Inland wetlands'!CK61)</f>
        <v>0</v>
      </c>
      <c r="H179" s="1044">
        <f>IFERROR(IF('Inl. wetlands'!$J$145=list!$J$210,INDEX(IPCC!$A$1800:$J$1811,MATCH(clim_moist,IPCC!$A$1800:$A$1811,0),MATCH('Inl. wetlands'!$C154,IPCC!$A$1800:$J$1800,0)),IF('Inl. wetlands'!$J$145=list!$J$211,INDEX(IPCC!$A$1800:$J$1811,MATCH(clim_moist,IPCC!$A$1800:$A$1811,0),MATCH('Inl. wetlands'!$C154,IPCC!$A$1800:$J$1800,0)))),0)</f>
        <v>0</v>
      </c>
      <c r="I179" s="1162">
        <f>IF('6.Inland wetlands'!CN61="",'6.Inland wetlands'!CM61,'6.Inland wetlands'!CN61)</f>
        <v>0</v>
      </c>
      <c r="J179" s="1111">
        <f>IFERROR(IF('Inl. wetlands'!$J$145=list!$J$210,INDEX(IPCC!$A$1854:$J$1865,MATCH(clim_moist,IPCC!$A$1854:$A$1865,0),MATCH('Inl. wetlands'!$C154,IPCC!$A$1854:$J$1854,0)),IF('Inl. wetlands'!$J$145=list!$J$211,INDEX(IPCC!$A$1854:$J$1865,MATCH(clim_moist,IPCC!$A$1854:$A$1865,0),MATCH('Inl. wetlands'!$C154,IPCC!$A$1854:$J$1854,0)))),0)</f>
        <v>0</v>
      </c>
      <c r="K179" s="1161">
        <f>IF('6.Inland wetlands'!CP61="",'6.Inland wetlands'!CO61,'6.Inland wetlands'!CP61)</f>
        <v>0</v>
      </c>
      <c r="L179" s="1543">
        <v>0</v>
      </c>
      <c r="M179" s="1543">
        <f>IF('6.Inland wetlands'!N49=0, 0, IF('6.Inland wetlands'!N61&lt;'6.Inland wetlands'!N49, 'Inl. wetlands'!C179*44/12*'6.Inland wetlands'!N61, 'Inl. wetlands'!C179*44/12*('6.Inland wetlands'!N49)))</f>
        <v>0</v>
      </c>
      <c r="N179" s="4323">
        <f>IF('6.Inland wetlands'!P49=0, 0, IF('6.Inland wetlands'!P61&lt;'6.Inland wetlands'!P49, 'Inl. wetlands'!C179*44/12*'6.Inland wetlands'!P61, 'Inl. wetlands'!C179*44/12*('6.Inland wetlands'!P49)))</f>
        <v>0</v>
      </c>
      <c r="O179" s="1543">
        <v>0</v>
      </c>
      <c r="P179" s="4323">
        <f>IF('6.Inland wetlands'!N49=0, 0, IF('6.Inland wetlands'!N61&lt;'6.Inland wetlands'!N49, 'Inl. wetlands'!E179*methane/1000*'6.Inland wetlands'!N61*(1-'6.Inland wetlands'!X61), 'Inl. wetlands'!E179*methane/1000*('6.Inland wetlands'!N49*(1-'6.Inland wetlands'!X61))))</f>
        <v>0</v>
      </c>
      <c r="Q179" s="4323">
        <f>IF('6.Inland wetlands'!P49=0, 0, IF('6.Inland wetlands'!P61&lt;'6.Inland wetlands'!P49, 'Inl. wetlands'!E179*methane/1000*'6.Inland wetlands'!P61*(1-'6.Inland wetlands'!Y61), 'Inl. wetlands'!E179*methane/1000*('6.Inland wetlands'!P49*(1-'6.Inland wetlands'!Y61))))</f>
        <v>0</v>
      </c>
      <c r="R179" s="1543">
        <v>0</v>
      </c>
      <c r="S179" s="4323">
        <f>IF('6.Inland wetlands'!N49=0, 0, IF('6.Inland wetlands'!N61&lt;'6.Inland wetlands'!N49, 'Inl. wetlands'!G179*44/28*Nitrous/1000*'6.Inland wetlands'!N61, 'Inl. wetlands'!G179*44/28*Nitrous/1000*('6.Inland wetlands'!N49)))</f>
        <v>0</v>
      </c>
      <c r="T179" s="4323">
        <f>IF('6.Inland wetlands'!P49=0, 0, IF('6.Inland wetlands'!P61&lt;'6.Inland wetlands'!P49, 'Inl. wetlands'!G179*44/28*Nitrous/1000*'6.Inland wetlands'!P61, 'Inl. wetlands'!G179*44/28*Nitrous/1000*('6.Inland wetlands'!P49)))</f>
        <v>0</v>
      </c>
      <c r="U179" s="1543">
        <v>0</v>
      </c>
      <c r="V179" s="4323">
        <f>IF('6.Inland wetlands'!N49=0, 0, IF('6.Inland wetlands'!N61&lt;'6.Inland wetlands'!N49, 'Inl. wetlands'!I179*44/12*'6.Inland wetlands'!N61, 'Inl. wetlands'!I179*44/12*('6.Inland wetlands'!N49)))</f>
        <v>0</v>
      </c>
      <c r="W179" s="4323">
        <f>IF('6.Inland wetlands'!P49=0, 0, IF('6.Inland wetlands'!P61&lt;'6.Inland wetlands'!P49, 'Inl. wetlands'!I179*44/12*'6.Inland wetlands'!P61, 'Inl. wetlands'!I179*44/12*('6.Inland wetlands'!P49)))</f>
        <v>0</v>
      </c>
      <c r="X179" s="4323">
        <v>0</v>
      </c>
      <c r="Y179" s="1146">
        <f>IF('6.Inland wetlands'!N49=0, 0, IF('6.Inland wetlands'!N61&lt;'6.Inland wetlands'!N49, 'Inl. wetlands'!K179*methane/1000*'6.Inland wetlands'!N61*('6.Inland wetlands'!X61), 'Inl. wetlands'!K179*methane/1000*('6.Inland wetlands'!N49*('6.Inland wetlands'!X61))))</f>
        <v>0</v>
      </c>
      <c r="Z179" s="1146">
        <f>IF('6.Inland wetlands'!P49=0, 0, IF('6.Inland wetlands'!P61&lt;'6.Inland wetlands'!P49, 'Inl. wetlands'!K179*methane/1000*'6.Inland wetlands'!P61*('6.Inland wetlands'!Y61), 'Inl. wetlands'!K179*methane/1000*('6.Inland wetlands'!P49*('6.Inland wetlands'!Y61))))</f>
        <v>0</v>
      </c>
      <c r="AA179" s="1281"/>
      <c r="AB179" s="3468">
        <f>MIN('Inl. wetlands'!L179,'Inl. wetlands'!M179)*time_tot+ABS('Inl. wetlands'!M179-'Inl. wetlands'!L179)*IF('Inl. wetlands'!M179&gt;'Inl. wetlands'!L179,time_cap+time*(VLOOKUP('6.Inland wetlands'!O61,list!$I$48:$K$50,3,0)),time*(1-(VLOOKUP('6.Inland wetlands'!O61,list!$I$48:$K$50,3,0))))+MIN('Inl. wetlands'!U179,'Inl. wetlands'!V179)*time_tot+ABS('Inl. wetlands'!V179-'Inl. wetlands'!U179)*IF('Inl. wetlands'!V179&gt;'Inl. wetlands'!U179,time_cap+time*(VLOOKUP('6.Inland wetlands'!O61,list!$I$48:$K$50,3,0)),time*(1-(VLOOKUP('6.Inland wetlands'!O61,list!$I$48:$K$50,3,0))))</f>
        <v>0</v>
      </c>
      <c r="AC179" s="3468">
        <f>MIN('Inl. wetlands'!L179,'Inl. wetlands'!N179)*time_tot+ABS('Inl. wetlands'!N179-'Inl. wetlands'!L179)*IF('Inl. wetlands'!N179&gt;'Inl. wetlands'!L179,time_cap+time*(VLOOKUP('6.Inland wetlands'!Q61,list!$I$48:$K$50,3,0)),time*(1-(VLOOKUP('6.Inland wetlands'!Q61,list!$I$48:$K$50,3,0))))+MIN('Inl. wetlands'!U179,'Inl. wetlands'!W179)*time_tot+ABS('Inl. wetlands'!W179-'Inl. wetlands'!U179)*IF('Inl. wetlands'!W179&gt;'Inl. wetlands'!U179,time_cap+time*(VLOOKUP('6.Inland wetlands'!Q61,list!$I$48:$K$50,3,0)),time*(1-(VLOOKUP('6.Inland wetlands'!Q61,list!$I$48:$K$50,3,0))))</f>
        <v>0</v>
      </c>
      <c r="AD179" s="1151">
        <f>MIN('Inl. wetlands'!O179,'Inl. wetlands'!P179)*time_tot+ABS('Inl. wetlands'!P179-'Inl. wetlands'!O179)*IF('Inl. wetlands'!P179&gt;'Inl. wetlands'!O179,time_cap+time*(VLOOKUP('6.Inland wetlands'!O61,list!$I$48:$K$50,3,0)),time*(1-(VLOOKUP('6.Inland wetlands'!O61,list!$I$48:$K$50,3,0))))+MIN('Inl. wetlands'!X179,'Inl. wetlands'!Y179)*time_tot+ABS('Inl. wetlands'!Y179-'Inl. wetlands'!X179)*IF('Inl. wetlands'!Y179&gt;'Inl. wetlands'!X179,time_cap+time*(VLOOKUP('6.Inland wetlands'!O61,list!$I$48:$K$50,3,0)),time*(1-(VLOOKUP('6.Inland wetlands'!O61,list!$I$48:$K$50,3,0))))</f>
        <v>0</v>
      </c>
      <c r="AE179" s="1151">
        <f>MIN('Inl. wetlands'!O179,'Inl. wetlands'!Q179)*time_tot+ABS('Inl. wetlands'!Q179-'Inl. wetlands'!O179)*IF('Inl. wetlands'!Q179&gt;'Inl. wetlands'!O179,time_cap+time*(VLOOKUP('6.Inland wetlands'!Q61,list!$I$48:$K$50,3,0)),time*(1-(VLOOKUP('6.Inland wetlands'!Q61,list!$I$48:$K$50,3,0))))+MIN('Inl. wetlands'!X179,'Inl. wetlands'!Z179)*time_tot+ABS('Inl. wetlands'!Z179-'Inl. wetlands'!X179)*IF('Inl. wetlands'!Z179&gt;'Inl. wetlands'!X179,time_cap+time*(VLOOKUP('6.Inland wetlands'!Q61,list!$I$48:$K$50,3,0)),time*(1-(VLOOKUP('6.Inland wetlands'!Q61,list!$I$48:$K$50,3,0))))</f>
        <v>0</v>
      </c>
      <c r="AF179" s="1151">
        <f>MIN('Inl. wetlands'!R179,'Inl. wetlands'!S179)*time_tot+ABS('Inl. wetlands'!S179-'Inl. wetlands'!R179)*IF('Inl. wetlands'!S179&gt;'Inl. wetlands'!R179,time_cap+time*(VLOOKUP('6.Inland wetlands'!O61,list!$I$48:$K$50,3,0)),time*(1-(VLOOKUP('6.Inland wetlands'!O61,list!$I$48:$K$50,3,0))))</f>
        <v>0</v>
      </c>
      <c r="AG179" s="1151">
        <f>MIN('Inl. wetlands'!R179,'Inl. wetlands'!T179)*time_tot+ABS('Inl. wetlands'!T179-'Inl. wetlands'!R179)*IF('Inl. wetlands'!T179&gt;'Inl. wetlands'!R179,time_cap+time*(VLOOKUP('6.Inland wetlands'!Q61,list!$I$48:$K$50,3,0)),time*(1-(VLOOKUP('6.Inland wetlands'!Q61,list!$I$48:$K$50,3,0))))</f>
        <v>0</v>
      </c>
    </row>
    <row r="180" spans="1:59" x14ac:dyDescent="0.15">
      <c r="A180" s="1467" t="s">
        <v>1164</v>
      </c>
      <c r="B180" s="1044">
        <f>IFERROR(IF('Inl. wetlands'!$J$145=list!$J$210,INDEX(IPCC!$A$1762:$J$1773,MATCH(clim_moist,IPCC!$A$1781:$A$1792,0),MATCH('Inl. wetlands'!$C155,IPCC!$A$1781:$J$1781,0)),IF('Inl. wetlands'!$J$145=list!$J$211,INDEX(IPCC!$A$1781:$J$1792,MATCH(clim_moist,IPCC!$A$1781:$A$1792,0),MATCH('Inl. wetlands'!$C155,IPCC!$A$1781:$J$1781,0)))),0)</f>
        <v>0</v>
      </c>
      <c r="C180" s="1162">
        <f>IF('6.Inland wetlands'!CG62="",'6.Inland wetlands'!CF62,'6.Inland wetlands'!CG62)</f>
        <v>0</v>
      </c>
      <c r="D180" s="1044">
        <f>IFERROR(IF('Inl. wetlands'!$J$145=list!$J$210,INDEX(IPCC!$A$1818:$J$1829,MATCH(clim_moist,IPCC!$A$1818:$A$1829,0),MATCH('Inl. wetlands'!$C155,IPCC!$A$1818:$J$1818,0)),IF('Inl. wetlands'!$J$145=list!$J$211,INDEX(IPCC!$A$1836:$J$1847,MATCH(clim_moist,IPCC!$A$1836:$A$1847,0),MATCH('Inl. wetlands'!$C155,IPCC!$A$1836:$J$1836,0)))),0)</f>
        <v>0</v>
      </c>
      <c r="E180" s="1162">
        <f>IF('6.Inland wetlands'!CI62="",'6.Inland wetlands'!CH62,'6.Inland wetlands'!CI62)</f>
        <v>0</v>
      </c>
      <c r="F180" s="1044">
        <f>IFERROR(IF('Inl. wetlands'!$J$145=list!$J$210,INDEX(IPCC!$A$1872:$J$1883,MATCH(clim_moist,IPCC!$A$1872:$A$1883,0),MATCH('Inl. wetlands'!$C155,IPCC!$A$1872:$J$1872,0)),IF('Inl. wetlands'!$J$145=list!$J$211,INDEX(IPCC!$A$1890:$J$1901,MATCH(clim_moist,IPCC!$A$1890:$A$1901,0),MATCH('Inl. wetlands'!$C155,IPCC!$A$1890:$J$1890,0)))),0)</f>
        <v>0</v>
      </c>
      <c r="G180" s="1162">
        <f>IF('6.Inland wetlands'!CK62="",'6.Inland wetlands'!CJ62,'6.Inland wetlands'!CK62)</f>
        <v>0</v>
      </c>
      <c r="H180" s="1044">
        <f>IFERROR(IF('Inl. wetlands'!$J$145=list!$J$210,INDEX(IPCC!$A$1800:$J$1811,MATCH(clim_moist,IPCC!$A$1800:$A$1811,0),MATCH('Inl. wetlands'!$C155,IPCC!$A$1800:$J$1800,0)),IF('Inl. wetlands'!$J$145=list!$J$211,INDEX(IPCC!$A$1800:$J$1811,MATCH(clim_moist,IPCC!$A$1800:$A$1811,0),MATCH('Inl. wetlands'!$C155,IPCC!$A$1800:$J$1800,0)))),0)</f>
        <v>0</v>
      </c>
      <c r="I180" s="1162">
        <f>IF('6.Inland wetlands'!CN62="",'6.Inland wetlands'!CM62,'6.Inland wetlands'!CN62)</f>
        <v>0</v>
      </c>
      <c r="J180" s="1111">
        <f>IFERROR(IF('Inl. wetlands'!$J$145=list!$J$210,INDEX(IPCC!$A$1854:$J$1865,MATCH(clim_moist,IPCC!$A$1854:$A$1865,0),MATCH('Inl. wetlands'!$C155,IPCC!$A$1854:$J$1854,0)),IF('Inl. wetlands'!$J$145=list!$J$211,INDEX(IPCC!$A$1854:$J$1865,MATCH(clim_moist,IPCC!$A$1854:$A$1865,0),MATCH('Inl. wetlands'!$C155,IPCC!$A$1854:$J$1854,0)))),0)</f>
        <v>0</v>
      </c>
      <c r="K180" s="1161">
        <f>IF('6.Inland wetlands'!CP62="",'6.Inland wetlands'!CO62,'6.Inland wetlands'!CP62)</f>
        <v>0</v>
      </c>
      <c r="L180" s="1543">
        <v>0</v>
      </c>
      <c r="M180" s="1543">
        <f>IF('6.Inland wetlands'!N50=0, 0, IF('6.Inland wetlands'!N62&lt;'6.Inland wetlands'!N50, 'Inl. wetlands'!C180*44/12*'6.Inland wetlands'!N62, 'Inl. wetlands'!C180*44/12*('6.Inland wetlands'!N50)))</f>
        <v>0</v>
      </c>
      <c r="N180" s="4323">
        <f>IF('6.Inland wetlands'!P50=0, 0, IF('6.Inland wetlands'!P62&lt;'6.Inland wetlands'!P50, 'Inl. wetlands'!C180*44/12*'6.Inland wetlands'!P62, 'Inl. wetlands'!C180*44/12*('6.Inland wetlands'!P50)))</f>
        <v>0</v>
      </c>
      <c r="O180" s="1543">
        <v>0</v>
      </c>
      <c r="P180" s="4323">
        <f>IF('6.Inland wetlands'!N50=0, 0, IF('6.Inland wetlands'!N62&lt;'6.Inland wetlands'!N50, 'Inl. wetlands'!E180*methane/1000*'6.Inland wetlands'!N62*(1-'6.Inland wetlands'!X62), 'Inl. wetlands'!E180*methane/1000*('6.Inland wetlands'!N50*(1-'6.Inland wetlands'!X62))))</f>
        <v>0</v>
      </c>
      <c r="Q180" s="4323">
        <f>IF('6.Inland wetlands'!P50=0, 0, IF('6.Inland wetlands'!P62&lt;'6.Inland wetlands'!P50, 'Inl. wetlands'!E180*methane/1000*'6.Inland wetlands'!P62*(1-'6.Inland wetlands'!Y62), 'Inl. wetlands'!E180*methane/1000*('6.Inland wetlands'!P50*(1-'6.Inland wetlands'!Y62))))</f>
        <v>0</v>
      </c>
      <c r="R180" s="1543">
        <v>0</v>
      </c>
      <c r="S180" s="4323">
        <f>IF('6.Inland wetlands'!N50=0, 0, IF('6.Inland wetlands'!N62&lt;'6.Inland wetlands'!N50, 'Inl. wetlands'!G180*44/28*Nitrous/1000*'6.Inland wetlands'!N62, 'Inl. wetlands'!G180*44/28*Nitrous/1000*('6.Inland wetlands'!N50)))</f>
        <v>0</v>
      </c>
      <c r="T180" s="4323">
        <f>IF('6.Inland wetlands'!P50=0, 0, IF('6.Inland wetlands'!P62&lt;'6.Inland wetlands'!P50, 'Inl. wetlands'!G180*44/28*Nitrous/1000*'6.Inland wetlands'!P62, 'Inl. wetlands'!G180*44/28*Nitrous/1000*('6.Inland wetlands'!P50)))</f>
        <v>0</v>
      </c>
      <c r="U180" s="1543">
        <v>0</v>
      </c>
      <c r="V180" s="4323">
        <f>IF('6.Inland wetlands'!N50=0, 0, IF('6.Inland wetlands'!N62&lt;'6.Inland wetlands'!N50, 'Inl. wetlands'!I180*44/12*'6.Inland wetlands'!N62, 'Inl. wetlands'!I180*44/12*('6.Inland wetlands'!N50)))</f>
        <v>0</v>
      </c>
      <c r="W180" s="4323">
        <f>IF('6.Inland wetlands'!P50=0, 0, IF('6.Inland wetlands'!P62&lt;'6.Inland wetlands'!P50, 'Inl. wetlands'!I180*44/12*'6.Inland wetlands'!P62, 'Inl. wetlands'!I180*44/12*('6.Inland wetlands'!P50)))</f>
        <v>0</v>
      </c>
      <c r="X180" s="4323">
        <v>0</v>
      </c>
      <c r="Y180" s="1146">
        <f>IF('6.Inland wetlands'!N50=0, 0, IF('6.Inland wetlands'!N62&lt;'6.Inland wetlands'!N50, 'Inl. wetlands'!K180*methane/1000*'6.Inland wetlands'!N62*('6.Inland wetlands'!X62), 'Inl. wetlands'!K180*methane/1000*('6.Inland wetlands'!N50*('6.Inland wetlands'!X62))))</f>
        <v>0</v>
      </c>
      <c r="Z180" s="1146">
        <f>IF('6.Inland wetlands'!P50=0, 0, IF('6.Inland wetlands'!P62&lt;'6.Inland wetlands'!P50, 'Inl. wetlands'!K180*methane/1000*'6.Inland wetlands'!P62*('6.Inland wetlands'!Y62), 'Inl. wetlands'!K180*methane/1000*('6.Inland wetlands'!P50*('6.Inland wetlands'!Y62))))</f>
        <v>0</v>
      </c>
      <c r="AA180" s="1281"/>
      <c r="AB180" s="3468">
        <f>MIN('Inl. wetlands'!L180,'Inl. wetlands'!M180)*time_tot+ABS('Inl. wetlands'!M180-'Inl. wetlands'!L180)*IF('Inl. wetlands'!M180&gt;'Inl. wetlands'!L180,time_cap+time*(VLOOKUP('6.Inland wetlands'!O62,list!$I$48:$K$50,3,0)),time*(1-(VLOOKUP('6.Inland wetlands'!O62,list!$I$48:$K$50,3,0))))+MIN('Inl. wetlands'!U180,'Inl. wetlands'!V180)*time_tot+ABS('Inl. wetlands'!V180-'Inl. wetlands'!U180)*IF('Inl. wetlands'!V180&gt;'Inl. wetlands'!U180,time_cap+time*(VLOOKUP('6.Inland wetlands'!O62,list!$I$48:$K$50,3,0)),time*(1-(VLOOKUP('6.Inland wetlands'!O62,list!$I$48:$K$50,3,0))))</f>
        <v>0</v>
      </c>
      <c r="AC180" s="3468">
        <f>MIN('Inl. wetlands'!L180,'Inl. wetlands'!N180)*time_tot+ABS('Inl. wetlands'!N180-'Inl. wetlands'!L180)*IF('Inl. wetlands'!N180&gt;'Inl. wetlands'!L180,time_cap+time*(VLOOKUP('6.Inland wetlands'!Q62,list!$I$48:$K$50,3,0)),time*(1-(VLOOKUP('6.Inland wetlands'!Q62,list!$I$48:$K$50,3,0))))+MIN('Inl. wetlands'!U180,'Inl. wetlands'!W180)*time_tot+ABS('Inl. wetlands'!W180-'Inl. wetlands'!U180)*IF('Inl. wetlands'!W180&gt;'Inl. wetlands'!U180,time_cap+time*(VLOOKUP('6.Inland wetlands'!Q62,list!$I$48:$K$50,3,0)),time*(1-(VLOOKUP('6.Inland wetlands'!Q62,list!$I$48:$K$50,3,0))))</f>
        <v>0</v>
      </c>
      <c r="AD180" s="1151">
        <f>MIN('Inl. wetlands'!O180,'Inl. wetlands'!P180)*time_tot+ABS('Inl. wetlands'!P180-'Inl. wetlands'!O180)*IF('Inl. wetlands'!P180&gt;'Inl. wetlands'!O180,time_cap+time*(VLOOKUP('6.Inland wetlands'!O62,list!$I$48:$K$50,3,0)),time*(1-(VLOOKUP('6.Inland wetlands'!O62,list!$I$48:$K$50,3,0))))+MIN('Inl. wetlands'!X180,'Inl. wetlands'!Y180)*time_tot+ABS('Inl. wetlands'!Y180-'Inl. wetlands'!X180)*IF('Inl. wetlands'!Y180&gt;'Inl. wetlands'!X180,time_cap+time*(VLOOKUP('6.Inland wetlands'!O62,list!$I$48:$K$50,3,0)),time*(1-(VLOOKUP('6.Inland wetlands'!O62,list!$I$48:$K$50,3,0))))</f>
        <v>0</v>
      </c>
      <c r="AE180" s="1151">
        <f>MIN('Inl. wetlands'!O180,'Inl. wetlands'!Q180)*time_tot+ABS('Inl. wetlands'!Q180-'Inl. wetlands'!O180)*IF('Inl. wetlands'!Q180&gt;'Inl. wetlands'!O180,time_cap+time*(VLOOKUP('6.Inland wetlands'!Q62,list!$I$48:$K$50,3,0)),time*(1-(VLOOKUP('6.Inland wetlands'!Q62,list!$I$48:$K$50,3,0))))+MIN('Inl. wetlands'!X180,'Inl. wetlands'!Z180)*time_tot+ABS('Inl. wetlands'!Z180-'Inl. wetlands'!X180)*IF('Inl. wetlands'!Z180&gt;'Inl. wetlands'!X180,time_cap+time*(VLOOKUP('6.Inland wetlands'!Q62,list!$I$48:$K$50,3,0)),time*(1-(VLOOKUP('6.Inland wetlands'!Q62,list!$I$48:$K$50,3,0))))</f>
        <v>0</v>
      </c>
      <c r="AF180" s="1151">
        <f>MIN('Inl. wetlands'!R180,'Inl. wetlands'!S180)*time_tot+ABS('Inl. wetlands'!S180-'Inl. wetlands'!R180)*IF('Inl. wetlands'!S180&gt;'Inl. wetlands'!R180,time_cap+time*(VLOOKUP('6.Inland wetlands'!O62,list!$I$48:$K$50,3,0)),time*(1-(VLOOKUP('6.Inland wetlands'!O62,list!$I$48:$K$50,3,0))))</f>
        <v>0</v>
      </c>
      <c r="AG180" s="1151">
        <f>MIN('Inl. wetlands'!R180,'Inl. wetlands'!T180)*time_tot+ABS('Inl. wetlands'!T180-'Inl. wetlands'!R180)*IF('Inl. wetlands'!T180&gt;'Inl. wetlands'!R180,time_cap+time*(VLOOKUP('6.Inland wetlands'!Q62,list!$I$48:$K$50,3,0)),time*(1-(VLOOKUP('6.Inland wetlands'!Q62,list!$I$48:$K$50,3,0))))</f>
        <v>0</v>
      </c>
    </row>
    <row r="181" spans="1:59" x14ac:dyDescent="0.15">
      <c r="A181" s="1467" t="s">
        <v>1165</v>
      </c>
      <c r="B181" s="1044">
        <f>IFERROR(IF('Inl. wetlands'!$J$145=list!$J$210,INDEX(IPCC!$A$1762:$J$1773,MATCH(clim_moist,IPCC!$A$1781:$A$1792,0),MATCH('Inl. wetlands'!$C156,IPCC!$A$1781:$J$1781,0)),IF('Inl. wetlands'!$J$145=list!$J$211,INDEX(IPCC!$A$1781:$J$1792,MATCH(clim_moist,IPCC!$A$1781:$A$1792,0),MATCH('Inl. wetlands'!$C156,IPCC!$A$1781:$J$1781,0)))),0)</f>
        <v>0</v>
      </c>
      <c r="C181" s="1162">
        <f>IF('6.Inland wetlands'!CG63="",'6.Inland wetlands'!CF63,'6.Inland wetlands'!CG63)</f>
        <v>0</v>
      </c>
      <c r="D181" s="1044">
        <f>IFERROR(IF('Inl. wetlands'!$J$145=list!$J$210,INDEX(IPCC!$A$1818:$J$1829,MATCH(clim_moist,IPCC!$A$1818:$A$1829,0),MATCH('Inl. wetlands'!$C156,IPCC!$A$1818:$J$1818,0)),IF('Inl. wetlands'!$J$145=list!$J$211,INDEX(IPCC!$A$1836:$J$1847,MATCH(clim_moist,IPCC!$A$1836:$A$1847,0),MATCH('Inl. wetlands'!$C156,IPCC!$A$1836:$J$1836,0)))),0)</f>
        <v>0</v>
      </c>
      <c r="E181" s="1162">
        <f>IF('6.Inland wetlands'!CI63="",'6.Inland wetlands'!CH63,'6.Inland wetlands'!CI63)</f>
        <v>0</v>
      </c>
      <c r="F181" s="1044">
        <f>IFERROR(IF('Inl. wetlands'!$J$145=list!$J$210,INDEX(IPCC!$A$1872:$J$1883,MATCH(clim_moist,IPCC!$A$1872:$A$1883,0),MATCH('Inl. wetlands'!$C156,IPCC!$A$1872:$J$1872,0)),IF('Inl. wetlands'!$J$145=list!$J$211,INDEX(IPCC!$A$1890:$J$1901,MATCH(clim_moist,IPCC!$A$1890:$A$1901,0),MATCH('Inl. wetlands'!$C156,IPCC!$A$1890:$J$1890,0)))),0)</f>
        <v>0</v>
      </c>
      <c r="G181" s="1162">
        <f>IF('6.Inland wetlands'!CK63="",'6.Inland wetlands'!CJ63,'6.Inland wetlands'!CK63)</f>
        <v>0</v>
      </c>
      <c r="H181" s="1044">
        <f>IFERROR(IF('Inl. wetlands'!$J$145=list!$J$210,INDEX(IPCC!$A$1800:$J$1811,MATCH(clim_moist,IPCC!$A$1800:$A$1811,0),MATCH('Inl. wetlands'!$C156,IPCC!$A$1800:$J$1800,0)),IF('Inl. wetlands'!$J$145=list!$J$211,INDEX(IPCC!$A$1800:$J$1811,MATCH(clim_moist,IPCC!$A$1800:$A$1811,0),MATCH('Inl. wetlands'!$C156,IPCC!$A$1800:$J$1800,0)))),0)</f>
        <v>0</v>
      </c>
      <c r="I181" s="1162">
        <f>IF('6.Inland wetlands'!CN63="",'6.Inland wetlands'!CM63,'6.Inland wetlands'!CN63)</f>
        <v>0</v>
      </c>
      <c r="J181" s="1111">
        <f>IFERROR(IF('Inl. wetlands'!$J$145=list!$J$210,INDEX(IPCC!$A$1854:$J$1865,MATCH(clim_moist,IPCC!$A$1854:$A$1865,0),MATCH('Inl. wetlands'!$C156,IPCC!$A$1854:$J$1854,0)),IF('Inl. wetlands'!$J$145=list!$J$211,INDEX(IPCC!$A$1854:$J$1865,MATCH(clim_moist,IPCC!$A$1854:$A$1865,0),MATCH('Inl. wetlands'!$C156,IPCC!$A$1854:$J$1854,0)))),0)</f>
        <v>0</v>
      </c>
      <c r="K181" s="1161">
        <f>IF('6.Inland wetlands'!CP63="",'6.Inland wetlands'!CO63,'6.Inland wetlands'!CP63)</f>
        <v>0</v>
      </c>
      <c r="L181" s="1543">
        <v>0</v>
      </c>
      <c r="M181" s="1543">
        <f>IF('6.Inland wetlands'!N51=0, 0, IF('6.Inland wetlands'!N63&lt;'6.Inland wetlands'!N51, 'Inl. wetlands'!C181*44/12*'6.Inland wetlands'!N63, 'Inl. wetlands'!C181*44/12*('6.Inland wetlands'!N51)))</f>
        <v>0</v>
      </c>
      <c r="N181" s="4323">
        <f>IF('6.Inland wetlands'!P51=0, 0, IF('6.Inland wetlands'!P63&lt;'6.Inland wetlands'!P51, 'Inl. wetlands'!C181*44/12*'6.Inland wetlands'!P63, 'Inl. wetlands'!C181*44/12*('6.Inland wetlands'!P51)))</f>
        <v>0</v>
      </c>
      <c r="O181" s="1543">
        <v>0</v>
      </c>
      <c r="P181" s="4323">
        <f>IF('6.Inland wetlands'!N51=0, 0, IF('6.Inland wetlands'!N63&lt;'6.Inland wetlands'!N51, 'Inl. wetlands'!E181*methane/1000*'6.Inland wetlands'!N63*(1-'6.Inland wetlands'!X63), 'Inl. wetlands'!E181*methane/1000*('6.Inland wetlands'!N51*(1-'6.Inland wetlands'!X63))))</f>
        <v>0</v>
      </c>
      <c r="Q181" s="4323">
        <f>IF('6.Inland wetlands'!P51=0, 0, IF('6.Inland wetlands'!P63&lt;'6.Inland wetlands'!P51, 'Inl. wetlands'!E181*methane/1000*'6.Inland wetlands'!P63*(1-'6.Inland wetlands'!Y63), 'Inl. wetlands'!E181*methane/1000*('6.Inland wetlands'!P51*(1-'6.Inland wetlands'!Y63))))</f>
        <v>0</v>
      </c>
      <c r="R181" s="1543">
        <v>0</v>
      </c>
      <c r="S181" s="4323">
        <f>IF('6.Inland wetlands'!N51=0, 0, IF('6.Inland wetlands'!N63&lt;'6.Inland wetlands'!N51, 'Inl. wetlands'!G181*44/28*Nitrous/1000*'6.Inland wetlands'!N63, 'Inl. wetlands'!G181*44/28*Nitrous/1000*('6.Inland wetlands'!N51)))</f>
        <v>0</v>
      </c>
      <c r="T181" s="4323">
        <f>IF('6.Inland wetlands'!P51=0, 0, IF('6.Inland wetlands'!P63&lt;'6.Inland wetlands'!P51, 'Inl. wetlands'!G181*44/28*Nitrous/1000*'6.Inland wetlands'!P63, 'Inl. wetlands'!G181*44/28*Nitrous/1000*('6.Inland wetlands'!P51)))</f>
        <v>0</v>
      </c>
      <c r="U181" s="1543">
        <v>0</v>
      </c>
      <c r="V181" s="4323">
        <f>IF('6.Inland wetlands'!N51=0, 0, IF('6.Inland wetlands'!N63&lt;'6.Inland wetlands'!N51, 'Inl. wetlands'!I181*44/12*'6.Inland wetlands'!N63, 'Inl. wetlands'!I181*44/12*('6.Inland wetlands'!N51)))</f>
        <v>0</v>
      </c>
      <c r="W181" s="4323">
        <f>IF('6.Inland wetlands'!P51=0, 0, IF('6.Inland wetlands'!P63&lt;'6.Inland wetlands'!P51, 'Inl. wetlands'!I181*44/12*'6.Inland wetlands'!P63, 'Inl. wetlands'!I181*44/12*('6.Inland wetlands'!P51)))</f>
        <v>0</v>
      </c>
      <c r="X181" s="4323">
        <v>0</v>
      </c>
      <c r="Y181" s="1146">
        <f>IF('6.Inland wetlands'!N51=0, 0, IF('6.Inland wetlands'!N63&lt;'6.Inland wetlands'!N51, 'Inl. wetlands'!K181*methane/1000*'6.Inland wetlands'!N63*('6.Inland wetlands'!X63), 'Inl. wetlands'!K181*methane/1000*('6.Inland wetlands'!N51*('6.Inland wetlands'!X63))))</f>
        <v>0</v>
      </c>
      <c r="Z181" s="1146">
        <f>IF('6.Inland wetlands'!P51=0, 0, IF('6.Inland wetlands'!P63&lt;'6.Inland wetlands'!P51, 'Inl. wetlands'!K181*methane/1000*'6.Inland wetlands'!P63*('6.Inland wetlands'!Y63), 'Inl. wetlands'!K181*methane/1000*('6.Inland wetlands'!P51*('6.Inland wetlands'!Y63))))</f>
        <v>0</v>
      </c>
      <c r="AA181" s="1281"/>
      <c r="AB181" s="3468">
        <f>MIN('Inl. wetlands'!L181,'Inl. wetlands'!M181)*time_tot+ABS('Inl. wetlands'!M181-'Inl. wetlands'!L181)*IF('Inl. wetlands'!M181&gt;'Inl. wetlands'!L181,time_cap+time*(VLOOKUP('6.Inland wetlands'!O63,list!$I$48:$K$50,3,0)),time*(1-(VLOOKUP('6.Inland wetlands'!O63,list!$I$48:$K$50,3,0))))+MIN('Inl. wetlands'!U181,'Inl. wetlands'!V181)*time_tot+ABS('Inl. wetlands'!V181-'Inl. wetlands'!U181)*IF('Inl. wetlands'!V181&gt;'Inl. wetlands'!U181,time_cap+time*(VLOOKUP('6.Inland wetlands'!O63,list!$I$48:$K$50,3,0)),time*(1-(VLOOKUP('6.Inland wetlands'!O63,list!$I$48:$K$50,3,0))))</f>
        <v>0</v>
      </c>
      <c r="AC181" s="3468">
        <f>MIN('Inl. wetlands'!L181,'Inl. wetlands'!N181)*time_tot+ABS('Inl. wetlands'!N181-'Inl. wetlands'!L181)*IF('Inl. wetlands'!N181&gt;'Inl. wetlands'!L181,time_cap+time*(VLOOKUP('6.Inland wetlands'!Q63,list!$I$48:$K$50,3,0)),time*(1-(VLOOKUP('6.Inland wetlands'!Q63,list!$I$48:$K$50,3,0))))+MIN('Inl. wetlands'!U181,'Inl. wetlands'!W181)*time_tot+ABS('Inl. wetlands'!W181-'Inl. wetlands'!U181)*IF('Inl. wetlands'!W181&gt;'Inl. wetlands'!U181,time_cap+time*(VLOOKUP('6.Inland wetlands'!Q63,list!$I$48:$K$50,3,0)),time*(1-(VLOOKUP('6.Inland wetlands'!Q63,list!$I$48:$K$50,3,0))))</f>
        <v>0</v>
      </c>
      <c r="AD181" s="1151">
        <f>MIN('Inl. wetlands'!O181,'Inl. wetlands'!P181)*time_tot+ABS('Inl. wetlands'!P181-'Inl. wetlands'!O181)*IF('Inl. wetlands'!P181&gt;'Inl. wetlands'!O181,time_cap+time*(VLOOKUP('6.Inland wetlands'!O63,list!$I$48:$K$50,3,0)),time*(1-(VLOOKUP('6.Inland wetlands'!O63,list!$I$48:$K$50,3,0))))+MIN('Inl. wetlands'!X181,'Inl. wetlands'!Y181)*time_tot+ABS('Inl. wetlands'!Y181-'Inl. wetlands'!X181)*IF('Inl. wetlands'!Y181&gt;'Inl. wetlands'!X181,time_cap+time*(VLOOKUP('6.Inland wetlands'!O63,list!$I$48:$K$50,3,0)),time*(1-(VLOOKUP('6.Inland wetlands'!O63,list!$I$48:$K$50,3,0))))</f>
        <v>0</v>
      </c>
      <c r="AE181" s="1151">
        <f>MIN('Inl. wetlands'!O181,'Inl. wetlands'!Q181)*time_tot+ABS('Inl. wetlands'!Q181-'Inl. wetlands'!O181)*IF('Inl. wetlands'!Q181&gt;'Inl. wetlands'!O181,time_cap+time*(VLOOKUP('6.Inland wetlands'!Q63,list!$I$48:$K$50,3,0)),time*(1-(VLOOKUP('6.Inland wetlands'!Q63,list!$I$48:$K$50,3,0))))+MIN('Inl. wetlands'!X181,'Inl. wetlands'!Z181)*time_tot+ABS('Inl. wetlands'!Z181-'Inl. wetlands'!X181)*IF('Inl. wetlands'!Z181&gt;'Inl. wetlands'!X181,time_cap+time*(VLOOKUP('6.Inland wetlands'!Q63,list!$I$48:$K$50,3,0)),time*(1-(VLOOKUP('6.Inland wetlands'!Q63,list!$I$48:$K$50,3,0))))</f>
        <v>0</v>
      </c>
      <c r="AF181" s="1151">
        <f>MIN('Inl. wetlands'!R181,'Inl. wetlands'!S181)*time_tot+ABS('Inl. wetlands'!S181-'Inl. wetlands'!R181)*IF('Inl. wetlands'!S181&gt;'Inl. wetlands'!R181,time_cap+time*(VLOOKUP('6.Inland wetlands'!O63,list!$I$48:$K$50,3,0)),time*(1-(VLOOKUP('6.Inland wetlands'!O63,list!$I$48:$K$50,3,0))))</f>
        <v>0</v>
      </c>
      <c r="AG181" s="1151">
        <f>MIN('Inl. wetlands'!R181,'Inl. wetlands'!T181)*time_tot+ABS('Inl. wetlands'!T181-'Inl. wetlands'!R181)*IF('Inl. wetlands'!T181&gt;'Inl. wetlands'!R181,time_cap+time*(VLOOKUP('6.Inland wetlands'!Q63,list!$I$48:$K$50,3,0)),time*(1-(VLOOKUP('6.Inland wetlands'!Q63,list!$I$48:$K$50,3,0))))</f>
        <v>0</v>
      </c>
    </row>
    <row r="182" spans="1:59" x14ac:dyDescent="0.15">
      <c r="X182" s="1281"/>
      <c r="Y182" s="1281"/>
      <c r="Z182" s="1281"/>
      <c r="AA182" s="1281"/>
    </row>
    <row r="183" spans="1:59" x14ac:dyDescent="0.15">
      <c r="X183" s="1281"/>
      <c r="Y183" s="1281"/>
      <c r="Z183" s="1281"/>
      <c r="AA183" s="1281"/>
    </row>
    <row r="184" spans="1:59" x14ac:dyDescent="0.15">
      <c r="X184" s="1281"/>
      <c r="Y184" s="1281"/>
      <c r="Z184" s="1281"/>
      <c r="AA184" s="1281"/>
    </row>
    <row r="185" spans="1:59" x14ac:dyDescent="0.15">
      <c r="AA185" s="1688"/>
      <c r="AB185" s="1688"/>
      <c r="AX185" s="1451">
        <f>SUM(AX165:AX170)</f>
        <v>0</v>
      </c>
      <c r="AY185" s="1451">
        <f t="shared" ref="AY185:BG185" si="95">SUM(AY165:AY170)</f>
        <v>0</v>
      </c>
      <c r="AZ185" s="1451">
        <f t="shared" si="95"/>
        <v>0</v>
      </c>
      <c r="BA185" s="1451">
        <f t="shared" si="95"/>
        <v>0</v>
      </c>
      <c r="BB185" s="1451">
        <f t="shared" si="95"/>
        <v>0</v>
      </c>
      <c r="BC185" s="1451">
        <f t="shared" si="95"/>
        <v>0</v>
      </c>
      <c r="BD185" s="1451">
        <f t="shared" si="95"/>
        <v>0</v>
      </c>
      <c r="BE185" s="1451">
        <f t="shared" si="95"/>
        <v>0</v>
      </c>
      <c r="BF185" s="1451">
        <f t="shared" si="95"/>
        <v>0</v>
      </c>
      <c r="BG185" s="1451">
        <f t="shared" si="95"/>
        <v>0</v>
      </c>
    </row>
    <row r="186" spans="1:59" x14ac:dyDescent="0.15">
      <c r="AY186" s="1451">
        <f>AY185-AX185</f>
        <v>0</v>
      </c>
      <c r="AZ186" s="1451"/>
      <c r="BA186" s="1451">
        <f t="shared" ref="BA186:BG186" si="96">BA185-AZ185</f>
        <v>0</v>
      </c>
      <c r="BB186" s="1451"/>
      <c r="BC186" s="1451">
        <f t="shared" si="96"/>
        <v>0</v>
      </c>
      <c r="BD186" s="1451"/>
      <c r="BE186" s="1451">
        <f t="shared" si="96"/>
        <v>0</v>
      </c>
      <c r="BF186" s="1451"/>
      <c r="BG186" s="1451">
        <f t="shared" si="96"/>
        <v>0</v>
      </c>
    </row>
    <row r="187" spans="1:59" s="1089" customFormat="1" ht="30.5" customHeight="1" x14ac:dyDescent="0.2">
      <c r="B187" s="1112" t="s">
        <v>1180</v>
      </c>
      <c r="C187" s="1113"/>
      <c r="D187" s="1113"/>
      <c r="E187" s="1113"/>
      <c r="F187" s="1113"/>
      <c r="G187" s="1113"/>
      <c r="H187" s="1113"/>
      <c r="I187" s="1113"/>
      <c r="J187" s="1113"/>
      <c r="K187" s="1113"/>
      <c r="L187" s="1113"/>
      <c r="M187" s="1113"/>
      <c r="N187" s="1113"/>
      <c r="O187" s="1113"/>
      <c r="P187" s="1113"/>
      <c r="Q187" s="1113"/>
      <c r="R187" s="1113"/>
      <c r="S187" s="1113"/>
      <c r="T187" s="1113"/>
      <c r="U187" s="1113"/>
      <c r="V187" s="1113"/>
      <c r="W187" s="1113"/>
      <c r="X187" s="1113"/>
      <c r="Y187" s="1113"/>
      <c r="Z187" s="1113"/>
      <c r="AA187" s="1113"/>
      <c r="AB187" s="1113"/>
      <c r="AC187" s="1113"/>
      <c r="AD187" s="1113"/>
      <c r="AE187" s="1113"/>
      <c r="AF187" s="1113"/>
      <c r="AG187" s="1113"/>
      <c r="AH187" s="1113"/>
      <c r="AI187" s="1113"/>
      <c r="AJ187" s="1113"/>
      <c r="AK187" s="1113"/>
      <c r="AX187" s="1287" t="s">
        <v>1186</v>
      </c>
      <c r="AY187" s="1501"/>
      <c r="AZ187" s="1501"/>
      <c r="BA187" s="1501"/>
      <c r="BB187" s="1501"/>
      <c r="BC187" s="1264"/>
      <c r="BD187" s="1271"/>
      <c r="BE187" s="1264"/>
      <c r="BF187" s="1264"/>
      <c r="BG187" s="1264"/>
    </row>
    <row r="188" spans="1:59" ht="17" x14ac:dyDescent="0.15">
      <c r="P188" s="2167" t="s">
        <v>1221</v>
      </c>
      <c r="AX188" s="1502" t="s">
        <v>1036</v>
      </c>
      <c r="AY188" s="1502"/>
      <c r="AZ188" s="1502" t="s">
        <v>176</v>
      </c>
      <c r="BA188" s="1502"/>
      <c r="BB188" s="1502" t="s">
        <v>177</v>
      </c>
      <c r="BC188" s="1450"/>
      <c r="BD188" s="1450"/>
      <c r="BE188" s="1450"/>
      <c r="BF188" s="1450"/>
      <c r="BG188" s="1450"/>
    </row>
    <row r="189" spans="1:59" ht="16.5" customHeight="1" x14ac:dyDescent="0.2">
      <c r="A189" s="1462"/>
      <c r="D189" s="1262" t="s">
        <v>1222</v>
      </c>
      <c r="E189" s="1262"/>
      <c r="F189" s="1262"/>
      <c r="G189" s="1262"/>
      <c r="H189" s="1513" t="s">
        <v>1182</v>
      </c>
      <c r="I189" s="1514"/>
      <c r="J189" s="1514"/>
      <c r="K189" s="1515"/>
      <c r="L189" s="1514"/>
      <c r="M189" s="1516"/>
      <c r="N189" s="1516" t="s">
        <v>1183</v>
      </c>
      <c r="O189" s="1516"/>
      <c r="P189" s="1481" t="s">
        <v>1184</v>
      </c>
      <c r="Q189" s="1482"/>
      <c r="R189" s="1482"/>
      <c r="S189" s="1482"/>
      <c r="T189" s="1482"/>
      <c r="U189" s="1482"/>
      <c r="V189" s="1482"/>
      <c r="W189" s="1482"/>
      <c r="X189" s="1482"/>
      <c r="AB189" s="1471" t="s">
        <v>1185</v>
      </c>
      <c r="AC189" s="1470"/>
      <c r="AD189" s="1470"/>
      <c r="AE189" s="1470"/>
      <c r="AF189" s="1470"/>
      <c r="AG189" s="1470"/>
      <c r="AX189" s="1264" t="s">
        <v>859</v>
      </c>
      <c r="AZ189" s="1264" t="s">
        <v>859</v>
      </c>
      <c r="BB189" s="1264" t="s">
        <v>859</v>
      </c>
    </row>
    <row r="190" spans="1:59" ht="16" x14ac:dyDescent="0.2">
      <c r="A190" s="1462"/>
      <c r="D190" s="1521" t="s">
        <v>200</v>
      </c>
      <c r="E190" s="1521"/>
      <c r="F190" s="1522" t="s">
        <v>201</v>
      </c>
      <c r="G190" s="1522"/>
      <c r="H190" s="1517" t="s">
        <v>1187</v>
      </c>
      <c r="I190" s="1518"/>
      <c r="J190" s="1517" t="s">
        <v>1188</v>
      </c>
      <c r="K190" s="1518"/>
      <c r="L190" s="1517" t="s">
        <v>1189</v>
      </c>
      <c r="M190" s="1518"/>
      <c r="N190" s="1517" t="s">
        <v>1190</v>
      </c>
      <c r="O190" s="1518"/>
      <c r="P190" s="1482"/>
      <c r="Q190" s="1482"/>
      <c r="R190" s="1482"/>
      <c r="S190" s="1482"/>
      <c r="T190" s="1482"/>
      <c r="U190" s="1482"/>
      <c r="V190" s="1482"/>
      <c r="W190" s="1482"/>
      <c r="X190" s="1482"/>
      <c r="AB190" s="1471" t="s">
        <v>1191</v>
      </c>
      <c r="AC190" s="1471"/>
      <c r="AD190" s="1471"/>
      <c r="AE190" s="1470"/>
      <c r="AF190" s="1471"/>
      <c r="AG190" s="1470"/>
      <c r="AX190" s="1272" t="s">
        <v>200</v>
      </c>
      <c r="AY190" s="1272" t="s">
        <v>201</v>
      </c>
      <c r="AZ190" s="1272" t="s">
        <v>200</v>
      </c>
      <c r="BA190" s="1272" t="s">
        <v>201</v>
      </c>
      <c r="BB190" s="1272" t="s">
        <v>200</v>
      </c>
      <c r="BC190" s="1272" t="s">
        <v>201</v>
      </c>
      <c r="BD190" s="1272"/>
      <c r="BE190" s="1272"/>
      <c r="BF190" s="1272"/>
      <c r="BG190" s="1272"/>
    </row>
    <row r="191" spans="1:59" ht="16" x14ac:dyDescent="0.2">
      <c r="A191" s="1462"/>
      <c r="B191" s="1281" t="str">
        <f>D149</f>
        <v>Initial land use</v>
      </c>
      <c r="C191" s="1281"/>
      <c r="D191" s="1521"/>
      <c r="E191" s="1521"/>
      <c r="F191" s="1522"/>
      <c r="G191" s="1522"/>
      <c r="H191" s="1519" t="s">
        <v>92</v>
      </c>
      <c r="I191" s="1519"/>
      <c r="J191" s="1519" t="s">
        <v>1044</v>
      </c>
      <c r="K191" s="1519"/>
      <c r="L191" s="1519" t="s">
        <v>1045</v>
      </c>
      <c r="M191" s="1519"/>
      <c r="N191" s="1519" t="s">
        <v>92</v>
      </c>
      <c r="O191" s="1519"/>
      <c r="P191" s="1482" t="s">
        <v>1176</v>
      </c>
      <c r="Q191" s="1482"/>
      <c r="R191" s="1482"/>
      <c r="S191" s="1482" t="s">
        <v>176</v>
      </c>
      <c r="T191" s="1482"/>
      <c r="U191" s="1482"/>
      <c r="V191" s="1482" t="s">
        <v>1192</v>
      </c>
      <c r="W191" s="1482"/>
      <c r="X191" s="1482"/>
      <c r="Z191" s="1231"/>
      <c r="AB191" s="1472" t="s">
        <v>1176</v>
      </c>
      <c r="AC191" s="1472"/>
      <c r="AD191" s="1472" t="s">
        <v>176</v>
      </c>
      <c r="AE191" s="1472"/>
      <c r="AF191" s="1472" t="s">
        <v>1192</v>
      </c>
      <c r="AG191" s="1472"/>
      <c r="AX191" s="1449">
        <f>'Inl. wetlands'!$Q193*time*(VLOOKUP($E193,list!$J$48:$K$50,2,0))</f>
        <v>0</v>
      </c>
      <c r="AY191" s="1449">
        <f>'Inl. wetlands'!$R193*time*(VLOOKUP($G193,list!$J$48:$K$50,2,0))</f>
        <v>0</v>
      </c>
      <c r="AZ191" s="1449">
        <f>'Inl. wetlands'!$T193*time*(VLOOKUP($E193,list!$J$48:$K$50,2,0))</f>
        <v>0</v>
      </c>
      <c r="BA191" s="1449">
        <f>'Inl. wetlands'!$U193*time*(VLOOKUP($G193,list!$J$48:$K$50,2,0))</f>
        <v>0</v>
      </c>
      <c r="BB191" s="1449">
        <f>'Inl. wetlands'!$W193*time*(VLOOKUP($E193,list!$J$48:$K$50,2,0))</f>
        <v>0</v>
      </c>
      <c r="BC191" s="1449">
        <f>'Inl. wetlands'!$X193*time*(VLOOKUP($G193,list!$J$48:$K$50,2,0))</f>
        <v>0</v>
      </c>
      <c r="BD191" s="1449"/>
      <c r="BE191" s="1449"/>
      <c r="BF191" s="1449"/>
      <c r="BG191" s="1449"/>
    </row>
    <row r="192" spans="1:59" ht="16" x14ac:dyDescent="0.2">
      <c r="A192" s="1462"/>
      <c r="B192" s="1281" t="str">
        <f>D150</f>
        <v>User selection</v>
      </c>
      <c r="C192" s="1281" t="str">
        <f>E150</f>
        <v>IPCC equivalent</v>
      </c>
      <c r="D192" s="1523" t="str">
        <f>F150</f>
        <v>ha</v>
      </c>
      <c r="E192" s="1523" t="str">
        <f>G150</f>
        <v>Rate</v>
      </c>
      <c r="F192" s="1524" t="str">
        <f>J150</f>
        <v>ha</v>
      </c>
      <c r="G192" s="1524" t="str">
        <f>K150</f>
        <v>Rate</v>
      </c>
      <c r="H192" s="1520" t="s">
        <v>65</v>
      </c>
      <c r="I192" s="1520" t="s">
        <v>66</v>
      </c>
      <c r="J192" s="1520" t="s">
        <v>65</v>
      </c>
      <c r="K192" s="1520" t="s">
        <v>66</v>
      </c>
      <c r="L192" s="1520" t="s">
        <v>65</v>
      </c>
      <c r="M192" s="1520" t="s">
        <v>66</v>
      </c>
      <c r="N192" s="1520" t="s">
        <v>65</v>
      </c>
      <c r="O192" s="1520" t="s">
        <v>66</v>
      </c>
      <c r="P192" s="973" t="s">
        <v>219</v>
      </c>
      <c r="Q192" s="1100" t="s">
        <v>179</v>
      </c>
      <c r="R192" s="1101" t="s">
        <v>180</v>
      </c>
      <c r="S192" s="973" t="s">
        <v>219</v>
      </c>
      <c r="T192" s="1100" t="s">
        <v>179</v>
      </c>
      <c r="U192" s="1101" t="s">
        <v>180</v>
      </c>
      <c r="V192" s="973" t="s">
        <v>219</v>
      </c>
      <c r="W192" s="1100" t="s">
        <v>179</v>
      </c>
      <c r="X192" s="1101" t="s">
        <v>180</v>
      </c>
      <c r="AB192" s="1102" t="s">
        <v>179</v>
      </c>
      <c r="AC192" s="1103" t="s">
        <v>180</v>
      </c>
      <c r="AD192" s="1102" t="s">
        <v>179</v>
      </c>
      <c r="AE192" s="1103" t="s">
        <v>180</v>
      </c>
      <c r="AF192" s="1102" t="s">
        <v>179</v>
      </c>
      <c r="AG192" s="1103" t="s">
        <v>180</v>
      </c>
      <c r="AX192" s="1449">
        <f>$Q194*time*(VLOOKUP($E194,list!$J$48:$K$50,2,0))</f>
        <v>0</v>
      </c>
      <c r="AY192" s="1449">
        <f>$R194*time*(VLOOKUP($G194,list!$J$48:$K$50,2,0))</f>
        <v>0</v>
      </c>
      <c r="AZ192" s="1449">
        <f>$T194*time*(VLOOKUP($E194,list!$J$48:$K$50,2,0))</f>
        <v>0</v>
      </c>
      <c r="BA192" s="1449">
        <f>$U194*time*(VLOOKUP($G194,list!$J$48:$K$50,2,0))</f>
        <v>0</v>
      </c>
      <c r="BB192" s="1449">
        <f>$W194*time*(VLOOKUP($E194,list!$J$48:$K$50,2,0))</f>
        <v>0</v>
      </c>
      <c r="BC192" s="1449">
        <f>$X194*time*(VLOOKUP($G194,list!$J$48:$K$50,2,0))</f>
        <v>0</v>
      </c>
      <c r="BD192" s="1449"/>
      <c r="BE192" s="1449"/>
      <c r="BF192" s="1449"/>
      <c r="BG192" s="1449"/>
    </row>
    <row r="193" spans="1:59" x14ac:dyDescent="0.15">
      <c r="A193" s="1493" t="s">
        <v>1160</v>
      </c>
      <c r="B193" s="1281" t="str">
        <f t="shared" ref="B193:B198" si="97">D151</f>
        <v>Please select</v>
      </c>
      <c r="C193" s="1121" t="str">
        <f t="shared" ref="C193:C198" si="98">E151</f>
        <v/>
      </c>
      <c r="D193" s="992">
        <f>IF('6.Inland wetlands'!S58='6.Inland wetlands'!K58, 0, IF(('6.Inland wetlands'!T58-'6.Inland wetlands'!S58)-'6.Inland wetlands'!N46&gt;0,('6.Inland wetlands'!T58-'6.Inland wetlands'!S58)-'6.Inland wetlands'!N46,0))</f>
        <v>0</v>
      </c>
      <c r="E193" s="1688" t="str">
        <f t="shared" ref="E193:E198" si="99">G151</f>
        <v>Linear</v>
      </c>
      <c r="F193" s="992">
        <f>IF(('6.Inland wetlands'!U58-'6.Inland wetlands'!S58)-'6.Inland wetlands'!P46&gt;0,('6.Inland wetlands'!U58-'6.Inland wetlands'!S58)-'6.Inland wetlands'!P46,0)</f>
        <v>0</v>
      </c>
      <c r="G193" s="1688" t="str">
        <f t="shared" ref="G193:G198" si="100">K151</f>
        <v>Linear</v>
      </c>
      <c r="H193" s="1004">
        <f>IFERROR(IF($D151="Please select",0,IF($D$145="Nutrient poor",INDEX(IPCC!$A$1910:$J$1921,MATCH(clim_moist,IPCC!$A$1910:$A$1921,0),MATCH($E151,IPCC!$A$1910:$J$1910,0)),INDEX(IPCC!$A$1928:$J$1939,MATCH(clim_moist,IPCC!$A$1928:$A$1939,0),MATCH($E151,IPCC!$A$1928:$J$1928,0)))),0)</f>
        <v>0</v>
      </c>
      <c r="I193" s="1259">
        <f>IF('6.Inland wetlands'!$DY46="",'6.Inland wetlands'!$DX46,'6.Inland wetlands'!$DY46)</f>
        <v>0</v>
      </c>
      <c r="J193" s="1004">
        <f>IFERROR(IF($D151="Please select",0,IF($D$145="Nutrient poor",INDEX(IPCC!$A$1964:$J$1975,MATCH(clim_moist,IPCC!$A$1964:$A$1975,0),MATCH($E151,IPCC!$A$1964:$J$1964,0)),INDEX(IPCC!$A$1982:$J$1993,MATCH(clim_moist,IPCC!$A$1982:$A$1993,0),MATCH($E151,IPCC!$A$1982:$J$1982,0)))),0)</f>
        <v>0</v>
      </c>
      <c r="K193" s="1259">
        <f>IF('6.Inland wetlands'!$EA46="",'6.Inland wetlands'!$DZ46,'6.Inland wetlands'!$EA46)</f>
        <v>0</v>
      </c>
      <c r="L193" s="1004">
        <f>IFERROR(IF($D151="Please select",0,INDEX(IPCC!$A$2000:$J$2011,MATCH(clim_moist,IPCC!$A$2000:$A$2011,0),MATCH($E151,IPCC!$A$2000:$J$2000,0))),0)</f>
        <v>0</v>
      </c>
      <c r="M193" s="1259">
        <f>IF('6.Inland wetlands'!$EC46="",'6.Inland wetlands'!$EB46,'6.Inland wetlands'!$EC46)</f>
        <v>0</v>
      </c>
      <c r="N193" s="1260">
        <f>IFERROR(IF($D151="Please select",0,INDEX(IPCC!$A$1946:$J$1957,MATCH(clim_moist,IPCC!$A$1946:$A$1957,0),MATCH($E151,IPCC!$A$1946:$J$1946,0))),0)</f>
        <v>0</v>
      </c>
      <c r="O193" s="1259">
        <f>IF('6.Inland wetlands'!$EF46="",'6.Inland wetlands'!$EE46,'6.Inland wetlands'!$EF46)</f>
        <v>0</v>
      </c>
      <c r="P193" s="3468">
        <v>0</v>
      </c>
      <c r="Q193" s="3468">
        <f>SUM('Inl. wetlands'!$I193,$O193)*44/12*'Inl. wetlands'!D193</f>
        <v>0</v>
      </c>
      <c r="R193" s="1151">
        <f>SUM('Inl. wetlands'!$I193,$O193)*44/12*'Inl. wetlands'!F193</f>
        <v>0</v>
      </c>
      <c r="S193" s="3468">
        <v>0</v>
      </c>
      <c r="T193" s="1151">
        <f>'Inl. wetlands'!$K193/1000*16/12*methane*'Inl. wetlands'!D193</f>
        <v>0</v>
      </c>
      <c r="U193" s="1151">
        <f>'Inl. wetlands'!$K193/1000*16/12*methane*'Inl. wetlands'!F193</f>
        <v>0</v>
      </c>
      <c r="V193" s="3468">
        <v>0</v>
      </c>
      <c r="W193" s="1151">
        <f>'Inl. wetlands'!$M193/1000*44/28*Nitrous*'Inl. wetlands'!D193</f>
        <v>0</v>
      </c>
      <c r="X193" s="3469">
        <f>'Inl. wetlands'!$M193/1000*44/28*Nitrous*'Inl. wetlands'!F193</f>
        <v>0</v>
      </c>
      <c r="AB193" s="3468">
        <f>MIN('Inl. wetlands'!P193,'Inl. wetlands'!Q193)*time_tot+ABS('Inl. wetlands'!Q193-'Inl. wetlands'!P193)*IF('Inl. wetlands'!Q193&gt;'Inl. wetlands'!P193,time_cap+time*(VLOOKUP('6.Inland wetlands'!O58,list!$I$48:$K$50,3,0)),time*(1-(VLOOKUP('6.Inland wetlands'!O58,list!$I$48:$K$50,3,0))))</f>
        <v>0</v>
      </c>
      <c r="AC193" s="3468">
        <f>MIN('Inl. wetlands'!P193,'Inl. wetlands'!R193)*time_tot+ABS('Inl. wetlands'!R193-'Inl. wetlands'!P193)*IF('Inl. wetlands'!R193&gt;'Inl. wetlands'!P193,time_cap+time*(VLOOKUP('6.Inland wetlands'!Q58,list!$I$48:$K$50,3,0)),time*(1-(VLOOKUP('6.Inland wetlands'!Q58,list!$I$48:$K$50,3,0))))</f>
        <v>0</v>
      </c>
      <c r="AD193" s="3468">
        <f>MIN('Inl. wetlands'!S193,'Inl. wetlands'!T193)*time_tot+ABS('Inl. wetlands'!T193-'Inl. wetlands'!S193)*IF('Inl. wetlands'!T193&gt;'Inl. wetlands'!S193,time_cap+time*(VLOOKUP('6.Inland wetlands'!O58,list!$I$48:$K$50,3,0)),time*(1-(VLOOKUP('6.Inland wetlands'!O58,list!$I$48:$K$50,3,0))))</f>
        <v>0</v>
      </c>
      <c r="AE193" s="3468">
        <f>MIN('Inl. wetlands'!S193,'Inl. wetlands'!U193)*time_tot+ABS('Inl. wetlands'!U193-'Inl. wetlands'!S193)*IF('Inl. wetlands'!U193&gt;'Inl. wetlands'!S193,time_cap+time*(VLOOKUP('6.Inland wetlands'!Q58,list!$I$48:$K$50,3,0)),time*(1-(VLOOKUP('6.Inland wetlands'!Q58,list!$I$48:$K$50,3,0))))</f>
        <v>0</v>
      </c>
      <c r="AF193" s="3468">
        <f>MIN('Inl. wetlands'!V193,'Inl. wetlands'!W193)*time_tot+ABS('Inl. wetlands'!W193-'Inl. wetlands'!V193)*IF('Inl. wetlands'!W193&gt;'Inl. wetlands'!V193,time_cap+time*(VLOOKUP('6.Inland wetlands'!O58,list!$I$48:$K$50,3,0)),time*(1-(VLOOKUP('6.Inland wetlands'!O58,list!$I$48:$K$50,3,0))))</f>
        <v>0</v>
      </c>
      <c r="AG193" s="3468">
        <f>MIN('Inl. wetlands'!V193,'Inl. wetlands'!X193)*time_tot+ABS('Inl. wetlands'!X193-'Inl. wetlands'!V193)*IF('Inl. wetlands'!X193&gt;'Inl. wetlands'!V193,time_cap+time*(VLOOKUP('6.Inland wetlands'!Q58,list!$I$48:$K$50,3,0)),time*(1-(VLOOKUP('6.Inland wetlands'!Q58,list!$I$48:$K$50,3,0))))</f>
        <v>0</v>
      </c>
      <c r="AX193" s="1449">
        <f>$Q195*time*(VLOOKUP($E195,list!$J$48:$K$50,2,0))</f>
        <v>0</v>
      </c>
      <c r="AY193" s="1449">
        <f>$R195*time*(VLOOKUP($G195,list!$J$48:$K$50,2,0))</f>
        <v>0</v>
      </c>
      <c r="AZ193" s="1449">
        <f>$T195*time*(VLOOKUP($E195,list!$J$48:$K$50,2,0))</f>
        <v>0</v>
      </c>
      <c r="BA193" s="1449">
        <f>$U195*time*(VLOOKUP($G195,list!$J$48:$K$50,2,0))</f>
        <v>0</v>
      </c>
      <c r="BB193" s="1449">
        <f>$W195*time*(VLOOKUP($E195,list!$J$48:$K$50,2,0))</f>
        <v>0</v>
      </c>
      <c r="BC193" s="1449">
        <f>$X195*time*(VLOOKUP($G195,list!$J$48:$K$50,2,0))</f>
        <v>0</v>
      </c>
      <c r="BD193" s="1449"/>
      <c r="BE193" s="1449"/>
      <c r="BF193" s="1449"/>
      <c r="BG193" s="1449"/>
    </row>
    <row r="194" spans="1:59" x14ac:dyDescent="0.15">
      <c r="A194" s="1493" t="s">
        <v>1161</v>
      </c>
      <c r="B194" s="1281" t="str">
        <f t="shared" si="97"/>
        <v>Please select</v>
      </c>
      <c r="C194" s="1121" t="str">
        <f t="shared" si="98"/>
        <v/>
      </c>
      <c r="D194" s="992">
        <f>IF('6.Inland wetlands'!S59='6.Inland wetlands'!K59, 0, IF(('6.Inland wetlands'!T59-'6.Inland wetlands'!S59)-'6.Inland wetlands'!N47&gt;0,('6.Inland wetlands'!T59-'6.Inland wetlands'!S59)-'6.Inland wetlands'!N47,0))</f>
        <v>0</v>
      </c>
      <c r="E194" s="1688" t="str">
        <f t="shared" si="99"/>
        <v>Linear</v>
      </c>
      <c r="F194" s="992">
        <f>IF(('6.Inland wetlands'!U59-'6.Inland wetlands'!S59)-'6.Inland wetlands'!P47&gt;0,('6.Inland wetlands'!U59-'6.Inland wetlands'!S59)-'6.Inland wetlands'!P47,0)</f>
        <v>0</v>
      </c>
      <c r="G194" s="1688" t="str">
        <f t="shared" si="100"/>
        <v>Linear</v>
      </c>
      <c r="H194" s="1004">
        <f>IFERROR(IF($D152="Please select",0,IF($D$145="Nutrient poor",INDEX(IPCC!$A$1910:$J$1921,MATCH(clim_moist,IPCC!$A$1910:$A$1921,0),MATCH($E152,IPCC!$A$1910:$J$1910,0)),INDEX(IPCC!$A$1928:$J$1939,MATCH(clim_moist,IPCC!$A$1928:$A$1939,0),MATCH($E152,IPCC!$A$1928:$J$1928,0)))),0)</f>
        <v>0</v>
      </c>
      <c r="I194" s="1259">
        <f>IF('6.Inland wetlands'!$DY47="",'6.Inland wetlands'!$DX47,'6.Inland wetlands'!$DY47)</f>
        <v>0</v>
      </c>
      <c r="J194" s="1004">
        <f>IFERROR(IF($D152="Please select",0,IF($D$145="Nutrient poor",INDEX(IPCC!$A$1964:$J$1975,MATCH(clim_moist,IPCC!$A$1964:$A$1975,0),MATCH($E152,IPCC!$A$1964:$J$1964,0)),INDEX(IPCC!$A$1982:$J$1993,MATCH(clim_moist,IPCC!$A$1982:$A$1993,0),MATCH($E152,IPCC!$A$1982:$J$1982,0)))),0)</f>
        <v>0</v>
      </c>
      <c r="K194" s="1259">
        <f>IF('6.Inland wetlands'!$EA47="",'6.Inland wetlands'!$DZ47,'6.Inland wetlands'!$EA47)</f>
        <v>0</v>
      </c>
      <c r="L194" s="1004">
        <f>IFERROR(IF($D152="Please select",0,INDEX(IPCC!$A$2000:$J$2011,MATCH(clim_moist,IPCC!$A$2000:$A$2011,0),MATCH($E152,IPCC!$A$2000:$J$2000,0))),0)</f>
        <v>0</v>
      </c>
      <c r="M194" s="1259">
        <f>IF('6.Inland wetlands'!$EC47="",'6.Inland wetlands'!$EB47,'6.Inland wetlands'!$EC47)</f>
        <v>0</v>
      </c>
      <c r="N194" s="1260">
        <f>IFERROR(IF($D152="Please select",0,INDEX(IPCC!$A$1946:$J$1957,MATCH(clim_moist,IPCC!$A$1946:$A$1957,0),MATCH($E152,IPCC!$A$1946:$J$1946,0))),0)</f>
        <v>0</v>
      </c>
      <c r="O194" s="1259">
        <f>IF('6.Inland wetlands'!$EF47="",'6.Inland wetlands'!$EE47,'6.Inland wetlands'!$EF47)</f>
        <v>0</v>
      </c>
      <c r="P194" s="3468">
        <v>0</v>
      </c>
      <c r="Q194" s="3468">
        <f>SUM('Inl. wetlands'!$I194,$O194)*44/12*'Inl. wetlands'!D194</f>
        <v>0</v>
      </c>
      <c r="R194" s="1151">
        <f>SUM('Inl. wetlands'!$I194,$O194)*44/12*'Inl. wetlands'!F194</f>
        <v>0</v>
      </c>
      <c r="S194" s="3468">
        <v>0</v>
      </c>
      <c r="T194" s="1151">
        <f>'Inl. wetlands'!$K194/1000*16/12*methane*'Inl. wetlands'!D194</f>
        <v>0</v>
      </c>
      <c r="U194" s="1151">
        <f>'Inl. wetlands'!$K194/1000*16/12*methane*'Inl. wetlands'!F194</f>
        <v>0</v>
      </c>
      <c r="V194" s="3468">
        <v>0</v>
      </c>
      <c r="W194" s="1151">
        <f>'Inl. wetlands'!$M194/1000*44/28*Nitrous*'Inl. wetlands'!D194</f>
        <v>0</v>
      </c>
      <c r="X194" s="3469">
        <f>'Inl. wetlands'!$M194/1000*44/28*Nitrous*'Inl. wetlands'!F194</f>
        <v>0</v>
      </c>
      <c r="AB194" s="3468">
        <f>MIN('Inl. wetlands'!P194,'Inl. wetlands'!Q194)*time_tot+ABS('Inl. wetlands'!Q194-'Inl. wetlands'!P194)*IF('Inl. wetlands'!Q194&gt;'Inl. wetlands'!P194,time_cap+time*(VLOOKUP('6.Inland wetlands'!O59,list!$I$48:$K$50,3,0)),time*(1-(VLOOKUP('6.Inland wetlands'!O59,list!$I$48:$K$50,3,0))))</f>
        <v>0</v>
      </c>
      <c r="AC194" s="3468">
        <f>MIN('Inl. wetlands'!P194,'Inl. wetlands'!R194)*time_tot+ABS('Inl. wetlands'!R194-'Inl. wetlands'!P194)*IF('Inl. wetlands'!R194&gt;'Inl. wetlands'!P194,time_cap+time*(VLOOKUP('6.Inland wetlands'!Q59,list!$I$48:$K$50,3,0)),time*(1-(VLOOKUP('6.Inland wetlands'!Q59,list!$I$48:$K$50,3,0))))</f>
        <v>0</v>
      </c>
      <c r="AD194" s="3468">
        <f>MIN('Inl. wetlands'!S194,'Inl. wetlands'!T194)*time_tot+ABS('Inl. wetlands'!T194-'Inl. wetlands'!S194)*IF('Inl. wetlands'!T194&gt;'Inl. wetlands'!S194,time_cap+time*(VLOOKUP('6.Inland wetlands'!O59,list!$I$48:$K$50,3,0)),time*(1-(VLOOKUP('6.Inland wetlands'!O59,list!$I$48:$K$50,3,0))))</f>
        <v>0</v>
      </c>
      <c r="AE194" s="3468">
        <f>MIN('Inl. wetlands'!S194,'Inl. wetlands'!U194)*time_tot+ABS('Inl. wetlands'!U194-'Inl. wetlands'!S194)*IF('Inl. wetlands'!U194&gt;'Inl. wetlands'!S194,time_cap+time*(VLOOKUP('6.Inland wetlands'!Q59,list!$I$48:$K$50,3,0)),time*(1-(VLOOKUP('6.Inland wetlands'!Q59,list!$I$48:$K$50,3,0))))</f>
        <v>0</v>
      </c>
      <c r="AF194" s="3468">
        <f>MIN('Inl. wetlands'!V194,'Inl. wetlands'!W194)*time_tot+ABS('Inl. wetlands'!W194-'Inl. wetlands'!V194)*IF('Inl. wetlands'!W194&gt;'Inl. wetlands'!V194,time_cap+time*(VLOOKUP('6.Inland wetlands'!O59,list!$I$48:$K$50,3,0)),time*(1-(VLOOKUP('6.Inland wetlands'!O59,list!$I$48:$K$50,3,0))))</f>
        <v>0</v>
      </c>
      <c r="AG194" s="3468">
        <f>MIN('Inl. wetlands'!V194,'Inl. wetlands'!X194)*time_tot+ABS('Inl. wetlands'!X194-'Inl. wetlands'!V194)*IF('Inl. wetlands'!X194&gt;'Inl. wetlands'!V194,time_cap+time*(VLOOKUP('6.Inland wetlands'!Q59,list!$I$48:$K$50,3,0)),time*(1-(VLOOKUP('6.Inland wetlands'!Q59,list!$I$48:$K$50,3,0))))</f>
        <v>0</v>
      </c>
      <c r="AX194" s="1449">
        <f>$Q196*time*(VLOOKUP($E196,list!$J$48:$K$50,2,0))</f>
        <v>0</v>
      </c>
      <c r="AY194" s="1449">
        <f>$R196*time*(VLOOKUP($G196,list!$J$48:$K$50,2,0))</f>
        <v>0</v>
      </c>
      <c r="AZ194" s="1449">
        <f>$T196*time*(VLOOKUP($E196,list!$J$48:$K$50,2,0))</f>
        <v>0</v>
      </c>
      <c r="BA194" s="1449">
        <f>$U196*time*(VLOOKUP($G196,list!$J$48:$K$50,2,0))</f>
        <v>0</v>
      </c>
      <c r="BB194" s="1449">
        <f>$W196*time*(VLOOKUP($E196,list!$J$48:$K$50,2,0))</f>
        <v>0</v>
      </c>
      <c r="BC194" s="1449">
        <f>$X196*time*(VLOOKUP($G196,list!$J$48:$K$50,2,0))</f>
        <v>0</v>
      </c>
      <c r="BD194" s="1449"/>
      <c r="BE194" s="1449"/>
      <c r="BF194" s="1449"/>
      <c r="BG194" s="1449"/>
    </row>
    <row r="195" spans="1:59" x14ac:dyDescent="0.15">
      <c r="A195" s="1493" t="s">
        <v>1162</v>
      </c>
      <c r="B195" s="1281" t="str">
        <f t="shared" si="97"/>
        <v>Please select</v>
      </c>
      <c r="C195" s="1121" t="str">
        <f t="shared" si="98"/>
        <v/>
      </c>
      <c r="D195" s="992">
        <f>IF('6.Inland wetlands'!S60='6.Inland wetlands'!K60, 0, IF(('6.Inland wetlands'!T60-'6.Inland wetlands'!S60)-'6.Inland wetlands'!N48&gt;0,('6.Inland wetlands'!T60-'6.Inland wetlands'!S60)-'6.Inland wetlands'!N48,0))</f>
        <v>0</v>
      </c>
      <c r="E195" s="1688" t="str">
        <f t="shared" si="99"/>
        <v>Linear</v>
      </c>
      <c r="F195" s="992">
        <f>IF(('6.Inland wetlands'!U60-'6.Inland wetlands'!S60)-'6.Inland wetlands'!P48&gt;0,('6.Inland wetlands'!U60-'6.Inland wetlands'!S60)-'6.Inland wetlands'!P48,0)</f>
        <v>0</v>
      </c>
      <c r="G195" s="1688" t="str">
        <f t="shared" si="100"/>
        <v>Linear</v>
      </c>
      <c r="H195" s="1004">
        <f>IFERROR(IF($D153="Please select",0,IF($D$145="Nutrient poor",INDEX(IPCC!$A$1910:$J$1921,MATCH(clim_moist,IPCC!$A$1910:$A$1921,0),MATCH($E153,IPCC!$A$1910:$J$1910,0)),INDEX(IPCC!$A$1928:$J$1939,MATCH(clim_moist,IPCC!$A$1928:$A$1939,0),MATCH($E153,IPCC!$A$1928:$J$1928,0)))),0)</f>
        <v>0</v>
      </c>
      <c r="I195" s="1259">
        <f>IF('6.Inland wetlands'!$DY48="",'6.Inland wetlands'!$DX48,'6.Inland wetlands'!$DY48)</f>
        <v>0</v>
      </c>
      <c r="J195" s="1004">
        <f>IFERROR(IF($D153="Please select",0,IF($D$145="Nutrient poor",INDEX(IPCC!$A$1964:$J$1975,MATCH(clim_moist,IPCC!$A$1964:$A$1975,0),MATCH($E153,IPCC!$A$1964:$J$1964,0)),INDEX(IPCC!$A$1982:$J$1993,MATCH(clim_moist,IPCC!$A$1982:$A$1993,0),MATCH($E153,IPCC!$A$1982:$J$1982,0)))),0)</f>
        <v>0</v>
      </c>
      <c r="K195" s="1259">
        <f>IF('6.Inland wetlands'!$EA48="",'6.Inland wetlands'!$DZ48,'6.Inland wetlands'!$EA48)</f>
        <v>0</v>
      </c>
      <c r="L195" s="1004">
        <f>IFERROR(IF($D153="Please select",0,INDEX(IPCC!$A$2000:$J$2011,MATCH(clim_moist,IPCC!$A$2000:$A$2011,0),MATCH($E153,IPCC!$A$2000:$J$2000,0))),0)</f>
        <v>0</v>
      </c>
      <c r="M195" s="1259">
        <f>IF('6.Inland wetlands'!$EC48="",'6.Inland wetlands'!$EB48,'6.Inland wetlands'!$EC48)</f>
        <v>0</v>
      </c>
      <c r="N195" s="1260">
        <f>IFERROR(IF($D153="Please select",0,INDEX(IPCC!$A$1946:$J$1957,MATCH(clim_moist,IPCC!$A$1946:$A$1957,0),MATCH($E153,IPCC!$A$1946:$J$1946,0))),0)</f>
        <v>0</v>
      </c>
      <c r="O195" s="1259">
        <f>IF('6.Inland wetlands'!$EF48="",'6.Inland wetlands'!$EE48,'6.Inland wetlands'!$EF48)</f>
        <v>0</v>
      </c>
      <c r="P195" s="3468">
        <v>0</v>
      </c>
      <c r="Q195" s="3468">
        <f>SUM('Inl. wetlands'!$I195,$O195)*44/12*'Inl. wetlands'!D195</f>
        <v>0</v>
      </c>
      <c r="R195" s="1151">
        <f>SUM('Inl. wetlands'!$I195,$O195)*44/12*'Inl. wetlands'!F195</f>
        <v>0</v>
      </c>
      <c r="S195" s="3468">
        <v>0</v>
      </c>
      <c r="T195" s="1151">
        <f>'Inl. wetlands'!$K195/1000*16/12*methane*'Inl. wetlands'!D195</f>
        <v>0</v>
      </c>
      <c r="U195" s="1151">
        <f>'Inl. wetlands'!$K195/1000*16/12*methane*'Inl. wetlands'!F195</f>
        <v>0</v>
      </c>
      <c r="V195" s="3468">
        <v>0</v>
      </c>
      <c r="W195" s="1151">
        <f>'Inl. wetlands'!$M195/1000*44/28*Nitrous*'Inl. wetlands'!D195</f>
        <v>0</v>
      </c>
      <c r="X195" s="3469">
        <f>'Inl. wetlands'!$M195/1000*44/28*Nitrous*'Inl. wetlands'!F195</f>
        <v>0</v>
      </c>
      <c r="AB195" s="3468">
        <f>MIN('Inl. wetlands'!P195,'Inl. wetlands'!Q195)*time_tot+ABS('Inl. wetlands'!Q195-'Inl. wetlands'!P195)*IF('Inl. wetlands'!Q195&gt;'Inl. wetlands'!P195,time_cap+time*(VLOOKUP('6.Inland wetlands'!O60,list!$I$48:$K$50,3,0)),time*(1-(VLOOKUP('6.Inland wetlands'!O60,list!$I$48:$K$50,3,0))))</f>
        <v>0</v>
      </c>
      <c r="AC195" s="3468">
        <f>MIN('Inl. wetlands'!P195,'Inl. wetlands'!R195)*time_tot+ABS('Inl. wetlands'!R195-'Inl. wetlands'!P195)*IF('Inl. wetlands'!R195&gt;'Inl. wetlands'!P195,time_cap+time*(VLOOKUP('6.Inland wetlands'!Q60,list!$I$48:$K$50,3,0)),time*(1-(VLOOKUP('6.Inland wetlands'!Q60,list!$I$48:$K$50,3,0))))</f>
        <v>0</v>
      </c>
      <c r="AD195" s="3468">
        <f>MIN('Inl. wetlands'!S195,'Inl. wetlands'!T195)*time_tot+ABS('Inl. wetlands'!T195-'Inl. wetlands'!S195)*IF('Inl. wetlands'!T195&gt;'Inl. wetlands'!S195,time_cap+time*(VLOOKUP('6.Inland wetlands'!O60,list!$I$48:$K$50,3,0)),time*(1-(VLOOKUP('6.Inland wetlands'!O60,list!$I$48:$K$50,3,0))))</f>
        <v>0</v>
      </c>
      <c r="AE195" s="3468">
        <f>MIN('Inl. wetlands'!S195,'Inl. wetlands'!U195)*time_tot+ABS('Inl. wetlands'!U195-'Inl. wetlands'!S195)*IF('Inl. wetlands'!U195&gt;'Inl. wetlands'!S195,time_cap+time*(VLOOKUP('6.Inland wetlands'!Q60,list!$I$48:$K$50,3,0)),time*(1-(VLOOKUP('6.Inland wetlands'!Q60,list!$I$48:$K$50,3,0))))</f>
        <v>0</v>
      </c>
      <c r="AF195" s="3468">
        <f>MIN('Inl. wetlands'!V195,'Inl. wetlands'!W195)*time_tot+ABS('Inl. wetlands'!W195-'Inl. wetlands'!V195)*IF('Inl. wetlands'!W195&gt;'Inl. wetlands'!V195,time_cap+time*(VLOOKUP('6.Inland wetlands'!O60,list!$I$48:$K$50,3,0)),time*(1-(VLOOKUP('6.Inland wetlands'!O60,list!$I$48:$K$50,3,0))))</f>
        <v>0</v>
      </c>
      <c r="AG195" s="3468">
        <f>MIN('Inl. wetlands'!V195,'Inl. wetlands'!X195)*time_tot+ABS('Inl. wetlands'!X195-'Inl. wetlands'!V195)*IF('Inl. wetlands'!X195&gt;'Inl. wetlands'!V195,time_cap+time*(VLOOKUP('6.Inland wetlands'!Q60,list!$I$48:$K$50,3,0)),time*(1-(VLOOKUP('6.Inland wetlands'!Q60,list!$I$48:$K$50,3,0))))</f>
        <v>0</v>
      </c>
      <c r="AX195" s="1449">
        <f>$Q197*time*(VLOOKUP($E197,list!$J$48:$K$50,2,0))</f>
        <v>0</v>
      </c>
      <c r="AY195" s="1449">
        <f>$R197*time*(VLOOKUP($G197,list!$J$48:$K$50,2,0))</f>
        <v>0</v>
      </c>
      <c r="AZ195" s="1449">
        <f>$T197*time*(VLOOKUP($E197,list!$J$48:$K$50,2,0))</f>
        <v>0</v>
      </c>
      <c r="BA195" s="1449">
        <f>$U197*time*(VLOOKUP($G197,list!$J$48:$K$50,2,0))</f>
        <v>0</v>
      </c>
      <c r="BB195" s="1449">
        <f>$W197*time*(VLOOKUP($E197,list!$J$48:$K$50,2,0))</f>
        <v>0</v>
      </c>
      <c r="BC195" s="1449">
        <f>$X197*time*(VLOOKUP($G197,list!$J$48:$K$50,2,0))</f>
        <v>0</v>
      </c>
      <c r="BD195" s="1449"/>
      <c r="BE195" s="1449"/>
      <c r="BF195" s="1449"/>
      <c r="BG195" s="1449"/>
    </row>
    <row r="196" spans="1:59" ht="16" x14ac:dyDescent="0.2">
      <c r="A196" s="1493" t="s">
        <v>1163</v>
      </c>
      <c r="B196" s="1281" t="str">
        <f t="shared" si="97"/>
        <v>Please select</v>
      </c>
      <c r="C196" s="1121" t="str">
        <f t="shared" si="98"/>
        <v/>
      </c>
      <c r="D196" s="992">
        <f>IF('6.Inland wetlands'!S61='6.Inland wetlands'!K61, 0, IF(('6.Inland wetlands'!T61-'6.Inland wetlands'!S61)-'6.Inland wetlands'!N49&gt;0,('6.Inland wetlands'!T61-'6.Inland wetlands'!S61)-'6.Inland wetlands'!N49,0))</f>
        <v>0</v>
      </c>
      <c r="E196" s="1688" t="str">
        <f t="shared" si="99"/>
        <v>Linear</v>
      </c>
      <c r="F196" s="992">
        <f>IF(('6.Inland wetlands'!U61-'6.Inland wetlands'!S61)-'6.Inland wetlands'!P49&gt;0,('6.Inland wetlands'!U61-'6.Inland wetlands'!S61)-'6.Inland wetlands'!P49,0)</f>
        <v>0</v>
      </c>
      <c r="G196" s="1688" t="str">
        <f t="shared" si="100"/>
        <v>Linear</v>
      </c>
      <c r="H196" s="1004">
        <f>IFERROR(IF($D154="Please select",0,IF($D$145="Nutrient poor",INDEX(IPCC!$A$1910:$J$1921,MATCH(clim_moist,IPCC!$A$1910:$A$1921,0),MATCH($E154,IPCC!$A$1910:$J$1910,0)),INDEX(IPCC!$A$1928:$J$1939,MATCH(clim_moist,IPCC!$A$1928:$A$1939,0),MATCH($E154,IPCC!$A$1928:$J$1928,0)))),0)</f>
        <v>0</v>
      </c>
      <c r="I196" s="1259">
        <f>IF('6.Inland wetlands'!$DY49="",'6.Inland wetlands'!$DX49,'6.Inland wetlands'!$DY49)</f>
        <v>0</v>
      </c>
      <c r="J196" s="1004">
        <f>IFERROR(IF($D154="Please select",0,IF($D$145="Nutrient poor",INDEX(IPCC!$A$1964:$J$1975,MATCH(clim_moist,IPCC!$A$1964:$A$1975,0),MATCH($E154,IPCC!$A$1964:$J$1964,0)),INDEX(IPCC!$A$1982:$J$1993,MATCH(clim_moist,IPCC!$A$1982:$A$1993,0),MATCH($E154,IPCC!$A$1982:$J$1982,0)))),0)</f>
        <v>0</v>
      </c>
      <c r="K196" s="1259">
        <f>IF('6.Inland wetlands'!$EA49="",'6.Inland wetlands'!$DZ49,'6.Inland wetlands'!$EA49)</f>
        <v>0</v>
      </c>
      <c r="L196" s="1004">
        <f>IFERROR(IF($D154="Please select",0,INDEX(IPCC!$A$2000:$J$2011,MATCH(clim_moist,IPCC!$A$2000:$A$2011,0),MATCH($E154,IPCC!$A$2000:$J$2000,0))),0)</f>
        <v>0</v>
      </c>
      <c r="M196" s="1259">
        <f>IF('6.Inland wetlands'!$EC49="",'6.Inland wetlands'!$EB49,'6.Inland wetlands'!$EC49)</f>
        <v>0</v>
      </c>
      <c r="N196" s="1260">
        <f>IFERROR(IF($D154="Please select",0,INDEX(IPCC!$A$1946:$J$1957,MATCH(clim_moist,IPCC!$A$1946:$A$1957,0),MATCH($E154,IPCC!$A$1946:$J$1946,0))),0)</f>
        <v>0</v>
      </c>
      <c r="O196" s="1259">
        <f>IF('6.Inland wetlands'!$EF49="",'6.Inland wetlands'!$EE49,'6.Inland wetlands'!$EF49)</f>
        <v>0</v>
      </c>
      <c r="P196" s="3468">
        <v>0</v>
      </c>
      <c r="Q196" s="3468">
        <f>SUM('Inl. wetlands'!$I196,$O196)*44/12*'Inl. wetlands'!D196</f>
        <v>0</v>
      </c>
      <c r="R196" s="1151">
        <f>SUM('Inl. wetlands'!$I196,$O196)*44/12*'Inl. wetlands'!F196</f>
        <v>0</v>
      </c>
      <c r="S196" s="3468">
        <v>0</v>
      </c>
      <c r="T196" s="1151">
        <f>'Inl. wetlands'!$K196/1000*16/12*methane*'Inl. wetlands'!D196</f>
        <v>0</v>
      </c>
      <c r="U196" s="1151">
        <f>'Inl. wetlands'!$K196/1000*16/12*methane*'Inl. wetlands'!F196</f>
        <v>0</v>
      </c>
      <c r="V196" s="3468">
        <v>0</v>
      </c>
      <c r="W196" s="1151">
        <f>'Inl. wetlands'!$M196/1000*44/28*Nitrous*'Inl. wetlands'!D196</f>
        <v>0</v>
      </c>
      <c r="X196" s="3469">
        <f>'Inl. wetlands'!$M196/1000*44/28*Nitrous*'Inl. wetlands'!F196</f>
        <v>0</v>
      </c>
      <c r="AB196" s="3468">
        <f>MIN('Inl. wetlands'!P196,'Inl. wetlands'!Q196)*time_tot+ABS('Inl. wetlands'!Q196-'Inl. wetlands'!P196)*IF('Inl. wetlands'!Q196&gt;'Inl. wetlands'!P196,time_cap+time*(VLOOKUP('6.Inland wetlands'!O61,list!$I$48:$K$50,3,0)),time*(1-(VLOOKUP('6.Inland wetlands'!O61,list!$I$48:$K$50,3,0))))</f>
        <v>0</v>
      </c>
      <c r="AC196" s="3468">
        <f>MIN('Inl. wetlands'!P196,'Inl. wetlands'!R196)*time_tot+ABS('Inl. wetlands'!R196-'Inl. wetlands'!P196)*IF('Inl. wetlands'!R196&gt;'Inl. wetlands'!P196,time_cap+time*(VLOOKUP('6.Inland wetlands'!Q61,list!$I$48:$K$50,3,0)),time*(1-(VLOOKUP('6.Inland wetlands'!Q61,list!$I$48:$K$50,3,0))))</f>
        <v>0</v>
      </c>
      <c r="AD196" s="3468">
        <f>MIN('Inl. wetlands'!S196,'Inl. wetlands'!T196)*time_tot+ABS('Inl. wetlands'!T196-'Inl. wetlands'!S196)*IF('Inl. wetlands'!T196&gt;'Inl. wetlands'!S196,time_cap+time*(VLOOKUP('6.Inland wetlands'!O61,list!$I$48:$K$50,3,0)),time*(1-(VLOOKUP('6.Inland wetlands'!O61,list!$I$48:$K$50,3,0))))</f>
        <v>0</v>
      </c>
      <c r="AE196" s="3468">
        <f>MIN('Inl. wetlands'!S196,'Inl. wetlands'!U196)*time_tot+ABS('Inl. wetlands'!U196-'Inl. wetlands'!S196)*IF('Inl. wetlands'!U196&gt;'Inl. wetlands'!S196,time_cap+time*(VLOOKUP('6.Inland wetlands'!Q61,list!$I$48:$K$50,3,0)),time*(1-(VLOOKUP('6.Inland wetlands'!Q61,list!$I$48:$K$50,3,0))))</f>
        <v>0</v>
      </c>
      <c r="AF196" s="3468">
        <f>MIN('Inl. wetlands'!V196,'Inl. wetlands'!W196)*time_tot+ABS('Inl. wetlands'!W196-'Inl. wetlands'!V196)*IF('Inl. wetlands'!W196&gt;'Inl. wetlands'!V196,time_cap+time*(VLOOKUP('6.Inland wetlands'!O61,list!$I$48:$K$50,3,0)),time*(1-(VLOOKUP('6.Inland wetlands'!O61,list!$I$48:$K$50,3,0))))</f>
        <v>0</v>
      </c>
      <c r="AG196" s="3468">
        <f>MIN('Inl. wetlands'!V196,'Inl. wetlands'!X196)*time_tot+ABS('Inl. wetlands'!X196-'Inl. wetlands'!V196)*IF('Inl. wetlands'!X196&gt;'Inl. wetlands'!V196,time_cap+time*(VLOOKUP('6.Inland wetlands'!Q61,list!$I$48:$K$50,3,0)),time*(1-(VLOOKUP('6.Inland wetlands'!Q61,list!$I$48:$K$50,3,0))))</f>
        <v>0</v>
      </c>
      <c r="AI196" s="1270" t="s">
        <v>1115</v>
      </c>
      <c r="AJ196" s="1116"/>
      <c r="AK196" s="1116"/>
      <c r="AX196" s="1449">
        <f>$Q198*time*(VLOOKUP($E198,list!$J$48:$K$50,2,0))</f>
        <v>0</v>
      </c>
      <c r="AY196" s="1449">
        <f>$R198*time*(VLOOKUP($G198,list!$J$48:$K$50,2,0))</f>
        <v>0</v>
      </c>
      <c r="AZ196" s="1449">
        <f>$T198*time*(VLOOKUP($E198,list!$J$48:$K$50,2,0))</f>
        <v>0</v>
      </c>
      <c r="BA196" s="1449">
        <f>$U198*time*(VLOOKUP($G198,list!$J$48:$K$50,2,0))</f>
        <v>0</v>
      </c>
      <c r="BB196" s="1449">
        <f>$W198*time*(VLOOKUP($E198,list!$J$48:$K$50,2,0))</f>
        <v>0</v>
      </c>
      <c r="BC196" s="1449">
        <f>$X198*time*(VLOOKUP($G198,list!$J$48:$K$50,2,0))</f>
        <v>0</v>
      </c>
      <c r="BD196" s="1449"/>
      <c r="BE196" s="1449"/>
      <c r="BF196" s="1449"/>
      <c r="BG196" s="1449"/>
    </row>
    <row r="197" spans="1:59" ht="16" x14ac:dyDescent="0.2">
      <c r="A197" s="1493" t="s">
        <v>1164</v>
      </c>
      <c r="B197" s="1281" t="str">
        <f t="shared" si="97"/>
        <v>Please select</v>
      </c>
      <c r="C197" s="1121" t="str">
        <f t="shared" si="98"/>
        <v/>
      </c>
      <c r="D197" s="992">
        <f>IF('6.Inland wetlands'!S62='6.Inland wetlands'!K62, 0, IF(('6.Inland wetlands'!T62-'6.Inland wetlands'!S62)-'6.Inland wetlands'!N50&gt;0,('6.Inland wetlands'!T62-'6.Inland wetlands'!S62)-'6.Inland wetlands'!N50,0))</f>
        <v>0</v>
      </c>
      <c r="E197" s="1688" t="str">
        <f t="shared" si="99"/>
        <v>Linear</v>
      </c>
      <c r="F197" s="992">
        <f>IF(('6.Inland wetlands'!U62-'6.Inland wetlands'!S62)-'6.Inland wetlands'!P50&gt;0,('6.Inland wetlands'!U62-'6.Inland wetlands'!S62)-'6.Inland wetlands'!P50,0)</f>
        <v>0</v>
      </c>
      <c r="G197" s="1688" t="str">
        <f t="shared" si="100"/>
        <v>Linear</v>
      </c>
      <c r="H197" s="1004">
        <f>IFERROR(IF($D155="Please select",0,IF($D$145="Nutrient poor",INDEX(IPCC!$A$1910:$J$1921,MATCH(clim_moist,IPCC!$A$1910:$A$1921,0),MATCH($E155,IPCC!$A$1910:$J$1910,0)),INDEX(IPCC!$A$1928:$J$1939,MATCH(clim_moist,IPCC!$A$1928:$A$1939,0),MATCH($E155,IPCC!$A$1928:$J$1928,0)))),0)</f>
        <v>0</v>
      </c>
      <c r="I197" s="1259">
        <f>IF('6.Inland wetlands'!$DY50="",'6.Inland wetlands'!$DX50,'6.Inland wetlands'!$DY50)</f>
        <v>0</v>
      </c>
      <c r="J197" s="1004">
        <f>IFERROR(IF($D155="Please select",0,IF($D$145="Nutrient poor",INDEX(IPCC!$A$1964:$J$1975,MATCH(clim_moist,IPCC!$A$1964:$A$1975,0),MATCH($E155,IPCC!$A$1964:$J$1964,0)),INDEX(IPCC!$A$1982:$J$1993,MATCH(clim_moist,IPCC!$A$1982:$A$1993,0),MATCH($E155,IPCC!$A$1982:$J$1982,0)))),0)</f>
        <v>0</v>
      </c>
      <c r="K197" s="1259">
        <f>IF('6.Inland wetlands'!$EA50="",'6.Inland wetlands'!$DZ50,'6.Inland wetlands'!$EA50)</f>
        <v>0</v>
      </c>
      <c r="L197" s="1004">
        <f>IFERROR(IF($D155="Please select",0,INDEX(IPCC!$A$2000:$J$2011,MATCH(clim_moist,IPCC!$A$2000:$A$2011,0),MATCH($E155,IPCC!$A$2000:$J$2000,0))),0)</f>
        <v>0</v>
      </c>
      <c r="M197" s="1259">
        <f>IF('6.Inland wetlands'!$EC50="",'6.Inland wetlands'!$EB50,'6.Inland wetlands'!$EC50)</f>
        <v>0</v>
      </c>
      <c r="N197" s="1260">
        <f>IFERROR(IF($D155="Please select",0,INDEX(IPCC!$A$1946:$J$1957,MATCH(clim_moist,IPCC!$A$1946:$A$1957,0),MATCH($E155,IPCC!$A$1946:$J$1946,0))),0)</f>
        <v>0</v>
      </c>
      <c r="O197" s="1259">
        <f>IF('6.Inland wetlands'!$EF50="",'6.Inland wetlands'!$EE50,'6.Inland wetlands'!$EF50)</f>
        <v>0</v>
      </c>
      <c r="P197" s="3468">
        <v>0</v>
      </c>
      <c r="Q197" s="3468">
        <f>SUM('Inl. wetlands'!$I197,$O197)*44/12*'Inl. wetlands'!D197</f>
        <v>0</v>
      </c>
      <c r="R197" s="1151">
        <f>SUM('Inl. wetlands'!$I197,$O197)*44/12*'Inl. wetlands'!F197</f>
        <v>0</v>
      </c>
      <c r="S197" s="3468">
        <v>0</v>
      </c>
      <c r="T197" s="1151">
        <f>'Inl. wetlands'!$K197/1000*16/12*methane*'Inl. wetlands'!D197</f>
        <v>0</v>
      </c>
      <c r="U197" s="1151">
        <f>'Inl. wetlands'!$K197/1000*16/12*methane*'Inl. wetlands'!F197</f>
        <v>0</v>
      </c>
      <c r="V197" s="3468">
        <v>0</v>
      </c>
      <c r="W197" s="1151">
        <f>'Inl. wetlands'!$M197/1000*44/28*Nitrous*'Inl. wetlands'!D197</f>
        <v>0</v>
      </c>
      <c r="X197" s="3469">
        <f>'Inl. wetlands'!$M197/1000*44/28*Nitrous*'Inl. wetlands'!F197</f>
        <v>0</v>
      </c>
      <c r="AB197" s="3468">
        <f>MIN('Inl. wetlands'!P197,'Inl. wetlands'!Q197)*time_tot+ABS('Inl. wetlands'!Q197-'Inl. wetlands'!P197)*IF('Inl. wetlands'!Q197&gt;'Inl. wetlands'!P197,time_cap+time*(VLOOKUP('6.Inland wetlands'!O62,list!$I$48:$K$50,3,0)),time*(1-(VLOOKUP('6.Inland wetlands'!O62,list!$I$48:$K$50,3,0))))</f>
        <v>0</v>
      </c>
      <c r="AC197" s="3468">
        <f>MIN('Inl. wetlands'!P197,'Inl. wetlands'!R197)*time_tot+ABS('Inl. wetlands'!R197-'Inl. wetlands'!P197)*IF('Inl. wetlands'!R197&gt;'Inl. wetlands'!P197,time_cap+time*(VLOOKUP('6.Inland wetlands'!Q62,list!$I$48:$K$50,3,0)),time*(1-(VLOOKUP('6.Inland wetlands'!Q62,list!$I$48:$K$50,3,0))))</f>
        <v>0</v>
      </c>
      <c r="AD197" s="3468">
        <f>MIN('Inl. wetlands'!S197,'Inl. wetlands'!T197)*time_tot+ABS('Inl. wetlands'!T197-'Inl. wetlands'!S197)*IF('Inl. wetlands'!T197&gt;'Inl. wetlands'!S197,time_cap+time*(VLOOKUP('6.Inland wetlands'!O62,list!$I$48:$K$50,3,0)),time*(1-(VLOOKUP('6.Inland wetlands'!O62,list!$I$48:$K$50,3,0))))</f>
        <v>0</v>
      </c>
      <c r="AE197" s="3468">
        <f>MIN('Inl. wetlands'!S197,'Inl. wetlands'!U197)*time_tot+ABS('Inl. wetlands'!U197-'Inl. wetlands'!S197)*IF('Inl. wetlands'!U197&gt;'Inl. wetlands'!S197,time_cap+time*(VLOOKUP('6.Inland wetlands'!Q62,list!$I$48:$K$50,3,0)),time*(1-(VLOOKUP('6.Inland wetlands'!Q62,list!$I$48:$K$50,3,0))))</f>
        <v>0</v>
      </c>
      <c r="AF197" s="3468">
        <f>MIN('Inl. wetlands'!V197,'Inl. wetlands'!W197)*time_tot+ABS('Inl. wetlands'!W197-'Inl. wetlands'!V197)*IF('Inl. wetlands'!W197&gt;'Inl. wetlands'!V197,time_cap+time*(VLOOKUP('6.Inland wetlands'!O62,list!$I$48:$K$50,3,0)),time*(1-(VLOOKUP('6.Inland wetlands'!O62,list!$I$48:$K$50,3,0))))</f>
        <v>0</v>
      </c>
      <c r="AG197" s="3468">
        <f>MIN('Inl. wetlands'!V197,'Inl. wetlands'!X197)*time_tot+ABS('Inl. wetlands'!X197-'Inl. wetlands'!V197)*IF('Inl. wetlands'!X197&gt;'Inl. wetlands'!V197,time_cap+time*(VLOOKUP('6.Inland wetlands'!Q62,list!$I$48:$K$50,3,0)),time*(1-(VLOOKUP('6.Inland wetlands'!Q62,list!$I$48:$K$50,3,0))))</f>
        <v>0</v>
      </c>
      <c r="AI197" s="1270" t="s">
        <v>1121</v>
      </c>
      <c r="AJ197" s="1116"/>
      <c r="AK197" s="1116"/>
    </row>
    <row r="198" spans="1:59" ht="16" x14ac:dyDescent="0.2">
      <c r="A198" s="1493" t="s">
        <v>1165</v>
      </c>
      <c r="B198" s="1281" t="str">
        <f t="shared" si="97"/>
        <v>Please select</v>
      </c>
      <c r="C198" s="1121" t="str">
        <f t="shared" si="98"/>
        <v/>
      </c>
      <c r="D198" s="992">
        <f>IF('6.Inland wetlands'!S63='6.Inland wetlands'!K63, 0, IF(('6.Inland wetlands'!T63-'6.Inland wetlands'!S63)-'6.Inland wetlands'!N51&gt;0,('6.Inland wetlands'!T63-'6.Inland wetlands'!S63)-'6.Inland wetlands'!N51,0))</f>
        <v>0</v>
      </c>
      <c r="E198" s="1688" t="str">
        <f t="shared" si="99"/>
        <v>Linear</v>
      </c>
      <c r="F198" s="992">
        <f>IF(('6.Inland wetlands'!U63-'6.Inland wetlands'!S63)-'6.Inland wetlands'!P51&gt;0,('6.Inland wetlands'!U63-'6.Inland wetlands'!S63)-'6.Inland wetlands'!P51,0)</f>
        <v>0</v>
      </c>
      <c r="G198" s="1688" t="str">
        <f t="shared" si="100"/>
        <v>Linear</v>
      </c>
      <c r="H198" s="1004">
        <f>IFERROR(IF($D156="Please select",0,IF($D$145="Nutrient poor",INDEX(IPCC!$A$1910:$J$1921,MATCH(clim_moist,IPCC!$A$1910:$A$1921,0),MATCH($E156,IPCC!$A$1910:$J$1910,0)),INDEX(IPCC!$A$1928:$J$1939,MATCH(clim_moist,IPCC!$A$1928:$A$1939,0),MATCH($E156,IPCC!$A$1928:$J$1928,0)))),0)</f>
        <v>0</v>
      </c>
      <c r="I198" s="1259">
        <f>IF('6.Inland wetlands'!$DY51="",'6.Inland wetlands'!$DX51,'6.Inland wetlands'!$DY51)</f>
        <v>0</v>
      </c>
      <c r="J198" s="1004">
        <f>IFERROR(IF($D156="Please select",0,IF($D$145="Nutrient poor",INDEX(IPCC!$A$1964:$J$1975,MATCH(clim_moist,IPCC!$A$1964:$A$1975,0),MATCH($E156,IPCC!$A$1964:$J$1964,0)),INDEX(IPCC!$A$1982:$J$1993,MATCH(clim_moist,IPCC!$A$1982:$A$1993,0),MATCH($E156,IPCC!$A$1982:$J$1982,0)))),0)</f>
        <v>0</v>
      </c>
      <c r="K198" s="1259">
        <f>IF('6.Inland wetlands'!$EA51="",'6.Inland wetlands'!$DZ51,'6.Inland wetlands'!$EA51)</f>
        <v>0</v>
      </c>
      <c r="L198" s="1004">
        <f>IFERROR(IF($D156="Please select",0,INDEX(IPCC!$A$2000:$J$2011,MATCH(clim_moist,IPCC!$A$2000:$A$2011,0),MATCH($E156,IPCC!$A$2000:$J$2000,0))),0)</f>
        <v>0</v>
      </c>
      <c r="M198" s="1259">
        <f>IF('6.Inland wetlands'!$EC51="",'6.Inland wetlands'!$EB51,'6.Inland wetlands'!$EC51)</f>
        <v>0</v>
      </c>
      <c r="N198" s="1260">
        <f>IFERROR(IF($D156="Please select",0,INDEX(IPCC!$A$1946:$J$1957,MATCH(clim_moist,IPCC!$A$1946:$A$1957,0),MATCH($E156,IPCC!$A$1946:$J$1946,0))),0)</f>
        <v>0</v>
      </c>
      <c r="O198" s="1259">
        <f>IF('6.Inland wetlands'!$EF51="",'6.Inland wetlands'!$EE51,'6.Inland wetlands'!$EF51)</f>
        <v>0</v>
      </c>
      <c r="P198" s="3468">
        <v>0</v>
      </c>
      <c r="Q198" s="3468">
        <f>SUM('Inl. wetlands'!$I198,$O198)*44/12*'Inl. wetlands'!D198</f>
        <v>0</v>
      </c>
      <c r="R198" s="1151">
        <f>SUM('Inl. wetlands'!$I198,$O198)*44/12*'Inl. wetlands'!F198</f>
        <v>0</v>
      </c>
      <c r="S198" s="3468">
        <v>0</v>
      </c>
      <c r="T198" s="1151">
        <f>'Inl. wetlands'!$K198/1000*16/12*methane*'Inl. wetlands'!D198</f>
        <v>0</v>
      </c>
      <c r="U198" s="1151">
        <f>'Inl. wetlands'!$K198/1000*16/12*methane*'Inl. wetlands'!F198</f>
        <v>0</v>
      </c>
      <c r="V198" s="3468">
        <v>0</v>
      </c>
      <c r="W198" s="1151">
        <f>'Inl. wetlands'!$M198/1000*44/28*Nitrous*'Inl. wetlands'!D198</f>
        <v>0</v>
      </c>
      <c r="X198" s="3469">
        <f>'Inl. wetlands'!$M198/1000*44/28*Nitrous*'Inl. wetlands'!F198</f>
        <v>0</v>
      </c>
      <c r="AB198" s="3468">
        <f>MIN('Inl. wetlands'!P198,'Inl. wetlands'!Q198)*time_tot+ABS('Inl. wetlands'!Q198-'Inl. wetlands'!P198)*IF('Inl. wetlands'!Q198&gt;'Inl. wetlands'!P198,time_cap+time*(VLOOKUP('6.Inland wetlands'!O63,list!$I$48:$K$50,3,0)),time*(1-(VLOOKUP('6.Inland wetlands'!O63,list!$I$48:$K$50,3,0))))</f>
        <v>0</v>
      </c>
      <c r="AC198" s="3468">
        <f>MIN('Inl. wetlands'!P198,'Inl. wetlands'!R198)*time_tot+ABS('Inl. wetlands'!R198-'Inl. wetlands'!P198)*IF('Inl. wetlands'!R198&gt;'Inl. wetlands'!P198,time_cap+time*(VLOOKUP('6.Inland wetlands'!Q63,list!$I$48:$K$50,3,0)),time*(1-(VLOOKUP('6.Inland wetlands'!Q63,list!$I$48:$K$50,3,0))))</f>
        <v>0</v>
      </c>
      <c r="AD198" s="3468">
        <f>MIN('Inl. wetlands'!S198,'Inl. wetlands'!T198)*time_tot+ABS('Inl. wetlands'!T198-'Inl. wetlands'!S198)*IF('Inl. wetlands'!T198&gt;'Inl. wetlands'!S198,time_cap+time*(VLOOKUP('6.Inland wetlands'!O63,list!$I$48:$K$50,3,0)),time*(1-(VLOOKUP('6.Inland wetlands'!O63,list!$I$48:$K$50,3,0))))</f>
        <v>0</v>
      </c>
      <c r="AE198" s="3468">
        <f>MIN('Inl. wetlands'!S198,'Inl. wetlands'!U198)*time_tot+ABS('Inl. wetlands'!U198-'Inl. wetlands'!S198)*IF('Inl. wetlands'!U198&gt;'Inl. wetlands'!S198,time_cap+time*(VLOOKUP('6.Inland wetlands'!Q63,list!$I$48:$K$50,3,0)),time*(1-(VLOOKUP('6.Inland wetlands'!Q63,list!$I$48:$K$50,3,0))))</f>
        <v>0</v>
      </c>
      <c r="AF198" s="3468">
        <f>MIN('Inl. wetlands'!V198,'Inl. wetlands'!W198)*time_tot+ABS('Inl. wetlands'!W198-'Inl. wetlands'!V198)*IF('Inl. wetlands'!W198&gt;'Inl. wetlands'!V198,time_cap+time*(VLOOKUP('6.Inland wetlands'!O63,list!$I$48:$K$50,3,0)),time*(1-(VLOOKUP('6.Inland wetlands'!O63,list!$I$48:$K$50,3,0))))</f>
        <v>0</v>
      </c>
      <c r="AG198" s="3468">
        <f>MIN('Inl. wetlands'!V198,'Inl. wetlands'!X198)*time_tot+ABS('Inl. wetlands'!X198-'Inl. wetlands'!V198)*IF('Inl. wetlands'!X198&gt;'Inl. wetlands'!V198,time_cap+time*(VLOOKUP('6.Inland wetlands'!Q63,list!$I$48:$K$50,3,0)),time*(1-(VLOOKUP('6.Inland wetlands'!Q63,list!$I$48:$K$50,3,0))))</f>
        <v>0</v>
      </c>
      <c r="AI198" s="1270" t="s">
        <v>1186</v>
      </c>
      <c r="AJ198" s="1116"/>
      <c r="AK198" s="1116"/>
      <c r="AX198" s="1451">
        <f t="shared" ref="AX198:BC198" si="101">SUM(AX191:AX196)</f>
        <v>0</v>
      </c>
      <c r="AY198" s="1451">
        <f t="shared" si="101"/>
        <v>0</v>
      </c>
      <c r="AZ198" s="1451">
        <f t="shared" si="101"/>
        <v>0</v>
      </c>
      <c r="BA198" s="1451">
        <f t="shared" si="101"/>
        <v>0</v>
      </c>
      <c r="BB198" s="1451">
        <f t="shared" si="101"/>
        <v>0</v>
      </c>
      <c r="BC198" s="1451">
        <f t="shared" si="101"/>
        <v>0</v>
      </c>
      <c r="BD198" s="1451"/>
      <c r="BE198" s="1451"/>
      <c r="BF198" s="1451"/>
      <c r="BG198" s="1451"/>
    </row>
    <row r="199" spans="1:59" x14ac:dyDescent="0.15">
      <c r="F199" s="992"/>
      <c r="G199" s="1688"/>
      <c r="H199" s="992"/>
      <c r="I199" s="1688"/>
      <c r="J199" s="1201"/>
      <c r="K199" s="1200"/>
      <c r="AI199" s="1102" t="s">
        <v>200</v>
      </c>
      <c r="AJ199" s="1103" t="s">
        <v>201</v>
      </c>
      <c r="AK199" s="1104" t="s">
        <v>324</v>
      </c>
      <c r="AY199" s="1451">
        <f>AY198-AX198</f>
        <v>0</v>
      </c>
      <c r="AZ199" s="1451"/>
      <c r="BA199" s="1451">
        <f>BA198-AZ198</f>
        <v>0</v>
      </c>
      <c r="BB199" s="1451"/>
      <c r="BC199" s="1451">
        <f>BC198-BB198</f>
        <v>0</v>
      </c>
      <c r="BD199" s="1451"/>
      <c r="BE199" s="1451"/>
      <c r="BF199" s="1451"/>
      <c r="BG199" s="1451"/>
    </row>
    <row r="200" spans="1:59" ht="16" x14ac:dyDescent="0.2">
      <c r="A200" s="1462"/>
      <c r="D200" s="1262" t="str">
        <f>D189</f>
        <v xml:space="preserve">Rewetted area </v>
      </c>
      <c r="E200" s="1262"/>
      <c r="F200" s="1262"/>
      <c r="G200" s="1262"/>
      <c r="H200" s="1513" t="s">
        <v>1182</v>
      </c>
      <c r="I200" s="1514"/>
      <c r="J200" s="1514"/>
      <c r="K200" s="1515"/>
      <c r="L200" s="1514"/>
      <c r="M200" s="1516"/>
      <c r="N200" s="1516" t="s">
        <v>1183</v>
      </c>
      <c r="O200" s="1516"/>
      <c r="P200" s="1481" t="s">
        <v>1184</v>
      </c>
      <c r="Q200" s="1482"/>
      <c r="R200" s="1482"/>
      <c r="S200" s="1482"/>
      <c r="T200" s="1482"/>
      <c r="U200" s="1482"/>
      <c r="V200" s="1482"/>
      <c r="W200" s="1482"/>
      <c r="X200" s="1482"/>
      <c r="Y200" s="992"/>
      <c r="Z200" s="992"/>
      <c r="AA200" s="992"/>
      <c r="AB200" s="1471" t="s">
        <v>1185</v>
      </c>
      <c r="AC200" s="1470"/>
      <c r="AD200" s="1470"/>
      <c r="AE200" s="1470"/>
      <c r="AF200" s="1470"/>
      <c r="AG200" s="1470"/>
      <c r="AI200" s="1151">
        <f>SUM('Inl. wetlands'!AB193,'Inl. wetlands'!AF193,'Inl. wetlands'!AD193)+'Inl. wetlands'!AB204+'Inl. wetlands'!AD204+'Inl. wetlands'!AF204</f>
        <v>0</v>
      </c>
      <c r="AJ200" s="1151">
        <f>SUM('Inl. wetlands'!AE193,'Inl. wetlands'!AC193,'Inl. wetlands'!AG193)+'Inl. wetlands'!AC204+'Inl. wetlands'!AE204+'Inl. wetlands'!AG204</f>
        <v>0</v>
      </c>
      <c r="AK200" s="1284">
        <f t="shared" ref="AK200:AK205" si="102">AJ200-AI200</f>
        <v>0</v>
      </c>
      <c r="AX200" s="1271"/>
    </row>
    <row r="201" spans="1:59" ht="16" x14ac:dyDescent="0.2">
      <c r="A201" s="1462"/>
      <c r="D201" s="1521" t="s">
        <v>200</v>
      </c>
      <c r="E201" s="1521"/>
      <c r="F201" s="1522" t="s">
        <v>201</v>
      </c>
      <c r="G201" s="1522"/>
      <c r="H201" s="1517" t="s">
        <v>1187</v>
      </c>
      <c r="I201" s="1518"/>
      <c r="J201" s="1517" t="s">
        <v>1188</v>
      </c>
      <c r="K201" s="1518"/>
      <c r="L201" s="1517" t="s">
        <v>1189</v>
      </c>
      <c r="M201" s="1518"/>
      <c r="N201" s="1517" t="s">
        <v>1190</v>
      </c>
      <c r="O201" s="1518"/>
      <c r="P201" s="1482"/>
      <c r="Q201" s="1482"/>
      <c r="R201" s="1482"/>
      <c r="S201" s="1482"/>
      <c r="T201" s="1482"/>
      <c r="U201" s="1482"/>
      <c r="V201" s="1482"/>
      <c r="W201" s="1482"/>
      <c r="X201" s="1482"/>
      <c r="Y201" s="992"/>
      <c r="Z201" s="992"/>
      <c r="AA201" s="992"/>
      <c r="AB201" s="1471" t="s">
        <v>1191</v>
      </c>
      <c r="AC201" s="1471"/>
      <c r="AD201" s="1471"/>
      <c r="AE201" s="1470"/>
      <c r="AF201" s="1471"/>
      <c r="AG201" s="1470"/>
      <c r="AI201" s="1151">
        <f>SUM(AB194,AF194,AD194)+AB205+AD205+AF205</f>
        <v>0</v>
      </c>
      <c r="AJ201" s="1151">
        <f>SUM('Inl. wetlands'!AE194,'Inl. wetlands'!AC194,'Inl. wetlands'!AG194)+'Inl. wetlands'!AC205+'Inl. wetlands'!AE205+'Inl. wetlands'!AG205</f>
        <v>0</v>
      </c>
      <c r="AK201" s="1285">
        <f t="shared" si="102"/>
        <v>0</v>
      </c>
      <c r="AX201" s="1271"/>
    </row>
    <row r="202" spans="1:59" ht="16" x14ac:dyDescent="0.2">
      <c r="A202" s="1462"/>
      <c r="B202" s="1281" t="str">
        <f>B149</f>
        <v>Final land use</v>
      </c>
      <c r="C202" s="1281"/>
      <c r="D202" s="1521"/>
      <c r="E202" s="1521"/>
      <c r="F202" s="1522"/>
      <c r="G202" s="1522"/>
      <c r="H202" s="1519" t="s">
        <v>92</v>
      </c>
      <c r="I202" s="1519"/>
      <c r="J202" s="1519" t="s">
        <v>1044</v>
      </c>
      <c r="K202" s="1519"/>
      <c r="L202" s="1519" t="s">
        <v>1045</v>
      </c>
      <c r="M202" s="1519"/>
      <c r="N202" s="1519" t="s">
        <v>92</v>
      </c>
      <c r="O202" s="1519"/>
      <c r="P202" s="1482" t="s">
        <v>1176</v>
      </c>
      <c r="Q202" s="1482"/>
      <c r="R202" s="1482"/>
      <c r="S202" s="1482" t="s">
        <v>176</v>
      </c>
      <c r="T202" s="1482"/>
      <c r="U202" s="1482"/>
      <c r="V202" s="1482" t="s">
        <v>1192</v>
      </c>
      <c r="W202" s="1482"/>
      <c r="X202" s="1482"/>
      <c r="Y202" s="992"/>
      <c r="Z202" s="992"/>
      <c r="AA202" s="992"/>
      <c r="AB202" s="1472" t="s">
        <v>1176</v>
      </c>
      <c r="AC202" s="1472"/>
      <c r="AD202" s="1472" t="s">
        <v>176</v>
      </c>
      <c r="AE202" s="1472"/>
      <c r="AF202" s="1472" t="s">
        <v>1192</v>
      </c>
      <c r="AG202" s="1472"/>
      <c r="AI202" s="1151">
        <f>SUM(AB195,AF195,AD195)+AB206+AD206+AF206</f>
        <v>0</v>
      </c>
      <c r="AJ202" s="1151">
        <f>SUM('Inl. wetlands'!AE195,'Inl. wetlands'!AC195,'Inl. wetlands'!AG195)+'Inl. wetlands'!AC206+'Inl. wetlands'!AE206+'Inl. wetlands'!AG206</f>
        <v>0</v>
      </c>
      <c r="AK202" s="1285">
        <f t="shared" si="102"/>
        <v>0</v>
      </c>
      <c r="AX202" s="1271"/>
    </row>
    <row r="203" spans="1:59" ht="16" x14ac:dyDescent="0.2">
      <c r="A203" s="1462"/>
      <c r="B203" s="1281" t="str">
        <f t="shared" ref="B203:C209" si="103">B150</f>
        <v>User selection</v>
      </c>
      <c r="C203" s="1281" t="str">
        <f>C150</f>
        <v>IPCC equivalent</v>
      </c>
      <c r="D203" s="1523" t="str">
        <f>D192</f>
        <v>ha</v>
      </c>
      <c r="E203" s="1523" t="str">
        <f>E192</f>
        <v>Rate</v>
      </c>
      <c r="F203" s="1524" t="str">
        <f>F192</f>
        <v>ha</v>
      </c>
      <c r="G203" s="1524" t="str">
        <f>G192</f>
        <v>Rate</v>
      </c>
      <c r="H203" s="1520" t="s">
        <v>65</v>
      </c>
      <c r="I203" s="1520" t="s">
        <v>66</v>
      </c>
      <c r="J203" s="1520" t="s">
        <v>65</v>
      </c>
      <c r="K203" s="1520" t="s">
        <v>66</v>
      </c>
      <c r="L203" s="1520" t="s">
        <v>65</v>
      </c>
      <c r="M203" s="1520" t="s">
        <v>66</v>
      </c>
      <c r="N203" s="1520" t="s">
        <v>65</v>
      </c>
      <c r="O203" s="1520" t="s">
        <v>66</v>
      </c>
      <c r="P203" s="973" t="s">
        <v>219</v>
      </c>
      <c r="Q203" s="1100" t="s">
        <v>179</v>
      </c>
      <c r="R203" s="1101" t="s">
        <v>180</v>
      </c>
      <c r="S203" s="973" t="s">
        <v>219</v>
      </c>
      <c r="T203" s="1100" t="s">
        <v>179</v>
      </c>
      <c r="U203" s="1101" t="s">
        <v>180</v>
      </c>
      <c r="V203" s="973" t="s">
        <v>219</v>
      </c>
      <c r="W203" s="1100" t="s">
        <v>179</v>
      </c>
      <c r="X203" s="1101" t="s">
        <v>180</v>
      </c>
      <c r="Y203" s="992"/>
      <c r="Z203" s="992"/>
      <c r="AA203" s="992"/>
      <c r="AB203" s="1102" t="s">
        <v>179</v>
      </c>
      <c r="AC203" s="1103" t="s">
        <v>180</v>
      </c>
      <c r="AD203" s="1102" t="s">
        <v>179</v>
      </c>
      <c r="AE203" s="1103" t="s">
        <v>180</v>
      </c>
      <c r="AF203" s="1102" t="s">
        <v>179</v>
      </c>
      <c r="AG203" s="1103" t="s">
        <v>180</v>
      </c>
      <c r="AI203" s="1151">
        <f>SUM(AB196,AF196,AD196)+AB207+AD207+AF207</f>
        <v>0</v>
      </c>
      <c r="AJ203" s="1151">
        <f>SUM('Inl. wetlands'!AE196,'Inl. wetlands'!AC196,'Inl. wetlands'!AG196)+'Inl. wetlands'!AC207+'Inl. wetlands'!AE207+'Inl. wetlands'!AG207</f>
        <v>0</v>
      </c>
      <c r="AK203" s="1285">
        <f t="shared" si="102"/>
        <v>0</v>
      </c>
      <c r="AX203" s="1271"/>
    </row>
    <row r="204" spans="1:59" x14ac:dyDescent="0.15">
      <c r="A204" s="1493" t="s">
        <v>1160</v>
      </c>
      <c r="B204" s="1281" t="str">
        <f t="shared" si="103"/>
        <v>Please select</v>
      </c>
      <c r="C204" s="1121" t="str">
        <f>C151</f>
        <v/>
      </c>
      <c r="D204" s="992">
        <f>IF('6.Inland wetlands'!S58='6.Inland wetlands'!K58, 0, '6.Inland wetlands'!T58-'Inl. wetlands'!D193)</f>
        <v>0</v>
      </c>
      <c r="E204" s="1688" t="str">
        <f t="shared" ref="E204:E209" si="104">E193</f>
        <v>Linear</v>
      </c>
      <c r="F204" s="992">
        <f>IF('6.Inland wetlands'!S58='6.Inland wetlands'!K58, 0, '6.Inland wetlands'!U58-'Inl. wetlands'!F193)</f>
        <v>0</v>
      </c>
      <c r="G204" s="1688" t="str">
        <f t="shared" ref="G204:G209" si="105">G193</f>
        <v>Linear</v>
      </c>
      <c r="H204" s="1004">
        <f>IFERROR(IF($B204="Please select",0,IF($D$145="Nutrient poor",INDEX(IPCC!$A$1910:$J$1921,MATCH(clim_moist,IPCC!$A$1910:$A$1921,0),MATCH($C204,IPCC!$A$1910:$J$1910,0)),INDEX(IPCC!$A$1928:$J$1939,MATCH(clim_moist,IPCC!$A$1928:$A$1939,0),MATCH($C204,IPCC!$A$1928:$J$1928,0)))),0)</f>
        <v>0</v>
      </c>
      <c r="I204" s="1259">
        <f>IF('6.Inland wetlands'!$DY58="",'6.Inland wetlands'!$DX58,'6.Inland wetlands'!$DY58)</f>
        <v>0</v>
      </c>
      <c r="J204" s="1004">
        <f>IFERROR(IF($B204="Please select",0,IF($D$145="Nutrient poor",INDEX(IPCC!$A$1964:$J$1975,MATCH(clim_moist,IPCC!$A$1964:$A$1975,0),MATCH($C204,IPCC!$A$1964:$J$1964,0)),INDEX(IPCC!$A$1982:$J$1993,MATCH(clim_moist,IPCC!$A$1982:$A$1993,0),MATCH($C204,IPCC!$A$1982:$J$1982,0)))),0)</f>
        <v>0</v>
      </c>
      <c r="K204" s="1259">
        <f>IF('6.Inland wetlands'!$EA58="",'6.Inland wetlands'!$DZ58,'6.Inland wetlands'!$EA58)</f>
        <v>0</v>
      </c>
      <c r="L204" s="1004">
        <f>IFERROR(IF($B204="Please select",0,INDEX(IPCC!$A$2000:$J$2011,MATCH(clim_moist,IPCC!$A$2000:$A$2011,0),MATCH($C204,IPCC!$A$2000:$J$2000,0))),0)</f>
        <v>0</v>
      </c>
      <c r="M204" s="1259">
        <f>IF('6.Inland wetlands'!$EC58="",'6.Inland wetlands'!$EB58,'6.Inland wetlands'!$EC58)</f>
        <v>0</v>
      </c>
      <c r="N204" s="1260">
        <f>IFERROR(IF($B204="Please select",0,INDEX(IPCC!$A$1946:$J$1957,MATCH(clim_moist,IPCC!$A$1946:$A$1957,0),MATCH($C204,IPCC!$A$1946:$J$1946,0))),0)</f>
        <v>0</v>
      </c>
      <c r="O204" s="1259">
        <f>IF('6.Inland wetlands'!$EF58="",'6.Inland wetlands'!$EE58,'6.Inland wetlands'!$EF58)</f>
        <v>0</v>
      </c>
      <c r="P204" s="3468">
        <v>0</v>
      </c>
      <c r="Q204" s="3468">
        <f>SUM('Inl. wetlands'!$I204,'Inl. wetlands'!$O204)*44/12*D204</f>
        <v>0</v>
      </c>
      <c r="R204" s="1151">
        <f>SUM('Inl. wetlands'!$I204,'Inl. wetlands'!$O204)*44/12*F204</f>
        <v>0</v>
      </c>
      <c r="S204" s="3468">
        <v>0</v>
      </c>
      <c r="T204" s="1151">
        <f>'Inl. wetlands'!$K204/1000*16/12*methane*D204</f>
        <v>0</v>
      </c>
      <c r="U204" s="1151">
        <f>'Inl. wetlands'!$K204/1000*16/12*methane*F204</f>
        <v>0</v>
      </c>
      <c r="V204" s="3468">
        <v>0</v>
      </c>
      <c r="W204" s="1151">
        <f>'Inl. wetlands'!$M204/1000*44/28*Nitrous*D204</f>
        <v>0</v>
      </c>
      <c r="X204" s="3469">
        <f>'Inl. wetlands'!$M204/1000*44/28*Nitrous*F204</f>
        <v>0</v>
      </c>
      <c r="Y204" s="992"/>
      <c r="Z204" s="992"/>
      <c r="AA204" s="992"/>
      <c r="AB204" s="3468">
        <f>MIN('Inl. wetlands'!P204,'Inl. wetlands'!Q204)*time_tot+ABS('Inl. wetlands'!Q204-'Inl. wetlands'!P204)*IF('Inl. wetlands'!Q204&gt;'Inl. wetlands'!P204,time_cap+time*(VLOOKUP('6.Inland wetlands'!O58,list!$I$48:$K$50,3,0)),time*(1-(VLOOKUP('6.Inland wetlands'!O58,list!$I$48:$K$50,3,0))))</f>
        <v>0</v>
      </c>
      <c r="AC204" s="3468">
        <f>MIN('Inl. wetlands'!P204,'Inl. wetlands'!R204)*time_tot+ABS('Inl. wetlands'!R204-'Inl. wetlands'!P204)*IF('Inl. wetlands'!R204&gt;'Inl. wetlands'!P204,time_cap+time*(VLOOKUP('6.Inland wetlands'!Q58,list!$I$48:$K$50,3,0)),time*(1-(VLOOKUP('6.Inland wetlands'!Q58,list!$I$48:$K$50,3,0))))</f>
        <v>0</v>
      </c>
      <c r="AD204" s="3468">
        <f>MIN('Inl. wetlands'!S204,'Inl. wetlands'!T204)*time_tot+ABS('Inl. wetlands'!T204-'Inl. wetlands'!S204)*IF('Inl. wetlands'!T204&gt;'Inl. wetlands'!S204,time_cap+time*(VLOOKUP('6.Inland wetlands'!O58,list!$I$48:$K$50,3,0)),time*(1-(VLOOKUP('6.Inland wetlands'!O58,list!$I$48:$K$50,3,0))))</f>
        <v>0</v>
      </c>
      <c r="AE204" s="3468">
        <f>MIN('Inl. wetlands'!S204,'Inl. wetlands'!U204)*time_tot+ABS('Inl. wetlands'!U204-'Inl. wetlands'!S204)*IF('Inl. wetlands'!U204&gt;'Inl. wetlands'!S204,time_cap+time*(VLOOKUP('6.Inland wetlands'!Q58,list!$I$48:$K$50,3,0)),time*(1-(VLOOKUP('6.Inland wetlands'!Q58,list!$I$48:$K$50,3,0))))</f>
        <v>0</v>
      </c>
      <c r="AF204" s="3468">
        <f>MIN('Inl. wetlands'!V204,'Inl. wetlands'!W204)*time_tot+ABS('Inl. wetlands'!W204-'Inl. wetlands'!V204)*IF('Inl. wetlands'!W204&gt;'Inl. wetlands'!V204,time_cap+time*(VLOOKUP('6.Inland wetlands'!O58,list!$I$48:$K$50,3,0)),time*(1-(VLOOKUP('6.Inland wetlands'!O58,list!$I$48:$K$50,3,0))))</f>
        <v>0</v>
      </c>
      <c r="AG204" s="3468">
        <f>MIN('Inl. wetlands'!V204,'Inl. wetlands'!X204)*time_tot+ABS('Inl. wetlands'!X204-'Inl. wetlands'!V204)*IF('Inl. wetlands'!X204&gt;'Inl. wetlands'!V204,time_cap+time*(VLOOKUP('6.Inland wetlands'!Q58,list!$I$48:$K$50,3,0)),time*(1-(VLOOKUP('6.Inland wetlands'!Q58,list!$I$48:$K$50,3,0))))</f>
        <v>0</v>
      </c>
      <c r="AI204" s="1151">
        <f>SUM(AB197,AF197,AD197)+AB208+AD208+AF208</f>
        <v>0</v>
      </c>
      <c r="AJ204" s="1151">
        <f>SUM('Inl. wetlands'!AE197,'Inl. wetlands'!AC197,'Inl. wetlands'!AG197)+'Inl. wetlands'!AC208+'Inl. wetlands'!AE208+'Inl. wetlands'!AG208</f>
        <v>0</v>
      </c>
      <c r="AK204" s="1285">
        <f t="shared" si="102"/>
        <v>0</v>
      </c>
      <c r="AX204" s="1271"/>
    </row>
    <row r="205" spans="1:59" x14ac:dyDescent="0.15">
      <c r="A205" s="1493" t="s">
        <v>1161</v>
      </c>
      <c r="B205" s="1281" t="str">
        <f t="shared" si="103"/>
        <v>Please select</v>
      </c>
      <c r="C205" s="1121" t="str">
        <f t="shared" si="103"/>
        <v/>
      </c>
      <c r="D205" s="992">
        <f>IF('6.Inland wetlands'!S59='6.Inland wetlands'!K59, 0, '6.Inland wetlands'!T59-'Inl. wetlands'!D194)</f>
        <v>0</v>
      </c>
      <c r="E205" s="1688" t="str">
        <f t="shared" si="104"/>
        <v>Linear</v>
      </c>
      <c r="F205" s="992">
        <f>IF('6.Inland wetlands'!S59='6.Inland wetlands'!K59, 0, '6.Inland wetlands'!U59-'Inl. wetlands'!F194)</f>
        <v>0</v>
      </c>
      <c r="G205" s="1688" t="str">
        <f t="shared" si="105"/>
        <v>Linear</v>
      </c>
      <c r="H205" s="1004">
        <f>IFERROR(IF($B205="Please select",0,IF($D$145="Nutrient poor",INDEX(IPCC!$A$1910:$J$1921,MATCH(clim_moist,IPCC!$A$1910:$A$1921,0),MATCH($C205,IPCC!$A$1910:$J$1910,0)),INDEX(IPCC!$A$1928:$J$1939,MATCH(clim_moist,IPCC!$A$1928:$A$1939,0),MATCH($C205,IPCC!$A$1928:$J$1928,0)))),0)</f>
        <v>0</v>
      </c>
      <c r="I205" s="1259">
        <f>IF('6.Inland wetlands'!$DY59="",'6.Inland wetlands'!$DX59,'6.Inland wetlands'!$DY59)</f>
        <v>0</v>
      </c>
      <c r="J205" s="1004">
        <f>IFERROR(IF($B205="Please select",0,IF($D$145="Nutrient poor",INDEX(IPCC!$A$1964:$J$1975,MATCH(clim_moist,IPCC!$A$1964:$A$1975,0),MATCH($C205,IPCC!$A$1964:$J$1964,0)),INDEX(IPCC!$A$1982:$J$1993,MATCH(clim_moist,IPCC!$A$1982:$A$1993,0),MATCH($C205,IPCC!$A$1982:$J$1982,0)))),0)</f>
        <v>0</v>
      </c>
      <c r="K205" s="1259">
        <f>IF('6.Inland wetlands'!$EA59="",'6.Inland wetlands'!$DZ59,'6.Inland wetlands'!$EA59)</f>
        <v>0</v>
      </c>
      <c r="L205" s="1004">
        <f>IFERROR(IF($B205="Please select",0,INDEX(IPCC!$A$2000:$J$2011,MATCH(clim_moist,IPCC!$A$2000:$A$2011,0),MATCH($C205,IPCC!$A$2000:$J$2000,0))),0)</f>
        <v>0</v>
      </c>
      <c r="M205" s="1259">
        <f>IF('6.Inland wetlands'!$EC59="",'6.Inland wetlands'!$EB59,'6.Inland wetlands'!$EC59)</f>
        <v>0</v>
      </c>
      <c r="N205" s="1260">
        <f>IFERROR(IF($B194="Please select",0,INDEX(IPCC!$A$1946:$J$1957,MATCH(clim_moist,IPCC!$A$1946:$A$1957,0),MATCH($C194,IPCC!$A$1946:$J$1946,0))),0)</f>
        <v>0</v>
      </c>
      <c r="O205" s="1259">
        <f>IF('6.Inland wetlands'!$EF59="",'6.Inland wetlands'!$EE59,'6.Inland wetlands'!$EF59)</f>
        <v>0</v>
      </c>
      <c r="P205" s="3468">
        <v>0</v>
      </c>
      <c r="Q205" s="3468">
        <f>SUM('Inl. wetlands'!$I205,'Inl. wetlands'!$O205)*44/12*D205</f>
        <v>0</v>
      </c>
      <c r="R205" s="1151">
        <f>SUM('Inl. wetlands'!$I205,'Inl. wetlands'!$O205)*44/12*F205</f>
        <v>0</v>
      </c>
      <c r="S205" s="3468">
        <v>0</v>
      </c>
      <c r="T205" s="1151">
        <f>'Inl. wetlands'!$K205/1000*16/12*methane*D205</f>
        <v>0</v>
      </c>
      <c r="U205" s="1151">
        <f>'Inl. wetlands'!$K205/1000*16/12*methane*F205</f>
        <v>0</v>
      </c>
      <c r="V205" s="3468">
        <v>0</v>
      </c>
      <c r="W205" s="1151">
        <f>'Inl. wetlands'!$M205/1000*44/28*Nitrous*D205</f>
        <v>0</v>
      </c>
      <c r="X205" s="3469">
        <f>'Inl. wetlands'!$M205/1000*44/28*Nitrous*F205</f>
        <v>0</v>
      </c>
      <c r="Y205" s="992"/>
      <c r="Z205" s="992"/>
      <c r="AA205" s="992"/>
      <c r="AB205" s="3468">
        <f>MIN('Inl. wetlands'!P205,'Inl. wetlands'!Q205)*time_tot+ABS('Inl. wetlands'!Q205-'Inl. wetlands'!P205)*IF('Inl. wetlands'!Q205&gt;'Inl. wetlands'!P205,time_cap+time*(VLOOKUP('6.Inland wetlands'!O59,list!$I$48:$K$50,3,0)),time*(1-(VLOOKUP('6.Inland wetlands'!O59,list!$I$48:$K$50,3,0))))</f>
        <v>0</v>
      </c>
      <c r="AC205" s="3468">
        <f>MIN('Inl. wetlands'!P205,'Inl. wetlands'!R205)*time_tot+ABS('Inl. wetlands'!R205-'Inl. wetlands'!P205)*IF('Inl. wetlands'!R205&gt;'Inl. wetlands'!P205,time_cap+time*(VLOOKUP('6.Inland wetlands'!Q59,list!$I$48:$K$50,3,0)),time*(1-(VLOOKUP('6.Inland wetlands'!Q59,list!$I$48:$K$50,3,0))))</f>
        <v>0</v>
      </c>
      <c r="AD205" s="3468">
        <f>MIN('Inl. wetlands'!S205,'Inl. wetlands'!T205)*time_tot+ABS('Inl. wetlands'!T205-'Inl. wetlands'!S205)*IF('Inl. wetlands'!T205&gt;'Inl. wetlands'!S205,time_cap+time*(VLOOKUP('6.Inland wetlands'!O59,list!$I$48:$K$50,3,0)),time*(1-(VLOOKUP('6.Inland wetlands'!O59,list!$I$48:$K$50,3,0))))</f>
        <v>0</v>
      </c>
      <c r="AE205" s="3468">
        <f>MIN('Inl. wetlands'!S205,'Inl. wetlands'!U205)*time_tot+ABS('Inl. wetlands'!U205-'Inl. wetlands'!S205)*IF('Inl. wetlands'!U205&gt;'Inl. wetlands'!S205,time_cap+time*(VLOOKUP('6.Inland wetlands'!Q59,list!$I$48:$K$50,3,0)),time*(1-(VLOOKUP('6.Inland wetlands'!Q59,list!$I$48:$K$50,3,0))))</f>
        <v>0</v>
      </c>
      <c r="AF205" s="3468">
        <f>MIN('Inl. wetlands'!V205,'Inl. wetlands'!W205)*time_tot+ABS('Inl. wetlands'!W205-'Inl. wetlands'!V205)*IF('Inl. wetlands'!W205&gt;'Inl. wetlands'!V205,time_cap+time*(VLOOKUP('6.Inland wetlands'!O59,list!$I$48:$K$50,3,0)),time*(1-(VLOOKUP('6.Inland wetlands'!O59,list!$I$48:$K$50,3,0))))</f>
        <v>0</v>
      </c>
      <c r="AG205" s="3468">
        <f>MIN('Inl. wetlands'!V205,'Inl. wetlands'!X205)*time_tot+ABS('Inl. wetlands'!X205-'Inl. wetlands'!V205)*IF('Inl. wetlands'!X205&gt;'Inl. wetlands'!V205,time_cap+time*(VLOOKUP('6.Inland wetlands'!Q59,list!$I$48:$K$50,3,0)),time*(1-(VLOOKUP('6.Inland wetlands'!Q59,list!$I$48:$K$50,3,0))))</f>
        <v>0</v>
      </c>
      <c r="AI205" s="1151">
        <f>SUM(AB198,AF198,AD198)+AB209+AD209+AF209</f>
        <v>0</v>
      </c>
      <c r="AJ205" s="1151">
        <f>SUM('Inl. wetlands'!AE198,'Inl. wetlands'!AC198,'Inl. wetlands'!AG198)+'Inl. wetlands'!AC209+'Inl. wetlands'!AE209+'Inl. wetlands'!AG209</f>
        <v>0</v>
      </c>
      <c r="AK205" s="1286">
        <f t="shared" si="102"/>
        <v>0</v>
      </c>
      <c r="AX205" s="1271"/>
    </row>
    <row r="206" spans="1:59" x14ac:dyDescent="0.15">
      <c r="A206" s="1493" t="s">
        <v>1162</v>
      </c>
      <c r="B206" s="1281" t="str">
        <f t="shared" si="103"/>
        <v>Please select</v>
      </c>
      <c r="C206" s="1121" t="str">
        <f t="shared" si="103"/>
        <v/>
      </c>
      <c r="D206" s="992">
        <f>IF('6.Inland wetlands'!S60='6.Inland wetlands'!K60, 0, '6.Inland wetlands'!T60-'Inl. wetlands'!D195)</f>
        <v>0</v>
      </c>
      <c r="E206" s="1688" t="str">
        <f t="shared" si="104"/>
        <v>Linear</v>
      </c>
      <c r="F206" s="992">
        <f>IF('6.Inland wetlands'!S60='6.Inland wetlands'!K60, 0, '6.Inland wetlands'!U60-'Inl. wetlands'!F195)</f>
        <v>0</v>
      </c>
      <c r="G206" s="1688" t="str">
        <f t="shared" si="105"/>
        <v>Linear</v>
      </c>
      <c r="H206" s="1004">
        <f>IFERROR(IF($B206="Please select",0,IF($D$145="Nutrient poor",INDEX(IPCC!$A$1910:$J$1921,MATCH(clim_moist,IPCC!$A$1910:$A$1921,0),MATCH($C206,IPCC!$A$1910:$J$1910,0)),INDEX(IPCC!$A$1928:$J$1939,MATCH(clim_moist,IPCC!$A$1928:$A$1939,0),MATCH($C206,IPCC!$A$1928:$J$1928,0)))),0)</f>
        <v>0</v>
      </c>
      <c r="I206" s="1259">
        <f>IF('6.Inland wetlands'!$DY60="",'6.Inland wetlands'!$DX60,'6.Inland wetlands'!$DY60)</f>
        <v>0</v>
      </c>
      <c r="J206" s="1004">
        <f>IFERROR(IF($B206="Please select",0,IF($D$145="Nutrient poor",INDEX(IPCC!$A$1964:$J$1975,MATCH(clim_moist,IPCC!$A$1964:$A$1975,0),MATCH($C206,IPCC!$A$1964:$J$1964,0)),INDEX(IPCC!$A$1982:$J$1993,MATCH(clim_moist,IPCC!$A$1982:$A$1993,0),MATCH($C206,IPCC!$A$1982:$J$1982,0)))),0)</f>
        <v>0</v>
      </c>
      <c r="K206" s="1259">
        <f>IF('6.Inland wetlands'!$EA60="",'6.Inland wetlands'!$DZ60,'6.Inland wetlands'!$EA60)</f>
        <v>0</v>
      </c>
      <c r="L206" s="1004">
        <f>IFERROR(IF($B206="Please select",0,INDEX(IPCC!$A$2000:$J$2011,MATCH(clim_moist,IPCC!$A$2000:$A$2011,0),MATCH($C206,IPCC!$A$2000:$J$2000,0))),0)</f>
        <v>0</v>
      </c>
      <c r="M206" s="1259">
        <f>IF('6.Inland wetlands'!$EC60="",'6.Inland wetlands'!$EB60,'6.Inland wetlands'!$EC60)</f>
        <v>0</v>
      </c>
      <c r="N206" s="1260">
        <f>IFERROR(IF($B195="Please select",0,INDEX(IPCC!$A$1946:$J$1957,MATCH(clim_moist,IPCC!$A$1946:$A$1957,0),MATCH($C195,IPCC!$A$1946:$J$1946,0))),0)</f>
        <v>0</v>
      </c>
      <c r="O206" s="1259">
        <f>IF('6.Inland wetlands'!$EF60="",'6.Inland wetlands'!$EE60,'6.Inland wetlands'!$EF60)</f>
        <v>0</v>
      </c>
      <c r="P206" s="3468">
        <v>0</v>
      </c>
      <c r="Q206" s="3468">
        <f>SUM('Inl. wetlands'!$I206,'Inl. wetlands'!$O206)*44/12*D206</f>
        <v>0</v>
      </c>
      <c r="R206" s="1151">
        <f>SUM('Inl. wetlands'!$I206,'Inl. wetlands'!$O206)*44/12*F206</f>
        <v>0</v>
      </c>
      <c r="S206" s="3468">
        <v>0</v>
      </c>
      <c r="T206" s="1151">
        <f>'Inl. wetlands'!$K206/1000*16/12*methane*D206</f>
        <v>0</v>
      </c>
      <c r="U206" s="1151">
        <f>'Inl. wetlands'!$K206/1000*16/12*methane*F206</f>
        <v>0</v>
      </c>
      <c r="V206" s="3468">
        <v>0</v>
      </c>
      <c r="W206" s="1151">
        <f>'Inl. wetlands'!$M206/1000*44/28*Nitrous*D206</f>
        <v>0</v>
      </c>
      <c r="X206" s="3469">
        <f>'Inl. wetlands'!$M206/1000*44/28*Nitrous*F206</f>
        <v>0</v>
      </c>
      <c r="Y206" s="992"/>
      <c r="Z206" s="992"/>
      <c r="AA206" s="992"/>
      <c r="AB206" s="3468">
        <f>MIN('Inl. wetlands'!P206,'Inl. wetlands'!Q206)*time_tot+ABS('Inl. wetlands'!Q206-'Inl. wetlands'!P206)*IF('Inl. wetlands'!Q206&gt;'Inl. wetlands'!P206,time_cap+time*(VLOOKUP('6.Inland wetlands'!O60,list!$I$48:$K$50,3,0)),time*(1-(VLOOKUP('6.Inland wetlands'!O60,list!$I$48:$K$50,3,0))))</f>
        <v>0</v>
      </c>
      <c r="AC206" s="3468">
        <f>MIN('Inl. wetlands'!P206,'Inl. wetlands'!R206)*time_tot+ABS('Inl. wetlands'!R206-'Inl. wetlands'!P206)*IF('Inl. wetlands'!R206&gt;'Inl. wetlands'!P206,time_cap+time*(VLOOKUP('6.Inland wetlands'!Q60,list!$I$48:$K$50,3,0)),time*(1-(VLOOKUP('6.Inland wetlands'!Q60,list!$I$48:$K$50,3,0))))</f>
        <v>0</v>
      </c>
      <c r="AD206" s="3468">
        <f>MIN('Inl. wetlands'!S206,'Inl. wetlands'!T206)*time_tot+ABS('Inl. wetlands'!T206-'Inl. wetlands'!S206)*IF('Inl. wetlands'!T206&gt;'Inl. wetlands'!S206,time_cap+time*(VLOOKUP('6.Inland wetlands'!O60,list!$I$48:$K$50,3,0)),time*(1-(VLOOKUP('6.Inland wetlands'!O60,list!$I$48:$K$50,3,0))))</f>
        <v>0</v>
      </c>
      <c r="AE206" s="3468">
        <f>MIN('Inl. wetlands'!S206,'Inl. wetlands'!U206)*time_tot+ABS('Inl. wetlands'!U206-'Inl. wetlands'!S206)*IF('Inl. wetlands'!U206&gt;'Inl. wetlands'!S206,time_cap+time*(VLOOKUP('6.Inland wetlands'!Q60,list!$I$48:$K$50,3,0)),time*(1-(VLOOKUP('6.Inland wetlands'!Q60,list!$I$48:$K$50,3,0))))</f>
        <v>0</v>
      </c>
      <c r="AF206" s="3468">
        <f>MIN('Inl. wetlands'!V206,'Inl. wetlands'!W206)*time_tot+ABS('Inl. wetlands'!W206-'Inl. wetlands'!V206)*IF('Inl. wetlands'!W206&gt;'Inl. wetlands'!V206,time_cap+time*(VLOOKUP('6.Inland wetlands'!O60,list!$I$48:$K$50,3,0)),time*(1-(VLOOKUP('6.Inland wetlands'!O60,list!$I$48:$K$50,3,0))))</f>
        <v>0</v>
      </c>
      <c r="AG206" s="3468">
        <f>MIN('Inl. wetlands'!V206,'Inl. wetlands'!X206)*time_tot+ABS('Inl. wetlands'!X206-'Inl. wetlands'!V206)*IF('Inl. wetlands'!X206&gt;'Inl. wetlands'!V206,time_cap+time*(VLOOKUP('6.Inland wetlands'!Q60,list!$I$48:$K$50,3,0)),time*(1-(VLOOKUP('6.Inland wetlands'!Q60,list!$I$48:$K$50,3,0))))</f>
        <v>0</v>
      </c>
      <c r="AX206" s="1271"/>
    </row>
    <row r="207" spans="1:59" x14ac:dyDescent="0.15">
      <c r="A207" s="1493" t="s">
        <v>1163</v>
      </c>
      <c r="B207" s="1281" t="str">
        <f t="shared" si="103"/>
        <v>Please select</v>
      </c>
      <c r="C207" s="1121" t="str">
        <f t="shared" si="103"/>
        <v/>
      </c>
      <c r="D207" s="992">
        <f>IF('6.Inland wetlands'!S61='6.Inland wetlands'!K61, 0, '6.Inland wetlands'!T61-'Inl. wetlands'!D196)</f>
        <v>0</v>
      </c>
      <c r="E207" s="1688" t="str">
        <f t="shared" si="104"/>
        <v>Linear</v>
      </c>
      <c r="F207" s="992">
        <f>IF('6.Inland wetlands'!S61='6.Inland wetlands'!K61, 0, '6.Inland wetlands'!U61-'Inl. wetlands'!F196)</f>
        <v>0</v>
      </c>
      <c r="G207" s="1688" t="str">
        <f t="shared" si="105"/>
        <v>Linear</v>
      </c>
      <c r="H207" s="1004">
        <f>IFERROR(IF($B207="Please select",0,IF($D$145="Nutrient poor",INDEX(IPCC!$A$1910:$J$1921,MATCH(clim_moist,IPCC!$A$1910:$A$1921,0),MATCH($C207,IPCC!$A$1910:$J$1910,0)),INDEX(IPCC!$A$1928:$J$1939,MATCH(clim_moist,IPCC!$A$1928:$A$1939,0),MATCH($C207,IPCC!$A$1928:$J$1928,0)))),0)</f>
        <v>0</v>
      </c>
      <c r="I207" s="1259">
        <f>IF('6.Inland wetlands'!$DY61="",'6.Inland wetlands'!$DX61,'6.Inland wetlands'!$DY61)</f>
        <v>0</v>
      </c>
      <c r="J207" s="1004">
        <f>IFERROR(IF($B207="Please select",0,IF($D$145="Nutrient poor",INDEX(IPCC!$A$1964:$J$1975,MATCH(clim_moist,IPCC!$A$1964:$A$1975,0),MATCH($C207,IPCC!$A$1964:$J$1964,0)),INDEX(IPCC!$A$1982:$J$1993,MATCH(clim_moist,IPCC!$A$1982:$A$1993,0),MATCH($C207,IPCC!$A$1982:$J$1982,0)))),0)</f>
        <v>0</v>
      </c>
      <c r="K207" s="1259">
        <f>IF('6.Inland wetlands'!$EA61="",'6.Inland wetlands'!$DZ61,'6.Inland wetlands'!$EA61)</f>
        <v>0</v>
      </c>
      <c r="L207" s="1004">
        <f>IFERROR(IF($B207="Please select",0,INDEX(IPCC!$A$2000:$J$2011,MATCH(clim_moist,IPCC!$A$2000:$A$2011,0),MATCH($C207,IPCC!$A$2000:$J$2000,0))),0)</f>
        <v>0</v>
      </c>
      <c r="M207" s="1259">
        <f>IF('6.Inland wetlands'!$EC61="",'6.Inland wetlands'!$EB61,'6.Inland wetlands'!$EC61)</f>
        <v>0</v>
      </c>
      <c r="N207" s="1260">
        <f>IFERROR(IF($B196="Please select",0,INDEX(IPCC!$A$1946:$J$1957,MATCH(clim_moist,IPCC!$A$1946:$A$1957,0),MATCH($C196,IPCC!$A$1946:$J$1946,0))),0)</f>
        <v>0</v>
      </c>
      <c r="O207" s="1259">
        <f>IF('6.Inland wetlands'!$EF61="",'6.Inland wetlands'!$EE61,'6.Inland wetlands'!$EF61)</f>
        <v>0</v>
      </c>
      <c r="P207" s="3468">
        <v>0</v>
      </c>
      <c r="Q207" s="3468">
        <f>SUM('Inl. wetlands'!$I207,'Inl. wetlands'!$O207)*44/12*D207</f>
        <v>0</v>
      </c>
      <c r="R207" s="1151">
        <f>SUM('Inl. wetlands'!$I207,'Inl. wetlands'!$O207)*44/12*F207</f>
        <v>0</v>
      </c>
      <c r="S207" s="3468">
        <v>0</v>
      </c>
      <c r="T207" s="1151">
        <f>'Inl. wetlands'!$K207/1000*16/12*methane*D207</f>
        <v>0</v>
      </c>
      <c r="U207" s="1151">
        <f>'Inl. wetlands'!$K207/1000*16/12*methane*F207</f>
        <v>0</v>
      </c>
      <c r="V207" s="3468">
        <v>0</v>
      </c>
      <c r="W207" s="1151">
        <f>'Inl. wetlands'!$M207/1000*44/28*Nitrous*D207</f>
        <v>0</v>
      </c>
      <c r="X207" s="3469">
        <f>'Inl. wetlands'!$M207/1000*44/28*Nitrous*F207</f>
        <v>0</v>
      </c>
      <c r="Y207" s="992"/>
      <c r="Z207" s="992"/>
      <c r="AA207" s="992"/>
      <c r="AB207" s="3468">
        <f>MIN('Inl. wetlands'!P207,'Inl. wetlands'!Q207)*time_tot+ABS('Inl. wetlands'!Q207-'Inl. wetlands'!P207)*IF('Inl. wetlands'!Q207&gt;'Inl. wetlands'!P207,time_cap+time*(VLOOKUP('6.Inland wetlands'!O61,list!$I$48:$K$50,3,0)),time*(1-(VLOOKUP('6.Inland wetlands'!O61,list!$I$48:$K$50,3,0))))</f>
        <v>0</v>
      </c>
      <c r="AC207" s="3468">
        <f>MIN('Inl. wetlands'!P207,'Inl. wetlands'!R207)*time_tot+ABS('Inl. wetlands'!R207-'Inl. wetlands'!P207)*IF('Inl. wetlands'!R207&gt;'Inl. wetlands'!P207,time_cap+time*(VLOOKUP('6.Inland wetlands'!Q61,list!$I$48:$K$50,3,0)),time*(1-(VLOOKUP('6.Inland wetlands'!Q61,list!$I$48:$K$50,3,0))))</f>
        <v>0</v>
      </c>
      <c r="AD207" s="3468">
        <f>MIN('Inl. wetlands'!S207,'Inl. wetlands'!T207)*time_tot+ABS('Inl. wetlands'!T207-'Inl. wetlands'!S207)*IF('Inl. wetlands'!T207&gt;'Inl. wetlands'!S207,time_cap+time*(VLOOKUP('6.Inland wetlands'!O61,list!$I$48:$K$50,3,0)),time*(1-(VLOOKUP('6.Inland wetlands'!O61,list!$I$48:$K$50,3,0))))</f>
        <v>0</v>
      </c>
      <c r="AE207" s="3468">
        <f>MIN('Inl. wetlands'!S207,'Inl. wetlands'!U207)*time_tot+ABS('Inl. wetlands'!U207-'Inl. wetlands'!S207)*IF('Inl. wetlands'!U207&gt;'Inl. wetlands'!S207,time_cap+time*(VLOOKUP('6.Inland wetlands'!Q61,list!$I$48:$K$50,3,0)),time*(1-(VLOOKUP('6.Inland wetlands'!Q61,list!$I$48:$K$50,3,0))))</f>
        <v>0</v>
      </c>
      <c r="AF207" s="3468">
        <f>MIN('Inl. wetlands'!V207,'Inl. wetlands'!W207)*time_tot+ABS('Inl. wetlands'!W207-'Inl. wetlands'!V207)*IF('Inl. wetlands'!W207&gt;'Inl. wetlands'!V207,time_cap+time*(VLOOKUP('6.Inland wetlands'!O61,list!$I$48:$K$50,3,0)),time*(1-(VLOOKUP('6.Inland wetlands'!O61,list!$I$48:$K$50,3,0))))</f>
        <v>0</v>
      </c>
      <c r="AG207" s="3468">
        <f>MIN('Inl. wetlands'!V207,'Inl. wetlands'!X207)*time_tot+ABS('Inl. wetlands'!X207-'Inl. wetlands'!V207)*IF('Inl. wetlands'!X207&gt;'Inl. wetlands'!V207,time_cap+time*(VLOOKUP('6.Inland wetlands'!Q61,list!$I$48:$K$50,3,0)),time*(1-(VLOOKUP('6.Inland wetlands'!Q61,list!$I$48:$K$50,3,0))))</f>
        <v>0</v>
      </c>
      <c r="AX207" s="1271"/>
    </row>
    <row r="208" spans="1:59" x14ac:dyDescent="0.15">
      <c r="A208" s="1493" t="s">
        <v>1164</v>
      </c>
      <c r="B208" s="1281" t="str">
        <f t="shared" si="103"/>
        <v>Please select</v>
      </c>
      <c r="C208" s="1121" t="str">
        <f t="shared" si="103"/>
        <v/>
      </c>
      <c r="D208" s="992">
        <f>IF('6.Inland wetlands'!S62='6.Inland wetlands'!K62, 0, '6.Inland wetlands'!T62-'Inl. wetlands'!D197)</f>
        <v>0</v>
      </c>
      <c r="E208" s="1688" t="str">
        <f t="shared" si="104"/>
        <v>Linear</v>
      </c>
      <c r="F208" s="992">
        <f>IF('6.Inland wetlands'!S62='6.Inland wetlands'!K62, 0, '6.Inland wetlands'!U62-'Inl. wetlands'!F197)</f>
        <v>0</v>
      </c>
      <c r="G208" s="1688" t="str">
        <f t="shared" si="105"/>
        <v>Linear</v>
      </c>
      <c r="H208" s="1004">
        <f>IFERROR(IF($B208="Please select",0,IF($D$145="Nutrient poor",INDEX(IPCC!$A$1910:$J$1921,MATCH(clim_moist,IPCC!$A$1910:$A$1921,0),MATCH($C208,IPCC!$A$1910:$J$1910,0)),INDEX(IPCC!$A$1928:$J$1939,MATCH(clim_moist,IPCC!$A$1928:$A$1939,0),MATCH($C208,IPCC!$A$1928:$J$1928,0)))),0)</f>
        <v>0</v>
      </c>
      <c r="I208" s="1259">
        <f>IF('6.Inland wetlands'!$DY62="",'6.Inland wetlands'!$DX62,'6.Inland wetlands'!$DY62)</f>
        <v>0</v>
      </c>
      <c r="J208" s="1004">
        <f>IFERROR(IF($B208="Please select",0,IF($D$145="Nutrient poor",INDEX(IPCC!$A$1964:$J$1975,MATCH(clim_moist,IPCC!$A$1964:$A$1975,0),MATCH($C208,IPCC!$A$1964:$J$1964,0)),INDEX(IPCC!$A$1982:$J$1993,MATCH(clim_moist,IPCC!$A$1982:$A$1993,0),MATCH($C208,IPCC!$A$1982:$J$1982,0)))),0)</f>
        <v>0</v>
      </c>
      <c r="K208" s="1259">
        <f>IF('6.Inland wetlands'!$EA62="",'6.Inland wetlands'!$DZ62,'6.Inland wetlands'!$EA62)</f>
        <v>0</v>
      </c>
      <c r="L208" s="1004">
        <f>IFERROR(IF($B208="Please select",0,INDEX(IPCC!$A$2000:$J$2011,MATCH(clim_moist,IPCC!$A$2000:$A$2011,0),MATCH($C208,IPCC!$A$2000:$J$2000,0))),0)</f>
        <v>0</v>
      </c>
      <c r="M208" s="1259">
        <f>IF('6.Inland wetlands'!$EC62="",'6.Inland wetlands'!$EB62,'6.Inland wetlands'!$EC62)</f>
        <v>0</v>
      </c>
      <c r="N208" s="1260">
        <f>IFERROR(IF($B197="Please select",0,INDEX(IPCC!$A$1946:$J$1957,MATCH(clim_moist,IPCC!$A$1946:$A$1957,0),MATCH($C197,IPCC!$A$1946:$J$1946,0))),0)</f>
        <v>0</v>
      </c>
      <c r="O208" s="1259">
        <f>IF('6.Inland wetlands'!$EF62="",'6.Inland wetlands'!$EE62,'6.Inland wetlands'!$EF62)</f>
        <v>0</v>
      </c>
      <c r="P208" s="3468">
        <v>0</v>
      </c>
      <c r="Q208" s="3468">
        <f>SUM('Inl. wetlands'!$I208,'Inl. wetlands'!$O208)*44/12*D208</f>
        <v>0</v>
      </c>
      <c r="R208" s="1151">
        <f>SUM('Inl. wetlands'!$I208,'Inl. wetlands'!$O208)*44/12*F208</f>
        <v>0</v>
      </c>
      <c r="S208" s="3468">
        <v>0</v>
      </c>
      <c r="T208" s="1151">
        <f>'Inl. wetlands'!$K208/1000*16/12*methane*D208</f>
        <v>0</v>
      </c>
      <c r="U208" s="1151">
        <f>'Inl. wetlands'!$K208/1000*16/12*methane*F208</f>
        <v>0</v>
      </c>
      <c r="V208" s="3468">
        <v>0</v>
      </c>
      <c r="W208" s="1151">
        <f>'Inl. wetlands'!$M208/1000*44/28*Nitrous*D208</f>
        <v>0</v>
      </c>
      <c r="X208" s="3469">
        <f>'Inl. wetlands'!$M208/1000*44/28*Nitrous*F208</f>
        <v>0</v>
      </c>
      <c r="Y208" s="992"/>
      <c r="Z208" s="992"/>
      <c r="AA208" s="992"/>
      <c r="AB208" s="3468">
        <f>MIN('Inl. wetlands'!P208,'Inl. wetlands'!Q208)*time_tot+ABS('Inl. wetlands'!Q208-'Inl. wetlands'!P208)*IF('Inl. wetlands'!Q208&gt;'Inl. wetlands'!P208,time_cap+time*(VLOOKUP('6.Inland wetlands'!O62,list!$I$48:$K$50,3,0)),time*(1-(VLOOKUP('6.Inland wetlands'!O62,list!$I$48:$K$50,3,0))))</f>
        <v>0</v>
      </c>
      <c r="AC208" s="3468">
        <f>MIN('Inl. wetlands'!P208,'Inl. wetlands'!R208)*time_tot+ABS('Inl. wetlands'!R208-'Inl. wetlands'!P208)*IF('Inl. wetlands'!R208&gt;'Inl. wetlands'!P208,time_cap+time*(VLOOKUP('6.Inland wetlands'!Q62,list!$I$48:$K$50,3,0)),time*(1-(VLOOKUP('6.Inland wetlands'!Q62,list!$I$48:$K$50,3,0))))</f>
        <v>0</v>
      </c>
      <c r="AD208" s="3468">
        <f>MIN('Inl. wetlands'!S208,'Inl. wetlands'!T208)*time_tot+ABS('Inl. wetlands'!T208-'Inl. wetlands'!S208)*IF('Inl. wetlands'!T208&gt;'Inl. wetlands'!S208,time_cap+time*(VLOOKUP('6.Inland wetlands'!O62,list!$I$48:$K$50,3,0)),time*(1-(VLOOKUP('6.Inland wetlands'!O62,list!$I$48:$K$50,3,0))))</f>
        <v>0</v>
      </c>
      <c r="AE208" s="3468">
        <f>MIN('Inl. wetlands'!S208,'Inl. wetlands'!U208)*time_tot+ABS('Inl. wetlands'!U208-'Inl. wetlands'!S208)*IF('Inl. wetlands'!U208&gt;'Inl. wetlands'!S208,time_cap+time*(VLOOKUP('6.Inland wetlands'!Q62,list!$I$48:$K$50,3,0)),time*(1-(VLOOKUP('6.Inland wetlands'!Q62,list!$I$48:$K$50,3,0))))</f>
        <v>0</v>
      </c>
      <c r="AF208" s="3468">
        <f>MIN('Inl. wetlands'!V208,'Inl. wetlands'!W208)*time_tot+ABS('Inl. wetlands'!W208-'Inl. wetlands'!V208)*IF('Inl. wetlands'!W208&gt;'Inl. wetlands'!V208,time_cap+time*(VLOOKUP('6.Inland wetlands'!O62,list!$I$48:$K$50,3,0)),time*(1-(VLOOKUP('6.Inland wetlands'!O62,list!$I$48:$K$50,3,0))))</f>
        <v>0</v>
      </c>
      <c r="AG208" s="3468">
        <f>MIN('Inl. wetlands'!V208,'Inl. wetlands'!X208)*time_tot+ABS('Inl. wetlands'!X208-'Inl. wetlands'!V208)*IF('Inl. wetlands'!X208&gt;'Inl. wetlands'!V208,time_cap+time*(VLOOKUP('6.Inland wetlands'!Q62,list!$I$48:$K$50,3,0)),time*(1-(VLOOKUP('6.Inland wetlands'!Q62,list!$I$48:$K$50,3,0))))</f>
        <v>0</v>
      </c>
      <c r="AX208" s="1271"/>
    </row>
    <row r="209" spans="1:72" x14ac:dyDescent="0.15">
      <c r="A209" s="1493" t="s">
        <v>1165</v>
      </c>
      <c r="B209" s="1281" t="str">
        <f t="shared" si="103"/>
        <v>Please select</v>
      </c>
      <c r="C209" s="1121" t="str">
        <f t="shared" si="103"/>
        <v/>
      </c>
      <c r="D209" s="992">
        <f>IF('6.Inland wetlands'!S63='6.Inland wetlands'!K63, 0, '6.Inland wetlands'!T63-'Inl. wetlands'!D198)</f>
        <v>0</v>
      </c>
      <c r="E209" s="1688" t="str">
        <f t="shared" si="104"/>
        <v>Linear</v>
      </c>
      <c r="F209" s="992">
        <f>IF('6.Inland wetlands'!S63='6.Inland wetlands'!K63, 0, '6.Inland wetlands'!U63-'Inl. wetlands'!F198)</f>
        <v>0</v>
      </c>
      <c r="G209" s="1688" t="str">
        <f t="shared" si="105"/>
        <v>Linear</v>
      </c>
      <c r="H209" s="1004">
        <f>IFERROR(IF($B209="Please select",0,IF($D$145="Nutrient poor",INDEX(IPCC!$A$1910:$J$1921,MATCH(clim_moist,IPCC!$A$1910:$A$1921,0),MATCH($C209,IPCC!$A$1910:$J$1910,0)),INDEX(IPCC!$A$1928:$J$1939,MATCH(clim_moist,IPCC!$A$1928:$A$1939,0),MATCH($C209,IPCC!$A$1928:$J$1928,0)))),0)</f>
        <v>0</v>
      </c>
      <c r="I209" s="1259">
        <f>IF('6.Inland wetlands'!$DY63="",'6.Inland wetlands'!$DX63,'6.Inland wetlands'!$DY63)</f>
        <v>0</v>
      </c>
      <c r="J209" s="1004">
        <f>IFERROR(IF($B209="Please select",0,IF($D$145="Nutrient poor",INDEX(IPCC!$A$1964:$J$1975,MATCH(clim_moist,IPCC!$A$1964:$A$1975,0),MATCH($C209,IPCC!$A$1964:$J$1964,0)),INDEX(IPCC!$A$1982:$J$1993,MATCH(clim_moist,IPCC!$A$1982:$A$1993,0),MATCH($C209,IPCC!$A$1982:$J$1982,0)))),0)</f>
        <v>0</v>
      </c>
      <c r="K209" s="1259">
        <f>IF('6.Inland wetlands'!$EA63="",'6.Inland wetlands'!$DZ63,'6.Inland wetlands'!$EA63)</f>
        <v>0</v>
      </c>
      <c r="L209" s="1004">
        <f>IFERROR(IF($B209="Please select",0,INDEX(IPCC!$A$2000:$J$2011,MATCH(clim_moist,IPCC!$A$2000:$A$2011,0),MATCH($C209,IPCC!$A$2000:$J$2000,0))),0)</f>
        <v>0</v>
      </c>
      <c r="M209" s="1259">
        <f>IF('6.Inland wetlands'!$EC63="",'6.Inland wetlands'!$EB63,'6.Inland wetlands'!$EC63)</f>
        <v>0</v>
      </c>
      <c r="N209" s="1260">
        <f>IFERROR(IF($B198="Please select",0,INDEX(IPCC!$A$1946:$J$1957,MATCH(clim_moist,IPCC!$A$1946:$A$1957,0),MATCH($C198,IPCC!$A$1946:$J$1946,0))),0)</f>
        <v>0</v>
      </c>
      <c r="O209" s="1259">
        <f>IF('6.Inland wetlands'!$EF63="",'6.Inland wetlands'!$EE63,'6.Inland wetlands'!$EF63)</f>
        <v>0</v>
      </c>
      <c r="P209" s="3468">
        <v>0</v>
      </c>
      <c r="Q209" s="3468">
        <f>SUM('Inl. wetlands'!$I209,'Inl. wetlands'!$O209)*44/12*D209</f>
        <v>0</v>
      </c>
      <c r="R209" s="1151">
        <f>SUM('Inl. wetlands'!$I209,'Inl. wetlands'!$O209)*44/12*F209</f>
        <v>0</v>
      </c>
      <c r="S209" s="3468">
        <v>0</v>
      </c>
      <c r="T209" s="1151">
        <f>'Inl. wetlands'!$K209/1000*16/12*methane*D209</f>
        <v>0</v>
      </c>
      <c r="U209" s="1151">
        <f>'Inl. wetlands'!$K209/1000*16/12*methane*F209</f>
        <v>0</v>
      </c>
      <c r="V209" s="3468">
        <v>0</v>
      </c>
      <c r="W209" s="1151">
        <f>'Inl. wetlands'!$M209/1000*44/28*Nitrous*D209</f>
        <v>0</v>
      </c>
      <c r="X209" s="3469">
        <f>'Inl. wetlands'!$M209/1000*44/28*Nitrous*F209</f>
        <v>0</v>
      </c>
      <c r="Y209" s="992"/>
      <c r="Z209" s="992"/>
      <c r="AA209" s="992"/>
      <c r="AB209" s="3468">
        <f>MIN('Inl. wetlands'!P209,'Inl. wetlands'!Q209)*time_tot+ABS('Inl. wetlands'!Q209-'Inl. wetlands'!P209)*IF('Inl. wetlands'!Q209&gt;'Inl. wetlands'!P209,time_cap+time*(VLOOKUP('6.Inland wetlands'!O63,list!$I$48:$K$50,3,0)),time*(1-(VLOOKUP('6.Inland wetlands'!O63,list!$I$48:$K$50,3,0))))</f>
        <v>0</v>
      </c>
      <c r="AC209" s="3468">
        <f>MIN('Inl. wetlands'!P209,'Inl. wetlands'!R209)*time_tot+ABS('Inl. wetlands'!R209-'Inl. wetlands'!P209)*IF('Inl. wetlands'!R209&gt;'Inl. wetlands'!P209,time_cap+time*(VLOOKUP('6.Inland wetlands'!Q63,list!$I$48:$K$50,3,0)),time*(1-(VLOOKUP('6.Inland wetlands'!Q63,list!$I$48:$K$50,3,0))))</f>
        <v>0</v>
      </c>
      <c r="AD209" s="3468">
        <f>MIN('Inl. wetlands'!S209,'Inl. wetlands'!T209)*time_tot+ABS('Inl. wetlands'!T209-'Inl. wetlands'!S209)*IF('Inl. wetlands'!T209&gt;'Inl. wetlands'!S209,time_cap+time*(VLOOKUP('6.Inland wetlands'!O63,list!$I$48:$K$50,3,0)),time*(1-(VLOOKUP('6.Inland wetlands'!O63,list!$I$48:$K$50,3,0))))</f>
        <v>0</v>
      </c>
      <c r="AE209" s="3468">
        <f>MIN('Inl. wetlands'!S209,'Inl. wetlands'!U209)*time_tot+ABS('Inl. wetlands'!U209-'Inl. wetlands'!S209)*IF('Inl. wetlands'!U209&gt;'Inl. wetlands'!S209,time_cap+time*(VLOOKUP('6.Inland wetlands'!Q63,list!$I$48:$K$50,3,0)),time*(1-(VLOOKUP('6.Inland wetlands'!Q63,list!$I$48:$K$50,3,0))))</f>
        <v>0</v>
      </c>
      <c r="AF209" s="3468">
        <f>MIN('Inl. wetlands'!V209,'Inl. wetlands'!W209)*time_tot+ABS('Inl. wetlands'!W209-'Inl. wetlands'!V209)*IF('Inl. wetlands'!W209&gt;'Inl. wetlands'!V209,time_cap+time*(VLOOKUP('6.Inland wetlands'!O63,list!$I$48:$K$50,3,0)),time*(1-(VLOOKUP('6.Inland wetlands'!O63,list!$I$48:$K$50,3,0))))</f>
        <v>0</v>
      </c>
      <c r="AG209" s="3468">
        <f>MIN('Inl. wetlands'!V209,'Inl. wetlands'!X209)*time_tot+ABS('Inl. wetlands'!X209-'Inl. wetlands'!V209)*IF('Inl. wetlands'!X209&gt;'Inl. wetlands'!V209,time_cap+time*(VLOOKUP('6.Inland wetlands'!Q63,list!$I$48:$K$50,3,0)),time*(1-(VLOOKUP('6.Inland wetlands'!Q63,list!$I$48:$K$50,3,0))))</f>
        <v>0</v>
      </c>
      <c r="AX209" s="1271"/>
    </row>
    <row r="210" spans="1:72" x14ac:dyDescent="0.15">
      <c r="F210" s="992"/>
      <c r="G210" s="1688"/>
      <c r="H210" s="992"/>
      <c r="P210" s="992"/>
      <c r="Q210" s="992"/>
      <c r="R210" s="992"/>
      <c r="S210" s="992"/>
      <c r="T210" s="992"/>
      <c r="U210" s="992"/>
      <c r="V210" s="992"/>
      <c r="W210" s="992"/>
      <c r="X210" s="992"/>
      <c r="Y210" s="992"/>
      <c r="Z210" s="992"/>
      <c r="AA210" s="992"/>
      <c r="AB210" s="992"/>
      <c r="AX210" s="1271"/>
    </row>
    <row r="211" spans="1:72" ht="16" x14ac:dyDescent="0.2">
      <c r="F211" s="992"/>
      <c r="G211" s="1688"/>
      <c r="H211" s="992"/>
      <c r="P211" s="992"/>
      <c r="Q211" s="992"/>
      <c r="R211" s="992"/>
      <c r="S211" s="992"/>
      <c r="T211" s="992"/>
      <c r="U211" s="992"/>
      <c r="V211" s="992"/>
      <c r="W211" s="992"/>
      <c r="X211" s="992"/>
      <c r="Y211" s="992"/>
      <c r="Z211" s="992"/>
      <c r="AA211" s="992"/>
      <c r="AB211" s="992"/>
      <c r="AH211" s="1192" t="s">
        <v>1223</v>
      </c>
      <c r="AI211" s="1192">
        <f>SUM(AI200:AI205,AI171:AI176,AI151:AI156,AI134:AI139)</f>
        <v>0</v>
      </c>
      <c r="AJ211" s="1192">
        <f>SUM(AJ200:AJ205,AJ171:AJ176,AJ151:AJ156,AJ134:AJ139)</f>
        <v>0</v>
      </c>
      <c r="AK211" s="1192">
        <f>SUM(AK200:AK205,AK171:AK176,AK151:AK156,AK134:AK139)</f>
        <v>0</v>
      </c>
      <c r="AX211" s="1271"/>
    </row>
    <row r="212" spans="1:72" x14ac:dyDescent="0.15">
      <c r="AX212" s="1271"/>
      <c r="AY212" s="1271"/>
      <c r="AZ212" s="1271"/>
      <c r="BA212" s="1271"/>
      <c r="BB212" s="1271"/>
      <c r="BD212" s="1463"/>
      <c r="BF212" s="1271"/>
    </row>
    <row r="213" spans="1:72" x14ac:dyDescent="0.15">
      <c r="E213" s="3993" t="s">
        <v>1194</v>
      </c>
      <c r="F213" s="4324">
        <f>MAX(G213:H213)</f>
        <v>0</v>
      </c>
      <c r="G213" s="4324">
        <f>SUM(D193:D198)+SUM(D204:D209)</f>
        <v>0</v>
      </c>
      <c r="H213" s="4324">
        <f>SUM(F193:F198)+SUM(F204:F209)</f>
        <v>0</v>
      </c>
      <c r="AJ213" s="1445" t="s">
        <v>629</v>
      </c>
      <c r="AK213" s="1445">
        <f>SUM('6.Inland wetlands'!CG58:CG63,'6.Inland wetlands'!CI58:CI63,'6.Inland wetlands'!CK58:CK63,'6.Inland wetlands'!CN58:CN63,'6.Inland wetlands'!CP58:CP63)</f>
        <v>0</v>
      </c>
      <c r="AL213" s="973" t="s">
        <v>1224</v>
      </c>
      <c r="AX213" s="1449"/>
      <c r="AY213" s="1449"/>
      <c r="BA213" s="1449"/>
      <c r="BD213" s="1449"/>
      <c r="BF213" s="1449"/>
    </row>
    <row r="214" spans="1:72" ht="16" x14ac:dyDescent="0.2">
      <c r="W214" s="1231"/>
      <c r="X214" s="1231"/>
      <c r="Y214" s="1231"/>
      <c r="AJ214" s="1445" t="s">
        <v>629</v>
      </c>
      <c r="AK214" s="1445">
        <f>+SUM('6.Inland wetlands'!DY58:DY63,'6.Inland wetlands'!EA58:EA63,'6.Inland wetlands'!EC58:EC63,'6.Inland wetlands'!EF58:EF63)</f>
        <v>0</v>
      </c>
      <c r="AL214" s="973" t="s">
        <v>1225</v>
      </c>
    </row>
    <row r="216" spans="1:72" s="975" customFormat="1" ht="42.75" customHeight="1" x14ac:dyDescent="0.15">
      <c r="B216" s="975" t="s">
        <v>1226</v>
      </c>
      <c r="J216" s="1123"/>
      <c r="K216" s="1123"/>
      <c r="L216" s="1123"/>
      <c r="M216" s="1123"/>
      <c r="N216" s="1123"/>
    </row>
    <row r="218" spans="1:72" s="1089" customFormat="1" ht="30.5" customHeight="1" x14ac:dyDescent="0.15">
      <c r="B218" s="1112" t="s">
        <v>1227</v>
      </c>
      <c r="C218" s="1113"/>
      <c r="D218" s="1113"/>
      <c r="E218" s="1113"/>
      <c r="F218" s="1113"/>
      <c r="G218" s="1113"/>
      <c r="H218" s="1113"/>
      <c r="I218" s="1113"/>
      <c r="J218" s="1113"/>
      <c r="K218" s="1113"/>
      <c r="L218" s="1113"/>
      <c r="M218" s="1113"/>
      <c r="N218" s="1113"/>
      <c r="O218" s="1113"/>
      <c r="P218" s="1113"/>
      <c r="Q218" s="1113"/>
      <c r="R218" s="1113"/>
      <c r="S218" s="1113"/>
      <c r="T218" s="1113"/>
      <c r="U218" s="1113"/>
      <c r="V218" s="1113"/>
      <c r="W218" s="1113"/>
      <c r="X218" s="1113"/>
      <c r="Y218" s="1113"/>
      <c r="Z218" s="1113"/>
      <c r="AA218" s="1113"/>
      <c r="AB218" s="1113"/>
      <c r="AC218" s="1113"/>
      <c r="AD218" s="1113"/>
      <c r="AE218" s="1113"/>
      <c r="AF218" s="1113"/>
      <c r="AG218" s="1113"/>
      <c r="AH218" s="1113"/>
      <c r="AI218" s="1113"/>
      <c r="AJ218" s="1113"/>
      <c r="AK218" s="1113"/>
      <c r="AX218" s="1447"/>
      <c r="AY218" s="1447"/>
      <c r="AZ218" s="1447"/>
      <c r="BA218" s="1264"/>
      <c r="BB218" s="1264"/>
      <c r="BC218" s="1264"/>
      <c r="BD218" s="1264"/>
      <c r="BE218" s="1264"/>
      <c r="BF218" s="1264"/>
      <c r="BG218" s="1447"/>
    </row>
    <row r="219" spans="1:72" s="1089" customFormat="1" ht="30.5" customHeight="1" x14ac:dyDescent="0.15">
      <c r="B219" s="1228"/>
      <c r="AW219" s="973"/>
      <c r="AX219" s="1447"/>
      <c r="AY219" s="1447"/>
      <c r="AZ219" s="1447"/>
      <c r="BA219" s="1447"/>
      <c r="BB219" s="1447"/>
      <c r="BC219" s="1447"/>
      <c r="BD219" s="1447"/>
      <c r="BE219" s="1447"/>
      <c r="BF219" s="1447"/>
      <c r="BG219" s="1447"/>
    </row>
    <row r="220" spans="1:72" ht="16" x14ac:dyDescent="0.2">
      <c r="B220" s="1231" t="s">
        <v>1228</v>
      </c>
      <c r="F220" s="1262" t="s">
        <v>1229</v>
      </c>
      <c r="G220" s="1262"/>
      <c r="H220" s="1262"/>
      <c r="I220" s="1262"/>
      <c r="J220" s="1262"/>
      <c r="K220" s="1262"/>
      <c r="L220" s="1262"/>
      <c r="M220" s="1262"/>
      <c r="Q220" s="1670" t="s">
        <v>351</v>
      </c>
      <c r="R220" s="1538"/>
      <c r="S220" s="1539"/>
      <c r="T220" s="1539"/>
      <c r="U220" s="1539"/>
      <c r="V220" s="1234" t="s">
        <v>1126</v>
      </c>
      <c r="W220" s="1229"/>
      <c r="X220" s="1234" t="s">
        <v>5227</v>
      </c>
      <c r="Y220" s="1229"/>
      <c r="AA220" s="1281"/>
      <c r="AB220" s="1281"/>
      <c r="AC220" s="1281"/>
      <c r="AI220" s="1270" t="s">
        <v>1115</v>
      </c>
      <c r="AJ220" s="1115"/>
      <c r="AK220" s="1116"/>
      <c r="AX220" s="1287" t="s">
        <v>1116</v>
      </c>
      <c r="AY220" s="1501"/>
      <c r="AZ220" s="1501"/>
      <c r="BA220" s="1501"/>
      <c r="BB220" s="1501"/>
      <c r="BD220" s="1271"/>
    </row>
    <row r="221" spans="1:72" ht="18" x14ac:dyDescent="0.25">
      <c r="F221" s="1521" t="s">
        <v>200</v>
      </c>
      <c r="G221" s="1525"/>
      <c r="H221" s="1525"/>
      <c r="I221" s="1525"/>
      <c r="J221" s="1522" t="s">
        <v>201</v>
      </c>
      <c r="K221" s="1526"/>
      <c r="L221" s="1526"/>
      <c r="M221" s="1526"/>
      <c r="N221" s="1498"/>
      <c r="O221" s="1256"/>
      <c r="P221" s="1256" t="s">
        <v>354</v>
      </c>
      <c r="Q221" s="1540" t="s">
        <v>357</v>
      </c>
      <c r="R221" s="1256" t="s">
        <v>1230</v>
      </c>
      <c r="S221" s="1256" t="s">
        <v>1231</v>
      </c>
      <c r="T221" s="1256" t="s">
        <v>1230</v>
      </c>
      <c r="U221" s="1256" t="s">
        <v>1231</v>
      </c>
      <c r="V221" s="1527" t="s">
        <v>179</v>
      </c>
      <c r="W221" s="1528" t="s">
        <v>180</v>
      </c>
      <c r="X221" s="1527" t="s">
        <v>179</v>
      </c>
      <c r="Y221" s="1528" t="s">
        <v>180</v>
      </c>
      <c r="AA221" s="1281"/>
      <c r="AC221" s="1281"/>
      <c r="AI221" s="1270" t="s">
        <v>1121</v>
      </c>
      <c r="AJ221" s="1104"/>
      <c r="AK221" s="1116"/>
      <c r="AX221" s="1503" t="s">
        <v>313</v>
      </c>
      <c r="AY221" s="1502"/>
      <c r="AZ221" s="1502" t="s">
        <v>176</v>
      </c>
      <c r="BB221" s="1264" t="s">
        <v>177</v>
      </c>
      <c r="BD221" s="1450"/>
      <c r="BE221" s="1450"/>
      <c r="BF221" s="1450"/>
      <c r="BG221" s="1450"/>
      <c r="BJ221" s="1089"/>
      <c r="BK221" s="1262" t="s">
        <v>860</v>
      </c>
      <c r="BL221" s="3464"/>
      <c r="BM221" s="3464"/>
      <c r="BP221" s="1262" t="s">
        <v>861</v>
      </c>
      <c r="BQ221" s="3464"/>
      <c r="BR221" s="3464"/>
      <c r="BS221" s="3464"/>
    </row>
    <row r="222" spans="1:72" ht="16" x14ac:dyDescent="0.2">
      <c r="B222" s="1231" t="s">
        <v>93</v>
      </c>
      <c r="C222" s="1231"/>
      <c r="D222" s="1231" t="str">
        <f>B149</f>
        <v>Final land use</v>
      </c>
      <c r="E222" s="1536"/>
      <c r="F222" s="1525" t="s">
        <v>1232</v>
      </c>
      <c r="G222" s="1525"/>
      <c r="H222" s="1525" t="s">
        <v>1151</v>
      </c>
      <c r="I222" s="1525" t="s">
        <v>1152</v>
      </c>
      <c r="J222" s="1526" t="str">
        <f>F222</f>
        <v>Converted area</v>
      </c>
      <c r="K222" s="1526"/>
      <c r="L222" s="1526" t="s">
        <v>1151</v>
      </c>
      <c r="M222" s="1526" t="s">
        <v>1152</v>
      </c>
      <c r="N222" s="1529" t="s">
        <v>329</v>
      </c>
      <c r="O222" s="1256"/>
      <c r="P222" s="1256" t="s">
        <v>96</v>
      </c>
      <c r="Q222" s="1540" t="s">
        <v>363</v>
      </c>
      <c r="R222" s="1256"/>
      <c r="S222" s="1256"/>
      <c r="T222" s="1498"/>
      <c r="U222" s="1498"/>
      <c r="V222" s="1530"/>
      <c r="W222" s="1531"/>
      <c r="X222" s="1530"/>
      <c r="Y222" s="1531"/>
      <c r="AI222" s="1115" t="s">
        <v>1127</v>
      </c>
      <c r="AJ222" s="1116"/>
      <c r="AK222" s="1116"/>
    </row>
    <row r="223" spans="1:72" ht="18" x14ac:dyDescent="0.25">
      <c r="B223" s="1231" t="str">
        <f>B150</f>
        <v>User selection</v>
      </c>
      <c r="C223" s="1231" t="s">
        <v>1216</v>
      </c>
      <c r="D223" s="1231" t="str">
        <f>B223</f>
        <v>User selection</v>
      </c>
      <c r="E223" s="1231" t="s">
        <v>1216</v>
      </c>
      <c r="F223" s="1532" t="s">
        <v>371</v>
      </c>
      <c r="G223" s="1532" t="s">
        <v>225</v>
      </c>
      <c r="H223" s="1532" t="s">
        <v>1158</v>
      </c>
      <c r="I223" s="1533" t="s">
        <v>1159</v>
      </c>
      <c r="J223" s="1534" t="s">
        <v>371</v>
      </c>
      <c r="K223" s="1534" t="s">
        <v>225</v>
      </c>
      <c r="L223" s="1534" t="s">
        <v>1158</v>
      </c>
      <c r="M223" s="1535" t="s">
        <v>1159</v>
      </c>
      <c r="N223" s="1256" t="s">
        <v>363</v>
      </c>
      <c r="O223" s="1256" t="s">
        <v>1233</v>
      </c>
      <c r="P223" s="1256" t="s">
        <v>1234</v>
      </c>
      <c r="Q223" s="1541" t="s">
        <v>192</v>
      </c>
      <c r="R223" s="1542" t="s">
        <v>1235</v>
      </c>
      <c r="S223" s="1542" t="s">
        <v>1236</v>
      </c>
      <c r="T223" s="1542" t="s">
        <v>1237</v>
      </c>
      <c r="U223" s="1542" t="s">
        <v>1237</v>
      </c>
      <c r="V223" s="1530" t="s">
        <v>198</v>
      </c>
      <c r="W223" s="1531" t="s">
        <v>198</v>
      </c>
      <c r="X223" s="1530" t="s">
        <v>198</v>
      </c>
      <c r="Y223" s="1531" t="s">
        <v>198</v>
      </c>
      <c r="AA223" s="1688"/>
      <c r="AB223" s="1688"/>
      <c r="AC223" s="1688"/>
      <c r="AD223" s="1688"/>
      <c r="AI223" s="1102" t="s">
        <v>200</v>
      </c>
      <c r="AJ223" s="1103" t="s">
        <v>201</v>
      </c>
      <c r="AK223" s="1104" t="s">
        <v>324</v>
      </c>
      <c r="AX223" s="1272" t="s">
        <v>200</v>
      </c>
      <c r="AY223" s="1272" t="s">
        <v>201</v>
      </c>
      <c r="AZ223" s="1272" t="s">
        <v>200</v>
      </c>
      <c r="BA223" s="1264" t="s">
        <v>201</v>
      </c>
      <c r="BB223" s="1264" t="s">
        <v>200</v>
      </c>
      <c r="BC223" s="1264" t="s">
        <v>201</v>
      </c>
      <c r="BD223" s="1449"/>
      <c r="BE223" s="1272"/>
      <c r="BF223" s="1272"/>
      <c r="BG223" s="1272"/>
      <c r="BK223" s="1321" t="s">
        <v>866</v>
      </c>
      <c r="BL223" s="1317" t="s">
        <v>200</v>
      </c>
      <c r="BM223" s="1317" t="s">
        <v>201</v>
      </c>
      <c r="BP223" s="1321" t="s">
        <v>866</v>
      </c>
      <c r="BQ223" s="1317" t="s">
        <v>324</v>
      </c>
      <c r="BR223" s="1317" t="s">
        <v>867</v>
      </c>
      <c r="BS223" s="1318" t="s">
        <v>868</v>
      </c>
      <c r="BT223" s="1454"/>
    </row>
    <row r="224" spans="1:72" x14ac:dyDescent="0.15">
      <c r="A224" s="973" t="s">
        <v>1160</v>
      </c>
      <c r="B224" s="973" t="str">
        <f>'6.Inland wetlands'!I80</f>
        <v>Please select</v>
      </c>
      <c r="C224" s="1121" t="str">
        <f t="shared" ref="C224:C229" si="106">IF($B224="Please select","",IF(ISNUMBER(SEARCH("Annual",$B224)),"Annual",IF(ISNUMBER(SEARCH("Other",$B224)),"Other land",IF(ISNUMBER(SEARCH("Flooded rice",$B224)),"Flooded rice",IF(ISNUMBER(SEARCH("Grassland",$B224)),"Grassland",IF(ISNUMBER(SEARCH("Degraded land",$B224)),"Degraded land","Perennial"))))))</f>
        <v/>
      </c>
      <c r="D224" s="973" t="str">
        <f>'6.Inland wetlands'!K80</f>
        <v>Please select</v>
      </c>
      <c r="E224" s="1121" t="str">
        <f t="shared" ref="E224:E229" si="107">IF($D224="Please select","",IF(ISNUMBER(SEARCH("Annual",$D224)),"Annual",IF(ISNUMBER(SEARCH("Other",$D224)),"Other land",IF(ISNUMBER(SEARCH("Flooded rice",$D224)),"Flooded rice",IF(ISNUMBER(SEARCH("Grassland",$D224)),"Grassland",IF(ISNUMBER(SEARCH("Degraded land",$D224)),"Degraded land","Perennial"))))))</f>
        <v/>
      </c>
      <c r="F224" s="3468">
        <f>'6.Inland wetlands'!N80</f>
        <v>0</v>
      </c>
      <c r="G224" s="1154" t="str">
        <f>VLOOKUP('6.Inland wetlands'!O80, list!$I$48:$J$50,2,FALSE )</f>
        <v>Linear</v>
      </c>
      <c r="H224" s="1154">
        <f>'6.Inland wetlands'!DB80</f>
        <v>1</v>
      </c>
      <c r="I224" s="1155">
        <f>'6.Inland wetlands'!DC80</f>
        <v>0.01</v>
      </c>
      <c r="J224" s="3468">
        <f>'6.Inland wetlands'!P80</f>
        <v>0</v>
      </c>
      <c r="K224" s="1154" t="str">
        <f>VLOOKUP('6.Inland wetlands'!Q80, list!$I$48:$J$50,2,FALSE )</f>
        <v>Linear</v>
      </c>
      <c r="L224" s="1154">
        <f>'6.Inland wetlands'!DE80</f>
        <v>1</v>
      </c>
      <c r="M224" s="1155">
        <f>'6.Inland wetlands'!DF80</f>
        <v>0.01</v>
      </c>
      <c r="N224" s="1226">
        <f>IF('6.Inland wetlands'!$AX80="",IF($B224&lt;&gt;"Please select",INDEX(IPCC!$D$1521:$Y$1680,MATCH(clim_moist_cont,IPCC!$C$1521:$C$1680,0),MATCH($B224,IPCC!$D$1520:$Y$1520,0)),0),'6.Inland wetlands'!$AX80)</f>
        <v>0</v>
      </c>
      <c r="O224" s="1227">
        <f>IF('6.Inland wetlands'!$AX92="",IF($D224 &lt;&gt; "Please select", INDEX(IPCC!$D$686:$Y$845,MATCH(clim_moist_cont,IPCC!$C$686:$C$845,0),MATCH($D224,IPCC!$D$682:$Y$682,0)),0),'6.Inland wetlands'!$AX92)</f>
        <v>0</v>
      </c>
      <c r="P224" s="1187">
        <f t="shared" ref="P224:P229" si="108">($O224-$N224)*(-44/12)</f>
        <v>0</v>
      </c>
      <c r="Q224" s="1543">
        <f t="shared" ref="Q224:Q229" si="109">IF($C224="Annual",$N224*40%,$N224)</f>
        <v>0</v>
      </c>
      <c r="R224" s="1145">
        <f>IFERROR($Q224 *VLOOKUP($B224,  IPCC!$A$1473:$E$1496, 2, FALSE) * VLOOKUP($B224,  IPCC!$A$1473:$E$1496, 4, FALSE),0)</f>
        <v>0</v>
      </c>
      <c r="S224" s="1145">
        <f>IFERROR( Q224 *VLOOKUP($B224,  IPCC!$A$1473:$E$1496, 2, FALSE) * VLOOKUP($B224,  IPCC!$A$1473:$E$1496, 5, FALSE),0)</f>
        <v>0</v>
      </c>
      <c r="T224" s="1544">
        <f t="shared" ref="T224:T229" si="110">R224*methane</f>
        <v>0</v>
      </c>
      <c r="U224" s="1544">
        <f t="shared" ref="U224:U229" si="111">$S224*Nitrous</f>
        <v>0</v>
      </c>
      <c r="V224" s="1154">
        <f>IF('6.Inland wetlands'!G80= "NO", 0,$F224*($T224+$U224)/1000)</f>
        <v>0</v>
      </c>
      <c r="W224" s="1154">
        <f>IF('6.Inland wetlands'!G80="NO",0, $J224*($T224+$U224)/1000)</f>
        <v>0</v>
      </c>
      <c r="X224" s="1154">
        <f t="shared" ref="X224:X229" si="112">P224*F224</f>
        <v>0</v>
      </c>
      <c r="Y224" s="1154">
        <f t="shared" ref="Y224:Y229" si="113">P224*J224</f>
        <v>0</v>
      </c>
      <c r="AA224" s="1165"/>
      <c r="AB224" s="1001"/>
      <c r="AC224" s="1165"/>
      <c r="AD224" s="1001"/>
      <c r="AI224" s="1151">
        <f t="shared" ref="AI224:AI229" si="114">$F224*$P224+V224+H236+I236</f>
        <v>0</v>
      </c>
      <c r="AJ224" s="1151">
        <f t="shared" ref="AJ224:AJ229" si="115">$J224*$P224+W224+J236+K236</f>
        <v>0</v>
      </c>
      <c r="AK224" s="3473">
        <f t="shared" ref="AK224:AK229" si="116">AJ224-AI224</f>
        <v>0</v>
      </c>
      <c r="AX224" s="1449">
        <f t="shared" ref="AX224:AX229" si="117">$AI224</f>
        <v>0</v>
      </c>
      <c r="AY224" s="1449">
        <f t="shared" ref="AY224:AY229" si="118">$AJ224</f>
        <v>0</v>
      </c>
      <c r="AZ224" s="1449">
        <f>IF('6.Inland wetlands'!$G80= "yes", $F224*($T224)/1000,0)</f>
        <v>0</v>
      </c>
      <c r="BA224" s="1264">
        <f>IF('6.Inland wetlands'!$G80= "yes",$J224*($T224)/1000,0)</f>
        <v>0</v>
      </c>
      <c r="BB224" s="1264">
        <f>IF('6.Inland wetlands'!$G80= "yes",$F224*($U224)/1000,0)</f>
        <v>0</v>
      </c>
      <c r="BC224" s="1264">
        <f>IF('6.Inland wetlands'!$G80= "yes",$J224*($U224)/1000,0)</f>
        <v>0</v>
      </c>
      <c r="BD224" s="1449"/>
      <c r="BE224" s="1449"/>
      <c r="BF224" s="1449"/>
      <c r="BG224" s="1449"/>
      <c r="BK224" s="1084" t="s">
        <v>850</v>
      </c>
      <c r="BL224" s="1312">
        <f>SUMPRODUCT($P224:$P229,F224:F229)</f>
        <v>0</v>
      </c>
      <c r="BM224" s="1312">
        <f>SUMPRODUCT(P224:P229,J224:J229)</f>
        <v>0</v>
      </c>
      <c r="BN224" s="992">
        <f>BM224-BL224</f>
        <v>0</v>
      </c>
      <c r="BP224" s="1084" t="str">
        <f>BK224</f>
        <v>CO2 biomass</v>
      </c>
      <c r="BQ224" s="1312">
        <f>BM224-BL224</f>
        <v>0</v>
      </c>
      <c r="BR224" s="1312">
        <f>IF(time=0,0,BQ224)</f>
        <v>0</v>
      </c>
      <c r="BS224" s="1453">
        <f t="shared" ref="BS224:BS231" si="119">BQ224-BR224</f>
        <v>0</v>
      </c>
      <c r="BT224" s="1455">
        <f t="shared" ref="BT224:BT233" si="120">SUM(BR224:BS224)</f>
        <v>0</v>
      </c>
    </row>
    <row r="225" spans="1:72" x14ac:dyDescent="0.15">
      <c r="A225" s="973" t="s">
        <v>1161</v>
      </c>
      <c r="B225" s="973" t="str">
        <f>'6.Inland wetlands'!I81</f>
        <v>Please select</v>
      </c>
      <c r="C225" s="1121" t="str">
        <f t="shared" si="106"/>
        <v/>
      </c>
      <c r="D225" s="973" t="str">
        <f>'6.Inland wetlands'!K81</f>
        <v>Please select</v>
      </c>
      <c r="E225" s="1121" t="str">
        <f t="shared" si="107"/>
        <v/>
      </c>
      <c r="F225" s="3468">
        <f>'6.Inland wetlands'!N81</f>
        <v>0</v>
      </c>
      <c r="G225" s="1154" t="str">
        <f>VLOOKUP('6.Inland wetlands'!O81, list!$I$48:$J$50,2,FALSE )</f>
        <v>Linear</v>
      </c>
      <c r="H225" s="1154">
        <f>'6.Inland wetlands'!DB81</f>
        <v>1</v>
      </c>
      <c r="I225" s="1155">
        <f>'6.Inland wetlands'!DC81</f>
        <v>0.01</v>
      </c>
      <c r="J225" s="3468">
        <f>'6.Inland wetlands'!P81</f>
        <v>0</v>
      </c>
      <c r="K225" s="1154" t="str">
        <f>VLOOKUP('6.Inland wetlands'!Q81, list!$I$48:$J$50,2,FALSE )</f>
        <v>Linear</v>
      </c>
      <c r="L225" s="1154">
        <f>'6.Inland wetlands'!DE81</f>
        <v>1</v>
      </c>
      <c r="M225" s="1155">
        <f>'6.Inland wetlands'!DF81</f>
        <v>0.01</v>
      </c>
      <c r="N225" s="1226">
        <f>IF('6.Inland wetlands'!$AX81="",IF($B225&lt;&gt;"Please select",INDEX(IPCC!$D$1521:$Y$1680,MATCH(clim_moist_cont,IPCC!$C$1521:$C$1680,0),MATCH($B225,IPCC!$D$1520:$Y$1520,0)),0),'6.Inland wetlands'!$AX81)</f>
        <v>0</v>
      </c>
      <c r="O225" s="1227">
        <f>IF('6.Inland wetlands'!AX93="",IF($D225 &lt;&gt; "Please select", INDEX(IPCC!$D$686:$Y$845,MATCH(clim_moist_cont,IPCC!$C$686:$C$845,0),MATCH($D225,IPCC!$D$682:$Y$682,0)),0),'6.Inland wetlands'!AX93)</f>
        <v>0</v>
      </c>
      <c r="P225" s="1187">
        <f t="shared" si="108"/>
        <v>0</v>
      </c>
      <c r="Q225" s="1543">
        <f t="shared" si="109"/>
        <v>0</v>
      </c>
      <c r="R225" s="1145">
        <f>IFERROR(Q225 *VLOOKUP($B225,  IPCC!$A$1473:$E$1496, 2, FALSE) * VLOOKUP($B225,  IPCC!$A$1473:$E$1496, 4, FALSE),0)</f>
        <v>0</v>
      </c>
      <c r="S225" s="1145">
        <f>IFERROR( Q225 *VLOOKUP($B225,  IPCC!$A$1473:$E$1496, 2, FALSE) * VLOOKUP($B225,  IPCC!$A$1473:$E$1496, 5, FALSE),0)</f>
        <v>0</v>
      </c>
      <c r="T225" s="1544">
        <f t="shared" si="110"/>
        <v>0</v>
      </c>
      <c r="U225" s="1544">
        <f t="shared" si="111"/>
        <v>0</v>
      </c>
      <c r="V225" s="1154">
        <f>IF('6.Inland wetlands'!G81= "NO", 0,$F225*($T225+$U225)/1000)</f>
        <v>0</v>
      </c>
      <c r="W225" s="1154">
        <f>IF('6.Inland wetlands'!G81="NO",0, $J225*($T225+$U225)/1000)</f>
        <v>0</v>
      </c>
      <c r="X225" s="1154">
        <f t="shared" si="112"/>
        <v>0</v>
      </c>
      <c r="Y225" s="1154">
        <f t="shared" si="113"/>
        <v>0</v>
      </c>
      <c r="AA225" s="1165"/>
      <c r="AB225" s="1001"/>
      <c r="AC225" s="1165"/>
      <c r="AD225" s="1001"/>
      <c r="AI225" s="1151">
        <f t="shared" si="114"/>
        <v>0</v>
      </c>
      <c r="AJ225" s="1151">
        <f t="shared" si="115"/>
        <v>0</v>
      </c>
      <c r="AK225" s="3473">
        <f t="shared" si="116"/>
        <v>0</v>
      </c>
      <c r="AX225" s="1449">
        <f t="shared" si="117"/>
        <v>0</v>
      </c>
      <c r="AY225" s="1449">
        <f t="shared" si="118"/>
        <v>0</v>
      </c>
      <c r="AZ225" s="1449">
        <f>IF('6.Inland wetlands'!$G81= "yes", $F225*($T225)/1000,0)</f>
        <v>0</v>
      </c>
      <c r="BA225" s="1264">
        <f>IF('6.Inland wetlands'!$G81= "yes",$J225*($T225)/1000,0)</f>
        <v>0</v>
      </c>
      <c r="BB225" s="1264">
        <f>IF('6.Inland wetlands'!$G81= "yes",$F225*($U225)/1000,0)</f>
        <v>0</v>
      </c>
      <c r="BC225" s="1264">
        <f>IF('6.Inland wetlands'!$G81= "yes",$J225*($U225)/1000,0)</f>
        <v>0</v>
      </c>
      <c r="BD225" s="1449"/>
      <c r="BE225" s="1449"/>
      <c r="BF225" s="1449"/>
      <c r="BG225" s="1449"/>
      <c r="BK225" s="1084" t="s">
        <v>1129</v>
      </c>
      <c r="BL225" s="1314">
        <f>SUM($AB269:$AB274)+SUM(AB280:AB285)</f>
        <v>0</v>
      </c>
      <c r="BM225" s="1314">
        <f>SUM($AC269:$AC274)+SUM(AC280:AC285)</f>
        <v>0</v>
      </c>
      <c r="BN225" s="992">
        <f t="shared" ref="BN225:BN232" si="121">BM225-BL225</f>
        <v>0</v>
      </c>
      <c r="BP225" s="1084" t="str">
        <f t="shared" ref="BP225:BP233" si="122">BK225</f>
        <v>CO2 soil drainage</v>
      </c>
      <c r="BQ225" s="1312">
        <f t="shared" ref="BQ225:BQ233" si="123">BM225-BL225</f>
        <v>0</v>
      </c>
      <c r="BR225" s="1312">
        <f>IF(time=0,0,SUM(AY269:AY274,BE269:BE274)-SUM(AX269:AX274,BD269:BD274))</f>
        <v>0</v>
      </c>
      <c r="BS225" s="1453">
        <f t="shared" si="119"/>
        <v>0</v>
      </c>
      <c r="BT225" s="1455">
        <f t="shared" si="120"/>
        <v>0</v>
      </c>
    </row>
    <row r="226" spans="1:72" x14ac:dyDescent="0.15">
      <c r="A226" s="973" t="s">
        <v>1162</v>
      </c>
      <c r="B226" s="973" t="str">
        <f>'6.Inland wetlands'!I82</f>
        <v>Please select</v>
      </c>
      <c r="C226" s="1121" t="str">
        <f t="shared" si="106"/>
        <v/>
      </c>
      <c r="D226" s="973" t="str">
        <f>'6.Inland wetlands'!K82</f>
        <v>Please select</v>
      </c>
      <c r="E226" s="1121" t="str">
        <f t="shared" si="107"/>
        <v/>
      </c>
      <c r="F226" s="3468">
        <f>'6.Inland wetlands'!N82</f>
        <v>0</v>
      </c>
      <c r="G226" s="1154" t="str">
        <f>VLOOKUP('6.Inland wetlands'!O82, list!$I$48:$J$50,2,FALSE )</f>
        <v>Linear</v>
      </c>
      <c r="H226" s="1154">
        <f>'6.Inland wetlands'!DB82</f>
        <v>1</v>
      </c>
      <c r="I226" s="1155">
        <f>'6.Inland wetlands'!DC82</f>
        <v>0.01</v>
      </c>
      <c r="J226" s="3468">
        <f>'6.Inland wetlands'!P82</f>
        <v>0</v>
      </c>
      <c r="K226" s="1154" t="str">
        <f>VLOOKUP('6.Inland wetlands'!Q82, list!$I$48:$J$50,2,FALSE )</f>
        <v>Linear</v>
      </c>
      <c r="L226" s="1154">
        <f>'6.Inland wetlands'!DE82</f>
        <v>1</v>
      </c>
      <c r="M226" s="1155">
        <f>'6.Inland wetlands'!DF82</f>
        <v>0.01</v>
      </c>
      <c r="N226" s="1226">
        <f>IF('6.Inland wetlands'!$AX82="",IF($B226&lt;&gt;"Please select",INDEX(IPCC!$D$1521:$Y$1680,MATCH(clim_moist_cont,IPCC!$C$1521:$C$1680,0),MATCH($B226,IPCC!$D$1520:$Y$1520,0)),0),'6.Inland wetlands'!$AX82)</f>
        <v>0</v>
      </c>
      <c r="O226" s="1227">
        <f>IF('6.Inland wetlands'!AX94="",IF($D226 &lt;&gt; "Please select", INDEX(IPCC!$D$686:$Y$845,MATCH(clim_moist_cont,IPCC!$C$686:$C$845,0),MATCH($D226,IPCC!$D$682:$Y$682,0)),0),'6.Inland wetlands'!AX94)</f>
        <v>0</v>
      </c>
      <c r="P226" s="1187">
        <f t="shared" si="108"/>
        <v>0</v>
      </c>
      <c r="Q226" s="1543">
        <f t="shared" si="109"/>
        <v>0</v>
      </c>
      <c r="R226" s="1145">
        <f>IFERROR(Q226 *VLOOKUP($B226,  IPCC!$A$1473:$E$1496, 2, FALSE) * VLOOKUP($B226,  IPCC!$A$1473:$E$1496, 4, FALSE),0)</f>
        <v>0</v>
      </c>
      <c r="S226" s="1145">
        <f>IFERROR( Q226 *VLOOKUP($B226,  IPCC!$A$1473:$E$1496, 2, FALSE) * VLOOKUP($B226,  IPCC!$A$1473:$E$1496, 5, FALSE),0)</f>
        <v>0</v>
      </c>
      <c r="T226" s="1544">
        <f t="shared" si="110"/>
        <v>0</v>
      </c>
      <c r="U226" s="1544">
        <f t="shared" si="111"/>
        <v>0</v>
      </c>
      <c r="V226" s="1154">
        <f>IF('6.Inland wetlands'!G82= "NO", 0,$F226*($T226+$U226)/1000)</f>
        <v>0</v>
      </c>
      <c r="W226" s="1154">
        <f>IF('6.Inland wetlands'!G82="NO",0, $J226*($T226+$U226)/1000)</f>
        <v>0</v>
      </c>
      <c r="X226" s="1154">
        <f t="shared" si="112"/>
        <v>0</v>
      </c>
      <c r="Y226" s="1154">
        <f t="shared" si="113"/>
        <v>0</v>
      </c>
      <c r="AA226" s="1165"/>
      <c r="AB226" s="1001"/>
      <c r="AC226" s="1165"/>
      <c r="AD226" s="1001"/>
      <c r="AI226" s="1151">
        <f t="shared" si="114"/>
        <v>0</v>
      </c>
      <c r="AJ226" s="1151">
        <f t="shared" si="115"/>
        <v>0</v>
      </c>
      <c r="AK226" s="3473">
        <f t="shared" si="116"/>
        <v>0</v>
      </c>
      <c r="AX226" s="1449">
        <f t="shared" si="117"/>
        <v>0</v>
      </c>
      <c r="AY226" s="1449">
        <f t="shared" si="118"/>
        <v>0</v>
      </c>
      <c r="AZ226" s="1449">
        <f>IF('6.Inland wetlands'!$G82= "yes", $F226*($T226)/1000,0)</f>
        <v>0</v>
      </c>
      <c r="BA226" s="1264">
        <f>IF('6.Inland wetlands'!$G82= "yes",$J226*($T226)/1000,0)</f>
        <v>0</v>
      </c>
      <c r="BB226" s="1264">
        <f>IF('6.Inland wetlands'!$G82= "yes",$F226*($U226)/1000,0)</f>
        <v>0</v>
      </c>
      <c r="BC226" s="1264">
        <f>IF('6.Inland wetlands'!$G82= "yes",$J226*($U226)/1000,0)</f>
        <v>0</v>
      </c>
      <c r="BD226" s="1449"/>
      <c r="BE226" s="1449"/>
      <c r="BF226" s="1449"/>
      <c r="BG226" s="1449"/>
      <c r="BK226" s="1084" t="s">
        <v>1130</v>
      </c>
      <c r="BL226" s="1314">
        <f>SUM($AD269:$AD274)+SUM(AD280:AD285)</f>
        <v>0</v>
      </c>
      <c r="BM226" s="1314">
        <f>SUM($AE269:$AE274)+SUM(AE280:AE285)</f>
        <v>0</v>
      </c>
      <c r="BN226" s="992">
        <f t="shared" si="121"/>
        <v>0</v>
      </c>
      <c r="BP226" s="1084" t="str">
        <f t="shared" si="122"/>
        <v>CH4 soil drainage</v>
      </c>
      <c r="BQ226" s="1312">
        <f t="shared" si="123"/>
        <v>0</v>
      </c>
      <c r="BR226" s="1312">
        <f>IF(time=0,0,SUM(BA269:BA274,BG269:BG274)-SUM(AZ269:AZ274,BF269:BF274))</f>
        <v>0</v>
      </c>
      <c r="BS226" s="1453">
        <f t="shared" si="119"/>
        <v>0</v>
      </c>
      <c r="BT226" s="1455">
        <f t="shared" si="120"/>
        <v>0</v>
      </c>
    </row>
    <row r="227" spans="1:72" ht="18" x14ac:dyDescent="0.15">
      <c r="A227" s="973" t="s">
        <v>1163</v>
      </c>
      <c r="B227" s="973" t="str">
        <f>'6.Inland wetlands'!I83</f>
        <v>Please select</v>
      </c>
      <c r="C227" s="1121" t="str">
        <f t="shared" si="106"/>
        <v/>
      </c>
      <c r="D227" s="973" t="str">
        <f>'6.Inland wetlands'!K83</f>
        <v>Please select</v>
      </c>
      <c r="E227" s="1121" t="str">
        <f t="shared" si="107"/>
        <v/>
      </c>
      <c r="F227" s="3468">
        <f>'6.Inland wetlands'!N83</f>
        <v>0</v>
      </c>
      <c r="G227" s="1154" t="str">
        <f>VLOOKUP('6.Inland wetlands'!O83, list!$I$48:$J$50,2,FALSE )</f>
        <v>Linear</v>
      </c>
      <c r="H227" s="1154">
        <f>'6.Inland wetlands'!DB83</f>
        <v>1</v>
      </c>
      <c r="I227" s="1155">
        <f>'6.Inland wetlands'!DC83</f>
        <v>0.01</v>
      </c>
      <c r="J227" s="3468">
        <f>'6.Inland wetlands'!P83</f>
        <v>0</v>
      </c>
      <c r="K227" s="1154" t="str">
        <f>VLOOKUP('6.Inland wetlands'!Q83, list!$I$48:$J$50,2,FALSE )</f>
        <v>Linear</v>
      </c>
      <c r="L227" s="1154">
        <f>'6.Inland wetlands'!DE83</f>
        <v>1</v>
      </c>
      <c r="M227" s="1155">
        <f>'6.Inland wetlands'!DF83</f>
        <v>0.01</v>
      </c>
      <c r="N227" s="1226">
        <f>IF('6.Inland wetlands'!$AX83="",IF($B227&lt;&gt;"Please select",INDEX(IPCC!$D$1521:$Y$1680,MATCH(clim_moist_cont,IPCC!$C$1521:$C$1680,0),MATCH($B227,IPCC!$D$1520:$Y$1520,0)),0),'6.Inland wetlands'!$AX83)</f>
        <v>0</v>
      </c>
      <c r="O227" s="1227">
        <f>IF('6.Inland wetlands'!AX95="",IF($D227 &lt;&gt; "Please select", INDEX(IPCC!$D$686:$Y$845,MATCH(clim_moist_cont,IPCC!$C$686:$C$845,0),MATCH($D227,IPCC!$D$682:$Y$682,0)),0),'6.Inland wetlands'!AX95)</f>
        <v>0</v>
      </c>
      <c r="P227" s="1187">
        <f t="shared" si="108"/>
        <v>0</v>
      </c>
      <c r="Q227" s="1543">
        <f t="shared" si="109"/>
        <v>0</v>
      </c>
      <c r="R227" s="1145">
        <f>IFERROR(Q227 *VLOOKUP($B227,  IPCC!$A$1473:$E$1496, 2, FALSE) * VLOOKUP($B227,  IPCC!$A$1473:$E$1496, 4, FALSE),0)</f>
        <v>0</v>
      </c>
      <c r="S227" s="1145">
        <f>IFERROR( Q227 *VLOOKUP($B227,  IPCC!$A$1473:$E$1496, 2, FALSE) * VLOOKUP($B227,  IPCC!$A$1473:$E$1496, 5, FALSE),0)</f>
        <v>0</v>
      </c>
      <c r="T227" s="1544">
        <f t="shared" si="110"/>
        <v>0</v>
      </c>
      <c r="U227" s="1544">
        <f t="shared" si="111"/>
        <v>0</v>
      </c>
      <c r="V227" s="1154">
        <f>IF('6.Inland wetlands'!G83= "NO", 0,$F227*($T227+$U227)/1000)</f>
        <v>0</v>
      </c>
      <c r="W227" s="1154">
        <f>IF('6.Inland wetlands'!G83="NO",0, $J227*($T227+$U227)/1000)</f>
        <v>0</v>
      </c>
      <c r="X227" s="1154">
        <f t="shared" si="112"/>
        <v>0</v>
      </c>
      <c r="Y227" s="1154">
        <f t="shared" si="113"/>
        <v>0</v>
      </c>
      <c r="AA227" s="1165"/>
      <c r="AB227" s="1001"/>
      <c r="AC227" s="1165"/>
      <c r="AD227" s="1001"/>
      <c r="AI227" s="1151">
        <f t="shared" si="114"/>
        <v>0</v>
      </c>
      <c r="AJ227" s="1151">
        <f t="shared" si="115"/>
        <v>0</v>
      </c>
      <c r="AK227" s="3473">
        <f t="shared" si="116"/>
        <v>0</v>
      </c>
      <c r="AW227" s="1089"/>
      <c r="AX227" s="1449">
        <f t="shared" si="117"/>
        <v>0</v>
      </c>
      <c r="AY227" s="1449">
        <f t="shared" si="118"/>
        <v>0</v>
      </c>
      <c r="AZ227" s="1449">
        <f>IF('6.Inland wetlands'!$G83= "yes", $F227*($T227)/1000,0)</f>
        <v>0</v>
      </c>
      <c r="BA227" s="1264">
        <f>IF('6.Inland wetlands'!$G83= "yes",$J227*($T227)/1000,0)</f>
        <v>0</v>
      </c>
      <c r="BB227" s="1264">
        <f>IF('6.Inland wetlands'!$G83= "yes",$F227*($U227)/1000,0)</f>
        <v>0</v>
      </c>
      <c r="BC227" s="1264">
        <f>IF('6.Inland wetlands'!$G83= "yes",$J227*($U227)/1000,0)</f>
        <v>0</v>
      </c>
      <c r="BD227" s="1449"/>
      <c r="BE227" s="1449"/>
      <c r="BF227" s="1449"/>
      <c r="BG227" s="1449"/>
      <c r="BK227" s="1084" t="s">
        <v>1131</v>
      </c>
      <c r="BL227" s="1314">
        <f>SUM($AF269:$AF274)+SUM(AF280:AF285)</f>
        <v>0</v>
      </c>
      <c r="BM227" s="1314">
        <f>SUM($AG269:$AG274)+SUM(AG280:AG285)</f>
        <v>0</v>
      </c>
      <c r="BN227" s="992">
        <f t="shared" si="121"/>
        <v>0</v>
      </c>
      <c r="BP227" s="1084" t="str">
        <f t="shared" si="122"/>
        <v>N2O soil drainage</v>
      </c>
      <c r="BQ227" s="1312">
        <f t="shared" si="123"/>
        <v>0</v>
      </c>
      <c r="BR227" s="1312">
        <f>IF(time=0,0,SUM(BC269:BC274)-SUM(BB269:BB274))</f>
        <v>0</v>
      </c>
      <c r="BS227" s="1453">
        <f t="shared" si="119"/>
        <v>0</v>
      </c>
      <c r="BT227" s="1455">
        <f t="shared" si="120"/>
        <v>0</v>
      </c>
    </row>
    <row r="228" spans="1:72" x14ac:dyDescent="0.15">
      <c r="A228" s="973" t="s">
        <v>1164</v>
      </c>
      <c r="B228" s="973" t="str">
        <f>'6.Inland wetlands'!I84</f>
        <v>Please select</v>
      </c>
      <c r="C228" s="1121" t="str">
        <f t="shared" si="106"/>
        <v/>
      </c>
      <c r="D228" s="973" t="str">
        <f>'6.Inland wetlands'!K84</f>
        <v>Please select</v>
      </c>
      <c r="E228" s="1121" t="str">
        <f t="shared" si="107"/>
        <v/>
      </c>
      <c r="F228" s="3468">
        <f>'6.Inland wetlands'!N84</f>
        <v>0</v>
      </c>
      <c r="G228" s="1154" t="str">
        <f>VLOOKUP('6.Inland wetlands'!O84, list!$I$48:$J$50,2,FALSE )</f>
        <v>Linear</v>
      </c>
      <c r="H228" s="1154">
        <f>'6.Inland wetlands'!DB84</f>
        <v>1</v>
      </c>
      <c r="I228" s="1155">
        <f>'6.Inland wetlands'!DC84</f>
        <v>0.01</v>
      </c>
      <c r="J228" s="3468">
        <f>'6.Inland wetlands'!P84</f>
        <v>0</v>
      </c>
      <c r="K228" s="1154" t="str">
        <f>VLOOKUP('6.Inland wetlands'!Q84, list!$I$48:$J$50,2,FALSE )</f>
        <v>Linear</v>
      </c>
      <c r="L228" s="1154">
        <f>'6.Inland wetlands'!DE84</f>
        <v>1</v>
      </c>
      <c r="M228" s="1155">
        <f>'6.Inland wetlands'!DF84</f>
        <v>0.01</v>
      </c>
      <c r="N228" s="1226">
        <f>IF('6.Inland wetlands'!$AX84="",IF($B228&lt;&gt;"Please select",INDEX(IPCC!$D$1521:$Y$1680,MATCH(clim_moist_cont,IPCC!$C$1521:$C$1680,0),MATCH($B228,IPCC!$D$1520:$Y$1520,0)),0),'6.Inland wetlands'!$AX84)</f>
        <v>0</v>
      </c>
      <c r="O228" s="1227">
        <f>IF('6.Inland wetlands'!AX96="",IF($D228 &lt;&gt; "Please select", INDEX(IPCC!$D$686:$Y$845,MATCH(clim_moist_cont,IPCC!$C$686:$C$845,0),MATCH($D228,IPCC!$D$682:$Y$682,0)),0),'6.Inland wetlands'!AX96)</f>
        <v>0</v>
      </c>
      <c r="P228" s="1187">
        <f t="shared" si="108"/>
        <v>0</v>
      </c>
      <c r="Q228" s="1543">
        <f t="shared" si="109"/>
        <v>0</v>
      </c>
      <c r="R228" s="1145">
        <f>IFERROR(Q228 *VLOOKUP($B228,  IPCC!$A$1473:$E$1496, 2, FALSE) * VLOOKUP($B228,  IPCC!$A$1473:$E$1496, 4, FALSE),0)</f>
        <v>0</v>
      </c>
      <c r="S228" s="1145">
        <f>IFERROR( Q228 *VLOOKUP($B228,  IPCC!$A$1473:$E$1496, 2, FALSE) * VLOOKUP($B228,  IPCC!$A$1473:$E$1496, 5, FALSE),0)</f>
        <v>0</v>
      </c>
      <c r="T228" s="1544">
        <f t="shared" si="110"/>
        <v>0</v>
      </c>
      <c r="U228" s="1544">
        <f t="shared" si="111"/>
        <v>0</v>
      </c>
      <c r="V228" s="1154">
        <f>IF('6.Inland wetlands'!G84= "NO", 0,$F228*($T228+$U228)/1000)</f>
        <v>0</v>
      </c>
      <c r="W228" s="1154">
        <f>IF('6.Inland wetlands'!G84="NO",0, $J228*($T228+$U228)/1000)</f>
        <v>0</v>
      </c>
      <c r="X228" s="1154">
        <f t="shared" si="112"/>
        <v>0</v>
      </c>
      <c r="Y228" s="1154">
        <f t="shared" si="113"/>
        <v>0</v>
      </c>
      <c r="AA228" s="1165"/>
      <c r="AB228" s="1001"/>
      <c r="AC228" s="1165"/>
      <c r="AD228" s="1001"/>
      <c r="AI228" s="1151">
        <f t="shared" si="114"/>
        <v>0</v>
      </c>
      <c r="AJ228" s="1151">
        <f t="shared" si="115"/>
        <v>0</v>
      </c>
      <c r="AK228" s="3473">
        <f t="shared" si="116"/>
        <v>0</v>
      </c>
      <c r="AX228" s="1449">
        <f t="shared" si="117"/>
        <v>0</v>
      </c>
      <c r="AY228" s="1449">
        <f t="shared" si="118"/>
        <v>0</v>
      </c>
      <c r="AZ228" s="1449">
        <f>IF('6.Inland wetlands'!$G84= "yes", $F228*($T228)/1000,0)</f>
        <v>0</v>
      </c>
      <c r="BA228" s="1264">
        <f>IF('6.Inland wetlands'!$G84= "yes",$J228*($T228)/1000,0)</f>
        <v>0</v>
      </c>
      <c r="BB228" s="1264">
        <f>IF('6.Inland wetlands'!$G84= "yes",$F228*($U228)/1000,0)</f>
        <v>0</v>
      </c>
      <c r="BC228" s="1264">
        <f>IF('6.Inland wetlands'!$G84= "yes",$J228*($U228)/1000,0)</f>
        <v>0</v>
      </c>
      <c r="BD228" s="1449"/>
      <c r="BE228" s="1449"/>
      <c r="BF228" s="1449"/>
      <c r="BG228" s="1449"/>
      <c r="BK228" s="1084" t="s">
        <v>1132</v>
      </c>
      <c r="BL228" s="1314">
        <f>SUM($AB296:$AB301)+SUM(AB307:AB312)</f>
        <v>0</v>
      </c>
      <c r="BM228" s="1314">
        <f>SUM($AC296:$AC301)+SUM(AC307:AC312)</f>
        <v>0</v>
      </c>
      <c r="BN228" s="992">
        <f t="shared" si="121"/>
        <v>0</v>
      </c>
      <c r="BP228" s="1084" t="str">
        <f t="shared" si="122"/>
        <v>CO2 soil rewetting</v>
      </c>
      <c r="BQ228" s="1312">
        <f t="shared" si="123"/>
        <v>0</v>
      </c>
      <c r="BR228" s="1312">
        <f>IF(time=0,0,SUM(AY296:AY301)-SUM(AX296:AX301))</f>
        <v>0</v>
      </c>
      <c r="BS228" s="1453">
        <f t="shared" si="119"/>
        <v>0</v>
      </c>
      <c r="BT228" s="1455">
        <f t="shared" si="120"/>
        <v>0</v>
      </c>
    </row>
    <row r="229" spans="1:72" ht="18" x14ac:dyDescent="0.15">
      <c r="A229" s="973" t="s">
        <v>1165</v>
      </c>
      <c r="B229" s="973" t="str">
        <f>'6.Inland wetlands'!I85</f>
        <v>Please select</v>
      </c>
      <c r="C229" s="1121" t="str">
        <f t="shared" si="106"/>
        <v/>
      </c>
      <c r="D229" s="973" t="str">
        <f>'6.Inland wetlands'!K85</f>
        <v>Please select</v>
      </c>
      <c r="E229" s="1121" t="str">
        <f t="shared" si="107"/>
        <v/>
      </c>
      <c r="F229" s="3468">
        <f>'6.Inland wetlands'!N85</f>
        <v>0</v>
      </c>
      <c r="G229" s="1154" t="str">
        <f>VLOOKUP('6.Inland wetlands'!O85, list!$I$48:$J$50,2,FALSE )</f>
        <v>Linear</v>
      </c>
      <c r="H229" s="1154">
        <f>'6.Inland wetlands'!DB85</f>
        <v>1</v>
      </c>
      <c r="I229" s="1155">
        <f>'6.Inland wetlands'!DC85</f>
        <v>0.01</v>
      </c>
      <c r="J229" s="3468">
        <f>'6.Inland wetlands'!P85</f>
        <v>0</v>
      </c>
      <c r="K229" s="1154" t="str">
        <f>VLOOKUP('6.Inland wetlands'!Q85, list!$I$48:$J$50,2,FALSE )</f>
        <v>Linear</v>
      </c>
      <c r="L229" s="1154">
        <f>'6.Inland wetlands'!DE85</f>
        <v>1</v>
      </c>
      <c r="M229" s="1155">
        <f>'6.Inland wetlands'!DF85</f>
        <v>0.01</v>
      </c>
      <c r="N229" s="1226">
        <f>IF('6.Inland wetlands'!$AX85="",IF($B229&lt;&gt;"Please select",INDEX(IPCC!$D$1521:$Y$1680,MATCH(clim_moist_cont,IPCC!$C$1521:$C$1680,0),MATCH($B229,IPCC!$D$1520:$Y$1520,0)),0),'6.Inland wetlands'!$AX85)</f>
        <v>0</v>
      </c>
      <c r="O229" s="1227">
        <f>IF('6.Inland wetlands'!AX97="",IF($D229 &lt;&gt; "Please select", INDEX(IPCC!$D$686:$Y$845,MATCH(clim_moist_cont,IPCC!$C$686:$C$845,0),MATCH($D229,IPCC!$D$682:$Y$682,0)),0),'6.Inland wetlands'!AX97)</f>
        <v>0</v>
      </c>
      <c r="P229" s="1187">
        <f t="shared" si="108"/>
        <v>0</v>
      </c>
      <c r="Q229" s="1543">
        <f t="shared" si="109"/>
        <v>0</v>
      </c>
      <c r="R229" s="1145">
        <f>IFERROR(Q229 *VLOOKUP($B229,  IPCC!$A$1473:$E$1496, 2, FALSE) * VLOOKUP($B229,  IPCC!$A$1473:$E$1496, 4, FALSE),0)</f>
        <v>0</v>
      </c>
      <c r="S229" s="1145">
        <f>IFERROR( Q229 *VLOOKUP($B229,  IPCC!$A$1473:$E$1496, 2, FALSE) * VLOOKUP($B229,  IPCC!$A$1473:$E$1496, 5, FALSE),0)</f>
        <v>0</v>
      </c>
      <c r="T229" s="1544">
        <f t="shared" si="110"/>
        <v>0</v>
      </c>
      <c r="U229" s="1544">
        <f t="shared" si="111"/>
        <v>0</v>
      </c>
      <c r="V229" s="1154">
        <f>IF('6.Inland wetlands'!G85= "NO", 0,$F229*($T229+$U229)/1000)</f>
        <v>0</v>
      </c>
      <c r="W229" s="1154">
        <f>IF('6.Inland wetlands'!G85="NO",0, $J229*($T229+$U229)/1000)</f>
        <v>0</v>
      </c>
      <c r="X229" s="1154">
        <f t="shared" si="112"/>
        <v>0</v>
      </c>
      <c r="Y229" s="1154">
        <f t="shared" si="113"/>
        <v>0</v>
      </c>
      <c r="AA229" s="1165"/>
      <c r="AB229" s="1001"/>
      <c r="AC229" s="1165"/>
      <c r="AD229" s="1001"/>
      <c r="AI229" s="1151">
        <f t="shared" si="114"/>
        <v>0</v>
      </c>
      <c r="AJ229" s="1151">
        <f t="shared" si="115"/>
        <v>0</v>
      </c>
      <c r="AK229" s="3473">
        <f t="shared" si="116"/>
        <v>0</v>
      </c>
      <c r="AW229" s="1089"/>
      <c r="AX229" s="1449">
        <f t="shared" si="117"/>
        <v>0</v>
      </c>
      <c r="AY229" s="1449">
        <f t="shared" si="118"/>
        <v>0</v>
      </c>
      <c r="AZ229" s="1449">
        <f>IF('6.Inland wetlands'!$G85= "yes", $F229*($T229)/1000,0)</f>
        <v>0</v>
      </c>
      <c r="BA229" s="1264">
        <f>IF('6.Inland wetlands'!$G85= "yes",$J229*($T229)/1000,0)</f>
        <v>0</v>
      </c>
      <c r="BB229" s="1264">
        <f>IF('6.Inland wetlands'!$G85= "yes",$F229*($U229)/1000,0)</f>
        <v>0</v>
      </c>
      <c r="BC229" s="1264">
        <f>IF('6.Inland wetlands'!$G85= "yes",$J229*($U229)/1000,0)</f>
        <v>0</v>
      </c>
      <c r="BD229" s="1449"/>
      <c r="BE229" s="1449"/>
      <c r="BF229" s="1449"/>
      <c r="BG229" s="1449"/>
      <c r="BK229" s="1084" t="s">
        <v>1133</v>
      </c>
      <c r="BL229" s="1314">
        <f>SUM($AD296:$AD301)+SUM(AD307:AD312)</f>
        <v>0</v>
      </c>
      <c r="BM229" s="1314">
        <f>SUM($AE296:$AE301)+SUM(AE307:AE312)</f>
        <v>0</v>
      </c>
      <c r="BN229" s="992">
        <f t="shared" si="121"/>
        <v>0</v>
      </c>
      <c r="BP229" s="1084" t="str">
        <f t="shared" si="122"/>
        <v>CH4 soil rewetting</v>
      </c>
      <c r="BQ229" s="1312">
        <f t="shared" si="123"/>
        <v>0</v>
      </c>
      <c r="BR229" s="1312">
        <f>IF(time=0,0,SUM(BA296:BA301)-SUM(AZ296:AZ301))</f>
        <v>0</v>
      </c>
      <c r="BS229" s="1453">
        <f t="shared" si="119"/>
        <v>0</v>
      </c>
      <c r="BT229" s="1455">
        <f t="shared" si="120"/>
        <v>0</v>
      </c>
    </row>
    <row r="230" spans="1:72" ht="18" x14ac:dyDescent="0.15">
      <c r="AW230" s="1089"/>
      <c r="BK230" s="1084" t="s">
        <v>1134</v>
      </c>
      <c r="BL230" s="1314">
        <f>SUM($AF296:$AF301)+SUM(AF307:AF312)</f>
        <v>0</v>
      </c>
      <c r="BM230" s="1314">
        <f>SUM($AG296:$AG301)+SUM(AG307:AG312)</f>
        <v>0</v>
      </c>
      <c r="BN230" s="992">
        <f t="shared" si="121"/>
        <v>0</v>
      </c>
      <c r="BP230" s="1084" t="str">
        <f t="shared" si="122"/>
        <v>N2O soil rewetting</v>
      </c>
      <c r="BQ230" s="1312">
        <f t="shared" si="123"/>
        <v>0</v>
      </c>
      <c r="BR230" s="1312">
        <f>IF(time=0,0,SUM(BC296:BC301)-SUM(BB296:BB301))</f>
        <v>0</v>
      </c>
      <c r="BS230" s="1453">
        <f t="shared" si="119"/>
        <v>0</v>
      </c>
      <c r="BT230" s="1455">
        <f t="shared" si="120"/>
        <v>0</v>
      </c>
    </row>
    <row r="231" spans="1:72" x14ac:dyDescent="0.15">
      <c r="Q231" s="992"/>
      <c r="R231" s="992"/>
      <c r="T231" s="1494"/>
      <c r="U231" s="1469"/>
      <c r="V231" s="1494"/>
      <c r="W231" s="1494"/>
      <c r="X231" s="992"/>
      <c r="Y231" s="992"/>
      <c r="Z231" s="992"/>
      <c r="AX231" s="1461">
        <f t="shared" ref="AX231:BC231" si="124">SUM(AX224:AX229)</f>
        <v>0</v>
      </c>
      <c r="AY231" s="1461">
        <f t="shared" si="124"/>
        <v>0</v>
      </c>
      <c r="AZ231" s="1461">
        <f t="shared" si="124"/>
        <v>0</v>
      </c>
      <c r="BA231" s="1264">
        <f t="shared" si="124"/>
        <v>0</v>
      </c>
      <c r="BB231" s="1264">
        <f t="shared" si="124"/>
        <v>0</v>
      </c>
      <c r="BC231" s="1264">
        <f t="shared" si="124"/>
        <v>0</v>
      </c>
      <c r="BD231" s="1461"/>
      <c r="BE231" s="1461"/>
      <c r="BF231" s="1461"/>
      <c r="BG231" s="1461"/>
      <c r="BK231" s="1084" t="s">
        <v>1135</v>
      </c>
      <c r="BL231" s="1314">
        <f>SUM($AD255:$AD260)</f>
        <v>0</v>
      </c>
      <c r="BM231" s="1314">
        <f>SUM($AE255:$AE260)</f>
        <v>0</v>
      </c>
      <c r="BN231" s="992">
        <f t="shared" si="121"/>
        <v>0</v>
      </c>
      <c r="BP231" s="1084" t="str">
        <f t="shared" si="122"/>
        <v>CO2 Fire</v>
      </c>
      <c r="BQ231" s="1312">
        <f t="shared" si="123"/>
        <v>0</v>
      </c>
      <c r="BR231" s="1312">
        <f>IF(time=0,0,SUM(AY255:AY260)-SUM(AX255:AX260))</f>
        <v>0</v>
      </c>
      <c r="BS231" s="1453">
        <f t="shared" si="119"/>
        <v>0</v>
      </c>
      <c r="BT231" s="1455">
        <f t="shared" si="120"/>
        <v>0</v>
      </c>
    </row>
    <row r="232" spans="1:72" x14ac:dyDescent="0.15">
      <c r="B232" s="973" t="s">
        <v>1112</v>
      </c>
      <c r="AY232" s="1451">
        <f>AY231-AX231</f>
        <v>0</v>
      </c>
      <c r="AZ232" s="1451"/>
      <c r="BA232" s="1264">
        <f>BA231-AZ231</f>
        <v>0</v>
      </c>
      <c r="BC232" s="1264">
        <f>BC231-BB231</f>
        <v>0</v>
      </c>
      <c r="BD232" s="1451"/>
      <c r="BE232" s="1451"/>
      <c r="BF232" s="1451"/>
      <c r="BG232" s="1451"/>
      <c r="BK232" s="1084" t="s">
        <v>1136</v>
      </c>
      <c r="BL232" s="1314">
        <f>SUM(AZ224:AZ229,BC255:BC260)+SUM(H236:H241)</f>
        <v>0</v>
      </c>
      <c r="BM232" s="1314">
        <f>SUM(BA224:BA229,BD255:BD260)+SUM(J236:J241)</f>
        <v>0</v>
      </c>
      <c r="BN232" s="992">
        <f t="shared" si="121"/>
        <v>0</v>
      </c>
      <c r="BP232" s="1084" t="str">
        <f t="shared" si="122"/>
        <v>CH4 Fire</v>
      </c>
      <c r="BQ232" s="1312">
        <f t="shared" si="123"/>
        <v>0</v>
      </c>
      <c r="BR232" s="1312">
        <f>IF(time=0,0,SUM(BA255:BA260)-SUM(AZ255:AZ260)+SUM(BA224:BA229)-SUM(AZ224:AZ229))</f>
        <v>0</v>
      </c>
      <c r="BS232" s="1453">
        <f>BQ232-BR232</f>
        <v>0</v>
      </c>
      <c r="BT232" s="1455">
        <f t="shared" si="120"/>
        <v>0</v>
      </c>
    </row>
    <row r="233" spans="1:72" x14ac:dyDescent="0.15">
      <c r="B233" s="1138"/>
      <c r="C233" s="1138"/>
      <c r="D233" s="1138" t="s">
        <v>1117</v>
      </c>
      <c r="E233" s="1139"/>
      <c r="F233" s="1138" t="s">
        <v>1118</v>
      </c>
      <c r="G233" s="1139"/>
      <c r="H233" s="1139" t="s">
        <v>1119</v>
      </c>
      <c r="I233" s="1139"/>
      <c r="J233" s="1139" t="s">
        <v>1120</v>
      </c>
      <c r="K233" s="1139"/>
      <c r="N233" s="1296" t="s">
        <v>1094</v>
      </c>
      <c r="O233" s="1296" t="s">
        <v>1095</v>
      </c>
      <c r="P233" s="1296" t="s">
        <v>1096</v>
      </c>
      <c r="BK233" s="1459" t="s">
        <v>626</v>
      </c>
      <c r="BL233" s="1319">
        <f>SUM(BB224:BB229)+SUM(I236:I241)</f>
        <v>0</v>
      </c>
      <c r="BM233" s="1319">
        <f>SUM(BC224:BC229)+SUM(K236:K241)</f>
        <v>0</v>
      </c>
      <c r="BN233" s="992">
        <f>BM233-BL233</f>
        <v>0</v>
      </c>
      <c r="BP233" s="1459" t="str">
        <f t="shared" si="122"/>
        <v>N2O Fire</v>
      </c>
      <c r="BQ233" s="1312">
        <f t="shared" si="123"/>
        <v>0</v>
      </c>
      <c r="BR233" s="1319">
        <f>IF(time=0,0,SUM(BC224:BC229)-SUM(BB224:BB229))</f>
        <v>0</v>
      </c>
      <c r="BS233" s="1320">
        <f>BQ233-BR233</f>
        <v>0</v>
      </c>
      <c r="BT233" s="1455">
        <f t="shared" si="120"/>
        <v>0</v>
      </c>
    </row>
    <row r="234" spans="1:72" x14ac:dyDescent="0.15">
      <c r="B234" s="1137" t="s">
        <v>1122</v>
      </c>
      <c r="C234" s="1137"/>
      <c r="D234" s="1140" t="s">
        <v>176</v>
      </c>
      <c r="E234" s="1140" t="s">
        <v>177</v>
      </c>
      <c r="F234" s="1140" t="s">
        <v>176</v>
      </c>
      <c r="G234" s="1140" t="s">
        <v>177</v>
      </c>
      <c r="H234" s="1140" t="str">
        <f t="shared" ref="H234:K235" si="125">D234</f>
        <v>CH4</v>
      </c>
      <c r="I234" s="1140" t="str">
        <f t="shared" si="125"/>
        <v>N2O</v>
      </c>
      <c r="J234" s="1140" t="str">
        <f t="shared" si="125"/>
        <v>CH4</v>
      </c>
      <c r="K234" s="1140" t="str">
        <f t="shared" si="125"/>
        <v>N2O</v>
      </c>
      <c r="N234" s="1488" t="s">
        <v>813</v>
      </c>
      <c r="O234" s="1171"/>
      <c r="P234" s="1171"/>
      <c r="BN234" s="1688"/>
      <c r="BP234" s="1316"/>
      <c r="BQ234" s="1460">
        <f>SUM(BQ224:BQ233)</f>
        <v>0</v>
      </c>
      <c r="BR234" s="1460">
        <f>SUM(BR224:BR233)</f>
        <v>0</v>
      </c>
      <c r="BS234" s="1460">
        <f>SUM(BS224:BS233)</f>
        <v>0</v>
      </c>
      <c r="BT234" s="992">
        <f>BR234+BS234</f>
        <v>0</v>
      </c>
    </row>
    <row r="235" spans="1:72" x14ac:dyDescent="0.15">
      <c r="B235" s="1137" t="s">
        <v>117</v>
      </c>
      <c r="C235" s="1137" t="s">
        <v>416</v>
      </c>
      <c r="D235" s="1137" t="s">
        <v>193</v>
      </c>
      <c r="E235" s="1137" t="s">
        <v>194</v>
      </c>
      <c r="F235" s="1137" t="s">
        <v>193</v>
      </c>
      <c r="G235" s="1137" t="s">
        <v>194</v>
      </c>
      <c r="H235" s="1137" t="str">
        <f t="shared" si="125"/>
        <v>kgCH4</v>
      </c>
      <c r="I235" s="1137" t="str">
        <f t="shared" si="125"/>
        <v>kgN2O</v>
      </c>
      <c r="J235" s="1137" t="str">
        <f t="shared" si="125"/>
        <v>kgCH4</v>
      </c>
      <c r="K235" s="1137" t="str">
        <f t="shared" si="125"/>
        <v>kgN2O</v>
      </c>
      <c r="N235" s="1489"/>
      <c r="O235" s="1305" t="s">
        <v>1099</v>
      </c>
      <c r="P235" s="1305" t="s">
        <v>1099</v>
      </c>
      <c r="BK235" s="973" t="s">
        <v>871</v>
      </c>
      <c r="BL235" s="992">
        <f>SUM(BL224:BL233)</f>
        <v>0</v>
      </c>
      <c r="BM235" s="992">
        <f>SUM(BM224:BM233)</f>
        <v>0</v>
      </c>
      <c r="BN235" s="992">
        <f>BM235-BL235</f>
        <v>0</v>
      </c>
      <c r="BO235" s="1246"/>
    </row>
    <row r="236" spans="1:72" x14ac:dyDescent="0.15">
      <c r="B236" s="1145">
        <f t="shared" ref="B236:B241" si="126">O224</f>
        <v>0</v>
      </c>
      <c r="C236" s="1145">
        <f t="shared" ref="C236:C241" si="127">B236/0.47</f>
        <v>0</v>
      </c>
      <c r="D236" s="1145">
        <f>IF(AND('6.Inland wetlands'!X80 &lt;&gt; "W/out project", '6.Inland wetlands'!X80 &lt;&gt;"W/out&amp;With"), 0, IF(F224&lt;&gt;0,C236*N236*O236, 0))</f>
        <v>0</v>
      </c>
      <c r="E236" s="1145">
        <f>IF(AND('6.Inland wetlands'!X80 &lt;&gt; "W/out project",'6.Inland wetlands'!X80 &lt;&gt;"W/out&amp;With"), 0,IF(F224&lt;&gt;0,C236*N236*P236, 0))</f>
        <v>0</v>
      </c>
      <c r="F236" s="1145">
        <f>IF(AND('6.Inland wetlands'!X80 &lt;&gt; "With project", '6.Inland wetlands'!X80 &lt;&gt;"W/out&amp;With"), 0,IF(J224&lt;&gt;0,C236*N236*O236, 0))</f>
        <v>0</v>
      </c>
      <c r="G236" s="1145">
        <f>IF(AND('6.Inland wetlands'!X80 &lt;&gt; "With project", '6.Inland wetlands'!X80 &lt;&gt;"W/out&amp;With"), 0, IF(J224&lt;&gt;0,C236*N236*P236, 0))</f>
        <v>0</v>
      </c>
      <c r="H236" s="1145">
        <f>D236*F224*(time_cap+time*(VLOOKUP(G224, list!$J$48:$K$50,2,)))*methane/1000</f>
        <v>0</v>
      </c>
      <c r="I236" s="1145">
        <f>E236*F224*(time_cap+time*(VLOOKUP(G224, list!$J$48:$K$50,2,)))*Nitrous/1000</f>
        <v>0</v>
      </c>
      <c r="J236" s="1145">
        <f>F236*J224*(time_cap+time*(VLOOKUP(K224, list!$J$48:$K$50,2,)))*methane/1000</f>
        <v>0</v>
      </c>
      <c r="K236" s="1145">
        <f>G236*J224*(time_cap+time*(VLOOKUP(K224, list!$J$48:$K$50,2,)))*Nitrous/1000</f>
        <v>0</v>
      </c>
      <c r="N236" s="4325">
        <f>IFERROR(VLOOKUP(D224,  IPCC!$A$1473:$E$1496, 2, FALSE),0)</f>
        <v>0</v>
      </c>
      <c r="O236" s="1490">
        <f>IFERROR(VLOOKUP(D224,  IPCC!$A$1473:$E$1496, 4, FALSE),0)</f>
        <v>0</v>
      </c>
      <c r="P236" s="1490">
        <f>IFERROR(VLOOKUP(D224,  IPCC!$A$1473:$E$1496, 5, FALSE),0)</f>
        <v>0</v>
      </c>
      <c r="BK236" s="973" t="s">
        <v>1140</v>
      </c>
      <c r="BL236" s="992">
        <f>SUM(AI224:AI229,AI255:AI260,AI277:AI282,AI304:AI309)</f>
        <v>0</v>
      </c>
      <c r="BM236" s="992">
        <f>SUM(AJ224:AJ229,AJ255:AJ260,AJ277:AJ282,AJ304:AJ309)</f>
        <v>0</v>
      </c>
      <c r="BN236" s="992">
        <f>SUM(AK224:AK229,AK255:AK260,AK277:AK282,AK304:AK309)</f>
        <v>0</v>
      </c>
      <c r="BO236" s="1246"/>
    </row>
    <row r="237" spans="1:72" x14ac:dyDescent="0.15">
      <c r="B237" s="1145">
        <f t="shared" si="126"/>
        <v>0</v>
      </c>
      <c r="C237" s="1145">
        <f t="shared" si="127"/>
        <v>0</v>
      </c>
      <c r="D237" s="1145">
        <f>IF(AND('6.Inland wetlands'!X81 &lt;&gt; "W/out project", '6.Inland wetlands'!X81 &lt;&gt;"W/out&amp;With"), 0, IF(F225&lt;&gt;0,C237*N237*O237, 0))</f>
        <v>0</v>
      </c>
      <c r="E237" s="1145">
        <f>IF(AND('6.Inland wetlands'!X81 &lt;&gt; "W/out project",'6.Inland wetlands'!X81 &lt;&gt;"W/out&amp;With"), 0,IF(F225&lt;&gt;0,C237*N237*P237, 0))</f>
        <v>0</v>
      </c>
      <c r="F237" s="1145">
        <f>IF(AND('6.Inland wetlands'!X81 &lt;&gt; "With project", '6.Inland wetlands'!X81 &lt;&gt;"W/out&amp;With"), 0,IF(J225&lt;&gt;0,C237*N237*O237, 0))</f>
        <v>0</v>
      </c>
      <c r="G237" s="1145">
        <f>IF(AND('6.Inland wetlands'!X81 &lt;&gt; "With project", '6.Inland wetlands'!X81 &lt;&gt;"W/out&amp;With"), 0, IF(J225&lt;&gt;0,C237*N237*P237, 0))</f>
        <v>0</v>
      </c>
      <c r="H237" s="1145">
        <f>D237*F225*(time_cap+time*(VLOOKUP(G225, list!$J$48:$K$50,2,)))*methane/1000</f>
        <v>0</v>
      </c>
      <c r="I237" s="1145">
        <f>E237*F225*(time_cap+time*(VLOOKUP(G225, list!$J$48:$K$50,2,)))*Nitrous/1000</f>
        <v>0</v>
      </c>
      <c r="J237" s="1145">
        <f>F237*J225*(time_cap+time*(VLOOKUP(K225, list!$J$48:$K$50,2,)))*methane/1000</f>
        <v>0</v>
      </c>
      <c r="K237" s="1145">
        <f>G237*J225*(time_cap+time*(VLOOKUP(K225, list!$J$48:$K$50,2,)))*Nitrous/1000</f>
        <v>0</v>
      </c>
      <c r="N237" s="4325">
        <f>IFERROR(VLOOKUP(D225,  IPCC!$A$1473:$E$1496, 2, FALSE),0)</f>
        <v>0</v>
      </c>
      <c r="O237" s="1490">
        <f>IFERROR(VLOOKUP(D225,  IPCC!$A$1473:$E$1496, 4, FALSE),0)</f>
        <v>0</v>
      </c>
      <c r="P237" s="1490">
        <f>IFERROR(VLOOKUP(D225,  IPCC!$A$1473:$E$1496, 5, FALSE),0)</f>
        <v>0</v>
      </c>
    </row>
    <row r="238" spans="1:72" x14ac:dyDescent="0.15">
      <c r="B238" s="1145">
        <f t="shared" si="126"/>
        <v>0</v>
      </c>
      <c r="C238" s="1145">
        <f t="shared" si="127"/>
        <v>0</v>
      </c>
      <c r="D238" s="1145">
        <f>IF(AND('6.Inland wetlands'!X82 &lt;&gt; "W/out project", '6.Inland wetlands'!X82 &lt;&gt;"W/out&amp;With"), 0, IF(F226&lt;&gt;0,C238*N238*O238, 0))</f>
        <v>0</v>
      </c>
      <c r="E238" s="1145">
        <f>IF(AND('6.Inland wetlands'!X82 &lt;&gt; "W/out project",'6.Inland wetlands'!X82 &lt;&gt;"W/out&amp;With"), 0,IF(F226&lt;&gt;0,C238*N238*P238, 0))</f>
        <v>0</v>
      </c>
      <c r="F238" s="1145">
        <f>IF(AND('6.Inland wetlands'!X82 &lt;&gt; "With project", '6.Inland wetlands'!X82 &lt;&gt;"W/out&amp;With"), 0,IF(J226&lt;&gt;0,C238*N238*O238, 0))</f>
        <v>0</v>
      </c>
      <c r="G238" s="1145">
        <f>IF(AND('6.Inland wetlands'!X82 &lt;&gt; "With project", '6.Inland wetlands'!X82 &lt;&gt;"W/out&amp;With"), 0, IF(J226&lt;&gt;0,C238*N238*P238, 0))</f>
        <v>0</v>
      </c>
      <c r="H238" s="1145">
        <f>D238*F226*(time_cap+time*(VLOOKUP(G226, list!$J$48:$K$50,2,)))*methane/1000</f>
        <v>0</v>
      </c>
      <c r="I238" s="1145">
        <f>E238*F226*(time_cap+time*(VLOOKUP(G226, list!$J$48:$K$50,2,)))*Nitrous/1000</f>
        <v>0</v>
      </c>
      <c r="J238" s="1145">
        <f>F238*J226*(time_cap+time*(VLOOKUP(K226, list!$J$48:$K$50,2,)))*methane/1000</f>
        <v>0</v>
      </c>
      <c r="K238" s="1145">
        <f>G238*J226*(time_cap+time*(VLOOKUP(K226, list!$J$48:$K$50,2,)))*Nitrous/1000</f>
        <v>0</v>
      </c>
      <c r="N238" s="4325">
        <f>IFERROR(VLOOKUP(D226,  IPCC!$A$1473:$E$1496, 2, FALSE),0)</f>
        <v>0</v>
      </c>
      <c r="O238" s="1490">
        <f>IFERROR(VLOOKUP(D226,  IPCC!$A$1473:$E$1496, 4, FALSE),0)</f>
        <v>0</v>
      </c>
      <c r="P238" s="1490">
        <f>IFERROR(VLOOKUP(D226,  IPCC!$A$1473:$E$1496, 5, FALSE),0)</f>
        <v>0</v>
      </c>
    </row>
    <row r="239" spans="1:72" x14ac:dyDescent="0.15">
      <c r="B239" s="1145">
        <f t="shared" si="126"/>
        <v>0</v>
      </c>
      <c r="C239" s="1145">
        <f t="shared" si="127"/>
        <v>0</v>
      </c>
      <c r="D239" s="1145">
        <f>IF(AND('6.Inland wetlands'!X83 &lt;&gt; "W/out project", '6.Inland wetlands'!X83 &lt;&gt;"W/out&amp;With"), 0, IF(F227&lt;&gt;0,C239*N239*O239, 0))</f>
        <v>0</v>
      </c>
      <c r="E239" s="1145">
        <f>IF(AND('6.Inland wetlands'!X83 &lt;&gt; "W/out project",'6.Inland wetlands'!X83 &lt;&gt;"W/out&amp;With"), 0,IF(F227&lt;&gt;0,C239*N239*P239, 0))</f>
        <v>0</v>
      </c>
      <c r="F239" s="1145">
        <f>IF(AND('6.Inland wetlands'!X83 &lt;&gt; "With project", '6.Inland wetlands'!X83 &lt;&gt;"W/out&amp;With"), 0,IF(J227&lt;&gt;0,C239*N239*O239, 0))</f>
        <v>0</v>
      </c>
      <c r="G239" s="1145">
        <f>IF(AND('6.Inland wetlands'!X83 &lt;&gt; "With project", '6.Inland wetlands'!X83 &lt;&gt;"W/out&amp;With"), 0, IF(J227&lt;&gt;0,C239*N239*P239, 0))</f>
        <v>0</v>
      </c>
      <c r="H239" s="1145">
        <f>D239*F227*(time_cap+time*(VLOOKUP(G227, list!$J$48:$K$50,2,)))*methane/1000</f>
        <v>0</v>
      </c>
      <c r="I239" s="1145">
        <f>E239*F227*(time_cap+time*(VLOOKUP(G227, list!$J$48:$K$50,2,)))*Nitrous/1000</f>
        <v>0</v>
      </c>
      <c r="J239" s="1145">
        <f>F239*J227*(time_cap+time*(VLOOKUP(K227, list!$J$48:$K$50,2,)))*methane/1000</f>
        <v>0</v>
      </c>
      <c r="K239" s="1145">
        <f>G239*J227*(time_cap+time*(VLOOKUP(K227, list!$J$48:$K$50,2,)))*Nitrous/1000</f>
        <v>0</v>
      </c>
      <c r="N239" s="4325">
        <f>IFERROR(VLOOKUP(D227,  IPCC!$A$1473:$E$1496, 2, FALSE),0)</f>
        <v>0</v>
      </c>
      <c r="O239" s="1490">
        <f>IFERROR(VLOOKUP(D227,  IPCC!$A$1473:$E$1496, 4, FALSE),0)</f>
        <v>0</v>
      </c>
      <c r="P239" s="1490">
        <f>IFERROR(VLOOKUP(D227,  IPCC!$A$1473:$E$1496, 5, FALSE),0)</f>
        <v>0</v>
      </c>
      <c r="BN239" s="1246">
        <f>BN235-BN236</f>
        <v>0</v>
      </c>
    </row>
    <row r="240" spans="1:72" x14ac:dyDescent="0.15">
      <c r="B240" s="1145">
        <f t="shared" si="126"/>
        <v>0</v>
      </c>
      <c r="C240" s="1145">
        <f t="shared" si="127"/>
        <v>0</v>
      </c>
      <c r="D240" s="1145">
        <f>IF(AND('6.Inland wetlands'!X84 &lt;&gt; "W/out project", '6.Inland wetlands'!X84 &lt;&gt;"W/out&amp;With"), 0, IF(F228&lt;&gt;0,C240*N240*O240, 0))</f>
        <v>0</v>
      </c>
      <c r="E240" s="1145">
        <f>IF(AND('6.Inland wetlands'!X84 &lt;&gt; "W/out project",'6.Inland wetlands'!X84 &lt;&gt;"W/out&amp;With"), 0,IF(F228&lt;&gt;0,C240*N240*P240, 0))</f>
        <v>0</v>
      </c>
      <c r="F240" s="1145">
        <f>IF(AND('6.Inland wetlands'!X84 &lt;&gt; "With project", '6.Inland wetlands'!X84 &lt;&gt;"W/out&amp;With"), 0,IF(J228&lt;&gt;0,C240*N240*O240, 0))</f>
        <v>0</v>
      </c>
      <c r="G240" s="1145">
        <f>IF(AND('6.Inland wetlands'!X84 &lt;&gt; "With project", '6.Inland wetlands'!X84 &lt;&gt;"W/out&amp;With"), 0, IF(J228&lt;&gt;0,C240*N240*P240, 0))</f>
        <v>0</v>
      </c>
      <c r="H240" s="1145">
        <f>D240*F228*(time_cap+time*(VLOOKUP(G228, list!$J$48:$K$50,2,)))*methane/1000</f>
        <v>0</v>
      </c>
      <c r="I240" s="1145">
        <f>E240*F228*(time_cap+time*(VLOOKUP(G228, list!$J$48:$K$50,2,)))*Nitrous/1000</f>
        <v>0</v>
      </c>
      <c r="J240" s="1145">
        <f>F240*J228*(time_cap+time*(VLOOKUP(K228, list!$J$48:$K$50,2,)))*methane/1000</f>
        <v>0</v>
      </c>
      <c r="K240" s="1145">
        <f>G240*J228*(time_cap+time*(VLOOKUP(K228, list!$J$48:$K$50,2,)))*Nitrous/1000</f>
        <v>0</v>
      </c>
      <c r="N240" s="4325">
        <f>IFERROR(VLOOKUP(D228,  IPCC!$A$1473:$E$1496, 2, FALSE),0)</f>
        <v>0</v>
      </c>
      <c r="O240" s="1490">
        <f>IFERROR(VLOOKUP(D228,  IPCC!$A$1473:$E$1496, 4, FALSE),0)</f>
        <v>0</v>
      </c>
      <c r="P240" s="1490">
        <f>IFERROR(VLOOKUP(D228,  IPCC!$A$1473:$E$1496, 5, FALSE),0)</f>
        <v>0</v>
      </c>
    </row>
    <row r="241" spans="1:62" x14ac:dyDescent="0.15">
      <c r="B241" s="1145">
        <f t="shared" si="126"/>
        <v>0</v>
      </c>
      <c r="C241" s="1145">
        <f t="shared" si="127"/>
        <v>0</v>
      </c>
      <c r="D241" s="1145">
        <f>IF(AND('6.Inland wetlands'!X85 &lt;&gt; "W/out project", '6.Inland wetlands'!X85 &lt;&gt;"W/out&amp;With"), 0, IF(F229&lt;&gt;0,C241*N241*O241, 0))</f>
        <v>0</v>
      </c>
      <c r="E241" s="1145">
        <f>IF(AND('6.Inland wetlands'!X85 &lt;&gt; "W/out project",'6.Inland wetlands'!X85 &lt;&gt;"W/out&amp;With"), 0,IF(F229&lt;&gt;0,C241*N241*P241, 0))</f>
        <v>0</v>
      </c>
      <c r="F241" s="1145">
        <f>IF(AND('6.Inland wetlands'!X85 &lt;&gt; "With project", '6.Inland wetlands'!X85 &lt;&gt;"W/out&amp;With"), 0,IF(J229&lt;&gt;0,C241*N241*O241, 0))</f>
        <v>0</v>
      </c>
      <c r="G241" s="1145">
        <f>IF(AND('6.Inland wetlands'!X85 &lt;&gt; "With project", '6.Inland wetlands'!X85 &lt;&gt;"W/out&amp;With"), 0, IF(J229&lt;&gt;0,C241*N241*P241, 0))</f>
        <v>0</v>
      </c>
      <c r="H241" s="1145">
        <f>D241*F229*(time_cap+time*(VLOOKUP(G229, list!$J$48:$K$50,2,)))*methane/1000</f>
        <v>0</v>
      </c>
      <c r="I241" s="1145">
        <f>E241*F229*(time_cap+time*(VLOOKUP(G229, list!$J$48:$K$50,2,)))*Nitrous/1000</f>
        <v>0</v>
      </c>
      <c r="J241" s="1145">
        <f>F241*J229*(time_cap+time*(VLOOKUP(K229, list!$J$48:$K$50,2,)))*methane/1000</f>
        <v>0</v>
      </c>
      <c r="K241" s="1145">
        <f>G241*J229*(time_cap+time*(VLOOKUP(K229, list!$J$48:$K$50,2,)))*Nitrous/1000</f>
        <v>0</v>
      </c>
      <c r="N241" s="4325">
        <f>IFERROR(VLOOKUP(D229,  IPCC!$A$1473:$E$1496, 2, FALSE),0)</f>
        <v>0</v>
      </c>
      <c r="O241" s="1490">
        <f>IFERROR(VLOOKUP(D229,  IPCC!$A$1473:$E$1496, 4, FALSE),0)</f>
        <v>0</v>
      </c>
      <c r="P241" s="1490">
        <f>IFERROR(VLOOKUP(D229,  IPCC!$A$1473:$E$1496, 5, FALSE),0)</f>
        <v>0</v>
      </c>
    </row>
    <row r="247" spans="1:62" s="1089" customFormat="1" ht="30.5" customHeight="1" x14ac:dyDescent="0.15">
      <c r="B247" s="1112" t="s">
        <v>1238</v>
      </c>
      <c r="C247" s="1113"/>
      <c r="D247" s="1113"/>
      <c r="E247" s="1113"/>
      <c r="F247" s="1113"/>
      <c r="G247" s="1113"/>
      <c r="H247" s="1113"/>
      <c r="I247" s="1113"/>
      <c r="J247" s="1113"/>
      <c r="K247" s="1113"/>
      <c r="L247" s="1113"/>
      <c r="M247" s="1113"/>
      <c r="N247" s="1113"/>
      <c r="O247" s="1113"/>
      <c r="P247" s="1113"/>
      <c r="Q247" s="1113"/>
      <c r="R247" s="1113"/>
      <c r="S247" s="1113"/>
      <c r="T247" s="1113"/>
      <c r="U247" s="1113"/>
      <c r="V247" s="1113"/>
      <c r="W247" s="1113"/>
      <c r="X247" s="1113"/>
      <c r="Y247" s="1113"/>
      <c r="Z247" s="1113"/>
      <c r="AA247" s="1113"/>
      <c r="AB247" s="1113"/>
      <c r="AC247" s="1113"/>
      <c r="AD247" s="1113"/>
      <c r="AE247" s="1113"/>
      <c r="AF247" s="1113"/>
      <c r="AG247" s="1113"/>
      <c r="AH247" s="1113"/>
      <c r="AI247" s="1113"/>
      <c r="AJ247" s="1113"/>
      <c r="AK247" s="1113"/>
      <c r="AW247" s="973"/>
      <c r="AX247" s="1447"/>
      <c r="AY247" s="1447"/>
      <c r="AZ247" s="1447"/>
      <c r="BA247" s="1447"/>
      <c r="BB247" s="1447"/>
      <c r="BC247" s="1447"/>
      <c r="BD247" s="1447"/>
      <c r="BE247" s="1447"/>
      <c r="BF247" s="1447"/>
      <c r="BG247" s="1447"/>
      <c r="BJ247" s="973"/>
    </row>
    <row r="249" spans="1:62" s="1089" customFormat="1" ht="19.5" customHeight="1" x14ac:dyDescent="0.2">
      <c r="B249" s="1257" t="s">
        <v>1138</v>
      </c>
      <c r="D249" s="1251" t="str">
        <f>'6.Inland wetlands'!CK87</f>
        <v>Nutrient poor</v>
      </c>
      <c r="F249" s="1257" t="s">
        <v>1139</v>
      </c>
      <c r="G249" s="973"/>
      <c r="H249" s="973"/>
      <c r="I249" s="973"/>
      <c r="J249" s="1250" t="str">
        <f>'6.Inland wetlands'!CK100</f>
        <v>Nutrient poor</v>
      </c>
      <c r="AX249" s="1271"/>
      <c r="AY249" s="1264"/>
      <c r="AZ249" s="1264"/>
      <c r="BA249" s="1264"/>
      <c r="BB249" s="1264"/>
      <c r="BC249" s="1264"/>
      <c r="BD249" s="1264"/>
      <c r="BE249" s="1264"/>
      <c r="BF249" s="1264"/>
      <c r="BG249" s="1264"/>
    </row>
    <row r="250" spans="1:62" s="1089" customFormat="1" ht="18" x14ac:dyDescent="0.15">
      <c r="B250" s="1228"/>
      <c r="Q250" s="1120" t="s">
        <v>1141</v>
      </c>
      <c r="AX250" s="1447"/>
      <c r="AY250" s="1447"/>
      <c r="AZ250" s="1447"/>
      <c r="BA250" s="1447"/>
      <c r="BB250" s="1447"/>
      <c r="BC250" s="1447"/>
      <c r="BD250" s="1447"/>
      <c r="BE250" s="1447"/>
      <c r="BF250" s="1447"/>
      <c r="BG250" s="1447"/>
      <c r="BJ250" s="973"/>
    </row>
    <row r="251" spans="1:62" ht="16" x14ac:dyDescent="0.2">
      <c r="B251" s="1231" t="s">
        <v>1228</v>
      </c>
      <c r="F251" s="1262" t="s">
        <v>1239</v>
      </c>
      <c r="G251" s="1262"/>
      <c r="H251" s="1262"/>
      <c r="I251" s="1262"/>
      <c r="J251" s="1262"/>
      <c r="K251" s="1262"/>
      <c r="L251" s="1262"/>
      <c r="M251" s="1262"/>
      <c r="O251" s="1497" t="s">
        <v>1144</v>
      </c>
      <c r="P251" s="1497"/>
      <c r="Q251" s="1497"/>
      <c r="R251" s="1506"/>
      <c r="S251" s="1506"/>
      <c r="T251" s="1506"/>
      <c r="U251" s="1506"/>
      <c r="V251" s="1506"/>
      <c r="W251" s="1276"/>
      <c r="X251" s="1276" t="s">
        <v>1145</v>
      </c>
      <c r="Y251" s="1276"/>
      <c r="Z251" s="1276"/>
      <c r="AD251" s="1275" t="s">
        <v>1146</v>
      </c>
      <c r="AE251" s="1276"/>
      <c r="AF251" s="1276"/>
      <c r="AG251" s="1276"/>
      <c r="AI251" s="1270" t="s">
        <v>1115</v>
      </c>
      <c r="AJ251" s="1116"/>
      <c r="AK251" s="1116"/>
      <c r="AX251" s="1287" t="s">
        <v>1147</v>
      </c>
      <c r="AY251" s="1501"/>
      <c r="AZ251" s="1501"/>
    </row>
    <row r="252" spans="1:62" ht="17" x14ac:dyDescent="0.2">
      <c r="F252" s="1521" t="s">
        <v>200</v>
      </c>
      <c r="G252" s="1525"/>
      <c r="H252" s="1525" t="s">
        <v>158</v>
      </c>
      <c r="I252" s="1525"/>
      <c r="J252" s="1522" t="s">
        <v>201</v>
      </c>
      <c r="K252" s="1526"/>
      <c r="L252" s="1526" t="s">
        <v>158</v>
      </c>
      <c r="M252" s="1526"/>
      <c r="O252" s="1497" t="s">
        <v>1036</v>
      </c>
      <c r="P252" s="1506"/>
      <c r="Q252" s="1497" t="s">
        <v>1038</v>
      </c>
      <c r="R252" s="1506"/>
      <c r="S252" s="1497" t="s">
        <v>176</v>
      </c>
      <c r="T252" s="1506"/>
      <c r="U252" s="1497" t="s">
        <v>1148</v>
      </c>
      <c r="V252" s="1506"/>
      <c r="W252" s="1276"/>
      <c r="X252" s="1276"/>
      <c r="Y252" s="1276"/>
      <c r="Z252" s="1276"/>
      <c r="AD252" s="1276" t="s">
        <v>1149</v>
      </c>
      <c r="AE252" s="1276"/>
      <c r="AF252" s="1276"/>
      <c r="AG252" s="1276"/>
      <c r="AI252" s="1270" t="s">
        <v>1121</v>
      </c>
      <c r="AJ252" s="1116"/>
      <c r="AK252" s="1116"/>
      <c r="AX252" s="1502" t="s">
        <v>1036</v>
      </c>
      <c r="AY252" s="1502"/>
      <c r="AZ252" s="1502" t="s">
        <v>176</v>
      </c>
      <c r="BA252" s="1450"/>
      <c r="BC252" s="1502" t="s">
        <v>176</v>
      </c>
      <c r="BD252" s="1450"/>
    </row>
    <row r="253" spans="1:62" ht="16" x14ac:dyDescent="0.2">
      <c r="B253" s="1231" t="s">
        <v>93</v>
      </c>
      <c r="C253" s="1231"/>
      <c r="D253" s="1231" t="str">
        <f>D222</f>
        <v>Final land use</v>
      </c>
      <c r="E253" s="1536"/>
      <c r="F253" s="1525" t="s">
        <v>1240</v>
      </c>
      <c r="G253" s="1525"/>
      <c r="H253" s="1525" t="s">
        <v>1151</v>
      </c>
      <c r="I253" s="1525" t="s">
        <v>1152</v>
      </c>
      <c r="J253" s="1526" t="str">
        <f>F253</f>
        <v xml:space="preserve">Managed land </v>
      </c>
      <c r="K253" s="1526"/>
      <c r="L253" s="1526" t="s">
        <v>1151</v>
      </c>
      <c r="M253" s="1526" t="s">
        <v>1152</v>
      </c>
      <c r="O253" s="1506" t="s">
        <v>1047</v>
      </c>
      <c r="P253" s="1506"/>
      <c r="Q253" s="1506" t="s">
        <v>1048</v>
      </c>
      <c r="R253" s="1506"/>
      <c r="S253" s="1506" t="s">
        <v>1049</v>
      </c>
      <c r="T253" s="1506"/>
      <c r="U253" s="1506" t="s">
        <v>116</v>
      </c>
      <c r="V253" s="1506"/>
      <c r="W253" s="1276"/>
      <c r="X253" s="1309" t="s">
        <v>1153</v>
      </c>
      <c r="Y253" s="1276"/>
      <c r="Z253" s="1276"/>
      <c r="AD253" s="1276" t="s">
        <v>1154</v>
      </c>
      <c r="AE253" s="1276"/>
      <c r="AF253" s="1276" t="s">
        <v>176</v>
      </c>
      <c r="AG253" s="1276"/>
      <c r="AI253" s="1270" t="s">
        <v>1215</v>
      </c>
      <c r="AJ253" s="1116"/>
      <c r="AK253" s="1116"/>
      <c r="AX253" s="1264" t="s">
        <v>859</v>
      </c>
      <c r="AZ253" s="1264" t="s">
        <v>859</v>
      </c>
      <c r="BC253" s="1264" t="s">
        <v>1241</v>
      </c>
    </row>
    <row r="254" spans="1:62" ht="17" x14ac:dyDescent="0.2">
      <c r="B254" s="1231" t="str">
        <f t="shared" ref="B254:B260" si="128">B223</f>
        <v>User selection</v>
      </c>
      <c r="C254" s="1231" t="s">
        <v>1216</v>
      </c>
      <c r="D254" s="1231" t="str">
        <f>B254</f>
        <v>User selection</v>
      </c>
      <c r="E254" s="1231" t="s">
        <v>1216</v>
      </c>
      <c r="F254" s="1532" t="s">
        <v>371</v>
      </c>
      <c r="G254" s="1532" t="s">
        <v>225</v>
      </c>
      <c r="H254" s="1532" t="s">
        <v>1158</v>
      </c>
      <c r="I254" s="1533" t="s">
        <v>1159</v>
      </c>
      <c r="J254" s="1534" t="s">
        <v>371</v>
      </c>
      <c r="K254" s="1534" t="s">
        <v>225</v>
      </c>
      <c r="L254" s="1534" t="s">
        <v>1158</v>
      </c>
      <c r="M254" s="1535" t="s">
        <v>1159</v>
      </c>
      <c r="O254" s="1507" t="s">
        <v>864</v>
      </c>
      <c r="P254" s="1507" t="s">
        <v>66</v>
      </c>
      <c r="Q254" s="1507" t="s">
        <v>864</v>
      </c>
      <c r="R254" s="1507" t="s">
        <v>66</v>
      </c>
      <c r="S254" s="1507" t="s">
        <v>864</v>
      </c>
      <c r="T254" s="1507" t="s">
        <v>66</v>
      </c>
      <c r="U254" s="1507" t="s">
        <v>864</v>
      </c>
      <c r="V254" s="1507" t="s">
        <v>66</v>
      </c>
      <c r="W254" s="1276"/>
      <c r="X254" s="973" t="s">
        <v>219</v>
      </c>
      <c r="Y254" s="1102" t="s">
        <v>179</v>
      </c>
      <c r="Z254" s="1103" t="s">
        <v>180</v>
      </c>
      <c r="AA254" s="1688"/>
      <c r="AB254" s="1688"/>
      <c r="AC254" s="1688"/>
      <c r="AD254" s="1102" t="s">
        <v>179</v>
      </c>
      <c r="AE254" s="1103" t="s">
        <v>180</v>
      </c>
      <c r="AF254" s="1102" t="s">
        <v>179</v>
      </c>
      <c r="AG254" s="1103" t="s">
        <v>180</v>
      </c>
      <c r="AI254" s="1102" t="s">
        <v>200</v>
      </c>
      <c r="AJ254" s="1103" t="s">
        <v>201</v>
      </c>
      <c r="AK254" s="1104" t="s">
        <v>324</v>
      </c>
      <c r="AX254" s="1272" t="s">
        <v>200</v>
      </c>
      <c r="AY254" s="1272" t="s">
        <v>201</v>
      </c>
      <c r="AZ254" s="1272" t="s">
        <v>200</v>
      </c>
      <c r="BA254" s="1272" t="s">
        <v>201</v>
      </c>
      <c r="BC254" s="1272" t="s">
        <v>200</v>
      </c>
      <c r="BD254" s="1272" t="s">
        <v>201</v>
      </c>
    </row>
    <row r="255" spans="1:62" x14ac:dyDescent="0.15">
      <c r="A255" s="973" t="s">
        <v>1160</v>
      </c>
      <c r="B255" s="973" t="str">
        <f t="shared" si="128"/>
        <v>Please select</v>
      </c>
      <c r="C255" s="1121" t="str">
        <f t="shared" ref="C255:F260" si="129">C224</f>
        <v/>
      </c>
      <c r="D255" s="973" t="str">
        <f t="shared" si="129"/>
        <v>Please select</v>
      </c>
      <c r="E255" s="1121" t="str">
        <f t="shared" si="129"/>
        <v/>
      </c>
      <c r="F255" s="992">
        <f t="shared" si="129"/>
        <v>0</v>
      </c>
      <c r="G255" s="992" t="str">
        <f t="shared" ref="G255:M255" si="130">G224</f>
        <v>Linear</v>
      </c>
      <c r="H255" s="992">
        <f t="shared" si="130"/>
        <v>1</v>
      </c>
      <c r="I255" s="1580">
        <f t="shared" si="130"/>
        <v>0.01</v>
      </c>
      <c r="J255" s="992">
        <f t="shared" si="130"/>
        <v>0</v>
      </c>
      <c r="K255" s="992" t="str">
        <f t="shared" si="130"/>
        <v>Linear</v>
      </c>
      <c r="L255" s="992">
        <f t="shared" si="130"/>
        <v>1</v>
      </c>
      <c r="M255" s="1580">
        <f t="shared" si="130"/>
        <v>0.01</v>
      </c>
      <c r="O255" s="1111">
        <f>IFERROR(INDEX(IPCC!$A$2037:$D$2048,MATCH(clim_moist,IPCC!$A$2037:$A$2048,0),MATCH($O$252,IPCC!$A$2037:$D$2037,0)),0)</f>
        <v>362</v>
      </c>
      <c r="P255" s="1161">
        <f>IF('6.Inland wetlands'!$DI80="",'6.Inland wetlands'!$DH80,'6.Inland wetlands'!$DI80)</f>
        <v>362</v>
      </c>
      <c r="Q255" s="1111">
        <f>IFERROR(INDEX(IPCC!$A$2037:$D$2048,MATCH(clim_moist,IPCC!$A$2037:$A$2048,0),MATCH($Q$252,IPCC!$A$2037:$D$2037,0)),0)</f>
        <v>207</v>
      </c>
      <c r="R255" s="1161">
        <f>IF('6.Inland wetlands'!$DK80="",'6.Inland wetlands'!$DJ80,'6.Inland wetlands'!$DK80)</f>
        <v>207</v>
      </c>
      <c r="S255" s="1111">
        <f>IFERROR(INDEX(IPCC!$A$2037:$D$2048,MATCH(clim_moist,IPCC!$A$2037:$A$2048,0),MATCH($S$252,IPCC!$A$2037:$D$2037,0)),0)</f>
        <v>9</v>
      </c>
      <c r="T255" s="1161">
        <f>IF('6.Inland wetlands'!$DM80="",'6.Inland wetlands'!$DL80,'6.Inland wetlands'!$DM80)</f>
        <v>9</v>
      </c>
      <c r="U255" s="1111">
        <f>IFERROR(INDEX(IPCC!$A$2020:$D$2031,MATCH(clim_moist,IPCC!$A$2021:$A$2031,0),MATCH('6.Inland wetlands'!$CZ80,IPCC!$A$2020:$D$2020,0)),0)</f>
        <v>0</v>
      </c>
      <c r="V255" s="1161">
        <f>IF('6.Inland wetlands'!$DO80="",'6.Inland wetlands'!$DN80,'6.Inland wetlands'!$DO80)</f>
        <v>0</v>
      </c>
      <c r="W255" s="1276"/>
      <c r="X255" s="1151">
        <v>0</v>
      </c>
      <c r="Y255" s="1151">
        <f>IF('6.Inland wetlands'!$CZ80=list!$F$210,0,$V255*$F255)</f>
        <v>0</v>
      </c>
      <c r="Z255" s="1151">
        <f>IF('6.Inland wetlands'!$CZ80=list!$F$210,0,$V255*$J255)</f>
        <v>0</v>
      </c>
      <c r="AA255" s="1468"/>
      <c r="AD255" s="1151">
        <f>IF(OR('6.Inland wetlands'!$AA91=list!$E$210,'6.Inland wetlands'!$AA91=list!$E$212,'6.Inland wetlands'!$AA91=list!$E$214),0,IF($H255&gt;time_tot,0,MIN($X255,$Y255)*time_tot+ABS($Y255-$X255)*IF($Y255&gt;$X255,time_cap+time*VLOOKUP($G255,list!$J$48:$K$50,2,0),time*(1-VLOOKUP($G255,list!$J$48:$K$50,2,0))))*(1/$H255)*($I255)*($P255*44/12/1000)+IF($H255&gt;time_tot,0,MIN($X255,$Y255)*time_tot+ABS($Y255-$X255)*IF($Y255&gt;$X255,time_cap+time*VLOOKUP($G255,list!$J$48:$K$50,2,0),time*(1-VLOOKUP($G255,list!$J$48:$K$50,2,0))))*(1/$H255)*($I255)*($R255*2/1000))</f>
        <v>0</v>
      </c>
      <c r="AE255" s="1151">
        <f>IF(OR('6.Inland wetlands'!$AA91=list!$E$210,'6.Inland wetlands'!$AA91=list!$E$211,'6.Inland wetlands'!$AA91=list!$E$214),0,IF($L255&gt;time_tot,0,MIN($X255,$Z255)*time_tot+ABS($Z255-$X255)*IF($Z255&gt;$X255,time_cap+time*VLOOKUP($K255,list!$J$48:$K$50,2,0),time*(1-VLOOKUP($K255,list!$J$48:$K$50,2,0))))*(1/$L255)*($M255)*($P255*44/12/1000)+IF($L255&gt;time_tot,0,MIN($X255,$Z255)*time_tot+ABS($Z255-$X255)*IF($Z255&gt;$X255,time_cap+time*VLOOKUP($K255,list!$J$48:$K$50,2,0),time*(1-VLOOKUP($K255,list!$J$48:$K$50,2,0))))*(1/$L255)*($M255)*($R255*2/1000))</f>
        <v>0</v>
      </c>
      <c r="AF255" s="1151">
        <f>IF(OR('6.Inland wetlands'!$AA91=list!$E$210,'6.Inland wetlands'!$AA91=list!$E$212,'6.Inland wetlands'!$AA91=list!$E$214),0,IF($H255&gt;time_tot,0,MIN($X255,$Y255)*time_tot+ABS($Y255-$X255)*IF($Y255&gt;$X255,time_cap+time*VLOOKUP($G255,list!$J$48:$K$50,2,0),time*(1-VLOOKUP($G255,list!$J$48:$K$50,2,0))))*(1/$H255)*($I255)*($T255*methane/1000))</f>
        <v>0</v>
      </c>
      <c r="AG255" s="1151">
        <f>IF(OR('6.Inland wetlands'!$AA91=list!$E$210,'6.Inland wetlands'!$AA91=list!$E$211,'6.Inland wetlands'!$AA91=list!$E$214),0,IF($L255&gt;time_tot,0,MIN($X255,$Z255)*time_tot+ABS($Z255-$X255)*IF($Z255&gt;$X255,time_cap+time*VLOOKUP($K255,list!$J$48:$K$50,2,0),time*(1-VLOOKUP($K255,list!$J$48:$K$50,2,0))))*(1/$L255)*($M255)*($T255*methane/1000))</f>
        <v>0</v>
      </c>
      <c r="AI255" s="3472">
        <f t="shared" ref="AI255:AJ260" si="131">SUM(AD255,AF255)</f>
        <v>0</v>
      </c>
      <c r="AJ255" s="3472">
        <f t="shared" si="131"/>
        <v>0</v>
      </c>
      <c r="AK255" s="1160">
        <f t="shared" ref="AK255:AK260" si="132">AJ255-AI255</f>
        <v>0</v>
      </c>
      <c r="AX255" s="1449">
        <f>IF($H255&gt;time_tot,0,$X255*time*(VLOOKUP($G255,list!$J$48:$K$50,2,0)))</f>
        <v>0</v>
      </c>
      <c r="AY255" s="1449">
        <f>IF($L255&gt;time_tot,0,$Y255*time*(VLOOKUP($K255,list!$J$48:$K$50,2,0)))</f>
        <v>0</v>
      </c>
      <c r="AZ255" s="1449">
        <f>IF($H255&gt;time_tot,0,$Z255*time*(VLOOKUP($G255,list!$J$48:$K$50,2,0)))</f>
        <v>0</v>
      </c>
      <c r="BA255" s="1449">
        <f>IF($L255&gt;time_tot,0,$AA255*time*(VLOOKUP($K255,list!$J$48:$K$50,2,0)))</f>
        <v>0</v>
      </c>
      <c r="BC255" s="1451">
        <f>AF255</f>
        <v>0</v>
      </c>
      <c r="BD255" s="1451">
        <f t="shared" ref="BC255:BD260" si="133">AG255</f>
        <v>0</v>
      </c>
    </row>
    <row r="256" spans="1:62" x14ac:dyDescent="0.15">
      <c r="A256" s="973" t="s">
        <v>1161</v>
      </c>
      <c r="B256" s="973" t="str">
        <f t="shared" si="128"/>
        <v>Please select</v>
      </c>
      <c r="C256" s="1121" t="str">
        <f t="shared" si="129"/>
        <v/>
      </c>
      <c r="D256" s="973" t="str">
        <f t="shared" si="129"/>
        <v>Please select</v>
      </c>
      <c r="E256" s="1121" t="str">
        <f t="shared" si="129"/>
        <v/>
      </c>
      <c r="F256" s="992">
        <f t="shared" si="129"/>
        <v>0</v>
      </c>
      <c r="G256" s="992" t="str">
        <f t="shared" ref="G256:M260" si="134">G225</f>
        <v>Linear</v>
      </c>
      <c r="H256" s="992">
        <f t="shared" si="134"/>
        <v>1</v>
      </c>
      <c r="I256" s="1580">
        <f t="shared" si="134"/>
        <v>0.01</v>
      </c>
      <c r="J256" s="992">
        <f t="shared" si="134"/>
        <v>0</v>
      </c>
      <c r="K256" s="992" t="str">
        <f t="shared" si="134"/>
        <v>Linear</v>
      </c>
      <c r="L256" s="992">
        <f t="shared" si="134"/>
        <v>1</v>
      </c>
      <c r="M256" s="1580">
        <f t="shared" si="134"/>
        <v>0.01</v>
      </c>
      <c r="O256" s="1111">
        <f>IFERROR(INDEX(IPCC!$A$2037:$D$2048,MATCH(clim_moist,IPCC!$A$2037:$A$2048,0),MATCH($O$252,IPCC!$A$2037:$D$2037,0)),0)</f>
        <v>362</v>
      </c>
      <c r="P256" s="1161">
        <f>IF('6.Inland wetlands'!$DI81="",'6.Inland wetlands'!$DH81,'6.Inland wetlands'!$DI81)</f>
        <v>362</v>
      </c>
      <c r="Q256" s="1111">
        <f>IFERROR(INDEX(IPCC!$A$2037:$D$2048,MATCH(clim_moist,IPCC!$A$2037:$A$2048,0),MATCH($Q$252,IPCC!$A$2037:$D$2037,0)),0)</f>
        <v>207</v>
      </c>
      <c r="R256" s="1161">
        <f>IF('6.Inland wetlands'!$DK81="",'6.Inland wetlands'!$DJ81,'6.Inland wetlands'!$DK81)</f>
        <v>207</v>
      </c>
      <c r="S256" s="1111">
        <f>IFERROR(INDEX(IPCC!$A$2037:$D$2048,MATCH(clim_moist,IPCC!$A$2037:$A$2048,0),MATCH($S$252,IPCC!$A$2037:$D$2037,0)),0)</f>
        <v>9</v>
      </c>
      <c r="T256" s="1161">
        <f>IF('6.Inland wetlands'!$DM81="",'6.Inland wetlands'!$DL81,'6.Inland wetlands'!$DM81)</f>
        <v>9</v>
      </c>
      <c r="U256" s="1111">
        <f>IFERROR(INDEX(IPCC!$A$2020:$D$2031,MATCH(clim_moist,IPCC!$A$2021:$A$2031,0),MATCH('6.Inland wetlands'!$CZ81,IPCC!$A$2020:$D$2020,0)),0)</f>
        <v>0</v>
      </c>
      <c r="V256" s="1161">
        <f>IF('6.Inland wetlands'!$DO81="",'6.Inland wetlands'!$DN81,'6.Inland wetlands'!$DO81)</f>
        <v>0</v>
      </c>
      <c r="W256" s="1276"/>
      <c r="X256" s="1151">
        <v>0</v>
      </c>
      <c r="Y256" s="1151">
        <f>IF('6.Inland wetlands'!$CZ81=list!$F$210,0,$V256*$F256)</f>
        <v>0</v>
      </c>
      <c r="Z256" s="1151">
        <f>IF('6.Inland wetlands'!$CZ81=list!$F$210,0,$V256*$J256)</f>
        <v>0</v>
      </c>
      <c r="AA256" s="1468"/>
      <c r="AD256" s="1151">
        <f>IF(OR('6.Inland wetlands'!$AA92=list!$E$210,'6.Inland wetlands'!$AA92=list!$E$212,'6.Inland wetlands'!$AA92=list!$E$214),0,IF($H256&gt;time_tot,0,MIN($X256,$Y256)*time_tot+ABS($Y256-$X256)*IF($Y256&gt;$X256,time_cap+time*VLOOKUP($G256,list!$J$48:$K$50,2,0),time*(1-VLOOKUP($G256,list!$J$48:$K$50,2,0))))*(1/$H256)*($I256)*($P256*44/12/1000)+IF($H256&gt;time_tot,0,MIN($X256,$Y256)*time_tot+ABS($Y256-$X256)*IF($Y256&gt;$X256,time_cap+time*VLOOKUP($G256,list!$J$48:$K$50,2,0),time*(1-VLOOKUP($G256,list!$J$48:$K$50,2,0))))*(1/$H256)*($I256)*($R256*2/1000))</f>
        <v>0</v>
      </c>
      <c r="AE256" s="1151">
        <f>IF(OR('6.Inland wetlands'!$AA92=list!$E$210,'6.Inland wetlands'!$AA92=list!$E$211,'6.Inland wetlands'!$AA92=list!$E$214),0,IF($L256&gt;time_tot,0,MIN($X256,$Z256)*time_tot+ABS($Z256-$X256)*IF($Z256&gt;$X256,time_cap+time*VLOOKUP($K256,list!$J$48:$K$50,2,0),time*(1-VLOOKUP($K256,list!$J$48:$K$50,2,0))))*(1/$L256)*($M256)*($P256*44/12/1000)+IF($L256&gt;time_tot,0,MIN($X256,$Z256)*time_tot+ABS($Z256-$X256)*IF($Z256&gt;$X256,time_cap+time*VLOOKUP($K256,list!$J$48:$K$50,2,0),time*(1-VLOOKUP($K256,list!$J$48:$K$50,2,0))))*(1/$L256)*($M256)*($R256*2/1000))</f>
        <v>0</v>
      </c>
      <c r="AF256" s="1151">
        <f>IF(OR('6.Inland wetlands'!$AA92=list!$E$210,'6.Inland wetlands'!$AA92=list!$E$212,'6.Inland wetlands'!$AA92=list!$E$214),0,IF($H256&gt;time_tot,0,MIN($X256,$Y256)*time_tot+ABS($Y256-$X256)*IF($Y256&gt;$X256,time_cap+time*VLOOKUP($G256,list!$J$48:$K$50,2,0),time*(1-VLOOKUP($G256,list!$J$48:$K$50,2,0))))*(1/$H256)*($I256)*($T256*methane/1000))</f>
        <v>0</v>
      </c>
      <c r="AG256" s="1151">
        <f>IF(OR('6.Inland wetlands'!$AA92=list!$E$210,'6.Inland wetlands'!$AA92=list!$E$211,'6.Inland wetlands'!$AA92=list!$E$214),0,IF($L256&gt;time_tot,0,MIN($X256,$Z256)*time_tot+ABS($Z256-$X256)*IF($Z256&gt;$X256,time_cap+time*VLOOKUP($K256,list!$J$48:$K$50,2,0),time*(1-VLOOKUP($K256,list!$J$48:$K$50,2,0))))*(1/$L256)*($M256)*($T256*methane/1000))</f>
        <v>0</v>
      </c>
      <c r="AI256" s="3472">
        <f t="shared" si="131"/>
        <v>0</v>
      </c>
      <c r="AJ256" s="3472">
        <f t="shared" si="131"/>
        <v>0</v>
      </c>
      <c r="AK256" s="1160">
        <f t="shared" si="132"/>
        <v>0</v>
      </c>
      <c r="AX256" s="1449">
        <f>IF($H256&gt;time_tot,0,$X256*time*(VLOOKUP($G256,list!$J$48:$K$50,2,0)))</f>
        <v>0</v>
      </c>
      <c r="AY256" s="1449">
        <f>IF($L256&gt;time_tot,0,$Y256*time*(VLOOKUP($K256,list!$J$48:$K$50,2,0)))</f>
        <v>0</v>
      </c>
      <c r="AZ256" s="1449">
        <f>IF($H256&gt;time_tot,0,$Z256*time*(VLOOKUP($G256,list!$J$48:$K$50,2,0)))</f>
        <v>0</v>
      </c>
      <c r="BA256" s="1449">
        <f>IF($L256&gt;time_tot,0,$AA256*time*(VLOOKUP($K256,list!$J$48:$K$50,2,0)))</f>
        <v>0</v>
      </c>
      <c r="BC256" s="1451">
        <f t="shared" si="133"/>
        <v>0</v>
      </c>
      <c r="BD256" s="1451">
        <f t="shared" si="133"/>
        <v>0</v>
      </c>
    </row>
    <row r="257" spans="1:59" x14ac:dyDescent="0.15">
      <c r="A257" s="973" t="s">
        <v>1162</v>
      </c>
      <c r="B257" s="973" t="str">
        <f t="shared" si="128"/>
        <v>Please select</v>
      </c>
      <c r="C257" s="1121" t="str">
        <f t="shared" si="129"/>
        <v/>
      </c>
      <c r="D257" s="973" t="str">
        <f t="shared" si="129"/>
        <v>Please select</v>
      </c>
      <c r="E257" s="1121" t="str">
        <f t="shared" si="129"/>
        <v/>
      </c>
      <c r="F257" s="992">
        <f t="shared" si="129"/>
        <v>0</v>
      </c>
      <c r="G257" s="992" t="str">
        <f t="shared" si="134"/>
        <v>Linear</v>
      </c>
      <c r="H257" s="992">
        <f t="shared" si="134"/>
        <v>1</v>
      </c>
      <c r="I257" s="1580">
        <f t="shared" si="134"/>
        <v>0.01</v>
      </c>
      <c r="J257" s="992">
        <f t="shared" si="134"/>
        <v>0</v>
      </c>
      <c r="K257" s="992" t="str">
        <f t="shared" si="134"/>
        <v>Linear</v>
      </c>
      <c r="L257" s="992">
        <f t="shared" si="134"/>
        <v>1</v>
      </c>
      <c r="M257" s="1580">
        <f t="shared" si="134"/>
        <v>0.01</v>
      </c>
      <c r="O257" s="1111">
        <f>IFERROR(INDEX(IPCC!$A$2037:$D$2048,MATCH(clim_moist,IPCC!$A$2037:$A$2048,0),MATCH($O$252,IPCC!$A$2037:$D$2037,0)),0)</f>
        <v>362</v>
      </c>
      <c r="P257" s="1161">
        <f>IF('6.Inland wetlands'!$DI82="",'6.Inland wetlands'!$DH82,'6.Inland wetlands'!$DI82)</f>
        <v>362</v>
      </c>
      <c r="Q257" s="1111">
        <f>IFERROR(INDEX(IPCC!$A$2037:$D$2048,MATCH(clim_moist,IPCC!$A$2037:$A$2048,0),MATCH($Q$252,IPCC!$A$2037:$D$2037,0)),0)</f>
        <v>207</v>
      </c>
      <c r="R257" s="1161">
        <f>IF('6.Inland wetlands'!$DK82="",'6.Inland wetlands'!$DJ82,'6.Inland wetlands'!$DK82)</f>
        <v>207</v>
      </c>
      <c r="S257" s="1111">
        <f>IFERROR(INDEX(IPCC!$A$2037:$D$2048,MATCH(clim_moist,IPCC!$A$2037:$A$2048,0),MATCH($S$252,IPCC!$A$2037:$D$2037,0)),0)</f>
        <v>9</v>
      </c>
      <c r="T257" s="1161">
        <f>IF('6.Inland wetlands'!$DM82="",'6.Inland wetlands'!$DL82,'6.Inland wetlands'!$DM82)</f>
        <v>9</v>
      </c>
      <c r="U257" s="1111">
        <f>IFERROR(INDEX(IPCC!$A$2020:$D$2031,MATCH(clim_moist,IPCC!$A$2021:$A$2031,0),MATCH('6.Inland wetlands'!$CZ82,IPCC!$A$2020:$D$2020,0)),0)</f>
        <v>0</v>
      </c>
      <c r="V257" s="1161">
        <f>IF('6.Inland wetlands'!$DO82="",'6.Inland wetlands'!$DN82,'6.Inland wetlands'!$DO82)</f>
        <v>0</v>
      </c>
      <c r="W257" s="1276"/>
      <c r="X257" s="1151">
        <v>0</v>
      </c>
      <c r="Y257" s="1151">
        <f>IF('6.Inland wetlands'!$CZ82=list!$F$210,0,$V257*$F257)</f>
        <v>0</v>
      </c>
      <c r="Z257" s="1151">
        <f>IF('6.Inland wetlands'!$CZ82=list!$F$210,0,$V257*$J257)</f>
        <v>0</v>
      </c>
      <c r="AA257" s="1468"/>
      <c r="AD257" s="1151">
        <f>IF(OR('6.Inland wetlands'!$AA93=list!$E$210,'6.Inland wetlands'!$AA93=list!$E$212,'6.Inland wetlands'!$AA93=list!$E$214),0,IF($H257&gt;time_tot,0,MIN($X257,$Y257)*time_tot+ABS($Y257-$X257)*IF($Y257&gt;$X257,time_cap+time*VLOOKUP($G257,list!$J$48:$K$50,2,0),time*(1-VLOOKUP($G257,list!$J$48:$K$50,2,0))))*(1/$H257)*($I257)*($P257*44/12/1000)+IF($H257&gt;time_tot,0,MIN($X257,$Y257)*time_tot+ABS($Y257-$X257)*IF($Y257&gt;$X257,time_cap+time*VLOOKUP($G257,list!$J$48:$K$50,2,0),time*(1-VLOOKUP($G257,list!$J$48:$K$50,2,0))))*(1/$H257)*($I257)*($R257*2/1000))</f>
        <v>0</v>
      </c>
      <c r="AE257" s="1151">
        <f>IF(OR('6.Inland wetlands'!$AA93=list!$E$210,'6.Inland wetlands'!$AA93=list!$E$211,'6.Inland wetlands'!$AA93=list!$E$214),0,IF($L257&gt;time_tot,0,MIN($X257,$Z257)*time_tot+ABS($Z257-$X257)*IF($Z257&gt;$X257,time_cap+time*VLOOKUP($K257,list!$J$48:$K$50,2,0),time*(1-VLOOKUP($K257,list!$J$48:$K$50,2,0))))*(1/$L257)*($M257)*($P257*44/12/1000)+IF($L257&gt;time_tot,0,MIN($X257,$Z257)*time_tot+ABS($Z257-$X257)*IF($Z257&gt;$X257,time_cap+time*VLOOKUP($K257,list!$J$48:$K$50,2,0),time*(1-VLOOKUP($K257,list!$J$48:$K$50,2,0))))*(1/$L257)*($M257)*($R257*2/1000))</f>
        <v>0</v>
      </c>
      <c r="AF257" s="1151">
        <f>IF(OR('6.Inland wetlands'!$AA93=list!$E$210,'6.Inland wetlands'!$AA93=list!$E$212,'6.Inland wetlands'!$AA93=list!$E$214),0,IF($H257&gt;time_tot,0,MIN($X257,$Y257)*time_tot+ABS($Y257-$X257)*IF($Y257&gt;$X257,time_cap+time*VLOOKUP($G257,list!$J$48:$K$50,2,0),time*(1-VLOOKUP($G257,list!$J$48:$K$50,2,0))))*(1/$H257)*($I257)*($T257*methane/1000))</f>
        <v>0</v>
      </c>
      <c r="AG257" s="1151">
        <f>IF(OR('6.Inland wetlands'!$AA93=list!$E$210,'6.Inland wetlands'!$AA93=list!$E$211,'6.Inland wetlands'!$AA93=list!$E$214),0,IF($L257&gt;time_tot,0,MIN($X257,$Z257)*time_tot+ABS($Z257-$X257)*IF($Z257&gt;$X257,time_cap+time*VLOOKUP($K257,list!$J$48:$K$50,2,0),time*(1-VLOOKUP($K257,list!$J$48:$K$50,2,0))))*(1/$L257)*($M257)*($T257*methane/1000))</f>
        <v>0</v>
      </c>
      <c r="AI257" s="3472">
        <f t="shared" si="131"/>
        <v>0</v>
      </c>
      <c r="AJ257" s="3472">
        <f t="shared" si="131"/>
        <v>0</v>
      </c>
      <c r="AK257" s="1160">
        <f t="shared" si="132"/>
        <v>0</v>
      </c>
      <c r="AX257" s="1449">
        <f>IF($H257&gt;time_tot,0,$X257*time*(VLOOKUP($G257,list!$J$48:$K$50,2,0)))</f>
        <v>0</v>
      </c>
      <c r="AY257" s="1449">
        <f>IF($L257&gt;time_tot,0,$Y257*time*(VLOOKUP($K257,list!$J$48:$K$50,2,0)))</f>
        <v>0</v>
      </c>
      <c r="AZ257" s="1449">
        <f>IF($H257&gt;time_tot,0,$Z257*time*(VLOOKUP($G257,list!$J$48:$K$50,2,0)))</f>
        <v>0</v>
      </c>
      <c r="BA257" s="1449">
        <f>IF($L257&gt;time_tot,0,$AA257*time*(VLOOKUP($K257,list!$J$48:$K$50,2,0)))</f>
        <v>0</v>
      </c>
      <c r="BC257" s="1451">
        <f t="shared" si="133"/>
        <v>0</v>
      </c>
      <c r="BD257" s="1451">
        <f t="shared" si="133"/>
        <v>0</v>
      </c>
    </row>
    <row r="258" spans="1:59" x14ac:dyDescent="0.15">
      <c r="A258" s="973" t="s">
        <v>1163</v>
      </c>
      <c r="B258" s="973" t="str">
        <f t="shared" si="128"/>
        <v>Please select</v>
      </c>
      <c r="C258" s="1121" t="str">
        <f t="shared" si="129"/>
        <v/>
      </c>
      <c r="D258" s="973" t="str">
        <f t="shared" si="129"/>
        <v>Please select</v>
      </c>
      <c r="E258" s="1121" t="str">
        <f t="shared" si="129"/>
        <v/>
      </c>
      <c r="F258" s="992">
        <f t="shared" si="129"/>
        <v>0</v>
      </c>
      <c r="G258" s="992" t="str">
        <f t="shared" si="134"/>
        <v>Linear</v>
      </c>
      <c r="H258" s="992">
        <f t="shared" si="134"/>
        <v>1</v>
      </c>
      <c r="I258" s="1580">
        <f t="shared" si="134"/>
        <v>0.01</v>
      </c>
      <c r="J258" s="992">
        <f t="shared" si="134"/>
        <v>0</v>
      </c>
      <c r="K258" s="992" t="str">
        <f t="shared" si="134"/>
        <v>Linear</v>
      </c>
      <c r="L258" s="992">
        <f t="shared" si="134"/>
        <v>1</v>
      </c>
      <c r="M258" s="1580">
        <f t="shared" si="134"/>
        <v>0.01</v>
      </c>
      <c r="O258" s="1111">
        <f>IFERROR(INDEX(IPCC!$A$2037:$D$2048,MATCH(clim_moist,IPCC!$A$2037:$A$2048,0),MATCH($O$252,IPCC!$A$2037:$D$2037,0)),0)</f>
        <v>362</v>
      </c>
      <c r="P258" s="1161">
        <f>IF('6.Inland wetlands'!$DI83="",'6.Inland wetlands'!$DH83,'6.Inland wetlands'!$DI83)</f>
        <v>362</v>
      </c>
      <c r="Q258" s="1111">
        <f>IFERROR(INDEX(IPCC!$A$2037:$D$2048,MATCH(clim_moist,IPCC!$A$2037:$A$2048,0),MATCH($Q$252,IPCC!$A$2037:$D$2037,0)),0)</f>
        <v>207</v>
      </c>
      <c r="R258" s="1161">
        <f>IF('6.Inland wetlands'!$DK83="",'6.Inland wetlands'!$DJ83,'6.Inland wetlands'!$DK83)</f>
        <v>207</v>
      </c>
      <c r="S258" s="1111">
        <f>IFERROR(INDEX(IPCC!$A$2037:$D$2048,MATCH(clim_moist,IPCC!$A$2037:$A$2048,0),MATCH($S$252,IPCC!$A$2037:$D$2037,0)),0)</f>
        <v>9</v>
      </c>
      <c r="T258" s="1161">
        <f>IF('6.Inland wetlands'!$DM83="",'6.Inland wetlands'!$DL83,'6.Inland wetlands'!$DM83)</f>
        <v>9</v>
      </c>
      <c r="U258" s="1111">
        <f>IFERROR(INDEX(IPCC!$A$2020:$D$2031,MATCH(clim_moist,IPCC!$A$2021:$A$2031,0),MATCH('6.Inland wetlands'!$CZ83,IPCC!$A$2020:$D$2020,0)),0)</f>
        <v>0</v>
      </c>
      <c r="V258" s="1161">
        <f>IF('6.Inland wetlands'!$DO83="",'6.Inland wetlands'!$DN83,'6.Inland wetlands'!$DO83)</f>
        <v>0</v>
      </c>
      <c r="W258" s="1276"/>
      <c r="X258" s="1151">
        <v>0</v>
      </c>
      <c r="Y258" s="1151">
        <f>IF('6.Inland wetlands'!$CZ83=list!$F$210,0,$V258*$F258)</f>
        <v>0</v>
      </c>
      <c r="Z258" s="1151">
        <f>IF('6.Inland wetlands'!$CZ83=list!$F$210,0,$V258*$J258)</f>
        <v>0</v>
      </c>
      <c r="AA258" s="1468"/>
      <c r="AD258" s="1151">
        <f>IF(OR('6.Inland wetlands'!$AA94=list!$E$210,'6.Inland wetlands'!$AA94=list!$E$212,'6.Inland wetlands'!$AA94=list!$E$214),0,IF($H258&gt;time_tot,0,MIN($X258,$Y258)*time_tot+ABS($Y258-$X258)*IF($Y258&gt;$X258,time_cap+time*VLOOKUP($G258,list!$J$48:$K$50,2,0),time*(1-VLOOKUP($G258,list!$J$48:$K$50,2,0))))*(1/$H258)*($I258)*($P258*44/12/1000)+IF($H258&gt;time_tot,0,MIN($X258,$Y258)*time_tot+ABS($Y258-$X258)*IF($Y258&gt;$X258,time_cap+time*VLOOKUP($G258,list!$J$48:$K$50,2,0),time*(1-VLOOKUP($G258,list!$J$48:$K$50,2,0))))*(1/$H258)*($I258)*($R258*2/1000))</f>
        <v>0</v>
      </c>
      <c r="AE258" s="1151">
        <f>IF(OR('6.Inland wetlands'!$AA94=list!$E$210,'6.Inland wetlands'!$AA94=list!$E$211,'6.Inland wetlands'!$AA94=list!$E$214),0,IF($L258&gt;time_tot,0,MIN($X258,$Z258)*time_tot+ABS($Z258-$X258)*IF($Z258&gt;$X258,time_cap+time*VLOOKUP($K258,list!$J$48:$K$50,2,0),time*(1-VLOOKUP($K258,list!$J$48:$K$50,2,0))))*(1/$L258)*($M258)*($P258*44/12/1000)+IF($L258&gt;time_tot,0,MIN($X258,$Z258)*time_tot+ABS($Z258-$X258)*IF($Z258&gt;$X258,time_cap+time*VLOOKUP($K258,list!$J$48:$K$50,2,0),time*(1-VLOOKUP($K258,list!$J$48:$K$50,2,0))))*(1/$L258)*($M258)*($R258*2/1000))</f>
        <v>0</v>
      </c>
      <c r="AF258" s="1151">
        <f>IF(OR('6.Inland wetlands'!$AA94=list!$E$210,'6.Inland wetlands'!$AA94=list!$E$212,'6.Inland wetlands'!$AA94=list!$E$214),0,IF($H258&gt;time_tot,0,MIN($X258,$Y258)*time_tot+ABS($Y258-$X258)*IF($Y258&gt;$X258,time_cap+time*VLOOKUP($G258,list!$J$48:$K$50,2,0),time*(1-VLOOKUP($G258,list!$J$48:$K$50,2,0))))*(1/$H258)*($I258)*($T258*methane/1000))</f>
        <v>0</v>
      </c>
      <c r="AG258" s="1151">
        <f>IF(OR('6.Inland wetlands'!$AA94=list!$E$210,'6.Inland wetlands'!$AA94=list!$E$211,'6.Inland wetlands'!$AA94=list!$E$214),0,IF($L258&gt;time_tot,0,MIN($X258,$Z258)*time_tot+ABS($Z258-$X258)*IF($Z258&gt;$X258,time_cap+time*VLOOKUP($K258,list!$J$48:$K$50,2,0),time*(1-VLOOKUP($K258,list!$J$48:$K$50,2,0))))*(1/$L258)*($M258)*($T258*methane/1000))</f>
        <v>0</v>
      </c>
      <c r="AI258" s="3472">
        <f t="shared" si="131"/>
        <v>0</v>
      </c>
      <c r="AJ258" s="3472">
        <f t="shared" si="131"/>
        <v>0</v>
      </c>
      <c r="AK258" s="1160">
        <f t="shared" si="132"/>
        <v>0</v>
      </c>
      <c r="AX258" s="1449">
        <f>IF($H258&gt;time_tot,0,$X258*time*(VLOOKUP($G258,list!$J$48:$K$50,2,0)))</f>
        <v>0</v>
      </c>
      <c r="AY258" s="1449">
        <f>IF($L258&gt;time_tot,0,$Y258*time*(VLOOKUP($K258,list!$J$48:$K$50,2,0)))</f>
        <v>0</v>
      </c>
      <c r="AZ258" s="1449">
        <f>IF($H258&gt;time_tot,0,$Z258*time*(VLOOKUP($G258,list!$J$48:$K$50,2,0)))</f>
        <v>0</v>
      </c>
      <c r="BA258" s="1449">
        <f>IF($L258&gt;time_tot,0,$AA258*time*(VLOOKUP($K258,list!$J$48:$K$50,2,0)))</f>
        <v>0</v>
      </c>
      <c r="BC258" s="1451">
        <f t="shared" si="133"/>
        <v>0</v>
      </c>
      <c r="BD258" s="1451">
        <f t="shared" si="133"/>
        <v>0</v>
      </c>
    </row>
    <row r="259" spans="1:59" x14ac:dyDescent="0.15">
      <c r="A259" s="973" t="s">
        <v>1164</v>
      </c>
      <c r="B259" s="973" t="str">
        <f t="shared" si="128"/>
        <v>Please select</v>
      </c>
      <c r="C259" s="1121" t="str">
        <f t="shared" si="129"/>
        <v/>
      </c>
      <c r="D259" s="973" t="str">
        <f t="shared" si="129"/>
        <v>Please select</v>
      </c>
      <c r="E259" s="1121" t="str">
        <f t="shared" si="129"/>
        <v/>
      </c>
      <c r="F259" s="992">
        <f t="shared" si="129"/>
        <v>0</v>
      </c>
      <c r="G259" s="992" t="str">
        <f t="shared" si="134"/>
        <v>Linear</v>
      </c>
      <c r="H259" s="992">
        <f t="shared" si="134"/>
        <v>1</v>
      </c>
      <c r="I259" s="1580">
        <f t="shared" si="134"/>
        <v>0.01</v>
      </c>
      <c r="J259" s="992">
        <f t="shared" si="134"/>
        <v>0</v>
      </c>
      <c r="K259" s="992" t="str">
        <f t="shared" si="134"/>
        <v>Linear</v>
      </c>
      <c r="L259" s="992">
        <f t="shared" si="134"/>
        <v>1</v>
      </c>
      <c r="M259" s="1580">
        <f t="shared" si="134"/>
        <v>0.01</v>
      </c>
      <c r="O259" s="1111">
        <f>IFERROR(INDEX(IPCC!$A$2037:$D$2048,MATCH(clim_moist,IPCC!$A$2037:$A$2048,0),MATCH($O$252,IPCC!$A$2037:$D$2037,0)),0)</f>
        <v>362</v>
      </c>
      <c r="P259" s="1161">
        <f>IF('6.Inland wetlands'!$DI84="",'6.Inland wetlands'!$DH84,'6.Inland wetlands'!$DI84)</f>
        <v>362</v>
      </c>
      <c r="Q259" s="1111">
        <f>IFERROR(INDEX(IPCC!$A$2037:$D$2048,MATCH(clim_moist,IPCC!$A$2037:$A$2048,0),MATCH($Q$252,IPCC!$A$2037:$D$2037,0)),0)</f>
        <v>207</v>
      </c>
      <c r="R259" s="1161">
        <f>IF('6.Inland wetlands'!$DK84="",'6.Inland wetlands'!$DJ84,'6.Inland wetlands'!$DK84)</f>
        <v>207</v>
      </c>
      <c r="S259" s="1111">
        <f>IFERROR(INDEX(IPCC!$A$2037:$D$2048,MATCH(clim_moist,IPCC!$A$2037:$A$2048,0),MATCH($S$252,IPCC!$A$2037:$D$2037,0)),0)</f>
        <v>9</v>
      </c>
      <c r="T259" s="1161">
        <f>IF('6.Inland wetlands'!$DM84="",'6.Inland wetlands'!$DL84,'6.Inland wetlands'!$DM84)</f>
        <v>9</v>
      </c>
      <c r="U259" s="1111">
        <f>IFERROR(INDEX(IPCC!$A$2020:$D$2031,MATCH(clim_moist,IPCC!$A$2021:$A$2031,0),MATCH('6.Inland wetlands'!$CZ84,IPCC!$A$2020:$D$2020,0)),0)</f>
        <v>0</v>
      </c>
      <c r="V259" s="1161">
        <f>IF('6.Inland wetlands'!$DO84="",'6.Inland wetlands'!$DN84,'6.Inland wetlands'!$DO84)</f>
        <v>0</v>
      </c>
      <c r="W259" s="1276"/>
      <c r="X259" s="1151">
        <v>0</v>
      </c>
      <c r="Y259" s="1151">
        <f>IF('6.Inland wetlands'!$CZ84=list!$F$210,0,$V259*$F259)</f>
        <v>0</v>
      </c>
      <c r="Z259" s="1151">
        <f>IF('6.Inland wetlands'!$CZ84=list!$F$210,0,$V259*$J259)</f>
        <v>0</v>
      </c>
      <c r="AA259" s="1468"/>
      <c r="AD259" s="1151">
        <f>IF(OR('6.Inland wetlands'!$AA95=list!$E$210,'6.Inland wetlands'!$AA95=list!$E$212,'6.Inland wetlands'!$AA95=list!$E$214),0,IF($H259&gt;time_tot,0,MIN($X259,$Y259)*time_tot+ABS($Y259-$X259)*IF($Y259&gt;$X259,time_cap+time*VLOOKUP($G259,list!$J$48:$K$50,2,0),time*(1-VLOOKUP($G259,list!$J$48:$K$50,2,0))))*(1/$H259)*($I259)*($P259*44/12/1000)+IF($H259&gt;time_tot,0,MIN($X259,$Y259)*time_tot+ABS($Y259-$X259)*IF($Y259&gt;$X259,time_cap+time*VLOOKUP($G259,list!$J$48:$K$50,2,0),time*(1-VLOOKUP($G259,list!$J$48:$K$50,2,0))))*(1/$H259)*($I259)*($R259*2/1000))</f>
        <v>0</v>
      </c>
      <c r="AE259" s="1151">
        <f>IF(OR('6.Inland wetlands'!$AA95=list!$E$210,'6.Inland wetlands'!$AA95=list!$E$211,'6.Inland wetlands'!$AA95=list!$E$214),0,IF($L259&gt;time_tot,0,MIN($X259,$Z259)*time_tot+ABS($Z259-$X259)*IF($Z259&gt;$X259,time_cap+time*VLOOKUP($K259,list!$J$48:$K$50,2,0),time*(1-VLOOKUP($K259,list!$J$48:$K$50,2,0))))*(1/$L259)*($M259)*($P259*44/12/1000)+IF($L259&gt;time_tot,0,MIN($X259,$Z259)*time_tot+ABS($Z259-$X259)*IF($Z259&gt;$X259,time_cap+time*VLOOKUP($K259,list!$J$48:$K$50,2,0),time*(1-VLOOKUP($K259,list!$J$48:$K$50,2,0))))*(1/$L259)*($M259)*($R259*2/1000))</f>
        <v>0</v>
      </c>
      <c r="AF259" s="1151">
        <f>IF(OR('6.Inland wetlands'!$AA95=list!$E$210,'6.Inland wetlands'!$AA95=list!$E$212,'6.Inland wetlands'!$AA95=list!$E$214),0,IF($H259&gt;time_tot,0,MIN($X259,$Y259)*time_tot+ABS($Y259-$X259)*IF($Y259&gt;$X259,time_cap+time*VLOOKUP($G259,list!$J$48:$K$50,2,0),time*(1-VLOOKUP($G259,list!$J$48:$K$50,2,0))))*(1/$H259)*($I259)*($T259*methane/1000))</f>
        <v>0</v>
      </c>
      <c r="AG259" s="1151">
        <f>IF(OR('6.Inland wetlands'!$AA95=list!$E$210,'6.Inland wetlands'!$AA95=list!$E$211,'6.Inland wetlands'!$AA95=list!$E$214),0,IF($L259&gt;time_tot,0,MIN($X259,$Z259)*time_tot+ABS($Z259-$X259)*IF($Z259&gt;$X259,time_cap+time*VLOOKUP($K259,list!$J$48:$K$50,2,0),time*(1-VLOOKUP($K259,list!$J$48:$K$50,2,0))))*(1/$L259)*($M259)*($T259*methane/1000))</f>
        <v>0</v>
      </c>
      <c r="AI259" s="3472">
        <f t="shared" si="131"/>
        <v>0</v>
      </c>
      <c r="AJ259" s="3472">
        <f t="shared" si="131"/>
        <v>0</v>
      </c>
      <c r="AK259" s="1160">
        <f t="shared" si="132"/>
        <v>0</v>
      </c>
      <c r="AX259" s="1449">
        <f>IF($H259&gt;time_tot,0,$X259*time*(VLOOKUP($G259,list!$J$48:$K$50,2,0)))</f>
        <v>0</v>
      </c>
      <c r="AY259" s="1449">
        <f>IF($L259&gt;time_tot,0,$Y259*time*(VLOOKUP($K259,list!$J$48:$K$50,2,0)))</f>
        <v>0</v>
      </c>
      <c r="AZ259" s="1449">
        <f>IF($H259&gt;time_tot,0,$Z259*time*(VLOOKUP($G259,list!$J$48:$K$50,2,0)))</f>
        <v>0</v>
      </c>
      <c r="BA259" s="1449">
        <f>IF($L259&gt;time_tot,0,$AA259*time*(VLOOKUP($K259,list!$J$48:$K$50,2,0)))</f>
        <v>0</v>
      </c>
      <c r="BC259" s="1451">
        <f t="shared" si="133"/>
        <v>0</v>
      </c>
      <c r="BD259" s="1451">
        <f t="shared" si="133"/>
        <v>0</v>
      </c>
    </row>
    <row r="260" spans="1:59" x14ac:dyDescent="0.15">
      <c r="A260" s="973" t="s">
        <v>1165</v>
      </c>
      <c r="B260" s="973" t="str">
        <f t="shared" si="128"/>
        <v>Please select</v>
      </c>
      <c r="C260" s="1121" t="str">
        <f t="shared" si="129"/>
        <v/>
      </c>
      <c r="D260" s="973" t="str">
        <f t="shared" si="129"/>
        <v>Please select</v>
      </c>
      <c r="E260" s="1121" t="str">
        <f t="shared" si="129"/>
        <v/>
      </c>
      <c r="F260" s="992">
        <f t="shared" si="129"/>
        <v>0</v>
      </c>
      <c r="G260" s="992" t="str">
        <f t="shared" si="134"/>
        <v>Linear</v>
      </c>
      <c r="H260" s="992">
        <f t="shared" si="134"/>
        <v>1</v>
      </c>
      <c r="I260" s="1580">
        <f t="shared" si="134"/>
        <v>0.01</v>
      </c>
      <c r="J260" s="992">
        <f t="shared" si="134"/>
        <v>0</v>
      </c>
      <c r="K260" s="992" t="str">
        <f t="shared" si="134"/>
        <v>Linear</v>
      </c>
      <c r="L260" s="992">
        <f t="shared" si="134"/>
        <v>1</v>
      </c>
      <c r="M260" s="1580">
        <f t="shared" si="134"/>
        <v>0.01</v>
      </c>
      <c r="O260" s="1111">
        <f>IFERROR(INDEX(IPCC!$A$2037:$D$2048,MATCH(clim_moist,IPCC!$A$2037:$A$2048,0),MATCH($O$252,IPCC!$A$2037:$D$2037,0)),0)</f>
        <v>362</v>
      </c>
      <c r="P260" s="1161">
        <f>IF('6.Inland wetlands'!$DI85="",'6.Inland wetlands'!$DH85,'6.Inland wetlands'!$DI85)</f>
        <v>362</v>
      </c>
      <c r="Q260" s="1111">
        <f>IFERROR(INDEX(IPCC!$A$2037:$D$2048,MATCH(clim_moist,IPCC!$A$2037:$A$2048,0),MATCH($Q$252,IPCC!$A$2037:$D$2037,0)),0)</f>
        <v>207</v>
      </c>
      <c r="R260" s="1161">
        <f>IF('6.Inland wetlands'!$DK85="",'6.Inland wetlands'!$DJ85,'6.Inland wetlands'!$DK85)</f>
        <v>207</v>
      </c>
      <c r="S260" s="1111">
        <f>IFERROR(INDEX(IPCC!$A$2037:$D$2048,MATCH(clim_moist,IPCC!$A$2037:$A$2048,0),MATCH($S$252,IPCC!$A$2037:$D$2037,0)),0)</f>
        <v>9</v>
      </c>
      <c r="T260" s="1161">
        <f>IF('6.Inland wetlands'!$DM85="",'6.Inland wetlands'!$DL85,'6.Inland wetlands'!$DM85)</f>
        <v>9</v>
      </c>
      <c r="U260" s="1111">
        <f>IFERROR(INDEX(IPCC!$A$2020:$D$2031,MATCH(clim_moist,IPCC!$A$2021:$A$2031,0),MATCH('6.Inland wetlands'!$CZ85,IPCC!$A$2020:$D$2020,0)),0)</f>
        <v>0</v>
      </c>
      <c r="V260" s="1161">
        <f>IF('6.Inland wetlands'!$DO85="",'6.Inland wetlands'!$DN85,'6.Inland wetlands'!$DO85)</f>
        <v>0</v>
      </c>
      <c r="W260" s="1276"/>
      <c r="X260" s="1151">
        <v>0</v>
      </c>
      <c r="Y260" s="1151">
        <f>IF('6.Inland wetlands'!$CZ85=list!$F$210,0,$V260*$F260)</f>
        <v>0</v>
      </c>
      <c r="Z260" s="1151">
        <f>IF('6.Inland wetlands'!$CZ85=list!$F$210,0,$V260*$J260)</f>
        <v>0</v>
      </c>
      <c r="AA260" s="1468"/>
      <c r="AD260" s="1151">
        <f>IF(OR('6.Inland wetlands'!$AA96=list!$E$210,'6.Inland wetlands'!$AA96=list!$E$212,'6.Inland wetlands'!$AA96=list!$E$214),0,IF($H260&gt;time_tot,0,MIN($X260,$Y260)*time_tot+ABS($Y260-$X260)*IF($Y260&gt;$X260,time_cap+time*VLOOKUP($G260,list!$J$48:$K$50,2,0),time*(1-VLOOKUP($G260,list!$J$48:$K$50,2,0))))*(1/$H260)*($I260)*($P260*44/12/1000)+IF($H260&gt;time_tot,0,MIN($X260,$Y260)*time_tot+ABS($Y260-$X260)*IF($Y260&gt;$X260,time_cap+time*VLOOKUP($G260,list!$J$48:$K$50,2,0),time*(1-VLOOKUP($G260,list!$J$48:$K$50,2,0))))*(1/$H260)*($I260)*($R260*2/1000))</f>
        <v>0</v>
      </c>
      <c r="AE260" s="1151">
        <f>IF(OR('6.Inland wetlands'!$AA96=list!$E$210,'6.Inland wetlands'!$AA96=list!$E$211,'6.Inland wetlands'!$AA96=list!$E$214),0,IF($L260&gt;time_tot,0,MIN($X260,$Z260)*time_tot+ABS($Z260-$X260)*IF($Z260&gt;$X260,time_cap+time*VLOOKUP($K260,list!$J$48:$K$50,2,0),time*(1-VLOOKUP($K260,list!$J$48:$K$50,2,0))))*(1/$L260)*($M260)*($P260*44/12/1000)+IF($L260&gt;time_tot,0,MIN($X260,$Z260)*time_tot+ABS($Z260-$X260)*IF($Z260&gt;$X260,time_cap+time*VLOOKUP($K260,list!$J$48:$K$50,2,0),time*(1-VLOOKUP($K260,list!$J$48:$K$50,2,0))))*(1/$L260)*($M260)*($R260*2/1000))</f>
        <v>0</v>
      </c>
      <c r="AF260" s="1151">
        <f>IF(OR('6.Inland wetlands'!$AA96=list!$E$210,'6.Inland wetlands'!$AA96=list!$E$212,'6.Inland wetlands'!$AA96=list!$E$214),0,IF($H260&gt;time_tot,0,MIN($X260,$Y260)*time_tot+ABS($Y260-$X260)*IF($Y260&gt;$X260,time_cap+time*VLOOKUP($G260,list!$J$48:$K$50,2,0),time*(1-VLOOKUP($G260,list!$J$48:$K$50,2,0))))*(1/$H260)*($I260)*($T260*methane/1000))</f>
        <v>0</v>
      </c>
      <c r="AG260" s="1151">
        <f>IF(OR('6.Inland wetlands'!$AA96=list!$E$210,'6.Inland wetlands'!$AA96=list!$E$211,'6.Inland wetlands'!$AA96=list!$E$214),0,IF($L260&gt;time_tot,0,MIN($X260,$Z260)*time_tot+ABS($Z260-$X260)*IF($Z260&gt;$X260,time_cap+time*VLOOKUP($K260,list!$J$48:$K$50,2,0),time*(1-VLOOKUP($K260,list!$J$48:$K$50,2,0))))*(1/$L260)*($M260)*($T260*methane/1000))</f>
        <v>0</v>
      </c>
      <c r="AI260" s="3472">
        <f t="shared" si="131"/>
        <v>0</v>
      </c>
      <c r="AJ260" s="3472">
        <f t="shared" si="131"/>
        <v>0</v>
      </c>
      <c r="AK260" s="1160">
        <f t="shared" si="132"/>
        <v>0</v>
      </c>
      <c r="AX260" s="1449">
        <f>IF($H260&gt;time_tot,0,$X260*time*(VLOOKUP($G260,list!$J$48:$K$50,2,0)))</f>
        <v>0</v>
      </c>
      <c r="AY260" s="1449">
        <f>IF($L260&gt;time_tot,0,$Y260*time*(VLOOKUP($K260,list!$J$48:$K$50,2,0)))</f>
        <v>0</v>
      </c>
      <c r="AZ260" s="1449">
        <f>IF($H260&gt;time_tot,0,$Z260*time*(VLOOKUP($G260,list!$J$48:$K$50,2,0)))</f>
        <v>0</v>
      </c>
      <c r="BA260" s="1449">
        <f>IF($L260&gt;time_tot,0,$AA260*time*(VLOOKUP($K260,list!$J$48:$K$50,2,0)))</f>
        <v>0</v>
      </c>
      <c r="BC260" s="1451">
        <f t="shared" si="133"/>
        <v>0</v>
      </c>
      <c r="BD260" s="1451">
        <f t="shared" si="133"/>
        <v>0</v>
      </c>
    </row>
    <row r="261" spans="1:59" x14ac:dyDescent="0.15">
      <c r="AX261" s="1449"/>
      <c r="AY261" s="1449"/>
      <c r="AZ261" s="1449"/>
      <c r="BA261" s="1449"/>
    </row>
    <row r="262" spans="1:59" x14ac:dyDescent="0.15">
      <c r="AX262" s="1449">
        <f>SUM(AX255:AX260)</f>
        <v>0</v>
      </c>
      <c r="AY262" s="1449">
        <f>SUM(AY255:AY260)</f>
        <v>0</v>
      </c>
      <c r="AZ262" s="1449">
        <f>SUM(AZ255:AZ260)</f>
        <v>0</v>
      </c>
      <c r="BA262" s="1449">
        <f>SUM(BA255:BA260)</f>
        <v>0</v>
      </c>
      <c r="BD262" s="1449"/>
      <c r="BF262" s="1449"/>
    </row>
    <row r="263" spans="1:59" x14ac:dyDescent="0.15">
      <c r="AX263" s="1271"/>
      <c r="AY263" s="1271"/>
      <c r="AZ263" s="1271"/>
      <c r="BA263" s="1271"/>
      <c r="BB263" s="1271"/>
      <c r="BD263" s="1463"/>
      <c r="BF263" s="1271"/>
    </row>
    <row r="265" spans="1:59" ht="16" x14ac:dyDescent="0.2">
      <c r="A265" s="1264" t="s">
        <v>1168</v>
      </c>
      <c r="B265" s="1271" t="s">
        <v>1169</v>
      </c>
      <c r="C265" s="1271"/>
      <c r="D265" s="1271"/>
      <c r="E265" s="1271"/>
      <c r="F265" s="1271"/>
      <c r="G265" s="1271"/>
      <c r="H265" s="1273" t="s">
        <v>1170</v>
      </c>
      <c r="I265" s="1273"/>
      <c r="J265" s="1273"/>
      <c r="K265" s="1273"/>
      <c r="L265" s="1271" t="s">
        <v>1219</v>
      </c>
      <c r="M265" s="1264"/>
      <c r="N265" s="1264"/>
      <c r="O265" s="1264"/>
      <c r="P265" s="1264"/>
      <c r="Q265" s="1264"/>
      <c r="R265" s="1264"/>
      <c r="S265" s="1264"/>
      <c r="T265" s="1264"/>
      <c r="U265" s="1273"/>
      <c r="V265" s="1273"/>
      <c r="W265" s="1273"/>
      <c r="X265" s="1261"/>
      <c r="Y265" s="1261"/>
      <c r="Z265" s="1261"/>
      <c r="AB265" s="1271" t="s">
        <v>1172</v>
      </c>
      <c r="AC265" s="1264"/>
      <c r="AD265" s="1264"/>
      <c r="AE265" s="1264"/>
      <c r="AF265" s="1264"/>
      <c r="AG265" s="1264"/>
      <c r="AX265" s="1287" t="s">
        <v>1173</v>
      </c>
      <c r="AY265" s="1501"/>
      <c r="AZ265" s="1501"/>
      <c r="BA265" s="1501"/>
      <c r="BB265" s="1501"/>
      <c r="BC265" s="1501"/>
      <c r="BD265" s="1287" t="s">
        <v>1174</v>
      </c>
      <c r="BE265" s="1501"/>
      <c r="BF265" s="1501"/>
    </row>
    <row r="266" spans="1:59" ht="17" x14ac:dyDescent="0.15">
      <c r="A266" s="1264"/>
      <c r="B266" s="1271" t="s">
        <v>1036</v>
      </c>
      <c r="C266" s="1264"/>
      <c r="D266" s="1271" t="s">
        <v>176</v>
      </c>
      <c r="E266" s="1264"/>
      <c r="F266" s="1271" t="s">
        <v>177</v>
      </c>
      <c r="G266" s="1264"/>
      <c r="H266" s="1273" t="s">
        <v>1037</v>
      </c>
      <c r="I266" s="1261"/>
      <c r="J266" s="1273" t="s">
        <v>176</v>
      </c>
      <c r="K266" s="1261"/>
      <c r="L266" s="1264" t="s">
        <v>1220</v>
      </c>
      <c r="M266" s="1264"/>
      <c r="N266" s="1264"/>
      <c r="O266" s="1264"/>
      <c r="P266" s="1264"/>
      <c r="Q266" s="1264"/>
      <c r="R266" s="1264"/>
      <c r="S266" s="1264"/>
      <c r="T266" s="1264"/>
      <c r="U266" s="1273"/>
      <c r="V266" s="1273"/>
      <c r="W266" s="1273"/>
      <c r="X266" s="1261"/>
      <c r="Y266" s="1261"/>
      <c r="Z266" s="1279"/>
      <c r="AB266" s="1271" t="s">
        <v>1175</v>
      </c>
      <c r="AC266" s="1264"/>
      <c r="AD266" s="1264"/>
      <c r="AE266" s="1264"/>
      <c r="AF266" s="1264"/>
      <c r="AG266" s="1264"/>
      <c r="AX266" s="1502" t="s">
        <v>1036</v>
      </c>
      <c r="AY266" s="1502"/>
      <c r="AZ266" s="1502" t="s">
        <v>176</v>
      </c>
      <c r="BA266" s="1502"/>
      <c r="BB266" s="1502" t="s">
        <v>177</v>
      </c>
      <c r="BC266" s="1502"/>
      <c r="BD266" s="1502" t="s">
        <v>1037</v>
      </c>
      <c r="BE266" s="1502"/>
      <c r="BF266" s="1502" t="s">
        <v>176</v>
      </c>
      <c r="BG266" s="1450"/>
    </row>
    <row r="267" spans="1:59" x14ac:dyDescent="0.15">
      <c r="A267" s="1264"/>
      <c r="B267" s="1264" t="s">
        <v>92</v>
      </c>
      <c r="C267" s="1264"/>
      <c r="D267" s="1264" t="s">
        <v>1044</v>
      </c>
      <c r="E267" s="1264"/>
      <c r="F267" s="1264" t="s">
        <v>1045</v>
      </c>
      <c r="G267" s="1264"/>
      <c r="H267" s="1261" t="s">
        <v>92</v>
      </c>
      <c r="I267" s="1261"/>
      <c r="J267" s="1261" t="s">
        <v>1044</v>
      </c>
      <c r="K267" s="1261"/>
      <c r="L267" s="1271" t="s">
        <v>1036</v>
      </c>
      <c r="M267" s="1264"/>
      <c r="N267" s="1271"/>
      <c r="O267" s="1271" t="s">
        <v>176</v>
      </c>
      <c r="P267" s="1264"/>
      <c r="Q267" s="1271"/>
      <c r="R267" s="1271" t="s">
        <v>177</v>
      </c>
      <c r="S267" s="1264"/>
      <c r="T267" s="1271"/>
      <c r="U267" s="1273" t="s">
        <v>1037</v>
      </c>
      <c r="V267" s="1273"/>
      <c r="W267" s="1273"/>
      <c r="X267" s="1273" t="s">
        <v>176</v>
      </c>
      <c r="Y267" s="1261"/>
      <c r="Z267" s="1273"/>
      <c r="AB267" s="1264" t="s">
        <v>1176</v>
      </c>
      <c r="AC267" s="1264"/>
      <c r="AD267" s="1264" t="s">
        <v>176</v>
      </c>
      <c r="AE267" s="1264"/>
      <c r="AF267" s="1264" t="s">
        <v>177</v>
      </c>
      <c r="AG267" s="1264"/>
      <c r="AX267" s="1264" t="s">
        <v>859</v>
      </c>
      <c r="AZ267" s="1264" t="s">
        <v>859</v>
      </c>
      <c r="BB267" s="1264" t="s">
        <v>859</v>
      </c>
      <c r="BD267" s="1264" t="s">
        <v>859</v>
      </c>
      <c r="BF267" s="1264" t="s">
        <v>859</v>
      </c>
    </row>
    <row r="268" spans="1:59" x14ac:dyDescent="0.15">
      <c r="A268" s="1264"/>
      <c r="B268" s="1272" t="s">
        <v>864</v>
      </c>
      <c r="C268" s="1272" t="s">
        <v>66</v>
      </c>
      <c r="D268" s="1272" t="s">
        <v>864</v>
      </c>
      <c r="E268" s="1272" t="s">
        <v>66</v>
      </c>
      <c r="F268" s="1272" t="s">
        <v>864</v>
      </c>
      <c r="G268" s="1272" t="s">
        <v>66</v>
      </c>
      <c r="H268" s="1274" t="s">
        <v>864</v>
      </c>
      <c r="I268" s="1274" t="s">
        <v>66</v>
      </c>
      <c r="J268" s="1274" t="s">
        <v>864</v>
      </c>
      <c r="K268" s="1274" t="s">
        <v>66</v>
      </c>
      <c r="L268" s="973" t="s">
        <v>219</v>
      </c>
      <c r="M268" s="1102" t="s">
        <v>179</v>
      </c>
      <c r="N268" s="1103" t="s">
        <v>180</v>
      </c>
      <c r="O268" s="973" t="s">
        <v>219</v>
      </c>
      <c r="P268" s="1102" t="s">
        <v>179</v>
      </c>
      <c r="Q268" s="1103" t="s">
        <v>180</v>
      </c>
      <c r="R268" s="973" t="s">
        <v>219</v>
      </c>
      <c r="S268" s="1102" t="s">
        <v>179</v>
      </c>
      <c r="T268" s="1103" t="s">
        <v>180</v>
      </c>
      <c r="U268" s="973" t="s">
        <v>219</v>
      </c>
      <c r="V268" s="1102" t="s">
        <v>179</v>
      </c>
      <c r="W268" s="1103" t="s">
        <v>180</v>
      </c>
      <c r="X268" s="973" t="s">
        <v>219</v>
      </c>
      <c r="Y268" s="1102" t="s">
        <v>179</v>
      </c>
      <c r="Z268" s="1103" t="s">
        <v>180</v>
      </c>
      <c r="AB268" s="1102" t="s">
        <v>179</v>
      </c>
      <c r="AC268" s="1103" t="s">
        <v>180</v>
      </c>
      <c r="AD268" s="1102" t="s">
        <v>179</v>
      </c>
      <c r="AE268" s="1103" t="s">
        <v>180</v>
      </c>
      <c r="AF268" s="1102" t="s">
        <v>179</v>
      </c>
      <c r="AG268" s="1103" t="s">
        <v>180</v>
      </c>
      <c r="AX268" s="1272" t="s">
        <v>200</v>
      </c>
      <c r="AY268" s="1272" t="s">
        <v>201</v>
      </c>
      <c r="AZ268" s="1272" t="s">
        <v>200</v>
      </c>
      <c r="BA268" s="1272" t="s">
        <v>201</v>
      </c>
      <c r="BB268" s="1272" t="s">
        <v>200</v>
      </c>
      <c r="BC268" s="1272" t="s">
        <v>201</v>
      </c>
      <c r="BD268" s="1272" t="s">
        <v>200</v>
      </c>
      <c r="BE268" s="1272" t="s">
        <v>201</v>
      </c>
      <c r="BF268" s="1272" t="s">
        <v>200</v>
      </c>
      <c r="BG268" s="1272" t="s">
        <v>201</v>
      </c>
    </row>
    <row r="269" spans="1:59" x14ac:dyDescent="0.15">
      <c r="A269" s="1264" t="s">
        <v>1160</v>
      </c>
      <c r="B269" s="1235">
        <f>IFERROR(IF(AND(OR($C255="Other land",$C255="Degraded land"),$D$249=list!$J$210),INDEX(IPCC!$A$1762:$J$1773,MATCH(clim_moist,IPCC!$A$1762:$A$1773,0),MATCH($C255,IPCC!$A$1762:$J$1762,0)),IF(AND(OR($C255="Other land",$C255="Degraded land"),$D$249=list!$J$211),INDEX(IPCC!$A$1781:$J$1792,MATCH(clim_moist,IPCC!$A$1781:$A$1792,0),MATCH($C255,IPCC!$A$1781:$J$1781,0)),IF($D$249=list!$J$210,INDEX(IPCC!$A$1762:$J$1773,MATCH(clim_moist,IPCC!$A$1781:$A$1792,0),MATCH($C255,IPCC!$A$1781:$J$1781,0)),IF($D$249=list!$J$211,INDEX(IPCC!$A$1781:$J$1792,MATCH(clim_moist,IPCC!$A$1781:$A$1792,0),MATCH($C255,IPCC!$A$1781:$J$1781,0)))))),0)</f>
        <v>0</v>
      </c>
      <c r="C269" s="1280">
        <f>IF('6.Inland wetlands'!$CG80="",'6.Inland wetlands'!$CF80,'6.Inland wetlands'!$CG80)</f>
        <v>0</v>
      </c>
      <c r="D269" s="1235">
        <f>IFERROR(IF(AND(OR($C255="Other land",$C255="Degraded land"),$D$249=list!$J$210),INDEX(IPCC!$A$1818:$J$1829,MATCH(clim_moist,IPCC!$A$1818:$A$1829,0),MATCH($C255,IPCC!$A$1818:$J$1818,0)),IF(AND(OR($C255="Other land",$C255="Degraded land"),$D$249=list!$J$211),INDEX(IPCC!$A$1836:$J$1847,MATCH(clim_moist,IPCC!$A$1836:$A$1847,0),MATCH($C255,IPCC!$A$1836:$J$1836,0)),IF($D$249=list!$J$210,INDEX(IPCC!$A$1818:$J$1829,MATCH(clim_moist,IPCC!$A$1818:$A$1829,0),MATCH($C255,IPCC!$A$1818:$J$1818,0)),IF($D$249=list!$J$211,INDEX(IPCC!$A$1836:$J$1847,MATCH(clim_moist,IPCC!$A$1836:$A$1847,0),MATCH($C255,IPCC!$A$1836:$J$1836,0)))))),0)</f>
        <v>0</v>
      </c>
      <c r="E269" s="1280">
        <f>IF('6.Inland wetlands'!$CI80="",'6.Inland wetlands'!$CH80,'6.Inland wetlands'!$CI80)</f>
        <v>0</v>
      </c>
      <c r="F269" s="1235">
        <f>IFERROR(IF(AND(OR($C255="Other land",$C255="Degraded land"),$D$249=list!$J$210),INDEX(IPCC!$A$1872:$J$1883,MATCH(clim_moist,IPCC!$A$1872:$A$1883,0),MATCH($C255,IPCC!$A$1872:$J$1872,0)),IF(AND(OR($C255="Other land",$C255="Degraded land"),$D$249=list!$J$211),INDEX(IPCC!$A$1890:$J$1901,MATCH(clim_moist,IPCC!$A$1890:$A$1901,0),MATCH($C255,IPCC!$A$1890:$J$1890,0)),IF($D$249=list!$J$210,INDEX(IPCC!$A$1872:$J$1883,MATCH(clim_moist,IPCC!$A$1872:$A$1883,0),MATCH($C255,IPCC!$A$1872:$J$1872,0)),IF($D$249=list!$J$211,INDEX(IPCC!$A$1890:$J$1901,MATCH(clim_moist,IPCC!$A$1890:$A$1901,0),MATCH($C255,IPCC!$A$1890:$J$1890,0)))))),0)</f>
        <v>0</v>
      </c>
      <c r="G269" s="1280">
        <f>IF('6.Inland wetlands'!$CK80="",'6.Inland wetlands'!$CJ80,'6.Inland wetlands'!$CK80)</f>
        <v>0</v>
      </c>
      <c r="H269" s="1235">
        <f>IFERROR(IF(AND(OR($C255="Other land",$C255="Degraded land"),$D$249=list!$J$210),INDEX(IPCC!$A$1800:$J$1811,MATCH(clim_moist,IPCC!$A$1800:$A$1811,0),MATCH($C255,IPCC!$A$1800:$J$1800,0)),IF(AND(OR($C255="Other land",$C255="Degraded land"),$D$249=list!$J$211),INDEX(IPCC!$A$1800:$J$1811,MATCH(clim_moist,IPCC!$A$1800:$A$1811,0),MATCH('Inl. wetlands'!$C255,IPCC!$A$1800:$J$1800,0)),IF($D$249=list!$J$210,INDEX(IPCC!$A$1800:$J$1811,MATCH(clim_moist,IPCC!$A$1800:$A$1811,0),MATCH($C255,IPCC!$A$1800:$J$1800,0)),IF($D$249=list!$J$211,INDEX(IPCC!$A$1800:$J$1811,MATCH(clim_moist,IPCC!$A$1800:$A$1811,0),MATCH($C255,IPCC!$A$1800:$J$1800,0)))))),0)</f>
        <v>0</v>
      </c>
      <c r="I269" s="1162">
        <f>IF('6.Inland wetlands'!$CN80="",'6.Inland wetlands'!$CM80,'6.Inland wetlands'!$CN80)</f>
        <v>0</v>
      </c>
      <c r="J269" s="1111">
        <f>IFERROR(IF(AND(OR($C255="Other land",$C255="Degraded land"),$D$249=list!$J$210),INDEX(IPCC!$A$1854:$J$1865,MATCH(clim_moist,IPCC!$A$1854:$A$1865,0),MATCH('Inl. wetlands'!$C255,IPCC!$A$1854:$J$1854,0)),IF(AND(OR($C255="Other land",$C255="Degraded land"),$D$249=list!$J$211),INDEX(IPCC!$A$1854:$J$1865,MATCH(clim_moist,IPCC!$A$1854:A$1865,0),MATCH('Inl. wetlands'!$C255,IPCC!$A$1854:$J$1854,0)),IF($D$249=list!$J$210,INDEX(IPCC!$A$1854:$J$1865,MATCH(clim_moist,IPCC!$A$1854:$A$1865,0),MATCH('Inl. wetlands'!$C255,IPCC!$A$1854:$J$1854,0)),IF($D$249=list!$J$211,INDEX(IPCC!$A$1854:$J$1865,MATCH(clim_moist,IPCC!$A$1854:$A$1865,0),MATCH('Inl. wetlands'!$C255,IPCC!$A$1854:$J$1854,0)))))),0)</f>
        <v>0</v>
      </c>
      <c r="K269" s="1161">
        <f>IF('6.Inland wetlands'!$CP80="",'6.Inland wetlands'!$CO80,'6.Inland wetlands'!$CP80)</f>
        <v>0</v>
      </c>
      <c r="L269" s="1543">
        <f>IF('6.Inland wetlands'!M91=0, 0,'Inl. wetlands'!C269*44/12*'6.Inland wetlands'!M91)</f>
        <v>0</v>
      </c>
      <c r="M269" s="1543">
        <f>IF('6.Inland wetlands'!N80=0, 'Inl. wetlands'!C269*44/12*'6.Inland wetlands'!N91, IF('6.Inland wetlands'!N91&lt;'6.Inland wetlands'!N80,0, 'Inl. wetlands'!C269*44/12*('6.Inland wetlands'!N91-'6.Inland wetlands'!N80)))</f>
        <v>0</v>
      </c>
      <c r="N269" s="4323">
        <f>IF('6.Inland wetlands'!P80=0, 'Inl. wetlands'!C269*44/12*'6.Inland wetlands'!P91, IF('6.Inland wetlands'!P91&lt;'6.Inland wetlands'!P80,0, 'Inl. wetlands'!C269*44/12*('6.Inland wetlands'!P91-'6.Inland wetlands'!P80)))</f>
        <v>0</v>
      </c>
      <c r="O269" s="4323">
        <f>IF('6.Inland wetlands'!M91=0, 0,'Inl. wetlands'!$E269*methane/1000*'6.Inland wetlands'!M91*(1-'6.Inland wetlands'!W91))</f>
        <v>0</v>
      </c>
      <c r="P269" s="4323">
        <f>IF('6.Inland wetlands'!N80=0,'Inl. wetlands'!$E269*methane/1000*'6.Inland wetlands'!N91*(1-'6.Inland wetlands'!X91),IF('6.Inland wetlands'!N91&lt;'6.Inland wetlands'!N80,0, 'Inl. wetlands'!$E269*methane/1000*('6.Inland wetlands'!N91-'6.Inland wetlands'!N80)*(1-'6.Inland wetlands'!X91)))</f>
        <v>0</v>
      </c>
      <c r="Q269" s="4323">
        <f>IF('6.Inland wetlands'!P80=0,'Inl. wetlands'!$E269*methane/1000*'6.Inland wetlands'!P91*(1-'6.Inland wetlands'!Y91),IF('6.Inland wetlands'!P91&lt;'6.Inland wetlands'!P80,0, 'Inl. wetlands'!$E269*methane/1000*('6.Inland wetlands'!P91-'6.Inland wetlands'!P80)*(1-'6.Inland wetlands'!Y91)))</f>
        <v>0</v>
      </c>
      <c r="R269" s="4323">
        <f>IF('6.Inland wetlands'!M91=0, 0, 'Inl. wetlands'!$G269*'6.Inland wetlands'!M91*44/28*Nitrous/1000)</f>
        <v>0</v>
      </c>
      <c r="S269" s="4323">
        <f>IF('6.Inland wetlands'!N80=0, 'Inl. wetlands'!$G269*'6.Inland wetlands'!N91*44/28*Nitrous/1000, IF('6.Inland wetlands'!N91&lt;'6.Inland wetlands'!N80,0, 'Inl. wetlands'!$G269*('6.Inland wetlands'!N91-'6.Inland wetlands'!N80)*44/28*Nitrous/1000))</f>
        <v>0</v>
      </c>
      <c r="T269" s="4323">
        <f>IF('6.Inland wetlands'!P80=0, 'Inl. wetlands'!$G269*'6.Inland wetlands'!P91*44/28*Nitrous/1000, IF('6.Inland wetlands'!P91&lt;'6.Inland wetlands'!P80,0,'Inl. wetlands'!$G269*44/28*Nitrous/1000*('6.Inland wetlands'!P91-'6.Inland wetlands'!P80)))</f>
        <v>0</v>
      </c>
      <c r="U269" s="4323">
        <f>IF('6.Inland wetlands'!M91=0, 0, 'Inl. wetlands'!$I269*'6.Inland wetlands'!M91*44/12)</f>
        <v>0</v>
      </c>
      <c r="V269" s="4323">
        <f>IF('6.Inland wetlands'!N80=0, 'Inl. wetlands'!I269*44/12*'6.Inland wetlands'!N91, IF('6.Inland wetlands'!N91&lt;'6.Inland wetlands'!N80,0, 'Inl. wetlands'!I269*44/12*('6.Inland wetlands'!N91-'6.Inland wetlands'!N80)))</f>
        <v>0</v>
      </c>
      <c r="W269" s="4323">
        <f>IF('6.Inland wetlands'!P80=0, 'Inl. wetlands'!I269*44/12*'6.Inland wetlands'!P91, IF('6.Inland wetlands'!P91&lt;'6.Inland wetlands'!P80,0, 'Inl. wetlands'!I269*44/12*('6.Inland wetlands'!P91-'6.Inland wetlands'!P80)))</f>
        <v>0</v>
      </c>
      <c r="X269" s="4323">
        <f>IF('6.Inland wetlands'!M91=0,0, 'Inl. wetlands'!$K269/1000*methane*'6.Inland wetlands'!M91*'6.Inland wetlands'!$W91)</f>
        <v>0</v>
      </c>
      <c r="Y269" s="4323">
        <f>IF('6.Inland wetlands'!N80=0,'Inl. wetlands'!$K269*methane/1000*'6.Inland wetlands'!N91*('6.Inland wetlands'!X91),IF('6.Inland wetlands'!N91&lt;'6.Inland wetlands'!N80,0, 'Inl. wetlands'!$K269*methane/1000*('6.Inland wetlands'!N91-'6.Inland wetlands'!N80)*('6.Inland wetlands'!X91)))</f>
        <v>0</v>
      </c>
      <c r="Z269" s="4323">
        <f>IF('6.Inland wetlands'!P80=0,'Inl. wetlands'!$K269*methane/1000*'6.Inland wetlands'!P91*('6.Inland wetlands'!Y91),IF('6.Inland wetlands'!P91&lt;'6.Inland wetlands'!P80,0, 'Inl. wetlands'!$K269*methane/1000*('6.Inland wetlands'!P91-'6.Inland wetlands'!P80)*('6.Inland wetlands'!Y91)))</f>
        <v>0</v>
      </c>
      <c r="AB269" s="3468">
        <f>MIN('Inl. wetlands'!L269,'Inl. wetlands'!M269)*time_tot+ABS('Inl. wetlands'!M269-'Inl. wetlands'!L269)*IF('Inl. wetlands'!M269&gt;'Inl. wetlands'!L269,time_cap+time*(VLOOKUP('6.Inland wetlands'!O91,list!$I$48:$K$50,3,0)),time*(1-(VLOOKUP('6.Inland wetlands'!O91,list!$I$48:$K$50,3,0))))+MIN('Inl. wetlands'!U269,'Inl. wetlands'!V269)*time_tot+ABS('Inl. wetlands'!V269-'Inl. wetlands'!U269)*IF('Inl. wetlands'!V269&gt;'Inl. wetlands'!U269,time_cap+time*(VLOOKUP('6.Inland wetlands'!O91,list!$I$48:$K$50,3,0)),time*(1-(VLOOKUP('6.Inland wetlands'!O91,list!$I$48:$K$50,3,0))))</f>
        <v>0</v>
      </c>
      <c r="AC269" s="3468">
        <f>MIN('Inl. wetlands'!L269,'Inl. wetlands'!N269)*time_tot+ABS('Inl. wetlands'!N269-'Inl. wetlands'!L269)*IF('Inl. wetlands'!N269&gt;'Inl. wetlands'!L269,time_cap+time*(VLOOKUP('6.Inland wetlands'!Q91,list!$I$48:$K$50,3,0)),time*(1-(VLOOKUP('6.Inland wetlands'!Q91,list!$I$48:$K$50,3,0))))+MIN('Inl. wetlands'!U269,'Inl. wetlands'!W269)*time_tot+ABS('Inl. wetlands'!W269-'Inl. wetlands'!U269)*IF('Inl. wetlands'!W269&gt;'Inl. wetlands'!U269,time_cap+time*(VLOOKUP('6.Inland wetlands'!Q91,list!$I$48:$K$50,3,0)),time*(1-(VLOOKUP('6.Inland wetlands'!Q91,list!$I$48:$K$50,3,0))))</f>
        <v>0</v>
      </c>
      <c r="AD269" s="1151">
        <f>MIN('Inl. wetlands'!O269,'Inl. wetlands'!P269)*time_tot+ABS('Inl. wetlands'!P269-'Inl. wetlands'!O269)*IF('Inl. wetlands'!P269&gt;'Inl. wetlands'!O269,time_cap+time*(VLOOKUP('6.Inland wetlands'!O91,list!$I$48:$K$50,3,0)),time*(1-(VLOOKUP('6.Inland wetlands'!O91,list!$I$48:$K$50,3,0))))+MIN('Inl. wetlands'!X269,'Inl. wetlands'!Y269)*time_tot+ABS('Inl. wetlands'!Y269-'Inl. wetlands'!X269)*IF('Inl. wetlands'!Y269&gt;'Inl. wetlands'!X269,time_cap+time*(VLOOKUP('6.Inland wetlands'!O91,list!$I$48:$K$50,3,0)),time*(1-(VLOOKUP('6.Inland wetlands'!O91,list!$I$48:$K$50,3,0))))</f>
        <v>0</v>
      </c>
      <c r="AE269" s="1151">
        <f>MIN('Inl. wetlands'!O269,'Inl. wetlands'!Q269)*time_tot+ABS('Inl. wetlands'!Q269-'Inl. wetlands'!O269)*IF('Inl. wetlands'!Q269&gt;'Inl. wetlands'!O269,time_cap+time*(VLOOKUP('6.Inland wetlands'!Q91,list!$I$48:$K$50,3,0)),time*(1-(VLOOKUP('6.Inland wetlands'!Q91,list!$I$48:$K$50,3,0))))+MIN('Inl. wetlands'!X269,'Inl. wetlands'!Z269)*time_tot+ABS('Inl. wetlands'!Z269-'Inl. wetlands'!X269)*IF('Inl. wetlands'!Z269&gt;'Inl. wetlands'!X269,time_cap+time*(VLOOKUP('6.Inland wetlands'!Q91,list!$I$48:$K$50,3,0)),time*(1-(VLOOKUP('6.Inland wetlands'!Q91,list!$I$48:$K$50,3,0))))</f>
        <v>0</v>
      </c>
      <c r="AF269" s="1151">
        <f>MIN('Inl. wetlands'!R269,'Inl. wetlands'!S269)*time_tot+ABS('Inl. wetlands'!S269-'Inl. wetlands'!R269)*IF('Inl. wetlands'!S269&gt;'Inl. wetlands'!R269,time_cap+time*(VLOOKUP('6.Inland wetlands'!O91,list!$I$48:$K$50,3,0)),time*(1-(VLOOKUP('6.Inland wetlands'!O91,list!$I$48:$K$50,3,0))))</f>
        <v>0</v>
      </c>
      <c r="AG269" s="1151">
        <f>MIN('Inl. wetlands'!R269,'Inl. wetlands'!T269)*time_tot+ABS('Inl. wetlands'!T269-'Inl. wetlands'!R269)*IF('Inl. wetlands'!T269&gt;'Inl. wetlands'!R269,time_cap+time*(VLOOKUP('6.Inland wetlands'!Q91,list!$I$48:$K$50,3,0)),time*(1-(VLOOKUP('6.Inland wetlands'!Q91,list!$I$48:$K$50,3,0))))</f>
        <v>0</v>
      </c>
      <c r="AX269" s="1449">
        <f>'Inl. wetlands'!$M269*time*(VLOOKUP($G255,list!$J$48:$K$50,2,0))</f>
        <v>0</v>
      </c>
      <c r="AY269" s="1449">
        <f>'Inl. wetlands'!$N269*time*(VLOOKUP($K255,list!$J$48:$K$50,2,0))</f>
        <v>0</v>
      </c>
      <c r="AZ269" s="1449">
        <f>'Inl. wetlands'!$P269*time*(VLOOKUP($G255,list!$J$48:$K$50,2,0))</f>
        <v>0</v>
      </c>
      <c r="BA269" s="1449">
        <f>'Inl. wetlands'!$Q269*time*(VLOOKUP($K255,list!$J$48:$K$50,2,0))</f>
        <v>0</v>
      </c>
      <c r="BB269" s="1449">
        <f>'Inl. wetlands'!$S269*time*(VLOOKUP($G255,list!$J$48:$K$50,2,0))</f>
        <v>0</v>
      </c>
      <c r="BC269" s="1449">
        <f>'Inl. wetlands'!$T269*time*(VLOOKUP($K255,list!$J$48:$K$50,2,0))</f>
        <v>0</v>
      </c>
      <c r="BD269" s="1449">
        <f>'Inl. wetlands'!$V269*time*(VLOOKUP($G255,list!$J$48:$K$50,2,0))</f>
        <v>0</v>
      </c>
      <c r="BE269" s="1449">
        <f>'Inl. wetlands'!$W269*time*(VLOOKUP($K255,list!$J$48:$K$50,2,0))</f>
        <v>0</v>
      </c>
      <c r="BF269" s="1449">
        <f>'Inl. wetlands'!$Y269*time*(VLOOKUP($G255,list!$J$48:$K$50,2,0))</f>
        <v>0</v>
      </c>
      <c r="BG269" s="1449">
        <f>'Inl. wetlands'!$Z269*time*(VLOOKUP($K255,list!$J$48:$K$50,2,0))</f>
        <v>0</v>
      </c>
    </row>
    <row r="270" spans="1:59" x14ac:dyDescent="0.15">
      <c r="A270" s="1264" t="s">
        <v>1161</v>
      </c>
      <c r="B270" s="1235">
        <f>IFERROR(IF(AND(OR($C256="Other land",$C256="Degraded land"),$D$249=list!$J$210),INDEX(IPCC!$A$1762:$J$1773,MATCH(clim_moist,IPCC!$A$1762:$A$1773,0),MATCH($C256,IPCC!$A$1762:$J$1762,0)),IF(AND(OR($C256="Other land",$C256="Degraded land"),$D$249=list!$J$211),INDEX(IPCC!$A$1781:$J$1792,MATCH(clim_moist,IPCC!$A$1781:$A$1792,0),MATCH($C256,IPCC!$A$1781:$J$1781,0)),IF($D$249=list!$J$210,INDEX(IPCC!$A$1762:$J$1773,MATCH(clim_moist,IPCC!$A$1781:$A$1792,0),MATCH($C256,IPCC!$A$1781:$J$1781,0)),IF($D$249=list!$J$211,INDEX(IPCC!$A$1781:$J$1792,MATCH(clim_moist,IPCC!$A$1781:$A$1792,0),MATCH($C256,IPCC!$A$1781:$J$1781,0)))))),0)</f>
        <v>0</v>
      </c>
      <c r="C270" s="1280">
        <f>IF('6.Inland wetlands'!$CG81="",'6.Inland wetlands'!$CF81,'6.Inland wetlands'!$CG81)</f>
        <v>0</v>
      </c>
      <c r="D270" s="1235">
        <f>IFERROR(IF(AND(OR($C256="Other land",$C256="Degraded land"),$D$249=list!$J$210),INDEX(IPCC!$A$1818:$J$1829,MATCH(clim_moist,IPCC!$A$1818:$A$1829,0),MATCH($C256,IPCC!$A$1818:$J$1818,0)),IF(AND(OR($C256="Other land",$C256="Degraded land"),$D$249=list!$J$211),INDEX(IPCC!$A$1836:$J$1847,MATCH(clim_moist,IPCC!$A$1836:$A$1847,0),MATCH($C256,IPCC!$A$1836:$J$1836,0)),IF($D$249=list!$J$210,INDEX(IPCC!$A$1818:$J$1829,MATCH(clim_moist,IPCC!$A$1818:$A$1829,0),MATCH($C256,IPCC!$A$1818:$J$1818,0)),IF($D$249=list!$J$211,INDEX(IPCC!$A$1836:$J$1847,MATCH(clim_moist,IPCC!$A$1836:$A$1847,0),MATCH($C256,IPCC!$A$1836:$J$1836,0)))))),0)</f>
        <v>0</v>
      </c>
      <c r="E270" s="1280">
        <f>IF('6.Inland wetlands'!$CI81="",'6.Inland wetlands'!$CH81,'6.Inland wetlands'!$CI81)</f>
        <v>0</v>
      </c>
      <c r="F270" s="1235">
        <f>IFERROR(IF(AND(OR($C256="Other land",$C256="Degraded land"),$D$249=list!$J$210),INDEX(IPCC!$A$1872:$J$1883,MATCH(clim_moist,IPCC!$A$1872:$A$1883,0),MATCH($C256,IPCC!$A$1872:$J$1872,0)),IF(AND(OR($C256="Other land",$C256="Degraded land"),$D$249=list!$J$211),INDEX(IPCC!$A$1890:$J$1901,MATCH(clim_moist,IPCC!$A$1890:$A$1901,0),MATCH($C256,IPCC!$A$1890:$J$1890,0)),IF($D$249=list!$J$210,INDEX(IPCC!$A$1872:$J$1883,MATCH(clim_moist,IPCC!$A$1872:$A$1883,0),MATCH($C256,IPCC!$A$1872:$J$1872,0)),IF($D$249=list!$J$211,INDEX(IPCC!$A$1890:$J$1901,MATCH(clim_moist,IPCC!$A$1890:$A$1901,0),MATCH($C256,IPCC!$A$1890:$J$1890,0)))))),0)</f>
        <v>0</v>
      </c>
      <c r="G270" s="1280">
        <f>IF('6.Inland wetlands'!$CK81="",'6.Inland wetlands'!$CJ81,'6.Inland wetlands'!$CK81)</f>
        <v>0</v>
      </c>
      <c r="H270" s="1235">
        <f>IFERROR(IF(AND(OR($C256="Other land",$C256="Degraded land"),$D$249=list!$J$210),INDEX(IPCC!$A$1800:$J$1811,MATCH(clim_moist,IPCC!$A$1800:$A$1811,0),MATCH($C256,IPCC!$A$1800:$J$1800,0)),IF(AND(OR($C256="Other land",$C256="Degraded land"),$D$249=list!$J$211),INDEX(IPCC!$A$1800:$J$1811,MATCH(clim_moist,IPCC!$A$1800:$A$1811,0),MATCH('Inl. wetlands'!$C256,IPCC!$A$1800:$J$1800,0)),IF($D$249=list!$J$210,INDEX(IPCC!$A$1800:$J$1811,MATCH(clim_moist,IPCC!$A$1800:$A$1811,0),MATCH($C256,IPCC!$A$1800:$J$1800,0)),IF($D$249=list!$J$211,INDEX(IPCC!$A$1800:$J$1811,MATCH(clim_moist,IPCC!$A$1800:$A$1811,0),MATCH($C256,IPCC!$A$1800:$J$1800,0)))))),0)</f>
        <v>0</v>
      </c>
      <c r="I270" s="1162">
        <f>IF('6.Inland wetlands'!$CN81="",'6.Inland wetlands'!$CM81,'6.Inland wetlands'!$CN81)</f>
        <v>0</v>
      </c>
      <c r="J270" s="1111">
        <f>IFERROR(IF(AND(OR($C256="Other land",$C256="Degraded land"),$D$249=list!$J$210),INDEX(IPCC!$A$1854:$J$1865,MATCH(clim_moist,IPCC!$A$1854:$A$1865,0),MATCH('Inl. wetlands'!$C256,IPCC!$A$1854:$J$1854,0)),IF(AND(OR($C256="Other land",$C256="Degraded land"),$D$249=list!$J$211),INDEX(IPCC!$A$1854:$J$1865,MATCH(clim_moist,IPCC!$A$1854:A$1865,0),MATCH('Inl. wetlands'!$C256,IPCC!$A$1854:$J$1854,0)),IF($D$249=list!$J$210,INDEX(IPCC!$A$1854:$J$1865,MATCH(clim_moist,IPCC!$A$1854:$A$1865,0),MATCH('Inl. wetlands'!$C256,IPCC!$A$1854:$J$1854,0)),IF($D$249=list!$J$211,INDEX(IPCC!$A$1854:$J$1865,MATCH(clim_moist,IPCC!$A$1854:$A$1865,0),MATCH('Inl. wetlands'!$C256,IPCC!$A$1854:$J$1854,0)))))),0)</f>
        <v>0</v>
      </c>
      <c r="K270" s="1161">
        <f>IF('6.Inland wetlands'!$CP81="",'6.Inland wetlands'!$CO81,'6.Inland wetlands'!$CP81)</f>
        <v>0</v>
      </c>
      <c r="L270" s="1543">
        <f>IF('6.Inland wetlands'!M92=0, 0,'Inl. wetlands'!C270*44/12*'6.Inland wetlands'!M92)</f>
        <v>0</v>
      </c>
      <c r="M270" s="1543">
        <f>IF('6.Inland wetlands'!N81=0, 'Inl. wetlands'!C270*44/12*'6.Inland wetlands'!N92, IF('6.Inland wetlands'!N92&lt;'6.Inland wetlands'!N81,0, 'Inl. wetlands'!C270*44/12*('6.Inland wetlands'!N92-'6.Inland wetlands'!N81)))</f>
        <v>0</v>
      </c>
      <c r="N270" s="4323">
        <f>IF('6.Inland wetlands'!P81=0, 'Inl. wetlands'!C270*44/12*'6.Inland wetlands'!P92, IF('6.Inland wetlands'!P92&lt;'6.Inland wetlands'!P81,0, 'Inl. wetlands'!C270*44/12*('6.Inland wetlands'!P92-'6.Inland wetlands'!P81)))</f>
        <v>0</v>
      </c>
      <c r="O270" s="4323">
        <f>IF('6.Inland wetlands'!M92=0, 0,'Inl. wetlands'!$E270*methane/1000*'6.Inland wetlands'!M92*(1-'6.Inland wetlands'!W92))</f>
        <v>0</v>
      </c>
      <c r="P270" s="4323">
        <f>IF('6.Inland wetlands'!N81=0,'Inl. wetlands'!$E270*methane/1000*'6.Inland wetlands'!N92*(1-'6.Inland wetlands'!X92),IF('6.Inland wetlands'!N92&lt;'6.Inland wetlands'!N81,0, 'Inl. wetlands'!$E270*methane/1000*('6.Inland wetlands'!N92-'6.Inland wetlands'!N81)*(1-'6.Inland wetlands'!X92)))</f>
        <v>0</v>
      </c>
      <c r="Q270" s="4323">
        <f>IF('6.Inland wetlands'!P81=0,'Inl. wetlands'!$E270*methane/1000*'6.Inland wetlands'!P92*(1-'6.Inland wetlands'!Y92),IF('6.Inland wetlands'!P92&lt;'6.Inland wetlands'!P81,0, 'Inl. wetlands'!$E270*methane/1000*('6.Inland wetlands'!P92-'6.Inland wetlands'!P81)*(1-'6.Inland wetlands'!Y92)))</f>
        <v>0</v>
      </c>
      <c r="R270" s="4323">
        <f>IF('6.Inland wetlands'!M92=0, 0, 'Inl. wetlands'!$G270*'6.Inland wetlands'!M92*44/28*Nitrous/1000)</f>
        <v>0</v>
      </c>
      <c r="S270" s="4323">
        <f>IF('6.Inland wetlands'!N81=0, 'Inl. wetlands'!$G270*'6.Inland wetlands'!N92*44/28*Nitrous/1000, IF('6.Inland wetlands'!N92&lt;'6.Inland wetlands'!N81,0, 'Inl. wetlands'!$G270*('6.Inland wetlands'!N92-'6.Inland wetlands'!N81)*44/28*Nitrous/1000))</f>
        <v>0</v>
      </c>
      <c r="T270" s="4323">
        <f>IF('6.Inland wetlands'!P81=0, 'Inl. wetlands'!$G270*'6.Inland wetlands'!P92*44/28*Nitrous/1000, IF('6.Inland wetlands'!P92&lt;'6.Inland wetlands'!P81,0,'Inl. wetlands'!$G270*44/28*Nitrous/1000*('6.Inland wetlands'!P92-'6.Inland wetlands'!P81)))</f>
        <v>0</v>
      </c>
      <c r="U270" s="4323">
        <f>IF('6.Inland wetlands'!M92=0, 0, 'Inl. wetlands'!$I270*'6.Inland wetlands'!M92*44/12)</f>
        <v>0</v>
      </c>
      <c r="V270" s="4323">
        <f>IF('6.Inland wetlands'!N81=0, 'Inl. wetlands'!I270*44/12*'6.Inland wetlands'!N92, IF('6.Inland wetlands'!N92&lt;'6.Inland wetlands'!N81,0, 'Inl. wetlands'!I270*44/12*('6.Inland wetlands'!N92-'6.Inland wetlands'!N81)))</f>
        <v>0</v>
      </c>
      <c r="W270" s="4323">
        <f>IF('6.Inland wetlands'!P81=0, 'Inl. wetlands'!I270*44/12*'6.Inland wetlands'!P92, IF('6.Inland wetlands'!P92&lt;'6.Inland wetlands'!P81,0, 'Inl. wetlands'!I270*44/12*('6.Inland wetlands'!P92-'6.Inland wetlands'!P81)))</f>
        <v>0</v>
      </c>
      <c r="X270" s="4323">
        <f>IF('6.Inland wetlands'!M92=0,0, 'Inl. wetlands'!$K270/1000*methane*'6.Inland wetlands'!M92*'6.Inland wetlands'!$W92)</f>
        <v>0</v>
      </c>
      <c r="Y270" s="4323">
        <f>IF('6.Inland wetlands'!N81=0,'Inl. wetlands'!$K270*methane/1000*'6.Inland wetlands'!N92*('6.Inland wetlands'!X92),IF('6.Inland wetlands'!N92&lt;'6.Inland wetlands'!N81,0, 'Inl. wetlands'!$K270*methane/1000*('6.Inland wetlands'!N92-'6.Inland wetlands'!N81)*('6.Inland wetlands'!X92)))</f>
        <v>0</v>
      </c>
      <c r="Z270" s="4323">
        <f>IF('6.Inland wetlands'!P81=0,'Inl. wetlands'!$K270*methane/1000*'6.Inland wetlands'!P92*('6.Inland wetlands'!Y92),IF('6.Inland wetlands'!P92&lt;'6.Inland wetlands'!P81,0, 'Inl. wetlands'!$K270*methane/1000*('6.Inland wetlands'!P92-'6.Inland wetlands'!P81)*('6.Inland wetlands'!Y92)))</f>
        <v>0</v>
      </c>
      <c r="AB270" s="3468">
        <f>MIN('Inl. wetlands'!L270,'Inl. wetlands'!M270)*time_tot+ABS('Inl. wetlands'!M270-'Inl. wetlands'!L270)*IF('Inl. wetlands'!M270&gt;'Inl. wetlands'!L270,time_cap+time*(VLOOKUP('6.Inland wetlands'!O92,list!$I$48:$K$50,3,0)),time*(1-(VLOOKUP('6.Inland wetlands'!O92,list!$I$48:$K$50,3,0))))+MIN('Inl. wetlands'!U270,'Inl. wetlands'!V270)*time_tot+ABS('Inl. wetlands'!V270-'Inl. wetlands'!U270)*IF('Inl. wetlands'!V270&gt;'Inl. wetlands'!U270,time_cap+time*(VLOOKUP('6.Inland wetlands'!O92,list!$I$48:$K$50,3,0)),time*(1-(VLOOKUP('6.Inland wetlands'!O92,list!$I$48:$K$50,3,0))))</f>
        <v>0</v>
      </c>
      <c r="AC270" s="3468">
        <f>MIN('Inl. wetlands'!L270,'Inl. wetlands'!N270)*time_tot+ABS('Inl. wetlands'!N270-'Inl. wetlands'!L270)*IF('Inl. wetlands'!N270&gt;'Inl. wetlands'!L270,time_cap+time*(VLOOKUP('6.Inland wetlands'!Q92,list!$I$48:$K$50,3,0)),time*(1-(VLOOKUP('6.Inland wetlands'!Q92,list!$I$48:$K$50,3,0))))+MIN('Inl. wetlands'!U270,'Inl. wetlands'!W270)*time_tot+ABS('Inl. wetlands'!W270-'Inl. wetlands'!U270)*IF('Inl. wetlands'!W270&gt;'Inl. wetlands'!U270,time_cap+time*(VLOOKUP('6.Inland wetlands'!Q92,list!$I$48:$K$50,3,0)),time*(1-(VLOOKUP('6.Inland wetlands'!Q92,list!$I$48:$K$50,3,0))))</f>
        <v>0</v>
      </c>
      <c r="AD270" s="1151">
        <f>MIN('Inl. wetlands'!O270,'Inl. wetlands'!P270)*time_tot+ABS('Inl. wetlands'!P270-'Inl. wetlands'!O270)*IF('Inl. wetlands'!P270&gt;'Inl. wetlands'!O270,time_cap+time*(VLOOKUP('6.Inland wetlands'!O92,list!$I$48:$K$50,3,0)),time*(1-(VLOOKUP('6.Inland wetlands'!O92,list!$I$48:$K$50,3,0))))+MIN('Inl. wetlands'!X270,'Inl. wetlands'!Y270)*time_tot+ABS('Inl. wetlands'!Y270-'Inl. wetlands'!X270)*IF('Inl. wetlands'!Y270&gt;'Inl. wetlands'!X270,time_cap+time*(VLOOKUP('6.Inland wetlands'!O92,list!$I$48:$K$50,3,0)),time*(1-(VLOOKUP('6.Inland wetlands'!O92,list!$I$48:$K$50,3,0))))</f>
        <v>0</v>
      </c>
      <c r="AE270" s="1151">
        <f>MIN('Inl. wetlands'!O270,'Inl. wetlands'!Q270)*time_tot+ABS('Inl. wetlands'!Q270-'Inl. wetlands'!O270)*IF('Inl. wetlands'!Q270&gt;'Inl. wetlands'!O270,time_cap+time*(VLOOKUP('6.Inland wetlands'!Q92,list!$I$48:$K$50,3,0)),time*(1-(VLOOKUP('6.Inland wetlands'!Q92,list!$I$48:$K$50,3,0))))+MIN('Inl. wetlands'!X270,'Inl. wetlands'!Z270)*time_tot+ABS('Inl. wetlands'!Z270-'Inl. wetlands'!X270)*IF('Inl. wetlands'!Z270&gt;'Inl. wetlands'!X270,time_cap+time*(VLOOKUP('6.Inland wetlands'!Q92,list!$I$48:$K$50,3,0)),time*(1-(VLOOKUP('6.Inland wetlands'!Q92,list!$I$48:$K$50,3,0))))</f>
        <v>0</v>
      </c>
      <c r="AF270" s="1151">
        <f>MIN('Inl. wetlands'!R270,'Inl. wetlands'!S270)*time_tot+ABS('Inl. wetlands'!S270-'Inl. wetlands'!R270)*IF('Inl. wetlands'!S270&gt;'Inl. wetlands'!R270,time_cap+time*(VLOOKUP('6.Inland wetlands'!O92,list!$I$48:$K$50,3,0)),time*(1-(VLOOKUP('6.Inland wetlands'!O92,list!$I$48:$K$50,3,0))))</f>
        <v>0</v>
      </c>
      <c r="AG270" s="1151">
        <f>MIN('Inl. wetlands'!R270,'Inl. wetlands'!T270)*time_tot+ABS('Inl. wetlands'!T270-'Inl. wetlands'!R270)*IF('Inl. wetlands'!T270&gt;'Inl. wetlands'!R270,time_cap+time*(VLOOKUP('6.Inland wetlands'!Q92,list!$I$48:$K$50,3,0)),time*(1-(VLOOKUP('6.Inland wetlands'!Q92,list!$I$48:$K$50,3,0))))</f>
        <v>0</v>
      </c>
      <c r="AX270" s="1449">
        <f>$M270*time*(VLOOKUP($G256,list!$J$48:$K$50,2,0))</f>
        <v>0</v>
      </c>
      <c r="AY270" s="1449">
        <f>$N270*time*(VLOOKUP($K256,list!$J$48:$K$50,2,0))</f>
        <v>0</v>
      </c>
      <c r="AZ270" s="1449">
        <f>$P270*time*(VLOOKUP($G256,list!$J$48:$K$50,2,0))</f>
        <v>0</v>
      </c>
      <c r="BA270" s="1449">
        <f>$Q270*time*(VLOOKUP($K256,list!$J$48:$K$50,2,0))</f>
        <v>0</v>
      </c>
      <c r="BB270" s="1449">
        <f>$S270*time*(VLOOKUP($G256,list!$J$48:$K$50,2,0))</f>
        <v>0</v>
      </c>
      <c r="BC270" s="1449">
        <f>$T270*time*(VLOOKUP($K256,list!$J$48:$K$50,2,0))</f>
        <v>0</v>
      </c>
      <c r="BD270" s="1449">
        <f>$V270*time*(VLOOKUP($G256,list!$J$48:$K$50,2,0))</f>
        <v>0</v>
      </c>
      <c r="BE270" s="1449">
        <f>$W270*time*(VLOOKUP($K256,list!$J$48:$K$50,2,0))</f>
        <v>0</v>
      </c>
      <c r="BF270" s="1449">
        <f>$Y270*time*(VLOOKUP($G256,list!$J$48:$K$50,2,0))</f>
        <v>0</v>
      </c>
      <c r="BG270" s="1449">
        <f>$Z270*time*(VLOOKUP($K256,list!$J$48:$K$50,2,0))</f>
        <v>0</v>
      </c>
    </row>
    <row r="271" spans="1:59" x14ac:dyDescent="0.15">
      <c r="A271" s="1264" t="s">
        <v>1162</v>
      </c>
      <c r="B271" s="1235">
        <f>IFERROR(IF(AND(OR($C257="Other land",$C257="Degraded land"),$D$249=list!$J$210),INDEX(IPCC!$A$1762:$J$1773,MATCH(clim_moist,IPCC!$A$1762:$A$1773,0),MATCH($C257,IPCC!$A$1762:$J$1762,0)),IF(AND(OR($C257="Other land",$C257="Degraded land"),$D$249=list!$J$211),INDEX(IPCC!$A$1781:$J$1792,MATCH(clim_moist,IPCC!$A$1781:$A$1792,0),MATCH($C257,IPCC!$A$1781:$J$1781,0)),IF($D$249=list!$J$210,INDEX(IPCC!$A$1762:$J$1773,MATCH(clim_moist,IPCC!$A$1781:$A$1792,0),MATCH($C257,IPCC!$A$1781:$J$1781,0)),IF($D$249=list!$J$211,INDEX(IPCC!$A$1781:$J$1792,MATCH(clim_moist,IPCC!$A$1781:$A$1792,0),MATCH($C257,IPCC!$A$1781:$J$1781,0)))))),0)</f>
        <v>0</v>
      </c>
      <c r="C271" s="1280">
        <f>IF('6.Inland wetlands'!$CG82="",'6.Inland wetlands'!$CF82,'6.Inland wetlands'!$CG82)</f>
        <v>0</v>
      </c>
      <c r="D271" s="1235">
        <f>IFERROR(IF(AND(OR($C257="Other land",$C257="Degraded land"),$D$249=list!$J$210),INDEX(IPCC!$A$1818:$J$1829,MATCH(clim_moist,IPCC!$A$1818:$A$1829,0),MATCH($C257,IPCC!$A$1818:$J$1818,0)),IF(AND(OR($C257="Other land",$C257="Degraded land"),$D$249=list!$J$211),INDEX(IPCC!$A$1836:$J$1847,MATCH(clim_moist,IPCC!$A$1836:$A$1847,0),MATCH($C257,IPCC!$A$1836:$J$1836,0)),IF($D$249=list!$J$210,INDEX(IPCC!$A$1818:$J$1829,MATCH(clim_moist,IPCC!$A$1818:$A$1829,0),MATCH($C257,IPCC!$A$1818:$J$1818,0)),IF($D$249=list!$J$211,INDEX(IPCC!$A$1836:$J$1847,MATCH(clim_moist,IPCC!$A$1836:$A$1847,0),MATCH($C257,IPCC!$A$1836:$J$1836,0)))))),0)</f>
        <v>0</v>
      </c>
      <c r="E271" s="1280">
        <f>IF('6.Inland wetlands'!$CI82="",'6.Inland wetlands'!$CH82,'6.Inland wetlands'!$CI82)</f>
        <v>0</v>
      </c>
      <c r="F271" s="1235">
        <f>IFERROR(IF(AND(OR($C257="Other land",$C257="Degraded land"),$D$249=list!$J$210),INDEX(IPCC!$A$1872:$J$1883,MATCH(clim_moist,IPCC!$A$1872:$A$1883,0),MATCH($C257,IPCC!$A$1872:$J$1872,0)),IF(AND(OR($C257="Other land",$C257="Degraded land"),$D$249=list!$J$211),INDEX(IPCC!$A$1890:$J$1901,MATCH(clim_moist,IPCC!$A$1890:$A$1901,0),MATCH($C257,IPCC!$A$1890:$J$1890,0)),IF($D$249=list!$J$210,INDEX(IPCC!$A$1872:$J$1883,MATCH(clim_moist,IPCC!$A$1872:$A$1883,0),MATCH($C257,IPCC!$A$1872:$J$1872,0)),IF($D$249=list!$J$211,INDEX(IPCC!$A$1890:$J$1901,MATCH(clim_moist,IPCC!$A$1890:$A$1901,0),MATCH($C257,IPCC!$A$1890:$J$1890,0)))))),0)</f>
        <v>0</v>
      </c>
      <c r="G271" s="1280">
        <f>IF('6.Inland wetlands'!$CK82="",'6.Inland wetlands'!$CJ82,'6.Inland wetlands'!$CK82)</f>
        <v>0</v>
      </c>
      <c r="H271" s="1235">
        <f>IFERROR(IF(AND(OR($C257="Other land",$C257="Degraded land"),$D$249=list!$J$210),INDEX(IPCC!$A$1800:$J$1811,MATCH(clim_moist,IPCC!$A$1800:$A$1811,0),MATCH($C257,IPCC!$A$1800:$J$1800,0)),IF(AND(OR($C257="Other land",$C257="Degraded land"),$D$249=list!$J$211),INDEX(IPCC!$A$1800:$J$1811,MATCH(clim_moist,IPCC!$A$1800:$A$1811,0),MATCH('Inl. wetlands'!$C257,IPCC!$A$1800:$J$1800,0)),IF($D$249=list!$J$210,INDEX(IPCC!$A$1800:$J$1811,MATCH(clim_moist,IPCC!$A$1800:$A$1811,0),MATCH($C257,IPCC!$A$1800:$J$1800,0)),IF($D$249=list!$J$211,INDEX(IPCC!$A$1800:$J$1811,MATCH(clim_moist,IPCC!$A$1800:$A$1811,0),MATCH($C257,IPCC!$A$1800:$J$1800,0)))))),0)</f>
        <v>0</v>
      </c>
      <c r="I271" s="1162">
        <f>IF('6.Inland wetlands'!$CN82="",'6.Inland wetlands'!$CM82,'6.Inland wetlands'!$CN82)</f>
        <v>0</v>
      </c>
      <c r="J271" s="1111">
        <f>IFERROR(IF(AND(OR($C257="Other land",$C257="Degraded land"),$D$249=list!$J$210),INDEX(IPCC!$A$1854:$J$1865,MATCH(clim_moist,IPCC!$A$1854:$A$1865,0),MATCH('Inl. wetlands'!$C257,IPCC!$A$1854:$J$1854,0)),IF(AND(OR($C257="Other land",$C257="Degraded land"),$D$249=list!$J$211),INDEX(IPCC!$A$1854:$J$1865,MATCH(clim_moist,IPCC!$A$1854:A$1865,0),MATCH('Inl. wetlands'!$C257,IPCC!$A$1854:$J$1854,0)),IF($D$249=list!$J$210,INDEX(IPCC!$A$1854:$J$1865,MATCH(clim_moist,IPCC!$A$1854:$A$1865,0),MATCH('Inl. wetlands'!$C257,IPCC!$A$1854:$J$1854,0)),IF($D$249=list!$J$211,INDEX(IPCC!$A$1854:$J$1865,MATCH(clim_moist,IPCC!$A$1854:$A$1865,0),MATCH('Inl. wetlands'!$C257,IPCC!$A$1854:$J$1854,0)))))),0)</f>
        <v>0</v>
      </c>
      <c r="K271" s="1161">
        <f>IF('6.Inland wetlands'!$CP82="",'6.Inland wetlands'!$CO82,'6.Inland wetlands'!$CP82)</f>
        <v>0</v>
      </c>
      <c r="L271" s="1543">
        <f>IF('6.Inland wetlands'!M93=0, 0,'Inl. wetlands'!C271*44/12*'6.Inland wetlands'!M93)</f>
        <v>0</v>
      </c>
      <c r="M271" s="1543">
        <f>IF('6.Inland wetlands'!N82=0, 'Inl. wetlands'!C271*44/12*'6.Inland wetlands'!N93, IF('6.Inland wetlands'!N93&lt;'6.Inland wetlands'!N82,0, 'Inl. wetlands'!C271*44/12*('6.Inland wetlands'!N93-'6.Inland wetlands'!N82)))</f>
        <v>0</v>
      </c>
      <c r="N271" s="4323">
        <f>IF('6.Inland wetlands'!P82=0, 'Inl. wetlands'!C271*44/12*'6.Inland wetlands'!P93, IF('6.Inland wetlands'!P93&lt;'6.Inland wetlands'!P82,0, 'Inl. wetlands'!C271*44/12*('6.Inland wetlands'!P93-'6.Inland wetlands'!P82)))</f>
        <v>0</v>
      </c>
      <c r="O271" s="4323">
        <f>IF('6.Inland wetlands'!M93=0, 0,'Inl. wetlands'!$E271*methane/1000*'6.Inland wetlands'!M93*(1-'6.Inland wetlands'!W93))</f>
        <v>0</v>
      </c>
      <c r="P271" s="4323">
        <f>IF('6.Inland wetlands'!N82=0,'Inl. wetlands'!$E271*methane/1000*'6.Inland wetlands'!N93*(1-'6.Inland wetlands'!X93),IF('6.Inland wetlands'!N93&lt;'6.Inland wetlands'!N82,0, 'Inl. wetlands'!$E271*methane/1000*('6.Inland wetlands'!N93-'6.Inland wetlands'!N82)*(1-'6.Inland wetlands'!X93)))</f>
        <v>0</v>
      </c>
      <c r="Q271" s="4323">
        <f>IF('6.Inland wetlands'!P82=0,'Inl. wetlands'!$E271*methane/1000*'6.Inland wetlands'!P93*(1-'6.Inland wetlands'!Y93),IF('6.Inland wetlands'!P93&lt;'6.Inland wetlands'!P82,0, 'Inl. wetlands'!$E271*methane/1000*('6.Inland wetlands'!P93-'6.Inland wetlands'!P82)*(1-'6.Inland wetlands'!Y93)))</f>
        <v>0</v>
      </c>
      <c r="R271" s="4323">
        <f>IF('6.Inland wetlands'!M93=0, 0, 'Inl. wetlands'!$G271*'6.Inland wetlands'!M93*44/28*Nitrous/1000)</f>
        <v>0</v>
      </c>
      <c r="S271" s="4323">
        <f>IF('6.Inland wetlands'!N82=0, 'Inl. wetlands'!$G271*'6.Inland wetlands'!N93*44/28*Nitrous/1000, IF('6.Inland wetlands'!N93&lt;'6.Inland wetlands'!N82,0, 'Inl. wetlands'!$G271*('6.Inland wetlands'!N93-'6.Inland wetlands'!N82)*44/28*Nitrous/1000))</f>
        <v>0</v>
      </c>
      <c r="T271" s="4323">
        <f>IF('6.Inland wetlands'!P82=0, 'Inl. wetlands'!$G271*'6.Inland wetlands'!P93*44/28*Nitrous/1000, IF('6.Inland wetlands'!P93&lt;'6.Inland wetlands'!P82,0,'Inl. wetlands'!$G271*44/28*Nitrous/1000*('6.Inland wetlands'!P93-'6.Inland wetlands'!P82)))</f>
        <v>0</v>
      </c>
      <c r="U271" s="4323">
        <f>IF('6.Inland wetlands'!M93=0, 0, 'Inl. wetlands'!$I271*'6.Inland wetlands'!M93*44/12)</f>
        <v>0</v>
      </c>
      <c r="V271" s="4323">
        <f>IF('6.Inland wetlands'!N82=0, 'Inl. wetlands'!I271*44/12*'6.Inland wetlands'!N93, IF('6.Inland wetlands'!N93&lt;'6.Inland wetlands'!N82,0, 'Inl. wetlands'!I271*44/12*('6.Inland wetlands'!N93-'6.Inland wetlands'!N82)))</f>
        <v>0</v>
      </c>
      <c r="W271" s="4323">
        <f>IF('6.Inland wetlands'!P82=0, 'Inl. wetlands'!I271*44/12*'6.Inland wetlands'!P93, IF('6.Inland wetlands'!P93&lt;'6.Inland wetlands'!P82,0, 'Inl. wetlands'!I271*44/12*('6.Inland wetlands'!P93-'6.Inland wetlands'!P82)))</f>
        <v>0</v>
      </c>
      <c r="X271" s="4323">
        <f>IF('6.Inland wetlands'!M93=0,0, 'Inl. wetlands'!$K271/1000*methane*'6.Inland wetlands'!M93*'6.Inland wetlands'!$W93)</f>
        <v>0</v>
      </c>
      <c r="Y271" s="4323">
        <f>IF('6.Inland wetlands'!N82=0,'Inl. wetlands'!$K271*methane/1000*'6.Inland wetlands'!N93*('6.Inland wetlands'!X93),IF('6.Inland wetlands'!N93&lt;'6.Inland wetlands'!N82,0, 'Inl. wetlands'!$K271*methane/1000*('6.Inland wetlands'!N93-'6.Inland wetlands'!N82)*('6.Inland wetlands'!X93)))</f>
        <v>0</v>
      </c>
      <c r="Z271" s="4323">
        <f>IF('6.Inland wetlands'!P82=0,'Inl. wetlands'!$K271*methane/1000*'6.Inland wetlands'!P93*('6.Inland wetlands'!Y93),IF('6.Inland wetlands'!P93&lt;'6.Inland wetlands'!P82,0, 'Inl. wetlands'!$K271*methane/1000*('6.Inland wetlands'!P93-'6.Inland wetlands'!P82)*('6.Inland wetlands'!Y93)))</f>
        <v>0</v>
      </c>
      <c r="AB271" s="3468">
        <f>MIN('Inl. wetlands'!L271,'Inl. wetlands'!M271)*time_tot+ABS('Inl. wetlands'!M271-'Inl. wetlands'!L271)*IF('Inl. wetlands'!M271&gt;'Inl. wetlands'!L271,time_cap+time*(VLOOKUP('6.Inland wetlands'!O93,list!$I$48:$K$50,3,0)),time*(1-(VLOOKUP('6.Inland wetlands'!O93,list!$I$48:$K$50,3,0))))+MIN('Inl. wetlands'!U271,'Inl. wetlands'!V271)*time_tot+ABS('Inl. wetlands'!V271-'Inl. wetlands'!U271)*IF('Inl. wetlands'!V271&gt;'Inl. wetlands'!U271,time_cap+time*(VLOOKUP('6.Inland wetlands'!O93,list!$I$48:$K$50,3,0)),time*(1-(VLOOKUP('6.Inland wetlands'!O93,list!$I$48:$K$50,3,0))))</f>
        <v>0</v>
      </c>
      <c r="AC271" s="3468">
        <f>MIN('Inl. wetlands'!L271,'Inl. wetlands'!N271)*time_tot+ABS('Inl. wetlands'!N271-'Inl. wetlands'!L271)*IF('Inl. wetlands'!N271&gt;'Inl. wetlands'!L271,time_cap+time*(VLOOKUP('6.Inland wetlands'!Q93,list!$I$48:$K$50,3,0)),time*(1-(VLOOKUP('6.Inland wetlands'!Q93,list!$I$48:$K$50,3,0))))+MIN('Inl. wetlands'!U271,'Inl. wetlands'!W271)*time_tot+ABS('Inl. wetlands'!W271-'Inl. wetlands'!U271)*IF('Inl. wetlands'!W271&gt;'Inl. wetlands'!U271,time_cap+time*(VLOOKUP('6.Inland wetlands'!Q93,list!$I$48:$K$50,3,0)),time*(1-(VLOOKUP('6.Inland wetlands'!Q93,list!$I$48:$K$50,3,0))))</f>
        <v>0</v>
      </c>
      <c r="AD271" s="1151">
        <f>MIN('Inl. wetlands'!O271,'Inl. wetlands'!P271)*time_tot+ABS('Inl. wetlands'!P271-'Inl. wetlands'!O271)*IF('Inl. wetlands'!P271&gt;'Inl. wetlands'!O271,time_cap+time*(VLOOKUP('6.Inland wetlands'!O93,list!$I$48:$K$50,3,0)),time*(1-(VLOOKUP('6.Inland wetlands'!O93,list!$I$48:$K$50,3,0))))+MIN('Inl. wetlands'!X271,'Inl. wetlands'!Y271)*time_tot+ABS('Inl. wetlands'!Y271-'Inl. wetlands'!X271)*IF('Inl. wetlands'!Y271&gt;'Inl. wetlands'!X271,time_cap+time*(VLOOKUP('6.Inland wetlands'!O93,list!$I$48:$K$50,3,0)),time*(1-(VLOOKUP('6.Inland wetlands'!O93,list!$I$48:$K$50,3,0))))</f>
        <v>0</v>
      </c>
      <c r="AE271" s="1151">
        <f>MIN('Inl. wetlands'!O271,'Inl. wetlands'!Q271)*time_tot+ABS('Inl. wetlands'!Q271-'Inl. wetlands'!O271)*IF('Inl. wetlands'!Q271&gt;'Inl. wetlands'!O271,time_cap+time*(VLOOKUP('6.Inland wetlands'!Q93,list!$I$48:$K$50,3,0)),time*(1-(VLOOKUP('6.Inland wetlands'!Q93,list!$I$48:$K$50,3,0))))+MIN('Inl. wetlands'!X271,'Inl. wetlands'!Z271)*time_tot+ABS('Inl. wetlands'!Z271-'Inl. wetlands'!X271)*IF('Inl. wetlands'!Z271&gt;'Inl. wetlands'!X271,time_cap+time*(VLOOKUP('6.Inland wetlands'!Q93,list!$I$48:$K$50,3,0)),time*(1-(VLOOKUP('6.Inland wetlands'!Q93,list!$I$48:$K$50,3,0))))</f>
        <v>0</v>
      </c>
      <c r="AF271" s="1151">
        <f>MIN('Inl. wetlands'!R271,'Inl. wetlands'!S271)*time_tot+ABS('Inl. wetlands'!S271-'Inl. wetlands'!R271)*IF('Inl. wetlands'!S271&gt;'Inl. wetlands'!R271,time_cap+time*(VLOOKUP('6.Inland wetlands'!O93,list!$I$48:$K$50,3,0)),time*(1-(VLOOKUP('6.Inland wetlands'!O93,list!$I$48:$K$50,3,0))))</f>
        <v>0</v>
      </c>
      <c r="AG271" s="1151">
        <f>MIN('Inl. wetlands'!R271,'Inl. wetlands'!T271)*time_tot+ABS('Inl. wetlands'!T271-'Inl. wetlands'!R271)*IF('Inl. wetlands'!T271&gt;'Inl. wetlands'!R271,time_cap+time*(VLOOKUP('6.Inland wetlands'!Q93,list!$I$48:$K$50,3,0)),time*(1-(VLOOKUP('6.Inland wetlands'!Q93,list!$I$48:$K$50,3,0))))</f>
        <v>0</v>
      </c>
      <c r="AX271" s="1449">
        <f>$M271*time*(VLOOKUP($G257,list!$J$48:$K$50,2,0))</f>
        <v>0</v>
      </c>
      <c r="AY271" s="1449">
        <f>$N271*time*(VLOOKUP($K257,list!$J$48:$K$50,2,0))</f>
        <v>0</v>
      </c>
      <c r="AZ271" s="1449">
        <f>$P271*time*(VLOOKUP($G257,list!$J$48:$K$50,2,0))</f>
        <v>0</v>
      </c>
      <c r="BA271" s="1449">
        <f>$Q271*time*(VLOOKUP($K257,list!$J$48:$K$50,2,0))</f>
        <v>0</v>
      </c>
      <c r="BB271" s="1449">
        <f>$S271*time*(VLOOKUP($G257,list!$J$48:$K$50,2,0))</f>
        <v>0</v>
      </c>
      <c r="BC271" s="1449">
        <f>$T271*time*(VLOOKUP($K257,list!$J$48:$K$50,2,0))</f>
        <v>0</v>
      </c>
      <c r="BD271" s="1449">
        <f>$V271*time*(VLOOKUP($G257,list!$J$48:$K$50,2,0))</f>
        <v>0</v>
      </c>
      <c r="BE271" s="1449">
        <f>$W271*time*(VLOOKUP($K257,list!$J$48:$K$50,2,0))</f>
        <v>0</v>
      </c>
      <c r="BF271" s="1449">
        <f>$Y271*time*(VLOOKUP($G257,list!$J$48:$K$50,2,0))</f>
        <v>0</v>
      </c>
      <c r="BG271" s="1449">
        <f>$Z271*time*(VLOOKUP($K257,list!$J$48:$K$50,2,0))</f>
        <v>0</v>
      </c>
    </row>
    <row r="272" spans="1:59" x14ac:dyDescent="0.15">
      <c r="A272" s="1264" t="s">
        <v>1163</v>
      </c>
      <c r="B272" s="1235">
        <f>IFERROR(IF(AND(OR($C258="Other land",$C258="Degraded land"),$D$249=list!$J$210),INDEX(IPCC!$A$1762:$J$1773,MATCH(clim_moist,IPCC!$A$1762:$A$1773,0),MATCH($C258,IPCC!$A$1762:$J$1762,0)),IF(AND(OR($C258="Other land",$C258="Degraded land"),$D$249=list!$J$211),INDEX(IPCC!$A$1781:$J$1792,MATCH(clim_moist,IPCC!$A$1781:$A$1792,0),MATCH($C258,IPCC!$A$1781:$J$1781,0)),IF($D$249=list!$J$210,INDEX(IPCC!$A$1762:$J$1773,MATCH(clim_moist,IPCC!$A$1781:$A$1792,0),MATCH($C258,IPCC!$A$1781:$J$1781,0)),IF($D$249=list!$J$211,INDEX(IPCC!$A$1781:$J$1792,MATCH(clim_moist,IPCC!$A$1781:$A$1792,0),MATCH($C258,IPCC!$A$1781:$J$1781,0)))))),0)</f>
        <v>0</v>
      </c>
      <c r="C272" s="1280">
        <f>IF('6.Inland wetlands'!$CG83="",'6.Inland wetlands'!$CF83,'6.Inland wetlands'!$CG83)</f>
        <v>0</v>
      </c>
      <c r="D272" s="1235">
        <f>IFERROR(IF(AND(OR($C258="Other land",$C258="Degraded land"),$D$249=list!$J$210),INDEX(IPCC!$A$1818:$J$1829,MATCH(clim_moist,IPCC!$A$1818:$A$1829,0),MATCH($C258,IPCC!$A$1818:$J$1818,0)),IF(AND(OR($C258="Other land",$C258="Degraded land"),$D$249=list!$J$211),INDEX(IPCC!$A$1836:$J$1847,MATCH(clim_moist,IPCC!$A$1836:$A$1847,0),MATCH($C258,IPCC!$A$1836:$J$1836,0)),IF($D$249=list!$J$210,INDEX(IPCC!$A$1818:$J$1829,MATCH(clim_moist,IPCC!$A$1818:$A$1829,0),MATCH($C258,IPCC!$A$1818:$J$1818,0)),IF($D$249=list!$J$211,INDEX(IPCC!$A$1836:$J$1847,MATCH(clim_moist,IPCC!$A$1836:$A$1847,0),MATCH($C258,IPCC!$A$1836:$J$1836,0)))))),0)</f>
        <v>0</v>
      </c>
      <c r="E272" s="1280">
        <f>IF('6.Inland wetlands'!$CI83="",'6.Inland wetlands'!$CH83,'6.Inland wetlands'!$CI83)</f>
        <v>0</v>
      </c>
      <c r="F272" s="1235">
        <f>IFERROR(IF(AND(OR($C258="Other land",$C258="Degraded land"),$D$249=list!$J$210),INDEX(IPCC!$A$1872:$J$1883,MATCH(clim_moist,IPCC!$A$1872:$A$1883,0),MATCH($C258,IPCC!$A$1872:$J$1872,0)),IF(AND(OR($C258="Other land",$C258="Degraded land"),$D$249=list!$J$211),INDEX(IPCC!$A$1890:$J$1901,MATCH(clim_moist,IPCC!$A$1890:$A$1901,0),MATCH($C258,IPCC!$A$1890:$J$1890,0)),IF($D$249=list!$J$210,INDEX(IPCC!$A$1872:$J$1883,MATCH(clim_moist,IPCC!$A$1872:$A$1883,0),MATCH($C258,IPCC!$A$1872:$J$1872,0)),IF($D$249=list!$J$211,INDEX(IPCC!$A$1890:$J$1901,MATCH(clim_moist,IPCC!$A$1890:$A$1901,0),MATCH($C258,IPCC!$A$1890:$J$1890,0)))))),0)</f>
        <v>0</v>
      </c>
      <c r="G272" s="1280">
        <f>IF('6.Inland wetlands'!$CK83="",'6.Inland wetlands'!$CJ83,'6.Inland wetlands'!$CK83)</f>
        <v>0</v>
      </c>
      <c r="H272" s="1235">
        <f>IFERROR(IF(AND(OR($C258="Other land",$C258="Degraded land"),$D$249=list!$J$210),INDEX(IPCC!$A$1800:$J$1811,MATCH(clim_moist,IPCC!$A$1800:$A$1811,0),MATCH($C258,IPCC!$A$1800:$J$1800,0)),IF(AND(OR($C258="Other land",$C258="Degraded land"),$D$249=list!$J$211),INDEX(IPCC!$A$1800:$J$1811,MATCH(clim_moist,IPCC!$A$1800:$A$1811,0),MATCH('Inl. wetlands'!$C258,IPCC!$A$1800:$J$1800,0)),IF($D$249=list!$J$210,INDEX(IPCC!$A$1800:$J$1811,MATCH(clim_moist,IPCC!$A$1800:$A$1811,0),MATCH($C258,IPCC!$A$1800:$J$1800,0)),IF($D$249=list!$J$211,INDEX(IPCC!$A$1800:$J$1811,MATCH(clim_moist,IPCC!$A$1800:$A$1811,0),MATCH($C258,IPCC!$A$1800:$J$1800,0)))))),0)</f>
        <v>0</v>
      </c>
      <c r="I272" s="1162">
        <f>IF('6.Inland wetlands'!$CN83="",'6.Inland wetlands'!$CM83,'6.Inland wetlands'!$CN83)</f>
        <v>0</v>
      </c>
      <c r="J272" s="1111">
        <f>IFERROR(IF(AND(OR($C258="Other land",$C258="Degraded land"),$D$249=list!$J$210),INDEX(IPCC!$A$1854:$J$1865,MATCH(clim_moist,IPCC!$A$1854:$A$1865,0),MATCH('Inl. wetlands'!$C258,IPCC!$A$1854:$J$1854,0)),IF(AND(OR($C258="Other land",$C258="Degraded land"),$D$249=list!$J$211),INDEX(IPCC!$A$1854:$J$1865,MATCH(clim_moist,IPCC!$A$1854:A$1865,0),MATCH('Inl. wetlands'!$C258,IPCC!$A$1854:$J$1854,0)),IF($D$249=list!$J$210,INDEX(IPCC!$A$1854:$J$1865,MATCH(clim_moist,IPCC!$A$1854:$A$1865,0),MATCH('Inl. wetlands'!$C258,IPCC!$A$1854:$J$1854,0)),IF($D$249=list!$J$211,INDEX(IPCC!$A$1854:$J$1865,MATCH(clim_moist,IPCC!$A$1854:$A$1865,0),MATCH('Inl. wetlands'!$C258,IPCC!$A$1854:$J$1854,0)))))),0)</f>
        <v>0</v>
      </c>
      <c r="K272" s="1161">
        <f>IF('6.Inland wetlands'!$CP83="",'6.Inland wetlands'!$CO83,'6.Inland wetlands'!$CP83)</f>
        <v>0</v>
      </c>
      <c r="L272" s="1543">
        <f>IF('6.Inland wetlands'!M94=0, 0,'Inl. wetlands'!C272*44/12*'6.Inland wetlands'!M94)</f>
        <v>0</v>
      </c>
      <c r="M272" s="1543">
        <f>IF('6.Inland wetlands'!N83=0, 'Inl. wetlands'!C272*44/12*'6.Inland wetlands'!N94, IF('6.Inland wetlands'!N94&lt;'6.Inland wetlands'!N83,0, 'Inl. wetlands'!C272*44/12*('6.Inland wetlands'!N94-'6.Inland wetlands'!N83)))</f>
        <v>0</v>
      </c>
      <c r="N272" s="4323">
        <f>IF('6.Inland wetlands'!P83=0, 'Inl. wetlands'!C272*44/12*'6.Inland wetlands'!P94, IF('6.Inland wetlands'!P94&lt;'6.Inland wetlands'!P83,0, 'Inl. wetlands'!C272*44/12*('6.Inland wetlands'!P94-'6.Inland wetlands'!P83)))</f>
        <v>0</v>
      </c>
      <c r="O272" s="4323">
        <f>IF('6.Inland wetlands'!M94=0, 0,'Inl. wetlands'!$E272*methane/1000*'6.Inland wetlands'!M94*(1-'6.Inland wetlands'!W94))</f>
        <v>0</v>
      </c>
      <c r="P272" s="4323">
        <f>IF('6.Inland wetlands'!N83=0,'Inl. wetlands'!$E272*methane/1000*'6.Inland wetlands'!N94*(1-'6.Inland wetlands'!X94),IF('6.Inland wetlands'!N94&lt;'6.Inland wetlands'!N83,0, 'Inl. wetlands'!$E272*methane/1000*('6.Inland wetlands'!N94-'6.Inland wetlands'!N83)*(1-'6.Inland wetlands'!X94)))</f>
        <v>0</v>
      </c>
      <c r="Q272" s="4323">
        <f>IF('6.Inland wetlands'!P83=0,'Inl. wetlands'!$E272*methane/1000*'6.Inland wetlands'!P94*(1-'6.Inland wetlands'!Y94),IF('6.Inland wetlands'!P94&lt;'6.Inland wetlands'!P83,0, 'Inl. wetlands'!$E272*methane/1000*('6.Inland wetlands'!P94-'6.Inland wetlands'!P83)*(1-'6.Inland wetlands'!Y94)))</f>
        <v>0</v>
      </c>
      <c r="R272" s="4323">
        <f>IF('6.Inland wetlands'!M94=0, 0, 'Inl. wetlands'!$G272*'6.Inland wetlands'!M94*44/28*Nitrous/1000)</f>
        <v>0</v>
      </c>
      <c r="S272" s="4323">
        <f>IF('6.Inland wetlands'!N83=0, 'Inl. wetlands'!$G272*'6.Inland wetlands'!N94*44/28*Nitrous/1000, IF('6.Inland wetlands'!N94&lt;'6.Inland wetlands'!N83,0, 'Inl. wetlands'!$G272*('6.Inland wetlands'!N94-'6.Inland wetlands'!N83)*44/28*Nitrous/1000))</f>
        <v>0</v>
      </c>
      <c r="T272" s="4323">
        <f>IF('6.Inland wetlands'!P83=0, 'Inl. wetlands'!$G272*'6.Inland wetlands'!P94*44/28*Nitrous/1000, IF('6.Inland wetlands'!P94&lt;'6.Inland wetlands'!P83,0,'Inl. wetlands'!$G272*44/28*Nitrous/1000*('6.Inland wetlands'!P94-'6.Inland wetlands'!P83)))</f>
        <v>0</v>
      </c>
      <c r="U272" s="4323">
        <f>IF('6.Inland wetlands'!M94=0, 0, 'Inl. wetlands'!$I272*'6.Inland wetlands'!M94*44/12)</f>
        <v>0</v>
      </c>
      <c r="V272" s="4323">
        <f>IF('6.Inland wetlands'!N83=0, 'Inl. wetlands'!I272*44/12*'6.Inland wetlands'!N94, IF('6.Inland wetlands'!N94&lt;'6.Inland wetlands'!N83,0, 'Inl. wetlands'!I272*44/12*('6.Inland wetlands'!N94-'6.Inland wetlands'!N83)))</f>
        <v>0</v>
      </c>
      <c r="W272" s="4323">
        <f>IF('6.Inland wetlands'!P83=0, 'Inl. wetlands'!I272*44/12*'6.Inland wetlands'!P94, IF('6.Inland wetlands'!P94&lt;'6.Inland wetlands'!P83,0, 'Inl. wetlands'!I272*44/12*('6.Inland wetlands'!P94-'6.Inland wetlands'!P83)))</f>
        <v>0</v>
      </c>
      <c r="X272" s="4323">
        <f>IF('6.Inland wetlands'!M94=0,0, 'Inl. wetlands'!$K272/1000*methane*'6.Inland wetlands'!M94*'6.Inland wetlands'!$W94)</f>
        <v>0</v>
      </c>
      <c r="Y272" s="4323">
        <f>IF('6.Inland wetlands'!N83=0,'Inl. wetlands'!$K272*methane/1000*'6.Inland wetlands'!N94*('6.Inland wetlands'!X94),IF('6.Inland wetlands'!N94&lt;'6.Inland wetlands'!N83,0, 'Inl. wetlands'!$K272*methane/1000*('6.Inland wetlands'!N94-'6.Inland wetlands'!N83)*('6.Inland wetlands'!X94)))</f>
        <v>0</v>
      </c>
      <c r="Z272" s="4323">
        <f>IF('6.Inland wetlands'!P83=0,'Inl. wetlands'!$K272*methane/1000*'6.Inland wetlands'!P94*('6.Inland wetlands'!Y94),IF('6.Inland wetlands'!P94&lt;'6.Inland wetlands'!P83,0, 'Inl. wetlands'!$K272*methane/1000*('6.Inland wetlands'!P94-'6.Inland wetlands'!P83)*('6.Inland wetlands'!Y94)))</f>
        <v>0</v>
      </c>
      <c r="AB272" s="3468">
        <f>MIN('Inl. wetlands'!L272,'Inl. wetlands'!M272)*time_tot+ABS('Inl. wetlands'!M272-'Inl. wetlands'!L272)*IF('Inl. wetlands'!M272&gt;'Inl. wetlands'!L272,time_cap+time*(VLOOKUP('6.Inland wetlands'!O94,list!$I$48:$K$50,3,0)),time*(1-(VLOOKUP('6.Inland wetlands'!O94,list!$I$48:$K$50,3,0))))+MIN('Inl. wetlands'!U272,'Inl. wetlands'!V272)*time_tot+ABS('Inl. wetlands'!V272-'Inl. wetlands'!U272)*IF('Inl. wetlands'!V272&gt;'Inl. wetlands'!U272,time_cap+time*(VLOOKUP('6.Inland wetlands'!O94,list!$I$48:$K$50,3,0)),time*(1-(VLOOKUP('6.Inland wetlands'!O94,list!$I$48:$K$50,3,0))))</f>
        <v>0</v>
      </c>
      <c r="AC272" s="3468">
        <f>MIN('Inl. wetlands'!L272,'Inl. wetlands'!N272)*time_tot+ABS('Inl. wetlands'!N272-'Inl. wetlands'!L272)*IF('Inl. wetlands'!N272&gt;'Inl. wetlands'!L272,time_cap+time*(VLOOKUP('6.Inland wetlands'!Q94,list!$I$48:$K$50,3,0)),time*(1-(VLOOKUP('6.Inland wetlands'!Q94,list!$I$48:$K$50,3,0))))+MIN('Inl. wetlands'!U272,'Inl. wetlands'!W272)*time_tot+ABS('Inl. wetlands'!W272-'Inl. wetlands'!U272)*IF('Inl. wetlands'!W272&gt;'Inl. wetlands'!U272,time_cap+time*(VLOOKUP('6.Inland wetlands'!Q94,list!$I$48:$K$50,3,0)),time*(1-(VLOOKUP('6.Inland wetlands'!Q94,list!$I$48:$K$50,3,0))))</f>
        <v>0</v>
      </c>
      <c r="AD272" s="1151">
        <f>MIN('Inl. wetlands'!O272,'Inl. wetlands'!P272)*time_tot+ABS('Inl. wetlands'!P272-'Inl. wetlands'!O272)*IF('Inl. wetlands'!P272&gt;'Inl. wetlands'!O272,time_cap+time*(VLOOKUP('6.Inland wetlands'!O94,list!$I$48:$K$50,3,0)),time*(1-(VLOOKUP('6.Inland wetlands'!O94,list!$I$48:$K$50,3,0))))+MIN('Inl. wetlands'!X272,'Inl. wetlands'!Y272)*time_tot+ABS('Inl. wetlands'!Y272-'Inl. wetlands'!X272)*IF('Inl. wetlands'!Y272&gt;'Inl. wetlands'!X272,time_cap+time*(VLOOKUP('6.Inland wetlands'!O94,list!$I$48:$K$50,3,0)),time*(1-(VLOOKUP('6.Inland wetlands'!O94,list!$I$48:$K$50,3,0))))</f>
        <v>0</v>
      </c>
      <c r="AE272" s="1151">
        <f>MIN('Inl. wetlands'!O272,'Inl. wetlands'!Q272)*time_tot+ABS('Inl. wetlands'!Q272-'Inl. wetlands'!O272)*IF('Inl. wetlands'!Q272&gt;'Inl. wetlands'!O272,time_cap+time*(VLOOKUP('6.Inland wetlands'!Q94,list!$I$48:$K$50,3,0)),time*(1-(VLOOKUP('6.Inland wetlands'!Q94,list!$I$48:$K$50,3,0))))+MIN('Inl. wetlands'!X272,'Inl. wetlands'!Z272)*time_tot+ABS('Inl. wetlands'!Z272-'Inl. wetlands'!X272)*IF('Inl. wetlands'!Z272&gt;'Inl. wetlands'!X272,time_cap+time*(VLOOKUP('6.Inland wetlands'!Q94,list!$I$48:$K$50,3,0)),time*(1-(VLOOKUP('6.Inland wetlands'!Q94,list!$I$48:$K$50,3,0))))</f>
        <v>0</v>
      </c>
      <c r="AF272" s="1151">
        <f>MIN('Inl. wetlands'!R272,'Inl. wetlands'!S272)*time_tot+ABS('Inl. wetlands'!S272-'Inl. wetlands'!R272)*IF('Inl. wetlands'!S272&gt;'Inl. wetlands'!R272,time_cap+time*(VLOOKUP('6.Inland wetlands'!O94,list!$I$48:$K$50,3,0)),time*(1-(VLOOKUP('6.Inland wetlands'!O94,list!$I$48:$K$50,3,0))))</f>
        <v>0</v>
      </c>
      <c r="AG272" s="1151">
        <f>MIN('Inl. wetlands'!R272,'Inl. wetlands'!T272)*time_tot+ABS('Inl. wetlands'!T272-'Inl. wetlands'!R272)*IF('Inl. wetlands'!T272&gt;'Inl. wetlands'!R272,time_cap+time*(VLOOKUP('6.Inland wetlands'!Q94,list!$I$48:$K$50,3,0)),time*(1-(VLOOKUP('6.Inland wetlands'!Q94,list!$I$48:$K$50,3,0))))</f>
        <v>0</v>
      </c>
      <c r="AX272" s="1449">
        <f>$M272*time*(VLOOKUP($G258,list!$J$48:$K$50,2,0))</f>
        <v>0</v>
      </c>
      <c r="AY272" s="1449">
        <f>$N272*time*(VLOOKUP($K258,list!$J$48:$K$50,2,0))</f>
        <v>0</v>
      </c>
      <c r="AZ272" s="1449">
        <f>$P272*time*(VLOOKUP($G258,list!$J$48:$K$50,2,0))</f>
        <v>0</v>
      </c>
      <c r="BA272" s="1449">
        <f>$Q272*time*(VLOOKUP($K258,list!$J$48:$K$50,2,0))</f>
        <v>0</v>
      </c>
      <c r="BB272" s="1449">
        <f>$S272*time*(VLOOKUP($G258,list!$J$48:$K$50,2,0))</f>
        <v>0</v>
      </c>
      <c r="BC272" s="1449">
        <f>$T272*time*(VLOOKUP($K258,list!$J$48:$K$50,2,0))</f>
        <v>0</v>
      </c>
      <c r="BD272" s="1449">
        <f>$V272*time*(VLOOKUP($G258,list!$J$48:$K$50,2,0))</f>
        <v>0</v>
      </c>
      <c r="BE272" s="1449">
        <f>$W272*time*(VLOOKUP($K258,list!$J$48:$K$50,2,0))</f>
        <v>0</v>
      </c>
      <c r="BF272" s="1449">
        <f>$Y272*time*(VLOOKUP($G258,list!$J$48:$K$50,2,0))</f>
        <v>0</v>
      </c>
      <c r="BG272" s="1449">
        <f>$Z272*time*(VLOOKUP($K258,list!$J$48:$K$50,2,0))</f>
        <v>0</v>
      </c>
    </row>
    <row r="273" spans="1:59" ht="16" x14ac:dyDescent="0.2">
      <c r="A273" s="1264" t="s">
        <v>1164</v>
      </c>
      <c r="B273" s="1235">
        <f>IFERROR(IF(AND(OR($C259="Other land",$C259="Degraded land"),$D$249=list!$J$210),INDEX(IPCC!$A$1762:$J$1773,MATCH(clim_moist,IPCC!$A$1762:$A$1773,0),MATCH($C259,IPCC!$A$1762:$J$1762,0)),IF(AND(OR($C259="Other land",$C259="Degraded land"),$D$249=list!$J$211),INDEX(IPCC!$A$1781:$J$1792,MATCH(clim_moist,IPCC!$A$1781:$A$1792,0),MATCH($C259,IPCC!$A$1781:$J$1781,0)),IF($D$249=list!$J$210,INDEX(IPCC!$A$1762:$J$1773,MATCH(clim_moist,IPCC!$A$1781:$A$1792,0),MATCH($C259,IPCC!$A$1781:$J$1781,0)),IF($D$249=list!$J$211,INDEX(IPCC!$A$1781:$J$1792,MATCH(clim_moist,IPCC!$A$1781:$A$1792,0),MATCH($C259,IPCC!$A$1781:$J$1781,0)))))),0)</f>
        <v>0</v>
      </c>
      <c r="C273" s="1280">
        <f>IF('6.Inland wetlands'!$CG84="",'6.Inland wetlands'!$CF84,'6.Inland wetlands'!$CG84)</f>
        <v>0</v>
      </c>
      <c r="D273" s="1235">
        <f>IFERROR(IF(AND(OR($C259="Other land",$C259="Degraded land"),$D$249=list!$J$210),INDEX(IPCC!$A$1818:$J$1829,MATCH(clim_moist,IPCC!$A$1818:$A$1829,0),MATCH($C259,IPCC!$A$1818:$J$1818,0)),IF(AND(OR($C259="Other land",$C259="Degraded land"),$D$249=list!$J$211),INDEX(IPCC!$A$1836:$J$1847,MATCH(clim_moist,IPCC!$A$1836:$A$1847,0),MATCH($C259,IPCC!$A$1836:$J$1836,0)),IF($D$249=list!$J$210,INDEX(IPCC!$A$1818:$J$1829,MATCH(clim_moist,IPCC!$A$1818:$A$1829,0),MATCH($C259,IPCC!$A$1818:$J$1818,0)),IF($D$249=list!$J$211,INDEX(IPCC!$A$1836:$J$1847,MATCH(clim_moist,IPCC!$A$1836:$A$1847,0),MATCH($C259,IPCC!$A$1836:$J$1836,0)))))),0)</f>
        <v>0</v>
      </c>
      <c r="E273" s="1280">
        <f>IF('6.Inland wetlands'!$CI84="",'6.Inland wetlands'!$CH84,'6.Inland wetlands'!$CI84)</f>
        <v>0</v>
      </c>
      <c r="F273" s="1235">
        <f>IFERROR(IF(AND(OR($C259="Other land",$C259="Degraded land"),$D$249=list!$J$210),INDEX(IPCC!$A$1872:$J$1883,MATCH(clim_moist,IPCC!$A$1872:$A$1883,0),MATCH($C259,IPCC!$A$1872:$J$1872,0)),IF(AND(OR($C259="Other land",$C259="Degraded land"),$D$249=list!$J$211),INDEX(IPCC!$A$1890:$J$1901,MATCH(clim_moist,IPCC!$A$1890:$A$1901,0),MATCH($C259,IPCC!$A$1890:$J$1890,0)),IF($D$249=list!$J$210,INDEX(IPCC!$A$1872:$J$1883,MATCH(clim_moist,IPCC!$A$1872:$A$1883,0),MATCH($C259,IPCC!$A$1872:$J$1872,0)),IF($D$249=list!$J$211,INDEX(IPCC!$A$1890:$J$1901,MATCH(clim_moist,IPCC!$A$1890:$A$1901,0),MATCH($C259,IPCC!$A$1890:$J$1890,0)))))),0)</f>
        <v>0</v>
      </c>
      <c r="G273" s="1280">
        <f>IF('6.Inland wetlands'!$CK84="",'6.Inland wetlands'!$CJ84,'6.Inland wetlands'!$CK84)</f>
        <v>0</v>
      </c>
      <c r="H273" s="1235">
        <f>IFERROR(IF(AND(OR($C259="Other land",$C259="Degraded land"),$D$249=list!$J$210),INDEX(IPCC!$A$1800:$J$1811,MATCH(clim_moist,IPCC!$A$1800:$A$1811,0),MATCH($C259,IPCC!$A$1800:$J$1800,0)),IF(AND(OR($C259="Other land",$C259="Degraded land"),$D$249=list!$J$211),INDEX(IPCC!$A$1800:$J$1811,MATCH(clim_moist,IPCC!$A$1800:$A$1811,0),MATCH('Inl. wetlands'!$C259,IPCC!$A$1800:$J$1800,0)),IF($D$249=list!$J$210,INDEX(IPCC!$A$1800:$J$1811,MATCH(clim_moist,IPCC!$A$1800:$A$1811,0),MATCH($C259,IPCC!$A$1800:$J$1800,0)),IF($D$249=list!$J$211,INDEX(IPCC!$A$1800:$J$1811,MATCH(clim_moist,IPCC!$A$1800:$A$1811,0),MATCH($C259,IPCC!$A$1800:$J$1800,0)))))),0)</f>
        <v>0</v>
      </c>
      <c r="I273" s="1162">
        <f>IF('6.Inland wetlands'!$CN84="",'6.Inland wetlands'!$CM84,'6.Inland wetlands'!$CN84)</f>
        <v>0</v>
      </c>
      <c r="J273" s="1111">
        <f>IFERROR(IF(AND(OR($C259="Other land",$C259="Degraded land"),$D$249=list!$J$210),INDEX(IPCC!$A$1854:$J$1865,MATCH(clim_moist,IPCC!$A$1854:$A$1865,0),MATCH('Inl. wetlands'!$C259,IPCC!$A$1854:$J$1854,0)),IF(AND(OR($C259="Other land",$C259="Degraded land"),$D$249=list!$J$211),INDEX(IPCC!$A$1854:$J$1865,MATCH(clim_moist,IPCC!$A$1854:A$1865,0),MATCH('Inl. wetlands'!$C259,IPCC!$A$1854:$J$1854,0)),IF($D$249=list!$J$210,INDEX(IPCC!$A$1854:$J$1865,MATCH(clim_moist,IPCC!$A$1854:$A$1865,0),MATCH('Inl. wetlands'!$C259,IPCC!$A$1854:$J$1854,0)),IF($D$249=list!$J$211,INDEX(IPCC!$A$1854:$J$1865,MATCH(clim_moist,IPCC!$A$1854:$A$1865,0),MATCH('Inl. wetlands'!$C259,IPCC!$A$1854:$J$1854,0)))))),0)</f>
        <v>0</v>
      </c>
      <c r="K273" s="1161">
        <f>IF('6.Inland wetlands'!$CP84="",'6.Inland wetlands'!$CO84,'6.Inland wetlands'!$CP84)</f>
        <v>0</v>
      </c>
      <c r="L273" s="1543">
        <f>IF('6.Inland wetlands'!M95=0, 0,'Inl. wetlands'!C273*44/12*'6.Inland wetlands'!M95)</f>
        <v>0</v>
      </c>
      <c r="M273" s="1543">
        <f>IF('6.Inland wetlands'!N84=0, 'Inl. wetlands'!C273*44/12*'6.Inland wetlands'!N95, IF('6.Inland wetlands'!N95&lt;'6.Inland wetlands'!N84,0, 'Inl. wetlands'!C273*44/12*('6.Inland wetlands'!N95-'6.Inland wetlands'!N84)))</f>
        <v>0</v>
      </c>
      <c r="N273" s="4323">
        <f>IF('6.Inland wetlands'!P84=0, 'Inl. wetlands'!C273*44/12*'6.Inland wetlands'!P95, IF('6.Inland wetlands'!P95&lt;'6.Inland wetlands'!P84,0, 'Inl. wetlands'!C273*44/12*('6.Inland wetlands'!P95-'6.Inland wetlands'!P84)))</f>
        <v>0</v>
      </c>
      <c r="O273" s="4323">
        <f>IF('6.Inland wetlands'!M95=0, 0,'Inl. wetlands'!$E273*methane/1000*'6.Inland wetlands'!M95*(1-'6.Inland wetlands'!W95))</f>
        <v>0</v>
      </c>
      <c r="P273" s="4323">
        <f>IF('6.Inland wetlands'!N84=0,'Inl. wetlands'!$E273*methane/1000*'6.Inland wetlands'!N95*(1-'6.Inland wetlands'!X95),IF('6.Inland wetlands'!N95&lt;'6.Inland wetlands'!N84,0, 'Inl. wetlands'!$E273*methane/1000*('6.Inland wetlands'!N95-'6.Inland wetlands'!N84)*(1-'6.Inland wetlands'!X95)))</f>
        <v>0</v>
      </c>
      <c r="Q273" s="4323">
        <f>IF('6.Inland wetlands'!P84=0,'Inl. wetlands'!$E273*methane/1000*'6.Inland wetlands'!P95*(1-'6.Inland wetlands'!Y95),IF('6.Inland wetlands'!P95&lt;'6.Inland wetlands'!P84,0, 'Inl. wetlands'!$E273*methane/1000*('6.Inland wetlands'!P95-'6.Inland wetlands'!P84)*(1-'6.Inland wetlands'!Y95)))</f>
        <v>0</v>
      </c>
      <c r="R273" s="4323">
        <f>IF('6.Inland wetlands'!M95=0, 0, 'Inl. wetlands'!$G273*'6.Inland wetlands'!M95*44/28*Nitrous/1000)</f>
        <v>0</v>
      </c>
      <c r="S273" s="4323">
        <f>IF('6.Inland wetlands'!N84=0, 'Inl. wetlands'!$G273*'6.Inland wetlands'!N95*44/28*Nitrous/1000, IF('6.Inland wetlands'!N95&lt;'6.Inland wetlands'!N84,0, 'Inl. wetlands'!$G273*('6.Inland wetlands'!N95-'6.Inland wetlands'!N84)*44/28*Nitrous/1000))</f>
        <v>0</v>
      </c>
      <c r="T273" s="4323">
        <f>IF('6.Inland wetlands'!P84=0, 'Inl. wetlands'!$G273*'6.Inland wetlands'!P95*44/28*Nitrous/1000, IF('6.Inland wetlands'!P95&lt;'6.Inland wetlands'!P84,0,'Inl. wetlands'!$G273*44/28*Nitrous/1000*('6.Inland wetlands'!P95-'6.Inland wetlands'!P84)))</f>
        <v>0</v>
      </c>
      <c r="U273" s="4323">
        <f>IF('6.Inland wetlands'!M95=0, 0, 'Inl. wetlands'!$I273*'6.Inland wetlands'!M95*44/12)</f>
        <v>0</v>
      </c>
      <c r="V273" s="4323">
        <f>IF('6.Inland wetlands'!N84=0, 'Inl. wetlands'!I273*44/12*'6.Inland wetlands'!N95, IF('6.Inland wetlands'!N95&lt;'6.Inland wetlands'!N84,0, 'Inl. wetlands'!I273*44/12*('6.Inland wetlands'!N95-'6.Inland wetlands'!N84)))</f>
        <v>0</v>
      </c>
      <c r="W273" s="4323">
        <f>IF('6.Inland wetlands'!P84=0, 'Inl. wetlands'!I273*44/12*'6.Inland wetlands'!P95, IF('6.Inland wetlands'!P95&lt;'6.Inland wetlands'!P84,0, 'Inl. wetlands'!I273*44/12*('6.Inland wetlands'!P95-'6.Inland wetlands'!P84)))</f>
        <v>0</v>
      </c>
      <c r="X273" s="4323">
        <f>IF('6.Inland wetlands'!M95=0,0, 'Inl. wetlands'!$K273/1000*methane*'6.Inland wetlands'!M95*'6.Inland wetlands'!$W95)</f>
        <v>0</v>
      </c>
      <c r="Y273" s="4323">
        <f>IF('6.Inland wetlands'!N84=0,'Inl. wetlands'!$K273*methane/1000*'6.Inland wetlands'!N95*('6.Inland wetlands'!X95),IF('6.Inland wetlands'!N95&lt;'6.Inland wetlands'!N84,0, 'Inl. wetlands'!$K273*methane/1000*('6.Inland wetlands'!N95-'6.Inland wetlands'!N84)*('6.Inland wetlands'!X95)))</f>
        <v>0</v>
      </c>
      <c r="Z273" s="4323">
        <f>IF('6.Inland wetlands'!P84=0,'Inl. wetlands'!$K273*methane/1000*'6.Inland wetlands'!P95*('6.Inland wetlands'!Y95),IF('6.Inland wetlands'!P95&lt;'6.Inland wetlands'!P84,0, 'Inl. wetlands'!$K273*methane/1000*('6.Inland wetlands'!P95-'6.Inland wetlands'!P84)*('6.Inland wetlands'!Y95)))</f>
        <v>0</v>
      </c>
      <c r="AB273" s="3468">
        <f>MIN('Inl. wetlands'!L273,'Inl. wetlands'!M273)*time_tot+ABS('Inl. wetlands'!M273-'Inl. wetlands'!L273)*IF('Inl. wetlands'!M273&gt;'Inl. wetlands'!L273,time_cap+time*(VLOOKUP('6.Inland wetlands'!O95,list!$I$48:$K$50,3,0)),time*(1-(VLOOKUP('6.Inland wetlands'!O95,list!$I$48:$K$50,3,0))))+MIN('Inl. wetlands'!U273,'Inl. wetlands'!V273)*time_tot+ABS('Inl. wetlands'!V273-'Inl. wetlands'!U273)*IF('Inl. wetlands'!V273&gt;'Inl. wetlands'!U273,time_cap+time*(VLOOKUP('6.Inland wetlands'!O95,list!$I$48:$K$50,3,0)),time*(1-(VLOOKUP('6.Inland wetlands'!O95,list!$I$48:$K$50,3,0))))</f>
        <v>0</v>
      </c>
      <c r="AC273" s="3468">
        <f>MIN('Inl. wetlands'!L273,'Inl. wetlands'!N273)*time_tot+ABS('Inl. wetlands'!N273-'Inl. wetlands'!L273)*IF('Inl. wetlands'!N273&gt;'Inl. wetlands'!L273,time_cap+time*(VLOOKUP('6.Inland wetlands'!Q95,list!$I$48:$K$50,3,0)),time*(1-(VLOOKUP('6.Inland wetlands'!Q95,list!$I$48:$K$50,3,0))))+MIN('Inl. wetlands'!U273,'Inl. wetlands'!W273)*time_tot+ABS('Inl. wetlands'!W273-'Inl. wetlands'!U273)*IF('Inl. wetlands'!W273&gt;'Inl. wetlands'!U273,time_cap+time*(VLOOKUP('6.Inland wetlands'!Q95,list!$I$48:$K$50,3,0)),time*(1-(VLOOKUP('6.Inland wetlands'!Q95,list!$I$48:$K$50,3,0))))</f>
        <v>0</v>
      </c>
      <c r="AD273" s="1151">
        <f>MIN('Inl. wetlands'!O273,'Inl. wetlands'!P273)*time_tot+ABS('Inl. wetlands'!P273-'Inl. wetlands'!O273)*IF('Inl. wetlands'!P273&gt;'Inl. wetlands'!O273,time_cap+time*(VLOOKUP('6.Inland wetlands'!O95,list!$I$48:$K$50,3,0)),time*(1-(VLOOKUP('6.Inland wetlands'!O95,list!$I$48:$K$50,3,0))))+MIN('Inl. wetlands'!X273,'Inl. wetlands'!Y273)*time_tot+ABS('Inl. wetlands'!Y273-'Inl. wetlands'!X273)*IF('Inl. wetlands'!Y273&gt;'Inl. wetlands'!X273,time_cap+time*(VLOOKUP('6.Inland wetlands'!O95,list!$I$48:$K$50,3,0)),time*(1-(VLOOKUP('6.Inland wetlands'!O95,list!$I$48:$K$50,3,0))))</f>
        <v>0</v>
      </c>
      <c r="AE273" s="1151">
        <f>MIN('Inl. wetlands'!O273,'Inl. wetlands'!Q273)*time_tot+ABS('Inl. wetlands'!Q273-'Inl. wetlands'!O273)*IF('Inl. wetlands'!Q273&gt;'Inl. wetlands'!O273,time_cap+time*(VLOOKUP('6.Inland wetlands'!Q95,list!$I$48:$K$50,3,0)),time*(1-(VLOOKUP('6.Inland wetlands'!Q95,list!$I$48:$K$50,3,0))))+MIN('Inl. wetlands'!X273,'Inl. wetlands'!Z273)*time_tot+ABS('Inl. wetlands'!Z273-'Inl. wetlands'!X273)*IF('Inl. wetlands'!Z273&gt;'Inl. wetlands'!X273,time_cap+time*(VLOOKUP('6.Inland wetlands'!Q95,list!$I$48:$K$50,3,0)),time*(1-(VLOOKUP('6.Inland wetlands'!Q95,list!$I$48:$K$50,3,0))))</f>
        <v>0</v>
      </c>
      <c r="AF273" s="1151">
        <f>MIN('Inl. wetlands'!R273,'Inl. wetlands'!S273)*time_tot+ABS('Inl. wetlands'!S273-'Inl. wetlands'!R273)*IF('Inl. wetlands'!S273&gt;'Inl. wetlands'!R273,time_cap+time*(VLOOKUP('6.Inland wetlands'!O95,list!$I$48:$K$50,3,0)),time*(1-(VLOOKUP('6.Inland wetlands'!O95,list!$I$48:$K$50,3,0))))</f>
        <v>0</v>
      </c>
      <c r="AG273" s="1151">
        <f>MIN('Inl. wetlands'!R273,'Inl. wetlands'!T273)*time_tot+ABS('Inl. wetlands'!T273-'Inl. wetlands'!R273)*IF('Inl. wetlands'!T273&gt;'Inl. wetlands'!R273,time_cap+time*(VLOOKUP('6.Inland wetlands'!Q95,list!$I$48:$K$50,3,0)),time*(1-(VLOOKUP('6.Inland wetlands'!Q95,list!$I$48:$K$50,3,0))))</f>
        <v>0</v>
      </c>
      <c r="AI273" s="1270" t="s">
        <v>1115</v>
      </c>
      <c r="AJ273" s="1116"/>
      <c r="AK273" s="1116"/>
      <c r="AX273" s="1449">
        <f>$M273*time*(VLOOKUP($G259,list!$J$48:$K$50,2,0))</f>
        <v>0</v>
      </c>
      <c r="AY273" s="1449">
        <f>$N273*time*(VLOOKUP($K259,list!$J$48:$K$50,2,0))</f>
        <v>0</v>
      </c>
      <c r="AZ273" s="1449">
        <f>$P273*time*(VLOOKUP($G259,list!$J$48:$K$50,2,0))</f>
        <v>0</v>
      </c>
      <c r="BA273" s="1449">
        <f>$Q273*time*(VLOOKUP($K259,list!$J$48:$K$50,2,0))</f>
        <v>0</v>
      </c>
      <c r="BB273" s="1449">
        <f>$S273*time*(VLOOKUP($G259,list!$J$48:$K$50,2,0))</f>
        <v>0</v>
      </c>
      <c r="BC273" s="1449">
        <f>$T273*time*(VLOOKUP($K259,list!$J$48:$K$50,2,0))</f>
        <v>0</v>
      </c>
      <c r="BD273" s="1449">
        <f>$V273*time*(VLOOKUP($G259,list!$J$48:$K$50,2,0))</f>
        <v>0</v>
      </c>
      <c r="BE273" s="1449">
        <f>$W273*time*(VLOOKUP($K259,list!$J$48:$K$50,2,0))</f>
        <v>0</v>
      </c>
      <c r="BF273" s="1449">
        <f>$Y273*time*(VLOOKUP($G259,list!$J$48:$K$50,2,0))</f>
        <v>0</v>
      </c>
      <c r="BG273" s="1449">
        <f>$Z273*time*(VLOOKUP($K259,list!$J$48:$K$50,2,0))</f>
        <v>0</v>
      </c>
    </row>
    <row r="274" spans="1:59" ht="16" x14ac:dyDescent="0.2">
      <c r="A274" s="1264" t="s">
        <v>1165</v>
      </c>
      <c r="B274" s="1235">
        <f>IFERROR(IF(AND(OR($C260="Other land",$C260="Degraded land"),$D$249=list!$J$210),INDEX(IPCC!$A$1762:$J$1773,MATCH(clim_moist,IPCC!$A$1762:$A$1773,0),MATCH($C260,IPCC!$A$1762:$J$1762,0)),IF(AND(OR($C260="Other land",$C260="Degraded land"),$D$249=list!$J$211),INDEX(IPCC!$A$1781:$J$1792,MATCH(clim_moist,IPCC!$A$1781:$A$1792,0),MATCH($C260,IPCC!$A$1781:$J$1781,0)),IF($D$249=list!$J$210,INDEX(IPCC!$A$1762:$J$1773,MATCH(clim_moist,IPCC!$A$1781:$A$1792,0),MATCH($C260,IPCC!$A$1781:$J$1781,0)),IF($D$249=list!$J$211,INDEX(IPCC!$A$1781:$J$1792,MATCH(clim_moist,IPCC!$A$1781:$A$1792,0),MATCH($C260,IPCC!$A$1781:$J$1781,0)))))),0)</f>
        <v>0</v>
      </c>
      <c r="C274" s="1280">
        <f>IF('6.Inland wetlands'!$CG85="",'6.Inland wetlands'!$CF85,'6.Inland wetlands'!$CG85)</f>
        <v>0</v>
      </c>
      <c r="D274" s="1235">
        <f>IFERROR(IF(AND(OR($C260="Other land",$C260="Degraded land"),$D$249=list!$J$210),INDEX(IPCC!$A$1818:$J$1829,MATCH(clim_moist,IPCC!$A$1818:$A$1829,0),MATCH($C260,IPCC!$A$1818:$J$1818,0)),IF(AND(OR($C260="Other land",$C260="Degraded land"),$D$249=list!$J$211),INDEX(IPCC!$A$1836:$J$1847,MATCH(clim_moist,IPCC!$A$1836:$A$1847,0),MATCH($C260,IPCC!$A$1836:$J$1836,0)),IF($D$249=list!$J$210,INDEX(IPCC!$A$1818:$J$1829,MATCH(clim_moist,IPCC!$A$1818:$A$1829,0),MATCH($C260,IPCC!$A$1818:$J$1818,0)),IF($D$249=list!$J$211,INDEX(IPCC!$A$1836:$J$1847,MATCH(clim_moist,IPCC!$A$1836:$A$1847,0),MATCH($C260,IPCC!$A$1836:$J$1836,0)))))),0)</f>
        <v>0</v>
      </c>
      <c r="E274" s="1280">
        <f>IF('6.Inland wetlands'!$CI85="",'6.Inland wetlands'!$CH85,'6.Inland wetlands'!$CI85)</f>
        <v>0</v>
      </c>
      <c r="F274" s="1235">
        <f>IFERROR(IF(AND(OR($C260="Other land",$C260="Degraded land"),$D$249=list!$J$210),INDEX(IPCC!$A$1872:$J$1883,MATCH(clim_moist,IPCC!$A$1872:$A$1883,0),MATCH($C260,IPCC!$A$1872:$J$1872,0)),IF(AND(OR($C260="Other land",$C260="Degraded land"),$D$249=list!$J$211),INDEX(IPCC!$A$1890:$J$1901,MATCH(clim_moist,IPCC!$A$1890:$A$1901,0),MATCH($C260,IPCC!$A$1890:$J$1890,0)),IF($D$249=list!$J$210,INDEX(IPCC!$A$1872:$J$1883,MATCH(clim_moist,IPCC!$A$1872:$A$1883,0),MATCH($C260,IPCC!$A$1872:$J$1872,0)),IF($D$249=list!$J$211,INDEX(IPCC!$A$1890:$J$1901,MATCH(clim_moist,IPCC!$A$1890:$A$1901,0),MATCH($C260,IPCC!$A$1890:$J$1890,0)))))),0)</f>
        <v>0</v>
      </c>
      <c r="G274" s="1280">
        <f>IF('6.Inland wetlands'!$CK85="",'6.Inland wetlands'!$CJ85,'6.Inland wetlands'!$CK85)</f>
        <v>0</v>
      </c>
      <c r="H274" s="1235">
        <f>IFERROR(IF(AND(OR($C260="Other land",$C260="Degraded land"),$D$249=list!$J$210),INDEX(IPCC!$A$1800:$J$1811,MATCH(clim_moist,IPCC!$A$1800:$A$1811,0),MATCH($C260,IPCC!$A$1800:$J$1800,0)),IF(AND(OR($C260="Other land",$C260="Degraded land"),$D$249=list!$J$211),INDEX(IPCC!$A$1800:$J$1811,MATCH(clim_moist,IPCC!$A$1800:$A$1811,0),MATCH('Inl. wetlands'!$C260,IPCC!$A$1800:$J$1800,0)),IF($D$249=list!$J$210,INDEX(IPCC!$A$1800:$J$1811,MATCH(clim_moist,IPCC!$A$1800:$A$1811,0),MATCH($C260,IPCC!$A$1800:$J$1800,0)),IF($D$249=list!$J$211,INDEX(IPCC!$A$1800:$J$1811,MATCH(clim_moist,IPCC!$A$1800:$A$1811,0),MATCH($C260,IPCC!$A$1800:$J$1800,0)))))),0)</f>
        <v>0</v>
      </c>
      <c r="I274" s="1162">
        <f>IF('6.Inland wetlands'!$CN85="",'6.Inland wetlands'!$CM85,'6.Inland wetlands'!$CN85)</f>
        <v>0</v>
      </c>
      <c r="J274" s="1111">
        <f>IFERROR(IF(AND(OR($C260="Other land",$C260="Degraded land"),$D$249=list!$J$210),INDEX(IPCC!$A$1854:$J$1865,MATCH(clim_moist,IPCC!$A$1854:$A$1865,0),MATCH('Inl. wetlands'!$C260,IPCC!$A$1854:$J$1854,0)),IF(AND(OR($C260="Other land",$C260="Degraded land"),$D$249=list!$J$211),INDEX(IPCC!$A$1854:$J$1865,MATCH(clim_moist,IPCC!$A$1854:A$1865,0),MATCH('Inl. wetlands'!$C260,IPCC!$A$1854:$J$1854,0)),IF($D$249=list!$J$210,INDEX(IPCC!$A$1854:$J$1865,MATCH(clim_moist,IPCC!$A$1854:$A$1865,0),MATCH('Inl. wetlands'!$C260,IPCC!$A$1854:$J$1854,0)),IF($D$249=list!$J$211,INDEX(IPCC!$A$1854:$J$1865,MATCH(clim_moist,IPCC!$A$1854:$A$1865,0),MATCH('Inl. wetlands'!$C260,IPCC!$A$1854:$J$1854,0)))))),0)</f>
        <v>0</v>
      </c>
      <c r="K274" s="1161">
        <f>IF('6.Inland wetlands'!$CP85="",'6.Inland wetlands'!$CO85,'6.Inland wetlands'!$CP85)</f>
        <v>0</v>
      </c>
      <c r="L274" s="1543">
        <f>IF('6.Inland wetlands'!M96=0, 0,'Inl. wetlands'!C274*44/12*'6.Inland wetlands'!M96)</f>
        <v>0</v>
      </c>
      <c r="M274" s="1543">
        <f>IF('6.Inland wetlands'!N85=0, 'Inl. wetlands'!C274*44/12*'6.Inland wetlands'!N96, IF('6.Inland wetlands'!N96&lt;'6.Inland wetlands'!N85,0, 'Inl. wetlands'!C274*44/12*('6.Inland wetlands'!N96-'6.Inland wetlands'!N85)))</f>
        <v>0</v>
      </c>
      <c r="N274" s="4323">
        <f>IF('6.Inland wetlands'!P85=0, 'Inl. wetlands'!C274*44/12*'6.Inland wetlands'!P96, IF('6.Inland wetlands'!P96&lt;'6.Inland wetlands'!P85,0, 'Inl. wetlands'!C274*44/12*('6.Inland wetlands'!P96-'6.Inland wetlands'!P85)))</f>
        <v>0</v>
      </c>
      <c r="O274" s="4323">
        <f>IF('6.Inland wetlands'!M96=0, 0,'Inl. wetlands'!$E274*methane/1000*'6.Inland wetlands'!M96*(1-'6.Inland wetlands'!W96))</f>
        <v>0</v>
      </c>
      <c r="P274" s="4323">
        <f>IF('6.Inland wetlands'!N85=0,'Inl. wetlands'!$E274*methane/1000*'6.Inland wetlands'!N96*(1-'6.Inland wetlands'!X96),IF('6.Inland wetlands'!N96&lt;'6.Inland wetlands'!N85,0, 'Inl. wetlands'!$E274*methane/1000*('6.Inland wetlands'!N96-'6.Inland wetlands'!N85)*(1-'6.Inland wetlands'!X96)))</f>
        <v>0</v>
      </c>
      <c r="Q274" s="4323">
        <f>IF('6.Inland wetlands'!P85=0,'Inl. wetlands'!$E274*methane/1000*'6.Inland wetlands'!P96*(1-'6.Inland wetlands'!Y96),IF('6.Inland wetlands'!P96&lt;'6.Inland wetlands'!P85,0, 'Inl. wetlands'!$E274*methane/1000*('6.Inland wetlands'!P96-'6.Inland wetlands'!P85)*(1-'6.Inland wetlands'!Y96)))</f>
        <v>0</v>
      </c>
      <c r="R274" s="4323">
        <f>IF('6.Inland wetlands'!M96=0, 0, 'Inl. wetlands'!$G274*'6.Inland wetlands'!M96*44/28*Nitrous/1000)</f>
        <v>0</v>
      </c>
      <c r="S274" s="4323">
        <f>IF('6.Inland wetlands'!N85=0, 'Inl. wetlands'!$G274*'6.Inland wetlands'!N96*44/28*Nitrous/1000, IF('6.Inland wetlands'!N96&lt;'6.Inland wetlands'!N85,0, 'Inl. wetlands'!$G274*('6.Inland wetlands'!N96-'6.Inland wetlands'!N85)*44/28*Nitrous/1000))</f>
        <v>0</v>
      </c>
      <c r="T274" s="4323">
        <f>IF('6.Inland wetlands'!P85=0, 'Inl. wetlands'!$G274*'6.Inland wetlands'!P96*44/28*Nitrous/1000, IF('6.Inland wetlands'!P96&lt;'6.Inland wetlands'!P85,0,'Inl. wetlands'!$G274*44/28*Nitrous/1000*('6.Inland wetlands'!P96-'6.Inland wetlands'!P85)))</f>
        <v>0</v>
      </c>
      <c r="U274" s="4323">
        <f>IF('6.Inland wetlands'!M96=0, 0, 'Inl. wetlands'!$I274*'6.Inland wetlands'!M96*44/12)</f>
        <v>0</v>
      </c>
      <c r="V274" s="4323">
        <f>IF('6.Inland wetlands'!N85=0, 'Inl. wetlands'!I274*44/12*'6.Inland wetlands'!N96, IF('6.Inland wetlands'!N96&lt;'6.Inland wetlands'!N85,0, 'Inl. wetlands'!I274*44/12*('6.Inland wetlands'!N96-'6.Inland wetlands'!N85)))</f>
        <v>0</v>
      </c>
      <c r="W274" s="4323">
        <f>IF('6.Inland wetlands'!P85=0, 'Inl. wetlands'!I274*44/12*'6.Inland wetlands'!P96, IF('6.Inland wetlands'!P96&lt;'6.Inland wetlands'!P85,0, 'Inl. wetlands'!I274*44/12*('6.Inland wetlands'!P96-'6.Inland wetlands'!P85)))</f>
        <v>0</v>
      </c>
      <c r="X274" s="4323">
        <f>IF('6.Inland wetlands'!M96=0,0, 'Inl. wetlands'!$K274/1000*methane*'6.Inland wetlands'!M96*'6.Inland wetlands'!$W96)</f>
        <v>0</v>
      </c>
      <c r="Y274" s="4323">
        <f>IF('6.Inland wetlands'!N85=0,'Inl. wetlands'!$K274*methane/1000*'6.Inland wetlands'!N96*('6.Inland wetlands'!X96),IF('6.Inland wetlands'!N96&lt;'6.Inland wetlands'!N85,0, 'Inl. wetlands'!$K274*methane/1000*('6.Inland wetlands'!N96-'6.Inland wetlands'!N85)*('6.Inland wetlands'!X96)))</f>
        <v>0</v>
      </c>
      <c r="Z274" s="4323">
        <f>IF('6.Inland wetlands'!P85=0,'Inl. wetlands'!$K274*methane/1000*'6.Inland wetlands'!P96*('6.Inland wetlands'!Y96),IF('6.Inland wetlands'!P96&lt;'6.Inland wetlands'!P85,0, 'Inl. wetlands'!$K274*methane/1000*('6.Inland wetlands'!P96-'6.Inland wetlands'!P85)*('6.Inland wetlands'!Y96)))</f>
        <v>0</v>
      </c>
      <c r="AB274" s="3468">
        <f>MIN('Inl. wetlands'!L274,'Inl. wetlands'!M274)*time_tot+ABS('Inl. wetlands'!M274-'Inl. wetlands'!L274)*IF('Inl. wetlands'!M274&gt;'Inl. wetlands'!L274,time_cap+time*(VLOOKUP('6.Inland wetlands'!O96,list!$I$48:$K$50,3,0)),time*(1-(VLOOKUP('6.Inland wetlands'!O96,list!$I$48:$K$50,3,0))))+MIN('Inl. wetlands'!U274,'Inl. wetlands'!V274)*time_tot+ABS('Inl. wetlands'!V274-'Inl. wetlands'!U274)*IF('Inl. wetlands'!V274&gt;'Inl. wetlands'!U274,time_cap+time*(VLOOKUP('6.Inland wetlands'!O96,list!$I$48:$K$50,3,0)),time*(1-(VLOOKUP('6.Inland wetlands'!O96,list!$I$48:$K$50,3,0))))</f>
        <v>0</v>
      </c>
      <c r="AC274" s="3468">
        <f>MIN('Inl. wetlands'!L274,'Inl. wetlands'!N274)*time_tot+ABS('Inl. wetlands'!N274-'Inl. wetlands'!L274)*IF('Inl. wetlands'!N274&gt;'Inl. wetlands'!L274,time_cap+time*(VLOOKUP('6.Inland wetlands'!Q96,list!$I$48:$K$50,3,0)),time*(1-(VLOOKUP('6.Inland wetlands'!Q96,list!$I$48:$K$50,3,0))))+MIN('Inl. wetlands'!U274,'Inl. wetlands'!W274)*time_tot+ABS('Inl. wetlands'!W274-'Inl. wetlands'!U274)*IF('Inl. wetlands'!W274&gt;'Inl. wetlands'!U274,time_cap+time*(VLOOKUP('6.Inland wetlands'!Q96,list!$I$48:$K$50,3,0)),time*(1-(VLOOKUP('6.Inland wetlands'!Q96,list!$I$48:$K$50,3,0))))</f>
        <v>0</v>
      </c>
      <c r="AD274" s="1151">
        <f>MIN('Inl. wetlands'!O274,'Inl. wetlands'!P274)*time_tot+ABS('Inl. wetlands'!P274-'Inl. wetlands'!O274)*IF('Inl. wetlands'!P274&gt;'Inl. wetlands'!O274,time_cap+time*(VLOOKUP('6.Inland wetlands'!O96,list!$I$48:$K$50,3,0)),time*(1-(VLOOKUP('6.Inland wetlands'!O96,list!$I$48:$K$50,3,0))))+MIN('Inl. wetlands'!X274,'Inl. wetlands'!Y274)*time_tot+ABS('Inl. wetlands'!Y274-'Inl. wetlands'!X274)*IF('Inl. wetlands'!Y274&gt;'Inl. wetlands'!X274,time_cap+time*(VLOOKUP('6.Inland wetlands'!O96,list!$I$48:$K$50,3,0)),time*(1-(VLOOKUP('6.Inland wetlands'!O96,list!$I$48:$K$50,3,0))))</f>
        <v>0</v>
      </c>
      <c r="AE274" s="1151">
        <f>MIN('Inl. wetlands'!O274,'Inl. wetlands'!Q274)*time_tot+ABS('Inl. wetlands'!Q274-'Inl. wetlands'!O274)*IF('Inl. wetlands'!Q274&gt;'Inl. wetlands'!O274,time_cap+time*(VLOOKUP('6.Inland wetlands'!Q96,list!$I$48:$K$50,3,0)),time*(1-(VLOOKUP('6.Inland wetlands'!Q96,list!$I$48:$K$50,3,0))))+MIN('Inl. wetlands'!X274,'Inl. wetlands'!Z274)*time_tot+ABS('Inl. wetlands'!Z274-'Inl. wetlands'!X274)*IF('Inl. wetlands'!Z274&gt;'Inl. wetlands'!X274,time_cap+time*(VLOOKUP('6.Inland wetlands'!Q96,list!$I$48:$K$50,3,0)),time*(1-(VLOOKUP('6.Inland wetlands'!Q96,list!$I$48:$K$50,3,0))))</f>
        <v>0</v>
      </c>
      <c r="AF274" s="1151">
        <f>MIN('Inl. wetlands'!R274,'Inl. wetlands'!S274)*time_tot+ABS('Inl. wetlands'!S274-'Inl. wetlands'!R274)*IF('Inl. wetlands'!S274&gt;'Inl. wetlands'!R274,time_cap+time*(VLOOKUP('6.Inland wetlands'!O96,list!$I$48:$K$50,3,0)),time*(1-(VLOOKUP('6.Inland wetlands'!O96,list!$I$48:$K$50,3,0))))</f>
        <v>0</v>
      </c>
      <c r="AG274" s="1151">
        <f>MIN('Inl. wetlands'!R274,'Inl. wetlands'!T274)*time_tot+ABS('Inl. wetlands'!T274-'Inl. wetlands'!R274)*IF('Inl. wetlands'!T274&gt;'Inl. wetlands'!R274,time_cap+time*(VLOOKUP('6.Inland wetlands'!Q96,list!$I$48:$K$50,3,0)),time*(1-(VLOOKUP('6.Inland wetlands'!Q96,list!$I$48:$K$50,3,0))))</f>
        <v>0</v>
      </c>
      <c r="AI274" s="1270" t="s">
        <v>1121</v>
      </c>
      <c r="AJ274" s="1116"/>
      <c r="AK274" s="1116"/>
      <c r="AX274" s="1449">
        <f>$M274*time*(VLOOKUP($G260,list!$J$48:$K$50,2,0))</f>
        <v>0</v>
      </c>
      <c r="AY274" s="1449">
        <f>$N274*time*(VLOOKUP($K260,list!$J$48:$K$50,2,0))</f>
        <v>0</v>
      </c>
      <c r="AZ274" s="1449">
        <f>$P274*time*(VLOOKUP($G260,list!$J$48:$K$50,2,0))</f>
        <v>0</v>
      </c>
      <c r="BA274" s="1449">
        <f>$Q274*time*(VLOOKUP($K260,list!$J$48:$K$50,2,0))</f>
        <v>0</v>
      </c>
      <c r="BB274" s="1449">
        <f>$S274*time*(VLOOKUP($G260,list!$J$48:$K$50,2,0))</f>
        <v>0</v>
      </c>
      <c r="BC274" s="1449">
        <f>$T274*time*(VLOOKUP($K260,list!$J$48:$K$50,2,0))</f>
        <v>0</v>
      </c>
      <c r="BD274" s="1449">
        <f>$V274*time*(VLOOKUP($G260,list!$J$48:$K$50,2,0))</f>
        <v>0</v>
      </c>
      <c r="BE274" s="1449">
        <f>$W274*time*(VLOOKUP($K260,list!$J$48:$K$50,2,0))</f>
        <v>0</v>
      </c>
      <c r="BF274" s="1449">
        <f>$Y274*time*(VLOOKUP($G260,list!$J$48:$K$50,2,0))</f>
        <v>0</v>
      </c>
      <c r="BG274" s="1449">
        <f>$Z274*time*(VLOOKUP($K260,list!$J$48:$K$50,2,0))</f>
        <v>0</v>
      </c>
    </row>
    <row r="275" spans="1:59" ht="16" x14ac:dyDescent="0.2">
      <c r="N275" s="1057"/>
      <c r="O275" s="1230"/>
      <c r="AI275" s="1270" t="s">
        <v>1177</v>
      </c>
      <c r="AJ275" s="1116"/>
      <c r="AK275" s="1116"/>
    </row>
    <row r="276" spans="1:59" x14ac:dyDescent="0.15">
      <c r="A276" s="1264" t="s">
        <v>1178</v>
      </c>
      <c r="B276" s="1271" t="s">
        <v>1169</v>
      </c>
      <c r="C276" s="1271"/>
      <c r="D276" s="1271"/>
      <c r="E276" s="1271"/>
      <c r="F276" s="1271"/>
      <c r="G276" s="1271"/>
      <c r="H276" s="1273" t="s">
        <v>1170</v>
      </c>
      <c r="I276" s="1273"/>
      <c r="J276" s="1273"/>
      <c r="K276" s="1273"/>
      <c r="L276" s="1271" t="s">
        <v>1219</v>
      </c>
      <c r="M276" s="1264"/>
      <c r="N276" s="1264"/>
      <c r="O276" s="1264"/>
      <c r="P276" s="1264"/>
      <c r="Q276" s="1264"/>
      <c r="R276" s="1264"/>
      <c r="S276" s="1264"/>
      <c r="T276" s="1264"/>
      <c r="U276" s="1273"/>
      <c r="V276" s="1273"/>
      <c r="W276" s="1273"/>
      <c r="X276" s="1261"/>
      <c r="Y276" s="1261"/>
      <c r="Z276" s="1261"/>
      <c r="AB276" s="1271" t="s">
        <v>1172</v>
      </c>
      <c r="AC276" s="1264"/>
      <c r="AD276" s="1264"/>
      <c r="AE276" s="1264"/>
      <c r="AF276" s="1264"/>
      <c r="AG276" s="1264"/>
      <c r="AI276" s="1102" t="s">
        <v>200</v>
      </c>
      <c r="AJ276" s="1103" t="s">
        <v>201</v>
      </c>
      <c r="AK276" s="1104" t="s">
        <v>324</v>
      </c>
      <c r="AX276" s="1461">
        <f t="shared" ref="AX276:BG276" si="135">SUM(AX269:AX274)</f>
        <v>0</v>
      </c>
      <c r="AY276" s="1461">
        <f t="shared" si="135"/>
        <v>0</v>
      </c>
      <c r="AZ276" s="1461">
        <f t="shared" si="135"/>
        <v>0</v>
      </c>
      <c r="BA276" s="1461">
        <f t="shared" si="135"/>
        <v>0</v>
      </c>
      <c r="BB276" s="1461">
        <f t="shared" si="135"/>
        <v>0</v>
      </c>
      <c r="BC276" s="1461">
        <f t="shared" si="135"/>
        <v>0</v>
      </c>
      <c r="BD276" s="1461">
        <f t="shared" si="135"/>
        <v>0</v>
      </c>
      <c r="BE276" s="1461">
        <f t="shared" si="135"/>
        <v>0</v>
      </c>
      <c r="BF276" s="1461">
        <f t="shared" si="135"/>
        <v>0</v>
      </c>
      <c r="BG276" s="1461">
        <f t="shared" si="135"/>
        <v>0</v>
      </c>
    </row>
    <row r="277" spans="1:59" x14ac:dyDescent="0.15">
      <c r="A277" s="1264"/>
      <c r="B277" s="1271" t="s">
        <v>1036</v>
      </c>
      <c r="C277" s="1264"/>
      <c r="D277" s="1271" t="s">
        <v>176</v>
      </c>
      <c r="E277" s="1264"/>
      <c r="F277" s="1271" t="s">
        <v>177</v>
      </c>
      <c r="G277" s="1264"/>
      <c r="H277" s="1273" t="s">
        <v>1037</v>
      </c>
      <c r="I277" s="1261"/>
      <c r="J277" s="1273" t="s">
        <v>176</v>
      </c>
      <c r="K277" s="1261"/>
      <c r="L277" s="1264" t="s">
        <v>1220</v>
      </c>
      <c r="M277" s="1264"/>
      <c r="N277" s="1264"/>
      <c r="O277" s="1264"/>
      <c r="P277" s="1264"/>
      <c r="Q277" s="1264"/>
      <c r="R277" s="1264"/>
      <c r="S277" s="1264"/>
      <c r="T277" s="1264"/>
      <c r="U277" s="1273"/>
      <c r="V277" s="1273"/>
      <c r="W277" s="1273"/>
      <c r="X277" s="1261"/>
      <c r="Y277" s="1261"/>
      <c r="Z277" s="1279"/>
      <c r="AB277" s="1271" t="s">
        <v>1175</v>
      </c>
      <c r="AC277" s="1264"/>
      <c r="AD277" s="1264"/>
      <c r="AE277" s="1264"/>
      <c r="AF277" s="1264"/>
      <c r="AG277" s="1264"/>
      <c r="AI277" s="1151">
        <f>SUM('Inl. wetlands'!AB269,'Inl. wetlands'!AD269,'Inl. wetlands'!AF269)+AB280+AD280+AF280</f>
        <v>0</v>
      </c>
      <c r="AJ277" s="1151">
        <f>SUM('Inl. wetlands'!AC269,'Inl. wetlands'!AE269,'Inl. wetlands'!AG269)+AC280+AE280+AG280</f>
        <v>0</v>
      </c>
      <c r="AK277" s="3478">
        <f t="shared" ref="AK277:AK282" si="136">AJ277-AI277</f>
        <v>0</v>
      </c>
      <c r="AX277" s="1461"/>
      <c r="AY277" s="1461"/>
      <c r="AZ277" s="1461"/>
      <c r="BA277" s="1461"/>
      <c r="BB277" s="1461"/>
      <c r="BC277" s="1461"/>
      <c r="BD277" s="1461"/>
      <c r="BE277" s="1461"/>
      <c r="BF277" s="1461"/>
      <c r="BG277" s="1461"/>
    </row>
    <row r="278" spans="1:59" x14ac:dyDescent="0.15">
      <c r="A278" s="1264"/>
      <c r="B278" s="1264" t="s">
        <v>92</v>
      </c>
      <c r="C278" s="1264"/>
      <c r="D278" s="1264" t="s">
        <v>1044</v>
      </c>
      <c r="E278" s="1264"/>
      <c r="F278" s="1264" t="s">
        <v>1045</v>
      </c>
      <c r="G278" s="1264"/>
      <c r="H278" s="1261" t="s">
        <v>92</v>
      </c>
      <c r="I278" s="1261"/>
      <c r="J278" s="1261" t="s">
        <v>1044</v>
      </c>
      <c r="K278" s="1261"/>
      <c r="L278" s="1271" t="s">
        <v>1036</v>
      </c>
      <c r="M278" s="1264"/>
      <c r="N278" s="1271"/>
      <c r="O278" s="1271" t="s">
        <v>176</v>
      </c>
      <c r="P278" s="1264"/>
      <c r="Q278" s="1271"/>
      <c r="R278" s="1271" t="s">
        <v>177</v>
      </c>
      <c r="S278" s="1264"/>
      <c r="T278" s="1271"/>
      <c r="U278" s="1273" t="s">
        <v>1037</v>
      </c>
      <c r="V278" s="1273"/>
      <c r="W278" s="1273"/>
      <c r="X278" s="1273" t="s">
        <v>176</v>
      </c>
      <c r="Y278" s="1261"/>
      <c r="Z278" s="1273"/>
      <c r="AB278" s="1264" t="s">
        <v>1176</v>
      </c>
      <c r="AC278" s="1264"/>
      <c r="AD278" s="1264" t="s">
        <v>176</v>
      </c>
      <c r="AE278" s="1264"/>
      <c r="AF278" s="1264" t="s">
        <v>177</v>
      </c>
      <c r="AG278" s="1264"/>
      <c r="AI278" s="1151">
        <f>SUM('Inl. wetlands'!AB270,'Inl. wetlands'!AD270,'Inl. wetlands'!AF270)+AB281+AD281+AF281</f>
        <v>0</v>
      </c>
      <c r="AJ278" s="1151">
        <f>SUM('Inl. wetlands'!AC270,'Inl. wetlands'!AE270,'Inl. wetlands'!AG270)+AC281+AE281+AG281</f>
        <v>0</v>
      </c>
      <c r="AK278" s="3478">
        <f t="shared" si="136"/>
        <v>0</v>
      </c>
      <c r="AX278" s="1461"/>
      <c r="AY278" s="1461"/>
      <c r="AZ278" s="1461"/>
      <c r="BA278" s="1461"/>
      <c r="BB278" s="1461"/>
      <c r="BC278" s="1461"/>
      <c r="BD278" s="1461"/>
      <c r="BE278" s="1461"/>
      <c r="BF278" s="1461"/>
      <c r="BG278" s="1461"/>
    </row>
    <row r="279" spans="1:59" x14ac:dyDescent="0.15">
      <c r="A279" s="1264"/>
      <c r="B279" s="1272" t="s">
        <v>864</v>
      </c>
      <c r="C279" s="1272" t="s">
        <v>66</v>
      </c>
      <c r="D279" s="1272" t="s">
        <v>864</v>
      </c>
      <c r="E279" s="1272" t="s">
        <v>66</v>
      </c>
      <c r="F279" s="1272" t="s">
        <v>864</v>
      </c>
      <c r="G279" s="1272" t="s">
        <v>66</v>
      </c>
      <c r="H279" s="1274" t="s">
        <v>864</v>
      </c>
      <c r="I279" s="1274" t="s">
        <v>66</v>
      </c>
      <c r="J279" s="1274" t="s">
        <v>864</v>
      </c>
      <c r="K279" s="1274" t="s">
        <v>66</v>
      </c>
      <c r="L279" s="973" t="s">
        <v>219</v>
      </c>
      <c r="M279" s="1102" t="s">
        <v>179</v>
      </c>
      <c r="N279" s="1103" t="s">
        <v>180</v>
      </c>
      <c r="O279" s="973" t="s">
        <v>219</v>
      </c>
      <c r="P279" s="1102" t="s">
        <v>179</v>
      </c>
      <c r="Q279" s="1103" t="s">
        <v>180</v>
      </c>
      <c r="R279" s="973" t="s">
        <v>219</v>
      </c>
      <c r="S279" s="1102" t="s">
        <v>179</v>
      </c>
      <c r="T279" s="1103" t="s">
        <v>180</v>
      </c>
      <c r="U279" s="973" t="s">
        <v>219</v>
      </c>
      <c r="V279" s="1102" t="s">
        <v>179</v>
      </c>
      <c r="W279" s="1103" t="s">
        <v>180</v>
      </c>
      <c r="X279" s="973" t="s">
        <v>219</v>
      </c>
      <c r="Y279" s="1102" t="s">
        <v>179</v>
      </c>
      <c r="Z279" s="1103" t="s">
        <v>180</v>
      </c>
      <c r="AB279" s="1102" t="s">
        <v>179</v>
      </c>
      <c r="AC279" s="1103" t="s">
        <v>180</v>
      </c>
      <c r="AD279" s="1102" t="s">
        <v>179</v>
      </c>
      <c r="AE279" s="1103" t="s">
        <v>180</v>
      </c>
      <c r="AF279" s="1102" t="s">
        <v>179</v>
      </c>
      <c r="AG279" s="1103" t="s">
        <v>180</v>
      </c>
      <c r="AI279" s="1151">
        <f>SUM('Inl. wetlands'!AB271,'Inl. wetlands'!AD271,'Inl. wetlands'!AF271)+AB282+AD282+AF282</f>
        <v>0</v>
      </c>
      <c r="AJ279" s="1151">
        <f>SUM('Inl. wetlands'!AC271,'Inl. wetlands'!AE271,'Inl. wetlands'!AG271)+AC282+AE282+AG282</f>
        <v>0</v>
      </c>
      <c r="AK279" s="3478">
        <f t="shared" si="136"/>
        <v>0</v>
      </c>
      <c r="AX279" s="1461"/>
      <c r="AY279" s="1461"/>
      <c r="AZ279" s="1461"/>
      <c r="BA279" s="1461"/>
      <c r="BB279" s="1461"/>
      <c r="BC279" s="1461"/>
      <c r="BD279" s="1461"/>
      <c r="BE279" s="1461"/>
      <c r="BF279" s="1461"/>
      <c r="BG279" s="1461"/>
    </row>
    <row r="280" spans="1:59" x14ac:dyDescent="0.15">
      <c r="A280" s="1264" t="s">
        <v>1160</v>
      </c>
      <c r="B280" s="1235">
        <f>IFERROR(IF(AND(OR('Inl. wetlands'!$E255="Other land",'Inl. wetlands'!$E255="Degraded land"),'Inl. wetlands'!$J$249=list!$J$210),INDEX(IPCC!$A$1762:$J$1773,MATCH(clim_moist,IPCC!$A$1762:$A$1773,0),MATCH('Inl. wetlands'!$E255,IPCC!$A$1762:$J$1762,0)),IF(AND(OR('Inl. wetlands'!$E255="Other land",'Inl. wetlands'!$E255="Degraded land"),'Inl. wetlands'!$J$249=list!$J$211),INDEX(IPCC!$A$1781:$J$1792,MATCH(clim_moist,IPCC!$A$1781:$A$1792,0),MATCH('Inl. wetlands'!$E255,IPCC!$A$1781:$J$1781,0)),IF('Inl. wetlands'!$J$249=list!$J$210,INDEX(IPCC!$A$1762:$J$1773,MATCH(clim_moist,IPCC!$A$1781:$A$1792,0),MATCH('Inl. wetlands'!$E255,IPCC!$A$1781:$J$1781,0)),IF('Inl. wetlands'!$J$249=list!$J$211,INDEX(IPCC!$A$1781:$J$1792,MATCH(clim_moist,IPCC!$A$1781:$A$1792,0),MATCH('Inl. wetlands'!$E255,IPCC!$A$1781:$J$1781,0)))))),0)</f>
        <v>0</v>
      </c>
      <c r="C280" s="1280">
        <f>IF('6.Inland wetlands'!$CG93="",'6.Inland wetlands'!$CF93,'6.Inland wetlands'!$CG93)</f>
        <v>0</v>
      </c>
      <c r="D280" s="1235">
        <f>IFERROR(IF(AND(OR('Inl. wetlands'!$E255="Other land",'Inl. wetlands'!$E255="Degraded land"),'Inl. wetlands'!$J$249=list!$J$210),INDEX(IPCC!$A$1818:$J$1829,MATCH(clim_moist,IPCC!$A$1818:$A$1829,0),MATCH('Inl. wetlands'!$E255,IPCC!$A$1818:$J$1818,0)),IF(AND(OR('Inl. wetlands'!$E255="Other land",'Inl. wetlands'!$E255="Degraded land"),'Inl. wetlands'!$J$249=list!$J$211),INDEX(IPCC!$A$1836:$J$1847,MATCH(clim_moist,IPCC!$A$1836:$A$1847,0),MATCH('Inl. wetlands'!$E255,IPCC!$A$1836:$J$1836,0)),IF('Inl. wetlands'!$J$249=list!$J$210,INDEX(IPCC!$A$1818:$J$1829,MATCH(clim_moist,IPCC!$A$1818:$A$1829,0),MATCH('Inl. wetlands'!$E255,IPCC!$A$1818:$J$1818,0)),IF('Inl. wetlands'!$J$249=list!$J$211,INDEX(IPCC!$A$1836:$J$1847,MATCH(clim_moist,IPCC!$A$1836:$A$1847,0),MATCH('Inl. wetlands'!$E255,IPCC!$A$1836:$J$1836,0)))))),0)</f>
        <v>0</v>
      </c>
      <c r="E280" s="1280">
        <f>IF('6.Inland wetlands'!$CI93="",'6.Inland wetlands'!$CH93,'6.Inland wetlands'!$CI93)</f>
        <v>0</v>
      </c>
      <c r="F280" s="1235">
        <f>IFERROR(IF(AND(OR('Inl. wetlands'!$E255="Other land",'Inl. wetlands'!$E255="Degraded land"),'Inl. wetlands'!$J$249=list!$J$210),INDEX(IPCC!$A$1872:$J$1883,MATCH(clim_moist,IPCC!$A$1872:$A$1883,0),MATCH('Inl. wetlands'!$E255,IPCC!$A$1872:$J$1872,0)),IF(AND(OR('Inl. wetlands'!$E255="Other land",'Inl. wetlands'!$E255="Degraded land"),'Inl. wetlands'!$J$249=list!$J$211),INDEX(IPCC!$A$1890:$J$1901,MATCH(clim_moist,IPCC!$A$1890:$A$1901,0),MATCH('Inl. wetlands'!$E255,IPCC!$A$1890:$J$1890,0)),IF('Inl. wetlands'!$J$249=list!$J$210,INDEX(IPCC!$A$1872:$J$1883,MATCH(clim_moist,IPCC!$A$1872:$A$1883,0),MATCH('Inl. wetlands'!$E255,IPCC!$A$1872:$J$1872,0)),IF('Inl. wetlands'!$J$249=list!$J$211,INDEX(IPCC!$A$1890:$J$1901,MATCH(clim_moist,IPCC!$A$1890:$A$1901,0),MATCH('Inl. wetlands'!$E255,IPCC!$A$1890:$J$1890,0)))))),0)</f>
        <v>0</v>
      </c>
      <c r="G280" s="1280">
        <f>IF('6.Inland wetlands'!$CK93="",'6.Inland wetlands'!$CJ93,'6.Inland wetlands'!$CK93)</f>
        <v>0</v>
      </c>
      <c r="H280" s="1235">
        <f>IFERROR(IF(AND(OR('Inl. wetlands'!$E255="Other land",'Inl. wetlands'!$E255="Degraded land"),'Inl. wetlands'!$J$249=list!$J$210),INDEX(IPCC!$A$1800:$J$1811,MATCH(clim_moist,IPCC!$A$1800:$A$1811,0),MATCH('Inl. wetlands'!$E255,IPCC!$A$1800:$J$1800,0)),IF(AND(OR('Inl. wetlands'!$E255="Other land",'Inl. wetlands'!$E255="Degraded land"),'Inl. wetlands'!$J$249=list!$J$211),INDEX(IPCC!$A$1800:$J$1811,MATCH(clim_moist,IPCC!$A$1800:$A$1811,0),MATCH('Inl. wetlands'!$E255,IPCC!$A$1800:$J$1800,0)),IF('Inl. wetlands'!$J$249=list!$J$210,INDEX(IPCC!$A$1800:$J$1811,MATCH(clim_moist,IPCC!$A$1800:$A$1811,0),MATCH('Inl. wetlands'!$E255,IPCC!$A$1800:$J$1800,0)),IF('Inl. wetlands'!$J$249=list!$J$211,INDEX(IPCC!$A$1800:$J$1811,MATCH(clim_moist,IPCC!$A$1800:$A$1811,0),MATCH('Inl. wetlands'!$E255,IPCC!$A$1800:$J$1800,0)))))),0)</f>
        <v>0</v>
      </c>
      <c r="I280" s="1162">
        <f>IF('6.Inland wetlands'!$CN93="",'6.Inland wetlands'!$CM93,'6.Inland wetlands'!$CN93)</f>
        <v>0</v>
      </c>
      <c r="J280" s="1111">
        <f>IFERROR(IF(AND(OR('Inl. wetlands'!$E255="Other land",'Inl. wetlands'!$E255="Degraded land"),'Inl. wetlands'!$J$249=list!$J$210),INDEX(IPCC!$A$1854:$J$1865,MATCH(clim_moist,IPCC!$A$1854:$A$1865,0),MATCH('Inl. wetlands'!$E255,IPCC!$A$1854:$J$1854,0)),IF(AND(OR('Inl. wetlands'!$E255="Other land",'Inl. wetlands'!$E255="Degraded land"),'Inl. wetlands'!$J$249=list!$J$211),INDEX(IPCC!$A$1854:$J$1865,MATCH(clim_moist,IPCC!$A$1854:A$1865,0),MATCH('Inl. wetlands'!$E255,IPCC!$A$1854:$J$1854,0)),IF('Inl. wetlands'!$J$249=list!$J$210,INDEX(IPCC!$A$1854:$J$1865,MATCH(clim_moist,IPCC!$A$1854:$A$1865,0),MATCH('Inl. wetlands'!$E255,IPCC!$A$1854:$J$1854,0)),IF('Inl. wetlands'!$J$249=list!$J$211,INDEX(IPCC!$A$1854:$J$1865,MATCH(clim_moist,IPCC!$A$1854:$A$1865,0),MATCH('Inl. wetlands'!$E255,IPCC!$A$1854:$J$1854,0)))))),0)</f>
        <v>0</v>
      </c>
      <c r="K280" s="1161">
        <f>IF('6.Inland wetlands'!$CP93="",'6.Inland wetlands'!$CO93,'6.Inland wetlands'!$CP93)</f>
        <v>0</v>
      </c>
      <c r="L280" s="1543">
        <v>0</v>
      </c>
      <c r="M280" s="1543">
        <f>IF('6.Inland wetlands'!N80=0, 0, IF('6.Inland wetlands'!N91&lt;'6.Inland wetlands'!N80, 'Inl. wetlands'!C280*44/12*'6.Inland wetlands'!N91, 'Inl. wetlands'!C280*44/12*('6.Inland wetlands'!N80)))</f>
        <v>0</v>
      </c>
      <c r="N280" s="4323">
        <f>IF('6.Inland wetlands'!P80=0, 0, IF('6.Inland wetlands'!P91&lt;'6.Inland wetlands'!P80, 'Inl. wetlands'!C280*44/12*'6.Inland wetlands'!P91, 'Inl. wetlands'!C280*44/12*('6.Inland wetlands'!P80)))</f>
        <v>0</v>
      </c>
      <c r="O280" s="1543">
        <v>0</v>
      </c>
      <c r="P280" s="4323">
        <f>IF('6.Inland wetlands'!N80=0, 0, IF('6.Inland wetlands'!N91&lt;'6.Inland wetlands'!N80, 'Inl. wetlands'!E280*methane/1000*'6.Inland wetlands'!N91*(1-'6.Inland wetlands'!X91), 'Inl. wetlands'!E280*methane/1000*('6.Inland wetlands'!N80*(1-'6.Inland wetlands'!X91))))</f>
        <v>0</v>
      </c>
      <c r="Q280" s="4323">
        <f>IF('6.Inland wetlands'!P80=0, 0, IF('6.Inland wetlands'!P91&lt;'6.Inland wetlands'!P80, 'Inl. wetlands'!E280*methane/1000*'6.Inland wetlands'!P91*(1-'6.Inland wetlands'!Y91), 'Inl. wetlands'!E280*methane/1000*('6.Inland wetlands'!P80*(1-'6.Inland wetlands'!Y91))))</f>
        <v>0</v>
      </c>
      <c r="R280" s="1543">
        <v>0</v>
      </c>
      <c r="S280" s="4323">
        <f>IF('6.Inland wetlands'!N80=0, 0, IF('6.Inland wetlands'!N91&lt;'6.Inland wetlands'!N80, 'Inl. wetlands'!G280*44/28*Nitrous/1000*'6.Inland wetlands'!N91, 'Inl. wetlands'!G280*44/28*Nitrous/1000*('6.Inland wetlands'!N80)))</f>
        <v>0</v>
      </c>
      <c r="T280" s="4323">
        <f>IF('6.Inland wetlands'!P80=0, 0, IF('6.Inland wetlands'!P91&lt;'6.Inland wetlands'!P80, 'Inl. wetlands'!G280*44/28*Nitrous/1000*'6.Inland wetlands'!P91, 'Inl. wetlands'!G280*44/28*Nitrous/1000*('6.Inland wetlands'!P80)))</f>
        <v>0</v>
      </c>
      <c r="U280" s="1543">
        <v>0</v>
      </c>
      <c r="V280" s="4323">
        <f>IF('6.Inland wetlands'!N80=0, 0, IF('6.Inland wetlands'!N91&lt;'6.Inland wetlands'!N80, 'Inl. wetlands'!I280*44/12*'6.Inland wetlands'!N91, 'Inl. wetlands'!I280*44/12*('6.Inland wetlands'!N80)))</f>
        <v>0</v>
      </c>
      <c r="W280" s="4323">
        <f>IF('6.Inland wetlands'!P80=0, 0, IF('6.Inland wetlands'!P91&lt;'6.Inland wetlands'!P80, 'Inl. wetlands'!I280*44/12*'6.Inland wetlands'!P91, 'Inl. wetlands'!I280*44/12*('6.Inland wetlands'!P80)))</f>
        <v>0</v>
      </c>
      <c r="X280" s="1543">
        <v>0</v>
      </c>
      <c r="Y280" s="1146">
        <f>IF('6.Inland wetlands'!N80=0, 0, IF('6.Inland wetlands'!N91&lt;'6.Inland wetlands'!N80, 'Inl. wetlands'!K280*methane/1000*'6.Inland wetlands'!N91*('6.Inland wetlands'!X91), 'Inl. wetlands'!K280*methane/1000*('6.Inland wetlands'!N80*('6.Inland wetlands'!X91))))</f>
        <v>0</v>
      </c>
      <c r="Z280" s="1146">
        <f>IF('6.Inland wetlands'!P80=0, 0, IF('6.Inland wetlands'!P91&lt;'6.Inland wetlands'!P80, 'Inl. wetlands'!K280*methane/1000*'6.Inland wetlands'!P91*('6.Inland wetlands'!Y91), 'Inl. wetlands'!K280*methane/1000*('6.Inland wetlands'!P80*('6.Inland wetlands'!Y91))))</f>
        <v>0</v>
      </c>
      <c r="AB280" s="3468">
        <f>MIN('Inl. wetlands'!L280,'Inl. wetlands'!M280)*time_tot+ABS('Inl. wetlands'!M280-'Inl. wetlands'!L280)*IF('Inl. wetlands'!M280&gt;'Inl. wetlands'!L280,time_cap+time*(VLOOKUP('6.Inland wetlands'!O91,list!$I$48:$K$50,3,0)),time*(1-(VLOOKUP('6.Inland wetlands'!O91,list!$I$48:$K$50,3,0))))+MIN('Inl. wetlands'!U280,'Inl. wetlands'!V280)*time_tot+ABS('Inl. wetlands'!V280-'Inl. wetlands'!U280)*IF('Inl. wetlands'!V280&gt;'Inl. wetlands'!U280,time_cap+time*(VLOOKUP('6.Inland wetlands'!O91,list!$I$48:$K$50,3,0)),time*(1-(VLOOKUP('6.Inland wetlands'!O91,list!$I$48:$K$50,3,0))))</f>
        <v>0</v>
      </c>
      <c r="AC280" s="3468">
        <f>MIN('Inl. wetlands'!L280,'Inl. wetlands'!N280)*time_tot+ABS('Inl. wetlands'!N280-'Inl. wetlands'!L280)*IF('Inl. wetlands'!N280&gt;'Inl. wetlands'!L280,time_cap+time*(VLOOKUP('6.Inland wetlands'!Q91,list!$I$48:$K$50,3,0)),time*(1-(VLOOKUP('6.Inland wetlands'!Q91,list!$I$48:$K$50,3,0))))+MIN('Inl. wetlands'!U280,'Inl. wetlands'!W280)*time_tot+ABS('Inl. wetlands'!W280-'Inl. wetlands'!U280)*IF('Inl. wetlands'!W280&gt;'Inl. wetlands'!U280,time_cap+time*(VLOOKUP('6.Inland wetlands'!Q91,list!$I$48:$K$50,3,0)),time*(1-(VLOOKUP('6.Inland wetlands'!Q91,list!$I$48:$K$50,3,0))))</f>
        <v>0</v>
      </c>
      <c r="AD280" s="1151">
        <f>MIN('Inl. wetlands'!O280,'Inl. wetlands'!P280)*time_tot+ABS('Inl. wetlands'!P280-'Inl. wetlands'!O280)*IF('Inl. wetlands'!P280&gt;'Inl. wetlands'!O280,time_cap+time*(VLOOKUP('6.Inland wetlands'!O91,list!$I$48:$K$50,3,0)),time*(1-(VLOOKUP('6.Inland wetlands'!O91,list!$I$48:$K$50,3,0))))+MIN('Inl. wetlands'!X280,'Inl. wetlands'!Y280)*time_tot+ABS('Inl. wetlands'!Y280-'Inl. wetlands'!X280)*IF('Inl. wetlands'!Y280&gt;'Inl. wetlands'!X280,time_cap+time*(VLOOKUP('6.Inland wetlands'!O91,list!$I$48:$K$50,3,0)),time*(1-(VLOOKUP('6.Inland wetlands'!O91,list!$I$48:$K$50,3,0))))</f>
        <v>0</v>
      </c>
      <c r="AE280" s="1151">
        <f>MIN('Inl. wetlands'!O280,'Inl. wetlands'!Q280)*time_tot+ABS('Inl. wetlands'!Q280-'Inl. wetlands'!O280)*IF('Inl. wetlands'!Q280&gt;'Inl. wetlands'!O280,time_cap+time*(VLOOKUP('6.Inland wetlands'!Q91,list!$I$48:$K$50,3,0)),time*(1-(VLOOKUP('6.Inland wetlands'!Q91,list!$I$48:$K$50,3,0))))+MIN('Inl. wetlands'!X280,'Inl. wetlands'!Z280)*time_tot+ABS('Inl. wetlands'!Z280-'Inl. wetlands'!X280)*IF('Inl. wetlands'!Z280&gt;'Inl. wetlands'!X280,time_cap+time*(VLOOKUP('6.Inland wetlands'!Q91,list!$I$48:$K$50,3,0)),time*(1-(VLOOKUP('6.Inland wetlands'!Q91,list!$I$48:$K$50,3,0))))</f>
        <v>0</v>
      </c>
      <c r="AF280" s="1151">
        <f>MIN('Inl. wetlands'!R280,'Inl. wetlands'!S280)*time_tot+ABS('Inl. wetlands'!S280-'Inl. wetlands'!R280)*IF('Inl. wetlands'!S280&gt;'Inl. wetlands'!R280,time_cap+time*(VLOOKUP('6.Inland wetlands'!O91,list!$I$48:$K$50,3,0)),time*(1-(VLOOKUP('6.Inland wetlands'!O91,list!$I$48:$K$50,3,0))))</f>
        <v>0</v>
      </c>
      <c r="AG280" s="1151">
        <f>MIN('Inl. wetlands'!R280,'Inl. wetlands'!T280)*time_tot+ABS('Inl. wetlands'!T280-'Inl. wetlands'!R280)*IF('Inl. wetlands'!T280&gt;'Inl. wetlands'!R280,time_cap+time*(VLOOKUP('6.Inland wetlands'!Q91,list!$I$48:$K$50,3,0)),time*(1-(VLOOKUP('6.Inland wetlands'!Q91,list!$I$48:$K$50,3,0))))</f>
        <v>0</v>
      </c>
      <c r="AI280" s="1151">
        <f>SUM('Inl. wetlands'!AB272,'Inl. wetlands'!AD272,'Inl. wetlands'!AF272)+AB283+AD283+AF283</f>
        <v>0</v>
      </c>
      <c r="AJ280" s="1151">
        <f>SUM('Inl. wetlands'!AC272,'Inl. wetlands'!AE272,'Inl. wetlands'!AG272)+AC283+AE283+AG283</f>
        <v>0</v>
      </c>
      <c r="AK280" s="3478">
        <f t="shared" si="136"/>
        <v>0</v>
      </c>
      <c r="AX280" s="1461"/>
      <c r="AY280" s="1461"/>
      <c r="AZ280" s="1461"/>
      <c r="BA280" s="1461"/>
      <c r="BB280" s="1461"/>
      <c r="BC280" s="1461"/>
      <c r="BD280" s="1461"/>
      <c r="BE280" s="1461"/>
      <c r="BF280" s="1461"/>
      <c r="BG280" s="1461"/>
    </row>
    <row r="281" spans="1:59" x14ac:dyDescent="0.15">
      <c r="A281" s="1264" t="s">
        <v>1161</v>
      </c>
      <c r="B281" s="1235">
        <f>IFERROR(IF(AND(OR('Inl. wetlands'!$E256="Other land",'Inl. wetlands'!$E256="Degraded land"),'Inl. wetlands'!$J$249=list!$J$210),INDEX(IPCC!$A$1762:$J$1773,MATCH(clim_moist,IPCC!$A$1762:$A$1773,0),MATCH('Inl. wetlands'!$E256,IPCC!$A$1762:$J$1762,0)),IF(AND(OR('Inl. wetlands'!$E256="Other land",'Inl. wetlands'!$E256="Degraded land"),'Inl. wetlands'!$J$249=list!$J$211),INDEX(IPCC!$A$1781:$J$1792,MATCH(clim_moist,IPCC!$A$1781:$A$1792,0),MATCH('Inl. wetlands'!$E256,IPCC!$A$1781:$J$1781,0)),IF('Inl. wetlands'!$J$249=list!$J$210,INDEX(IPCC!$A$1762:$J$1773,MATCH(clim_moist,IPCC!$A$1781:$A$1792,0),MATCH('Inl. wetlands'!$E256,IPCC!$A$1781:$J$1781,0)),IF('Inl. wetlands'!$J$249=list!$J$211,INDEX(IPCC!$A$1781:$J$1792,MATCH(clim_moist,IPCC!$A$1781:$A$1792,0),MATCH('Inl. wetlands'!$E256,IPCC!$A$1781:$J$1781,0)))))),0)</f>
        <v>0</v>
      </c>
      <c r="C281" s="1280">
        <f>IF('6.Inland wetlands'!$CG94="",'6.Inland wetlands'!$CF94,'6.Inland wetlands'!$CG94)</f>
        <v>0</v>
      </c>
      <c r="D281" s="1235">
        <f>IFERROR(IF(AND(OR('Inl. wetlands'!$E256="Other land",'Inl. wetlands'!$E256="Degraded land"),'Inl. wetlands'!$J$249=list!$J$210),INDEX(IPCC!$A$1818:$J$1829,MATCH(clim_moist,IPCC!$A$1818:$A$1829,0),MATCH('Inl. wetlands'!$E256,IPCC!$A$1818:$J$1818,0)),IF(AND(OR('Inl. wetlands'!$E256="Other land",'Inl. wetlands'!$E256="Degraded land"),'Inl. wetlands'!$J$249=list!$J$211),INDEX(IPCC!$A$1836:$J$1847,MATCH(clim_moist,IPCC!$A$1836:$A$1847,0),MATCH('Inl. wetlands'!$E256,IPCC!$A$1836:$J$1836,0)),IF('Inl. wetlands'!$J$249=list!$J$210,INDEX(IPCC!$A$1818:$J$1829,MATCH(clim_moist,IPCC!$A$1818:$A$1829,0),MATCH('Inl. wetlands'!$E256,IPCC!$A$1818:$J$1818,0)),IF('Inl. wetlands'!$J$249=list!$J$211,INDEX(IPCC!$A$1836:$J$1847,MATCH(clim_moist,IPCC!$A$1836:$A$1847,0),MATCH('Inl. wetlands'!$E256,IPCC!$A$1836:$J$1836,0)))))),0)</f>
        <v>0</v>
      </c>
      <c r="E281" s="1280">
        <f>IF('6.Inland wetlands'!$CI94="",'6.Inland wetlands'!$CH94,'6.Inland wetlands'!$CI94)</f>
        <v>0</v>
      </c>
      <c r="F281" s="1235">
        <f>IFERROR(IF(AND(OR('Inl. wetlands'!$E256="Other land",'Inl. wetlands'!$E256="Degraded land"),'Inl. wetlands'!$J$249=list!$J$210),INDEX(IPCC!$A$1872:$J$1883,MATCH(clim_moist,IPCC!$A$1872:$A$1883,0),MATCH('Inl. wetlands'!$E256,IPCC!$A$1872:$J$1872,0)),IF(AND(OR('Inl. wetlands'!$E256="Other land",'Inl. wetlands'!$E256="Degraded land"),'Inl. wetlands'!$J$249=list!$J$211),INDEX(IPCC!$A$1890:$J$1901,MATCH(clim_moist,IPCC!$A$1890:$A$1901,0),MATCH('Inl. wetlands'!$E256,IPCC!$A$1890:$J$1890,0)),IF('Inl. wetlands'!$J$249=list!$J$210,INDEX(IPCC!$A$1872:$J$1883,MATCH(clim_moist,IPCC!$A$1872:$A$1883,0),MATCH('Inl. wetlands'!$E256,IPCC!$A$1872:$J$1872,0)),IF('Inl. wetlands'!$J$249=list!$J$211,INDEX(IPCC!$A$1890:$J$1901,MATCH(clim_moist,IPCC!$A$1890:$A$1901,0),MATCH('Inl. wetlands'!$E256,IPCC!$A$1890:$J$1890,0)))))),0)</f>
        <v>0</v>
      </c>
      <c r="G281" s="1280">
        <f>IF('6.Inland wetlands'!$CK94="",'6.Inland wetlands'!$CJ94,'6.Inland wetlands'!$CK94)</f>
        <v>0</v>
      </c>
      <c r="H281" s="1235">
        <f>IFERROR(IF(AND(OR('Inl. wetlands'!$E256="Other land",'Inl. wetlands'!$E256="Degraded land"),'Inl. wetlands'!$J$249=list!$J$210),INDEX(IPCC!$A$1800:$J$1811,MATCH(clim_moist,IPCC!$A$1800:$A$1811,0),MATCH('Inl. wetlands'!$E256,IPCC!$A$1800:$J$1800,0)),IF(AND(OR('Inl. wetlands'!$E256="Other land",'Inl. wetlands'!$E256="Degraded land"),'Inl. wetlands'!$J$249=list!$J$211),INDEX(IPCC!$A$1800:$J$1811,MATCH(clim_moist,IPCC!$A$1800:$A$1811,0),MATCH('Inl. wetlands'!$E256,IPCC!$A$1800:$J$1800,0)),IF('Inl. wetlands'!$J$249=list!$J$210,INDEX(IPCC!$A$1800:$J$1811,MATCH(clim_moist,IPCC!$A$1800:$A$1811,0),MATCH('Inl. wetlands'!$E256,IPCC!$A$1800:$J$1800,0)),IF('Inl. wetlands'!$J$249=list!$J$211,INDEX(IPCC!$A$1800:$J$1811,MATCH(clim_moist,IPCC!$A$1800:$A$1811,0),MATCH('Inl. wetlands'!$E256,IPCC!$A$1800:$J$1800,0)))))),0)</f>
        <v>0</v>
      </c>
      <c r="I281" s="1162">
        <f>IF('6.Inland wetlands'!$CN94="",'6.Inland wetlands'!$CM94,'6.Inland wetlands'!$CN94)</f>
        <v>0</v>
      </c>
      <c r="J281" s="1111">
        <f>IFERROR(IF(AND(OR('Inl. wetlands'!$E256="Other land",'Inl. wetlands'!$E256="Degraded land"),'Inl. wetlands'!$J$249=list!$J$210),INDEX(IPCC!$A$1854:$J$1865,MATCH(clim_moist,IPCC!$A$1854:$A$1865,0),MATCH('Inl. wetlands'!$E256,IPCC!$A$1854:$J$1854,0)),IF(AND(OR('Inl. wetlands'!$E256="Other land",'Inl. wetlands'!$E256="Degraded land"),'Inl. wetlands'!$J$249=list!$J$211),INDEX(IPCC!$A$1854:$J$1865,MATCH(clim_moist,IPCC!$A$1854:A$1865,0),MATCH('Inl. wetlands'!$E256,IPCC!$A$1854:$J$1854,0)),IF('Inl. wetlands'!$J$249=list!$J$210,INDEX(IPCC!$A$1854:$J$1865,MATCH(clim_moist,IPCC!$A$1854:$A$1865,0),MATCH('Inl. wetlands'!$E256,IPCC!$A$1854:$J$1854,0)),IF('Inl. wetlands'!$J$249=list!$J$211,INDEX(IPCC!$A$1854:$J$1865,MATCH(clim_moist,IPCC!$A$1854:$A$1865,0),MATCH('Inl. wetlands'!$E256,IPCC!$A$1854:$J$1854,0)))))),0)</f>
        <v>0</v>
      </c>
      <c r="K281" s="1161">
        <f>IF('6.Inland wetlands'!$CP94="",'6.Inland wetlands'!$CO94,'6.Inland wetlands'!$CP94)</f>
        <v>0</v>
      </c>
      <c r="L281" s="1543">
        <v>0</v>
      </c>
      <c r="M281" s="1543">
        <f>IF('6.Inland wetlands'!N81=0, 0, IF('6.Inland wetlands'!N92&lt;'6.Inland wetlands'!N81, 'Inl. wetlands'!C281*44/12*'6.Inland wetlands'!N92, 'Inl. wetlands'!C281*44/12*('6.Inland wetlands'!N81)))</f>
        <v>0</v>
      </c>
      <c r="N281" s="4323">
        <f>IF('6.Inland wetlands'!P81=0, 0, IF('6.Inland wetlands'!P92&lt;'6.Inland wetlands'!P81, 'Inl. wetlands'!C281*44/12*'6.Inland wetlands'!P92, 'Inl. wetlands'!C281*44/12*('6.Inland wetlands'!P81)))</f>
        <v>0</v>
      </c>
      <c r="O281" s="1543">
        <v>0</v>
      </c>
      <c r="P281" s="4323">
        <f>IF('6.Inland wetlands'!N81=0, 0, IF('6.Inland wetlands'!N92&lt;'6.Inland wetlands'!N81, 'Inl. wetlands'!E281*methane/1000*'6.Inland wetlands'!N92*(1-'6.Inland wetlands'!X92), 'Inl. wetlands'!E281*methane/1000*('6.Inland wetlands'!N81*(1-'6.Inland wetlands'!X92))))</f>
        <v>0</v>
      </c>
      <c r="Q281" s="4323">
        <f>IF('6.Inland wetlands'!P81=0, 0, IF('6.Inland wetlands'!P92&lt;'6.Inland wetlands'!P81, 'Inl. wetlands'!E281*methane/1000*'6.Inland wetlands'!P92*(1-'6.Inland wetlands'!Y92), 'Inl. wetlands'!E281*methane/1000*('6.Inland wetlands'!P81*(1-'6.Inland wetlands'!Y92))))</f>
        <v>0</v>
      </c>
      <c r="R281" s="1543">
        <v>0</v>
      </c>
      <c r="S281" s="4323">
        <f>IF('6.Inland wetlands'!N81=0, 0, IF('6.Inland wetlands'!N92&lt;'6.Inland wetlands'!N81, 'Inl. wetlands'!G281*44/28*Nitrous/1000*'6.Inland wetlands'!N92, 'Inl. wetlands'!G281*44/28*Nitrous/1000*('6.Inland wetlands'!N81)))</f>
        <v>0</v>
      </c>
      <c r="T281" s="4323">
        <f>IF('6.Inland wetlands'!P81=0, 0, IF('6.Inland wetlands'!P92&lt;'6.Inland wetlands'!P81, 'Inl. wetlands'!G281*44/28*Nitrous/1000*'6.Inland wetlands'!P92, 'Inl. wetlands'!G281*44/28*Nitrous/1000*('6.Inland wetlands'!P81)))</f>
        <v>0</v>
      </c>
      <c r="U281" s="1543">
        <v>0</v>
      </c>
      <c r="V281" s="4323">
        <f>IF('6.Inland wetlands'!N81=0, 0, IF('6.Inland wetlands'!N92&lt;'6.Inland wetlands'!N81, 'Inl. wetlands'!I281*44/12*'6.Inland wetlands'!N92, 'Inl. wetlands'!I281*44/12*('6.Inland wetlands'!N81)))</f>
        <v>0</v>
      </c>
      <c r="W281" s="4323">
        <f>IF('6.Inland wetlands'!P81=0, 0, IF('6.Inland wetlands'!P92&lt;'6.Inland wetlands'!P81, 'Inl. wetlands'!I281*44/12*'6.Inland wetlands'!P92, 'Inl. wetlands'!I281*44/12*('6.Inland wetlands'!P81)))</f>
        <v>0</v>
      </c>
      <c r="X281" s="1543">
        <v>0</v>
      </c>
      <c r="Y281" s="1146">
        <f>IF('6.Inland wetlands'!N81=0, 0, IF('6.Inland wetlands'!N92&lt;'6.Inland wetlands'!N81, 'Inl. wetlands'!K281*methane/1000*'6.Inland wetlands'!N92*('6.Inland wetlands'!X92), 'Inl. wetlands'!K281*methane/1000*('6.Inland wetlands'!N81*('6.Inland wetlands'!X92))))</f>
        <v>0</v>
      </c>
      <c r="Z281" s="1146">
        <f>IF('6.Inland wetlands'!P81=0, 0, IF('6.Inland wetlands'!P92&lt;'6.Inland wetlands'!P81, 'Inl. wetlands'!K281*methane/1000*'6.Inland wetlands'!P92*('6.Inland wetlands'!Y92), 'Inl. wetlands'!K281*methane/1000*('6.Inland wetlands'!P81*('6.Inland wetlands'!Y92))))</f>
        <v>0</v>
      </c>
      <c r="AB281" s="3468">
        <f>MIN('Inl. wetlands'!L281,'Inl. wetlands'!M281)*time_tot+ABS('Inl. wetlands'!M281-'Inl. wetlands'!L281)*IF('Inl. wetlands'!M281&gt;'Inl. wetlands'!L281,time_cap+time*(VLOOKUP('6.Inland wetlands'!O92,list!$I$48:$K$50,3,0)),time*(1-(VLOOKUP('6.Inland wetlands'!O92,list!$I$48:$K$50,3,0))))+MIN('Inl. wetlands'!U281,'Inl. wetlands'!V281)*time_tot+ABS('Inl. wetlands'!V281-'Inl. wetlands'!U281)*IF('Inl. wetlands'!V281&gt;'Inl. wetlands'!U281,time_cap+time*(VLOOKUP('6.Inland wetlands'!O92,list!$I$48:$K$50,3,0)),time*(1-(VLOOKUP('6.Inland wetlands'!O92,list!$I$48:$K$50,3,0))))</f>
        <v>0</v>
      </c>
      <c r="AC281" s="3468">
        <f>MIN('Inl. wetlands'!L281,'Inl. wetlands'!N281)*time_tot+ABS('Inl. wetlands'!N281-'Inl. wetlands'!L281)*IF('Inl. wetlands'!N281&gt;'Inl. wetlands'!L281,time_cap+time*(VLOOKUP('6.Inland wetlands'!Q92,list!$I$48:$K$50,3,0)),time*(1-(VLOOKUP('6.Inland wetlands'!Q92,list!$I$48:$K$50,3,0))))+MIN('Inl. wetlands'!U281,'Inl. wetlands'!W281)*time_tot+ABS('Inl. wetlands'!W281-'Inl. wetlands'!U281)*IF('Inl. wetlands'!W281&gt;'Inl. wetlands'!U281,time_cap+time*(VLOOKUP('6.Inland wetlands'!Q92,list!$I$48:$K$50,3,0)),time*(1-(VLOOKUP('6.Inland wetlands'!Q92,list!$I$48:$K$50,3,0))))</f>
        <v>0</v>
      </c>
      <c r="AD281" s="1151">
        <f>MIN('Inl. wetlands'!O281,'Inl. wetlands'!P281)*time_tot+ABS('Inl. wetlands'!P281-'Inl. wetlands'!O281)*IF('Inl. wetlands'!P281&gt;'Inl. wetlands'!O281,time_cap+time*(VLOOKUP('6.Inland wetlands'!O92,list!$I$48:$K$50,3,0)),time*(1-(VLOOKUP('6.Inland wetlands'!O92,list!$I$48:$K$50,3,0))))+MIN('Inl. wetlands'!X281,'Inl. wetlands'!Y281)*time_tot+ABS('Inl. wetlands'!Y281-'Inl. wetlands'!X281)*IF('Inl. wetlands'!Y281&gt;'Inl. wetlands'!X281,time_cap+time*(VLOOKUP('6.Inland wetlands'!O92,list!$I$48:$K$50,3,0)),time*(1-(VLOOKUP('6.Inland wetlands'!O92,list!$I$48:$K$50,3,0))))</f>
        <v>0</v>
      </c>
      <c r="AE281" s="1151">
        <f>MIN('Inl. wetlands'!O281,'Inl. wetlands'!Q281)*time_tot+ABS('Inl. wetlands'!Q281-'Inl. wetlands'!O281)*IF('Inl. wetlands'!Q281&gt;'Inl. wetlands'!O281,time_cap+time*(VLOOKUP('6.Inland wetlands'!Q92,list!$I$48:$K$50,3,0)),time*(1-(VLOOKUP('6.Inland wetlands'!Q92,list!$I$48:$K$50,3,0))))+MIN('Inl. wetlands'!X281,'Inl. wetlands'!Z281)*time_tot+ABS('Inl. wetlands'!Z281-'Inl. wetlands'!X281)*IF('Inl. wetlands'!Z281&gt;'Inl. wetlands'!X281,time_cap+time*(VLOOKUP('6.Inland wetlands'!Q92,list!$I$48:$K$50,3,0)),time*(1-(VLOOKUP('6.Inland wetlands'!Q92,list!$I$48:$K$50,3,0))))</f>
        <v>0</v>
      </c>
      <c r="AF281" s="1151">
        <f>MIN('Inl. wetlands'!R281,'Inl. wetlands'!S281)*time_tot+ABS('Inl. wetlands'!S281-'Inl. wetlands'!R281)*IF('Inl. wetlands'!S281&gt;'Inl. wetlands'!R281,time_cap+time*(VLOOKUP('6.Inland wetlands'!O92,list!$I$48:$K$50,3,0)),time*(1-(VLOOKUP('6.Inland wetlands'!O92,list!$I$48:$K$50,3,0))))</f>
        <v>0</v>
      </c>
      <c r="AG281" s="1151">
        <f>MIN('Inl. wetlands'!R281,'Inl. wetlands'!T281)*time_tot+ABS('Inl. wetlands'!T281-'Inl. wetlands'!R281)*IF('Inl. wetlands'!T281&gt;'Inl. wetlands'!R281,time_cap+time*(VLOOKUP('6.Inland wetlands'!Q92,list!$I$48:$K$50,3,0)),time*(1-(VLOOKUP('6.Inland wetlands'!Q92,list!$I$48:$K$50,3,0))))</f>
        <v>0</v>
      </c>
      <c r="AI281" s="1151">
        <f>SUM('Inl. wetlands'!AB273,'Inl. wetlands'!AD273,'Inl. wetlands'!AF273)+AB284+AD284+AF284</f>
        <v>0</v>
      </c>
      <c r="AJ281" s="1151">
        <f>SUM('Inl. wetlands'!AC273,'Inl. wetlands'!AE273,'Inl. wetlands'!AG273)+AC284+AE284+AG284</f>
        <v>0</v>
      </c>
      <c r="AK281" s="3478">
        <f t="shared" si="136"/>
        <v>0</v>
      </c>
      <c r="AX281" s="1461"/>
      <c r="AY281" s="1461"/>
      <c r="AZ281" s="1461"/>
      <c r="BA281" s="1461"/>
      <c r="BB281" s="1461"/>
      <c r="BC281" s="1461"/>
      <c r="BD281" s="1461"/>
      <c r="BE281" s="1461"/>
      <c r="BF281" s="1461"/>
      <c r="BG281" s="1461"/>
    </row>
    <row r="282" spans="1:59" x14ac:dyDescent="0.15">
      <c r="A282" s="1264" t="s">
        <v>1162</v>
      </c>
      <c r="B282" s="1235">
        <f>IFERROR(IF(AND(OR('Inl. wetlands'!$E257="Other land",'Inl. wetlands'!$E257="Degraded land"),'Inl. wetlands'!$J$249=list!$J$210),INDEX(IPCC!$A$1762:$J$1773,MATCH(clim_moist,IPCC!$A$1762:$A$1773,0),MATCH('Inl. wetlands'!$E257,IPCC!$A$1762:$J$1762,0)),IF(AND(OR('Inl. wetlands'!$E257="Other land",'Inl. wetlands'!$E257="Degraded land"),'Inl. wetlands'!$J$249=list!$J$211),INDEX(IPCC!$A$1781:$J$1792,MATCH(clim_moist,IPCC!$A$1781:$A$1792,0),MATCH('Inl. wetlands'!$E257,IPCC!$A$1781:$J$1781,0)),IF('Inl. wetlands'!$J$249=list!$J$210,INDEX(IPCC!$A$1762:$J$1773,MATCH(clim_moist,IPCC!$A$1781:$A$1792,0),MATCH('Inl. wetlands'!$E257,IPCC!$A$1781:$J$1781,0)),IF('Inl. wetlands'!$J$249=list!$J$211,INDEX(IPCC!$A$1781:$J$1792,MATCH(clim_moist,IPCC!$A$1781:$A$1792,0),MATCH('Inl. wetlands'!$E257,IPCC!$A$1781:$J$1781,0)))))),0)</f>
        <v>0</v>
      </c>
      <c r="C282" s="1280">
        <f>IF('6.Inland wetlands'!$CG95="",'6.Inland wetlands'!$CF95,'6.Inland wetlands'!$CG95)</f>
        <v>0</v>
      </c>
      <c r="D282" s="1235">
        <f>IFERROR(IF(AND(OR('Inl. wetlands'!$E257="Other land",'Inl. wetlands'!$E257="Degraded land"),'Inl. wetlands'!$J$249=list!$J$210),INDEX(IPCC!$A$1818:$J$1829,MATCH(clim_moist,IPCC!$A$1818:$A$1829,0),MATCH('Inl. wetlands'!$E257,IPCC!$A$1818:$J$1818,0)),IF(AND(OR('Inl. wetlands'!$E257="Other land",'Inl. wetlands'!$E257="Degraded land"),'Inl. wetlands'!$J$249=list!$J$211),INDEX(IPCC!$A$1836:$J$1847,MATCH(clim_moist,IPCC!$A$1836:$A$1847,0),MATCH('Inl. wetlands'!$E257,IPCC!$A$1836:$J$1836,0)),IF('Inl. wetlands'!$J$249=list!$J$210,INDEX(IPCC!$A$1818:$J$1829,MATCH(clim_moist,IPCC!$A$1818:$A$1829,0),MATCH('Inl. wetlands'!$E257,IPCC!$A$1818:$J$1818,0)),IF('Inl. wetlands'!$J$249=list!$J$211,INDEX(IPCC!$A$1836:$J$1847,MATCH(clim_moist,IPCC!$A$1836:$A$1847,0),MATCH('Inl. wetlands'!$E257,IPCC!$A$1836:$J$1836,0)))))),0)</f>
        <v>0</v>
      </c>
      <c r="E282" s="1280">
        <f>IF('6.Inland wetlands'!$CI95="",'6.Inland wetlands'!$CH95,'6.Inland wetlands'!$CI95)</f>
        <v>0</v>
      </c>
      <c r="F282" s="1235">
        <f>IFERROR(IF(AND(OR('Inl. wetlands'!$E257="Other land",'Inl. wetlands'!$E257="Degraded land"),'Inl. wetlands'!$J$249=list!$J$210),INDEX(IPCC!$A$1872:$J$1883,MATCH(clim_moist,IPCC!$A$1872:$A$1883,0),MATCH('Inl. wetlands'!$E257,IPCC!$A$1872:$J$1872,0)),IF(AND(OR('Inl. wetlands'!$E257="Other land",'Inl. wetlands'!$E257="Degraded land"),'Inl. wetlands'!$J$249=list!$J$211),INDEX(IPCC!$A$1890:$J$1901,MATCH(clim_moist,IPCC!$A$1890:$A$1901,0),MATCH('Inl. wetlands'!$E257,IPCC!$A$1890:$J$1890,0)),IF('Inl. wetlands'!$J$249=list!$J$210,INDEX(IPCC!$A$1872:$J$1883,MATCH(clim_moist,IPCC!$A$1872:$A$1883,0),MATCH('Inl. wetlands'!$E257,IPCC!$A$1872:$J$1872,0)),IF('Inl. wetlands'!$J$249=list!$J$211,INDEX(IPCC!$A$1890:$J$1901,MATCH(clim_moist,IPCC!$A$1890:$A$1901,0),MATCH('Inl. wetlands'!$E257,IPCC!$A$1890:$J$1890,0)))))),0)</f>
        <v>0</v>
      </c>
      <c r="G282" s="1280">
        <f>IF('6.Inland wetlands'!$CK95="",'6.Inland wetlands'!$CJ95,'6.Inland wetlands'!$CK95)</f>
        <v>0</v>
      </c>
      <c r="H282" s="1235">
        <f>IFERROR(IF(AND(OR('Inl. wetlands'!$E257="Other land",'Inl. wetlands'!$E257="Degraded land"),'Inl. wetlands'!$J$249=list!$J$210),INDEX(IPCC!$A$1800:$J$1811,MATCH(clim_moist,IPCC!$A$1800:$A$1811,0),MATCH('Inl. wetlands'!$E257,IPCC!$A$1800:$J$1800,0)),IF(AND(OR('Inl. wetlands'!$E257="Other land",'Inl. wetlands'!$E257="Degraded land"),'Inl. wetlands'!$J$249=list!$J$211),INDEX(IPCC!$A$1800:$J$1811,MATCH(clim_moist,IPCC!$A$1800:$A$1811,0),MATCH('Inl. wetlands'!$E257,IPCC!$A$1800:$J$1800,0)),IF('Inl. wetlands'!$J$249=list!$J$210,INDEX(IPCC!$A$1800:$J$1811,MATCH(clim_moist,IPCC!$A$1800:$A$1811,0),MATCH('Inl. wetlands'!$E257,IPCC!$A$1800:$J$1800,0)),IF('Inl. wetlands'!$J$249=list!$J$211,INDEX(IPCC!$A$1800:$J$1811,MATCH(clim_moist,IPCC!$A$1800:$A$1811,0),MATCH('Inl. wetlands'!$E257,IPCC!$A$1800:$J$1800,0)))))),0)</f>
        <v>0</v>
      </c>
      <c r="I282" s="1162">
        <f>IF('6.Inland wetlands'!$CN95="",'6.Inland wetlands'!$CM95,'6.Inland wetlands'!$CN95)</f>
        <v>0</v>
      </c>
      <c r="J282" s="1111">
        <f>IFERROR(IF(AND(OR('Inl. wetlands'!$E257="Other land",'Inl. wetlands'!$E257="Degraded land"),'Inl. wetlands'!$J$249=list!$J$210),INDEX(IPCC!$A$1854:$J$1865,MATCH(clim_moist,IPCC!$A$1854:$A$1865,0),MATCH('Inl. wetlands'!$E257,IPCC!$A$1854:$J$1854,0)),IF(AND(OR('Inl. wetlands'!$E257="Other land",'Inl. wetlands'!$E257="Degraded land"),'Inl. wetlands'!$J$249=list!$J$211),INDEX(IPCC!$A$1854:$J$1865,MATCH(clim_moist,IPCC!$A$1854:A$1865,0),MATCH('Inl. wetlands'!$E257,IPCC!$A$1854:$J$1854,0)),IF('Inl. wetlands'!$J$249=list!$J$210,INDEX(IPCC!$A$1854:$J$1865,MATCH(clim_moist,IPCC!$A$1854:$A$1865,0),MATCH('Inl. wetlands'!$E257,IPCC!$A$1854:$J$1854,0)),IF('Inl. wetlands'!$J$249=list!$J$211,INDEX(IPCC!$A$1854:$J$1865,MATCH(clim_moist,IPCC!$A$1854:$A$1865,0),MATCH('Inl. wetlands'!$E257,IPCC!$A$1854:$J$1854,0)))))),0)</f>
        <v>0</v>
      </c>
      <c r="K282" s="1161">
        <f>IF('6.Inland wetlands'!$CP95="",'6.Inland wetlands'!$CO95,'6.Inland wetlands'!$CP95)</f>
        <v>0</v>
      </c>
      <c r="L282" s="1543">
        <v>0</v>
      </c>
      <c r="M282" s="1543">
        <f>IF('6.Inland wetlands'!N82=0, 0, IF('6.Inland wetlands'!N93&lt;'6.Inland wetlands'!N82, 'Inl. wetlands'!C282*44/12*'6.Inland wetlands'!N93, 'Inl. wetlands'!C282*44/12*('6.Inland wetlands'!N82)))</f>
        <v>0</v>
      </c>
      <c r="N282" s="4323">
        <f>IF('6.Inland wetlands'!P82=0, 0, IF('6.Inland wetlands'!P93&lt;'6.Inland wetlands'!P82, 'Inl. wetlands'!C282*44/12*'6.Inland wetlands'!P93, 'Inl. wetlands'!C282*44/12*('6.Inland wetlands'!P82)))</f>
        <v>0</v>
      </c>
      <c r="O282" s="1543">
        <v>0</v>
      </c>
      <c r="P282" s="4323">
        <f>IF('6.Inland wetlands'!N82=0, 0, IF('6.Inland wetlands'!N93&lt;'6.Inland wetlands'!N82, 'Inl. wetlands'!E282*methane/1000*'6.Inland wetlands'!N93*(1-'6.Inland wetlands'!X93), 'Inl. wetlands'!E282*methane/1000*('6.Inland wetlands'!N82*(1-'6.Inland wetlands'!X93))))</f>
        <v>0</v>
      </c>
      <c r="Q282" s="4323">
        <f>IF('6.Inland wetlands'!P82=0, 0, IF('6.Inland wetlands'!P93&lt;'6.Inland wetlands'!P82, 'Inl. wetlands'!E282*methane/1000*'6.Inland wetlands'!P93*(1-'6.Inland wetlands'!Y93), 'Inl. wetlands'!E282*methane/1000*('6.Inland wetlands'!P82*(1-'6.Inland wetlands'!Y93))))</f>
        <v>0</v>
      </c>
      <c r="R282" s="1543">
        <v>0</v>
      </c>
      <c r="S282" s="4323">
        <f>IF('6.Inland wetlands'!N82=0, 0, IF('6.Inland wetlands'!N93&lt;'6.Inland wetlands'!N82, 'Inl. wetlands'!G282*44/28*Nitrous/1000*'6.Inland wetlands'!N93, 'Inl. wetlands'!G282*44/28*Nitrous/1000*('6.Inland wetlands'!N82)))</f>
        <v>0</v>
      </c>
      <c r="T282" s="4323">
        <f>IF('6.Inland wetlands'!P82=0, 0, IF('6.Inland wetlands'!P93&lt;'6.Inland wetlands'!P82, 'Inl. wetlands'!G282*44/28*Nitrous/1000*'6.Inland wetlands'!P93, 'Inl. wetlands'!G282*44/28*Nitrous/1000*('6.Inland wetlands'!P82)))</f>
        <v>0</v>
      </c>
      <c r="U282" s="1543">
        <v>0</v>
      </c>
      <c r="V282" s="4323">
        <f>IF('6.Inland wetlands'!N82=0, 0, IF('6.Inland wetlands'!N93&lt;'6.Inland wetlands'!N82, 'Inl. wetlands'!I282*44/12*'6.Inland wetlands'!N93, 'Inl. wetlands'!I282*44/12*('6.Inland wetlands'!N82)))</f>
        <v>0</v>
      </c>
      <c r="W282" s="4323">
        <f>IF('6.Inland wetlands'!P82=0, 0, IF('6.Inland wetlands'!P93&lt;'6.Inland wetlands'!P82, 'Inl. wetlands'!I282*44/12*'6.Inland wetlands'!P93, 'Inl. wetlands'!I282*44/12*('6.Inland wetlands'!P82)))</f>
        <v>0</v>
      </c>
      <c r="X282" s="1543">
        <v>0</v>
      </c>
      <c r="Y282" s="1146">
        <f>IF('6.Inland wetlands'!N82=0, 0, IF('6.Inland wetlands'!N93&lt;'6.Inland wetlands'!N82, 'Inl. wetlands'!K282*methane/1000*'6.Inland wetlands'!N93*('6.Inland wetlands'!X93), 'Inl. wetlands'!K282*methane/1000*('6.Inland wetlands'!N82*('6.Inland wetlands'!X93))))</f>
        <v>0</v>
      </c>
      <c r="Z282" s="1146">
        <f>IF('6.Inland wetlands'!P82=0, 0, IF('6.Inland wetlands'!P93&lt;'6.Inland wetlands'!P82, 'Inl. wetlands'!K282*methane/1000*'6.Inland wetlands'!P93*('6.Inland wetlands'!Y93), 'Inl. wetlands'!K282*methane/1000*('6.Inland wetlands'!P82*('6.Inland wetlands'!Y93))))</f>
        <v>0</v>
      </c>
      <c r="AB282" s="3468">
        <f>MIN('Inl. wetlands'!L282,'Inl. wetlands'!M282)*time_tot+ABS('Inl. wetlands'!M282-'Inl. wetlands'!L282)*IF('Inl. wetlands'!M282&gt;'Inl. wetlands'!L282,time_cap+time*(VLOOKUP('6.Inland wetlands'!O93,list!$I$48:$K$50,3,0)),time*(1-(VLOOKUP('6.Inland wetlands'!O93,list!$I$48:$K$50,3,0))))+MIN('Inl. wetlands'!U282,'Inl. wetlands'!V282)*time_tot+ABS('Inl. wetlands'!V282-'Inl. wetlands'!U282)*IF('Inl. wetlands'!V282&gt;'Inl. wetlands'!U282,time_cap+time*(VLOOKUP('6.Inland wetlands'!O93,list!$I$48:$K$50,3,0)),time*(1-(VLOOKUP('6.Inland wetlands'!O93,list!$I$48:$K$50,3,0))))</f>
        <v>0</v>
      </c>
      <c r="AC282" s="3468">
        <f>MIN('Inl. wetlands'!L282,'Inl. wetlands'!N282)*time_tot+ABS('Inl. wetlands'!N282-'Inl. wetlands'!L282)*IF('Inl. wetlands'!N282&gt;'Inl. wetlands'!L282,time_cap+time*(VLOOKUP('6.Inland wetlands'!Q93,list!$I$48:$K$50,3,0)),time*(1-(VLOOKUP('6.Inland wetlands'!Q93,list!$I$48:$K$50,3,0))))+MIN('Inl. wetlands'!U282,'Inl. wetlands'!W282)*time_tot+ABS('Inl. wetlands'!W282-'Inl. wetlands'!U282)*IF('Inl. wetlands'!W282&gt;'Inl. wetlands'!U282,time_cap+time*(VLOOKUP('6.Inland wetlands'!Q93,list!$I$48:$K$50,3,0)),time*(1-(VLOOKUP('6.Inland wetlands'!Q93,list!$I$48:$K$50,3,0))))</f>
        <v>0</v>
      </c>
      <c r="AD282" s="1151">
        <f>MIN('Inl. wetlands'!O282,'Inl. wetlands'!P282)*time_tot+ABS('Inl. wetlands'!P282-'Inl. wetlands'!O282)*IF('Inl. wetlands'!P282&gt;'Inl. wetlands'!O282,time_cap+time*(VLOOKUP('6.Inland wetlands'!O93,list!$I$48:$K$50,3,0)),time*(1-(VLOOKUP('6.Inland wetlands'!O93,list!$I$48:$K$50,3,0))))+MIN('Inl. wetlands'!X282,'Inl. wetlands'!Y282)*time_tot+ABS('Inl. wetlands'!Y282-'Inl. wetlands'!X282)*IF('Inl. wetlands'!Y282&gt;'Inl. wetlands'!X282,time_cap+time*(VLOOKUP('6.Inland wetlands'!O93,list!$I$48:$K$50,3,0)),time*(1-(VLOOKUP('6.Inland wetlands'!O93,list!$I$48:$K$50,3,0))))</f>
        <v>0</v>
      </c>
      <c r="AE282" s="1151">
        <f>MIN('Inl. wetlands'!O282,'Inl. wetlands'!Q282)*time_tot+ABS('Inl. wetlands'!Q282-'Inl. wetlands'!O282)*IF('Inl. wetlands'!Q282&gt;'Inl. wetlands'!O282,time_cap+time*(VLOOKUP('6.Inland wetlands'!Q93,list!$I$48:$K$50,3,0)),time*(1-(VLOOKUP('6.Inland wetlands'!Q93,list!$I$48:$K$50,3,0))))+MIN('Inl. wetlands'!X282,'Inl. wetlands'!Z282)*time_tot+ABS('Inl. wetlands'!Z282-'Inl. wetlands'!X282)*IF('Inl. wetlands'!Z282&gt;'Inl. wetlands'!X282,time_cap+time*(VLOOKUP('6.Inland wetlands'!Q93,list!$I$48:$K$50,3,0)),time*(1-(VLOOKUP('6.Inland wetlands'!Q93,list!$I$48:$K$50,3,0))))</f>
        <v>0</v>
      </c>
      <c r="AF282" s="1151">
        <f>MIN('Inl. wetlands'!R282,'Inl. wetlands'!S282)*time_tot+ABS('Inl. wetlands'!S282-'Inl. wetlands'!R282)*IF('Inl. wetlands'!S282&gt;'Inl. wetlands'!R282,time_cap+time*(VLOOKUP('6.Inland wetlands'!O93,list!$I$48:$K$50,3,0)),time*(1-(VLOOKUP('6.Inland wetlands'!O93,list!$I$48:$K$50,3,0))))</f>
        <v>0</v>
      </c>
      <c r="AG282" s="1151">
        <f>MIN('Inl. wetlands'!R282,'Inl. wetlands'!T282)*time_tot+ABS('Inl. wetlands'!T282-'Inl. wetlands'!R282)*IF('Inl. wetlands'!T282&gt;'Inl. wetlands'!R282,time_cap+time*(VLOOKUP('6.Inland wetlands'!Q93,list!$I$48:$K$50,3,0)),time*(1-(VLOOKUP('6.Inland wetlands'!Q93,list!$I$48:$K$50,3,0))))</f>
        <v>0</v>
      </c>
      <c r="AI282" s="1151">
        <f>SUM('Inl. wetlands'!AB274,'Inl. wetlands'!AD274,'Inl. wetlands'!AF274)+AB285+AD285+AF285</f>
        <v>0</v>
      </c>
      <c r="AJ282" s="1151">
        <f>SUM('Inl. wetlands'!AC274,'Inl. wetlands'!AE274,'Inl. wetlands'!AG274)+AC285+AE285+AG285</f>
        <v>0</v>
      </c>
      <c r="AK282" s="3478">
        <f t="shared" si="136"/>
        <v>0</v>
      </c>
      <c r="AX282" s="1461"/>
      <c r="AY282" s="1461"/>
      <c r="AZ282" s="1461"/>
      <c r="BA282" s="1461"/>
      <c r="BB282" s="1461"/>
      <c r="BC282" s="1461"/>
      <c r="BD282" s="1461"/>
      <c r="BE282" s="1461"/>
      <c r="BF282" s="1461"/>
      <c r="BG282" s="1461"/>
    </row>
    <row r="283" spans="1:59" x14ac:dyDescent="0.15">
      <c r="A283" s="1264" t="s">
        <v>1163</v>
      </c>
      <c r="B283" s="1235">
        <f>IFERROR(IF(AND(OR('Inl. wetlands'!$E258="Other land",'Inl. wetlands'!$E258="Degraded land"),'Inl. wetlands'!$J$249=list!$J$210),INDEX(IPCC!$A$1762:$J$1773,MATCH(clim_moist,IPCC!$A$1762:$A$1773,0),MATCH('Inl. wetlands'!$E258,IPCC!$A$1762:$J$1762,0)),IF(AND(OR('Inl. wetlands'!$E258="Other land",'Inl. wetlands'!$E258="Degraded land"),'Inl. wetlands'!$J$249=list!$J$211),INDEX(IPCC!$A$1781:$J$1792,MATCH(clim_moist,IPCC!$A$1781:$A$1792,0),MATCH('Inl. wetlands'!$E258,IPCC!$A$1781:$J$1781,0)),IF('Inl. wetlands'!$J$249=list!$J$210,INDEX(IPCC!$A$1762:$J$1773,MATCH(clim_moist,IPCC!$A$1781:$A$1792,0),MATCH('Inl. wetlands'!$E258,IPCC!$A$1781:$J$1781,0)),IF('Inl. wetlands'!$J$249=list!$J$211,INDEX(IPCC!$A$1781:$J$1792,MATCH(clim_moist,IPCC!$A$1781:$A$1792,0),MATCH('Inl. wetlands'!$E258,IPCC!$A$1781:$J$1781,0)))))),0)</f>
        <v>0</v>
      </c>
      <c r="C283" s="1280">
        <f>IF('6.Inland wetlands'!$CG96="",'6.Inland wetlands'!$CF96,'6.Inland wetlands'!$CG96)</f>
        <v>0</v>
      </c>
      <c r="D283" s="1235">
        <f>IFERROR(IF(AND(OR('Inl. wetlands'!$E258="Other land",'Inl. wetlands'!$E258="Degraded land"),'Inl. wetlands'!$J$249=list!$J$210),INDEX(IPCC!$A$1818:$J$1829,MATCH(clim_moist,IPCC!$A$1818:$A$1829,0),MATCH('Inl. wetlands'!$E258,IPCC!$A$1818:$J$1818,0)),IF(AND(OR('Inl. wetlands'!$E258="Other land",'Inl. wetlands'!$E258="Degraded land"),'Inl. wetlands'!$J$249=list!$J$211),INDEX(IPCC!$A$1836:$J$1847,MATCH(clim_moist,IPCC!$A$1836:$A$1847,0),MATCH('Inl. wetlands'!$E258,IPCC!$A$1836:$J$1836,0)),IF('Inl. wetlands'!$J$249=list!$J$210,INDEX(IPCC!$A$1818:$J$1829,MATCH(clim_moist,IPCC!$A$1818:$A$1829,0),MATCH('Inl. wetlands'!$E258,IPCC!$A$1818:$J$1818,0)),IF('Inl. wetlands'!$J$249=list!$J$211,INDEX(IPCC!$A$1836:$J$1847,MATCH(clim_moist,IPCC!$A$1836:$A$1847,0),MATCH('Inl. wetlands'!$E258,IPCC!$A$1836:$J$1836,0)))))),0)</f>
        <v>0</v>
      </c>
      <c r="E283" s="1280">
        <f>IF('6.Inland wetlands'!$CI96="",'6.Inland wetlands'!$CH96,'6.Inland wetlands'!$CI96)</f>
        <v>0</v>
      </c>
      <c r="F283" s="1235">
        <f>IFERROR(IF(AND(OR('Inl. wetlands'!$E258="Other land",'Inl. wetlands'!$E258="Degraded land"),'Inl. wetlands'!$J$249=list!$J$210),INDEX(IPCC!$A$1872:$J$1883,MATCH(clim_moist,IPCC!$A$1872:$A$1883,0),MATCH('Inl. wetlands'!$E258,IPCC!$A$1872:$J$1872,0)),IF(AND(OR('Inl. wetlands'!$E258="Other land",'Inl. wetlands'!$E258="Degraded land"),'Inl. wetlands'!$J$249=list!$J$211),INDEX(IPCC!$A$1890:$J$1901,MATCH(clim_moist,IPCC!$A$1890:$A$1901,0),MATCH('Inl. wetlands'!$E258,IPCC!$A$1890:$J$1890,0)),IF('Inl. wetlands'!$J$249=list!$J$210,INDEX(IPCC!$A$1872:$J$1883,MATCH(clim_moist,IPCC!$A$1872:$A$1883,0),MATCH('Inl. wetlands'!$E258,IPCC!$A$1872:$J$1872,0)),IF('Inl. wetlands'!$J$249=list!$J$211,INDEX(IPCC!$A$1890:$J$1901,MATCH(clim_moist,IPCC!$A$1890:$A$1901,0),MATCH('Inl. wetlands'!$E258,IPCC!$A$1890:$J$1890,0)))))),0)</f>
        <v>0</v>
      </c>
      <c r="G283" s="1280">
        <f>IF('6.Inland wetlands'!$CK96="",'6.Inland wetlands'!$CJ96,'6.Inland wetlands'!$CK96)</f>
        <v>0</v>
      </c>
      <c r="H283" s="1235">
        <f>IFERROR(IF(AND(OR('Inl. wetlands'!$E258="Other land",'Inl. wetlands'!$E258="Degraded land"),'Inl. wetlands'!$J$249=list!$J$210),INDEX(IPCC!$A$1800:$J$1811,MATCH(clim_moist,IPCC!$A$1800:$A$1811,0),MATCH('Inl. wetlands'!$E258,IPCC!$A$1800:$J$1800,0)),IF(AND(OR('Inl. wetlands'!$E258="Other land",'Inl. wetlands'!$E258="Degraded land"),'Inl. wetlands'!$J$249=list!$J$211),INDEX(IPCC!$A$1800:$J$1811,MATCH(clim_moist,IPCC!$A$1800:$A$1811,0),MATCH('Inl. wetlands'!$E258,IPCC!$A$1800:$J$1800,0)),IF('Inl. wetlands'!$J$249=list!$J$210,INDEX(IPCC!$A$1800:$J$1811,MATCH(clim_moist,IPCC!$A$1800:$A$1811,0),MATCH('Inl. wetlands'!$E258,IPCC!$A$1800:$J$1800,0)),IF('Inl. wetlands'!$J$249=list!$J$211,INDEX(IPCC!$A$1800:$J$1811,MATCH(clim_moist,IPCC!$A$1800:$A$1811,0),MATCH('Inl. wetlands'!$E258,IPCC!$A$1800:$J$1800,0)))))),0)</f>
        <v>0</v>
      </c>
      <c r="I283" s="1162">
        <f>IF('6.Inland wetlands'!$CN96="",'6.Inland wetlands'!$CM96,'6.Inland wetlands'!$CN96)</f>
        <v>0</v>
      </c>
      <c r="J283" s="1111">
        <f>IFERROR(IF(AND(OR('Inl. wetlands'!$E258="Other land",'Inl. wetlands'!$E258="Degraded land"),'Inl. wetlands'!$J$249=list!$J$210),INDEX(IPCC!$A$1854:$J$1865,MATCH(clim_moist,IPCC!$A$1854:$A$1865,0),MATCH('Inl. wetlands'!$E258,IPCC!$A$1854:$J$1854,0)),IF(AND(OR('Inl. wetlands'!$E258="Other land",'Inl. wetlands'!$E258="Degraded land"),'Inl. wetlands'!$J$249=list!$J$211),INDEX(IPCC!$A$1854:$J$1865,MATCH(clim_moist,IPCC!$A$1854:A$1865,0),MATCH('Inl. wetlands'!$E258,IPCC!$A$1854:$J$1854,0)),IF('Inl. wetlands'!$J$249=list!$J$210,INDEX(IPCC!$A$1854:$J$1865,MATCH(clim_moist,IPCC!$A$1854:$A$1865,0),MATCH('Inl. wetlands'!$E258,IPCC!$A$1854:$J$1854,0)),IF('Inl. wetlands'!$J$249=list!$J$211,INDEX(IPCC!$A$1854:$J$1865,MATCH(clim_moist,IPCC!$A$1854:$A$1865,0),MATCH('Inl. wetlands'!$E258,IPCC!$A$1854:$J$1854,0)))))),0)</f>
        <v>0</v>
      </c>
      <c r="K283" s="1161">
        <f>IF('6.Inland wetlands'!$CP96="",'6.Inland wetlands'!$CO96,'6.Inland wetlands'!$CP96)</f>
        <v>0</v>
      </c>
      <c r="L283" s="1543">
        <v>0</v>
      </c>
      <c r="M283" s="1543">
        <f>IF('6.Inland wetlands'!N83=0, 0, IF('6.Inland wetlands'!N94&lt;'6.Inland wetlands'!N83, 'Inl. wetlands'!C283*44/12*'6.Inland wetlands'!N94, 'Inl. wetlands'!C283*44/12*('6.Inland wetlands'!N83)))</f>
        <v>0</v>
      </c>
      <c r="N283" s="4323">
        <f>IF('6.Inland wetlands'!P83=0, 0, IF('6.Inland wetlands'!P94&lt;'6.Inland wetlands'!P83, 'Inl. wetlands'!C283*44/12*'6.Inland wetlands'!P94, 'Inl. wetlands'!C283*44/12*('6.Inland wetlands'!P83)))</f>
        <v>0</v>
      </c>
      <c r="O283" s="1543">
        <v>0</v>
      </c>
      <c r="P283" s="4323">
        <f>IF('6.Inland wetlands'!N83=0, 0, IF('6.Inland wetlands'!N94&lt;'6.Inland wetlands'!N83, 'Inl. wetlands'!E283*methane/1000*'6.Inland wetlands'!N94*(1-'6.Inland wetlands'!X94), 'Inl. wetlands'!E283*methane/1000*('6.Inland wetlands'!N83*(1-'6.Inland wetlands'!X94))))</f>
        <v>0</v>
      </c>
      <c r="Q283" s="4323">
        <f>IF('6.Inland wetlands'!P83=0, 0, IF('6.Inland wetlands'!P94&lt;'6.Inland wetlands'!P83, 'Inl. wetlands'!E283*methane/1000*'6.Inland wetlands'!P94*(1-'6.Inland wetlands'!Y94), 'Inl. wetlands'!E283*methane/1000*('6.Inland wetlands'!P83*(1-'6.Inland wetlands'!Y94))))</f>
        <v>0</v>
      </c>
      <c r="R283" s="1543">
        <v>0</v>
      </c>
      <c r="S283" s="4323">
        <f>IF('6.Inland wetlands'!N83=0, 0, IF('6.Inland wetlands'!N94&lt;'6.Inland wetlands'!N83, 'Inl. wetlands'!G283*44/28*Nitrous/1000*'6.Inland wetlands'!N94, 'Inl. wetlands'!G283*44/28*Nitrous/1000*('6.Inland wetlands'!N83)))</f>
        <v>0</v>
      </c>
      <c r="T283" s="4323">
        <f>IF('6.Inland wetlands'!P83=0, 0, IF('6.Inland wetlands'!P94&lt;'6.Inland wetlands'!P83, 'Inl. wetlands'!G283*44/28*Nitrous/1000*'6.Inland wetlands'!P94, 'Inl. wetlands'!G283*44/28*Nitrous/1000*('6.Inland wetlands'!P83)))</f>
        <v>0</v>
      </c>
      <c r="U283" s="1543">
        <v>0</v>
      </c>
      <c r="V283" s="4323">
        <f>IF('6.Inland wetlands'!N83=0, 0, IF('6.Inland wetlands'!N94&lt;'6.Inland wetlands'!N83, 'Inl. wetlands'!I283*44/12*'6.Inland wetlands'!N94, 'Inl. wetlands'!I283*44/12*('6.Inland wetlands'!N83)))</f>
        <v>0</v>
      </c>
      <c r="W283" s="4323">
        <f>IF('6.Inland wetlands'!P83=0, 0, IF('6.Inland wetlands'!P94&lt;'6.Inland wetlands'!P83, 'Inl. wetlands'!I283*44/12*'6.Inland wetlands'!P94, 'Inl. wetlands'!I283*44/12*('6.Inland wetlands'!P83)))</f>
        <v>0</v>
      </c>
      <c r="X283" s="1543">
        <v>0</v>
      </c>
      <c r="Y283" s="1146">
        <f>IF('6.Inland wetlands'!N83=0, 0, IF('6.Inland wetlands'!N94&lt;'6.Inland wetlands'!N83, 'Inl. wetlands'!K283*methane/1000*'6.Inland wetlands'!N94*('6.Inland wetlands'!X94), 'Inl. wetlands'!K283*methane/1000*('6.Inland wetlands'!N83*('6.Inland wetlands'!X94))))</f>
        <v>0</v>
      </c>
      <c r="Z283" s="1146">
        <f>IF('6.Inland wetlands'!P83=0, 0, IF('6.Inland wetlands'!P94&lt;'6.Inland wetlands'!P83, 'Inl. wetlands'!K283*methane/1000*'6.Inland wetlands'!P94*('6.Inland wetlands'!Y94), 'Inl. wetlands'!K283*methane/1000*('6.Inland wetlands'!P83*('6.Inland wetlands'!Y94))))</f>
        <v>0</v>
      </c>
      <c r="AB283" s="3468">
        <f>MIN('Inl. wetlands'!L283,'Inl. wetlands'!M283)*time_tot+ABS('Inl. wetlands'!M283-'Inl. wetlands'!L283)*IF('Inl. wetlands'!M283&gt;'Inl. wetlands'!L283,time_cap+time*(VLOOKUP('6.Inland wetlands'!O94,list!$I$48:$K$50,3,0)),time*(1-(VLOOKUP('6.Inland wetlands'!O94,list!$I$48:$K$50,3,0))))+MIN('Inl. wetlands'!U283,'Inl. wetlands'!V283)*time_tot+ABS('Inl. wetlands'!V283-'Inl. wetlands'!U283)*IF('Inl. wetlands'!V283&gt;'Inl. wetlands'!U283,time_cap+time*(VLOOKUP('6.Inland wetlands'!O94,list!$I$48:$K$50,3,0)),time*(1-(VLOOKUP('6.Inland wetlands'!O94,list!$I$48:$K$50,3,0))))</f>
        <v>0</v>
      </c>
      <c r="AC283" s="3468">
        <f>MIN('Inl. wetlands'!L283,'Inl. wetlands'!N283)*time_tot+ABS('Inl. wetlands'!N283-'Inl. wetlands'!L283)*IF('Inl. wetlands'!N283&gt;'Inl. wetlands'!L283,time_cap+time*(VLOOKUP('6.Inland wetlands'!Q94,list!$I$48:$K$50,3,0)),time*(1-(VLOOKUP('6.Inland wetlands'!Q94,list!$I$48:$K$50,3,0))))+MIN('Inl. wetlands'!U283,'Inl. wetlands'!W283)*time_tot+ABS('Inl. wetlands'!W283-'Inl. wetlands'!U283)*IF('Inl. wetlands'!W283&gt;'Inl. wetlands'!U283,time_cap+time*(VLOOKUP('6.Inland wetlands'!Q94,list!$I$48:$K$50,3,0)),time*(1-(VLOOKUP('6.Inland wetlands'!Q94,list!$I$48:$K$50,3,0))))</f>
        <v>0</v>
      </c>
      <c r="AD283" s="1151">
        <f>MIN('Inl. wetlands'!O283,'Inl. wetlands'!P283)*time_tot+ABS('Inl. wetlands'!P283-'Inl. wetlands'!O283)*IF('Inl. wetlands'!P283&gt;'Inl. wetlands'!O283,time_cap+time*(VLOOKUP('6.Inland wetlands'!O94,list!$I$48:$K$50,3,0)),time*(1-(VLOOKUP('6.Inland wetlands'!O94,list!$I$48:$K$50,3,0))))+MIN('Inl. wetlands'!X283,'Inl. wetlands'!Y283)*time_tot+ABS('Inl. wetlands'!Y283-'Inl. wetlands'!X283)*IF('Inl. wetlands'!Y283&gt;'Inl. wetlands'!X283,time_cap+time*(VLOOKUP('6.Inland wetlands'!O94,list!$I$48:$K$50,3,0)),time*(1-(VLOOKUP('6.Inland wetlands'!O94,list!$I$48:$K$50,3,0))))</f>
        <v>0</v>
      </c>
      <c r="AE283" s="1151">
        <f>MIN('Inl. wetlands'!O283,'Inl. wetlands'!Q283)*time_tot+ABS('Inl. wetlands'!Q283-'Inl. wetlands'!O283)*IF('Inl. wetlands'!Q283&gt;'Inl. wetlands'!O283,time_cap+time*(VLOOKUP('6.Inland wetlands'!Q94,list!$I$48:$K$50,3,0)),time*(1-(VLOOKUP('6.Inland wetlands'!Q94,list!$I$48:$K$50,3,0))))+MIN('Inl. wetlands'!X283,'Inl. wetlands'!Z283)*time_tot+ABS('Inl. wetlands'!Z283-'Inl. wetlands'!X283)*IF('Inl. wetlands'!Z283&gt;'Inl. wetlands'!X283,time_cap+time*(VLOOKUP('6.Inland wetlands'!Q94,list!$I$48:$K$50,3,0)),time*(1-(VLOOKUP('6.Inland wetlands'!Q94,list!$I$48:$K$50,3,0))))</f>
        <v>0</v>
      </c>
      <c r="AF283" s="1151">
        <f>MIN('Inl. wetlands'!R283,'Inl. wetlands'!S283)*time_tot+ABS('Inl. wetlands'!S283-'Inl. wetlands'!R283)*IF('Inl. wetlands'!S283&gt;'Inl. wetlands'!R283,time_cap+time*(VLOOKUP('6.Inland wetlands'!O94,list!$I$48:$K$50,3,0)),time*(1-(VLOOKUP('6.Inland wetlands'!O94,list!$I$48:$K$50,3,0))))</f>
        <v>0</v>
      </c>
      <c r="AG283" s="1151">
        <f>MIN('Inl. wetlands'!R283,'Inl. wetlands'!T283)*time_tot+ABS('Inl. wetlands'!T283-'Inl. wetlands'!R283)*IF('Inl. wetlands'!T283&gt;'Inl. wetlands'!R283,time_cap+time*(VLOOKUP('6.Inland wetlands'!Q94,list!$I$48:$K$50,3,0)),time*(1-(VLOOKUP('6.Inland wetlands'!Q94,list!$I$48:$K$50,3,0))))</f>
        <v>0</v>
      </c>
      <c r="AX283" s="1461"/>
      <c r="AY283" s="1461"/>
      <c r="AZ283" s="1461"/>
      <c r="BA283" s="1461"/>
      <c r="BB283" s="1461"/>
      <c r="BC283" s="1461"/>
      <c r="BD283" s="1461"/>
      <c r="BE283" s="1461"/>
      <c r="BF283" s="1461"/>
      <c r="BG283" s="1461"/>
    </row>
    <row r="284" spans="1:59" x14ac:dyDescent="0.15">
      <c r="A284" s="1264" t="s">
        <v>1164</v>
      </c>
      <c r="B284" s="1235">
        <f>IFERROR(IF(AND(OR('Inl. wetlands'!$E259="Other land",'Inl. wetlands'!$E259="Degraded land"),'Inl. wetlands'!$J$249=list!$J$210),INDEX(IPCC!$A$1762:$J$1773,MATCH(clim_moist,IPCC!$A$1762:$A$1773,0),MATCH('Inl. wetlands'!$E259,IPCC!$A$1762:$J$1762,0)),IF(AND(OR('Inl. wetlands'!$E259="Other land",'Inl. wetlands'!$E259="Degraded land"),'Inl. wetlands'!$J$249=list!$J$211),INDEX(IPCC!$A$1781:$J$1792,MATCH(clim_moist,IPCC!$A$1781:$A$1792,0),MATCH('Inl. wetlands'!$E259,IPCC!$A$1781:$J$1781,0)),IF('Inl. wetlands'!$J$249=list!$J$210,INDEX(IPCC!$A$1762:$J$1773,MATCH(clim_moist,IPCC!$A$1781:$A$1792,0),MATCH('Inl. wetlands'!$E259,IPCC!$A$1781:$J$1781,0)),IF('Inl. wetlands'!$J$249=list!$J$211,INDEX(IPCC!$A$1781:$J$1792,MATCH(clim_moist,IPCC!$A$1781:$A$1792,0),MATCH('Inl. wetlands'!$E259,IPCC!$A$1781:$J$1781,0)))))),0)</f>
        <v>0</v>
      </c>
      <c r="C284" s="1280">
        <f>IF('6.Inland wetlands'!$CG97="",'6.Inland wetlands'!$CF97,'6.Inland wetlands'!$CG97)</f>
        <v>0</v>
      </c>
      <c r="D284" s="1235">
        <f>IFERROR(IF(AND(OR('Inl. wetlands'!$E259="Other land",'Inl. wetlands'!$E259="Degraded land"),'Inl. wetlands'!$J$249=list!$J$210),INDEX(IPCC!$A$1818:$J$1829,MATCH(clim_moist,IPCC!$A$1818:$A$1829,0),MATCH('Inl. wetlands'!$E259,IPCC!$A$1818:$J$1818,0)),IF(AND(OR('Inl. wetlands'!$E259="Other land",'Inl. wetlands'!$E259="Degraded land"),'Inl. wetlands'!$J$249=list!$J$211),INDEX(IPCC!$A$1836:$J$1847,MATCH(clim_moist,IPCC!$A$1836:$A$1847,0),MATCH('Inl. wetlands'!$E259,IPCC!$A$1836:$J$1836,0)),IF('Inl. wetlands'!$J$249=list!$J$210,INDEX(IPCC!$A$1818:$J$1829,MATCH(clim_moist,IPCC!$A$1818:$A$1829,0),MATCH('Inl. wetlands'!$E259,IPCC!$A$1818:$J$1818,0)),IF('Inl. wetlands'!$J$249=list!$J$211,INDEX(IPCC!$A$1836:$J$1847,MATCH(clim_moist,IPCC!$A$1836:$A$1847,0),MATCH('Inl. wetlands'!$E259,IPCC!$A$1836:$J$1836,0)))))),0)</f>
        <v>0</v>
      </c>
      <c r="E284" s="1280">
        <f>IF('6.Inland wetlands'!$CI97="",'6.Inland wetlands'!$CH97,'6.Inland wetlands'!$CI97)</f>
        <v>0</v>
      </c>
      <c r="F284" s="1235">
        <f>IFERROR(IF(AND(OR('Inl. wetlands'!$E259="Other land",'Inl. wetlands'!$E259="Degraded land"),'Inl. wetlands'!$J$249=list!$J$210),INDEX(IPCC!$A$1872:$J$1883,MATCH(clim_moist,IPCC!$A$1872:$A$1883,0),MATCH('Inl. wetlands'!$E259,IPCC!$A$1872:$J$1872,0)),IF(AND(OR('Inl. wetlands'!$E259="Other land",'Inl. wetlands'!$E259="Degraded land"),'Inl. wetlands'!$J$249=list!$J$211),INDEX(IPCC!$A$1890:$J$1901,MATCH(clim_moist,IPCC!$A$1890:$A$1901,0),MATCH('Inl. wetlands'!$E259,IPCC!$A$1890:$J$1890,0)),IF('Inl. wetlands'!$J$249=list!$J$210,INDEX(IPCC!$A$1872:$J$1883,MATCH(clim_moist,IPCC!$A$1872:$A$1883,0),MATCH('Inl. wetlands'!$E259,IPCC!$A$1872:$J$1872,0)),IF('Inl. wetlands'!$J$249=list!$J$211,INDEX(IPCC!$A$1890:$J$1901,MATCH(clim_moist,IPCC!$A$1890:$A$1901,0),MATCH('Inl. wetlands'!$E259,IPCC!$A$1890:$J$1890,0)))))),0)</f>
        <v>0</v>
      </c>
      <c r="G284" s="1280">
        <f>IF('6.Inland wetlands'!$CK97="",'6.Inland wetlands'!$CJ97,'6.Inland wetlands'!$CK97)</f>
        <v>0</v>
      </c>
      <c r="H284" s="1235">
        <f>IFERROR(IF(AND(OR('Inl. wetlands'!$E259="Other land",'Inl. wetlands'!$E259="Degraded land"),'Inl. wetlands'!$J$249=list!$J$210),INDEX(IPCC!$A$1800:$J$1811,MATCH(clim_moist,IPCC!$A$1800:$A$1811,0),MATCH('Inl. wetlands'!$E259,IPCC!$A$1800:$J$1800,0)),IF(AND(OR('Inl. wetlands'!$E259="Other land",'Inl. wetlands'!$E259="Degraded land"),'Inl. wetlands'!$J$249=list!$J$211),INDEX(IPCC!$A$1800:$J$1811,MATCH(clim_moist,IPCC!$A$1800:$A$1811,0),MATCH('Inl. wetlands'!$E259,IPCC!$A$1800:$J$1800,0)),IF('Inl. wetlands'!$J$249=list!$J$210,INDEX(IPCC!$A$1800:$J$1811,MATCH(clim_moist,IPCC!$A$1800:$A$1811,0),MATCH('Inl. wetlands'!$E259,IPCC!$A$1800:$J$1800,0)),IF('Inl. wetlands'!$J$249=list!$J$211,INDEX(IPCC!$A$1800:$J$1811,MATCH(clim_moist,IPCC!$A$1800:$A$1811,0),MATCH('Inl. wetlands'!$E259,IPCC!$A$1800:$J$1800,0)))))),0)</f>
        <v>0</v>
      </c>
      <c r="I284" s="1162">
        <f>IF('6.Inland wetlands'!$CN97="",'6.Inland wetlands'!$CM97,'6.Inland wetlands'!$CN97)</f>
        <v>0</v>
      </c>
      <c r="J284" s="1111">
        <f>IFERROR(IF(AND(OR('Inl. wetlands'!$E259="Other land",'Inl. wetlands'!$E259="Degraded land"),'Inl. wetlands'!$J$249=list!$J$210),INDEX(IPCC!$A$1854:$J$1865,MATCH(clim_moist,IPCC!$A$1854:$A$1865,0),MATCH('Inl. wetlands'!$E259,IPCC!$A$1854:$J$1854,0)),IF(AND(OR('Inl. wetlands'!$E259="Other land",'Inl. wetlands'!$E259="Degraded land"),'Inl. wetlands'!$J$249=list!$J$211),INDEX(IPCC!$A$1854:$J$1865,MATCH(clim_moist,IPCC!$A$1854:A$1865,0),MATCH('Inl. wetlands'!$E259,IPCC!$A$1854:$J$1854,0)),IF('Inl. wetlands'!$J$249=list!$J$210,INDEX(IPCC!$A$1854:$J$1865,MATCH(clim_moist,IPCC!$A$1854:$A$1865,0),MATCH('Inl. wetlands'!$E259,IPCC!$A$1854:$J$1854,0)),IF('Inl. wetlands'!$J$249=list!$J$211,INDEX(IPCC!$A$1854:$J$1865,MATCH(clim_moist,IPCC!$A$1854:$A$1865,0),MATCH('Inl. wetlands'!$E259,IPCC!$A$1854:$J$1854,0)))))),0)</f>
        <v>0</v>
      </c>
      <c r="K284" s="1161">
        <f>IF('6.Inland wetlands'!$CP97="",'6.Inland wetlands'!$CO97,'6.Inland wetlands'!$CP97)</f>
        <v>0</v>
      </c>
      <c r="L284" s="1543">
        <v>0</v>
      </c>
      <c r="M284" s="1543">
        <f>IF('6.Inland wetlands'!N84=0, 0, IF('6.Inland wetlands'!N95&lt;'6.Inland wetlands'!N84, 'Inl. wetlands'!C284*44/12*'6.Inland wetlands'!N95, 'Inl. wetlands'!C284*44/12*('6.Inland wetlands'!N84)))</f>
        <v>0</v>
      </c>
      <c r="N284" s="4323">
        <f>IF('6.Inland wetlands'!P84=0, 0, IF('6.Inland wetlands'!P95&lt;'6.Inland wetlands'!P84, 'Inl. wetlands'!C284*44/12*'6.Inland wetlands'!P95, 'Inl. wetlands'!C284*44/12*('6.Inland wetlands'!P84)))</f>
        <v>0</v>
      </c>
      <c r="O284" s="1543">
        <v>0</v>
      </c>
      <c r="P284" s="4323">
        <f>IF('6.Inland wetlands'!N84=0, 0, IF('6.Inland wetlands'!N95&lt;'6.Inland wetlands'!N84, 'Inl. wetlands'!E284*methane/1000*'6.Inland wetlands'!N95*(1-'6.Inland wetlands'!X95), 'Inl. wetlands'!E284*methane/1000*('6.Inland wetlands'!N84*(1-'6.Inland wetlands'!X95))))</f>
        <v>0</v>
      </c>
      <c r="Q284" s="4323">
        <f>IF('6.Inland wetlands'!P84=0, 0, IF('6.Inland wetlands'!P95&lt;'6.Inland wetlands'!P84, 'Inl. wetlands'!E284*methane/1000*'6.Inland wetlands'!P95*(1-'6.Inland wetlands'!Y95), 'Inl. wetlands'!E284*methane/1000*('6.Inland wetlands'!P84*(1-'6.Inland wetlands'!Y95))))</f>
        <v>0</v>
      </c>
      <c r="R284" s="1543">
        <v>0</v>
      </c>
      <c r="S284" s="4323">
        <f>IF('6.Inland wetlands'!N84=0, 0, IF('6.Inland wetlands'!N95&lt;'6.Inland wetlands'!N84, 'Inl. wetlands'!G284*44/28*Nitrous/1000*'6.Inland wetlands'!N95, 'Inl. wetlands'!G284*44/28*Nitrous/1000*('6.Inland wetlands'!N84)))</f>
        <v>0</v>
      </c>
      <c r="T284" s="4323">
        <f>IF('6.Inland wetlands'!P84=0, 0, IF('6.Inland wetlands'!P95&lt;'6.Inland wetlands'!P84, 'Inl. wetlands'!G284*44/28*Nitrous/1000*'6.Inland wetlands'!P95, 'Inl. wetlands'!G284*44/28*Nitrous/1000*('6.Inland wetlands'!P84)))</f>
        <v>0</v>
      </c>
      <c r="U284" s="1543">
        <v>0</v>
      </c>
      <c r="V284" s="4323">
        <f>IF('6.Inland wetlands'!N84=0, 0, IF('6.Inland wetlands'!N95&lt;'6.Inland wetlands'!N84, 'Inl. wetlands'!I284*44/12*'6.Inland wetlands'!N95, 'Inl. wetlands'!I284*44/12*('6.Inland wetlands'!N84)))</f>
        <v>0</v>
      </c>
      <c r="W284" s="4323">
        <f>IF('6.Inland wetlands'!P84=0, 0, IF('6.Inland wetlands'!P95&lt;'6.Inland wetlands'!P84, 'Inl. wetlands'!I284*44/12*'6.Inland wetlands'!P95, 'Inl. wetlands'!I284*44/12*('6.Inland wetlands'!P84)))</f>
        <v>0</v>
      </c>
      <c r="X284" s="1543">
        <v>0</v>
      </c>
      <c r="Y284" s="1146">
        <f>IF('6.Inland wetlands'!N84=0, 0, IF('6.Inland wetlands'!N95&lt;'6.Inland wetlands'!N84, 'Inl. wetlands'!K284*methane/1000*'6.Inland wetlands'!N95*('6.Inland wetlands'!X95), 'Inl. wetlands'!K284*methane/1000*('6.Inland wetlands'!N84*('6.Inland wetlands'!X95))))</f>
        <v>0</v>
      </c>
      <c r="Z284" s="1146">
        <f>IF('6.Inland wetlands'!P84=0, 0, IF('6.Inland wetlands'!P95&lt;'6.Inland wetlands'!P84, 'Inl. wetlands'!K284*methane/1000*'6.Inland wetlands'!P95*('6.Inland wetlands'!Y95), 'Inl. wetlands'!K284*methane/1000*('6.Inland wetlands'!P84*('6.Inland wetlands'!Y95))))</f>
        <v>0</v>
      </c>
      <c r="AB284" s="3468">
        <f>MIN('Inl. wetlands'!L284,'Inl. wetlands'!M284)*time_tot+ABS('Inl. wetlands'!M284-'Inl. wetlands'!L284)*IF('Inl. wetlands'!M284&gt;'Inl. wetlands'!L284,time_cap+time*(VLOOKUP('6.Inland wetlands'!O95,list!$I$48:$K$50,3,0)),time*(1-(VLOOKUP('6.Inland wetlands'!O95,list!$I$48:$K$50,3,0))))+MIN('Inl. wetlands'!U284,'Inl. wetlands'!V284)*time_tot+ABS('Inl. wetlands'!V284-'Inl. wetlands'!U284)*IF('Inl. wetlands'!V284&gt;'Inl. wetlands'!U284,time_cap+time*(VLOOKUP('6.Inland wetlands'!O95,list!$I$48:$K$50,3,0)),time*(1-(VLOOKUP('6.Inland wetlands'!O95,list!$I$48:$K$50,3,0))))</f>
        <v>0</v>
      </c>
      <c r="AC284" s="3468">
        <f>MIN('Inl. wetlands'!L284,'Inl. wetlands'!N284)*time_tot+ABS('Inl. wetlands'!N284-'Inl. wetlands'!L284)*IF('Inl. wetlands'!N284&gt;'Inl. wetlands'!L284,time_cap+time*(VLOOKUP('6.Inland wetlands'!Q95,list!$I$48:$K$50,3,0)),time*(1-(VLOOKUP('6.Inland wetlands'!Q95,list!$I$48:$K$50,3,0))))+MIN('Inl. wetlands'!U284,'Inl. wetlands'!W284)*time_tot+ABS('Inl. wetlands'!W284-'Inl. wetlands'!U284)*IF('Inl. wetlands'!W284&gt;'Inl. wetlands'!U284,time_cap+time*(VLOOKUP('6.Inland wetlands'!Q95,list!$I$48:$K$50,3,0)),time*(1-(VLOOKUP('6.Inland wetlands'!Q95,list!$I$48:$K$50,3,0))))</f>
        <v>0</v>
      </c>
      <c r="AD284" s="1151">
        <f>MIN('Inl. wetlands'!O284,'Inl. wetlands'!P284)*time_tot+ABS('Inl. wetlands'!P284-'Inl. wetlands'!O284)*IF('Inl. wetlands'!P284&gt;'Inl. wetlands'!O284,time_cap+time*(VLOOKUP('6.Inland wetlands'!O95,list!$I$48:$K$50,3,0)),time*(1-(VLOOKUP('6.Inland wetlands'!O95,list!$I$48:$K$50,3,0))))+MIN('Inl. wetlands'!X284,'Inl. wetlands'!Y284)*time_tot+ABS('Inl. wetlands'!Y284-'Inl. wetlands'!X284)*IF('Inl. wetlands'!Y284&gt;'Inl. wetlands'!X284,time_cap+time*(VLOOKUP('6.Inland wetlands'!O95,list!$I$48:$K$50,3,0)),time*(1-(VLOOKUP('6.Inland wetlands'!O95,list!$I$48:$K$50,3,0))))</f>
        <v>0</v>
      </c>
      <c r="AE284" s="1151">
        <f>MIN('Inl. wetlands'!O284,'Inl. wetlands'!Q284)*time_tot+ABS('Inl. wetlands'!Q284-'Inl. wetlands'!O284)*IF('Inl. wetlands'!Q284&gt;'Inl. wetlands'!O284,time_cap+time*(VLOOKUP('6.Inland wetlands'!Q95,list!$I$48:$K$50,3,0)),time*(1-(VLOOKUP('6.Inland wetlands'!Q95,list!$I$48:$K$50,3,0))))+MIN('Inl. wetlands'!X284,'Inl. wetlands'!Z284)*time_tot+ABS('Inl. wetlands'!Z284-'Inl. wetlands'!X284)*IF('Inl. wetlands'!Z284&gt;'Inl. wetlands'!X284,time_cap+time*(VLOOKUP('6.Inland wetlands'!Q95,list!$I$48:$K$50,3,0)),time*(1-(VLOOKUP('6.Inland wetlands'!Q95,list!$I$48:$K$50,3,0))))</f>
        <v>0</v>
      </c>
      <c r="AF284" s="1151">
        <f>MIN('Inl. wetlands'!R284,'Inl. wetlands'!S284)*time_tot+ABS('Inl. wetlands'!S284-'Inl. wetlands'!R284)*IF('Inl. wetlands'!S284&gt;'Inl. wetlands'!R284,time_cap+time*(VLOOKUP('6.Inland wetlands'!O95,list!$I$48:$K$50,3,0)),time*(1-(VLOOKUP('6.Inland wetlands'!O95,list!$I$48:$K$50,3,0))))</f>
        <v>0</v>
      </c>
      <c r="AG284" s="1151">
        <f>MIN('Inl. wetlands'!R284,'Inl. wetlands'!T284)*time_tot+ABS('Inl. wetlands'!T284-'Inl. wetlands'!R284)*IF('Inl. wetlands'!T284&gt;'Inl. wetlands'!R284,time_cap+time*(VLOOKUP('6.Inland wetlands'!Q95,list!$I$48:$K$50,3,0)),time*(1-(VLOOKUP('6.Inland wetlands'!Q95,list!$I$48:$K$50,3,0))))</f>
        <v>0</v>
      </c>
      <c r="AX284" s="1461"/>
      <c r="AY284" s="1461"/>
      <c r="AZ284" s="1461"/>
      <c r="BA284" s="1461"/>
      <c r="BB284" s="1461"/>
      <c r="BC284" s="1461"/>
      <c r="BD284" s="1461"/>
      <c r="BE284" s="1461"/>
      <c r="BF284" s="1461"/>
      <c r="BG284" s="1461"/>
    </row>
    <row r="285" spans="1:59" x14ac:dyDescent="0.15">
      <c r="A285" s="1264" t="s">
        <v>1165</v>
      </c>
      <c r="B285" s="1235">
        <f>IFERROR(IF(AND(OR('Inl. wetlands'!$E260="Other land",'Inl. wetlands'!$E260="Degraded land"),'Inl. wetlands'!$J$249=list!$J$210),INDEX(IPCC!$A$1762:$J$1773,MATCH(clim_moist,IPCC!$A$1762:$A$1773,0),MATCH('Inl. wetlands'!$E260,IPCC!$A$1762:$J$1762,0)),IF(AND(OR('Inl. wetlands'!$E260="Other land",'Inl. wetlands'!$E260="Degraded land"),'Inl. wetlands'!$J$249=list!$J$211),INDEX(IPCC!$A$1781:$J$1792,MATCH(clim_moist,IPCC!$A$1781:$A$1792,0),MATCH('Inl. wetlands'!$E260,IPCC!$A$1781:$J$1781,0)),IF('Inl. wetlands'!$J$249=list!$J$210,INDEX(IPCC!$A$1762:$J$1773,MATCH(clim_moist,IPCC!$A$1781:$A$1792,0),MATCH('Inl. wetlands'!$E260,IPCC!$A$1781:$J$1781,0)),IF('Inl. wetlands'!$J$249=list!$J$211,INDEX(IPCC!$A$1781:$J$1792,MATCH(clim_moist,IPCC!$A$1781:$A$1792,0),MATCH('Inl. wetlands'!$E260,IPCC!$A$1781:$J$1781,0)))))),0)</f>
        <v>0</v>
      </c>
      <c r="C285" s="1280">
        <f>IF('6.Inland wetlands'!$CG98="",'6.Inland wetlands'!$CF98,'6.Inland wetlands'!$CG98)</f>
        <v>0</v>
      </c>
      <c r="D285" s="1235">
        <f>IFERROR(IF(AND(OR('Inl. wetlands'!$E260="Other land",'Inl. wetlands'!$E260="Degraded land"),'Inl. wetlands'!$J$249=list!$J$210),INDEX(IPCC!$A$1818:$J$1829,MATCH(clim_moist,IPCC!$A$1818:$A$1829,0),MATCH('Inl. wetlands'!$E260,IPCC!$A$1818:$J$1818,0)),IF(AND(OR('Inl. wetlands'!$E260="Other land",'Inl. wetlands'!$E260="Degraded land"),'Inl. wetlands'!$J$249=list!$J$211),INDEX(IPCC!$A$1836:$J$1847,MATCH(clim_moist,IPCC!$A$1836:$A$1847,0),MATCH('Inl. wetlands'!$E260,IPCC!$A$1836:$J$1836,0)),IF('Inl. wetlands'!$J$249=list!$J$210,INDEX(IPCC!$A$1818:$J$1829,MATCH(clim_moist,IPCC!$A$1818:$A$1829,0),MATCH('Inl. wetlands'!$E260,IPCC!$A$1818:$J$1818,0)),IF('Inl. wetlands'!$J$249=list!$J$211,INDEX(IPCC!$A$1836:$J$1847,MATCH(clim_moist,IPCC!$A$1836:$A$1847,0),MATCH('Inl. wetlands'!$E260,IPCC!$A$1836:$J$1836,0)))))),0)</f>
        <v>0</v>
      </c>
      <c r="E285" s="1280">
        <f>IF('6.Inland wetlands'!$CI98="",'6.Inland wetlands'!$CH98,'6.Inland wetlands'!$CI98)</f>
        <v>0</v>
      </c>
      <c r="F285" s="1235">
        <f>IFERROR(IF(AND(OR('Inl. wetlands'!$E260="Other land",'Inl. wetlands'!$E260="Degraded land"),'Inl. wetlands'!$J$249=list!$J$210),INDEX(IPCC!$A$1872:$J$1883,MATCH(clim_moist,IPCC!$A$1872:$A$1883,0),MATCH('Inl. wetlands'!$E260,IPCC!$A$1872:$J$1872,0)),IF(AND(OR('Inl. wetlands'!$E260="Other land",'Inl. wetlands'!$E260="Degraded land"),'Inl. wetlands'!$J$249=list!$J$211),INDEX(IPCC!$A$1890:$J$1901,MATCH(clim_moist,IPCC!$A$1890:$A$1901,0),MATCH('Inl. wetlands'!$E260,IPCC!$A$1890:$J$1890,0)),IF('Inl. wetlands'!$J$249=list!$J$210,INDEX(IPCC!$A$1872:$J$1883,MATCH(clim_moist,IPCC!$A$1872:$A$1883,0),MATCH('Inl. wetlands'!$E260,IPCC!$A$1872:$J$1872,0)),IF('Inl. wetlands'!$J$249=list!$J$211,INDEX(IPCC!$A$1890:$J$1901,MATCH(clim_moist,IPCC!$A$1890:$A$1901,0),MATCH('Inl. wetlands'!$E260,IPCC!$A$1890:$J$1890,0)))))),0)</f>
        <v>0</v>
      </c>
      <c r="G285" s="1280">
        <f>IF('6.Inland wetlands'!$CK98="",'6.Inland wetlands'!$CJ98,'6.Inland wetlands'!$CK98)</f>
        <v>0</v>
      </c>
      <c r="H285" s="1235">
        <f>IFERROR(IF(AND(OR('Inl. wetlands'!$E260="Other land",'Inl. wetlands'!$E260="Degraded land"),'Inl. wetlands'!$J$249=list!$J$210),INDEX(IPCC!$A$1800:$J$1811,MATCH(clim_moist,IPCC!$A$1800:$A$1811,0),MATCH('Inl. wetlands'!$E260,IPCC!$A$1800:$J$1800,0)),IF(AND(OR('Inl. wetlands'!$E260="Other land",'Inl. wetlands'!$E260="Degraded land"),'Inl. wetlands'!$J$249=list!$J$211),INDEX(IPCC!$A$1800:$J$1811,MATCH(clim_moist,IPCC!$A$1800:$A$1811,0),MATCH('Inl. wetlands'!$E260,IPCC!$A$1800:$J$1800,0)),IF('Inl. wetlands'!$J$249=list!$J$210,INDEX(IPCC!$A$1800:$J$1811,MATCH(clim_moist,IPCC!$A$1800:$A$1811,0),MATCH('Inl. wetlands'!$E260,IPCC!$A$1800:$J$1800,0)),IF('Inl. wetlands'!$J$249=list!$J$211,INDEX(IPCC!$A$1800:$J$1811,MATCH(clim_moist,IPCC!$A$1800:$A$1811,0),MATCH('Inl. wetlands'!$E260,IPCC!$A$1800:$J$1800,0)))))),0)</f>
        <v>0</v>
      </c>
      <c r="I285" s="1162">
        <f>IF('6.Inland wetlands'!$CN98="",'6.Inland wetlands'!$CM98,'6.Inland wetlands'!$CN98)</f>
        <v>0</v>
      </c>
      <c r="J285" s="1111">
        <f>IFERROR(IF(AND(OR('Inl. wetlands'!$E260="Other land",'Inl. wetlands'!$E260="Degraded land"),'Inl. wetlands'!$J$249=list!$J$210),INDEX(IPCC!$A$1854:$J$1865,MATCH(clim_moist,IPCC!$A$1854:$A$1865,0),MATCH('Inl. wetlands'!$E260,IPCC!$A$1854:$J$1854,0)),IF(AND(OR('Inl. wetlands'!$E260="Other land",'Inl. wetlands'!$E260="Degraded land"),'Inl. wetlands'!$J$249=list!$J$211),INDEX(IPCC!$A$1854:$J$1865,MATCH(clim_moist,IPCC!$A$1854:A$1865,0),MATCH('Inl. wetlands'!$E260,IPCC!$A$1854:$J$1854,0)),IF('Inl. wetlands'!$J$249=list!$J$210,INDEX(IPCC!$A$1854:$J$1865,MATCH(clim_moist,IPCC!$A$1854:$A$1865,0),MATCH('Inl. wetlands'!$E260,IPCC!$A$1854:$J$1854,0)),IF('Inl. wetlands'!$J$249=list!$J$211,INDEX(IPCC!$A$1854:$J$1865,MATCH(clim_moist,IPCC!$A$1854:$A$1865,0),MATCH('Inl. wetlands'!$E260,IPCC!$A$1854:$J$1854,0)))))),0)</f>
        <v>0</v>
      </c>
      <c r="K285" s="1161">
        <f>IF('6.Inland wetlands'!$CP98="",'6.Inland wetlands'!$CO98,'6.Inland wetlands'!$CP98)</f>
        <v>0</v>
      </c>
      <c r="L285" s="1543">
        <v>0</v>
      </c>
      <c r="M285" s="1543">
        <f>IF('6.Inland wetlands'!N85=0, 0, IF('6.Inland wetlands'!N96&lt;'6.Inland wetlands'!N85, 'Inl. wetlands'!C285*44/12*'6.Inland wetlands'!N96, 'Inl. wetlands'!C285*44/12*('6.Inland wetlands'!N85)))</f>
        <v>0</v>
      </c>
      <c r="N285" s="4323">
        <f>IF('6.Inland wetlands'!P85=0, 0, IF('6.Inland wetlands'!P96&lt;'6.Inland wetlands'!P85, 'Inl. wetlands'!C285*44/12*'6.Inland wetlands'!P96, 'Inl. wetlands'!C285*44/12*('6.Inland wetlands'!P85)))</f>
        <v>0</v>
      </c>
      <c r="O285" s="1543">
        <v>0</v>
      </c>
      <c r="P285" s="4323">
        <f>IF('6.Inland wetlands'!N85=0, 0, IF('6.Inland wetlands'!N96&lt;'6.Inland wetlands'!N85, 'Inl. wetlands'!E285*methane/1000*'6.Inland wetlands'!N96*(1-'6.Inland wetlands'!X96), 'Inl. wetlands'!E285*methane/1000*('6.Inland wetlands'!N85*(1-'6.Inland wetlands'!X96))))</f>
        <v>0</v>
      </c>
      <c r="Q285" s="4323">
        <f>IF('6.Inland wetlands'!P85=0, 0, IF('6.Inland wetlands'!P96&lt;'6.Inland wetlands'!P85, 'Inl. wetlands'!E285*methane/1000*'6.Inland wetlands'!P96*(1-'6.Inland wetlands'!Y96), 'Inl. wetlands'!E285*methane/1000*('6.Inland wetlands'!P85*(1-'6.Inland wetlands'!Y96))))</f>
        <v>0</v>
      </c>
      <c r="R285" s="1543">
        <v>0</v>
      </c>
      <c r="S285" s="4323">
        <f>IF('6.Inland wetlands'!N85=0, 0, IF('6.Inland wetlands'!N96&lt;'6.Inland wetlands'!N85, 'Inl. wetlands'!G285*44/28*Nitrous/1000*'6.Inland wetlands'!N96, 'Inl. wetlands'!G285*44/28*Nitrous/1000*('6.Inland wetlands'!N85)))</f>
        <v>0</v>
      </c>
      <c r="T285" s="4323">
        <f>IF('6.Inland wetlands'!P85=0, 0, IF('6.Inland wetlands'!P96&lt;'6.Inland wetlands'!P85, 'Inl. wetlands'!G285*44/28*Nitrous/1000*'6.Inland wetlands'!P96, 'Inl. wetlands'!G285*44/28*Nitrous/1000*('6.Inland wetlands'!P85)))</f>
        <v>0</v>
      </c>
      <c r="U285" s="1543">
        <v>0</v>
      </c>
      <c r="V285" s="4323">
        <f>IF('6.Inland wetlands'!N85=0, 0, IF('6.Inland wetlands'!N96&lt;'6.Inland wetlands'!N85, 'Inl. wetlands'!I285*44/12*'6.Inland wetlands'!N96, 'Inl. wetlands'!I285*44/12*('6.Inland wetlands'!N85)))</f>
        <v>0</v>
      </c>
      <c r="W285" s="4323">
        <f>IF('6.Inland wetlands'!P85=0, 0, IF('6.Inland wetlands'!P96&lt;'6.Inland wetlands'!P85, 'Inl. wetlands'!I285*44/12*'6.Inland wetlands'!P96, 'Inl. wetlands'!I285*44/12*('6.Inland wetlands'!P85)))</f>
        <v>0</v>
      </c>
      <c r="X285" s="1543">
        <v>0</v>
      </c>
      <c r="Y285" s="1146">
        <f>IF('6.Inland wetlands'!N85=0, 0, IF('6.Inland wetlands'!N96&lt;'6.Inland wetlands'!N85, 'Inl. wetlands'!K285*methane/1000*'6.Inland wetlands'!N96*('6.Inland wetlands'!X96), 'Inl. wetlands'!K285*methane/1000*('6.Inland wetlands'!N85*('6.Inland wetlands'!X96))))</f>
        <v>0</v>
      </c>
      <c r="Z285" s="1146">
        <f>IF('6.Inland wetlands'!P85=0, 0, IF('6.Inland wetlands'!P96&lt;'6.Inland wetlands'!P85, 'Inl. wetlands'!K285*methane/1000*'6.Inland wetlands'!P96*('6.Inland wetlands'!Y96), 'Inl. wetlands'!K285*methane/1000*('6.Inland wetlands'!P85*('6.Inland wetlands'!Y96))))</f>
        <v>0</v>
      </c>
      <c r="AB285" s="3468">
        <f>MIN('Inl. wetlands'!L285,'Inl. wetlands'!M285)*time_tot+ABS('Inl. wetlands'!M285-'Inl. wetlands'!L285)*IF('Inl. wetlands'!M285&gt;'Inl. wetlands'!L285,time_cap+time*(VLOOKUP('6.Inland wetlands'!O96,list!$I$48:$K$50,3,0)),time*(1-(VLOOKUP('6.Inland wetlands'!O96,list!$I$48:$K$50,3,0))))+MIN('Inl. wetlands'!U285,'Inl. wetlands'!V285)*time_tot+ABS('Inl. wetlands'!V285-'Inl. wetlands'!U285)*IF('Inl. wetlands'!V285&gt;'Inl. wetlands'!U285,time_cap+time*(VLOOKUP('6.Inland wetlands'!O96,list!$I$48:$K$50,3,0)),time*(1-(VLOOKUP('6.Inland wetlands'!O96,list!$I$48:$K$50,3,0))))</f>
        <v>0</v>
      </c>
      <c r="AC285" s="3468">
        <f>MIN('Inl. wetlands'!L285,'Inl. wetlands'!N285)*time_tot+ABS('Inl. wetlands'!N285-'Inl. wetlands'!L285)*IF('Inl. wetlands'!N285&gt;'Inl. wetlands'!L285,time_cap+time*(VLOOKUP('6.Inland wetlands'!Q96,list!$I$48:$K$50,3,0)),time*(1-(VLOOKUP('6.Inland wetlands'!Q96,list!$I$48:$K$50,3,0))))+MIN('Inl. wetlands'!U285,'Inl. wetlands'!W285)*time_tot+ABS('Inl. wetlands'!W285-'Inl. wetlands'!U285)*IF('Inl. wetlands'!W285&gt;'Inl. wetlands'!U285,time_cap+time*(VLOOKUP('6.Inland wetlands'!Q96,list!$I$48:$K$50,3,0)),time*(1-(VLOOKUP('6.Inland wetlands'!Q96,list!$I$48:$K$50,3,0))))</f>
        <v>0</v>
      </c>
      <c r="AD285" s="1151">
        <f>MIN('Inl. wetlands'!O285,'Inl. wetlands'!P285)*time_tot+ABS('Inl. wetlands'!P285-'Inl. wetlands'!O285)*IF('Inl. wetlands'!P285&gt;'Inl. wetlands'!O285,time_cap+time*(VLOOKUP('6.Inland wetlands'!O96,list!$I$48:$K$50,3,0)),time*(1-(VLOOKUP('6.Inland wetlands'!O96,list!$I$48:$K$50,3,0))))+MIN('Inl. wetlands'!X285,'Inl. wetlands'!Y285)*time_tot+ABS('Inl. wetlands'!Y285-'Inl. wetlands'!X285)*IF('Inl. wetlands'!Y285&gt;'Inl. wetlands'!X285,time_cap+time*(VLOOKUP('6.Inland wetlands'!O96,list!$I$48:$K$50,3,0)),time*(1-(VLOOKUP('6.Inland wetlands'!O96,list!$I$48:$K$50,3,0))))</f>
        <v>0</v>
      </c>
      <c r="AE285" s="1151">
        <f>MIN('Inl. wetlands'!O285,'Inl. wetlands'!Q285)*time_tot+ABS('Inl. wetlands'!Q285-'Inl. wetlands'!O285)*IF('Inl. wetlands'!Q285&gt;'Inl. wetlands'!O285,time_cap+time*(VLOOKUP('6.Inland wetlands'!Q96,list!$I$48:$K$50,3,0)),time*(1-(VLOOKUP('6.Inland wetlands'!Q96,list!$I$48:$K$50,3,0))))+MIN('Inl. wetlands'!X285,'Inl. wetlands'!Z285)*time_tot+ABS('Inl. wetlands'!Z285-'Inl. wetlands'!X285)*IF('Inl. wetlands'!Z285&gt;'Inl. wetlands'!X285,time_cap+time*(VLOOKUP('6.Inland wetlands'!Q96,list!$I$48:$K$50,3,0)),time*(1-(VLOOKUP('6.Inland wetlands'!Q96,list!$I$48:$K$50,3,0))))</f>
        <v>0</v>
      </c>
      <c r="AF285" s="1151">
        <f>MIN('Inl. wetlands'!R285,'Inl. wetlands'!S285)*time_tot+ABS('Inl. wetlands'!S285-'Inl. wetlands'!R285)*IF('Inl. wetlands'!S285&gt;'Inl. wetlands'!R285,time_cap+time*(VLOOKUP('6.Inland wetlands'!O96,list!$I$48:$K$50,3,0)),time*(1-(VLOOKUP('6.Inland wetlands'!O96,list!$I$48:$K$50,3,0))))</f>
        <v>0</v>
      </c>
      <c r="AG285" s="1151">
        <f>MIN('Inl. wetlands'!R285,'Inl. wetlands'!T285)*time_tot+ABS('Inl. wetlands'!T285-'Inl. wetlands'!R285)*IF('Inl. wetlands'!T285&gt;'Inl. wetlands'!R285,time_cap+time*(VLOOKUP('6.Inland wetlands'!Q96,list!$I$48:$K$50,3,0)),time*(1-(VLOOKUP('6.Inland wetlands'!Q96,list!$I$48:$K$50,3,0))))</f>
        <v>0</v>
      </c>
      <c r="AX285" s="1461"/>
      <c r="AY285" s="1461"/>
      <c r="AZ285" s="1461"/>
      <c r="BA285" s="1461"/>
      <c r="BB285" s="1461"/>
      <c r="BC285" s="1461"/>
      <c r="BD285" s="1461"/>
      <c r="BE285" s="1461"/>
      <c r="BF285" s="1461"/>
      <c r="BG285" s="1461"/>
    </row>
    <row r="286" spans="1:59" x14ac:dyDescent="0.15">
      <c r="R286" s="1057"/>
      <c r="S286" s="1230"/>
      <c r="V286" s="992"/>
      <c r="W286" s="992"/>
      <c r="X286" s="992"/>
      <c r="Y286" s="992"/>
      <c r="Z286" s="992"/>
      <c r="AD286" s="1469"/>
      <c r="AE286" s="992"/>
      <c r="AF286" s="992"/>
      <c r="AG286" s="992"/>
      <c r="AX286" s="1461"/>
      <c r="AY286" s="1461"/>
      <c r="AZ286" s="1461"/>
      <c r="BA286" s="1461"/>
      <c r="BB286" s="1461"/>
      <c r="BC286" s="1461"/>
      <c r="BD286" s="1461"/>
      <c r="BE286" s="1461"/>
      <c r="BF286" s="1461"/>
      <c r="BG286" s="1461"/>
    </row>
    <row r="287" spans="1:59" x14ac:dyDescent="0.15">
      <c r="R287" s="1057"/>
      <c r="S287" s="1230"/>
      <c r="V287" s="992"/>
      <c r="W287" s="992"/>
      <c r="X287" s="992"/>
      <c r="Y287" s="992"/>
      <c r="Z287" s="992"/>
      <c r="AD287" s="1469"/>
      <c r="AE287" s="992"/>
      <c r="AF287" s="992"/>
      <c r="AG287" s="992"/>
      <c r="AX287" s="1461"/>
      <c r="AY287" s="1461"/>
      <c r="AZ287" s="1461"/>
      <c r="BA287" s="1461"/>
      <c r="BB287" s="1461"/>
      <c r="BC287" s="1461"/>
      <c r="BD287" s="1461"/>
      <c r="BE287" s="1461"/>
      <c r="BF287" s="1461"/>
      <c r="BG287" s="1461"/>
    </row>
    <row r="288" spans="1:59" x14ac:dyDescent="0.15">
      <c r="E288" s="3992" t="s">
        <v>1242</v>
      </c>
      <c r="F288" s="3992">
        <f>MAX(G288:H288)</f>
        <v>0</v>
      </c>
      <c r="G288" s="3992">
        <f>SUMIF(M270:M274,"&gt;0",F255:F260)</f>
        <v>0</v>
      </c>
      <c r="H288" s="3992">
        <f>SUMIF(N270:N274,"&gt;0",J255:J260)</f>
        <v>0</v>
      </c>
      <c r="R288" s="1057"/>
      <c r="S288" s="1230"/>
      <c r="V288" s="992"/>
      <c r="W288" s="992"/>
      <c r="X288" s="992"/>
      <c r="Y288" s="992"/>
      <c r="Z288" s="992"/>
      <c r="AD288" s="1469"/>
      <c r="AE288" s="992"/>
      <c r="AF288" s="992"/>
      <c r="AG288" s="992"/>
      <c r="AX288" s="1461"/>
      <c r="AY288" s="1461"/>
      <c r="AZ288" s="1461"/>
      <c r="BA288" s="1461"/>
      <c r="BB288" s="1461"/>
      <c r="BC288" s="1461"/>
      <c r="BD288" s="1461"/>
      <c r="BE288" s="1461"/>
      <c r="BF288" s="1461"/>
      <c r="BG288" s="1461"/>
    </row>
    <row r="289" spans="1:59" x14ac:dyDescent="0.15">
      <c r="AY289" s="1451">
        <f>AY276-AX276</f>
        <v>0</v>
      </c>
      <c r="AZ289" s="1451"/>
      <c r="BA289" s="1451">
        <f>BA276-AZ276</f>
        <v>0</v>
      </c>
      <c r="BB289" s="1451"/>
      <c r="BC289" s="1451">
        <f>BC276-BB276</f>
        <v>0</v>
      </c>
      <c r="BE289" s="1451">
        <f>BE276-BD276</f>
        <v>0</v>
      </c>
      <c r="BF289" s="1451"/>
      <c r="BG289" s="1451">
        <f>BG276-BF276</f>
        <v>0</v>
      </c>
    </row>
    <row r="290" spans="1:59" s="1089" customFormat="1" ht="30.5" customHeight="1" x14ac:dyDescent="0.2">
      <c r="B290" s="1112" t="s">
        <v>1180</v>
      </c>
      <c r="C290" s="1113"/>
      <c r="D290" s="1113"/>
      <c r="E290" s="1113"/>
      <c r="F290" s="1113"/>
      <c r="G290" s="1113"/>
      <c r="H290" s="1113"/>
      <c r="I290" s="1113"/>
      <c r="J290" s="1113"/>
      <c r="K290" s="1113"/>
      <c r="L290" s="1113"/>
      <c r="M290" s="1113"/>
      <c r="N290" s="1113"/>
      <c r="O290" s="1113"/>
      <c r="P290" s="1113"/>
      <c r="Q290" s="1113"/>
      <c r="R290" s="1113"/>
      <c r="S290" s="1113"/>
      <c r="T290" s="1113"/>
      <c r="U290" s="1113"/>
      <c r="V290" s="1113"/>
      <c r="W290" s="1113"/>
      <c r="X290" s="1113"/>
      <c r="Y290" s="1113"/>
      <c r="Z290" s="1113"/>
      <c r="AA290" s="1113"/>
      <c r="AB290" s="1113"/>
      <c r="AC290" s="1113"/>
      <c r="AD290" s="1113"/>
      <c r="AE290" s="1113"/>
      <c r="AF290" s="1113"/>
      <c r="AG290" s="1113"/>
      <c r="AH290" s="1113"/>
      <c r="AI290" s="1113"/>
      <c r="AJ290" s="1113"/>
      <c r="AK290" s="1113"/>
      <c r="AX290" s="1447"/>
      <c r="AY290" s="1447"/>
      <c r="AZ290" s="1447"/>
      <c r="BA290" s="1447"/>
      <c r="BB290" s="1447"/>
      <c r="BC290" s="1447"/>
      <c r="BD290" s="1447"/>
      <c r="BE290" s="1447"/>
      <c r="BF290" s="1447"/>
      <c r="BG290" s="1447"/>
    </row>
    <row r="292" spans="1:59" ht="16.5" customHeight="1" x14ac:dyDescent="0.2">
      <c r="D292" s="1262" t="s">
        <v>1181</v>
      </c>
      <c r="E292" s="3464"/>
      <c r="F292" s="3464"/>
      <c r="G292" s="3464"/>
      <c r="H292" s="1473" t="s">
        <v>1243</v>
      </c>
      <c r="I292" s="1474"/>
      <c r="J292" s="1474"/>
      <c r="K292" s="1475"/>
      <c r="L292" s="1474"/>
      <c r="M292" s="1476"/>
      <c r="N292" s="1476"/>
      <c r="O292" s="1476"/>
      <c r="P292" s="1481" t="s">
        <v>1184</v>
      </c>
      <c r="Q292" s="1482"/>
      <c r="R292" s="1482"/>
      <c r="S292" s="1482"/>
      <c r="T292" s="1482"/>
      <c r="U292" s="1482"/>
      <c r="V292" s="1482"/>
      <c r="W292" s="1482"/>
      <c r="X292" s="1482"/>
      <c r="AB292" s="1471" t="s">
        <v>1185</v>
      </c>
      <c r="AC292" s="1470"/>
      <c r="AD292" s="1470"/>
      <c r="AE292" s="1470"/>
      <c r="AF292" s="1470"/>
      <c r="AG292" s="1470"/>
      <c r="AX292" s="1287" t="s">
        <v>1186</v>
      </c>
      <c r="AY292" s="1501"/>
      <c r="AZ292" s="1501"/>
      <c r="BA292" s="1501"/>
      <c r="BB292" s="1501"/>
      <c r="BC292" s="1501"/>
      <c r="BD292" s="1271"/>
    </row>
    <row r="293" spans="1:59" ht="17" x14ac:dyDescent="0.15">
      <c r="A293" s="1462"/>
      <c r="B293" s="1462"/>
      <c r="C293" s="1462"/>
      <c r="D293" s="1105" t="s">
        <v>200</v>
      </c>
      <c r="E293" s="1105"/>
      <c r="F293" s="1106" t="s">
        <v>201</v>
      </c>
      <c r="G293" s="1101"/>
      <c r="H293" s="1495" t="s">
        <v>1187</v>
      </c>
      <c r="I293" s="1478"/>
      <c r="J293" s="1477" t="s">
        <v>1188</v>
      </c>
      <c r="K293" s="1478"/>
      <c r="L293" s="1477" t="s">
        <v>1189</v>
      </c>
      <c r="M293" s="1478"/>
      <c r="N293" s="1477" t="s">
        <v>1190</v>
      </c>
      <c r="O293" s="1478"/>
      <c r="P293" s="1482"/>
      <c r="Q293" s="1482"/>
      <c r="R293" s="1482"/>
      <c r="S293" s="1482"/>
      <c r="T293" s="1482"/>
      <c r="U293" s="1482"/>
      <c r="V293" s="1482"/>
      <c r="W293" s="1482"/>
      <c r="X293" s="1482"/>
      <c r="AB293" s="1471" t="s">
        <v>1191</v>
      </c>
      <c r="AC293" s="1471"/>
      <c r="AD293" s="1471"/>
      <c r="AE293" s="1470"/>
      <c r="AF293" s="1471"/>
      <c r="AG293" s="1470"/>
      <c r="AX293" s="1502" t="s">
        <v>1036</v>
      </c>
      <c r="AY293" s="1502"/>
      <c r="AZ293" s="1502" t="s">
        <v>176</v>
      </c>
      <c r="BA293" s="1502"/>
      <c r="BB293" s="1502" t="s">
        <v>177</v>
      </c>
      <c r="BC293" s="1502"/>
      <c r="BD293" s="1448"/>
      <c r="BE293" s="1448"/>
      <c r="BF293" s="1448"/>
      <c r="BG293" s="1448"/>
    </row>
    <row r="294" spans="1:59" x14ac:dyDescent="0.15">
      <c r="A294" s="1462"/>
      <c r="B294" s="1482" t="str">
        <f>B191</f>
        <v>Initial land use</v>
      </c>
      <c r="C294" s="1482" t="str">
        <f>B253</f>
        <v>Initial land use</v>
      </c>
      <c r="D294" s="1105"/>
      <c r="E294" s="1105"/>
      <c r="F294" s="1106"/>
      <c r="G294" s="1106"/>
      <c r="H294" s="1479" t="s">
        <v>92</v>
      </c>
      <c r="I294" s="1479"/>
      <c r="J294" s="1479" t="s">
        <v>1044</v>
      </c>
      <c r="K294" s="1479"/>
      <c r="L294" s="1479" t="s">
        <v>1045</v>
      </c>
      <c r="M294" s="1479"/>
      <c r="N294" s="1479" t="s">
        <v>92</v>
      </c>
      <c r="O294" s="1479"/>
      <c r="P294" s="1482" t="s">
        <v>1176</v>
      </c>
      <c r="Q294" s="1482"/>
      <c r="R294" s="1482"/>
      <c r="S294" s="1482" t="s">
        <v>176</v>
      </c>
      <c r="T294" s="1482"/>
      <c r="U294" s="1482"/>
      <c r="V294" s="1482" t="s">
        <v>1192</v>
      </c>
      <c r="W294" s="1482"/>
      <c r="X294" s="1482"/>
      <c r="AB294" s="1472" t="s">
        <v>1176</v>
      </c>
      <c r="AC294" s="1472"/>
      <c r="AD294" s="1472" t="s">
        <v>176</v>
      </c>
      <c r="AE294" s="1472"/>
      <c r="AF294" s="1472" t="s">
        <v>1192</v>
      </c>
      <c r="AG294" s="1472"/>
      <c r="AX294" s="1264" t="s">
        <v>859</v>
      </c>
      <c r="AZ294" s="1264" t="s">
        <v>859</v>
      </c>
      <c r="BB294" s="1264" t="s">
        <v>859</v>
      </c>
    </row>
    <row r="295" spans="1:59" x14ac:dyDescent="0.15">
      <c r="A295" s="1462"/>
      <c r="B295" s="1482" t="str">
        <f>B192</f>
        <v>User selection</v>
      </c>
      <c r="C295" s="1462" t="str">
        <f t="shared" ref="C295:C301" si="137">C254</f>
        <v>IPCC equivalent</v>
      </c>
      <c r="D295" s="1105" t="str">
        <f>F254</f>
        <v>ha</v>
      </c>
      <c r="E295" s="1105" t="str">
        <f>G254</f>
        <v>Rate</v>
      </c>
      <c r="F295" s="1106" t="str">
        <f>J254</f>
        <v>ha</v>
      </c>
      <c r="G295" s="1106" t="str">
        <f>K254</f>
        <v>Rate</v>
      </c>
      <c r="H295" s="1480" t="s">
        <v>864</v>
      </c>
      <c r="I295" s="1480" t="s">
        <v>66</v>
      </c>
      <c r="J295" s="1480" t="str">
        <f>H295</f>
        <v>IPCC</v>
      </c>
      <c r="K295" s="1480" t="s">
        <v>66</v>
      </c>
      <c r="L295" s="1480" t="str">
        <f>J295</f>
        <v>IPCC</v>
      </c>
      <c r="M295" s="1480" t="s">
        <v>66</v>
      </c>
      <c r="N295" s="1480" t="str">
        <f>L295</f>
        <v>IPCC</v>
      </c>
      <c r="O295" s="1480" t="s">
        <v>66</v>
      </c>
      <c r="P295" s="973" t="s">
        <v>219</v>
      </c>
      <c r="Q295" s="1100" t="s">
        <v>179</v>
      </c>
      <c r="R295" s="1101" t="s">
        <v>180</v>
      </c>
      <c r="S295" s="973" t="s">
        <v>219</v>
      </c>
      <c r="T295" s="1100" t="s">
        <v>179</v>
      </c>
      <c r="U295" s="1101" t="s">
        <v>180</v>
      </c>
      <c r="V295" s="973" t="s">
        <v>219</v>
      </c>
      <c r="W295" s="1100" t="s">
        <v>179</v>
      </c>
      <c r="X295" s="1101" t="s">
        <v>180</v>
      </c>
      <c r="AB295" s="1102" t="s">
        <v>179</v>
      </c>
      <c r="AC295" s="1103" t="s">
        <v>180</v>
      </c>
      <c r="AD295" s="1102" t="s">
        <v>179</v>
      </c>
      <c r="AE295" s="1103" t="s">
        <v>180</v>
      </c>
      <c r="AF295" s="1102" t="s">
        <v>179</v>
      </c>
      <c r="AG295" s="1103" t="s">
        <v>180</v>
      </c>
      <c r="AX295" s="1272" t="s">
        <v>200</v>
      </c>
      <c r="AY295" s="1272" t="s">
        <v>201</v>
      </c>
      <c r="AZ295" s="1272" t="s">
        <v>200</v>
      </c>
      <c r="BA295" s="1272" t="s">
        <v>201</v>
      </c>
      <c r="BB295" s="1272" t="s">
        <v>200</v>
      </c>
      <c r="BC295" s="1272" t="s">
        <v>201</v>
      </c>
      <c r="BD295" s="1272"/>
      <c r="BE295" s="1272"/>
      <c r="BF295" s="1272"/>
      <c r="BG295" s="1272"/>
    </row>
    <row r="296" spans="1:59" x14ac:dyDescent="0.15">
      <c r="A296" s="1493" t="s">
        <v>1160</v>
      </c>
      <c r="B296" s="1121" t="str">
        <f t="shared" ref="B296:B301" si="138">B255</f>
        <v>Please select</v>
      </c>
      <c r="C296" s="1121" t="str">
        <f t="shared" si="137"/>
        <v/>
      </c>
      <c r="D296" s="992">
        <f>IF('6.Inland wetlands'!S91='6.Inland wetlands'!K91, 0, IF(('6.Inland wetlands'!T91-'6.Inland wetlands'!S91)-'6.Inland wetlands'!N80&gt;0,('6.Inland wetlands'!T91-'6.Inland wetlands'!S91)-'6.Inland wetlands'!N80,0))</f>
        <v>0</v>
      </c>
      <c r="E296" s="992" t="str">
        <f t="shared" ref="E296:E301" si="139">G255</f>
        <v>Linear</v>
      </c>
      <c r="F296" s="992">
        <f>IF(('6.Inland wetlands'!U91-'6.Inland wetlands'!S91)-'6.Inland wetlands'!P80&gt;0,('6.Inland wetlands'!U91-'6.Inland wetlands'!S91)-'6.Inland wetlands'!P80,0)</f>
        <v>0</v>
      </c>
      <c r="G296" s="992" t="str">
        <f t="shared" ref="G296:G301" si="140">K255</f>
        <v>Linear</v>
      </c>
      <c r="H296" s="1004">
        <f>IFERROR(IF($E255=" ",0,IF($D$249="Nutrient poor",INDEX(IPCC!$A$1910:$J$1921,MATCH(clim_moist,IPCC!$A$1910:$A$1921,0),MATCH($C296,IPCC!$A$1910:$J$1910,0)),INDEX(IPCC!$A$1928:$J$1939,MATCH(clim_moist,IPCC!$A$1928:$A$1939,0),MATCH($C296,IPCC!$A$1928:$J$1928,0)))),0)</f>
        <v>0</v>
      </c>
      <c r="I296" s="1259">
        <f>IF('6.Inland wetlands'!$DY80="",'6.Inland wetlands'!$DX80,'6.Inland wetlands'!$DY80)</f>
        <v>0</v>
      </c>
      <c r="J296" s="1004">
        <f>IFERROR(IF(C296="Please select",0,IF($D$249="Nutrient poor",INDEX(IPCC!$A$1964:$J$1975,MATCH(clim_moist,IPCC!$A$1964:$A$1975,0),MATCH($C296,IPCC!$A$1964:$J$1964,0)),INDEX(IPCC!$A$1982:$J$1993,MATCH(clim_moist,IPCC!$A$1982:$A$1993,0),MATCH($C307,IPCC!$A$1982:$J$1982,0)))),0)</f>
        <v>0</v>
      </c>
      <c r="K296" s="1259">
        <f>IF('6.Inland wetlands'!$EA80="",'6.Inland wetlands'!$DZ80,'6.Inland wetlands'!$EA80)</f>
        <v>0</v>
      </c>
      <c r="L296" s="1004">
        <f>IFERROR(IF(C296="Please select",0,INDEX(IPCC!$A$2000:$J$2011,MATCH(clim_moist,IPCC!$A$2000:$A$2011,0),MATCH($C296,IPCC!$A$2000:$J$2000,0))),0)</f>
        <v>0</v>
      </c>
      <c r="M296" s="1259">
        <f>IF('6.Inland wetlands'!$EC80="",'6.Inland wetlands'!$EB80,'6.Inland wetlands'!$EC80)</f>
        <v>0</v>
      </c>
      <c r="N296" s="1260">
        <f>IFERROR(IF(C296="Please select",0,INDEX(IPCC!$A$1946:$J$1957,MATCH(clim_moist,IPCC!$A$1946:$A$1957,0),MATCH($C296,IPCC!$A$1946:$J$1946,0))),0)</f>
        <v>0</v>
      </c>
      <c r="O296" s="1259">
        <f>IF('6.Inland wetlands'!$EF80="",'6.Inland wetlands'!$EE80,'6.Inland wetlands'!$EF80)</f>
        <v>0</v>
      </c>
      <c r="P296" s="3468">
        <v>0</v>
      </c>
      <c r="Q296" s="3468">
        <f>SUM('Inl. wetlands'!$I296,$O296)*44/12*'Inl. wetlands'!D296</f>
        <v>0</v>
      </c>
      <c r="R296" s="1151">
        <f>SUM('Inl. wetlands'!$I296,$O296)*44/12*'Inl. wetlands'!F296</f>
        <v>0</v>
      </c>
      <c r="S296" s="3468">
        <v>0</v>
      </c>
      <c r="T296" s="1151">
        <f>'Inl. wetlands'!$K296/1000*16/12*methane*'Inl. wetlands'!D296</f>
        <v>0</v>
      </c>
      <c r="U296" s="1151">
        <f>'Inl. wetlands'!$K296/1000*16/12*methane*'Inl. wetlands'!F296</f>
        <v>0</v>
      </c>
      <c r="V296" s="3468">
        <v>0</v>
      </c>
      <c r="W296" s="1151">
        <f>'Inl. wetlands'!$M296/1000*44/28*Nitrous*'Inl. wetlands'!D296</f>
        <v>0</v>
      </c>
      <c r="X296" s="3469">
        <f>'Inl. wetlands'!$M296/1000*44/28*Nitrous*'Inl. wetlands'!F296</f>
        <v>0</v>
      </c>
      <c r="AB296" s="3468">
        <f>MIN('Inl. wetlands'!P296,'Inl. wetlands'!Q296)*time_tot+ABS('Inl. wetlands'!Q296-'Inl. wetlands'!P296)*IF('Inl. wetlands'!Q296&gt;'Inl. wetlands'!P296,time_cap+time*(VLOOKUP('6.Inland wetlands'!O91,list!$I$48:$K$50,3,0)),time*(1-(VLOOKUP('6.Inland wetlands'!O91,list!$I$48:$K$50,3,0))))</f>
        <v>0</v>
      </c>
      <c r="AC296" s="3468">
        <f>MIN('Inl. wetlands'!P296,'Inl. wetlands'!R296)*time_tot+ABS('Inl. wetlands'!R296-'Inl. wetlands'!P296)*IF('Inl. wetlands'!R296&gt;'Inl. wetlands'!P296,time_cap+time*(VLOOKUP('6.Inland wetlands'!Q91,list!$I$48:$K$50,3,0)),time*(1-(VLOOKUP('6.Inland wetlands'!Q91,list!$I$48:$K$50,3,0))))</f>
        <v>0</v>
      </c>
      <c r="AD296" s="3468">
        <f>MIN('Inl. wetlands'!S296,'Inl. wetlands'!T296)*time_tot+ABS('Inl. wetlands'!T296-'Inl. wetlands'!S296)*IF('Inl. wetlands'!T296&gt;'Inl. wetlands'!S296,time_cap+time*(VLOOKUP('6.Inland wetlands'!O91,list!$I$48:$K$50,3,0)),time*(1-(VLOOKUP('6.Inland wetlands'!O91,list!$I$48:$K$50,3,0))))</f>
        <v>0</v>
      </c>
      <c r="AE296" s="3468">
        <f>MIN('Inl. wetlands'!S296,'Inl. wetlands'!U296)*time_tot+ABS('Inl. wetlands'!U296-'Inl. wetlands'!S296)*IF('Inl. wetlands'!U296&gt;'Inl. wetlands'!S296,time_cap+time*(VLOOKUP('6.Inland wetlands'!Q91,list!$I$48:$K$50,3,0)),time*(1-(VLOOKUP('6.Inland wetlands'!Q91,list!$I$48:$K$50,3,0))))</f>
        <v>0</v>
      </c>
      <c r="AF296" s="3468">
        <f>MIN('Inl. wetlands'!V296,'Inl. wetlands'!W296)*time_tot+ABS('Inl. wetlands'!W296-'Inl. wetlands'!V296)*IF('Inl. wetlands'!W296&gt;'Inl. wetlands'!V296,time_cap+time*(VLOOKUP('6.Inland wetlands'!O91,list!$I$48:$K$50,3,0)),time*(1-(VLOOKUP('6.Inland wetlands'!O91,list!$I$48:$K$50,3,0))))</f>
        <v>0</v>
      </c>
      <c r="AG296" s="3468">
        <f>MIN('Inl. wetlands'!V296,'Inl. wetlands'!X296)*time_tot+ABS('Inl. wetlands'!X296-'Inl. wetlands'!V296)*IF('Inl. wetlands'!X296&gt;'Inl. wetlands'!V296,time_cap+time*(VLOOKUP('6.Inland wetlands'!Q91,list!$I$48:$K$50,3,0)),time*(1-(VLOOKUP('6.Inland wetlands'!Q91,list!$I$48:$K$50,3,0))))</f>
        <v>0</v>
      </c>
      <c r="AX296" s="1449">
        <f>$Q296*time*(VLOOKUP($E296,list!$J$48:$K$50,2,0))</f>
        <v>0</v>
      </c>
      <c r="AY296" s="1449">
        <f>$R296*time*(VLOOKUP($G296,list!$J$48:$K$50,2,0))</f>
        <v>0</v>
      </c>
      <c r="AZ296" s="1449">
        <f>$T296*time*(VLOOKUP($E296,list!$J$48:$K$50,2,0))</f>
        <v>0</v>
      </c>
      <c r="BA296" s="1449">
        <f>$U296*time*(VLOOKUP($G296,list!$J$48:$K$50,2,0))</f>
        <v>0</v>
      </c>
      <c r="BB296" s="1449">
        <f>$W296*time*(VLOOKUP($E296,list!$J$48:$K$50,2,0))</f>
        <v>0</v>
      </c>
      <c r="BC296" s="1449">
        <f>$X296*time*(VLOOKUP($G296,list!$J$48:$K$50,2,0))</f>
        <v>0</v>
      </c>
      <c r="BD296" s="1449"/>
      <c r="BE296" s="1449"/>
      <c r="BF296" s="1449"/>
      <c r="BG296" s="1449"/>
    </row>
    <row r="297" spans="1:59" x14ac:dyDescent="0.15">
      <c r="A297" s="1493" t="s">
        <v>1161</v>
      </c>
      <c r="B297" s="1121" t="str">
        <f t="shared" si="138"/>
        <v>Please select</v>
      </c>
      <c r="C297" s="1121" t="str">
        <f t="shared" si="137"/>
        <v/>
      </c>
      <c r="D297" s="992">
        <f>IF('6.Inland wetlands'!S92='6.Inland wetlands'!K92, 0, IF(('6.Inland wetlands'!T92-'6.Inland wetlands'!S92)-'6.Inland wetlands'!N81&gt;0,('6.Inland wetlands'!T92-'6.Inland wetlands'!S92)-'6.Inland wetlands'!N81,0))</f>
        <v>0</v>
      </c>
      <c r="E297" s="992" t="str">
        <f t="shared" si="139"/>
        <v>Linear</v>
      </c>
      <c r="F297" s="992">
        <f>IF(('6.Inland wetlands'!U92-'6.Inland wetlands'!S92)-'6.Inland wetlands'!P81&gt;0,('6.Inland wetlands'!U92-'6.Inland wetlands'!S92)-'6.Inland wetlands'!P81,0)</f>
        <v>0</v>
      </c>
      <c r="G297" s="992" t="str">
        <f t="shared" si="140"/>
        <v>Linear</v>
      </c>
      <c r="H297" s="1004">
        <f>IFERROR(IF($E256=" ",0,IF($D$249="Nutrient poor",INDEX(IPCC!$A$1910:$J$1921,MATCH(clim_moist,IPCC!$A$1910:$A$1921,0),MATCH($C297,IPCC!$A$1910:$J$1910,0)),INDEX(IPCC!$A$1928:$J$1939,MATCH(clim_moist,IPCC!$A$1928:$A$1939,0),MATCH($C297,IPCC!$A$1928:$J$1928,0)))),0)</f>
        <v>0</v>
      </c>
      <c r="I297" s="1259">
        <f>IF('6.Inland wetlands'!$DY81="",'6.Inland wetlands'!$DX81,'6.Inland wetlands'!$DY81)</f>
        <v>0</v>
      </c>
      <c r="J297" s="1004">
        <f>IFERROR(IF(C297="Please select",0,IF($D$249="Nutrient poor",INDEX(IPCC!$A$1964:$J$1975,MATCH(clim_moist,IPCC!$A$1964:$A$1975,0),MATCH($C297,IPCC!$A$1964:$J$1964,0)),INDEX(IPCC!$A$1982:$J$1993,MATCH(clim_moist,IPCC!$A$1982:$A$1993,0),MATCH($C308,IPCC!$A$1982:$J$1982,0)))),0)</f>
        <v>0</v>
      </c>
      <c r="K297" s="1259">
        <f>IF('6.Inland wetlands'!$EA81="",'6.Inland wetlands'!$DZ81,'6.Inland wetlands'!$EA81)</f>
        <v>0</v>
      </c>
      <c r="L297" s="1004">
        <f>IFERROR(IF(C297="Please select",0,INDEX(IPCC!$A$2000:$J$2011,MATCH(clim_moist,IPCC!$A$2000:$A$2011,0),MATCH($C297,IPCC!$A$2000:$J$2000,0))),0)</f>
        <v>0</v>
      </c>
      <c r="M297" s="1259">
        <f>IF('6.Inland wetlands'!$EC81="",'6.Inland wetlands'!$EB81,'6.Inland wetlands'!$EC81)</f>
        <v>0</v>
      </c>
      <c r="N297" s="1260">
        <f>IFERROR(IF(C297="Please select",0,INDEX(IPCC!$A$1946:$J$1957,MATCH(clim_moist,IPCC!$A$1946:$A$1957,0),MATCH($C297,IPCC!$A$1946:$J$1946,0))),0)</f>
        <v>0</v>
      </c>
      <c r="O297" s="1259">
        <f>IF('6.Inland wetlands'!$EF81="",'6.Inland wetlands'!$EE81,'6.Inland wetlands'!$EF81)</f>
        <v>0</v>
      </c>
      <c r="P297" s="3468">
        <v>0</v>
      </c>
      <c r="Q297" s="3468">
        <f>SUM('Inl. wetlands'!$I297,$O297)*44/12*'Inl. wetlands'!D297</f>
        <v>0</v>
      </c>
      <c r="R297" s="1151">
        <f>SUM('Inl. wetlands'!$I297,$O297)*44/12*'Inl. wetlands'!F297</f>
        <v>0</v>
      </c>
      <c r="S297" s="3468">
        <v>0</v>
      </c>
      <c r="T297" s="1151">
        <f>'Inl. wetlands'!$K297/1000*16/12*methane*'Inl. wetlands'!D297</f>
        <v>0</v>
      </c>
      <c r="U297" s="1151">
        <f>'Inl. wetlands'!$K297/1000*16/12*methane*'Inl. wetlands'!F297</f>
        <v>0</v>
      </c>
      <c r="V297" s="3468">
        <v>0</v>
      </c>
      <c r="W297" s="1151">
        <f>'Inl. wetlands'!$M297/1000*44/28*Nitrous*'Inl. wetlands'!D297</f>
        <v>0</v>
      </c>
      <c r="X297" s="3469">
        <f>'Inl. wetlands'!$M297/1000*44/28*Nitrous*'Inl. wetlands'!F297</f>
        <v>0</v>
      </c>
      <c r="AB297" s="3468">
        <f>MIN('Inl. wetlands'!P297,'Inl. wetlands'!Q297)*time_tot+ABS('Inl. wetlands'!Q297-'Inl. wetlands'!P297)*IF('Inl. wetlands'!Q297&gt;'Inl. wetlands'!P297,time_cap+time*(VLOOKUP('6.Inland wetlands'!O92,list!$I$48:$K$50,3,0)),time*(1-(VLOOKUP('6.Inland wetlands'!O92,list!$I$48:$K$50,3,0))))</f>
        <v>0</v>
      </c>
      <c r="AC297" s="3468">
        <f>MIN('Inl. wetlands'!P297,'Inl. wetlands'!R297)*time_tot+ABS('Inl. wetlands'!R297-'Inl. wetlands'!P297)*IF('Inl. wetlands'!R297&gt;'Inl. wetlands'!P297,time_cap+time*(VLOOKUP('6.Inland wetlands'!Q92,list!$I$48:$K$50,3,0)),time*(1-(VLOOKUP('6.Inland wetlands'!Q92,list!$I$48:$K$50,3,0))))</f>
        <v>0</v>
      </c>
      <c r="AD297" s="3468">
        <f>MIN('Inl. wetlands'!S297,'Inl. wetlands'!T297)*time_tot+ABS('Inl. wetlands'!T297-'Inl. wetlands'!S297)*IF('Inl. wetlands'!T297&gt;'Inl. wetlands'!S297,time_cap+time*(VLOOKUP('6.Inland wetlands'!O92,list!$I$48:$K$50,3,0)),time*(1-(VLOOKUP('6.Inland wetlands'!O92,list!$I$48:$K$50,3,0))))</f>
        <v>0</v>
      </c>
      <c r="AE297" s="3468">
        <f>MIN('Inl. wetlands'!S297,'Inl. wetlands'!U297)*time_tot+ABS('Inl. wetlands'!U297-'Inl. wetlands'!S297)*IF('Inl. wetlands'!U297&gt;'Inl. wetlands'!S297,time_cap+time*(VLOOKUP('6.Inland wetlands'!Q92,list!$I$48:$K$50,3,0)),time*(1-(VLOOKUP('6.Inland wetlands'!Q92,list!$I$48:$K$50,3,0))))</f>
        <v>0</v>
      </c>
      <c r="AF297" s="3468">
        <f>MIN('Inl. wetlands'!V297,'Inl. wetlands'!W297)*time_tot+ABS('Inl. wetlands'!W297-'Inl. wetlands'!V297)*IF('Inl. wetlands'!W297&gt;'Inl. wetlands'!V297,time_cap+time*(VLOOKUP('6.Inland wetlands'!O92,list!$I$48:$K$50,3,0)),time*(1-(VLOOKUP('6.Inland wetlands'!O92,list!$I$48:$K$50,3,0))))</f>
        <v>0</v>
      </c>
      <c r="AG297" s="3468">
        <f>MIN('Inl. wetlands'!V297,'Inl. wetlands'!X297)*time_tot+ABS('Inl. wetlands'!X297-'Inl. wetlands'!V297)*IF('Inl. wetlands'!X297&gt;'Inl. wetlands'!V297,time_cap+time*(VLOOKUP('6.Inland wetlands'!Q92,list!$I$48:$K$50,3,0)),time*(1-(VLOOKUP('6.Inland wetlands'!Q92,list!$I$48:$K$50,3,0))))</f>
        <v>0</v>
      </c>
      <c r="AX297" s="1449">
        <f>$Q297*time*(VLOOKUP($E297,list!$J$48:$K$50,2,0))</f>
        <v>0</v>
      </c>
      <c r="AY297" s="1449">
        <f>$R297*time*(VLOOKUP($G297,list!$J$48:$K$50,2,0))</f>
        <v>0</v>
      </c>
      <c r="AZ297" s="1449">
        <f>$T297*time*(VLOOKUP($E297,list!$J$48:$K$50,2,0))</f>
        <v>0</v>
      </c>
      <c r="BA297" s="1449">
        <f>$U297*time*(VLOOKUP($G297,list!$J$48:$K$50,2,0))</f>
        <v>0</v>
      </c>
      <c r="BB297" s="1449">
        <f>$W297*time*(VLOOKUP($E297,list!$J$48:$K$50,2,0))</f>
        <v>0</v>
      </c>
      <c r="BC297" s="1449">
        <f>$X297*time*(VLOOKUP($G297,list!$J$48:$K$50,2,0))</f>
        <v>0</v>
      </c>
      <c r="BD297" s="1449"/>
      <c r="BE297" s="1449"/>
      <c r="BF297" s="1449"/>
      <c r="BG297" s="1449"/>
    </row>
    <row r="298" spans="1:59" x14ac:dyDescent="0.15">
      <c r="A298" s="1493" t="s">
        <v>1162</v>
      </c>
      <c r="B298" s="1121" t="str">
        <f t="shared" si="138"/>
        <v>Please select</v>
      </c>
      <c r="C298" s="1121" t="str">
        <f t="shared" si="137"/>
        <v/>
      </c>
      <c r="D298" s="992">
        <f>IF('6.Inland wetlands'!S93='6.Inland wetlands'!K93, 0, IF(('6.Inland wetlands'!T93-'6.Inland wetlands'!S93)-'6.Inland wetlands'!N82&gt;0,('6.Inland wetlands'!T93-'6.Inland wetlands'!S93)-'6.Inland wetlands'!N82,0))</f>
        <v>0</v>
      </c>
      <c r="E298" s="992" t="str">
        <f t="shared" si="139"/>
        <v>Linear</v>
      </c>
      <c r="F298" s="992">
        <f>IF(('6.Inland wetlands'!U93-'6.Inland wetlands'!S93)-'6.Inland wetlands'!P82&gt;0,('6.Inland wetlands'!U93-'6.Inland wetlands'!S93)-'6.Inland wetlands'!P82,0)</f>
        <v>0</v>
      </c>
      <c r="G298" s="992" t="str">
        <f t="shared" si="140"/>
        <v>Linear</v>
      </c>
      <c r="H298" s="1004">
        <f>IFERROR(IF($E257=" ",0,IF($D$249="Nutrient poor",INDEX(IPCC!$A$1910:$J$1921,MATCH(clim_moist,IPCC!$A$1910:$A$1921,0),MATCH($C298,IPCC!$A$1910:$J$1910,0)),INDEX(IPCC!$A$1928:$J$1939,MATCH(clim_moist,IPCC!$A$1928:$A$1939,0),MATCH($C298,IPCC!$A$1928:$J$1928,0)))),0)</f>
        <v>0</v>
      </c>
      <c r="I298" s="1259">
        <f>IF('6.Inland wetlands'!$DY82="",'6.Inland wetlands'!$DX82,'6.Inland wetlands'!$DY82)</f>
        <v>0</v>
      </c>
      <c r="J298" s="1004">
        <f>IFERROR(IF(C298="Please select",0,IF($D$249="Nutrient poor",INDEX(IPCC!$A$1964:$J$1975,MATCH(clim_moist,IPCC!$A$1964:$A$1975,0),MATCH($C298,IPCC!$A$1964:$J$1964,0)),INDEX(IPCC!$A$1982:$J$1993,MATCH(clim_moist,IPCC!$A$1982:$A$1993,0),MATCH($C309,IPCC!$A$1982:$J$1982,0)))),0)</f>
        <v>0</v>
      </c>
      <c r="K298" s="1259">
        <f>IF('6.Inland wetlands'!$EA82="",'6.Inland wetlands'!$DZ82,'6.Inland wetlands'!$EA82)</f>
        <v>0</v>
      </c>
      <c r="L298" s="1004">
        <f>IFERROR(IF(C298="Please select",0,INDEX(IPCC!$A$2000:$J$2011,MATCH(clim_moist,IPCC!$A$2000:$A$2011,0),MATCH($C298,IPCC!$A$2000:$J$2000,0))),0)</f>
        <v>0</v>
      </c>
      <c r="M298" s="1259">
        <f>IF('6.Inland wetlands'!$EC82="",'6.Inland wetlands'!$EB82,'6.Inland wetlands'!$EC82)</f>
        <v>0</v>
      </c>
      <c r="N298" s="1260">
        <f>IFERROR(IF(C298="Please select",0,INDEX(IPCC!$A$1946:$J$1957,MATCH(clim_moist,IPCC!$A$1946:$A$1957,0),MATCH($C298,IPCC!$A$1946:$J$1946,0))),0)</f>
        <v>0</v>
      </c>
      <c r="O298" s="1259">
        <f>IF('6.Inland wetlands'!$EF82="",'6.Inland wetlands'!$EE82,'6.Inland wetlands'!$EF82)</f>
        <v>0</v>
      </c>
      <c r="P298" s="3468">
        <v>0</v>
      </c>
      <c r="Q298" s="3468">
        <f>SUM('Inl. wetlands'!$I298,$O298)*44/12*'Inl. wetlands'!D298</f>
        <v>0</v>
      </c>
      <c r="R298" s="1151">
        <f>SUM('Inl. wetlands'!$I298,$O298)*44/12*'Inl. wetlands'!F298</f>
        <v>0</v>
      </c>
      <c r="S298" s="3468">
        <v>0</v>
      </c>
      <c r="T298" s="1151">
        <f>'Inl. wetlands'!$K298/1000*16/12*methane*'Inl. wetlands'!D298</f>
        <v>0</v>
      </c>
      <c r="U298" s="1151">
        <f>'Inl. wetlands'!$K298/1000*16/12*methane*'Inl. wetlands'!F298</f>
        <v>0</v>
      </c>
      <c r="V298" s="3468">
        <v>0</v>
      </c>
      <c r="W298" s="1151">
        <f>'Inl. wetlands'!$M298/1000*44/28*Nitrous*'Inl. wetlands'!D298</f>
        <v>0</v>
      </c>
      <c r="X298" s="3469">
        <f>'Inl. wetlands'!$M298/1000*44/28*Nitrous*'Inl. wetlands'!F298</f>
        <v>0</v>
      </c>
      <c r="AB298" s="3468">
        <f>MIN('Inl. wetlands'!P298,'Inl. wetlands'!Q298)*time_tot+ABS('Inl. wetlands'!Q298-'Inl. wetlands'!P298)*IF('Inl. wetlands'!Q298&gt;'Inl. wetlands'!P298,time_cap+time*(VLOOKUP('6.Inland wetlands'!O93,list!$I$48:$K$50,3,0)),time*(1-(VLOOKUP('6.Inland wetlands'!O93,list!$I$48:$K$50,3,0))))</f>
        <v>0</v>
      </c>
      <c r="AC298" s="3468">
        <f>MIN('Inl. wetlands'!P298,'Inl. wetlands'!R298)*time_tot+ABS('Inl. wetlands'!R298-'Inl. wetlands'!P298)*IF('Inl. wetlands'!R298&gt;'Inl. wetlands'!P298,time_cap+time*(VLOOKUP('6.Inland wetlands'!Q93,list!$I$48:$K$50,3,0)),time*(1-(VLOOKUP('6.Inland wetlands'!Q93,list!$I$48:$K$50,3,0))))</f>
        <v>0</v>
      </c>
      <c r="AD298" s="3468">
        <f>MIN('Inl. wetlands'!S298,'Inl. wetlands'!T298)*time_tot+ABS('Inl. wetlands'!T298-'Inl. wetlands'!S298)*IF('Inl. wetlands'!T298&gt;'Inl. wetlands'!S298,time_cap+time*(VLOOKUP('6.Inland wetlands'!O93,list!$I$48:$K$50,3,0)),time*(1-(VLOOKUP('6.Inland wetlands'!O93,list!$I$48:$K$50,3,0))))</f>
        <v>0</v>
      </c>
      <c r="AE298" s="3468">
        <f>MIN('Inl. wetlands'!S298,'Inl. wetlands'!U298)*time_tot+ABS('Inl. wetlands'!U298-'Inl. wetlands'!S298)*IF('Inl. wetlands'!U298&gt;'Inl. wetlands'!S298,time_cap+time*(VLOOKUP('6.Inland wetlands'!Q93,list!$I$48:$K$50,3,0)),time*(1-(VLOOKUP('6.Inland wetlands'!Q93,list!$I$48:$K$50,3,0))))</f>
        <v>0</v>
      </c>
      <c r="AF298" s="3468">
        <f>MIN('Inl. wetlands'!V298,'Inl. wetlands'!W298)*time_tot+ABS('Inl. wetlands'!W298-'Inl. wetlands'!V298)*IF('Inl. wetlands'!W298&gt;'Inl. wetlands'!V298,time_cap+time*(VLOOKUP('6.Inland wetlands'!O93,list!$I$48:$K$50,3,0)),time*(1-(VLOOKUP('6.Inland wetlands'!O93,list!$I$48:$K$50,3,0))))</f>
        <v>0</v>
      </c>
      <c r="AG298" s="3468">
        <f>MIN('Inl. wetlands'!V298,'Inl. wetlands'!X298)*time_tot+ABS('Inl. wetlands'!X298-'Inl. wetlands'!V298)*IF('Inl. wetlands'!X298&gt;'Inl. wetlands'!V298,time_cap+time*(VLOOKUP('6.Inland wetlands'!Q93,list!$I$48:$K$50,3,0)),time*(1-(VLOOKUP('6.Inland wetlands'!Q93,list!$I$48:$K$50,3,0))))</f>
        <v>0</v>
      </c>
      <c r="AX298" s="1449">
        <f>$Q298*time*(VLOOKUP($E298,list!$J$48:$K$50,2,0))</f>
        <v>0</v>
      </c>
      <c r="AY298" s="1449">
        <f>$R298*time*(VLOOKUP($G298,list!$J$48:$K$50,2,0))</f>
        <v>0</v>
      </c>
      <c r="AZ298" s="1449">
        <f>$T298*time*(VLOOKUP($E298,list!$J$48:$K$50,2,0))</f>
        <v>0</v>
      </c>
      <c r="BA298" s="1449">
        <f>$U298*time*(VLOOKUP($G298,list!$J$48:$K$50,2,0))</f>
        <v>0</v>
      </c>
      <c r="BB298" s="1449">
        <f>$W298*time*(VLOOKUP($E298,list!$J$48:$K$50,2,0))</f>
        <v>0</v>
      </c>
      <c r="BC298" s="1449">
        <f>$X298*time*(VLOOKUP($G298,list!$J$48:$K$50,2,0))</f>
        <v>0</v>
      </c>
      <c r="BD298" s="1449"/>
      <c r="BE298" s="1449"/>
      <c r="BF298" s="1449"/>
      <c r="BG298" s="1449"/>
    </row>
    <row r="299" spans="1:59" x14ac:dyDescent="0.15">
      <c r="A299" s="1493" t="s">
        <v>1163</v>
      </c>
      <c r="B299" s="1121" t="str">
        <f t="shared" si="138"/>
        <v>Please select</v>
      </c>
      <c r="C299" s="1121" t="str">
        <f t="shared" si="137"/>
        <v/>
      </c>
      <c r="D299" s="992">
        <f>IF('6.Inland wetlands'!S94='6.Inland wetlands'!K94, 0, IF(('6.Inland wetlands'!T94-'6.Inland wetlands'!S94)-'6.Inland wetlands'!N83&gt;0,('6.Inland wetlands'!T94-'6.Inland wetlands'!S94)-'6.Inland wetlands'!N83,0))</f>
        <v>0</v>
      </c>
      <c r="E299" s="992" t="str">
        <f t="shared" si="139"/>
        <v>Linear</v>
      </c>
      <c r="F299" s="992">
        <f>IF(('6.Inland wetlands'!U94-'6.Inland wetlands'!S94)-'6.Inland wetlands'!P83&gt;0,('6.Inland wetlands'!U94-'6.Inland wetlands'!S94)-'6.Inland wetlands'!P83,0)</f>
        <v>0</v>
      </c>
      <c r="G299" s="992" t="str">
        <f t="shared" si="140"/>
        <v>Linear</v>
      </c>
      <c r="H299" s="1004">
        <f>IFERROR(IF($E258=" ",0,IF($D$249="Nutrient poor",INDEX(IPCC!$A$1910:$J$1921,MATCH(clim_moist,IPCC!$A$1910:$A$1921,0),MATCH($C299,IPCC!$A$1910:$J$1910,0)),INDEX(IPCC!$A$1928:$J$1939,MATCH(clim_moist,IPCC!$A$1928:$A$1939,0),MATCH($C299,IPCC!$A$1928:$J$1928,0)))),0)</f>
        <v>0</v>
      </c>
      <c r="I299" s="1259">
        <f>IF('6.Inland wetlands'!$DY83="",'6.Inland wetlands'!$DX83,'6.Inland wetlands'!$DY83)</f>
        <v>0</v>
      </c>
      <c r="J299" s="1004">
        <f>IFERROR(IF(C299="Please select",0,IF($D$249="Nutrient poor",INDEX(IPCC!$A$1964:$J$1975,MATCH(clim_moist,IPCC!$A$1964:$A$1975,0),MATCH($C299,IPCC!$A$1964:$J$1964,0)),INDEX(IPCC!$A$1982:$J$1993,MATCH(clim_moist,IPCC!$A$1982:$A$1993,0),MATCH($C310,IPCC!$A$1982:$J$1982,0)))),0)</f>
        <v>0</v>
      </c>
      <c r="K299" s="1259">
        <f>IF('6.Inland wetlands'!$EA83="",'6.Inland wetlands'!$DZ83,'6.Inland wetlands'!$EA83)</f>
        <v>0</v>
      </c>
      <c r="L299" s="1004">
        <f>IFERROR(IF(C299="Please select",0,INDEX(IPCC!$A$2000:$J$2011,MATCH(clim_moist,IPCC!$A$2000:$A$2011,0),MATCH($C299,IPCC!$A$2000:$J$2000,0))),0)</f>
        <v>0</v>
      </c>
      <c r="M299" s="1259">
        <f>IF('6.Inland wetlands'!$EC83="",'6.Inland wetlands'!$EB83,'6.Inland wetlands'!$EC83)</f>
        <v>0</v>
      </c>
      <c r="N299" s="1260">
        <f>IFERROR(IF(C299="Please select",0,INDEX(IPCC!$A$1946:$J$1957,MATCH(clim_moist,IPCC!$A$1946:$A$1957,0),MATCH($C299,IPCC!$A$1946:$J$1946,0))),0)</f>
        <v>0</v>
      </c>
      <c r="O299" s="1259">
        <f>IF('6.Inland wetlands'!$EF83="",'6.Inland wetlands'!$EE83,'6.Inland wetlands'!$EF83)</f>
        <v>0</v>
      </c>
      <c r="P299" s="3468">
        <v>0</v>
      </c>
      <c r="Q299" s="3468">
        <f>SUM('Inl. wetlands'!$I299,$O299)*44/12*'Inl. wetlands'!D299</f>
        <v>0</v>
      </c>
      <c r="R299" s="1151">
        <f>SUM('Inl. wetlands'!$I299,$O299)*44/12*'Inl. wetlands'!F299</f>
        <v>0</v>
      </c>
      <c r="S299" s="3468">
        <v>0</v>
      </c>
      <c r="T299" s="1151">
        <f>'Inl. wetlands'!$K299/1000*16/12*methane*'Inl. wetlands'!D299</f>
        <v>0</v>
      </c>
      <c r="U299" s="1151">
        <f>'Inl. wetlands'!$K299/1000*16/12*methane*'Inl. wetlands'!F299</f>
        <v>0</v>
      </c>
      <c r="V299" s="3468">
        <v>0</v>
      </c>
      <c r="W299" s="1151">
        <f>'Inl. wetlands'!$M299/1000*44/28*Nitrous*'Inl. wetlands'!D299</f>
        <v>0</v>
      </c>
      <c r="X299" s="3469">
        <f>'Inl. wetlands'!$M299/1000*44/28*Nitrous*'Inl. wetlands'!F299</f>
        <v>0</v>
      </c>
      <c r="AB299" s="3468">
        <f>MIN('Inl. wetlands'!P299,'Inl. wetlands'!Q299)*time_tot+ABS('Inl. wetlands'!Q299-'Inl. wetlands'!P299)*IF('Inl. wetlands'!Q299&gt;'Inl. wetlands'!P299,time_cap+time*(VLOOKUP('6.Inland wetlands'!O94,list!$I$48:$K$50,3,0)),time*(1-(VLOOKUP('6.Inland wetlands'!O94,list!$I$48:$K$50,3,0))))</f>
        <v>0</v>
      </c>
      <c r="AC299" s="3468">
        <f>MIN('Inl. wetlands'!P299,'Inl. wetlands'!R299)*time_tot+ABS('Inl. wetlands'!R299-'Inl. wetlands'!P299)*IF('Inl. wetlands'!R299&gt;'Inl. wetlands'!P299,time_cap+time*(VLOOKUP('6.Inland wetlands'!Q94,list!$I$48:$K$50,3,0)),time*(1-(VLOOKUP('6.Inland wetlands'!Q94,list!$I$48:$K$50,3,0))))</f>
        <v>0</v>
      </c>
      <c r="AD299" s="3468">
        <f>MIN('Inl. wetlands'!S299,'Inl. wetlands'!T299)*time_tot+ABS('Inl. wetlands'!T299-'Inl. wetlands'!S299)*IF('Inl. wetlands'!T299&gt;'Inl. wetlands'!S299,time_cap+time*(VLOOKUP('6.Inland wetlands'!O94,list!$I$48:$K$50,3,0)),time*(1-(VLOOKUP('6.Inland wetlands'!O94,list!$I$48:$K$50,3,0))))</f>
        <v>0</v>
      </c>
      <c r="AE299" s="3468">
        <f>MIN('Inl. wetlands'!S299,'Inl. wetlands'!U299)*time_tot+ABS('Inl. wetlands'!U299-'Inl. wetlands'!S299)*IF('Inl. wetlands'!U299&gt;'Inl. wetlands'!S299,time_cap+time*(VLOOKUP('6.Inland wetlands'!Q94,list!$I$48:$K$50,3,0)),time*(1-(VLOOKUP('6.Inland wetlands'!Q94,list!$I$48:$K$50,3,0))))</f>
        <v>0</v>
      </c>
      <c r="AF299" s="3468">
        <f>MIN('Inl. wetlands'!V299,'Inl. wetlands'!W299)*time_tot+ABS('Inl. wetlands'!W299-'Inl. wetlands'!V299)*IF('Inl. wetlands'!W299&gt;'Inl. wetlands'!V299,time_cap+time*(VLOOKUP('6.Inland wetlands'!O94,list!$I$48:$K$50,3,0)),time*(1-(VLOOKUP('6.Inland wetlands'!O94,list!$I$48:$K$50,3,0))))</f>
        <v>0</v>
      </c>
      <c r="AG299" s="3468">
        <f>MIN('Inl. wetlands'!V299,'Inl. wetlands'!X299)*time_tot+ABS('Inl. wetlands'!X299-'Inl. wetlands'!V299)*IF('Inl. wetlands'!X299&gt;'Inl. wetlands'!V299,time_cap+time*(VLOOKUP('6.Inland wetlands'!Q94,list!$I$48:$K$50,3,0)),time*(1-(VLOOKUP('6.Inland wetlands'!Q94,list!$I$48:$K$50,3,0))))</f>
        <v>0</v>
      </c>
      <c r="AX299" s="1449">
        <f>$Q299*time*(VLOOKUP($E299,list!$J$48:$K$50,2,0))</f>
        <v>0</v>
      </c>
      <c r="AY299" s="1449">
        <f>$R299*time*(VLOOKUP($G299,list!$J$48:$K$50,2,0))</f>
        <v>0</v>
      </c>
      <c r="AZ299" s="1449">
        <f>$T299*time*(VLOOKUP($E299,list!$J$48:$K$50,2,0))</f>
        <v>0</v>
      </c>
      <c r="BA299" s="1449">
        <f>$U299*time*(VLOOKUP($G299,list!$J$48:$K$50,2,0))</f>
        <v>0</v>
      </c>
      <c r="BB299" s="1449">
        <f>$W299*time*(VLOOKUP($E299,list!$J$48:$K$50,2,0))</f>
        <v>0</v>
      </c>
      <c r="BC299" s="1449">
        <f>$X299*time*(VLOOKUP($G299,list!$J$48:$K$50,2,0))</f>
        <v>0</v>
      </c>
      <c r="BD299" s="1449"/>
      <c r="BE299" s="1449"/>
      <c r="BF299" s="1449"/>
      <c r="BG299" s="1449"/>
    </row>
    <row r="300" spans="1:59" ht="16" x14ac:dyDescent="0.2">
      <c r="A300" s="1493" t="s">
        <v>1164</v>
      </c>
      <c r="B300" s="1121" t="str">
        <f t="shared" si="138"/>
        <v>Please select</v>
      </c>
      <c r="C300" s="1121" t="str">
        <f t="shared" si="137"/>
        <v/>
      </c>
      <c r="D300" s="992">
        <f>IF('6.Inland wetlands'!S95='6.Inland wetlands'!K95, 0, IF(('6.Inland wetlands'!T95-'6.Inland wetlands'!S95)-'6.Inland wetlands'!N84&gt;0,('6.Inland wetlands'!T95-'6.Inland wetlands'!S95)-'6.Inland wetlands'!N84,0))</f>
        <v>0</v>
      </c>
      <c r="E300" s="992" t="str">
        <f t="shared" si="139"/>
        <v>Linear</v>
      </c>
      <c r="F300" s="992">
        <f>IF(('6.Inland wetlands'!U95-'6.Inland wetlands'!S95)-'6.Inland wetlands'!P84&gt;0,('6.Inland wetlands'!U95-'6.Inland wetlands'!S95)-'6.Inland wetlands'!P84,0)</f>
        <v>0</v>
      </c>
      <c r="G300" s="992" t="str">
        <f t="shared" si="140"/>
        <v>Linear</v>
      </c>
      <c r="H300" s="1004">
        <f>IFERROR(IF($E259=" ",0,IF($D$249="Nutrient poor",INDEX(IPCC!$A$1910:$J$1921,MATCH(clim_moist,IPCC!$A$1910:$A$1921,0),MATCH($C300,IPCC!$A$1910:$J$1910,0)),INDEX(IPCC!$A$1928:$J$1939,MATCH(clim_moist,IPCC!$A$1928:$A$1939,0),MATCH($C300,IPCC!$A$1928:$J$1928,0)))),0)</f>
        <v>0</v>
      </c>
      <c r="I300" s="1259">
        <f>IF('6.Inland wetlands'!$DY84="",'6.Inland wetlands'!$DX84,'6.Inland wetlands'!$DY84)</f>
        <v>0</v>
      </c>
      <c r="J300" s="1004">
        <f>IFERROR(IF(C300="Please select",0,IF($D$249="Nutrient poor",INDEX(IPCC!$A$1964:$J$1975,MATCH(clim_moist,IPCC!$A$1964:$A$1975,0),MATCH($C300,IPCC!$A$1964:$J$1964,0)),INDEX(IPCC!$A$1982:$J$1993,MATCH(clim_moist,IPCC!$A$1982:$A$1993,0),MATCH($C311,IPCC!$A$1982:$J$1982,0)))),0)</f>
        <v>0</v>
      </c>
      <c r="K300" s="1259">
        <f>IF('6.Inland wetlands'!$EA84="",'6.Inland wetlands'!$DZ84,'6.Inland wetlands'!$EA84)</f>
        <v>0</v>
      </c>
      <c r="L300" s="1004">
        <f>IFERROR(IF(C300="Please select",0,INDEX(IPCC!$A$2000:$J$2011,MATCH(clim_moist,IPCC!$A$2000:$A$2011,0),MATCH($C300,IPCC!$A$2000:$J$2000,0))),0)</f>
        <v>0</v>
      </c>
      <c r="M300" s="1259">
        <f>IF('6.Inland wetlands'!$EC84="",'6.Inland wetlands'!$EB84,'6.Inland wetlands'!$EC84)</f>
        <v>0</v>
      </c>
      <c r="N300" s="1260">
        <f>IFERROR(IF(C300="Please select",0,INDEX(IPCC!$A$1946:$J$1957,MATCH(clim_moist,IPCC!$A$1946:$A$1957,0),MATCH($C300,IPCC!$A$1946:$J$1946,0))),0)</f>
        <v>0</v>
      </c>
      <c r="O300" s="1259">
        <f>IF('6.Inland wetlands'!$EF84="",'6.Inland wetlands'!$EE84,'6.Inland wetlands'!$EF84)</f>
        <v>0</v>
      </c>
      <c r="P300" s="3468">
        <v>0</v>
      </c>
      <c r="Q300" s="3468">
        <f>SUM('Inl. wetlands'!$I300,$O300)*44/12*'Inl. wetlands'!D300</f>
        <v>0</v>
      </c>
      <c r="R300" s="1151">
        <f>SUM('Inl. wetlands'!$I300,$O300)*44/12*'Inl. wetlands'!F300</f>
        <v>0</v>
      </c>
      <c r="S300" s="3468">
        <v>0</v>
      </c>
      <c r="T300" s="1151">
        <f>'Inl. wetlands'!$K300/1000*16/12*methane*'Inl. wetlands'!D300</f>
        <v>0</v>
      </c>
      <c r="U300" s="1151">
        <f>'Inl. wetlands'!$K300/1000*16/12*methane*'Inl. wetlands'!F300</f>
        <v>0</v>
      </c>
      <c r="V300" s="3468">
        <v>0</v>
      </c>
      <c r="W300" s="1151">
        <f>'Inl. wetlands'!$M300/1000*44/28*Nitrous*'Inl. wetlands'!D300</f>
        <v>0</v>
      </c>
      <c r="X300" s="3469">
        <f>'Inl. wetlands'!$M300/1000*44/28*Nitrous*'Inl. wetlands'!F300</f>
        <v>0</v>
      </c>
      <c r="AB300" s="3468">
        <f>MIN('Inl. wetlands'!P300,'Inl. wetlands'!Q300)*time_tot+ABS('Inl. wetlands'!Q300-'Inl. wetlands'!P300)*IF('Inl. wetlands'!Q300&gt;'Inl. wetlands'!P300,time_cap+time*(VLOOKUP('6.Inland wetlands'!O95,list!$I$48:$K$50,3,0)),time*(1-(VLOOKUP('6.Inland wetlands'!O95,list!$I$48:$K$50,3,0))))</f>
        <v>0</v>
      </c>
      <c r="AC300" s="3468">
        <f>MIN('Inl. wetlands'!P300,'Inl. wetlands'!R300)*time_tot+ABS('Inl. wetlands'!R300-'Inl. wetlands'!P300)*IF('Inl. wetlands'!R300&gt;'Inl. wetlands'!P300,time_cap+time*(VLOOKUP('6.Inland wetlands'!Q95,list!$I$48:$K$50,3,0)),time*(1-(VLOOKUP('6.Inland wetlands'!Q95,list!$I$48:$K$50,3,0))))</f>
        <v>0</v>
      </c>
      <c r="AD300" s="3468">
        <f>MIN('Inl. wetlands'!S300,'Inl. wetlands'!T300)*time_tot+ABS('Inl. wetlands'!T300-'Inl. wetlands'!S300)*IF('Inl. wetlands'!T300&gt;'Inl. wetlands'!S300,time_cap+time*(VLOOKUP('6.Inland wetlands'!O95,list!$I$48:$K$50,3,0)),time*(1-(VLOOKUP('6.Inland wetlands'!O95,list!$I$48:$K$50,3,0))))</f>
        <v>0</v>
      </c>
      <c r="AE300" s="3468">
        <f>MIN('Inl. wetlands'!S300,'Inl. wetlands'!U300)*time_tot+ABS('Inl. wetlands'!U300-'Inl. wetlands'!S300)*IF('Inl. wetlands'!U300&gt;'Inl. wetlands'!S300,time_cap+time*(VLOOKUP('6.Inland wetlands'!Q95,list!$I$48:$K$50,3,0)),time*(1-(VLOOKUP('6.Inland wetlands'!Q95,list!$I$48:$K$50,3,0))))</f>
        <v>0</v>
      </c>
      <c r="AF300" s="3468">
        <f>MIN('Inl. wetlands'!V300,'Inl. wetlands'!W300)*time_tot+ABS('Inl. wetlands'!W300-'Inl. wetlands'!V300)*IF('Inl. wetlands'!W300&gt;'Inl. wetlands'!V300,time_cap+time*(VLOOKUP('6.Inland wetlands'!O95,list!$I$48:$K$50,3,0)),time*(1-(VLOOKUP('6.Inland wetlands'!O95,list!$I$48:$K$50,3,0))))</f>
        <v>0</v>
      </c>
      <c r="AG300" s="3468">
        <f>MIN('Inl. wetlands'!V300,'Inl. wetlands'!X300)*time_tot+ABS('Inl. wetlands'!X300-'Inl. wetlands'!V300)*IF('Inl. wetlands'!X300&gt;'Inl. wetlands'!V300,time_cap+time*(VLOOKUP('6.Inland wetlands'!Q95,list!$I$48:$K$50,3,0)),time*(1-(VLOOKUP('6.Inland wetlands'!Q95,list!$I$48:$K$50,3,0))))</f>
        <v>0</v>
      </c>
      <c r="AI300" s="1270" t="s">
        <v>1115</v>
      </c>
      <c r="AJ300" s="1116"/>
      <c r="AK300" s="1116"/>
      <c r="AX300" s="1449">
        <f>$Q300*time*(VLOOKUP($E300,list!$J$48:$K$50,2,0))</f>
        <v>0</v>
      </c>
      <c r="AY300" s="1449">
        <f>$R300*time*(VLOOKUP($G300,list!$J$48:$K$50,2,0))</f>
        <v>0</v>
      </c>
      <c r="AZ300" s="1449">
        <f>$T300*time*(VLOOKUP($E300,list!$J$48:$K$50,2,0))</f>
        <v>0</v>
      </c>
      <c r="BA300" s="1449">
        <f>$U300*time*(VLOOKUP($G300,list!$J$48:$K$50,2,0))</f>
        <v>0</v>
      </c>
      <c r="BB300" s="1449">
        <f>$W300*time*(VLOOKUP($E300,list!$J$48:$K$50,2,0))</f>
        <v>0</v>
      </c>
      <c r="BC300" s="1449">
        <f>$X300*time*(VLOOKUP($G300,list!$J$48:$K$50,2,0))</f>
        <v>0</v>
      </c>
      <c r="BD300" s="1449"/>
      <c r="BE300" s="1449"/>
      <c r="BF300" s="1449"/>
      <c r="BG300" s="1449"/>
    </row>
    <row r="301" spans="1:59" ht="16" x14ac:dyDescent="0.2">
      <c r="A301" s="1493" t="s">
        <v>1165</v>
      </c>
      <c r="B301" s="1121" t="str">
        <f t="shared" si="138"/>
        <v>Please select</v>
      </c>
      <c r="C301" s="1121" t="str">
        <f t="shared" si="137"/>
        <v/>
      </c>
      <c r="D301" s="992">
        <f>IF('6.Inland wetlands'!S96='6.Inland wetlands'!K96, 0, IF(('6.Inland wetlands'!T96-'6.Inland wetlands'!S96)-'6.Inland wetlands'!N85&gt;0,('6.Inland wetlands'!T96-'6.Inland wetlands'!S96)-'6.Inland wetlands'!N85,0))</f>
        <v>0</v>
      </c>
      <c r="E301" s="992" t="str">
        <f t="shared" si="139"/>
        <v>Linear</v>
      </c>
      <c r="F301" s="992">
        <f>IF(('6.Inland wetlands'!U96-'6.Inland wetlands'!S96)-'6.Inland wetlands'!P85&gt;0,('6.Inland wetlands'!U96-'6.Inland wetlands'!S96)-'6.Inland wetlands'!P85,0)</f>
        <v>0</v>
      </c>
      <c r="G301" s="992" t="str">
        <f t="shared" si="140"/>
        <v>Linear</v>
      </c>
      <c r="H301" s="1004">
        <f>IFERROR(IF($E260=" ",0,IF($D$249="Nutrient poor",INDEX(IPCC!$A$1910:$J$1921,MATCH(clim_moist,IPCC!$A$1910:$A$1921,0),MATCH($C301,IPCC!$A$1910:$J$1910,0)),INDEX(IPCC!$A$1928:$J$1939,MATCH(clim_moist,IPCC!$A$1928:$A$1939,0),MATCH($C301,IPCC!$A$1928:$J$1928,0)))),0)</f>
        <v>0</v>
      </c>
      <c r="I301" s="1259">
        <f>IF('6.Inland wetlands'!$DY85="",'6.Inland wetlands'!$DX85,'6.Inland wetlands'!$DY85)</f>
        <v>0</v>
      </c>
      <c r="J301" s="1004">
        <f>IFERROR(IF(C301="Please select",0,IF($D$249="Nutrient poor",INDEX(IPCC!$A$1964:$J$1975,MATCH(clim_moist,IPCC!$A$1964:$A$1975,0),MATCH($C301,IPCC!$A$1964:$J$1964,0)),INDEX(IPCC!$A$1982:$J$1993,MATCH(clim_moist,IPCC!$A$1982:$A$1993,0),MATCH($C312,IPCC!$A$1982:$J$1982,0)))),0)</f>
        <v>0</v>
      </c>
      <c r="K301" s="1259">
        <f>IF('6.Inland wetlands'!$EA85="",'6.Inland wetlands'!$DZ85,'6.Inland wetlands'!$EA85)</f>
        <v>0</v>
      </c>
      <c r="L301" s="1004">
        <f>IFERROR(IF(C301="Please select",0,INDEX(IPCC!$A$2000:$J$2011,MATCH(clim_moist,IPCC!$A$2000:$A$2011,0),MATCH($C301,IPCC!$A$2000:$J$2000,0))),0)</f>
        <v>0</v>
      </c>
      <c r="M301" s="1259">
        <f>IF('6.Inland wetlands'!$EC85="",'6.Inland wetlands'!$EB85,'6.Inland wetlands'!$EC85)</f>
        <v>0</v>
      </c>
      <c r="N301" s="1260">
        <f>IFERROR(IF(C301="Please select",0,INDEX(IPCC!$A$1946:$J$1957,MATCH(clim_moist,IPCC!$A$1946:$A$1957,0),MATCH($C301,IPCC!$A$1946:$J$1946,0))),0)</f>
        <v>0</v>
      </c>
      <c r="O301" s="1259">
        <f>IF('6.Inland wetlands'!$EF85="",'6.Inland wetlands'!$EE85,'6.Inland wetlands'!$EF85)</f>
        <v>0</v>
      </c>
      <c r="P301" s="3468">
        <v>0</v>
      </c>
      <c r="Q301" s="3468">
        <f>SUM('Inl. wetlands'!$I301,$O301)*44/12*'Inl. wetlands'!D301</f>
        <v>0</v>
      </c>
      <c r="R301" s="1151">
        <f>SUM('Inl. wetlands'!$I301,$O301)*44/12*'Inl. wetlands'!F301</f>
        <v>0</v>
      </c>
      <c r="S301" s="3468">
        <v>0</v>
      </c>
      <c r="T301" s="1151">
        <f>'Inl. wetlands'!$K301/1000*16/12*methane*'Inl. wetlands'!D301</f>
        <v>0</v>
      </c>
      <c r="U301" s="1151">
        <f>'Inl. wetlands'!$K301/1000*16/12*methane*'Inl. wetlands'!F301</f>
        <v>0</v>
      </c>
      <c r="V301" s="3468">
        <v>0</v>
      </c>
      <c r="W301" s="1151">
        <f>'Inl. wetlands'!$M301/1000*44/28*Nitrous*'Inl. wetlands'!D301</f>
        <v>0</v>
      </c>
      <c r="X301" s="3469">
        <f>'Inl. wetlands'!$M301/1000*44/28*Nitrous*'Inl. wetlands'!F301</f>
        <v>0</v>
      </c>
      <c r="AB301" s="3468">
        <f>MIN('Inl. wetlands'!P301,'Inl. wetlands'!Q301)*time_tot+ABS('Inl. wetlands'!Q301-'Inl. wetlands'!P301)*IF('Inl. wetlands'!Q301&gt;'Inl. wetlands'!P301,time_cap+time*(VLOOKUP('6.Inland wetlands'!O96,list!$I$48:$K$50,3,0)),time*(1-(VLOOKUP('6.Inland wetlands'!O96,list!$I$48:$K$50,3,0))))</f>
        <v>0</v>
      </c>
      <c r="AC301" s="3468">
        <f>MIN('Inl. wetlands'!P301,'Inl. wetlands'!R301)*time_tot+ABS('Inl. wetlands'!R301-'Inl. wetlands'!P301)*IF('Inl. wetlands'!R301&gt;'Inl. wetlands'!P301,time_cap+time*(VLOOKUP('6.Inland wetlands'!Q96,list!$I$48:$K$50,3,0)),time*(1-(VLOOKUP('6.Inland wetlands'!Q96,list!$I$48:$K$50,3,0))))</f>
        <v>0</v>
      </c>
      <c r="AD301" s="3468">
        <f>MIN('Inl. wetlands'!S301,'Inl. wetlands'!T301)*time_tot+ABS('Inl. wetlands'!T301-'Inl. wetlands'!S301)*IF('Inl. wetlands'!T301&gt;'Inl. wetlands'!S301,time_cap+time*(VLOOKUP('6.Inland wetlands'!O96,list!$I$48:$K$50,3,0)),time*(1-(VLOOKUP('6.Inland wetlands'!O96,list!$I$48:$K$50,3,0))))</f>
        <v>0</v>
      </c>
      <c r="AE301" s="3468">
        <f>MIN('Inl. wetlands'!S301,'Inl. wetlands'!U301)*time_tot+ABS('Inl. wetlands'!U301-'Inl. wetlands'!S301)*IF('Inl. wetlands'!U301&gt;'Inl. wetlands'!S301,time_cap+time*(VLOOKUP('6.Inland wetlands'!Q96,list!$I$48:$K$50,3,0)),time*(1-(VLOOKUP('6.Inland wetlands'!Q96,list!$I$48:$K$50,3,0))))</f>
        <v>0</v>
      </c>
      <c r="AF301" s="3468">
        <f>MIN('Inl. wetlands'!V301,'Inl. wetlands'!W301)*time_tot+ABS('Inl. wetlands'!W301-'Inl. wetlands'!V301)*IF('Inl. wetlands'!W301&gt;'Inl. wetlands'!V301,time_cap+time*(VLOOKUP('6.Inland wetlands'!O96,list!$I$48:$K$50,3,0)),time*(1-(VLOOKUP('6.Inland wetlands'!O96,list!$I$48:$K$50,3,0))))</f>
        <v>0</v>
      </c>
      <c r="AG301" s="3468">
        <f>MIN('Inl. wetlands'!V301,'Inl. wetlands'!X301)*time_tot+ABS('Inl. wetlands'!X301-'Inl. wetlands'!V301)*IF('Inl. wetlands'!X301&gt;'Inl. wetlands'!V301,time_cap+time*(VLOOKUP('6.Inland wetlands'!Q96,list!$I$48:$K$50,3,0)),time*(1-(VLOOKUP('6.Inland wetlands'!Q96,list!$I$48:$K$50,3,0))))</f>
        <v>0</v>
      </c>
      <c r="AI301" s="1270" t="s">
        <v>1121</v>
      </c>
      <c r="AJ301" s="1116"/>
      <c r="AK301" s="1116"/>
      <c r="AX301" s="1449">
        <f>$Q301*time*(VLOOKUP($E301,list!$J$48:$K$50,2,0))</f>
        <v>0</v>
      </c>
      <c r="AY301" s="1449">
        <f>$R301*time*(VLOOKUP($G301,list!$J$48:$K$50,2,0))</f>
        <v>0</v>
      </c>
      <c r="AZ301" s="1449">
        <f>$T301*time*(VLOOKUP($E301,list!$J$48:$K$50,2,0))</f>
        <v>0</v>
      </c>
      <c r="BA301" s="1449">
        <f>$U301*time*(VLOOKUP($G301,list!$J$48:$K$50,2,0))</f>
        <v>0</v>
      </c>
      <c r="BB301" s="1449">
        <f>$W301*time*(VLOOKUP($E301,list!$J$48:$K$50,2,0))</f>
        <v>0</v>
      </c>
      <c r="BC301" s="1449">
        <f>$X301*time*(VLOOKUP($G301,list!$J$48:$K$50,2,0))</f>
        <v>0</v>
      </c>
      <c r="BD301" s="1449"/>
      <c r="BE301" s="1449"/>
      <c r="BF301" s="1449"/>
      <c r="BG301" s="1449"/>
    </row>
    <row r="302" spans="1:59" ht="16" x14ac:dyDescent="0.2">
      <c r="F302" s="992"/>
      <c r="G302" s="1688"/>
      <c r="H302" s="992"/>
      <c r="I302" s="1688"/>
      <c r="J302" s="1200"/>
      <c r="K302" s="1200"/>
      <c r="AI302" s="1270" t="s">
        <v>1186</v>
      </c>
      <c r="AJ302" s="1116"/>
      <c r="AK302" s="1116"/>
    </row>
    <row r="303" spans="1:59" ht="16" x14ac:dyDescent="0.2">
      <c r="D303" s="1262" t="str">
        <f>D292</f>
        <v>Rewetted area</v>
      </c>
      <c r="E303" s="3464"/>
      <c r="F303" s="3464"/>
      <c r="G303" s="3464"/>
      <c r="H303" s="1473" t="s">
        <v>1243</v>
      </c>
      <c r="I303" s="1474"/>
      <c r="J303" s="1474"/>
      <c r="K303" s="1475"/>
      <c r="L303" s="1474"/>
      <c r="M303" s="1476"/>
      <c r="N303" s="1476"/>
      <c r="O303" s="1476"/>
      <c r="P303" s="1481" t="s">
        <v>1184</v>
      </c>
      <c r="Q303" s="1482"/>
      <c r="R303" s="1482"/>
      <c r="S303" s="1482"/>
      <c r="T303" s="1482"/>
      <c r="U303" s="1482"/>
      <c r="V303" s="1482"/>
      <c r="W303" s="1482"/>
      <c r="X303" s="1482"/>
      <c r="AB303" s="1471" t="s">
        <v>1185</v>
      </c>
      <c r="AC303" s="1470"/>
      <c r="AD303" s="1470"/>
      <c r="AE303" s="1470"/>
      <c r="AF303" s="1470"/>
      <c r="AG303" s="1470"/>
      <c r="AI303" s="1102" t="s">
        <v>200</v>
      </c>
      <c r="AJ303" s="1103" t="s">
        <v>201</v>
      </c>
      <c r="AK303" s="1104" t="s">
        <v>324</v>
      </c>
    </row>
    <row r="304" spans="1:59" x14ac:dyDescent="0.15">
      <c r="A304" s="1462"/>
      <c r="B304" s="1462"/>
      <c r="C304" s="1462"/>
      <c r="D304" s="1105" t="s">
        <v>200</v>
      </c>
      <c r="E304" s="1105"/>
      <c r="F304" s="1106" t="s">
        <v>201</v>
      </c>
      <c r="G304" s="1101"/>
      <c r="H304" s="1495" t="s">
        <v>1187</v>
      </c>
      <c r="I304" s="1478"/>
      <c r="J304" s="1477" t="s">
        <v>1188</v>
      </c>
      <c r="K304" s="1478"/>
      <c r="L304" s="1477" t="s">
        <v>1189</v>
      </c>
      <c r="M304" s="1478"/>
      <c r="N304" s="1477" t="s">
        <v>1190</v>
      </c>
      <c r="O304" s="1478"/>
      <c r="P304" s="1482"/>
      <c r="Q304" s="1482"/>
      <c r="R304" s="1482"/>
      <c r="S304" s="1482"/>
      <c r="T304" s="1482"/>
      <c r="U304" s="1482"/>
      <c r="V304" s="1482"/>
      <c r="W304" s="1482"/>
      <c r="X304" s="1482"/>
      <c r="AB304" s="1471" t="s">
        <v>1191</v>
      </c>
      <c r="AC304" s="1471"/>
      <c r="AD304" s="1471"/>
      <c r="AE304" s="1470"/>
      <c r="AF304" s="1471"/>
      <c r="AG304" s="1470"/>
      <c r="AI304" s="1282">
        <f>SUM('Inl. wetlands'!AB296,'Inl. wetlands'!AD296,'Inl. wetlands'!AF296)+AB307+AD307+AF307</f>
        <v>0</v>
      </c>
      <c r="AJ304" s="1283">
        <f>SUM('Inl. wetlands'!AC296,'Inl. wetlands'!AE296,'Inl. wetlands'!AG296)+AC307+AE307+AG307</f>
        <v>0</v>
      </c>
      <c r="AK304" s="1284">
        <f t="shared" ref="AK304:AK309" si="141">AJ304-AI304</f>
        <v>0</v>
      </c>
    </row>
    <row r="305" spans="1:59" x14ac:dyDescent="0.15">
      <c r="A305" s="1462"/>
      <c r="B305" s="1482" t="str">
        <f>B202</f>
        <v>Final land use</v>
      </c>
      <c r="C305" s="1482" t="str">
        <f>D253</f>
        <v>Final land use</v>
      </c>
      <c r="D305" s="1105"/>
      <c r="E305" s="1105"/>
      <c r="F305" s="1106"/>
      <c r="G305" s="1106"/>
      <c r="H305" s="1479" t="s">
        <v>92</v>
      </c>
      <c r="I305" s="1479"/>
      <c r="J305" s="1479" t="s">
        <v>1044</v>
      </c>
      <c r="K305" s="1479"/>
      <c r="L305" s="1479" t="s">
        <v>1045</v>
      </c>
      <c r="M305" s="1479"/>
      <c r="N305" s="1479" t="s">
        <v>92</v>
      </c>
      <c r="O305" s="1479"/>
      <c r="P305" s="1482" t="s">
        <v>1176</v>
      </c>
      <c r="Q305" s="1482"/>
      <c r="R305" s="1482"/>
      <c r="S305" s="1482" t="s">
        <v>176</v>
      </c>
      <c r="T305" s="1482"/>
      <c r="U305" s="1482"/>
      <c r="V305" s="1482" t="s">
        <v>1192</v>
      </c>
      <c r="W305" s="1482"/>
      <c r="X305" s="1482"/>
      <c r="AB305" s="1472" t="s">
        <v>1176</v>
      </c>
      <c r="AC305" s="1472"/>
      <c r="AD305" s="1472" t="s">
        <v>176</v>
      </c>
      <c r="AE305" s="1472"/>
      <c r="AF305" s="1472" t="s">
        <v>1192</v>
      </c>
      <c r="AG305" s="1472"/>
      <c r="AI305" s="1282">
        <f>SUM('Inl. wetlands'!AB297,'Inl. wetlands'!AD297,'Inl. wetlands'!AF297)+AB308+AD308+AF308</f>
        <v>0</v>
      </c>
      <c r="AJ305" s="1283">
        <f>SUM('Inl. wetlands'!AC297,'Inl. wetlands'!AE297,'Inl. wetlands'!AG297)+AC308+AE308+AG308</f>
        <v>0</v>
      </c>
      <c r="AK305" s="1284">
        <f t="shared" si="141"/>
        <v>0</v>
      </c>
    </row>
    <row r="306" spans="1:59" x14ac:dyDescent="0.15">
      <c r="A306" s="1462"/>
      <c r="B306" s="1482" t="str">
        <f>B203</f>
        <v>User selection</v>
      </c>
      <c r="C306" s="1462" t="str">
        <f t="shared" ref="C306:C312" si="142">E254</f>
        <v>IPCC equivalent</v>
      </c>
      <c r="D306" s="1105" t="str">
        <f>D295</f>
        <v>ha</v>
      </c>
      <c r="E306" s="1105" t="str">
        <f>E295</f>
        <v>Rate</v>
      </c>
      <c r="F306" s="1106" t="str">
        <f>F295</f>
        <v>ha</v>
      </c>
      <c r="G306" s="1106" t="str">
        <f>G295</f>
        <v>Rate</v>
      </c>
      <c r="H306" s="1480" t="s">
        <v>864</v>
      </c>
      <c r="I306" s="1480" t="s">
        <v>66</v>
      </c>
      <c r="J306" s="1480" t="str">
        <f>H306</f>
        <v>IPCC</v>
      </c>
      <c r="K306" s="1480" t="s">
        <v>66</v>
      </c>
      <c r="L306" s="1480" t="str">
        <f>J306</f>
        <v>IPCC</v>
      </c>
      <c r="M306" s="1480" t="s">
        <v>66</v>
      </c>
      <c r="N306" s="1480" t="str">
        <f>L306</f>
        <v>IPCC</v>
      </c>
      <c r="O306" s="1480" t="s">
        <v>66</v>
      </c>
      <c r="P306" s="973" t="s">
        <v>219</v>
      </c>
      <c r="Q306" s="1100" t="s">
        <v>179</v>
      </c>
      <c r="R306" s="1101" t="s">
        <v>180</v>
      </c>
      <c r="S306" s="973" t="s">
        <v>219</v>
      </c>
      <c r="T306" s="1100" t="s">
        <v>179</v>
      </c>
      <c r="U306" s="1101" t="s">
        <v>180</v>
      </c>
      <c r="V306" s="973" t="s">
        <v>219</v>
      </c>
      <c r="W306" s="1100" t="s">
        <v>179</v>
      </c>
      <c r="X306" s="1101" t="s">
        <v>180</v>
      </c>
      <c r="AB306" s="1102" t="s">
        <v>179</v>
      </c>
      <c r="AC306" s="1103" t="s">
        <v>180</v>
      </c>
      <c r="AD306" s="1102" t="s">
        <v>179</v>
      </c>
      <c r="AE306" s="1103" t="s">
        <v>180</v>
      </c>
      <c r="AF306" s="1102" t="s">
        <v>179</v>
      </c>
      <c r="AG306" s="1103" t="s">
        <v>180</v>
      </c>
      <c r="AI306" s="1282">
        <f>SUM('Inl. wetlands'!AB298,'Inl. wetlands'!AD298,'Inl. wetlands'!AF298)+AB309+AD309+AF309</f>
        <v>0</v>
      </c>
      <c r="AJ306" s="1283">
        <f>SUM('Inl. wetlands'!AC298,'Inl. wetlands'!AE298,'Inl. wetlands'!AG298)+AC309+AE309+AG309</f>
        <v>0</v>
      </c>
      <c r="AK306" s="1284">
        <f t="shared" si="141"/>
        <v>0</v>
      </c>
    </row>
    <row r="307" spans="1:59" x14ac:dyDescent="0.15">
      <c r="A307" s="1493" t="s">
        <v>1160</v>
      </c>
      <c r="B307" s="1121" t="str">
        <f t="shared" ref="B307:B312" si="143">D255</f>
        <v>Please select</v>
      </c>
      <c r="C307" s="1121" t="str">
        <f t="shared" si="142"/>
        <v/>
      </c>
      <c r="D307" s="992">
        <f>IF('6.Inland wetlands'!S91='6.Inland wetlands'!K91, 0, '6.Inland wetlands'!T91-'Inl. wetlands'!D193)</f>
        <v>0</v>
      </c>
      <c r="E307" s="992" t="str">
        <f t="shared" ref="E307:E312" si="144">E296</f>
        <v>Linear</v>
      </c>
      <c r="F307" s="992">
        <f>IF('6.Inland wetlands'!S91='6.Inland wetlands'!K91, 0, '6.Inland wetlands'!U91-'Inl. wetlands'!F193)</f>
        <v>0</v>
      </c>
      <c r="G307" s="992" t="str">
        <f t="shared" ref="G307:G312" si="145">G296</f>
        <v>Linear</v>
      </c>
      <c r="H307" s="1004">
        <f>IFERROR(IF($E255=" ",0,IF($D$249="Nutrient poor",INDEX(IPCC!$A$1910:$J$1921,MATCH(clim_moist,IPCC!$A$1910:$A$1921,0),MATCH($C307,IPCC!$A$1910:$J$1910,0)),INDEX(IPCC!$A$1928:$J$1939,MATCH(clim_moist,IPCC!$A$1928:$A$1939,0),MATCH($C307,IPCC!$A$1928:$J$1928,0)))),0)</f>
        <v>0</v>
      </c>
      <c r="I307" s="1259">
        <f>IF('6.Inland wetlands'!$DY91="",'6.Inland wetlands'!$DX91,'6.Inland wetlands'!$DY91)</f>
        <v>0</v>
      </c>
      <c r="J307" s="1004">
        <f>IFERROR(IF(C307="Please select",0,IF($D$249="Nutrient poor",INDEX(IPCC!$A$1964:$J$1975,MATCH(clim_moist,IPCC!$A$1964:$A$1975,0),MATCH($C307,IPCC!$A$1964:$J$1964,0)),INDEX(IPCC!$A$1982:$J$1993,MATCH(clim_moist,IPCC!$A$1982:$A$1993,0),MATCH($C307,IPCC!$A$1982:$J$1982,0)))),0)</f>
        <v>0</v>
      </c>
      <c r="K307" s="1259">
        <f>IF('6.Inland wetlands'!$EA91="",'6.Inland wetlands'!$DZ91,'6.Inland wetlands'!$EA91)</f>
        <v>0</v>
      </c>
      <c r="L307" s="1004">
        <f>IFERROR(IF(C307="Please select",0,INDEX(IPCC!$A$2000:$J$2011,MATCH(clim_moist,IPCC!$A$2000:$A$2011,0),MATCH($C307,IPCC!$A$2000:$J$2000,0))),0)</f>
        <v>0</v>
      </c>
      <c r="M307" s="1259">
        <f>IF('6.Inland wetlands'!$EC91="",'6.Inland wetlands'!$EB91,'6.Inland wetlands'!$EC91)</f>
        <v>0</v>
      </c>
      <c r="N307" s="1260">
        <f>IFERROR(IF(C307="Please select",0,INDEX(IPCC!$A$1946:$J$1957,MATCH(clim_moist,IPCC!$A$1946:$A$1957,0),MATCH($C307,IPCC!$A$1946:$J$1946,0))),0)</f>
        <v>0</v>
      </c>
      <c r="O307" s="1259">
        <f>IF('6.Inland wetlands'!$EF91="",'6.Inland wetlands'!$EE91,'6.Inland wetlands'!$EF91)</f>
        <v>0</v>
      </c>
      <c r="P307" s="3468">
        <v>0</v>
      </c>
      <c r="Q307" s="3468">
        <f>SUM('Inl. wetlands'!$I307,'Inl. wetlands'!$O307)*44/12*D307</f>
        <v>0</v>
      </c>
      <c r="R307" s="1151">
        <f>SUM('Inl. wetlands'!$I307,'Inl. wetlands'!$O307)*44/12*F307</f>
        <v>0</v>
      </c>
      <c r="S307" s="3468">
        <v>0</v>
      </c>
      <c r="T307" s="1151">
        <f>'Inl. wetlands'!$K307/1000*16/12*methane*D307</f>
        <v>0</v>
      </c>
      <c r="U307" s="1151">
        <f>'Inl. wetlands'!$K307/1000*16/12*methane*F307</f>
        <v>0</v>
      </c>
      <c r="V307" s="3468">
        <v>0</v>
      </c>
      <c r="W307" s="1151">
        <f>'Inl. wetlands'!$M307/1000*44/28*Nitrous*D307</f>
        <v>0</v>
      </c>
      <c r="X307" s="3469">
        <f>'Inl. wetlands'!$M307/1000*44/28*Nitrous*F307</f>
        <v>0</v>
      </c>
      <c r="AB307" s="3468">
        <f>MIN('Inl. wetlands'!P307,'Inl. wetlands'!Q307)*time_tot+ABS('Inl. wetlands'!Q307-'Inl. wetlands'!P307)*IF('Inl. wetlands'!Q307&gt;'Inl. wetlands'!P307,time_cap+time*(VLOOKUP('6.Inland wetlands'!O91,list!$I$48:$K$50,3,0)),time*(1-(VLOOKUP('6.Inland wetlands'!O91,list!$I$48:$K$50,3,0))))</f>
        <v>0</v>
      </c>
      <c r="AC307" s="3468">
        <f>MIN('Inl. wetlands'!P307,'Inl. wetlands'!R307)*time_tot+ABS('Inl. wetlands'!R307-'Inl. wetlands'!P307)*IF('Inl. wetlands'!R307&gt;'Inl. wetlands'!P307,time_cap+time*(VLOOKUP('6.Inland wetlands'!Q91,list!$I$48:$K$50,3,0)),time*(1-(VLOOKUP('6.Inland wetlands'!Q91,list!$I$48:$K$50,3,0))))</f>
        <v>0</v>
      </c>
      <c r="AD307" s="3468">
        <f>MIN('Inl. wetlands'!S307,'Inl. wetlands'!T307)*time_tot+ABS('Inl. wetlands'!T307-'Inl. wetlands'!S307)*IF('Inl. wetlands'!T307&gt;'Inl. wetlands'!S307,time_cap+time*(VLOOKUP('6.Inland wetlands'!O91,list!$I$48:$K$50,3,0)),time*(1-(VLOOKUP('6.Inland wetlands'!O91,list!$I$48:$K$50,3,0))))</f>
        <v>0</v>
      </c>
      <c r="AE307" s="3468">
        <f>MIN('Inl. wetlands'!S307,'Inl. wetlands'!U307)*time_tot+ABS('Inl. wetlands'!U307-'Inl. wetlands'!S307)*IF('Inl. wetlands'!U307&gt;'Inl. wetlands'!S307,time_cap+time*(VLOOKUP('6.Inland wetlands'!Q91,list!$I$48:$K$50,3,0)),time*(1-(VLOOKUP('6.Inland wetlands'!Q91,list!$I$48:$K$50,3,0))))</f>
        <v>0</v>
      </c>
      <c r="AF307" s="3468">
        <f>MIN('Inl. wetlands'!V307,'Inl. wetlands'!W307)*time_tot+ABS('Inl. wetlands'!W307-'Inl. wetlands'!V307)*IF('Inl. wetlands'!W307&gt;'Inl. wetlands'!V307,time_cap+time*(VLOOKUP('6.Inland wetlands'!O91,list!$I$48:$K$50,3,0)),time*(1-(VLOOKUP('6.Inland wetlands'!O91,list!$I$48:$K$50,3,0))))</f>
        <v>0</v>
      </c>
      <c r="AG307" s="3468">
        <f>MIN('Inl. wetlands'!V307,'Inl. wetlands'!X307)*time_tot+ABS('Inl. wetlands'!X307-'Inl. wetlands'!V307)*IF('Inl. wetlands'!X307&gt;'Inl. wetlands'!V307,time_cap+time*(VLOOKUP('6.Inland wetlands'!Q91,list!$I$48:$K$50,3,0)),time*(1-(VLOOKUP('6.Inland wetlands'!Q91,list!$I$48:$K$50,3,0))))</f>
        <v>0</v>
      </c>
      <c r="AI307" s="1282">
        <f>SUM('Inl. wetlands'!AB299,'Inl. wetlands'!AD299,'Inl. wetlands'!AF299)+AB310+AD310+AF310</f>
        <v>0</v>
      </c>
      <c r="AJ307" s="1283">
        <f>SUM('Inl. wetlands'!AC299,'Inl. wetlands'!AE299,'Inl. wetlands'!AG299)+AC310+AE310+AG310</f>
        <v>0</v>
      </c>
      <c r="AK307" s="1284">
        <f t="shared" si="141"/>
        <v>0</v>
      </c>
    </row>
    <row r="308" spans="1:59" x14ac:dyDescent="0.15">
      <c r="A308" s="1493" t="s">
        <v>1161</v>
      </c>
      <c r="B308" s="1121" t="str">
        <f t="shared" si="143"/>
        <v>Please select</v>
      </c>
      <c r="C308" s="1121" t="str">
        <f t="shared" si="142"/>
        <v/>
      </c>
      <c r="D308" s="992">
        <f>IF('6.Inland wetlands'!S92='6.Inland wetlands'!K92, 0, '6.Inland wetlands'!T92-'Inl. wetlands'!D194)</f>
        <v>0</v>
      </c>
      <c r="E308" s="992" t="str">
        <f t="shared" si="144"/>
        <v>Linear</v>
      </c>
      <c r="F308" s="992">
        <f>IF('6.Inland wetlands'!S92='6.Inland wetlands'!K92, 0, '6.Inland wetlands'!U92-'Inl. wetlands'!F194)</f>
        <v>0</v>
      </c>
      <c r="G308" s="992" t="str">
        <f t="shared" si="145"/>
        <v>Linear</v>
      </c>
      <c r="H308" s="1004">
        <f>IFERROR(IF($E256=" ",0,IF($D$249="Nutrient poor",INDEX(IPCC!$A$1910:$J$1921,MATCH(clim_moist,IPCC!$A$1910:$A$1921,0),MATCH($C308,IPCC!$A$1910:$J$1910,0)),INDEX(IPCC!$A$1928:$J$1939,MATCH(clim_moist,IPCC!$A$1928:$A$1939,0),MATCH($C308,IPCC!$A$1928:$J$1928,0)))),0)</f>
        <v>0</v>
      </c>
      <c r="I308" s="1259">
        <f>IF('6.Inland wetlands'!$DY92="",'6.Inland wetlands'!$DX92,'6.Inland wetlands'!$DY92)</f>
        <v>0</v>
      </c>
      <c r="J308" s="1004">
        <f>IFERROR(IF(C308="Please select",0,IF($D$249="Nutrient poor",INDEX(IPCC!$A$1964:$J$1975,MATCH(clim_moist,IPCC!$A$1964:$A$1975,0),MATCH($C308,IPCC!$A$1964:$J$1964,0)),INDEX(IPCC!$A$1982:$J$1993,MATCH(clim_moist,IPCC!$A$1982:$A$1993,0),MATCH($C308,IPCC!$A$1982:$J$1982,0)))),0)</f>
        <v>0</v>
      </c>
      <c r="K308" s="1259">
        <f>IF('6.Inland wetlands'!$EA92="",'6.Inland wetlands'!$DZ92,'6.Inland wetlands'!$EA92)</f>
        <v>0</v>
      </c>
      <c r="L308" s="1004">
        <f>IFERROR(IF(C308="Please select",0,INDEX(IPCC!$A$2000:$J$2011,MATCH(clim_moist,IPCC!$A$2000:$A$2011,0),MATCH($C308,IPCC!$A$2000:$J$2000,0))),0)</f>
        <v>0</v>
      </c>
      <c r="M308" s="1259">
        <f>IF('6.Inland wetlands'!$EC92="",'6.Inland wetlands'!$EB92,'6.Inland wetlands'!$EC92)</f>
        <v>0</v>
      </c>
      <c r="N308" s="1260">
        <f>IFERROR(IF(C308="Please select",0,INDEX(IPCC!$A$1946:$J$1957,MATCH(clim_moist,IPCC!$A$1946:$A$1957,0),MATCH($C308,IPCC!$A$1946:$J$1946,0))),0)</f>
        <v>0</v>
      </c>
      <c r="O308" s="1259">
        <f>IF('6.Inland wetlands'!$EF92="",'6.Inland wetlands'!$EE92,'6.Inland wetlands'!$EF92)</f>
        <v>0</v>
      </c>
      <c r="P308" s="3468">
        <v>0</v>
      </c>
      <c r="Q308" s="3468">
        <f>SUM('Inl. wetlands'!$I308,'Inl. wetlands'!$O308)*44/12*D308</f>
        <v>0</v>
      </c>
      <c r="R308" s="1151">
        <f>SUM('Inl. wetlands'!$I308,'Inl. wetlands'!$O308)*44/12*F308</f>
        <v>0</v>
      </c>
      <c r="S308" s="3468">
        <v>0</v>
      </c>
      <c r="T308" s="1151">
        <f>'Inl. wetlands'!$K308/1000*16/12*methane*D308</f>
        <v>0</v>
      </c>
      <c r="U308" s="1151">
        <f>'Inl. wetlands'!$K308/1000*16/12*methane*F308</f>
        <v>0</v>
      </c>
      <c r="V308" s="3468">
        <v>0</v>
      </c>
      <c r="W308" s="1151">
        <f>'Inl. wetlands'!$M308/1000*44/28*Nitrous*D308</f>
        <v>0</v>
      </c>
      <c r="X308" s="3469">
        <f>'Inl. wetlands'!$M308/1000*44/28*Nitrous*F308</f>
        <v>0</v>
      </c>
      <c r="AB308" s="3468">
        <f>MIN('Inl. wetlands'!P308,'Inl. wetlands'!Q308)*time_tot+ABS('Inl. wetlands'!Q308-'Inl. wetlands'!P308)*IF('Inl. wetlands'!Q308&gt;'Inl. wetlands'!P308,time_cap+time*(VLOOKUP('6.Inland wetlands'!O92,list!$I$48:$K$50,3,0)),time*(1-(VLOOKUP('6.Inland wetlands'!O92,list!$I$48:$K$50,3,0))))</f>
        <v>0</v>
      </c>
      <c r="AC308" s="3468">
        <f>MIN('Inl. wetlands'!P308,'Inl. wetlands'!R308)*time_tot+ABS('Inl. wetlands'!R308-'Inl. wetlands'!P308)*IF('Inl. wetlands'!R308&gt;'Inl. wetlands'!P308,time_cap+time*(VLOOKUP('6.Inland wetlands'!Q92,list!$I$48:$K$50,3,0)),time*(1-(VLOOKUP('6.Inland wetlands'!Q92,list!$I$48:$K$50,3,0))))</f>
        <v>0</v>
      </c>
      <c r="AD308" s="3468">
        <f>MIN('Inl. wetlands'!S308,'Inl. wetlands'!T308)*time_tot+ABS('Inl. wetlands'!T308-'Inl. wetlands'!S308)*IF('Inl. wetlands'!T308&gt;'Inl. wetlands'!S308,time_cap+time*(VLOOKUP('6.Inland wetlands'!O92,list!$I$48:$K$50,3,0)),time*(1-(VLOOKUP('6.Inland wetlands'!O92,list!$I$48:$K$50,3,0))))</f>
        <v>0</v>
      </c>
      <c r="AE308" s="3468">
        <f>MIN('Inl. wetlands'!S308,'Inl. wetlands'!U308)*time_tot+ABS('Inl. wetlands'!U308-'Inl. wetlands'!S308)*IF('Inl. wetlands'!U308&gt;'Inl. wetlands'!S308,time_cap+time*(VLOOKUP('6.Inland wetlands'!Q92,list!$I$48:$K$50,3,0)),time*(1-(VLOOKUP('6.Inland wetlands'!Q92,list!$I$48:$K$50,3,0))))</f>
        <v>0</v>
      </c>
      <c r="AF308" s="3468">
        <f>MIN('Inl. wetlands'!V308,'Inl. wetlands'!W308)*time_tot+ABS('Inl. wetlands'!W308-'Inl. wetlands'!V308)*IF('Inl. wetlands'!W308&gt;'Inl. wetlands'!V308,time_cap+time*(VLOOKUP('6.Inland wetlands'!O92,list!$I$48:$K$50,3,0)),time*(1-(VLOOKUP('6.Inland wetlands'!O92,list!$I$48:$K$50,3,0))))</f>
        <v>0</v>
      </c>
      <c r="AG308" s="3468">
        <f>MIN('Inl. wetlands'!V308,'Inl. wetlands'!X308)*time_tot+ABS('Inl. wetlands'!X308-'Inl. wetlands'!V308)*IF('Inl. wetlands'!X308&gt;'Inl. wetlands'!V308,time_cap+time*(VLOOKUP('6.Inland wetlands'!Q92,list!$I$48:$K$50,3,0)),time*(1-(VLOOKUP('6.Inland wetlands'!Q92,list!$I$48:$K$50,3,0))))</f>
        <v>0</v>
      </c>
      <c r="AI308" s="1282">
        <f>SUM('Inl. wetlands'!AB300,'Inl. wetlands'!AD300,'Inl. wetlands'!AF300)+AB311+AD311+AF311</f>
        <v>0</v>
      </c>
      <c r="AJ308" s="1283">
        <f>SUM('Inl. wetlands'!AC300,'Inl. wetlands'!AE300,'Inl. wetlands'!AG300)+AC311+AE311+AG311</f>
        <v>0</v>
      </c>
      <c r="AK308" s="1284">
        <f t="shared" si="141"/>
        <v>0</v>
      </c>
    </row>
    <row r="309" spans="1:59" x14ac:dyDescent="0.15">
      <c r="A309" s="1493" t="s">
        <v>1162</v>
      </c>
      <c r="B309" s="1121" t="str">
        <f t="shared" si="143"/>
        <v>Please select</v>
      </c>
      <c r="C309" s="1121" t="str">
        <f t="shared" si="142"/>
        <v/>
      </c>
      <c r="D309" s="992">
        <f>IF('6.Inland wetlands'!S93='6.Inland wetlands'!K93, 0, '6.Inland wetlands'!T93-'Inl. wetlands'!D195)</f>
        <v>0</v>
      </c>
      <c r="E309" s="992" t="str">
        <f t="shared" si="144"/>
        <v>Linear</v>
      </c>
      <c r="F309" s="992">
        <f>IF('6.Inland wetlands'!S93='6.Inland wetlands'!K93, 0, '6.Inland wetlands'!U93-'Inl. wetlands'!F195)</f>
        <v>0</v>
      </c>
      <c r="G309" s="992" t="str">
        <f t="shared" si="145"/>
        <v>Linear</v>
      </c>
      <c r="H309" s="1004">
        <f>IFERROR(IF($E257=" ",0,IF($D$249="Nutrient poor",INDEX(IPCC!$A$1910:$J$1921,MATCH(clim_moist,IPCC!$A$1910:$A$1921,0),MATCH($C309,IPCC!$A$1910:$J$1910,0)),INDEX(IPCC!$A$1928:$J$1939,MATCH(clim_moist,IPCC!$A$1928:$A$1939,0),MATCH($C309,IPCC!$A$1928:$J$1928,0)))),0)</f>
        <v>0</v>
      </c>
      <c r="I309" s="1259">
        <f>IF('6.Inland wetlands'!$DY93="",'6.Inland wetlands'!$DX93,'6.Inland wetlands'!$DY93)</f>
        <v>0</v>
      </c>
      <c r="J309" s="1004">
        <f>IFERROR(IF(C309="Please select",0,IF($D$249="Nutrient poor",INDEX(IPCC!$A$1964:$J$1975,MATCH(clim_moist,IPCC!$A$1964:$A$1975,0),MATCH($C309,IPCC!$A$1964:$J$1964,0)),INDEX(IPCC!$A$1982:$J$1993,MATCH(clim_moist,IPCC!$A$1982:$A$1993,0),MATCH($C309,IPCC!$A$1982:$J$1982,0)))),0)</f>
        <v>0</v>
      </c>
      <c r="K309" s="1259">
        <f>IF('6.Inland wetlands'!$EA93="",'6.Inland wetlands'!$DZ93,'6.Inland wetlands'!$EA93)</f>
        <v>0</v>
      </c>
      <c r="L309" s="1004">
        <f>IFERROR(IF(C309="Please select",0,INDEX(IPCC!$A$2000:$J$2011,MATCH(clim_moist,IPCC!$A$2000:$A$2011,0),MATCH($C309,IPCC!$A$2000:$J$2000,0))),0)</f>
        <v>0</v>
      </c>
      <c r="M309" s="1259">
        <f>IF('6.Inland wetlands'!$EC93="",'6.Inland wetlands'!$EB93,'6.Inland wetlands'!$EC93)</f>
        <v>0</v>
      </c>
      <c r="N309" s="1260">
        <f>IFERROR(IF(C309="Please select",0,INDEX(IPCC!$A$1946:$J$1957,MATCH(clim_moist,IPCC!$A$1946:$A$1957,0),MATCH($C309,IPCC!$A$1946:$J$1946,0))),0)</f>
        <v>0</v>
      </c>
      <c r="O309" s="1259">
        <f>IF('6.Inland wetlands'!$EF93="",'6.Inland wetlands'!$EE93,'6.Inland wetlands'!$EF93)</f>
        <v>0</v>
      </c>
      <c r="P309" s="3468">
        <v>0</v>
      </c>
      <c r="Q309" s="3468">
        <f>SUM('Inl. wetlands'!$I309,'Inl. wetlands'!$O309)*44/12*D309</f>
        <v>0</v>
      </c>
      <c r="R309" s="1151">
        <f>SUM('Inl. wetlands'!$I309,'Inl. wetlands'!$O309)*44/12*F309</f>
        <v>0</v>
      </c>
      <c r="S309" s="3468">
        <v>0</v>
      </c>
      <c r="T309" s="1151">
        <f>'Inl. wetlands'!$K309/1000*16/12*methane*D309</f>
        <v>0</v>
      </c>
      <c r="U309" s="1151">
        <f>'Inl. wetlands'!$K309/1000*16/12*methane*F309</f>
        <v>0</v>
      </c>
      <c r="V309" s="3468">
        <v>0</v>
      </c>
      <c r="W309" s="1151">
        <f>'Inl. wetlands'!$M309/1000*44/28*Nitrous*D309</f>
        <v>0</v>
      </c>
      <c r="X309" s="3469">
        <f>'Inl. wetlands'!$M309/1000*44/28*Nitrous*F309</f>
        <v>0</v>
      </c>
      <c r="AB309" s="3468">
        <f>MIN('Inl. wetlands'!P309,'Inl. wetlands'!Q309)*time_tot+ABS('Inl. wetlands'!Q309-'Inl. wetlands'!P309)*IF('Inl. wetlands'!Q309&gt;'Inl. wetlands'!P309,time_cap+time*(VLOOKUP('6.Inland wetlands'!O93,list!$I$48:$K$50,3,0)),time*(1-(VLOOKUP('6.Inland wetlands'!O93,list!$I$48:$K$50,3,0))))</f>
        <v>0</v>
      </c>
      <c r="AC309" s="3468">
        <f>MIN('Inl. wetlands'!P309,'Inl. wetlands'!R309)*time_tot+ABS('Inl. wetlands'!R309-'Inl. wetlands'!P309)*IF('Inl. wetlands'!R309&gt;'Inl. wetlands'!P309,time_cap+time*(VLOOKUP('6.Inland wetlands'!Q93,list!$I$48:$K$50,3,0)),time*(1-(VLOOKUP('6.Inland wetlands'!Q93,list!$I$48:$K$50,3,0))))</f>
        <v>0</v>
      </c>
      <c r="AD309" s="3468">
        <f>MIN('Inl. wetlands'!S309,'Inl. wetlands'!T309)*time_tot+ABS('Inl. wetlands'!T309-'Inl. wetlands'!S309)*IF('Inl. wetlands'!T309&gt;'Inl. wetlands'!S309,time_cap+time*(VLOOKUP('6.Inland wetlands'!O93,list!$I$48:$K$50,3,0)),time*(1-(VLOOKUP('6.Inland wetlands'!O93,list!$I$48:$K$50,3,0))))</f>
        <v>0</v>
      </c>
      <c r="AE309" s="3468">
        <f>MIN('Inl. wetlands'!S309,'Inl. wetlands'!U309)*time_tot+ABS('Inl. wetlands'!U309-'Inl. wetlands'!S309)*IF('Inl. wetlands'!U309&gt;'Inl. wetlands'!S309,time_cap+time*(VLOOKUP('6.Inland wetlands'!Q93,list!$I$48:$K$50,3,0)),time*(1-(VLOOKUP('6.Inland wetlands'!Q93,list!$I$48:$K$50,3,0))))</f>
        <v>0</v>
      </c>
      <c r="AF309" s="3468">
        <f>MIN('Inl. wetlands'!V309,'Inl. wetlands'!W309)*time_tot+ABS('Inl. wetlands'!W309-'Inl. wetlands'!V309)*IF('Inl. wetlands'!W309&gt;'Inl. wetlands'!V309,time_cap+time*(VLOOKUP('6.Inland wetlands'!O93,list!$I$48:$K$50,3,0)),time*(1-(VLOOKUP('6.Inland wetlands'!O93,list!$I$48:$K$50,3,0))))</f>
        <v>0</v>
      </c>
      <c r="AG309" s="3468">
        <f>MIN('Inl. wetlands'!V309,'Inl. wetlands'!X309)*time_tot+ABS('Inl. wetlands'!X309-'Inl. wetlands'!V309)*IF('Inl. wetlands'!X309&gt;'Inl. wetlands'!V309,time_cap+time*(VLOOKUP('6.Inland wetlands'!Q93,list!$I$48:$K$50,3,0)),time*(1-(VLOOKUP('6.Inland wetlands'!Q93,list!$I$48:$K$50,3,0))))</f>
        <v>0</v>
      </c>
      <c r="AI309" s="1282">
        <f>SUM('Inl. wetlands'!AB301,'Inl. wetlands'!AD301,'Inl. wetlands'!AF301)+AB312+AD312+AF312</f>
        <v>0</v>
      </c>
      <c r="AJ309" s="1283">
        <f>SUM('Inl. wetlands'!AC301,'Inl. wetlands'!AE301,'Inl. wetlands'!AG301)+AC312+AE312+AG312</f>
        <v>0</v>
      </c>
      <c r="AK309" s="1284">
        <f t="shared" si="141"/>
        <v>0</v>
      </c>
    </row>
    <row r="310" spans="1:59" x14ac:dyDescent="0.15">
      <c r="A310" s="1493" t="s">
        <v>1163</v>
      </c>
      <c r="B310" s="1121" t="str">
        <f t="shared" si="143"/>
        <v>Please select</v>
      </c>
      <c r="C310" s="1121" t="str">
        <f t="shared" si="142"/>
        <v/>
      </c>
      <c r="D310" s="992">
        <f>IF('6.Inland wetlands'!S94='6.Inland wetlands'!K94, 0, '6.Inland wetlands'!T94-'Inl. wetlands'!D196)</f>
        <v>0</v>
      </c>
      <c r="E310" s="992" t="str">
        <f t="shared" si="144"/>
        <v>Linear</v>
      </c>
      <c r="F310" s="992">
        <f>IF('6.Inland wetlands'!S94='6.Inland wetlands'!K94, 0, '6.Inland wetlands'!U94-'Inl. wetlands'!F196)</f>
        <v>0</v>
      </c>
      <c r="G310" s="992" t="str">
        <f t="shared" si="145"/>
        <v>Linear</v>
      </c>
      <c r="H310" s="1004">
        <f>IFERROR(IF($E258=" ",0,IF($D$249="Nutrient poor",INDEX(IPCC!$A$1910:$J$1921,MATCH(clim_moist,IPCC!$A$1910:$A$1921,0),MATCH($C310,IPCC!$A$1910:$J$1910,0)),INDEX(IPCC!$A$1928:$J$1939,MATCH(clim_moist,IPCC!$A$1928:$A$1939,0),MATCH($C310,IPCC!$A$1928:$J$1928,0)))),0)</f>
        <v>0</v>
      </c>
      <c r="I310" s="1259">
        <f>IF('6.Inland wetlands'!$DY94="",'6.Inland wetlands'!$DX94,'6.Inland wetlands'!$DY94)</f>
        <v>0</v>
      </c>
      <c r="J310" s="1004">
        <f>IFERROR(IF(C310="Please select",0,IF($D$249="Nutrient poor",INDEX(IPCC!$A$1964:$J$1975,MATCH(clim_moist,IPCC!$A$1964:$A$1975,0),MATCH($C310,IPCC!$A$1964:$J$1964,0)),INDEX(IPCC!$A$1982:$J$1993,MATCH(clim_moist,IPCC!$A$1982:$A$1993,0),MATCH($C310,IPCC!$A$1982:$J$1982,0)))),0)</f>
        <v>0</v>
      </c>
      <c r="K310" s="1259">
        <f>IF('6.Inland wetlands'!$EA94="",'6.Inland wetlands'!$DZ94,'6.Inland wetlands'!$EA94)</f>
        <v>0</v>
      </c>
      <c r="L310" s="1004">
        <f>IFERROR(IF(C310="Please select",0,INDEX(IPCC!$A$2000:$J$2011,MATCH(clim_moist,IPCC!$A$2000:$A$2011,0),MATCH($C310,IPCC!$A$2000:$J$2000,0))),0)</f>
        <v>0</v>
      </c>
      <c r="M310" s="1259">
        <f>IF('6.Inland wetlands'!$EC94="",'6.Inland wetlands'!$EB94,'6.Inland wetlands'!$EC94)</f>
        <v>0</v>
      </c>
      <c r="N310" s="1260">
        <f>IFERROR(IF(C310="Please select",0,INDEX(IPCC!$A$1946:$J$1957,MATCH(clim_moist,IPCC!$A$1946:$A$1957,0),MATCH($C310,IPCC!$A$1946:$J$1946,0))),0)</f>
        <v>0</v>
      </c>
      <c r="O310" s="1259">
        <f>IF('6.Inland wetlands'!$EF94="",'6.Inland wetlands'!$EE94,'6.Inland wetlands'!$EF94)</f>
        <v>0</v>
      </c>
      <c r="P310" s="3468">
        <v>0</v>
      </c>
      <c r="Q310" s="3468">
        <f>SUM('Inl. wetlands'!$I310,'Inl. wetlands'!$O310)*44/12*D310</f>
        <v>0</v>
      </c>
      <c r="R310" s="1151">
        <f>SUM('Inl. wetlands'!$I310,'Inl. wetlands'!$O310)*44/12*F310</f>
        <v>0</v>
      </c>
      <c r="S310" s="3468">
        <v>0</v>
      </c>
      <c r="T310" s="1151">
        <f>'Inl. wetlands'!$K310/1000*16/12*methane*D310</f>
        <v>0</v>
      </c>
      <c r="U310" s="1151">
        <f>'Inl. wetlands'!$K310/1000*16/12*methane*F310</f>
        <v>0</v>
      </c>
      <c r="V310" s="3468">
        <v>0</v>
      </c>
      <c r="W310" s="1151">
        <f>'Inl. wetlands'!$M310/1000*44/28*Nitrous*D310</f>
        <v>0</v>
      </c>
      <c r="X310" s="3469">
        <f>'Inl. wetlands'!$M310/1000*44/28*Nitrous*F310</f>
        <v>0</v>
      </c>
      <c r="AB310" s="3468">
        <f>MIN('Inl. wetlands'!P310,'Inl. wetlands'!Q310)*time_tot+ABS('Inl. wetlands'!Q310-'Inl. wetlands'!P310)*IF('Inl. wetlands'!Q310&gt;'Inl. wetlands'!P310,time_cap+time*(VLOOKUP('6.Inland wetlands'!O94,list!$I$48:$K$50,3,0)),time*(1-(VLOOKUP('6.Inland wetlands'!O94,list!$I$48:$K$50,3,0))))</f>
        <v>0</v>
      </c>
      <c r="AC310" s="3468">
        <f>MIN('Inl. wetlands'!P310,'Inl. wetlands'!R310)*time_tot+ABS('Inl. wetlands'!R310-'Inl. wetlands'!P310)*IF('Inl. wetlands'!R310&gt;'Inl. wetlands'!P310,time_cap+time*(VLOOKUP('6.Inland wetlands'!Q94,list!$I$48:$K$50,3,0)),time*(1-(VLOOKUP('6.Inland wetlands'!Q94,list!$I$48:$K$50,3,0))))</f>
        <v>0</v>
      </c>
      <c r="AD310" s="3468">
        <f>MIN('Inl. wetlands'!S310,'Inl. wetlands'!T310)*time_tot+ABS('Inl. wetlands'!T310-'Inl. wetlands'!S310)*IF('Inl. wetlands'!T310&gt;'Inl. wetlands'!S310,time_cap+time*(VLOOKUP('6.Inland wetlands'!O94,list!$I$48:$K$50,3,0)),time*(1-(VLOOKUP('6.Inland wetlands'!O94,list!$I$48:$K$50,3,0))))</f>
        <v>0</v>
      </c>
      <c r="AE310" s="3468">
        <f>MIN('Inl. wetlands'!S310,'Inl. wetlands'!U310)*time_tot+ABS('Inl. wetlands'!U310-'Inl. wetlands'!S310)*IF('Inl. wetlands'!U310&gt;'Inl. wetlands'!S310,time_cap+time*(VLOOKUP('6.Inland wetlands'!Q94,list!$I$48:$K$50,3,0)),time*(1-(VLOOKUP('6.Inland wetlands'!Q94,list!$I$48:$K$50,3,0))))</f>
        <v>0</v>
      </c>
      <c r="AF310" s="3468">
        <f>MIN('Inl. wetlands'!V310,'Inl. wetlands'!W310)*time_tot+ABS('Inl. wetlands'!W310-'Inl. wetlands'!V310)*IF('Inl. wetlands'!W310&gt;'Inl. wetlands'!V310,time_cap+time*(VLOOKUP('6.Inland wetlands'!O94,list!$I$48:$K$50,3,0)),time*(1-(VLOOKUP('6.Inland wetlands'!O94,list!$I$48:$K$50,3,0))))</f>
        <v>0</v>
      </c>
      <c r="AG310" s="3468">
        <f>MIN('Inl. wetlands'!V310,'Inl. wetlands'!X310)*time_tot+ABS('Inl. wetlands'!X310-'Inl. wetlands'!V310)*IF('Inl. wetlands'!X310&gt;'Inl. wetlands'!V310,time_cap+time*(VLOOKUP('6.Inland wetlands'!Q94,list!$I$48:$K$50,3,0)),time*(1-(VLOOKUP('6.Inland wetlands'!Q94,list!$I$48:$K$50,3,0))))</f>
        <v>0</v>
      </c>
    </row>
    <row r="311" spans="1:59" x14ac:dyDescent="0.15">
      <c r="A311" s="1493" t="s">
        <v>1164</v>
      </c>
      <c r="B311" s="1121" t="str">
        <f t="shared" si="143"/>
        <v>Please select</v>
      </c>
      <c r="C311" s="1121" t="str">
        <f t="shared" si="142"/>
        <v/>
      </c>
      <c r="D311" s="992">
        <f>IF('6.Inland wetlands'!S95='6.Inland wetlands'!K95, 0, '6.Inland wetlands'!T95-'Inl. wetlands'!D197)</f>
        <v>0</v>
      </c>
      <c r="E311" s="992" t="str">
        <f t="shared" si="144"/>
        <v>Linear</v>
      </c>
      <c r="F311" s="992">
        <f>IF('6.Inland wetlands'!S95='6.Inland wetlands'!K95, 0, '6.Inland wetlands'!U95-'Inl. wetlands'!F197)</f>
        <v>0</v>
      </c>
      <c r="G311" s="992" t="str">
        <f t="shared" si="145"/>
        <v>Linear</v>
      </c>
      <c r="H311" s="1004">
        <f>IFERROR(IF($E259=" ",0,IF($D$249="Nutrient poor",INDEX(IPCC!$A$1910:$J$1921,MATCH(clim_moist,IPCC!$A$1910:$A$1921,0),MATCH($C311,IPCC!$A$1910:$J$1910,0)),INDEX(IPCC!$A$1928:$J$1939,MATCH(clim_moist,IPCC!$A$1928:$A$1939,0),MATCH($C311,IPCC!$A$1928:$J$1928,0)))),0)</f>
        <v>0</v>
      </c>
      <c r="I311" s="1259">
        <f>IF('6.Inland wetlands'!$DY95="",'6.Inland wetlands'!$DX95,'6.Inland wetlands'!$DY95)</f>
        <v>0</v>
      </c>
      <c r="J311" s="1004">
        <f>IFERROR(IF(C311="Please select",0,IF($D$249="Nutrient poor",INDEX(IPCC!$A$1964:$J$1975,MATCH(clim_moist,IPCC!$A$1964:$A$1975,0),MATCH($C311,IPCC!$A$1964:$J$1964,0)),INDEX(IPCC!$A$1982:$J$1993,MATCH(clim_moist,IPCC!$A$1982:$A$1993,0),MATCH($C311,IPCC!$A$1982:$J$1982,0)))),0)</f>
        <v>0</v>
      </c>
      <c r="K311" s="1259">
        <f>IF('6.Inland wetlands'!$EA95="",'6.Inland wetlands'!$DZ95,'6.Inland wetlands'!$EA95)</f>
        <v>0</v>
      </c>
      <c r="L311" s="1004">
        <f>IFERROR(IF(C311="Please select",0,INDEX(IPCC!$A$2000:$J$2011,MATCH(clim_moist,IPCC!$A$2000:$A$2011,0),MATCH($C311,IPCC!$A$2000:$J$2000,0))),0)</f>
        <v>0</v>
      </c>
      <c r="M311" s="1259">
        <f>IF('6.Inland wetlands'!$EC95="",'6.Inland wetlands'!$EB95,'6.Inland wetlands'!$EC95)</f>
        <v>0</v>
      </c>
      <c r="N311" s="1260">
        <f>IFERROR(IF(C311="Please select",0,INDEX(IPCC!$A$1946:$J$1957,MATCH(clim_moist,IPCC!$A$1946:$A$1957,0),MATCH($C311,IPCC!$A$1946:$J$1946,0))),0)</f>
        <v>0</v>
      </c>
      <c r="O311" s="1259">
        <f>IF('6.Inland wetlands'!$EF95="",'6.Inland wetlands'!$EE95,'6.Inland wetlands'!$EF95)</f>
        <v>0</v>
      </c>
      <c r="P311" s="3468">
        <v>0</v>
      </c>
      <c r="Q311" s="3468">
        <f>SUM('Inl. wetlands'!$I311,'Inl. wetlands'!$O311)*44/12*D311</f>
        <v>0</v>
      </c>
      <c r="R311" s="1151">
        <f>SUM('Inl. wetlands'!$I311,'Inl. wetlands'!$O311)*44/12*F311</f>
        <v>0</v>
      </c>
      <c r="S311" s="3468">
        <v>0</v>
      </c>
      <c r="T311" s="1151">
        <f>'Inl. wetlands'!$K311/1000*16/12*methane*D311</f>
        <v>0</v>
      </c>
      <c r="U311" s="1151">
        <f>'Inl. wetlands'!$K311/1000*16/12*methane*F311</f>
        <v>0</v>
      </c>
      <c r="V311" s="3468">
        <v>0</v>
      </c>
      <c r="W311" s="1151">
        <f>'Inl. wetlands'!$M311/1000*44/28*Nitrous*D311</f>
        <v>0</v>
      </c>
      <c r="X311" s="3469">
        <f>'Inl. wetlands'!$M311/1000*44/28*Nitrous*F311</f>
        <v>0</v>
      </c>
      <c r="AB311" s="3468">
        <f>MIN('Inl. wetlands'!P311,'Inl. wetlands'!Q311)*time_tot+ABS('Inl. wetlands'!Q311-'Inl. wetlands'!P311)*IF('Inl. wetlands'!Q311&gt;'Inl. wetlands'!P311,time_cap+time*(VLOOKUP('6.Inland wetlands'!O95,list!$I$48:$K$50,3,0)),time*(1-(VLOOKUP('6.Inland wetlands'!O95,list!$I$48:$K$50,3,0))))</f>
        <v>0</v>
      </c>
      <c r="AC311" s="3468">
        <f>MIN('Inl. wetlands'!P311,'Inl. wetlands'!R311)*time_tot+ABS('Inl. wetlands'!R311-'Inl. wetlands'!P311)*IF('Inl. wetlands'!R311&gt;'Inl. wetlands'!P311,time_cap+time*(VLOOKUP('6.Inland wetlands'!Q95,list!$I$48:$K$50,3,0)),time*(1-(VLOOKUP('6.Inland wetlands'!Q95,list!$I$48:$K$50,3,0))))</f>
        <v>0</v>
      </c>
      <c r="AD311" s="3468">
        <f>MIN('Inl. wetlands'!S311,'Inl. wetlands'!T311)*time_tot+ABS('Inl. wetlands'!T311-'Inl. wetlands'!S311)*IF('Inl. wetlands'!T311&gt;'Inl. wetlands'!S311,time_cap+time*(VLOOKUP('6.Inland wetlands'!O95,list!$I$48:$K$50,3,0)),time*(1-(VLOOKUP('6.Inland wetlands'!O95,list!$I$48:$K$50,3,0))))</f>
        <v>0</v>
      </c>
      <c r="AE311" s="3468">
        <f>MIN('Inl. wetlands'!S311,'Inl. wetlands'!U311)*time_tot+ABS('Inl. wetlands'!U311-'Inl. wetlands'!S311)*IF('Inl. wetlands'!U311&gt;'Inl. wetlands'!S311,time_cap+time*(VLOOKUP('6.Inland wetlands'!Q95,list!$I$48:$K$50,3,0)),time*(1-(VLOOKUP('6.Inland wetlands'!Q95,list!$I$48:$K$50,3,0))))</f>
        <v>0</v>
      </c>
      <c r="AF311" s="3468">
        <f>MIN('Inl. wetlands'!V311,'Inl. wetlands'!W311)*time_tot+ABS('Inl. wetlands'!W311-'Inl. wetlands'!V311)*IF('Inl. wetlands'!W311&gt;'Inl. wetlands'!V311,time_cap+time*(VLOOKUP('6.Inland wetlands'!O95,list!$I$48:$K$50,3,0)),time*(1-(VLOOKUP('6.Inland wetlands'!O95,list!$I$48:$K$50,3,0))))</f>
        <v>0</v>
      </c>
      <c r="AG311" s="3468">
        <f>MIN('Inl. wetlands'!V311,'Inl. wetlands'!X311)*time_tot+ABS('Inl. wetlands'!X311-'Inl. wetlands'!V311)*IF('Inl. wetlands'!X311&gt;'Inl. wetlands'!V311,time_cap+time*(VLOOKUP('6.Inland wetlands'!Q95,list!$I$48:$K$50,3,0)),time*(1-(VLOOKUP('6.Inland wetlands'!Q95,list!$I$48:$K$50,3,0))))</f>
        <v>0</v>
      </c>
    </row>
    <row r="312" spans="1:59" x14ac:dyDescent="0.15">
      <c r="A312" s="1493" t="s">
        <v>1165</v>
      </c>
      <c r="B312" s="1121" t="str">
        <f t="shared" si="143"/>
        <v>Please select</v>
      </c>
      <c r="C312" s="1121" t="str">
        <f t="shared" si="142"/>
        <v/>
      </c>
      <c r="D312" s="992">
        <f>IF('6.Inland wetlands'!S96='6.Inland wetlands'!K96, 0, '6.Inland wetlands'!T96-'Inl. wetlands'!D198)</f>
        <v>0</v>
      </c>
      <c r="E312" s="992" t="str">
        <f t="shared" si="144"/>
        <v>Linear</v>
      </c>
      <c r="F312" s="992">
        <f>IF('6.Inland wetlands'!S96='6.Inland wetlands'!K96, 0, '6.Inland wetlands'!U96-'Inl. wetlands'!F198)</f>
        <v>0</v>
      </c>
      <c r="G312" s="992" t="str">
        <f t="shared" si="145"/>
        <v>Linear</v>
      </c>
      <c r="H312" s="1004">
        <f>IFERROR(IF($E260=" ",0,IF($D$249="Nutrient poor",INDEX(IPCC!$A$1910:$J$1921,MATCH(clim_moist,IPCC!$A$1910:$A$1921,0),MATCH($C312,IPCC!$A$1910:$J$1910,0)),INDEX(IPCC!$A$1928:$J$1939,MATCH(clim_moist,IPCC!$A$1928:$A$1939,0),MATCH($C312,IPCC!$A$1928:$J$1928,0)))),0)</f>
        <v>0</v>
      </c>
      <c r="I312" s="1259">
        <f>IF('6.Inland wetlands'!$DY96="",'6.Inland wetlands'!$DX96,'6.Inland wetlands'!$DY96)</f>
        <v>0</v>
      </c>
      <c r="J312" s="1004">
        <f>IFERROR(IF(C312="Please select",0,IF($D$249="Nutrient poor",INDEX(IPCC!$A$1964:$J$1975,MATCH(clim_moist,IPCC!$A$1964:$A$1975,0),MATCH($C312,IPCC!$A$1964:$J$1964,0)),INDEX(IPCC!$A$1982:$J$1993,MATCH(clim_moist,IPCC!$A$1982:$A$1993,0),MATCH($C312,IPCC!$A$1982:$J$1982,0)))),0)</f>
        <v>0</v>
      </c>
      <c r="K312" s="1259">
        <f>IF('6.Inland wetlands'!$EA96="",'6.Inland wetlands'!$DZ96,'6.Inland wetlands'!$EA96)</f>
        <v>0</v>
      </c>
      <c r="L312" s="1004">
        <f>IFERROR(IF(C312="Please select",0,INDEX(IPCC!$A$2000:$J$2011,MATCH(clim_moist,IPCC!$A$2000:$A$2011,0),MATCH($C312,IPCC!$A$2000:$J$2000,0))),0)</f>
        <v>0</v>
      </c>
      <c r="M312" s="1259">
        <f>IF('6.Inland wetlands'!$EC96="",'6.Inland wetlands'!$EB96,'6.Inland wetlands'!$EC96)</f>
        <v>0</v>
      </c>
      <c r="N312" s="1260">
        <f>IFERROR(IF(C312="Please select",0,INDEX(IPCC!$A$1946:$J$1957,MATCH(clim_moist,IPCC!$A$1946:$A$1957,0),MATCH($C312,IPCC!$A$1946:$J$1946,0))),0)</f>
        <v>0</v>
      </c>
      <c r="O312" s="1259">
        <f>IF('6.Inland wetlands'!$EF96="",'6.Inland wetlands'!$EE96,'6.Inland wetlands'!$EF96)</f>
        <v>0</v>
      </c>
      <c r="P312" s="3468">
        <v>0</v>
      </c>
      <c r="Q312" s="3468">
        <f>SUM('Inl. wetlands'!$I312,'Inl. wetlands'!$O312)*44/12*D312</f>
        <v>0</v>
      </c>
      <c r="R312" s="1151">
        <f>SUM('Inl. wetlands'!$I312,'Inl. wetlands'!$O312)*44/12*F312</f>
        <v>0</v>
      </c>
      <c r="S312" s="3468">
        <v>0</v>
      </c>
      <c r="T312" s="1151">
        <f>'Inl. wetlands'!$K312/1000*16/12*methane*D312</f>
        <v>0</v>
      </c>
      <c r="U312" s="1151">
        <f>'Inl. wetlands'!$K312/1000*16/12*methane*F312</f>
        <v>0</v>
      </c>
      <c r="V312" s="3468">
        <v>0</v>
      </c>
      <c r="W312" s="1151">
        <f>'Inl. wetlands'!$M312/1000*44/28*Nitrous*D312</f>
        <v>0</v>
      </c>
      <c r="X312" s="3469">
        <f>'Inl. wetlands'!$M312/1000*44/28*Nitrous*F312</f>
        <v>0</v>
      </c>
      <c r="AB312" s="3468">
        <f>MIN('Inl. wetlands'!P312,'Inl. wetlands'!Q312)*time_tot+ABS('Inl. wetlands'!Q312-'Inl. wetlands'!P312)*IF('Inl. wetlands'!Q312&gt;'Inl. wetlands'!P312,time_cap+time*(VLOOKUP('6.Inland wetlands'!O96,list!$I$48:$K$50,3,0)),time*(1-(VLOOKUP('6.Inland wetlands'!O96,list!$I$48:$K$50,3,0))))</f>
        <v>0</v>
      </c>
      <c r="AC312" s="3468">
        <f>MIN('Inl. wetlands'!P312,'Inl. wetlands'!R312)*time_tot+ABS('Inl. wetlands'!R312-'Inl. wetlands'!P312)*IF('Inl. wetlands'!R312&gt;'Inl. wetlands'!P312,time_cap+time*(VLOOKUP('6.Inland wetlands'!Q96,list!$I$48:$K$50,3,0)),time*(1-(VLOOKUP('6.Inland wetlands'!Q96,list!$I$48:$K$50,3,0))))</f>
        <v>0</v>
      </c>
      <c r="AD312" s="3468">
        <f>MIN('Inl. wetlands'!S312,'Inl. wetlands'!T312)*time_tot+ABS('Inl. wetlands'!T312-'Inl. wetlands'!S312)*IF('Inl. wetlands'!T312&gt;'Inl. wetlands'!S312,time_cap+time*(VLOOKUP('6.Inland wetlands'!O96,list!$I$48:$K$50,3,0)),time*(1-(VLOOKUP('6.Inland wetlands'!O96,list!$I$48:$K$50,3,0))))</f>
        <v>0</v>
      </c>
      <c r="AE312" s="3468">
        <f>MIN('Inl. wetlands'!S312,'Inl. wetlands'!U312)*time_tot+ABS('Inl. wetlands'!U312-'Inl. wetlands'!S312)*IF('Inl. wetlands'!U312&gt;'Inl. wetlands'!S312,time_cap+time*(VLOOKUP('6.Inland wetlands'!Q96,list!$I$48:$K$50,3,0)),time*(1-(VLOOKUP('6.Inland wetlands'!Q96,list!$I$48:$K$50,3,0))))</f>
        <v>0</v>
      </c>
      <c r="AF312" s="3468">
        <f>MIN('Inl. wetlands'!V312,'Inl. wetlands'!W312)*time_tot+ABS('Inl. wetlands'!W312-'Inl. wetlands'!V312)*IF('Inl. wetlands'!W312&gt;'Inl. wetlands'!V312,time_cap+time*(VLOOKUP('6.Inland wetlands'!O96,list!$I$48:$K$50,3,0)),time*(1-(VLOOKUP('6.Inland wetlands'!O96,list!$I$48:$K$50,3,0))))</f>
        <v>0</v>
      </c>
      <c r="AG312" s="3468">
        <f>MIN('Inl. wetlands'!V312,'Inl. wetlands'!X312)*time_tot+ABS('Inl. wetlands'!X312-'Inl. wetlands'!V312)*IF('Inl. wetlands'!X312&gt;'Inl. wetlands'!V312,time_cap+time*(VLOOKUP('6.Inland wetlands'!Q96,list!$I$48:$K$50,3,0)),time*(1-(VLOOKUP('6.Inland wetlands'!Q96,list!$I$48:$K$50,3,0))))</f>
        <v>0</v>
      </c>
      <c r="AX312" s="1461">
        <f t="shared" ref="AX312:BC312" si="146">SUM(AX297:AX302)</f>
        <v>0</v>
      </c>
      <c r="AY312" s="1461">
        <f t="shared" si="146"/>
        <v>0</v>
      </c>
      <c r="AZ312" s="1461">
        <f t="shared" si="146"/>
        <v>0</v>
      </c>
      <c r="BA312" s="1461">
        <f t="shared" si="146"/>
        <v>0</v>
      </c>
      <c r="BB312" s="1461">
        <f t="shared" si="146"/>
        <v>0</v>
      </c>
      <c r="BC312" s="1461">
        <f t="shared" si="146"/>
        <v>0</v>
      </c>
      <c r="BD312" s="1461"/>
      <c r="BE312" s="1461"/>
      <c r="BF312" s="1461"/>
      <c r="BG312" s="1461"/>
    </row>
    <row r="313" spans="1:59" x14ac:dyDescent="0.15">
      <c r="AY313" s="1451">
        <f>AY312-AX312</f>
        <v>0</v>
      </c>
      <c r="AZ313" s="1451"/>
      <c r="BA313" s="1451">
        <f>BA312-AZ312</f>
        <v>0</v>
      </c>
      <c r="BB313" s="1451"/>
      <c r="BC313" s="1451">
        <f>BC312-BB312</f>
        <v>0</v>
      </c>
      <c r="BE313" s="1451"/>
      <c r="BF313" s="1451"/>
      <c r="BG313" s="1451"/>
    </row>
    <row r="314" spans="1:59" ht="16" x14ac:dyDescent="0.2">
      <c r="AH314" s="1143" t="s">
        <v>1244</v>
      </c>
      <c r="AI314" s="1192">
        <f>SUM(AI304:AI309,AI277:AI282,AI255:AI260,AI224:AI229)</f>
        <v>0</v>
      </c>
      <c r="AJ314" s="1192">
        <f>SUM(AJ304:AJ309,AJ277:AJ282,AJ255:AJ260,AJ224:AJ229)</f>
        <v>0</v>
      </c>
      <c r="AK314" s="1192">
        <f>SUM(AK304:AK309,AK277:AK282,AK255:AK260,AK224:AK229)</f>
        <v>0</v>
      </c>
      <c r="AX314" s="1445" t="s">
        <v>629</v>
      </c>
      <c r="AY314" s="1445">
        <f>SUM('6.Inland wetlands'!CG80:CG85,'6.Inland wetlands'!CI80:CI85,'6.Inland wetlands'!CK80:CK85,'6.Inland wetlands'!CN80:CN85,'6.Inland wetlands'!CP80:CP85)</f>
        <v>0</v>
      </c>
      <c r="AZ314" s="973" t="s">
        <v>1224</v>
      </c>
    </row>
    <row r="315" spans="1:59" ht="16" x14ac:dyDescent="0.2">
      <c r="E315" s="3993" t="s">
        <v>1194</v>
      </c>
      <c r="F315" s="4324">
        <f>MAX(G315:H315)</f>
        <v>0</v>
      </c>
      <c r="G315" s="4324">
        <f>SUM(D296:D301)+SUM(D307:D312)</f>
        <v>0</v>
      </c>
      <c r="H315" s="4324">
        <f>SUM(F296:F301)+SUM(F307:F312)</f>
        <v>0</v>
      </c>
      <c r="S315" s="1231"/>
      <c r="T315" s="1231"/>
      <c r="U315" s="1231"/>
      <c r="V315" s="1231"/>
      <c r="X315" s="1231"/>
      <c r="AX315" s="1445" t="s">
        <v>629</v>
      </c>
      <c r="AY315" s="1445">
        <f>+SUM('6.Inland wetlands'!DY91:DY96,'6.Inland wetlands'!EA91:EA96,'6.Inland wetlands'!EC91:EC96,'6.Inland wetlands'!EF91:EF96)</f>
        <v>0</v>
      </c>
      <c r="AZ315" s="973" t="s">
        <v>1225</v>
      </c>
    </row>
    <row r="317" spans="1:59" s="975" customFormat="1" ht="65.25" customHeight="1" x14ac:dyDescent="0.15">
      <c r="B317" s="975" t="s">
        <v>1245</v>
      </c>
      <c r="J317" s="1123"/>
      <c r="K317" s="1123"/>
      <c r="L317" s="1123"/>
      <c r="M317" s="1123"/>
      <c r="N317" s="1123"/>
    </row>
    <row r="319" spans="1:59" s="975" customFormat="1" ht="42.75" customHeight="1" x14ac:dyDescent="0.15">
      <c r="B319" s="975" t="s">
        <v>1246</v>
      </c>
      <c r="J319" s="1123"/>
      <c r="K319" s="1123"/>
      <c r="L319" s="1123"/>
      <c r="M319" s="1123"/>
      <c r="N319" s="1123"/>
    </row>
    <row r="321" spans="2:71" s="1089" customFormat="1" ht="30.75" customHeight="1" x14ac:dyDescent="0.15">
      <c r="B321" s="1112" t="s">
        <v>1088</v>
      </c>
      <c r="C321" s="1113"/>
      <c r="D321" s="1113"/>
      <c r="E321" s="1113"/>
      <c r="F321" s="1113"/>
      <c r="G321" s="1113"/>
      <c r="H321" s="1113"/>
      <c r="I321" s="1113"/>
      <c r="J321" s="1113"/>
      <c r="K321" s="1113"/>
      <c r="L321" s="1113"/>
      <c r="M321" s="1113"/>
      <c r="N321" s="1113"/>
      <c r="O321" s="1113"/>
      <c r="P321" s="1113"/>
      <c r="Q321" s="1113"/>
      <c r="R321" s="1113"/>
      <c r="S321" s="1113"/>
      <c r="T321" s="1113"/>
      <c r="U321" s="1113"/>
      <c r="V321" s="1113"/>
      <c r="W321" s="1113"/>
      <c r="X321" s="1113"/>
      <c r="Y321" s="1113"/>
      <c r="Z321" s="1113"/>
      <c r="AA321" s="1113"/>
      <c r="AB321" s="1113"/>
      <c r="AC321" s="1113"/>
      <c r="AD321" s="1113"/>
      <c r="AE321" s="1113"/>
      <c r="AF321" s="1113"/>
      <c r="AG321" s="1113"/>
      <c r="AH321" s="1113"/>
      <c r="AI321" s="1113"/>
      <c r="AJ321" s="1113"/>
      <c r="AK321" s="1113"/>
      <c r="AX321" s="1264"/>
      <c r="AY321" s="1264"/>
      <c r="AZ321" s="1264"/>
      <c r="BA321" s="1264"/>
      <c r="BB321" s="1264"/>
      <c r="BC321" s="1264"/>
      <c r="BD321" s="1264"/>
      <c r="BE321" s="1264"/>
      <c r="BF321" s="1264"/>
      <c r="BG321" s="1264"/>
    </row>
    <row r="323" spans="2:71" x14ac:dyDescent="0.15">
      <c r="K323" s="1115" t="s">
        <v>1001</v>
      </c>
      <c r="L323" s="1115"/>
      <c r="M323" s="1115" t="s">
        <v>1001</v>
      </c>
      <c r="N323" s="1116"/>
      <c r="O323" s="1115" t="s">
        <v>1001</v>
      </c>
      <c r="P323" s="1116"/>
      <c r="Q323" s="1115" t="s">
        <v>971</v>
      </c>
      <c r="R323" s="1116"/>
      <c r="S323" s="1115" t="s">
        <v>1002</v>
      </c>
      <c r="T323" s="1116"/>
      <c r="U323" s="1545" t="s">
        <v>1003</v>
      </c>
      <c r="V323" s="1116"/>
      <c r="W323" s="1116"/>
      <c r="X323" s="1115" t="s">
        <v>1021</v>
      </c>
      <c r="Y323" s="1116"/>
      <c r="Z323" s="1116"/>
      <c r="AA323" s="1546" t="s">
        <v>1247</v>
      </c>
      <c r="AB323" s="1547" t="s">
        <v>1247</v>
      </c>
      <c r="AC323" s="1548" t="s">
        <v>1247</v>
      </c>
      <c r="AD323" s="1549" t="s">
        <v>1006</v>
      </c>
      <c r="AE323" s="1549"/>
      <c r="AF323" s="1549"/>
      <c r="AG323" s="1549"/>
      <c r="AH323" s="1549"/>
      <c r="AI323" s="1549"/>
    </row>
    <row r="324" spans="2:71" x14ac:dyDescent="0.15">
      <c r="B324" s="973" t="s">
        <v>1248</v>
      </c>
      <c r="C324" s="1236" t="s">
        <v>973</v>
      </c>
      <c r="D324" s="1237"/>
      <c r="E324" s="1236" t="s">
        <v>411</v>
      </c>
      <c r="F324" s="1237"/>
      <c r="G324" s="1238" t="s">
        <v>79</v>
      </c>
      <c r="H324" s="1237"/>
      <c r="I324" s="1236" t="s">
        <v>80</v>
      </c>
      <c r="J324" s="1237"/>
      <c r="K324" s="1550"/>
      <c r="L324" s="1116"/>
      <c r="M324" s="1550"/>
      <c r="N324" s="1116"/>
      <c r="O324" s="1550"/>
      <c r="P324" s="1116"/>
      <c r="Q324" s="1115"/>
      <c r="R324" s="1115"/>
      <c r="S324" s="1115"/>
      <c r="T324" s="1115"/>
      <c r="U324" s="1234" t="s">
        <v>1249</v>
      </c>
      <c r="V324" s="1116"/>
      <c r="W324" s="1116"/>
      <c r="X324" s="1545" t="s">
        <v>1249</v>
      </c>
      <c r="Y324" s="1116"/>
      <c r="Z324" s="1116"/>
      <c r="AA324" s="1546"/>
      <c r="AB324" s="1551"/>
      <c r="AC324" s="1548"/>
      <c r="AD324" s="1547" t="s">
        <v>179</v>
      </c>
      <c r="AE324" s="1547"/>
      <c r="AF324" s="1547"/>
      <c r="AG324" s="1552" t="s">
        <v>180</v>
      </c>
      <c r="AH324" s="1552"/>
      <c r="AI324" s="1552"/>
    </row>
    <row r="325" spans="2:71" ht="18" x14ac:dyDescent="0.25">
      <c r="C325" s="1116" t="s">
        <v>62</v>
      </c>
      <c r="D325" s="1116"/>
      <c r="E325" s="1116" t="s">
        <v>62</v>
      </c>
      <c r="F325" s="1116"/>
      <c r="G325" s="1116" t="s">
        <v>62</v>
      </c>
      <c r="H325" s="1116"/>
      <c r="I325" s="1116" t="s">
        <v>62</v>
      </c>
      <c r="J325" s="1116"/>
      <c r="K325" s="1546" t="s">
        <v>199</v>
      </c>
      <c r="L325" s="1546" t="s">
        <v>1014</v>
      </c>
      <c r="M325" s="1547" t="s">
        <v>179</v>
      </c>
      <c r="N325" s="1547" t="s">
        <v>1014</v>
      </c>
      <c r="O325" s="1548" t="s">
        <v>180</v>
      </c>
      <c r="P325" s="1548" t="s">
        <v>1014</v>
      </c>
      <c r="Q325" s="1547" t="s">
        <v>179</v>
      </c>
      <c r="R325" s="1548" t="s">
        <v>180</v>
      </c>
      <c r="S325" s="1547" t="s">
        <v>179</v>
      </c>
      <c r="T325" s="1548" t="s">
        <v>180</v>
      </c>
      <c r="U325" s="1546" t="s">
        <v>199</v>
      </c>
      <c r="V325" s="1547" t="s">
        <v>179</v>
      </c>
      <c r="W325" s="1548" t="s">
        <v>180</v>
      </c>
      <c r="X325" s="1546" t="s">
        <v>199</v>
      </c>
      <c r="Y325" s="1551" t="s">
        <v>179</v>
      </c>
      <c r="Z325" s="1548" t="s">
        <v>180</v>
      </c>
      <c r="AA325" s="1546" t="s">
        <v>199</v>
      </c>
      <c r="AB325" s="1547" t="s">
        <v>179</v>
      </c>
      <c r="AC325" s="1548" t="s">
        <v>180</v>
      </c>
      <c r="AD325" s="1553" t="s">
        <v>822</v>
      </c>
      <c r="AE325" s="1553" t="s">
        <v>1250</v>
      </c>
      <c r="AF325" s="1553" t="s">
        <v>218</v>
      </c>
      <c r="AG325" s="1552" t="s">
        <v>822</v>
      </c>
      <c r="AH325" s="1552" t="s">
        <v>1250</v>
      </c>
      <c r="AI325" s="1552" t="s">
        <v>218</v>
      </c>
    </row>
    <row r="326" spans="2:71" x14ac:dyDescent="0.15">
      <c r="C326" s="1239" t="s">
        <v>864</v>
      </c>
      <c r="D326" s="1240" t="str">
        <f>I295</f>
        <v>Tier 2</v>
      </c>
      <c r="E326" s="1239" t="str">
        <f t="shared" ref="E326:J326" si="147">C326</f>
        <v>IPCC</v>
      </c>
      <c r="F326" s="1240" t="str">
        <f t="shared" si="147"/>
        <v>Tier 2</v>
      </c>
      <c r="G326" s="1239" t="str">
        <f t="shared" si="147"/>
        <v>IPCC</v>
      </c>
      <c r="H326" s="1240" t="str">
        <f t="shared" si="147"/>
        <v>Tier 2</v>
      </c>
      <c r="I326" s="1239" t="str">
        <f t="shared" si="147"/>
        <v>IPCC</v>
      </c>
      <c r="J326" s="1240" t="str">
        <f t="shared" si="147"/>
        <v>Tier 2</v>
      </c>
      <c r="K326" s="1546" t="s">
        <v>387</v>
      </c>
      <c r="L326" s="1546" t="s">
        <v>1015</v>
      </c>
      <c r="M326" s="1547" t="s">
        <v>387</v>
      </c>
      <c r="N326" s="1547" t="s">
        <v>1015</v>
      </c>
      <c r="O326" s="1548" t="s">
        <v>387</v>
      </c>
      <c r="P326" s="1548" t="s">
        <v>1015</v>
      </c>
      <c r="Q326" s="1554" t="s">
        <v>1017</v>
      </c>
      <c r="R326" s="1555" t="s">
        <v>1017</v>
      </c>
      <c r="S326" s="1554" t="s">
        <v>1018</v>
      </c>
      <c r="T326" s="1556" t="s">
        <v>1018</v>
      </c>
      <c r="U326" s="1546" t="s">
        <v>117</v>
      </c>
      <c r="V326" s="1547" t="s">
        <v>117</v>
      </c>
      <c r="W326" s="1548" t="s">
        <v>117</v>
      </c>
      <c r="X326" s="1546" t="s">
        <v>117</v>
      </c>
      <c r="Y326" s="1551" t="s">
        <v>117</v>
      </c>
      <c r="Z326" s="1548" t="s">
        <v>117</v>
      </c>
      <c r="AA326" s="1546" t="s">
        <v>117</v>
      </c>
      <c r="AB326" s="1547" t="s">
        <v>117</v>
      </c>
      <c r="AC326" s="1548" t="s">
        <v>117</v>
      </c>
      <c r="AD326" s="1557" t="s">
        <v>1251</v>
      </c>
      <c r="AE326" s="1557" t="s">
        <v>1252</v>
      </c>
      <c r="AF326" s="1557" t="s">
        <v>819</v>
      </c>
      <c r="AG326" s="1558" t="s">
        <v>1251</v>
      </c>
      <c r="AH326" s="1558" t="s">
        <v>1252</v>
      </c>
      <c r="AI326" s="1558" t="s">
        <v>819</v>
      </c>
    </row>
    <row r="327" spans="2:71" x14ac:dyDescent="0.15">
      <c r="B327" s="973" t="str">
        <f>'6.Inland wetlands'!C118</f>
        <v>Please select</v>
      </c>
      <c r="C327" s="1235">
        <f>IF($B327= "Please select", 0, IF($B327="Mangrove Forest",VLOOKUP(clim_moist,IPCC!$A$1502:$G$1510,4,FALSE),INDEX(IPCC!$B$591:$AK$606,MATCH(continent_selected,IPCC!$A$591:$A$606,0),MATCH($B327,IPCC!$B$590:$AK$590,0))*0.47))</f>
        <v>0</v>
      </c>
      <c r="D327" s="1172">
        <f>IF('6.Inland wetlands'!$BD118="",'6.Inland wetlands'!$BC118,'6.Inland wetlands'!$BD118)</f>
        <v>0</v>
      </c>
      <c r="E327" s="1235">
        <f>IF($B327 = "Please select", 0, IF($B327="Mangrove Forest",VLOOKUP(clim_moist,IPCC!$A$1502:$G$1510,7,FALSE),IF(OR($D327/0.47&lt;=125,$D327/0.47&lt;=75),INDEX(IPCC!$B$618:$AI$633,MATCH(continent_selected,IPCC!$A$618:$A$633,0),MATCH($B327,IPCC!$B$616:$AI$616,0)),(IF(OR($D327/0.47&gt;125,$D327/0.47&gt;75),INDEX(IPCC!$AJ$618:$BS$633,MATCH(continent_selected,IPCC!$A$618:$A$633,0),MATCH($B327,IPCC!$AJ$616:$BS$616,0)),"")))*$D327))</f>
        <v>0</v>
      </c>
      <c r="F327" s="1187">
        <f>IF('6.Inland wetlands'!$BF118="",'6.Inland wetlands'!$BE118,'6.Inland wetlands'!$BF118)</f>
        <v>0</v>
      </c>
      <c r="G327" s="1235">
        <f>IF($B327= "Please select", 0, IF($B327= "Mangrove Forest", VLOOKUP(clim_moist, IPCC!$A$1502:$J$1511, 8, FALSE),   VLOOKUP($B327, IPCC!$A$643:$B$677, 2, FALSE)))</f>
        <v>0</v>
      </c>
      <c r="H327" s="1187">
        <f>IF('6.Inland wetlands'!$BH118="",'6.Inland wetlands'!$BG118,'6.Inland wetlands'!$BH118)</f>
        <v>0</v>
      </c>
      <c r="I327" s="1235">
        <f>IF($B327= "Please select", 0, IF($B327= "Mangrove Forest", VLOOKUP(clim_moist, IPCC!$A$1502:$J$1511, 9, FALSE),  VLOOKUP($B327, IPCC!$A$643:$C$677, 3, FALSE)))</f>
        <v>0</v>
      </c>
      <c r="J327" s="1172">
        <f>IF('6.Inland wetlands'!$BJ118="",'6.Inland wetlands'!$BI118,'6.Inland wetlands'!$BJ118)</f>
        <v>0</v>
      </c>
      <c r="K327" s="992" t="str">
        <f>'6.Inland wetlands'!$G118</f>
        <v>Please select</v>
      </c>
      <c r="L327" s="1071" t="str">
        <f>IF('6.Inland wetlands'!$AW118="",'6.Inland wetlands'!$AV118,'6.Inland wetlands'!$AW118)</f>
        <v>?</v>
      </c>
      <c r="M327" s="1688" t="str">
        <f>'6.Inland wetlands'!$I118</f>
        <v>Please select</v>
      </c>
      <c r="N327" s="1071" t="str">
        <f>IF('6.Inland wetlands'!$AY118="",'6.Inland wetlands'!$AX118,'6.Inland wetlands'!$AY118)</f>
        <v>?</v>
      </c>
      <c r="O327" s="1688" t="str">
        <f>'6.Inland wetlands'!$K118</f>
        <v>Please select</v>
      </c>
      <c r="P327" s="1071" t="str">
        <f>IF('6.Inland wetlands'!$BA118="",'6.Inland wetlands'!$AZ118,'6.Inland wetlands'!$BA118)</f>
        <v>?</v>
      </c>
      <c r="Q327" s="1688">
        <f>'6.Inland wetlands'!$BN118</f>
        <v>1</v>
      </c>
      <c r="R327" s="1688">
        <f>'6.Inland wetlands'!$BQ118</f>
        <v>1</v>
      </c>
      <c r="S327" s="1241">
        <f>'6.Inland wetlands'!$BO118</f>
        <v>1</v>
      </c>
      <c r="T327" s="1241">
        <f>'6.Inland wetlands'!$BR118</f>
        <v>1</v>
      </c>
      <c r="U327" s="1559">
        <f t="shared" ref="U327:U332" si="148">IFERROR(IF($B327 = "Please select", 0, SUM($D327,$F327)*(1-$L327)),0)</f>
        <v>0</v>
      </c>
      <c r="V327" s="1560">
        <f t="shared" ref="V327:V332" si="149">IFERROR(IF($B327 = "Please select",0,SUM($D327,$F327)*(1-$N327)),0)</f>
        <v>0</v>
      </c>
      <c r="W327" s="1561">
        <f t="shared" ref="W327:W332" si="150">IFERROR(IF($B327 = "Please select",0,SUM($D327,$F327)*(1-$P327)),0)</f>
        <v>0</v>
      </c>
      <c r="X327" s="1144">
        <f t="shared" ref="X327:X332" si="151">IFERROR(IF($B327="Please select",0,SUM($H327,$J327)*(1-$L327)),0)</f>
        <v>0</v>
      </c>
      <c r="Y327" s="1145">
        <f t="shared" ref="Y327:Y332" si="152">IFERROR(IF($B327="Please select",0,SUM($H327,$J327)*(1-$N327)),0)</f>
        <v>0</v>
      </c>
      <c r="Z327" s="1562">
        <f t="shared" ref="Z327:Z332" si="153">IFERROR(IF($B327="Please select",0,SUM($H327,$J327)*(1-$P327)),0)</f>
        <v>0</v>
      </c>
      <c r="AA327" s="1563">
        <f>U327+X327</f>
        <v>0</v>
      </c>
      <c r="AB327" s="1544">
        <f>V327+Y327</f>
        <v>0</v>
      </c>
      <c r="AC327" s="1564">
        <f t="shared" ref="AA327:AC332" si="154">W327+Z327</f>
        <v>0</v>
      </c>
      <c r="AD327" s="1564">
        <f>IF($B327 = "Please select",0,IF($Q327&gt;time_tot,0,1)*2*IF(OR('6.Inland wetlands'!$T118=list!$E$211,'6.Inland wetlands'!$T118=list!$E$213),(MIN($AB327,$AA327)*time_tot+ABS($AB327-$AA327)*IF($AB327&gt;$AA327,time_cap+time*VLOOKUP($N339,list!$J$48:$K$50,2,FALSE),time*(1-VLOOKUP($N339,list!$J$48:$K$50,2,FALSE)))),0)*VLOOKUP($B327,IPCC!$A$871:$E$906,2,FALSE)*VLOOKUP($B327,IPCC!$A$871:$E$906,4,FALSE)*$S327*(1/$Q327))</f>
        <v>0</v>
      </c>
      <c r="AE327" s="1564">
        <f>IF($B327 = "Please select",0,IF($Q327&gt;time_tot,0,1)*2*IF(OR('6.Inland wetlands'!$T118=list!$E$211,'6.Inland wetlands'!$T118=list!$E$213),(MIN($AB327,$AA327)*time_tot+ABS($AB327-$AA327)*IF($AB327&gt;$AA327,time_cap+time*VLOOKUP($N339,list!$J$48:$K$50,2,FALSE),time*(1-VLOOKUP($N339,list!$J$48:$K$50,2,FALSE)))),0)*VLOOKUP($B327,IPCC!$A$871:$E$906,2,FALSE)*VLOOKUP($B327,IPCC!$A$871:$E$906,5,FALSE)*$S327*(1/$Q327))</f>
        <v>0</v>
      </c>
      <c r="AF327" s="1565">
        <f t="shared" ref="AF327:AF332" si="155">(AD327*methane+AE327*Nitrous)/1000</f>
        <v>0</v>
      </c>
      <c r="AG327" s="1566">
        <f>IF($B327 = "Please select",0,IF($R327&gt;time_tot,0,1)*2*IF(OR('6.Inland wetlands'!$T118=list!$E$212,'6.Inland wetlands'!$T118=list!$E$213),(MIN($AC327,$AA327)*time_tot+ABS($AC327-$AA327)*IF($AC327&gt;$AA327,time_cap+time*VLOOKUP($P339,list!$J$48:$K$50,2,FALSE),time*(1-VLOOKUP($P339,list!$J$48:$K$50,2,FALSE)))),0)*VLOOKUP($B327,IPCC!$A$871:$E$906,2,FALSE)*VLOOKUP($B327,IPCC!$A$871:$E$906,4,FALSE)*$T327*(1/$R327))</f>
        <v>0</v>
      </c>
      <c r="AH327" s="1565">
        <f>IF($B327 = "Please select",0,IF($R327&gt;time_tot,0,1)*2*IF(OR('6.Inland wetlands'!$T118=list!$E$212,'6.Inland wetlands'!$T118=list!$E$213),(MIN($AC327,$AA327)*time_tot+ABS($AC327-$AA327)*IF($AC327&gt;$AA327,time_cap+time*VLOOKUP($P339,list!$J$48:$K$50,2,FALSE),time*(1-VLOOKUP($P339,list!$J$48:$K$50,2,FALSE)))),0)*VLOOKUP($B327,IPCC!$A$871:$E$906,2,FALSE)*VLOOKUP($B327,IPCC!$A$871:$E$906,5,FALSE)*$T327*(1/$R327))</f>
        <v>0</v>
      </c>
      <c r="AI327" s="1567">
        <f t="shared" ref="AI327:AI332" si="156">(AG327*methane+AH327*Nitrous)/1000</f>
        <v>0</v>
      </c>
    </row>
    <row r="328" spans="2:71" x14ac:dyDescent="0.15">
      <c r="B328" s="973" t="str">
        <f>'6.Inland wetlands'!C119</f>
        <v>Please select</v>
      </c>
      <c r="C328" s="1235">
        <f>IF($B328= "Please select", 0, IF($B328="Mangrove Forest",VLOOKUP(clim_moist,IPCC!$A$1502:$G$1510,4,FALSE),INDEX(IPCC!$B$591:$AK$606,MATCH(continent_selected,IPCC!$A$591:$A$606,0),MATCH($B328,IPCC!$B$590:$AK$590,0))*0.47))</f>
        <v>0</v>
      </c>
      <c r="D328" s="1172">
        <f>IF('6.Inland wetlands'!$BD119="",'6.Inland wetlands'!$BC119,'6.Inland wetlands'!$BD119)</f>
        <v>0</v>
      </c>
      <c r="E328" s="1235">
        <f>IF($B328 = "Please select", 0, IF($B328="Mangrove Forest",VLOOKUP(clim_moist,IPCC!$A$1502:$G$1510,7,FALSE),IF(OR($D328/0.47&lt;=125,$D328/0.47&lt;=75),INDEX(IPCC!$B$618:$AI$633,MATCH(continent_selected,IPCC!$A$618:$A$633,0),MATCH($B328,IPCC!$B$616:$AI$616,0)),(IF(OR($D328/0.47&gt;125,$D328/0.47&gt;75),INDEX(IPCC!$AJ$618:$BS$633,MATCH(continent_selected,IPCC!$A$618:$A$633,0),MATCH($B328,IPCC!$AJ$616:$BS$616,0)),"")))*$D328))</f>
        <v>0</v>
      </c>
      <c r="F328" s="1187">
        <f>IF('6.Inland wetlands'!$BF119="",'6.Inland wetlands'!$BE119,'6.Inland wetlands'!$BF119)</f>
        <v>0</v>
      </c>
      <c r="G328" s="1235">
        <f>IF($B328= "Please select", 0, IF($B328= "Mangrove Forest", VLOOKUP(clim_moist, IPCC!$A$1502:$J$1511, 8, FALSE),   VLOOKUP($B328, IPCC!$A$643:$B$677, 2, FALSE)))</f>
        <v>0</v>
      </c>
      <c r="H328" s="1187">
        <f>IF('6.Inland wetlands'!$BH119="",'6.Inland wetlands'!$BG119,'6.Inland wetlands'!$BH119)</f>
        <v>0</v>
      </c>
      <c r="I328" s="1235">
        <f>IF($B328= "Please select", 0, IF($B328= "Mangrove Forest", VLOOKUP(clim_moist, IPCC!$A$1502:$J$1511, 9, FALSE),  VLOOKUP($B328, IPCC!$A$643:$C$677, 3, FALSE)))</f>
        <v>0</v>
      </c>
      <c r="J328" s="1172">
        <f>IF('6.Inland wetlands'!$BJ119="",'6.Inland wetlands'!$BI119,'6.Inland wetlands'!$BJ119)</f>
        <v>0</v>
      </c>
      <c r="K328" s="992" t="str">
        <f>'6.Inland wetlands'!$G119</f>
        <v>Please select</v>
      </c>
      <c r="L328" s="1071" t="str">
        <f>IF('6.Inland wetlands'!$AW119="",'6.Inland wetlands'!$AV119,'6.Inland wetlands'!$AW119)</f>
        <v>?</v>
      </c>
      <c r="M328" s="1688" t="str">
        <f>'6.Inland wetlands'!$I119</f>
        <v>Please select</v>
      </c>
      <c r="N328" s="1071" t="str">
        <f>IF('6.Inland wetlands'!$AY119="",'6.Inland wetlands'!$AX119,'6.Inland wetlands'!$AY119)</f>
        <v>?</v>
      </c>
      <c r="O328" s="1688" t="str">
        <f>'6.Inland wetlands'!$K119</f>
        <v>Please select</v>
      </c>
      <c r="P328" s="1071" t="str">
        <f>IF('6.Inland wetlands'!$BA119="",'6.Inland wetlands'!$AZ119,'6.Inland wetlands'!$BA119)</f>
        <v>?</v>
      </c>
      <c r="Q328" s="1688">
        <f>'6.Inland wetlands'!$BN119</f>
        <v>1</v>
      </c>
      <c r="R328" s="1688">
        <f>'6.Inland wetlands'!$BQ119</f>
        <v>1</v>
      </c>
      <c r="S328" s="1241">
        <f>'6.Inland wetlands'!$BO119</f>
        <v>1</v>
      </c>
      <c r="T328" s="1241">
        <f>'6.Inland wetlands'!$BR119</f>
        <v>1</v>
      </c>
      <c r="U328" s="1559">
        <f t="shared" si="148"/>
        <v>0</v>
      </c>
      <c r="V328" s="1560">
        <f t="shared" si="149"/>
        <v>0</v>
      </c>
      <c r="W328" s="1561">
        <f t="shared" si="150"/>
        <v>0</v>
      </c>
      <c r="X328" s="1144">
        <f t="shared" si="151"/>
        <v>0</v>
      </c>
      <c r="Y328" s="1145">
        <f t="shared" si="152"/>
        <v>0</v>
      </c>
      <c r="Z328" s="1562">
        <f t="shared" si="153"/>
        <v>0</v>
      </c>
      <c r="AA328" s="1568">
        <f>U328+X328</f>
        <v>0</v>
      </c>
      <c r="AB328" s="1565">
        <f t="shared" si="154"/>
        <v>0</v>
      </c>
      <c r="AC328" s="1566">
        <f t="shared" si="154"/>
        <v>0</v>
      </c>
      <c r="AD328" s="1564">
        <f>IF($B328 = "Please select",0,IF($Q328&gt;time_tot,0,1)*2*IF(OR('6.Inland wetlands'!$T119=list!$E$211,'6.Inland wetlands'!$T119=list!$E$213),(MIN($AB328,$AA328)*time_tot+ABS($AB328-$AA328)*IF($AB328&gt;$AA328,time_cap+time*VLOOKUP($N340,list!$J$48:$K$50,2,FALSE),time*(1-VLOOKUP($N340,list!$J$48:$K$50,2,FALSE)))),0)*VLOOKUP($B328,IPCC!$A$871:$E$906,2,FALSE)*VLOOKUP($B328,IPCC!$A$871:$E$906,4,FALSE)*$S328*(1/$Q328))</f>
        <v>0</v>
      </c>
      <c r="AE328" s="1564">
        <f>IF($B328 = "Please select",0,IF($Q328&gt;time_tot,0,1)*2*IF(OR('6.Inland wetlands'!$T119=list!$E$211,'6.Inland wetlands'!$T119=list!$E$213),(MIN($AB328,$AA328)*time_tot+ABS($AB328-$AA328)*IF($AB328&gt;$AA328,time_cap+time*VLOOKUP($N340,list!$J$48:$K$50,2,FALSE),time*(1-VLOOKUP($N340,list!$J$48:$K$50,2,FALSE)))),0)*VLOOKUP($B328,IPCC!$A$871:$E$906,2,FALSE)*VLOOKUP($B328,IPCC!$A$871:$E$906,5,FALSE)*$S328*(1/$Q328))</f>
        <v>0</v>
      </c>
      <c r="AF328" s="1565">
        <f t="shared" si="155"/>
        <v>0</v>
      </c>
      <c r="AG328" s="1566">
        <f>IF($B328 = "Please select",0,IF($R328&gt;time_tot,0,1)*2*IF(OR('6.Inland wetlands'!$T119=list!$E$212,'6.Inland wetlands'!$T119=list!$E$213),(MIN($AC328,$AA328)*time_tot+ABS($AC328-$AA328)*IF($AC328&gt;$AA328,time_cap+time*VLOOKUP($P340,list!$J$48:$K$50,2,FALSE),time*(1-VLOOKUP($P340,list!$J$48:$K$50,2,FALSE)))),0)*VLOOKUP($B328,IPCC!$A$871:$E$906,2,FALSE)*VLOOKUP($B328,IPCC!$A$871:$E$906,4,FALSE)*$T328*(1/$R328))</f>
        <v>0</v>
      </c>
      <c r="AH328" s="1565">
        <f>IF($B328 = "Please select",0,IF($R328&gt;time_tot,0,1)*2*IF(OR('6.Inland wetlands'!$T119=list!$E$212,'6.Inland wetlands'!$T119=list!$E$213),(MIN($AC328,$AA328)*time_tot+ABS($AC328-$AA328)*IF($AC328&gt;$AA328,time_cap+time*VLOOKUP($P340,list!$J$48:$K$50,2,FALSE),time*(1-VLOOKUP($P340,list!$J$48:$K$50,2,FALSE)))),0)*VLOOKUP($B328,IPCC!$A$871:$E$906,2,FALSE)*VLOOKUP($B328,IPCC!$A$871:$E$906,5,FALSE)*$T328*(1/$R328))</f>
        <v>0</v>
      </c>
      <c r="AI328" s="1567">
        <f t="shared" si="156"/>
        <v>0</v>
      </c>
    </row>
    <row r="329" spans="2:71" x14ac:dyDescent="0.15">
      <c r="B329" s="973" t="str">
        <f>'6.Inland wetlands'!C120</f>
        <v>Please select</v>
      </c>
      <c r="C329" s="1235">
        <f>IF($B329= "Please select", 0, IF($B329="Mangrove Forest",VLOOKUP(clim_moist,IPCC!$A$1502:$G$1510,4,FALSE),INDEX(IPCC!$B$591:$AK$606,MATCH(continent_selected,IPCC!$A$591:$A$606,0),MATCH($B329,IPCC!$B$590:$AK$590,0))*0.47))</f>
        <v>0</v>
      </c>
      <c r="D329" s="1172">
        <f>IF('6.Inland wetlands'!$BD120="",'6.Inland wetlands'!$BC120,'6.Inland wetlands'!$BD120)</f>
        <v>0</v>
      </c>
      <c r="E329" s="1235">
        <f>IF($B329 = "Please select", 0, IF($B329="Mangrove Forest",VLOOKUP(clim_moist,IPCC!$A$1502:$G$1510,7,FALSE),IF(OR($D329/0.47&lt;=125,$D329/0.47&lt;=75),INDEX(IPCC!$B$618:$AI$633,MATCH(continent_selected,IPCC!$A$618:$A$633,0),MATCH($B329,IPCC!$B$616:$AI$616,0)),(IF(OR($D329/0.47&gt;125,$D329/0.47&gt;75),INDEX(IPCC!$AJ$618:$BS$633,MATCH(continent_selected,IPCC!$A$618:$A$633,0),MATCH($B329,IPCC!$AJ$616:$BS$616,0)),"")))*$D329))</f>
        <v>0</v>
      </c>
      <c r="F329" s="1187">
        <f>IF('6.Inland wetlands'!$BF120="",'6.Inland wetlands'!$BE120,'6.Inland wetlands'!$BF120)</f>
        <v>0</v>
      </c>
      <c r="G329" s="1235">
        <f>IF($B329= "Please select", 0, IF($B329= "Mangrove Forest", VLOOKUP(clim_moist, IPCC!$A$1502:$J$1511, 8, FALSE),   VLOOKUP($B329, IPCC!$A$643:$B$677, 2, FALSE)))</f>
        <v>0</v>
      </c>
      <c r="H329" s="1187">
        <f>IF('6.Inland wetlands'!$BH120="",'6.Inland wetlands'!$BG120,'6.Inland wetlands'!$BH120)</f>
        <v>0</v>
      </c>
      <c r="I329" s="1235">
        <f>IF($B329= "Please select", 0, IF($B329= "Mangrove Forest", VLOOKUP(clim_moist, IPCC!$A$1502:$J$1511, 9, FALSE),  VLOOKUP($B329, IPCC!$A$643:$C$677, 3, FALSE)))</f>
        <v>0</v>
      </c>
      <c r="J329" s="1172">
        <f>IF('6.Inland wetlands'!$BJ120="",'6.Inland wetlands'!$BI120,'6.Inland wetlands'!$BJ120)</f>
        <v>0</v>
      </c>
      <c r="K329" s="992" t="str">
        <f>'6.Inland wetlands'!$G120</f>
        <v>Please select</v>
      </c>
      <c r="L329" s="1071" t="str">
        <f>IF('6.Inland wetlands'!$AW120="",'6.Inland wetlands'!$AV120,'6.Inland wetlands'!$AW120)</f>
        <v>?</v>
      </c>
      <c r="M329" s="1688" t="str">
        <f>'6.Inland wetlands'!$I120</f>
        <v>Please select</v>
      </c>
      <c r="N329" s="1071" t="str">
        <f>IF('6.Inland wetlands'!$AY120="",'6.Inland wetlands'!$AX120,'6.Inland wetlands'!$AY120)</f>
        <v>?</v>
      </c>
      <c r="O329" s="1688" t="str">
        <f>'6.Inland wetlands'!$K120</f>
        <v>Please select</v>
      </c>
      <c r="P329" s="1071" t="str">
        <f>IF('6.Inland wetlands'!$BA120="",'6.Inland wetlands'!$AZ120,'6.Inland wetlands'!$BA120)</f>
        <v>?</v>
      </c>
      <c r="Q329" s="1688">
        <f>'6.Inland wetlands'!$BN120</f>
        <v>1</v>
      </c>
      <c r="R329" s="1688">
        <f>'6.Inland wetlands'!$BQ120</f>
        <v>1</v>
      </c>
      <c r="S329" s="1241">
        <f>'6.Inland wetlands'!$BO120</f>
        <v>1</v>
      </c>
      <c r="T329" s="1241">
        <f>'6.Inland wetlands'!$BR120</f>
        <v>1</v>
      </c>
      <c r="U329" s="1559">
        <f t="shared" si="148"/>
        <v>0</v>
      </c>
      <c r="V329" s="1560">
        <f t="shared" si="149"/>
        <v>0</v>
      </c>
      <c r="W329" s="1561">
        <f t="shared" si="150"/>
        <v>0</v>
      </c>
      <c r="X329" s="1144">
        <f t="shared" si="151"/>
        <v>0</v>
      </c>
      <c r="Y329" s="1145">
        <f t="shared" si="152"/>
        <v>0</v>
      </c>
      <c r="Z329" s="1562">
        <f t="shared" si="153"/>
        <v>0</v>
      </c>
      <c r="AA329" s="1568">
        <f t="shared" si="154"/>
        <v>0</v>
      </c>
      <c r="AB329" s="1565">
        <f t="shared" si="154"/>
        <v>0</v>
      </c>
      <c r="AC329" s="1566">
        <f t="shared" si="154"/>
        <v>0</v>
      </c>
      <c r="AD329" s="1564">
        <f>IF($B329 = "Please select",0,IF($Q329&gt;time_tot,0,1)*2*IF(OR('6.Inland wetlands'!$T120=list!$E$211,'6.Inland wetlands'!$T120=list!$E$213),(MIN($AB329,$AA329)*time_tot+ABS($AB329-$AA329)*IF($AB329&gt;$AA329,time_cap+time*VLOOKUP($N341,list!$J$48:$K$50,2,FALSE),time*(1-VLOOKUP($N341,list!$J$48:$K$50,2,FALSE)))),0)*VLOOKUP($B329,IPCC!$A$871:$E$906,2,FALSE)*VLOOKUP($B329,IPCC!$A$871:$E$906,4,FALSE)*$S329*(1/$Q329))</f>
        <v>0</v>
      </c>
      <c r="AE329" s="1564">
        <f>IF($B329 = "Please select",0,IF($Q329&gt;time_tot,0,1)*2*IF(OR('6.Inland wetlands'!$T120=list!$E$211,'6.Inland wetlands'!$T120=list!$E$213),(MIN($AB329,$AA329)*time_tot+ABS($AB329-$AA329)*IF($AB329&gt;$AA329,time_cap+time*VLOOKUP($N341,list!$J$48:$K$50,2,FALSE),time*(1-VLOOKUP($N341,list!$J$48:$K$50,2,FALSE)))),0)*VLOOKUP($B329,IPCC!$A$871:$E$906,2,FALSE)*VLOOKUP($B329,IPCC!$A$871:$E$906,5,FALSE)*$S329*(1/$Q329))</f>
        <v>0</v>
      </c>
      <c r="AF329" s="1565">
        <f t="shared" si="155"/>
        <v>0</v>
      </c>
      <c r="AG329" s="1566">
        <f>IF($B329 = "Please select",0,IF($R329&gt;time_tot,0,1)*2*IF(OR('6.Inland wetlands'!$T120=list!$E$212,'6.Inland wetlands'!$T120=list!$E$213),(MIN($AC329,$AA329)*time_tot+ABS($AC329-$AA329)*IF($AC329&gt;$AA329,time_cap+time*VLOOKUP($P341,list!$J$48:$K$50,2,FALSE),time*(1-VLOOKUP($P341,list!$J$48:$K$50,2,FALSE)))),0)*VLOOKUP($B329,IPCC!$A$871:$E$906,2,FALSE)*VLOOKUP($B329,IPCC!$A$871:$E$906,4,FALSE)*$T329*(1/$R329))</f>
        <v>0</v>
      </c>
      <c r="AH329" s="1565">
        <f>IF($B329 = "Please select",0,IF($R329&gt;time_tot,0,1)*2*IF(OR('6.Inland wetlands'!$T120=list!$E$212,'6.Inland wetlands'!$T120=list!$E$213),(MIN($AC329,$AA329)*time_tot+ABS($AC329-$AA329)*IF($AC329&gt;$AA329,time_cap+time*VLOOKUP($P341,list!$J$48:$K$50,2,FALSE),time*(1-VLOOKUP($P341,list!$J$48:$K$50,2,FALSE)))),0)*VLOOKUP($B329,IPCC!$A$871:$E$906,2,FALSE)*VLOOKUP($B329,IPCC!$A$871:$E$906,5,FALSE)*$T329*(1/$R329))</f>
        <v>0</v>
      </c>
      <c r="AI329" s="1567">
        <f t="shared" si="156"/>
        <v>0</v>
      </c>
    </row>
    <row r="330" spans="2:71" x14ac:dyDescent="0.15">
      <c r="B330" s="973" t="str">
        <f>'6.Inland wetlands'!C121</f>
        <v>Please select</v>
      </c>
      <c r="C330" s="1235">
        <f>IF($B330= "Please select", 0, IF($B330="Mangrove Forest",VLOOKUP(clim_moist,IPCC!$A$1502:$G$1510,4,FALSE),INDEX(IPCC!$B$591:$AK$606,MATCH(continent_selected,IPCC!$A$591:$A$606,0),MATCH($B330,IPCC!$B$590:$AK$590,0))*0.47))</f>
        <v>0</v>
      </c>
      <c r="D330" s="1172">
        <f>IF('6.Inland wetlands'!$BD121="",'6.Inland wetlands'!$BC121,'6.Inland wetlands'!$BD121)</f>
        <v>0</v>
      </c>
      <c r="E330" s="1235">
        <f>IF($B330 = "Please select", 0, IF($B330="Mangrove Forest",VLOOKUP(clim_moist,IPCC!$A$1502:$G$1510,7,FALSE),IF(OR($D330/0.47&lt;=125,$D330/0.47&lt;=75),INDEX(IPCC!$B$618:$AI$633,MATCH(continent_selected,IPCC!$A$618:$A$633,0),MATCH($B330,IPCC!$B$616:$AI$616,0)),(IF(OR($D330/0.47&gt;125,$D330/0.47&gt;75),INDEX(IPCC!$AJ$618:$BS$633,MATCH(continent_selected,IPCC!$A$618:$A$633,0),MATCH($B330,IPCC!$AJ$616:$BS$616,0)),"")))*$D330))</f>
        <v>0</v>
      </c>
      <c r="F330" s="1187">
        <f>IF('6.Inland wetlands'!$BF121="",'6.Inland wetlands'!$BE121,'6.Inland wetlands'!$BF121)</f>
        <v>0</v>
      </c>
      <c r="G330" s="1235">
        <f>IF($B330= "Please select", 0, IF($B330= "Mangrove Forest", VLOOKUP(clim_moist, IPCC!$A$1502:$J$1511, 8, FALSE),   VLOOKUP($B330, IPCC!$A$643:$B$677, 2, FALSE)))</f>
        <v>0</v>
      </c>
      <c r="H330" s="1187">
        <f>IF('6.Inland wetlands'!$BH121="",'6.Inland wetlands'!$BG121,'6.Inland wetlands'!$BH121)</f>
        <v>0</v>
      </c>
      <c r="I330" s="1235">
        <f>IF($B330= "Please select", 0, IF($B330= "Mangrove Forest", VLOOKUP(clim_moist, IPCC!$A$1502:$J$1511, 9, FALSE),  VLOOKUP($B330, IPCC!$A$643:$C$677, 3, FALSE)))</f>
        <v>0</v>
      </c>
      <c r="J330" s="1172">
        <f>IF('6.Inland wetlands'!$BJ121="",'6.Inland wetlands'!$BI121,'6.Inland wetlands'!$BJ121)</f>
        <v>0</v>
      </c>
      <c r="K330" s="992" t="str">
        <f>'6.Inland wetlands'!$G121</f>
        <v>Please select</v>
      </c>
      <c r="L330" s="1071" t="str">
        <f>IF('6.Inland wetlands'!$AW121="",'6.Inland wetlands'!$AV121,'6.Inland wetlands'!$AW121)</f>
        <v>?</v>
      </c>
      <c r="M330" s="1688" t="str">
        <f>'6.Inland wetlands'!$I121</f>
        <v>Please select</v>
      </c>
      <c r="N330" s="1071" t="str">
        <f>IF('6.Inland wetlands'!$AY121="",'6.Inland wetlands'!$AX121,'6.Inland wetlands'!$AY121)</f>
        <v>?</v>
      </c>
      <c r="O330" s="1688" t="str">
        <f>'6.Inland wetlands'!$K121</f>
        <v>Please select</v>
      </c>
      <c r="P330" s="1071" t="str">
        <f>IF('6.Inland wetlands'!$BA121="",'6.Inland wetlands'!$AZ121,'6.Inland wetlands'!$BA121)</f>
        <v>?</v>
      </c>
      <c r="Q330" s="1688">
        <f>'6.Inland wetlands'!$BN121</f>
        <v>1</v>
      </c>
      <c r="R330" s="1688">
        <f>'6.Inland wetlands'!$BQ121</f>
        <v>1</v>
      </c>
      <c r="S330" s="1241">
        <f>'6.Inland wetlands'!$BO121</f>
        <v>1</v>
      </c>
      <c r="T330" s="1241">
        <f>'6.Inland wetlands'!$BR121</f>
        <v>1</v>
      </c>
      <c r="U330" s="1559">
        <f t="shared" si="148"/>
        <v>0</v>
      </c>
      <c r="V330" s="1560">
        <f t="shared" si="149"/>
        <v>0</v>
      </c>
      <c r="W330" s="1561">
        <f t="shared" si="150"/>
        <v>0</v>
      </c>
      <c r="X330" s="1144">
        <f t="shared" si="151"/>
        <v>0</v>
      </c>
      <c r="Y330" s="1145">
        <f t="shared" si="152"/>
        <v>0</v>
      </c>
      <c r="Z330" s="1562">
        <f t="shared" si="153"/>
        <v>0</v>
      </c>
      <c r="AA330" s="1568">
        <f t="shared" si="154"/>
        <v>0</v>
      </c>
      <c r="AB330" s="1565">
        <f t="shared" si="154"/>
        <v>0</v>
      </c>
      <c r="AC330" s="1566">
        <f t="shared" si="154"/>
        <v>0</v>
      </c>
      <c r="AD330" s="1564">
        <f>IF($B330 = "Please select",0,IF($Q330&gt;time_tot,0,1)*2*IF(OR('6.Inland wetlands'!$T121=list!$E$211,'6.Inland wetlands'!$T121=list!$E$213),(MIN($AB330,$AA330)*time_tot+ABS($AB330-$AA330)*IF($AB330&gt;$AA330,time_cap+time*VLOOKUP($N342,list!$J$48:$K$50,2,FALSE),time*(1-VLOOKUP($N342,list!$J$48:$K$50,2,FALSE)))),0)*VLOOKUP($B330,IPCC!$A$871:$E$906,2,FALSE)*VLOOKUP($B330,IPCC!$A$871:$E$906,4,FALSE)*$S330*(1/$Q330))</f>
        <v>0</v>
      </c>
      <c r="AE330" s="1564">
        <f>IF($B330 = "Please select",0,IF($Q330&gt;time_tot,0,1)*2*IF(OR('6.Inland wetlands'!$T121=list!$E$211,'6.Inland wetlands'!$T121=list!$E$213),(MIN($AB330,$AA330)*time_tot+ABS($AB330-$AA330)*IF($AB330&gt;$AA330,time_cap+time*VLOOKUP($N342,list!$J$48:$K$50,2,FALSE),time*(1-VLOOKUP($N342,list!$J$48:$K$50,2,FALSE)))),0)*VLOOKUP($B330,IPCC!$A$871:$E$906,2,FALSE)*VLOOKUP($B330,IPCC!$A$871:$E$906,5,FALSE)*$S330*(1/$Q330))</f>
        <v>0</v>
      </c>
      <c r="AF330" s="1565">
        <f t="shared" si="155"/>
        <v>0</v>
      </c>
      <c r="AG330" s="1566">
        <f>IF($B330 = "Please select",0,IF($R330&gt;time_tot,0,1)*2*IF(OR('6.Inland wetlands'!$T121=list!$E$212,'6.Inland wetlands'!$T121=list!$E$213),(MIN($AC330,$AA330)*time_tot+ABS($AC330-$AA330)*IF($AC330&gt;$AA330,time_cap+time*VLOOKUP($P342,list!$J$48:$K$50,2,FALSE),time*(1-VLOOKUP($P342,list!$J$48:$K$50,2,FALSE)))),0)*VLOOKUP($B330,IPCC!$A$871:$E$906,2,FALSE)*VLOOKUP($B330,IPCC!$A$871:$E$906,4,FALSE)*$T330*(1/$R330))</f>
        <v>0</v>
      </c>
      <c r="AH330" s="1565">
        <f>IF($B330 = "Please select",0,IF($R330&gt;time_tot,0,1)*2*IF(OR('6.Inland wetlands'!$T121=list!$E$212,'6.Inland wetlands'!$T121=list!$E$213),(MIN($AC330,$AA330)*time_tot+ABS($AC330-$AA330)*IF($AC330&gt;$AA330,time_cap+time*VLOOKUP($P342,list!$J$48:$K$50,2,FALSE),time*(1-VLOOKUP($P342,list!$J$48:$K$50,2,FALSE)))),0)*VLOOKUP($B330,IPCC!$A$871:$E$906,2,FALSE)*VLOOKUP($B330,IPCC!$A$871:$E$906,5,FALSE)*$T330*(1/$R330))</f>
        <v>0</v>
      </c>
      <c r="AI330" s="1567">
        <f t="shared" si="156"/>
        <v>0</v>
      </c>
    </row>
    <row r="331" spans="2:71" x14ac:dyDescent="0.15">
      <c r="B331" s="973" t="str">
        <f>'6.Inland wetlands'!C122</f>
        <v>Please select</v>
      </c>
      <c r="C331" s="1235">
        <f>IF($B331= "Please select", 0, IF($B331="Mangrove Forest",VLOOKUP(clim_moist,IPCC!$A$1502:$G$1510,4,FALSE),INDEX(IPCC!$B$591:$AK$606,MATCH(continent_selected,IPCC!$A$591:$A$606,0),MATCH($B331,IPCC!$B$590:$AK$590,0))*0.47))</f>
        <v>0</v>
      </c>
      <c r="D331" s="1172">
        <f>IF('6.Inland wetlands'!$BD122="",'6.Inland wetlands'!$BC122,'6.Inland wetlands'!$BD122)</f>
        <v>0</v>
      </c>
      <c r="E331" s="1235">
        <f>IF($B331 = "Please select", 0, IF($B331="Mangrove Forest",VLOOKUP(clim_moist,IPCC!$A$1502:$G$1510,7,FALSE),IF(OR($D331/0.47&lt;=125,$D331/0.47&lt;=75),INDEX(IPCC!$B$618:$AI$633,MATCH(continent_selected,IPCC!$A$618:$A$633,0),MATCH($B331,IPCC!$B$616:$AI$616,0)),(IF(OR($D331/0.47&gt;125,$D331/0.47&gt;75),INDEX(IPCC!$AJ$618:$BS$633,MATCH(continent_selected,IPCC!$A$618:$A$633,0),MATCH($B331,IPCC!$AJ$616:$BS$616,0)),"")))*$D331))</f>
        <v>0</v>
      </c>
      <c r="F331" s="1187">
        <f>IF('6.Inland wetlands'!$BF122="",'6.Inland wetlands'!$BE122,'6.Inland wetlands'!$BF122)</f>
        <v>0</v>
      </c>
      <c r="G331" s="1235">
        <f>IF($B331= "Please select", 0, IF($B331= "Mangrove Forest", VLOOKUP(clim_moist, IPCC!$A$1502:$J$1511, 8, FALSE),   VLOOKUP($B331, IPCC!$A$643:$B$677, 2, FALSE)))</f>
        <v>0</v>
      </c>
      <c r="H331" s="1187">
        <f>IF('6.Inland wetlands'!$BH122="",'6.Inland wetlands'!$BG122,'6.Inland wetlands'!$BH122)</f>
        <v>0</v>
      </c>
      <c r="I331" s="1235">
        <f>IF($B331= "Please select", 0, IF($B331= "Mangrove Forest", VLOOKUP(clim_moist, IPCC!$A$1502:$J$1511, 9, FALSE),  VLOOKUP($B331, IPCC!$A$643:$C$677, 3, FALSE)))</f>
        <v>0</v>
      </c>
      <c r="J331" s="1172">
        <f>IF('6.Inland wetlands'!$BJ122="",'6.Inland wetlands'!$BI122,'6.Inland wetlands'!$BJ122)</f>
        <v>0</v>
      </c>
      <c r="K331" s="992" t="str">
        <f>'6.Inland wetlands'!$G122</f>
        <v>Please select</v>
      </c>
      <c r="L331" s="1071" t="str">
        <f>IF('6.Inland wetlands'!$AW122="",'6.Inland wetlands'!$AV122,'6.Inland wetlands'!$AW122)</f>
        <v>?</v>
      </c>
      <c r="M331" s="1688" t="str">
        <f>'6.Inland wetlands'!$I122</f>
        <v>Please select</v>
      </c>
      <c r="N331" s="1071" t="str">
        <f>IF('6.Inland wetlands'!$AY122="",'6.Inland wetlands'!$AX122,'6.Inland wetlands'!$AY122)</f>
        <v>?</v>
      </c>
      <c r="O331" s="1688" t="str">
        <f>'6.Inland wetlands'!$K122</f>
        <v>Please select</v>
      </c>
      <c r="P331" s="1071" t="str">
        <f>IF('6.Inland wetlands'!$BA122="",'6.Inland wetlands'!$AZ122,'6.Inland wetlands'!$BA122)</f>
        <v>?</v>
      </c>
      <c r="Q331" s="1688">
        <f>'6.Inland wetlands'!$BN122</f>
        <v>1</v>
      </c>
      <c r="R331" s="1688">
        <f>'6.Inland wetlands'!$BQ122</f>
        <v>1</v>
      </c>
      <c r="S331" s="1241">
        <f>'6.Inland wetlands'!$BO122</f>
        <v>1</v>
      </c>
      <c r="T331" s="1241">
        <f>'6.Inland wetlands'!$BR122</f>
        <v>1</v>
      </c>
      <c r="U331" s="1559">
        <f t="shared" si="148"/>
        <v>0</v>
      </c>
      <c r="V331" s="1560">
        <f t="shared" si="149"/>
        <v>0</v>
      </c>
      <c r="W331" s="1561">
        <f t="shared" si="150"/>
        <v>0</v>
      </c>
      <c r="X331" s="1144">
        <f t="shared" si="151"/>
        <v>0</v>
      </c>
      <c r="Y331" s="1145">
        <f t="shared" si="152"/>
        <v>0</v>
      </c>
      <c r="Z331" s="1562">
        <f t="shared" si="153"/>
        <v>0</v>
      </c>
      <c r="AA331" s="1568">
        <f t="shared" si="154"/>
        <v>0</v>
      </c>
      <c r="AB331" s="1565">
        <f t="shared" si="154"/>
        <v>0</v>
      </c>
      <c r="AC331" s="1566">
        <f t="shared" si="154"/>
        <v>0</v>
      </c>
      <c r="AD331" s="1564">
        <f>IF($B331 = "Please select",0,IF($Q331&gt;time_tot,0,1)*2*IF(OR('6.Inland wetlands'!$T122=list!$E$211,'6.Inland wetlands'!$T122=list!$E$213),(MIN($AB331,$AA331)*time_tot+ABS($AB331-$AA331)*IF($AB331&gt;$AA331,time_cap+time*VLOOKUP($N343,list!$J$48:$K$50,2,FALSE),time*(1-VLOOKUP($N343,list!$J$48:$K$50,2,FALSE)))),0)*VLOOKUP($B331,IPCC!$A$871:$E$906,2,FALSE)*VLOOKUP($B331,IPCC!$A$871:$E$906,4,FALSE)*$S331*(1/$Q331))</f>
        <v>0</v>
      </c>
      <c r="AE331" s="1564">
        <f>IF($B331 = "Please select",0,IF($Q331&gt;time_tot,0,1)*2*IF(OR('6.Inland wetlands'!$T122=list!$E$211,'6.Inland wetlands'!$T122=list!$E$213),(MIN($AB331,$AA331)*time_tot+ABS($AB331-$AA331)*IF($AB331&gt;$AA331,time_cap+time*VLOOKUP($N343,list!$J$48:$K$50,2,FALSE),time*(1-VLOOKUP($N343,list!$J$48:$K$50,2,FALSE)))),0)*VLOOKUP($B331,IPCC!$A$871:$E$906,2,FALSE)*VLOOKUP($B331,IPCC!$A$871:$E$906,5,FALSE)*$S331*(1/$Q331))</f>
        <v>0</v>
      </c>
      <c r="AF331" s="1565">
        <f t="shared" si="155"/>
        <v>0</v>
      </c>
      <c r="AG331" s="1566">
        <f>IF($B331 = "Please select",0,IF($R331&gt;time_tot,0,1)*2*IF(OR('6.Inland wetlands'!$T122=list!$E$212,'6.Inland wetlands'!$T122=list!$E$213),(MIN($AC331,$AA331)*time_tot+ABS($AC331-$AA331)*IF($AC331&gt;$AA331,time_cap+time*VLOOKUP($P343,list!$J$48:$K$50,2,FALSE),time*(1-VLOOKUP($P343,list!$J$48:$K$50,2,FALSE)))),0)*VLOOKUP($B331,IPCC!$A$871:$E$906,2,FALSE)*VLOOKUP($B331,IPCC!$A$871:$E$906,4,FALSE)*$T331*(1/$R331))</f>
        <v>0</v>
      </c>
      <c r="AH331" s="1565">
        <f>IF($B331 = "Please select",0,IF($R331&gt;time_tot,0,1)*2*IF(OR('6.Inland wetlands'!$T122=list!$E$212,'6.Inland wetlands'!$T122=list!$E$213),(MIN($AC331,$AA331)*time_tot+ABS($AC331-$AA331)*IF($AC331&gt;$AA331,time_cap+time*VLOOKUP($P343,list!$J$48:$K$50,2,FALSE),time*(1-VLOOKUP($P343,list!$J$48:$K$50,2,FALSE)))),0)*VLOOKUP($B331,IPCC!$A$871:$E$906,2,FALSE)*VLOOKUP($B331,IPCC!$A$871:$E$906,5,FALSE)*$T331*(1/$R331))</f>
        <v>0</v>
      </c>
      <c r="AI331" s="1567">
        <f t="shared" si="156"/>
        <v>0</v>
      </c>
    </row>
    <row r="332" spans="2:71" x14ac:dyDescent="0.15">
      <c r="B332" s="973" t="str">
        <f>'6.Inland wetlands'!C123</f>
        <v>Please select</v>
      </c>
      <c r="C332" s="1235">
        <f>IF($B332= "Please select", 0, IF($B332="Mangrove Forest",VLOOKUP(clim_moist,IPCC!$A$1502:$G$1510,4,FALSE),INDEX(IPCC!$B$591:$AK$606,MATCH(continent_selected,IPCC!$A$591:$A$606,0),MATCH($B332,IPCC!$B$590:$AK$590,0))*0.47))</f>
        <v>0</v>
      </c>
      <c r="D332" s="1172">
        <f>IF('6.Inland wetlands'!$BD123="",'6.Inland wetlands'!$BC123,'6.Inland wetlands'!$BD123)</f>
        <v>0</v>
      </c>
      <c r="E332" s="1235">
        <f>IF($B332 = "Please select", 0, IF($B332="Mangrove Forest",VLOOKUP(clim_moist,IPCC!$A$1502:$G$1510,7,FALSE),IF(OR($D332/0.47&lt;=125,$D332/0.47&lt;=75),INDEX(IPCC!$B$618:$AI$633,MATCH(continent_selected,IPCC!$A$618:$A$633,0),MATCH($B332,IPCC!$B$616:$AI$616,0)),(IF(OR($D332/0.47&gt;125,$D332/0.47&gt;75),INDEX(IPCC!$AJ$618:$BS$633,MATCH(continent_selected,IPCC!$A$618:$A$633,0),MATCH($B332,IPCC!$AJ$616:$BS$616,0)),"")))*$D332))</f>
        <v>0</v>
      </c>
      <c r="F332" s="1187">
        <f>IF('6.Inland wetlands'!$BF123="",'6.Inland wetlands'!$BE123,'6.Inland wetlands'!$BF123)</f>
        <v>0</v>
      </c>
      <c r="G332" s="1235">
        <f>IF($B332= "Please select", 0, IF($B332= "Mangrove Forest", VLOOKUP(clim_moist, IPCC!$A$1502:$J$1511, 8, FALSE),   VLOOKUP($B332, IPCC!$A$643:$B$677, 2, FALSE)))</f>
        <v>0</v>
      </c>
      <c r="H332" s="1187">
        <f>IF('6.Inland wetlands'!$BH123="",'6.Inland wetlands'!$BG123,'6.Inland wetlands'!$BH123)</f>
        <v>0</v>
      </c>
      <c r="I332" s="1235">
        <f>IF($B332= "Please select", 0, IF($B332= "Mangrove Forest", VLOOKUP(clim_moist, IPCC!$A$1502:$J$1511, 9, FALSE),  VLOOKUP($B332, IPCC!$A$643:$C$677, 3, FALSE)))</f>
        <v>0</v>
      </c>
      <c r="J332" s="1172">
        <f>IF('6.Inland wetlands'!$BJ123="",'6.Inland wetlands'!$BI123,'6.Inland wetlands'!$BJ123)</f>
        <v>0</v>
      </c>
      <c r="K332" s="992" t="str">
        <f>'6.Inland wetlands'!$G123</f>
        <v>Please select</v>
      </c>
      <c r="L332" s="1071" t="str">
        <f>IF('6.Inland wetlands'!$AW123="",'6.Inland wetlands'!$AV123,'6.Inland wetlands'!$AW123)</f>
        <v>?</v>
      </c>
      <c r="M332" s="1688" t="str">
        <f>'6.Inland wetlands'!$I123</f>
        <v>Please select</v>
      </c>
      <c r="N332" s="1071" t="str">
        <f>IF('6.Inland wetlands'!$AY123="",'6.Inland wetlands'!$AX123,'6.Inland wetlands'!$AY123)</f>
        <v>?</v>
      </c>
      <c r="O332" s="1688" t="str">
        <f>'6.Inland wetlands'!$K123</f>
        <v>Please select</v>
      </c>
      <c r="P332" s="1071" t="str">
        <f>IF('6.Inland wetlands'!$BA123="",'6.Inland wetlands'!$AZ123,'6.Inland wetlands'!$BA123)</f>
        <v>?</v>
      </c>
      <c r="Q332" s="1688">
        <f>'6.Inland wetlands'!$BN123</f>
        <v>1</v>
      </c>
      <c r="R332" s="1688">
        <f>'6.Inland wetlands'!$BQ123</f>
        <v>1</v>
      </c>
      <c r="S332" s="1241">
        <f>'6.Inland wetlands'!$BO123</f>
        <v>1</v>
      </c>
      <c r="T332" s="1241">
        <f>'6.Inland wetlands'!$BR123</f>
        <v>1</v>
      </c>
      <c r="U332" s="1559">
        <f t="shared" si="148"/>
        <v>0</v>
      </c>
      <c r="V332" s="1560">
        <f t="shared" si="149"/>
        <v>0</v>
      </c>
      <c r="W332" s="1561">
        <f t="shared" si="150"/>
        <v>0</v>
      </c>
      <c r="X332" s="1144">
        <f t="shared" si="151"/>
        <v>0</v>
      </c>
      <c r="Y332" s="1145">
        <f t="shared" si="152"/>
        <v>0</v>
      </c>
      <c r="Z332" s="1562">
        <f t="shared" si="153"/>
        <v>0</v>
      </c>
      <c r="AA332" s="1569">
        <f t="shared" si="154"/>
        <v>0</v>
      </c>
      <c r="AB332" s="1570">
        <f t="shared" si="154"/>
        <v>0</v>
      </c>
      <c r="AC332" s="1571">
        <f t="shared" si="154"/>
        <v>0</v>
      </c>
      <c r="AD332" s="1564">
        <f>IF($B332 = "Please select",0,IF($Q332&gt;time_tot,0,1)*2*IF(OR('6.Inland wetlands'!$T123=list!$E$211,'6.Inland wetlands'!$T123=list!$E$213),(MIN($AB332,$AA332)*time_tot+ABS($AB332-$AA332)*IF($AB332&gt;$AA332,time_cap+time*VLOOKUP($N344,list!$J$48:$K$50,2,FALSE),time*(1-VLOOKUP($N344,list!$J$48:$K$50,2,FALSE)))),0)*VLOOKUP($B332,IPCC!$A$871:$E$906,2,FALSE)*VLOOKUP($B332,IPCC!$A$871:$E$906,4,FALSE)*$S332*(1/$Q332))</f>
        <v>0</v>
      </c>
      <c r="AE332" s="1564">
        <f>IF($B332 = "Please select",0,IF($Q332&gt;time_tot,0,1)*2*IF(OR('6.Inland wetlands'!$T123=list!$E$211,'6.Inland wetlands'!$T123=list!$E$213),(MIN($AB332,$AA332)*time_tot+ABS($AB332-$AA332)*IF($AB332&gt;$AA332,time_cap+time*VLOOKUP($N344,list!$J$48:$K$50,2,FALSE),time*(1-VLOOKUP($N344,list!$J$48:$K$50,2,FALSE)))),0)*VLOOKUP($B332,IPCC!$A$871:$E$906,2,FALSE)*VLOOKUP($B332,IPCC!$A$871:$E$906,5,FALSE)*$S332*(1/$Q332))</f>
        <v>0</v>
      </c>
      <c r="AF332" s="1565">
        <f t="shared" si="155"/>
        <v>0</v>
      </c>
      <c r="AG332" s="1566">
        <f>IF($B332 = "Please select",0,IF($R332&gt;time_tot,0,1)*2*IF(OR('6.Inland wetlands'!$T123=list!$E$212,'6.Inland wetlands'!$T123=list!$E$213),(MIN($AC332,$AA332)*time_tot+ABS($AC332-$AA332)*IF($AC332&gt;$AA332,time_cap+time*VLOOKUP($P344,list!$J$48:$K$50,2,FALSE),time*(1-VLOOKUP($P344,list!$J$48:$K$50,2,FALSE)))),0)*VLOOKUP($B332,IPCC!$A$871:$E$906,2,FALSE)*VLOOKUP($B332,IPCC!$A$871:$E$906,4,FALSE)*$T332*(1/$R332))</f>
        <v>0</v>
      </c>
      <c r="AH332" s="1565">
        <f>IF($B332 = "Please select",0,IF($R332&gt;time_tot,0,1)*2*IF(OR('6.Inland wetlands'!$T123=list!$E$212,'6.Inland wetlands'!$T123=list!$E$213),(MIN($AC332,$AA332)*time_tot+ABS($AC332-$AA332)*IF($AC332&gt;$AA332,time_cap+time*VLOOKUP($P344,list!$J$48:$K$50,2,FALSE),time*(1-VLOOKUP($P344,list!$J$48:$K$50,2,FALSE)))),0)*VLOOKUP($B332,IPCC!$A$871:$E$906,2,FALSE)*VLOOKUP($B332,IPCC!$A$871:$E$906,5,FALSE)*$T332*(1/$R332))</f>
        <v>0</v>
      </c>
      <c r="AI332" s="1567">
        <f t="shared" si="156"/>
        <v>0</v>
      </c>
    </row>
    <row r="334" spans="2:71" ht="18" x14ac:dyDescent="0.15">
      <c r="AW334" s="1089"/>
    </row>
    <row r="335" spans="2:71" ht="18" x14ac:dyDescent="0.2">
      <c r="AI335" s="1270" t="s">
        <v>1115</v>
      </c>
      <c r="AJ335" s="1115"/>
      <c r="AK335" s="1116"/>
      <c r="AW335" s="1089"/>
      <c r="AX335" s="1287" t="s">
        <v>1116</v>
      </c>
      <c r="AY335" s="1501"/>
      <c r="AZ335" s="1501"/>
      <c r="BA335" s="1501"/>
      <c r="BB335" s="1501"/>
      <c r="BD335" s="1271"/>
    </row>
    <row r="336" spans="2:71" ht="17" x14ac:dyDescent="0.2">
      <c r="K336" s="1081"/>
      <c r="L336" s="1081"/>
      <c r="M336" s="1081"/>
      <c r="N336" s="1081"/>
      <c r="O336" s="1081"/>
      <c r="P336" s="1081"/>
      <c r="Q336" s="1085" t="s">
        <v>1003</v>
      </c>
      <c r="R336" s="1069"/>
      <c r="S336" s="1186" t="s">
        <v>1021</v>
      </c>
      <c r="T336" s="1069"/>
      <c r="U336" s="1082" t="s">
        <v>782</v>
      </c>
      <c r="V336" s="1069"/>
      <c r="W336" s="1082" t="s">
        <v>158</v>
      </c>
      <c r="X336" s="1069"/>
      <c r="AI336" s="1270" t="s">
        <v>1121</v>
      </c>
      <c r="AJ336" s="1104"/>
      <c r="AK336" s="1116"/>
      <c r="AX336" s="1572" t="s">
        <v>1253</v>
      </c>
      <c r="AY336" s="1502"/>
      <c r="AZ336" s="1502" t="s">
        <v>176</v>
      </c>
      <c r="BA336" s="1502"/>
      <c r="BB336" s="1502" t="s">
        <v>177</v>
      </c>
      <c r="BC336" s="1450"/>
      <c r="BD336" s="1450"/>
      <c r="BE336" s="1502" t="s">
        <v>176</v>
      </c>
      <c r="BF336" s="1502"/>
      <c r="BG336" s="1502" t="s">
        <v>177</v>
      </c>
      <c r="BK336" s="1262" t="s">
        <v>860</v>
      </c>
      <c r="BL336" s="3464"/>
      <c r="BM336" s="3464"/>
      <c r="BP336" s="1262" t="s">
        <v>861</v>
      </c>
      <c r="BQ336" s="3464"/>
      <c r="BR336" s="3464"/>
      <c r="BS336" s="3464"/>
    </row>
    <row r="337" spans="2:72" ht="16" x14ac:dyDescent="0.2">
      <c r="K337" s="1573" t="s">
        <v>1023</v>
      </c>
      <c r="L337" s="1546" t="s">
        <v>1024</v>
      </c>
      <c r="M337" s="1551" t="s">
        <v>179</v>
      </c>
      <c r="N337" s="1551"/>
      <c r="O337" s="1548" t="s">
        <v>180</v>
      </c>
      <c r="P337" s="1548"/>
      <c r="Q337" s="1547" t="s">
        <v>179</v>
      </c>
      <c r="R337" s="1548" t="s">
        <v>180</v>
      </c>
      <c r="S337" s="1547" t="s">
        <v>179</v>
      </c>
      <c r="T337" s="1548" t="s">
        <v>180</v>
      </c>
      <c r="U337" s="1547" t="s">
        <v>179</v>
      </c>
      <c r="V337" s="1548" t="s">
        <v>180</v>
      </c>
      <c r="W337" s="1547" t="s">
        <v>179</v>
      </c>
      <c r="X337" s="1548" t="s">
        <v>180</v>
      </c>
      <c r="AI337" s="1270" t="s">
        <v>1254</v>
      </c>
      <c r="AJ337" s="1116"/>
      <c r="AK337" s="1116"/>
      <c r="AZ337" s="1264" t="s">
        <v>1255</v>
      </c>
      <c r="BB337" s="1264" t="s">
        <v>1255</v>
      </c>
      <c r="BE337" s="1264" t="s">
        <v>1241</v>
      </c>
      <c r="BG337" s="1264" t="s">
        <v>1241</v>
      </c>
    </row>
    <row r="338" spans="2:72" x14ac:dyDescent="0.15">
      <c r="K338" s="1115" t="s">
        <v>1025</v>
      </c>
      <c r="L338" s="1546" t="s">
        <v>226</v>
      </c>
      <c r="M338" s="1551" t="s">
        <v>1026</v>
      </c>
      <c r="N338" s="1551" t="s">
        <v>1027</v>
      </c>
      <c r="O338" s="1548" t="s">
        <v>1026</v>
      </c>
      <c r="P338" s="1548" t="s">
        <v>1027</v>
      </c>
      <c r="Q338" s="1547" t="s">
        <v>198</v>
      </c>
      <c r="R338" s="1548" t="s">
        <v>198</v>
      </c>
      <c r="S338" s="1547" t="s">
        <v>198</v>
      </c>
      <c r="T338" s="1548" t="s">
        <v>198</v>
      </c>
      <c r="U338" s="1547" t="s">
        <v>198</v>
      </c>
      <c r="V338" s="1548" t="s">
        <v>198</v>
      </c>
      <c r="W338" s="1547" t="s">
        <v>198</v>
      </c>
      <c r="X338" s="1548" t="s">
        <v>198</v>
      </c>
      <c r="AI338" s="1102" t="s">
        <v>200</v>
      </c>
      <c r="AJ338" s="1103" t="s">
        <v>201</v>
      </c>
      <c r="AK338" s="1104" t="s">
        <v>324</v>
      </c>
      <c r="AX338" s="1272" t="s">
        <v>200</v>
      </c>
      <c r="AY338" s="1272" t="s">
        <v>201</v>
      </c>
      <c r="AZ338" s="1272" t="s">
        <v>200</v>
      </c>
      <c r="BA338" s="1272" t="s">
        <v>201</v>
      </c>
      <c r="BB338" s="1272" t="s">
        <v>200</v>
      </c>
      <c r="BC338" s="1272" t="s">
        <v>201</v>
      </c>
      <c r="BD338" s="1272"/>
      <c r="BE338" s="1272" t="s">
        <v>200</v>
      </c>
      <c r="BF338" s="1272" t="s">
        <v>201</v>
      </c>
      <c r="BG338" s="1272" t="s">
        <v>200</v>
      </c>
      <c r="BH338" s="1272" t="s">
        <v>201</v>
      </c>
      <c r="BK338" s="1321" t="s">
        <v>866</v>
      </c>
      <c r="BL338" s="1317" t="s">
        <v>200</v>
      </c>
      <c r="BM338" s="1317" t="s">
        <v>201</v>
      </c>
      <c r="BP338" s="1321" t="s">
        <v>866</v>
      </c>
      <c r="BQ338" s="1317" t="s">
        <v>324</v>
      </c>
      <c r="BR338" s="1317" t="s">
        <v>867</v>
      </c>
      <c r="BS338" s="1318" t="s">
        <v>868</v>
      </c>
      <c r="BT338" s="1454"/>
    </row>
    <row r="339" spans="2:72" x14ac:dyDescent="0.15">
      <c r="K339" s="1469" t="str">
        <f t="shared" ref="K339:K344" si="157">B327</f>
        <v>Please select</v>
      </c>
      <c r="L339" s="992">
        <f>'6.Inland wetlands'!$M118</f>
        <v>0</v>
      </c>
      <c r="M339" s="992">
        <f t="shared" ref="M339:M344" si="158">$L339</f>
        <v>0</v>
      </c>
      <c r="N339" s="1688" t="str">
        <f>VLOOKUP('6.Inland wetlands'!$O118, list!$I$48:$J$50, 2, FALSE)</f>
        <v>Linear</v>
      </c>
      <c r="O339" s="992">
        <f t="shared" ref="O339:O344" si="159">$L339</f>
        <v>0</v>
      </c>
      <c r="P339" s="1688" t="str">
        <f>VLOOKUP('6.Inland wetlands'!$Q118, list!$I$48:$J$50, 2, FALSE)</f>
        <v>Linear</v>
      </c>
      <c r="Q339" s="3468">
        <f t="shared" ref="Q339:Q344" si="160">(($V327-$U327)*(-44/12))*$M339</f>
        <v>0</v>
      </c>
      <c r="R339" s="1151">
        <f t="shared" ref="R339:R344" si="161">(($W327-$U327)*(-44/12))*$O339</f>
        <v>0</v>
      </c>
      <c r="S339" s="1151">
        <f t="shared" ref="S339:S344" si="162">(($Y327-$X327)*(-44/12))*$M339</f>
        <v>0</v>
      </c>
      <c r="T339" s="3469">
        <f t="shared" ref="T339:T344" si="163">(($Z327-$X327)*(-44/12))*$O339</f>
        <v>0</v>
      </c>
      <c r="U339" s="1151"/>
      <c r="V339" s="1151"/>
      <c r="W339" s="1151">
        <f t="shared" ref="W339:W344" si="164">$AF327*$M339</f>
        <v>0</v>
      </c>
      <c r="X339" s="1151">
        <f t="shared" ref="X339:X344" si="165">$AI327*$O339</f>
        <v>0</v>
      </c>
      <c r="AI339" s="1151">
        <f t="shared" ref="AI339:AI344" si="166">W339+U339+S339+Q339</f>
        <v>0</v>
      </c>
      <c r="AJ339" s="1151">
        <f t="shared" ref="AJ339:AJ344" si="167">R339+T339+V339+X339</f>
        <v>0</v>
      </c>
      <c r="AK339" s="3473">
        <f t="shared" ref="AK339:AK344" si="168">AJ339-AI339</f>
        <v>0</v>
      </c>
      <c r="AX339" s="1449">
        <f t="shared" ref="AX339:AY344" si="169">SUM(Q339,S339)</f>
        <v>0</v>
      </c>
      <c r="AY339" s="1449">
        <f t="shared" si="169"/>
        <v>0</v>
      </c>
      <c r="AZ339" s="1449">
        <f>IF($B327 = "Please select",0,IF($Q327&gt;time,0,1)*2*IF(OR('6.Inland wetlands'!$T118=list!$E$211,'6.Inland wetlands'!$T118=list!$E$213),(MIN($AB327*$M339,$AA327*$L339)*time+ABS($AB327*$M339-$AA327*$L339)*IF($AB327*$M339&gt;$AA327*$L339,time*VLOOKUP($N339,list!$J$48:$K$50,2,FALSE),time*(1-VLOOKUP($N339,list!$J$48:$K$50,2,FALSE)))),0)*VLOOKUP($B327,IPCC!$A$871:$E$906,2,FALSE)*VLOOKUP($B327,IPCC!$A$871:$E$906,4,FALSE)*$S327*(1/$Q327))</f>
        <v>0</v>
      </c>
      <c r="BA339" s="1449">
        <f>IF($B327 = "Please select",0,IF($R327&gt;time,0,1)*2*IF(OR('6.Inland wetlands'!$T118=list!$E$211,'6.Inland wetlands'!$T118=list!$E$213),(MIN($AC327,$AA327)*time+ABS($AC327-$AA327)*IF($AC327&gt;$AA327,time*VLOOKUP($P339,list!$J$48:$K$50,2,FALSE),time*(1-VLOOKUP($P339,list!$J$48:$K$50,2,FALSE)))),0)*VLOOKUP($B327,IPCC!$A$871:$E$906,2,FALSE)*VLOOKUP($B327,IPCC!$A$871:$E$906,4,FALSE)*$T327*(1/$R327)*L339)</f>
        <v>0</v>
      </c>
      <c r="BB339" s="1449">
        <f>IF($B327 = "Please select",0,IF($Q327&gt;time,0,1)*2*IF(OR('6.Inland wetlands'!$T118=list!$E$211,'6.Inland wetlands'!$T118=list!$E$213),(MIN($AB327,$AA327)*time+ABS($AB327-$AA327)*IF($AB327&gt;$AA327,time*VLOOKUP($P339,list!$J$48:$K$50,2,FALSE),time*(1-VLOOKUP($P339,list!$J$48:$K$50,2,FALSE)))),0)*VLOOKUP($B327,IPCC!$A$871:$E$906,2,FALSE)*VLOOKUP($B327,IPCC!$A$871:$E$906,5,FALSE)*$S327*(1/$Q327)*$L339)</f>
        <v>0</v>
      </c>
      <c r="BC339" s="1449">
        <f>IF($B327 = "Please select",0,IF($R327&gt;time,0,1)*2*IF(OR('6.Inland wetlands'!$T118=list!$E$211,'6.Inland wetlands'!$T118=list!$E$213),(MIN($AC327,$AA327)*time+ABS($AC327-$AA327)*IF($AC327&gt;$AA327,time*VLOOKUP($P339,list!$J$48:$K$50,2,FALSE),time*(1-VLOOKUP($P339,list!$J$48:$K$50,2,FALSE)))),0)*VLOOKUP($B327,IPCC!$A$871:$E$906,2,FALSE)*VLOOKUP($B327,IPCC!$A$871:$E$906,5,FALSE)*$T327*(1/$R327)*$L339)</f>
        <v>0</v>
      </c>
      <c r="BD339" s="1449"/>
      <c r="BE339" s="1449">
        <f t="shared" ref="BE339:BE344" si="170">AD327*methane/1000*M339</f>
        <v>0</v>
      </c>
      <c r="BF339" s="1449">
        <f t="shared" ref="BF339:BF344" si="171">AG327*methane/1000*O339</f>
        <v>0</v>
      </c>
      <c r="BG339" s="1449">
        <f t="shared" ref="BG339:BG344" si="172">AE327*Nitrous/1000*M339</f>
        <v>0</v>
      </c>
      <c r="BH339" s="973">
        <f t="shared" ref="BH339:BH344" si="173">AH327*Nitrous/1000*O339</f>
        <v>0</v>
      </c>
      <c r="BK339" s="1084" t="s">
        <v>850</v>
      </c>
      <c r="BL339" s="1312">
        <f>SUM($Q339:$Q344,$S339:$S344)</f>
        <v>0</v>
      </c>
      <c r="BM339" s="1312">
        <f>SUM($R339:$R344,$T339:$T344)</f>
        <v>0</v>
      </c>
      <c r="BN339" s="992">
        <f>BM339-BL339</f>
        <v>0</v>
      </c>
      <c r="BP339" s="1084" t="str">
        <f>BK339</f>
        <v>CO2 biomass</v>
      </c>
      <c r="BQ339" s="1453">
        <f>BM339-BL339</f>
        <v>0</v>
      </c>
      <c r="BR339" s="1312">
        <f>IF(time=0,0,BQ339)</f>
        <v>0</v>
      </c>
      <c r="BS339" s="1453">
        <f t="shared" ref="BS339:BS346" si="174">BQ339-BR339</f>
        <v>0</v>
      </c>
      <c r="BT339" s="1455">
        <f t="shared" ref="BT339:BT348" si="175">SUM(BR339:BS339)</f>
        <v>0</v>
      </c>
    </row>
    <row r="340" spans="2:72" x14ac:dyDescent="0.15">
      <c r="K340" s="1469" t="str">
        <f t="shared" si="157"/>
        <v>Please select</v>
      </c>
      <c r="L340" s="992">
        <f>'6.Inland wetlands'!$M119</f>
        <v>0</v>
      </c>
      <c r="M340" s="992">
        <f t="shared" si="158"/>
        <v>0</v>
      </c>
      <c r="N340" s="1688" t="str">
        <f>VLOOKUP('6.Inland wetlands'!$O119, list!$I$48:$J$50, 2, FALSE)</f>
        <v>Linear</v>
      </c>
      <c r="O340" s="992">
        <f t="shared" si="159"/>
        <v>0</v>
      </c>
      <c r="P340" s="1688" t="str">
        <f>VLOOKUP('6.Inland wetlands'!$Q119, list!$I$48:$J$50, 2, FALSE)</f>
        <v>Linear</v>
      </c>
      <c r="Q340" s="3470">
        <f t="shared" si="160"/>
        <v>0</v>
      </c>
      <c r="R340" s="1152">
        <f t="shared" si="161"/>
        <v>0</v>
      </c>
      <c r="S340" s="1152">
        <f t="shared" si="162"/>
        <v>0</v>
      </c>
      <c r="T340" s="3479">
        <f t="shared" si="163"/>
        <v>0</v>
      </c>
      <c r="U340" s="1152"/>
      <c r="V340" s="1152"/>
      <c r="W340" s="1152">
        <f t="shared" si="164"/>
        <v>0</v>
      </c>
      <c r="X340" s="1152">
        <f t="shared" si="165"/>
        <v>0</v>
      </c>
      <c r="AI340" s="1152">
        <f t="shared" si="166"/>
        <v>0</v>
      </c>
      <c r="AJ340" s="1152">
        <f t="shared" si="167"/>
        <v>0</v>
      </c>
      <c r="AK340" s="1159">
        <f t="shared" si="168"/>
        <v>0</v>
      </c>
      <c r="AX340" s="1449">
        <f t="shared" si="169"/>
        <v>0</v>
      </c>
      <c r="AY340" s="1449">
        <f t="shared" si="169"/>
        <v>0</v>
      </c>
      <c r="AZ340" s="1449">
        <f>IF($B328 = "Please select",0,IF($Q328&gt;time,0,1)*2*IF(OR('6.Inland wetlands'!$T119=list!$E$211,'6.Inland wetlands'!$T119=list!$E$213),(MIN($AB328*$M340,$AA328*$L340)*time+ABS($AB328*$M340-$AA328*$L340)*IF($AB328*$M340&gt;$AA328*$L340,time*VLOOKUP($N340,list!$J$48:$K$50,2,FALSE),time*(1-VLOOKUP($N340,list!$J$48:$K$50,2,FALSE)))),0)*VLOOKUP($B328,IPCC!$A$871:$E$906,2,FALSE)*VLOOKUP($B328,IPCC!$A$871:$E$906,4,FALSE)*$S328*(1/$Q328))</f>
        <v>0</v>
      </c>
      <c r="BA340" s="1449">
        <f>IF($B328 = "Please select",0,IF($R328&gt;time,0,1)*2*IF(OR('6.Inland wetlands'!$T119=list!$E$211,'6.Inland wetlands'!$T119=list!$E$213),(MIN($AC328,$AA328)*time+ABS($AC328-$AA328)*IF($AC328&gt;$AA328,time*VLOOKUP($P340,list!$J$48:$K$50,2,FALSE),time*(1-VLOOKUP($P340,list!$J$48:$K$50,2,FALSE)))),0)*VLOOKUP($B328,IPCC!$A$871:$E$906,2,FALSE)*VLOOKUP($B328,IPCC!$A$871:$E$906,4,FALSE)*$T328*(1/$R328)*L340)</f>
        <v>0</v>
      </c>
      <c r="BB340" s="1449">
        <f>IF($B328 = "Please select",0,IF($Q328&gt;time,0,1)*2*IF(OR('6.Inland wetlands'!$T119=list!$E$211,'6.Inland wetlands'!$T119=list!$E$213),(MIN($AB328,$AA328)*time+ABS($AB328-$AA328)*IF($AB328&gt;$AA328,time*VLOOKUP($P340,list!$J$48:$K$50,2,FALSE),time*(1-VLOOKUP($P340,list!$J$48:$K$50,2,FALSE)))),0)*VLOOKUP($B328,IPCC!$A$871:$E$906,2,FALSE)*VLOOKUP($B328,IPCC!$A$871:$E$906,5,FALSE)*$S328*(1/$Q328)*$L340)</f>
        <v>0</v>
      </c>
      <c r="BC340" s="1449">
        <f>IF($B328 = "Please select",0,IF($R328&gt;time,0,1)*2*IF(OR('6.Inland wetlands'!$T119=list!$E$211,'6.Inland wetlands'!$T119=list!$E$213),(MIN($AC328,$AA328)*time+ABS($AC328-$AA328)*IF($AC328&gt;$AA328,time*VLOOKUP($P340,list!$J$48:$K$50,2,FALSE),time*(1-VLOOKUP($P340,list!$J$48:$K$50,2,FALSE)))),0)*VLOOKUP($B328,IPCC!$A$871:$E$906,2,FALSE)*VLOOKUP($B328,IPCC!$A$871:$E$906,5,FALSE)*$T328*(1/$R328)*$L340)</f>
        <v>0</v>
      </c>
      <c r="BD340" s="1449"/>
      <c r="BE340" s="1449">
        <f t="shared" si="170"/>
        <v>0</v>
      </c>
      <c r="BF340" s="1449">
        <f t="shared" si="171"/>
        <v>0</v>
      </c>
      <c r="BG340" s="1449">
        <f t="shared" si="172"/>
        <v>0</v>
      </c>
      <c r="BH340" s="973">
        <f t="shared" si="173"/>
        <v>0</v>
      </c>
      <c r="BK340" s="1084" t="s">
        <v>1129</v>
      </c>
      <c r="BL340" s="1314">
        <f>SUM($AB373:$AB378)</f>
        <v>0</v>
      </c>
      <c r="BM340" s="1314">
        <f>SUM($AC373:$AC378)</f>
        <v>0</v>
      </c>
      <c r="BN340" s="992">
        <f t="shared" ref="BN340:BN347" si="176">BM340-BL340</f>
        <v>0</v>
      </c>
      <c r="BP340" s="1084" t="str">
        <f t="shared" ref="BP340:BP348" si="177">BK340</f>
        <v>CO2 soil drainage</v>
      </c>
      <c r="BQ340" s="1453">
        <f t="shared" ref="BQ340:BQ348" si="178">BM340-BL340</f>
        <v>0</v>
      </c>
      <c r="BR340" s="1312" t="e">
        <f>IF(time=0,0,SUM(AY373:AY378,BE373:BE378)-SUM(BD373:BD378,AX373:AX378))</f>
        <v>#REF!</v>
      </c>
      <c r="BS340" s="1453" t="e">
        <f t="shared" si="174"/>
        <v>#REF!</v>
      </c>
      <c r="BT340" s="1455" t="e">
        <f t="shared" si="175"/>
        <v>#REF!</v>
      </c>
    </row>
    <row r="341" spans="2:72" x14ac:dyDescent="0.15">
      <c r="K341" s="1469" t="str">
        <f t="shared" si="157"/>
        <v>Please select</v>
      </c>
      <c r="L341" s="992">
        <f>'6.Inland wetlands'!$M120</f>
        <v>0</v>
      </c>
      <c r="M341" s="992">
        <f t="shared" si="158"/>
        <v>0</v>
      </c>
      <c r="N341" s="1688" t="str">
        <f>VLOOKUP('6.Inland wetlands'!$O120, list!$I$48:$J$50, 2, FALSE)</f>
        <v>Linear</v>
      </c>
      <c r="O341" s="992">
        <f t="shared" si="159"/>
        <v>0</v>
      </c>
      <c r="P341" s="1688" t="str">
        <f>VLOOKUP('6.Inland wetlands'!$Q120, list!$I$48:$J$50, 2, FALSE)</f>
        <v>Linear</v>
      </c>
      <c r="Q341" s="3470">
        <f t="shared" si="160"/>
        <v>0</v>
      </c>
      <c r="R341" s="1152">
        <f t="shared" si="161"/>
        <v>0</v>
      </c>
      <c r="S341" s="1152">
        <f t="shared" si="162"/>
        <v>0</v>
      </c>
      <c r="T341" s="3479">
        <f t="shared" si="163"/>
        <v>0</v>
      </c>
      <c r="U341" s="1152"/>
      <c r="V341" s="1152"/>
      <c r="W341" s="1152">
        <f t="shared" si="164"/>
        <v>0</v>
      </c>
      <c r="X341" s="1152">
        <f t="shared" si="165"/>
        <v>0</v>
      </c>
      <c r="AI341" s="1152">
        <f t="shared" si="166"/>
        <v>0</v>
      </c>
      <c r="AJ341" s="1152">
        <f t="shared" si="167"/>
        <v>0</v>
      </c>
      <c r="AK341" s="1159">
        <f t="shared" si="168"/>
        <v>0</v>
      </c>
      <c r="AX341" s="1449">
        <f t="shared" si="169"/>
        <v>0</v>
      </c>
      <c r="AY341" s="1449">
        <f t="shared" si="169"/>
        <v>0</v>
      </c>
      <c r="AZ341" s="1449">
        <f>IF($B329 = "Please select",0,IF($Q329&gt;time,0,1)*2*IF(OR('6.Inland wetlands'!$T120=list!$E$211,'6.Inland wetlands'!$T120=list!$E$213),(MIN($AB329*$M341,$AA329*$L341)*time+ABS($AB329*$M341-$AA329*$L341)*IF($AB329*$M341&gt;$AA329*$L341,time*VLOOKUP($N341,list!$J$48:$K$50,2,FALSE),time*(1-VLOOKUP($N341,list!$J$48:$K$50,2,FALSE)))),0)*VLOOKUP($B329,IPCC!$A$871:$E$906,2,FALSE)*VLOOKUP($B329,IPCC!$A$871:$E$906,4,FALSE)*$S329*(1/$Q329))</f>
        <v>0</v>
      </c>
      <c r="BA341" s="1449">
        <f>IF($B329 = "Please select",0,IF($R329&gt;time,0,1)*2*IF(OR('6.Inland wetlands'!$T120=list!$E$211,'6.Inland wetlands'!$T120=list!$E$213),(MIN($AC329,$AA329)*time+ABS($AC329-$AA329)*IF($AC329&gt;$AA329,time*VLOOKUP($P341,list!$J$48:$K$50,2,FALSE),time*(1-VLOOKUP($P341,list!$J$48:$K$50,2,FALSE)))),0)*VLOOKUP($B329,IPCC!$A$871:$E$906,2,FALSE)*VLOOKUP($B329,IPCC!$A$871:$E$906,4,FALSE)*$T329*(1/$R329)*L341)</f>
        <v>0</v>
      </c>
      <c r="BB341" s="1449">
        <f>IF($B329 = "Please select",0,IF($Q329&gt;time,0,1)*2*IF(OR('6.Inland wetlands'!$T120=list!$E$211,'6.Inland wetlands'!$T120=list!$E$213),(MIN($AB329,$AA329)*time+ABS($AB329-$AA329)*IF($AB329&gt;$AA329,time*VLOOKUP($P341,list!$J$48:$K$50,2,FALSE),time*(1-VLOOKUP($P341,list!$J$48:$K$50,2,FALSE)))),0)*VLOOKUP($B329,IPCC!$A$871:$E$906,2,FALSE)*VLOOKUP($B329,IPCC!$A$871:$E$906,5,FALSE)*$S329*(1/$Q329)*$L341)</f>
        <v>0</v>
      </c>
      <c r="BC341" s="1449">
        <f>IF($B329 = "Please select",0,IF($R329&gt;time,0,1)*2*IF(OR('6.Inland wetlands'!$T120=list!$E$211,'6.Inland wetlands'!$T120=list!$E$213),(MIN($AC329,$AA329)*time+ABS($AC329-$AA329)*IF($AC329&gt;$AA329,time*VLOOKUP($P341,list!$J$48:$K$50,2,FALSE),time*(1-VLOOKUP($P341,list!$J$48:$K$50,2,FALSE)))),0)*VLOOKUP($B329,IPCC!$A$871:$E$906,2,FALSE)*VLOOKUP($B329,IPCC!$A$871:$E$906,5,FALSE)*$T329*(1/$R329)*$L341)</f>
        <v>0</v>
      </c>
      <c r="BD341" s="1449"/>
      <c r="BE341" s="1449">
        <f t="shared" si="170"/>
        <v>0</v>
      </c>
      <c r="BF341" s="1449">
        <f t="shared" si="171"/>
        <v>0</v>
      </c>
      <c r="BG341" s="1449">
        <f t="shared" si="172"/>
        <v>0</v>
      </c>
      <c r="BH341" s="973">
        <f t="shared" si="173"/>
        <v>0</v>
      </c>
      <c r="BK341" s="1084" t="s">
        <v>1130</v>
      </c>
      <c r="BL341" s="1314">
        <f>SUM($AD373:$AD378)</f>
        <v>0</v>
      </c>
      <c r="BM341" s="1314">
        <f>SUM($AE373:$AE378)</f>
        <v>0</v>
      </c>
      <c r="BN341" s="992">
        <f t="shared" si="176"/>
        <v>0</v>
      </c>
      <c r="BP341" s="1084" t="str">
        <f t="shared" si="177"/>
        <v>CH4 soil drainage</v>
      </c>
      <c r="BQ341" s="1453">
        <f t="shared" si="178"/>
        <v>0</v>
      </c>
      <c r="BR341" s="1312" t="e">
        <f>IF(time=0,0,SUM(BA373:BA378,BG373:BG378)-SUM(BF373:BF378,AZ373:AZ378))</f>
        <v>#REF!</v>
      </c>
      <c r="BS341" s="1453" t="e">
        <f>BQ341-BR341</f>
        <v>#REF!</v>
      </c>
      <c r="BT341" s="1455" t="e">
        <f t="shared" si="175"/>
        <v>#REF!</v>
      </c>
    </row>
    <row r="342" spans="2:72" x14ac:dyDescent="0.15">
      <c r="K342" s="1469" t="str">
        <f t="shared" si="157"/>
        <v>Please select</v>
      </c>
      <c r="L342" s="992">
        <f>'6.Inland wetlands'!$M121</f>
        <v>0</v>
      </c>
      <c r="M342" s="992">
        <f t="shared" si="158"/>
        <v>0</v>
      </c>
      <c r="N342" s="1688" t="str">
        <f>VLOOKUP('6.Inland wetlands'!$O121, list!$I$48:$J$50, 2, FALSE)</f>
        <v>Linear</v>
      </c>
      <c r="O342" s="992">
        <f t="shared" si="159"/>
        <v>0</v>
      </c>
      <c r="P342" s="1688" t="str">
        <f>VLOOKUP('6.Inland wetlands'!$Q121, list!$I$48:$J$50, 2, FALSE)</f>
        <v>Linear</v>
      </c>
      <c r="Q342" s="3470">
        <f t="shared" si="160"/>
        <v>0</v>
      </c>
      <c r="R342" s="1152">
        <f t="shared" si="161"/>
        <v>0</v>
      </c>
      <c r="S342" s="1152">
        <f t="shared" si="162"/>
        <v>0</v>
      </c>
      <c r="T342" s="3479">
        <f t="shared" si="163"/>
        <v>0</v>
      </c>
      <c r="U342" s="1152"/>
      <c r="V342" s="1152"/>
      <c r="W342" s="1152">
        <f t="shared" si="164"/>
        <v>0</v>
      </c>
      <c r="X342" s="1152">
        <f t="shared" si="165"/>
        <v>0</v>
      </c>
      <c r="AI342" s="1152">
        <f t="shared" si="166"/>
        <v>0</v>
      </c>
      <c r="AJ342" s="1152">
        <f t="shared" si="167"/>
        <v>0</v>
      </c>
      <c r="AK342" s="1159">
        <f t="shared" si="168"/>
        <v>0</v>
      </c>
      <c r="AX342" s="1449">
        <f t="shared" si="169"/>
        <v>0</v>
      </c>
      <c r="AY342" s="1449">
        <f t="shared" si="169"/>
        <v>0</v>
      </c>
      <c r="AZ342" s="1449">
        <f>IF($B330 = "Please select",0,IF($Q330&gt;time,0,1)*2*IF(OR('6.Inland wetlands'!$T121=list!$E$211,'6.Inland wetlands'!$T121=list!$E$213),(MIN($AB330*$M342,$AA330*$L342)*time+ABS($AB330*$M342-$AA330*$L342)*IF($AB330*$M342&gt;$AA330*$L342,time*VLOOKUP($N342,list!$J$48:$K$50,2,FALSE),time*(1-VLOOKUP($N342,list!$J$48:$K$50,2,FALSE)))),0)*VLOOKUP($B330,IPCC!$A$871:$E$906,2,FALSE)*VLOOKUP($B330,IPCC!$A$871:$E$906,4,FALSE)*$S330*(1/$Q330))</f>
        <v>0</v>
      </c>
      <c r="BA342" s="1449">
        <f>IF($B330 = "Please select",0,IF($R330&gt;time,0,1)*2*IF(OR('6.Inland wetlands'!$T121=list!$E$211,'6.Inland wetlands'!$T121=list!$E$213),(MIN($AC330,$AA330)*time+ABS($AC330-$AA330)*IF($AC330&gt;$AA330,time*VLOOKUP($P342,list!$J$48:$K$50,2,FALSE),time*(1-VLOOKUP($P342,list!$J$48:$K$50,2,FALSE)))),0)*VLOOKUP($B330,IPCC!$A$871:$E$906,2,FALSE)*VLOOKUP($B330,IPCC!$A$871:$E$906,4,FALSE)*$T330*(1/$R330)*L342)</f>
        <v>0</v>
      </c>
      <c r="BB342" s="1449">
        <f>IF($B330 = "Please select",0,IF($Q330&gt;time,0,1)*2*IF(OR('6.Inland wetlands'!$T121=list!$E$211,'6.Inland wetlands'!$T121=list!$E$213),(MIN($AB330,$AA330)*time+ABS($AB330-$AA330)*IF($AB330&gt;$AA330,time*VLOOKUP($P342,list!$J$48:$K$50,2,FALSE),time*(1-VLOOKUP($P342,list!$J$48:$K$50,2,FALSE)))),0)*VLOOKUP($B330,IPCC!$A$871:$E$906,2,FALSE)*VLOOKUP($B330,IPCC!$A$871:$E$906,5,FALSE)*$S330*(1/$Q330)*$L342)</f>
        <v>0</v>
      </c>
      <c r="BC342" s="1449">
        <f>IF($B330 = "Please select",0,IF($R330&gt;time,0,1)*2*IF(OR('6.Inland wetlands'!$T121=list!$E$211,'6.Inland wetlands'!$T121=list!$E$213),(MIN($AC330,$AA330)*time+ABS($AC330-$AA330)*IF($AC330&gt;$AA330,time*VLOOKUP($P342,list!$J$48:$K$50,2,FALSE),time*(1-VLOOKUP($P342,list!$J$48:$K$50,2,FALSE)))),0)*VLOOKUP($B330,IPCC!$A$871:$E$906,2,FALSE)*VLOOKUP($B330,IPCC!$A$871:$E$906,5,FALSE)*$T330*(1/$R330)*$L342)</f>
        <v>0</v>
      </c>
      <c r="BD342" s="1449"/>
      <c r="BE342" s="1449">
        <f t="shared" si="170"/>
        <v>0</v>
      </c>
      <c r="BF342" s="1449">
        <f t="shared" si="171"/>
        <v>0</v>
      </c>
      <c r="BG342" s="1449">
        <f t="shared" si="172"/>
        <v>0</v>
      </c>
      <c r="BH342" s="973">
        <f t="shared" si="173"/>
        <v>0</v>
      </c>
      <c r="BK342" s="1084" t="s">
        <v>1131</v>
      </c>
      <c r="BL342" s="1314">
        <f>SUM($AF373:$AF378)</f>
        <v>0</v>
      </c>
      <c r="BM342" s="1314">
        <f>SUM($AG373:$AG378)</f>
        <v>0</v>
      </c>
      <c r="BN342" s="992">
        <f t="shared" si="176"/>
        <v>0</v>
      </c>
      <c r="BP342" s="1084" t="str">
        <f t="shared" si="177"/>
        <v>N2O soil drainage</v>
      </c>
      <c r="BQ342" s="1453">
        <f t="shared" si="178"/>
        <v>0</v>
      </c>
      <c r="BR342" s="1312" t="e">
        <f>IF(time=0,0,SUM(BC373:BC378)-SUM(BB373:BB378))</f>
        <v>#REF!</v>
      </c>
      <c r="BS342" s="1453" t="e">
        <f t="shared" si="174"/>
        <v>#REF!</v>
      </c>
      <c r="BT342" s="1455" t="e">
        <f t="shared" si="175"/>
        <v>#REF!</v>
      </c>
    </row>
    <row r="343" spans="2:72" x14ac:dyDescent="0.15">
      <c r="K343" s="1469" t="str">
        <f t="shared" si="157"/>
        <v>Please select</v>
      </c>
      <c r="L343" s="992">
        <f>'6.Inland wetlands'!$M122</f>
        <v>0</v>
      </c>
      <c r="M343" s="992">
        <f t="shared" si="158"/>
        <v>0</v>
      </c>
      <c r="N343" s="1688" t="str">
        <f>VLOOKUP('6.Inland wetlands'!$O122, list!$I$48:$J$50, 2, FALSE)</f>
        <v>Linear</v>
      </c>
      <c r="O343" s="992">
        <f t="shared" si="159"/>
        <v>0</v>
      </c>
      <c r="P343" s="1688" t="str">
        <f>VLOOKUP('6.Inland wetlands'!$Q122, list!$I$48:$J$50, 2, FALSE)</f>
        <v>Linear</v>
      </c>
      <c r="Q343" s="3470">
        <f t="shared" si="160"/>
        <v>0</v>
      </c>
      <c r="R343" s="1152">
        <f t="shared" si="161"/>
        <v>0</v>
      </c>
      <c r="S343" s="1152">
        <f t="shared" si="162"/>
        <v>0</v>
      </c>
      <c r="T343" s="3479">
        <f t="shared" si="163"/>
        <v>0</v>
      </c>
      <c r="U343" s="1152"/>
      <c r="V343" s="1152"/>
      <c r="W343" s="1152">
        <f t="shared" si="164"/>
        <v>0</v>
      </c>
      <c r="X343" s="1152">
        <f t="shared" si="165"/>
        <v>0</v>
      </c>
      <c r="AI343" s="1152">
        <f t="shared" si="166"/>
        <v>0</v>
      </c>
      <c r="AJ343" s="1152">
        <f t="shared" si="167"/>
        <v>0</v>
      </c>
      <c r="AK343" s="1159">
        <f t="shared" si="168"/>
        <v>0</v>
      </c>
      <c r="AX343" s="1449">
        <f t="shared" si="169"/>
        <v>0</v>
      </c>
      <c r="AY343" s="1449">
        <f t="shared" si="169"/>
        <v>0</v>
      </c>
      <c r="AZ343" s="1449">
        <f>IF($B331 = "Please select",0,IF($Q331&gt;time,0,1)*2*IF(OR('6.Inland wetlands'!$T122=list!$E$211,'6.Inland wetlands'!$T122=list!$E$213),(MIN($AB331*$M343,$AA331*$L343)*time+ABS($AB331*$M343-$AA331*$L343)*IF($AB331*$M343&gt;$AA331*$L343,time*VLOOKUP($N343,list!$J$48:$K$50,2,FALSE),time*(1-VLOOKUP($N343,list!$J$48:$K$50,2,FALSE)))),0)*VLOOKUP($B331,IPCC!$A$871:$E$906,2,FALSE)*VLOOKUP($B331,IPCC!$A$871:$E$906,4,FALSE)*$S331*(1/$Q331))</f>
        <v>0</v>
      </c>
      <c r="BA343" s="1449">
        <f>IF($B331 = "Please select",0,IF($R331&gt;time,0,1)*2*IF(OR('6.Inland wetlands'!$T122=list!$E$211,'6.Inland wetlands'!$T122=list!$E$213),(MIN($AC331,$AA331)*time+ABS($AC331-$AA331)*IF($AC331&gt;$AA331,time*VLOOKUP($P343,list!$J$48:$K$50,2,FALSE),time*(1-VLOOKUP($P343,list!$J$48:$K$50,2,FALSE)))),0)*VLOOKUP($B331,IPCC!$A$871:$E$906,2,FALSE)*VLOOKUP($B331,IPCC!$A$871:$E$906,4,FALSE)*$T331*(1/$R331)*L343)</f>
        <v>0</v>
      </c>
      <c r="BB343" s="1449">
        <f>IF($B331 = "Please select",0,IF($Q331&gt;time,0,1)*2*IF(OR('6.Inland wetlands'!$T122=list!$E$211,'6.Inland wetlands'!$T122=list!$E$213),(MIN($AB331,$AA331)*time+ABS($AB331-$AA331)*IF($AB331&gt;$AA331,time*VLOOKUP($P343,list!$J$48:$K$50,2,FALSE),time*(1-VLOOKUP($P343,list!$J$48:$K$50,2,FALSE)))),0)*VLOOKUP($B331,IPCC!$A$871:$E$906,2,FALSE)*VLOOKUP($B331,IPCC!$A$871:$E$906,5,FALSE)*$S331*(1/$Q331)*$L343)</f>
        <v>0</v>
      </c>
      <c r="BC343" s="1449">
        <f>IF($B331 = "Please select",0,IF($R331&gt;time,0,1)*2*IF(OR('6.Inland wetlands'!$T122=list!$E$211,'6.Inland wetlands'!$T122=list!$E$213),(MIN($AC331,$AA331)*time+ABS($AC331-$AA331)*IF($AC331&gt;$AA331,time*VLOOKUP($P343,list!$J$48:$K$50,2,FALSE),time*(1-VLOOKUP($P343,list!$J$48:$K$50,2,FALSE)))),0)*VLOOKUP($B331,IPCC!$A$871:$E$906,2,FALSE)*VLOOKUP($B331,IPCC!$A$871:$E$906,5,FALSE)*$T331*(1/$R331)*$L343)</f>
        <v>0</v>
      </c>
      <c r="BD343" s="1449"/>
      <c r="BE343" s="1449">
        <f t="shared" si="170"/>
        <v>0</v>
      </c>
      <c r="BF343" s="1449">
        <f t="shared" si="171"/>
        <v>0</v>
      </c>
      <c r="BG343" s="1449">
        <f t="shared" si="172"/>
        <v>0</v>
      </c>
      <c r="BH343" s="973">
        <f t="shared" si="173"/>
        <v>0</v>
      </c>
      <c r="BK343" s="1084" t="s">
        <v>1132</v>
      </c>
      <c r="BL343" s="1314">
        <f>SUM($AB388:$AB393)</f>
        <v>0</v>
      </c>
      <c r="BM343" s="1314">
        <f>SUM($AC388:$AC393)</f>
        <v>0</v>
      </c>
      <c r="BN343" s="992">
        <f t="shared" si="176"/>
        <v>0</v>
      </c>
      <c r="BP343" s="1084" t="str">
        <f t="shared" si="177"/>
        <v>CO2 soil rewetting</v>
      </c>
      <c r="BQ343" s="1453">
        <f t="shared" si="178"/>
        <v>0</v>
      </c>
      <c r="BR343" s="1312">
        <f>IF(time=0,0,SUM(AY388:AY393)-SUM(AX388:AX393))</f>
        <v>0</v>
      </c>
      <c r="BS343" s="1453">
        <f t="shared" si="174"/>
        <v>0</v>
      </c>
      <c r="BT343" s="1455">
        <f t="shared" si="175"/>
        <v>0</v>
      </c>
    </row>
    <row r="344" spans="2:72" x14ac:dyDescent="0.15">
      <c r="K344" s="1469" t="str">
        <f t="shared" si="157"/>
        <v>Please select</v>
      </c>
      <c r="L344" s="992">
        <f>'6.Inland wetlands'!$M123</f>
        <v>0</v>
      </c>
      <c r="M344" s="992">
        <f t="shared" si="158"/>
        <v>0</v>
      </c>
      <c r="N344" s="1688" t="str">
        <f>VLOOKUP('6.Inland wetlands'!$O123, list!$I$48:$J$50, 2, FALSE)</f>
        <v>Linear</v>
      </c>
      <c r="O344" s="992">
        <f t="shared" si="159"/>
        <v>0</v>
      </c>
      <c r="P344" s="1688" t="str">
        <f>VLOOKUP('6.Inland wetlands'!$Q123, list!$I$48:$J$50, 2, FALSE)</f>
        <v>Linear</v>
      </c>
      <c r="Q344" s="3471">
        <f t="shared" si="160"/>
        <v>0</v>
      </c>
      <c r="R344" s="1153">
        <f t="shared" si="161"/>
        <v>0</v>
      </c>
      <c r="S344" s="1153">
        <f t="shared" si="162"/>
        <v>0</v>
      </c>
      <c r="T344" s="3480">
        <f t="shared" si="163"/>
        <v>0</v>
      </c>
      <c r="U344" s="1153"/>
      <c r="V344" s="1153"/>
      <c r="W344" s="1153">
        <f t="shared" si="164"/>
        <v>0</v>
      </c>
      <c r="X344" s="1153">
        <f t="shared" si="165"/>
        <v>0</v>
      </c>
      <c r="AI344" s="1153">
        <f t="shared" si="166"/>
        <v>0</v>
      </c>
      <c r="AJ344" s="1153">
        <f t="shared" si="167"/>
        <v>0</v>
      </c>
      <c r="AK344" s="3474">
        <f t="shared" si="168"/>
        <v>0</v>
      </c>
      <c r="AX344" s="1449">
        <f t="shared" si="169"/>
        <v>0</v>
      </c>
      <c r="AY344" s="1449">
        <f t="shared" si="169"/>
        <v>0</v>
      </c>
      <c r="AZ344" s="1449">
        <f>IF($B332 = "Please select",0,IF($Q332&gt;time,0,1)*2*IF(OR('6.Inland wetlands'!$T123=list!$E$211,'6.Inland wetlands'!$T123=list!$E$213),(MIN($AB332*$M344,$AA332*$L344)*time+ABS($AB332*$M344-$AA332*$L344)*IF($AB332*$M344&gt;$AA332*$L344,time*VLOOKUP($N344,list!$J$48:$K$50,2,FALSE),time*(1-VLOOKUP($N344,list!$J$48:$K$50,2,FALSE)))),0)*VLOOKUP($B332,IPCC!$A$871:$E$906,2,FALSE)*VLOOKUP($B332,IPCC!$A$871:$E$906,4,FALSE)*$S332*(1/$Q332))</f>
        <v>0</v>
      </c>
      <c r="BA344" s="1449">
        <f>IF($B332 = "Please select",0,IF($R332&gt;time,0,1)*2*IF(OR('6.Inland wetlands'!$T123=list!$E$211,'6.Inland wetlands'!$T123=list!$E$213),(MIN($AC332,$AA332)*time+ABS($AC332-$AA332)*IF($AC332&gt;$AA332,time*VLOOKUP($P344,list!$J$48:$K$50,2,FALSE),time*(1-VLOOKUP($P344,list!$J$48:$K$50,2,FALSE)))),0)*VLOOKUP($B332,IPCC!$A$871:$E$906,2,FALSE)*VLOOKUP($B332,IPCC!$A$871:$E$906,4,FALSE)*$T332*(1/$R332)*L344)</f>
        <v>0</v>
      </c>
      <c r="BB344" s="1449">
        <f>IF($B332 = "Please select",0,IF($Q332&gt;time,0,1)*2*IF(OR('6.Inland wetlands'!$T123=list!$E$211,'6.Inland wetlands'!$T123=list!$E$213),(MIN($AB332,$AA332)*time+ABS($AB332-$AA332)*IF($AB332&gt;$AA332,time*VLOOKUP($P344,list!$J$48:$K$50,2,FALSE),time*(1-VLOOKUP($P344,list!$J$48:$K$50,2,FALSE)))),0)*VLOOKUP($B332,IPCC!$A$871:$E$906,2,FALSE)*VLOOKUP($B332,IPCC!$A$871:$E$906,5,FALSE)*$S332*(1/$Q332)*$L344)</f>
        <v>0</v>
      </c>
      <c r="BC344" s="1449">
        <f>IF($B332 = "Please select",0,IF($R332&gt;time,0,1)*2*IF(OR('6.Inland wetlands'!$T123=list!$E$211,'6.Inland wetlands'!$T123=list!$E$213),(MIN($AC332,$AA332)*time+ABS($AC332-$AA332)*IF($AC332&gt;$AA332,time*VLOOKUP($P344,list!$J$48:$K$50,2,FALSE),time*(1-VLOOKUP($P344,list!$J$48:$K$50,2,FALSE)))),0)*VLOOKUP($B332,IPCC!$A$871:$E$906,2,FALSE)*VLOOKUP($B332,IPCC!$A$871:$E$906,5,FALSE)*$T332*(1/$R332)*$L344)</f>
        <v>0</v>
      </c>
      <c r="BD344" s="1449"/>
      <c r="BE344" s="1449">
        <f t="shared" si="170"/>
        <v>0</v>
      </c>
      <c r="BF344" s="1449">
        <f t="shared" si="171"/>
        <v>0</v>
      </c>
      <c r="BG344" s="1449">
        <f t="shared" si="172"/>
        <v>0</v>
      </c>
      <c r="BH344" s="973">
        <f t="shared" si="173"/>
        <v>0</v>
      </c>
      <c r="BK344" s="1084" t="s">
        <v>1133</v>
      </c>
      <c r="BL344" s="1314">
        <f>SUM($AD388:$AD393)</f>
        <v>0</v>
      </c>
      <c r="BM344" s="1314">
        <f>SUM($AE388:$AE393)</f>
        <v>0</v>
      </c>
      <c r="BN344" s="992">
        <f t="shared" si="176"/>
        <v>0</v>
      </c>
      <c r="BP344" s="1084" t="str">
        <f t="shared" si="177"/>
        <v>CH4 soil rewetting</v>
      </c>
      <c r="BQ344" s="1453">
        <f t="shared" si="178"/>
        <v>0</v>
      </c>
      <c r="BR344" s="1312">
        <f>IF(time=0,0,SUM(BA388:BA393)-SUM(AZ388:AZ393))</f>
        <v>0</v>
      </c>
      <c r="BS344" s="1453">
        <f t="shared" si="174"/>
        <v>0</v>
      </c>
      <c r="BT344" s="1455">
        <f t="shared" si="175"/>
        <v>0</v>
      </c>
    </row>
    <row r="345" spans="2:72" x14ac:dyDescent="0.15">
      <c r="P345" s="1469"/>
      <c r="Q345" s="992"/>
      <c r="R345" s="992"/>
      <c r="S345" s="992"/>
      <c r="T345" s="992"/>
      <c r="U345" s="992"/>
      <c r="V345" s="992"/>
      <c r="W345" s="992"/>
      <c r="X345" s="992"/>
      <c r="AI345" s="992"/>
      <c r="AJ345" s="992"/>
      <c r="AK345" s="992"/>
      <c r="BE345" s="1449"/>
      <c r="BF345" s="1449"/>
      <c r="BG345" s="1449"/>
      <c r="BK345" s="1084" t="s">
        <v>1134</v>
      </c>
      <c r="BL345" s="1314">
        <f>SUM($AF388:$AF393)</f>
        <v>0</v>
      </c>
      <c r="BM345" s="1314">
        <f>SUM($AG388:$AG393)</f>
        <v>0</v>
      </c>
      <c r="BN345" s="992">
        <f t="shared" si="176"/>
        <v>0</v>
      </c>
      <c r="BP345" s="1084" t="str">
        <f t="shared" si="177"/>
        <v>N2O soil rewetting</v>
      </c>
      <c r="BQ345" s="1453">
        <f t="shared" si="178"/>
        <v>0</v>
      </c>
      <c r="BR345" s="1312">
        <f>IF(time=0,0,SUM(BC388:BC393)-SUM(BB388:BB393))</f>
        <v>0</v>
      </c>
      <c r="BS345" s="1453">
        <f t="shared" si="174"/>
        <v>0</v>
      </c>
      <c r="BT345" s="1455">
        <f t="shared" si="175"/>
        <v>0</v>
      </c>
    </row>
    <row r="346" spans="2:72" x14ac:dyDescent="0.15">
      <c r="AX346" s="1461">
        <f t="shared" ref="AX346:BC346" si="179">SUM(AX339:AX344)</f>
        <v>0</v>
      </c>
      <c r="AY346" s="1461">
        <f t="shared" si="179"/>
        <v>0</v>
      </c>
      <c r="AZ346" s="1461">
        <f t="shared" si="179"/>
        <v>0</v>
      </c>
      <c r="BA346" s="1461">
        <f t="shared" si="179"/>
        <v>0</v>
      </c>
      <c r="BB346" s="1461">
        <f t="shared" si="179"/>
        <v>0</v>
      </c>
      <c r="BC346" s="1461">
        <f t="shared" si="179"/>
        <v>0</v>
      </c>
      <c r="BD346" s="1461"/>
      <c r="BE346" s="1449"/>
      <c r="BF346" s="1449"/>
      <c r="BG346" s="1449"/>
      <c r="BK346" s="1084" t="s">
        <v>1135</v>
      </c>
      <c r="BL346" s="1314">
        <f>SUM($AD357:$AD362)</f>
        <v>0</v>
      </c>
      <c r="BM346" s="1314">
        <f>SUM($AE357:$AE362)</f>
        <v>0</v>
      </c>
      <c r="BN346" s="992">
        <f t="shared" si="176"/>
        <v>0</v>
      </c>
      <c r="BP346" s="1084" t="str">
        <f t="shared" si="177"/>
        <v>CO2 Fire</v>
      </c>
      <c r="BQ346" s="1453">
        <f>BM346-BL346</f>
        <v>0</v>
      </c>
      <c r="BR346" s="1312">
        <f>IF(time=0,0,SUM(AY357:AY362)-SUM(AX357:AX362))</f>
        <v>0</v>
      </c>
      <c r="BS346" s="1453">
        <f t="shared" si="174"/>
        <v>0</v>
      </c>
      <c r="BT346" s="1455">
        <f t="shared" si="175"/>
        <v>0</v>
      </c>
    </row>
    <row r="347" spans="2:72" x14ac:dyDescent="0.15">
      <c r="AY347" s="1451">
        <f>AY346-AX346</f>
        <v>0</v>
      </c>
      <c r="AZ347" s="1451"/>
      <c r="BA347" s="1451">
        <f>BA346-AZ346</f>
        <v>0</v>
      </c>
      <c r="BB347" s="1451"/>
      <c r="BC347" s="1451">
        <f>BC346-BB346</f>
        <v>0</v>
      </c>
      <c r="BD347" s="1451"/>
      <c r="BE347" s="1451"/>
      <c r="BF347" s="1451"/>
      <c r="BG347" s="1451"/>
      <c r="BK347" s="1084" t="s">
        <v>1136</v>
      </c>
      <c r="BL347" s="1314">
        <f>SUM(BE339:BE344,BE357:BE362)</f>
        <v>0</v>
      </c>
      <c r="BM347" s="1314">
        <f>SUM(BF339:BF344,BF357:BF362)</f>
        <v>0</v>
      </c>
      <c r="BN347" s="992">
        <f t="shared" si="176"/>
        <v>0</v>
      </c>
      <c r="BP347" s="1084" t="str">
        <f t="shared" si="177"/>
        <v>CH4 Fire</v>
      </c>
      <c r="BQ347" s="1453">
        <f t="shared" si="178"/>
        <v>0</v>
      </c>
      <c r="BR347" s="1312">
        <f>IF(time=0,0,SUM(BA357:BA362)-SUM(AZ357:AZ362)+SUM(BA339:BA344)-SUM(AZ339:AZ344))</f>
        <v>0</v>
      </c>
      <c r="BS347" s="1453">
        <f>BQ347-BR347</f>
        <v>0</v>
      </c>
      <c r="BT347" s="1455">
        <f t="shared" si="175"/>
        <v>0</v>
      </c>
    </row>
    <row r="348" spans="2:72" x14ac:dyDescent="0.15">
      <c r="BK348" s="1459" t="s">
        <v>626</v>
      </c>
      <c r="BL348" s="1319">
        <f>SUM(BG339:BG344)</f>
        <v>0</v>
      </c>
      <c r="BM348" s="1319">
        <f>SUM(BH339:BH344)</f>
        <v>0</v>
      </c>
      <c r="BN348" s="992">
        <f>BM348-BL348</f>
        <v>0</v>
      </c>
      <c r="BP348" s="1459" t="str">
        <f t="shared" si="177"/>
        <v>N2O Fire</v>
      </c>
      <c r="BQ348" s="1453">
        <f t="shared" si="178"/>
        <v>0</v>
      </c>
      <c r="BR348" s="1499">
        <f>IF(time=0,0,SUM(BC339:BC344)-SUM(BB339:BB344))</f>
        <v>0</v>
      </c>
      <c r="BS348" s="1320">
        <f>BQ348-BR348</f>
        <v>0</v>
      </c>
      <c r="BT348" s="1455">
        <f t="shared" si="175"/>
        <v>0</v>
      </c>
    </row>
    <row r="349" spans="2:72" s="1089" customFormat="1" ht="30.5" customHeight="1" x14ac:dyDescent="0.15">
      <c r="B349" s="1112" t="s">
        <v>1238</v>
      </c>
      <c r="C349" s="1113"/>
      <c r="D349" s="1113"/>
      <c r="E349" s="1113"/>
      <c r="F349" s="1113"/>
      <c r="G349" s="1113"/>
      <c r="H349" s="1113"/>
      <c r="I349" s="1113"/>
      <c r="J349" s="1113"/>
      <c r="K349" s="1113"/>
      <c r="L349" s="1113"/>
      <c r="M349" s="1113"/>
      <c r="N349" s="1113"/>
      <c r="O349" s="1113"/>
      <c r="P349" s="1113"/>
      <c r="Q349" s="1113"/>
      <c r="R349" s="1113"/>
      <c r="S349" s="1113"/>
      <c r="T349" s="1113"/>
      <c r="U349" s="1113"/>
      <c r="V349" s="1113"/>
      <c r="W349" s="1113"/>
      <c r="X349" s="1113"/>
      <c r="Y349" s="1113"/>
      <c r="Z349" s="1113"/>
      <c r="AA349" s="1113"/>
      <c r="AB349" s="1113"/>
      <c r="AC349" s="1113"/>
      <c r="AD349" s="1113"/>
      <c r="AE349" s="1113"/>
      <c r="AF349" s="1113"/>
      <c r="AG349" s="1113"/>
      <c r="AH349" s="1113"/>
      <c r="AI349" s="1113"/>
      <c r="AJ349" s="1113"/>
      <c r="AK349" s="1113"/>
      <c r="AO349" s="973"/>
      <c r="AP349" s="973"/>
      <c r="AQ349" s="973"/>
      <c r="AR349" s="973"/>
      <c r="AS349" s="973"/>
      <c r="AT349" s="973"/>
      <c r="AU349" s="973"/>
      <c r="AV349" s="973"/>
      <c r="AW349" s="973"/>
      <c r="AX349" s="1447"/>
      <c r="AY349" s="1447"/>
      <c r="AZ349" s="1447"/>
      <c r="BA349" s="1447"/>
      <c r="BB349" s="1447"/>
      <c r="BC349" s="1447"/>
      <c r="BD349" s="1447"/>
      <c r="BE349" s="1447"/>
      <c r="BF349" s="1447"/>
      <c r="BG349" s="1447"/>
      <c r="BK349" s="973"/>
      <c r="BL349" s="973"/>
      <c r="BM349" s="973"/>
      <c r="BN349" s="1688"/>
      <c r="BO349" s="973"/>
      <c r="BP349" s="1316"/>
      <c r="BQ349" s="1460">
        <f>SUM(BQ339:BQ348)</f>
        <v>0</v>
      </c>
      <c r="BR349" s="1460" t="e">
        <f>SUM(BR339:BR348)</f>
        <v>#REF!</v>
      </c>
      <c r="BS349" s="1460" t="e">
        <f>SUM(BS339:BS348)</f>
        <v>#REF!</v>
      </c>
      <c r="BT349" s="992" t="e">
        <f>BR349+BS349</f>
        <v>#REF!</v>
      </c>
    </row>
    <row r="350" spans="2:72" s="1089" customFormat="1" ht="20.25" customHeight="1" x14ac:dyDescent="0.15">
      <c r="B350" s="1228"/>
      <c r="AX350" s="1447"/>
      <c r="AY350" s="1447"/>
      <c r="AZ350" s="1447"/>
      <c r="BA350" s="1447"/>
      <c r="BB350" s="1447"/>
      <c r="BC350" s="1447"/>
      <c r="BD350" s="1447"/>
      <c r="BE350" s="1447"/>
      <c r="BF350" s="1447"/>
      <c r="BG350" s="1447"/>
      <c r="BK350" s="973" t="s">
        <v>871</v>
      </c>
      <c r="BL350" s="992">
        <f>SUM(BL339:BL348)</f>
        <v>0</v>
      </c>
      <c r="BM350" s="992">
        <f>SUM(BM339:BM348)</f>
        <v>0</v>
      </c>
      <c r="BN350" s="992">
        <f>BM350-BL350</f>
        <v>0</v>
      </c>
      <c r="BO350" s="1246"/>
      <c r="BP350" s="973"/>
      <c r="BQ350" s="973"/>
      <c r="BR350" s="973"/>
      <c r="BS350" s="973"/>
      <c r="BT350" s="973"/>
    </row>
    <row r="351" spans="2:72" s="1089" customFormat="1" ht="20.25" customHeight="1" x14ac:dyDescent="0.2">
      <c r="B351" s="1231" t="s">
        <v>1256</v>
      </c>
      <c r="C351" s="1263" t="str">
        <f>'6.Inland wetlands'!CK126</f>
        <v>Nutrient poor</v>
      </c>
      <c r="D351" s="973"/>
      <c r="E351" s="973"/>
      <c r="AX351" s="1447"/>
      <c r="AY351" s="1447"/>
      <c r="AZ351" s="1447"/>
      <c r="BA351" s="1447"/>
      <c r="BB351" s="1447"/>
      <c r="BC351" s="1447"/>
      <c r="BD351" s="1447"/>
      <c r="BE351" s="1447"/>
      <c r="BF351" s="1447"/>
      <c r="BG351" s="1447"/>
      <c r="BK351" s="973" t="s">
        <v>1140</v>
      </c>
      <c r="BL351" s="992">
        <f>SUM(AI339:AI344,AI357:AI362,AI373:AI378,AI388:AI393)</f>
        <v>0</v>
      </c>
      <c r="BM351" s="992">
        <f>SUM(AJ339:AJ344,AJ357:AJ362,AJ373:AJ378,AJ388:AJ393)</f>
        <v>0</v>
      </c>
      <c r="BN351" s="992">
        <f>SUM(AK339:AK344,AK357:AK362,AK373:AK378,AK388:AK393)</f>
        <v>0</v>
      </c>
      <c r="BO351" s="1246"/>
      <c r="BP351" s="973"/>
      <c r="BQ351" s="973"/>
      <c r="BR351" s="973"/>
      <c r="BS351" s="973"/>
      <c r="BT351" s="973"/>
    </row>
    <row r="352" spans="2:72" x14ac:dyDescent="0.15">
      <c r="Q352" s="1120" t="s">
        <v>1141</v>
      </c>
    </row>
    <row r="353" spans="1:59" ht="16" x14ac:dyDescent="0.2">
      <c r="A353" s="1276"/>
      <c r="E353" s="1231"/>
      <c r="F353" s="1262" t="s">
        <v>1239</v>
      </c>
      <c r="G353" s="1262"/>
      <c r="H353" s="1262"/>
      <c r="I353" s="1262"/>
      <c r="J353" s="1262"/>
      <c r="K353" s="1262"/>
      <c r="L353" s="1262"/>
      <c r="M353" s="1262"/>
      <c r="O353" s="1497" t="s">
        <v>1144</v>
      </c>
      <c r="P353" s="1275"/>
      <c r="Q353" s="1275"/>
      <c r="R353" s="1276"/>
      <c r="S353" s="1276"/>
      <c r="T353" s="1276"/>
      <c r="U353" s="1276"/>
      <c r="V353" s="1276"/>
      <c r="W353" s="1276"/>
      <c r="X353" s="1276" t="s">
        <v>1145</v>
      </c>
      <c r="Y353" s="1276"/>
      <c r="Z353" s="1276"/>
      <c r="AD353" s="1275" t="s">
        <v>1146</v>
      </c>
      <c r="AE353" s="1276"/>
      <c r="AF353" s="1276"/>
      <c r="AG353" s="1276"/>
      <c r="AI353" s="1270" t="s">
        <v>1115</v>
      </c>
      <c r="AJ353" s="1116"/>
      <c r="AK353" s="1116"/>
      <c r="AX353" s="1287" t="s">
        <v>1147</v>
      </c>
      <c r="AY353" s="1501"/>
      <c r="AZ353" s="1501"/>
    </row>
    <row r="354" spans="1:59" ht="17" x14ac:dyDescent="0.2">
      <c r="A354" s="1276"/>
      <c r="F354" s="1105" t="s">
        <v>200</v>
      </c>
      <c r="G354" s="1100"/>
      <c r="H354" s="1100" t="s">
        <v>158</v>
      </c>
      <c r="I354" s="1100"/>
      <c r="J354" s="1106" t="s">
        <v>201</v>
      </c>
      <c r="K354" s="1101"/>
      <c r="L354" s="1101" t="s">
        <v>158</v>
      </c>
      <c r="M354" s="1101"/>
      <c r="O354" s="1275" t="s">
        <v>1036</v>
      </c>
      <c r="P354" s="1276"/>
      <c r="Q354" s="1275" t="s">
        <v>1038</v>
      </c>
      <c r="R354" s="1276"/>
      <c r="S354" s="1275" t="s">
        <v>176</v>
      </c>
      <c r="T354" s="1276"/>
      <c r="U354" s="1275" t="s">
        <v>1148</v>
      </c>
      <c r="V354" s="1276"/>
      <c r="W354" s="1276"/>
      <c r="X354" s="1276"/>
      <c r="Y354" s="1276"/>
      <c r="Z354" s="1276"/>
      <c r="AD354" s="1497" t="s">
        <v>1149</v>
      </c>
      <c r="AE354" s="1276"/>
      <c r="AF354" s="1276"/>
      <c r="AG354" s="1276"/>
      <c r="AI354" s="1270" t="s">
        <v>1121</v>
      </c>
      <c r="AJ354" s="1116"/>
      <c r="AK354" s="1116"/>
      <c r="AX354" s="1502" t="s">
        <v>1036</v>
      </c>
      <c r="AY354" s="1502"/>
      <c r="AZ354" s="1502" t="s">
        <v>176</v>
      </c>
      <c r="BA354" s="1450"/>
      <c r="BB354" s="1452"/>
      <c r="BC354" s="1452"/>
      <c r="BD354" s="1452"/>
      <c r="BE354" s="1502" t="s">
        <v>176</v>
      </c>
      <c r="BF354" s="1452"/>
      <c r="BG354" s="1452"/>
    </row>
    <row r="355" spans="1:59" ht="16" x14ac:dyDescent="0.2">
      <c r="A355" s="1276"/>
      <c r="F355" s="1100" t="s">
        <v>1240</v>
      </c>
      <c r="G355" s="1100"/>
      <c r="H355" s="1100" t="s">
        <v>1151</v>
      </c>
      <c r="I355" s="1100" t="s">
        <v>1152</v>
      </c>
      <c r="J355" s="1101" t="str">
        <f>F355</f>
        <v xml:space="preserve">Managed land </v>
      </c>
      <c r="K355" s="1101"/>
      <c r="L355" s="1101" t="s">
        <v>1151</v>
      </c>
      <c r="M355" s="1101" t="s">
        <v>1152</v>
      </c>
      <c r="O355" s="1276" t="s">
        <v>1047</v>
      </c>
      <c r="P355" s="1276"/>
      <c r="Q355" s="1276" t="s">
        <v>1048</v>
      </c>
      <c r="R355" s="1276"/>
      <c r="S355" s="1276" t="s">
        <v>1049</v>
      </c>
      <c r="T355" s="1276"/>
      <c r="U355" s="1276" t="s">
        <v>116</v>
      </c>
      <c r="V355" s="1276"/>
      <c r="W355" s="1276"/>
      <c r="X355" s="1309" t="s">
        <v>1153</v>
      </c>
      <c r="Y355" s="1276"/>
      <c r="Z355" s="1276"/>
      <c r="AA355" s="1281"/>
      <c r="AB355" s="1281"/>
      <c r="AD355" s="1276" t="s">
        <v>1154</v>
      </c>
      <c r="AE355" s="1276"/>
      <c r="AF355" s="1276" t="s">
        <v>176</v>
      </c>
      <c r="AG355" s="1276"/>
      <c r="AI355" s="1270" t="s">
        <v>1215</v>
      </c>
      <c r="AJ355" s="1116"/>
      <c r="AK355" s="1116"/>
      <c r="AX355" s="1264" t="s">
        <v>859</v>
      </c>
      <c r="AZ355" s="1264" t="s">
        <v>859</v>
      </c>
      <c r="BE355" s="1264" t="s">
        <v>1241</v>
      </c>
    </row>
    <row r="356" spans="1:59" ht="15" x14ac:dyDescent="0.15">
      <c r="A356" s="1276"/>
      <c r="B356" s="1281" t="s">
        <v>1156</v>
      </c>
      <c r="C356" s="973" t="s">
        <v>1257</v>
      </c>
      <c r="D356" s="973" t="s">
        <v>323</v>
      </c>
      <c r="E356" s="973" t="s">
        <v>219</v>
      </c>
      <c r="F356" s="1102" t="s">
        <v>371</v>
      </c>
      <c r="G356" s="1102" t="s">
        <v>225</v>
      </c>
      <c r="H356" s="1102" t="s">
        <v>1158</v>
      </c>
      <c r="I356" s="1107" t="s">
        <v>1159</v>
      </c>
      <c r="J356" s="1103" t="s">
        <v>371</v>
      </c>
      <c r="K356" s="1103" t="s">
        <v>225</v>
      </c>
      <c r="L356" s="1103" t="s">
        <v>1158</v>
      </c>
      <c r="M356" s="1108" t="s">
        <v>1159</v>
      </c>
      <c r="O356" s="1277" t="s">
        <v>864</v>
      </c>
      <c r="P356" s="1277" t="s">
        <v>66</v>
      </c>
      <c r="Q356" s="1277" t="s">
        <v>864</v>
      </c>
      <c r="R356" s="1277" t="s">
        <v>66</v>
      </c>
      <c r="S356" s="1277" t="s">
        <v>864</v>
      </c>
      <c r="T356" s="1277" t="s">
        <v>66</v>
      </c>
      <c r="U356" s="1277" t="s">
        <v>864</v>
      </c>
      <c r="V356" s="1277" t="s">
        <v>66</v>
      </c>
      <c r="W356" s="1276"/>
      <c r="X356" s="973" t="s">
        <v>219</v>
      </c>
      <c r="Y356" s="1102" t="s">
        <v>179</v>
      </c>
      <c r="Z356" s="1103" t="s">
        <v>180</v>
      </c>
      <c r="AA356" s="1688"/>
      <c r="AB356" s="1688"/>
      <c r="AC356" s="1688"/>
      <c r="AD356" s="1102" t="s">
        <v>179</v>
      </c>
      <c r="AE356" s="1103" t="s">
        <v>180</v>
      </c>
      <c r="AF356" s="1102" t="s">
        <v>179</v>
      </c>
      <c r="AG356" s="1103" t="s">
        <v>180</v>
      </c>
      <c r="AI356" s="1102" t="s">
        <v>200</v>
      </c>
      <c r="AJ356" s="1103" t="s">
        <v>201</v>
      </c>
      <c r="AK356" s="1104" t="s">
        <v>324</v>
      </c>
      <c r="AX356" s="1272" t="s">
        <v>200</v>
      </c>
      <c r="AY356" s="1272" t="s">
        <v>201</v>
      </c>
      <c r="AZ356" s="1272" t="s">
        <v>200</v>
      </c>
      <c r="BA356" s="1272" t="s">
        <v>201</v>
      </c>
      <c r="BE356" s="1272" t="s">
        <v>200</v>
      </c>
      <c r="BF356" s="1272" t="s">
        <v>201</v>
      </c>
    </row>
    <row r="357" spans="1:59" x14ac:dyDescent="0.15">
      <c r="A357" s="1496" t="s">
        <v>1160</v>
      </c>
      <c r="B357" s="973" t="str">
        <f t="shared" ref="B357:B362" si="180">K339</f>
        <v>Please select</v>
      </c>
      <c r="C357" s="1121" t="str">
        <f t="shared" ref="C357:C362" si="181">IF($B357="Please select","",IF(ISNUMBER(SEARCH("Planted",$B357)),"Plantation","Forest"))</f>
        <v/>
      </c>
      <c r="D357" s="992">
        <f>'6.Inland wetlands'!K129</f>
        <v>0</v>
      </c>
      <c r="E357" s="1246">
        <f>'6.Inland wetlands'!M129</f>
        <v>0</v>
      </c>
      <c r="F357" s="992">
        <f>'6.Inland wetlands'!N129</f>
        <v>0</v>
      </c>
      <c r="G357" s="1688" t="str">
        <f t="shared" ref="G357:G362" si="182">N339</f>
        <v>Linear</v>
      </c>
      <c r="H357" s="1688">
        <f>'6.Inland wetlands'!DB118</f>
        <v>1</v>
      </c>
      <c r="I357" s="1241">
        <f>'6.Inland wetlands'!DC118</f>
        <v>0.5</v>
      </c>
      <c r="J357" s="992">
        <f>'6.Inland wetlands'!P129</f>
        <v>0</v>
      </c>
      <c r="K357" s="1688" t="str">
        <f t="shared" ref="K357:K362" si="183">P339</f>
        <v>Linear</v>
      </c>
      <c r="L357" s="1688">
        <f>'6.Inland wetlands'!DE118</f>
        <v>1</v>
      </c>
      <c r="M357" s="1241">
        <f>'6.Inland wetlands'!DF118</f>
        <v>0.5</v>
      </c>
      <c r="O357" s="1111">
        <f>IFERROR(INDEX(IPCC!$A$2037:$D$2048,MATCH(clim_moist,IPCC!$A$2037:$A$2048,0),MATCH($O$354,IPCC!$A$2037:$D$2037,0)),0)</f>
        <v>362</v>
      </c>
      <c r="P357" s="1161">
        <f>IF('6.Inland wetlands'!$DI118="",'6.Inland wetlands'!$DH118,'6.Inland wetlands'!$DI118)</f>
        <v>362</v>
      </c>
      <c r="Q357" s="1111">
        <f>IFERROR(INDEX(IPCC!$A$2037:$D$2048,MATCH(clim_moist,IPCC!$A$2037:$A$2048,0),MATCH($Q$354,IPCC!$A$2037:$D$2037,0)),0)</f>
        <v>207</v>
      </c>
      <c r="R357" s="1161">
        <f>IF('6.Inland wetlands'!$DK118="",'6.Inland wetlands'!$DJ118,'6.Inland wetlands'!$DK118)</f>
        <v>207</v>
      </c>
      <c r="S357" s="1111">
        <f>IFERROR(INDEX(IPCC!$A$2037:$D$2048,MATCH(clim_moist,IPCC!$A$2037:$A$2048,0),MATCH($S$354,IPCC!$A$2037:$D$2037,0)),0)</f>
        <v>9</v>
      </c>
      <c r="T357" s="1161">
        <f>IF('6.Inland wetlands'!$DM118="",'6.Inland wetlands'!$DL118,'6.Inland wetlands'!$DM118)</f>
        <v>9</v>
      </c>
      <c r="U357" s="1111">
        <f>IFERROR(INDEX(IPCC!$A$2020:$D$2031,MATCH(clim_moist,IPCC!$A$2021:$A$2031,0),MATCH('6.Inland wetlands'!$CZ118,IPCC!$A$2020:$D$2020,0)),0)</f>
        <v>0</v>
      </c>
      <c r="V357" s="1161">
        <f>IF('6.Inland wetlands'!$DO118="",'6.Inland wetlands'!$DN118,'6.Inland wetlands'!$DO118)</f>
        <v>0</v>
      </c>
      <c r="W357" s="1276"/>
      <c r="X357" s="1151">
        <f>IF('6.Inland wetlands'!$CZ118=list!$F$210,0,$V357*$E357)</f>
        <v>0</v>
      </c>
      <c r="Y357" s="1151">
        <f>IF('6.Inland wetlands'!$CZ118=list!$F$210,0,$V357*$F357)</f>
        <v>0</v>
      </c>
      <c r="Z357" s="1151">
        <f>IF('6.Inland wetlands'!$CZ118=list!$F$210,0,$V357*$J357)</f>
        <v>0</v>
      </c>
      <c r="AA357" s="3476"/>
      <c r="AB357" s="1468"/>
      <c r="AC357" s="1468"/>
      <c r="AD357" s="1151">
        <f>IF(OR('6.Inland wetlands'!$AB129=list!$E$211, '6.Inland wetlands'!$AB129=list!$E$213), IF($H357&gt;time_tot,0,MIN($X357,$Y357)*time_tot+ABS($Y357-$X357)*IF($Y357&gt;$X357,time_cap+time*VLOOKUP($G357,list!$J$48:$K$50,2,0),time*(1-VLOOKUP($G357,list!$J$48:$K$50,2,0))))*(1/$H357)*($I357)*($P357*44/12/1000)+IF($H357&gt;time_tot,0,MIN($X357,$Y357)*time_tot+ABS($Y357-$X357)*IF($Y357&gt;$X357,time_cap+time*VLOOKUP($G357,list!$J$48:$K$50,2,0),time*(1-VLOOKUP($G357,list!$J$48:$K$50,2,0))))*(1/$H357)*($I357)*($R357*2/1000), 0)</f>
        <v>0</v>
      </c>
      <c r="AE357" s="1151">
        <f>IF(OR('6.Inland wetlands'!$AB129=list!$E$212,'6.Inland wetlands'!$AB129=list!$E$213),IF($L357&gt;time_tot,0,MIN($X357,$Z357)*time_tot+ABS($Z357-$X357)*IF($Z357&gt;$X357,time_cap+time*VLOOKUP($K357,list!$J$48:$K$50,2,0),time*(1-VLOOKUP($K357,list!$J$48:$K$50,2,0))))*(1/$L357)*($M357)*($P357*44/12/1000)+IF($L357&gt;time_tot,0,MIN($X357,$Z357)*time_tot+ABS($Z357-$X357)*IF($Z357&gt;$X357,time_cap+time*VLOOKUP($K357,list!$J$48:$K$50,2,0),time*(1-VLOOKUP($K357,list!$J$48:$K$50,2,0))))*(1/$L357)*($M357)*($R357*2/1000), 0)</f>
        <v>0</v>
      </c>
      <c r="AF357" s="1151">
        <f>IF(OR('6.Inland wetlands'!$AB129=list!$E$211,'6.Inland wetlands'!$AB129=list!$E$213), IF($H357&gt;time_tot,0,MIN($X357,$Y357)*time_tot+ABS($Y357-$X357)*IF($Y357&gt;$X357,time_cap+time*VLOOKUP($G357,list!$J$48:$K$50,2,0),time*(1-VLOOKUP($G357,list!$J$48:$K$50,2,0))))*(1/$H357)*($I357)*($T357*methane/1000), 0)</f>
        <v>0</v>
      </c>
      <c r="AG357" s="1151">
        <f>IF(OR('6.Inland wetlands'!$AB129=list!$E$212,'6.Inland wetlands'!$AB129=list!$E$213), IF($L357&gt;time_tot,0,MIN($X357,$Z357)*time_tot+ABS($Z357-$X357)*IF($Z357&gt;$X357,time_cap+time*VLOOKUP($K357,list!$J$48:$K$50,2,0),time*(1-VLOOKUP($K357,list!$J$48:$K$50,2,0))))*(1/$L357)*($M357)*($T357*methane/1000), 0)</f>
        <v>0</v>
      </c>
      <c r="AI357" s="3470">
        <f t="shared" ref="AI357:AJ362" si="184">SUM(AD357,AF357)</f>
        <v>0</v>
      </c>
      <c r="AJ357" s="1152">
        <f t="shared" si="184"/>
        <v>0</v>
      </c>
      <c r="AK357" s="1160">
        <f t="shared" ref="AK357:AK362" si="185">AJ357-AI357</f>
        <v>0</v>
      </c>
      <c r="AX357" s="1449">
        <f>IF('6.Inland wetlands'!$CZ118=list!$F$210,0,IF($H357&gt;time,0,MIN($X357,$Y357)*time+ABS($Y357-$X357)*IF($Y357&gt;$X357,time*VLOOKUP($G357,list!$J$48:$K$50,2,0),time*(1-VLOOKUP($G357,list!$J$48:$K$50,2,0))))*(1/$H357)*($I357)*($P357/1000)+IF($H357&gt;time,0,MIN($X357,$Y357)*time+ABS($Y357-$X357)*IF($Y357&gt;$X357,time*VLOOKUP($G357,list!$J$48:$K$50,2,0),time*(1-VLOOKUP($G357,list!$J$48:$K$50,2,0))))*(1/$H357)*($I357)*($R357*2/1000))</f>
        <v>0</v>
      </c>
      <c r="AY357" s="1449">
        <f>IF('6.Inland wetlands'!$CZ118=list!$F$210,0,IF($L357&gt;time,0,MIN($X357,$Z357)*time+ABS($Z357-$X357)*IF($Z357&gt;$X357,time*VLOOKUP($K357,list!$J$48:$K$50,2,0),time*(1-VLOOKUP($K357,list!$J$48:$K$50,2,0))))*(1/$L357)*($M357)*($P357/1000)+IF($L357&gt;time,0,MIN($X357,$Z357)*time+ABS($Z357-$X357)*IF($Z357&gt;$X357,time*VLOOKUP($K357,list!$J$48:$K$50,2,0),time*(1-VLOOKUP($K357,list!$J$48:$K$50,2,0))))*(1/$L357)*($M357)*($R357*2/1000))</f>
        <v>0</v>
      </c>
      <c r="AZ357" s="1449">
        <f>IF('6.Inland wetlands'!$CZ118=list!$F$210,0,IF($H357&gt;time,0,MIN($X357,$Y357)*time+ABS($Y357-$X357)*IF($Y357&gt;$X357,time*VLOOKUP($G357,list!$J$48:$K$50,2,0),time*(1-VLOOKUP($G357,list!$J$48:$K$50,2,0))))*(1/$H357)*($I357)*($T357*methane/1000))</f>
        <v>0</v>
      </c>
      <c r="BA357" s="1449">
        <f>IF('6.Inland wetlands'!$CZ118=list!$F$210,0,IF($L357&gt;time,0,MIN($X357,$Z357)*time+ABS($Z357-$X357)*IF($Z357&gt;$X357,time*VLOOKUP($K357,list!$J$48:$K$50,2,0),time*(1-VLOOKUP($K357,list!$J$48:$K$50,2,0))))*(1/$L357)*($M357)*($T357*methane/1000))</f>
        <v>0</v>
      </c>
      <c r="BE357" s="1451">
        <f t="shared" ref="BE357:BF362" si="186">AF357</f>
        <v>0</v>
      </c>
      <c r="BF357" s="1451">
        <f t="shared" si="186"/>
        <v>0</v>
      </c>
    </row>
    <row r="358" spans="1:59" x14ac:dyDescent="0.15">
      <c r="A358" s="1496" t="s">
        <v>1161</v>
      </c>
      <c r="B358" s="973" t="str">
        <f t="shared" si="180"/>
        <v>Please select</v>
      </c>
      <c r="C358" s="1121" t="str">
        <f t="shared" si="181"/>
        <v/>
      </c>
      <c r="D358" s="992">
        <f>'6.Inland wetlands'!K130</f>
        <v>0</v>
      </c>
      <c r="E358" s="1246">
        <f>'6.Inland wetlands'!M130</f>
        <v>0</v>
      </c>
      <c r="F358" s="992">
        <f>'6.Inland wetlands'!N130</f>
        <v>0</v>
      </c>
      <c r="G358" s="1688" t="str">
        <f t="shared" si="182"/>
        <v>Linear</v>
      </c>
      <c r="H358" s="1688">
        <f>'6.Inland wetlands'!DB119</f>
        <v>1</v>
      </c>
      <c r="I358" s="1241">
        <f>'6.Inland wetlands'!DC119</f>
        <v>0.01</v>
      </c>
      <c r="J358" s="992">
        <f>'6.Inland wetlands'!P130</f>
        <v>0</v>
      </c>
      <c r="K358" s="1688" t="str">
        <f t="shared" si="183"/>
        <v>Linear</v>
      </c>
      <c r="L358" s="1688">
        <f>'6.Inland wetlands'!DE119</f>
        <v>1</v>
      </c>
      <c r="M358" s="1241">
        <f>'6.Inland wetlands'!DF119</f>
        <v>0.01</v>
      </c>
      <c r="O358" s="1111">
        <f>IFERROR(INDEX(IPCC!$A$2037:$D$2048,MATCH(clim_moist,IPCC!$A$2037:$A$2048,0),MATCH($O$354,IPCC!$A$2037:$D$2037,0)),0)</f>
        <v>362</v>
      </c>
      <c r="P358" s="1161">
        <f>IF('6.Inland wetlands'!$DI119="",'6.Inland wetlands'!$DH119,'6.Inland wetlands'!$DI119)</f>
        <v>362</v>
      </c>
      <c r="Q358" s="1111">
        <f>IFERROR(INDEX(IPCC!$A$2037:$D$2048,MATCH(clim_moist,IPCC!$A$2037:$A$2048,0),MATCH($Q$354,IPCC!$A$2037:$D$2037,0)),0)</f>
        <v>207</v>
      </c>
      <c r="R358" s="1161">
        <f>IF('6.Inland wetlands'!$DK119="",'6.Inland wetlands'!$DJ119,'6.Inland wetlands'!$DK119)</f>
        <v>207</v>
      </c>
      <c r="S358" s="1111">
        <f>IFERROR(INDEX(IPCC!$A$2037:$D$2048,MATCH(clim_moist,IPCC!$A$2037:$A$2048,0),MATCH($S$354,IPCC!$A$2037:$D$2037,0)),0)</f>
        <v>9</v>
      </c>
      <c r="T358" s="1161">
        <f>IF('6.Inland wetlands'!$DM119="",'6.Inland wetlands'!$DL119,'6.Inland wetlands'!$DM119)</f>
        <v>9</v>
      </c>
      <c r="U358" s="1111">
        <f>IFERROR(INDEX(IPCC!$A$2020:$D$2031,MATCH(clim_moist,IPCC!$A$2021:$A$2031,0),MATCH('6.Inland wetlands'!$CZ119,IPCC!$A$2020:$D$2020,0)),0)</f>
        <v>0</v>
      </c>
      <c r="V358" s="1161">
        <f>IF('6.Inland wetlands'!$DO119="",'6.Inland wetlands'!$DN119,'6.Inland wetlands'!$DO119)</f>
        <v>0</v>
      </c>
      <c r="W358" s="1276"/>
      <c r="X358" s="1151">
        <f>IF('6.Inland wetlands'!$CZ119=list!$F$210,0,$V358*$E358)</f>
        <v>0</v>
      </c>
      <c r="Y358" s="1151">
        <f>IF('6.Inland wetlands'!$CZ119=list!$F$210,0,$V358*$F358)</f>
        <v>0</v>
      </c>
      <c r="Z358" s="1151">
        <f>IF('6.Inland wetlands'!$CZ119=list!$F$210,0,$V358*$J358)</f>
        <v>0</v>
      </c>
      <c r="AA358" s="3476"/>
      <c r="AB358" s="1468"/>
      <c r="AC358" s="1468"/>
      <c r="AD358" s="1151">
        <f>IF(OR('6.Inland wetlands'!$AB130=list!$E$211, '6.Inland wetlands'!$AB130=list!$E$213), IF($H358&gt;time_tot,0,MIN($X358,$Y358)*time_tot+ABS($Y358-$X358)*IF($Y358&gt;$X358,time_cap+time*VLOOKUP($G358,list!$J$48:$K$50,2,0),time*(1-VLOOKUP($G358,list!$J$48:$K$50,2,0))))*(1/$H358)*($I358)*($P358*44/12/1000)+IF($H358&gt;time_tot,0,MIN($X358,$Y358)*time_tot+ABS($Y358-$X358)*IF($Y358&gt;$X358,time_cap+time*VLOOKUP($G358,list!$J$48:$K$50,2,0),time*(1-VLOOKUP($G358,list!$J$48:$K$50,2,0))))*(1/$H358)*($I358)*($R358*2/1000), 0)</f>
        <v>0</v>
      </c>
      <c r="AE358" s="1151">
        <f>IF(OR('6.Inland wetlands'!$AB130=list!$E$212,'6.Inland wetlands'!$AB130=list!$E$213),IF($L358&gt;time_tot,0,MIN($X358,$Z358)*time_tot+ABS($Z358-$X358)*IF($Z358&gt;$X358,time_cap+time*VLOOKUP($K358,list!$J$48:$K$50,2,0),time*(1-VLOOKUP($K358,list!$J$48:$K$50,2,0))))*(1/$L358)*($M358)*($P358*44/12/1000)+IF($L358&gt;time_tot,0,MIN($X358,$Z358)*time_tot+ABS($Z358-$X358)*IF($Z358&gt;$X358,time_cap+time*VLOOKUP($K358,list!$J$48:$K$50,2,0),time*(1-VLOOKUP($K358,list!$J$48:$K$50,2,0))))*(1/$L358)*($M358)*($R358*2/1000), 0)</f>
        <v>0</v>
      </c>
      <c r="AF358" s="1151">
        <f>IF(OR('6.Inland wetlands'!$AB130=list!$E$211,'6.Inland wetlands'!$AB130=list!$E$213), IF($H358&gt;time_tot,0,MIN($X358,$Y358)*time_tot+ABS($Y358-$X358)*IF($Y358&gt;$X358,time_cap+time*VLOOKUP($G358,list!$J$48:$K$50,2,0),time*(1-VLOOKUP($G358,list!$J$48:$K$50,2,0))))*(1/$H358)*($I358)*($T358*methane/1000), 0)</f>
        <v>0</v>
      </c>
      <c r="AG358" s="1151">
        <f>IF(OR('6.Inland wetlands'!$AB130=list!$E$212,'6.Inland wetlands'!$AB130=list!$E$213), IF($L358&gt;time_tot,0,MIN($X358,$Z358)*time_tot+ABS($Z358-$X358)*IF($Z358&gt;$X358,time_cap+time*VLOOKUP($K358,list!$J$48:$K$50,2,0),time*(1-VLOOKUP($K358,list!$J$48:$K$50,2,0))))*(1/$L358)*($M358)*($T358*methane/1000), 0)</f>
        <v>0</v>
      </c>
      <c r="AI358" s="3470">
        <f t="shared" si="184"/>
        <v>0</v>
      </c>
      <c r="AJ358" s="1152">
        <f t="shared" si="184"/>
        <v>0</v>
      </c>
      <c r="AK358" s="1160">
        <f t="shared" si="185"/>
        <v>0</v>
      </c>
      <c r="AX358" s="1449">
        <f>IF('6.Inland wetlands'!$CZ119=list!$F$210,0,IF($H358&gt;time,0,MIN($X358,$Y358)*time+ABS($Y358-$X358)*IF($Y358&gt;$X358,time*VLOOKUP($G358,list!$J$48:$K$50,2,0),time*(1-VLOOKUP($G358,list!$J$48:$K$50,2,0))))*(1/$H358)*($I358)*($P358/1000)+IF($H358&gt;time,0,MIN($X358,$Y358)*time+ABS($Y358-$X358)*IF($Y358&gt;$X358,time*VLOOKUP($G358,list!$J$48:$K$50,2,0),time*(1-VLOOKUP($G358,list!$J$48:$K$50,2,0))))*(1/$H358)*($I358)*($R358*2/1000))</f>
        <v>0</v>
      </c>
      <c r="AY358" s="1449">
        <f>IF('6.Inland wetlands'!$CZ119=list!$F$210,0,IF($L358&gt;time,0,MIN($X358,$Z358)*time+ABS($Z358-$X358)*IF($Z358&gt;$X358,time*VLOOKUP($K358,list!$J$48:$K$50,2,0),time*(1-VLOOKUP($K358,list!$J$48:$K$50,2,0))))*(1/$L358)*($M358)*($P358/1000)+IF($L358&gt;time,0,MIN($X358,$Z358)*time+ABS($Z358-$X358)*IF($Z358&gt;$X358,time*VLOOKUP($K358,list!$J$48:$K$50,2,0),time*(1-VLOOKUP($K358,list!$J$48:$K$50,2,0))))*(1/$L358)*($M358)*($R358*2/1000))</f>
        <v>0</v>
      </c>
      <c r="AZ358" s="1449">
        <f>IF('6.Inland wetlands'!$CZ119=list!$F$210,0,IF($H358&gt;time,0,MIN($X358,$Y358)*time+ABS($Y358-$X358)*IF($Y358&gt;$X358,time*VLOOKUP($G358,list!$J$48:$K$50,2,0),time*(1-VLOOKUP($G358,list!$J$48:$K$50,2,0))))*(1/$H358)*($I358)*($T358*methane/1000))</f>
        <v>0</v>
      </c>
      <c r="BA358" s="1449">
        <f>IF('6.Inland wetlands'!$CZ119=list!$F$210,0,IF($L358&gt;time,0,MIN($X358,$Z358)*time+ABS($Z358-$X358)*IF($Z358&gt;$X358,time*VLOOKUP($K358,list!$J$48:$K$50,2,0),time*(1-VLOOKUP($K358,list!$J$48:$K$50,2,0))))*(1/$L358)*($M358)*($T358*methane/1000))</f>
        <v>0</v>
      </c>
      <c r="BE358" s="1451">
        <f t="shared" si="186"/>
        <v>0</v>
      </c>
      <c r="BF358" s="1451">
        <f t="shared" si="186"/>
        <v>0</v>
      </c>
    </row>
    <row r="359" spans="1:59" x14ac:dyDescent="0.15">
      <c r="A359" s="1496" t="s">
        <v>1162</v>
      </c>
      <c r="B359" s="973" t="str">
        <f t="shared" si="180"/>
        <v>Please select</v>
      </c>
      <c r="C359" s="1121" t="str">
        <f t="shared" si="181"/>
        <v/>
      </c>
      <c r="D359" s="992">
        <f>'6.Inland wetlands'!K131</f>
        <v>0</v>
      </c>
      <c r="E359" s="1246">
        <f>'6.Inland wetlands'!M131</f>
        <v>0</v>
      </c>
      <c r="F359" s="992">
        <f>'6.Inland wetlands'!N131</f>
        <v>0</v>
      </c>
      <c r="G359" s="1688" t="str">
        <f t="shared" si="182"/>
        <v>Linear</v>
      </c>
      <c r="H359" s="1688">
        <f>'6.Inland wetlands'!DB120</f>
        <v>1</v>
      </c>
      <c r="I359" s="1241">
        <f>'6.Inland wetlands'!DC120</f>
        <v>0.01</v>
      </c>
      <c r="J359" s="992">
        <f>'6.Inland wetlands'!P131</f>
        <v>0</v>
      </c>
      <c r="K359" s="1688" t="str">
        <f t="shared" si="183"/>
        <v>Linear</v>
      </c>
      <c r="L359" s="1688">
        <f>'6.Inland wetlands'!DE120</f>
        <v>1</v>
      </c>
      <c r="M359" s="1241">
        <f>'6.Inland wetlands'!DF120</f>
        <v>0.01</v>
      </c>
      <c r="O359" s="1111">
        <f>IFERROR(INDEX(IPCC!$A$2037:$D$2048,MATCH(clim_moist,IPCC!$A$2037:$A$2048,0),MATCH($O$354,IPCC!$A$2037:$D$2037,0)),0)</f>
        <v>362</v>
      </c>
      <c r="P359" s="1161">
        <f>IF('6.Inland wetlands'!$DI120="",'6.Inland wetlands'!$DH120,'6.Inland wetlands'!$DI120)</f>
        <v>362</v>
      </c>
      <c r="Q359" s="1111">
        <f>IFERROR(INDEX(IPCC!$A$2037:$D$2048,MATCH(clim_moist,IPCC!$A$2037:$A$2048,0),MATCH($Q$354,IPCC!$A$2037:$D$2037,0)),0)</f>
        <v>207</v>
      </c>
      <c r="R359" s="1161">
        <f>IF('6.Inland wetlands'!$DK120="",'6.Inland wetlands'!$DJ120,'6.Inland wetlands'!$DK120)</f>
        <v>207</v>
      </c>
      <c r="S359" s="1111">
        <f>IFERROR(INDEX(IPCC!$A$2037:$D$2048,MATCH(clim_moist,IPCC!$A$2037:$A$2048,0),MATCH($S$354,IPCC!$A$2037:$D$2037,0)),0)</f>
        <v>9</v>
      </c>
      <c r="T359" s="1161">
        <f>IF('6.Inland wetlands'!$DM120="",'6.Inland wetlands'!$DL120,'6.Inland wetlands'!$DM120)</f>
        <v>9</v>
      </c>
      <c r="U359" s="1111">
        <f>IFERROR(INDEX(IPCC!$A$2020:$D$2031,MATCH(clim_moist,IPCC!$A$2021:$A$2031,0),MATCH('6.Inland wetlands'!$CZ120,IPCC!$A$2020:$D$2020,0)),0)</f>
        <v>0</v>
      </c>
      <c r="V359" s="1161">
        <f>IF('6.Inland wetlands'!$DO120="",'6.Inland wetlands'!$DN120,'6.Inland wetlands'!$DO120)</f>
        <v>0</v>
      </c>
      <c r="W359" s="1276"/>
      <c r="X359" s="1151">
        <f>IF('6.Inland wetlands'!$CZ120=list!$F$210,0,$V359*$E359)</f>
        <v>0</v>
      </c>
      <c r="Y359" s="1151">
        <f>IF('6.Inland wetlands'!$CZ120=list!$F$210,0,$V359*$F359)</f>
        <v>0</v>
      </c>
      <c r="Z359" s="1151">
        <f>IF('6.Inland wetlands'!$CZ120=list!$F$210,0,$V359*$J359)</f>
        <v>0</v>
      </c>
      <c r="AA359" s="3476"/>
      <c r="AB359" s="1468"/>
      <c r="AC359" s="1468"/>
      <c r="AD359" s="1151">
        <f>IF(OR('6.Inland wetlands'!$AB131=list!$E$211, '6.Inland wetlands'!$AB131=list!$E$213), IF($H359&gt;time_tot,0,MIN($X359,$Y359)*time_tot+ABS($Y359-$X359)*IF($Y359&gt;$X359,time_cap+time*VLOOKUP($G359,list!$J$48:$K$50,2,0),time*(1-VLOOKUP($G359,list!$J$48:$K$50,2,0))))*(1/$H359)*($I359)*($P359*44/12/1000)+IF($H359&gt;time_tot,0,MIN($X359,$Y359)*time_tot+ABS($Y359-$X359)*IF($Y359&gt;$X359,time_cap+time*VLOOKUP($G359,list!$J$48:$K$50,2,0),time*(1-VLOOKUP($G359,list!$J$48:$K$50,2,0))))*(1/$H359)*($I359)*($R359*2/1000), 0)</f>
        <v>0</v>
      </c>
      <c r="AE359" s="1151">
        <f>IF(OR('6.Inland wetlands'!$AB131=list!$E$212,'6.Inland wetlands'!$AB131=list!$E$213),IF($L359&gt;time_tot,0,MIN($X359,$Z359)*time_tot+ABS($Z359-$X359)*IF($Z359&gt;$X359,time_cap+time*VLOOKUP($K359,list!$J$48:$K$50,2,0),time*(1-VLOOKUP($K359,list!$J$48:$K$50,2,0))))*(1/$L359)*($M359)*($P359*44/12/1000)+IF($L359&gt;time_tot,0,MIN($X359,$Z359)*time_tot+ABS($Z359-$X359)*IF($Z359&gt;$X359,time_cap+time*VLOOKUP($K359,list!$J$48:$K$50,2,0),time*(1-VLOOKUP($K359,list!$J$48:$K$50,2,0))))*(1/$L359)*($M359)*($R359*2/1000), 0)</f>
        <v>0</v>
      </c>
      <c r="AF359" s="1151">
        <f>IF(OR('6.Inland wetlands'!$AB131=list!$E$211,'6.Inland wetlands'!$AB131=list!$E$213), IF($H359&gt;time_tot,0,MIN($X359,$Y359)*time_tot+ABS($Y359-$X359)*IF($Y359&gt;$X359,time_cap+time*VLOOKUP($G359,list!$J$48:$K$50,2,0),time*(1-VLOOKUP($G359,list!$J$48:$K$50,2,0))))*(1/$H359)*($I359)*($T359*methane/1000), 0)</f>
        <v>0</v>
      </c>
      <c r="AG359" s="1151">
        <f>IF(OR('6.Inland wetlands'!$AB131=list!$E$212,'6.Inland wetlands'!$AB131=list!$E$213), IF($L359&gt;time_tot,0,MIN($X359,$Z359)*time_tot+ABS($Z359-$X359)*IF($Z359&gt;$X359,time_cap+time*VLOOKUP($K359,list!$J$48:$K$50,2,0),time*(1-VLOOKUP($K359,list!$J$48:$K$50,2,0))))*(1/$L359)*($M359)*($T359*methane/1000), 0)</f>
        <v>0</v>
      </c>
      <c r="AI359" s="3470">
        <f t="shared" si="184"/>
        <v>0</v>
      </c>
      <c r="AJ359" s="1152">
        <f t="shared" si="184"/>
        <v>0</v>
      </c>
      <c r="AK359" s="1160">
        <f t="shared" si="185"/>
        <v>0</v>
      </c>
      <c r="AX359" s="1449">
        <f>IF('6.Inland wetlands'!$CZ120=list!$F$210,0,IF($H359&gt;time,0,MIN($X359,$Y359)*time+ABS($Y359-$X359)*IF($Y359&gt;$X359,time*VLOOKUP($G359,list!$J$48:$K$50,2,0),time*(1-VLOOKUP($G359,list!$J$48:$K$50,2,0))))*(1/$H359)*($I359)*($P359/1000)+IF($H359&gt;time,0,MIN($X359,$Y359)*time+ABS($Y359-$X359)*IF($Y359&gt;$X359,time*VLOOKUP($G359,list!$J$48:$K$50,2,0),time*(1-VLOOKUP($G359,list!$J$48:$K$50,2,0))))*(1/$H359)*($I359)*($R359*2/1000))</f>
        <v>0</v>
      </c>
      <c r="AY359" s="1449">
        <f>IF('6.Inland wetlands'!$CZ120=list!$F$210,0,IF($L359&gt;time,0,MIN($X359,$Z359)*time+ABS($Z359-$X359)*IF($Z359&gt;$X359,time*VLOOKUP($K359,list!$J$48:$K$50,2,0),time*(1-VLOOKUP($K359,list!$J$48:$K$50,2,0))))*(1/$L359)*($M359)*($P359/1000)+IF($L359&gt;time,0,MIN($X359,$Z359)*time+ABS($Z359-$X359)*IF($Z359&gt;$X359,time*VLOOKUP($K359,list!$J$48:$K$50,2,0),time*(1-VLOOKUP($K359,list!$J$48:$K$50,2,0))))*(1/$L359)*($M359)*($R359*2/1000))</f>
        <v>0</v>
      </c>
      <c r="AZ359" s="1449">
        <f>IF('6.Inland wetlands'!$CZ120=list!$F$210,0,IF($H359&gt;time,0,MIN($X359,$Y359)*time+ABS($Y359-$X359)*IF($Y359&gt;$X359,time*VLOOKUP($G359,list!$J$48:$K$50,2,0),time*(1-VLOOKUP($G359,list!$J$48:$K$50,2,0))))*(1/$H359)*($I359)*($T359*methane/1000))</f>
        <v>0</v>
      </c>
      <c r="BA359" s="1449">
        <f>IF('6.Inland wetlands'!$CZ120=list!$F$210,0,IF($L359&gt;time,0,MIN($X359,$Z359)*time+ABS($Z359-$X359)*IF($Z359&gt;$X359,time*VLOOKUP($K359,list!$J$48:$K$50,2,0),time*(1-VLOOKUP($K359,list!$J$48:$K$50,2,0))))*(1/$L359)*($M359)*($T359*methane/1000))</f>
        <v>0</v>
      </c>
      <c r="BE359" s="1451">
        <f t="shared" si="186"/>
        <v>0</v>
      </c>
      <c r="BF359" s="1451">
        <f t="shared" si="186"/>
        <v>0</v>
      </c>
    </row>
    <row r="360" spans="1:59" x14ac:dyDescent="0.15">
      <c r="A360" s="1496" t="s">
        <v>1163</v>
      </c>
      <c r="B360" s="973" t="str">
        <f t="shared" si="180"/>
        <v>Please select</v>
      </c>
      <c r="C360" s="1121" t="str">
        <f t="shared" si="181"/>
        <v/>
      </c>
      <c r="D360" s="992">
        <f>'6.Inland wetlands'!K132</f>
        <v>0</v>
      </c>
      <c r="E360" s="1246">
        <f>'6.Inland wetlands'!M132</f>
        <v>0</v>
      </c>
      <c r="F360" s="992">
        <f>'6.Inland wetlands'!N132</f>
        <v>0</v>
      </c>
      <c r="G360" s="1688" t="str">
        <f t="shared" si="182"/>
        <v>Linear</v>
      </c>
      <c r="H360" s="1688">
        <f>'6.Inland wetlands'!DB121</f>
        <v>1</v>
      </c>
      <c r="I360" s="1241">
        <f>'6.Inland wetlands'!DC121</f>
        <v>0.01</v>
      </c>
      <c r="J360" s="992">
        <f>'6.Inland wetlands'!P132</f>
        <v>0</v>
      </c>
      <c r="K360" s="1688" t="str">
        <f t="shared" si="183"/>
        <v>Linear</v>
      </c>
      <c r="L360" s="1688">
        <f>'6.Inland wetlands'!DE121</f>
        <v>1</v>
      </c>
      <c r="M360" s="1241">
        <f>'6.Inland wetlands'!DF121</f>
        <v>0.01</v>
      </c>
      <c r="O360" s="1111">
        <f>IFERROR(INDEX(IPCC!$A$2037:$D$2048,MATCH(clim_moist,IPCC!$A$2037:$A$2048,0),MATCH($O$354,IPCC!$A$2037:$D$2037,0)),0)</f>
        <v>362</v>
      </c>
      <c r="P360" s="1161">
        <f>IF('6.Inland wetlands'!$DI121="",'6.Inland wetlands'!$DH121,'6.Inland wetlands'!$DI121)</f>
        <v>362</v>
      </c>
      <c r="Q360" s="1111">
        <f>IFERROR(INDEX(IPCC!$A$2037:$D$2048,MATCH(clim_moist,IPCC!$A$2037:$A$2048,0),MATCH($Q$354,IPCC!$A$2037:$D$2037,0)),0)</f>
        <v>207</v>
      </c>
      <c r="R360" s="1161">
        <f>IF('6.Inland wetlands'!$DK121="",'6.Inland wetlands'!$DJ121,'6.Inland wetlands'!$DK121)</f>
        <v>207</v>
      </c>
      <c r="S360" s="1111">
        <f>IFERROR(INDEX(IPCC!$A$2037:$D$2048,MATCH(clim_moist,IPCC!$A$2037:$A$2048,0),MATCH($S$354,IPCC!$A$2037:$D$2037,0)),0)</f>
        <v>9</v>
      </c>
      <c r="T360" s="1161">
        <f>IF('6.Inland wetlands'!$DM121="",'6.Inland wetlands'!$DL121,'6.Inland wetlands'!$DM121)</f>
        <v>9</v>
      </c>
      <c r="U360" s="1111">
        <f>IFERROR(INDEX(IPCC!$A$2020:$D$2031,MATCH(clim_moist,IPCC!$A$2021:$A$2031,0),MATCH('6.Inland wetlands'!$CZ121,IPCC!$A$2020:$D$2020,0)),0)</f>
        <v>0</v>
      </c>
      <c r="V360" s="1161">
        <f>IF('6.Inland wetlands'!$DO121="",'6.Inland wetlands'!$DN121,'6.Inland wetlands'!$DO121)</f>
        <v>0</v>
      </c>
      <c r="W360" s="1276"/>
      <c r="X360" s="1151">
        <f>IF('6.Inland wetlands'!$CZ121=list!$F$210,0,$V360*$E360)</f>
        <v>0</v>
      </c>
      <c r="Y360" s="1151">
        <f>IF('6.Inland wetlands'!$CZ121=list!$F$210,0,$V360*$F360)</f>
        <v>0</v>
      </c>
      <c r="Z360" s="1151">
        <f>IF('6.Inland wetlands'!$CZ121=list!$F$210,0,$V360*$J360)</f>
        <v>0</v>
      </c>
      <c r="AA360" s="3476"/>
      <c r="AB360" s="1468"/>
      <c r="AC360" s="1468"/>
      <c r="AD360" s="1151">
        <f>IF(OR('6.Inland wetlands'!$AB132=list!$E$211, '6.Inland wetlands'!$AB132=list!$E$213), IF($H360&gt;time_tot,0,MIN($X360,$Y360)*time_tot+ABS($Y360-$X360)*IF($Y360&gt;$X360,time_cap+time*VLOOKUP($G360,list!$J$48:$K$50,2,0),time*(1-VLOOKUP($G360,list!$J$48:$K$50,2,0))))*(1/$H360)*($I360)*($P360*44/12/1000)+IF($H360&gt;time_tot,0,MIN($X360,$Y360)*time_tot+ABS($Y360-$X360)*IF($Y360&gt;$X360,time_cap+time*VLOOKUP($G360,list!$J$48:$K$50,2,0),time*(1-VLOOKUP($G360,list!$J$48:$K$50,2,0))))*(1/$H360)*($I360)*($R360*2/1000), 0)</f>
        <v>0</v>
      </c>
      <c r="AE360" s="1151">
        <f>IF(OR('6.Inland wetlands'!$AB132=list!$E$212,'6.Inland wetlands'!$AB132=list!$E$213),IF($L360&gt;time_tot,0,MIN($X360,$Z360)*time_tot+ABS($Z360-$X360)*IF($Z360&gt;$X360,time_cap+time*VLOOKUP($K360,list!$J$48:$K$50,2,0),time*(1-VLOOKUP($K360,list!$J$48:$K$50,2,0))))*(1/$L360)*($M360)*($P360*44/12/1000)+IF($L360&gt;time_tot,0,MIN($X360,$Z360)*time_tot+ABS($Z360-$X360)*IF($Z360&gt;$X360,time_cap+time*VLOOKUP($K360,list!$J$48:$K$50,2,0),time*(1-VLOOKUP($K360,list!$J$48:$K$50,2,0))))*(1/$L360)*($M360)*($R360*2/1000), 0)</f>
        <v>0</v>
      </c>
      <c r="AF360" s="1151">
        <f>IF(OR('6.Inland wetlands'!$AB132=list!$E$211,'6.Inland wetlands'!$AB132=list!$E$213), IF($H360&gt;time_tot,0,MIN($X360,$Y360)*time_tot+ABS($Y360-$X360)*IF($Y360&gt;$X360,time_cap+time*VLOOKUP($G360,list!$J$48:$K$50,2,0),time*(1-VLOOKUP($G360,list!$J$48:$K$50,2,0))))*(1/$H360)*($I360)*($T360*methane/1000), 0)</f>
        <v>0</v>
      </c>
      <c r="AG360" s="1151">
        <f>IF(OR('6.Inland wetlands'!$AB132=list!$E$212,'6.Inland wetlands'!$AB132=list!$E$213), IF($L360&gt;time_tot,0,MIN($X360,$Z360)*time_tot+ABS($Z360-$X360)*IF($Z360&gt;$X360,time_cap+time*VLOOKUP($K360,list!$J$48:$K$50,2,0),time*(1-VLOOKUP($K360,list!$J$48:$K$50,2,0))))*(1/$L360)*($M360)*($T360*methane/1000), 0)</f>
        <v>0</v>
      </c>
      <c r="AI360" s="3470">
        <f t="shared" si="184"/>
        <v>0</v>
      </c>
      <c r="AJ360" s="1152">
        <f t="shared" si="184"/>
        <v>0</v>
      </c>
      <c r="AK360" s="1160">
        <f t="shared" si="185"/>
        <v>0</v>
      </c>
      <c r="AX360" s="1449">
        <f>IF('6.Inland wetlands'!$CZ121=list!$F$210,0,IF($H360&gt;time,0,MIN($X360,$Y360)*time+ABS($Y360-$X360)*IF($Y360&gt;$X360,time*VLOOKUP($G360,list!$J$48:$K$50,2,0),time*(1-VLOOKUP($G360,list!$J$48:$K$50,2,0))))*(1/$H360)*($I360)*($P360/1000)+IF($H360&gt;time,0,MIN($X360,$Y360)*time+ABS($Y360-$X360)*IF($Y360&gt;$X360,time*VLOOKUP($G360,list!$J$48:$K$50,2,0),time*(1-VLOOKUP($G360,list!$J$48:$K$50,2,0))))*(1/$H360)*($I360)*($R360*2/1000))</f>
        <v>0</v>
      </c>
      <c r="AY360" s="1449">
        <f>IF('6.Inland wetlands'!$CZ121=list!$F$210,0,IF($L360&gt;time,0,MIN($X360,$Z360)*time+ABS($Z360-$X360)*IF($Z360&gt;$X360,time*VLOOKUP($K360,list!$J$48:$K$50,2,0),time*(1-VLOOKUP($K360,list!$J$48:$K$50,2,0))))*(1/$L360)*($M360)*($P360/1000)+IF($L360&gt;time,0,MIN($X360,$Z360)*time+ABS($Z360-$X360)*IF($Z360&gt;$X360,time*VLOOKUP($K360,list!$J$48:$K$50,2,0),time*(1-VLOOKUP($K360,list!$J$48:$K$50,2,0))))*(1/$L360)*($M360)*($R360*2/1000))</f>
        <v>0</v>
      </c>
      <c r="AZ360" s="1449">
        <f>IF('6.Inland wetlands'!$CZ121=list!$F$210,0,IF($H360&gt;time,0,MIN($X360,$Y360)*time+ABS($Y360-$X360)*IF($Y360&gt;$X360,time*VLOOKUP($G360,list!$J$48:$K$50,2,0),time*(1-VLOOKUP($G360,list!$J$48:$K$50,2,0))))*(1/$H360)*($I360)*($T360*methane/1000))</f>
        <v>0</v>
      </c>
      <c r="BA360" s="1449">
        <f>IF('6.Inland wetlands'!$CZ121=list!$F$210,0,IF($L360&gt;time,0,MIN($X360,$Z360)*time+ABS($Z360-$X360)*IF($Z360&gt;$X360,time*VLOOKUP($K360,list!$J$48:$K$50,2,0),time*(1-VLOOKUP($K360,list!$J$48:$K$50,2,0))))*(1/$L360)*($M360)*($T360*methane/1000))</f>
        <v>0</v>
      </c>
      <c r="BE360" s="1451">
        <f t="shared" si="186"/>
        <v>0</v>
      </c>
      <c r="BF360" s="1451">
        <f t="shared" si="186"/>
        <v>0</v>
      </c>
    </row>
    <row r="361" spans="1:59" x14ac:dyDescent="0.15">
      <c r="A361" s="1496" t="s">
        <v>1164</v>
      </c>
      <c r="B361" s="973" t="str">
        <f t="shared" si="180"/>
        <v>Please select</v>
      </c>
      <c r="C361" s="1121" t="str">
        <f t="shared" si="181"/>
        <v/>
      </c>
      <c r="D361" s="992">
        <f>'6.Inland wetlands'!K133</f>
        <v>0</v>
      </c>
      <c r="E361" s="1246">
        <f>'6.Inland wetlands'!M133</f>
        <v>0</v>
      </c>
      <c r="F361" s="992">
        <f>'6.Inland wetlands'!N133</f>
        <v>0</v>
      </c>
      <c r="G361" s="1688" t="str">
        <f t="shared" si="182"/>
        <v>Linear</v>
      </c>
      <c r="H361" s="1688">
        <f>'6.Inland wetlands'!DB122</f>
        <v>1</v>
      </c>
      <c r="I361" s="1241">
        <f>'6.Inland wetlands'!DC122</f>
        <v>0.01</v>
      </c>
      <c r="J361" s="992">
        <f>'6.Inland wetlands'!P133</f>
        <v>0</v>
      </c>
      <c r="K361" s="1688" t="str">
        <f t="shared" si="183"/>
        <v>Linear</v>
      </c>
      <c r="L361" s="1688">
        <f>'6.Inland wetlands'!DE122</f>
        <v>1</v>
      </c>
      <c r="M361" s="1241">
        <f>'6.Inland wetlands'!DF122</f>
        <v>0.01</v>
      </c>
      <c r="O361" s="1111">
        <f>IFERROR(INDEX(IPCC!$A$2037:$D$2048,MATCH(clim_moist,IPCC!$A$2037:$A$2048,0),MATCH($O$354,IPCC!$A$2037:$D$2037,0)),0)</f>
        <v>362</v>
      </c>
      <c r="P361" s="1161">
        <f>IF('6.Inland wetlands'!$DI122="",'6.Inland wetlands'!$DH122,'6.Inland wetlands'!$DI122)</f>
        <v>362</v>
      </c>
      <c r="Q361" s="1111">
        <f>IFERROR(INDEX(IPCC!$A$2037:$D$2048,MATCH(clim_moist,IPCC!$A$2037:$A$2048,0),MATCH($Q$354,IPCC!$A$2037:$D$2037,0)),0)</f>
        <v>207</v>
      </c>
      <c r="R361" s="1161">
        <f>IF('6.Inland wetlands'!$DK122="",'6.Inland wetlands'!$DJ122,'6.Inland wetlands'!$DK122)</f>
        <v>207</v>
      </c>
      <c r="S361" s="1111">
        <f>IFERROR(INDEX(IPCC!$A$2037:$D$2048,MATCH(clim_moist,IPCC!$A$2037:$A$2048,0),MATCH($S$354,IPCC!$A$2037:$D$2037,0)),0)</f>
        <v>9</v>
      </c>
      <c r="T361" s="1161">
        <f>IF('6.Inland wetlands'!$DM122="",'6.Inland wetlands'!$DL122,'6.Inland wetlands'!$DM122)</f>
        <v>9</v>
      </c>
      <c r="U361" s="1111">
        <f>IFERROR(INDEX(IPCC!$A$2020:$D$2031,MATCH(clim_moist,IPCC!$A$2021:$A$2031,0),MATCH('6.Inland wetlands'!$CZ122,IPCC!$A$2020:$D$2020,0)),0)</f>
        <v>0</v>
      </c>
      <c r="V361" s="1161">
        <f>IF('6.Inland wetlands'!$DO122="",'6.Inland wetlands'!$DN122,'6.Inland wetlands'!$DO122)</f>
        <v>0</v>
      </c>
      <c r="W361" s="1276"/>
      <c r="X361" s="1151">
        <f>IF('6.Inland wetlands'!$CZ122=list!$F$210,0,$V361*$E361)</f>
        <v>0</v>
      </c>
      <c r="Y361" s="1151">
        <f>IF('6.Inland wetlands'!$CZ122=list!$F$210,0,$V361*$F361)</f>
        <v>0</v>
      </c>
      <c r="Z361" s="1151">
        <f>IF('6.Inland wetlands'!$CZ122=list!$F$210,0,$V361*$J361)</f>
        <v>0</v>
      </c>
      <c r="AA361" s="3476"/>
      <c r="AB361" s="1468"/>
      <c r="AC361" s="1468"/>
      <c r="AD361" s="1151">
        <f>IF(OR('6.Inland wetlands'!$AB133=list!$E$211, '6.Inland wetlands'!$AB133=list!$E$213), IF($H361&gt;time_tot,0,MIN($X361,$Y361)*time_tot+ABS($Y361-$X361)*IF($Y361&gt;$X361,time_cap+time*VLOOKUP($G361,list!$J$48:$K$50,2,0),time*(1-VLOOKUP($G361,list!$J$48:$K$50,2,0))))*(1/$H361)*($I361)*($P361*44/12/1000)+IF($H361&gt;time_tot,0,MIN($X361,$Y361)*time_tot+ABS($Y361-$X361)*IF($Y361&gt;$X361,time_cap+time*VLOOKUP($G361,list!$J$48:$K$50,2,0),time*(1-VLOOKUP($G361,list!$J$48:$K$50,2,0))))*(1/$H361)*($I361)*($R361*2/1000), 0)</f>
        <v>0</v>
      </c>
      <c r="AE361" s="1151">
        <f>IF(OR('6.Inland wetlands'!$AB133=list!$E$212,'6.Inland wetlands'!$AB133=list!$E$213),IF($L361&gt;time_tot,0,MIN($X361,$Z361)*time_tot+ABS($Z361-$X361)*IF($Z361&gt;$X361,time_cap+time*VLOOKUP($K361,list!$J$48:$K$50,2,0),time*(1-VLOOKUP($K361,list!$J$48:$K$50,2,0))))*(1/$L361)*($M361)*($P361*44/12/1000)+IF($L361&gt;time_tot,0,MIN($X361,$Z361)*time_tot+ABS($Z361-$X361)*IF($Z361&gt;$X361,time_cap+time*VLOOKUP($K361,list!$J$48:$K$50,2,0),time*(1-VLOOKUP($K361,list!$J$48:$K$50,2,0))))*(1/$L361)*($M361)*($R361*2/1000), 0)</f>
        <v>0</v>
      </c>
      <c r="AF361" s="1151">
        <f>IF(OR('6.Inland wetlands'!$AB133=list!$E$211,'6.Inland wetlands'!$AB133=list!$E$213), IF($H361&gt;time_tot,0,MIN($X361,$Y361)*time_tot+ABS($Y361-$X361)*IF($Y361&gt;$X361,time_cap+time*VLOOKUP($G361,list!$J$48:$K$50,2,0),time*(1-VLOOKUP($G361,list!$J$48:$K$50,2,0))))*(1/$H361)*($I361)*($T361*methane/1000), 0)</f>
        <v>0</v>
      </c>
      <c r="AG361" s="1151">
        <f>IF(OR('6.Inland wetlands'!$AB133=list!$E$212,'6.Inland wetlands'!$AB133=list!$E$213), IF($L361&gt;time_tot,0,MIN($X361,$Z361)*time_tot+ABS($Z361-$X361)*IF($Z361&gt;$X361,time_cap+time*VLOOKUP($K361,list!$J$48:$K$50,2,0),time*(1-VLOOKUP($K361,list!$J$48:$K$50,2,0))))*(1/$L361)*($M361)*($T361*methane/1000), 0)</f>
        <v>0</v>
      </c>
      <c r="AI361" s="3470">
        <f t="shared" si="184"/>
        <v>0</v>
      </c>
      <c r="AJ361" s="1152">
        <f t="shared" si="184"/>
        <v>0</v>
      </c>
      <c r="AK361" s="1160">
        <f t="shared" si="185"/>
        <v>0</v>
      </c>
      <c r="AX361" s="1449">
        <f>IF('6.Inland wetlands'!$CZ122=list!$F$210,0,IF($H361&gt;time,0,MIN($X361,$Y361)*time+ABS($Y361-$X361)*IF($Y361&gt;$X361,time*VLOOKUP($G361,list!$J$48:$K$50,2,0),time*(1-VLOOKUP($G361,list!$J$48:$K$50,2,0))))*(1/$H361)*($I361)*($P361/1000)+IF($H361&gt;time,0,MIN($X361,$Y361)*time+ABS($Y361-$X361)*IF($Y361&gt;$X361,time*VLOOKUP($G361,list!$J$48:$K$50,2,0),time*(1-VLOOKUP($G361,list!$J$48:$K$50,2,0))))*(1/$H361)*($I361)*($R361*2/1000))</f>
        <v>0</v>
      </c>
      <c r="AY361" s="1449">
        <f>IF('6.Inland wetlands'!$CZ122=list!$F$210,0,IF($L361&gt;time,0,MIN($X361,$Z361)*time+ABS($Z361-$X361)*IF($Z361&gt;$X361,time*VLOOKUP($K361,list!$J$48:$K$50,2,0),time*(1-VLOOKUP($K361,list!$J$48:$K$50,2,0))))*(1/$L361)*($M361)*($P361/1000)+IF($L361&gt;time,0,MIN($X361,$Z361)*time+ABS($Z361-$X361)*IF($Z361&gt;$X361,time*VLOOKUP($K361,list!$J$48:$K$50,2,0),time*(1-VLOOKUP($K361,list!$J$48:$K$50,2,0))))*(1/$L361)*($M361)*($R361*2/1000))</f>
        <v>0</v>
      </c>
      <c r="AZ361" s="1449">
        <f>IF('6.Inland wetlands'!$CZ122=list!$F$210,0,IF($H361&gt;time,0,MIN($X361,$Y361)*time+ABS($Y361-$X361)*IF($Y361&gt;$X361,time*VLOOKUP($G361,list!$J$48:$K$50,2,0),time*(1-VLOOKUP($G361,list!$J$48:$K$50,2,0))))*(1/$H361)*($I361)*($T361*methane/1000))</f>
        <v>0</v>
      </c>
      <c r="BA361" s="1449">
        <f>IF('6.Inland wetlands'!$CZ122=list!$F$210,0,IF($L361&gt;time,0,MIN($X361,$Z361)*time+ABS($Z361-$X361)*IF($Z361&gt;$X361,time*VLOOKUP($K361,list!$J$48:$K$50,2,0),time*(1-VLOOKUP($K361,list!$J$48:$K$50,2,0))))*(1/$L361)*($M361)*($T361*methane/1000))</f>
        <v>0</v>
      </c>
      <c r="BE361" s="1451">
        <f t="shared" si="186"/>
        <v>0</v>
      </c>
      <c r="BF361" s="1451">
        <f t="shared" si="186"/>
        <v>0</v>
      </c>
    </row>
    <row r="362" spans="1:59" x14ac:dyDescent="0.15">
      <c r="A362" s="1496" t="s">
        <v>1165</v>
      </c>
      <c r="B362" s="973" t="str">
        <f t="shared" si="180"/>
        <v>Please select</v>
      </c>
      <c r="C362" s="1121" t="str">
        <f t="shared" si="181"/>
        <v/>
      </c>
      <c r="D362" s="992">
        <f>'6.Inland wetlands'!K134</f>
        <v>0</v>
      </c>
      <c r="E362" s="1246">
        <f>'6.Inland wetlands'!M134</f>
        <v>0</v>
      </c>
      <c r="F362" s="992">
        <f>'6.Inland wetlands'!N134</f>
        <v>0</v>
      </c>
      <c r="G362" s="1688" t="str">
        <f t="shared" si="182"/>
        <v>Linear</v>
      </c>
      <c r="H362" s="1688">
        <f>'6.Inland wetlands'!DB123</f>
        <v>1</v>
      </c>
      <c r="I362" s="1241">
        <f>'6.Inland wetlands'!DC123</f>
        <v>0.01</v>
      </c>
      <c r="J362" s="992">
        <f>'6.Inland wetlands'!P134</f>
        <v>0</v>
      </c>
      <c r="K362" s="1688" t="str">
        <f t="shared" si="183"/>
        <v>Linear</v>
      </c>
      <c r="L362" s="1688">
        <f>'6.Inland wetlands'!DE123</f>
        <v>1</v>
      </c>
      <c r="M362" s="1241">
        <f>'6.Inland wetlands'!DF123</f>
        <v>0.01</v>
      </c>
      <c r="O362" s="1111">
        <f>IFERROR(INDEX(IPCC!$A$2037:$D$2048,MATCH(clim_moist,IPCC!$A$2037:$A$2048,0),MATCH($O$354,IPCC!$A$2037:$D$2037,0)),0)</f>
        <v>362</v>
      </c>
      <c r="P362" s="1161">
        <f>IF('6.Inland wetlands'!$DI123="",'6.Inland wetlands'!$DH123,'6.Inland wetlands'!$DI123)</f>
        <v>362</v>
      </c>
      <c r="Q362" s="1111">
        <f>IFERROR(INDEX(IPCC!$A$2037:$D$2048,MATCH(clim_moist,IPCC!$A$2037:$A$2048,0),MATCH($Q$354,IPCC!$A$2037:$D$2037,0)),0)</f>
        <v>207</v>
      </c>
      <c r="R362" s="1161">
        <f>IF('6.Inland wetlands'!$DK123="",'6.Inland wetlands'!$DJ123,'6.Inland wetlands'!$DK123)</f>
        <v>207</v>
      </c>
      <c r="S362" s="1111">
        <f>IFERROR(INDEX(IPCC!$A$2037:$D$2048,MATCH(clim_moist,IPCC!$A$2037:$A$2048,0),MATCH($S$354,IPCC!$A$2037:$D$2037,0)),0)</f>
        <v>9</v>
      </c>
      <c r="T362" s="1161">
        <f>IF('6.Inland wetlands'!$DM123="",'6.Inland wetlands'!$DL123,'6.Inland wetlands'!$DM123)</f>
        <v>9</v>
      </c>
      <c r="U362" s="1111">
        <f>IFERROR(INDEX(IPCC!$A$2020:$D$2031,MATCH(clim_moist,IPCC!$A$2021:$A$2031,0),MATCH('6.Inland wetlands'!$CZ123,IPCC!$A$2020:$D$2020,0)),0)</f>
        <v>0</v>
      </c>
      <c r="V362" s="1161">
        <f>IF('6.Inland wetlands'!$DO123="",'6.Inland wetlands'!$DN123,'6.Inland wetlands'!$DO123)</f>
        <v>0</v>
      </c>
      <c r="W362" s="1276"/>
      <c r="X362" s="1151">
        <f>IF('6.Inland wetlands'!$CZ123=list!$F$210,0,$V362*$E362)</f>
        <v>0</v>
      </c>
      <c r="Y362" s="1151">
        <f>IF('6.Inland wetlands'!$CZ123=list!$F$210,0,$V362*$F362)</f>
        <v>0</v>
      </c>
      <c r="Z362" s="1151">
        <f>IF('6.Inland wetlands'!$CZ123=list!$F$210,0,$V362*$J362)</f>
        <v>0</v>
      </c>
      <c r="AA362" s="3476"/>
      <c r="AB362" s="1468"/>
      <c r="AC362" s="1468"/>
      <c r="AD362" s="1151">
        <f>IF(OR('6.Inland wetlands'!$AB134=list!$E$211, '6.Inland wetlands'!$AB134=list!$E$213), IF($H362&gt;time_tot,0,MIN($X362,$Y362)*time_tot+ABS($Y362-$X362)*IF($Y362&gt;$X362,time_cap+time*VLOOKUP($G362,list!$J$48:$K$50,2,0),time*(1-VLOOKUP($G362,list!$J$48:$K$50,2,0))))*(1/$H362)*($I362)*($P362*44/12/1000)+IF($H362&gt;time_tot,0,MIN($X362,$Y362)*time_tot+ABS($Y362-$X362)*IF($Y362&gt;$X362,time_cap+time*VLOOKUP($G362,list!$J$48:$K$50,2,0),time*(1-VLOOKUP($G362,list!$J$48:$K$50,2,0))))*(1/$H362)*($I362)*($R362*2/1000), 0)</f>
        <v>0</v>
      </c>
      <c r="AE362" s="1151">
        <f>IF(OR('6.Inland wetlands'!$AB134=list!$E$212,'6.Inland wetlands'!$AB134=list!$E$213),IF($L362&gt;time_tot,0,MIN($X362,$Z362)*time_tot+ABS($Z362-$X362)*IF($Z362&gt;$X362,time_cap+time*VLOOKUP($K362,list!$J$48:$K$50,2,0),time*(1-VLOOKUP($K362,list!$J$48:$K$50,2,0))))*(1/$L362)*($M362)*($P362*44/12/1000)+IF($L362&gt;time_tot,0,MIN($X362,$Z362)*time_tot+ABS($Z362-$X362)*IF($Z362&gt;$X362,time_cap+time*VLOOKUP($K362,list!$J$48:$K$50,2,0),time*(1-VLOOKUP($K362,list!$J$48:$K$50,2,0))))*(1/$L362)*($M362)*($R362*2/1000), 0)</f>
        <v>0</v>
      </c>
      <c r="AF362" s="1151">
        <f>IF(OR('6.Inland wetlands'!$AB134=list!$E$211,'6.Inland wetlands'!$AB134=list!$E$213), IF($H362&gt;time_tot,0,MIN($X362,$Y362)*time_tot+ABS($Y362-$X362)*IF($Y362&gt;$X362,time_cap+time*VLOOKUP($G362,list!$J$48:$K$50,2,0),time*(1-VLOOKUP($G362,list!$J$48:$K$50,2,0))))*(1/$H362)*($I362)*($T362*methane/1000), 0)</f>
        <v>0</v>
      </c>
      <c r="AG362" s="1151">
        <f>IF(OR('6.Inland wetlands'!$AB134=list!$E$212,'6.Inland wetlands'!$AB134=list!$E$213), IF($L362&gt;time_tot,0,MIN($X362,$Z362)*time_tot+ABS($Z362-$X362)*IF($Z362&gt;$X362,time_cap+time*VLOOKUP($K362,list!$J$48:$K$50,2,0),time*(1-VLOOKUP($K362,list!$J$48:$K$50,2,0))))*(1/$L362)*($M362)*($T362*methane/1000), 0)</f>
        <v>0</v>
      </c>
      <c r="AI362" s="3470">
        <f t="shared" si="184"/>
        <v>0</v>
      </c>
      <c r="AJ362" s="1152">
        <f t="shared" si="184"/>
        <v>0</v>
      </c>
      <c r="AK362" s="1160">
        <f t="shared" si="185"/>
        <v>0</v>
      </c>
      <c r="AX362" s="1449">
        <f>IF('6.Inland wetlands'!$CZ123=list!$F$210,0,IF($H362&gt;time,0,MIN($X362,$Y362)*time+ABS($Y362-$X362)*IF($Y362&gt;$X362,time*VLOOKUP($G362,list!$J$48:$K$50,2,0),time*(1-VLOOKUP($G362,list!$J$48:$K$50,2,0))))*(1/$H362)*($I362)*($P362/1000)+IF($H362&gt;time,0,MIN($X362,$Y362)*time+ABS($Y362-$X362)*IF($Y362&gt;$X362,time*VLOOKUP($G362,list!$J$48:$K$50,2,0),time*(1-VLOOKUP($G362,list!$J$48:$K$50,2,0))))*(1/$H362)*($I362)*($R362*2/1000))</f>
        <v>0</v>
      </c>
      <c r="AY362" s="1449">
        <f>IF('6.Inland wetlands'!$CZ123=list!$F$210,0,IF($L362&gt;time,0,MIN($X362,$Z362)*time+ABS($Z362-$X362)*IF($Z362&gt;$X362,time*VLOOKUP($K362,list!$J$48:$K$50,2,0),time*(1-VLOOKUP($K362,list!$J$48:$K$50,2,0))))*(1/$L362)*($M362)*($P362/1000)+IF($L362&gt;time,0,MIN($X362,$Z362)*time+ABS($Z362-$X362)*IF($Z362&gt;$X362,time*VLOOKUP($K362,list!$J$48:$K$50,2,0),time*(1-VLOOKUP($K362,list!$J$48:$K$50,2,0))))*(1/$L362)*($M362)*($R362*2/1000))</f>
        <v>0</v>
      </c>
      <c r="AZ362" s="1449">
        <f>IF('6.Inland wetlands'!$CZ123=list!$F$210,0,IF($H362&gt;time,0,MIN($X362,$Y362)*time+ABS($Y362-$X362)*IF($Y362&gt;$X362,time*VLOOKUP($G362,list!$J$48:$K$50,2,0),time*(1-VLOOKUP($G362,list!$J$48:$K$50,2,0))))*(1/$H362)*($I362)*($T362*methane/1000))</f>
        <v>0</v>
      </c>
      <c r="BA362" s="1449">
        <f>IF('6.Inland wetlands'!$CZ123=list!$F$210,0,IF($L362&gt;time,0,MIN($X362,$Z362)*time+ABS($Z362-$X362)*IF($Z362&gt;$X362,time*VLOOKUP($K362,list!$J$48:$K$50,2,0),time*(1-VLOOKUP($K362,list!$J$48:$K$50,2,0))))*(1/$L362)*($M362)*($T362*methane/1000))</f>
        <v>0</v>
      </c>
      <c r="BE362" s="1451">
        <f t="shared" si="186"/>
        <v>0</v>
      </c>
      <c r="BF362" s="1451">
        <f t="shared" si="186"/>
        <v>0</v>
      </c>
    </row>
    <row r="364" spans="1:59" x14ac:dyDescent="0.15">
      <c r="AX364" s="1461">
        <f>SUM(AX357:AX362)</f>
        <v>0</v>
      </c>
      <c r="AY364" s="1461">
        <f>SUM(AY357:AY362)</f>
        <v>0</v>
      </c>
      <c r="AZ364" s="1461">
        <f>SUM(AZ357:AZ362)</f>
        <v>0</v>
      </c>
      <c r="BA364" s="1461">
        <f>SUM(BA357:BA362)</f>
        <v>0</v>
      </c>
      <c r="BB364" s="1461"/>
      <c r="BC364" s="1461"/>
    </row>
    <row r="365" spans="1:59" x14ac:dyDescent="0.15">
      <c r="AY365" s="1451">
        <f>AY364-AX364</f>
        <v>0</v>
      </c>
      <c r="AZ365" s="1451"/>
      <c r="BA365" s="1451">
        <f>BA364-AZ364</f>
        <v>0</v>
      </c>
      <c r="BB365" s="1451"/>
      <c r="BC365" s="1451"/>
    </row>
    <row r="369" spans="1:59" ht="16" x14ac:dyDescent="0.2">
      <c r="A369" s="1264"/>
      <c r="B369" s="1271" t="s">
        <v>1258</v>
      </c>
      <c r="C369" s="1271"/>
      <c r="D369" s="1271"/>
      <c r="E369" s="1271"/>
      <c r="F369" s="1271"/>
      <c r="G369" s="1271"/>
      <c r="H369" s="1273" t="s">
        <v>1259</v>
      </c>
      <c r="I369" s="1273"/>
      <c r="J369" s="1273"/>
      <c r="K369" s="1273"/>
      <c r="L369" s="1271" t="s">
        <v>1219</v>
      </c>
      <c r="M369" s="1264"/>
      <c r="N369" s="1264"/>
      <c r="O369" s="1264"/>
      <c r="P369" s="1264"/>
      <c r="Q369" s="1264"/>
      <c r="R369" s="1264"/>
      <c r="S369" s="1264"/>
      <c r="T369" s="1264"/>
      <c r="U369" s="1261"/>
      <c r="V369" s="1261"/>
      <c r="W369" s="1261"/>
      <c r="X369" s="1261"/>
      <c r="Y369" s="1261"/>
      <c r="Z369" s="1261"/>
      <c r="AB369" s="1271" t="s">
        <v>1172</v>
      </c>
      <c r="AC369" s="1264"/>
      <c r="AD369" s="1264"/>
      <c r="AE369" s="1264"/>
      <c r="AF369" s="1264"/>
      <c r="AG369" s="1264"/>
      <c r="AI369" s="1270" t="s">
        <v>1115</v>
      </c>
      <c r="AJ369" s="1116"/>
      <c r="AK369" s="1116"/>
      <c r="AX369" s="1287" t="s">
        <v>1173</v>
      </c>
      <c r="AY369" s="1501"/>
      <c r="AZ369" s="1501"/>
      <c r="BA369" s="1501"/>
      <c r="BB369" s="1501"/>
      <c r="BC369" s="1501"/>
      <c r="BD369" s="1287" t="s">
        <v>1174</v>
      </c>
      <c r="BE369" s="1501"/>
      <c r="BF369" s="1501"/>
      <c r="BG369" s="1501"/>
    </row>
    <row r="370" spans="1:59" ht="17" x14ac:dyDescent="0.2">
      <c r="A370" s="1264"/>
      <c r="B370" s="1271" t="s">
        <v>1036</v>
      </c>
      <c r="C370" s="1264"/>
      <c r="D370" s="1271" t="s">
        <v>176</v>
      </c>
      <c r="E370" s="1264"/>
      <c r="F370" s="1271" t="s">
        <v>177</v>
      </c>
      <c r="G370" s="1264"/>
      <c r="H370" s="1273" t="s">
        <v>1037</v>
      </c>
      <c r="I370" s="1261"/>
      <c r="J370" s="1273" t="s">
        <v>176</v>
      </c>
      <c r="K370" s="1261"/>
      <c r="L370" s="1264" t="s">
        <v>1260</v>
      </c>
      <c r="M370" s="1264"/>
      <c r="N370" s="1264"/>
      <c r="O370" s="1264"/>
      <c r="P370" s="1264"/>
      <c r="Q370" s="1264"/>
      <c r="R370" s="1264"/>
      <c r="S370" s="1264"/>
      <c r="T370" s="1264"/>
      <c r="U370" s="1261" t="s">
        <v>1261</v>
      </c>
      <c r="V370" s="1279"/>
      <c r="W370" s="1279"/>
      <c r="X370" s="1279"/>
      <c r="Y370" s="1279"/>
      <c r="Z370" s="1279"/>
      <c r="AB370" s="1271" t="s">
        <v>1175</v>
      </c>
      <c r="AC370" s="1264"/>
      <c r="AD370" s="1264"/>
      <c r="AE370" s="1264"/>
      <c r="AF370" s="1264"/>
      <c r="AG370" s="1264"/>
      <c r="AI370" s="1270" t="s">
        <v>1121</v>
      </c>
      <c r="AJ370" s="1116"/>
      <c r="AK370" s="1116"/>
      <c r="AX370" s="1502" t="s">
        <v>1036</v>
      </c>
      <c r="AY370" s="1502"/>
      <c r="AZ370" s="1502" t="s">
        <v>176</v>
      </c>
      <c r="BA370" s="1502"/>
      <c r="BB370" s="1502" t="s">
        <v>177</v>
      </c>
      <c r="BC370" s="1502"/>
      <c r="BD370" s="1502" t="s">
        <v>1037</v>
      </c>
      <c r="BE370" s="1502"/>
      <c r="BF370" s="1502" t="s">
        <v>176</v>
      </c>
      <c r="BG370" s="1502"/>
    </row>
    <row r="371" spans="1:59" ht="16" x14ac:dyDescent="0.2">
      <c r="A371" s="1264"/>
      <c r="B371" s="1264" t="s">
        <v>92</v>
      </c>
      <c r="C371" s="1264"/>
      <c r="D371" s="1264" t="s">
        <v>1044</v>
      </c>
      <c r="E371" s="1264"/>
      <c r="F371" s="1264" t="s">
        <v>1045</v>
      </c>
      <c r="G371" s="1264"/>
      <c r="H371" s="1261" t="s">
        <v>92</v>
      </c>
      <c r="I371" s="1261"/>
      <c r="J371" s="1261" t="s">
        <v>1044</v>
      </c>
      <c r="K371" s="1261"/>
      <c r="L371" s="1271" t="s">
        <v>1036</v>
      </c>
      <c r="M371" s="1264"/>
      <c r="N371" s="1271"/>
      <c r="O371" s="1271" t="s">
        <v>176</v>
      </c>
      <c r="P371" s="1264"/>
      <c r="Q371" s="1271"/>
      <c r="R371" s="1271" t="s">
        <v>177</v>
      </c>
      <c r="S371" s="1264"/>
      <c r="T371" s="1271"/>
      <c r="U371" s="1273" t="s">
        <v>1037</v>
      </c>
      <c r="V371" s="1261"/>
      <c r="W371" s="1273"/>
      <c r="X371" s="1273" t="s">
        <v>176</v>
      </c>
      <c r="Y371" s="1261"/>
      <c r="Z371" s="1273"/>
      <c r="AB371" s="1264" t="s">
        <v>1176</v>
      </c>
      <c r="AC371" s="1264"/>
      <c r="AD371" s="1264" t="s">
        <v>176</v>
      </c>
      <c r="AE371" s="1264"/>
      <c r="AF371" s="1264" t="s">
        <v>177</v>
      </c>
      <c r="AG371" s="1264"/>
      <c r="AI371" s="1270" t="s">
        <v>1177</v>
      </c>
      <c r="AJ371" s="1116"/>
      <c r="AK371" s="1116"/>
      <c r="AX371" s="1264" t="s">
        <v>859</v>
      </c>
      <c r="AZ371" s="1264" t="s">
        <v>859</v>
      </c>
      <c r="BB371" s="1264" t="s">
        <v>859</v>
      </c>
      <c r="BD371" s="1264" t="s">
        <v>859</v>
      </c>
      <c r="BF371" s="1264" t="s">
        <v>859</v>
      </c>
    </row>
    <row r="372" spans="1:59" x14ac:dyDescent="0.15">
      <c r="A372" s="1264"/>
      <c r="B372" s="1272" t="s">
        <v>864</v>
      </c>
      <c r="C372" s="1272" t="s">
        <v>66</v>
      </c>
      <c r="D372" s="1272" t="s">
        <v>864</v>
      </c>
      <c r="E372" s="1272" t="s">
        <v>66</v>
      </c>
      <c r="F372" s="1272" t="s">
        <v>864</v>
      </c>
      <c r="G372" s="1272" t="s">
        <v>66</v>
      </c>
      <c r="H372" s="1274" t="s">
        <v>864</v>
      </c>
      <c r="I372" s="1274" t="s">
        <v>66</v>
      </c>
      <c r="J372" s="1274" t="s">
        <v>864</v>
      </c>
      <c r="K372" s="1274" t="s">
        <v>66</v>
      </c>
      <c r="L372" s="1688" t="s">
        <v>219</v>
      </c>
      <c r="M372" s="1102" t="s">
        <v>179</v>
      </c>
      <c r="N372" s="1103" t="s">
        <v>180</v>
      </c>
      <c r="O372" s="1688" t="s">
        <v>219</v>
      </c>
      <c r="P372" s="1102" t="s">
        <v>179</v>
      </c>
      <c r="Q372" s="1103" t="s">
        <v>180</v>
      </c>
      <c r="R372" s="1688" t="s">
        <v>219</v>
      </c>
      <c r="S372" s="1102" t="s">
        <v>179</v>
      </c>
      <c r="T372" s="1103" t="s">
        <v>180</v>
      </c>
      <c r="U372" s="1688" t="s">
        <v>219</v>
      </c>
      <c r="V372" s="1102" t="s">
        <v>179</v>
      </c>
      <c r="W372" s="1103" t="s">
        <v>180</v>
      </c>
      <c r="X372" s="1688" t="s">
        <v>219</v>
      </c>
      <c r="Y372" s="1102" t="s">
        <v>179</v>
      </c>
      <c r="Z372" s="1103" t="s">
        <v>180</v>
      </c>
      <c r="AB372" s="1102" t="s">
        <v>179</v>
      </c>
      <c r="AC372" s="1103" t="s">
        <v>180</v>
      </c>
      <c r="AD372" s="1102" t="s">
        <v>179</v>
      </c>
      <c r="AE372" s="1103" t="s">
        <v>180</v>
      </c>
      <c r="AF372" s="1102" t="s">
        <v>179</v>
      </c>
      <c r="AG372" s="1103" t="s">
        <v>180</v>
      </c>
      <c r="AI372" s="1102" t="s">
        <v>200</v>
      </c>
      <c r="AJ372" s="1103" t="s">
        <v>201</v>
      </c>
      <c r="AK372" s="1104" t="s">
        <v>324</v>
      </c>
      <c r="AX372" s="1272" t="s">
        <v>200</v>
      </c>
      <c r="AY372" s="1272" t="s">
        <v>201</v>
      </c>
      <c r="AZ372" s="1272" t="s">
        <v>200</v>
      </c>
      <c r="BA372" s="1272" t="s">
        <v>201</v>
      </c>
      <c r="BB372" s="1272" t="s">
        <v>200</v>
      </c>
      <c r="BC372" s="1272" t="s">
        <v>201</v>
      </c>
      <c r="BD372" s="1272" t="s">
        <v>200</v>
      </c>
      <c r="BE372" s="1272" t="s">
        <v>201</v>
      </c>
      <c r="BF372" s="1272" t="s">
        <v>200</v>
      </c>
      <c r="BG372" s="1272" t="s">
        <v>201</v>
      </c>
    </row>
    <row r="373" spans="1:59" x14ac:dyDescent="0.15">
      <c r="A373" s="1467" t="s">
        <v>1160</v>
      </c>
      <c r="B373" s="1044">
        <f>IFERROR(IF($C$351=list!$J$210,INDEX(IPCC!$A$1762:$J$1773,MATCH(clim_moist,IPCC!$A$1781:$A$1792,0),MATCH($C357,IPCC!$A$1781:$J$1781,0)),IF($C$351=list!$J$211,INDEX(IPCC!$A$1781:$J$1792,MATCH(clim_moist,IPCC!$A$1781:$A$1792,0),MATCH($C357,IPCC!$A$1781:$J$1781,0)))),0)</f>
        <v>0</v>
      </c>
      <c r="C373" s="1162">
        <f>IF('6.Inland wetlands'!$CG118="",'6.Inland wetlands'!$CF118,'6.Inland wetlands'!$CG118)</f>
        <v>0</v>
      </c>
      <c r="D373" s="1044">
        <f>IFERROR(IF($C$351=list!$J$210,INDEX(IPCC!$A$1818:$J$1829,MATCH(clim_moist,IPCC!$A$1818:$A$1829,0),MATCH($C357,IPCC!$A$1818:$J$1818,0)),IF($C351=list!$J$211,INDEX(IPCC!$A$1836:$J$1847,MATCH(clim_moist,IPCC!$A$1836:$A$1847,0),MATCH($C357,IPCC!$A$1836:$J$1836,0)))),0)</f>
        <v>0</v>
      </c>
      <c r="E373" s="1162">
        <f>IF('6.Inland wetlands'!$CI118="",'6.Inland wetlands'!$CH118,'6.Inland wetlands'!$CI118)</f>
        <v>0</v>
      </c>
      <c r="F373" s="1044">
        <f>IFERROR(IF($C$351=list!$J$210,INDEX(IPCC!$A$1872:$J$1883,MATCH(clim_moist,IPCC!$A$1872:$A$1883,0),MATCH($C357,IPCC!$A$1872:$J$1872,0)),IF($C$351=list!$J$211,INDEX(IPCC!$A$1890:$J$1901,MATCH(clim_moist,IPCC!$A$1890:$A$1901,0),MATCH($C357,IPCC!$A$1890:$J$1890,0)))),0)</f>
        <v>0</v>
      </c>
      <c r="G373" s="1162">
        <f>IF('6.Inland wetlands'!$CK118="",'6.Inland wetlands'!$CJ118,'6.Inland wetlands'!$CK118)</f>
        <v>0</v>
      </c>
      <c r="H373" s="1044">
        <f>IFERROR(IF($C$351=list!$J$210,INDEX(IPCC!$A$1800:$J$1811,MATCH(clim_moist,IPCC!$A$1800:$A$1811,0),MATCH($C357,IPCC!$A$1800:$J$1800,0)),IF($C$351=list!$J$211,INDEX(IPCC!$A$1800:$J$1811,MATCH(clim_moist,IPCC!$A$1800:$A$1811,0),MATCH($C357,IPCC!$A$1800:$J$1800,0)))),0)</f>
        <v>0</v>
      </c>
      <c r="I373" s="1162">
        <f>IF('6.Inland wetlands'!$CN118="",'6.Inland wetlands'!$CM118,'6.Inland wetlands'!$CN118)</f>
        <v>0</v>
      </c>
      <c r="J373" s="1111">
        <f>IFERROR(IF($C$351=list!$J$210,INDEX(IPCC!$A$1854:$J$1865,MATCH(clim_moist,IPCC!$A$1854:$A$1865,0),MATCH($C357,IPCC!$A$1854:$J$1854,0)),IF($C$351=list!$J$211,INDEX(IPCC!$A$1854:$J$1865,MATCH(clim_moist,IPCC!$A$1854:$A$1865,0),MATCH($C357,IPCC!$A$1854:$J$1854,0)))),0)</f>
        <v>0</v>
      </c>
      <c r="K373" s="1161">
        <f>IF('6.Inland wetlands'!$CP118="",'6.Inland wetlands'!$CO118,'6.Inland wetlands'!$CP118)</f>
        <v>0</v>
      </c>
      <c r="L373" s="3468">
        <f>IF('6.Inland wetlands'!M129&gt;0,$C373*44/12*E357,0)</f>
        <v>0</v>
      </c>
      <c r="M373" s="3468">
        <f>IF('6.Inland wetlands'!N129&gt;0,$C373*44/12*F357,0)</f>
        <v>0</v>
      </c>
      <c r="N373" s="3468">
        <f>IF('6.Inland wetlands'!P129&gt;0,$C373*44/12*J357,0)</f>
        <v>0</v>
      </c>
      <c r="O373" s="3468">
        <f>IF('6.Inland wetlands'!M129&gt;0,'Inl. wetlands'!$E373*methane/1000*E357*(1-'6.Inland wetlands'!W129),0)</f>
        <v>0</v>
      </c>
      <c r="P373" s="3468">
        <f>IF('6.Inland wetlands'!N129&gt;0,'Inl. wetlands'!$E373*methane/1000*F357*(1-'6.Inland wetlands'!X129),0)</f>
        <v>0</v>
      </c>
      <c r="Q373" s="3468">
        <f>IF('6.Inland wetlands'!P129&gt;0,'Inl. wetlands'!$E373*methane/1000*J357*(1-'6.Inland wetlands'!Y129),0)</f>
        <v>0</v>
      </c>
      <c r="R373" s="3468">
        <f>IF('6.Inland wetlands'!M129&gt;0,'Inl. wetlands'!$G373*44/28*Nitrous/1000*E357,0)</f>
        <v>0</v>
      </c>
      <c r="S373" s="3468">
        <f>IF('6.Inland wetlands'!N129&gt;0,'Inl. wetlands'!$G373*44/28*Nitrous/1000*F357,0)</f>
        <v>0</v>
      </c>
      <c r="T373" s="3468">
        <f>IF('6.Inland wetlands'!P129&gt;0,'Inl. wetlands'!$G373*44/28*Nitrous/1000*J357,0)</f>
        <v>0</v>
      </c>
      <c r="U373" s="3468">
        <f>IF('6.Inland wetlands'!M129&gt;0,'Inl. wetlands'!$I373*44/12*E357,0)</f>
        <v>0</v>
      </c>
      <c r="V373" s="3468">
        <f>IF('6.Inland wetlands'!N129&gt;0,'Inl. wetlands'!$I373*44/12*F357,0)</f>
        <v>0</v>
      </c>
      <c r="W373" s="3468">
        <f>IF('6.Inland wetlands'!P129&gt;0,'Inl. wetlands'!$I373*44/12*J357,0)</f>
        <v>0</v>
      </c>
      <c r="X373" s="3468">
        <f>IF('6.Inland wetlands'!M129&gt;0,'Inl. wetlands'!$K373*methane/1000*E357*'6.Inland wetlands'!W129,0)</f>
        <v>0</v>
      </c>
      <c r="Y373" s="3468">
        <f>IF('6.Inland wetlands'!N129&gt;0,'Inl. wetlands'!$K373*methane/1000*F357*'6.Inland wetlands'!X129,0)</f>
        <v>0</v>
      </c>
      <c r="Z373" s="3468">
        <f>IF('6.Inland wetlands'!P129&gt;0,'Inl. wetlands'!$K373*methane/1000*J357*'6.Inland wetlands'!Y129,0)</f>
        <v>0</v>
      </c>
      <c r="AB373" s="3468">
        <f>MIN($L373,$M373)*time_tot+ABS($M373-$L373)*IF($M373&gt;$L373,time_cap+time*(VLOOKUP($N339,list!$J$48:$K$50,2,0)),time*(1-(VLOOKUP($N339,list!$J$48:$K$50,2,0))))</f>
        <v>0</v>
      </c>
      <c r="AC373" s="3468">
        <f>MIN($L373,$N373)*time_tot+ABS($N373-$L373)*IF($N373&gt;$L373,time_cap+time*(VLOOKUP($P339,list!$J$48:$K$50,2,0)),time*(1-(VLOOKUP($P339,list!$J$48:$K$50,2,0))))</f>
        <v>0</v>
      </c>
      <c r="AD373" s="3468">
        <f>MIN('Inl. wetlands'!$O373,'Inl. wetlands'!$P373)*time_tot+ABS('Inl. wetlands'!$P373-'Inl. wetlands'!$O373)*IF('Inl. wetlands'!$P373&gt;'Inl. wetlands'!$O373,time_cap+time*(VLOOKUP($N339,list!$J$48:$K$50,2,0)),time*(1-(VLOOKUP($N339,list!$J$48:$K$50,2,0))))+MIN('Inl. wetlands'!$X373,'Inl. wetlands'!$Y373)*time_tot+ABS('Inl. wetlands'!$X373-'Inl. wetlands'!$Y373)*IF('Inl. wetlands'!$Y373&gt;'Inl. wetlands'!$X373,time_cap+time*(VLOOKUP($N339,list!$J$48:$K$50,2,0)),time*(1-(VLOOKUP($N339,list!$J$48:$K$50,2,0))))</f>
        <v>0</v>
      </c>
      <c r="AE373" s="3468">
        <f>MIN('Inl. wetlands'!$O373,'Inl. wetlands'!$Q373)*time_tot+ABS('Inl. wetlands'!$Q373-'Inl. wetlands'!$O373)*IF('Inl. wetlands'!$Q373&gt;'Inl. wetlands'!$O373,time_cap+time*(VLOOKUP($P339,list!$J$48:$K$50,2,0)),time*(1-(VLOOKUP($P339,list!$J$48:$K$50,2,0))))+MIN('Inl. wetlands'!$X373,'Inl. wetlands'!$Z373)*time_tot+ABS('Inl. wetlands'!$X373-'Inl. wetlands'!$Z373)*IF('Inl. wetlands'!$Z373&gt;'Inl. wetlands'!$X373,time_cap+time*(VLOOKUP($P339,list!$J$48:$K$50,2,0)),time*(1-(VLOOKUP($P339,list!$J$48:$K$50,2,0))))</f>
        <v>0</v>
      </c>
      <c r="AF373" s="3468">
        <f>MIN('Inl. wetlands'!$R373,'Inl. wetlands'!$S373)*time_tot+ABS('Inl. wetlands'!$S373-'Inl. wetlands'!$R373)*IF('Inl. wetlands'!$S373&gt;'Inl. wetlands'!$R373,time_cap+time*(VLOOKUP($N339,list!$J$48:$K$50,2,0)),time*(1-(VLOOKUP($N339,list!$J$48:$K$50,2,0))))</f>
        <v>0</v>
      </c>
      <c r="AG373" s="3468">
        <f>MIN('Inl. wetlands'!$R373,'Inl. wetlands'!$T373)*time_tot+ABS('Inl. wetlands'!$T373-'Inl. wetlands'!$R373)*IF('Inl. wetlands'!$T373&gt;'Inl. wetlands'!$R373,time_cap+time*(VLOOKUP($P339,list!$J$48:$K$50,2,0)),time*(1-(VLOOKUP($P339,list!$J$48:$K$50,2,0))))</f>
        <v>0</v>
      </c>
      <c r="AI373" s="3470">
        <f>SUM(AB373,AD373,AF373)</f>
        <v>0</v>
      </c>
      <c r="AJ373" s="1152">
        <f t="shared" ref="AI373:AJ378" si="187">SUM(AC373,AE373,AG373)</f>
        <v>0</v>
      </c>
      <c r="AK373" s="1160">
        <f t="shared" ref="AK373:AK378" si="188">AJ373-AI373</f>
        <v>0</v>
      </c>
      <c r="AX373" s="1449">
        <f>IF('6.Inland wetlands'!$AC118=list!$I$213,MIN($L373,$M373)*time+ABS($M373-$L373)*IF($M373&gt;$L373,time*(VLOOKUP($N339,list!$J$48:$K$50,2,0)),time*(1-(VLOOKUP($N339,list!$J$48:$K$50,2,0)))),0)</f>
        <v>0</v>
      </c>
      <c r="AY373" s="1449" t="e">
        <f>IF('6.Inland wetlands'!#REF!=list!$I$213,MIN($L373,$N373)*time+ABS($N373-$L373)*IF($N373&gt;$L373,time*(VLOOKUP($P339,list!$J$48:$K$50,2,0)),time*(1-(VLOOKUP($P339,list!$J$48:$K$50,2,0)))),0)</f>
        <v>#REF!</v>
      </c>
      <c r="AZ373" s="1449">
        <f>IF('6.Inland wetlands'!$AC118=list!$I$213,MIN('Inl. wetlands'!$O373,'Inl. wetlands'!$P373)*time+ABS('Inl. wetlands'!$P373-'Inl. wetlands'!$O373)*IF('Inl. wetlands'!$P373&gt;'Inl. wetlands'!$O373,time*(VLOOKUP($N339,list!$J$48:$K$50,2,0)),time*(1-(VLOOKUP($N339,list!$J$48:$K$50,2,0)))),0)</f>
        <v>0</v>
      </c>
      <c r="BA373" s="1449" t="e">
        <f>IF('6.Inland wetlands'!#REF!=list!$I$213,MIN('Inl. wetlands'!$O373,'Inl. wetlands'!$Q373)*time+ABS('Inl. wetlands'!$Q373-'Inl. wetlands'!$O373)*IF('Inl. wetlands'!$Q373&gt;'Inl. wetlands'!$O373,time*(VLOOKUP($P339,list!$J$48:$K$50,2,0)),time*(1-(VLOOKUP($P339,list!$J$48:$K$50,2,0))))+MIN('Inl. wetlands'!$X373,'Inl. wetlands'!$Z373)*time+ABS('Inl. wetlands'!$X373-'Inl. wetlands'!$Z373)*IF('Inl. wetlands'!$Z373&gt;'Inl. wetlands'!$X373,time*(VLOOKUP($P339,list!$J$48:$K$50,2,0)),time*(1-(VLOOKUP($P339,list!$J$48:$K$50,2,0)))),0)</f>
        <v>#REF!</v>
      </c>
      <c r="BB373" s="1449">
        <f>IF('6.Inland wetlands'!$AC118=list!$I$213,MIN('Inl. wetlands'!$R373,'Inl. wetlands'!$S373)*time+ABS('Inl. wetlands'!$S373-'Inl. wetlands'!$R373)*IF('Inl. wetlands'!$S373&gt;'Inl. wetlands'!$R373,time*(VLOOKUP($N339,list!$J$48:$K$50,2,0)),time*(1-(VLOOKUP($N339,list!$J$48:$K$50,2,0)))),0)</f>
        <v>0</v>
      </c>
      <c r="BC373" s="1449" t="e">
        <f>IF('6.Inland wetlands'!#REF!=list!$I213,MIN('Inl. wetlands'!$R373,'Inl. wetlands'!$T373)*time+ABS('Inl. wetlands'!$T373-'Inl. wetlands'!$R373)*IF('Inl. wetlands'!$T373&gt;'Inl. wetlands'!$R373,time*(VLOOKUP($P339,list!$J$48:$K$50,2,0)),time*(1-(VLOOKUP($P339,list!$J$48:$K$50,2,0)))),0)</f>
        <v>#REF!</v>
      </c>
      <c r="BD373" s="1449">
        <f>IF('6.Inland wetlands'!$AC118=list!$I$213,MIN('Inl. wetlands'!$U373,'Inl. wetlands'!$V373)*time+ABS('Inl. wetlands'!$V373-'Inl. wetlands'!$U373)*IF('Inl. wetlands'!$V373&gt;'Inl. wetlands'!$U373,time*(VLOOKUP($N339,list!$J$48:$K$50,2,0)),time*(1-(VLOOKUP($N339,list!$J$48:$K$50,2,0)))),0)</f>
        <v>0</v>
      </c>
      <c r="BE373" s="1449" t="e">
        <f>IF('6.Inland wetlands'!#REF!=list!$I$213,MIN('Inl. wetlands'!$U373,'Inl. wetlands'!$W373)*time+ABS('Inl. wetlands'!$W373-'Inl. wetlands'!$U373)*IF('Inl. wetlands'!$W373&gt;'Inl. wetlands'!$U373,time*(VLOOKUP($P339,list!$J$48:$K$50,2,0)),time*(1-(VLOOKUP($P339,list!$J$48:$K$50,2,0)))),0)</f>
        <v>#REF!</v>
      </c>
      <c r="BF373" s="1449">
        <f>IF('6.Inland wetlands'!$AC118=list!$I$213,MIN('Inl. wetlands'!$X373,'Inl. wetlands'!$Y373)*time+ABS('Inl. wetlands'!$X373-'Inl. wetlands'!$Y373)*IF('Inl. wetlands'!$Y373&gt;'Inl. wetlands'!$X373,time*(VLOOKUP($N339,list!$J$48:$K$50,2,0)),time*(1-(VLOOKUP($N339,list!$J$48:$K$50,2,0)))),0)</f>
        <v>0</v>
      </c>
      <c r="BG373" s="1449" t="e">
        <f>IF('6.Inland wetlands'!#REF!=list!$I$213,MIN('Inl. wetlands'!$X373,'Inl. wetlands'!$Z373)*time+ABS('Inl. wetlands'!$X373-'Inl. wetlands'!$Z373)*IF('Inl. wetlands'!$Z373&gt;'Inl. wetlands'!$X373,time*(VLOOKUP($N339,list!$J$48:$K$50,2,0)),time*(1-(VLOOKUP($N339,list!$J$48:$K$50,2,0)))),0)</f>
        <v>#REF!</v>
      </c>
    </row>
    <row r="374" spans="1:59" x14ac:dyDescent="0.15">
      <c r="A374" s="1467" t="s">
        <v>1161</v>
      </c>
      <c r="B374" s="1044">
        <f>IFERROR(IF($C$351=list!$J$210,INDEX(IPCC!$A$1762:$J$1773,MATCH(clim_moist,IPCC!$A$1781:$A$1792,0),MATCH($C358,IPCC!$A$1781:$J$1781,0)),IF($C$351=list!$J$211,INDEX(IPCC!$A$1781:$J$1792,MATCH(clim_moist,IPCC!$A$1781:$A$1792,0),MATCH($C358,IPCC!$A$1781:$J$1781,0)))),0)</f>
        <v>0</v>
      </c>
      <c r="C374" s="1162">
        <f>IF('6.Inland wetlands'!$CG119="",'6.Inland wetlands'!$CF119,'6.Inland wetlands'!$CG119)</f>
        <v>0</v>
      </c>
      <c r="D374" s="1044">
        <f>IFERROR(IF($C$351=list!$J$210,INDEX(IPCC!$A$1818:$J$1829,MATCH(clim_moist,IPCC!$A$1818:$A$1829,0),MATCH($C358,IPCC!$A$1818:$J$1818,0)),IF($C352=list!$J$211,INDEX(IPCC!$A$1836:$J$1847,MATCH(clim_moist,IPCC!$A$1836:$A$1847,0),MATCH($C358,IPCC!$A$1836:$J$1836,0)))),0)</f>
        <v>0</v>
      </c>
      <c r="E374" s="1162">
        <f>IF('6.Inland wetlands'!$CI119="",'6.Inland wetlands'!$CH119,'6.Inland wetlands'!$CI119)</f>
        <v>0</v>
      </c>
      <c r="F374" s="1044">
        <f>IFERROR(IF($C$351=list!$J$210,INDEX(IPCC!$A$1872:$J$1883,MATCH(clim_moist,IPCC!$A$1872:$A$1883,0),MATCH($C358,IPCC!$A$1872:$J$1872,0)),IF($C$351=list!$J$211,INDEX(IPCC!$A$1890:$J$1901,MATCH(clim_moist,IPCC!$A$1890:$A$1901,0),MATCH($C358,IPCC!$A$1890:$J$1890,0)))),0)</f>
        <v>0</v>
      </c>
      <c r="G374" s="1162">
        <f>IF('6.Inland wetlands'!$CK119="",'6.Inland wetlands'!$CJ119,'6.Inland wetlands'!$CK119)</f>
        <v>0</v>
      </c>
      <c r="H374" s="1044">
        <f>IFERROR(IF($C$351=list!$J$210,INDEX(IPCC!$A$1800:$J$1811,MATCH(clim_moist,IPCC!$A$1800:$A$1811,0),MATCH($C358,IPCC!$A$1800:$J$1800,0)),IF($C$351=list!$J$211,INDEX(IPCC!$A$1800:$J$1811,MATCH(clim_moist,IPCC!$A$1800:$A$1811,0),MATCH($C358,IPCC!$A$1800:$J$1800,0)))),0)</f>
        <v>0</v>
      </c>
      <c r="I374" s="1162">
        <f>IF('6.Inland wetlands'!$CN119="",'6.Inland wetlands'!$CM119,'6.Inland wetlands'!$CN119)</f>
        <v>0</v>
      </c>
      <c r="J374" s="1111">
        <f>IFERROR(IF($C$351=list!$J$210,INDEX(IPCC!$A$1854:$J$1865,MATCH(clim_moist,IPCC!$A$1854:$A$1865,0),MATCH($C358,IPCC!$A$1854:$J$1854,0)),IF($C$351=list!$J$211,INDEX(IPCC!$A$1854:$J$1865,MATCH(clim_moist,IPCC!$A$1854:$A$1865,0),MATCH($C358,IPCC!$A$1854:$J$1854,0)))),0)</f>
        <v>0</v>
      </c>
      <c r="K374" s="1161">
        <f>IF('6.Inland wetlands'!$CP119="",'6.Inland wetlands'!$CO119,'6.Inland wetlands'!$CP119)</f>
        <v>0</v>
      </c>
      <c r="L374" s="3468">
        <f>IF('6.Inland wetlands'!M130&gt;0,$C374*44/12*E358,0)</f>
        <v>0</v>
      </c>
      <c r="M374" s="3468">
        <f>IF('6.Inland wetlands'!N130&gt;0,$C374*44/12*F358,0)</f>
        <v>0</v>
      </c>
      <c r="N374" s="3468">
        <f>IF('6.Inland wetlands'!P130&gt;0,$C374*44/12*J358,0)</f>
        <v>0</v>
      </c>
      <c r="O374" s="3468">
        <f>IF('6.Inland wetlands'!M130&gt;0,'Inl. wetlands'!$E374*methane/1000*E358*(1-'6.Inland wetlands'!W130),0)</f>
        <v>0</v>
      </c>
      <c r="P374" s="3468">
        <f>IF('6.Inland wetlands'!N130&gt;0,'Inl. wetlands'!$E374*methane/1000*F358*(1-'6.Inland wetlands'!X130),0)</f>
        <v>0</v>
      </c>
      <c r="Q374" s="3468">
        <f>IF('6.Inland wetlands'!P130&gt;0,'Inl. wetlands'!$E374*methane/1000*J358*(1-'6.Inland wetlands'!Y130),0)</f>
        <v>0</v>
      </c>
      <c r="R374" s="3468">
        <f>IF('6.Inland wetlands'!M130&gt;0,'Inl. wetlands'!$G374*44/28*Nitrous/1000*E358,0)</f>
        <v>0</v>
      </c>
      <c r="S374" s="3468">
        <f>IF('6.Inland wetlands'!N130&gt;0,'Inl. wetlands'!$G374*44/28*Nitrous/1000*F358,0)</f>
        <v>0</v>
      </c>
      <c r="T374" s="3468">
        <f>IF('6.Inland wetlands'!P130&gt;0,'Inl. wetlands'!$G374*44/28*Nitrous/1000*J358,0)</f>
        <v>0</v>
      </c>
      <c r="U374" s="3468">
        <f>IF('6.Inland wetlands'!M130&gt;0,'Inl. wetlands'!$I374*44/12*E358,0)</f>
        <v>0</v>
      </c>
      <c r="V374" s="3468">
        <f>IF('6.Inland wetlands'!N130&gt;0,'Inl. wetlands'!$I374*44/12*F358,0)</f>
        <v>0</v>
      </c>
      <c r="W374" s="3468">
        <f>IF('6.Inland wetlands'!P130&gt;0,'Inl. wetlands'!$I374*44/12*J358,0)</f>
        <v>0</v>
      </c>
      <c r="X374" s="3468">
        <f>IF('6.Inland wetlands'!M130&gt;0,'Inl. wetlands'!$K374*methane/1000*E358*'6.Inland wetlands'!W130,0)</f>
        <v>0</v>
      </c>
      <c r="Y374" s="3468">
        <f>IF('6.Inland wetlands'!N130&gt;0,'Inl. wetlands'!$K374*methane/1000*F358*'6.Inland wetlands'!X130,0)</f>
        <v>0</v>
      </c>
      <c r="Z374" s="3468">
        <f>IF('6.Inland wetlands'!P130&gt;0,'Inl. wetlands'!$K374*methane/1000*J358*'6.Inland wetlands'!Y130,0)</f>
        <v>0</v>
      </c>
      <c r="AB374" s="3468">
        <f>MIN($L374,$M374)*time_tot+ABS($M374-$L374)*IF($M374&gt;$L374,time_cap+time*(VLOOKUP($N340,list!$J$48:$K$50,2,0)),time*(1-(VLOOKUP($N340,list!$J$48:$K$50,2,0))))</f>
        <v>0</v>
      </c>
      <c r="AC374" s="3468">
        <f>MIN($L374,$N374)*time_tot+ABS($N374-$L374)*IF($N374&gt;$L374,time_cap+time*(VLOOKUP($P340,list!$J$48:$K$50,2,0)),time*(1-(VLOOKUP($P340,list!$J$48:$K$50,2,0))))</f>
        <v>0</v>
      </c>
      <c r="AD374" s="3468">
        <f>MIN('Inl. wetlands'!$O374,'Inl. wetlands'!$P374)*time_tot+ABS('Inl. wetlands'!$P374-'Inl. wetlands'!$O374)*IF('Inl. wetlands'!$P374&gt;'Inl. wetlands'!$O374,time_cap+time*(VLOOKUP($N340,list!$J$48:$K$50,2,0)),time*(1-(VLOOKUP($N340,list!$J$48:$K$50,2,0))))+MIN('Inl. wetlands'!$X374,'Inl. wetlands'!$Y374)*time_tot+ABS('Inl. wetlands'!$X374-'Inl. wetlands'!$Y374)*IF('Inl. wetlands'!$Y374&gt;'Inl. wetlands'!$X374,time_cap+time*(VLOOKUP($N340,list!$J$48:$K$50,2,0)),time*(1-(VLOOKUP($N340,list!$J$48:$K$50,2,0))))</f>
        <v>0</v>
      </c>
      <c r="AE374" s="3468">
        <f>MIN('Inl. wetlands'!$O374,'Inl. wetlands'!$Q374)*time_tot+ABS('Inl. wetlands'!$Q374-'Inl. wetlands'!$O374)*IF('Inl. wetlands'!$Q374&gt;'Inl. wetlands'!$O374,time_cap+time*(VLOOKUP($P340,list!$J$48:$K$50,2,0)),time*(1-(VLOOKUP($P340,list!$J$48:$K$50,2,0))))+MIN('Inl. wetlands'!$X374,'Inl. wetlands'!$Z374)*time_tot+ABS('Inl. wetlands'!$X374-'Inl. wetlands'!$Z374)*IF('Inl. wetlands'!$Z374&gt;'Inl. wetlands'!$X374,time_cap+time*(VLOOKUP($P340,list!$J$48:$K$50,2,0)),time*(1-(VLOOKUP($P340,list!$J$48:$K$50,2,0))))</f>
        <v>0</v>
      </c>
      <c r="AF374" s="3468">
        <f>MIN('Inl. wetlands'!$R374,'Inl. wetlands'!$S374)*time_tot+ABS('Inl. wetlands'!$S374-'Inl. wetlands'!$R374)*IF('Inl. wetlands'!$S374&gt;'Inl. wetlands'!$R374,time_cap+time*(VLOOKUP($N340,list!$J$48:$K$50,2,0)),time*(1-(VLOOKUP($N340,list!$J$48:$K$50,2,0))))</f>
        <v>0</v>
      </c>
      <c r="AG374" s="3468">
        <f>MIN('Inl. wetlands'!$R374,'Inl. wetlands'!$T374)*time_tot+ABS('Inl. wetlands'!$T374-'Inl. wetlands'!$R374)*IF('Inl. wetlands'!$T374&gt;'Inl. wetlands'!$R374,time_cap+time*(VLOOKUP($P340,list!$J$48:$K$50,2,0)),time*(1-(VLOOKUP($P340,list!$J$48:$K$50,2,0))))</f>
        <v>0</v>
      </c>
      <c r="AI374" s="3470">
        <f t="shared" si="187"/>
        <v>0</v>
      </c>
      <c r="AJ374" s="1152">
        <f t="shared" si="187"/>
        <v>0</v>
      </c>
      <c r="AK374" s="3473">
        <f t="shared" si="188"/>
        <v>0</v>
      </c>
      <c r="AX374" s="1449">
        <f>IF('6.Inland wetlands'!$AC119=list!$I$213,MIN($L374,$M374)*time+ABS($M374-$L374)*IF($M374&gt;$L374,time*(VLOOKUP($N340,list!$J$48:$K$50,2,0)),time*(1-(VLOOKUP($N340,list!$J$48:$K$50,2,0)))),0)</f>
        <v>0</v>
      </c>
      <c r="AY374" s="1449" t="e">
        <f>IF('6.Inland wetlands'!#REF!=list!$I$213,MIN($L374,$N374)*time+ABS($N374-$L374)*IF($N374&gt;$L374,time*(VLOOKUP($P340,list!$J$48:$K$50,2,0)),time*(1-(VLOOKUP($P340,list!$J$48:$K$50,2,0)))),0)</f>
        <v>#REF!</v>
      </c>
      <c r="AZ374" s="1449">
        <f>IF('6.Inland wetlands'!$AC119=list!$I$213,MIN($O374,$P374)*time+ABS($P374-$O374)*IF($P374&gt;$O374,time*(VLOOKUP($N340,list!$J$48:$K$50,2,0)),time*(1-(VLOOKUP($N340,list!$J$48:$K$50,2,0)))),0)</f>
        <v>0</v>
      </c>
      <c r="BA374" s="1449" t="e">
        <f>IF('6.Inland wetlands'!#REF!=list!$I$213,MIN($O374,$Q374)*time+ABS($Q374-$O374)*IF($Q374&gt;$O374,time*(VLOOKUP($P340,list!$J$48:$K$50,2,0)),time*(1-(VLOOKUP($P340,list!$J$48:$K$50,2,0))))+MIN($X374,$Z374)*time+ABS($X374-$Z374)*IF($Z374&gt;$X374,time*(VLOOKUP($P340,list!$J$48:$K$50,2,0)),time*(1-(VLOOKUP($P340,list!$J$48:$K$50,2,0)))),0)</f>
        <v>#REF!</v>
      </c>
      <c r="BB374" s="1449">
        <f>IF('6.Inland wetlands'!$AC119=list!$I$213,MIN($R374,$S374)*time+ABS($S374-$R374)*IF($S374&gt;$R374,time*(VLOOKUP($N340,list!$J$48:$K$50,2,0)),time*(1-(VLOOKUP($N340,list!$J$48:$K$50,2,0)))),0)</f>
        <v>0</v>
      </c>
      <c r="BC374" s="1449" t="e">
        <f>IF('6.Inland wetlands'!#REF!=list!$I214,MIN($R374,$T374)*time+ABS($T374-$R374)*IF($T374&gt;$R374,time*(VLOOKUP($P340,list!$J$48:$K$50,2,0)),time*(1-(VLOOKUP($P340,list!$J$48:$K$50,2,0)))),0)</f>
        <v>#REF!</v>
      </c>
      <c r="BD374" s="1449">
        <f>IF('6.Inland wetlands'!$AC119=list!$I$213,MIN($U374,$V374)*time+ABS($V374-$U374)*IF($V374&gt;$U374,time*(VLOOKUP($N340,list!$J$48:$K$50,2,0)),time*(1-(VLOOKUP($N340,list!$J$48:$K$50,2,0)))),0)</f>
        <v>0</v>
      </c>
      <c r="BE374" s="1449" t="e">
        <f>IF('6.Inland wetlands'!#REF!=list!$I$213,MIN($U374,$W374)*time+ABS($W374-$U374)*IF($W374&gt;$U374,time*(VLOOKUP($P340,list!$J$48:$K$50,2,0)),time*(1-(VLOOKUP($P340,list!$J$48:$K$50,2,0)))),0)</f>
        <v>#REF!</v>
      </c>
      <c r="BF374" s="1449">
        <f>IF('6.Inland wetlands'!$AC119=list!$I$213,MIN($X374,$Y374)*time+ABS($X374-$Y374)*IF($Y374&gt;$X374,time*(VLOOKUP($N340,list!$J$48:$K$50,2,0)),time*(1-(VLOOKUP($N340,list!$J$48:$K$50,2,0)))),0)</f>
        <v>0</v>
      </c>
      <c r="BG374" s="1449" t="e">
        <f>IF('6.Inland wetlands'!#REF!=list!$I$213,MIN($X374,$Z374)*time+ABS($X374-$Z374)*IF($Z374&gt;$X374,time*(VLOOKUP($N340,list!$J$48:$K$50,2,0)),time*(1-(VLOOKUP($N340,list!$J$48:$K$50,2,0)))),0)</f>
        <v>#REF!</v>
      </c>
    </row>
    <row r="375" spans="1:59" x14ac:dyDescent="0.15">
      <c r="A375" s="1467" t="s">
        <v>1162</v>
      </c>
      <c r="B375" s="1044">
        <f>IFERROR(IF($C$351=list!$J$210,INDEX(IPCC!$A$1762:$J$1773,MATCH(clim_moist,IPCC!$A$1781:$A$1792,0),MATCH($C359,IPCC!$A$1781:$J$1781,0)),IF($C$351=list!$J$211,INDEX(IPCC!$A$1781:$J$1792,MATCH(clim_moist,IPCC!$A$1781:$A$1792,0),MATCH($C359,IPCC!$A$1781:$J$1781,0)))),0)</f>
        <v>0</v>
      </c>
      <c r="C375" s="1162">
        <f>IF('6.Inland wetlands'!$CG120="",'6.Inland wetlands'!$CF120,'6.Inland wetlands'!$CG120)</f>
        <v>0</v>
      </c>
      <c r="D375" s="1044">
        <f>IFERROR(IF($C$351=list!$J$210,INDEX(IPCC!$A$1818:$J$1829,MATCH(clim_moist,IPCC!$A$1818:$A$1829,0),MATCH($C359,IPCC!$A$1818:$J$1818,0)),IF($C353=list!$J$211,INDEX(IPCC!$A$1836:$J$1847,MATCH(clim_moist,IPCC!$A$1836:$A$1847,0),MATCH($C359,IPCC!$A$1836:$J$1836,0)))),0)</f>
        <v>0</v>
      </c>
      <c r="E375" s="1162">
        <f>IF('6.Inland wetlands'!$CI120="",'6.Inland wetlands'!$CH120,'6.Inland wetlands'!$CI120)</f>
        <v>0</v>
      </c>
      <c r="F375" s="1044">
        <f>IFERROR(IF($C$351=list!$J$210,INDEX(IPCC!$A$1872:$J$1883,MATCH(clim_moist,IPCC!$A$1872:$A$1883,0),MATCH($C359,IPCC!$A$1872:$J$1872,0)),IF($C$351=list!$J$211,INDEX(IPCC!$A$1890:$J$1901,MATCH(clim_moist,IPCC!$A$1890:$A$1901,0),MATCH($C359,IPCC!$A$1890:$J$1890,0)))),0)</f>
        <v>0</v>
      </c>
      <c r="G375" s="1162">
        <f>IF('6.Inland wetlands'!$CK120="",'6.Inland wetlands'!$CJ120,'6.Inland wetlands'!$CK120)</f>
        <v>0</v>
      </c>
      <c r="H375" s="1044">
        <f>IFERROR(IF($C$351=list!$J$210,INDEX(IPCC!$A$1800:$J$1811,MATCH(clim_moist,IPCC!$A$1800:$A$1811,0),MATCH($C359,IPCC!$A$1800:$J$1800,0)),IF($C$351=list!$J$211,INDEX(IPCC!$A$1800:$J$1811,MATCH(clim_moist,IPCC!$A$1800:$A$1811,0),MATCH($C359,IPCC!$A$1800:$J$1800,0)))),0)</f>
        <v>0</v>
      </c>
      <c r="I375" s="1162">
        <f>IF('6.Inland wetlands'!$CN120="",'6.Inland wetlands'!$CM120,'6.Inland wetlands'!$CN120)</f>
        <v>0</v>
      </c>
      <c r="J375" s="1111">
        <f>IFERROR(IF($C$351=list!$J$210,INDEX(IPCC!$A$1854:$J$1865,MATCH(clim_moist,IPCC!$A$1854:$A$1865,0),MATCH($C359,IPCC!$A$1854:$J$1854,0)),IF($C$351=list!$J$211,INDEX(IPCC!$A$1854:$J$1865,MATCH(clim_moist,IPCC!$A$1854:$A$1865,0),MATCH($C359,IPCC!$A$1854:$J$1854,0)))),0)</f>
        <v>0</v>
      </c>
      <c r="K375" s="1161">
        <f>IF('6.Inland wetlands'!$CP120="",'6.Inland wetlands'!$CO120,'6.Inland wetlands'!$CP120)</f>
        <v>0</v>
      </c>
      <c r="L375" s="3468">
        <f>IF('6.Inland wetlands'!M131&gt;0,$C375*44/12*E359,0)</f>
        <v>0</v>
      </c>
      <c r="M375" s="3468">
        <f>IF('6.Inland wetlands'!N131&gt;0,$C375*44/12*F359,0)</f>
        <v>0</v>
      </c>
      <c r="N375" s="3468">
        <f>IF('6.Inland wetlands'!P131&gt;0,$C375*44/12*J359,0)</f>
        <v>0</v>
      </c>
      <c r="O375" s="3468">
        <f>IF('6.Inland wetlands'!M131&gt;0,'Inl. wetlands'!$E375*methane/1000*E359*(1-'6.Inland wetlands'!W131),0)</f>
        <v>0</v>
      </c>
      <c r="P375" s="3468">
        <f>IF('6.Inland wetlands'!N131&gt;0,'Inl. wetlands'!$E375*methane/1000*F359*(1-'6.Inland wetlands'!X131),0)</f>
        <v>0</v>
      </c>
      <c r="Q375" s="3468">
        <f>IF('6.Inland wetlands'!P131&gt;0,'Inl. wetlands'!$E375*methane/1000*J359*(1-'6.Inland wetlands'!Y131),0)</f>
        <v>0</v>
      </c>
      <c r="R375" s="3468">
        <f>IF('6.Inland wetlands'!M131&gt;0,'Inl. wetlands'!$G375*44/28*Nitrous/1000*E359,0)</f>
        <v>0</v>
      </c>
      <c r="S375" s="3468">
        <f>IF('6.Inland wetlands'!N131&gt;0,'Inl. wetlands'!$G375*44/28*Nitrous/1000*F359,0)</f>
        <v>0</v>
      </c>
      <c r="T375" s="3468">
        <f>IF('6.Inland wetlands'!P131&gt;0,'Inl. wetlands'!$G375*44/28*Nitrous/1000*J359,0)</f>
        <v>0</v>
      </c>
      <c r="U375" s="3468">
        <f>IF('6.Inland wetlands'!M131&gt;0,'Inl. wetlands'!$I375*44/12*E359,0)</f>
        <v>0</v>
      </c>
      <c r="V375" s="3468">
        <f>IF('6.Inland wetlands'!N131&gt;0,'Inl. wetlands'!$I375*44/12*F359,0)</f>
        <v>0</v>
      </c>
      <c r="W375" s="3468">
        <f>IF('6.Inland wetlands'!P131&gt;0,'Inl. wetlands'!$I375*44/12*J359,0)</f>
        <v>0</v>
      </c>
      <c r="X375" s="3468">
        <f>IF('6.Inland wetlands'!M131&gt;0,'Inl. wetlands'!$K375*methane/1000*E359*'6.Inland wetlands'!W131,0)</f>
        <v>0</v>
      </c>
      <c r="Y375" s="3468">
        <f>IF('6.Inland wetlands'!N131&gt;0,'Inl. wetlands'!$K375*methane/1000*F359*'6.Inland wetlands'!X131,0)</f>
        <v>0</v>
      </c>
      <c r="Z375" s="3468">
        <f>IF('6.Inland wetlands'!P131&gt;0,'Inl. wetlands'!$K375*methane/1000*J359*'6.Inland wetlands'!Y131,0)</f>
        <v>0</v>
      </c>
      <c r="AB375" s="3468">
        <f>MIN($L375,$M375)*time_tot+ABS($M375-$L375)*IF($M375&gt;$L375,time_cap+time*(VLOOKUP($N341,list!$J$48:$K$50,2,0)),time*(1-(VLOOKUP($N341,list!$J$48:$K$50,2,0))))</f>
        <v>0</v>
      </c>
      <c r="AC375" s="3468">
        <f>MIN($L375,$N375)*time_tot+ABS($N375-$L375)*IF($N375&gt;$L375,time_cap+time*(VLOOKUP($P341,list!$J$48:$K$50,2,0)),time*(1-(VLOOKUP($P341,list!$J$48:$K$50,2,0))))</f>
        <v>0</v>
      </c>
      <c r="AD375" s="3468">
        <f>MIN('Inl. wetlands'!$O375,'Inl. wetlands'!$P375)*time_tot+ABS('Inl. wetlands'!$P375-'Inl. wetlands'!$O375)*IF('Inl. wetlands'!$P375&gt;'Inl. wetlands'!$O375,time_cap+time*(VLOOKUP($N341,list!$J$48:$K$50,2,0)),time*(1-(VLOOKUP($N341,list!$J$48:$K$50,2,0))))+MIN('Inl. wetlands'!$X375,'Inl. wetlands'!$Y375)*time_tot+ABS('Inl. wetlands'!$X375-'Inl. wetlands'!$Y375)*IF('Inl. wetlands'!$Y375&gt;'Inl. wetlands'!$X375,time_cap+time*(VLOOKUP($N341,list!$J$48:$K$50,2,0)),time*(1-(VLOOKUP($N341,list!$J$48:$K$50,2,0))))</f>
        <v>0</v>
      </c>
      <c r="AE375" s="3468">
        <f>MIN('Inl. wetlands'!$O375,'Inl. wetlands'!$Q375)*time_tot+ABS('Inl. wetlands'!$Q375-'Inl. wetlands'!$O375)*IF('Inl. wetlands'!$Q375&gt;'Inl. wetlands'!$O375,time_cap+time*(VLOOKUP($P341,list!$J$48:$K$50,2,0)),time*(1-(VLOOKUP($P341,list!$J$48:$K$50,2,0))))+MIN('Inl. wetlands'!$X375,'Inl. wetlands'!$Z375)*time_tot+ABS('Inl. wetlands'!$X375-'Inl. wetlands'!$Z375)*IF('Inl. wetlands'!$Z375&gt;'Inl. wetlands'!$X375,time_cap+time*(VLOOKUP($P341,list!$J$48:$K$50,2,0)),time*(1-(VLOOKUP($P341,list!$J$48:$K$50,2,0))))</f>
        <v>0</v>
      </c>
      <c r="AF375" s="3468">
        <f>MIN('Inl. wetlands'!$R375,'Inl. wetlands'!$S375)*time_tot+ABS('Inl. wetlands'!$S375-'Inl. wetlands'!$R375)*IF('Inl. wetlands'!$S375&gt;'Inl. wetlands'!$R375,time_cap+time*(VLOOKUP($N341,list!$J$48:$K$50,2,0)),time*(1-(VLOOKUP($N341,list!$J$48:$K$50,2,0))))</f>
        <v>0</v>
      </c>
      <c r="AG375" s="3468">
        <f>MIN('Inl. wetlands'!$R375,'Inl. wetlands'!$T375)*time_tot+ABS('Inl. wetlands'!$T375-'Inl. wetlands'!$R375)*IF('Inl. wetlands'!$T375&gt;'Inl. wetlands'!$R375,time_cap+time*(VLOOKUP($P341,list!$J$48:$K$50,2,0)),time*(1-(VLOOKUP($P341,list!$J$48:$K$50,2,0))))</f>
        <v>0</v>
      </c>
      <c r="AI375" s="3470">
        <f t="shared" si="187"/>
        <v>0</v>
      </c>
      <c r="AJ375" s="1152">
        <f t="shared" si="187"/>
        <v>0</v>
      </c>
      <c r="AK375" s="1159">
        <f t="shared" si="188"/>
        <v>0</v>
      </c>
      <c r="AX375" s="1449">
        <f>IF('6.Inland wetlands'!$AC120=list!$I$213,MIN($L375,$M375)*time+ABS($M375-$L375)*IF($M375&gt;$L375,time*(VLOOKUP($N341,list!$J$48:$K$50,2,0)),time*(1-(VLOOKUP($N341,list!$J$48:$K$50,2,0)))),0)</f>
        <v>0</v>
      </c>
      <c r="AY375" s="1449" t="e">
        <f>IF('6.Inland wetlands'!#REF!=list!$I$213,MIN($L375,$N375)*time+ABS($N375-$L375)*IF($N375&gt;$L375,time*(VLOOKUP($P341,list!$J$48:$K$50,2,0)),time*(1-(VLOOKUP($P341,list!$J$48:$K$50,2,0)))),0)</f>
        <v>#REF!</v>
      </c>
      <c r="AZ375" s="1449">
        <f>IF('6.Inland wetlands'!$AC120=list!$I$213,MIN($O375,$P375)*time+ABS($P375-$O375)*IF($P375&gt;$O375,time*(VLOOKUP($N341,list!$J$48:$K$50,2,0)),time*(1-(VLOOKUP($N341,list!$J$48:$K$50,2,0)))),0)</f>
        <v>0</v>
      </c>
      <c r="BA375" s="1449" t="e">
        <f>IF('6.Inland wetlands'!#REF!=list!$I$213,MIN($O375,$Q375)*time+ABS($Q375-$O375)*IF($Q375&gt;$O375,time*(VLOOKUP($P341,list!$J$48:$K$50,2,0)),time*(1-(VLOOKUP($P341,list!$J$48:$K$50,2,0))))+MIN($X375,$Z375)*time+ABS($X375-$Z375)*IF($Z375&gt;$X375,time*(VLOOKUP($P341,list!$J$48:$K$50,2,0)),time*(1-(VLOOKUP($P341,list!$J$48:$K$50,2,0)))),0)</f>
        <v>#REF!</v>
      </c>
      <c r="BB375" s="1449">
        <f>IF('6.Inland wetlands'!$AC120=list!$I$213,MIN($R375,$S375)*time+ABS($S375-$R375)*IF($S375&gt;$R375,time*(VLOOKUP($N341,list!$J$48:$K$50,2,0)),time*(1-(VLOOKUP($N341,list!$J$48:$K$50,2,0)))),0)</f>
        <v>0</v>
      </c>
      <c r="BC375" s="1449" t="e">
        <f>IF('6.Inland wetlands'!#REF!=list!$I215,MIN($R375,$T375)*time+ABS($T375-$R375)*IF($T375&gt;$R375,time*(VLOOKUP($P341,list!$J$48:$K$50,2,0)),time*(1-(VLOOKUP($P341,list!$J$48:$K$50,2,0)))),0)</f>
        <v>#REF!</v>
      </c>
      <c r="BD375" s="1449">
        <f>IF('6.Inland wetlands'!$AC120=list!$I$213,MIN($U375,$V375)*time+ABS($V375-$U375)*IF($V375&gt;$U375,time*(VLOOKUP($N341,list!$J$48:$K$50,2,0)),time*(1-(VLOOKUP($N341,list!$J$48:$K$50,2,0)))),0)</f>
        <v>0</v>
      </c>
      <c r="BE375" s="1449" t="e">
        <f>IF('6.Inland wetlands'!#REF!=list!$I$213,MIN($U375,$W375)*time+ABS($W375-$U375)*IF($W375&gt;$U375,time*(VLOOKUP($P341,list!$J$48:$K$50,2,0)),time*(1-(VLOOKUP($P341,list!$J$48:$K$50,2,0)))),0)</f>
        <v>#REF!</v>
      </c>
      <c r="BF375" s="1449">
        <f>IF('6.Inland wetlands'!$AC120=list!$I$213,MIN($X375,$Y375)*time+ABS($X375-$Y375)*IF($Y375&gt;$X375,time*(VLOOKUP($N341,list!$J$48:$K$50,2,0)),time*(1-(VLOOKUP($N341,list!$J$48:$K$50,2,0)))),0)</f>
        <v>0</v>
      </c>
      <c r="BG375" s="1449" t="e">
        <f>IF('6.Inland wetlands'!#REF!=list!$I$213,MIN($X375,$Z375)*time+ABS($X375-$Z375)*IF($Z375&gt;$X375,time*(VLOOKUP($N341,list!$J$48:$K$50,2,0)),time*(1-(VLOOKUP($N341,list!$J$48:$K$50,2,0)))),0)</f>
        <v>#REF!</v>
      </c>
    </row>
    <row r="376" spans="1:59" x14ac:dyDescent="0.15">
      <c r="A376" s="1467" t="s">
        <v>1163</v>
      </c>
      <c r="B376" s="1044">
        <f>IFERROR(IF($C$351=list!$J$210,INDEX(IPCC!$A$1762:$J$1773,MATCH(clim_moist,IPCC!$A$1781:$A$1792,0),MATCH($C360,IPCC!$A$1781:$J$1781,0)),IF($C$351=list!$J$211,INDEX(IPCC!$A$1781:$J$1792,MATCH(clim_moist,IPCC!$A$1781:$A$1792,0),MATCH($C360,IPCC!$A$1781:$J$1781,0)))),0)</f>
        <v>0</v>
      </c>
      <c r="C376" s="1162">
        <f>IF('6.Inland wetlands'!$CG121="",'6.Inland wetlands'!$CF121,'6.Inland wetlands'!$CG121)</f>
        <v>0</v>
      </c>
      <c r="D376" s="1044">
        <f>IFERROR(IF($C$351=list!$J$210,INDEX(IPCC!$A$1818:$J$1829,MATCH(clim_moist,IPCC!$A$1818:$A$1829,0),MATCH($C360,IPCC!$A$1818:$J$1818,0)),IF($C354=list!$J$211,INDEX(IPCC!$A$1836:$J$1847,MATCH(clim_moist,IPCC!$A$1836:$A$1847,0),MATCH($C360,IPCC!$A$1836:$J$1836,0)))),0)</f>
        <v>0</v>
      </c>
      <c r="E376" s="1162">
        <f>IF('6.Inland wetlands'!$CI121="",'6.Inland wetlands'!$CH121,'6.Inland wetlands'!$CI121)</f>
        <v>0</v>
      </c>
      <c r="F376" s="1044">
        <f>IFERROR(IF($C$351=list!$J$210,INDEX(IPCC!$A$1872:$J$1883,MATCH(clim_moist,IPCC!$A$1872:$A$1883,0),MATCH($C360,IPCC!$A$1872:$J$1872,0)),IF($C$351=list!$J$211,INDEX(IPCC!$A$1890:$J$1901,MATCH(clim_moist,IPCC!$A$1890:$A$1901,0),MATCH($C360,IPCC!$A$1890:$J$1890,0)))),0)</f>
        <v>0</v>
      </c>
      <c r="G376" s="1162">
        <f>IF('6.Inland wetlands'!$CK121="",'6.Inland wetlands'!$CJ121,'6.Inland wetlands'!$CK121)</f>
        <v>0</v>
      </c>
      <c r="H376" s="1044">
        <f>IFERROR(IF($C$351=list!$J$210,INDEX(IPCC!$A$1800:$J$1811,MATCH(clim_moist,IPCC!$A$1800:$A$1811,0),MATCH($C360,IPCC!$A$1800:$J$1800,0)),IF($C$351=list!$J$211,INDEX(IPCC!$A$1800:$J$1811,MATCH(clim_moist,IPCC!$A$1800:$A$1811,0),MATCH($C360,IPCC!$A$1800:$J$1800,0)))),0)</f>
        <v>0</v>
      </c>
      <c r="I376" s="1162">
        <f>IF('6.Inland wetlands'!$CN121="",'6.Inland wetlands'!$CM121,'6.Inland wetlands'!$CN121)</f>
        <v>0</v>
      </c>
      <c r="J376" s="1111">
        <f>IFERROR(IF($C$351=list!$J$210,INDEX(IPCC!$A$1854:$J$1865,MATCH(clim_moist,IPCC!$A$1854:$A$1865,0),MATCH($C360,IPCC!$A$1854:$J$1854,0)),IF($C$351=list!$J$211,INDEX(IPCC!$A$1854:$J$1865,MATCH(clim_moist,IPCC!$A$1854:$A$1865,0),MATCH($C360,IPCC!$A$1854:$J$1854,0)))),0)</f>
        <v>0</v>
      </c>
      <c r="K376" s="1161">
        <f>IF('6.Inland wetlands'!$CP121="",'6.Inland wetlands'!$CO121,'6.Inland wetlands'!$CP121)</f>
        <v>0</v>
      </c>
      <c r="L376" s="3468">
        <f>IF('6.Inland wetlands'!M132&gt;0,$C376*44/12*E360,0)</f>
        <v>0</v>
      </c>
      <c r="M376" s="3468">
        <f>IF('6.Inland wetlands'!N132&gt;0,$C376*44/12*F360,0)</f>
        <v>0</v>
      </c>
      <c r="N376" s="3468">
        <f>IF('6.Inland wetlands'!P132&gt;0,$C376*44/12*J360,0)</f>
        <v>0</v>
      </c>
      <c r="O376" s="3468">
        <f>IF('6.Inland wetlands'!M132&gt;0,'Inl. wetlands'!$E376*methane/1000*E360*(1-'6.Inland wetlands'!W132),0)</f>
        <v>0</v>
      </c>
      <c r="P376" s="3468">
        <f>IF('6.Inland wetlands'!N132&gt;0,'Inl. wetlands'!$E376*methane/1000*F360*(1-'6.Inland wetlands'!X132),0)</f>
        <v>0</v>
      </c>
      <c r="Q376" s="3468">
        <f>IF('6.Inland wetlands'!P132&gt;0,'Inl. wetlands'!$E376*methane/1000*J360*(1-'6.Inland wetlands'!Y132),0)</f>
        <v>0</v>
      </c>
      <c r="R376" s="3468">
        <f>IF('6.Inland wetlands'!M132&gt;0,'Inl. wetlands'!$G376*44/28*Nitrous/1000*E360,0)</f>
        <v>0</v>
      </c>
      <c r="S376" s="3468">
        <f>IF('6.Inland wetlands'!N132&gt;0,'Inl. wetlands'!$G376*44/28*Nitrous/1000*F360,0)</f>
        <v>0</v>
      </c>
      <c r="T376" s="3468">
        <f>IF('6.Inland wetlands'!P132&gt;0,'Inl. wetlands'!$G376*44/28*Nitrous/1000*J360,0)</f>
        <v>0</v>
      </c>
      <c r="U376" s="3468">
        <f>IF('6.Inland wetlands'!M132&gt;0,'Inl. wetlands'!$I376*44/12*E360,0)</f>
        <v>0</v>
      </c>
      <c r="V376" s="3468">
        <f>IF('6.Inland wetlands'!N132&gt;0,'Inl. wetlands'!$I376*44/12*F360,0)</f>
        <v>0</v>
      </c>
      <c r="W376" s="3468">
        <f>IF('6.Inland wetlands'!P132&gt;0,'Inl. wetlands'!$I376*44/12*J360,0)</f>
        <v>0</v>
      </c>
      <c r="X376" s="3468">
        <f>IF('6.Inland wetlands'!M132&gt;0,'Inl. wetlands'!$K376*methane/1000*E360*'6.Inland wetlands'!W132,0)</f>
        <v>0</v>
      </c>
      <c r="Y376" s="3468">
        <f>IF('6.Inland wetlands'!N132&gt;0,'Inl. wetlands'!$K376*methane/1000*F360*'6.Inland wetlands'!X132,0)</f>
        <v>0</v>
      </c>
      <c r="Z376" s="3468">
        <f>IF('6.Inland wetlands'!P132&gt;0,'Inl. wetlands'!$K376*methane/1000*J360*'6.Inland wetlands'!Y132,0)</f>
        <v>0</v>
      </c>
      <c r="AB376" s="3468">
        <f>MIN($L376,$M376)*time_tot+ABS($M376-$L376)*IF($M376&gt;$L376,time_cap+time*(VLOOKUP($N342,list!$J$48:$K$50,2,0)),time*(1-(VLOOKUP($N342,list!$J$48:$K$50,2,0))))</f>
        <v>0</v>
      </c>
      <c r="AC376" s="3468">
        <f>MIN($L376,$N376)*time_tot+ABS($N376-$L376)*IF($N376&gt;$L376,time_cap+time*(VLOOKUP($P342,list!$J$48:$K$50,2,0)),time*(1-(VLOOKUP($P342,list!$J$48:$K$50,2,0))))</f>
        <v>0</v>
      </c>
      <c r="AD376" s="3468">
        <f>MIN('Inl. wetlands'!$O376,'Inl. wetlands'!$P376)*time_tot+ABS('Inl. wetlands'!$P376-'Inl. wetlands'!$O376)*IF('Inl. wetlands'!$P376&gt;'Inl. wetlands'!$O376,time_cap+time*(VLOOKUP($N342,list!$J$48:$K$50,2,0)),time*(1-(VLOOKUP($N342,list!$J$48:$K$50,2,0))))+MIN('Inl. wetlands'!$X376,'Inl. wetlands'!$Y376)*time_tot+ABS('Inl. wetlands'!$X376-'Inl. wetlands'!$Y376)*IF('Inl. wetlands'!$Y376&gt;'Inl. wetlands'!$X376,time_cap+time*(VLOOKUP($N342,list!$J$48:$K$50,2,0)),time*(1-(VLOOKUP($N342,list!$J$48:$K$50,2,0))))</f>
        <v>0</v>
      </c>
      <c r="AE376" s="3468">
        <f>MIN('Inl. wetlands'!$O376,'Inl. wetlands'!$Q376)*time_tot+ABS('Inl. wetlands'!$Q376-'Inl. wetlands'!$O376)*IF('Inl. wetlands'!$Q376&gt;'Inl. wetlands'!$O376,time_cap+time*(VLOOKUP($P342,list!$J$48:$K$50,2,0)),time*(1-(VLOOKUP($P342,list!$J$48:$K$50,2,0))))+MIN('Inl. wetlands'!$X376,'Inl. wetlands'!$Z376)*time_tot+ABS('Inl. wetlands'!$X376-'Inl. wetlands'!$Z376)*IF('Inl. wetlands'!$Z376&gt;'Inl. wetlands'!$X376,time_cap+time*(VLOOKUP($P342,list!$J$48:$K$50,2,0)),time*(1-(VLOOKUP($P342,list!$J$48:$K$50,2,0))))</f>
        <v>0</v>
      </c>
      <c r="AF376" s="3468">
        <f>MIN('Inl. wetlands'!$R376,'Inl. wetlands'!$S376)*time_tot+ABS('Inl. wetlands'!$S376-'Inl. wetlands'!$R376)*IF('Inl. wetlands'!$S376&gt;'Inl. wetlands'!$R376,time_cap+time*(VLOOKUP($N342,list!$J$48:$K$50,2,0)),time*(1-(VLOOKUP($N342,list!$J$48:$K$50,2,0))))</f>
        <v>0</v>
      </c>
      <c r="AG376" s="3468">
        <f>MIN('Inl. wetlands'!$R376,'Inl. wetlands'!$T376)*time_tot+ABS('Inl. wetlands'!$T376-'Inl. wetlands'!$R376)*IF('Inl. wetlands'!$T376&gt;'Inl. wetlands'!$R376,time_cap+time*(VLOOKUP($P342,list!$J$48:$K$50,2,0)),time*(1-(VLOOKUP($P342,list!$J$48:$K$50,2,0))))</f>
        <v>0</v>
      </c>
      <c r="AI376" s="3470">
        <f t="shared" si="187"/>
        <v>0</v>
      </c>
      <c r="AJ376" s="1152">
        <f t="shared" si="187"/>
        <v>0</v>
      </c>
      <c r="AK376" s="1159">
        <f t="shared" si="188"/>
        <v>0</v>
      </c>
      <c r="AX376" s="1449">
        <f>IF('6.Inland wetlands'!$AC121=list!$I$213,MIN($L376,$M376)*time+ABS($M376-$L376)*IF($M376&gt;$L376,time*(VLOOKUP($N342,list!$J$48:$K$50,2,0)),time*(1-(VLOOKUP($N342,list!$J$48:$K$50,2,0)))),0)</f>
        <v>0</v>
      </c>
      <c r="AY376" s="1449" t="e">
        <f>IF('6.Inland wetlands'!#REF!=list!$I$213,MIN($L376,$N376)*time+ABS($N376-$L376)*IF($N376&gt;$L376,time*(VLOOKUP($P342,list!$J$48:$K$50,2,0)),time*(1-(VLOOKUP($P342,list!$J$48:$K$50,2,0)))),0)</f>
        <v>#REF!</v>
      </c>
      <c r="AZ376" s="1449">
        <f>IF('6.Inland wetlands'!$AC121=list!$I$213,MIN($O376,$P376)*time+ABS($P376-$O376)*IF($P376&gt;$O376,time*(VLOOKUP($N342,list!$J$48:$K$50,2,0)),time*(1-(VLOOKUP($N342,list!$J$48:$K$50,2,0)))),0)</f>
        <v>0</v>
      </c>
      <c r="BA376" s="1449" t="e">
        <f>IF('6.Inland wetlands'!#REF!=list!$I$213,MIN($O376,$Q376)*time+ABS($Q376-$O376)*IF($Q376&gt;$O376,time*(VLOOKUP($P342,list!$J$48:$K$50,2,0)),time*(1-(VLOOKUP($P342,list!$J$48:$K$50,2,0))))+MIN($X376,$Z376)*time+ABS($X376-$Z376)*IF($Z376&gt;$X376,time*(VLOOKUP($P342,list!$J$48:$K$50,2,0)),time*(1-(VLOOKUP($P342,list!$J$48:$K$50,2,0)))),0)</f>
        <v>#REF!</v>
      </c>
      <c r="BB376" s="1449">
        <f>IF('6.Inland wetlands'!$AC121=list!$I$213,MIN($R376,$S376)*time+ABS($S376-$R376)*IF($S376&gt;$R376,time*(VLOOKUP($N342,list!$J$48:$K$50,2,0)),time*(1-(VLOOKUP($N342,list!$J$48:$K$50,2,0)))),0)</f>
        <v>0</v>
      </c>
      <c r="BC376" s="1449" t="e">
        <f>IF('6.Inland wetlands'!#REF!=list!$I216,MIN($R376,$T376)*time+ABS($T376-$R376)*IF($T376&gt;$R376,time*(VLOOKUP($P342,list!$J$48:$K$50,2,0)),time*(1-(VLOOKUP($P342,list!$J$48:$K$50,2,0)))),0)</f>
        <v>#REF!</v>
      </c>
      <c r="BD376" s="1449">
        <f>IF('6.Inland wetlands'!$AC121=list!$I$213,MIN($U376,$V376)*time+ABS($V376-$U376)*IF($V376&gt;$U376,time*(VLOOKUP($N342,list!$J$48:$K$50,2,0)),time*(1-(VLOOKUP($N342,list!$J$48:$K$50,2,0)))),0)</f>
        <v>0</v>
      </c>
      <c r="BE376" s="1449" t="e">
        <f>IF('6.Inland wetlands'!#REF!=list!$I$213,MIN($U376,$W376)*time+ABS($W376-$U376)*IF($W376&gt;$U376,time*(VLOOKUP($P342,list!$J$48:$K$50,2,0)),time*(1-(VLOOKUP($P342,list!$J$48:$K$50,2,0)))),0)</f>
        <v>#REF!</v>
      </c>
      <c r="BF376" s="1449">
        <f>IF('6.Inland wetlands'!$AC121=list!$I$213,MIN($X376,$Y376)*time+ABS($X376-$Y376)*IF($Y376&gt;$X376,time*(VLOOKUP($N342,list!$J$48:$K$50,2,0)),time*(1-(VLOOKUP($N342,list!$J$48:$K$50,2,0)))),0)</f>
        <v>0</v>
      </c>
      <c r="BG376" s="1449" t="e">
        <f>IF('6.Inland wetlands'!#REF!=list!$I$213,MIN($X376,$Z376)*time+ABS($X376-$Z376)*IF($Z376&gt;$X376,time*(VLOOKUP($N342,list!$J$48:$K$50,2,0)),time*(1-(VLOOKUP($N342,list!$J$48:$K$50,2,0)))),0)</f>
        <v>#REF!</v>
      </c>
    </row>
    <row r="377" spans="1:59" x14ac:dyDescent="0.15">
      <c r="A377" s="1467" t="s">
        <v>1164</v>
      </c>
      <c r="B377" s="1044">
        <f>IFERROR(IF($C$351=list!$J$210,INDEX(IPCC!$A$1762:$J$1773,MATCH(clim_moist,IPCC!$A$1781:$A$1792,0),MATCH($C361,IPCC!$A$1781:$J$1781,0)),IF($C$351=list!$J$211,INDEX(IPCC!$A$1781:$J$1792,MATCH(clim_moist,IPCC!$A$1781:$A$1792,0),MATCH($C361,IPCC!$A$1781:$J$1781,0)))),0)</f>
        <v>0</v>
      </c>
      <c r="C377" s="1162">
        <f>IF('6.Inland wetlands'!$CG122="",'6.Inland wetlands'!$CF122,'6.Inland wetlands'!$CG122)</f>
        <v>0</v>
      </c>
      <c r="D377" s="1044">
        <f>IFERROR(IF($C$351=list!$J$210,INDEX(IPCC!$A$1818:$J$1829,MATCH(clim_moist,IPCC!$A$1818:$A$1829,0),MATCH($C361,IPCC!$A$1818:$J$1818,0)),IF($C355=list!$J$211,INDEX(IPCC!$A$1836:$J$1847,MATCH(clim_moist,IPCC!$A$1836:$A$1847,0),MATCH($C361,IPCC!$A$1836:$J$1836,0)))),0)</f>
        <v>0</v>
      </c>
      <c r="E377" s="1162">
        <f>IF('6.Inland wetlands'!$CI122="",'6.Inland wetlands'!$CH122,'6.Inland wetlands'!$CI122)</f>
        <v>0</v>
      </c>
      <c r="F377" s="1044">
        <f>IFERROR(IF($C$351=list!$J$210,INDEX(IPCC!$A$1872:$J$1883,MATCH(clim_moist,IPCC!$A$1872:$A$1883,0),MATCH($C361,IPCC!$A$1872:$J$1872,0)),IF($C$351=list!$J$211,INDEX(IPCC!$A$1890:$J$1901,MATCH(clim_moist,IPCC!$A$1890:$A$1901,0),MATCH($C361,IPCC!$A$1890:$J$1890,0)))),0)</f>
        <v>0</v>
      </c>
      <c r="G377" s="1162">
        <f>IF('6.Inland wetlands'!$CK122="",'6.Inland wetlands'!$CJ122,'6.Inland wetlands'!$CK122)</f>
        <v>0</v>
      </c>
      <c r="H377" s="1044">
        <f>IFERROR(IF($C$351=list!$J$210,INDEX(IPCC!$A$1800:$J$1811,MATCH(clim_moist,IPCC!$A$1800:$A$1811,0),MATCH($C361,IPCC!$A$1800:$J$1800,0)),IF($C$351=list!$J$211,INDEX(IPCC!$A$1800:$J$1811,MATCH(clim_moist,IPCC!$A$1800:$A$1811,0),MATCH($C361,IPCC!$A$1800:$J$1800,0)))),0)</f>
        <v>0</v>
      </c>
      <c r="I377" s="1162">
        <f>IF('6.Inland wetlands'!$CN122="",'6.Inland wetlands'!$CM122,'6.Inland wetlands'!$CN122)</f>
        <v>0</v>
      </c>
      <c r="J377" s="1111">
        <f>IFERROR(IF($C$351=list!$J$210,INDEX(IPCC!$A$1854:$J$1865,MATCH(clim_moist,IPCC!$A$1854:$A$1865,0),MATCH($C361,IPCC!$A$1854:$J$1854,0)),IF($C$351=list!$J$211,INDEX(IPCC!$A$1854:$J$1865,MATCH(clim_moist,IPCC!$A$1854:$A$1865,0),MATCH($C361,IPCC!$A$1854:$J$1854,0)))),0)</f>
        <v>0</v>
      </c>
      <c r="K377" s="1161">
        <f>IF('6.Inland wetlands'!$CP122="",'6.Inland wetlands'!$CO122,'6.Inland wetlands'!$CP122)</f>
        <v>0</v>
      </c>
      <c r="L377" s="3468">
        <f>IF('6.Inland wetlands'!M133&gt;0,$C377*44/12*E361,0)</f>
        <v>0</v>
      </c>
      <c r="M377" s="3468">
        <f>IF('6.Inland wetlands'!N133&gt;0,$C377*44/12*F361,0)</f>
        <v>0</v>
      </c>
      <c r="N377" s="3468">
        <f>IF('6.Inland wetlands'!P133&gt;0,$C377*44/12*J361,0)</f>
        <v>0</v>
      </c>
      <c r="O377" s="3468">
        <f>IF('6.Inland wetlands'!M133&gt;0,'Inl. wetlands'!$E377*methane/1000*E361*(1-'6.Inland wetlands'!W133),0)</f>
        <v>0</v>
      </c>
      <c r="P377" s="3468">
        <f>IF('6.Inland wetlands'!N133&gt;0,'Inl. wetlands'!$E377*methane/1000*F361*(1-'6.Inland wetlands'!X133),0)</f>
        <v>0</v>
      </c>
      <c r="Q377" s="3468">
        <f>IF('6.Inland wetlands'!P133&gt;0,'Inl. wetlands'!$E377*methane/1000*J361*(1-'6.Inland wetlands'!Y133),0)</f>
        <v>0</v>
      </c>
      <c r="R377" s="3468">
        <f>IF('6.Inland wetlands'!M133&gt;0,'Inl. wetlands'!$G377*44/28*Nitrous/1000*E361,0)</f>
        <v>0</v>
      </c>
      <c r="S377" s="3468">
        <f>IF('6.Inland wetlands'!N133&gt;0,'Inl. wetlands'!$G377*44/28*Nitrous/1000*F361,0)</f>
        <v>0</v>
      </c>
      <c r="T377" s="3468">
        <f>IF('6.Inland wetlands'!P133&gt;0,'Inl. wetlands'!$G377*44/28*Nitrous/1000*J361,0)</f>
        <v>0</v>
      </c>
      <c r="U377" s="3468">
        <f>IF('6.Inland wetlands'!M133&gt;0,'Inl. wetlands'!$I377*44/12*E361,0)</f>
        <v>0</v>
      </c>
      <c r="V377" s="3468">
        <f>IF('6.Inland wetlands'!N133&gt;0,'Inl. wetlands'!$I377*44/12*F361,0)</f>
        <v>0</v>
      </c>
      <c r="W377" s="3468">
        <f>IF('6.Inland wetlands'!P133&gt;0,'Inl. wetlands'!$I377*44/12*J361,0)</f>
        <v>0</v>
      </c>
      <c r="X377" s="3468">
        <f>IF('6.Inland wetlands'!M133&gt;0,'Inl. wetlands'!$K377*methane/1000*E361*'6.Inland wetlands'!W133,0)</f>
        <v>0</v>
      </c>
      <c r="Y377" s="3468">
        <f>IF('6.Inland wetlands'!N133&gt;0,'Inl. wetlands'!$K377*methane/1000*F361*'6.Inland wetlands'!X133,0)</f>
        <v>0</v>
      </c>
      <c r="Z377" s="3468">
        <f>IF('6.Inland wetlands'!P133&gt;0,'Inl. wetlands'!$K377*methane/1000*J361*'6.Inland wetlands'!Y133,0)</f>
        <v>0</v>
      </c>
      <c r="AB377" s="3468">
        <f>MIN($L377,$M377)*time_tot+ABS($M377-$L377)*IF($M377&gt;$L377,time_cap+time*(VLOOKUP($N343,list!$J$48:$K$50,2,0)),time*(1-(VLOOKUP($N343,list!$J$48:$K$50,2,0))))</f>
        <v>0</v>
      </c>
      <c r="AC377" s="3468">
        <f>MIN($L377,$N377)*time_tot+ABS($N377-$L377)*IF($N377&gt;$L377,time_cap+time*(VLOOKUP($P343,list!$J$48:$K$50,2,0)),time*(1-(VLOOKUP($P343,list!$J$48:$K$50,2,0))))</f>
        <v>0</v>
      </c>
      <c r="AD377" s="3468">
        <f>MIN('Inl. wetlands'!$O377,'Inl. wetlands'!$P377)*time_tot+ABS('Inl. wetlands'!$P377-'Inl. wetlands'!$O377)*IF('Inl. wetlands'!$P377&gt;'Inl. wetlands'!$O377,time_cap+time*(VLOOKUP($N343,list!$J$48:$K$50,2,0)),time*(1-(VLOOKUP($N343,list!$J$48:$K$50,2,0))))+MIN('Inl. wetlands'!$X377,'Inl. wetlands'!$Y377)*time_tot+ABS('Inl. wetlands'!$X377-'Inl. wetlands'!$Y377)*IF('Inl. wetlands'!$Y377&gt;'Inl. wetlands'!$X377,time_cap+time*(VLOOKUP($N343,list!$J$48:$K$50,2,0)),time*(1-(VLOOKUP($N343,list!$J$48:$K$50,2,0))))</f>
        <v>0</v>
      </c>
      <c r="AE377" s="3468">
        <f>MIN('Inl. wetlands'!$O377,'Inl. wetlands'!$Q377)*time_tot+ABS('Inl. wetlands'!$Q377-'Inl. wetlands'!$O377)*IF('Inl. wetlands'!$Q377&gt;'Inl. wetlands'!$O377,time_cap+time*(VLOOKUP($P343,list!$J$48:$K$50,2,0)),time*(1-(VLOOKUP($P343,list!$J$48:$K$50,2,0))))+MIN('Inl. wetlands'!$X377,'Inl. wetlands'!$Z377)*time_tot+ABS('Inl. wetlands'!$X377-'Inl. wetlands'!$Z377)*IF('Inl. wetlands'!$Z377&gt;'Inl. wetlands'!$X377,time_cap+time*(VLOOKUP($P343,list!$J$48:$K$50,2,0)),time*(1-(VLOOKUP($P343,list!$J$48:$K$50,2,0))))</f>
        <v>0</v>
      </c>
      <c r="AF377" s="3468">
        <f>MIN('Inl. wetlands'!$R377,'Inl. wetlands'!$S377)*time_tot+ABS('Inl. wetlands'!$S377-'Inl. wetlands'!$R377)*IF('Inl. wetlands'!$S377&gt;'Inl. wetlands'!$R377,time_cap+time*(VLOOKUP($N343,list!$J$48:$K$50,2,0)),time*(1-(VLOOKUP($N343,list!$J$48:$K$50,2,0))))</f>
        <v>0</v>
      </c>
      <c r="AG377" s="3468">
        <f>MIN('Inl. wetlands'!$R377,'Inl. wetlands'!$T377)*time_tot+ABS('Inl. wetlands'!$T377-'Inl. wetlands'!$R377)*IF('Inl. wetlands'!$T377&gt;'Inl. wetlands'!$R377,time_cap+time*(VLOOKUP($P343,list!$J$48:$K$50,2,0)),time*(1-(VLOOKUP($P343,list!$J$48:$K$50,2,0))))</f>
        <v>0</v>
      </c>
      <c r="AI377" s="3470">
        <f t="shared" si="187"/>
        <v>0</v>
      </c>
      <c r="AJ377" s="1152">
        <f t="shared" si="187"/>
        <v>0</v>
      </c>
      <c r="AK377" s="1159">
        <f t="shared" si="188"/>
        <v>0</v>
      </c>
      <c r="AX377" s="1449">
        <f>IF('6.Inland wetlands'!$AC122=list!$I$213,MIN($L377,$M377)*time+ABS($M377-$L377)*IF($M377&gt;$L377,time*(VLOOKUP($N343,list!$J$48:$K$50,2,0)),time*(1-(VLOOKUP($N343,list!$J$48:$K$50,2,0)))),0)</f>
        <v>0</v>
      </c>
      <c r="AY377" s="1449" t="e">
        <f>IF('6.Inland wetlands'!#REF!=list!$I$213,MIN($L377,$N377)*time+ABS($N377-$L377)*IF($N377&gt;$L377,time*(VLOOKUP($P343,list!$J$48:$K$50,2,0)),time*(1-(VLOOKUP($P343,list!$J$48:$K$50,2,0)))),0)</f>
        <v>#REF!</v>
      </c>
      <c r="AZ377" s="1449">
        <f>IF('6.Inland wetlands'!$AC122=list!$I$213,MIN($O377,$P377)*time+ABS($P377-$O377)*IF($P377&gt;$O377,time*(VLOOKUP($N343,list!$J$48:$K$50,2,0)),time*(1-(VLOOKUP($N343,list!$J$48:$K$50,2,0)))),0)</f>
        <v>0</v>
      </c>
      <c r="BA377" s="1449" t="e">
        <f>IF('6.Inland wetlands'!#REF!=list!$I$213,MIN($O377,$Q377)*time+ABS($Q377-$O377)*IF($Q377&gt;$O377,time*(VLOOKUP($P343,list!$J$48:$K$50,2,0)),time*(1-(VLOOKUP($P343,list!$J$48:$K$50,2,0))))+MIN($X377,$Z377)*time+ABS($X377-$Z377)*IF($Z377&gt;$X377,time*(VLOOKUP($P343,list!$J$48:$K$50,2,0)),time*(1-(VLOOKUP($P343,list!$J$48:$K$50,2,0)))),0)</f>
        <v>#REF!</v>
      </c>
      <c r="BB377" s="1449">
        <f>IF('6.Inland wetlands'!$AC122=list!$I$213,MIN($R377,$S377)*time+ABS($S377-$R377)*IF($S377&gt;$R377,time*(VLOOKUP($N343,list!$J$48:$K$50,2,0)),time*(1-(VLOOKUP($N343,list!$J$48:$K$50,2,0)))),0)</f>
        <v>0</v>
      </c>
      <c r="BC377" s="1449" t="e">
        <f>IF('6.Inland wetlands'!#REF!=list!$I217,MIN($R377,$T377)*time+ABS($T377-$R377)*IF($T377&gt;$R377,time*(VLOOKUP($P343,list!$J$48:$K$50,2,0)),time*(1-(VLOOKUP($P343,list!$J$48:$K$50,2,0)))),0)</f>
        <v>#REF!</v>
      </c>
      <c r="BD377" s="1449">
        <f>IF('6.Inland wetlands'!$AC122=list!$I$213,MIN($U377,$V377)*time+ABS($V377-$U377)*IF($V377&gt;$U377,time*(VLOOKUP($N343,list!$J$48:$K$50,2,0)),time*(1-(VLOOKUP($N343,list!$J$48:$K$50,2,0)))),0)</f>
        <v>0</v>
      </c>
      <c r="BE377" s="1449" t="e">
        <f>IF('6.Inland wetlands'!#REF!=list!$I$213,MIN($U377,$W377)*time+ABS($W377-$U377)*IF($W377&gt;$U377,time*(VLOOKUP($P343,list!$J$48:$K$50,2,0)),time*(1-(VLOOKUP($P343,list!$J$48:$K$50,2,0)))),0)</f>
        <v>#REF!</v>
      </c>
      <c r="BF377" s="1449">
        <f>IF('6.Inland wetlands'!$AC122=list!$I$213,MIN($X377,$Y377)*time+ABS($X377-$Y377)*IF($Y377&gt;$X377,time*(VLOOKUP($N343,list!$J$48:$K$50,2,0)),time*(1-(VLOOKUP($N343,list!$J$48:$K$50,2,0)))),0)</f>
        <v>0</v>
      </c>
      <c r="BG377" s="1449" t="e">
        <f>IF('6.Inland wetlands'!#REF!=list!$I$213,MIN($X377,$Z377)*time+ABS($X377-$Z377)*IF($Z377&gt;$X377,time*(VLOOKUP($N343,list!$J$48:$K$50,2,0)),time*(1-(VLOOKUP($N343,list!$J$48:$K$50,2,0)))),0)</f>
        <v>#REF!</v>
      </c>
    </row>
    <row r="378" spans="1:59" x14ac:dyDescent="0.15">
      <c r="A378" s="1467" t="s">
        <v>1165</v>
      </c>
      <c r="B378" s="1044">
        <f>IFERROR(IF($C$351=list!$J$210,INDEX(IPCC!$A$1762:$J$1773,MATCH(clim_moist,IPCC!$A$1781:$A$1792,0),MATCH($C362,IPCC!$A$1781:$J$1781,0)),IF($C$351=list!$J$211,INDEX(IPCC!$A$1781:$J$1792,MATCH(clim_moist,IPCC!$A$1781:$A$1792,0),MATCH($C362,IPCC!$A$1781:$J$1781,0)))),0)</f>
        <v>0</v>
      </c>
      <c r="C378" s="1162">
        <f>IF('6.Inland wetlands'!$CG123="",'6.Inland wetlands'!$CF123,'6.Inland wetlands'!$CG123)</f>
        <v>0</v>
      </c>
      <c r="D378" s="1044">
        <f>IFERROR(IF($C$351=list!$J$210,INDEX(IPCC!$A$1818:$J$1829,MATCH(clim_moist,IPCC!$A$1818:$A$1829,0),MATCH($C362,IPCC!$A$1818:$J$1818,0)),IF($C356=list!$J$211,INDEX(IPCC!$A$1836:$J$1847,MATCH(clim_moist,IPCC!$A$1836:$A$1847,0),MATCH($C362,IPCC!$A$1836:$J$1836,0)))),0)</f>
        <v>0</v>
      </c>
      <c r="E378" s="1162">
        <f>IF('6.Inland wetlands'!$CI123="",'6.Inland wetlands'!$CH123,'6.Inland wetlands'!$CI123)</f>
        <v>0</v>
      </c>
      <c r="F378" s="1044">
        <f>IFERROR(IF($C$351=list!$J$210,INDEX(IPCC!$A$1872:$J$1883,MATCH(clim_moist,IPCC!$A$1872:$A$1883,0),MATCH($C362,IPCC!$A$1872:$J$1872,0)),IF($C$351=list!$J$211,INDEX(IPCC!$A$1890:$J$1901,MATCH(clim_moist,IPCC!$A$1890:$A$1901,0),MATCH($C362,IPCC!$A$1890:$J$1890,0)))),0)</f>
        <v>0</v>
      </c>
      <c r="G378" s="1162">
        <f>IF('6.Inland wetlands'!$CK123="",'6.Inland wetlands'!$CJ123,'6.Inland wetlands'!$CK123)</f>
        <v>0</v>
      </c>
      <c r="H378" s="1044">
        <f>IFERROR(IF($C$351=list!$J$210,INDEX(IPCC!$A$1800:$J$1811,MATCH(clim_moist,IPCC!$A$1800:$A$1811,0),MATCH($C362,IPCC!$A$1800:$J$1800,0)),IF($C$351=list!$J$211,INDEX(IPCC!$A$1800:$J$1811,MATCH(clim_moist,IPCC!$A$1800:$A$1811,0),MATCH($C362,IPCC!$A$1800:$J$1800,0)))),0)</f>
        <v>0</v>
      </c>
      <c r="I378" s="1162">
        <f>IF('6.Inland wetlands'!$CN123="",'6.Inland wetlands'!$CM123,'6.Inland wetlands'!$CN123)</f>
        <v>0</v>
      </c>
      <c r="J378" s="1111">
        <f>IFERROR(IF($C$351=list!$J$210,INDEX(IPCC!$A$1854:$J$1865,MATCH(clim_moist,IPCC!$A$1854:$A$1865,0),MATCH($C362,IPCC!$A$1854:$J$1854,0)),IF($C$351=list!$J$211,INDEX(IPCC!$A$1854:$J$1865,MATCH(clim_moist,IPCC!$A$1854:$A$1865,0),MATCH($C362,IPCC!$A$1854:$J$1854,0)))),0)</f>
        <v>0</v>
      </c>
      <c r="K378" s="1161">
        <f>IF('6.Inland wetlands'!$CP123="",'6.Inland wetlands'!$CO123,'6.Inland wetlands'!$CP123)</f>
        <v>0</v>
      </c>
      <c r="L378" s="3468">
        <f>IF('6.Inland wetlands'!M134&gt;0,$C378*44/12*E362,0)</f>
        <v>0</v>
      </c>
      <c r="M378" s="3468">
        <f>IF('6.Inland wetlands'!N134&gt;0,$C378*44/12*F362,0)</f>
        <v>0</v>
      </c>
      <c r="N378" s="3468">
        <f>IF('6.Inland wetlands'!P134&gt;0,$C378*44/12*J362,0)</f>
        <v>0</v>
      </c>
      <c r="O378" s="3468">
        <f>IF('6.Inland wetlands'!M134&gt;0,'Inl. wetlands'!$E378*methane/1000*E362*(1-'6.Inland wetlands'!W134),0)</f>
        <v>0</v>
      </c>
      <c r="P378" s="3468">
        <f>IF('6.Inland wetlands'!N134&gt;0,'Inl. wetlands'!$E378*methane/1000*F362*(1-'6.Inland wetlands'!X134),0)</f>
        <v>0</v>
      </c>
      <c r="Q378" s="3468">
        <f>IF('6.Inland wetlands'!P134&gt;0,'Inl. wetlands'!$E378*methane/1000*J362*(1-'6.Inland wetlands'!Y134),0)</f>
        <v>0</v>
      </c>
      <c r="R378" s="3468">
        <f>IF('6.Inland wetlands'!M134&gt;0,'Inl. wetlands'!$G378*44/28*Nitrous/1000*E362,0)</f>
        <v>0</v>
      </c>
      <c r="S378" s="3468">
        <f>IF('6.Inland wetlands'!N134&gt;0,'Inl. wetlands'!$G378*44/28*Nitrous/1000*F362,0)</f>
        <v>0</v>
      </c>
      <c r="T378" s="3468">
        <f>IF('6.Inland wetlands'!P134&gt;0,'Inl. wetlands'!$G378*44/28*Nitrous/1000*J362,0)</f>
        <v>0</v>
      </c>
      <c r="U378" s="3468">
        <f>IF('6.Inland wetlands'!M134&gt;0,'Inl. wetlands'!$I378*44/12*E362,0)</f>
        <v>0</v>
      </c>
      <c r="V378" s="3468">
        <f>IF('6.Inland wetlands'!N134&gt;0,'Inl. wetlands'!$I378*44/12*F362,0)</f>
        <v>0</v>
      </c>
      <c r="W378" s="3468">
        <f>IF('6.Inland wetlands'!P134&gt;0,'Inl. wetlands'!$I378*44/12*J362,0)</f>
        <v>0</v>
      </c>
      <c r="X378" s="3468">
        <f>IF('6.Inland wetlands'!M134&gt;0,'Inl. wetlands'!$K378*methane/1000*E362*'6.Inland wetlands'!W134,0)</f>
        <v>0</v>
      </c>
      <c r="Y378" s="3468">
        <f>IF('6.Inland wetlands'!N134&gt;0,'Inl. wetlands'!$K378*methane/1000*F362*'6.Inland wetlands'!X134,0)</f>
        <v>0</v>
      </c>
      <c r="Z378" s="3468">
        <f>IF('6.Inland wetlands'!P134&gt;0,'Inl. wetlands'!$K378*methane/1000*J362*'6.Inland wetlands'!Y134,0)</f>
        <v>0</v>
      </c>
      <c r="AB378" s="3468">
        <f>MIN($L378,$M378)*time_tot+ABS($M378-$L378)*IF($M378&gt;$L378,time_cap+time*(VLOOKUP($N344,list!$J$48:$K$50,2,0)),time*(1-(VLOOKUP($N344,list!$J$48:$K$50,2,0))))</f>
        <v>0</v>
      </c>
      <c r="AC378" s="3468">
        <f>MIN($L378,$N378)*time_tot+ABS($N378-$L378)*IF($N378&gt;$L378,time_cap+time*(VLOOKUP($P344,list!$J$48:$K$50,2,0)),time*(1-(VLOOKUP($P344,list!$J$48:$K$50,2,0))))</f>
        <v>0</v>
      </c>
      <c r="AD378" s="3468">
        <f>MIN('Inl. wetlands'!$O378,'Inl. wetlands'!$P378)*time_tot+ABS('Inl. wetlands'!$P378-'Inl. wetlands'!$O378)*IF('Inl. wetlands'!$P378&gt;'Inl. wetlands'!$O378,time_cap+time*(VLOOKUP($N344,list!$J$48:$K$50,2,0)),time*(1-(VLOOKUP($N344,list!$J$48:$K$50,2,0))))+MIN('Inl. wetlands'!$X378,'Inl. wetlands'!$Y378)*time_tot+ABS('Inl. wetlands'!$X378-'Inl. wetlands'!$Y378)*IF('Inl. wetlands'!$Y378&gt;'Inl. wetlands'!$X378,time_cap+time*(VLOOKUP($N344,list!$J$48:$K$50,2,0)),time*(1-(VLOOKUP($N344,list!$J$48:$K$50,2,0))))</f>
        <v>0</v>
      </c>
      <c r="AE378" s="3468">
        <f>MIN('Inl. wetlands'!$O378,'Inl. wetlands'!$Q378)*time_tot+ABS('Inl. wetlands'!$Q378-'Inl. wetlands'!$O378)*IF('Inl. wetlands'!$Q378&gt;'Inl. wetlands'!$O378,time_cap+time*(VLOOKUP($P344,list!$J$48:$K$50,2,0)),time*(1-(VLOOKUP($P344,list!$J$48:$K$50,2,0))))+MIN('Inl. wetlands'!$X378,'Inl. wetlands'!$Z378)*time_tot+ABS('Inl. wetlands'!$X378-'Inl. wetlands'!$Z378)*IF('Inl. wetlands'!$Z378&gt;'Inl. wetlands'!$X378,time_cap+time*(VLOOKUP($P344,list!$J$48:$K$50,2,0)),time*(1-(VLOOKUP($P344,list!$J$48:$K$50,2,0))))</f>
        <v>0</v>
      </c>
      <c r="AF378" s="3468">
        <f>MIN('Inl. wetlands'!$R378,'Inl. wetlands'!$S378)*time_tot+ABS('Inl. wetlands'!$S378-'Inl. wetlands'!$R378)*IF('Inl. wetlands'!$S378&gt;'Inl. wetlands'!$R378,time_cap+time*(VLOOKUP($N344,list!$J$48:$K$50,2,0)),time*(1-(VLOOKUP($N344,list!$J$48:$K$50,2,0))))</f>
        <v>0</v>
      </c>
      <c r="AG378" s="3468">
        <f>MIN('Inl. wetlands'!$R378,'Inl. wetlands'!$T378)*time_tot+ABS('Inl. wetlands'!$T378-'Inl. wetlands'!$R378)*IF('Inl. wetlands'!$T378&gt;'Inl. wetlands'!$R378,time_cap+time*(VLOOKUP($P344,list!$J$48:$K$50,2,0)),time*(1-(VLOOKUP($P344,list!$J$48:$K$50,2,0))))</f>
        <v>0</v>
      </c>
      <c r="AI378" s="3470">
        <f t="shared" si="187"/>
        <v>0</v>
      </c>
      <c r="AJ378" s="1152">
        <f t="shared" si="187"/>
        <v>0</v>
      </c>
      <c r="AK378" s="3474">
        <f t="shared" si="188"/>
        <v>0</v>
      </c>
      <c r="AX378" s="1449">
        <f>IF('6.Inland wetlands'!$AC123=list!$I$213,MIN($L378,$M378)*time+ABS($M378-$L378)*IF($M378&gt;$L378,time*(VLOOKUP($N344,list!$J$48:$K$50,2,0)),time*(1-(VLOOKUP($N344,list!$J$48:$K$50,2,0)))),0)</f>
        <v>0</v>
      </c>
      <c r="AY378" s="1449" t="e">
        <f>IF('6.Inland wetlands'!#REF!=list!$I$213,MIN($L378,$N378)*time+ABS($N378-$L378)*IF($N378&gt;$L378,time*(VLOOKUP($P344,list!$J$48:$K$50,2,0)),time*(1-(VLOOKUP($P344,list!$J$48:$K$50,2,0)))),0)</f>
        <v>#REF!</v>
      </c>
      <c r="AZ378" s="1449">
        <f>IF('6.Inland wetlands'!$AC123=list!$I$213,MIN($O378,$P378)*time+ABS($P378-$O378)*IF($P378&gt;$O378,time*(VLOOKUP($N344,list!$J$48:$K$50,2,0)),time*(1-(VLOOKUP($N344,list!$J$48:$K$50,2,0)))),0)</f>
        <v>0</v>
      </c>
      <c r="BA378" s="1449" t="e">
        <f>IF('6.Inland wetlands'!#REF!=list!$I$213,MIN($O378,$Q378)*time+ABS($Q378-$O378)*IF($Q378&gt;$O378,time*(VLOOKUP($P344,list!$J$48:$K$50,2,0)),time*(1-(VLOOKUP($P344,list!$J$48:$K$50,2,0))))+MIN($X378,$Z378)*time+ABS($X378-$Z378)*IF($Z378&gt;$X378,time*(VLOOKUP($P344,list!$J$48:$K$50,2,0)),time*(1-(VLOOKUP($P344,list!$J$48:$K$50,2,0)))),0)</f>
        <v>#REF!</v>
      </c>
      <c r="BB378" s="1449">
        <f>IF('6.Inland wetlands'!$AC123=list!$I$213,MIN($R378,$S378)*time+ABS($S378-$R378)*IF($S378&gt;$R378,time*(VLOOKUP($N344,list!$J$48:$K$50,2,0)),time*(1-(VLOOKUP($N344,list!$J$48:$K$50,2,0)))),0)</f>
        <v>0</v>
      </c>
      <c r="BC378" s="1449" t="e">
        <f>IF('6.Inland wetlands'!#REF!=list!$I218,MIN($R378,$T378)*time+ABS($T378-$R378)*IF($T378&gt;$R378,time*(VLOOKUP($P344,list!$J$48:$K$50,2,0)),time*(1-(VLOOKUP($P344,list!$J$48:$K$50,2,0)))),0)</f>
        <v>#REF!</v>
      </c>
      <c r="BD378" s="1449">
        <f>IF('6.Inland wetlands'!$AC123=list!$I$213,MIN($U378,$V378)*time+ABS($V378-$U378)*IF($V378&gt;$U378,time*(VLOOKUP($N344,list!$J$48:$K$50,2,0)),time*(1-(VLOOKUP($N344,list!$J$48:$K$50,2,0)))),0)</f>
        <v>0</v>
      </c>
      <c r="BE378" s="1449" t="e">
        <f>IF('6.Inland wetlands'!#REF!=list!$I$213,MIN($U378,$W378)*time+ABS($W378-$U378)*IF($W378&gt;$U378,time*(VLOOKUP($P344,list!$J$48:$K$50,2,0)),time*(1-(VLOOKUP($P344,list!$J$48:$K$50,2,0)))),0)</f>
        <v>#REF!</v>
      </c>
      <c r="BF378" s="1449">
        <f>IF('6.Inland wetlands'!$AC123=list!$I$213,MIN($X378,$Y378)*time+ABS($X378-$Y378)*IF($Y378&gt;$X378,time*(VLOOKUP($N344,list!$J$48:$K$50,2,0)),time*(1-(VLOOKUP($N344,list!$J$48:$K$50,2,0)))),0)</f>
        <v>0</v>
      </c>
      <c r="BG378" s="1449" t="e">
        <f>IF('6.Inland wetlands'!#REF!=list!$I$213,MIN($X378,$Z378)*time+ABS($X378-$Z378)*IF($Z378&gt;$X378,time*(VLOOKUP($N344,list!$J$48:$K$50,2,0)),time*(1-(VLOOKUP($N344,list!$J$48:$K$50,2,0)))),0)</f>
        <v>#REF!</v>
      </c>
    </row>
    <row r="380" spans="1:59" x14ac:dyDescent="0.15">
      <c r="E380" s="3992" t="s">
        <v>1242</v>
      </c>
      <c r="F380" s="3992">
        <f>SUMIF(L373:L378,"&gt;0",D357:D362)</f>
        <v>0</v>
      </c>
      <c r="G380" s="3992">
        <f>SUMIF(M373:M378,"&gt;0",F357:F362)</f>
        <v>0</v>
      </c>
      <c r="H380" s="3992">
        <f>SUMIF(N373:N378,"&gt;0",J357:J362)</f>
        <v>0</v>
      </c>
      <c r="M380" s="1469"/>
      <c r="AX380" s="1461">
        <f>SUM(AX373:AX378)</f>
        <v>0</v>
      </c>
      <c r="AY380" s="1461" t="e">
        <f>SUM(AY373:AY378)</f>
        <v>#REF!</v>
      </c>
      <c r="AZ380" s="1461">
        <f>SUM(AZ373:AZ378)</f>
        <v>0</v>
      </c>
      <c r="BA380" s="1461" t="e">
        <f t="shared" ref="BA380:BG380" si="189">SUM(BA373:BA378)</f>
        <v>#REF!</v>
      </c>
      <c r="BB380" s="1461">
        <f t="shared" si="189"/>
        <v>0</v>
      </c>
      <c r="BC380" s="1461" t="e">
        <f t="shared" si="189"/>
        <v>#REF!</v>
      </c>
      <c r="BD380" s="1461">
        <f t="shared" si="189"/>
        <v>0</v>
      </c>
      <c r="BE380" s="1461" t="e">
        <f>SUM(BE373:BE378)</f>
        <v>#REF!</v>
      </c>
      <c r="BF380" s="1461">
        <f>SUM(BF373:BF378)</f>
        <v>0</v>
      </c>
      <c r="BG380" s="1461" t="e">
        <f t="shared" si="189"/>
        <v>#REF!</v>
      </c>
    </row>
    <row r="381" spans="1:59" x14ac:dyDescent="0.15">
      <c r="M381" s="1469"/>
      <c r="AY381" s="1451" t="e">
        <f>AY380-AX380</f>
        <v>#REF!</v>
      </c>
      <c r="AZ381" s="1451"/>
      <c r="BA381" s="1451" t="e">
        <f>BA380-AZ380</f>
        <v>#REF!</v>
      </c>
      <c r="BC381" s="1451" t="e">
        <f>BC380-BB380</f>
        <v>#REF!</v>
      </c>
      <c r="BD381" s="1451"/>
      <c r="BE381" s="1451" t="e">
        <f>BE380-BD380</f>
        <v>#REF!</v>
      </c>
      <c r="BG381" s="1451" t="e">
        <f>BG380-BF380</f>
        <v>#REF!</v>
      </c>
    </row>
    <row r="382" spans="1:59" s="1089" customFormat="1" ht="30.5" customHeight="1" x14ac:dyDescent="0.2">
      <c r="B382" s="1112" t="s">
        <v>1180</v>
      </c>
      <c r="C382" s="1113"/>
      <c r="D382" s="1113"/>
      <c r="E382" s="1113"/>
      <c r="F382" s="1113"/>
      <c r="G382" s="1113"/>
      <c r="H382" s="1113"/>
      <c r="I382" s="1113"/>
      <c r="J382" s="1113"/>
      <c r="K382" s="1113"/>
      <c r="L382" s="1113"/>
      <c r="M382" s="1113"/>
      <c r="N382" s="1113"/>
      <c r="O382" s="1113"/>
      <c r="P382" s="1113"/>
      <c r="Q382" s="1113"/>
      <c r="R382" s="1113"/>
      <c r="S382" s="1113"/>
      <c r="T382" s="1113"/>
      <c r="U382" s="1113"/>
      <c r="V382" s="1113"/>
      <c r="W382" s="1113"/>
      <c r="X382" s="1113"/>
      <c r="Y382" s="1113"/>
      <c r="Z382" s="1113"/>
      <c r="AA382" s="1113"/>
      <c r="AB382" s="1113"/>
      <c r="AC382" s="1113"/>
      <c r="AD382" s="1113"/>
      <c r="AE382" s="1113"/>
      <c r="AF382" s="1113"/>
      <c r="AG382" s="1113"/>
      <c r="AH382" s="1113"/>
      <c r="AI382" s="1113"/>
      <c r="AJ382" s="1113"/>
      <c r="AK382" s="1113"/>
      <c r="AX382" s="1447"/>
      <c r="AY382" s="1447"/>
      <c r="AZ382" s="1447"/>
      <c r="BA382" s="1447"/>
      <c r="BB382" s="1447"/>
      <c r="BC382" s="1447"/>
      <c r="BD382" s="1447"/>
      <c r="BE382" s="1447"/>
      <c r="BF382" s="1447"/>
      <c r="BG382" s="1447"/>
    </row>
    <row r="384" spans="1:59" ht="16.5" customHeight="1" x14ac:dyDescent="0.2">
      <c r="A384" s="1462"/>
      <c r="H384" s="1473" t="s">
        <v>1243</v>
      </c>
      <c r="I384" s="1474"/>
      <c r="J384" s="1474"/>
      <c r="K384" s="1475"/>
      <c r="L384" s="1474"/>
      <c r="M384" s="1476"/>
      <c r="N384" s="1476"/>
      <c r="O384" s="1476"/>
      <c r="P384" s="1481" t="s">
        <v>1184</v>
      </c>
      <c r="Q384" s="1482"/>
      <c r="R384" s="1482"/>
      <c r="S384" s="1482"/>
      <c r="T384" s="1482"/>
      <c r="U384" s="1482"/>
      <c r="V384" s="1482"/>
      <c r="W384" s="1482"/>
      <c r="X384" s="1482"/>
      <c r="AB384" s="1471" t="s">
        <v>1185</v>
      </c>
      <c r="AC384" s="1470"/>
      <c r="AD384" s="1470"/>
      <c r="AE384" s="1470"/>
      <c r="AF384" s="1470"/>
      <c r="AG384" s="1470"/>
      <c r="AI384" s="1270" t="s">
        <v>1115</v>
      </c>
      <c r="AJ384" s="1116"/>
      <c r="AK384" s="1116"/>
      <c r="AX384" s="1287" t="s">
        <v>1186</v>
      </c>
      <c r="AY384" s="1501"/>
      <c r="AZ384" s="1501"/>
      <c r="BA384" s="1501"/>
      <c r="BB384" s="1501"/>
      <c r="BC384" s="1501"/>
      <c r="BD384" s="1287"/>
      <c r="BE384" s="1501"/>
      <c r="BF384" s="1501"/>
      <c r="BG384" s="1501"/>
    </row>
    <row r="385" spans="1:59" ht="17" x14ac:dyDescent="0.2">
      <c r="A385" s="1462"/>
      <c r="H385" s="1495" t="s">
        <v>1187</v>
      </c>
      <c r="I385" s="1478"/>
      <c r="J385" s="1477" t="s">
        <v>1188</v>
      </c>
      <c r="K385" s="1478"/>
      <c r="L385" s="1477" t="s">
        <v>1189</v>
      </c>
      <c r="M385" s="1478"/>
      <c r="N385" s="1477" t="s">
        <v>1190</v>
      </c>
      <c r="O385" s="1478"/>
      <c r="P385" s="1482"/>
      <c r="Q385" s="1482"/>
      <c r="R385" s="1482"/>
      <c r="S385" s="1482"/>
      <c r="T385" s="1482"/>
      <c r="U385" s="1482"/>
      <c r="V385" s="1482"/>
      <c r="W385" s="1482"/>
      <c r="X385" s="1482"/>
      <c r="AB385" s="1471" t="s">
        <v>1191</v>
      </c>
      <c r="AC385" s="1471"/>
      <c r="AD385" s="1471"/>
      <c r="AE385" s="1470"/>
      <c r="AF385" s="1471"/>
      <c r="AG385" s="1470"/>
      <c r="AI385" s="1270" t="s">
        <v>1121</v>
      </c>
      <c r="AJ385" s="1116"/>
      <c r="AK385" s="1116"/>
      <c r="AX385" s="1502" t="s">
        <v>1036</v>
      </c>
      <c r="AY385" s="1502"/>
      <c r="AZ385" s="1502" t="s">
        <v>176</v>
      </c>
      <c r="BA385" s="1502"/>
      <c r="BB385" s="1502" t="s">
        <v>177</v>
      </c>
      <c r="BC385" s="1502"/>
      <c r="BD385" s="1502"/>
      <c r="BE385" s="1502"/>
      <c r="BF385" s="1502"/>
      <c r="BG385" s="1502"/>
    </row>
    <row r="386" spans="1:59" ht="16" x14ac:dyDescent="0.2">
      <c r="A386" s="1462"/>
      <c r="B386" s="1281" t="s">
        <v>94</v>
      </c>
      <c r="C386" s="1546" t="s">
        <v>1024</v>
      </c>
      <c r="D386" s="1551" t="s">
        <v>179</v>
      </c>
      <c r="E386" s="1551"/>
      <c r="F386" s="1548" t="s">
        <v>180</v>
      </c>
      <c r="G386" s="1548"/>
      <c r="H386" s="1479" t="s">
        <v>92</v>
      </c>
      <c r="I386" s="1479"/>
      <c r="J386" s="1479" t="s">
        <v>1044</v>
      </c>
      <c r="K386" s="1479"/>
      <c r="L386" s="1479" t="s">
        <v>1045</v>
      </c>
      <c r="M386" s="1479"/>
      <c r="N386" s="1479" t="s">
        <v>92</v>
      </c>
      <c r="O386" s="1479"/>
      <c r="P386" s="1482" t="s">
        <v>1176</v>
      </c>
      <c r="Q386" s="1482"/>
      <c r="R386" s="1482"/>
      <c r="S386" s="1482" t="s">
        <v>176</v>
      </c>
      <c r="T386" s="1482"/>
      <c r="U386" s="1482"/>
      <c r="V386" s="1482" t="s">
        <v>1192</v>
      </c>
      <c r="W386" s="1482"/>
      <c r="X386" s="1482"/>
      <c r="AB386" s="1472" t="s">
        <v>1176</v>
      </c>
      <c r="AC386" s="1472"/>
      <c r="AD386" s="1472" t="s">
        <v>176</v>
      </c>
      <c r="AE386" s="1472"/>
      <c r="AF386" s="1472" t="s">
        <v>1192</v>
      </c>
      <c r="AG386" s="1472"/>
      <c r="AI386" s="1270" t="s">
        <v>1186</v>
      </c>
      <c r="AJ386" s="1116"/>
      <c r="AK386" s="1116"/>
      <c r="AX386" s="1264" t="s">
        <v>859</v>
      </c>
      <c r="AZ386" s="1264" t="s">
        <v>859</v>
      </c>
      <c r="BB386" s="1264" t="s">
        <v>859</v>
      </c>
    </row>
    <row r="387" spans="1:59" x14ac:dyDescent="0.15">
      <c r="A387" s="1462"/>
      <c r="B387" s="973" t="s">
        <v>1257</v>
      </c>
      <c r="C387" s="1546" t="s">
        <v>226</v>
      </c>
      <c r="D387" s="1551" t="s">
        <v>1026</v>
      </c>
      <c r="E387" s="1551" t="s">
        <v>1027</v>
      </c>
      <c r="F387" s="1548" t="s">
        <v>1026</v>
      </c>
      <c r="G387" s="1548" t="s">
        <v>1027</v>
      </c>
      <c r="H387" s="1480" t="s">
        <v>864</v>
      </c>
      <c r="I387" s="1480" t="s">
        <v>66</v>
      </c>
      <c r="J387" s="1480" t="str">
        <f>H387</f>
        <v>IPCC</v>
      </c>
      <c r="K387" s="1480" t="s">
        <v>66</v>
      </c>
      <c r="L387" s="1480" t="str">
        <f>J387</f>
        <v>IPCC</v>
      </c>
      <c r="M387" s="1480" t="s">
        <v>66</v>
      </c>
      <c r="N387" s="1480" t="str">
        <f>L387</f>
        <v>IPCC</v>
      </c>
      <c r="O387" s="1480" t="s">
        <v>66</v>
      </c>
      <c r="P387" s="973" t="s">
        <v>219</v>
      </c>
      <c r="Q387" s="1100" t="s">
        <v>179</v>
      </c>
      <c r="R387" s="1101" t="s">
        <v>180</v>
      </c>
      <c r="S387" s="973" t="s">
        <v>219</v>
      </c>
      <c r="T387" s="1100" t="s">
        <v>179</v>
      </c>
      <c r="U387" s="1101" t="s">
        <v>180</v>
      </c>
      <c r="V387" s="973" t="s">
        <v>219</v>
      </c>
      <c r="W387" s="1100" t="s">
        <v>179</v>
      </c>
      <c r="X387" s="1101" t="s">
        <v>180</v>
      </c>
      <c r="AB387" s="1102" t="s">
        <v>179</v>
      </c>
      <c r="AC387" s="1103" t="s">
        <v>180</v>
      </c>
      <c r="AD387" s="1102" t="s">
        <v>179</v>
      </c>
      <c r="AE387" s="1103" t="s">
        <v>180</v>
      </c>
      <c r="AF387" s="1102" t="s">
        <v>179</v>
      </c>
      <c r="AG387" s="1103" t="s">
        <v>180</v>
      </c>
      <c r="AI387" s="1102" t="s">
        <v>200</v>
      </c>
      <c r="AJ387" s="1103" t="s">
        <v>201</v>
      </c>
      <c r="AK387" s="1104" t="s">
        <v>324</v>
      </c>
      <c r="AX387" s="1272" t="s">
        <v>200</v>
      </c>
      <c r="AY387" s="1272" t="s">
        <v>201</v>
      </c>
      <c r="AZ387" s="1272" t="s">
        <v>200</v>
      </c>
      <c r="BA387" s="1272" t="s">
        <v>201</v>
      </c>
      <c r="BB387" s="1272" t="s">
        <v>200</v>
      </c>
      <c r="BC387" s="1272" t="s">
        <v>201</v>
      </c>
      <c r="BD387" s="1272"/>
      <c r="BE387" s="1272"/>
      <c r="BF387" s="1272"/>
      <c r="BG387" s="1272"/>
    </row>
    <row r="388" spans="1:59" x14ac:dyDescent="0.15">
      <c r="A388" s="1493" t="s">
        <v>1160</v>
      </c>
      <c r="B388" s="1121" t="str">
        <f t="shared" ref="B388:B393" si="190">C357</f>
        <v/>
      </c>
      <c r="C388" s="992">
        <f>'6.Inland wetlands'!S129</f>
        <v>0</v>
      </c>
      <c r="D388" s="992">
        <f>IF('6.Inland wetlands'!T129-C388&gt;0,'6.Inland wetlands'!T129-C388,0)</f>
        <v>0</v>
      </c>
      <c r="E388" s="992" t="str">
        <f t="shared" ref="E388:E393" si="191">N339</f>
        <v>Linear</v>
      </c>
      <c r="F388" s="992">
        <f>IF('6.Inland wetlands'!U129-C388&gt;0,'6.Inland wetlands'!U129-C388,0)</f>
        <v>0</v>
      </c>
      <c r="G388" s="992" t="str">
        <f t="shared" ref="G388:G393" si="192">P339</f>
        <v>Linear</v>
      </c>
      <c r="H388" s="1004">
        <f>IFERROR(IF($A387="Please select",0,IF($C$351="Nutrient poor",INDEX(IPCC!$A$1910:$J$1921,MATCH(clim_moist,IPCC!$A$1910:$A$1921,0),MATCH($B388,IPCC!$A$1910:$J$1910,0)),INDEX(IPCC!$A$1928:$J$1939,MATCH(clim_moist,IPCC!$A$1928:$A$1939,0),MATCH($B388,IPCC!$A$1928:$J$1928,0)))),0)</f>
        <v>0</v>
      </c>
      <c r="I388" s="1259">
        <f>IF('6.Inland wetlands'!$DY118="",'6.Inland wetlands'!$DX118,'6.Inland wetlands'!$DY118)</f>
        <v>0</v>
      </c>
      <c r="J388" s="1004">
        <f>IFERROR(IF($A387="Please select",0,IF($C$351="Nutrient poor",INDEX(IPCC!$A$1964:$J$1975,MATCH(clim_moist,IPCC!$A$1964:$A$1975,0),MATCH($B388,IPCC!$A$1964:$J$1964,0)),INDEX(IPCC!$A$1982:$J$1993,MATCH(clim_moist,IPCC!$A$1982:$A$1993,0),MATCH($B388,IPCC!$A$1982:$J$1982,0)))),0)</f>
        <v>0</v>
      </c>
      <c r="K388" s="1259">
        <f>IF('6.Inland wetlands'!$EA118="",'6.Inland wetlands'!$DZ118,'6.Inland wetlands'!$EA118)</f>
        <v>0</v>
      </c>
      <c r="L388" s="1004">
        <f>IFERROR(IF($A387="Please select",0,INDEX(IPCC!$A$2000:$J$2011,MATCH(clim_moist,IPCC!$A$2000:$A$2011,0),MATCH($B388,IPCC!$A$2000:$J$2000,0))),0)</f>
        <v>0</v>
      </c>
      <c r="M388" s="1259">
        <f>IF('6.Inland wetlands'!$EC118="",'6.Inland wetlands'!$EB118,'6.Inland wetlands'!$EC118)</f>
        <v>0</v>
      </c>
      <c r="N388" s="1260">
        <f>IFERROR(IF($A387="Please select",0,INDEX(IPCC!$A$1946:$J$1957,MATCH(clim_moist,IPCC!$A$1946:$A$1957,0),MATCH($B388,IPCC!$A$1946:$J$1946,0))),0)</f>
        <v>0</v>
      </c>
      <c r="O388" s="1259">
        <f>IF('6.Inland wetlands'!$EF118="",'6.Inland wetlands'!$EE118,'6.Inland wetlands'!$EF118)</f>
        <v>0</v>
      </c>
      <c r="P388" s="3468">
        <v>0</v>
      </c>
      <c r="Q388" s="3468">
        <f>IF('6.Inland wetlands'!$T129&gt;0,SUM('Inl. wetlands'!$I388,'Inl. wetlands'!$O388)*44/12*'Inl. wetlands'!$D388,0)</f>
        <v>0</v>
      </c>
      <c r="R388" s="1151">
        <f>IF('6.Inland wetlands'!$U129&gt;0,SUM('Inl. wetlands'!$I388,'Inl. wetlands'!$O388)*44/12*'Inl. wetlands'!$F388,0)</f>
        <v>0</v>
      </c>
      <c r="S388" s="3468">
        <v>0</v>
      </c>
      <c r="T388" s="1151">
        <f>IF('6.Inland wetlands'!$T129&gt;0,'Inl. wetlands'!$K388/1000*16/12*methane*'Inl. wetlands'!$D388,0)</f>
        <v>0</v>
      </c>
      <c r="U388" s="1151">
        <f>IF('6.Inland wetlands'!$U129&gt;0,'Inl. wetlands'!$K388/1000*16/12*methane*'Inl. wetlands'!$F388,0)</f>
        <v>0</v>
      </c>
      <c r="V388" s="3468">
        <v>0</v>
      </c>
      <c r="W388" s="1151">
        <f>IF('6.Inland wetlands'!$T129&gt;0,'Inl. wetlands'!$M388/1000*44/28*Nitrous*'Inl. wetlands'!$D388,0)</f>
        <v>0</v>
      </c>
      <c r="X388" s="3469">
        <f>IF('6.Inland wetlands'!$U129&gt;0,'Inl. wetlands'!$M388/1000*44/28*Nitrous*'Inl. wetlands'!$F388,0)</f>
        <v>0</v>
      </c>
      <c r="AB388" s="1151">
        <f>MIN('Inl. wetlands'!$P388,'Inl. wetlands'!$Q388)*time_tot+ABS('Inl. wetlands'!$P388-'Inl. wetlands'!$Q388)*IF('Inl. wetlands'!$Q388&gt;'Inl. wetlands'!$P388,time_cap+time*(VLOOKUP($E388,list!$J$48:$K$50,2,0)),time*(1-(VLOOKUP($E388,list!$J$48:$K$50,2,0))))</f>
        <v>0</v>
      </c>
      <c r="AC388" s="1151">
        <f>MIN('Inl. wetlands'!$P388,'Inl. wetlands'!$R388)*time_tot+ABS('Inl. wetlands'!$P388-'Inl. wetlands'!$R388)*IF('Inl. wetlands'!$R388&gt;'Inl. wetlands'!$P388,time_cap+time*(VLOOKUP($G388,list!$J$48:$K$50,2,0)),time*(1-(VLOOKUP($G388,list!$J$48:$K$50,2,0))))</f>
        <v>0</v>
      </c>
      <c r="AD388" s="1151">
        <f>MIN('Inl. wetlands'!$S388,'Inl. wetlands'!$T388)*time_tot+ABS('Inl. wetlands'!$S388-'Inl. wetlands'!$T388)*IF('Inl. wetlands'!$T388&gt;'Inl. wetlands'!$S388,time_cap+time*(VLOOKUP($E388,list!$J$48:$K$50,2,0)),time*(1-(VLOOKUP($E388,list!$J$48:$K$50,2,0))))</f>
        <v>0</v>
      </c>
      <c r="AE388" s="1151">
        <f>MIN('Inl. wetlands'!$S388,'Inl. wetlands'!$U388)*time_tot+ABS('Inl. wetlands'!$S388-'Inl. wetlands'!$U388)*IF('Inl. wetlands'!$U388&gt;'Inl. wetlands'!$S388,time_cap+time*(VLOOKUP($G388,list!$J$48:$K$50,2,0)),time*(1-(VLOOKUP($G388,list!$J$48:$K$50,2,0))))</f>
        <v>0</v>
      </c>
      <c r="AF388" s="1151">
        <f>MIN('Inl. wetlands'!$V388,'Inl. wetlands'!$W388)*time_tot+ABS('Inl. wetlands'!$V388-'Inl. wetlands'!$W388)*IF('Inl. wetlands'!$W388&gt;'Inl. wetlands'!$V388,time_cap+time*(VLOOKUP($E388,list!$J$48:$K$50,2,0)),time*(1-(VLOOKUP($E388,list!$J$48:$K$50,2,0))))</f>
        <v>0</v>
      </c>
      <c r="AG388" s="1151">
        <f>MIN('Inl. wetlands'!$V388,'Inl. wetlands'!$X388)*time_tot+ABS('Inl. wetlands'!$V388-'Inl. wetlands'!$X388)*IF('Inl. wetlands'!$X388&gt;'Inl. wetlands'!$V388,time_cap+time*(VLOOKUP($G388,list!$J$48:$K$50,2,0)),time*(1-(VLOOKUP($G388,list!$J$48:$K$50,2,0))))</f>
        <v>0</v>
      </c>
      <c r="AI388" s="1282">
        <f t="shared" ref="AI388:AJ393" si="193">SUM(AB388,AD388,AF388)</f>
        <v>0</v>
      </c>
      <c r="AJ388" s="1282">
        <f t="shared" si="193"/>
        <v>0</v>
      </c>
      <c r="AK388" s="1284">
        <f t="shared" ref="AK388:AK393" si="194">AJ388-AI388</f>
        <v>0</v>
      </c>
      <c r="AX388" s="1449">
        <f>MIN('Inl. wetlands'!$P388,'Inl. wetlands'!$Q388)*time+ABS('Inl. wetlands'!$Q388-'Inl. wetlands'!$P388)*IF('Inl. wetlands'!$Q388&gt;'Inl. wetlands'!$P388,time*(VLOOKUP($N339,list!$J$48:$K$50,2,0)),time*(1-(VLOOKUP($N339,list!$J$48:$K$50,2,0))))</f>
        <v>0</v>
      </c>
      <c r="AY388" s="1449">
        <f>MIN('Inl. wetlands'!$P388,'Inl. wetlands'!$R388)*time+ABS('Inl. wetlands'!$R388-'Inl. wetlands'!$P388)*IF('Inl. wetlands'!$R388&gt;'Inl. wetlands'!$P388,time*(VLOOKUP($P339,list!$J$48:$K$50,2,0)),time*(1-(VLOOKUP($P339,list!$J$48:$K$50,2,0))))</f>
        <v>0</v>
      </c>
      <c r="AZ388" s="1449">
        <f>MIN('Inl. wetlands'!$S388,'Inl. wetlands'!$T388)*time+ABS('Inl. wetlands'!$T388-'Inl. wetlands'!$S388)*IF('Inl. wetlands'!$T388&gt;'Inl. wetlands'!$S388,time*(VLOOKUP($N339,list!$J$48:$K$50,2,0)),time*(1-(VLOOKUP($N339,list!$J$48:$K$50,2,0))))</f>
        <v>0</v>
      </c>
      <c r="BA388" s="1449">
        <f>MIN('Inl. wetlands'!$S388,'Inl. wetlands'!$U388)*time+ABS('Inl. wetlands'!$U388-'Inl. wetlands'!$S388)*IF('Inl. wetlands'!$U388&gt;'Inl. wetlands'!$S388,time*(VLOOKUP($P339,list!$J$48:$K$50,2,0)),time*(1-(VLOOKUP($P339,list!$J$48:$K$50,2,0))))</f>
        <v>0</v>
      </c>
      <c r="BB388" s="1449">
        <f>MIN('Inl. wetlands'!$V388,'Inl. wetlands'!$W388)*time+ABS('Inl. wetlands'!$W388-'Inl. wetlands'!$V388)*IF('Inl. wetlands'!$W388&gt;'Inl. wetlands'!$V388,time*(VLOOKUP($N339,list!$J$48:$K$50,2,0)),time*(1-(VLOOKUP($N339,list!$J$48:$K$50,2,0))))</f>
        <v>0</v>
      </c>
      <c r="BC388" s="1449">
        <f>MIN('Inl. wetlands'!$V388,'Inl. wetlands'!$X388)*time+ABS('Inl. wetlands'!$X388-'Inl. wetlands'!$V388)*IF('Inl. wetlands'!$X388&gt;'Inl. wetlands'!$V388,time*(VLOOKUP($P339,list!$J$48:$K$50,2,0)),time*(1-(VLOOKUP($P339,list!$J$48:$K$50,2,0))))</f>
        <v>0</v>
      </c>
      <c r="BD388" s="1449"/>
      <c r="BE388" s="1449"/>
      <c r="BF388" s="1449"/>
      <c r="BG388" s="1449"/>
    </row>
    <row r="389" spans="1:59" x14ac:dyDescent="0.15">
      <c r="A389" s="1493" t="s">
        <v>1161</v>
      </c>
      <c r="B389" s="1121" t="str">
        <f t="shared" si="190"/>
        <v/>
      </c>
      <c r="C389" s="992">
        <f>'6.Inland wetlands'!S130</f>
        <v>0</v>
      </c>
      <c r="D389" s="992">
        <f>IF('6.Inland wetlands'!T130-C389&gt;0,'6.Inland wetlands'!T130-C389,0)</f>
        <v>0</v>
      </c>
      <c r="E389" s="992" t="str">
        <f t="shared" si="191"/>
        <v>Linear</v>
      </c>
      <c r="F389" s="992">
        <f>IF('6.Inland wetlands'!U130-C389&gt;0,'6.Inland wetlands'!U130-C389,0)</f>
        <v>0</v>
      </c>
      <c r="G389" s="992" t="str">
        <f t="shared" si="192"/>
        <v>Linear</v>
      </c>
      <c r="H389" s="1004">
        <f>IFERROR(IF($A388="Please select",0,IF($C$351="Nutrient poor",INDEX(IPCC!$A$1910:$J$1921,MATCH(clim_moist,IPCC!$A$1910:$A$1921,0),MATCH($B389,IPCC!$A$1910:$J$1910,0)),INDEX(IPCC!$A$1928:$J$1939,MATCH(clim_moist,IPCC!$A$1928:$A$1939,0),MATCH($B389,IPCC!$A$1928:$J$1928,0)))),0)</f>
        <v>0</v>
      </c>
      <c r="I389" s="1259">
        <f>IF('6.Inland wetlands'!$DY119="",'6.Inland wetlands'!$DX119,'6.Inland wetlands'!$DY119)</f>
        <v>0</v>
      </c>
      <c r="J389" s="1004">
        <f>IFERROR(IF($A388="Please select",0,IF($C$351="Nutrient poor",INDEX(IPCC!$A$1964:$J$1975,MATCH(clim_moist,IPCC!$A$1964:$A$1975,0),MATCH($B389,IPCC!$A$1964:$J$1964,0)),INDEX(IPCC!$A$1982:$J$1993,MATCH(clim_moist,IPCC!$A$1982:$A$1993,0),MATCH($B389,IPCC!$A$1982:$J$1982,0)))),0)</f>
        <v>0</v>
      </c>
      <c r="K389" s="1259">
        <f>IF('6.Inland wetlands'!$EA119="",'6.Inland wetlands'!$DZ119,'6.Inland wetlands'!$EA119)</f>
        <v>0</v>
      </c>
      <c r="L389" s="1004">
        <f>IFERROR(IF($A388="Please select",0,INDEX(IPCC!$A$2000:$J$2011,MATCH(clim_moist,IPCC!$A$2000:$A$2011,0),MATCH($B389,IPCC!$A$2000:$J$2000,0))),0)</f>
        <v>0</v>
      </c>
      <c r="M389" s="1259">
        <f>IF('6.Inland wetlands'!$EC119="",'6.Inland wetlands'!$EB119,'6.Inland wetlands'!$EC119)</f>
        <v>0</v>
      </c>
      <c r="N389" s="1260">
        <f>IFERROR(IF($A388="Please select",0,INDEX(IPCC!$A$1946:$J$1957,MATCH(clim_moist,IPCC!$A$1946:$A$1957,0),MATCH($B389,IPCC!$A$1946:$J$1946,0))),0)</f>
        <v>0</v>
      </c>
      <c r="O389" s="1259">
        <f>IF('6.Inland wetlands'!$EF119="",'6.Inland wetlands'!$EE119,'6.Inland wetlands'!$EF119)</f>
        <v>0</v>
      </c>
      <c r="P389" s="3468">
        <v>0</v>
      </c>
      <c r="Q389" s="3468">
        <f>IF('6.Inland wetlands'!$T130&gt;0,SUM('Inl. wetlands'!$I389,'Inl. wetlands'!$O389)*44/12*'Inl. wetlands'!$D389,0)</f>
        <v>0</v>
      </c>
      <c r="R389" s="1151">
        <f>IF('6.Inland wetlands'!$U130&gt;0,SUM('Inl. wetlands'!$I389,'Inl. wetlands'!$O389)*44/12*'Inl. wetlands'!$F389,0)</f>
        <v>0</v>
      </c>
      <c r="S389" s="3468">
        <v>0</v>
      </c>
      <c r="T389" s="1151">
        <f>IF('6.Inland wetlands'!$T130&gt;0,'Inl. wetlands'!$K389/1000*16/12*methane*'Inl. wetlands'!$D389,0)</f>
        <v>0</v>
      </c>
      <c r="U389" s="1151">
        <f>IF('6.Inland wetlands'!$U130&gt;0,'Inl. wetlands'!$K389/1000*16/12*methane*'Inl. wetlands'!$F389,0)</f>
        <v>0</v>
      </c>
      <c r="V389" s="3468">
        <v>0</v>
      </c>
      <c r="W389" s="1151">
        <f>IF('6.Inland wetlands'!$T130&gt;0,'Inl. wetlands'!$M389/1000*44/28*Nitrous*'Inl. wetlands'!$D389,0)</f>
        <v>0</v>
      </c>
      <c r="X389" s="3469">
        <f>IF('6.Inland wetlands'!$U130&gt;0,'Inl. wetlands'!$M389/1000*44/28*Nitrous*'Inl. wetlands'!$F389,0)</f>
        <v>0</v>
      </c>
      <c r="AB389" s="1151">
        <f>MIN($P389,$Q389)*time_tot+ABS($P389-$Q389)*IF($Q389&gt;$P389,time_cap+time*(VLOOKUP($E389,list!$J$48:$K$50,2,0)),time*(1-(VLOOKUP($E389,list!$J$48:$K$50,2,0))))</f>
        <v>0</v>
      </c>
      <c r="AC389" s="1151">
        <f>MIN($P389,$R389)*time_tot+ABS($P389-$R389)*IF($R389&gt;$P389,time_cap+time*(VLOOKUP($G389,list!$J$48:$K$50,2,0)),time*(1-(VLOOKUP($G389,list!$J$48:$K$50,2,0))))</f>
        <v>0</v>
      </c>
      <c r="AD389" s="1151">
        <f>MIN($S389,$T389)*time_tot+ABS($S389-$T389)*IF($T389&gt;$S389,time_cap+time*(VLOOKUP($E389,list!$J$48:$K$50,2,0)),time*(1-(VLOOKUP($E389,list!$J$48:$K$50,2,0))))</f>
        <v>0</v>
      </c>
      <c r="AE389" s="1151">
        <f>MIN($S389,$U389)*time_tot+ABS($S389-$U389)*IF($U389&gt;$S389,time_cap+time*(VLOOKUP($G389,list!$J$48:$K$50,2,0)),time*(1-(VLOOKUP($G389,list!$J$48:$K$50,2,0))))</f>
        <v>0</v>
      </c>
      <c r="AF389" s="1151">
        <f>MIN($V389,$W389)*time_tot+ABS($V389-$W389)*IF($W389&gt;$V389,time_cap+time*(VLOOKUP($E389,list!$J$48:$K$50,2,0)),time*(1-(VLOOKUP($E389,list!$J$48:$K$50,2,0))))</f>
        <v>0</v>
      </c>
      <c r="AG389" s="1151">
        <f>MIN($V389,$X389)*time_tot+ABS($V389-$X389)*IF($X389&gt;$V389,time_cap+time*(VLOOKUP($G389,list!$J$48:$K$50,2,0)),time*(1-(VLOOKUP($G389,list!$J$48:$K$50,2,0))))</f>
        <v>0</v>
      </c>
      <c r="AI389" s="1282">
        <f t="shared" si="193"/>
        <v>0</v>
      </c>
      <c r="AJ389" s="1282">
        <f t="shared" si="193"/>
        <v>0</v>
      </c>
      <c r="AK389" s="1284">
        <f t="shared" si="194"/>
        <v>0</v>
      </c>
      <c r="AX389" s="1449">
        <f>MIN($P389,$Q389)*time+ABS($Q389-$P389)*IF($Q389&gt;$P389,time*(VLOOKUP($N340,list!$J$48:$K$50,2,0)),time*(1-(VLOOKUP($N340,list!$J$48:$K$50,2,0))))</f>
        <v>0</v>
      </c>
      <c r="AY389" s="1449">
        <f>MIN($P389,$R389)*time+ABS($R389-$P389)*IF($R389&gt;$P389,time*(VLOOKUP($P340,list!$J$48:$K$50,2,0)),time*(1-(VLOOKUP($P340,list!$J$48:$K$50,2,0))))</f>
        <v>0</v>
      </c>
      <c r="AZ389" s="1449">
        <f>MIN($S389,$T389)*time+ABS($T389-$S389)*IF($T389&gt;$S389,time*(VLOOKUP($N340,list!$J$48:$K$50,2,0)),time*(1-(VLOOKUP($N340,list!$J$48:$K$50,2,0))))</f>
        <v>0</v>
      </c>
      <c r="BA389" s="1449">
        <f>MIN($S389,$U389)*time+ABS($U389-$S389)*IF($U389&gt;$S389,time*(VLOOKUP($P340,list!$J$48:$K$50,2,0)),time*(1-(VLOOKUP($P340,list!$J$48:$K$50,2,0))))</f>
        <v>0</v>
      </c>
      <c r="BB389" s="1449">
        <f>MIN($V389,$W389)*time+ABS($W389-$V389)*IF($W389&gt;$V389,time*(VLOOKUP($N340,list!$J$48:$K$50,2,0)),time*(1-(VLOOKUP($N340,list!$J$48:$K$50,2,0))))</f>
        <v>0</v>
      </c>
      <c r="BC389" s="1449">
        <f>MIN($V389,$X389)*time+ABS($X389-$V389)*IF($X389&gt;$V389,time*(VLOOKUP($P340,list!$J$48:$K$50,2,0)),time*(1-(VLOOKUP($P340,list!$J$48:$K$50,2,0))))</f>
        <v>0</v>
      </c>
      <c r="BD389" s="1449"/>
      <c r="BE389" s="1449"/>
      <c r="BF389" s="1449"/>
      <c r="BG389" s="1449"/>
    </row>
    <row r="390" spans="1:59" x14ac:dyDescent="0.15">
      <c r="A390" s="1493" t="s">
        <v>1162</v>
      </c>
      <c r="B390" s="1121" t="str">
        <f t="shared" si="190"/>
        <v/>
      </c>
      <c r="C390" s="992">
        <f>'6.Inland wetlands'!S131</f>
        <v>0</v>
      </c>
      <c r="D390" s="992">
        <f>IF('6.Inland wetlands'!T131-C390&gt;0,'6.Inland wetlands'!T131-C390,0)</f>
        <v>0</v>
      </c>
      <c r="E390" s="992" t="str">
        <f t="shared" si="191"/>
        <v>Linear</v>
      </c>
      <c r="F390" s="992">
        <f>IF('6.Inland wetlands'!U131-C390&gt;0,'6.Inland wetlands'!U131-C390,0)</f>
        <v>0</v>
      </c>
      <c r="G390" s="992" t="str">
        <f t="shared" si="192"/>
        <v>Linear</v>
      </c>
      <c r="H390" s="1004">
        <f>IFERROR(IF($A389="Please select",0,IF($C$351="Nutrient poor",INDEX(IPCC!$A$1910:$J$1921,MATCH(clim_moist,IPCC!$A$1910:$A$1921,0),MATCH($B390,IPCC!$A$1910:$J$1910,0)),INDEX(IPCC!$A$1928:$J$1939,MATCH(clim_moist,IPCC!$A$1928:$A$1939,0),MATCH($B390,IPCC!$A$1928:$J$1928,0)))),0)</f>
        <v>0</v>
      </c>
      <c r="I390" s="1259">
        <f>IF('6.Inland wetlands'!$DY120="",'6.Inland wetlands'!$DX120,'6.Inland wetlands'!$DY120)</f>
        <v>0</v>
      </c>
      <c r="J390" s="1004">
        <f>IFERROR(IF($A389="Please select",0,IF($C$351="Nutrient poor",INDEX(IPCC!$A$1964:$J$1975,MATCH(clim_moist,IPCC!$A$1964:$A$1975,0),MATCH($B390,IPCC!$A$1964:$J$1964,0)),INDEX(IPCC!$A$1982:$J$1993,MATCH(clim_moist,IPCC!$A$1982:$A$1993,0),MATCH($B390,IPCC!$A$1982:$J$1982,0)))),0)</f>
        <v>0</v>
      </c>
      <c r="K390" s="1259">
        <f>IF('6.Inland wetlands'!$EA120="",'6.Inland wetlands'!$DZ120,'6.Inland wetlands'!$EA120)</f>
        <v>0</v>
      </c>
      <c r="L390" s="1004">
        <f>IFERROR(IF($A389="Please select",0,INDEX(IPCC!$A$2000:$J$2011,MATCH(clim_moist,IPCC!$A$2000:$A$2011,0),MATCH($B390,IPCC!$A$2000:$J$2000,0))),0)</f>
        <v>0</v>
      </c>
      <c r="M390" s="1259">
        <f>IF('6.Inland wetlands'!$EC120="",'6.Inland wetlands'!$EB120,'6.Inland wetlands'!$EC120)</f>
        <v>0</v>
      </c>
      <c r="N390" s="1260">
        <f>IFERROR(IF($A389="Please select",0,INDEX(IPCC!$A$1946:$J$1957,MATCH(clim_moist,IPCC!$A$1946:$A$1957,0),MATCH($B390,IPCC!$A$1946:$J$1946,0))),0)</f>
        <v>0</v>
      </c>
      <c r="O390" s="1259">
        <f>IF('6.Inland wetlands'!$EF120="",'6.Inland wetlands'!$EE120,'6.Inland wetlands'!$EF120)</f>
        <v>0</v>
      </c>
      <c r="P390" s="3468">
        <v>0</v>
      </c>
      <c r="Q390" s="3468">
        <f>IF('6.Inland wetlands'!$T131&gt;0,SUM('Inl. wetlands'!$I390,'Inl. wetlands'!$O390)*44/12*'Inl. wetlands'!$D390,0)</f>
        <v>0</v>
      </c>
      <c r="R390" s="1151">
        <f>IF('6.Inland wetlands'!$U131&gt;0,SUM('Inl. wetlands'!$I390,'Inl. wetlands'!$O390)*44/12*'Inl. wetlands'!$F390,0)</f>
        <v>0</v>
      </c>
      <c r="S390" s="3468">
        <v>0</v>
      </c>
      <c r="T390" s="1151">
        <f>IF('6.Inland wetlands'!$T131&gt;0,'Inl. wetlands'!$K390/1000*16/12*methane*'Inl. wetlands'!$D390,0)</f>
        <v>0</v>
      </c>
      <c r="U390" s="1151">
        <f>IF('6.Inland wetlands'!$U131&gt;0,'Inl. wetlands'!$K390/1000*16/12*methane*'Inl. wetlands'!$F390,0)</f>
        <v>0</v>
      </c>
      <c r="V390" s="3468">
        <v>0</v>
      </c>
      <c r="W390" s="1151">
        <f>IF('6.Inland wetlands'!$T131&gt;0,'Inl. wetlands'!$M390/1000*44/28*Nitrous*'Inl. wetlands'!$D390,0)</f>
        <v>0</v>
      </c>
      <c r="X390" s="3469">
        <f>IF('6.Inland wetlands'!$U131&gt;0,'Inl. wetlands'!$M390/1000*44/28*Nitrous*'Inl. wetlands'!$F390,0)</f>
        <v>0</v>
      </c>
      <c r="AB390" s="1151">
        <f>MIN($P390,$Q390)*time_tot+ABS($P390-$Q390)*IF($Q390&gt;$P390,time_cap+time*(VLOOKUP($E390,list!$J$48:$K$50,2,0)),time*(1-(VLOOKUP($E390,list!$J$48:$K$50,2,0))))</f>
        <v>0</v>
      </c>
      <c r="AC390" s="1151">
        <f>MIN($P390,$R390)*time_tot+ABS($P390-$R390)*IF($R390&gt;$P390,time_cap+time*(VLOOKUP($G390,list!$J$48:$K$50,2,0)),time*(1-(VLOOKUP($G390,list!$J$48:$K$50,2,0))))</f>
        <v>0</v>
      </c>
      <c r="AD390" s="1151">
        <f>MIN($S390,$T390)*time_tot+ABS($S390-$T390)*IF($T390&gt;$S390,time_cap+time*(VLOOKUP($E390,list!$J$48:$K$50,2,0)),time*(1-(VLOOKUP($E390,list!$J$48:$K$50,2,0))))</f>
        <v>0</v>
      </c>
      <c r="AE390" s="1151">
        <f>MIN($S390,$U390)*time_tot+ABS($S390-$U390)*IF($U390&gt;$S390,time_cap+time*(VLOOKUP($G390,list!$J$48:$K$50,2,0)),time*(1-(VLOOKUP($G390,list!$J$48:$K$50,2,0))))</f>
        <v>0</v>
      </c>
      <c r="AF390" s="1151">
        <f>MIN($V390,$W390)*time_tot+ABS($V390-$W390)*IF($W390&gt;$V390,time_cap+time*(VLOOKUP($E390,list!$J$48:$K$50,2,0)),time*(1-(VLOOKUP($E390,list!$J$48:$K$50,2,0))))</f>
        <v>0</v>
      </c>
      <c r="AG390" s="1151">
        <f>MIN($V390,$X390)*time_tot+ABS($V390-$X390)*IF($X390&gt;$V390,time_cap+time*(VLOOKUP($G390,list!$J$48:$K$50,2,0)),time*(1-(VLOOKUP($G390,list!$J$48:$K$50,2,0))))</f>
        <v>0</v>
      </c>
      <c r="AI390" s="1282">
        <f t="shared" si="193"/>
        <v>0</v>
      </c>
      <c r="AJ390" s="1282">
        <f t="shared" si="193"/>
        <v>0</v>
      </c>
      <c r="AK390" s="1284">
        <f t="shared" si="194"/>
        <v>0</v>
      </c>
      <c r="AX390" s="1449">
        <f>MIN($P390,$Q390)*time+ABS($Q390-$P390)*IF($Q390&gt;$P390,time*(VLOOKUP($N341,list!$J$48:$K$50,2,0)),time*(1-(VLOOKUP($N341,list!$J$48:$K$50,2,0))))</f>
        <v>0</v>
      </c>
      <c r="AY390" s="1449">
        <f>MIN($P390,$R390)*time+ABS($R390-$P390)*IF($R390&gt;$P390,time*(VLOOKUP($P341,list!$J$48:$K$50,2,0)),time*(1-(VLOOKUP($P341,list!$J$48:$K$50,2,0))))</f>
        <v>0</v>
      </c>
      <c r="AZ390" s="1449">
        <f>MIN($S390,$T390)*time+ABS($T390-$S390)*IF($T390&gt;$S390,time*(VLOOKUP($N341,list!$J$48:$K$50,2,0)),time*(1-(VLOOKUP($N341,list!$J$48:$K$50,2,0))))</f>
        <v>0</v>
      </c>
      <c r="BA390" s="1449">
        <f>MIN($S390,$U390)*time+ABS($U390-$S390)*IF($U390&gt;$S390,time*(VLOOKUP($P341,list!$J$48:$K$50,2,0)),time*(1-(VLOOKUP($P341,list!$J$48:$K$50,2,0))))</f>
        <v>0</v>
      </c>
      <c r="BB390" s="1449">
        <f>MIN($V390,$W390)*time+ABS($W390-$V390)*IF($W390&gt;$V390,time*(VLOOKUP($N341,list!$J$48:$K$50,2,0)),time*(1-(VLOOKUP($N341,list!$J$48:$K$50,2,0))))</f>
        <v>0</v>
      </c>
      <c r="BC390" s="1449">
        <f>MIN($V390,$X390)*time+ABS($X390-$V390)*IF($X390&gt;$V390,time*(VLOOKUP($P341,list!$J$48:$K$50,2,0)),time*(1-(VLOOKUP($P341,list!$J$48:$K$50,2,0))))</f>
        <v>0</v>
      </c>
      <c r="BD390" s="1449"/>
      <c r="BE390" s="1449"/>
      <c r="BF390" s="1449"/>
      <c r="BG390" s="1449"/>
    </row>
    <row r="391" spans="1:59" x14ac:dyDescent="0.15">
      <c r="A391" s="1493" t="s">
        <v>1163</v>
      </c>
      <c r="B391" s="1121" t="str">
        <f t="shared" si="190"/>
        <v/>
      </c>
      <c r="C391" s="992">
        <f>'6.Inland wetlands'!S132</f>
        <v>0</v>
      </c>
      <c r="D391" s="992">
        <f>IF('6.Inland wetlands'!T132-C391&gt;0,'6.Inland wetlands'!T132-C391,0)</f>
        <v>0</v>
      </c>
      <c r="E391" s="992" t="str">
        <f t="shared" si="191"/>
        <v>Linear</v>
      </c>
      <c r="F391" s="992">
        <f>IF('6.Inland wetlands'!U132-C391&gt;0,'6.Inland wetlands'!U132-C391,0)</f>
        <v>0</v>
      </c>
      <c r="G391" s="992" t="str">
        <f t="shared" si="192"/>
        <v>Linear</v>
      </c>
      <c r="H391" s="1004">
        <f>IFERROR(IF($A390="Please select",0,IF($C$351="Nutrient poor",INDEX(IPCC!$A$1910:$J$1921,MATCH(clim_moist,IPCC!$A$1910:$A$1921,0),MATCH($B391,IPCC!$A$1910:$J$1910,0)),INDEX(IPCC!$A$1928:$J$1939,MATCH(clim_moist,IPCC!$A$1928:$A$1939,0),MATCH($B391,IPCC!$A$1928:$J$1928,0)))),0)</f>
        <v>0</v>
      </c>
      <c r="I391" s="1259">
        <f>IF('6.Inland wetlands'!$DY121="",'6.Inland wetlands'!$DX121,'6.Inland wetlands'!$DY121)</f>
        <v>0</v>
      </c>
      <c r="J391" s="1004">
        <f>IFERROR(IF($A390="Please select",0,IF($C$351="Nutrient poor",INDEX(IPCC!$A$1964:$J$1975,MATCH(clim_moist,IPCC!$A$1964:$A$1975,0),MATCH($B391,IPCC!$A$1964:$J$1964,0)),INDEX(IPCC!$A$1982:$J$1993,MATCH(clim_moist,IPCC!$A$1982:$A$1993,0),MATCH($B391,IPCC!$A$1982:$J$1982,0)))),0)</f>
        <v>0</v>
      </c>
      <c r="K391" s="1259">
        <f>IF('6.Inland wetlands'!$EA121="",'6.Inland wetlands'!$DZ121,'6.Inland wetlands'!$EA121)</f>
        <v>0</v>
      </c>
      <c r="L391" s="1004">
        <f>IFERROR(IF($A390="Please select",0,INDEX(IPCC!$A$2000:$J$2011,MATCH(clim_moist,IPCC!$A$2000:$A$2011,0),MATCH($B391,IPCC!$A$2000:$J$2000,0))),0)</f>
        <v>0</v>
      </c>
      <c r="M391" s="1259">
        <f>IF('6.Inland wetlands'!$EC121="",'6.Inland wetlands'!$EB121,'6.Inland wetlands'!$EC121)</f>
        <v>0</v>
      </c>
      <c r="N391" s="1260">
        <f>IFERROR(IF($A390="Please select",0,INDEX(IPCC!$A$1946:$J$1957,MATCH(clim_moist,IPCC!$A$1946:$A$1957,0),MATCH($B391,IPCC!$A$1946:$J$1946,0))),0)</f>
        <v>0</v>
      </c>
      <c r="O391" s="1259">
        <f>IF('6.Inland wetlands'!$EF121="",'6.Inland wetlands'!$EE121,'6.Inland wetlands'!$EF121)</f>
        <v>0</v>
      </c>
      <c r="P391" s="3468">
        <v>0</v>
      </c>
      <c r="Q391" s="3468">
        <f>IF('6.Inland wetlands'!$T132&gt;0,SUM('Inl. wetlands'!$I391,'Inl. wetlands'!$O391)*44/12*'Inl. wetlands'!$D391,0)</f>
        <v>0</v>
      </c>
      <c r="R391" s="1151">
        <f>IF('6.Inland wetlands'!$U132&gt;0,SUM('Inl. wetlands'!$I391,'Inl. wetlands'!$O391)*44/12*'Inl. wetlands'!$F391,0)</f>
        <v>0</v>
      </c>
      <c r="S391" s="3468">
        <v>0</v>
      </c>
      <c r="T391" s="1151">
        <f>IF('6.Inland wetlands'!$T132&gt;0,'Inl. wetlands'!$K391/1000*16/12*methane*'Inl. wetlands'!$D391,0)</f>
        <v>0</v>
      </c>
      <c r="U391" s="1151">
        <f>IF('6.Inland wetlands'!$U132&gt;0,'Inl. wetlands'!$K391/1000*16/12*methane*'Inl. wetlands'!$F391,0)</f>
        <v>0</v>
      </c>
      <c r="V391" s="3468">
        <v>0</v>
      </c>
      <c r="W391" s="1151">
        <f>IF('6.Inland wetlands'!$T132&gt;0,'Inl. wetlands'!$M391/1000*44/28*Nitrous*'Inl. wetlands'!$D391,0)</f>
        <v>0</v>
      </c>
      <c r="X391" s="3469">
        <f>IF('6.Inland wetlands'!$U132&gt;0,'Inl. wetlands'!$M391/1000*44/28*Nitrous*'Inl. wetlands'!$F391,0)</f>
        <v>0</v>
      </c>
      <c r="AB391" s="1151">
        <f>MIN($P391,$Q391)*time_tot+ABS($P391-$Q391)*IF($Q391&gt;$P391,time_cap+time*(VLOOKUP($E391,list!$J$48:$K$50,2,0)),time*(1-(VLOOKUP($E391,list!$J$48:$K$50,2,0))))</f>
        <v>0</v>
      </c>
      <c r="AC391" s="1151">
        <f>MIN($P391,$R391)*time_tot+ABS($P391-$R391)*IF($R391&gt;$P391,time_cap+time*(VLOOKUP($G391,list!$J$48:$K$50,2,0)),time*(1-(VLOOKUP($G391,list!$J$48:$K$50,2,0))))</f>
        <v>0</v>
      </c>
      <c r="AD391" s="1151">
        <f>MIN($S391,$T391)*time_tot+ABS($S391-$T391)*IF($T391&gt;$S391,time_cap+time*(VLOOKUP($E391,list!$J$48:$K$50,2,0)),time*(1-(VLOOKUP($E391,list!$J$48:$K$50,2,0))))</f>
        <v>0</v>
      </c>
      <c r="AE391" s="1151">
        <f>MIN($S391,$U391)*time_tot+ABS($S391-$U391)*IF($U391&gt;$S391,time_cap+time*(VLOOKUP($G391,list!$J$48:$K$50,2,0)),time*(1-(VLOOKUP($G391,list!$J$48:$K$50,2,0))))</f>
        <v>0</v>
      </c>
      <c r="AF391" s="1151">
        <f>MIN($V391,$W391)*time_tot+ABS($V391-$W391)*IF($W391&gt;$V391,time_cap+time*(VLOOKUP($E391,list!$J$48:$K$50,2,0)),time*(1-(VLOOKUP($E391,list!$J$48:$K$50,2,0))))</f>
        <v>0</v>
      </c>
      <c r="AG391" s="1151">
        <f>MIN($V391,$X391)*time_tot+ABS($V391-$X391)*IF($X391&gt;$V391,time_cap+time*(VLOOKUP($G391,list!$J$48:$K$50,2,0)),time*(1-(VLOOKUP($G391,list!$J$48:$K$50,2,0))))</f>
        <v>0</v>
      </c>
      <c r="AI391" s="1282">
        <f t="shared" si="193"/>
        <v>0</v>
      </c>
      <c r="AJ391" s="1282">
        <f t="shared" si="193"/>
        <v>0</v>
      </c>
      <c r="AK391" s="1284">
        <f t="shared" si="194"/>
        <v>0</v>
      </c>
      <c r="AX391" s="1449">
        <f>MIN($P391,$Q391)*time+ABS($Q391-$P391)*IF($Q391&gt;$P391,time*(VLOOKUP($N342,list!$J$48:$K$50,2,0)),time*(1-(VLOOKUP($N342,list!$J$48:$K$50,2,0))))</f>
        <v>0</v>
      </c>
      <c r="AY391" s="1449">
        <f>MIN($P391,$R391)*time+ABS($R391-$P391)*IF($R391&gt;$P391,time*(VLOOKUP($P342,list!$J$48:$K$50,2,0)),time*(1-(VLOOKUP($P342,list!$J$48:$K$50,2,0))))</f>
        <v>0</v>
      </c>
      <c r="AZ391" s="1449">
        <f>MIN($S391,$T391)*time+ABS($T391-$S391)*IF($T391&gt;$S391,time*(VLOOKUP($N342,list!$J$48:$K$50,2,0)),time*(1-(VLOOKUP($N342,list!$J$48:$K$50,2,0))))</f>
        <v>0</v>
      </c>
      <c r="BA391" s="1449">
        <f>MIN($S391,$U391)*time+ABS($U391-$S391)*IF($U391&gt;$S391,time*(VLOOKUP($P342,list!$J$48:$K$50,2,0)),time*(1-(VLOOKUP($P342,list!$J$48:$K$50,2,0))))</f>
        <v>0</v>
      </c>
      <c r="BB391" s="1449">
        <f>MIN($V391,$W391)*time+ABS($W391-$V391)*IF($W391&gt;$V391,time*(VLOOKUP($N342,list!$J$48:$K$50,2,0)),time*(1-(VLOOKUP($N342,list!$J$48:$K$50,2,0))))</f>
        <v>0</v>
      </c>
      <c r="BC391" s="1449">
        <f>MIN($V391,$X391)*time+ABS($X391-$V391)*IF($X391&gt;$V391,time*(VLOOKUP($P342,list!$J$48:$K$50,2,0)),time*(1-(VLOOKUP($P342,list!$J$48:$K$50,2,0))))</f>
        <v>0</v>
      </c>
      <c r="BD391" s="1449"/>
      <c r="BE391" s="1449"/>
      <c r="BF391" s="1449"/>
      <c r="BG391" s="1449"/>
    </row>
    <row r="392" spans="1:59" x14ac:dyDescent="0.15">
      <c r="A392" s="1493" t="s">
        <v>1164</v>
      </c>
      <c r="B392" s="1121" t="str">
        <f t="shared" si="190"/>
        <v/>
      </c>
      <c r="C392" s="992">
        <f>'6.Inland wetlands'!S133</f>
        <v>0</v>
      </c>
      <c r="D392" s="992">
        <f>IF('6.Inland wetlands'!T133-C392&gt;0,'6.Inland wetlands'!T133-C392,0)</f>
        <v>0</v>
      </c>
      <c r="E392" s="992" t="str">
        <f t="shared" si="191"/>
        <v>Linear</v>
      </c>
      <c r="F392" s="992">
        <f>IF('6.Inland wetlands'!U133-C392&gt;0,'6.Inland wetlands'!U133-C392,0)</f>
        <v>0</v>
      </c>
      <c r="G392" s="992" t="str">
        <f t="shared" si="192"/>
        <v>Linear</v>
      </c>
      <c r="H392" s="1004">
        <f>IFERROR(IF($A391="Please select",0,IF($C$351="Nutrient poor",INDEX(IPCC!$A$1910:$J$1921,MATCH(clim_moist,IPCC!$A$1910:$A$1921,0),MATCH($B392,IPCC!$A$1910:$J$1910,0)),INDEX(IPCC!$A$1928:$J$1939,MATCH(clim_moist,IPCC!$A$1928:$A$1939,0),MATCH($B392,IPCC!$A$1928:$J$1928,0)))),0)</f>
        <v>0</v>
      </c>
      <c r="I392" s="1259">
        <f>IF('6.Inland wetlands'!$DY122="",'6.Inland wetlands'!$DX122,'6.Inland wetlands'!$DY122)</f>
        <v>0</v>
      </c>
      <c r="J392" s="1004">
        <f>IFERROR(IF($A391="Please select",0,IF($C$351="Nutrient poor",INDEX(IPCC!$A$1964:$J$1975,MATCH(clim_moist,IPCC!$A$1964:$A$1975,0),MATCH($B392,IPCC!$A$1964:$J$1964,0)),INDEX(IPCC!$A$1982:$J$1993,MATCH(clim_moist,IPCC!$A$1982:$A$1993,0),MATCH($B392,IPCC!$A$1982:$J$1982,0)))),0)</f>
        <v>0</v>
      </c>
      <c r="K392" s="1259">
        <f>IF('6.Inland wetlands'!$EA122="",'6.Inland wetlands'!$DZ122,'6.Inland wetlands'!$EA122)</f>
        <v>0</v>
      </c>
      <c r="L392" s="1004">
        <f>IFERROR(IF($A391="Please select",0,INDEX(IPCC!$A$2000:$J$2011,MATCH(clim_moist,IPCC!$A$2000:$A$2011,0),MATCH($B392,IPCC!$A$2000:$J$2000,0))),0)</f>
        <v>0</v>
      </c>
      <c r="M392" s="1259">
        <f>IF('6.Inland wetlands'!$EC122="",'6.Inland wetlands'!$EB122,'6.Inland wetlands'!$EC122)</f>
        <v>0</v>
      </c>
      <c r="N392" s="1260">
        <f>IFERROR(IF($A391="Please select",0,INDEX(IPCC!$A$1946:$J$1957,MATCH(clim_moist,IPCC!$A$1946:$A$1957,0),MATCH($B392,IPCC!$A$1946:$J$1946,0))),0)</f>
        <v>0</v>
      </c>
      <c r="O392" s="1259">
        <f>IF('6.Inland wetlands'!$EF122="",'6.Inland wetlands'!$EE122,'6.Inland wetlands'!$EF122)</f>
        <v>0</v>
      </c>
      <c r="P392" s="3468">
        <v>0</v>
      </c>
      <c r="Q392" s="3468">
        <f>IF('6.Inland wetlands'!$T133&gt;0,SUM('Inl. wetlands'!$I392,'Inl. wetlands'!$O392)*44/12*'Inl. wetlands'!$D392,0)</f>
        <v>0</v>
      </c>
      <c r="R392" s="1151">
        <f>IF('6.Inland wetlands'!$U133&gt;0,SUM('Inl. wetlands'!$I392,'Inl. wetlands'!$O392)*44/12*'Inl. wetlands'!$F392,0)</f>
        <v>0</v>
      </c>
      <c r="S392" s="3468">
        <v>0</v>
      </c>
      <c r="T392" s="1151">
        <f>IF('6.Inland wetlands'!$T133&gt;0,'Inl. wetlands'!$K392/1000*16/12*methane*'Inl. wetlands'!$D392,0)</f>
        <v>0</v>
      </c>
      <c r="U392" s="1151">
        <f>IF('6.Inland wetlands'!$U133&gt;0,'Inl. wetlands'!$K392/1000*16/12*methane*'Inl. wetlands'!$F392,0)</f>
        <v>0</v>
      </c>
      <c r="V392" s="3468">
        <v>0</v>
      </c>
      <c r="W392" s="1151">
        <f>IF('6.Inland wetlands'!$T133&gt;0,'Inl. wetlands'!$M392/1000*44/28*Nitrous*'Inl. wetlands'!$D392,0)</f>
        <v>0</v>
      </c>
      <c r="X392" s="3469">
        <f>IF('6.Inland wetlands'!$U133&gt;0,'Inl. wetlands'!$M392/1000*44/28*Nitrous*'Inl. wetlands'!$F392,0)</f>
        <v>0</v>
      </c>
      <c r="AB392" s="1151">
        <f>MIN($P392,$Q392)*time_tot+ABS($P392-$Q392)*IF($Q392&gt;$P392,time_cap+time*(VLOOKUP($E392,list!$J$48:$K$50,2,0)),time*(1-(VLOOKUP($E392,list!$J$48:$K$50,2,0))))</f>
        <v>0</v>
      </c>
      <c r="AC392" s="1151">
        <f>MIN($P392,$R392)*time_tot+ABS($P392-$R392)*IF($R392&gt;$P392,time_cap+time*(VLOOKUP($G392,list!$J$48:$K$50,2,0)),time*(1-(VLOOKUP($G392,list!$J$48:$K$50,2,0))))</f>
        <v>0</v>
      </c>
      <c r="AD392" s="1151">
        <f>MIN($S392,$T392)*time_tot+ABS($S392-$T392)*IF($T392&gt;$S392,time_cap+time*(VLOOKUP($E392,list!$J$48:$K$50,2,0)),time*(1-(VLOOKUP($E392,list!$J$48:$K$50,2,0))))</f>
        <v>0</v>
      </c>
      <c r="AE392" s="1151">
        <f>MIN($S392,$U392)*time_tot+ABS($S392-$U392)*IF($U392&gt;$S392,time_cap+time*(VLOOKUP($G392,list!$J$48:$K$50,2,0)),time*(1-(VLOOKUP($G392,list!$J$48:$K$50,2,0))))</f>
        <v>0</v>
      </c>
      <c r="AF392" s="1151">
        <f>MIN($V392,$W392)*time_tot+ABS($V392-$W392)*IF($W392&gt;$V392,time_cap+time*(VLOOKUP($E392,list!$J$48:$K$50,2,0)),time*(1-(VLOOKUP($E392,list!$J$48:$K$50,2,0))))</f>
        <v>0</v>
      </c>
      <c r="AG392" s="1151">
        <f>MIN($V392,$X392)*time_tot+ABS($V392-$X392)*IF($X392&gt;$V392,time_cap+time*(VLOOKUP($G392,list!$J$48:$K$50,2,0)),time*(1-(VLOOKUP($G392,list!$J$48:$K$50,2,0))))</f>
        <v>0</v>
      </c>
      <c r="AI392" s="1282">
        <f t="shared" si="193"/>
        <v>0</v>
      </c>
      <c r="AJ392" s="1282">
        <f t="shared" si="193"/>
        <v>0</v>
      </c>
      <c r="AK392" s="1284">
        <f t="shared" si="194"/>
        <v>0</v>
      </c>
      <c r="AX392" s="1449">
        <f>MIN($P392,$Q392)*time+ABS($Q392-$P392)*IF($Q392&gt;$P392,time*(VLOOKUP($N343,list!$J$48:$K$50,2,0)),time*(1-(VLOOKUP($N343,list!$J$48:$K$50,2,0))))</f>
        <v>0</v>
      </c>
      <c r="AY392" s="1449">
        <f>MIN($P392,$R392)*time+ABS($R392-$P392)*IF($R392&gt;$P392,time*(VLOOKUP($P343,list!$J$48:$K$50,2,0)),time*(1-(VLOOKUP($P343,list!$J$48:$K$50,2,0))))</f>
        <v>0</v>
      </c>
      <c r="AZ392" s="1449">
        <f>MIN($S392,$T392)*time+ABS($T392-$S392)*IF($T392&gt;$S392,time*(VLOOKUP($N343,list!$J$48:$K$50,2,0)),time*(1-(VLOOKUP($N343,list!$J$48:$K$50,2,0))))</f>
        <v>0</v>
      </c>
      <c r="BA392" s="1449">
        <f>MIN($S392,$U392)*time+ABS($U392-$S392)*IF($U392&gt;$S392,time*(VLOOKUP($P343,list!$J$48:$K$50,2,0)),time*(1-(VLOOKUP($P343,list!$J$48:$K$50,2,0))))</f>
        <v>0</v>
      </c>
      <c r="BB392" s="1449">
        <f>MIN($V392,$W392)*time+ABS($W392-$V392)*IF($W392&gt;$V392,time*(VLOOKUP($N343,list!$J$48:$K$50,2,0)),time*(1-(VLOOKUP($N343,list!$J$48:$K$50,2,0))))</f>
        <v>0</v>
      </c>
      <c r="BC392" s="1449">
        <f>MIN($V392,$X392)*time+ABS($X392-$V392)*IF($X392&gt;$V392,time*(VLOOKUP($P343,list!$J$48:$K$50,2,0)),time*(1-(VLOOKUP($P343,list!$J$48:$K$50,2,0))))</f>
        <v>0</v>
      </c>
      <c r="BD392" s="1449"/>
      <c r="BE392" s="1449"/>
      <c r="BF392" s="1449"/>
      <c r="BG392" s="1449"/>
    </row>
    <row r="393" spans="1:59" x14ac:dyDescent="0.15">
      <c r="A393" s="1493" t="s">
        <v>1165</v>
      </c>
      <c r="B393" s="1121" t="str">
        <f t="shared" si="190"/>
        <v/>
      </c>
      <c r="C393" s="992">
        <f>'6.Inland wetlands'!S134</f>
        <v>0</v>
      </c>
      <c r="D393" s="992">
        <f>IF('6.Inland wetlands'!T134-C393&gt;0,'6.Inland wetlands'!T134-C393,0)</f>
        <v>0</v>
      </c>
      <c r="E393" s="992" t="str">
        <f t="shared" si="191"/>
        <v>Linear</v>
      </c>
      <c r="F393" s="992">
        <f>IF('6.Inland wetlands'!U134-C393&gt;0,'6.Inland wetlands'!U134-C393,0)</f>
        <v>0</v>
      </c>
      <c r="G393" s="992" t="str">
        <f t="shared" si="192"/>
        <v>Linear</v>
      </c>
      <c r="H393" s="1004">
        <f>IFERROR(IF($A392="Please select",0,IF($C$351="Nutrient poor",INDEX(IPCC!$A$1910:$J$1921,MATCH(clim_moist,IPCC!$A$1910:$A$1921,0),MATCH($B393,IPCC!$A$1910:$J$1910,0)),INDEX(IPCC!$A$1928:$J$1939,MATCH(clim_moist,IPCC!$A$1928:$A$1939,0),MATCH($B393,IPCC!$A$1928:$J$1928,0)))),0)</f>
        <v>0</v>
      </c>
      <c r="I393" s="1259">
        <f>IF('6.Inland wetlands'!$DY123="",'6.Inland wetlands'!$DX123,'6.Inland wetlands'!$DY123)</f>
        <v>0</v>
      </c>
      <c r="J393" s="1004">
        <f>IFERROR(IF($A392="Please select",0,IF($C$351="Nutrient poor",INDEX(IPCC!$A$1964:$J$1975,MATCH(clim_moist,IPCC!$A$1964:$A$1975,0),MATCH($B393,IPCC!$A$1964:$J$1964,0)),INDEX(IPCC!$A$1982:$J$1993,MATCH(clim_moist,IPCC!$A$1982:$A$1993,0),MATCH($B393,IPCC!$A$1982:$J$1982,0)))),0)</f>
        <v>0</v>
      </c>
      <c r="K393" s="1259">
        <f>IF('6.Inland wetlands'!$EA123="",'6.Inland wetlands'!$DZ123,'6.Inland wetlands'!$EA123)</f>
        <v>0</v>
      </c>
      <c r="L393" s="1004">
        <f>IFERROR(IF($A392="Please select",0,INDEX(IPCC!$A$2000:$J$2011,MATCH(clim_moist,IPCC!$A$2000:$A$2011,0),MATCH($B393,IPCC!$A$2000:$J$2000,0))),0)</f>
        <v>0</v>
      </c>
      <c r="M393" s="1259">
        <f>IF('6.Inland wetlands'!$EC123="",'6.Inland wetlands'!$EB123,'6.Inland wetlands'!$EC123)</f>
        <v>0</v>
      </c>
      <c r="N393" s="1260">
        <f>IFERROR(IF($A392="Please select",0,INDEX(IPCC!$A$1946:$J$1957,MATCH(clim_moist,IPCC!$A$1946:$A$1957,0),MATCH($B393,IPCC!$A$1946:$J$1946,0))),0)</f>
        <v>0</v>
      </c>
      <c r="O393" s="1259">
        <f>IF('6.Inland wetlands'!$EF123="",'6.Inland wetlands'!$EE123,'6.Inland wetlands'!$EF123)</f>
        <v>0</v>
      </c>
      <c r="P393" s="3468">
        <v>0</v>
      </c>
      <c r="Q393" s="3468">
        <f>IF('6.Inland wetlands'!$T134&gt;0,SUM('Inl. wetlands'!$I393,'Inl. wetlands'!$O393)*44/12*'Inl. wetlands'!$D393,0)</f>
        <v>0</v>
      </c>
      <c r="R393" s="1151">
        <f>IF('6.Inland wetlands'!$U134&gt;0,SUM('Inl. wetlands'!$I393,'Inl. wetlands'!$O393)*44/12*'Inl. wetlands'!$F393,0)</f>
        <v>0</v>
      </c>
      <c r="S393" s="3468">
        <v>0</v>
      </c>
      <c r="T393" s="1151">
        <f>IF('6.Inland wetlands'!$T134&gt;0,'Inl. wetlands'!$K393/1000*16/12*methane*'Inl. wetlands'!$D393,0)</f>
        <v>0</v>
      </c>
      <c r="U393" s="1151">
        <f>IF('6.Inland wetlands'!$U134&gt;0,'Inl. wetlands'!$K393/1000*16/12*methane*'Inl. wetlands'!$F393,0)</f>
        <v>0</v>
      </c>
      <c r="V393" s="3468">
        <v>0</v>
      </c>
      <c r="W393" s="1151">
        <f>IF('6.Inland wetlands'!$T134&gt;0,'Inl. wetlands'!$M393/1000*44/28*Nitrous*'Inl. wetlands'!$D393,0)</f>
        <v>0</v>
      </c>
      <c r="X393" s="3469">
        <f>IF('6.Inland wetlands'!$U134&gt;0,'Inl. wetlands'!$M393/1000*44/28*Nitrous*'Inl. wetlands'!$F393,0)</f>
        <v>0</v>
      </c>
      <c r="AB393" s="1151">
        <f>MIN($P393,$Q393)*time_tot+ABS($P393-$Q393)*IF($Q393&gt;$P393,time_cap+time*(VLOOKUP($E393,list!$J$48:$K$50,2,0)),time*(1-(VLOOKUP($E393,list!$J$48:$K$50,2,0))))</f>
        <v>0</v>
      </c>
      <c r="AC393" s="1151">
        <f>MIN($P393,$R393)*time_tot+ABS($P393-$R393)*IF($R393&gt;$P393,time_cap+time*(VLOOKUP($G393,list!$J$48:$K$50,2,0)),time*(1-(VLOOKUP($G393,list!$J$48:$K$50,2,0))))</f>
        <v>0</v>
      </c>
      <c r="AD393" s="1151">
        <f>MIN($S393,$T393)*time_tot+ABS($S393-$T393)*IF($T393&gt;$S393,time_cap+time*(VLOOKUP($E393,list!$J$48:$K$50,2,0)),time*(1-(VLOOKUP($E393,list!$J$48:$K$50,2,0))))</f>
        <v>0</v>
      </c>
      <c r="AE393" s="1151">
        <f>MIN($S393,$U393)*time_tot+ABS($S393-$U393)*IF($U393&gt;$S393,time_cap+time*(VLOOKUP($G393,list!$J$48:$K$50,2,0)),time*(1-(VLOOKUP($G393,list!$J$48:$K$50,2,0))))</f>
        <v>0</v>
      </c>
      <c r="AF393" s="1151">
        <f>MIN($V393,$W393)*time_tot+ABS($V393-$W393)*IF($W393&gt;$V393,time_cap+time*(VLOOKUP($E393,list!$J$48:$K$50,2,0)),time*(1-(VLOOKUP($E393,list!$J$48:$K$50,2,0))))</f>
        <v>0</v>
      </c>
      <c r="AG393" s="1151">
        <f>MIN($V393,$X393)*time_tot+ABS($V393-$X393)*IF($X393&gt;$V393,time_cap+time*(VLOOKUP($G393,list!$J$48:$K$50,2,0)),time*(1-(VLOOKUP($G393,list!$J$48:$K$50,2,0))))</f>
        <v>0</v>
      </c>
      <c r="AI393" s="1282">
        <f t="shared" si="193"/>
        <v>0</v>
      </c>
      <c r="AJ393" s="1282">
        <f t="shared" si="193"/>
        <v>0</v>
      </c>
      <c r="AK393" s="1284">
        <f t="shared" si="194"/>
        <v>0</v>
      </c>
      <c r="AX393" s="1449">
        <f>MIN($P393,$Q393)*time+ABS($Q393-$P393)*IF($Q393&gt;$P393,time*(VLOOKUP($N344,list!$J$48:$K$50,2,0)),time*(1-(VLOOKUP($N344,list!$J$48:$K$50,2,0))))</f>
        <v>0</v>
      </c>
      <c r="AY393" s="1449">
        <f>MIN($P393,$R393)*time+ABS($R393-$P393)*IF($R393&gt;$P393,time*(VLOOKUP($P344,list!$J$48:$K$50,2,0)),time*(1-(VLOOKUP($P344,list!$J$48:$K$50,2,0))))</f>
        <v>0</v>
      </c>
      <c r="AZ393" s="1449">
        <f>MIN($S393,$T393)*time+ABS($T393-$S393)*IF($T393&gt;$S393,time*(VLOOKUP($N344,list!$J$48:$K$50,2,0)),time*(1-(VLOOKUP($N344,list!$J$48:$K$50,2,0))))</f>
        <v>0</v>
      </c>
      <c r="BA393" s="1449">
        <f>MIN($S393,$U393)*time+ABS($U393-$S393)*IF($U393&gt;$S393,time*(VLOOKUP($P344,list!$J$48:$K$50,2,0)),time*(1-(VLOOKUP($P344,list!$J$48:$K$50,2,0))))</f>
        <v>0</v>
      </c>
      <c r="BB393" s="1449">
        <f>MIN($V393,$W393)*time+ABS($W393-$V393)*IF($W393&gt;$V393,time*(VLOOKUP($N344,list!$J$48:$K$50,2,0)),time*(1-(VLOOKUP($N344,list!$J$48:$K$50,2,0))))</f>
        <v>0</v>
      </c>
      <c r="BC393" s="1449">
        <f>MIN($V393,$X393)*time+ABS($X393-$V393)*IF($X393&gt;$V393,time*(VLOOKUP($P344,list!$J$48:$K$50,2,0)),time*(1-(VLOOKUP($P344,list!$J$48:$K$50,2,0))))</f>
        <v>0</v>
      </c>
      <c r="BD393" s="1449"/>
      <c r="BE393" s="1449"/>
      <c r="BF393" s="1449"/>
      <c r="BG393" s="1449"/>
    </row>
    <row r="394" spans="1:59" x14ac:dyDescent="0.15">
      <c r="B394" s="1688"/>
      <c r="C394" s="1071"/>
      <c r="D394" s="1201"/>
      <c r="E394" s="1200"/>
    </row>
    <row r="395" spans="1:59" x14ac:dyDescent="0.15">
      <c r="D395" s="992"/>
      <c r="E395" s="992"/>
      <c r="F395" s="992"/>
      <c r="G395" s="992"/>
      <c r="H395" s="992"/>
      <c r="I395" s="992"/>
      <c r="J395" s="992"/>
      <c r="K395" s="992"/>
      <c r="X395" s="1469"/>
      <c r="Y395" s="992"/>
      <c r="Z395" s="992"/>
      <c r="AA395" s="992"/>
      <c r="AB395" s="992"/>
      <c r="AC395" s="992"/>
      <c r="AD395" s="992"/>
      <c r="AF395" s="992"/>
      <c r="AG395" s="992"/>
      <c r="AH395" s="992"/>
      <c r="AX395" s="1461">
        <f t="shared" ref="AX395:BC395" si="195">SUM(AX388:AX393)</f>
        <v>0</v>
      </c>
      <c r="AY395" s="1461">
        <f t="shared" si="195"/>
        <v>0</v>
      </c>
      <c r="AZ395" s="1461">
        <f t="shared" si="195"/>
        <v>0</v>
      </c>
      <c r="BA395" s="1461">
        <f t="shared" si="195"/>
        <v>0</v>
      </c>
      <c r="BB395" s="1461">
        <f t="shared" si="195"/>
        <v>0</v>
      </c>
      <c r="BC395" s="1461">
        <f t="shared" si="195"/>
        <v>0</v>
      </c>
      <c r="BD395" s="1461"/>
      <c r="BE395" s="1461"/>
      <c r="BF395" s="1461"/>
      <c r="BG395" s="1461"/>
    </row>
    <row r="396" spans="1:59" ht="16" x14ac:dyDescent="0.2">
      <c r="E396" s="3993" t="s">
        <v>1242</v>
      </c>
      <c r="F396" s="4324">
        <f>MAX(G396:H396)</f>
        <v>0</v>
      </c>
      <c r="G396" s="4324">
        <f>+SUM(D388:D393)</f>
        <v>0</v>
      </c>
      <c r="H396" s="4324">
        <f>SUM(F388:F393)</f>
        <v>0</v>
      </c>
      <c r="AE396" s="1142"/>
      <c r="AF396" s="1142"/>
      <c r="AG396" s="1143" t="s">
        <v>1262</v>
      </c>
      <c r="AH396" s="1142"/>
      <c r="AI396" s="1192">
        <f>SUM(AI388:AI393,AI373:AI378,AI357:AI362,AI339:AI344)</f>
        <v>0</v>
      </c>
      <c r="AJ396" s="1192">
        <f>SUM(AJ388:AJ393,AJ373:AJ378,AJ357:AJ362,AJ339:AJ344)</f>
        <v>0</v>
      </c>
      <c r="AK396" s="1192">
        <f>SUM(AK388:AK393,AK373:AK378,AK357:AK362,AK339:AK344)</f>
        <v>0</v>
      </c>
      <c r="AY396" s="1451">
        <f>AY395-AX395</f>
        <v>0</v>
      </c>
      <c r="AZ396" s="1451"/>
      <c r="BA396" s="1451">
        <f>BA395-AZ395</f>
        <v>0</v>
      </c>
      <c r="BC396" s="1451">
        <f>BC395-BB395</f>
        <v>0</v>
      </c>
      <c r="BD396" s="1451"/>
      <c r="BE396" s="1451"/>
      <c r="BG396" s="1451"/>
    </row>
    <row r="397" spans="1:59" x14ac:dyDescent="0.15">
      <c r="AX397" s="1449"/>
      <c r="AY397" s="1449"/>
      <c r="BA397" s="1449"/>
      <c r="BD397" s="1449"/>
      <c r="BF397" s="1449"/>
    </row>
    <row r="398" spans="1:59" ht="16" x14ac:dyDescent="0.2">
      <c r="Z398" s="1231"/>
      <c r="AA398" s="1231"/>
    </row>
    <row r="399" spans="1:59" x14ac:dyDescent="0.15">
      <c r="AJ399" s="1445" t="s">
        <v>629</v>
      </c>
      <c r="AK399" s="1445">
        <f>SUM('6.Inland wetlands'!DY118:DY123,'6.Inland wetlands'!EA118:EA123,'6.Inland wetlands'!EC118:EC123,'6.Inland wetlands'!EF118:EF123)</f>
        <v>0</v>
      </c>
      <c r="AL399" s="973" t="s">
        <v>1224</v>
      </c>
    </row>
    <row r="400" spans="1:59" x14ac:dyDescent="0.15">
      <c r="AJ400" s="1445" t="s">
        <v>629</v>
      </c>
      <c r="AK400" s="1445">
        <f>+SUM('6.Inland wetlands'!CG118:CG123,'6.Inland wetlands'!CI118:CI123,'6.Inland wetlands'!CK118:CK123,'6.Inland wetlands'!CN118:CN123,'6.Inland wetlands'!CP118:CP123)</f>
        <v>0</v>
      </c>
      <c r="AL400" s="973" t="s">
        <v>1225</v>
      </c>
    </row>
    <row r="403" spans="2:72" s="975" customFormat="1" ht="42.75" customHeight="1" x14ac:dyDescent="0.15">
      <c r="B403" s="975" t="s">
        <v>1263</v>
      </c>
      <c r="J403" s="1123"/>
      <c r="K403" s="1123"/>
      <c r="L403" s="1123"/>
      <c r="M403" s="1123"/>
      <c r="N403" s="1123"/>
    </row>
    <row r="404" spans="2:72" s="1087" customFormat="1" ht="17.75" customHeight="1" x14ac:dyDescent="0.15">
      <c r="J404" s="1058"/>
      <c r="K404" s="1058"/>
      <c r="L404" s="1058"/>
      <c r="M404" s="1058"/>
      <c r="N404" s="1058"/>
      <c r="AX404" s="1446"/>
      <c r="AY404" s="1446"/>
      <c r="AZ404" s="1446"/>
      <c r="BA404" s="1446"/>
      <c r="BB404" s="1446"/>
      <c r="BC404" s="1446"/>
      <c r="BD404" s="1446"/>
      <c r="BE404" s="1446"/>
      <c r="BF404" s="1446"/>
      <c r="BG404" s="1446"/>
    </row>
    <row r="405" spans="2:72" s="1087" customFormat="1" ht="17.75" customHeight="1" x14ac:dyDescent="0.15">
      <c r="B405" s="1289" t="str">
        <f>B351</f>
        <v>Dominant quality of the peat:</v>
      </c>
      <c r="C405" s="1253" t="str">
        <f>'6.Inland wetlands'!CK157</f>
        <v>Nutrient poor</v>
      </c>
      <c r="D405" s="1252"/>
      <c r="E405" s="1252"/>
      <c r="F405" s="1252"/>
      <c r="J405" s="1058"/>
      <c r="K405" s="1058"/>
      <c r="L405" s="1058"/>
      <c r="M405" s="1058"/>
      <c r="N405" s="1058"/>
      <c r="AX405" s="1446"/>
      <c r="AY405" s="1446"/>
      <c r="AZ405" s="1446"/>
      <c r="BA405" s="1446"/>
      <c r="BB405" s="1446"/>
      <c r="BC405" s="1446"/>
      <c r="BD405" s="1446"/>
      <c r="BE405" s="1446"/>
      <c r="BF405" s="1446"/>
      <c r="BG405" s="1446"/>
    </row>
    <row r="407" spans="2:72" s="1089" customFormat="1" ht="30.5" customHeight="1" x14ac:dyDescent="0.2">
      <c r="B407" s="1112" t="s">
        <v>1238</v>
      </c>
      <c r="C407" s="1113"/>
      <c r="D407" s="1113"/>
      <c r="E407" s="1113"/>
      <c r="F407" s="1113"/>
      <c r="G407" s="1113"/>
      <c r="H407" s="1113"/>
      <c r="I407" s="1113"/>
      <c r="J407" s="1113"/>
      <c r="K407" s="1113"/>
      <c r="L407" s="1113"/>
      <c r="M407" s="1113"/>
      <c r="N407" s="1113"/>
      <c r="O407" s="1113"/>
      <c r="P407" s="1113"/>
      <c r="Q407" s="1113"/>
      <c r="R407" s="1113"/>
      <c r="S407" s="1113"/>
      <c r="T407" s="1113"/>
      <c r="U407" s="1113"/>
      <c r="V407" s="1113"/>
      <c r="W407" s="1113"/>
      <c r="X407" s="1113"/>
      <c r="Y407" s="1113"/>
      <c r="Z407" s="1113"/>
      <c r="AA407" s="1113"/>
      <c r="AB407" s="1113"/>
      <c r="AC407" s="1113"/>
      <c r="AD407" s="1113"/>
      <c r="AE407" s="1113"/>
      <c r="AF407" s="1113"/>
      <c r="AG407" s="1113"/>
      <c r="AH407" s="1113"/>
      <c r="AI407" s="1113"/>
      <c r="AJ407" s="1113"/>
      <c r="AK407" s="1113"/>
      <c r="AL407" s="1113"/>
      <c r="AM407" s="1113"/>
      <c r="AN407" s="1113"/>
      <c r="AO407" s="1113"/>
      <c r="AP407" s="1113"/>
      <c r="AQ407" s="1113"/>
      <c r="AR407" s="1113"/>
      <c r="AS407" s="1113"/>
      <c r="AT407" s="1113"/>
      <c r="AU407" s="1113"/>
      <c r="AV407" s="1113"/>
      <c r="AW407" s="1113"/>
      <c r="AX407" s="1447"/>
      <c r="AY407" s="1447"/>
      <c r="AZ407" s="1447"/>
      <c r="BA407" s="1447"/>
      <c r="BB407" s="1447"/>
      <c r="BC407" s="1447"/>
      <c r="BD407" s="1447"/>
      <c r="BE407" s="1447"/>
      <c r="BF407" s="1447"/>
      <c r="BG407" s="1447"/>
    </row>
    <row r="408" spans="2:72" x14ac:dyDescent="0.15">
      <c r="AX408" s="1271" t="s">
        <v>1147</v>
      </c>
    </row>
    <row r="409" spans="2:72" ht="16" x14ac:dyDescent="0.2">
      <c r="F409" s="1262" t="s">
        <v>1264</v>
      </c>
      <c r="G409" s="3464"/>
      <c r="H409" s="3464"/>
      <c r="I409" s="3464"/>
      <c r="J409" s="2163"/>
      <c r="K409" s="3464"/>
      <c r="L409" s="3464"/>
      <c r="M409" s="3464"/>
      <c r="N409" s="1670" t="s">
        <v>1265</v>
      </c>
      <c r="O409" s="1538"/>
      <c r="P409" s="1539"/>
      <c r="Q409" s="1539"/>
      <c r="R409" s="1539"/>
      <c r="S409" s="1234" t="s">
        <v>1265</v>
      </c>
      <c r="T409" s="1116"/>
      <c r="U409" s="1229"/>
      <c r="V409" s="1116"/>
      <c r="AI409" s="1270" t="s">
        <v>1115</v>
      </c>
      <c r="AJ409" s="1115"/>
      <c r="AK409" s="1116"/>
      <c r="AM409" s="1574"/>
      <c r="AN409" s="1574"/>
      <c r="AO409" s="1574"/>
      <c r="AP409" s="1574"/>
      <c r="AQ409" s="1574"/>
      <c r="AR409" s="1574"/>
      <c r="AS409" s="1574"/>
      <c r="AT409" s="1574"/>
      <c r="AU409" s="1574"/>
      <c r="AV409" s="1574"/>
      <c r="AW409" s="1574"/>
      <c r="AX409" s="1450" t="s">
        <v>176</v>
      </c>
      <c r="AY409" s="1450"/>
      <c r="AZ409" s="1450" t="s">
        <v>177</v>
      </c>
      <c r="BA409" s="1450"/>
      <c r="BB409" s="1452"/>
      <c r="BC409" s="1452"/>
      <c r="BD409" s="1452"/>
      <c r="BE409" s="1452"/>
      <c r="BF409" s="1452"/>
      <c r="BG409" s="1452"/>
    </row>
    <row r="410" spans="2:72" ht="19" x14ac:dyDescent="0.25">
      <c r="B410" s="1257" t="s">
        <v>1266</v>
      </c>
      <c r="C410" s="1170"/>
      <c r="E410" s="1256" t="s">
        <v>199</v>
      </c>
      <c r="F410" s="1100" t="s">
        <v>200</v>
      </c>
      <c r="G410" s="1100"/>
      <c r="H410" s="1100"/>
      <c r="I410" s="1100"/>
      <c r="J410" s="1101" t="s">
        <v>201</v>
      </c>
      <c r="K410" s="1101"/>
      <c r="L410" s="1101"/>
      <c r="M410" s="1101"/>
      <c r="N410" s="1540" t="s">
        <v>357</v>
      </c>
      <c r="O410" s="1256" t="s">
        <v>1230</v>
      </c>
      <c r="P410" s="1256" t="s">
        <v>1231</v>
      </c>
      <c r="Q410" s="1256" t="s">
        <v>1230</v>
      </c>
      <c r="R410" s="1256" t="s">
        <v>1231</v>
      </c>
      <c r="S410" s="1527" t="s">
        <v>179</v>
      </c>
      <c r="T410" s="1530"/>
      <c r="U410" s="1528" t="s">
        <v>180</v>
      </c>
      <c r="V410" s="1101"/>
      <c r="AI410" s="1270" t="s">
        <v>1121</v>
      </c>
      <c r="AJ410" s="1104"/>
      <c r="AK410" s="1116"/>
      <c r="AM410" s="1575"/>
      <c r="AN410" s="1575"/>
      <c r="AO410" s="1576"/>
      <c r="AP410" s="1576"/>
      <c r="AQ410" s="1576"/>
      <c r="AR410" s="1576"/>
      <c r="AS410" s="1576"/>
      <c r="AT410" s="1576"/>
      <c r="AU410" s="1576"/>
      <c r="AV410" s="1576"/>
      <c r="AW410" s="1576"/>
      <c r="AX410" s="1264" t="s">
        <v>859</v>
      </c>
      <c r="AZ410" s="1264" t="s">
        <v>859</v>
      </c>
    </row>
    <row r="411" spans="2:72" ht="16" x14ac:dyDescent="0.2">
      <c r="D411" s="1258" t="s">
        <v>329</v>
      </c>
      <c r="E411" s="1256"/>
      <c r="F411" s="1100"/>
      <c r="G411" s="1100"/>
      <c r="H411" s="1100" t="s">
        <v>1151</v>
      </c>
      <c r="I411" s="1100" t="s">
        <v>1152</v>
      </c>
      <c r="J411" s="1101"/>
      <c r="K411" s="1101"/>
      <c r="L411" s="1101" t="s">
        <v>1151</v>
      </c>
      <c r="M411" s="1101" t="s">
        <v>1152</v>
      </c>
      <c r="N411" s="1540" t="s">
        <v>363</v>
      </c>
      <c r="O411" s="1256"/>
      <c r="P411" s="1256"/>
      <c r="Q411" s="1498"/>
      <c r="R411" s="1498"/>
      <c r="S411" s="1530" t="s">
        <v>176</v>
      </c>
      <c r="T411" s="1530" t="s">
        <v>177</v>
      </c>
      <c r="U411" s="1531" t="s">
        <v>176</v>
      </c>
      <c r="V411" s="1101" t="s">
        <v>177</v>
      </c>
      <c r="AI411" s="1270" t="s">
        <v>1127</v>
      </c>
      <c r="AJ411" s="1116"/>
      <c r="AK411" s="1116"/>
      <c r="AM411" s="1577"/>
      <c r="AN411" s="1577"/>
      <c r="AO411" s="1575"/>
      <c r="AP411" s="1575"/>
      <c r="AQ411" s="1575"/>
      <c r="AR411" s="1575"/>
      <c r="AS411" s="1575"/>
      <c r="AT411" s="1575"/>
      <c r="AU411" s="1575"/>
      <c r="AV411" s="1575"/>
      <c r="AW411" s="1575"/>
      <c r="AX411" s="1272" t="s">
        <v>200</v>
      </c>
      <c r="AY411" s="1272" t="s">
        <v>201</v>
      </c>
      <c r="AZ411" s="1272" t="s">
        <v>200</v>
      </c>
      <c r="BA411" s="1272" t="s">
        <v>201</v>
      </c>
    </row>
    <row r="412" spans="2:72" ht="16" x14ac:dyDescent="0.2">
      <c r="B412" s="1249" t="s">
        <v>1156</v>
      </c>
      <c r="C412" s="1233" t="s">
        <v>1216</v>
      </c>
      <c r="D412" s="1576" t="s">
        <v>363</v>
      </c>
      <c r="E412" s="1104" t="s">
        <v>371</v>
      </c>
      <c r="F412" s="1102" t="s">
        <v>371</v>
      </c>
      <c r="G412" s="1102" t="s">
        <v>225</v>
      </c>
      <c r="H412" s="1102" t="s">
        <v>1158</v>
      </c>
      <c r="I412" s="1107" t="s">
        <v>1159</v>
      </c>
      <c r="J412" s="1103" t="s">
        <v>371</v>
      </c>
      <c r="K412" s="1103" t="s">
        <v>225</v>
      </c>
      <c r="L412" s="1103" t="s">
        <v>1158</v>
      </c>
      <c r="M412" s="1108" t="s">
        <v>1159</v>
      </c>
      <c r="N412" s="1541" t="s">
        <v>192</v>
      </c>
      <c r="O412" s="1542" t="s">
        <v>1235</v>
      </c>
      <c r="P412" s="1542" t="s">
        <v>1236</v>
      </c>
      <c r="Q412" s="1542" t="s">
        <v>1237</v>
      </c>
      <c r="R412" s="1542" t="s">
        <v>1237</v>
      </c>
      <c r="S412" s="1530" t="s">
        <v>774</v>
      </c>
      <c r="T412" s="1530" t="s">
        <v>774</v>
      </c>
      <c r="U412" s="1531" t="s">
        <v>774</v>
      </c>
      <c r="V412" s="1531" t="s">
        <v>774</v>
      </c>
      <c r="AI412" s="1102" t="s">
        <v>200</v>
      </c>
      <c r="AJ412" s="1103" t="s">
        <v>201</v>
      </c>
      <c r="AK412" s="1104" t="s">
        <v>324</v>
      </c>
      <c r="AM412" s="1454"/>
      <c r="AN412" s="1454"/>
      <c r="AO412" s="1454"/>
      <c r="AP412" s="1454"/>
      <c r="AQ412" s="1454"/>
      <c r="AR412" s="1454"/>
      <c r="AS412" s="1454"/>
      <c r="AT412" s="1454"/>
      <c r="AU412" s="1454"/>
      <c r="AV412" s="1454"/>
      <c r="AW412" s="1454"/>
      <c r="AX412" s="1449">
        <f>IF(OR('6.Inland wetlands'!$AA151=list!$E$211,'6.Inland wetlands'!$AA151=list!$E$213),(MIN($E414,$F414)*time+ABS($F414-$E414)*IF($F414&gt;$E414,time*VLOOKUP($G414,list!$J$48:$K$50,2,0),time*(1-VLOOKUP($G414,list!$J$48:$K$50,2,0))))*$Q414/1000,0)</f>
        <v>0</v>
      </c>
      <c r="AY412" s="1449">
        <f>IF(OR('6.Inland wetlands'!$AA151=list!$E$211,'6.Inland wetlands'!$AA151=list!$E$213),(MIN($E414,$F414)*time+ABS($F414-$E414)*IF($F414&gt;$E414,time*VLOOKUP($G414,list!$J$48:$K$50,2,0),time*(1-VLOOKUP($G414,list!$J$48:$K$50,2,0))))*$R414/1000,0)</f>
        <v>0</v>
      </c>
      <c r="AZ412" s="1449">
        <f>IF(OR('6.Inland wetlands'!$AA151=list!$E$211,'6.Inland wetlands'!$AA151=list!$E$213),(MIN($E414,$J414)*time+ABS($J414-$E414)*IF($J414&gt;$E414,time*VLOOKUP($K414,list!$J$48:$K$50,2,0),time*(1-VLOOKUP($K414,list!$J$48:$K$50,2,0))))*$R414/1000,0)</f>
        <v>0</v>
      </c>
      <c r="BA412" s="1449">
        <f>IF(OR('6.Inland wetlands'!$AA151=list!$E$211,'6.Inland wetlands'!$AA151=list!$E$213),(MIN($E414,$J414)*time+ABS($J414-$E414)*IF($J414&gt;$E414,time*VLOOKUP($K414,list!$J$48:$K$50,2,0),time*(1-VLOOKUP($K414,list!$J$48:$K$50,2,0))))*$R414/1000,0)</f>
        <v>0</v>
      </c>
      <c r="BC412" s="1579"/>
      <c r="BD412" s="1579"/>
      <c r="BE412" s="1579"/>
      <c r="BF412" s="1579"/>
      <c r="BG412" s="1579"/>
      <c r="BK412" s="1262" t="s">
        <v>860</v>
      </c>
      <c r="BL412" s="3464"/>
      <c r="BM412" s="3464"/>
      <c r="BP412" s="1262" t="s">
        <v>861</v>
      </c>
      <c r="BQ412" s="3464"/>
      <c r="BR412" s="3464"/>
      <c r="BS412" s="3464"/>
    </row>
    <row r="413" spans="2:72" x14ac:dyDescent="0.15">
      <c r="B413" s="973" t="str">
        <f>'6.Inland wetlands'!I150</f>
        <v>Please select</v>
      </c>
      <c r="C413" s="1248" t="str">
        <f t="shared" ref="C413:C418" si="196">IF($B413="Please select","",IF(ISNUMBER(SEARCH("Annual",$B413)),"Annual",IF(ISNUMBER(SEARCH("Other",$B413)),"Other land",IF(ISNUMBER(SEARCH("Flooded rice",$B413)),"Flooded rice",IF(ISNUMBER(SEARCH("Grassland",$B413)),"Grassland",IF(ISNUMBER(SEARCH("Degraded land",$B413)),"Degraded land","Perennial"))))))</f>
        <v/>
      </c>
      <c r="D413" s="1226">
        <f>IF($B413&lt;&gt;"Please select",INDEX(IPCC!$D$1521:$Y$1680,MATCH(clim_moist_cont,IPCC!$C$1521:$C$1680,0),MATCH($B413,IPCC!$D$1520:$Y$1520,0)),0)</f>
        <v>0</v>
      </c>
      <c r="E413" s="3476">
        <f>'6.Inland wetlands'!M150</f>
        <v>0</v>
      </c>
      <c r="F413" s="3476">
        <f>'6.Inland wetlands'!$N150</f>
        <v>0</v>
      </c>
      <c r="G413" s="1254" t="str">
        <f>VLOOKUP('6.Inland wetlands'!$O150, list!$I$48:$J$50,2,FALSE )</f>
        <v>Linear</v>
      </c>
      <c r="H413" s="1254">
        <f>'6.Inland wetlands'!DB151</f>
        <v>1</v>
      </c>
      <c r="I413" s="1255">
        <f>'6.Inland wetlands'!DC151</f>
        <v>0.01</v>
      </c>
      <c r="J413" s="3476">
        <f>'6.Inland wetlands'!$P150</f>
        <v>0</v>
      </c>
      <c r="K413" s="1254" t="str">
        <f>VLOOKUP('6.Inland wetlands'!$Q150, list!$I$48:$J$50,2,FALSE )</f>
        <v>Linear</v>
      </c>
      <c r="L413" s="1254">
        <f>'6.Inland wetlands'!DE151</f>
        <v>1</v>
      </c>
      <c r="M413" s="1255">
        <f>'6.Inland wetlands'!DF151</f>
        <v>0.01</v>
      </c>
      <c r="N413" s="1145">
        <f>IF($C413="Annual", ((IFERROR(VLOOKUP((CONCATENATE(continent_selected,annual!$D$80)), Stats_yield_ton_per_ha!$A$9:$L$289, 12, FALSE),0)*VLOOKUP(annual!$D$79,IPCC!$A$8:$C$32,2,FALSE)+VLOOKUP(annual!$D$79,IPCC!$A$8:$C$32,3,FALSE))),$D413)</f>
        <v>0</v>
      </c>
      <c r="O413" s="1145">
        <f>IFERROR($N413 *VLOOKUP($B413,IPCC!$A$1473:$E$1496,2, FALSE) * VLOOKUP($B413,IPCC!$A$1473:$E$1496,4, FALSE),0)</f>
        <v>0</v>
      </c>
      <c r="P413" s="1145">
        <f>IFERROR($N413*VLOOKUP($B413,IPCC!$A$1473:$E$1496,2,FALSE)*VLOOKUP($B413,IPCC!$A$1473:$E$1496,5,FALSE),0)</f>
        <v>0</v>
      </c>
      <c r="Q413" s="1544">
        <f t="shared" ref="Q413:Q418" si="197">O413*methane</f>
        <v>0</v>
      </c>
      <c r="R413" s="1544">
        <f t="shared" ref="R413:R418" si="198">$P413*Nitrous</f>
        <v>0</v>
      </c>
      <c r="S413" s="1151">
        <f>IF(OR('6.Inland wetlands'!$AA150=list!$E$211,'6.Inland wetlands'!$AA150=list!$E$213),(MIN($E413,$F413)*time_tot+ABS($F413-$E413)*IF($F413&gt;$E413,time_cap+time*VLOOKUP($G413,list!$J$48:$K$50,2,0),time*(1-VLOOKUP($G413,list!$J$48:$K$50,2,0))))*$Q413/1000,0)</f>
        <v>0</v>
      </c>
      <c r="T413" s="1151">
        <f>IF(OR('6.Inland wetlands'!$AA150=list!$E$211,'6.Inland wetlands'!$AA150=list!$E$213),(MIN($E413,$F413)*time_tot+ABS($F413-$E413)*IF($F413&gt;$E413,time_cap+time*VLOOKUP($G413,list!$J$48:$K$50,2,0),time*(1-VLOOKUP($G413,list!$J$48:$K$50,2,0))))*$R413/1000,0)</f>
        <v>0</v>
      </c>
      <c r="U413" s="1151">
        <f>IF(OR('6.Inland wetlands'!$AA150=list!$E$211,'6.Inland wetlands'!$AA150=list!$E$213),(MIN($E413,$J413)*time_tot+ABS($J413-$E413)*IF($J413&gt;$E413,time_cap+time*VLOOKUP($K413,list!$J$48:$K$50,2,0),time*(1-VLOOKUP($K413,list!$J$48:$K$50,2,0))))*$Q413/1000,0)</f>
        <v>0</v>
      </c>
      <c r="V413" s="1151">
        <f>IF(OR('6.Inland wetlands'!$AA150=list!$E$211,'6.Inland wetlands'!$AA150=list!$E$213),(MIN($E413,$J413)*time_tot+ABS($J413-$E413)*IF($J413&gt;$E413,time_cap+time*VLOOKUP($K413,list!$J$48:$K$50,2,0),time*(1-VLOOKUP($K413,list!$J$48:$K$50,2,0))))*$R413/1000,0)</f>
        <v>0</v>
      </c>
      <c r="AI413" s="1151">
        <f t="shared" ref="AI413:AI418" si="199">S413+T413</f>
        <v>0</v>
      </c>
      <c r="AJ413" s="1151">
        <f t="shared" ref="AJ413:AJ418" si="200">U413+V413</f>
        <v>0</v>
      </c>
      <c r="AK413" s="3473">
        <f t="shared" ref="AK413:AK418" si="201">AJ413-AI413</f>
        <v>0</v>
      </c>
      <c r="AM413" s="3482"/>
      <c r="AN413" s="3482"/>
      <c r="AO413" s="3482"/>
      <c r="AP413" s="992"/>
      <c r="AQ413" s="992"/>
      <c r="AR413" s="992"/>
      <c r="AS413" s="992"/>
      <c r="AT413" s="992"/>
      <c r="AU413" s="992"/>
      <c r="AV413" s="992"/>
      <c r="AW413" s="992"/>
      <c r="AX413" s="1449">
        <f>IF(OR('6.Inland wetlands'!$AA152=list!$E$211,'6.Inland wetlands'!$AA152=list!$E$213),(MIN($E415,$F415)*time+ABS($F415-$E415)*IF($F415&gt;$E415,time*VLOOKUP($G415,list!$J$48:$K$50,2,0),time*(1-VLOOKUP($G415,list!$J$48:$K$50,2,0))))*$Q415/1000,0)</f>
        <v>0</v>
      </c>
      <c r="AY413" s="1449">
        <f>IF(OR('6.Inland wetlands'!$AA152=list!$E$211,'6.Inland wetlands'!$AA152=list!$E$213),(MIN($E415,$F415)*time+ABS($F415-$E415)*IF($F415&gt;$E415,time*VLOOKUP($G415,list!$J$48:$K$50,2,0),time*(1-VLOOKUP($G415,list!$J$48:$K$50,2,0))))*$R415/1000,0)</f>
        <v>0</v>
      </c>
      <c r="AZ413" s="1449">
        <f>IF(OR('6.Inland wetlands'!$AA152=list!$E$211,'6.Inland wetlands'!$AA152=list!$E$213),(MIN($E415,$J415)*time+ABS($J415-$E415)*IF($J415&gt;$E415,time*VLOOKUP($K415,list!$J$48:$K$50,2,0),time*(1-VLOOKUP($K415,list!$J$48:$K$50,2,0))))*$R415/1000,0)</f>
        <v>0</v>
      </c>
      <c r="BA413" s="1449">
        <f>IF(OR('6.Inland wetlands'!$AA152=list!$E$211,'6.Inland wetlands'!$AA152=list!$E$213),(MIN($E415,$J415)*time+ABS($J415-$E415)*IF($J415&gt;$E415,time*VLOOKUP($K415,list!$J$48:$K$50,2,0),time*(1-VLOOKUP($K415,list!$J$48:$K$50,2,0))))*$R415/1000,0)</f>
        <v>0</v>
      </c>
      <c r="BC413" s="1578"/>
      <c r="BD413" s="1578"/>
      <c r="BE413" s="1578"/>
      <c r="BF413" s="1578"/>
      <c r="BG413" s="1578"/>
    </row>
    <row r="414" spans="2:72" x14ac:dyDescent="0.15">
      <c r="B414" s="973" t="str">
        <f>'6.Inland wetlands'!I151</f>
        <v>Please select</v>
      </c>
      <c r="C414" s="1248" t="str">
        <f t="shared" si="196"/>
        <v/>
      </c>
      <c r="D414" s="1226">
        <f>IF($B414&lt;&gt;"Please select",INDEX(IPCC!$D$1521:$Y$1680,MATCH(clim_moist_cont,IPCC!$C$1521:$C$1680,0),MATCH($B414,IPCC!$D$1520:$Y$1520,0)),0)</f>
        <v>0</v>
      </c>
      <c r="E414" s="3476">
        <f>'6.Inland wetlands'!M151</f>
        <v>0</v>
      </c>
      <c r="F414" s="3476">
        <f>'6.Inland wetlands'!$N151</f>
        <v>0</v>
      </c>
      <c r="G414" s="1254" t="str">
        <f>VLOOKUP('6.Inland wetlands'!$O151, list!$I$48:$J$50,2,FALSE )</f>
        <v>Linear</v>
      </c>
      <c r="H414" s="1254">
        <f>'6.Inland wetlands'!DB152</f>
        <v>1</v>
      </c>
      <c r="I414" s="1255">
        <f>'6.Inland wetlands'!DC152</f>
        <v>0.01</v>
      </c>
      <c r="J414" s="3476">
        <f>'6.Inland wetlands'!$P151</f>
        <v>0</v>
      </c>
      <c r="K414" s="1254" t="str">
        <f>VLOOKUP('6.Inland wetlands'!$Q151, list!$I$48:$J$50,2,FALSE )</f>
        <v>Linear</v>
      </c>
      <c r="L414" s="1254">
        <f>'6.Inland wetlands'!DE152</f>
        <v>1</v>
      </c>
      <c r="M414" s="1255">
        <f>'6.Inland wetlands'!DF152</f>
        <v>0.01</v>
      </c>
      <c r="N414" s="1145">
        <f>IF($C414="Annual", ((IFERROR(VLOOKUP((CONCATENATE(continent_selected,annual!$D$80)), Stats_yield_ton_per_ha!$A$9:$L$289, 12, FALSE),0)*VLOOKUP(annual!$D$79,IPCC!$A$8:$C$32,2,FALSE)+VLOOKUP(annual!$D$79,IPCC!$A$8:$C$32,3,FALSE))),$D414)</f>
        <v>0</v>
      </c>
      <c r="O414" s="1145">
        <f>IFERROR($N414 *VLOOKUP($B414,IPCC!$A$1473:$E$1496,2, FALSE) * VLOOKUP($B414,IPCC!$A$1473:$E$1496,4, FALSE),0)</f>
        <v>0</v>
      </c>
      <c r="P414" s="1145">
        <f>IFERROR($N414*VLOOKUP($B414,IPCC!$A$1473:$E$1496,2,FALSE)*VLOOKUP($B414,IPCC!$A$1473:$E$1496,5,FALSE),0)</f>
        <v>0</v>
      </c>
      <c r="Q414" s="1544">
        <f t="shared" si="197"/>
        <v>0</v>
      </c>
      <c r="R414" s="1544">
        <f t="shared" si="198"/>
        <v>0</v>
      </c>
      <c r="S414" s="1151">
        <f>IF(OR('6.Inland wetlands'!$AA151=list!$E$211,'6.Inland wetlands'!$AA151=list!$E$213),(MIN($E414,$F414)*time_tot+ABS($F414-$E414)*IF($F414&gt;$E414,time_cap+time*VLOOKUP($G414,list!$J$48:$K$50,2,0),time*(1-VLOOKUP($G414,list!$J$48:$K$50,2,0))))*$Q414/1000,0)</f>
        <v>0</v>
      </c>
      <c r="T414" s="1151">
        <f>IF(OR('6.Inland wetlands'!$AA151=list!$E$211,'6.Inland wetlands'!$AA151=list!$E$213),(MIN($E414,$F414)*time_tot+ABS($F414-$E414)*IF($F414&gt;$E414,time_cap+time*VLOOKUP($G414,list!$J$48:$K$50,2,0),time*(1-VLOOKUP($G414,list!$J$48:$K$50,2,0))))*$R414/1000,0)</f>
        <v>0</v>
      </c>
      <c r="U414" s="1151">
        <f>IF(OR('6.Inland wetlands'!$AA151=list!$E$211,'6.Inland wetlands'!$AA151=list!$E$213),(MIN($E414,$J414)*time_tot+ABS($J414-$E414)*IF($J414&gt;$E414,time_cap+time*VLOOKUP($K414,list!$J$48:$K$50,2,0),time*(1-VLOOKUP($K414,list!$J$48:$K$50,2,0))))*$Q414/1000,0)</f>
        <v>0</v>
      </c>
      <c r="V414" s="1151">
        <f>IF(OR('6.Inland wetlands'!$AA151=list!$E$211,'6.Inland wetlands'!$AA151=list!$E$213),(MIN($E414,$J414)*time_tot+ABS($J414-$E414)*IF($J414&gt;$E414,time_cap+time*VLOOKUP($K414,list!$J$48:$K$50,2,0),time*(1-VLOOKUP($K414,list!$J$48:$K$50,2,0))))*$R414/1000,0)</f>
        <v>0</v>
      </c>
      <c r="AI414" s="1151">
        <f t="shared" si="199"/>
        <v>0</v>
      </c>
      <c r="AJ414" s="1151">
        <f t="shared" si="200"/>
        <v>0</v>
      </c>
      <c r="AK414" s="1159">
        <f t="shared" si="201"/>
        <v>0</v>
      </c>
      <c r="AM414" s="3482"/>
      <c r="AN414" s="3482"/>
      <c r="AO414" s="3482"/>
      <c r="AP414" s="992"/>
      <c r="AQ414" s="992"/>
      <c r="AR414" s="992"/>
      <c r="AS414" s="992"/>
      <c r="AT414" s="992"/>
      <c r="AU414" s="992"/>
      <c r="AV414" s="992"/>
      <c r="AW414" s="992"/>
      <c r="AX414" s="1449">
        <f>IF(OR('6.Inland wetlands'!$AA153=list!$E$211,'6.Inland wetlands'!$AA153=list!$E$213),(MIN($E416,$F416)*time+ABS($F416-$E416)*IF($F416&gt;$E416,time*VLOOKUP($G416,list!$J$48:$K$50,2,0),time*(1-VLOOKUP($G416,list!$J$48:$K$50,2,0))))*$Q416/1000,0)</f>
        <v>0</v>
      </c>
      <c r="AY414" s="1449">
        <f>IF(OR('6.Inland wetlands'!$AA153=list!$E$211,'6.Inland wetlands'!$AA153=list!$E$213),(MIN($E416,$F416)*time+ABS($F416-$E416)*IF($F416&gt;$E416,time*VLOOKUP($G416,list!$J$48:$K$50,2,0),time*(1-VLOOKUP($G416,list!$J$48:$K$50,2,0))))*$R416/1000,0)</f>
        <v>0</v>
      </c>
      <c r="AZ414" s="1449">
        <f>IF(OR('6.Inland wetlands'!$AA153=list!$E$211,'6.Inland wetlands'!$AA153=list!$E$213),(MIN($E416,$J416)*time+ABS($J416-$E416)*IF($J416&gt;$E416,time*VLOOKUP($K416,list!$J$48:$K$50,2,0),time*(1-VLOOKUP($K416,list!$J$48:$K$50,2,0))))*$R416/1000,0)</f>
        <v>0</v>
      </c>
      <c r="BA414" s="1449">
        <f>IF(OR('6.Inland wetlands'!$AA153=list!$E$211,'6.Inland wetlands'!$AA153=list!$E$213),(MIN($E416,$J416)*time+ABS($J416-$E416)*IF($J416&gt;$E416,time*VLOOKUP($K416,list!$J$48:$K$50,2,0),time*(1-VLOOKUP($K416,list!$J$48:$K$50,2,0))))*$R416/1000,0)</f>
        <v>0</v>
      </c>
      <c r="BC414" s="1578"/>
      <c r="BD414" s="1578"/>
      <c r="BE414" s="1578"/>
      <c r="BF414" s="1578"/>
      <c r="BG414" s="1578"/>
      <c r="BK414" s="1321" t="s">
        <v>866</v>
      </c>
      <c r="BL414" s="1317" t="s">
        <v>200</v>
      </c>
      <c r="BM414" s="1317" t="s">
        <v>201</v>
      </c>
      <c r="BP414" s="1321" t="s">
        <v>866</v>
      </c>
      <c r="BQ414" s="1317" t="s">
        <v>324</v>
      </c>
      <c r="BR414" s="1317" t="s">
        <v>867</v>
      </c>
      <c r="BS414" s="1318" t="s">
        <v>868</v>
      </c>
      <c r="BT414" s="1454"/>
    </row>
    <row r="415" spans="2:72" x14ac:dyDescent="0.15">
      <c r="B415" s="973" t="str">
        <f>'6.Inland wetlands'!I152</f>
        <v>Please select</v>
      </c>
      <c r="C415" s="1248" t="str">
        <f t="shared" si="196"/>
        <v/>
      </c>
      <c r="D415" s="1226">
        <f>IF($B415&lt;&gt;"Please select",INDEX(IPCC!$D$1521:$Y$1680,MATCH(clim_moist_cont,IPCC!$C$1521:$C$1680,0),MATCH($B415,IPCC!$D$1520:$Y$1520,0)),0)</f>
        <v>0</v>
      </c>
      <c r="E415" s="3476">
        <f>'6.Inland wetlands'!M152</f>
        <v>0</v>
      </c>
      <c r="F415" s="3476">
        <f>'6.Inland wetlands'!$N152</f>
        <v>0</v>
      </c>
      <c r="G415" s="1254" t="str">
        <f>VLOOKUP('6.Inland wetlands'!$O152, list!$I$48:$J$50,2,FALSE )</f>
        <v>Linear</v>
      </c>
      <c r="H415" s="1254">
        <f>'6.Inland wetlands'!DB153</f>
        <v>1</v>
      </c>
      <c r="I415" s="1255">
        <f>'6.Inland wetlands'!DC153</f>
        <v>0.01</v>
      </c>
      <c r="J415" s="3476">
        <f>'6.Inland wetlands'!$P152</f>
        <v>0</v>
      </c>
      <c r="K415" s="1254" t="str">
        <f>VLOOKUP('6.Inland wetlands'!$Q152, list!$I$48:$J$50,2,FALSE )</f>
        <v>Linear</v>
      </c>
      <c r="L415" s="1254">
        <f>'6.Inland wetlands'!DE153</f>
        <v>1</v>
      </c>
      <c r="M415" s="1255">
        <f>'6.Inland wetlands'!DF153</f>
        <v>0.01</v>
      </c>
      <c r="N415" s="1145">
        <f>IF($C415="Annual", ((IFERROR(VLOOKUP((CONCATENATE(continent_selected,annual!$D$80)), Stats_yield_ton_per_ha!$A$9:$L$289, 12, FALSE),0)*VLOOKUP(annual!$D$79,IPCC!$A$8:$C$32,2,FALSE)+VLOOKUP(annual!$D$79,IPCC!$A$8:$C$32,3,FALSE))),$D415)</f>
        <v>0</v>
      </c>
      <c r="O415" s="1145">
        <f>IFERROR($N415 *VLOOKUP($B415,IPCC!$A$1473:$E$1496,2, FALSE) * VLOOKUP($B415,IPCC!$A$1473:$E$1496,4, FALSE),0)</f>
        <v>0</v>
      </c>
      <c r="P415" s="1145">
        <f>IFERROR($N415*VLOOKUP($B415,IPCC!$A$1473:$E$1496,2,FALSE)*VLOOKUP($B415,IPCC!$A$1473:$E$1496,5,FALSE),0)</f>
        <v>0</v>
      </c>
      <c r="Q415" s="1544">
        <f t="shared" si="197"/>
        <v>0</v>
      </c>
      <c r="R415" s="1544">
        <f t="shared" si="198"/>
        <v>0</v>
      </c>
      <c r="S415" s="1151">
        <f>IF(OR('6.Inland wetlands'!$AA152=list!$E$211,'6.Inland wetlands'!$AA152=list!$E$213),(MIN($E415,$F415)*time_tot+ABS($F415-$E415)*IF($F415&gt;$E415,time_cap+time*VLOOKUP($G415,list!$J$48:$K$50,2,0),time*(1-VLOOKUP($G415,list!$J$48:$K$50,2,0))))*$Q415/1000,0)</f>
        <v>0</v>
      </c>
      <c r="T415" s="1151">
        <f>IF(OR('6.Inland wetlands'!$AA152=list!$E$211,'6.Inland wetlands'!$AA152=list!$E$213),(MIN($E415,$F415)*time_tot+ABS($F415-$E415)*IF($F415&gt;$E415,time_cap+time*VLOOKUP($G415,list!$J$48:$K$50,2,0),time*(1-VLOOKUP($G415,list!$J$48:$K$50,2,0))))*$R415/1000,0)</f>
        <v>0</v>
      </c>
      <c r="U415" s="1151">
        <f>IF(OR('6.Inland wetlands'!$AA152=list!$E$211,'6.Inland wetlands'!$AA152=list!$E$213),(MIN($E415,$J415)*time_tot+ABS($J415-$E415)*IF($J415&gt;$E415,time_cap+time*VLOOKUP($K415,list!$J$48:$K$50,2,0),time*(1-VLOOKUP($K415,list!$J$48:$K$50,2,0))))*$Q415/1000,0)</f>
        <v>0</v>
      </c>
      <c r="V415" s="1151">
        <f>IF(OR('6.Inland wetlands'!$AA152=list!$E$211,'6.Inland wetlands'!$AA152=list!$E$213),(MIN($E415,$J415)*time_tot+ABS($J415-$E415)*IF($J415&gt;$E415,time_cap+time*VLOOKUP($K415,list!$J$48:$K$50,2,0),time*(1-VLOOKUP($K415,list!$J$48:$K$50,2,0))))*$R415/1000,0)</f>
        <v>0</v>
      </c>
      <c r="AI415" s="1151">
        <f t="shared" si="199"/>
        <v>0</v>
      </c>
      <c r="AJ415" s="1151">
        <f t="shared" si="200"/>
        <v>0</v>
      </c>
      <c r="AK415" s="1159">
        <f t="shared" si="201"/>
        <v>0</v>
      </c>
      <c r="AM415" s="3482"/>
      <c r="AN415" s="3482"/>
      <c r="AO415" s="3482"/>
      <c r="AP415" s="992"/>
      <c r="AQ415" s="992"/>
      <c r="AR415" s="992"/>
      <c r="AS415" s="992"/>
      <c r="AT415" s="992"/>
      <c r="AU415" s="992"/>
      <c r="AV415" s="992"/>
      <c r="AW415" s="992"/>
      <c r="AX415" s="1449">
        <f>IF(OR('6.Inland wetlands'!$AA154=list!$E$211,'6.Inland wetlands'!$AA154=list!$E$213),(MIN($E417,$F417)*time+ABS($F417-$E417)*IF($F417&gt;$E417,time*VLOOKUP($G417,list!$J$48:$K$50,2,0),time*(1-VLOOKUP($G417,list!$J$48:$K$50,2,0))))*$Q417/1000,0)</f>
        <v>0</v>
      </c>
      <c r="AY415" s="1449">
        <f>IF(OR('6.Inland wetlands'!$AA154=list!$E$211,'6.Inland wetlands'!$AA154=list!$E$213),(MIN($E417,$F417)*time+ABS($F417-$E417)*IF($F417&gt;$E417,time*VLOOKUP($G417,list!$J$48:$K$50,2,0),time*(1-VLOOKUP($G417,list!$J$48:$K$50,2,0))))*$R417/1000,0)</f>
        <v>0</v>
      </c>
      <c r="AZ415" s="1449">
        <f>IF(OR('6.Inland wetlands'!$AA154=list!$E$211,'6.Inland wetlands'!$AA154=list!$E$213),(MIN($E417,$J417)*time+ABS($J417-$E417)*IF($J417&gt;$E417,time*VLOOKUP($K417,list!$J$48:$K$50,2,0),time*(1-VLOOKUP($K417,list!$J$48:$K$50,2,0))))*$R417/1000,0)</f>
        <v>0</v>
      </c>
      <c r="BA415" s="1449">
        <f>IF(OR('6.Inland wetlands'!$AA154=list!$E$211,'6.Inland wetlands'!$AA154=list!$E$213),(MIN($E417,$J417)*time+ABS($J417-$E417)*IF($J417&gt;$E417,time*VLOOKUP($K417,list!$J$48:$K$50,2,0),time*(1-VLOOKUP($K417,list!$J$48:$K$50,2,0))))*$R417/1000,0)</f>
        <v>0</v>
      </c>
      <c r="BC415" s="1578"/>
      <c r="BD415" s="1578"/>
      <c r="BE415" s="1578"/>
      <c r="BF415" s="1578"/>
      <c r="BG415" s="1578"/>
      <c r="BK415" s="1084" t="s">
        <v>850</v>
      </c>
      <c r="BL415" s="1312">
        <v>0</v>
      </c>
      <c r="BM415" s="1312">
        <v>0</v>
      </c>
      <c r="BN415" s="992">
        <f>BM415-BL415</f>
        <v>0</v>
      </c>
      <c r="BP415" s="1084" t="str">
        <f>BK415</f>
        <v>CO2 biomass</v>
      </c>
      <c r="BQ415" s="1453">
        <v>0</v>
      </c>
      <c r="BR415" s="1312">
        <v>0</v>
      </c>
      <c r="BS415" s="1453">
        <f>BQ415-BR415</f>
        <v>0</v>
      </c>
      <c r="BT415" s="1455">
        <f t="shared" ref="BT415:BT424" si="202">SUM(BR415:BS415)</f>
        <v>0</v>
      </c>
    </row>
    <row r="416" spans="2:72" x14ac:dyDescent="0.15">
      <c r="B416" s="973" t="str">
        <f>'6.Inland wetlands'!I153</f>
        <v>Please select</v>
      </c>
      <c r="C416" s="1248" t="str">
        <f t="shared" si="196"/>
        <v/>
      </c>
      <c r="D416" s="1226">
        <f>IF($B416&lt;&gt;"Please select",INDEX(IPCC!$D$1521:$Y$1680,MATCH(clim_moist_cont,IPCC!$C$1521:$C$1680,0),MATCH($B416,IPCC!$D$1520:$Y$1520,0)),0)</f>
        <v>0</v>
      </c>
      <c r="E416" s="3476">
        <f>'6.Inland wetlands'!M153</f>
        <v>0</v>
      </c>
      <c r="F416" s="3476">
        <f>'6.Inland wetlands'!$N153</f>
        <v>0</v>
      </c>
      <c r="G416" s="1254" t="str">
        <f>VLOOKUP('6.Inland wetlands'!$O153, list!$I$48:$J$50,2,FALSE )</f>
        <v>Linear</v>
      </c>
      <c r="H416" s="1254">
        <f>'6.Inland wetlands'!DB154</f>
        <v>1</v>
      </c>
      <c r="I416" s="1255">
        <f>'6.Inland wetlands'!DC154</f>
        <v>0.01</v>
      </c>
      <c r="J416" s="3476">
        <f>'6.Inland wetlands'!$P153</f>
        <v>0</v>
      </c>
      <c r="K416" s="1254" t="str">
        <f>VLOOKUP('6.Inland wetlands'!$Q153, list!$I$48:$J$50,2,FALSE )</f>
        <v>Linear</v>
      </c>
      <c r="L416" s="1254">
        <f>'6.Inland wetlands'!DE154</f>
        <v>1</v>
      </c>
      <c r="M416" s="1255">
        <f>'6.Inland wetlands'!DF154</f>
        <v>0.01</v>
      </c>
      <c r="N416" s="1145">
        <f>IF($C416="Annual", ((IFERROR(VLOOKUP((CONCATENATE(continent_selected,annual!$D$80)), Stats_yield_ton_per_ha!$A$9:$L$289, 12, FALSE),0)*VLOOKUP(annual!$D$79,IPCC!$A$8:$C$32,2,FALSE)+VLOOKUP(annual!$D$79,IPCC!$A$8:$C$32,3,FALSE))),$D416)</f>
        <v>0</v>
      </c>
      <c r="O416" s="1145">
        <f>IFERROR($N416 *VLOOKUP($B416,IPCC!$A$1473:$E$1496,2, FALSE) * VLOOKUP($B416,IPCC!$A$1473:$E$1496,4, FALSE),0)</f>
        <v>0</v>
      </c>
      <c r="P416" s="1145">
        <f>IFERROR($N416*VLOOKUP($B416,IPCC!$A$1473:$E$1496,2,FALSE)*VLOOKUP($B416,IPCC!$A$1473:$E$1496,5,FALSE),0)</f>
        <v>0</v>
      </c>
      <c r="Q416" s="1544">
        <f t="shared" si="197"/>
        <v>0</v>
      </c>
      <c r="R416" s="1544">
        <f t="shared" si="198"/>
        <v>0</v>
      </c>
      <c r="S416" s="1151">
        <f>IF(OR('6.Inland wetlands'!$AA153=list!$E$211,'6.Inland wetlands'!$AA153=list!$E$213),(MIN($E416,$F416)*time_tot+ABS($F416-$E416)*IF($F416&gt;$E416,time_cap+time*VLOOKUP($G416,list!$J$48:$K$50,2,0),time*(1-VLOOKUP($G416,list!$J$48:$K$50,2,0))))*$Q416/1000,0)</f>
        <v>0</v>
      </c>
      <c r="T416" s="1151">
        <f>IF(OR('6.Inland wetlands'!$AA153=list!$E$211,'6.Inland wetlands'!$AA153=list!$E$213),(MIN($E416,$F416)*time_tot+ABS($F416-$E416)*IF($F416&gt;$E416,time_cap+time*VLOOKUP($G416,list!$J$48:$K$50,2,0),time*(1-VLOOKUP($G416,list!$J$48:$K$50,2,0))))*$R416/1000,0)</f>
        <v>0</v>
      </c>
      <c r="U416" s="1151">
        <f>IF(OR('6.Inland wetlands'!$AA153=list!$E$211,'6.Inland wetlands'!$AA153=list!$E$213),(MIN($E416,$J416)*time_tot+ABS($J416-$E416)*IF($J416&gt;$E416,time_cap+time*VLOOKUP($K416,list!$J$48:$K$50,2,0),time*(1-VLOOKUP($K416,list!$J$48:$K$50,2,0))))*$Q416/1000,0)</f>
        <v>0</v>
      </c>
      <c r="V416" s="1151">
        <f>IF(OR('6.Inland wetlands'!$AA153=list!$E$211,'6.Inland wetlands'!$AA153=list!$E$213),(MIN($E416,$J416)*time_tot+ABS($J416-$E416)*IF($J416&gt;$E416,time_cap+time*VLOOKUP($K416,list!$J$48:$K$50,2,0),time*(1-VLOOKUP($K416,list!$J$48:$K$50,2,0))))*$R416/1000,0)</f>
        <v>0</v>
      </c>
      <c r="AI416" s="1151">
        <f t="shared" si="199"/>
        <v>0</v>
      </c>
      <c r="AJ416" s="1151">
        <f t="shared" si="200"/>
        <v>0</v>
      </c>
      <c r="AK416" s="1159">
        <f t="shared" si="201"/>
        <v>0</v>
      </c>
      <c r="AM416" s="3482"/>
      <c r="AN416" s="3482"/>
      <c r="AO416" s="3482"/>
      <c r="AP416" s="992"/>
      <c r="AQ416" s="992"/>
      <c r="AR416" s="992"/>
      <c r="AS416" s="992"/>
      <c r="AT416" s="992"/>
      <c r="AU416" s="992"/>
      <c r="AV416" s="992"/>
      <c r="AW416" s="992"/>
      <c r="AX416" s="1449">
        <f>IF(OR('6.Inland wetlands'!$AA155=list!$E$211,'6.Inland wetlands'!$AA155=list!$E$213),(MIN($E418,$F418)*time+ABS($F418-$E418)*IF($F418&gt;$E418,time*VLOOKUP($G418,list!$J$48:$K$50,2,0),time*(1-VLOOKUP($G418,list!$J$48:$K$50,2,0))))*$Q418/1000,0)</f>
        <v>0</v>
      </c>
      <c r="AY416" s="1449">
        <f>IF(OR('6.Inland wetlands'!$AA155=list!$E$211,'6.Inland wetlands'!$AA155=list!$E$213),(MIN($E418,$F418)*time+ABS($F418-$E418)*IF($F418&gt;$E418,time*VLOOKUP($G418,list!$J$48:$K$50,2,0),time*(1-VLOOKUP($G418,list!$J$48:$K$50,2,0))))*$R418/1000,0)</f>
        <v>0</v>
      </c>
      <c r="AZ416" s="1449">
        <f>IF(OR('6.Inland wetlands'!$AA155=list!$E$211,'6.Inland wetlands'!$AA155=list!$E$213),(MIN($E418,$J418)*time+ABS($J418-$E418)*IF($J418&gt;$E418,time*VLOOKUP($K418,list!$J$48:$K$50,2,0),time*(1-VLOOKUP($K418,list!$J$48:$K$50,2,0))))*$R418/1000,0)</f>
        <v>0</v>
      </c>
      <c r="BA416" s="1449">
        <f>IF(OR('6.Inland wetlands'!$AA155=list!$E$211,'6.Inland wetlands'!$AA155=list!$E$213),(MIN($E418,$J418)*time+ABS($J418-$E418)*IF($J418&gt;$E418,time*VLOOKUP($K418,list!$J$48:$K$50,2,0),time*(1-VLOOKUP($K418,list!$J$48:$K$50,2,0))))*$R418/1000,0)</f>
        <v>0</v>
      </c>
      <c r="BK416" s="1084" t="s">
        <v>1129</v>
      </c>
      <c r="BL416" s="1314">
        <f>SUM($AB439:$AB444)</f>
        <v>0</v>
      </c>
      <c r="BM416" s="1314">
        <f>SUM($AC439:$AC444)</f>
        <v>0</v>
      </c>
      <c r="BN416" s="992">
        <f>BM416-BL416</f>
        <v>0</v>
      </c>
      <c r="BP416" s="1084" t="str">
        <f>BK416</f>
        <v>CO2 soil drainage</v>
      </c>
      <c r="BQ416" s="1453">
        <f>SUM(AC439:AC444)-SUM(AB439:AB444)</f>
        <v>0</v>
      </c>
      <c r="BR416" s="1312">
        <f>IF(time=0,0,SUM(AY439:AY444,BE439:BE444)-SUM(BD439:BD444,AX439:AX444))</f>
        <v>0</v>
      </c>
      <c r="BS416" s="1453">
        <f>BQ416-BR416</f>
        <v>0</v>
      </c>
      <c r="BT416" s="1455">
        <f t="shared" si="202"/>
        <v>0</v>
      </c>
    </row>
    <row r="417" spans="1:72" x14ac:dyDescent="0.15">
      <c r="B417" s="973" t="str">
        <f>'6.Inland wetlands'!I154</f>
        <v>Please select</v>
      </c>
      <c r="C417" s="1248" t="str">
        <f t="shared" si="196"/>
        <v/>
      </c>
      <c r="D417" s="1226">
        <f>IF($B417&lt;&gt;"Please select",INDEX(IPCC!$D$1521:$Y$1680,MATCH(clim_moist_cont,IPCC!$C$1521:$C$1680,0),MATCH($B417,IPCC!$D$1520:$Y$1520,0)),0)</f>
        <v>0</v>
      </c>
      <c r="E417" s="3476">
        <f>'6.Inland wetlands'!M154</f>
        <v>0</v>
      </c>
      <c r="F417" s="3476">
        <f>'6.Inland wetlands'!$N154</f>
        <v>0</v>
      </c>
      <c r="G417" s="1254" t="str">
        <f>VLOOKUP('6.Inland wetlands'!$O154, list!$I$48:$J$50,2,FALSE )</f>
        <v>Linear</v>
      </c>
      <c r="H417" s="1254">
        <f>'6.Inland wetlands'!DB155</f>
        <v>1</v>
      </c>
      <c r="I417" s="1255">
        <f>'6.Inland wetlands'!DC155</f>
        <v>0.01</v>
      </c>
      <c r="J417" s="3476">
        <f>'6.Inland wetlands'!$P154</f>
        <v>0</v>
      </c>
      <c r="K417" s="1254" t="str">
        <f>VLOOKUP('6.Inland wetlands'!$Q154, list!$I$48:$J$50,2,FALSE )</f>
        <v>Linear</v>
      </c>
      <c r="L417" s="1254">
        <f>'6.Inland wetlands'!DE155</f>
        <v>1</v>
      </c>
      <c r="M417" s="1255">
        <f>'6.Inland wetlands'!DF155</f>
        <v>0.01</v>
      </c>
      <c r="N417" s="1145">
        <f>IF($C417="Annual", ((IFERROR(VLOOKUP((CONCATENATE(continent_selected,annual!$D$80)), Stats_yield_ton_per_ha!$A$9:$L$289, 12, FALSE),0)*VLOOKUP(annual!$D$79,IPCC!$A$8:$C$32,2,FALSE)+VLOOKUP(annual!$D$79,IPCC!$A$8:$C$32,3,FALSE))),$D417)</f>
        <v>0</v>
      </c>
      <c r="O417" s="1145">
        <f>IFERROR($N417 *VLOOKUP($B417,IPCC!$A$1473:$E$1496,2, FALSE) * VLOOKUP($B417,IPCC!$A$1473:$E$1496,4, FALSE),0)</f>
        <v>0</v>
      </c>
      <c r="P417" s="1145">
        <f>IFERROR($N417*VLOOKUP($B417,IPCC!$A$1473:$E$1496,2,FALSE)*VLOOKUP($B417,IPCC!$A$1473:$E$1496,5,FALSE),0)</f>
        <v>0</v>
      </c>
      <c r="Q417" s="1544">
        <f t="shared" si="197"/>
        <v>0</v>
      </c>
      <c r="R417" s="1544">
        <f t="shared" si="198"/>
        <v>0</v>
      </c>
      <c r="S417" s="1151">
        <f>IF(OR('6.Inland wetlands'!$AA154=list!$E$211,'6.Inland wetlands'!$AA154=list!$E$213),(MIN($E417,$F417)*time_tot+ABS($F417-$E417)*IF($F417&gt;$E417,time_cap+time*VLOOKUP($G417,list!$J$48:$K$50,2,0),time*(1-VLOOKUP($G417,list!$J$48:$K$50,2,0))))*$Q417/1000,0)</f>
        <v>0</v>
      </c>
      <c r="T417" s="1151">
        <f>IF(OR('6.Inland wetlands'!$AA154=list!$E$211,'6.Inland wetlands'!$AA154=list!$E$213),(MIN($E417,$F417)*time_tot+ABS($F417-$E417)*IF($F417&gt;$E417,time_cap+time*VLOOKUP($G417,list!$J$48:$K$50,2,0),time*(1-VLOOKUP($G417,list!$J$48:$K$50,2,0))))*$R417/1000,0)</f>
        <v>0</v>
      </c>
      <c r="U417" s="1151">
        <f>IF(OR('6.Inland wetlands'!$AA154=list!$E$211,'6.Inland wetlands'!$AA154=list!$E$213),(MIN($E417,$J417)*time_tot+ABS($J417-$E417)*IF($J417&gt;$E417,time_cap+time*VLOOKUP($K417,list!$J$48:$K$50,2,0),time*(1-VLOOKUP($K417,list!$J$48:$K$50,2,0))))*$Q417/1000,0)</f>
        <v>0</v>
      </c>
      <c r="V417" s="1151">
        <f>IF(OR('6.Inland wetlands'!$AA154=list!$E$211,'6.Inland wetlands'!$AA154=list!$E$213),(MIN($E417,$J417)*time_tot+ABS($J417-$E417)*IF($J417&gt;$E417,time_cap+time*VLOOKUP($K417,list!$J$48:$K$50,2,0),time*(1-VLOOKUP($K417,list!$J$48:$K$50,2,0))))*$R417/1000,0)</f>
        <v>0</v>
      </c>
      <c r="AI417" s="1151">
        <f t="shared" si="199"/>
        <v>0</v>
      </c>
      <c r="AJ417" s="1151">
        <f t="shared" si="200"/>
        <v>0</v>
      </c>
      <c r="AK417" s="1159">
        <f t="shared" si="201"/>
        <v>0</v>
      </c>
      <c r="AM417" s="3482"/>
      <c r="AN417" s="3482"/>
      <c r="AO417" s="3482"/>
      <c r="AP417" s="992"/>
      <c r="AQ417" s="992"/>
      <c r="AR417" s="992"/>
      <c r="AS417" s="992"/>
      <c r="AT417" s="992"/>
      <c r="AU417" s="992"/>
      <c r="AV417" s="992"/>
      <c r="AW417" s="992"/>
      <c r="AX417" s="1449">
        <f>IF(OR('6.Inland wetlands'!$S156=list!$E$211,'6.Inland wetlands'!$S156=list!$E$213),(MIN($E419,$F419)*time+ABS($F419-$E419)*IF($F419&gt;$E419,time*VLOOKUP($G419,list!$J$48:$K$50,2,0),time*(1-VLOOKUP($G419,list!$J$48:$K$50,2,0))))*$Q419/1000,0)</f>
        <v>0</v>
      </c>
      <c r="AY417" s="1449">
        <f>IF(OR('6.Inland wetlands'!$S156=list!$E$211,'6.Inland wetlands'!$S156=list!$E$213),(MIN($E419,$F419)*time+ABS($F419-$E419)*IF($F419&gt;$E419,time*VLOOKUP($G419,list!$J$48:$K$50,2,0),time*(1-VLOOKUP($G419,list!$J$48:$K$50,2,0))))*$R419/1000,0)</f>
        <v>0</v>
      </c>
      <c r="AZ417" s="1449">
        <f>IF(OR('6.Inland wetlands'!$S156=list!$E$211,'6.Inland wetlands'!$S156=list!$E$213),(MIN($E419,$J419)*time+ABS($J419-$E419)*IF($J419&gt;$E419,time*VLOOKUP($K419,list!$J$48:$K$50,2,0),time*(1-VLOOKUP($K419,list!$J$48:$K$50,2,0))))*$R419/1000,0)</f>
        <v>0</v>
      </c>
      <c r="BA417" s="1449">
        <f>IF(OR('6.Inland wetlands'!$S156=list!$E$211,'6.Inland wetlands'!$S156=list!$E$213),(MIN($E419,$J419)*time+ABS($J419-$E419)*IF($J419&gt;$E419,time*VLOOKUP($K419,list!$J$48:$K$50,2,0),time*(1-VLOOKUP($K419,list!$J$48:$K$50,2,0))))*$R419/1000,0)</f>
        <v>0</v>
      </c>
      <c r="BK417" s="1084" t="s">
        <v>1130</v>
      </c>
      <c r="BL417" s="1314">
        <f>SUM($AD439:$AD444)</f>
        <v>0</v>
      </c>
      <c r="BM417" s="1314">
        <f>SUM($AE439:$AE444)</f>
        <v>0</v>
      </c>
      <c r="BN417" s="992">
        <f>BM417-BL417</f>
        <v>0</v>
      </c>
      <c r="BP417" s="1084" t="str">
        <f>BK417</f>
        <v>CH4 soil drainage</v>
      </c>
      <c r="BQ417" s="1453">
        <f>SUM(AE439:AE444)-SUM(AD439:AD444)</f>
        <v>0</v>
      </c>
      <c r="BR417" s="1312">
        <f>IF(time=0,0,SUM(BA439:BA444,BG439:BG444)-SUM(BF439:BF444,AZ439:AZ444))</f>
        <v>0</v>
      </c>
      <c r="BS417" s="1453">
        <f>BQ417-BR417</f>
        <v>0</v>
      </c>
      <c r="BT417" s="1455">
        <f t="shared" si="202"/>
        <v>0</v>
      </c>
    </row>
    <row r="418" spans="1:72" x14ac:dyDescent="0.15">
      <c r="B418" s="973" t="str">
        <f>'6.Inland wetlands'!I155</f>
        <v>Please select</v>
      </c>
      <c r="C418" s="1248" t="str">
        <f t="shared" si="196"/>
        <v/>
      </c>
      <c r="D418" s="1226">
        <f>IF($B418&lt;&gt;"Please select",INDEX(IPCC!$D$1521:$Y$1680,MATCH(clim_moist_cont,IPCC!$C$1521:$C$1680,0),MATCH($B418,IPCC!$D$1520:$Y$1520,0)),0)</f>
        <v>0</v>
      </c>
      <c r="E418" s="3476">
        <f>'6.Inland wetlands'!M155</f>
        <v>0</v>
      </c>
      <c r="F418" s="3476">
        <f>'6.Inland wetlands'!$N155</f>
        <v>0</v>
      </c>
      <c r="G418" s="1254" t="str">
        <f>VLOOKUP('6.Inland wetlands'!$O155, list!$I$48:$J$50,2,FALSE )</f>
        <v>Linear</v>
      </c>
      <c r="H418" s="1254">
        <f>'6.Inland wetlands'!DB156</f>
        <v>1</v>
      </c>
      <c r="I418" s="1255">
        <f>'6.Inland wetlands'!DC156</f>
        <v>0.01</v>
      </c>
      <c r="J418" s="3476">
        <f>'6.Inland wetlands'!$P155</f>
        <v>0</v>
      </c>
      <c r="K418" s="1254" t="str">
        <f>VLOOKUP('6.Inland wetlands'!$Q155, list!$I$48:$J$50,2,FALSE )</f>
        <v>Linear</v>
      </c>
      <c r="L418" s="1254">
        <f>'6.Inland wetlands'!DE156</f>
        <v>1</v>
      </c>
      <c r="M418" s="1255">
        <f>'6.Inland wetlands'!DF156</f>
        <v>0.01</v>
      </c>
      <c r="N418" s="1145">
        <f>IF($C418="Annual", ((IFERROR(VLOOKUP((CONCATENATE(continent_selected,annual!$D$80)), Stats_yield_ton_per_ha!$A$9:$L$289, 12, FALSE),0)*VLOOKUP(annual!$D$79,IPCC!$A$8:$C$32,2,FALSE)+VLOOKUP(annual!$D$79,IPCC!$A$8:$C$32,3,FALSE))),$D418)</f>
        <v>0</v>
      </c>
      <c r="O418" s="1145">
        <f>IFERROR($N418 *VLOOKUP($B418,IPCC!$A$1473:$E$1496,2, FALSE) * VLOOKUP($B418,IPCC!$A$1473:$E$1496,4, FALSE),0)</f>
        <v>0</v>
      </c>
      <c r="P418" s="1145">
        <f>IFERROR($N418*VLOOKUP($B418,IPCC!$A$1473:$E$1496,2,FALSE)*VLOOKUP($B418,IPCC!$A$1473:$E$1496,5,FALSE),0)</f>
        <v>0</v>
      </c>
      <c r="Q418" s="1544">
        <f t="shared" si="197"/>
        <v>0</v>
      </c>
      <c r="R418" s="1544">
        <f t="shared" si="198"/>
        <v>0</v>
      </c>
      <c r="S418" s="1151">
        <f>IF(OR('6.Inland wetlands'!$AA155=list!$E$211,'6.Inland wetlands'!$AA155=list!$E$213),(MIN($E418,$F418)*time_tot+ABS($F418-$E418)*IF($F418&gt;$E418,time_cap+time*VLOOKUP($G418,list!$J$48:$K$50,2,0),time*(1-VLOOKUP($G418,list!$J$48:$K$50,2,0))))*$Q418/1000,0)</f>
        <v>0</v>
      </c>
      <c r="T418" s="1151">
        <f>IF(OR('6.Inland wetlands'!$AA155=list!$E$211,'6.Inland wetlands'!$AA155=list!$E$213),(MIN($E418,$F418)*time_tot+ABS($F418-$E418)*IF($F418&gt;$E418,time_cap+time*VLOOKUP($G418,list!$J$48:$K$50,2,0),time*(1-VLOOKUP($G418,list!$J$48:$K$50,2,0))))*$R418/1000,0)</f>
        <v>0</v>
      </c>
      <c r="U418" s="1151">
        <f>IF(OR('6.Inland wetlands'!$AA155=list!$E$211,'6.Inland wetlands'!$AA155=list!$E$213),(MIN($E418,$J418)*time_tot+ABS($J418-$E418)*IF($J418&gt;$E418,time_cap+time*VLOOKUP($K418,list!$J$48:$K$50,2,0),time*(1-VLOOKUP($K418,list!$J$48:$K$50,2,0))))*$Q418/1000,0)</f>
        <v>0</v>
      </c>
      <c r="V418" s="1151">
        <f>IF(OR('6.Inland wetlands'!$AA155=list!$E$211,'6.Inland wetlands'!$AA155=list!$E$213),(MIN($E418,$J418)*time_tot+ABS($J418-$E418)*IF($J418&gt;$E418,time_cap+time*VLOOKUP($K418,list!$J$48:$K$50,2,0),time*(1-VLOOKUP($K418,list!$J$48:$K$50,2,0))))*$R418/1000,0)</f>
        <v>0</v>
      </c>
      <c r="AI418" s="1151">
        <f t="shared" si="199"/>
        <v>0</v>
      </c>
      <c r="AJ418" s="1151">
        <f t="shared" si="200"/>
        <v>0</v>
      </c>
      <c r="AK418" s="3474">
        <f t="shared" si="201"/>
        <v>0</v>
      </c>
      <c r="AM418" s="3482"/>
      <c r="AN418" s="3482"/>
      <c r="AO418" s="3482"/>
      <c r="AP418" s="992"/>
      <c r="AQ418" s="992"/>
      <c r="AR418" s="992"/>
      <c r="AS418" s="992"/>
      <c r="AT418" s="992"/>
      <c r="AU418" s="992"/>
      <c r="AV418" s="992"/>
      <c r="AW418" s="992"/>
      <c r="BK418" s="1084" t="s">
        <v>1131</v>
      </c>
      <c r="BL418" s="1314">
        <f>SUM($AF439:$AF444)</f>
        <v>0</v>
      </c>
      <c r="BM418" s="1314">
        <f>SUM($AG439:$AG444)</f>
        <v>0</v>
      </c>
      <c r="BN418" s="992">
        <f>BM418-BL418</f>
        <v>0</v>
      </c>
      <c r="BP418" s="1084" t="str">
        <f>BK418</f>
        <v>N2O soil drainage</v>
      </c>
      <c r="BQ418" s="1453">
        <f>SUM(AG439:AG444)-SUM(AF439:AF444)</f>
        <v>0</v>
      </c>
      <c r="BR418" s="1312">
        <f>IF(time=0,0,SUM(BC453:BC458)-SUM(BB453:BB458))</f>
        <v>0</v>
      </c>
      <c r="BS418" s="1453">
        <f>BQ418-BR418</f>
        <v>0</v>
      </c>
      <c r="BT418" s="1455">
        <f t="shared" si="202"/>
        <v>0</v>
      </c>
    </row>
    <row r="419" spans="1:72" x14ac:dyDescent="0.15">
      <c r="C419" s="1130"/>
      <c r="D419" s="1172"/>
      <c r="E419" s="992"/>
      <c r="F419" s="992"/>
      <c r="G419" s="1688"/>
      <c r="H419" s="1688"/>
      <c r="I419" s="1580"/>
      <c r="J419" s="992"/>
      <c r="K419" s="1688"/>
      <c r="L419" s="1688"/>
      <c r="M419" s="1580"/>
      <c r="N419" s="1581"/>
      <c r="O419" s="1187"/>
      <c r="P419" s="1187"/>
      <c r="Q419" s="1001"/>
      <c r="R419" s="1001"/>
      <c r="S419" s="1688"/>
      <c r="T419" s="1688"/>
      <c r="U419" s="1165"/>
      <c r="V419" s="1001"/>
      <c r="W419" s="1165"/>
      <c r="X419" s="1001"/>
      <c r="Y419" s="1165"/>
      <c r="Z419" s="1001"/>
      <c r="AA419" s="1165"/>
      <c r="AB419" s="1001"/>
      <c r="AD419" s="992"/>
      <c r="AE419" s="992"/>
      <c r="AF419" s="992"/>
      <c r="AG419" s="992"/>
      <c r="AH419" s="992"/>
      <c r="AM419" s="992"/>
      <c r="AN419" s="992"/>
      <c r="AO419" s="992"/>
      <c r="AP419" s="992"/>
      <c r="AQ419" s="992"/>
      <c r="AR419" s="992"/>
      <c r="AS419" s="992"/>
      <c r="AT419" s="992"/>
      <c r="AU419" s="992"/>
      <c r="AV419" s="992"/>
      <c r="AW419" s="992"/>
      <c r="BK419" s="1084" t="s">
        <v>1132</v>
      </c>
      <c r="BL419" s="1314">
        <f>SUM($AB453:$AB458)</f>
        <v>0</v>
      </c>
      <c r="BM419" s="1314">
        <f>SUM($AC453:$AC458)</f>
        <v>0</v>
      </c>
      <c r="BN419" s="992">
        <f t="shared" ref="BN419:BN424" si="203">BM419-BL419</f>
        <v>0</v>
      </c>
      <c r="BP419" s="1084" t="str">
        <f t="shared" ref="BP419:BP424" si="204">BK419</f>
        <v>CO2 soil rewetting</v>
      </c>
      <c r="BQ419" s="1453">
        <f>SUM(AC453:AC458)-SUM(AB453:AB458)</f>
        <v>0</v>
      </c>
      <c r="BR419" s="1312">
        <f>IF(time=0,0,SUM(AY453:AY458)-SUM(AX453:AX458))</f>
        <v>0</v>
      </c>
      <c r="BS419" s="1453">
        <f t="shared" ref="BS419:BS424" si="205">BQ419-BR419</f>
        <v>0</v>
      </c>
      <c r="BT419" s="1455">
        <f t="shared" si="202"/>
        <v>0</v>
      </c>
    </row>
    <row r="420" spans="1:72" x14ac:dyDescent="0.15">
      <c r="Q420" s="1120" t="s">
        <v>1141</v>
      </c>
      <c r="R420" s="1001"/>
      <c r="S420" s="1688"/>
      <c r="T420" s="1688"/>
      <c r="U420" s="1165"/>
      <c r="V420" s="1001"/>
      <c r="W420" s="1165"/>
      <c r="X420" s="1001"/>
      <c r="Y420" s="1165"/>
      <c r="Z420" s="1001"/>
      <c r="AA420" s="1165"/>
      <c r="AB420" s="1001"/>
      <c r="AD420" s="992"/>
      <c r="AE420" s="992"/>
      <c r="AF420" s="992"/>
      <c r="AG420" s="992"/>
      <c r="AH420" s="992"/>
      <c r="AI420" s="992"/>
      <c r="AM420" s="992"/>
      <c r="AN420" s="992"/>
      <c r="AO420" s="992"/>
      <c r="AP420" s="992"/>
      <c r="AQ420" s="992"/>
      <c r="AR420" s="992"/>
      <c r="AS420" s="992"/>
      <c r="AT420" s="992"/>
      <c r="AU420" s="992"/>
      <c r="AV420" s="992"/>
      <c r="AW420" s="992"/>
      <c r="BK420" s="1084" t="s">
        <v>1133</v>
      </c>
      <c r="BL420" s="1314">
        <f>SUM($AD453:$AD458)</f>
        <v>0</v>
      </c>
      <c r="BM420" s="1314">
        <f>SUM($AE453:$AE458)</f>
        <v>0</v>
      </c>
      <c r="BN420" s="992">
        <f t="shared" si="203"/>
        <v>0</v>
      </c>
      <c r="BP420" s="1084" t="str">
        <f t="shared" si="204"/>
        <v>CH4 soil rewetting</v>
      </c>
      <c r="BQ420" s="1453">
        <f>SUM(AE453:AE458)-SUM(AD453:AD458)</f>
        <v>0</v>
      </c>
      <c r="BR420" s="1312">
        <f>IF(time=0,0,SUM(BA453:BA458)-SUM(AZ453:AZ458))</f>
        <v>0</v>
      </c>
      <c r="BS420" s="1453">
        <f t="shared" si="205"/>
        <v>0</v>
      </c>
      <c r="BT420" s="1455">
        <f t="shared" si="202"/>
        <v>0</v>
      </c>
    </row>
    <row r="421" spans="1:72" ht="16" x14ac:dyDescent="0.2">
      <c r="A421" s="1306"/>
      <c r="O421" s="1497" t="s">
        <v>1267</v>
      </c>
      <c r="P421" s="1276"/>
      <c r="Q421" s="1276"/>
      <c r="R421" s="1276"/>
      <c r="S421" s="1276"/>
      <c r="T421" s="1276"/>
      <c r="U421" s="1276"/>
      <c r="V421" s="1276"/>
      <c r="W421" s="1276"/>
      <c r="X421" s="1276" t="s">
        <v>1145</v>
      </c>
      <c r="Y421" s="1276"/>
      <c r="Z421" s="1276"/>
      <c r="AC421" s="1281"/>
      <c r="AD421" s="1275" t="s">
        <v>1146</v>
      </c>
      <c r="AE421" s="1276"/>
      <c r="AF421" s="1276"/>
      <c r="AG421" s="1276"/>
      <c r="AI421" s="1270" t="s">
        <v>1115</v>
      </c>
      <c r="AJ421" s="1116"/>
      <c r="AK421" s="1116"/>
      <c r="AM421" s="992"/>
      <c r="AN421" s="992"/>
      <c r="AO421" s="992"/>
      <c r="AP421" s="992"/>
      <c r="AQ421" s="992"/>
      <c r="AR421" s="992"/>
      <c r="AS421" s="992"/>
      <c r="AT421" s="992"/>
      <c r="AU421" s="992"/>
      <c r="AV421" s="992"/>
      <c r="AW421" s="992"/>
      <c r="AX421" s="1271" t="s">
        <v>1147</v>
      </c>
      <c r="BK421" s="1084" t="s">
        <v>1134</v>
      </c>
      <c r="BL421" s="1314">
        <f>SUM($AF453:$AF458)</f>
        <v>0</v>
      </c>
      <c r="BM421" s="1314">
        <f>SUM($AG453:$AG458)</f>
        <v>0</v>
      </c>
      <c r="BN421" s="992">
        <f t="shared" si="203"/>
        <v>0</v>
      </c>
      <c r="BP421" s="1084" t="str">
        <f t="shared" si="204"/>
        <v>N2O soil rewetting</v>
      </c>
      <c r="BQ421" s="1453">
        <f>SUM(AG453:AG458)-SUM(AF453:AF458)</f>
        <v>0</v>
      </c>
      <c r="BR421" s="1312">
        <f>IF(time=0,0,SUM(BC453:BC458)-SUM(BB453:BB458))</f>
        <v>0</v>
      </c>
      <c r="BS421" s="1453">
        <f t="shared" si="205"/>
        <v>0</v>
      </c>
      <c r="BT421" s="1455">
        <f t="shared" si="202"/>
        <v>0</v>
      </c>
    </row>
    <row r="422" spans="1:72" ht="16" x14ac:dyDescent="0.2">
      <c r="A422" s="1306"/>
      <c r="O422" s="1275" t="s">
        <v>1036</v>
      </c>
      <c r="P422" s="1276"/>
      <c r="Q422" s="1275" t="s">
        <v>1038</v>
      </c>
      <c r="R422" s="1276"/>
      <c r="S422" s="1275" t="s">
        <v>176</v>
      </c>
      <c r="T422" s="1276"/>
      <c r="U422" s="1275" t="s">
        <v>1148</v>
      </c>
      <c r="V422" s="1276"/>
      <c r="W422" s="1276"/>
      <c r="X422" s="1276"/>
      <c r="Y422" s="1276"/>
      <c r="Z422" s="1276"/>
      <c r="AD422" s="1276" t="s">
        <v>1149</v>
      </c>
      <c r="AE422" s="1276"/>
      <c r="AF422" s="1276"/>
      <c r="AG422" s="1276"/>
      <c r="AI422" s="1270" t="s">
        <v>1121</v>
      </c>
      <c r="AJ422" s="1116"/>
      <c r="AK422" s="1116"/>
      <c r="AM422" s="992"/>
      <c r="AN422" s="992"/>
      <c r="AO422" s="992"/>
      <c r="AP422" s="992"/>
      <c r="AQ422" s="992"/>
      <c r="AR422" s="992"/>
      <c r="AS422" s="992"/>
      <c r="AT422" s="992"/>
      <c r="AU422" s="992"/>
      <c r="AV422" s="992"/>
      <c r="AW422" s="992"/>
      <c r="AX422" s="1450" t="s">
        <v>1036</v>
      </c>
      <c r="AY422" s="1450"/>
      <c r="AZ422" s="1450" t="s">
        <v>176</v>
      </c>
      <c r="BA422" s="1450"/>
      <c r="BB422" s="1452"/>
      <c r="BC422" s="1452"/>
      <c r="BD422" s="1452"/>
      <c r="BE422" s="1452"/>
      <c r="BF422" s="1452"/>
      <c r="BG422" s="1452"/>
      <c r="BK422" s="1084" t="s">
        <v>1135</v>
      </c>
      <c r="BL422" s="1314">
        <f>SUM(AD425:AD430)</f>
        <v>0</v>
      </c>
      <c r="BM422" s="1314">
        <f>SUM(AE425:AE430)</f>
        <v>0</v>
      </c>
      <c r="BN422" s="992">
        <f t="shared" si="203"/>
        <v>0</v>
      </c>
      <c r="BP422" s="1084" t="str">
        <f t="shared" si="204"/>
        <v>CO2 Fire</v>
      </c>
      <c r="BQ422" s="1453">
        <f>SUM(AE425:AE430)-SUM(AD425:AD430)</f>
        <v>0</v>
      </c>
      <c r="BR422" s="1312">
        <f>IF(time=0,0,SUM(AY425:AY430)-SUM(AX425:AX430))</f>
        <v>0</v>
      </c>
      <c r="BS422" s="1453">
        <f t="shared" si="205"/>
        <v>0</v>
      </c>
      <c r="BT422" s="1455">
        <f t="shared" si="202"/>
        <v>0</v>
      </c>
    </row>
    <row r="423" spans="1:72" ht="16" x14ac:dyDescent="0.2">
      <c r="A423" s="1306"/>
      <c r="O423" s="1276" t="s">
        <v>1047</v>
      </c>
      <c r="P423" s="1276"/>
      <c r="Q423" s="1276" t="s">
        <v>1048</v>
      </c>
      <c r="R423" s="1276"/>
      <c r="S423" s="1276" t="s">
        <v>1049</v>
      </c>
      <c r="T423" s="1276"/>
      <c r="U423" s="1276" t="s">
        <v>116</v>
      </c>
      <c r="V423" s="1276"/>
      <c r="W423" s="1276"/>
      <c r="X423" s="1309" t="s">
        <v>1153</v>
      </c>
      <c r="Y423" s="1276"/>
      <c r="Z423" s="1276"/>
      <c r="AC423" s="1281"/>
      <c r="AD423" s="1276" t="s">
        <v>1154</v>
      </c>
      <c r="AE423" s="1276"/>
      <c r="AF423" s="1276" t="s">
        <v>176</v>
      </c>
      <c r="AG423" s="1276"/>
      <c r="AI423" s="1270" t="s">
        <v>1215</v>
      </c>
      <c r="AJ423" s="1116"/>
      <c r="AK423" s="1116"/>
      <c r="AM423" s="992"/>
      <c r="AN423" s="992"/>
      <c r="AO423" s="992"/>
      <c r="AP423" s="992"/>
      <c r="AQ423" s="992"/>
      <c r="AR423" s="992"/>
      <c r="AS423" s="992"/>
      <c r="AT423" s="992"/>
      <c r="AU423" s="992"/>
      <c r="AV423" s="992"/>
      <c r="AW423" s="992"/>
      <c r="AX423" s="1264" t="s">
        <v>859</v>
      </c>
      <c r="AZ423" s="1264" t="s">
        <v>859</v>
      </c>
      <c r="BK423" s="1084" t="s">
        <v>1136</v>
      </c>
      <c r="BL423" s="1314">
        <f>SUM(S413:S418)+SUM(AF425:AF430)</f>
        <v>0</v>
      </c>
      <c r="BM423" s="1314">
        <f>SUM(U413:U418)+SUM(AG425:AG430)</f>
        <v>0</v>
      </c>
      <c r="BN423" s="992">
        <f t="shared" si="203"/>
        <v>0</v>
      </c>
      <c r="BP423" s="1084" t="str">
        <f t="shared" si="204"/>
        <v>CH4 Fire</v>
      </c>
      <c r="BQ423" s="1453">
        <f>SUM(U413:U418)-SUM(S413:S418)+SUM(AG425:AG430)-SUM(AF425:AF430)</f>
        <v>0</v>
      </c>
      <c r="BR423" s="1312">
        <f>IF(time=0,0,SUM(BA425:BA430)-SUM(AZ425:AZ430)+SUM(AY412:AY417)-SUM(AX412:AX417))</f>
        <v>0</v>
      </c>
      <c r="BS423" s="1453">
        <f t="shared" si="205"/>
        <v>0</v>
      </c>
      <c r="BT423" s="1455">
        <f t="shared" si="202"/>
        <v>0</v>
      </c>
    </row>
    <row r="424" spans="1:72" x14ac:dyDescent="0.15">
      <c r="A424" s="1306"/>
      <c r="O424" s="1277" t="s">
        <v>864</v>
      </c>
      <c r="P424" s="1277" t="s">
        <v>66</v>
      </c>
      <c r="Q424" s="1277" t="s">
        <v>864</v>
      </c>
      <c r="R424" s="1277" t="s">
        <v>66</v>
      </c>
      <c r="S424" s="1277" t="s">
        <v>864</v>
      </c>
      <c r="T424" s="1277" t="s">
        <v>66</v>
      </c>
      <c r="U424" s="1277" t="s">
        <v>864</v>
      </c>
      <c r="V424" s="1277" t="s">
        <v>66</v>
      </c>
      <c r="W424" s="1276"/>
      <c r="X424" s="973" t="s">
        <v>219</v>
      </c>
      <c r="Y424" s="1102" t="s">
        <v>179</v>
      </c>
      <c r="Z424" s="1103" t="s">
        <v>180</v>
      </c>
      <c r="AC424" s="1688"/>
      <c r="AD424" s="1102" t="s">
        <v>179</v>
      </c>
      <c r="AE424" s="1103" t="s">
        <v>180</v>
      </c>
      <c r="AF424" s="1102" t="s">
        <v>179</v>
      </c>
      <c r="AG424" s="1103" t="s">
        <v>180</v>
      </c>
      <c r="AI424" s="1102" t="s">
        <v>200</v>
      </c>
      <c r="AJ424" s="1103" t="s">
        <v>201</v>
      </c>
      <c r="AK424" s="1104" t="s">
        <v>324</v>
      </c>
      <c r="AM424" s="992"/>
      <c r="AN424" s="992"/>
      <c r="AO424" s="992"/>
      <c r="AP424" s="992"/>
      <c r="AQ424" s="992"/>
      <c r="AR424" s="992"/>
      <c r="AS424" s="992"/>
      <c r="AT424" s="992"/>
      <c r="AU424" s="992"/>
      <c r="AV424" s="992"/>
      <c r="AW424" s="992"/>
      <c r="AX424" s="1272" t="s">
        <v>200</v>
      </c>
      <c r="AY424" s="1272" t="s">
        <v>201</v>
      </c>
      <c r="AZ424" s="1272" t="s">
        <v>200</v>
      </c>
      <c r="BA424" s="1272" t="s">
        <v>201</v>
      </c>
      <c r="BK424" s="1459" t="s">
        <v>626</v>
      </c>
      <c r="BL424" s="1319">
        <f>SUM(T413:T418)</f>
        <v>0</v>
      </c>
      <c r="BM424" s="1319">
        <f>SUM(V413:V418)</f>
        <v>0</v>
      </c>
      <c r="BN424" s="992">
        <f t="shared" si="203"/>
        <v>0</v>
      </c>
      <c r="BP424" s="1459" t="str">
        <f t="shared" si="204"/>
        <v>N2O Fire</v>
      </c>
      <c r="BQ424" s="1500">
        <f>SUM(V413:V418)-SUM(T413:T418)</f>
        <v>0</v>
      </c>
      <c r="BR424" s="1499">
        <f>IF(time=0,0,SUM(BA412:BA417)-SUM(AZ412:AZ417))</f>
        <v>0</v>
      </c>
      <c r="BS424" s="1320">
        <f t="shared" si="205"/>
        <v>0</v>
      </c>
      <c r="BT424" s="1455">
        <f t="shared" si="202"/>
        <v>0</v>
      </c>
    </row>
    <row r="425" spans="1:72" x14ac:dyDescent="0.15">
      <c r="A425" s="1466" t="s">
        <v>1160</v>
      </c>
      <c r="O425" s="1111">
        <f>IFERROR(INDEX(IPCC!$A$2037:$D$2048,MATCH(clim_moist,IPCC!$A$2037:$A$2048,0),MATCH($O$422,IPCC!$A$2037:$D$2037,0)),0)</f>
        <v>362</v>
      </c>
      <c r="P425" s="1161">
        <f>IF('6.Inland wetlands'!DI151="",'6.Inland wetlands'!$DH151,'6.Inland wetlands'!$DI151)</f>
        <v>362</v>
      </c>
      <c r="Q425" s="1111">
        <f>IFERROR(INDEX(IPCC!$A$2037:$D$2048,MATCH(clim_moist,IPCC!$A$2037:$A$2048,0),MATCH($Q$422,IPCC!$A$2037:$D$2037,0)),0)</f>
        <v>207</v>
      </c>
      <c r="R425" s="1161">
        <f>IF('6.Inland wetlands'!$DK151="",'6.Inland wetlands'!$DJ151,'6.Inland wetlands'!$DK151)</f>
        <v>207</v>
      </c>
      <c r="S425" s="1111">
        <f>IFERROR(INDEX(IPCC!$A$2037:$D$2048,MATCH(clim_moist,IPCC!$A$2037:$A$2048,0),MATCH($S$422,IPCC!$A$2037:$D$2037,0)),0)</f>
        <v>9</v>
      </c>
      <c r="T425" s="1161">
        <f>IF('6.Inland wetlands'!$DM151="",'6.Inland wetlands'!$DL151,'6.Inland wetlands'!$DM151)</f>
        <v>9</v>
      </c>
      <c r="U425" s="1111">
        <f>IFERROR(INDEX(IPCC!$A$2020:$D$2031,MATCH(clim_moist,IPCC!$A$2021:$A$2031,0),MATCH('6.Inland wetlands'!$CZ151,IPCC!$A$2020:$D$2020,0)),0)</f>
        <v>0</v>
      </c>
      <c r="V425" s="1161">
        <f>IF('6.Inland wetlands'!$DO151="",'6.Inland wetlands'!$DN151,'6.Inland wetlands'!$DO151)</f>
        <v>0</v>
      </c>
      <c r="W425" s="1276"/>
      <c r="X425" s="1151">
        <f>IF('6.Inland wetlands'!$CZ151=list!$F$210,0,$V425*$E413)</f>
        <v>0</v>
      </c>
      <c r="Y425" s="1151">
        <f>IF('6.Inland wetlands'!$CZ151=list!$F$210,0,$V425*$F413)</f>
        <v>0</v>
      </c>
      <c r="Z425" s="1151">
        <f>IF('6.Inland wetlands'!$CZ151=list!$F$210,0,$V425*$J413)</f>
        <v>0</v>
      </c>
      <c r="AC425" s="3476"/>
      <c r="AD425" s="1151">
        <f>IF(OR('6.Inland wetlands'!$AB150=list!$E$210,'6.Inland wetlands'!$AB150=list!$E$212,'6.Inland wetlands'!$AB150=list!$E$214),0,IF($H413&gt;time_tot,0,MIN($X425,$Y425)*time_tot+ABS($Y425-$X425)*IF($Y425&gt;$X425,time_cap+time*VLOOKUP($G413,list!$J$48:$K$50,2,0),time*(1-VLOOKUP($G413,list!$J$48:$K$50,2,0))))*(1/$H413)*($I413)*($P425*44/12/1000)+IF($H413&gt;time_tot,0,MIN($X425,$Y425)*time_tot+ABS($Y425-$X425)*IF($Y425&gt;$X425,time_cap+time*VLOOKUP($G413,list!$J$48:$K$50,2,0),time*(1-VLOOKUP($G413,list!$J$48:$K$50,2,0))))*(1/$H413)*($I413)*($R425*2/1000))</f>
        <v>0</v>
      </c>
      <c r="AE425" s="1151">
        <f>IF(OR('6.Inland wetlands'!$AB150=list!$E$210,'6.Inland wetlands'!$AB150=list!$E$211,'6.Inland wetlands'!$AB150=list!$E$214),0,IF($L413&gt;time_tot,0,MIN($X425,$Z425)*time_tot+ABS($Z425-$X425)*IF($Z425&gt;$X425,time_cap+time*VLOOKUP($K413,list!$J$48:$K$50,2,0),time*(1-VLOOKUP($K413,list!$J$48:$K$50,2,0))))*(1/$L413)*($M413)*($P425*44/12/1000)+IF($L413&gt;time_tot,0,MIN($X425,$Z425)*time_tot+ABS($Z425-$X425)*IF($Z425&gt;$X425,time_cap+time*VLOOKUP($K413,list!$J$48:$K$50,2,0),time*(1-VLOOKUP($K413,list!$J$48:$K$50,2,0))))*(1/$L413)*($M413)*($R425*2/1000))</f>
        <v>0</v>
      </c>
      <c r="AF425" s="1151">
        <f>IF(OR('6.Inland wetlands'!$AB150=list!$E$210,'6.Inland wetlands'!$AB150=list!$E$212,'6.Inland wetlands'!$AB150=list!$E$214),0,IF($H413&gt;time_tot,0,MIN($X425,$Y425)*time_tot+ABS($Y425-$X425)*IF($Y425&gt;$X425,time_cap+time*VLOOKUP($G413,list!$J$48:$K$50,2,0),time*(1-VLOOKUP($G413,list!$J$48:$K$50,2,0))))*(1/$H413)*($I413)*($T425*methane/1000))</f>
        <v>0</v>
      </c>
      <c r="AG425" s="1151">
        <f>IF(OR('6.Inland wetlands'!$AB150=list!$E$210,'6.Inland wetlands'!$AB150=list!$E$211,'6.Inland wetlands'!$AB150=list!$E$214),0,IF($L413&gt;time_tot,0,MIN($X425,$Z425)*time_tot+ABS($Z425-$X425)*IF($Z425&gt;$X425,time_cap+time*VLOOKUP($K413,list!$J$48:$K$50,2,0),time*(1-VLOOKUP($K413,list!$J$48:$K$50,2,0))))*(1/$L413)*($M413)*($T425*methane/1000))</f>
        <v>0</v>
      </c>
      <c r="AI425" s="3470">
        <f t="shared" ref="AI425:AJ430" si="206">SUM(AD425,AF425)</f>
        <v>0</v>
      </c>
      <c r="AJ425" s="1152">
        <f t="shared" si="206"/>
        <v>0</v>
      </c>
      <c r="AK425" s="1160">
        <f t="shared" ref="AK425:AK430" si="207">AJ425-AI425</f>
        <v>0</v>
      </c>
      <c r="AM425" s="992"/>
      <c r="AN425" s="992"/>
      <c r="AO425" s="992"/>
      <c r="AP425" s="992"/>
      <c r="AQ425" s="992"/>
      <c r="AR425" s="992"/>
      <c r="AS425" s="992"/>
      <c r="AT425" s="992"/>
      <c r="AU425" s="992"/>
      <c r="AV425" s="992"/>
      <c r="AW425" s="992"/>
      <c r="AX425" s="1449">
        <f>IF('6.Inland wetlands'!$CZ151=list!$F$210,0,IF($H413&gt;time,0,MIN($X425,$Y425)*time+ABS($Y425-$X425)*IF($Y425&gt;$X425,time*VLOOKUP($G413,list!$J$48:$K$50,2,0),time*(1-VLOOKUP($G413,list!$J$48:$K$50,2,0))))*(1/$H413)*($I413)*($P425/1000)+IF($H413&gt;time_tot,0,MIN($X425,$Y425)*time+ABS($Y425-$X425)*IF($Y425&gt;$X425,time*VLOOKUP($G413,list!$J$48:$K$50,2,0),time*(1-VLOOKUP($G413,list!$J$48:$K$50,2,0))))*(1/$H413)*($I413)*($R425*2/1000))</f>
        <v>0</v>
      </c>
      <c r="AY425" s="1449">
        <f>IF('6.Inland wetlands'!$CZ196=list!$F$210,0,IF($L413&gt;time,0,MIN($X425,$Z425)*time+ABS($Z425-$X425)*IF($Z425&gt;$X425,time*VLOOKUP($K413,list!$J$48:$K$50,2,0),time*(1-VLOOKUP($K413,list!$J$48:$K$50,2,0))))*(1/$L413)*($M413)*($P425/1000)+IF($L413&gt;time,0,MIN($X425,$Z425)*time+ABS($Z425-$X425)*IF($Z425&gt;$X425,time*VLOOKUP($K413,list!$J$48:$K$50,2,0),time*(1-VLOOKUP($K413,list!$J$48:$K$50,2,0))))*(1/$L413)*($M413)*($R425*2/1000))</f>
        <v>0</v>
      </c>
      <c r="AZ425" s="1449">
        <f>IF('6.Inland wetlands'!$CZ196=list!$F$210,0,IF($H413&gt;time,0,MIN($X425,$Y425)*time+ABS($Y425-$X425)*IF($Y425&gt;$X425,time*VLOOKUP($G413,list!$J$48:$K$50,2,0),time*(1-VLOOKUP($G413,list!$J$48:$K$50,2,0))))*(1/$H413)*($I413)*($T425*methane/1000))</f>
        <v>0</v>
      </c>
      <c r="BA425" s="1449">
        <f>IF('6.Inland wetlands'!$CZ196=list!$F$210,0,IF($L413&gt;time,0,MIN($X425,$Z425)*time+ABS($Z425-$X425)*IF($Z425&gt;$X425,time*VLOOKUP($K413,list!$J$48:$K$50,2,0),time*(1-VLOOKUP($K413,list!$J$48:$K$50,2,0))))*(1/$L413)*($M413)*($T425*methane/1000))</f>
        <v>0</v>
      </c>
      <c r="BN425" s="1688"/>
      <c r="BP425" s="1316"/>
      <c r="BQ425" s="1460">
        <f>SUM(BQ415:BQ424)</f>
        <v>0</v>
      </c>
      <c r="BR425" s="1460">
        <f>SUM(BR415:BR424)</f>
        <v>0</v>
      </c>
      <c r="BS425" s="1460">
        <f>SUM(BS415:BS424)</f>
        <v>0</v>
      </c>
      <c r="BT425" s="992">
        <f>BR425+BS425</f>
        <v>0</v>
      </c>
    </row>
    <row r="426" spans="1:72" x14ac:dyDescent="0.15">
      <c r="A426" s="1466" t="s">
        <v>1161</v>
      </c>
      <c r="O426" s="1111">
        <f>IFERROR(INDEX(IPCC!$A$2037:$D$2048,MATCH(clim_moist,IPCC!$A$2037:$A$2048,0),MATCH($O$422,IPCC!$A$2037:$D$2037,0)),0)</f>
        <v>362</v>
      </c>
      <c r="P426" s="1161">
        <f>IF('6.Inland wetlands'!DI152="",'6.Inland wetlands'!$DH152,'6.Inland wetlands'!$DI152)</f>
        <v>362</v>
      </c>
      <c r="Q426" s="1111">
        <f>IFERROR(INDEX(IPCC!$A$2037:$D$2048,MATCH(clim_moist,IPCC!$A$2037:$A$2048,0),MATCH($Q$422,IPCC!$A$2037:$D$2037,0)),0)</f>
        <v>207</v>
      </c>
      <c r="R426" s="1161">
        <f>IF('6.Inland wetlands'!$DK152="",'6.Inland wetlands'!$DJ152,'6.Inland wetlands'!$DK152)</f>
        <v>207</v>
      </c>
      <c r="S426" s="1111">
        <f>IFERROR(INDEX(IPCC!$A$2037:$D$2048,MATCH(clim_moist,IPCC!$A$2037:$A$2048,0),MATCH($S$422,IPCC!$A$2037:$D$2037,0)),0)</f>
        <v>9</v>
      </c>
      <c r="T426" s="1161">
        <f>IF('6.Inland wetlands'!$DM152="",'6.Inland wetlands'!$DL152,'6.Inland wetlands'!$DM152)</f>
        <v>9</v>
      </c>
      <c r="U426" s="1111">
        <f>IFERROR(INDEX(IPCC!$A$2020:$D$2031,MATCH(clim_moist,IPCC!$A$2021:$A$2031,0),MATCH('6.Inland wetlands'!$CZ152,IPCC!$A$2020:$D$2020,0)),0)</f>
        <v>0</v>
      </c>
      <c r="V426" s="1161">
        <f>IF('6.Inland wetlands'!$DO152="",'6.Inland wetlands'!$DN152,'6.Inland wetlands'!$DO152)</f>
        <v>0</v>
      </c>
      <c r="W426" s="1276"/>
      <c r="X426" s="1151">
        <f>IF('6.Inland wetlands'!$CZ152=list!$F$210,0,$V426*$E414)</f>
        <v>0</v>
      </c>
      <c r="Y426" s="1151">
        <f>IF('6.Inland wetlands'!$CZ152=list!$F$210,0,$V426*$F414)</f>
        <v>0</v>
      </c>
      <c r="Z426" s="1151">
        <f>IF('6.Inland wetlands'!$CZ152=list!$F$210,0,$V426*$J414)</f>
        <v>0</v>
      </c>
      <c r="AC426" s="3476"/>
      <c r="AD426" s="1151">
        <f>IF(OR('6.Inland wetlands'!$AB151=list!$E$210,'6.Inland wetlands'!$AB151=list!$E$212,'6.Inland wetlands'!$AB151=list!$E$214),0,IF($H414&gt;time_tot,0,MIN($X426,$Y426)*time_tot+ABS($Y426-$X426)*IF($Y426&gt;$X426,time_cap+time*VLOOKUP($G414,list!$J$48:$K$50,2,0),time*(1-VLOOKUP($G414,list!$J$48:$K$50,2,0))))*(1/$H414)*($I414)*($P426*44/12/1000)+IF($H414&gt;time_tot,0,MIN($X426,$Y426)*time_tot+ABS($Y426-$X426)*IF($Y426&gt;$X426,time_cap+time*VLOOKUP($G414,list!$J$48:$K$50,2,0),time*(1-VLOOKUP($G414,list!$J$48:$K$50,2,0))))*(1/$H414)*($I414)*($R426*2/1000))</f>
        <v>0</v>
      </c>
      <c r="AE426" s="1151">
        <f>IF(OR('6.Inland wetlands'!$AB151=list!$E$210,'6.Inland wetlands'!$AB151=list!$E$211,'6.Inland wetlands'!$AB151=list!$E$214),0,IF($L414&gt;time_tot,0,MIN($X426,$Z426)*time_tot+ABS($Z426-$X426)*IF($Z426&gt;$X426,time_cap+time*VLOOKUP($K414,list!$J$48:$K$50,2,0),time*(1-VLOOKUP($K414,list!$J$48:$K$50,2,0))))*(1/$L414)*($M414)*($P426*44/12/1000)+IF($L414&gt;time_tot,0,MIN($X426,$Z426)*time_tot+ABS($Z426-$X426)*IF($Z426&gt;$X426,time_cap+time*VLOOKUP($K414,list!$J$48:$K$50,2,0),time*(1-VLOOKUP($K414,list!$J$48:$K$50,2,0))))*(1/$L414)*($M414)*($R426*2/1000))</f>
        <v>0</v>
      </c>
      <c r="AF426" s="1151">
        <f>IF(OR('6.Inland wetlands'!$AB151=list!$E$210,'6.Inland wetlands'!$AB151=list!$E$212,'6.Inland wetlands'!$AB151=list!$E$214),0,IF($H414&gt;time_tot,0,MIN($X426,$Y426)*time_tot+ABS($Y426-$X426)*IF($Y426&gt;$X426,time_cap+time*VLOOKUP($G414,list!$J$48:$K$50,2,0),time*(1-VLOOKUP($G414,list!$J$48:$K$50,2,0))))*(1/$H414)*($I414)*($T426*methane/1000))</f>
        <v>0</v>
      </c>
      <c r="AG426" s="1151">
        <f>IF(OR('6.Inland wetlands'!$AB151=list!$E$210,'6.Inland wetlands'!$AB151=list!$E$211,'6.Inland wetlands'!$AB151=list!$E$214),0,IF($L414&gt;time_tot,0,MIN($X426,$Z426)*time_tot+ABS($Z426-$X426)*IF($Z426&gt;$X426,time_cap+time*VLOOKUP($K414,list!$J$48:$K$50,2,0),time*(1-VLOOKUP($K414,list!$J$48:$K$50,2,0))))*(1/$L414)*($M414)*($T426*methane/1000))</f>
        <v>0</v>
      </c>
      <c r="AI426" s="3470">
        <f t="shared" si="206"/>
        <v>0</v>
      </c>
      <c r="AJ426" s="1152">
        <f t="shared" si="206"/>
        <v>0</v>
      </c>
      <c r="AK426" s="1160">
        <f t="shared" si="207"/>
        <v>0</v>
      </c>
      <c r="AM426" s="992"/>
      <c r="AN426" s="992"/>
      <c r="AO426" s="992"/>
      <c r="AP426" s="992"/>
      <c r="AQ426" s="992"/>
      <c r="AR426" s="992"/>
      <c r="AS426" s="992"/>
      <c r="AT426" s="992"/>
      <c r="AU426" s="992"/>
      <c r="AV426" s="992"/>
      <c r="AW426" s="992"/>
      <c r="AX426" s="1449">
        <f>IF('6.Inland wetlands'!$CZ152=list!$F$210,0,IF($H414&gt;time,0,MIN($X426,$Y426)*time+ABS($Y426-$X426)*IF($Y426&gt;$X426,time*VLOOKUP($G414,list!$J$48:$K$50,2,0),time*(1-VLOOKUP($G414,list!$J$48:$K$50,2,0))))*(1/$H414)*($I414)*($P426/1000)+IF($H414&gt;time_tot,0,MIN($X426,$Y426)*time+ABS($Y426-$X426)*IF($Y426&gt;$X426,time*VLOOKUP($G414,list!$J$48:$K$50,2,0),time*(1-VLOOKUP($G414,list!$J$48:$K$50,2,0))))*(1/$H414)*($I414)*($R426*2/1000))</f>
        <v>0</v>
      </c>
      <c r="AY426" s="1449">
        <f>IF('6.Inland wetlands'!$CZ197=list!$F$210,0,IF($L414&gt;time,0,MIN($X426,$Z426)*time+ABS($Z426-$X426)*IF($Z426&gt;$X426,time*VLOOKUP($K414,list!$J$48:$K$50,2,0),time*(1-VLOOKUP($K414,list!$J$48:$K$50,2,0))))*(1/$L414)*($M414)*($P426/1000)+IF($L414&gt;time,0,MIN($X426,$Z426)*time+ABS($Z426-$X426)*IF($Z426&gt;$X426,time*VLOOKUP($K414,list!$J$48:$K$50,2,0),time*(1-VLOOKUP($K414,list!$J$48:$K$50,2,0))))*(1/$L414)*($M414)*($R426*2/1000))</f>
        <v>0</v>
      </c>
      <c r="AZ426" s="1449">
        <f>IF('6.Inland wetlands'!$CZ197=list!$F$210,0,IF($H414&gt;time,0,MIN($X426,$Y426)*time+ABS($Y426-$X426)*IF($Y426&gt;$X426,time*VLOOKUP($G414,list!$J$48:$K$50,2,0),time*(1-VLOOKUP($G414,list!$J$48:$K$50,2,0))))*(1/$H414)*($I414)*($T426*methane/1000))</f>
        <v>0</v>
      </c>
      <c r="BA426" s="1449">
        <f>IF('6.Inland wetlands'!$CZ197=list!$F$210,0,IF($L414&gt;time,0,MIN($X426,$Z426)*time+ABS($Z426-$X426)*IF($Z426&gt;$X426,time*VLOOKUP($K414,list!$J$48:$K$50,2,0),time*(1-VLOOKUP($K414,list!$J$48:$K$50,2,0))))*(1/$L414)*($M414)*($T426*methane/1000))</f>
        <v>0</v>
      </c>
      <c r="BK426" s="973" t="s">
        <v>871</v>
      </c>
      <c r="BL426" s="992">
        <f>SUM(BL415:BL424)</f>
        <v>0</v>
      </c>
      <c r="BM426" s="992">
        <f>SUM(BM415:BM424)</f>
        <v>0</v>
      </c>
      <c r="BN426" s="992">
        <f>BM426-BL426</f>
        <v>0</v>
      </c>
      <c r="BO426" s="1246"/>
    </row>
    <row r="427" spans="1:72" x14ac:dyDescent="0.15">
      <c r="A427" s="1466" t="s">
        <v>1162</v>
      </c>
      <c r="O427" s="1111">
        <f>IFERROR(INDEX(IPCC!$A$2037:$D$2048,MATCH(clim_moist,IPCC!$A$2037:$A$2048,0),MATCH($O$422,IPCC!$A$2037:$D$2037,0)),0)</f>
        <v>362</v>
      </c>
      <c r="P427" s="1161">
        <f>IF('6.Inland wetlands'!DI153="",'6.Inland wetlands'!$DH153,'6.Inland wetlands'!$DI153)</f>
        <v>362</v>
      </c>
      <c r="Q427" s="1111">
        <f>IFERROR(INDEX(IPCC!$A$2037:$D$2048,MATCH(clim_moist,IPCC!$A$2037:$A$2048,0),MATCH($Q$422,IPCC!$A$2037:$D$2037,0)),0)</f>
        <v>207</v>
      </c>
      <c r="R427" s="1161">
        <f>IF('6.Inland wetlands'!$DK153="",'6.Inland wetlands'!$DJ153,'6.Inland wetlands'!$DK153)</f>
        <v>207</v>
      </c>
      <c r="S427" s="1111">
        <f>IFERROR(INDEX(IPCC!$A$2037:$D$2048,MATCH(clim_moist,IPCC!$A$2037:$A$2048,0),MATCH($S$422,IPCC!$A$2037:$D$2037,0)),0)</f>
        <v>9</v>
      </c>
      <c r="T427" s="1161">
        <f>IF('6.Inland wetlands'!$DM153="",'6.Inland wetlands'!$DL153,'6.Inland wetlands'!$DM153)</f>
        <v>9</v>
      </c>
      <c r="U427" s="1111">
        <f>IFERROR(INDEX(IPCC!$A$2020:$D$2031,MATCH(clim_moist,IPCC!$A$2021:$A$2031,0),MATCH('6.Inland wetlands'!$CZ153,IPCC!$A$2020:$D$2020,0)),0)</f>
        <v>0</v>
      </c>
      <c r="V427" s="1161">
        <f>IF('6.Inland wetlands'!$DO153="",'6.Inland wetlands'!$DN153,'6.Inland wetlands'!$DO153)</f>
        <v>0</v>
      </c>
      <c r="W427" s="1276"/>
      <c r="X427" s="1151">
        <f>IF('6.Inland wetlands'!$CZ153=list!$F$210,0,$V427*$E415)</f>
        <v>0</v>
      </c>
      <c r="Y427" s="1151">
        <f>IF('6.Inland wetlands'!$CZ153=list!$F$210,0,$V427*$F415)</f>
        <v>0</v>
      </c>
      <c r="Z427" s="1151">
        <f>IF('6.Inland wetlands'!$CZ153=list!$F$210,0,$V427*$J415)</f>
        <v>0</v>
      </c>
      <c r="AC427" s="3476"/>
      <c r="AD427" s="1151">
        <f>IF(OR('6.Inland wetlands'!$AB152=list!$E$210,'6.Inland wetlands'!$AB152=list!$E$212,'6.Inland wetlands'!$AB152=list!$E$214),0,IF($H415&gt;time_tot,0,MIN($X427,$Y427)*time_tot+ABS($Y427-$X427)*IF($Y427&gt;$X427,time_cap+time*VLOOKUP($G415,list!$J$48:$K$50,2,0),time*(1-VLOOKUP($G415,list!$J$48:$K$50,2,0))))*(1/$H415)*($I415)*($P427*44/12/1000)+IF($H415&gt;time_tot,0,MIN($X427,$Y427)*time_tot+ABS($Y427-$X427)*IF($Y427&gt;$X427,time_cap+time*VLOOKUP($G415,list!$J$48:$K$50,2,0),time*(1-VLOOKUP($G415,list!$J$48:$K$50,2,0))))*(1/$H415)*($I415)*($R427*2/1000))</f>
        <v>0</v>
      </c>
      <c r="AE427" s="1151">
        <f>IF(OR('6.Inland wetlands'!$AB152=list!$E$210,'6.Inland wetlands'!$AB152=list!$E$211,'6.Inland wetlands'!$AB152=list!$E$214),0,IF($L415&gt;time_tot,0,MIN($X427,$Z427)*time_tot+ABS($Z427-$X427)*IF($Z427&gt;$X427,time_cap+time*VLOOKUP($K415,list!$J$48:$K$50,2,0),time*(1-VLOOKUP($K415,list!$J$48:$K$50,2,0))))*(1/$L415)*($M415)*($P427*44/12/1000)+IF($L415&gt;time_tot,0,MIN($X427,$Z427)*time_tot+ABS($Z427-$X427)*IF($Z427&gt;$X427,time_cap+time*VLOOKUP($K415,list!$J$48:$K$50,2,0),time*(1-VLOOKUP($K415,list!$J$48:$K$50,2,0))))*(1/$L415)*($M415)*($R427*2/1000))</f>
        <v>0</v>
      </c>
      <c r="AF427" s="1151">
        <f>IF(OR('6.Inland wetlands'!$AB152=list!$E$210,'6.Inland wetlands'!$AB152=list!$E$212,'6.Inland wetlands'!$AB152=list!$E$214),0,IF($H415&gt;time_tot,0,MIN($X427,$Y427)*time_tot+ABS($Y427-$X427)*IF($Y427&gt;$X427,time_cap+time*VLOOKUP($G415,list!$J$48:$K$50,2,0),time*(1-VLOOKUP($G415,list!$J$48:$K$50,2,0))))*(1/$H415)*($I415)*($T427*methane/1000))</f>
        <v>0</v>
      </c>
      <c r="AG427" s="1151">
        <f>IF(OR('6.Inland wetlands'!$AB152=list!$E$210,'6.Inland wetlands'!$AB152=list!$E$211,'6.Inland wetlands'!$AB152=list!$E$214),0,IF($L415&gt;time_tot,0,MIN($X427,$Z427)*time_tot+ABS($Z427-$X427)*IF($Z427&gt;$X427,time_cap+time*VLOOKUP($K415,list!$J$48:$K$50,2,0),time*(1-VLOOKUP($K415,list!$J$48:$K$50,2,0))))*(1/$L415)*($M415)*($T427*methane/1000))</f>
        <v>0</v>
      </c>
      <c r="AI427" s="3470">
        <f t="shared" si="206"/>
        <v>0</v>
      </c>
      <c r="AJ427" s="1152">
        <f t="shared" si="206"/>
        <v>0</v>
      </c>
      <c r="AK427" s="1160">
        <f t="shared" si="207"/>
        <v>0</v>
      </c>
      <c r="AM427" s="992"/>
      <c r="AN427" s="992"/>
      <c r="AO427" s="992"/>
      <c r="AP427" s="992"/>
      <c r="AQ427" s="992"/>
      <c r="AR427" s="992"/>
      <c r="AS427" s="992"/>
      <c r="AT427" s="992"/>
      <c r="AU427" s="992"/>
      <c r="AV427" s="992"/>
      <c r="AW427" s="992"/>
      <c r="AX427" s="1449">
        <f>IF('6.Inland wetlands'!$CZ153=list!$F$210,0,IF($H415&gt;time,0,MIN($X427,$Y427)*time+ABS($Y427-$X427)*IF($Y427&gt;$X427,time*VLOOKUP($G415,list!$J$48:$K$50,2,0),time*(1-VLOOKUP($G415,list!$J$48:$K$50,2,0))))*(1/$H415)*($I415)*($P427/1000)+IF($H415&gt;time_tot,0,MIN($X427,$Y427)*time+ABS($Y427-$X427)*IF($Y427&gt;$X427,time*VLOOKUP($G415,list!$J$48:$K$50,2,0),time*(1-VLOOKUP($G415,list!$J$48:$K$50,2,0))))*(1/$H415)*($I415)*($R427*2/1000))</f>
        <v>0</v>
      </c>
      <c r="AY427" s="1449">
        <f>IF('6.Inland wetlands'!$CZ198=list!$F$210,0,IF($L415&gt;time,0,MIN($X427,$Z427)*time+ABS($Z427-$X427)*IF($Z427&gt;$X427,time*VLOOKUP($K415,list!$J$48:$K$50,2,0),time*(1-VLOOKUP($K415,list!$J$48:$K$50,2,0))))*(1/$L415)*($M415)*($P427/1000)+IF($L415&gt;time,0,MIN($X427,$Z427)*time+ABS($Z427-$X427)*IF($Z427&gt;$X427,time*VLOOKUP($K415,list!$J$48:$K$50,2,0),time*(1-VLOOKUP($K415,list!$J$48:$K$50,2,0))))*(1/$L415)*($M415)*($R427*2/1000))</f>
        <v>0</v>
      </c>
      <c r="AZ427" s="1449">
        <f>IF('6.Inland wetlands'!$CZ198=list!$F$210,0,IF($H415&gt;time,0,MIN($X427,$Y427)*time+ABS($Y427-$X427)*IF($Y427&gt;$X427,time*VLOOKUP($G415,list!$J$48:$K$50,2,0),time*(1-VLOOKUP($G415,list!$J$48:$K$50,2,0))))*(1/$H415)*($I415)*($T427*methane/1000))</f>
        <v>0</v>
      </c>
      <c r="BA427" s="1449">
        <f>IF('6.Inland wetlands'!$CZ198=list!$F$210,0,IF($L415&gt;time,0,MIN($X427,$Z427)*time+ABS($Z427-$X427)*IF($Z427&gt;$X427,time*VLOOKUP($K415,list!$J$48:$K$50,2,0),time*(1-VLOOKUP($K415,list!$J$48:$K$50,2,0))))*(1/$L415)*($M415)*($T427*methane/1000))</f>
        <v>0</v>
      </c>
      <c r="BK427" s="973" t="s">
        <v>1140</v>
      </c>
      <c r="BL427" s="992">
        <f>SUM(AI413:AI418,AI425:AI430,AI439:AI444,AI453:AI458)</f>
        <v>0</v>
      </c>
      <c r="BM427" s="992">
        <f>SUM(AJ413:AJ418,AJ425:AJ430,AJ439:AJ444,AJ453:AJ458)</f>
        <v>0</v>
      </c>
      <c r="BN427" s="992">
        <f>SUM(AK413:AK418,AK425:AK430,AK439:AK444,AK453:AK458)</f>
        <v>0</v>
      </c>
      <c r="BO427" s="1246"/>
    </row>
    <row r="428" spans="1:72" x14ac:dyDescent="0.15">
      <c r="A428" s="1466" t="s">
        <v>1163</v>
      </c>
      <c r="O428" s="1111">
        <f>IFERROR(INDEX(IPCC!$A$2037:$D$2048,MATCH(clim_moist,IPCC!$A$2037:$A$2048,0),MATCH($O$422,IPCC!$A$2037:$D$2037,0)),0)</f>
        <v>362</v>
      </c>
      <c r="P428" s="1161">
        <f>IF('6.Inland wetlands'!DI154="",'6.Inland wetlands'!$DH154,'6.Inland wetlands'!$DI154)</f>
        <v>362</v>
      </c>
      <c r="Q428" s="1111">
        <f>IFERROR(INDEX(IPCC!$A$2037:$D$2048,MATCH(clim_moist,IPCC!$A$2037:$A$2048,0),MATCH($Q$422,IPCC!$A$2037:$D$2037,0)),0)</f>
        <v>207</v>
      </c>
      <c r="R428" s="1161">
        <f>IF('6.Inland wetlands'!$DK154="",'6.Inland wetlands'!$DJ154,'6.Inland wetlands'!$DK154)</f>
        <v>207</v>
      </c>
      <c r="S428" s="1111">
        <f>IFERROR(INDEX(IPCC!$A$2037:$D$2048,MATCH(clim_moist,IPCC!$A$2037:$A$2048,0),MATCH($S$422,IPCC!$A$2037:$D$2037,0)),0)</f>
        <v>9</v>
      </c>
      <c r="T428" s="1161">
        <f>IF('6.Inland wetlands'!$DM154="",'6.Inland wetlands'!$DL154,'6.Inland wetlands'!$DM154)</f>
        <v>9</v>
      </c>
      <c r="U428" s="1111">
        <f>IFERROR(INDEX(IPCC!$A$2020:$D$2031,MATCH(clim_moist,IPCC!$A$2021:$A$2031,0),MATCH('6.Inland wetlands'!$CZ154,IPCC!$A$2020:$D$2020,0)),0)</f>
        <v>0</v>
      </c>
      <c r="V428" s="1161">
        <f>IF('6.Inland wetlands'!$DO154="",'6.Inland wetlands'!$DN154,'6.Inland wetlands'!$DO154)</f>
        <v>0</v>
      </c>
      <c r="W428" s="1276"/>
      <c r="X428" s="1151">
        <f>IF('6.Inland wetlands'!$CZ154=list!$F$210,0,$V428*$E416)</f>
        <v>0</v>
      </c>
      <c r="Y428" s="1151">
        <f>IF('6.Inland wetlands'!$CZ154=list!$F$210,0,$V428*$F416)</f>
        <v>0</v>
      </c>
      <c r="Z428" s="1151">
        <f>IF('6.Inland wetlands'!$CZ154=list!$F$210,0,$V428*$J416)</f>
        <v>0</v>
      </c>
      <c r="AC428" s="3476"/>
      <c r="AD428" s="1151">
        <f>IF(OR('6.Inland wetlands'!$AB153=list!$E$210,'6.Inland wetlands'!$AB153=list!$E$212,'6.Inland wetlands'!$AB153=list!$E$214),0,IF($H416&gt;time_tot,0,MIN($X428,$Y428)*time_tot+ABS($Y428-$X428)*IF($Y428&gt;$X428,time_cap+time*VLOOKUP($G416,list!$J$48:$K$50,2,0),time*(1-VLOOKUP($G416,list!$J$48:$K$50,2,0))))*(1/$H416)*($I416)*($P428*44/12/1000)+IF($H416&gt;time_tot,0,MIN($X428,$Y428)*time_tot+ABS($Y428-$X428)*IF($Y428&gt;$X428,time_cap+time*VLOOKUP($G416,list!$J$48:$K$50,2,0),time*(1-VLOOKUP($G416,list!$J$48:$K$50,2,0))))*(1/$H416)*($I416)*($R428*2/1000))</f>
        <v>0</v>
      </c>
      <c r="AE428" s="1151">
        <f>IF(OR('6.Inland wetlands'!$AB153=list!$E$210,'6.Inland wetlands'!$AB153=list!$E$211,'6.Inland wetlands'!$AB153=list!$E$214),0,IF($L416&gt;time_tot,0,MIN($X428,$Z428)*time_tot+ABS($Z428-$X428)*IF($Z428&gt;$X428,time_cap+time*VLOOKUP($K416,list!$J$48:$K$50,2,0),time*(1-VLOOKUP($K416,list!$J$48:$K$50,2,0))))*(1/$L416)*($M416)*($P428*44/12/1000)+IF($L416&gt;time_tot,0,MIN($X428,$Z428)*time_tot+ABS($Z428-$X428)*IF($Z428&gt;$X428,time_cap+time*VLOOKUP($K416,list!$J$48:$K$50,2,0),time*(1-VLOOKUP($K416,list!$J$48:$K$50,2,0))))*(1/$L416)*($M416)*($R428*2/1000))</f>
        <v>0</v>
      </c>
      <c r="AF428" s="1151">
        <f>IF(OR('6.Inland wetlands'!$AB153=list!$E$210,'6.Inland wetlands'!$AB153=list!$E$212,'6.Inland wetlands'!$AB153=list!$E$214),0,IF($H416&gt;time_tot,0,MIN($X428,$Y428)*time_tot+ABS($Y428-$X428)*IF($Y428&gt;$X428,time_cap+time*VLOOKUP($G416,list!$J$48:$K$50,2,0),time*(1-VLOOKUP($G416,list!$J$48:$K$50,2,0))))*(1/$H416)*($I416)*($T428*methane/1000))</f>
        <v>0</v>
      </c>
      <c r="AG428" s="1151">
        <f>IF(OR('6.Inland wetlands'!$AB153=list!$E$210,'6.Inland wetlands'!$AB153=list!$E$211,'6.Inland wetlands'!$AB153=list!$E$214),0,IF($L416&gt;time_tot,0,MIN($X428,$Z428)*time_tot+ABS($Z428-$X428)*IF($Z428&gt;$X428,time_cap+time*VLOOKUP($K416,list!$J$48:$K$50,2,0),time*(1-VLOOKUP($K416,list!$J$48:$K$50,2,0))))*(1/$L416)*($M416)*($T428*methane/1000))</f>
        <v>0</v>
      </c>
      <c r="AI428" s="3470">
        <f t="shared" si="206"/>
        <v>0</v>
      </c>
      <c r="AJ428" s="1152">
        <f t="shared" si="206"/>
        <v>0</v>
      </c>
      <c r="AK428" s="1160">
        <f t="shared" si="207"/>
        <v>0</v>
      </c>
      <c r="AM428" s="992"/>
      <c r="AN428" s="992"/>
      <c r="AO428" s="992"/>
      <c r="AP428" s="992"/>
      <c r="AQ428" s="992"/>
      <c r="AR428" s="992"/>
      <c r="AS428" s="992"/>
      <c r="AT428" s="992"/>
      <c r="AU428" s="992"/>
      <c r="AV428" s="992"/>
      <c r="AW428" s="992"/>
      <c r="AX428" s="1449">
        <f>IF('6.Inland wetlands'!$CZ154=list!$F$210,0,IF($H416&gt;time,0,MIN($X428,$Y428)*time+ABS($Y428-$X428)*IF($Y428&gt;$X428,time*VLOOKUP($G416,list!$J$48:$K$50,2,0),time*(1-VLOOKUP($G416,list!$J$48:$K$50,2,0))))*(1/$H416)*($I416)*($P428/1000)+IF($H416&gt;time_tot,0,MIN($X428,$Y428)*time+ABS($Y428-$X428)*IF($Y428&gt;$X428,time*VLOOKUP($G416,list!$J$48:$K$50,2,0),time*(1-VLOOKUP($G416,list!$J$48:$K$50,2,0))))*(1/$H416)*($I416)*($R428*2/1000))</f>
        <v>0</v>
      </c>
      <c r="AY428" s="1449">
        <f>IF('6.Inland wetlands'!$CZ199=list!$F$210,0,IF($L416&gt;time,0,MIN($X428,$Z428)*time+ABS($Z428-$X428)*IF($Z428&gt;$X428,time*VLOOKUP($K416,list!$J$48:$K$50,2,0),time*(1-VLOOKUP($K416,list!$J$48:$K$50,2,0))))*(1/$L416)*($M416)*($P428/1000)+IF($L416&gt;time,0,MIN($X428,$Z428)*time+ABS($Z428-$X428)*IF($Z428&gt;$X428,time*VLOOKUP($K416,list!$J$48:$K$50,2,0),time*(1-VLOOKUP($K416,list!$J$48:$K$50,2,0))))*(1/$L416)*($M416)*($R428*2/1000))</f>
        <v>0</v>
      </c>
      <c r="AZ428" s="1449">
        <f>IF('6.Inland wetlands'!$CZ199=list!$F$210,0,IF($H416&gt;time,0,MIN($X428,$Y428)*time+ABS($Y428-$X428)*IF($Y428&gt;$X428,time*VLOOKUP($G416,list!$J$48:$K$50,2,0),time*(1-VLOOKUP($G416,list!$J$48:$K$50,2,0))))*(1/$H416)*($I416)*($T428*methane/1000))</f>
        <v>0</v>
      </c>
      <c r="BA428" s="1449">
        <f>IF('6.Inland wetlands'!$CZ199=list!$F$210,0,IF($L416&gt;time,0,MIN($X428,$Z428)*time+ABS($Z428-$X428)*IF($Z428&gt;$X428,time*VLOOKUP($K416,list!$J$48:$K$50,2,0),time*(1-VLOOKUP($K416,list!$J$48:$K$50,2,0))))*(1/$L416)*($M416)*($T428*methane/1000))</f>
        <v>0</v>
      </c>
      <c r="BK428" s="1582"/>
      <c r="BL428" s="1583"/>
      <c r="BM428" s="1583"/>
      <c r="BN428" s="992"/>
      <c r="BP428" s="1582"/>
      <c r="BQ428" s="1584"/>
      <c r="BR428" s="1585"/>
      <c r="BS428" s="1584"/>
      <c r="BT428" s="1455"/>
    </row>
    <row r="429" spans="1:72" x14ac:dyDescent="0.15">
      <c r="A429" s="1466" t="s">
        <v>1164</v>
      </c>
      <c r="O429" s="1111">
        <f>IFERROR(INDEX(IPCC!$A$2037:$D$2048,MATCH(clim_moist,IPCC!$A$2037:$A$2048,0),MATCH($O$422,IPCC!$A$2037:$D$2037,0)),0)</f>
        <v>362</v>
      </c>
      <c r="P429" s="1161">
        <f>IF('6.Inland wetlands'!DI155="",'6.Inland wetlands'!$DH155,'6.Inland wetlands'!$DI155)</f>
        <v>362</v>
      </c>
      <c r="Q429" s="1111">
        <f>IFERROR(INDEX(IPCC!$A$2037:$D$2048,MATCH(clim_moist,IPCC!$A$2037:$A$2048,0),MATCH($Q$422,IPCC!$A$2037:$D$2037,0)),0)</f>
        <v>207</v>
      </c>
      <c r="R429" s="1161">
        <f>IF('6.Inland wetlands'!$DK155="",'6.Inland wetlands'!$DJ155,'6.Inland wetlands'!$DK155)</f>
        <v>207</v>
      </c>
      <c r="S429" s="1111">
        <f>IFERROR(INDEX(IPCC!$A$2037:$D$2048,MATCH(clim_moist,IPCC!$A$2037:$A$2048,0),MATCH($S$422,IPCC!$A$2037:$D$2037,0)),0)</f>
        <v>9</v>
      </c>
      <c r="T429" s="1161">
        <f>IF('6.Inland wetlands'!$DM155="",'6.Inland wetlands'!$DL155,'6.Inland wetlands'!$DM155)</f>
        <v>9</v>
      </c>
      <c r="U429" s="1111">
        <f>IFERROR(INDEX(IPCC!$A$2020:$D$2031,MATCH(clim_moist,IPCC!$A$2021:$A$2031,0),MATCH('6.Inland wetlands'!$CZ155,IPCC!$A$2020:$D$2020,0)),0)</f>
        <v>0</v>
      </c>
      <c r="V429" s="1161">
        <f>IF('6.Inland wetlands'!$DO155="",'6.Inland wetlands'!$DN155,'6.Inland wetlands'!$DO155)</f>
        <v>0</v>
      </c>
      <c r="W429" s="1276"/>
      <c r="X429" s="1151">
        <f>IF('6.Inland wetlands'!$CZ155=list!$F$210,0,$V429*$E417)</f>
        <v>0</v>
      </c>
      <c r="Y429" s="1151">
        <f>IF('6.Inland wetlands'!$CZ155=list!$F$210,0,$V429*$F417)</f>
        <v>0</v>
      </c>
      <c r="Z429" s="1151">
        <f>IF('6.Inland wetlands'!$CZ155=list!$F$210,0,$V429*$J417)</f>
        <v>0</v>
      </c>
      <c r="AC429" s="3476"/>
      <c r="AD429" s="1151">
        <f>IF(OR('6.Inland wetlands'!$AB154=list!$E$210,'6.Inland wetlands'!$AB154=list!$E$212,'6.Inland wetlands'!$AB154=list!$E$214),0,IF($H417&gt;time_tot,0,MIN($X429,$Y429)*time_tot+ABS($Y429-$X429)*IF($Y429&gt;$X429,time_cap+time*VLOOKUP($G417,list!$J$48:$K$50,2,0),time*(1-VLOOKUP($G417,list!$J$48:$K$50,2,0))))*(1/$H417)*($I417)*($P429*44/12/1000)+IF($H417&gt;time_tot,0,MIN($X429,$Y429)*time_tot+ABS($Y429-$X429)*IF($Y429&gt;$X429,time_cap+time*VLOOKUP($G417,list!$J$48:$K$50,2,0),time*(1-VLOOKUP($G417,list!$J$48:$K$50,2,0))))*(1/$H417)*($I417)*($R429*2/1000))</f>
        <v>0</v>
      </c>
      <c r="AE429" s="1151">
        <f>IF(OR('6.Inland wetlands'!$AB154=list!$E$210,'6.Inland wetlands'!$AB154=list!$E$211,'6.Inland wetlands'!$AB154=list!$E$214),0,IF($L417&gt;time_tot,0,MIN($X429,$Z429)*time_tot+ABS($Z429-$X429)*IF($Z429&gt;$X429,time_cap+time*VLOOKUP($K417,list!$J$48:$K$50,2,0),time*(1-VLOOKUP($K417,list!$J$48:$K$50,2,0))))*(1/$L417)*($M417)*($P429*44/12/1000)+IF($L417&gt;time_tot,0,MIN($X429,$Z429)*time_tot+ABS($Z429-$X429)*IF($Z429&gt;$X429,time_cap+time*VLOOKUP($K417,list!$J$48:$K$50,2,0),time*(1-VLOOKUP($K417,list!$J$48:$K$50,2,0))))*(1/$L417)*($M417)*($R429*2/1000))</f>
        <v>0</v>
      </c>
      <c r="AF429" s="1151">
        <f>IF(OR('6.Inland wetlands'!$AB154=list!$E$210,'6.Inland wetlands'!$AB154=list!$E$212,'6.Inland wetlands'!$AB154=list!$E$214),0,IF($H417&gt;time_tot,0,MIN($X429,$Y429)*time_tot+ABS($Y429-$X429)*IF($Y429&gt;$X429,time_cap+time*VLOOKUP($G417,list!$J$48:$K$50,2,0),time*(1-VLOOKUP($G417,list!$J$48:$K$50,2,0))))*(1/$H417)*($I417)*($T429*methane/1000))</f>
        <v>0</v>
      </c>
      <c r="AG429" s="1151">
        <f>IF(OR('6.Inland wetlands'!$AB154=list!$E$210,'6.Inland wetlands'!$AB154=list!$E$211,'6.Inland wetlands'!$AB154=list!$E$214),0,IF($L417&gt;time_tot,0,MIN($X429,$Z429)*time_tot+ABS($Z429-$X429)*IF($Z429&gt;$X429,time_cap+time*VLOOKUP($K417,list!$J$48:$K$50,2,0),time*(1-VLOOKUP($K417,list!$J$48:$K$50,2,0))))*(1/$L417)*($M417)*($T429*methane/1000))</f>
        <v>0</v>
      </c>
      <c r="AI429" s="3470">
        <f t="shared" si="206"/>
        <v>0</v>
      </c>
      <c r="AJ429" s="1152">
        <f t="shared" si="206"/>
        <v>0</v>
      </c>
      <c r="AK429" s="1160">
        <f t="shared" si="207"/>
        <v>0</v>
      </c>
      <c r="AM429" s="992"/>
      <c r="AN429" s="992"/>
      <c r="AO429" s="992"/>
      <c r="AP429" s="992"/>
      <c r="AQ429" s="992"/>
      <c r="AR429" s="992"/>
      <c r="AS429" s="992"/>
      <c r="AT429" s="992"/>
      <c r="AU429" s="992"/>
      <c r="AV429" s="992"/>
      <c r="AW429" s="992"/>
      <c r="AX429" s="1449">
        <f>IF('6.Inland wetlands'!$CZ155=list!$F$210,0,IF($H417&gt;time,0,MIN($X429,$Y429)*time+ABS($Y429-$X429)*IF($Y429&gt;$X429,time*VLOOKUP($G417,list!$J$48:$K$50,2,0),time*(1-VLOOKUP($G417,list!$J$48:$K$50,2,0))))*(1/$H417)*($I417)*($P429/1000)+IF($H417&gt;time_tot,0,MIN($X429,$Y429)*time+ABS($Y429-$X429)*IF($Y429&gt;$X429,time*VLOOKUP($G417,list!$J$48:$K$50,2,0),time*(1-VLOOKUP($G417,list!$J$48:$K$50,2,0))))*(1/$H417)*($I417)*($R429*2/1000))</f>
        <v>0</v>
      </c>
      <c r="AY429" s="1449">
        <f>IF('6.Inland wetlands'!$CZ200=list!$F$210,0,IF($L417&gt;time,0,MIN($X429,$Z429)*time+ABS($Z429-$X429)*IF($Z429&gt;$X429,time*VLOOKUP($K417,list!$J$48:$K$50,2,0),time*(1-VLOOKUP($K417,list!$J$48:$K$50,2,0))))*(1/$L417)*($M417)*($P429/1000)+IF($L417&gt;time,0,MIN($X429,$Z429)*time+ABS($Z429-$X429)*IF($Z429&gt;$X429,time*VLOOKUP($K417,list!$J$48:$K$50,2,0),time*(1-VLOOKUP($K417,list!$J$48:$K$50,2,0))))*(1/$L417)*($M417)*($R429*2/1000))</f>
        <v>0</v>
      </c>
      <c r="AZ429" s="1449">
        <f>IF('6.Inland wetlands'!$CZ200=list!$F$210,0,IF($H417&gt;time,0,MIN($X429,$Y429)*time+ABS($Y429-$X429)*IF($Y429&gt;$X429,time*VLOOKUP($G417,list!$J$48:$K$50,2,0),time*(1-VLOOKUP($G417,list!$J$48:$K$50,2,0))))*(1/$H417)*($I417)*($T429*methane/1000))</f>
        <v>0</v>
      </c>
      <c r="BA429" s="1449">
        <f>IF('6.Inland wetlands'!$CZ200=list!$F$210,0,IF($L417&gt;time,0,MIN($X429,$Z429)*time+ABS($Z429-$X429)*IF($Z429&gt;$X429,time*VLOOKUP($K417,list!$J$48:$K$50,2,0),time*(1-VLOOKUP($K417,list!$J$48:$K$50,2,0))))*(1/$L417)*($M417)*($T429*methane/1000))</f>
        <v>0</v>
      </c>
      <c r="BK429" s="1582"/>
      <c r="BL429" s="1583"/>
      <c r="BM429" s="1583"/>
      <c r="BN429" s="992"/>
      <c r="BP429" s="1582"/>
      <c r="BQ429" s="1584"/>
      <c r="BR429" s="1585"/>
      <c r="BS429" s="1584"/>
      <c r="BT429" s="1455"/>
    </row>
    <row r="430" spans="1:72" x14ac:dyDescent="0.15">
      <c r="A430" s="1466" t="s">
        <v>1165</v>
      </c>
      <c r="O430" s="1111">
        <f>IFERROR(INDEX(IPCC!$A$2037:$D$2048,MATCH(clim_moist,IPCC!$A$2037:$A$2048,0),MATCH($O$422,IPCC!$A$2037:$D$2037,0)),0)</f>
        <v>362</v>
      </c>
      <c r="P430" s="1161">
        <f>IF('6.Inland wetlands'!DI156="",'6.Inland wetlands'!$DH156,'6.Inland wetlands'!$DI156)</f>
        <v>362</v>
      </c>
      <c r="Q430" s="1111">
        <f>IFERROR(INDEX(IPCC!$A$2037:$D$2048,MATCH(clim_moist,IPCC!$A$2037:$A$2048,0),MATCH($Q$422,IPCC!$A$2037:$D$2037,0)),0)</f>
        <v>207</v>
      </c>
      <c r="R430" s="1161">
        <f>IF('6.Inland wetlands'!$DK156="",'6.Inland wetlands'!$DJ156,'6.Inland wetlands'!$DK156)</f>
        <v>207</v>
      </c>
      <c r="S430" s="1111">
        <f>IFERROR(INDEX(IPCC!$A$2037:$D$2048,MATCH(clim_moist,IPCC!$A$2037:$A$2048,0),MATCH($S$422,IPCC!$A$2037:$D$2037,0)),0)</f>
        <v>9</v>
      </c>
      <c r="T430" s="1161">
        <f>IF('6.Inland wetlands'!$DM156="",'6.Inland wetlands'!$DL156,'6.Inland wetlands'!$DM156)</f>
        <v>9</v>
      </c>
      <c r="U430" s="1111">
        <f>IFERROR(INDEX(IPCC!$A$2020:$D$2031,MATCH(clim_moist,IPCC!$A$2021:$A$2031,0),MATCH('6.Inland wetlands'!$CZ156,IPCC!$A$2020:$D$2020,0)),0)</f>
        <v>0</v>
      </c>
      <c r="V430" s="1161">
        <f>IF('6.Inland wetlands'!$DO156="",'6.Inland wetlands'!$DN156,'6.Inland wetlands'!$DO156)</f>
        <v>0</v>
      </c>
      <c r="W430" s="1276"/>
      <c r="X430" s="1151">
        <f>IF('6.Inland wetlands'!$CZ156=list!$F$210,0,$V430*$E418)</f>
        <v>0</v>
      </c>
      <c r="Y430" s="1151">
        <f>IF('6.Inland wetlands'!$CZ156=list!$F$210,0,$V430*$F418)</f>
        <v>0</v>
      </c>
      <c r="Z430" s="1151">
        <f>IF('6.Inland wetlands'!$CZ156=list!$F$210,0,$V430*$J418)</f>
        <v>0</v>
      </c>
      <c r="AC430" s="3476"/>
      <c r="AD430" s="1151">
        <f>IF(OR('6.Inland wetlands'!$AB155=list!$E$210,'6.Inland wetlands'!$AB155=list!$E$212,'6.Inland wetlands'!$AB155=list!$E$214),0,IF($H418&gt;time_tot,0,MIN($X430,$Y430)*time_tot+ABS($Y430-$X430)*IF($Y430&gt;$X430,time_cap+time*VLOOKUP($G418,list!$J$48:$K$50,2,0),time*(1-VLOOKUP($G418,list!$J$48:$K$50,2,0))))*(1/$H418)*($I418)*($P430*44/12/1000)+IF($H418&gt;time_tot,0,MIN($X430,$Y430)*time_tot+ABS($Y430-$X430)*IF($Y430&gt;$X430,time_cap+time*VLOOKUP($G418,list!$J$48:$K$50,2,0),time*(1-VLOOKUP($G418,list!$J$48:$K$50,2,0))))*(1/$H418)*($I418)*($R430*2/1000))</f>
        <v>0</v>
      </c>
      <c r="AE430" s="1151">
        <f>IF(OR('6.Inland wetlands'!$AB155=list!$E$210,'6.Inland wetlands'!$AB155=list!$E$211,'6.Inland wetlands'!$AB155=list!$E$214),0,IF($L418&gt;time_tot,0,MIN($X430,$Z430)*time_tot+ABS($Z430-$X430)*IF($Z430&gt;$X430,time_cap+time*VLOOKUP($K418,list!$J$48:$K$50,2,0),time*(1-VLOOKUP($K418,list!$J$48:$K$50,2,0))))*(1/$L418)*($M418)*($P430*44/12/1000)+IF($L418&gt;time_tot,0,MIN($X430,$Z430)*time_tot+ABS($Z430-$X430)*IF($Z430&gt;$X430,time_cap+time*VLOOKUP($K418,list!$J$48:$K$50,2,0),time*(1-VLOOKUP($K418,list!$J$48:$K$50,2,0))))*(1/$L418)*($M418)*($R430*2/1000))</f>
        <v>0</v>
      </c>
      <c r="AF430" s="1151">
        <f>IF(OR('6.Inland wetlands'!$AB155=list!$E$210,'6.Inland wetlands'!$AB155=list!$E$212,'6.Inland wetlands'!$AB155=list!$E$214),0,IF($H418&gt;time_tot,0,MIN($X430,$Y430)*time_tot+ABS($Y430-$X430)*IF($Y430&gt;$X430,time_cap+time*VLOOKUP($G418,list!$J$48:$K$50,2,0),time*(1-VLOOKUP($G418,list!$J$48:$K$50,2,0))))*(1/$H418)*($I418)*($T430*methane/1000))</f>
        <v>0</v>
      </c>
      <c r="AG430" s="1151">
        <f>IF(OR('6.Inland wetlands'!$AB155=list!$E$210,'6.Inland wetlands'!$AB155=list!$E$211,'6.Inland wetlands'!$AB155=list!$E$214),0,IF($L418&gt;time_tot,0,MIN($X430,$Z430)*time_tot+ABS($Z430-$X430)*IF($Z430&gt;$X430,time_cap+time*VLOOKUP($K418,list!$J$48:$K$50,2,0),time*(1-VLOOKUP($K418,list!$J$48:$K$50,2,0))))*(1/$L418)*($M418)*($T430*methane/1000))</f>
        <v>0</v>
      </c>
      <c r="AI430" s="3470">
        <f t="shared" si="206"/>
        <v>0</v>
      </c>
      <c r="AJ430" s="1152">
        <f t="shared" si="206"/>
        <v>0</v>
      </c>
      <c r="AK430" s="1160">
        <f t="shared" si="207"/>
        <v>0</v>
      </c>
      <c r="AM430" s="992"/>
      <c r="AN430" s="992"/>
      <c r="AO430" s="992"/>
      <c r="AP430" s="992"/>
      <c r="AQ430" s="992"/>
      <c r="AR430" s="992"/>
      <c r="AS430" s="992"/>
      <c r="AT430" s="992"/>
      <c r="AU430" s="992"/>
      <c r="AV430" s="992"/>
      <c r="AW430" s="992"/>
      <c r="AX430" s="1449">
        <f>IF('6.Inland wetlands'!$CZ156=list!$F$210,0,IF($H418&gt;time,0,MIN($X430,$Y430)*time+ABS($Y430-$X430)*IF($Y430&gt;$X430,time*VLOOKUP($G418,list!$J$48:$K$50,2,0),time*(1-VLOOKUP($G418,list!$J$48:$K$50,2,0))))*(1/$H418)*($I418)*($P430/1000)+IF($H418&gt;time_tot,0,MIN($X430,$Y430)*time+ABS($Y430-$X430)*IF($Y430&gt;$X430,time*VLOOKUP($G418,list!$J$48:$K$50,2,0),time*(1-VLOOKUP($G418,list!$J$48:$K$50,2,0))))*(1/$H418)*($I418)*($R430*2/1000))</f>
        <v>0</v>
      </c>
      <c r="AY430" s="1449">
        <f>IF('6.Inland wetlands'!$CZ201=list!$F$210,0,IF($L418&gt;time,0,MIN($X430,$Z430)*time+ABS($Z430-$X430)*IF($Z430&gt;$X430,time*VLOOKUP($K418,list!$J$48:$K$50,2,0),time*(1-VLOOKUP($K418,list!$J$48:$K$50,2,0))))*(1/$L418)*($M418)*($P430/1000)+IF($L418&gt;time,0,MIN($X430,$Z430)*time+ABS($Z430-$X430)*IF($Z430&gt;$X430,time*VLOOKUP($K418,list!$J$48:$K$50,2,0),time*(1-VLOOKUP($K418,list!$J$48:$K$50,2,0))))*(1/$L418)*($M418)*($R430*2/1000))</f>
        <v>0</v>
      </c>
      <c r="AZ430" s="1449">
        <f>IF('6.Inland wetlands'!$CZ201=list!$F$210,0,IF($H418&gt;time,0,MIN($X430,$Y430)*time+ABS($Y430-$X430)*IF($Y430&gt;$X430,time*VLOOKUP($G418,list!$J$48:$K$50,2,0),time*(1-VLOOKUP($G418,list!$J$48:$K$50,2,0))))*(1/$H418)*($I418)*($T430*methane/1000))</f>
        <v>0</v>
      </c>
      <c r="BA430" s="1449">
        <f>IF('6.Inland wetlands'!$CZ201=list!$F$210,0,IF($L418&gt;time,0,MIN($X430,$Z430)*time+ABS($Z430-$X430)*IF($Z430&gt;$X430,time*VLOOKUP($K418,list!$J$48:$K$50,2,0),time*(1-VLOOKUP($K418,list!$J$48:$K$50,2,0))))*(1/$L418)*($M418)*($T430*methane/1000))</f>
        <v>0</v>
      </c>
      <c r="BK430" s="1582"/>
      <c r="BL430" s="1583"/>
      <c r="BM430" s="1583"/>
      <c r="BN430" s="992"/>
      <c r="BP430" s="1582"/>
      <c r="BQ430" s="1584"/>
      <c r="BR430" s="1585"/>
      <c r="BS430" s="1584"/>
      <c r="BT430" s="1455"/>
    </row>
    <row r="431" spans="1:72" x14ac:dyDescent="0.15">
      <c r="C431" s="1130"/>
      <c r="D431" s="1172"/>
      <c r="E431" s="992"/>
      <c r="F431" s="992"/>
      <c r="G431" s="1688"/>
      <c r="H431" s="1688"/>
      <c r="I431" s="1580"/>
      <c r="J431" s="992"/>
      <c r="K431" s="1688"/>
      <c r="AA431" s="1165"/>
      <c r="AB431" s="1001"/>
      <c r="AD431" s="992"/>
      <c r="AE431" s="992"/>
      <c r="AF431" s="992"/>
      <c r="AG431" s="992"/>
      <c r="AH431" s="992"/>
      <c r="AI431" s="992"/>
      <c r="AM431" s="992"/>
      <c r="AN431" s="992"/>
      <c r="AO431" s="992"/>
      <c r="AP431" s="992"/>
      <c r="AQ431" s="992"/>
      <c r="AR431" s="992"/>
      <c r="AS431" s="992"/>
      <c r="AT431" s="992"/>
      <c r="AU431" s="992"/>
      <c r="AV431" s="992"/>
      <c r="AW431" s="992"/>
      <c r="AX431" s="1449"/>
      <c r="AY431" s="1449"/>
      <c r="AZ431" s="1449"/>
      <c r="BA431" s="1449"/>
      <c r="BK431" s="1582"/>
      <c r="BL431" s="1583"/>
      <c r="BM431" s="1583"/>
      <c r="BN431" s="992"/>
      <c r="BP431" s="1582"/>
      <c r="BQ431" s="1584"/>
      <c r="BR431" s="1585"/>
      <c r="BS431" s="1584"/>
      <c r="BT431" s="1455"/>
    </row>
    <row r="432" spans="1:72" x14ac:dyDescent="0.15">
      <c r="C432" s="1130"/>
      <c r="D432" s="1172"/>
      <c r="E432" s="992"/>
      <c r="F432" s="992"/>
      <c r="G432" s="1688"/>
      <c r="H432" s="992"/>
      <c r="I432" s="1580"/>
      <c r="J432" s="992"/>
      <c r="K432" s="1663"/>
      <c r="L432" s="1688"/>
      <c r="M432" s="1580"/>
      <c r="N432" s="1581"/>
      <c r="O432" s="1187"/>
      <c r="P432" s="1187"/>
      <c r="Q432" s="1001"/>
      <c r="R432" s="1001"/>
      <c r="S432" s="1688"/>
      <c r="T432" s="1688"/>
      <c r="U432" s="1165"/>
      <c r="V432" s="1001"/>
      <c r="W432" s="1165"/>
      <c r="X432" s="1001"/>
      <c r="Y432" s="1165"/>
      <c r="Z432" s="1001"/>
      <c r="AA432" s="1165"/>
      <c r="AB432" s="1001"/>
      <c r="AD432" s="992"/>
      <c r="AE432" s="992"/>
      <c r="AF432" s="992"/>
      <c r="AG432" s="992"/>
      <c r="AH432" s="992"/>
      <c r="AI432" s="992"/>
      <c r="AM432" s="992"/>
      <c r="AN432" s="992"/>
      <c r="AO432" s="992"/>
      <c r="AP432" s="992"/>
      <c r="AQ432" s="992"/>
      <c r="AR432" s="992"/>
      <c r="AS432" s="992"/>
      <c r="AT432" s="992"/>
      <c r="AU432" s="992"/>
      <c r="AV432" s="992"/>
      <c r="AW432" s="992"/>
      <c r="AX432" s="1451">
        <f>SUM(AX425:AX430)</f>
        <v>0</v>
      </c>
      <c r="AY432" s="1451">
        <f>SUM(AY425:AY430)</f>
        <v>0</v>
      </c>
      <c r="AZ432" s="1451">
        <f>SUM(AZ425:AZ430)</f>
        <v>0</v>
      </c>
      <c r="BA432" s="1451">
        <f>SUM(BA425:BA430)</f>
        <v>0</v>
      </c>
      <c r="BB432" s="1451"/>
      <c r="BC432" s="1451"/>
      <c r="BD432" s="1451"/>
      <c r="BE432" s="1451"/>
      <c r="BF432" s="1451"/>
      <c r="BG432" s="1451"/>
      <c r="BK432" s="1582"/>
      <c r="BL432" s="1583"/>
      <c r="BM432" s="1583"/>
      <c r="BN432" s="992"/>
      <c r="BP432" s="1582"/>
      <c r="BQ432" s="1584"/>
      <c r="BR432" s="1585"/>
      <c r="BS432" s="1584"/>
      <c r="BT432" s="1455"/>
    </row>
    <row r="433" spans="1:59" x14ac:dyDescent="0.15">
      <c r="H433" s="3990"/>
      <c r="K433" s="1246"/>
      <c r="AY433" s="1451">
        <f>AY432-AX432</f>
        <v>0</v>
      </c>
      <c r="AZ433" s="1451"/>
      <c r="BA433" s="1451">
        <f>BA432-AZ432</f>
        <v>0</v>
      </c>
      <c r="BB433" s="1451"/>
      <c r="BC433" s="1451"/>
      <c r="BD433" s="1451"/>
      <c r="BE433" s="1451"/>
      <c r="BF433" s="1451"/>
      <c r="BG433" s="1451"/>
    </row>
    <row r="435" spans="1:59" ht="16" x14ac:dyDescent="0.2">
      <c r="A435" s="1264"/>
      <c r="B435" s="1271" t="s">
        <v>1169</v>
      </c>
      <c r="C435" s="1264"/>
      <c r="D435" s="1264"/>
      <c r="E435" s="1264"/>
      <c r="F435" s="1264"/>
      <c r="G435" s="1264"/>
      <c r="H435" s="1273" t="s">
        <v>1170</v>
      </c>
      <c r="I435" s="1261"/>
      <c r="J435" s="1261"/>
      <c r="K435" s="1261"/>
      <c r="L435" s="1271" t="s">
        <v>1219</v>
      </c>
      <c r="M435" s="1264"/>
      <c r="N435" s="1264"/>
      <c r="O435" s="1264"/>
      <c r="P435" s="1264"/>
      <c r="Q435" s="1264"/>
      <c r="R435" s="1264"/>
      <c r="S435" s="1264"/>
      <c r="T435" s="1264"/>
      <c r="U435" s="1261"/>
      <c r="V435" s="1261"/>
      <c r="W435" s="1261"/>
      <c r="X435" s="1261"/>
      <c r="Y435" s="1261"/>
      <c r="Z435" s="1261"/>
      <c r="AB435" s="1271" t="s">
        <v>1172</v>
      </c>
      <c r="AC435" s="1264"/>
      <c r="AD435" s="1264"/>
      <c r="AE435" s="1264"/>
      <c r="AF435" s="1264"/>
      <c r="AG435" s="1264"/>
      <c r="AI435" s="1270" t="s">
        <v>1115</v>
      </c>
      <c r="AJ435" s="1116"/>
      <c r="AK435" s="1116"/>
      <c r="AX435" s="1271" t="s">
        <v>1173</v>
      </c>
      <c r="BD435" s="1271" t="s">
        <v>1174</v>
      </c>
    </row>
    <row r="436" spans="1:59" ht="16" x14ac:dyDescent="0.2">
      <c r="A436" s="1264"/>
      <c r="B436" s="1271" t="s">
        <v>1036</v>
      </c>
      <c r="C436" s="1264"/>
      <c r="D436" s="1271" t="s">
        <v>176</v>
      </c>
      <c r="E436" s="1264"/>
      <c r="F436" s="1271" t="s">
        <v>177</v>
      </c>
      <c r="G436" s="1264"/>
      <c r="H436" s="1273" t="s">
        <v>1037</v>
      </c>
      <c r="I436" s="1261"/>
      <c r="J436" s="1273" t="s">
        <v>176</v>
      </c>
      <c r="K436" s="1261"/>
      <c r="L436" s="1264" t="s">
        <v>1220</v>
      </c>
      <c r="M436" s="1264"/>
      <c r="N436" s="1264"/>
      <c r="O436" s="1264"/>
      <c r="P436" s="1264"/>
      <c r="Q436" s="1264"/>
      <c r="R436" s="1264"/>
      <c r="S436" s="1264"/>
      <c r="T436" s="1264"/>
      <c r="U436" s="1261"/>
      <c r="V436" s="1279"/>
      <c r="W436" s="1279"/>
      <c r="X436" s="1279"/>
      <c r="Y436" s="1279"/>
      <c r="Z436" s="1279"/>
      <c r="AB436" s="1271" t="s">
        <v>1175</v>
      </c>
      <c r="AC436" s="1264"/>
      <c r="AD436" s="1264"/>
      <c r="AE436" s="1264"/>
      <c r="AF436" s="1264"/>
      <c r="AG436" s="1264"/>
      <c r="AI436" s="1270" t="s">
        <v>1121</v>
      </c>
      <c r="AJ436" s="1116"/>
      <c r="AK436" s="1116"/>
      <c r="AX436" s="1450" t="s">
        <v>1036</v>
      </c>
      <c r="AY436" s="1450"/>
      <c r="AZ436" s="1450" t="s">
        <v>176</v>
      </c>
      <c r="BA436" s="1450"/>
      <c r="BB436" s="1450" t="s">
        <v>177</v>
      </c>
      <c r="BC436" s="1450"/>
      <c r="BD436" s="1450" t="s">
        <v>1037</v>
      </c>
      <c r="BE436" s="1450"/>
      <c r="BF436" s="1450" t="s">
        <v>176</v>
      </c>
      <c r="BG436" s="1450"/>
    </row>
    <row r="437" spans="1:59" ht="16" x14ac:dyDescent="0.2">
      <c r="A437" s="1264"/>
      <c r="B437" s="1264" t="s">
        <v>92</v>
      </c>
      <c r="C437" s="1264"/>
      <c r="D437" s="1264" t="s">
        <v>1044</v>
      </c>
      <c r="E437" s="1264"/>
      <c r="F437" s="1264" t="s">
        <v>1045</v>
      </c>
      <c r="G437" s="1264"/>
      <c r="H437" s="1261" t="s">
        <v>92</v>
      </c>
      <c r="I437" s="1261"/>
      <c r="J437" s="1261" t="s">
        <v>1044</v>
      </c>
      <c r="K437" s="1261"/>
      <c r="L437" s="1271" t="s">
        <v>1036</v>
      </c>
      <c r="M437" s="1264"/>
      <c r="N437" s="1271"/>
      <c r="O437" s="1271" t="s">
        <v>176</v>
      </c>
      <c r="P437" s="1264"/>
      <c r="Q437" s="1271"/>
      <c r="R437" s="1271" t="s">
        <v>177</v>
      </c>
      <c r="S437" s="1264"/>
      <c r="T437" s="1271"/>
      <c r="U437" s="1273" t="s">
        <v>1037</v>
      </c>
      <c r="V437" s="1261"/>
      <c r="W437" s="1273"/>
      <c r="X437" s="1273" t="s">
        <v>176</v>
      </c>
      <c r="Y437" s="1261"/>
      <c r="Z437" s="1273"/>
      <c r="AB437" s="1264" t="s">
        <v>1176</v>
      </c>
      <c r="AC437" s="1264"/>
      <c r="AD437" s="1264" t="s">
        <v>176</v>
      </c>
      <c r="AE437" s="1264"/>
      <c r="AF437" s="1264" t="s">
        <v>177</v>
      </c>
      <c r="AG437" s="1264"/>
      <c r="AI437" s="1270" t="s">
        <v>1177</v>
      </c>
      <c r="AJ437" s="1116"/>
      <c r="AK437" s="1116"/>
      <c r="AX437" s="1264" t="s">
        <v>859</v>
      </c>
      <c r="AZ437" s="1264" t="s">
        <v>859</v>
      </c>
      <c r="BB437" s="1264" t="s">
        <v>859</v>
      </c>
      <c r="BD437" s="1264" t="s">
        <v>859</v>
      </c>
      <c r="BF437" s="1264" t="s">
        <v>859</v>
      </c>
    </row>
    <row r="438" spans="1:59" x14ac:dyDescent="0.15">
      <c r="A438" s="1264"/>
      <c r="B438" s="1272" t="s">
        <v>864</v>
      </c>
      <c r="C438" s="1272" t="s">
        <v>66</v>
      </c>
      <c r="D438" s="1272" t="s">
        <v>864</v>
      </c>
      <c r="E438" s="1272" t="s">
        <v>66</v>
      </c>
      <c r="F438" s="1272" t="s">
        <v>864</v>
      </c>
      <c r="G438" s="1272" t="s">
        <v>66</v>
      </c>
      <c r="H438" s="1274" t="s">
        <v>864</v>
      </c>
      <c r="I438" s="1274" t="s">
        <v>66</v>
      </c>
      <c r="J438" s="1274" t="s">
        <v>864</v>
      </c>
      <c r="K438" s="1274" t="s">
        <v>66</v>
      </c>
      <c r="L438" s="973" t="s">
        <v>219</v>
      </c>
      <c r="M438" s="1102" t="s">
        <v>179</v>
      </c>
      <c r="N438" s="1103" t="s">
        <v>180</v>
      </c>
      <c r="O438" s="1688" t="s">
        <v>219</v>
      </c>
      <c r="P438" s="1102" t="s">
        <v>179</v>
      </c>
      <c r="Q438" s="1103" t="s">
        <v>180</v>
      </c>
      <c r="R438" s="1688" t="s">
        <v>219</v>
      </c>
      <c r="S438" s="1102" t="s">
        <v>179</v>
      </c>
      <c r="T438" s="1103" t="s">
        <v>180</v>
      </c>
      <c r="U438" s="1688" t="s">
        <v>219</v>
      </c>
      <c r="V438" s="1102" t="s">
        <v>179</v>
      </c>
      <c r="W438" s="1103" t="s">
        <v>180</v>
      </c>
      <c r="X438" s="1688" t="s">
        <v>219</v>
      </c>
      <c r="Y438" s="1102" t="s">
        <v>179</v>
      </c>
      <c r="Z438" s="1103" t="s">
        <v>180</v>
      </c>
      <c r="AB438" s="1102" t="s">
        <v>179</v>
      </c>
      <c r="AC438" s="1103" t="s">
        <v>180</v>
      </c>
      <c r="AD438" s="1102" t="s">
        <v>179</v>
      </c>
      <c r="AE438" s="1103" t="s">
        <v>180</v>
      </c>
      <c r="AF438" s="1102" t="s">
        <v>179</v>
      </c>
      <c r="AG438" s="1103" t="s">
        <v>180</v>
      </c>
      <c r="AI438" s="1102" t="s">
        <v>200</v>
      </c>
      <c r="AJ438" s="1103" t="s">
        <v>201</v>
      </c>
      <c r="AK438" s="1104" t="s">
        <v>324</v>
      </c>
      <c r="AX438" s="1272" t="s">
        <v>200</v>
      </c>
      <c r="AY438" s="1272" t="s">
        <v>201</v>
      </c>
      <c r="AZ438" s="1272" t="s">
        <v>200</v>
      </c>
      <c r="BA438" s="1272" t="s">
        <v>201</v>
      </c>
      <c r="BB438" s="1272" t="s">
        <v>200</v>
      </c>
      <c r="BC438" s="1272" t="s">
        <v>201</v>
      </c>
      <c r="BD438" s="1272" t="s">
        <v>200</v>
      </c>
      <c r="BE438" s="1272" t="s">
        <v>201</v>
      </c>
      <c r="BF438" s="1272" t="s">
        <v>200</v>
      </c>
      <c r="BG438" s="1272" t="s">
        <v>201</v>
      </c>
    </row>
    <row r="439" spans="1:59" x14ac:dyDescent="0.15">
      <c r="A439" s="1467" t="s">
        <v>1160</v>
      </c>
      <c r="B439" s="1044">
        <f>IFERROR(IF($C$405=list!$J$210,INDEX(IPCC!$A$1762:$J$1773,MATCH(clim_moist,IPCC!$A$1781:$A$1792,0),MATCH($C413,IPCC!$A$1781:$J$1781,0)),IF($C$405=list!$J$211,INDEX(IPCC!$A$1781:$J$1792,MATCH(clim_moist,IPCC!$A$1781:$A$1792,0),MATCH($C413,IPCC!$A$1781:$J$1781,0)))),0)</f>
        <v>0</v>
      </c>
      <c r="C439" s="1162">
        <f>IF('6.Inland wetlands'!$CG150="",'6.Inland wetlands'!$CF150,'6.Inland wetlands'!$CG150)</f>
        <v>0</v>
      </c>
      <c r="D439" s="1044">
        <f>IFERROR(IF($C$405=list!$J$210,INDEX(IPCC!$A$1818:$J$1829,MATCH(clim_moist,IPCC!$A$1818:$A$1829,0),MATCH($C413,IPCC!$A$1818:$J$1818,0)),IF($C413=list!$J$211,INDEX(IPCC!$A$1836:$J$1847,MATCH(clim_moist,IPCC!$A$1836:$A$1847,0),MATCH($C413,IPCC!$A$1836:$J$1836,0)))),0)</f>
        <v>0</v>
      </c>
      <c r="E439" s="1162">
        <f>IF('6.Inland wetlands'!$CI150="",'6.Inland wetlands'!$CH150,'6.Inland wetlands'!$CI150)</f>
        <v>0</v>
      </c>
      <c r="F439" s="1044">
        <f>IFERROR(IF($C$405=list!$J$210,INDEX(IPCC!$A$1872:$J$1883,MATCH(clim_moist,IPCC!$A$1872:$A$1883,0),MATCH($C413,IPCC!$A$1872:$J$1872,0)),IF($C$405=list!$J$211,INDEX(IPCC!$A$1890:$J$1901,MATCH(clim_moist,IPCC!$A$1890:$A$1901,0),MATCH('Inl. wetlands'!$C413,IPCC!$A$1890:$J$1890,0)))),0)</f>
        <v>0</v>
      </c>
      <c r="G439" s="1162">
        <f>IF('6.Inland wetlands'!$CK150="",'6.Inland wetlands'!$CJ150,'6.Inland wetlands'!$CK150)</f>
        <v>0</v>
      </c>
      <c r="H439" s="1044">
        <f>IFERROR(IF($C$405=list!$J$210,INDEX(IPCC!$A$1800:$J$1811,MATCH(clim_moist,IPCC!$A$1800:$A$1811,0),MATCH($C413,IPCC!$A$1800:$J$1800,0)),IF($C$405=list!$J$211,INDEX(IPCC!$A$1800:$J$1811,MATCH(clim_moist,IPCC!$A$1800:$A$1811,0),MATCH('Inl. wetlands'!$C413,IPCC!$A$1800:$J$1800,0)))),0)</f>
        <v>0</v>
      </c>
      <c r="I439" s="1162">
        <f>IF('6.Inland wetlands'!$CN150="",'6.Inland wetlands'!$CM150,'6.Inland wetlands'!$CN150)</f>
        <v>0</v>
      </c>
      <c r="J439" s="1111">
        <f>IFERROR(IF($C$405=list!$J$210,INDEX(IPCC!$A$1854:$J$1865,MATCH(clim_moist,IPCC!$A$1854:$A$1865,0),MATCH($C413,IPCC!$A$1854:$J$1854,0)),IF($C$405=list!$J$211,INDEX(IPCC!$A$1854:$J$1865,MATCH(clim_moist,IPCC!$A$1854:$A$1865,0),MATCH('Inl. wetlands'!$C413,IPCC!$A$1854:$J$1854,0)))),0)</f>
        <v>0</v>
      </c>
      <c r="K439" s="1161">
        <f>IF('6.Inland wetlands'!$CP150="",'6.Inland wetlands'!$CO150,'6.Inland wetlands'!$CP150)</f>
        <v>0</v>
      </c>
      <c r="L439" s="3468">
        <f>IF('6.Inland wetlands'!M150&gt;0,'Inl. wetlands'!$C439*44/12*'6.Inland wetlands'!M150,0)</f>
        <v>0</v>
      </c>
      <c r="M439" s="3468">
        <f>IF('6.Inland wetlands'!N150&gt;0,'Inl. wetlands'!$C439*44/12*'6.Inland wetlands'!N150,0)</f>
        <v>0</v>
      </c>
      <c r="N439" s="3468">
        <f>IF('6.Inland wetlands'!P150&gt;0,'Inl. wetlands'!$C439*44/12*'6.Inland wetlands'!P150,0)</f>
        <v>0</v>
      </c>
      <c r="O439" s="3468">
        <f>IFERROR(IF('6.Inland wetlands'!M150&gt;0,'Inl. wetlands'!$E439*methane/1000*'6.Inland wetlands'!M150*(1-'6.Inland wetlands'!$W150),0),0)</f>
        <v>0</v>
      </c>
      <c r="P439" s="3468">
        <f>IFERROR(IF('6.Inland wetlands'!N150&gt;0,'Inl. wetlands'!$E439/1000*methane*'6.Inland wetlands'!N150*(1-'6.Inland wetlands'!$X150),0),0)</f>
        <v>0</v>
      </c>
      <c r="Q439" s="3468">
        <f>IFERROR(IF('6.Inland wetlands'!P150&gt;0,'Inl. wetlands'!$E439/1000*methane*'6.Inland wetlands'!P150*(1-'6.Inland wetlands'!Y150),0),0)</f>
        <v>0</v>
      </c>
      <c r="R439" s="3468">
        <f>IF('6.Inland wetlands'!M150&gt;0,'Inl. wetlands'!$G439/1000*44/28*Nitrous*'6.Inland wetlands'!M150,0)</f>
        <v>0</v>
      </c>
      <c r="S439" s="3468">
        <f>IF('6.Inland wetlands'!N150&gt;0,'Inl. wetlands'!$G439/1000*44/28*Nitrous*'6.Inland wetlands'!N150,0)</f>
        <v>0</v>
      </c>
      <c r="T439" s="3468">
        <f>IF('6.Inland wetlands'!P150&gt;0,'Inl. wetlands'!$G439/1000*44/28*Nitrous*'6.Inland wetlands'!P150,0)</f>
        <v>0</v>
      </c>
      <c r="U439" s="3468">
        <f>IF('6.Inland wetlands'!M150&gt;0,'Inl. wetlands'!$I439*44/12*'6.Inland wetlands'!M150,0)</f>
        <v>0</v>
      </c>
      <c r="V439" s="3468">
        <f>IF('6.Inland wetlands'!N150&gt;0,'Inl. wetlands'!$I439*44/12*'6.Inland wetlands'!N150,0)</f>
        <v>0</v>
      </c>
      <c r="W439" s="3468">
        <f>IF('6.Inland wetlands'!P150&gt;0,'Inl. wetlands'!$I439*44/12*'6.Inland wetlands'!P150,0)</f>
        <v>0</v>
      </c>
      <c r="X439" s="3468">
        <f>IF('6.Inland wetlands'!M150&gt;0,'Inl. wetlands'!$K439*methane/1000*'6.Inland wetlands'!M150*'6.Inland wetlands'!$W150,0)</f>
        <v>0</v>
      </c>
      <c r="Y439" s="3468">
        <f>IF('6.Inland wetlands'!N150&gt;0,'Inl. wetlands'!$K439/1000*methane*'6.Inland wetlands'!N150*'6.Inland wetlands'!$X150,0)</f>
        <v>0</v>
      </c>
      <c r="Z439" s="3468">
        <f>IF('6.Inland wetlands'!P150&gt;0,'Inl. wetlands'!$K439/1000*methane*'6.Inland wetlands'!P150*'6.Inland wetlands'!$Y150,0)</f>
        <v>0</v>
      </c>
      <c r="AB439" s="3468">
        <f>MIN(SUM('Inl. wetlands'!$L439,'Inl. wetlands'!$U439),SUM('Inl. wetlands'!$M439,'Inl. wetlands'!$V439))*time_tot+ABS(SUM('Inl. wetlands'!$M439,'Inl. wetlands'!$V439)-SUM('Inl. wetlands'!$L439,'Inl. wetlands'!$U439))*IF(SUM('Inl. wetlands'!$M439,'Inl. wetlands'!$V439)&gt;SUM('Inl. wetlands'!$L439,'Inl. wetlands'!$U439),time_cap+time*(VLOOKUP($G413,list!$J$48:$K$50,2,0)),time*(1-(VLOOKUP($G413,list!$J$48:$K$50,2,0))))</f>
        <v>0</v>
      </c>
      <c r="AC439" s="3468">
        <f>MIN(SUM('Inl. wetlands'!$L439,'Inl. wetlands'!$U439),SUM('Inl. wetlands'!$N439,'Inl. wetlands'!$W439))*time_tot+ABS(SUM('Inl. wetlands'!$N439,'Inl. wetlands'!$W439)-SUM('Inl. wetlands'!$L439,'Inl. wetlands'!$U439))*IF(SUM('Inl. wetlands'!$N439,'Inl. wetlands'!$W439)&gt;SUM('Inl. wetlands'!$L439,'Inl. wetlands'!$U439),time_cap+time*(VLOOKUP($K413,list!$J$48:$K$50,2,0)),time*(1-(VLOOKUP($K413,list!$J$48:$K$50,2,0))))</f>
        <v>0</v>
      </c>
      <c r="AD439" s="3468">
        <f>MIN(SUM('Inl. wetlands'!$O439,'Inl. wetlands'!$X439),SUM('Inl. wetlands'!$P439,'Inl. wetlands'!$Y439))*time_tot+ABS(SUM('Inl. wetlands'!$P439,'Inl. wetlands'!$Y439)-SUM('Inl. wetlands'!$O439,'Inl. wetlands'!$X439))*IF(SUM('Inl. wetlands'!$P439,'Inl. wetlands'!$Y439)&gt;SUM('Inl. wetlands'!$O439,'Inl. wetlands'!$X439),time_cap+time*(VLOOKUP($G413,list!$J$48:$K$50,2,0)),time*(1-(VLOOKUP($G413,list!$J$48:$K$50,2,0))))</f>
        <v>0</v>
      </c>
      <c r="AE439" s="3468">
        <f>MIN(SUM('Inl. wetlands'!$O439,'Inl. wetlands'!$X439),SUM('Inl. wetlands'!$Q439,'Inl. wetlands'!$Z439))*time_tot+ABS(SUM('Inl. wetlands'!$Q439,'Inl. wetlands'!$Z439)-SUM('Inl. wetlands'!$O439,'Inl. wetlands'!$X439))*IF(SUM('Inl. wetlands'!$Q439,'Inl. wetlands'!$Z439)&gt;SUM('Inl. wetlands'!$O439,'Inl. wetlands'!$X439),time_cap+time*(VLOOKUP($K413,list!$J$48:$K$50,2,0)),time*(1-(VLOOKUP($K413,list!$J$48:$K$50,2,0))))</f>
        <v>0</v>
      </c>
      <c r="AF439" s="3468">
        <f>MIN('Inl. wetlands'!$R439,'Inl. wetlands'!$S439)*time_tot+ABS('Inl. wetlands'!$S439-'Inl. wetlands'!$R439)*IF('Inl. wetlands'!$S439&gt;'Inl. wetlands'!$R439,time_cap+time*(VLOOKUP($G413,list!$J$48:$K$50,2,0)),time*(1-(VLOOKUP($G413,list!$J$48:$K$50,2,0))))</f>
        <v>0</v>
      </c>
      <c r="AG439" s="3468">
        <f>MIN('Inl. wetlands'!$R439,'Inl. wetlands'!$T439)*time_tot+ABS('Inl. wetlands'!$T439-'Inl. wetlands'!$R439)*IF('Inl. wetlands'!$T439&gt;'Inl. wetlands'!$R439,time_cap+time*(VLOOKUP($K413,list!$J$48:$K$50,2,0)),time*(1-(VLOOKUP($K413,list!$J$48:$K$50,2,0))))</f>
        <v>0</v>
      </c>
      <c r="AI439" s="3470">
        <f t="shared" ref="AI439:AJ444" si="208">SUM(AB439,AD439,AF439)</f>
        <v>0</v>
      </c>
      <c r="AJ439" s="3470">
        <f t="shared" si="208"/>
        <v>0</v>
      </c>
      <c r="AK439" s="1160">
        <f t="shared" ref="AK439:AK444" si="209">AJ439-AI439</f>
        <v>0</v>
      </c>
      <c r="AX439" s="1449">
        <f>MIN('Inl. wetlands'!$L439,'Inl. wetlands'!$M439)*time+ABS('Inl. wetlands'!$M439-'Inl. wetlands'!$L439)*IF('Inl. wetlands'!$M439&gt;'Inl. wetlands'!$L439,time*(VLOOKUP($G413,list!$J$48:$K$50,2,0)),time*(1-(VLOOKUP($G413,list!$J$48:$K$50,2,0))))</f>
        <v>0</v>
      </c>
      <c r="AY439" s="1449">
        <f>MIN('Inl. wetlands'!$L439,'Inl. wetlands'!$N439)*time+ABS('Inl. wetlands'!$N439-'Inl. wetlands'!$L439)*IF('Inl. wetlands'!$N439&gt;'Inl. wetlands'!$L439,time*(VLOOKUP($K413,list!$J$48:$K$50,2,0)),time*(1-(VLOOKUP($K413,list!$J$48:$K$50,2,0))))</f>
        <v>0</v>
      </c>
      <c r="AZ439" s="1449">
        <f>MIN('Inl. wetlands'!$O439,'Inl. wetlands'!$P439)*time+ABS('Inl. wetlands'!$P439-'Inl. wetlands'!$O439)*IF('Inl. wetlands'!$P439&gt;'Inl. wetlands'!$O439,time*(VLOOKUP($G413,list!$J$48:$K$50,2,0)),time*(1-(VLOOKUP($G413,list!$J$48:$K$50,2,0))))</f>
        <v>0</v>
      </c>
      <c r="BA439" s="1449">
        <f>MIN('Inl. wetlands'!$O439,'Inl. wetlands'!$Q439)*time+ABS('Inl. wetlands'!$Q439-'Inl. wetlands'!$O439)*IF('Inl. wetlands'!$Q439&gt;'Inl. wetlands'!$O439,time*(VLOOKUP($K413,list!$J$48:$K$50,2,0)),time*(1-(VLOOKUP($K413,list!$J$48:$K$50,2,0))))</f>
        <v>0</v>
      </c>
      <c r="BB439" s="1449">
        <f>MIN('Inl. wetlands'!$R439,'Inl. wetlands'!$S439)*time+ABS('Inl. wetlands'!$S439-'Inl. wetlands'!$R439)*IF('Inl. wetlands'!$S439&gt;'Inl. wetlands'!$R439,time*(VLOOKUP($G413,list!$J$48:$K$50,2,0)),time*(1-(VLOOKUP($G413,list!$J$48:$K$50,2,0))))</f>
        <v>0</v>
      </c>
      <c r="BC439" s="1449">
        <f>MIN('Inl. wetlands'!$R439,'Inl. wetlands'!$T439)*time+ABS('Inl. wetlands'!$T439-'Inl. wetlands'!$R439)*IF('Inl. wetlands'!$T439&gt;'Inl. wetlands'!$R439,time*(VLOOKUP($K413,list!$J$48:$K$50,2,0)),time*(1-(VLOOKUP($K413,list!$J$48:$K$50,2,0))))</f>
        <v>0</v>
      </c>
      <c r="BD439" s="1449">
        <f>MIN('Inl. wetlands'!$U439,'Inl. wetlands'!$V439)*time+ABS('Inl. wetlands'!$V439-'Inl. wetlands'!$U439)*IF('Inl. wetlands'!$V439&gt;'Inl. wetlands'!$U439,time*(VLOOKUP($G413,list!$J$48:$K$50,2,0)),time*(1-(VLOOKUP($G413,list!$J$48:$K$50,2,0))))</f>
        <v>0</v>
      </c>
      <c r="BE439" s="1449">
        <f>MIN('Inl. wetlands'!$U439,'Inl. wetlands'!$W439)*time+ABS('Inl. wetlands'!$W439-'Inl. wetlands'!$U439)*IF('Inl. wetlands'!$W439&gt;'Inl. wetlands'!$U439,time*(VLOOKUP($K413,list!$J$48:$K$50,2,0)),time*(1-(VLOOKUP($K413,list!$J$48:$K$50,2,0))))</f>
        <v>0</v>
      </c>
      <c r="BF439" s="1449">
        <f>MIN('Inl. wetlands'!$X439,'Inl. wetlands'!$Y439)*time+ABS('Inl. wetlands'!$Y439-'Inl. wetlands'!$X439)*IF('Inl. wetlands'!$Y439&gt;'Inl. wetlands'!$X439,time*(VLOOKUP($G413,list!$J$48:$K$50,2,0)),time*(1-(VLOOKUP($G413,list!$J$48:$K$50,2,0))))</f>
        <v>0</v>
      </c>
      <c r="BG439" s="1449">
        <f>MIN('Inl. wetlands'!$X439,'Inl. wetlands'!$Z439)*time+ABS('Inl. wetlands'!$Z439-'Inl. wetlands'!$X439)*IF('Inl. wetlands'!$Z439&gt;'Inl. wetlands'!$X439,time*(VLOOKUP($K413,list!$J$48:$K$50,2,0)),time*(1-(VLOOKUP($K413,list!$J$48:$K$50,2,0))))</f>
        <v>0</v>
      </c>
    </row>
    <row r="440" spans="1:59" x14ac:dyDescent="0.15">
      <c r="A440" s="1467" t="s">
        <v>1161</v>
      </c>
      <c r="B440" s="1044">
        <f>IFERROR(IF($C$405=list!$J$210,INDEX(IPCC!$A$1762:$J$1773,MATCH(clim_moist,IPCC!$A$1781:$A$1792,0),MATCH($C414,IPCC!$A$1781:$J$1781,0)),IF($C$405=list!$J$211,INDEX(IPCC!$A$1781:$J$1792,MATCH(clim_moist,IPCC!$A$1781:$A$1792,0),MATCH($C414,IPCC!$A$1781:$J$1781,0)))),0)</f>
        <v>0</v>
      </c>
      <c r="C440" s="1162">
        <f>IF('6.Inland wetlands'!$CG151="",'6.Inland wetlands'!$CF151,'6.Inland wetlands'!$CG151)</f>
        <v>0</v>
      </c>
      <c r="D440" s="1044">
        <f>IFERROR(IF($C$405=list!$J$210,INDEX(IPCC!$A$1818:$J$1829,MATCH(clim_moist,IPCC!$A$1818:$A$1829,0),MATCH($C414,IPCC!$A$1818:$J$1818,0)),IF($C414=list!$J$211,INDEX(IPCC!$A$1836:$J$1847,MATCH(clim_moist,IPCC!$A$1836:$A$1847,0),MATCH($C414,IPCC!$A$1836:$J$1836,0)))),0)</f>
        <v>0</v>
      </c>
      <c r="E440" s="1162">
        <f>IF('6.Inland wetlands'!$CI151="",'6.Inland wetlands'!$CH151,'6.Inland wetlands'!$CI151)</f>
        <v>0</v>
      </c>
      <c r="F440" s="1044">
        <f>IFERROR(IF($C$405=list!$J$210,INDEX(IPCC!$A$1872:$J$1883,MATCH(clim_moist,IPCC!$A$1872:$A$1883,0),MATCH($C414,IPCC!$A$1872:$J$1872,0)),IF($C$405=list!$J$211,INDEX(IPCC!$A$1890:$J$1901,MATCH(clim_moist,IPCC!$A$1890:$A$1901,0),MATCH('Inl. wetlands'!$C414,IPCC!$A$1890:$J$1890,0)))),0)</f>
        <v>0</v>
      </c>
      <c r="G440" s="1162">
        <f>IF('6.Inland wetlands'!$CK151="",'6.Inland wetlands'!$CJ151,'6.Inland wetlands'!$CK151)</f>
        <v>0</v>
      </c>
      <c r="H440" s="1044">
        <f>IFERROR(IF($C$405=list!$J$210,INDEX(IPCC!$A$1800:$J$1811,MATCH(clim_moist,IPCC!$A$1800:$A$1811,0),MATCH($C414,IPCC!$A$1800:$J$1800,0)),IF($C$405=list!$J$211,INDEX(IPCC!$A$1800:$J$1811,MATCH(clim_moist,IPCC!$A$1800:$A$1811,0),MATCH('Inl. wetlands'!$C414,IPCC!$A$1800:$J$1800,0)))),0)</f>
        <v>0</v>
      </c>
      <c r="I440" s="1162">
        <f>IF('6.Inland wetlands'!$CN151="",'6.Inland wetlands'!$CM151,'6.Inland wetlands'!$CN151)</f>
        <v>0</v>
      </c>
      <c r="J440" s="1111">
        <f>IFERROR(IF($C$405=list!$J$210,INDEX(IPCC!$A$1854:$J$1865,MATCH(clim_moist,IPCC!$A$1854:$A$1865,0),MATCH($C414,IPCC!$A$1854:$J$1854,0)),IF($C$405=list!$J$211,INDEX(IPCC!$A$1854:$J$1865,MATCH(clim_moist,IPCC!$A$1854:$A$1865,0),MATCH('Inl. wetlands'!$C414,IPCC!$A$1854:$J$1854,0)))),0)</f>
        <v>0</v>
      </c>
      <c r="K440" s="1161">
        <f>IF('6.Inland wetlands'!$CP151="",'6.Inland wetlands'!$CO151,'6.Inland wetlands'!$CP151)</f>
        <v>0</v>
      </c>
      <c r="L440" s="3468">
        <f>IF('6.Inland wetlands'!M151&gt;0,'Inl. wetlands'!$C440*44/12*'6.Inland wetlands'!M151,0)</f>
        <v>0</v>
      </c>
      <c r="M440" s="3468">
        <f>IF('6.Inland wetlands'!N151&gt;0,'Inl. wetlands'!$C440*44/12*'6.Inland wetlands'!N151,0)</f>
        <v>0</v>
      </c>
      <c r="N440" s="3468">
        <f>IF('6.Inland wetlands'!P151&gt;0,'Inl. wetlands'!$C440*44/12*'6.Inland wetlands'!P151,0)</f>
        <v>0</v>
      </c>
      <c r="O440" s="3468">
        <f>IFERROR(IF('6.Inland wetlands'!M151&gt;0,'Inl. wetlands'!$E440*methane/1000*'6.Inland wetlands'!M151*(1-'6.Inland wetlands'!$W151),0),0)</f>
        <v>0</v>
      </c>
      <c r="P440" s="3468">
        <f>IFERROR(IF('6.Inland wetlands'!N151&gt;0,'Inl. wetlands'!$E440/1000*methane*'6.Inland wetlands'!N151*(1-'6.Inland wetlands'!$X151),0),0)</f>
        <v>0</v>
      </c>
      <c r="Q440" s="3468">
        <f>IFERROR(IF('6.Inland wetlands'!P151&gt;0,'Inl. wetlands'!$E440/1000*methane*'6.Inland wetlands'!P151*(1-'6.Inland wetlands'!Y151),0),0)</f>
        <v>0</v>
      </c>
      <c r="R440" s="3468">
        <f>IF('6.Inland wetlands'!M151&gt;0,'Inl. wetlands'!$G440/1000*44/28*Nitrous*'6.Inland wetlands'!M151,0)</f>
        <v>0</v>
      </c>
      <c r="S440" s="3468">
        <f>IF('6.Inland wetlands'!N151&gt;0,'Inl. wetlands'!$G440/1000*44/28*Nitrous*'6.Inland wetlands'!N151,0)</f>
        <v>0</v>
      </c>
      <c r="T440" s="3468">
        <f>IF('6.Inland wetlands'!P151&gt;0,'Inl. wetlands'!$G440/1000*44/28*Nitrous*'6.Inland wetlands'!P151,0)</f>
        <v>0</v>
      </c>
      <c r="U440" s="3468">
        <f>IF('6.Inland wetlands'!M151&gt;0,'Inl. wetlands'!$I440*44/12*'6.Inland wetlands'!M151,0)</f>
        <v>0</v>
      </c>
      <c r="V440" s="3468">
        <f>IF('6.Inland wetlands'!N151&gt;0,'Inl. wetlands'!$I440*44/12*'6.Inland wetlands'!N151,0)</f>
        <v>0</v>
      </c>
      <c r="W440" s="3468">
        <f>IF('6.Inland wetlands'!P151&gt;0,'Inl. wetlands'!$I440*44/12*'6.Inland wetlands'!P151,0)</f>
        <v>0</v>
      </c>
      <c r="X440" s="3468">
        <f>IF('6.Inland wetlands'!M151&gt;0,'Inl. wetlands'!$K440*methane/1000*'6.Inland wetlands'!M151*'6.Inland wetlands'!$W151,0)</f>
        <v>0</v>
      </c>
      <c r="Y440" s="3468">
        <f>IF('6.Inland wetlands'!N151&gt;0,'Inl. wetlands'!$K440/1000*methane*'6.Inland wetlands'!N151*'6.Inland wetlands'!$X151,0)</f>
        <v>0</v>
      </c>
      <c r="Z440" s="3468">
        <f>IF('6.Inland wetlands'!P151&gt;0,'Inl. wetlands'!$K440/1000*methane*'6.Inland wetlands'!P151*'6.Inland wetlands'!$Y151,0)</f>
        <v>0</v>
      </c>
      <c r="AB440" s="3468">
        <f>MIN(SUM('Inl. wetlands'!$L440,'Inl. wetlands'!$U440),SUM('Inl. wetlands'!$M440,'Inl. wetlands'!$V440))*time_tot+ABS(SUM('Inl. wetlands'!$M440,'Inl. wetlands'!$V440)-SUM('Inl. wetlands'!$L440,'Inl. wetlands'!$U440))*IF(SUM('Inl. wetlands'!$M440,'Inl. wetlands'!$V440)&gt;SUM('Inl. wetlands'!$L440,'Inl. wetlands'!$U440),time_cap+time*(VLOOKUP($G414,list!$J$48:$K$50,2,0)),time*(1-(VLOOKUP($G414,list!$J$48:$K$50,2,0))))</f>
        <v>0</v>
      </c>
      <c r="AC440" s="3468">
        <f>MIN(SUM($L440,$U440),SUM($N440,$W440))*time_tot+ABS(SUM($N440,$W440)-SUM($L440,$U440))*IF(SUM($N440,$W440)&gt;SUM($L440,$U440),time_cap+time*(VLOOKUP($K414,list!$J$48:$K$50,2,0)),time*(1-(VLOOKUP($K414,list!$J$48:$K$50,2,0))))</f>
        <v>0</v>
      </c>
      <c r="AD440" s="3468">
        <f>MIN(SUM('Inl. wetlands'!$O440,'Inl. wetlands'!$X440),SUM('Inl. wetlands'!$P440,'Inl. wetlands'!$Y440))*time_tot+ABS(SUM('Inl. wetlands'!$P440,'Inl. wetlands'!$Y440)-SUM('Inl. wetlands'!$O440,'Inl. wetlands'!$X440))*IF(SUM('Inl. wetlands'!$P440,'Inl. wetlands'!$Y440)&gt;SUM('Inl. wetlands'!$O440,'Inl. wetlands'!$X440),time_cap+time*(VLOOKUP($G414,list!$J$48:$K$50,2,0)),time*(1-(VLOOKUP($G414,list!$J$48:$K$50,2,0))))</f>
        <v>0</v>
      </c>
      <c r="AE440" s="3468">
        <f>MIN(SUM($O440,$X440),SUM($Q440,$Z440))*time_tot+ABS(SUM($Q440,$Z440)-SUM($O440,$X440))*IF(SUM($Q440,$Z440)&gt;SUM($O440,$X440),time_cap+time*(VLOOKUP($K414,list!$J$48:$K$50,2,0)),time*(1-(VLOOKUP($K414,list!$J$48:$K$50,2,0))))</f>
        <v>0</v>
      </c>
      <c r="AF440" s="3468">
        <f>MIN('Inl. wetlands'!$R440,'Inl. wetlands'!$S440)*time_tot+ABS('Inl. wetlands'!$S440-'Inl. wetlands'!$R440)*IF('Inl. wetlands'!$S440&gt;'Inl. wetlands'!$R440,time_cap+time*(VLOOKUP($G414,list!$J$48:$K$50,2,0)),time*(1-(VLOOKUP($G414,list!$J$48:$K$50,2,0))))</f>
        <v>0</v>
      </c>
      <c r="AG440" s="3468">
        <f>MIN($R440,$T440)*time_tot+ABS($T440-$R440)*IF($T440&gt;$R440,time_cap+time*(VLOOKUP($K414,list!$J$48:$K$50,2,0)),time*(1-(VLOOKUP($K414,list!$J$48:$K$50,2,0))))</f>
        <v>0</v>
      </c>
      <c r="AI440" s="3470">
        <f t="shared" si="208"/>
        <v>0</v>
      </c>
      <c r="AJ440" s="3470">
        <f t="shared" si="208"/>
        <v>0</v>
      </c>
      <c r="AK440" s="3473">
        <f t="shared" si="209"/>
        <v>0</v>
      </c>
      <c r="AX440" s="1449">
        <f>MIN($L440,$M440)*time+ABS($M440-$L440)*IF($M440&gt;$L440,time*(VLOOKUP($G414,list!$J$48:$K$50,2,0)),time*(1-(VLOOKUP($G414,list!$J$48:$K$50,2,0))))</f>
        <v>0</v>
      </c>
      <c r="AY440" s="1449">
        <f>MIN($L440,$N440)*time+ABS($N440-$L440)*IF($N440&gt;$L440,time*(VLOOKUP($K414,list!$J$48:$K$50,2,0)),time*(1-(VLOOKUP($K414,list!$J$48:$K$50,2,0))))</f>
        <v>0</v>
      </c>
      <c r="AZ440" s="1449">
        <f>MIN($O440,$P440)*time+ABS($P440-$O440)*IF($P440&gt;$O440,time*(VLOOKUP($G414,list!$J$48:$K$50,2,0)),time*(1-(VLOOKUP($G414,list!$J$48:$K$50,2,0))))</f>
        <v>0</v>
      </c>
      <c r="BA440" s="1449">
        <f>MIN($O440,$Q440)*time+ABS($Q440-$O440)*IF($Q440&gt;$O440,time*(VLOOKUP($K414,list!$J$48:$K$50,2,0)),time*(1-(VLOOKUP($K414,list!$J$48:$K$50,2,0))))</f>
        <v>0</v>
      </c>
      <c r="BB440" s="1449">
        <f>MIN($R440,$S440)*time+ABS($S440-$R440)*IF($S440&gt;$R440,time*(VLOOKUP($G414,list!$J$48:$K$50,2,0)),time*(1-(VLOOKUP($G414,list!$J$48:$K$50,2,0))))</f>
        <v>0</v>
      </c>
      <c r="BC440" s="1449">
        <f>MIN($R440,$T440)*time+ABS($T440-$R440)*IF($T440&gt;$R440,time*(VLOOKUP($K414,list!$J$48:$K$50,2,0)),time*(1-(VLOOKUP($K414,list!$J$48:$K$50,2,0))))</f>
        <v>0</v>
      </c>
      <c r="BD440" s="1449">
        <f>MIN($U440,$V440)*time+ABS($V440-$U440)*IF($V440&gt;$U440,time*(VLOOKUP($G414,list!$J$48:$K$50,2,0)),time*(1-(VLOOKUP($G414,list!$J$48:$K$50,2,0))))</f>
        <v>0</v>
      </c>
      <c r="BE440" s="1449">
        <f>MIN($U440,$W440)*time+ABS($W440-$U440)*IF($W440&gt;$U440,time*(VLOOKUP($K414,list!$J$48:$K$50,2,0)),time*(1-(VLOOKUP($K414,list!$J$48:$K$50,2,0))))</f>
        <v>0</v>
      </c>
      <c r="BF440" s="1449">
        <f>MIN($X440,$Y440)*time+ABS($Y440-$X440)*IF($Y440&gt;$X440,time*(VLOOKUP($G414,list!$J$48:$K$50,2,0)),time*(1-(VLOOKUP($G414,list!$J$48:$K$50,2,0))))</f>
        <v>0</v>
      </c>
      <c r="BG440" s="1449">
        <f>MIN($X440,$Z440)*time+ABS($Z440-$X440)*IF($Z440&gt;$X440,time*(VLOOKUP($K414,list!$J$48:$K$50,2,0)),time*(1-(VLOOKUP($K414,list!$J$48:$K$50,2,0))))</f>
        <v>0</v>
      </c>
    </row>
    <row r="441" spans="1:59" x14ac:dyDescent="0.15">
      <c r="A441" s="1467" t="s">
        <v>1162</v>
      </c>
      <c r="B441" s="1044">
        <f>IFERROR(IF($C$405=list!$J$210,INDEX(IPCC!$A$1762:$J$1773,MATCH(clim_moist,IPCC!$A$1781:$A$1792,0),MATCH($C415,IPCC!$A$1781:$J$1781,0)),IF($C$405=list!$J$211,INDEX(IPCC!$A$1781:$J$1792,MATCH(clim_moist,IPCC!$A$1781:$A$1792,0),MATCH($C415,IPCC!$A$1781:$J$1781,0)))),0)</f>
        <v>0</v>
      </c>
      <c r="C441" s="1162">
        <f>IF('6.Inland wetlands'!$CG152="",'6.Inland wetlands'!$CF152,'6.Inland wetlands'!$CG152)</f>
        <v>0</v>
      </c>
      <c r="D441" s="1044">
        <f>IFERROR(IF($C$405=list!$J$210,INDEX(IPCC!$A$1818:$J$1829,MATCH(clim_moist,IPCC!$A$1818:$A$1829,0),MATCH($C415,IPCC!$A$1818:$J$1818,0)),IF($C415=list!$J$211,INDEX(IPCC!$A$1836:$J$1847,MATCH(clim_moist,IPCC!$A$1836:$A$1847,0),MATCH($C415,IPCC!$A$1836:$J$1836,0)))),0)</f>
        <v>0</v>
      </c>
      <c r="E441" s="1162">
        <f>IF('6.Inland wetlands'!$CI152="",'6.Inland wetlands'!$CH152,'6.Inland wetlands'!$CI152)</f>
        <v>0</v>
      </c>
      <c r="F441" s="1044">
        <f>IFERROR(IF($C$405=list!$J$210,INDEX(IPCC!$A$1872:$J$1883,MATCH(clim_moist,IPCC!$A$1872:$A$1883,0),MATCH($C415,IPCC!$A$1872:$J$1872,0)),IF($C$405=list!$J$211,INDEX(IPCC!$A$1890:$J$1901,MATCH(clim_moist,IPCC!$A$1890:$A$1901,0),MATCH('Inl. wetlands'!$C415,IPCC!$A$1890:$J$1890,0)))),0)</f>
        <v>0</v>
      </c>
      <c r="G441" s="1162">
        <f>IF('6.Inland wetlands'!$CK152="",'6.Inland wetlands'!$CJ152,'6.Inland wetlands'!$CK152)</f>
        <v>0</v>
      </c>
      <c r="H441" s="1044">
        <f>IFERROR(IF($C$405=list!$J$210,INDEX(IPCC!$A$1800:$J$1811,MATCH(clim_moist,IPCC!$A$1800:$A$1811,0),MATCH($C415,IPCC!$A$1800:$J$1800,0)),IF($C$405=list!$J$211,INDEX(IPCC!$A$1800:$J$1811,MATCH(clim_moist,IPCC!$A$1800:$A$1811,0),MATCH('Inl. wetlands'!$C415,IPCC!$A$1800:$J$1800,0)))),0)</f>
        <v>0</v>
      </c>
      <c r="I441" s="1162">
        <f>IF('6.Inland wetlands'!$CN152="",'6.Inland wetlands'!$CM152,'6.Inland wetlands'!$CN152)</f>
        <v>0</v>
      </c>
      <c r="J441" s="1111">
        <f>IFERROR(IF($C$405=list!$J$210,INDEX(IPCC!$A$1854:$J$1865,MATCH(clim_moist,IPCC!$A$1854:$A$1865,0),MATCH($C415,IPCC!$A$1854:$J$1854,0)),IF($C$405=list!$J$211,INDEX(IPCC!$A$1854:$J$1865,MATCH(clim_moist,IPCC!$A$1854:$A$1865,0),MATCH('Inl. wetlands'!$C415,IPCC!$A$1854:$J$1854,0)))),0)</f>
        <v>0</v>
      </c>
      <c r="K441" s="1161">
        <f>IF('6.Inland wetlands'!$CP152="",'6.Inland wetlands'!$CO152,'6.Inland wetlands'!$CP152)</f>
        <v>0</v>
      </c>
      <c r="L441" s="3468">
        <f>IF('6.Inland wetlands'!M152&gt;0,'Inl. wetlands'!$C441*44/12*'6.Inland wetlands'!M152,0)</f>
        <v>0</v>
      </c>
      <c r="M441" s="3468">
        <f>IF('6.Inland wetlands'!N152&gt;0,'Inl. wetlands'!$C441*44/12*'6.Inland wetlands'!N152,0)</f>
        <v>0</v>
      </c>
      <c r="N441" s="3468">
        <f>IF('6.Inland wetlands'!P152&gt;0,'Inl. wetlands'!$C441*44/12*'6.Inland wetlands'!P152,0)</f>
        <v>0</v>
      </c>
      <c r="O441" s="3468">
        <f>IFERROR(IF('6.Inland wetlands'!M152&gt;0,'Inl. wetlands'!$E441*methane/1000*'6.Inland wetlands'!M152*(1-'6.Inland wetlands'!$W152),0),0)</f>
        <v>0</v>
      </c>
      <c r="P441" s="3468">
        <f>IFERROR(IF('6.Inland wetlands'!N152&gt;0,'Inl. wetlands'!$E441/1000*methane*'6.Inland wetlands'!N152*(1-'6.Inland wetlands'!$X152),0),0)</f>
        <v>0</v>
      </c>
      <c r="Q441" s="3468">
        <f>IFERROR(IF('6.Inland wetlands'!P152&gt;0,'Inl. wetlands'!$E441/1000*methane*'6.Inland wetlands'!P152*(1-'6.Inland wetlands'!Y152),0),0)</f>
        <v>0</v>
      </c>
      <c r="R441" s="3468">
        <f>IF('6.Inland wetlands'!M152&gt;0,'Inl. wetlands'!$G441/1000*44/28*Nitrous*'6.Inland wetlands'!M152,0)</f>
        <v>0</v>
      </c>
      <c r="S441" s="3468">
        <f>IF('6.Inland wetlands'!N152&gt;0,'Inl. wetlands'!$G441/1000*44/28*Nitrous*'6.Inland wetlands'!N152,0)</f>
        <v>0</v>
      </c>
      <c r="T441" s="3468">
        <f>IF('6.Inland wetlands'!P152&gt;0,'Inl. wetlands'!$G441/1000*44/28*Nitrous*'6.Inland wetlands'!P152,0)</f>
        <v>0</v>
      </c>
      <c r="U441" s="3468">
        <f>IF('6.Inland wetlands'!M152&gt;0,'Inl. wetlands'!$I441*44/12*'6.Inland wetlands'!M152,0)</f>
        <v>0</v>
      </c>
      <c r="V441" s="3468">
        <f>IF('6.Inland wetlands'!N152&gt;0,'Inl. wetlands'!$I441*44/12*'6.Inland wetlands'!N152,0)</f>
        <v>0</v>
      </c>
      <c r="W441" s="3468">
        <f>IF('6.Inland wetlands'!P152&gt;0,'Inl. wetlands'!$I441*44/12*'6.Inland wetlands'!P152,0)</f>
        <v>0</v>
      </c>
      <c r="X441" s="3468">
        <f>IF('6.Inland wetlands'!M152&gt;0,'Inl. wetlands'!$K441*methane/1000*'6.Inland wetlands'!M152*'6.Inland wetlands'!$W152,0)</f>
        <v>0</v>
      </c>
      <c r="Y441" s="3468">
        <f>IF('6.Inland wetlands'!N152&gt;0,'Inl. wetlands'!$K441/1000*methane*'6.Inland wetlands'!N152*'6.Inland wetlands'!$X152,0)</f>
        <v>0</v>
      </c>
      <c r="Z441" s="3468">
        <f>IF('6.Inland wetlands'!P152&gt;0,'Inl. wetlands'!$K441/1000*methane*'6.Inland wetlands'!P152*'6.Inland wetlands'!$Y152,0)</f>
        <v>0</v>
      </c>
      <c r="AB441" s="3468">
        <f>MIN(SUM('Inl. wetlands'!$L441,'Inl. wetlands'!$U441),SUM('Inl. wetlands'!$M441,'Inl. wetlands'!$V441))*time_tot+ABS(SUM('Inl. wetlands'!$M441,'Inl. wetlands'!$V441)-SUM('Inl. wetlands'!$L441,'Inl. wetlands'!$U441))*IF(SUM('Inl. wetlands'!$M441,'Inl. wetlands'!$V441)&gt;SUM('Inl. wetlands'!$L441,'Inl. wetlands'!$U441),time_cap+time*(VLOOKUP($G415,list!$J$48:$K$50,2,0)),time*(1-(VLOOKUP($G415,list!$J$48:$K$50,2,0))))</f>
        <v>0</v>
      </c>
      <c r="AC441" s="3468">
        <f>MIN(SUM($L441,$U441),SUM($N441,$W441))*time_tot+ABS(SUM($N441,$W441)-SUM($L441,$U441))*IF(SUM($N441,$W441)&gt;SUM($L441,$U441),time_cap+time*(VLOOKUP($K415,list!$J$48:$K$50,2,0)),time*(1-(VLOOKUP($K415,list!$J$48:$K$50,2,0))))</f>
        <v>0</v>
      </c>
      <c r="AD441" s="3468">
        <f>MIN(SUM('Inl. wetlands'!$O441,'Inl. wetlands'!$X441),SUM('Inl. wetlands'!$P441,'Inl. wetlands'!$Y441))*time_tot+ABS(SUM('Inl. wetlands'!$P441,'Inl. wetlands'!$Y441)-SUM('Inl. wetlands'!$O441,'Inl. wetlands'!$X441))*IF(SUM('Inl. wetlands'!$P441,'Inl. wetlands'!$Y441)&gt;SUM('Inl. wetlands'!$O441,'Inl. wetlands'!$X441),time_cap+time*(VLOOKUP($G415,list!$J$48:$K$50,2,0)),time*(1-(VLOOKUP($G415,list!$J$48:$K$50,2,0))))</f>
        <v>0</v>
      </c>
      <c r="AE441" s="3468">
        <f>MIN(SUM($O441,$X441),SUM($Q441,$Z441))*time_tot+ABS(SUM($Q441,$Z441)-SUM($O441,$X441))*IF(SUM($Q441,$Z441)&gt;SUM($O441,$X441),time_cap+time*(VLOOKUP($K415,list!$J$48:$K$50,2,0)),time*(1-(VLOOKUP($K415,list!$J$48:$K$50,2,0))))</f>
        <v>0</v>
      </c>
      <c r="AF441" s="3468">
        <f>MIN('Inl. wetlands'!$R441,'Inl. wetlands'!$S441)*time_tot+ABS('Inl. wetlands'!$S441-'Inl. wetlands'!$R441)*IF('Inl. wetlands'!$S441&gt;'Inl. wetlands'!$R441,time_cap+time*(VLOOKUP($G415,list!$J$48:$K$50,2,0)),time*(1-(VLOOKUP($G415,list!$J$48:$K$50,2,0))))</f>
        <v>0</v>
      </c>
      <c r="AG441" s="3468">
        <f>MIN($R441,$T441)*time_tot+ABS($T441-$R441)*IF($T441&gt;$R441,time_cap+time*(VLOOKUP($K415,list!$J$48:$K$50,2,0)),time*(1-(VLOOKUP($K415,list!$J$48:$K$50,2,0))))</f>
        <v>0</v>
      </c>
      <c r="AI441" s="3470">
        <f t="shared" si="208"/>
        <v>0</v>
      </c>
      <c r="AJ441" s="3470">
        <f t="shared" si="208"/>
        <v>0</v>
      </c>
      <c r="AK441" s="1159">
        <f t="shared" si="209"/>
        <v>0</v>
      </c>
      <c r="AX441" s="1449">
        <f>MIN($L441,$M441)*time+ABS($M441-$L441)*IF($M441&gt;$L441,time*(VLOOKUP($G415,list!$J$48:$K$50,2,0)),time*(1-(VLOOKUP($G415,list!$J$48:$K$50,2,0))))</f>
        <v>0</v>
      </c>
      <c r="AY441" s="1449">
        <f>MIN($L441,$N441)*time+ABS($N441-$L441)*IF($N441&gt;$L441,time*(VLOOKUP($K415,list!$J$48:$K$50,2,0)),time*(1-(VLOOKUP($K415,list!$J$48:$K$50,2,0))))</f>
        <v>0</v>
      </c>
      <c r="AZ441" s="1449">
        <f>MIN($O441,$P441)*time+ABS($P441-$O441)*IF($P441&gt;$O441,time*(VLOOKUP($G415,list!$J$48:$K$50,2,0)),time*(1-(VLOOKUP($G415,list!$J$48:$K$50,2,0))))</f>
        <v>0</v>
      </c>
      <c r="BA441" s="1449">
        <f>MIN($O441,$Q441)*time+ABS($Q441-$O441)*IF($Q441&gt;$O441,time*(VLOOKUP($K415,list!$J$48:$K$50,2,0)),time*(1-(VLOOKUP($K415,list!$J$48:$K$50,2,0))))</f>
        <v>0</v>
      </c>
      <c r="BB441" s="1449">
        <f>MIN($R441,$S441)*time+ABS($S441-$R441)*IF($S441&gt;$R441,time*(VLOOKUP($G415,list!$J$48:$K$50,2,0)),time*(1-(VLOOKUP($G415,list!$J$48:$K$50,2,0))))</f>
        <v>0</v>
      </c>
      <c r="BC441" s="1449">
        <f>MIN($R441,$T441)*time+ABS($T441-$R441)*IF($T441&gt;$R441,time*(VLOOKUP($K415,list!$J$48:$K$50,2,0)),time*(1-(VLOOKUP($K415,list!$J$48:$K$50,2,0))))</f>
        <v>0</v>
      </c>
      <c r="BD441" s="1449">
        <f>MIN($U441,$V441)*time+ABS($V441-$U441)*IF($V441&gt;$U441,time*(VLOOKUP($G415,list!$J$48:$K$50,2,0)),time*(1-(VLOOKUP($G415,list!$J$48:$K$50,2,0))))</f>
        <v>0</v>
      </c>
      <c r="BE441" s="1449">
        <f>MIN($U441,$W441)*time+ABS($W441-$U441)*IF($W441&gt;$U441,time*(VLOOKUP($K415,list!$J$48:$K$50,2,0)),time*(1-(VLOOKUP($K415,list!$J$48:$K$50,2,0))))</f>
        <v>0</v>
      </c>
      <c r="BF441" s="1449">
        <f>MIN($X441,$Y441)*time+ABS($Y441-$X441)*IF($Y441&gt;$X441,time*(VLOOKUP($G415,list!$J$48:$K$50,2,0)),time*(1-(VLOOKUP($G415,list!$J$48:$K$50,2,0))))</f>
        <v>0</v>
      </c>
      <c r="BG441" s="1449">
        <f>MIN($X441,$Z441)*time+ABS($Z441-$X441)*IF($Z441&gt;$X441,time*(VLOOKUP($K415,list!$J$48:$K$50,2,0)),time*(1-(VLOOKUP($K415,list!$J$48:$K$50,2,0))))</f>
        <v>0</v>
      </c>
    </row>
    <row r="442" spans="1:59" x14ac:dyDescent="0.15">
      <c r="A442" s="1467" t="s">
        <v>1163</v>
      </c>
      <c r="B442" s="1044">
        <f>IFERROR(IF($C$405=list!$J$210,INDEX(IPCC!$A$1762:$J$1773,MATCH(clim_moist,IPCC!$A$1781:$A$1792,0),MATCH($C416,IPCC!$A$1781:$J$1781,0)),IF($C$405=list!$J$211,INDEX(IPCC!$A$1781:$J$1792,MATCH(clim_moist,IPCC!$A$1781:$A$1792,0),MATCH($C416,IPCC!$A$1781:$J$1781,0)))),0)</f>
        <v>0</v>
      </c>
      <c r="C442" s="1162">
        <f>IF('6.Inland wetlands'!$CG153="",'6.Inland wetlands'!$CF153,'6.Inland wetlands'!$CG153)</f>
        <v>0</v>
      </c>
      <c r="D442" s="1044">
        <f>IFERROR(IF($C$405=list!$J$210,INDEX(IPCC!$A$1818:$J$1829,MATCH(clim_moist,IPCC!$A$1818:$A$1829,0),MATCH($C416,IPCC!$A$1818:$J$1818,0)),IF($C416=list!$J$211,INDEX(IPCC!$A$1836:$J$1847,MATCH(clim_moist,IPCC!$A$1836:$A$1847,0),MATCH($C416,IPCC!$A$1836:$J$1836,0)))),0)</f>
        <v>0</v>
      </c>
      <c r="E442" s="1162">
        <f>IF('6.Inland wetlands'!$CI153="",'6.Inland wetlands'!$CH153,'6.Inland wetlands'!$CI153)</f>
        <v>0</v>
      </c>
      <c r="F442" s="1044">
        <f>IFERROR(IF($C$405=list!$J$210,INDEX(IPCC!$A$1872:$J$1883,MATCH(clim_moist,IPCC!$A$1872:$A$1883,0),MATCH($C416,IPCC!$A$1872:$J$1872,0)),IF($C$405=list!$J$211,INDEX(IPCC!$A$1890:$J$1901,MATCH(clim_moist,IPCC!$A$1890:$A$1901,0),MATCH('Inl. wetlands'!$C416,IPCC!$A$1890:$J$1890,0)))),0)</f>
        <v>0</v>
      </c>
      <c r="G442" s="1162">
        <f>IF('6.Inland wetlands'!$CK153="",'6.Inland wetlands'!$CJ153,'6.Inland wetlands'!$CK153)</f>
        <v>0</v>
      </c>
      <c r="H442" s="1044">
        <f>IFERROR(IF($C$405=list!$J$210,INDEX(IPCC!$A$1800:$J$1811,MATCH(clim_moist,IPCC!$A$1800:$A$1811,0),MATCH($C416,IPCC!$A$1800:$J$1800,0)),IF($C$405=list!$J$211,INDEX(IPCC!$A$1800:$J$1811,MATCH(clim_moist,IPCC!$A$1800:$A$1811,0),MATCH('Inl. wetlands'!$C416,IPCC!$A$1800:$J$1800,0)))),0)</f>
        <v>0</v>
      </c>
      <c r="I442" s="1162">
        <f>IF('6.Inland wetlands'!$CN153="",'6.Inland wetlands'!$CM153,'6.Inland wetlands'!$CN153)</f>
        <v>0</v>
      </c>
      <c r="J442" s="1111">
        <f>IFERROR(IF($C$405=list!$J$210,INDEX(IPCC!$A$1854:$J$1865,MATCH(clim_moist,IPCC!$A$1854:$A$1865,0),MATCH($C416,IPCC!$A$1854:$J$1854,0)),IF($C$405=list!$J$211,INDEX(IPCC!$A$1854:$J$1865,MATCH(clim_moist,IPCC!$A$1854:$A$1865,0),MATCH('Inl. wetlands'!$C416,IPCC!$A$1854:$J$1854,0)))),0)</f>
        <v>0</v>
      </c>
      <c r="K442" s="1161">
        <f>IF('6.Inland wetlands'!$CP153="",'6.Inland wetlands'!$CO153,'6.Inland wetlands'!$CP153)</f>
        <v>0</v>
      </c>
      <c r="L442" s="3468">
        <f>IF('6.Inland wetlands'!M153&gt;0,'Inl. wetlands'!$C442*44/12*'6.Inland wetlands'!M153,0)</f>
        <v>0</v>
      </c>
      <c r="M442" s="3468">
        <f>IF('6.Inland wetlands'!N153&gt;0,'Inl. wetlands'!$C442*44/12*'6.Inland wetlands'!N153,0)</f>
        <v>0</v>
      </c>
      <c r="N442" s="3468">
        <f>IF('6.Inland wetlands'!P153&gt;0,'Inl. wetlands'!$C442*44/12*'6.Inland wetlands'!P153,0)</f>
        <v>0</v>
      </c>
      <c r="O442" s="3468">
        <f>IFERROR(IF('6.Inland wetlands'!M153&gt;0,'Inl. wetlands'!$E442*methane/1000*'6.Inland wetlands'!M153*(1-'6.Inland wetlands'!$W153),0),0)</f>
        <v>0</v>
      </c>
      <c r="P442" s="3468">
        <f>IFERROR(IF('6.Inland wetlands'!N153&gt;0,'Inl. wetlands'!$E442/1000*methane*'6.Inland wetlands'!N153*(1-'6.Inland wetlands'!$X153),0),0)</f>
        <v>0</v>
      </c>
      <c r="Q442" s="3468">
        <f>IFERROR(IF('6.Inland wetlands'!P153&gt;0,'Inl. wetlands'!$E442/1000*methane*'6.Inland wetlands'!P153*(1-'6.Inland wetlands'!Y153),0),0)</f>
        <v>0</v>
      </c>
      <c r="R442" s="3468">
        <f>IF('6.Inland wetlands'!M153&gt;0,'Inl. wetlands'!$G442/1000*44/28*Nitrous*'6.Inland wetlands'!M153,0)</f>
        <v>0</v>
      </c>
      <c r="S442" s="3468">
        <f>IF('6.Inland wetlands'!N153&gt;0,'Inl. wetlands'!$G442/1000*44/28*Nitrous*'6.Inland wetlands'!N153,0)</f>
        <v>0</v>
      </c>
      <c r="T442" s="3468">
        <f>IF('6.Inland wetlands'!P153&gt;0,'Inl. wetlands'!$G442/1000*44/28*Nitrous*'6.Inland wetlands'!P153,0)</f>
        <v>0</v>
      </c>
      <c r="U442" s="3468">
        <f>IF('6.Inland wetlands'!M153&gt;0,'Inl. wetlands'!$I442*44/12*'6.Inland wetlands'!M153,0)</f>
        <v>0</v>
      </c>
      <c r="V442" s="3468">
        <f>IF('6.Inland wetlands'!N153&gt;0,'Inl. wetlands'!$I442*44/12*'6.Inland wetlands'!N153,0)</f>
        <v>0</v>
      </c>
      <c r="W442" s="3468">
        <f>IF('6.Inland wetlands'!P153&gt;0,'Inl. wetlands'!$I442*44/12*'6.Inland wetlands'!P153,0)</f>
        <v>0</v>
      </c>
      <c r="X442" s="3468">
        <f>IF('6.Inland wetlands'!M153&gt;0,'Inl. wetlands'!$K442*methane/1000*'6.Inland wetlands'!M153*'6.Inland wetlands'!$W153,0)</f>
        <v>0</v>
      </c>
      <c r="Y442" s="3468">
        <f>IF('6.Inland wetlands'!N153&gt;0,'Inl. wetlands'!$K442/1000*methane*'6.Inland wetlands'!N153*'6.Inland wetlands'!$X153,0)</f>
        <v>0</v>
      </c>
      <c r="Z442" s="3468">
        <f>IF('6.Inland wetlands'!P153&gt;0,'Inl. wetlands'!$K442/1000*methane*'6.Inland wetlands'!P153*'6.Inland wetlands'!$Y153,0)</f>
        <v>0</v>
      </c>
      <c r="AB442" s="3468">
        <f>MIN(SUM('Inl. wetlands'!$L442,'Inl. wetlands'!$U442),SUM('Inl. wetlands'!$M442,'Inl. wetlands'!$V442))*time_tot+ABS(SUM('Inl. wetlands'!$M442,'Inl. wetlands'!$V442)-SUM('Inl. wetlands'!$L442,'Inl. wetlands'!$U442))*IF(SUM('Inl. wetlands'!$M442,'Inl. wetlands'!$V442)&gt;SUM('Inl. wetlands'!$L442,'Inl. wetlands'!$U442),time_cap+time*(VLOOKUP($G416,list!$J$48:$K$50,2,0)),time*(1-(VLOOKUP($G416,list!$J$48:$K$50,2,0))))</f>
        <v>0</v>
      </c>
      <c r="AC442" s="3468">
        <f>MIN(SUM($L442,$U442),SUM($N442,$W442))*time_tot+ABS(SUM($N442,$W442)-SUM($L442,$U442))*IF(SUM($N442,$W442)&gt;SUM($L442,$U442),time_cap+time*(VLOOKUP($K416,list!$J$48:$K$50,2,0)),time*(1-(VLOOKUP($K416,list!$J$48:$K$50,2,0))))</f>
        <v>0</v>
      </c>
      <c r="AD442" s="3468">
        <f>MIN(SUM('Inl. wetlands'!$O442,'Inl. wetlands'!$X442),SUM('Inl. wetlands'!$P442,'Inl. wetlands'!$Y442))*time_tot+ABS(SUM('Inl. wetlands'!$P442,'Inl. wetlands'!$Y442)-SUM('Inl. wetlands'!$O442,'Inl. wetlands'!$X442))*IF(SUM('Inl. wetlands'!$P442,'Inl. wetlands'!$Y442)&gt;SUM('Inl. wetlands'!$O442,'Inl. wetlands'!$X442),time_cap+time*(VLOOKUP($G416,list!$J$48:$K$50,2,0)),time*(1-(VLOOKUP($G416,list!$J$48:$K$50,2,0))))</f>
        <v>0</v>
      </c>
      <c r="AE442" s="3468">
        <f>MIN(SUM($O442,$X442),SUM($Q442,$Z442))*time_tot+ABS(SUM($Q442,$Z442)-SUM($O442,$X442))*IF(SUM($Q442,$Z442)&gt;SUM($O442,$X442),time_cap+time*(VLOOKUP($K416,list!$J$48:$K$50,2,0)),time*(1-(VLOOKUP($K416,list!$J$48:$K$50,2,0))))</f>
        <v>0</v>
      </c>
      <c r="AF442" s="3468">
        <f>MIN('Inl. wetlands'!$R442,'Inl. wetlands'!$S442)*time_tot+ABS('Inl. wetlands'!$S442-'Inl. wetlands'!$R442)*IF('Inl. wetlands'!$S442&gt;'Inl. wetlands'!$R442,time_cap+time*(VLOOKUP($G416,list!$J$48:$K$50,2,0)),time*(1-(VLOOKUP($G416,list!$J$48:$K$50,2,0))))</f>
        <v>0</v>
      </c>
      <c r="AG442" s="3468">
        <f>MIN($R442,$T442)*time_tot+ABS($T442-$R442)*IF($T442&gt;$R442,time_cap+time*(VLOOKUP($K416,list!$J$48:$K$50,2,0)),time*(1-(VLOOKUP($K416,list!$J$48:$K$50,2,0))))</f>
        <v>0</v>
      </c>
      <c r="AI442" s="3470">
        <f t="shared" si="208"/>
        <v>0</v>
      </c>
      <c r="AJ442" s="3470">
        <f t="shared" si="208"/>
        <v>0</v>
      </c>
      <c r="AK442" s="1159">
        <f t="shared" si="209"/>
        <v>0</v>
      </c>
      <c r="AX442" s="1449">
        <f>MIN($L442,$M442)*time+ABS($M442-$L442)*IF($M442&gt;$L442,time*(VLOOKUP($G416,list!$J$48:$K$50,2,0)),time*(1-(VLOOKUP($G416,list!$J$48:$K$50,2,0))))</f>
        <v>0</v>
      </c>
      <c r="AY442" s="1449">
        <f>MIN($L442,$N442)*time+ABS($N442-$L442)*IF($N442&gt;$L442,time*(VLOOKUP($K416,list!$J$48:$K$50,2,0)),time*(1-(VLOOKUP($K416,list!$J$48:$K$50,2,0))))</f>
        <v>0</v>
      </c>
      <c r="AZ442" s="1449">
        <f>MIN($O442,$P442)*time+ABS($P442-$O442)*IF($P442&gt;$O442,time*(VLOOKUP($G416,list!$J$48:$K$50,2,0)),time*(1-(VLOOKUP($G416,list!$J$48:$K$50,2,0))))</f>
        <v>0</v>
      </c>
      <c r="BA442" s="1449">
        <f>MIN($O442,$Q442)*time+ABS($Q442-$O442)*IF($Q442&gt;$O442,time*(VLOOKUP($K416,list!$J$48:$K$50,2,0)),time*(1-(VLOOKUP($K416,list!$J$48:$K$50,2,0))))</f>
        <v>0</v>
      </c>
      <c r="BB442" s="1449">
        <f>MIN($R442,$S442)*time+ABS($S442-$R442)*IF($S442&gt;$R442,time*(VLOOKUP($G416,list!$J$48:$K$50,2,0)),time*(1-(VLOOKUP($G416,list!$J$48:$K$50,2,0))))</f>
        <v>0</v>
      </c>
      <c r="BC442" s="1449">
        <f>MIN($R442,$T442)*time+ABS($T442-$R442)*IF($T442&gt;$R442,time*(VLOOKUP($K416,list!$J$48:$K$50,2,0)),time*(1-(VLOOKUP($K416,list!$J$48:$K$50,2,0))))</f>
        <v>0</v>
      </c>
      <c r="BD442" s="1449">
        <f>MIN($U442,$V442)*time+ABS($V442-$U442)*IF($V442&gt;$U442,time*(VLOOKUP($G416,list!$J$48:$K$50,2,0)),time*(1-(VLOOKUP($G416,list!$J$48:$K$50,2,0))))</f>
        <v>0</v>
      </c>
      <c r="BE442" s="1449">
        <f>MIN($U442,$W442)*time+ABS($W442-$U442)*IF($W442&gt;$U442,time*(VLOOKUP($K416,list!$J$48:$K$50,2,0)),time*(1-(VLOOKUP($K416,list!$J$48:$K$50,2,0))))</f>
        <v>0</v>
      </c>
      <c r="BF442" s="1449">
        <f>MIN($X442,$Y442)*time+ABS($Y442-$X442)*IF($Y442&gt;$X442,time*(VLOOKUP($G416,list!$J$48:$K$50,2,0)),time*(1-(VLOOKUP($G416,list!$J$48:$K$50,2,0))))</f>
        <v>0</v>
      </c>
      <c r="BG442" s="1449">
        <f>MIN($X442,$Z442)*time+ABS($Z442-$X442)*IF($Z442&gt;$X442,time*(VLOOKUP($K416,list!$J$48:$K$50,2,0)),time*(1-(VLOOKUP($K416,list!$J$48:$K$50,2,0))))</f>
        <v>0</v>
      </c>
    </row>
    <row r="443" spans="1:59" x14ac:dyDescent="0.15">
      <c r="A443" s="1467" t="s">
        <v>1164</v>
      </c>
      <c r="B443" s="1044">
        <f>IFERROR(IF($C$405=list!$J$210,INDEX(IPCC!$A$1762:$J$1773,MATCH(clim_moist,IPCC!$A$1781:$A$1792,0),MATCH($C417,IPCC!$A$1781:$J$1781,0)),IF($C$405=list!$J$211,INDEX(IPCC!$A$1781:$J$1792,MATCH(clim_moist,IPCC!$A$1781:$A$1792,0),MATCH($C417,IPCC!$A$1781:$J$1781,0)))),0)</f>
        <v>0</v>
      </c>
      <c r="C443" s="1162">
        <f>IF('6.Inland wetlands'!$CG154="",'6.Inland wetlands'!$CF154,'6.Inland wetlands'!$CG154)</f>
        <v>0</v>
      </c>
      <c r="D443" s="1044">
        <f>IFERROR(IF($C$405=list!$J$210,INDEX(IPCC!$A$1818:$J$1829,MATCH(clim_moist,IPCC!$A$1818:$A$1829,0),MATCH($C417,IPCC!$A$1818:$J$1818,0)),IF($C417=list!$J$211,INDEX(IPCC!$A$1836:$J$1847,MATCH(clim_moist,IPCC!$A$1836:$A$1847,0),MATCH($C417,IPCC!$A$1836:$J$1836,0)))),0)</f>
        <v>0</v>
      </c>
      <c r="E443" s="1162">
        <f>IF('6.Inland wetlands'!$CI154="",'6.Inland wetlands'!$CH154,'6.Inland wetlands'!$CI154)</f>
        <v>0</v>
      </c>
      <c r="F443" s="1044">
        <f>IFERROR(IF($C$405=list!$J$210,INDEX(IPCC!$A$1872:$J$1883,MATCH(clim_moist,IPCC!$A$1872:$A$1883,0),MATCH($C417,IPCC!$A$1872:$J$1872,0)),IF($C$405=list!$J$211,INDEX(IPCC!$A$1890:$J$1901,MATCH(clim_moist,IPCC!$A$1890:$A$1901,0),MATCH('Inl. wetlands'!$C417,IPCC!$A$1890:$J$1890,0)))),0)</f>
        <v>0</v>
      </c>
      <c r="G443" s="1162">
        <f>IF('6.Inland wetlands'!$CK154="",'6.Inland wetlands'!$CJ154,'6.Inland wetlands'!$CK154)</f>
        <v>0</v>
      </c>
      <c r="H443" s="1044">
        <f>IFERROR(IF($C$405=list!$J$210,INDEX(IPCC!$A$1800:$J$1811,MATCH(clim_moist,IPCC!$A$1800:$A$1811,0),MATCH($C417,IPCC!$A$1800:$J$1800,0)),IF($C$405=list!$J$211,INDEX(IPCC!$A$1800:$J$1811,MATCH(clim_moist,IPCC!$A$1800:$A$1811,0),MATCH('Inl. wetlands'!$C417,IPCC!$A$1800:$J$1800,0)))),0)</f>
        <v>0</v>
      </c>
      <c r="I443" s="1162">
        <f>IF('6.Inland wetlands'!$CN154="",'6.Inland wetlands'!$CM154,'6.Inland wetlands'!$CN154)</f>
        <v>0</v>
      </c>
      <c r="J443" s="1111">
        <f>IFERROR(IF($C$405=list!$J$210,INDEX(IPCC!$A$1854:$J$1865,MATCH(clim_moist,IPCC!$A$1854:$A$1865,0),MATCH($C417,IPCC!$A$1854:$J$1854,0)),IF($C$405=list!$J$211,INDEX(IPCC!$A$1854:$J$1865,MATCH(clim_moist,IPCC!$A$1854:$A$1865,0),MATCH('Inl. wetlands'!$C417,IPCC!$A$1854:$J$1854,0)))),0)</f>
        <v>0</v>
      </c>
      <c r="K443" s="1161">
        <f>IF('6.Inland wetlands'!$CP154="",'6.Inland wetlands'!$CO154,'6.Inland wetlands'!$CP154)</f>
        <v>0</v>
      </c>
      <c r="L443" s="3468">
        <f>IF('6.Inland wetlands'!M154&gt;0,'Inl. wetlands'!$C443*44/12*'6.Inland wetlands'!M154,0)</f>
        <v>0</v>
      </c>
      <c r="M443" s="3468">
        <f>IF('6.Inland wetlands'!N154&gt;0,'Inl. wetlands'!$C443*44/12*'6.Inland wetlands'!N154,0)</f>
        <v>0</v>
      </c>
      <c r="N443" s="3468">
        <f>IF('6.Inland wetlands'!P154&gt;0,'Inl. wetlands'!$C443*44/12*'6.Inland wetlands'!P154,0)</f>
        <v>0</v>
      </c>
      <c r="O443" s="3468">
        <f>IFERROR(IF('6.Inland wetlands'!M154&gt;0,'Inl. wetlands'!$E443*methane/1000*'6.Inland wetlands'!M154*(1-'6.Inland wetlands'!$W154),0),0)</f>
        <v>0</v>
      </c>
      <c r="P443" s="3468">
        <f>IFERROR(IF('6.Inland wetlands'!N154&gt;0,'Inl. wetlands'!$E443/1000*methane*'6.Inland wetlands'!N154*(1-'6.Inland wetlands'!$X154),0),0)</f>
        <v>0</v>
      </c>
      <c r="Q443" s="3468">
        <f>IFERROR(IF('6.Inland wetlands'!P154&gt;0,'Inl. wetlands'!$E443/1000*methane*'6.Inland wetlands'!P154*(1-'6.Inland wetlands'!Y154),0),0)</f>
        <v>0</v>
      </c>
      <c r="R443" s="3468">
        <f>IF('6.Inland wetlands'!M154&gt;0,'Inl. wetlands'!$G443/1000*44/28*Nitrous*'6.Inland wetlands'!M154,0)</f>
        <v>0</v>
      </c>
      <c r="S443" s="3468">
        <f>IF('6.Inland wetlands'!N154&gt;0,'Inl. wetlands'!$G443/1000*44/28*Nitrous*'6.Inland wetlands'!N154,0)</f>
        <v>0</v>
      </c>
      <c r="T443" s="3468">
        <f>IF('6.Inland wetlands'!P154&gt;0,'Inl. wetlands'!$G443/1000*44/28*Nitrous*'6.Inland wetlands'!P154,0)</f>
        <v>0</v>
      </c>
      <c r="U443" s="3468">
        <f>IF('6.Inland wetlands'!M154&gt;0,'Inl. wetlands'!$I443*44/12*'6.Inland wetlands'!M154,0)</f>
        <v>0</v>
      </c>
      <c r="V443" s="3468">
        <f>IF('6.Inland wetlands'!N154&gt;0,'Inl. wetlands'!$I443*44/12*'6.Inland wetlands'!N154,0)</f>
        <v>0</v>
      </c>
      <c r="W443" s="3468">
        <f>IF('6.Inland wetlands'!P154&gt;0,'Inl. wetlands'!$I443*44/12*'6.Inland wetlands'!P154,0)</f>
        <v>0</v>
      </c>
      <c r="X443" s="3468">
        <f>IF('6.Inland wetlands'!M154&gt;0,'Inl. wetlands'!$K443*methane/1000*'6.Inland wetlands'!M154*'6.Inland wetlands'!$W154,0)</f>
        <v>0</v>
      </c>
      <c r="Y443" s="3468">
        <f>IF('6.Inland wetlands'!N154&gt;0,'Inl. wetlands'!$K443/1000*methane*'6.Inland wetlands'!N154*'6.Inland wetlands'!$X154,0)</f>
        <v>0</v>
      </c>
      <c r="Z443" s="3468">
        <f>IF('6.Inland wetlands'!P154&gt;0,'Inl. wetlands'!$K443/1000*methane*'6.Inland wetlands'!P154*'6.Inland wetlands'!$Y154,0)</f>
        <v>0</v>
      </c>
      <c r="AB443" s="3468">
        <f>MIN(SUM('Inl. wetlands'!$L443,'Inl. wetlands'!$U443),SUM('Inl. wetlands'!$M443,'Inl. wetlands'!$V443))*time_tot+ABS(SUM('Inl. wetlands'!$M443,'Inl. wetlands'!$V443)-SUM('Inl. wetlands'!$L443,'Inl. wetlands'!$U443))*IF(SUM('Inl. wetlands'!$M443,'Inl. wetlands'!$V443)&gt;SUM('Inl. wetlands'!$L443,'Inl. wetlands'!$U443),time_cap+time*(VLOOKUP($G417,list!$J$48:$K$50,2,0)),time*(1-(VLOOKUP($G417,list!$J$48:$K$50,2,0))))</f>
        <v>0</v>
      </c>
      <c r="AC443" s="3468">
        <f>MIN(SUM($L443,$U443),SUM($N443,$W443))*time_tot+ABS(SUM($N443,$W443)-SUM($L443,$U443))*IF(SUM($N443,$W443)&gt;SUM($L443,$U443),time_cap+time*(VLOOKUP($K417,list!$J$48:$K$50,2,0)),time*(1-(VLOOKUP($K417,list!$J$48:$K$50,2,0))))</f>
        <v>0</v>
      </c>
      <c r="AD443" s="3468">
        <f>MIN(SUM('Inl. wetlands'!$O443,'Inl. wetlands'!$X443),SUM('Inl. wetlands'!$P443,'Inl. wetlands'!$Y443))*time_tot+ABS(SUM('Inl. wetlands'!$P443,'Inl. wetlands'!$Y443)-SUM('Inl. wetlands'!$O443,'Inl. wetlands'!$X443))*IF(SUM('Inl. wetlands'!$P443,'Inl. wetlands'!$Y443)&gt;SUM('Inl. wetlands'!$O443,'Inl. wetlands'!$X443),time_cap+time*(VLOOKUP($G417,list!$J$48:$K$50,2,0)),time*(1-(VLOOKUP($G417,list!$J$48:$K$50,2,0))))</f>
        <v>0</v>
      </c>
      <c r="AE443" s="3468">
        <f>MIN(SUM($O443,$X443),SUM($Q443,$Z443))*time_tot+ABS(SUM($Q443,$Z443)-SUM($O443,$X443))*IF(SUM($Q443,$Z443)&gt;SUM($O443,$X443),time_cap+time*(VLOOKUP($K417,list!$J$48:$K$50,2,0)),time*(1-(VLOOKUP($K417,list!$J$48:$K$50,2,0))))</f>
        <v>0</v>
      </c>
      <c r="AF443" s="3468">
        <f>MIN('Inl. wetlands'!$R443,'Inl. wetlands'!$S443)*time_tot+ABS('Inl. wetlands'!$S443-'Inl. wetlands'!$R443)*IF('Inl. wetlands'!$S443&gt;'Inl. wetlands'!$R443,time_cap+time*(VLOOKUP($G417,list!$J$48:$K$50,2,0)),time*(1-(VLOOKUP($G417,list!$J$48:$K$50,2,0))))</f>
        <v>0</v>
      </c>
      <c r="AG443" s="3468">
        <f>MIN($R443,$T443)*time_tot+ABS($T443-$R443)*IF($T443&gt;$R443,time_cap+time*(VLOOKUP($K417,list!$J$48:$K$50,2,0)),time*(1-(VLOOKUP($K417,list!$J$48:$K$50,2,0))))</f>
        <v>0</v>
      </c>
      <c r="AI443" s="3470">
        <f t="shared" si="208"/>
        <v>0</v>
      </c>
      <c r="AJ443" s="3470">
        <f t="shared" si="208"/>
        <v>0</v>
      </c>
      <c r="AK443" s="1159">
        <f t="shared" si="209"/>
        <v>0</v>
      </c>
      <c r="AX443" s="1449">
        <f>MIN($L443,$M443)*time+ABS($M443-$L443)*IF($M443&gt;$L443,time*(VLOOKUP($G417,list!$J$48:$K$50,2,0)),time*(1-(VLOOKUP($G417,list!$J$48:$K$50,2,0))))</f>
        <v>0</v>
      </c>
      <c r="AY443" s="1449">
        <f>MIN($L443,$N443)*time+ABS($N443-$L443)*IF($N443&gt;$L443,time*(VLOOKUP($K417,list!$J$48:$K$50,2,0)),time*(1-(VLOOKUP($K417,list!$J$48:$K$50,2,0))))</f>
        <v>0</v>
      </c>
      <c r="AZ443" s="1449">
        <f>MIN($O443,$P443)*time+ABS($P443-$O443)*IF($P443&gt;$O443,time*(VLOOKUP($G417,list!$J$48:$K$50,2,0)),time*(1-(VLOOKUP($G417,list!$J$48:$K$50,2,0))))</f>
        <v>0</v>
      </c>
      <c r="BA443" s="1449">
        <f>MIN($O443,$Q443)*time+ABS($Q443-$O443)*IF($Q443&gt;$O443,time*(VLOOKUP($K417,list!$J$48:$K$50,2,0)),time*(1-(VLOOKUP($K417,list!$J$48:$K$50,2,0))))</f>
        <v>0</v>
      </c>
      <c r="BB443" s="1449">
        <f>MIN($R443,$S443)*time+ABS($S443-$R443)*IF($S443&gt;$R443,time*(VLOOKUP($G417,list!$J$48:$K$50,2,0)),time*(1-(VLOOKUP($G417,list!$J$48:$K$50,2,0))))</f>
        <v>0</v>
      </c>
      <c r="BC443" s="1449">
        <f>MIN($R443,$T443)*time+ABS($T443-$R443)*IF($T443&gt;$R443,time*(VLOOKUP($K417,list!$J$48:$K$50,2,0)),time*(1-(VLOOKUP($K417,list!$J$48:$K$50,2,0))))</f>
        <v>0</v>
      </c>
      <c r="BD443" s="1449">
        <f>MIN($U443,$V443)*time+ABS($V443-$U443)*IF($V443&gt;$U443,time*(VLOOKUP($G417,list!$J$48:$K$50,2,0)),time*(1-(VLOOKUP($G417,list!$J$48:$K$50,2,0))))</f>
        <v>0</v>
      </c>
      <c r="BE443" s="1449">
        <f>MIN($U443,$W443)*time+ABS($W443-$U443)*IF($W443&gt;$U443,time*(VLOOKUP($K417,list!$J$48:$K$50,2,0)),time*(1-(VLOOKUP($K417,list!$J$48:$K$50,2,0))))</f>
        <v>0</v>
      </c>
      <c r="BF443" s="1449">
        <f>MIN($X443,$Y443)*time+ABS($Y443-$X443)*IF($Y443&gt;$X443,time*(VLOOKUP($G417,list!$J$48:$K$50,2,0)),time*(1-(VLOOKUP($G417,list!$J$48:$K$50,2,0))))</f>
        <v>0</v>
      </c>
      <c r="BG443" s="1449">
        <f>MIN($X443,$Z443)*time+ABS($Z443-$X443)*IF($Z443&gt;$X443,time*(VLOOKUP($K417,list!$J$48:$K$50,2,0)),time*(1-(VLOOKUP($K417,list!$J$48:$K$50,2,0))))</f>
        <v>0</v>
      </c>
    </row>
    <row r="444" spans="1:59" x14ac:dyDescent="0.15">
      <c r="A444" s="1467" t="s">
        <v>1165</v>
      </c>
      <c r="B444" s="1044">
        <f>IFERROR(IF($C$405=list!$J$210,INDEX(IPCC!$A$1762:$J$1773,MATCH(clim_moist,IPCC!$A$1781:$A$1792,0),MATCH($C418,IPCC!$A$1781:$J$1781,0)),IF($C$405=list!$J$211,INDEX(IPCC!$A$1781:$J$1792,MATCH(clim_moist,IPCC!$A$1781:$A$1792,0),MATCH($C418,IPCC!$A$1781:$J$1781,0)))),0)</f>
        <v>0</v>
      </c>
      <c r="C444" s="1162">
        <f>IF('6.Inland wetlands'!$CG155="",'6.Inland wetlands'!$CF155,'6.Inland wetlands'!$CG155)</f>
        <v>0</v>
      </c>
      <c r="D444" s="1044">
        <f>IFERROR(IF($C$405=list!$J$210,INDEX(IPCC!$A$1818:$J$1829,MATCH(clim_moist,IPCC!$A$1818:$A$1829,0),MATCH($C418,IPCC!$A$1818:$J$1818,0)),IF($C418=list!$J$211,INDEX(IPCC!$A$1836:$J$1847,MATCH(clim_moist,IPCC!$A$1836:$A$1847,0),MATCH($C418,IPCC!$A$1836:$J$1836,0)))),0)</f>
        <v>0</v>
      </c>
      <c r="E444" s="1162">
        <f>IF('6.Inland wetlands'!$CI155="",'6.Inland wetlands'!$CH155,'6.Inland wetlands'!$CI155)</f>
        <v>0</v>
      </c>
      <c r="F444" s="1044">
        <f>IFERROR(IF($C$405=list!$J$210,INDEX(IPCC!$A$1872:$J$1883,MATCH(clim_moist,IPCC!$A$1872:$A$1883,0),MATCH($C418,IPCC!$A$1872:$J$1872,0)),IF($C$405=list!$J$211,INDEX(IPCC!$A$1890:$J$1901,MATCH(clim_moist,IPCC!$A$1890:$A$1901,0),MATCH('Inl. wetlands'!$C418,IPCC!$A$1890:$J$1890,0)))),0)</f>
        <v>0</v>
      </c>
      <c r="G444" s="1162">
        <f>IF('6.Inland wetlands'!$CK155="",'6.Inland wetlands'!$CJ155,'6.Inland wetlands'!$CK155)</f>
        <v>0</v>
      </c>
      <c r="H444" s="1044">
        <f>IFERROR(IF($C$405=list!$J$210,INDEX(IPCC!$A$1800:$J$1811,MATCH(clim_moist,IPCC!$A$1800:$A$1811,0),MATCH($C418,IPCC!$A$1800:$J$1800,0)),IF($C$405=list!$J$211,INDEX(IPCC!$A$1800:$J$1811,MATCH(clim_moist,IPCC!$A$1800:$A$1811,0),MATCH('Inl. wetlands'!$C418,IPCC!$A$1800:$J$1800,0)))),0)</f>
        <v>0</v>
      </c>
      <c r="I444" s="1162">
        <f>IF('6.Inland wetlands'!$CN155="",'6.Inland wetlands'!$CM155,'6.Inland wetlands'!$CN155)</f>
        <v>0</v>
      </c>
      <c r="J444" s="1111">
        <f>IFERROR(IF($C$405=list!$J$210,INDEX(IPCC!$A$1854:$J$1865,MATCH(clim_moist,IPCC!$A$1854:$A$1865,0),MATCH($C418,IPCC!$A$1854:$J$1854,0)),IF($C$405=list!$J$211,INDEX(IPCC!$A$1854:$J$1865,MATCH(clim_moist,IPCC!$A$1854:$A$1865,0),MATCH('Inl. wetlands'!$C418,IPCC!$A$1854:$J$1854,0)))),0)</f>
        <v>0</v>
      </c>
      <c r="K444" s="1161">
        <f>IF('6.Inland wetlands'!$CP155="",'6.Inland wetlands'!$CO155,'6.Inland wetlands'!$CP155)</f>
        <v>0</v>
      </c>
      <c r="L444" s="3468">
        <f>IF('6.Inland wetlands'!M155&gt;0,'Inl. wetlands'!$C444*44/12*'6.Inland wetlands'!M155,0)</f>
        <v>0</v>
      </c>
      <c r="M444" s="3468">
        <f>IF('6.Inland wetlands'!N155&gt;0,'Inl. wetlands'!$C444*44/12*'6.Inland wetlands'!N155,0)</f>
        <v>0</v>
      </c>
      <c r="N444" s="3468">
        <f>IF('6.Inland wetlands'!P155&gt;0,'Inl. wetlands'!$C444*44/12*'6.Inland wetlands'!P155,0)</f>
        <v>0</v>
      </c>
      <c r="O444" s="3468">
        <f>IFERROR(IF('6.Inland wetlands'!M155&gt;0,'Inl. wetlands'!$E444*methane/1000*'6.Inland wetlands'!M155*(1-'6.Inland wetlands'!$W155),0),0)</f>
        <v>0</v>
      </c>
      <c r="P444" s="3468">
        <f>IFERROR(IF('6.Inland wetlands'!N155&gt;0,'Inl. wetlands'!$E444/1000*methane*'6.Inland wetlands'!N155*(1-'6.Inland wetlands'!$X155),0),0)</f>
        <v>0</v>
      </c>
      <c r="Q444" s="3468">
        <f>IFERROR(IF('6.Inland wetlands'!P155&gt;0,'Inl. wetlands'!$E444/1000*methane*'6.Inland wetlands'!P155*(1-'6.Inland wetlands'!Y155),0),0)</f>
        <v>0</v>
      </c>
      <c r="R444" s="3468">
        <f>IF('6.Inland wetlands'!M155&gt;0,'Inl. wetlands'!$G444/1000*44/28*Nitrous*'6.Inland wetlands'!M155,0)</f>
        <v>0</v>
      </c>
      <c r="S444" s="3468">
        <f>IF('6.Inland wetlands'!N155&gt;0,'Inl. wetlands'!$G444/1000*44/28*Nitrous*'6.Inland wetlands'!N155,0)</f>
        <v>0</v>
      </c>
      <c r="T444" s="3468">
        <f>IF('6.Inland wetlands'!P155&gt;0,'Inl. wetlands'!$G444/1000*44/28*Nitrous*'6.Inland wetlands'!P155,0)</f>
        <v>0</v>
      </c>
      <c r="U444" s="3468">
        <f>IF('6.Inland wetlands'!M155&gt;0,'Inl. wetlands'!$I444*44/12*'6.Inland wetlands'!M155,0)</f>
        <v>0</v>
      </c>
      <c r="V444" s="3468">
        <f>IF('6.Inland wetlands'!N155&gt;0,'Inl. wetlands'!$I444*44/12*'6.Inland wetlands'!N155,0)</f>
        <v>0</v>
      </c>
      <c r="W444" s="3468">
        <f>IF('6.Inland wetlands'!P155&gt;0,'Inl. wetlands'!$I444*44/12*'6.Inland wetlands'!P155,0)</f>
        <v>0</v>
      </c>
      <c r="X444" s="3468">
        <f>IF('6.Inland wetlands'!M155&gt;0,'Inl. wetlands'!$K444*methane/1000*'6.Inland wetlands'!M155*'6.Inland wetlands'!$W155,0)</f>
        <v>0</v>
      </c>
      <c r="Y444" s="3468">
        <f>IF('6.Inland wetlands'!N155&gt;0,'Inl. wetlands'!$K444/1000*methane*'6.Inland wetlands'!N155*'6.Inland wetlands'!$X155,0)</f>
        <v>0</v>
      </c>
      <c r="Z444" s="3468">
        <f>IF('6.Inland wetlands'!P155&gt;0,'Inl. wetlands'!$K444/1000*methane*'6.Inland wetlands'!P155*'6.Inland wetlands'!$Y155,0)</f>
        <v>0</v>
      </c>
      <c r="AB444" s="3468">
        <f>MIN(SUM('Inl. wetlands'!$L444,'Inl. wetlands'!$U444),SUM('Inl. wetlands'!$M444,'Inl. wetlands'!$V444))*time_tot+ABS(SUM('Inl. wetlands'!$M444,'Inl. wetlands'!$V444)-SUM('Inl. wetlands'!$L444,'Inl. wetlands'!$U444))*IF(SUM('Inl. wetlands'!$M444,'Inl. wetlands'!$V444)&gt;SUM('Inl. wetlands'!$L444,'Inl. wetlands'!$U444),time_cap+time*(VLOOKUP($G418,list!$J$48:$K$50,2,0)),time*(1-(VLOOKUP($G418,list!$J$48:$K$50,2,0))))</f>
        <v>0</v>
      </c>
      <c r="AC444" s="3472">
        <f>MIN(SUM($L444,$U444),SUM($N444,$W444))*time_tot+ABS(SUM($N444,$W444)-SUM($L444,$U444))*IF(SUM($N444,$W444)&gt;SUM($L444,$U444),time_cap+time*(VLOOKUP($K418,list!$J$48:$K$50,2,0)),time*(1-(VLOOKUP($K418,list!$J$48:$K$50,2,0))))</f>
        <v>0</v>
      </c>
      <c r="AD444" s="3468">
        <f>MIN(SUM('Inl. wetlands'!$O444,'Inl. wetlands'!$X444),SUM('Inl. wetlands'!$P444,'Inl. wetlands'!$Y444))*time_tot+ABS(SUM('Inl. wetlands'!$P444,'Inl. wetlands'!$Y444)-SUM('Inl. wetlands'!$O444,'Inl. wetlands'!$X444))*IF(SUM('Inl. wetlands'!$P444,'Inl. wetlands'!$Y444)&gt;SUM('Inl. wetlands'!$O444,'Inl. wetlands'!$X444),time_cap+time*(VLOOKUP($G418,list!$J$48:$K$50,2,0)),time*(1-(VLOOKUP($G418,list!$J$48:$K$50,2,0))))</f>
        <v>0</v>
      </c>
      <c r="AE444" s="3472">
        <f>MIN(SUM($O444,$X444),SUM($Q444,$Z444))*time_tot+ABS(SUM($Q444,$Z444)-SUM($O444,$X444))*IF(SUM($Q444,$Z444)&gt;SUM($O444,$X444),time_cap+time*(VLOOKUP($K418,list!$J$48:$K$50,2,0)),time*(1-(VLOOKUP($K418,list!$J$48:$K$50,2,0))))</f>
        <v>0</v>
      </c>
      <c r="AF444" s="3468">
        <f>MIN('Inl. wetlands'!$R444,'Inl. wetlands'!$S444)*time_tot+ABS('Inl. wetlands'!$S444-'Inl. wetlands'!$R444)*IF('Inl. wetlands'!$S444&gt;'Inl. wetlands'!$R444,time_cap+time*(VLOOKUP($G418,list!$J$48:$K$50,2,0)),time*(1-(VLOOKUP($G418,list!$J$48:$K$50,2,0))))</f>
        <v>0</v>
      </c>
      <c r="AG444" s="3472">
        <f>MIN($R444,$T444)*time_tot+ABS($T444-$R444)*IF($T444&gt;$R444,time_cap+time*(VLOOKUP($K418,list!$J$48:$K$50,2,0)),time*(1-(VLOOKUP($K418,list!$J$48:$K$50,2,0))))</f>
        <v>0</v>
      </c>
      <c r="AI444" s="3470">
        <f t="shared" si="208"/>
        <v>0</v>
      </c>
      <c r="AJ444" s="3470">
        <f t="shared" si="208"/>
        <v>0</v>
      </c>
      <c r="AK444" s="3474">
        <f t="shared" si="209"/>
        <v>0</v>
      </c>
      <c r="AX444" s="1449">
        <f>MIN($L444,$M444)*time+ABS($M444-$L444)*IF($M444&gt;$L444,time*(VLOOKUP($G418,list!$J$48:$K$50,2,0)),time*(1-(VLOOKUP($G418,list!$J$48:$K$50,2,0))))</f>
        <v>0</v>
      </c>
      <c r="AY444" s="1449">
        <f>MIN($L444,$N444)*time+ABS($N444-$L444)*IF($N444&gt;$L444,time*(VLOOKUP($K418,list!$J$48:$K$50,2,0)),time*(1-(VLOOKUP($K418,list!$J$48:$K$50,2,0))))</f>
        <v>0</v>
      </c>
      <c r="AZ444" s="1449">
        <f>MIN($O444,$P444)*time+ABS($P444-$O444)*IF($P444&gt;$O444,time*(VLOOKUP($G418,list!$J$48:$K$50,2,0)),time*(1-(VLOOKUP($G418,list!$J$48:$K$50,2,0))))</f>
        <v>0</v>
      </c>
      <c r="BA444" s="1449">
        <f>MIN($O444,$Q444)*time+ABS($Q444-$O444)*IF($Q444&gt;$O444,time*(VLOOKUP($K418,list!$J$48:$K$50,2,0)),time*(1-(VLOOKUP($K418,list!$J$48:$K$50,2,0))))</f>
        <v>0</v>
      </c>
      <c r="BB444" s="1449">
        <f>MIN($R444,$S444)*time+ABS($S444-$R444)*IF($S444&gt;$R444,time*(VLOOKUP($G418,list!$J$48:$K$50,2,0)),time*(1-(VLOOKUP($G418,list!$J$48:$K$50,2,0))))</f>
        <v>0</v>
      </c>
      <c r="BC444" s="1449">
        <f>MIN($R444,$T444)*time+ABS($T444-$R444)*IF($T444&gt;$R444,time*(VLOOKUP($K418,list!$J$48:$K$50,2,0)),time*(1-(VLOOKUP($K418,list!$J$48:$K$50,2,0))))</f>
        <v>0</v>
      </c>
      <c r="BD444" s="1449">
        <f>MIN($U444,$V444)*time+ABS($V444-$U444)*IF($V444&gt;$U444,time*(VLOOKUP($G418,list!$J$48:$K$50,2,0)),time*(1-(VLOOKUP($G418,list!$J$48:$K$50,2,0))))</f>
        <v>0</v>
      </c>
      <c r="BE444" s="1449">
        <f>MIN($U444,$W444)*time+ABS($W444-$U444)*IF($W444&gt;$U444,time*(VLOOKUP($K418,list!$J$48:$K$50,2,0)),time*(1-(VLOOKUP($K418,list!$J$48:$K$50,2,0))))</f>
        <v>0</v>
      </c>
      <c r="BF444" s="1449">
        <f>MIN($X444,$Y444)*time+ABS($Y444-$X444)*IF($Y444&gt;$X444,time*(VLOOKUP($G418,list!$J$48:$K$50,2,0)),time*(1-(VLOOKUP($G418,list!$J$48:$K$50,2,0))))</f>
        <v>0</v>
      </c>
      <c r="BG444" s="1449">
        <f>MIN($X444,$Z444)*time+ABS($Z444-$X444)*IF($Z444&gt;$X444,time*(VLOOKUP($K418,list!$J$48:$K$50,2,0)),time*(1-(VLOOKUP($K418,list!$J$48:$K$50,2,0))))</f>
        <v>0</v>
      </c>
    </row>
    <row r="445" spans="1:59" x14ac:dyDescent="0.15">
      <c r="I445" s="1057"/>
      <c r="J445" s="1230"/>
      <c r="AX445" s="1271"/>
    </row>
    <row r="446" spans="1:59" x14ac:dyDescent="0.15">
      <c r="E446" s="3992" t="s">
        <v>1242</v>
      </c>
      <c r="F446" s="3992">
        <f>SUMIF(L440:L444,"&gt;0",E413:E418)</f>
        <v>0</v>
      </c>
      <c r="G446" s="3992">
        <f>SUMIF(M440:M444,"&gt;0",F413:F418)</f>
        <v>0</v>
      </c>
      <c r="H446" s="3992">
        <f>SUMIF(N440:N444,"&gt;0",J413:J418)</f>
        <v>0</v>
      </c>
      <c r="I446" s="1057"/>
      <c r="J446" s="1230"/>
      <c r="AX446" s="1451">
        <f>SUM(AX439:AX444)</f>
        <v>0</v>
      </c>
      <c r="AY446" s="1451">
        <f t="shared" ref="AY446:BG446" si="210">SUM(AY439:AY444)</f>
        <v>0</v>
      </c>
      <c r="AZ446" s="1451">
        <f t="shared" si="210"/>
        <v>0</v>
      </c>
      <c r="BA446" s="1451">
        <f t="shared" si="210"/>
        <v>0</v>
      </c>
      <c r="BB446" s="1451">
        <f t="shared" si="210"/>
        <v>0</v>
      </c>
      <c r="BC446" s="1451">
        <f t="shared" si="210"/>
        <v>0</v>
      </c>
      <c r="BD446" s="1451">
        <f t="shared" si="210"/>
        <v>0</v>
      </c>
      <c r="BE446" s="1451">
        <f t="shared" si="210"/>
        <v>0</v>
      </c>
      <c r="BF446" s="1451">
        <f t="shared" si="210"/>
        <v>0</v>
      </c>
      <c r="BG446" s="1451">
        <f t="shared" si="210"/>
        <v>0</v>
      </c>
    </row>
    <row r="447" spans="1:59" ht="18" x14ac:dyDescent="0.15">
      <c r="B447" s="1112" t="s">
        <v>1180</v>
      </c>
      <c r="C447" s="1113"/>
      <c r="D447" s="1113"/>
      <c r="E447" s="1113"/>
      <c r="F447" s="1113"/>
      <c r="G447" s="1113"/>
      <c r="H447" s="1113"/>
      <c r="I447" s="1113"/>
      <c r="J447" s="1113"/>
      <c r="K447" s="1113"/>
      <c r="L447" s="1113"/>
      <c r="M447" s="1113"/>
      <c r="N447" s="1113"/>
      <c r="O447" s="1113"/>
      <c r="P447" s="1113"/>
      <c r="Q447" s="1113"/>
      <c r="R447" s="1113"/>
      <c r="S447" s="1113"/>
      <c r="T447" s="1113"/>
      <c r="U447" s="1113"/>
      <c r="V447" s="1113"/>
      <c r="W447" s="1113"/>
      <c r="X447" s="1113"/>
      <c r="Y447" s="1109"/>
      <c r="Z447" s="1109"/>
      <c r="AA447" s="1109"/>
      <c r="AB447" s="1109"/>
      <c r="AC447" s="1109"/>
      <c r="AD447" s="1109"/>
      <c r="AE447" s="1109"/>
      <c r="AF447" s="1109"/>
      <c r="AG447" s="1109"/>
      <c r="AH447" s="1109"/>
      <c r="AI447" s="1109"/>
      <c r="AJ447" s="1109"/>
      <c r="AK447" s="1109"/>
      <c r="AY447" s="1451">
        <f>AY446-AX446</f>
        <v>0</v>
      </c>
      <c r="AZ447" s="1451"/>
      <c r="BA447" s="1451">
        <f t="shared" ref="BA447:BG447" si="211">BA446-AZ446</f>
        <v>0</v>
      </c>
      <c r="BB447" s="1451"/>
      <c r="BC447" s="1451">
        <f t="shared" si="211"/>
        <v>0</v>
      </c>
      <c r="BD447" s="1451"/>
      <c r="BE447" s="1451">
        <f t="shared" si="211"/>
        <v>0</v>
      </c>
      <c r="BF447" s="1451"/>
      <c r="BG447" s="1451">
        <f t="shared" si="211"/>
        <v>0</v>
      </c>
    </row>
    <row r="449" spans="1:59" ht="16" x14ac:dyDescent="0.2">
      <c r="A449" s="1462"/>
      <c r="H449" s="1481" t="s">
        <v>1243</v>
      </c>
      <c r="I449" s="1474"/>
      <c r="J449" s="1474"/>
      <c r="K449" s="1475"/>
      <c r="L449" s="1474"/>
      <c r="M449" s="1476"/>
      <c r="N449" s="1476"/>
      <c r="O449" s="1476"/>
      <c r="P449" s="1481" t="s">
        <v>1268</v>
      </c>
      <c r="Q449" s="1462"/>
      <c r="R449" s="1462"/>
      <c r="S449" s="1462"/>
      <c r="T449" s="1462"/>
      <c r="U449" s="1462"/>
      <c r="V449" s="1462"/>
      <c r="W449" s="1462"/>
      <c r="X449" s="1462"/>
      <c r="AB449" s="1471" t="s">
        <v>1185</v>
      </c>
      <c r="AC449" s="1470"/>
      <c r="AD449" s="1470"/>
      <c r="AE449" s="1470"/>
      <c r="AF449" s="1470"/>
      <c r="AG449" s="1470"/>
      <c r="AI449" s="1270" t="s">
        <v>1115</v>
      </c>
      <c r="AJ449" s="1116"/>
      <c r="AK449" s="1116"/>
      <c r="AX449" s="1271" t="s">
        <v>1186</v>
      </c>
      <c r="BD449" s="1271"/>
    </row>
    <row r="450" spans="1:59" ht="16" x14ac:dyDescent="0.2">
      <c r="A450" s="1462"/>
      <c r="H450" s="1495" t="s">
        <v>1269</v>
      </c>
      <c r="I450" s="1478"/>
      <c r="J450" s="1477" t="s">
        <v>1188</v>
      </c>
      <c r="K450" s="1478"/>
      <c r="L450" s="1477" t="s">
        <v>1189</v>
      </c>
      <c r="M450" s="1478"/>
      <c r="N450" s="1477" t="s">
        <v>1190</v>
      </c>
      <c r="O450" s="1478"/>
      <c r="P450" s="1462"/>
      <c r="Q450" s="1462"/>
      <c r="R450" s="1462"/>
      <c r="S450" s="1462"/>
      <c r="T450" s="1462"/>
      <c r="U450" s="1462"/>
      <c r="V450" s="1462"/>
      <c r="W450" s="1462"/>
      <c r="X450" s="1462"/>
      <c r="Y450" s="1688"/>
      <c r="Z450" s="1688"/>
      <c r="AA450" s="1688"/>
      <c r="AB450" s="1471" t="s">
        <v>1191</v>
      </c>
      <c r="AC450" s="1471"/>
      <c r="AD450" s="1471"/>
      <c r="AE450" s="1470"/>
      <c r="AF450" s="1471"/>
      <c r="AG450" s="1470"/>
      <c r="AI450" s="1270" t="s">
        <v>1121</v>
      </c>
      <c r="AJ450" s="1116"/>
      <c r="AK450" s="1116"/>
      <c r="AX450" s="1450" t="s">
        <v>1036</v>
      </c>
      <c r="AY450" s="1450"/>
      <c r="AZ450" s="1450" t="s">
        <v>176</v>
      </c>
      <c r="BA450" s="1450"/>
      <c r="BB450" s="1450" t="s">
        <v>177</v>
      </c>
      <c r="BC450" s="1450"/>
      <c r="BD450" s="1450"/>
      <c r="BE450" s="1450"/>
      <c r="BF450" s="1450"/>
      <c r="BG450" s="1450"/>
    </row>
    <row r="451" spans="1:59" ht="16" x14ac:dyDescent="0.2">
      <c r="A451" s="1462"/>
      <c r="C451" s="1281" t="s">
        <v>94</v>
      </c>
      <c r="D451" s="1281" t="s">
        <v>94</v>
      </c>
      <c r="E451" s="1546" t="s">
        <v>1024</v>
      </c>
      <c r="F451" s="1551" t="s">
        <v>179</v>
      </c>
      <c r="G451" s="1548" t="s">
        <v>180</v>
      </c>
      <c r="H451" s="1479" t="s">
        <v>92</v>
      </c>
      <c r="I451" s="1479"/>
      <c r="J451" s="1479" t="s">
        <v>1044</v>
      </c>
      <c r="K451" s="1479"/>
      <c r="L451" s="1479" t="s">
        <v>1045</v>
      </c>
      <c r="M451" s="1479"/>
      <c r="N451" s="1479" t="s">
        <v>92</v>
      </c>
      <c r="O451" s="1479"/>
      <c r="P451" s="1482" t="s">
        <v>1176</v>
      </c>
      <c r="Q451" s="1482"/>
      <c r="R451" s="1482"/>
      <c r="S451" s="1482" t="s">
        <v>176</v>
      </c>
      <c r="T451" s="1482"/>
      <c r="U451" s="1482"/>
      <c r="V451" s="1482" t="s">
        <v>1192</v>
      </c>
      <c r="W451" s="1462"/>
      <c r="X451" s="1462"/>
      <c r="Y451" s="3476"/>
      <c r="Z451" s="3476"/>
      <c r="AA451" s="3476"/>
      <c r="AB451" s="1472" t="s">
        <v>1176</v>
      </c>
      <c r="AC451" s="1472"/>
      <c r="AD451" s="1472" t="s">
        <v>176</v>
      </c>
      <c r="AE451" s="1472"/>
      <c r="AF451" s="1472" t="s">
        <v>1192</v>
      </c>
      <c r="AG451" s="1472"/>
      <c r="AI451" s="1270" t="s">
        <v>1186</v>
      </c>
      <c r="AJ451" s="1116"/>
      <c r="AK451" s="1116"/>
      <c r="AX451" s="1264" t="s">
        <v>859</v>
      </c>
      <c r="AZ451" s="1264" t="s">
        <v>859</v>
      </c>
      <c r="BB451" s="1264" t="s">
        <v>859</v>
      </c>
    </row>
    <row r="452" spans="1:59" x14ac:dyDescent="0.15">
      <c r="A452" s="1462"/>
      <c r="C452" s="1281" t="s">
        <v>1156</v>
      </c>
      <c r="D452" s="973" t="s">
        <v>1257</v>
      </c>
      <c r="E452" s="1546" t="s">
        <v>226</v>
      </c>
      <c r="F452" s="1551" t="s">
        <v>1026</v>
      </c>
      <c r="G452" s="1548" t="s">
        <v>1026</v>
      </c>
      <c r="H452" s="1480" t="s">
        <v>864</v>
      </c>
      <c r="I452" s="1480" t="s">
        <v>66</v>
      </c>
      <c r="J452" s="1480" t="str">
        <f>H452</f>
        <v>IPCC</v>
      </c>
      <c r="K452" s="1480" t="s">
        <v>66</v>
      </c>
      <c r="L452" s="1480" t="str">
        <f>J452</f>
        <v>IPCC</v>
      </c>
      <c r="M452" s="1480" t="s">
        <v>66</v>
      </c>
      <c r="N452" s="1480" t="str">
        <f>L452</f>
        <v>IPCC</v>
      </c>
      <c r="O452" s="1480" t="s">
        <v>66</v>
      </c>
      <c r="P452" s="1688" t="s">
        <v>219</v>
      </c>
      <c r="Q452" s="1102" t="s">
        <v>179</v>
      </c>
      <c r="R452" s="1103" t="s">
        <v>180</v>
      </c>
      <c r="S452" s="1688" t="s">
        <v>219</v>
      </c>
      <c r="T452" s="1102" t="str">
        <f>Q452</f>
        <v>Without</v>
      </c>
      <c r="U452" s="1103" t="str">
        <f>R452</f>
        <v>With</v>
      </c>
      <c r="V452" s="1688" t="s">
        <v>219</v>
      </c>
      <c r="W452" s="1102" t="str">
        <f>T452</f>
        <v>Without</v>
      </c>
      <c r="X452" s="1103" t="str">
        <f>U452</f>
        <v>With</v>
      </c>
      <c r="Y452" s="3476"/>
      <c r="Z452" s="3476"/>
      <c r="AA452" s="3476"/>
      <c r="AB452" s="1102" t="s">
        <v>179</v>
      </c>
      <c r="AC452" s="1103" t="s">
        <v>180</v>
      </c>
      <c r="AD452" s="1102" t="s">
        <v>179</v>
      </c>
      <c r="AE452" s="1103" t="s">
        <v>180</v>
      </c>
      <c r="AF452" s="1102" t="s">
        <v>179</v>
      </c>
      <c r="AG452" s="1103" t="s">
        <v>180</v>
      </c>
      <c r="AI452" s="1102" t="s">
        <v>200</v>
      </c>
      <c r="AJ452" s="1103" t="s">
        <v>201</v>
      </c>
      <c r="AK452" s="1104" t="s">
        <v>324</v>
      </c>
      <c r="AX452" s="1272" t="s">
        <v>200</v>
      </c>
      <c r="AY452" s="1272" t="s">
        <v>201</v>
      </c>
      <c r="AZ452" s="1272" t="s">
        <v>200</v>
      </c>
      <c r="BA452" s="1272" t="s">
        <v>201</v>
      </c>
      <c r="BB452" s="1272" t="s">
        <v>200</v>
      </c>
      <c r="BC452" s="1272" t="s">
        <v>201</v>
      </c>
      <c r="BD452" s="1272"/>
      <c r="BE452" s="1272"/>
      <c r="BF452" s="1272"/>
      <c r="BG452" s="1272"/>
    </row>
    <row r="453" spans="1:59" x14ac:dyDescent="0.15">
      <c r="A453" s="1493" t="s">
        <v>1160</v>
      </c>
      <c r="C453" s="1469" t="str">
        <f t="shared" ref="C453:D458" si="212">B413</f>
        <v>Please select</v>
      </c>
      <c r="D453" s="1288" t="str">
        <f t="shared" si="212"/>
        <v/>
      </c>
      <c r="E453" s="992">
        <f>'6.Inland wetlands'!S150</f>
        <v>0</v>
      </c>
      <c r="F453" s="992">
        <f>IF('6.Inland wetlands'!T150-E453&gt;0,'6.Inland wetlands'!T150-E453,0)</f>
        <v>0</v>
      </c>
      <c r="G453" s="992">
        <f>IF('6.Inland wetlands'!U150-E453&gt;0,'6.Inland wetlands'!U150-E453,0)</f>
        <v>0</v>
      </c>
      <c r="H453" s="1004">
        <f>IFERROR(IF($C453="Please select",0,IF($C$405="Nutrient poor",INDEX(IPCC!$A$1910:$J$1921,MATCH(clim_moist,IPCC!$A$1910:$A$1921,0),MATCH($D453,IPCC!$A$1910:$J$1910,0)),INDEX(IPCC!$A$1928:$J$1939,MATCH(clim_moist,IPCC!$A$1928:$A$1939,0),MATCH($D453,IPCC!$A$1928:$J$1928,0)))),0)</f>
        <v>0</v>
      </c>
      <c r="I453" s="1259">
        <f>IF('6.Inland wetlands'!$DY151="",'6.Inland wetlands'!$DX151,'6.Inland wetlands'!$DY151)</f>
        <v>0</v>
      </c>
      <c r="J453" s="1004">
        <f>IFERROR(IF($C453="Please select",0,IF($C$405="Nutrient poor",INDEX(IPCC!$A$1964:$J$1975,MATCH(clim_moist,IPCC!$A$1964:$A$1975,0),MATCH($D453,IPCC!$A$1964:$J$1964,0)),INDEX(IPCC!$A$1982:$J$1993,MATCH(clim_moist,IPCC!$A$1982:$A$1993,0),MATCH($D453,IPCC!$A$1982:$J$1982,0)))),0)</f>
        <v>0</v>
      </c>
      <c r="K453" s="1259">
        <f>IF('6.Inland wetlands'!$EA151="",'6.Inland wetlands'!$DZ151,'6.Inland wetlands'!$EA151)</f>
        <v>0</v>
      </c>
      <c r="L453" s="1004">
        <f>IFERROR(IF($C453="Please select",0,INDEX(IPCC!$A$2000:$J$2011,MATCH(clim_moist,IPCC!$A$2000:$A$2011,0),MATCH($D453,IPCC!$A$2000:$J$2000,0))),0)</f>
        <v>0</v>
      </c>
      <c r="M453" s="1259">
        <f>IF('6.Inland wetlands'!$EC151="",'6.Inland wetlands'!$EB151,'6.Inland wetlands'!$EC151)</f>
        <v>0</v>
      </c>
      <c r="N453" s="1260">
        <f>IFERROR(IF($C453="Please select",0,INDEX(IPCC!$A$1946:$J$1957,MATCH(clim_moist,IPCC!$A$1946:$A$1957,0),MATCH($D453,IPCC!$A$1946:$J$1946,0))),0)</f>
        <v>0</v>
      </c>
      <c r="O453" s="1259">
        <f>IF('6.Inland wetlands'!$EF151="",'6.Inland wetlands'!$EE151,'6.Inland wetlands'!$EF151)</f>
        <v>0</v>
      </c>
      <c r="P453" s="3468">
        <v>0</v>
      </c>
      <c r="Q453" s="3468">
        <f t="shared" ref="Q453:Q458" si="213">IF(F453&gt;0,SUM($I453,$O453)*44/12*$F453,0)</f>
        <v>0</v>
      </c>
      <c r="R453" s="1151">
        <f t="shared" ref="R453:R458" si="214">IF(G453&gt;0,SUM($I453,$O453)*44/12*G453,0)</f>
        <v>0</v>
      </c>
      <c r="S453" s="3468">
        <v>0</v>
      </c>
      <c r="T453" s="1151">
        <f t="shared" ref="T453:T458" si="215">IF(F453&gt;0,$K453/1000*16/12*methane*$F453,0)</f>
        <v>0</v>
      </c>
      <c r="U453" s="1151">
        <f t="shared" ref="U453:U458" si="216">IF(G453&gt;0,$K453/1000*16/12*methane*G453,0)</f>
        <v>0</v>
      </c>
      <c r="V453" s="3468">
        <v>0</v>
      </c>
      <c r="W453" s="1151">
        <f t="shared" ref="W453:W458" si="217">IF(F453&gt;0,$M453/1000*44/28*Nitrous*$F453,0)</f>
        <v>0</v>
      </c>
      <c r="X453" s="3469">
        <f t="shared" ref="X453:X458" si="218">IF(G453&gt;0,$M453/1000*44/28*Nitrous*G453,0)</f>
        <v>0</v>
      </c>
      <c r="Y453" s="3476"/>
      <c r="Z453" s="3476"/>
      <c r="AA453" s="3476"/>
      <c r="AB453" s="1151">
        <f>MIN($P453,$Q453)*time_tot+ABS($P453-$Q453)*IF($P453&gt;$Q453,time_cap+time*(VLOOKUP($G413,list!$J$48:$K$50,2,0)),time*(1-(VLOOKUP($G413,list!$J$48:$K$50,2,0))))</f>
        <v>0</v>
      </c>
      <c r="AC453" s="1151">
        <f>MIN($P453,$R453)*time_tot+ABS($P453-$R453)*IF($P453&gt;$R453,time_cap+time*(VLOOKUP($K413,list!$J$48:$K$50,2,0)),time*(1-(VLOOKUP($K413,list!$J$48:$K$50,2,0))))</f>
        <v>0</v>
      </c>
      <c r="AD453" s="1151">
        <f>MIN($S453,$T453)*time_tot+ABS($S453-$T453)*IF($S453&gt;$T453,time_cap+time*(VLOOKUP($G413,list!$J$48:$K$50,2,0)),time*(1-(VLOOKUP($G413,list!$J$48:$K$50,2,0))))</f>
        <v>0</v>
      </c>
      <c r="AE453" s="1151">
        <f>MIN($S453,$U453)*time_tot+ABS($S453-$U453)*IF($S453&gt;$U453,time_cap+time*(VLOOKUP($K413,list!$J$48:$K$50,2,0)),time*(1-(VLOOKUP($K413,list!$J$48:$K$50,2,0))))</f>
        <v>0</v>
      </c>
      <c r="AF453" s="1151">
        <f>MIN($V453,$W453)*time_tot+ABS($V453-$W453)*IF($V453&gt;$W453,time_cap+time*(VLOOKUP($G413,list!$J$48:$K$50,2,0)),time*(1-(VLOOKUP($G413,list!$J$48:$K$50,2,0))))</f>
        <v>0</v>
      </c>
      <c r="AG453" s="1151">
        <f>MIN($V453,$X453)*time_tot+ABS($V453-$X453)*IF($V453&gt;$X453,time_cap+time*(VLOOKUP($K413,list!$J$48:$K$50,2,0)),time*(1-(VLOOKUP($K413,list!$J$48:$K$50,2,0))))</f>
        <v>0</v>
      </c>
      <c r="AI453" s="1282">
        <f t="shared" ref="AI453:AJ458" si="219">SUM(AB453,AD453,AF453)</f>
        <v>0</v>
      </c>
      <c r="AJ453" s="1282">
        <f t="shared" si="219"/>
        <v>0</v>
      </c>
      <c r="AK453" s="1284">
        <f t="shared" ref="AK453:AK458" si="220">AJ453-AI453</f>
        <v>0</v>
      </c>
      <c r="AX453" s="1449">
        <f>MIN($P453,$Q453)*time+ABS($Q453-$P453)*IF($Q453&gt;$P453,time*(VLOOKUP($G413,list!$J$48:$K$50,2,0)),time*(1-(VLOOKUP($G413,list!$J$48:$K$50,2,0))))</f>
        <v>0</v>
      </c>
      <c r="AY453" s="1449">
        <f>MIN($P453,$R453)*time+ABS($R453-$P453)*IF($R453&gt;$P453,time*(VLOOKUP($K413,list!$J$48:$K$50,2,0)),time*(1-(VLOOKUP($K413,list!$J$48:$K$50,2,0))))</f>
        <v>0</v>
      </c>
      <c r="AZ453" s="1449">
        <f>MIN($S453,$T453)*time+ABS($T453-$S453)*IF($T453&gt;$S453,time*(VLOOKUP($G413,list!$J$48:$K$50,2,0)),time*(1-(VLOOKUP($G413,list!$J$48:$K$50,2,0))))</f>
        <v>0</v>
      </c>
      <c r="BA453" s="1449">
        <f>MIN($S453,$U453)*time+ABS($U453-$S453)*IF($U453&gt;$S453,time*(VLOOKUP($K413,list!$J$48:$K$50,2,0)),time*(1-(VLOOKUP($K413,list!$J$48:$K$50,2,0))))</f>
        <v>0</v>
      </c>
      <c r="BB453" s="1449">
        <f>MIN($V453,$W453)*time+ABS($W453-$V453)*IF($W453&gt;$V453,time*(VLOOKUP($G413,list!$J$48:$K$50,2,0)),time*(1-(VLOOKUP($G413,list!$J$48:$K$50,2,0))))</f>
        <v>0</v>
      </c>
      <c r="BC453" s="1449">
        <f>MIN($V453,$X453)*time+ABS($X453-$V453)*IF($X453&gt;$V453,time*(VLOOKUP($K413,list!$J$48:$K$50,2,0)),time*(1-(VLOOKUP($K413,list!$J$48:$K$50,2,0))))</f>
        <v>0</v>
      </c>
      <c r="BD453" s="1449"/>
      <c r="BE453" s="1449"/>
      <c r="BF453" s="1449"/>
      <c r="BG453" s="1449"/>
    </row>
    <row r="454" spans="1:59" x14ac:dyDescent="0.15">
      <c r="A454" s="1493" t="s">
        <v>1161</v>
      </c>
      <c r="C454" s="1469" t="str">
        <f t="shared" si="212"/>
        <v>Please select</v>
      </c>
      <c r="D454" s="1288" t="str">
        <f t="shared" si="212"/>
        <v/>
      </c>
      <c r="E454" s="992">
        <f>'6.Inland wetlands'!S151</f>
        <v>0</v>
      </c>
      <c r="F454" s="992">
        <f>IF('6.Inland wetlands'!T151-E454&gt;0,'6.Inland wetlands'!T151-E454,0)</f>
        <v>0</v>
      </c>
      <c r="G454" s="992">
        <f>IF('6.Inland wetlands'!U151-E454&gt;0,'6.Inland wetlands'!U151-E454,0)</f>
        <v>0</v>
      </c>
      <c r="H454" s="1004">
        <f>IFERROR(IF($C454="Please select",0,IF($C$405="Nutrient poor",INDEX(IPCC!$A$1910:$J$1921,MATCH(clim_moist,IPCC!$A$1910:$A$1921,0),MATCH($D454,IPCC!$A$1910:$J$1910,0)),INDEX(IPCC!$A$1928:$J$1939,MATCH(clim_moist,IPCC!$A$1928:$A$1939,0),MATCH($D454,IPCC!$A$1928:$J$1928,0)))),0)</f>
        <v>0</v>
      </c>
      <c r="I454" s="1259">
        <f>IF('6.Inland wetlands'!$DY152="",'6.Inland wetlands'!$DX152,'6.Inland wetlands'!$DY152)</f>
        <v>0</v>
      </c>
      <c r="J454" s="1004">
        <f>IFERROR(IF($C454="Please select",0,IF($C$405="Nutrient poor",INDEX(IPCC!$A$1964:$J$1975,MATCH(clim_moist,IPCC!$A$1964:$A$1975,0),MATCH($D454,IPCC!$A$1964:$J$1964,0)),INDEX(IPCC!$A$1982:$J$1993,MATCH(clim_moist,IPCC!$A$1982:$A$1993,0),MATCH($D454,IPCC!$A$1982:$J$1982,0)))),0)</f>
        <v>0</v>
      </c>
      <c r="K454" s="1259">
        <f>IF('6.Inland wetlands'!$EA152="",'6.Inland wetlands'!$DZ152,'6.Inland wetlands'!$EA152)</f>
        <v>0</v>
      </c>
      <c r="L454" s="1004">
        <f>IFERROR(IF($C454="Please select",0,INDEX(IPCC!$A$2000:$J$2011,MATCH(clim_moist,IPCC!$A$2000:$A$2011,0),MATCH($D454,IPCC!$A$2000:$J$2000,0))),0)</f>
        <v>0</v>
      </c>
      <c r="M454" s="1259">
        <f>IF('6.Inland wetlands'!$EC152="",'6.Inland wetlands'!$EB152,'6.Inland wetlands'!$EC152)</f>
        <v>0</v>
      </c>
      <c r="N454" s="1260">
        <f>IFERROR(IF($C454="Please select",0,INDEX(IPCC!$A$1946:$J$1957,MATCH(clim_moist,IPCC!$A$1946:$A$1957,0),MATCH($D454,IPCC!$A$1946:$J$1946,0))),0)</f>
        <v>0</v>
      </c>
      <c r="O454" s="1259">
        <f>IF('6.Inland wetlands'!$EF152="",'6.Inland wetlands'!$EE152,'6.Inland wetlands'!$EF152)</f>
        <v>0</v>
      </c>
      <c r="P454" s="3468">
        <v>0</v>
      </c>
      <c r="Q454" s="3468">
        <f t="shared" si="213"/>
        <v>0</v>
      </c>
      <c r="R454" s="1151">
        <f t="shared" si="214"/>
        <v>0</v>
      </c>
      <c r="S454" s="3468">
        <v>0</v>
      </c>
      <c r="T454" s="1151">
        <f t="shared" si="215"/>
        <v>0</v>
      </c>
      <c r="U454" s="1151">
        <f t="shared" si="216"/>
        <v>0</v>
      </c>
      <c r="V454" s="3468">
        <v>0</v>
      </c>
      <c r="W454" s="1151">
        <f t="shared" si="217"/>
        <v>0</v>
      </c>
      <c r="X454" s="3469">
        <f t="shared" si="218"/>
        <v>0</v>
      </c>
      <c r="Y454" s="3476"/>
      <c r="Z454" s="3476"/>
      <c r="AA454" s="3476"/>
      <c r="AB454" s="1151">
        <f>MIN($P454,$Q454)*time_tot+ABS($P454-$Q454)*IF($P454&gt;$Q454,time_cap+time*(VLOOKUP($G414,list!$J$48:$K$50,2,0)),time*(1-(VLOOKUP($G414,list!$J$48:$K$50,2,0))))</f>
        <v>0</v>
      </c>
      <c r="AC454" s="1151">
        <f>MIN($P454,$R454)*time_tot+ABS($P454-$R454)*IF($P454&gt;$R454,time_cap+time*(VLOOKUP($K414,list!$J$48:$K$50,2,0)),time*(1-(VLOOKUP($K414,list!$J$48:$K$50,2,0))))</f>
        <v>0</v>
      </c>
      <c r="AD454" s="1151">
        <f>MIN($S454,$T454)*time_tot+ABS($S454-$T454)*IF($S454&gt;$T454,time_cap+time*(VLOOKUP($G414,list!$J$48:$K$50,2,0)),time*(1-(VLOOKUP($G414,list!$J$48:$K$50,2,0))))</f>
        <v>0</v>
      </c>
      <c r="AE454" s="1151">
        <f>MIN($S454,$U454)*time_tot+ABS($S454-$U454)*IF($S454&gt;$U454,time_cap+time*(VLOOKUP($K414,list!$J$48:$K$50,2,0)),time*(1-(VLOOKUP($K414,list!$J$48:$K$50,2,0))))</f>
        <v>0</v>
      </c>
      <c r="AF454" s="1151">
        <f>MIN($V454,$W454)*time_tot+ABS($V454-$W454)*IF($V454&gt;$W454,time_cap+time*(VLOOKUP($G414,list!$J$48:$K$50,2,0)),time*(1-(VLOOKUP($G414,list!$J$48:$K$50,2,0))))</f>
        <v>0</v>
      </c>
      <c r="AG454" s="1151">
        <f>MIN($V454,$X454)*time_tot+ABS($V454-$X454)*IF($V454&gt;$X454,time_cap+time*(VLOOKUP($K414,list!$J$48:$K$50,2,0)),time*(1-(VLOOKUP($K414,list!$J$48:$K$50,2,0))))</f>
        <v>0</v>
      </c>
      <c r="AI454" s="1282">
        <f t="shared" si="219"/>
        <v>0</v>
      </c>
      <c r="AJ454" s="1282">
        <f t="shared" si="219"/>
        <v>0</v>
      </c>
      <c r="AK454" s="1284">
        <f t="shared" si="220"/>
        <v>0</v>
      </c>
      <c r="AX454" s="1449">
        <f>MIN($P454,$Q454)*time+ABS($Q454-$P454)*IF($Q454&gt;$P454,time*(VLOOKUP($G414,list!$J$48:$K$50,2,0)),time*(1-(VLOOKUP($G414,list!$J$48:$K$50,2,0))))</f>
        <v>0</v>
      </c>
      <c r="AY454" s="1449">
        <f>MIN($P454,$R454)*time+ABS($R454-$P454)*IF($R454&gt;$P454,time*(VLOOKUP($K414,list!$J$48:$K$50,2,0)),time*(1-(VLOOKUP($K414,list!$J$48:$K$50,2,0))))</f>
        <v>0</v>
      </c>
      <c r="AZ454" s="1449">
        <f>MIN($S454,$T454)*time+ABS($T454-$S454)*IF($T454&gt;$S454,time*(VLOOKUP($G414,list!$J$48:$K$50,2,0)),time*(1-(VLOOKUP($G414,list!$J$48:$K$50,2,0))))</f>
        <v>0</v>
      </c>
      <c r="BA454" s="1449">
        <f>MIN($S454,$U454)*time+ABS($U454-$S454)*IF($U454&gt;$S454,time*(VLOOKUP($K414,list!$J$48:$K$50,2,0)),time*(1-(VLOOKUP($K414,list!$J$48:$K$50,2,0))))</f>
        <v>0</v>
      </c>
      <c r="BB454" s="1449">
        <f>MIN($V454,$W454)*time+ABS($W454-$V454)*IF($W454&gt;$V454,time*(VLOOKUP($G414,list!$J$48:$K$50,2,0)),time*(1-(VLOOKUP($G414,list!$J$48:$K$50,2,0))))</f>
        <v>0</v>
      </c>
      <c r="BC454" s="1449">
        <f>MIN($V454,$X454)*time+ABS($X454-$V454)*IF($X454&gt;$V454,time*(VLOOKUP($K414,list!$J$48:$K$50,2,0)),time*(1-(VLOOKUP($K414,list!$J$48:$K$50,2,0))))</f>
        <v>0</v>
      </c>
      <c r="BD454" s="1449"/>
      <c r="BE454" s="1449"/>
      <c r="BF454" s="1449"/>
      <c r="BG454" s="1449"/>
    </row>
    <row r="455" spans="1:59" x14ac:dyDescent="0.15">
      <c r="A455" s="1493" t="s">
        <v>1162</v>
      </c>
      <c r="C455" s="1469" t="str">
        <f t="shared" si="212"/>
        <v>Please select</v>
      </c>
      <c r="D455" s="1288" t="str">
        <f t="shared" si="212"/>
        <v/>
      </c>
      <c r="E455" s="992">
        <f>'6.Inland wetlands'!S152</f>
        <v>0</v>
      </c>
      <c r="F455" s="992">
        <f>IF('6.Inland wetlands'!T152-E455&gt;0,'6.Inland wetlands'!T152-E455,0)</f>
        <v>0</v>
      </c>
      <c r="G455" s="992">
        <f>IF('6.Inland wetlands'!U152-E455&gt;0,'6.Inland wetlands'!U152-E455,0)</f>
        <v>0</v>
      </c>
      <c r="H455" s="1004">
        <f>IFERROR(IF($C455="Please select",0,IF($C$405="Nutrient poor",INDEX(IPCC!$A$1910:$J$1921,MATCH(clim_moist,IPCC!$A$1910:$A$1921,0),MATCH($D455,IPCC!$A$1910:$J$1910,0)),INDEX(IPCC!$A$1928:$J$1939,MATCH(clim_moist,IPCC!$A$1928:$A$1939,0),MATCH($D455,IPCC!$A$1928:$J$1928,0)))),0)</f>
        <v>0</v>
      </c>
      <c r="I455" s="1259">
        <f>IF('6.Inland wetlands'!$DY153="",'6.Inland wetlands'!$DX153,'6.Inland wetlands'!$DY153)</f>
        <v>0</v>
      </c>
      <c r="J455" s="1004">
        <f>IFERROR(IF($C455="Please select",0,IF($C$405="Nutrient poor",INDEX(IPCC!$A$1964:$J$1975,MATCH(clim_moist,IPCC!$A$1964:$A$1975,0),MATCH($D455,IPCC!$A$1964:$J$1964,0)),INDEX(IPCC!$A$1982:$J$1993,MATCH(clim_moist,IPCC!$A$1982:$A$1993,0),MATCH($D455,IPCC!$A$1982:$J$1982,0)))),0)</f>
        <v>0</v>
      </c>
      <c r="K455" s="1259">
        <f>IF('6.Inland wetlands'!$EA153="",'6.Inland wetlands'!$DZ153,'6.Inland wetlands'!$EA153)</f>
        <v>0</v>
      </c>
      <c r="L455" s="1004">
        <f>IFERROR(IF($C455="Please select",0,INDEX(IPCC!$A$2000:$J$2011,MATCH(clim_moist,IPCC!$A$2000:$A$2011,0),MATCH($D455,IPCC!$A$2000:$J$2000,0))),0)</f>
        <v>0</v>
      </c>
      <c r="M455" s="1259">
        <f>IF('6.Inland wetlands'!$EC153="",'6.Inland wetlands'!$EB153,'6.Inland wetlands'!$EC153)</f>
        <v>0</v>
      </c>
      <c r="N455" s="1260">
        <f>IFERROR(IF($C455="Please select",0,INDEX(IPCC!$A$1946:$J$1957,MATCH(clim_moist,IPCC!$A$1946:$A$1957,0),MATCH($D455,IPCC!$A$1946:$J$1946,0))),0)</f>
        <v>0</v>
      </c>
      <c r="O455" s="1259">
        <f>IF('6.Inland wetlands'!$EF153="",'6.Inland wetlands'!$EE153,'6.Inland wetlands'!$EF153)</f>
        <v>0</v>
      </c>
      <c r="P455" s="3468">
        <v>0</v>
      </c>
      <c r="Q455" s="3468">
        <f t="shared" si="213"/>
        <v>0</v>
      </c>
      <c r="R455" s="1151">
        <f t="shared" si="214"/>
        <v>0</v>
      </c>
      <c r="S455" s="3468">
        <v>0</v>
      </c>
      <c r="T455" s="1151">
        <f t="shared" si="215"/>
        <v>0</v>
      </c>
      <c r="U455" s="1151">
        <f t="shared" si="216"/>
        <v>0</v>
      </c>
      <c r="V455" s="3468">
        <v>0</v>
      </c>
      <c r="W455" s="1151">
        <f t="shared" si="217"/>
        <v>0</v>
      </c>
      <c r="X455" s="3469">
        <f t="shared" si="218"/>
        <v>0</v>
      </c>
      <c r="Y455" s="3476"/>
      <c r="Z455" s="3476"/>
      <c r="AA455" s="3476"/>
      <c r="AB455" s="1151">
        <f>MIN($P455,$Q455)*time_tot+ABS($P455-$Q455)*IF($P455&gt;$Q455,time_cap+time*(VLOOKUP($G415,list!$J$48:$K$50,2,0)),time*(1-(VLOOKUP($G415,list!$J$48:$K$50,2,0))))</f>
        <v>0</v>
      </c>
      <c r="AC455" s="1151">
        <f>MIN($P455,$R455)*time_tot+ABS($P455-$R455)*IF($P455&gt;$R455,time_cap+time*(VLOOKUP($K415,list!$J$48:$K$50,2,0)),time*(1-(VLOOKUP($K415,list!$J$48:$K$50,2,0))))</f>
        <v>0</v>
      </c>
      <c r="AD455" s="1151">
        <f>MIN($S455,$T455)*time_tot+ABS($S455-$T455)*IF($S455&gt;$T455,time_cap+time*(VLOOKUP($G415,list!$J$48:$K$50,2,0)),time*(1-(VLOOKUP($G415,list!$J$48:$K$50,2,0))))</f>
        <v>0</v>
      </c>
      <c r="AE455" s="1151">
        <f>MIN($S455,$U455)*time_tot+ABS($S455-$U455)*IF($S455&gt;$U455,time_cap+time*(VLOOKUP($K415,list!$J$48:$K$50,2,0)),time*(1-(VLOOKUP($K415,list!$J$48:$K$50,2,0))))</f>
        <v>0</v>
      </c>
      <c r="AF455" s="1151">
        <f>MIN($V455,$W455)*time_tot+ABS($V455-$W455)*IF($V455&gt;$W455,time_cap+time*(VLOOKUP($G415,list!$J$48:$K$50,2,0)),time*(1-(VLOOKUP($G415,list!$J$48:$K$50,2,0))))</f>
        <v>0</v>
      </c>
      <c r="AG455" s="1151">
        <f>MIN($V455,$X455)*time_tot+ABS($V455-$X455)*IF($V455&gt;$X455,time_cap+time*(VLOOKUP($K415,list!$J$48:$K$50,2,0)),time*(1-(VLOOKUP($K415,list!$J$48:$K$50,2,0))))</f>
        <v>0</v>
      </c>
      <c r="AI455" s="1282">
        <f t="shared" si="219"/>
        <v>0</v>
      </c>
      <c r="AJ455" s="1282">
        <f t="shared" si="219"/>
        <v>0</v>
      </c>
      <c r="AK455" s="1284">
        <f t="shared" si="220"/>
        <v>0</v>
      </c>
      <c r="AX455" s="1449">
        <f>MIN($P455,$Q455)*time+ABS($Q455-$P455)*IF($Q455&gt;$P455,time*(VLOOKUP($G415,list!$J$48:$K$50,2,0)),time*(1-(VLOOKUP($G415,list!$J$48:$K$50,2,0))))</f>
        <v>0</v>
      </c>
      <c r="AY455" s="1449">
        <f>MIN($P455,$R455)*time+ABS($R455-$P455)*IF($R455&gt;$P455,time*(VLOOKUP($K415,list!$J$48:$K$50,2,0)),time*(1-(VLOOKUP($K415,list!$J$48:$K$50,2,0))))</f>
        <v>0</v>
      </c>
      <c r="AZ455" s="1449">
        <f>MIN($S455,$T455)*time+ABS($T455-$S455)*IF($T455&gt;$S455,time*(VLOOKUP($G415,list!$J$48:$K$50,2,0)),time*(1-(VLOOKUP($G415,list!$J$48:$K$50,2,0))))</f>
        <v>0</v>
      </c>
      <c r="BA455" s="1449">
        <f>MIN($S455,$U455)*time+ABS($U455-$S455)*IF($U455&gt;$S455,time*(VLOOKUP($K415,list!$J$48:$K$50,2,0)),time*(1-(VLOOKUP($K415,list!$J$48:$K$50,2,0))))</f>
        <v>0</v>
      </c>
      <c r="BB455" s="1449">
        <f>MIN($V455,$W455)*time+ABS($W455-$V455)*IF($W455&gt;$V455,time*(VLOOKUP($G415,list!$J$48:$K$50,2,0)),time*(1-(VLOOKUP($G415,list!$J$48:$K$50,2,0))))</f>
        <v>0</v>
      </c>
      <c r="BC455" s="1449">
        <f>MIN($V455,$X455)*time+ABS($X455-$V455)*IF($X455&gt;$V455,time*(VLOOKUP($K415,list!$J$48:$K$50,2,0)),time*(1-(VLOOKUP($K415,list!$J$48:$K$50,2,0))))</f>
        <v>0</v>
      </c>
      <c r="BD455" s="1449"/>
      <c r="BE455" s="1449"/>
      <c r="BF455" s="1449"/>
      <c r="BG455" s="1449"/>
    </row>
    <row r="456" spans="1:59" x14ac:dyDescent="0.15">
      <c r="A456" s="1493" t="s">
        <v>1163</v>
      </c>
      <c r="C456" s="1469" t="str">
        <f t="shared" si="212"/>
        <v>Please select</v>
      </c>
      <c r="D456" s="1288" t="str">
        <f t="shared" si="212"/>
        <v/>
      </c>
      <c r="E456" s="992">
        <f>'6.Inland wetlands'!S153</f>
        <v>0</v>
      </c>
      <c r="F456" s="992">
        <f>IF('6.Inland wetlands'!T153-E456&gt;0,'6.Inland wetlands'!T153-E456,0)</f>
        <v>0</v>
      </c>
      <c r="G456" s="992">
        <f>IF('6.Inland wetlands'!U153-E456&gt;0,'6.Inland wetlands'!U153-E456,0)</f>
        <v>0</v>
      </c>
      <c r="H456" s="1004">
        <f>IFERROR(IF($C456="Please select",0,IF($C$405="Nutrient poor",INDEX(IPCC!$A$1910:$J$1921,MATCH(clim_moist,IPCC!$A$1910:$A$1921,0),MATCH($D456,IPCC!$A$1910:$J$1910,0)),INDEX(IPCC!$A$1928:$J$1939,MATCH(clim_moist,IPCC!$A$1928:$A$1939,0),MATCH($D456,IPCC!$A$1928:$J$1928,0)))),0)</f>
        <v>0</v>
      </c>
      <c r="I456" s="1259">
        <f>IF('6.Inland wetlands'!$DY154="",'6.Inland wetlands'!$DX154,'6.Inland wetlands'!$DY154)</f>
        <v>0</v>
      </c>
      <c r="J456" s="1004">
        <f>IFERROR(IF($C456="Please select",0,IF($C$405="Nutrient poor",INDEX(IPCC!$A$1964:$J$1975,MATCH(clim_moist,IPCC!$A$1964:$A$1975,0),MATCH($D456,IPCC!$A$1964:$J$1964,0)),INDEX(IPCC!$A$1982:$J$1993,MATCH(clim_moist,IPCC!$A$1982:$A$1993,0),MATCH($D456,IPCC!$A$1982:$J$1982,0)))),0)</f>
        <v>0</v>
      </c>
      <c r="K456" s="1259">
        <f>IF('6.Inland wetlands'!$EA154="",'6.Inland wetlands'!$DZ154,'6.Inland wetlands'!$EA154)</f>
        <v>0</v>
      </c>
      <c r="L456" s="1004">
        <f>IFERROR(IF($C456="Please select",0,INDEX(IPCC!$A$2000:$J$2011,MATCH(clim_moist,IPCC!$A$2000:$A$2011,0),MATCH($D456,IPCC!$A$2000:$J$2000,0))),0)</f>
        <v>0</v>
      </c>
      <c r="M456" s="1259">
        <f>IF('6.Inland wetlands'!$EC154="",'6.Inland wetlands'!$EB154,'6.Inland wetlands'!$EC154)</f>
        <v>0</v>
      </c>
      <c r="N456" s="1260">
        <f>IFERROR(IF($C456="Please select",0,INDEX(IPCC!$A$1946:$J$1957,MATCH(clim_moist,IPCC!$A$1946:$A$1957,0),MATCH($D456,IPCC!$A$1946:$J$1946,0))),0)</f>
        <v>0</v>
      </c>
      <c r="O456" s="1259">
        <f>IF('6.Inland wetlands'!$EF154="",'6.Inland wetlands'!$EE154,'6.Inland wetlands'!$EF154)</f>
        <v>0</v>
      </c>
      <c r="P456" s="3468">
        <v>0</v>
      </c>
      <c r="Q456" s="3468">
        <f t="shared" si="213"/>
        <v>0</v>
      </c>
      <c r="R456" s="1151">
        <f t="shared" si="214"/>
        <v>0</v>
      </c>
      <c r="S456" s="3468">
        <v>0</v>
      </c>
      <c r="T456" s="1151">
        <f t="shared" si="215"/>
        <v>0</v>
      </c>
      <c r="U456" s="1151">
        <f t="shared" si="216"/>
        <v>0</v>
      </c>
      <c r="V456" s="3468">
        <v>0</v>
      </c>
      <c r="W456" s="1151">
        <f t="shared" si="217"/>
        <v>0</v>
      </c>
      <c r="X456" s="3469">
        <f t="shared" si="218"/>
        <v>0</v>
      </c>
      <c r="Y456" s="3481"/>
      <c r="Z456" s="3481"/>
      <c r="AA456" s="3481"/>
      <c r="AB456" s="1151">
        <f>MIN($P456,$Q456)*time_tot+ABS($P456-$Q456)*IF($P456&gt;$Q456,time_cap+time*(VLOOKUP($G416,list!$J$48:$K$50,2,0)),time*(1-(VLOOKUP($G416,list!$J$48:$K$50,2,0))))</f>
        <v>0</v>
      </c>
      <c r="AC456" s="1151">
        <f>MIN($P456,$R456)*time_tot+ABS($P456-$R456)*IF($P456&gt;$R456,time_cap+time*(VLOOKUP($K416,list!$J$48:$K$50,2,0)),time*(1-(VLOOKUP($K416,list!$J$48:$K$50,2,0))))</f>
        <v>0</v>
      </c>
      <c r="AD456" s="1151">
        <f>MIN($S456,$T456)*time_tot+ABS($S456-$T456)*IF($S456&gt;$T456,time_cap+time*(VLOOKUP($G416,list!$J$48:$K$50,2,0)),time*(1-(VLOOKUP($G416,list!$J$48:$K$50,2,0))))</f>
        <v>0</v>
      </c>
      <c r="AE456" s="1151">
        <f>MIN($S456,$U456)*time_tot+ABS($S456-$U456)*IF($S456&gt;$U456,time_cap+time*(VLOOKUP($K416,list!$J$48:$K$50,2,0)),time*(1-(VLOOKUP($K416,list!$J$48:$K$50,2,0))))</f>
        <v>0</v>
      </c>
      <c r="AF456" s="1151">
        <f>MIN($V456,$W456)*time_tot+ABS($V456-$W456)*IF($V456&gt;$W456,time_cap+time*(VLOOKUP($G416,list!$J$48:$K$50,2,0)),time*(1-(VLOOKUP($G416,list!$J$48:$K$50,2,0))))</f>
        <v>0</v>
      </c>
      <c r="AG456" s="1151">
        <f>MIN($V456,$X456)*time_tot+ABS($V456-$X456)*IF($V456&gt;$X456,time_cap+time*(VLOOKUP($K416,list!$J$48:$K$50,2,0)),time*(1-(VLOOKUP($K416,list!$J$48:$K$50,2,0))))</f>
        <v>0</v>
      </c>
      <c r="AI456" s="1282">
        <f t="shared" si="219"/>
        <v>0</v>
      </c>
      <c r="AJ456" s="1282">
        <f t="shared" si="219"/>
        <v>0</v>
      </c>
      <c r="AK456" s="1284">
        <f t="shared" si="220"/>
        <v>0</v>
      </c>
      <c r="AX456" s="1449">
        <f>MIN($P456,$Q456)*time+ABS($Q456-$P456)*IF($Q456&gt;$P456,time*(VLOOKUP($G416,list!$J$48:$K$50,2,0)),time*(1-(VLOOKUP($G416,list!$J$48:$K$50,2,0))))</f>
        <v>0</v>
      </c>
      <c r="AY456" s="1449">
        <f>MIN($P456,$R456)*time+ABS($R456-$P456)*IF($R456&gt;$P456,time*(VLOOKUP($K416,list!$J$48:$K$50,2,0)),time*(1-(VLOOKUP($K416,list!$J$48:$K$50,2,0))))</f>
        <v>0</v>
      </c>
      <c r="AZ456" s="1449">
        <f>MIN($S456,$T456)*time+ABS($T456-$S456)*IF($T456&gt;$S456,time*(VLOOKUP($G416,list!$J$48:$K$50,2,0)),time*(1-(VLOOKUP($G416,list!$J$48:$K$50,2,0))))</f>
        <v>0</v>
      </c>
      <c r="BA456" s="1449">
        <f>MIN($S456,$U456)*time+ABS($U456-$S456)*IF($U456&gt;$S456,time*(VLOOKUP($K416,list!$J$48:$K$50,2,0)),time*(1-(VLOOKUP($K416,list!$J$48:$K$50,2,0))))</f>
        <v>0</v>
      </c>
      <c r="BB456" s="1449">
        <f>MIN($V456,$W456)*time+ABS($W456-$V456)*IF($W456&gt;$V456,time*(VLOOKUP($G416,list!$J$48:$K$50,2,0)),time*(1-(VLOOKUP($G416,list!$J$48:$K$50,2,0))))</f>
        <v>0</v>
      </c>
      <c r="BC456" s="1449">
        <f>MIN($V456,$X456)*time+ABS($X456-$V456)*IF($X456&gt;$V456,time*(VLOOKUP($K416,list!$J$48:$K$50,2,0)),time*(1-(VLOOKUP($K416,list!$J$48:$K$50,2,0))))</f>
        <v>0</v>
      </c>
      <c r="BD456" s="1449"/>
      <c r="BE456" s="1449"/>
      <c r="BF456" s="1449"/>
      <c r="BG456" s="1449"/>
    </row>
    <row r="457" spans="1:59" x14ac:dyDescent="0.15">
      <c r="A457" s="1493" t="s">
        <v>1164</v>
      </c>
      <c r="C457" s="1469" t="str">
        <f t="shared" si="212"/>
        <v>Please select</v>
      </c>
      <c r="D457" s="1288" t="str">
        <f t="shared" si="212"/>
        <v/>
      </c>
      <c r="E457" s="992">
        <f>'6.Inland wetlands'!S154</f>
        <v>0</v>
      </c>
      <c r="F457" s="992">
        <f>IF('6.Inland wetlands'!T154-E457&gt;0,'6.Inland wetlands'!T154-E457,0)</f>
        <v>0</v>
      </c>
      <c r="G457" s="992">
        <f>IF('6.Inland wetlands'!U154-E457&gt;0,'6.Inland wetlands'!U154-E457,0)</f>
        <v>0</v>
      </c>
      <c r="H457" s="1004">
        <f>IFERROR(IF($C457="Please select",0,IF($C$405="Nutrient poor",INDEX(IPCC!$A$1910:$J$1921,MATCH(clim_moist,IPCC!$A$1910:$A$1921,0),MATCH($D457,IPCC!$A$1910:$J$1910,0)),INDEX(IPCC!$A$1928:$J$1939,MATCH(clim_moist,IPCC!$A$1928:$A$1939,0),MATCH($D457,IPCC!$A$1928:$J$1928,0)))),0)</f>
        <v>0</v>
      </c>
      <c r="I457" s="1259">
        <f>IF('6.Inland wetlands'!$DY155="",'6.Inland wetlands'!$DX155,'6.Inland wetlands'!$DY155)</f>
        <v>0</v>
      </c>
      <c r="J457" s="1004">
        <f>IFERROR(IF($C457="Please select",0,IF($C$405="Nutrient poor",INDEX(IPCC!$A$1964:$J$1975,MATCH(clim_moist,IPCC!$A$1964:$A$1975,0),MATCH($D457,IPCC!$A$1964:$J$1964,0)),INDEX(IPCC!$A$1982:$J$1993,MATCH(clim_moist,IPCC!$A$1982:$A$1993,0),MATCH($D457,IPCC!$A$1982:$J$1982,0)))),0)</f>
        <v>0</v>
      </c>
      <c r="K457" s="1259">
        <f>IF('6.Inland wetlands'!$EA155="",'6.Inland wetlands'!$DZ155,'6.Inland wetlands'!$EA155)</f>
        <v>0</v>
      </c>
      <c r="L457" s="1004">
        <f>IFERROR(IF($C457="Please select",0,INDEX(IPCC!$A$2000:$J$2011,MATCH(clim_moist,IPCC!$A$2000:$A$2011,0),MATCH($D457,IPCC!$A$2000:$J$2000,0))),0)</f>
        <v>0</v>
      </c>
      <c r="M457" s="1259">
        <f>IF('6.Inland wetlands'!$EC155="",'6.Inland wetlands'!$EB155,'6.Inland wetlands'!$EC155)</f>
        <v>0</v>
      </c>
      <c r="N457" s="1260">
        <f>IFERROR(IF($C457="Please select",0,INDEX(IPCC!$A$1946:$J$1957,MATCH(clim_moist,IPCC!$A$1946:$A$1957,0),MATCH($D457,IPCC!$A$1946:$J$1946,0))),0)</f>
        <v>0</v>
      </c>
      <c r="O457" s="1259">
        <f>IF('6.Inland wetlands'!$EF155="",'6.Inland wetlands'!$EE155,'6.Inland wetlands'!$EF155)</f>
        <v>0</v>
      </c>
      <c r="P457" s="3468">
        <v>0</v>
      </c>
      <c r="Q457" s="3468">
        <f t="shared" si="213"/>
        <v>0</v>
      </c>
      <c r="R457" s="1151">
        <f t="shared" si="214"/>
        <v>0</v>
      </c>
      <c r="S457" s="3468">
        <v>0</v>
      </c>
      <c r="T457" s="1151">
        <f t="shared" si="215"/>
        <v>0</v>
      </c>
      <c r="U457" s="1151">
        <f t="shared" si="216"/>
        <v>0</v>
      </c>
      <c r="V457" s="3468">
        <v>0</v>
      </c>
      <c r="W457" s="1151">
        <f t="shared" si="217"/>
        <v>0</v>
      </c>
      <c r="X457" s="3469">
        <f t="shared" si="218"/>
        <v>0</v>
      </c>
      <c r="AA457" s="1246"/>
      <c r="AB457" s="1151">
        <f>MIN($P457,$Q457)*time_tot+ABS($P457-$Q457)*IF($P457&gt;$Q457,time_cap+time*(VLOOKUP($G417,list!$J$48:$K$50,2,0)),time*(1-(VLOOKUP($G417,list!$J$48:$K$50,2,0))))</f>
        <v>0</v>
      </c>
      <c r="AC457" s="1151">
        <f>MIN($P457,$R457)*time_tot+ABS($P457-$R457)*IF($P457&gt;$R457,time_cap+time*(VLOOKUP($K417,list!$J$48:$K$50,2,0)),time*(1-(VLOOKUP($K417,list!$J$48:$K$50,2,0))))</f>
        <v>0</v>
      </c>
      <c r="AD457" s="1151">
        <f>MIN($S457,$T457)*time_tot+ABS($S457-$T457)*IF($S457&gt;$T457,time_cap+time*(VLOOKUP($G417,list!$J$48:$K$50,2,0)),time*(1-(VLOOKUP($G417,list!$J$48:$K$50,2,0))))</f>
        <v>0</v>
      </c>
      <c r="AE457" s="1151">
        <f>MIN($S457,$U457)*time_tot+ABS($S457-$U457)*IF($S457&gt;$U457,time_cap+time*(VLOOKUP($K417,list!$J$48:$K$50,2,0)),time*(1-(VLOOKUP($K417,list!$J$48:$K$50,2,0))))</f>
        <v>0</v>
      </c>
      <c r="AF457" s="1151">
        <f>MIN($V457,$W457)*time_tot+ABS($V457-$W457)*IF($V457&gt;$W457,time_cap+time*(VLOOKUP($G417,list!$J$48:$K$50,2,0)),time*(1-(VLOOKUP($G417,list!$J$48:$K$50,2,0))))</f>
        <v>0</v>
      </c>
      <c r="AG457" s="1151">
        <f>MIN($V457,$X457)*time_tot+ABS($V457-$X457)*IF($V457&gt;$X457,time_cap+time*(VLOOKUP($K417,list!$J$48:$K$50,2,0)),time*(1-(VLOOKUP($K417,list!$J$48:$K$50,2,0))))</f>
        <v>0</v>
      </c>
      <c r="AI457" s="1282">
        <f t="shared" si="219"/>
        <v>0</v>
      </c>
      <c r="AJ457" s="1282">
        <f t="shared" si="219"/>
        <v>0</v>
      </c>
      <c r="AK457" s="1284">
        <f t="shared" si="220"/>
        <v>0</v>
      </c>
      <c r="AX457" s="1449">
        <f>MIN($P457,$Q457)*time+ABS($Q457-$P457)*IF($Q457&gt;$P457,time*(VLOOKUP($G417,list!$J$48:$K$50,2,0)),time*(1-(VLOOKUP($G417,list!$J$48:$K$50,2,0))))</f>
        <v>0</v>
      </c>
      <c r="AY457" s="1449">
        <f>MIN($P457,$R457)*time+ABS($R457-$P457)*IF($R457&gt;$P457,time*(VLOOKUP($K417,list!$J$48:$K$50,2,0)),time*(1-(VLOOKUP($K417,list!$J$48:$K$50,2,0))))</f>
        <v>0</v>
      </c>
      <c r="AZ457" s="1449">
        <f>MIN($S457,$T457)*time+ABS($T457-$S457)*IF($T457&gt;$S457,time*(VLOOKUP($G417,list!$J$48:$K$50,2,0)),time*(1-(VLOOKUP($G417,list!$J$48:$K$50,2,0))))</f>
        <v>0</v>
      </c>
      <c r="BA457" s="1449">
        <f>MIN($S457,$U457)*time+ABS($U457-$S457)*IF($U457&gt;$S457,time*(VLOOKUP($K417,list!$J$48:$K$50,2,0)),time*(1-(VLOOKUP($K417,list!$J$48:$K$50,2,0))))</f>
        <v>0</v>
      </c>
      <c r="BB457" s="1449">
        <f>MIN($V457,$W457)*time+ABS($W457-$V457)*IF($W457&gt;$V457,time*(VLOOKUP($G417,list!$J$48:$K$50,2,0)),time*(1-(VLOOKUP($G417,list!$J$48:$K$50,2,0))))</f>
        <v>0</v>
      </c>
      <c r="BC457" s="1449">
        <f>MIN($V457,$X457)*time+ABS($X457-$V457)*IF($X457&gt;$V457,time*(VLOOKUP($K417,list!$J$48:$K$50,2,0)),time*(1-(VLOOKUP($K417,list!$J$48:$K$50,2,0))))</f>
        <v>0</v>
      </c>
      <c r="BD457" s="1449"/>
      <c r="BE457" s="1449"/>
      <c r="BF457" s="1449"/>
      <c r="BG457" s="1449"/>
    </row>
    <row r="458" spans="1:59" x14ac:dyDescent="0.15">
      <c r="A458" s="1493" t="s">
        <v>1165</v>
      </c>
      <c r="C458" s="1469" t="str">
        <f t="shared" si="212"/>
        <v>Please select</v>
      </c>
      <c r="D458" s="1288" t="str">
        <f t="shared" si="212"/>
        <v/>
      </c>
      <c r="E458" s="992">
        <f>'6.Inland wetlands'!S155</f>
        <v>0</v>
      </c>
      <c r="F458" s="992">
        <f>IF('6.Inland wetlands'!T155-E458&gt;0,'6.Inland wetlands'!T155-E458,0)</f>
        <v>0</v>
      </c>
      <c r="G458" s="992">
        <f>IF('6.Inland wetlands'!U155-E458&gt;0,'6.Inland wetlands'!U155-E458,0)</f>
        <v>0</v>
      </c>
      <c r="H458" s="1004">
        <f>IFERROR(IF($C458="Please select",0,IF($C$405="Nutrient poor",INDEX(IPCC!$A$1910:$J$1921,MATCH(clim_moist,IPCC!$A$1910:$A$1921,0),MATCH($D458,IPCC!$A$1910:$J$1910,0)),INDEX(IPCC!$A$1928:$J$1939,MATCH(clim_moist,IPCC!$A$1928:$A$1939,0),MATCH($D458,IPCC!$A$1928:$J$1928,0)))),0)</f>
        <v>0</v>
      </c>
      <c r="I458" s="1259">
        <f>IF('6.Inland wetlands'!$DY156="",'6.Inland wetlands'!$DX156,'6.Inland wetlands'!$DY156)</f>
        <v>0</v>
      </c>
      <c r="J458" s="1004">
        <f>IFERROR(IF($C458="Please select",0,IF($C$405="Nutrient poor",INDEX(IPCC!$A$1964:$J$1975,MATCH(clim_moist,IPCC!$A$1964:$A$1975,0),MATCH($D458,IPCC!$A$1964:$J$1964,0)),INDEX(IPCC!$A$1982:$J$1993,MATCH(clim_moist,IPCC!$A$1982:$A$1993,0),MATCH($D458,IPCC!$A$1982:$J$1982,0)))),0)</f>
        <v>0</v>
      </c>
      <c r="K458" s="1259">
        <f>IF('6.Inland wetlands'!$EA156="",'6.Inland wetlands'!$DZ156,'6.Inland wetlands'!$EA156)</f>
        <v>0</v>
      </c>
      <c r="L458" s="1004">
        <f>IFERROR(IF($C458="Please select",0,INDEX(IPCC!$A$2000:$J$2011,MATCH(clim_moist,IPCC!$A$2000:$A$2011,0),MATCH($D458,IPCC!$A$2000:$J$2000,0))),0)</f>
        <v>0</v>
      </c>
      <c r="M458" s="1259">
        <f>IF('6.Inland wetlands'!$EC156="",'6.Inland wetlands'!$EB156,'6.Inland wetlands'!$EC156)</f>
        <v>0</v>
      </c>
      <c r="N458" s="1260">
        <f>IFERROR(IF($C458="Please select",0,INDEX(IPCC!$A$1946:$J$1957,MATCH(clim_moist,IPCC!$A$1946:$A$1957,0),MATCH($D458,IPCC!$A$1946:$J$1946,0))),0)</f>
        <v>0</v>
      </c>
      <c r="O458" s="1259">
        <f>IF('6.Inland wetlands'!$EF156="",'6.Inland wetlands'!$EE156,'6.Inland wetlands'!$EF156)</f>
        <v>0</v>
      </c>
      <c r="P458" s="3468">
        <v>0</v>
      </c>
      <c r="Q458" s="3468">
        <f t="shared" si="213"/>
        <v>0</v>
      </c>
      <c r="R458" s="1151">
        <f t="shared" si="214"/>
        <v>0</v>
      </c>
      <c r="S458" s="3468">
        <v>0</v>
      </c>
      <c r="T458" s="1151">
        <f t="shared" si="215"/>
        <v>0</v>
      </c>
      <c r="U458" s="1151">
        <f t="shared" si="216"/>
        <v>0</v>
      </c>
      <c r="V458" s="3468">
        <v>0</v>
      </c>
      <c r="W458" s="1151">
        <f t="shared" si="217"/>
        <v>0</v>
      </c>
      <c r="X458" s="3469">
        <f t="shared" si="218"/>
        <v>0</v>
      </c>
      <c r="Y458" s="992"/>
      <c r="Z458" s="992"/>
      <c r="AA458" s="992"/>
      <c r="AB458" s="1151">
        <f>MIN($P458,$Q458)*time_tot+ABS($P458-$Q458)*IF($P458&gt;$Q458,time_cap+time*(VLOOKUP($G418,list!$J$48:$K$50,2,0)),time*(1-(VLOOKUP($G418,list!$J$48:$K$50,2,0))))</f>
        <v>0</v>
      </c>
      <c r="AC458" s="1151">
        <f>MIN($P458,$R458)*time_tot+ABS($P458-$R458)*IF($P458&gt;$R458,time_cap+time*(VLOOKUP($K418,list!$J$48:$K$50,2,0)),time*(1-(VLOOKUP($K418,list!$J$48:$K$50,2,0))))</f>
        <v>0</v>
      </c>
      <c r="AD458" s="1151">
        <f>MIN($S458,$T458)*time_tot+ABS($S458-$T458)*IF($S458&gt;$T458,time_cap+time*(VLOOKUP($G418,list!$J$48:$K$50,2,0)),time*(1-(VLOOKUP($G418,list!$J$48:$K$50,2,0))))</f>
        <v>0</v>
      </c>
      <c r="AE458" s="1151">
        <f>MIN($S458,$U458)*time_tot+ABS($S458-$U458)*IF($S458&gt;$U458,time_cap+time*(VLOOKUP($K418,list!$J$48:$K$50,2,0)),time*(1-(VLOOKUP($K418,list!$J$48:$K$50,2,0))))</f>
        <v>0</v>
      </c>
      <c r="AF458" s="1151">
        <f>MIN($V458,$W458)*time_tot+ABS($V458-$W458)*IF($V458&gt;$W458,time_cap+time*(VLOOKUP($G418,list!$J$48:$K$50,2,0)),time*(1-(VLOOKUP($G418,list!$J$48:$K$50,2,0))))</f>
        <v>0</v>
      </c>
      <c r="AG458" s="1151">
        <f>MIN($V458,$X458)*time_tot+ABS($V458-$X458)*IF($V458&gt;$X458,time_cap+time*(VLOOKUP($K418,list!$J$48:$K$50,2,0)),time*(1-(VLOOKUP($K418,list!$J$48:$K$50,2,0))))</f>
        <v>0</v>
      </c>
      <c r="AI458" s="1282">
        <f t="shared" si="219"/>
        <v>0</v>
      </c>
      <c r="AJ458" s="1282">
        <f t="shared" si="219"/>
        <v>0</v>
      </c>
      <c r="AK458" s="1284">
        <f t="shared" si="220"/>
        <v>0</v>
      </c>
      <c r="AX458" s="1449">
        <f>MIN($P458,$Q458)*time+ABS($Q458-$P458)*IF($Q458&gt;$P458,time*(VLOOKUP($G418,list!$J$48:$K$50,2,0)),time*(1-(VLOOKUP($G418,list!$J$48:$K$50,2,0))))</f>
        <v>0</v>
      </c>
      <c r="AY458" s="1449">
        <f>MIN($P458,$R458)*time+ABS($R458-$P458)*IF($R458&gt;$P458,time*(VLOOKUP($K418,list!$J$48:$K$50,2,0)),time*(1-(VLOOKUP($K418,list!$J$48:$K$50,2,0))))</f>
        <v>0</v>
      </c>
      <c r="AZ458" s="1449">
        <f>MIN($S458,$T458)*time+ABS($T458-$S458)*IF($T458&gt;$S458,time*(VLOOKUP($G418,list!$J$48:$K$50,2,0)),time*(1-(VLOOKUP($G418,list!$J$48:$K$50,2,0))))</f>
        <v>0</v>
      </c>
      <c r="BA458" s="1449">
        <f>MIN($S458,$U458)*time+ABS($U458-$S458)*IF($U458&gt;$S458,time*(VLOOKUP($K418,list!$J$48:$K$50,2,0)),time*(1-(VLOOKUP($K418,list!$J$48:$K$50,2,0))))</f>
        <v>0</v>
      </c>
      <c r="BB458" s="1449">
        <f>MIN($V458,$W458)*time+ABS($W458-$V458)*IF($W458&gt;$V458,time*(VLOOKUP($G418,list!$J$48:$K$50,2,0)),time*(1-(VLOOKUP($G418,list!$J$48:$K$50,2,0))))</f>
        <v>0</v>
      </c>
      <c r="BC458" s="1449">
        <f>MIN($V458,$X458)*time+ABS($X458-$V458)*IF($X458&gt;$V458,time*(VLOOKUP($K418,list!$J$48:$K$50,2,0)),time*(1-(VLOOKUP($K418,list!$J$48:$K$50,2,0))))</f>
        <v>0</v>
      </c>
      <c r="BD458" s="1449"/>
      <c r="BE458" s="1449"/>
      <c r="BF458" s="1449"/>
      <c r="BG458" s="1449"/>
    </row>
    <row r="459" spans="1:59" x14ac:dyDescent="0.15">
      <c r="B459" s="1200"/>
      <c r="AX459" s="1271"/>
      <c r="AY459" s="1271"/>
      <c r="AZ459" s="1271"/>
      <c r="BA459" s="1271"/>
      <c r="BB459" s="1271"/>
      <c r="BD459" s="1463"/>
      <c r="BF459" s="1271"/>
    </row>
    <row r="460" spans="1:59" x14ac:dyDescent="0.15">
      <c r="B460" s="992"/>
      <c r="C460" s="992"/>
      <c r="D460" s="992"/>
      <c r="E460" s="992"/>
      <c r="F460" s="992"/>
      <c r="G460" s="992"/>
      <c r="H460" s="992"/>
      <c r="N460" s="1469"/>
      <c r="O460" s="992"/>
      <c r="P460" s="992"/>
      <c r="Q460" s="992"/>
      <c r="R460" s="992"/>
      <c r="S460" s="992"/>
      <c r="T460" s="992"/>
      <c r="V460" s="992"/>
      <c r="W460" s="992"/>
      <c r="X460" s="992"/>
      <c r="AJ460" s="1445" t="s">
        <v>629</v>
      </c>
      <c r="AK460" s="3156">
        <f>SUM('6.Inland wetlands'!CG150:CG155,'6.Inland wetlands'!CI150:CI155,'6.Inland wetlands'!CK150:CK155,'6.Inland wetlands'!CN150:CN155,'6.Inland wetlands'!CP150:CP155)</f>
        <v>0</v>
      </c>
      <c r="AL460" s="973" t="s">
        <v>1224</v>
      </c>
      <c r="AX460" s="1451">
        <f t="shared" ref="AX460:BC460" si="221">SUM(AX453:AX458)</f>
        <v>0</v>
      </c>
      <c r="AY460" s="1451">
        <f t="shared" si="221"/>
        <v>0</v>
      </c>
      <c r="AZ460" s="1451">
        <f t="shared" si="221"/>
        <v>0</v>
      </c>
      <c r="BA460" s="1451">
        <f t="shared" si="221"/>
        <v>0</v>
      </c>
      <c r="BB460" s="1451">
        <f t="shared" si="221"/>
        <v>0</v>
      </c>
      <c r="BC460" s="1451">
        <f t="shared" si="221"/>
        <v>0</v>
      </c>
      <c r="BD460" s="1451"/>
      <c r="BE460" s="1451"/>
      <c r="BF460" s="1451"/>
      <c r="BG460" s="1451"/>
    </row>
    <row r="461" spans="1:59" x14ac:dyDescent="0.15">
      <c r="E461" s="3993" t="s">
        <v>1270</v>
      </c>
      <c r="F461" s="3993">
        <f>SUMIF(P453:P458,"&gt;0",E413:E418)</f>
        <v>0</v>
      </c>
      <c r="G461" s="3993">
        <f>SUMIF(Q453:Q458,"&gt;0",F413:F418)</f>
        <v>0</v>
      </c>
      <c r="H461" s="3993">
        <f>SUMIF(R453:R458,"&gt;0",J413:J418)</f>
        <v>0</v>
      </c>
      <c r="AJ461" s="1445" t="s">
        <v>629</v>
      </c>
      <c r="AK461" s="3156">
        <f>+SUM('6.Inland wetlands'!DY151:DY156,'6.Inland wetlands'!EA151:EA156,'6.Inland wetlands'!EC151:EC156,'6.Inland wetlands'!EF151:EF156)</f>
        <v>0</v>
      </c>
      <c r="AL461" s="973" t="s">
        <v>1225</v>
      </c>
      <c r="AY461" s="1451">
        <f>AY460-AX460</f>
        <v>0</v>
      </c>
      <c r="AZ461" s="1451"/>
      <c r="BA461" s="1451">
        <f>BA460-AZ460</f>
        <v>0</v>
      </c>
      <c r="BB461" s="1451"/>
      <c r="BC461" s="1451">
        <f>BC460-BB460</f>
        <v>0</v>
      </c>
      <c r="BD461" s="1451"/>
      <c r="BE461" s="1451"/>
      <c r="BF461" s="1451"/>
      <c r="BG461" s="1451"/>
    </row>
    <row r="462" spans="1:59" s="975" customFormat="1" ht="42.75" customHeight="1" x14ac:dyDescent="0.15">
      <c r="B462" s="975" t="s">
        <v>1271</v>
      </c>
      <c r="J462" s="1123"/>
      <c r="K462" s="1123"/>
      <c r="L462" s="1123"/>
      <c r="M462" s="1123"/>
      <c r="N462" s="1123"/>
    </row>
    <row r="463" spans="1:59" x14ac:dyDescent="0.15">
      <c r="B463" s="973" t="s">
        <v>1272</v>
      </c>
    </row>
    <row r="464" spans="1:59" ht="16.5" customHeight="1" x14ac:dyDescent="0.2">
      <c r="H464" s="1587" t="s">
        <v>1273</v>
      </c>
      <c r="I464" s="1588"/>
      <c r="J464" s="1588"/>
      <c r="K464" s="1588"/>
      <c r="L464" s="1588"/>
      <c r="M464" s="1588"/>
      <c r="N464" s="1591" t="s">
        <v>1274</v>
      </c>
      <c r="O464" s="1590"/>
      <c r="P464" s="1590"/>
      <c r="Q464" s="1590"/>
      <c r="R464" s="1596" t="s">
        <v>1275</v>
      </c>
      <c r="S464" s="1588"/>
      <c r="T464" s="1588"/>
      <c r="U464" s="1588"/>
      <c r="V464" s="1588"/>
      <c r="W464" s="1588"/>
      <c r="X464" s="1588"/>
      <c r="Y464" s="1588"/>
      <c r="Z464" s="1588"/>
      <c r="AA464" s="1594" t="s">
        <v>1276</v>
      </c>
      <c r="AB464" s="1306"/>
      <c r="AC464" s="1306"/>
      <c r="AD464" s="1306"/>
      <c r="AE464" s="1306"/>
      <c r="AF464" s="1306"/>
    </row>
    <row r="465" spans="1:72" ht="16" x14ac:dyDescent="0.2">
      <c r="B465" s="1602" t="s">
        <v>1220</v>
      </c>
      <c r="C465" s="2368" t="s">
        <v>1075</v>
      </c>
      <c r="D465" s="2369"/>
      <c r="E465" s="2369"/>
      <c r="F465" s="2369"/>
      <c r="G465" s="2369"/>
      <c r="H465" s="1589" t="s">
        <v>1277</v>
      </c>
      <c r="I465" s="1589"/>
      <c r="J465" s="1589" t="s">
        <v>176</v>
      </c>
      <c r="K465" s="1587"/>
      <c r="L465" s="1589" t="s">
        <v>1192</v>
      </c>
      <c r="M465" s="1588"/>
      <c r="N465" s="1591" t="s">
        <v>1037</v>
      </c>
      <c r="O465" s="1590"/>
      <c r="P465" s="1593" t="s">
        <v>176</v>
      </c>
      <c r="Q465" s="1590"/>
      <c r="R465" s="1588" t="s">
        <v>1220</v>
      </c>
      <c r="S465" s="1588"/>
      <c r="T465" s="1588"/>
      <c r="U465" s="1588"/>
      <c r="V465" s="1588"/>
      <c r="W465" s="1588"/>
      <c r="X465" s="1588"/>
      <c r="Y465" s="1588"/>
      <c r="Z465" s="1588"/>
      <c r="AA465" s="1306"/>
      <c r="AB465" s="1597"/>
      <c r="AC465" s="1597"/>
      <c r="AD465" s="1597"/>
      <c r="AE465" s="1597"/>
      <c r="AF465" s="1597"/>
    </row>
    <row r="466" spans="1:72" ht="16" x14ac:dyDescent="0.2">
      <c r="B466" s="1231" t="s">
        <v>1079</v>
      </c>
      <c r="C466" s="1586" t="s">
        <v>219</v>
      </c>
      <c r="D466" s="1586" t="s">
        <v>179</v>
      </c>
      <c r="E466" s="1586" t="s">
        <v>225</v>
      </c>
      <c r="F466" s="1586" t="s">
        <v>180</v>
      </c>
      <c r="G466" s="1586" t="s">
        <v>225</v>
      </c>
      <c r="H466" s="1587" t="s">
        <v>1278</v>
      </c>
      <c r="I466" s="1587"/>
      <c r="J466" s="1589" t="s">
        <v>1044</v>
      </c>
      <c r="K466" s="1587"/>
      <c r="L466" s="1587" t="s">
        <v>1045</v>
      </c>
      <c r="M466" s="1588"/>
      <c r="N466" s="1591" t="s">
        <v>1278</v>
      </c>
      <c r="O466" s="1591"/>
      <c r="P466" s="1590" t="s">
        <v>1044</v>
      </c>
      <c r="Q466" s="1590"/>
      <c r="R466" s="1596" t="s">
        <v>1036</v>
      </c>
      <c r="S466" s="1588"/>
      <c r="T466" s="1596"/>
      <c r="U466" s="1596" t="s">
        <v>176</v>
      </c>
      <c r="V466" s="1588"/>
      <c r="W466" s="1596"/>
      <c r="X466" s="1596" t="s">
        <v>177</v>
      </c>
      <c r="Y466" s="1588"/>
      <c r="Z466" s="1596"/>
      <c r="AA466" s="1594" t="s">
        <v>1037</v>
      </c>
      <c r="AB466" s="1306"/>
      <c r="AC466" s="1594"/>
      <c r="AD466" s="1594" t="s">
        <v>176</v>
      </c>
      <c r="AE466" s="1306"/>
      <c r="AF466" s="1594"/>
    </row>
    <row r="467" spans="1:72" ht="16" x14ac:dyDescent="0.2">
      <c r="C467" s="1306"/>
      <c r="D467" s="1306"/>
      <c r="E467" s="1306"/>
      <c r="F467" s="1306"/>
      <c r="G467" s="1306"/>
      <c r="H467" s="1589" t="s">
        <v>864</v>
      </c>
      <c r="I467" s="1589" t="s">
        <v>66</v>
      </c>
      <c r="J467" s="1589" t="s">
        <v>864</v>
      </c>
      <c r="K467" s="1589" t="s">
        <v>66</v>
      </c>
      <c r="L467" s="1589" t="s">
        <v>864</v>
      </c>
      <c r="M467" s="1589" t="s">
        <v>66</v>
      </c>
      <c r="N467" s="1592" t="s">
        <v>864</v>
      </c>
      <c r="O467" s="1592" t="s">
        <v>66</v>
      </c>
      <c r="P467" s="1595" t="s">
        <v>864</v>
      </c>
      <c r="Q467" s="1595" t="s">
        <v>66</v>
      </c>
      <c r="R467" s="973" t="s">
        <v>219</v>
      </c>
      <c r="S467" s="1102" t="s">
        <v>179</v>
      </c>
      <c r="T467" s="1103" t="s">
        <v>180</v>
      </c>
      <c r="U467" s="1688" t="s">
        <v>219</v>
      </c>
      <c r="V467" s="1102" t="s">
        <v>179</v>
      </c>
      <c r="W467" s="1103" t="s">
        <v>180</v>
      </c>
      <c r="X467" s="1688" t="s">
        <v>219</v>
      </c>
      <c r="Y467" s="1102" t="s">
        <v>179</v>
      </c>
      <c r="Z467" s="1103" t="s">
        <v>180</v>
      </c>
      <c r="AA467" s="1688" t="s">
        <v>219</v>
      </c>
      <c r="AB467" s="1102" t="s">
        <v>179</v>
      </c>
      <c r="AC467" s="1103" t="s">
        <v>180</v>
      </c>
      <c r="AD467" s="1688" t="s">
        <v>219</v>
      </c>
      <c r="AE467" s="1102" t="s">
        <v>179</v>
      </c>
      <c r="AF467" s="1103" t="s">
        <v>180</v>
      </c>
    </row>
    <row r="468" spans="1:72" x14ac:dyDescent="0.15">
      <c r="B468" s="973" t="str">
        <f>'6.Inland wetlands'!I176</f>
        <v>Nutrient-rich</v>
      </c>
      <c r="C468" s="992">
        <f>'6.Inland wetlands'!M176</f>
        <v>500</v>
      </c>
      <c r="D468" s="992">
        <f>'6.Inland wetlands'!N176</f>
        <v>30</v>
      </c>
      <c r="E468" s="992" t="str">
        <f>VLOOKUP('6.Inland wetlands'!O176,list!$I$48:$J$50,2,FALSE )</f>
        <v>Linear</v>
      </c>
      <c r="F468" s="992">
        <f>'6.Inland wetlands'!P176</f>
        <v>32</v>
      </c>
      <c r="G468" s="992" t="str">
        <f>VLOOKUP('6.Inland wetlands'!Q176,list!$I$48:$J$50,2,FALSE )</f>
        <v>Linear</v>
      </c>
      <c r="H468" s="1044">
        <f>IF($B468="Please select",0,IF($B468=list!$E$218,INDEX(IPCC!$A$1762:$K$1773,MATCH(clim_moist,IPCC!$A$1781:$A$1792,0),MATCH(IPCC!$K$1762,IPCC!$A$1781:$K$1781,0)),IF('Inl. wetlands'!$B468=list!$E$219,INDEX(IPCC!$A$1781:$K$1792,MATCH(clim_moist,IPCC!$A$1781:$A$1792,0),MATCH(IPCC!$K$1762,IPCC!$A$1781:$K$1781,0)))))</f>
        <v>2.8</v>
      </c>
      <c r="I468" s="1104">
        <f>IF('6.Inland wetlands'!CG175="",'6.Inland wetlands'!CF175,'6.Inland wetlands'!CG175)</f>
        <v>2.8</v>
      </c>
      <c r="J468" s="1044">
        <f>IF(B468="Please select",0,(IF($B468=list!$E$218,INDEX(IPCC!$A$1818:$K$1829,MATCH(clim_moist,IPCC!$A$1818:$A$1829,0),MATCH(IPCC!$K$1836,IPCC!$A$1818:$K$1818,0)),IF($B468=list!$E$219,INDEX(IPCC!$A$1836:$K$1847,MATCH(clim_moist,IPCC!$A$1836:$A$1847,0),MATCH(IPCC!$K$1836,IPCC!$A$1836:$K$1836,0))))))</f>
        <v>6.1</v>
      </c>
      <c r="K468" s="1104">
        <f>IF('6.Inland wetlands'!CI175="",'6.Inland wetlands'!CH175,'6.Inland wetlands'!CI175)</f>
        <v>6.1</v>
      </c>
      <c r="L468" s="1044">
        <f>IF('Inl. wetlands'!$B468="Please select",0,IF($B468=list!$E$218,INDEX(IPCC!$A$1872:$K$1883,MATCH(clim_moist,IPCC!$A$1872:$A$1883,0),MATCH(IPCC!$K$1818,IPCC!$A$1872:$K$1872,0)),IF('Inl. wetlands'!$B468=list!$E$219,INDEX(IPCC!$A$1890:$K$1901,MATCH(clim_moist,IPCC!$A$1890:$A$1901,0),MATCH(IPCC!$K$1818,IPCC!$A$1890:$K$1890,0)))))</f>
        <v>0.3</v>
      </c>
      <c r="M468" s="1104">
        <f>IF('6.Inland wetlands'!CK175="",'6.Inland wetlands'!CJ175,'6.Inland wetlands'!CK175)</f>
        <v>0.3</v>
      </c>
      <c r="N468" s="1044">
        <f>IF('Inl. wetlands'!$B468="Please select",0,(IF($B468=list!$E$218,INDEX(IPCC!$A$1800:$K$1811,MATCH(clim_moist,IPCC!$A$1800:$A$1811,0),MATCH(IPCC!$K$1800,IPCC!$A$1800:$K$1800,0)),IF($B468=list!$E$219,INDEX(IPCC!$A$1800:$K$1811,MATCH(clim_moist,IPCC!$A$1800:$A$1811,0),MATCH(IPCC!$K$1800,IPCC!$A$1800:$K$1800,0))))))</f>
        <v>0.31</v>
      </c>
      <c r="O468" s="1104">
        <f>IF('6.Inland wetlands'!CN175="",'6.Inland wetlands'!CM175,'6.Inland wetlands'!CN175)</f>
        <v>0.31</v>
      </c>
      <c r="P468" s="1111">
        <f>IF(B468="Please select",0,IF($B468=list!$E$218,INDEX(IPCC!$A$1854:$K$1865,MATCH(clim_moist,IPCC!$A$1854:$A$1865,0),MATCH(IPCC!$K$1854,IPCC!$A$1854:$K$1854,0)),IF($B468=list!$E$219,INDEX(IPCC!$A$1854:$K$1865,MATCH(clim_moist,IPCC!$A$1854:$A$1865,0),MATCH(IPCC!$K$1854,IPCC!$A$1854:$K$1854,0)))))</f>
        <v>542</v>
      </c>
      <c r="Q468" s="1161">
        <f>IF('6.Inland wetlands'!CP175="",'6.Inland wetlands'!CO175,'6.Inland wetlands'!CP175)</f>
        <v>542</v>
      </c>
      <c r="R468" s="3468">
        <f>$I468*44/12*$C468</f>
        <v>5133.333333333333</v>
      </c>
      <c r="S468" s="3468">
        <f>$I468*44/12*$D468</f>
        <v>308</v>
      </c>
      <c r="T468" s="3468">
        <f>$I468*44/12*$F468</f>
        <v>328.5333333333333</v>
      </c>
      <c r="U468" s="3468">
        <f>$K468*methane/1000*$C468*(1-'6.Inland wetlands'!S176)</f>
        <v>42.699999999999996</v>
      </c>
      <c r="V468" s="3468">
        <f>$K468*methane/1000*$D468*(1-'6.Inland wetlands'!T176)</f>
        <v>2.5619999999999998</v>
      </c>
      <c r="W468" s="3468">
        <f>$K468*methane/1000*$F468*(1-'6.Inland wetlands'!U176)</f>
        <v>2.7327999999999997</v>
      </c>
      <c r="X468" s="3468">
        <f>$M468*44/28*Nitrous/1000*$C468</f>
        <v>62.464285714285715</v>
      </c>
      <c r="Y468" s="3468">
        <f>$M468*44/28*Nitrous/1000*$D468</f>
        <v>3.7478571428571428</v>
      </c>
      <c r="Z468" s="3468">
        <f>$M468*44/28*Nitrous/1000*$F468</f>
        <v>3.9977142857142858</v>
      </c>
      <c r="AA468" s="3468">
        <f>$O468*44/12*$C468</f>
        <v>568.33333333333337</v>
      </c>
      <c r="AB468" s="3468">
        <f>$O468*44/12*$D468</f>
        <v>34.1</v>
      </c>
      <c r="AC468" s="3468">
        <f>$O468*44/12*$F468</f>
        <v>36.373333333333335</v>
      </c>
      <c r="AD468" s="3468">
        <f>$Q468*methane/1000*$C468*'6.Inland wetlands'!S176</f>
        <v>3794</v>
      </c>
      <c r="AE468" s="3468">
        <f>$Q468*methane/1000*$D468*'6.Inland wetlands'!T176</f>
        <v>227.64000000000001</v>
      </c>
      <c r="AF468" s="3468">
        <f>$Q468*methane/1000*$F468*'6.Inland wetlands'!U176</f>
        <v>242.816</v>
      </c>
    </row>
    <row r="469" spans="1:72" x14ac:dyDescent="0.15">
      <c r="B469" s="973" t="str">
        <f>'6.Inland wetlands'!I177</f>
        <v>Please select</v>
      </c>
      <c r="C469" s="992">
        <f>'6.Inland wetlands'!M177</f>
        <v>0</v>
      </c>
      <c r="D469" s="992">
        <f>'6.Inland wetlands'!N177</f>
        <v>0</v>
      </c>
      <c r="E469" s="992" t="str">
        <f>VLOOKUP('6.Inland wetlands'!O177,list!$I$48:$J$50,2,FALSE )</f>
        <v>Linear</v>
      </c>
      <c r="F469" s="992">
        <f>'6.Inland wetlands'!P177</f>
        <v>0</v>
      </c>
      <c r="G469" s="992" t="str">
        <f>VLOOKUP('6.Inland wetlands'!Q177,list!$I$48:$J$50,2,FALSE )</f>
        <v>Linear</v>
      </c>
      <c r="H469" s="1044">
        <f>IF($B469="Please select",0,IF($B469=list!$E$218,INDEX(IPCC!$A$1762:$K$1773,MATCH(clim_moist,IPCC!$A$1781:$A$1792,0),MATCH(IPCC!$K$1762,IPCC!$A$1781:$K$1781,0)),IF('Inl. wetlands'!$B469=list!$E$219,INDEX(IPCC!$A$1781:$K$1792,MATCH(clim_moist,IPCC!$A$1781:$A$1792,0),MATCH(IPCC!$K$1762,IPCC!$A$1781:$K$1781,0)))))</f>
        <v>0</v>
      </c>
      <c r="I469" s="1104">
        <f>IF('6.Inland wetlands'!CG176="",'6.Inland wetlands'!CF176,'6.Inland wetlands'!CG176)</f>
        <v>0</v>
      </c>
      <c r="J469" s="1044">
        <f>IF(B469="Please select",0,(IF($B469=list!$E$218,INDEX(IPCC!$A$1818:$K$1829,MATCH(clim_moist,IPCC!$A$1818:$A$1829,0),MATCH(IPCC!$K$1836,IPCC!$A$1818:$K$1818,0)),IF($B469=list!$E$219,INDEX(IPCC!$A$1836:$K$1847,MATCH(clim_moist,IPCC!$A$1836:$A$1847,0),MATCH(IPCC!$K$1836,IPCC!$A$1836:$K$1836,0))))))</f>
        <v>0</v>
      </c>
      <c r="K469" s="1104">
        <f>IF('6.Inland wetlands'!CI176="",'6.Inland wetlands'!CH176,'6.Inland wetlands'!CI176)</f>
        <v>0</v>
      </c>
      <c r="L469" s="1044">
        <f>IF('Inl. wetlands'!$B469="Please select",0,IF($B469=list!$E$218,INDEX(IPCC!$A$1872:$K$1883,MATCH(clim_moist,IPCC!$A$1872:$A$1883,0),MATCH(IPCC!$K$1818,IPCC!$A$1872:$K$1872,0)),IF('Inl. wetlands'!$B469=list!$E$219,INDEX(IPCC!$A$1890:$K$1901,MATCH(clim_moist,IPCC!$A$1890:$A$1901,0),MATCH(IPCC!$K$1818,IPCC!$A$1890:$K$1890,0)))))</f>
        <v>0</v>
      </c>
      <c r="M469" s="1104">
        <f>IF('6.Inland wetlands'!CK176="",'6.Inland wetlands'!CJ176,'6.Inland wetlands'!CK176)</f>
        <v>0</v>
      </c>
      <c r="N469" s="1044">
        <f>IF('Inl. wetlands'!$B469="Please select",0,(IF($B469=list!$E$218,INDEX(IPCC!$A$1800:$K$1811,MATCH(clim_moist,IPCC!$A$1800:$A$1811,0),MATCH(IPCC!$K$1800,IPCC!$A$1800:$K$1800,0)),IF($B469=list!$E$219,INDEX(IPCC!$A$1800:$K$1811,MATCH(clim_moist,IPCC!$A$1800:$A$1811,0),MATCH(IPCC!$K$1800,IPCC!$A$1800:$K$1800,0))))))</f>
        <v>0</v>
      </c>
      <c r="O469" s="1104">
        <f>IF('6.Inland wetlands'!CN176="",'6.Inland wetlands'!CM176,'6.Inland wetlands'!CN176)</f>
        <v>0</v>
      </c>
      <c r="P469" s="1111">
        <f>IF(B469="Please select",0,IF($B469=list!$E$218,INDEX(IPCC!$A$1854:$K$1865,MATCH(clim_moist,IPCC!$A$1854:$A$1865,0),MATCH(IPCC!$K$1854,IPCC!$A$1854:$K$1854,0)),IF($B469=list!$E$219,INDEX(IPCC!$A$1854:$K$1865,MATCH(clim_moist,IPCC!$A$1854:$A$1865,0),MATCH(IPCC!$K$1854,IPCC!$A$1854:$K$1854,0)))))</f>
        <v>0</v>
      </c>
      <c r="Q469" s="1161">
        <f>IF('6.Inland wetlands'!CP176="",'6.Inland wetlands'!CO176,'6.Inland wetlands'!CP176)</f>
        <v>0</v>
      </c>
      <c r="R469" s="3468">
        <f t="shared" ref="R469:S471" si="222">$I469*44/12*$C469</f>
        <v>0</v>
      </c>
      <c r="S469" s="3468">
        <f>$I469*44/12*$C469</f>
        <v>0</v>
      </c>
      <c r="T469" s="3468">
        <f>$I469*44/12*$F469</f>
        <v>0</v>
      </c>
      <c r="U469" s="3468">
        <f>$K469*methane/1000*$C469*(1-'6.Inland wetlands'!S177)</f>
        <v>0</v>
      </c>
      <c r="V469" s="3468">
        <f>$K469*methane/1000*$D469*(1-'6.Inland wetlands'!T177)</f>
        <v>0</v>
      </c>
      <c r="W469" s="3468">
        <f>$K469*methane/1000*$F469*(1-'6.Inland wetlands'!U177)</f>
        <v>0</v>
      </c>
      <c r="X469" s="3468">
        <f>$M469*44/28*Nitrous/1000*$C469</f>
        <v>0</v>
      </c>
      <c r="Y469" s="3468">
        <f>$M469*44/28*Nitrous/1000*$D469</f>
        <v>0</v>
      </c>
      <c r="Z469" s="3468">
        <f>$M469*44/28*Nitrous/1000*$F469</f>
        <v>0</v>
      </c>
      <c r="AA469" s="3468">
        <f t="shared" ref="AA469:AB471" si="223">$O469*44/12*$C469</f>
        <v>0</v>
      </c>
      <c r="AB469" s="3468">
        <f t="shared" si="223"/>
        <v>0</v>
      </c>
      <c r="AC469" s="3468">
        <f>$O469*44/12*$F469</f>
        <v>0</v>
      </c>
      <c r="AD469" s="3468">
        <f>$Q469*methane/1000*$C469*'6.Inland wetlands'!S177</f>
        <v>0</v>
      </c>
      <c r="AE469" s="3468">
        <f>$Q469*methane/1000*$D469*'6.Inland wetlands'!T177</f>
        <v>0</v>
      </c>
      <c r="AF469" s="3468">
        <f>$Q469*methane/1000*$F469*'6.Inland wetlands'!U177</f>
        <v>0</v>
      </c>
    </row>
    <row r="470" spans="1:72" ht="16" x14ac:dyDescent="0.2">
      <c r="B470" s="973" t="str">
        <f>'6.Inland wetlands'!I178</f>
        <v>Please select</v>
      </c>
      <c r="C470" s="992">
        <f>'6.Inland wetlands'!M178</f>
        <v>0</v>
      </c>
      <c r="D470" s="992">
        <f>'6.Inland wetlands'!N178</f>
        <v>0</v>
      </c>
      <c r="E470" s="992" t="str">
        <f>VLOOKUP('6.Inland wetlands'!O178,list!$I$48:$J$50,2,FALSE )</f>
        <v>Linear</v>
      </c>
      <c r="F470" s="992">
        <f>'6.Inland wetlands'!P178</f>
        <v>0</v>
      </c>
      <c r="G470" s="992" t="str">
        <f>VLOOKUP('6.Inland wetlands'!Q178,list!$I$48:$J$50,2,FALSE )</f>
        <v>Linear</v>
      </c>
      <c r="H470" s="1044">
        <f>IF($B470="Please select",0,IF($B470=list!$E$218,INDEX(IPCC!$A$1762:$K$1773,MATCH(clim_moist,IPCC!$A$1781:$A$1792,0),MATCH(IPCC!$K$1762,IPCC!$A$1781:$K$1781,0)),IF('Inl. wetlands'!$B470=list!$E$219,INDEX(IPCC!$A$1781:$K$1792,MATCH(clim_moist,IPCC!$A$1781:$A$1792,0),MATCH(IPCC!$K$1762,IPCC!$A$1781:$K$1781,0)))))</f>
        <v>0</v>
      </c>
      <c r="I470" s="1104">
        <f>IF('6.Inland wetlands'!CG177="",'6.Inland wetlands'!CF177,'6.Inland wetlands'!CG177)</f>
        <v>0</v>
      </c>
      <c r="J470" s="1044">
        <f>IF(B470="Please select",0,(IF($B470=list!$E$218,INDEX(IPCC!$A$1818:$K$1829,MATCH(clim_moist,IPCC!$A$1818:$A$1829,0),MATCH(IPCC!$K$1836,IPCC!$A$1818:$K$1818,0)),IF($B470=list!$E$219,INDEX(IPCC!$A$1836:$K$1847,MATCH(clim_moist,IPCC!$A$1836:$A$1847,0),MATCH(IPCC!$K$1836,IPCC!$A$1836:$K$1836,0))))))</f>
        <v>0</v>
      </c>
      <c r="K470" s="1104">
        <f>IF('6.Inland wetlands'!CI177="",'6.Inland wetlands'!CH177,'6.Inland wetlands'!CI177)</f>
        <v>0</v>
      </c>
      <c r="L470" s="1044">
        <f>IF('Inl. wetlands'!$B470="Please select",0,IF($B470=list!$E$218,INDEX(IPCC!$A$1872:$K$1883,MATCH(clim_moist,IPCC!$A$1872:$A$1883,0),MATCH(IPCC!$K$1818,IPCC!$A$1872:$K$1872,0)),IF('Inl. wetlands'!$B470=list!$E$219,INDEX(IPCC!$A$1890:$K$1901,MATCH(clim_moist,IPCC!$A$1890:$A$1901,0),MATCH(IPCC!$K$1818,IPCC!$A$1890:$K$1890,0)))))</f>
        <v>0</v>
      </c>
      <c r="M470" s="1104">
        <f>IF('6.Inland wetlands'!CK177="",'6.Inland wetlands'!CJ177,'6.Inland wetlands'!CK177)</f>
        <v>0</v>
      </c>
      <c r="N470" s="1044">
        <f>IF('Inl. wetlands'!$B470="Please select",0,(IF($B470=list!$E$218,INDEX(IPCC!$A$1800:$K$1811,MATCH(clim_moist,IPCC!$A$1800:$A$1811,0),MATCH(IPCC!$K$1800,IPCC!$A$1800:$K$1800,0)),IF($B470=list!$E$219,INDEX(IPCC!$A$1800:$K$1811,MATCH(clim_moist,IPCC!$A$1800:$A$1811,0),MATCH(IPCC!$K$1800,IPCC!$A$1800:$K$1800,0))))))</f>
        <v>0</v>
      </c>
      <c r="O470" s="1104">
        <f>IF('6.Inland wetlands'!CN177="",'6.Inland wetlands'!CM177,'6.Inland wetlands'!CN177)</f>
        <v>0</v>
      </c>
      <c r="P470" s="1111">
        <f>IF(B470="Please select",0,IF($B470=list!$E$218,INDEX(IPCC!$A$1854:$K$1865,MATCH(clim_moist,IPCC!$A$1854:$A$1865,0),MATCH(IPCC!$K$1854,IPCC!$A$1854:$K$1854,0)),IF($B470=list!$E$219,INDEX(IPCC!$A$1854:$K$1865,MATCH(clim_moist,IPCC!$A$1854:$A$1865,0),MATCH(IPCC!$K$1854,IPCC!$A$1854:$K$1854,0)))))</f>
        <v>0</v>
      </c>
      <c r="Q470" s="1161">
        <f>IF('6.Inland wetlands'!CP177="",'6.Inland wetlands'!CO177,'6.Inland wetlands'!CP177)</f>
        <v>0</v>
      </c>
      <c r="R470" s="3468">
        <f t="shared" si="222"/>
        <v>0</v>
      </c>
      <c r="S470" s="3468">
        <f t="shared" si="222"/>
        <v>0</v>
      </c>
      <c r="T470" s="3468">
        <f>$I470*44/12*$F470</f>
        <v>0</v>
      </c>
      <c r="U470" s="3468">
        <f>$K470*methane/1000*$C470*(1-'6.Inland wetlands'!S178)</f>
        <v>0</v>
      </c>
      <c r="V470" s="3468">
        <f>$K470*methane/1000*$D470*(1-'6.Inland wetlands'!T178)</f>
        <v>0</v>
      </c>
      <c r="W470" s="3468">
        <f>$K470*methane/1000*$F470*(1-'6.Inland wetlands'!U178)</f>
        <v>0</v>
      </c>
      <c r="X470" s="3468">
        <f>$M470*44/28*Nitrous/1000*$C470</f>
        <v>0</v>
      </c>
      <c r="Y470" s="3468">
        <f>$M470*44/28*Nitrous/1000*$D470</f>
        <v>0</v>
      </c>
      <c r="Z470" s="3468">
        <f>$M470*44/28*Nitrous/1000*$F470</f>
        <v>0</v>
      </c>
      <c r="AA470" s="3468">
        <f t="shared" si="223"/>
        <v>0</v>
      </c>
      <c r="AB470" s="3468">
        <f t="shared" si="223"/>
        <v>0</v>
      </c>
      <c r="AC470" s="3468">
        <f>$O470*44/12*$F470</f>
        <v>0</v>
      </c>
      <c r="AD470" s="3468">
        <f>$Q470*methane/1000*$C470*'6.Inland wetlands'!S178</f>
        <v>0</v>
      </c>
      <c r="AE470" s="3468">
        <f>$Q470*methane/1000*$D470*'6.Inland wetlands'!T178</f>
        <v>0</v>
      </c>
      <c r="AF470" s="3468">
        <f>$Q470*methane/1000*$F470*'6.Inland wetlands'!U178</f>
        <v>0</v>
      </c>
      <c r="BK470" s="1262" t="s">
        <v>860</v>
      </c>
      <c r="BL470" s="3464"/>
      <c r="BM470" s="3464"/>
      <c r="BP470" s="1262" t="s">
        <v>861</v>
      </c>
      <c r="BQ470" s="3464"/>
      <c r="BR470" s="3464"/>
      <c r="BS470" s="3464"/>
    </row>
    <row r="471" spans="1:72" x14ac:dyDescent="0.15">
      <c r="B471" s="973" t="str">
        <f>'6.Inland wetlands'!I179</f>
        <v>Please select</v>
      </c>
      <c r="C471" s="992">
        <f>'6.Inland wetlands'!M179</f>
        <v>0</v>
      </c>
      <c r="D471" s="992">
        <f>'6.Inland wetlands'!N179</f>
        <v>0</v>
      </c>
      <c r="E471" s="992" t="str">
        <f>VLOOKUP('6.Inland wetlands'!O179,list!$I$48:$J$50,2,FALSE )</f>
        <v>Linear</v>
      </c>
      <c r="F471" s="992">
        <f>'6.Inland wetlands'!P179</f>
        <v>0</v>
      </c>
      <c r="G471" s="992" t="str">
        <f>VLOOKUP('6.Inland wetlands'!Q179,list!$I$48:$J$50,2,FALSE )</f>
        <v>Linear</v>
      </c>
      <c r="H471" s="1044">
        <f>IF($B471="Please select",0,IF($B471=list!$E$218,INDEX(IPCC!$A$1762:$K$1773,MATCH(clim_moist,IPCC!$A$1781:$A$1792,0),MATCH(IPCC!$K$1762,IPCC!$A$1781:$K$1781,0)),IF('Inl. wetlands'!$B471=list!$E$219,INDEX(IPCC!$A$1781:$K$1792,MATCH(clim_moist,IPCC!$A$1781:$A$1792,0),MATCH(IPCC!$K$1762,IPCC!$A$1781:$K$1781,0)))))</f>
        <v>0</v>
      </c>
      <c r="I471" s="1104">
        <f>IF('6.Inland wetlands'!CG178="",'6.Inland wetlands'!CF178,'6.Inland wetlands'!CG178)</f>
        <v>0</v>
      </c>
      <c r="J471" s="1044">
        <f>IF(B471="Please select",0,(IF($B471=list!$E$218,INDEX(IPCC!$A$1818:$K$1829,MATCH(clim_moist,IPCC!$A$1818:$A$1829,0),MATCH(IPCC!$K$1836,IPCC!$A$1818:$K$1818,0)),IF($B471=list!$E$219,INDEX(IPCC!$A$1836:$K$1847,MATCH(clim_moist,IPCC!$A$1836:$A$1847,0),MATCH(IPCC!$K$1836,IPCC!$A$1836:$K$1836,0))))))</f>
        <v>0</v>
      </c>
      <c r="K471" s="1104">
        <f>IF('6.Inland wetlands'!CI178="",'6.Inland wetlands'!CH178,'6.Inland wetlands'!CI178)</f>
        <v>0</v>
      </c>
      <c r="L471" s="1044">
        <f>IF('Inl. wetlands'!$B471="Please select",0,IF($B471=list!$E$218,INDEX(IPCC!$A$1872:$K$1883,MATCH(clim_moist,IPCC!$A$1872:$A$1883,0),MATCH(IPCC!$K$1818,IPCC!$A$1872:$K$1872,0)),IF('Inl. wetlands'!$B471=list!$E$219,INDEX(IPCC!$A$1890:$K$1901,MATCH(clim_moist,IPCC!$A$1890:$A$1901,0),MATCH(IPCC!$K$1818,IPCC!$A$1890:$K$1890,0)))))</f>
        <v>0</v>
      </c>
      <c r="M471" s="1104">
        <f>IF('6.Inland wetlands'!CK178="",'6.Inland wetlands'!CJ178,'6.Inland wetlands'!CK178)</f>
        <v>0</v>
      </c>
      <c r="N471" s="1044">
        <f>IF('Inl. wetlands'!$B471="Please select",0,(IF($B471=list!$E$218,INDEX(IPCC!$A$1800:$K$1811,MATCH(clim_moist,IPCC!$A$1800:$A$1811,0),MATCH(IPCC!$K$1800,IPCC!$A$1800:$K$1800,0)),IF($B471=list!$E$219,INDEX(IPCC!$A$1800:$K$1811,MATCH(clim_moist,IPCC!$A$1800:$A$1811,0),MATCH(IPCC!$K$1800,IPCC!$A$1800:$K$1800,0))))))</f>
        <v>0</v>
      </c>
      <c r="O471" s="1104">
        <f>IF('6.Inland wetlands'!CN178="",'6.Inland wetlands'!CM178,'6.Inland wetlands'!CN178)</f>
        <v>0</v>
      </c>
      <c r="P471" s="1111">
        <f>IF(B471="Please select",0,IF($B471=list!$E$218,INDEX(IPCC!$A$1854:$K$1865,MATCH(clim_moist,IPCC!$A$1854:$A$1865,0),MATCH(IPCC!$K$1854,IPCC!$A$1854:$K$1854,0)),IF($B471=list!$E$219,INDEX(IPCC!$A$1854:$K$1865,MATCH(clim_moist,IPCC!$A$1854:$A$1865,0),MATCH(IPCC!$K$1854,IPCC!$A$1854:$K$1854,0)))))</f>
        <v>0</v>
      </c>
      <c r="Q471" s="1161">
        <f>IF('6.Inland wetlands'!CP178="",'6.Inland wetlands'!CO178,'6.Inland wetlands'!CP178)</f>
        <v>0</v>
      </c>
      <c r="R471" s="3468">
        <f t="shared" si="222"/>
        <v>0</v>
      </c>
      <c r="S471" s="3468">
        <f t="shared" si="222"/>
        <v>0</v>
      </c>
      <c r="T471" s="3468">
        <f>$I471*44/12*$F471</f>
        <v>0</v>
      </c>
      <c r="U471" s="3468">
        <f>$K471*methane/1000*$C471*(1-'6.Inland wetlands'!S179)</f>
        <v>0</v>
      </c>
      <c r="V471" s="3468">
        <f>$K471*methane/1000*$D471*(1-'6.Inland wetlands'!T179)</f>
        <v>0</v>
      </c>
      <c r="W471" s="3468">
        <f>$K471*methane/1000*$F471*(1-'6.Inland wetlands'!U179)</f>
        <v>0</v>
      </c>
      <c r="X471" s="3468">
        <f>$M471*44/28*Nitrous/1000*$C471</f>
        <v>0</v>
      </c>
      <c r="Y471" s="3468">
        <f>$M471*44/28*Nitrous/1000*$D471</f>
        <v>0</v>
      </c>
      <c r="Z471" s="3468">
        <f>$M471*44/28*Nitrous/1000*$F471</f>
        <v>0</v>
      </c>
      <c r="AA471" s="3468">
        <f t="shared" si="223"/>
        <v>0</v>
      </c>
      <c r="AB471" s="3468">
        <f t="shared" si="223"/>
        <v>0</v>
      </c>
      <c r="AC471" s="3468">
        <f>$O471*44/12*$F471</f>
        <v>0</v>
      </c>
      <c r="AD471" s="3468">
        <f>$Q471*methane/1000*$C471*'6.Inland wetlands'!S179</f>
        <v>0</v>
      </c>
      <c r="AE471" s="3468">
        <f>$Q471*methane/1000*$D471*'6.Inland wetlands'!T179</f>
        <v>0</v>
      </c>
      <c r="AF471" s="3468">
        <f>$Q471*methane/1000*$F471*'6.Inland wetlands'!U179</f>
        <v>0</v>
      </c>
    </row>
    <row r="472" spans="1:72" x14ac:dyDescent="0.15">
      <c r="P472" s="1165"/>
      <c r="Q472" s="1001"/>
      <c r="R472" s="3476"/>
      <c r="S472" s="3476"/>
      <c r="T472" s="3476"/>
      <c r="U472" s="3476"/>
      <c r="V472" s="3476"/>
      <c r="W472" s="3476"/>
      <c r="X472" s="3476"/>
      <c r="Y472" s="3476"/>
      <c r="Z472" s="3476"/>
      <c r="AA472" s="3476"/>
      <c r="AB472" s="3476"/>
      <c r="AC472" s="3476"/>
      <c r="AD472" s="3476"/>
      <c r="AE472" s="3476"/>
      <c r="AF472" s="3476"/>
      <c r="BK472" s="1321" t="s">
        <v>866</v>
      </c>
      <c r="BL472" s="1317" t="s">
        <v>200</v>
      </c>
      <c r="BM472" s="1317" t="s">
        <v>201</v>
      </c>
      <c r="BP472" s="1321" t="s">
        <v>866</v>
      </c>
      <c r="BQ472" s="1317" t="s">
        <v>324</v>
      </c>
      <c r="BR472" s="1317" t="s">
        <v>867</v>
      </c>
      <c r="BS472" s="1318" t="s">
        <v>868</v>
      </c>
      <c r="BT472" s="1454"/>
    </row>
    <row r="473" spans="1:72" x14ac:dyDescent="0.15">
      <c r="A473" s="1688"/>
      <c r="V473" s="3476"/>
      <c r="W473" s="3476"/>
      <c r="X473" s="3476"/>
      <c r="Y473" s="3476"/>
      <c r="Z473" s="3476"/>
      <c r="AA473" s="3476"/>
      <c r="AB473" s="3476"/>
      <c r="AC473" s="3476"/>
      <c r="AD473" s="3476"/>
      <c r="AE473" s="3476"/>
      <c r="AF473" s="3476"/>
      <c r="AX473" s="1271" t="s">
        <v>1173</v>
      </c>
      <c r="BD473" s="1271" t="s">
        <v>1174</v>
      </c>
      <c r="BK473" s="1084" t="s">
        <v>850</v>
      </c>
      <c r="BL473" s="1312">
        <v>0</v>
      </c>
      <c r="BM473" s="1312">
        <v>0</v>
      </c>
      <c r="BN473" s="992">
        <f>BM473-BL473</f>
        <v>0</v>
      </c>
      <c r="BP473" s="1084" t="str">
        <f>BK473</f>
        <v>CO2 biomass</v>
      </c>
      <c r="BQ473" s="1453">
        <v>0</v>
      </c>
      <c r="BR473" s="1312">
        <v>0</v>
      </c>
      <c r="BS473" s="1453">
        <v>0</v>
      </c>
      <c r="BT473" s="1455">
        <f t="shared" ref="BT473:BT482" si="224">SUM(BR473:BS473)</f>
        <v>0</v>
      </c>
    </row>
    <row r="474" spans="1:72" ht="16" x14ac:dyDescent="0.2">
      <c r="A474" s="1688"/>
      <c r="AB474" s="1271" t="s">
        <v>1172</v>
      </c>
      <c r="AC474" s="1264"/>
      <c r="AD474" s="1264"/>
      <c r="AE474" s="1264"/>
      <c r="AF474" s="1264"/>
      <c r="AG474" s="1264"/>
      <c r="AI474" s="1270" t="s">
        <v>1115</v>
      </c>
      <c r="AJ474" s="1116"/>
      <c r="AK474" s="1116"/>
      <c r="AX474" s="1450" t="s">
        <v>1036</v>
      </c>
      <c r="AY474" s="1450"/>
      <c r="AZ474" s="1450" t="s">
        <v>176</v>
      </c>
      <c r="BA474" s="1450"/>
      <c r="BB474" s="1450" t="s">
        <v>177</v>
      </c>
      <c r="BC474" s="1450"/>
      <c r="BD474" s="1450" t="s">
        <v>1037</v>
      </c>
      <c r="BE474" s="1450"/>
      <c r="BF474" s="1450" t="s">
        <v>176</v>
      </c>
      <c r="BG474" s="1450"/>
      <c r="BK474" s="1084" t="s">
        <v>1129</v>
      </c>
      <c r="BL474" s="1314">
        <f>AB478+AI488</f>
        <v>7168530.416666667</v>
      </c>
      <c r="BM474" s="1314">
        <f>AC478+AJ488</f>
        <v>7278815.5</v>
      </c>
      <c r="BN474" s="992">
        <f t="shared" ref="BN474:BN482" si="225">BM474-BL474</f>
        <v>110285.08333333302</v>
      </c>
      <c r="BP474" s="1084" t="str">
        <f t="shared" ref="BP474:BP482" si="226">BK474</f>
        <v>CO2 soil drainage</v>
      </c>
      <c r="BQ474" s="1453">
        <f>BM474-BL474</f>
        <v>110285.08333333302</v>
      </c>
      <c r="BR474" s="1312">
        <f>IF(time=0,0,SUM(AY477:AY480,BE477:BE480)-SUM(BD477:BD480,AX477:AX480)+SUM(AY490:AY493)-SUM(AX490:AX493))</f>
        <v>22057.016666666605</v>
      </c>
      <c r="BS474" s="1453">
        <f>BQ474-BR474</f>
        <v>88228.066666666418</v>
      </c>
      <c r="BT474" s="1455">
        <f t="shared" si="224"/>
        <v>110285.08333333302</v>
      </c>
    </row>
    <row r="475" spans="1:72" ht="16" x14ac:dyDescent="0.2">
      <c r="AB475" s="1271" t="s">
        <v>1175</v>
      </c>
      <c r="AC475" s="1264"/>
      <c r="AD475" s="1264"/>
      <c r="AE475" s="1264"/>
      <c r="AF475" s="1264"/>
      <c r="AG475" s="1264"/>
      <c r="AI475" s="1270" t="s">
        <v>1121</v>
      </c>
      <c r="AJ475" s="1116"/>
      <c r="AK475" s="1116"/>
      <c r="AX475" s="1264" t="s">
        <v>859</v>
      </c>
      <c r="AZ475" s="1264" t="s">
        <v>859</v>
      </c>
      <c r="BB475" s="1264" t="s">
        <v>859</v>
      </c>
      <c r="BD475" s="1264" t="s">
        <v>859</v>
      </c>
      <c r="BF475" s="1264" t="s">
        <v>859</v>
      </c>
      <c r="BK475" s="1084" t="s">
        <v>1130</v>
      </c>
      <c r="BL475" s="1314">
        <f>SUM(AD478:AD481)</f>
        <v>12469.275</v>
      </c>
      <c r="BM475" s="1314">
        <f>SUM(AE478:AE481)</f>
        <v>12661.109999999999</v>
      </c>
      <c r="BN475" s="992">
        <f t="shared" si="225"/>
        <v>191.83499999999913</v>
      </c>
      <c r="BP475" s="1084" t="str">
        <f t="shared" si="226"/>
        <v>CH4 soil drainage</v>
      </c>
      <c r="BQ475" s="1453">
        <f t="shared" ref="BQ475:BQ482" si="227">BM475-BL475</f>
        <v>191.83499999999913</v>
      </c>
      <c r="BR475" s="1312">
        <f>IF(time=0,0,SUM(BA477:BA480,BG477:BG480)-SUM(AZ477:AZ480,BF477:BF480))</f>
        <v>90.315357142857465</v>
      </c>
      <c r="BS475" s="1453">
        <f>BQ475-BR475</f>
        <v>101.51964285714166</v>
      </c>
      <c r="BT475" s="1455">
        <f t="shared" si="224"/>
        <v>191.83499999999913</v>
      </c>
    </row>
    <row r="476" spans="1:72" ht="16" x14ac:dyDescent="0.2">
      <c r="E476" s="3992" t="s">
        <v>1242</v>
      </c>
      <c r="F476" s="3992">
        <f>SUMIF(R468:R471,"&gt;0",C468:C471)</f>
        <v>500</v>
      </c>
      <c r="G476" s="3992">
        <f>SUMIF(S468:S471,"&gt;0",D468:D471)</f>
        <v>30</v>
      </c>
      <c r="H476" s="3992">
        <f>SUMIF(T468:T471,"&gt;0",F468:F471)</f>
        <v>32</v>
      </c>
      <c r="AB476" s="1264" t="s">
        <v>1176</v>
      </c>
      <c r="AC476" s="1264"/>
      <c r="AD476" s="1264" t="s">
        <v>176</v>
      </c>
      <c r="AE476" s="1264"/>
      <c r="AF476" s="1264" t="s">
        <v>177</v>
      </c>
      <c r="AG476" s="1264"/>
      <c r="AI476" s="1270" t="s">
        <v>1177</v>
      </c>
      <c r="AJ476" s="1116"/>
      <c r="AK476" s="1116"/>
      <c r="AX476" s="1272" t="s">
        <v>200</v>
      </c>
      <c r="AY476" s="1272" t="s">
        <v>201</v>
      </c>
      <c r="AZ476" s="1272" t="s">
        <v>200</v>
      </c>
      <c r="BA476" s="1272" t="s">
        <v>201</v>
      </c>
      <c r="BB476" s="1272" t="s">
        <v>200</v>
      </c>
      <c r="BC476" s="1272" t="s">
        <v>201</v>
      </c>
      <c r="BD476" s="1272" t="s">
        <v>200</v>
      </c>
      <c r="BE476" s="1272" t="s">
        <v>201</v>
      </c>
      <c r="BF476" s="1272" t="s">
        <v>200</v>
      </c>
      <c r="BG476" s="1272" t="s">
        <v>201</v>
      </c>
      <c r="BK476" s="1084" t="s">
        <v>1131</v>
      </c>
      <c r="BL476" s="1314">
        <f>SUM(AF478:AF481)</f>
        <v>203.00892857142856</v>
      </c>
      <c r="BM476" s="1314">
        <f>SUM(AG478:AG481)</f>
        <v>206.13214285714287</v>
      </c>
      <c r="BN476" s="992">
        <f t="shared" si="225"/>
        <v>3.1232142857143117</v>
      </c>
      <c r="BP476" s="1084" t="str">
        <f t="shared" si="226"/>
        <v>N2O soil drainage</v>
      </c>
      <c r="BQ476" s="1453">
        <f t="shared" si="227"/>
        <v>3.1232142857143117</v>
      </c>
      <c r="BR476" s="1312">
        <f>IF(time=0,0,SUM(BC477:BC480)-SUM(BB477:BB480))</f>
        <v>0.62464285714284529</v>
      </c>
      <c r="BS476" s="1453">
        <f t="shared" ref="BS476:BS482" si="228">BQ476-BR476</f>
        <v>2.4985714285714664</v>
      </c>
      <c r="BT476" s="1455">
        <f t="shared" si="224"/>
        <v>3.1232142857143117</v>
      </c>
    </row>
    <row r="477" spans="1:72" x14ac:dyDescent="0.15">
      <c r="AB477" s="1102" t="s">
        <v>179</v>
      </c>
      <c r="AC477" s="1103" t="s">
        <v>180</v>
      </c>
      <c r="AD477" s="1102" t="s">
        <v>179</v>
      </c>
      <c r="AE477" s="1103" t="s">
        <v>180</v>
      </c>
      <c r="AF477" s="1102" t="s">
        <v>179</v>
      </c>
      <c r="AG477" s="1103" t="s">
        <v>180</v>
      </c>
      <c r="AI477" s="1102" t="s">
        <v>200</v>
      </c>
      <c r="AJ477" s="1103" t="s">
        <v>201</v>
      </c>
      <c r="AK477" s="1104" t="s">
        <v>324</v>
      </c>
      <c r="AX477" s="1449">
        <f>MIN($R468,$S468)*time+ABS($S468-$R468)*IF($S468&gt;$R468,time*(VLOOKUP($E468,list!$J$48:$K$50,2,0)),time*(1-(VLOOKUP($E468,list!$J$48:$K$50,2,0))))</f>
        <v>13603.333333333332</v>
      </c>
      <c r="AY477" s="1449">
        <f>MIN($R468,$T468)*time+ABS($T468-$R468)*IF($T468&gt;$R468,time*(VLOOKUP($G468,list!$J$48:$K$50,2,0)),time*(1-(VLOOKUP($G468,list!$J$48:$K$50,2,0))))</f>
        <v>13654.666666666664</v>
      </c>
      <c r="AZ477" s="1449">
        <f>MIN($U468,$V468)*time+ABS($V468-$U468)*IF($V468&gt;$U468,time*(VLOOKUP($E468,list!$J$48:$K$50,2,0)),time*(1-(VLOOKUP($E468,list!$J$48:$K$50,2,0))))</f>
        <v>113.155</v>
      </c>
      <c r="BA477" s="1449">
        <f>MIN($X468,$Y468)*time+ABS($Y468-$X468)*IF($Y468&gt;$X468,time*(VLOOKUP($G468,list!$J$48:$K$50,2,0)),time*(1-(VLOOKUP($G468,list!$J$48:$K$50,2,0))))</f>
        <v>165.53035714285716</v>
      </c>
      <c r="BB477" s="1449">
        <f>MIN($X468,$Y468)*time+ABS($Y468-$X468)*IF($Y468&gt;$X468,time*(VLOOKUP($E468,list!$J$48:$K$50,2,0)),time*(1-(VLOOKUP($E468,list!$J$48:$K$50,2,0))))</f>
        <v>165.53035714285716</v>
      </c>
      <c r="BC477" s="1449">
        <f>MIN($X468,$Z468)*time+ABS($Z468-$X468)*IF($Z468&gt;$X468,time*(VLOOKUP($G468,list!$J$48:$K$50,2,0)),time*(1-(VLOOKUP($G468,list!$J$48:$K$50,2,0))))</f>
        <v>166.155</v>
      </c>
      <c r="BD477" s="1449">
        <f>MIN($AA468,$AB468)*time+ABS($AB468-$AA468)*IF($AB468&gt;$AA468,time*(VLOOKUP($E468,list!$J$48:$K$50,2,0)),time*(1-(VLOOKUP($E468,list!$J$48:$K$50,2,0))))</f>
        <v>1506.0833333333335</v>
      </c>
      <c r="BE477" s="1449">
        <f>MIN($AA468,$AC468)*time+ABS($AC468-$AA468)*IF($AC468&gt;$AA468,time*(VLOOKUP($G468,list!$J$48:$K$50,2,0)),time*(1-(VLOOKUP($G468,list!$J$48:$K$50,2,0))))</f>
        <v>1511.7666666666669</v>
      </c>
      <c r="BF477" s="1449">
        <f>MIN($AD468,$AE468)*time+ABS($AE468-$AD468)*IF($AE468&gt;$AD468,time*(VLOOKUP($E468,list!$J$48:$K$50,2,0)),time*(1-(VLOOKUP($E468,list!$J$48:$K$50,2,0))))</f>
        <v>10054.1</v>
      </c>
      <c r="BG477" s="1449">
        <f>MIN($AD468,$AF468)*time+ABS($AF468-$AD468)*IF($AF468&gt;$AD468,time*(VLOOKUP($G468,list!$J$48:$K$50,2,0)),time*(1-(VLOOKUP($G468,list!$J$48:$K$50,2,0))))</f>
        <v>10092.040000000001</v>
      </c>
      <c r="BK477" s="1084" t="s">
        <v>1132</v>
      </c>
      <c r="BL477" s="1314">
        <v>0</v>
      </c>
      <c r="BM477" s="1314">
        <v>0</v>
      </c>
      <c r="BN477" s="992">
        <f t="shared" si="225"/>
        <v>0</v>
      </c>
      <c r="BP477" s="1084" t="str">
        <f t="shared" si="226"/>
        <v>CO2 soil rewetting</v>
      </c>
      <c r="BQ477" s="1453">
        <f t="shared" si="227"/>
        <v>0</v>
      </c>
      <c r="BR477" s="1312">
        <v>0</v>
      </c>
      <c r="BS477" s="1453">
        <f t="shared" si="228"/>
        <v>0</v>
      </c>
      <c r="BT477" s="1455">
        <f t="shared" si="224"/>
        <v>0</v>
      </c>
    </row>
    <row r="478" spans="1:72" x14ac:dyDescent="0.15">
      <c r="AB478" s="3468">
        <f>MIN(SUM($R468,$AA468),SUM($S468,$AB468))*time_tot+ABS(SUM($AB468,$S468)-SUM($AA468,$R468))*IF(SUM($AB468,$S468)&gt;SUM($AA468,$R468),time_cap+time*(VLOOKUP($E468,list!$J$48:$K$50,2,0)),time*(1-(VLOOKUP($E468,list!$J$48:$K$50,2,0))))</f>
        <v>18530.416666666664</v>
      </c>
      <c r="AC478" s="3468">
        <f>MIN(SUM($R468,$AA468),SUM($T468,$AC468))*time_tot+ABS(SUM($AC468,$T468)-SUM($AA468,$R468))*IF(SUM($AC468,$T468)&gt;SUM($AA468,$R468),time_cap+time*(VLOOKUP($G468,list!$J$48:$K$50,2,0)),time*(1-(VLOOKUP($G468,list!$J$48:$K$50,2,0))))</f>
        <v>18815.499999999996</v>
      </c>
      <c r="AD478" s="3468">
        <f>MIN(SUM($U468,$AD468),SUM($V468,$AE468))*time_tot+ABS(SUM($AE468,$V468)-SUM($AD468,$U468))*IF(SUM($AE468,$V468)&gt;SUM($AD468,$U468),time_cap+time*(VLOOKUP($E468,list!$J$48:$K$50,2,0)),time*(1-(VLOOKUP($E468,list!$J$48:$K$50,2,0))))</f>
        <v>12469.275</v>
      </c>
      <c r="AE478" s="3468">
        <f>MIN(SUM($U468,$AD468),SUM($W468,$AF468))*time_tot+ABS(SUM($AF468,$W468)-SUM($AD468,$U468))*IF(SUM($AF468,$W468)&gt;SUM($AD468,$U468),time_cap+time*(VLOOKUP($G468,list!$J$48:$K$50,2,0)),time*(1-(VLOOKUP($G468,list!$J$48:$K$50,2,0))))</f>
        <v>12661.109999999999</v>
      </c>
      <c r="AF478" s="3468">
        <f>MIN($X468,$Y468)*time_tot+ABS($Y468-$X468)*IF($Y468&gt;$X468,time_cap+time*(VLOOKUP($E468,list!$J$48:$K$50,2,0)),time*(1-(VLOOKUP($E468,list!$J$48:$K$50,2,0))))</f>
        <v>203.00892857142856</v>
      </c>
      <c r="AG478" s="3468">
        <f>MIN($X468,$Z468)*time_tot+ABS($Z468-$X468)*IF($Z468&gt;$X468,time_cap+time*(VLOOKUP($G468,list!$J$48:$K$50,2,0)),time*(1-(VLOOKUP($G468,list!$J$48:$K$50,2,0))))</f>
        <v>206.13214285714287</v>
      </c>
      <c r="AI478" s="3470">
        <f t="shared" ref="AI478:AJ481" si="229">SUM(AB478,AD478,AF478)</f>
        <v>31202.700595238093</v>
      </c>
      <c r="AJ478" s="3470">
        <f>SUM(AC478,AE478,AG478)</f>
        <v>31682.742142857136</v>
      </c>
      <c r="AK478" s="1160">
        <f>AJ478-AI478</f>
        <v>480.04154761904283</v>
      </c>
      <c r="AX478" s="1449">
        <f>MIN($R469,$S469)*time+ABS($S469-$R469)*IF($S469&gt;$R469,time*(VLOOKUP($E469,list!$J$48:$K$50,2,0)),time*(1-(VLOOKUP($E469,list!$J$48:$K$50,2,0))))</f>
        <v>0</v>
      </c>
      <c r="AY478" s="1449">
        <f>MIN($R469,$T469)*time+ABS($T469-$R469)*IF($T469&gt;$R469,time*(VLOOKUP($G469,list!$J$48:$K$50,2,0)),time*(1-(VLOOKUP($G469,list!$J$48:$K$50,2,0))))</f>
        <v>0</v>
      </c>
      <c r="AZ478" s="1449">
        <f>MIN($U469,$V469)*time+ABS($V469-$U469)*IF($V469&gt;$U469,time*(VLOOKUP($E469,list!$J$48:$K$50,2,0)),time*(1-(VLOOKUP($E469,list!$J$48:$K$50,2,0))))</f>
        <v>0</v>
      </c>
      <c r="BA478" s="1449">
        <f>MIN($X469,$Y469)*time+ABS($Y469-$X469)*IF($Y469&gt;$X469,time*(VLOOKUP($G469,list!$J$48:$K$50,2,0)),time*(1-(VLOOKUP($G469,list!$J$48:$K$50,2,0))))</f>
        <v>0</v>
      </c>
      <c r="BB478" s="1449">
        <f>MIN($X469,$Y469)*time+ABS($Y469-$X469)*IF($Y469&gt;$X469,time*(VLOOKUP($E469,list!$J$48:$K$50,2,0)),time*(1-(VLOOKUP($E469,list!$J$48:$K$50,2,0))))</f>
        <v>0</v>
      </c>
      <c r="BC478" s="1449">
        <f>MIN($X469,$Z469)*time+ABS($Z469-$X469)*IF($Z469&gt;$X469,time*(VLOOKUP($G469,list!$J$48:$K$50,2,0)),time*(1-(VLOOKUP($G469,list!$J$48:$K$50,2,0))))</f>
        <v>0</v>
      </c>
      <c r="BD478" s="1449">
        <f>MIN($AA469,$AB469)*time+ABS($AB469-$AA469)*IF($AB469&gt;$AA469,time*(VLOOKUP($E469,list!$J$48:$K$50,2,0)),time*(1-(VLOOKUP($E469,list!$J$48:$K$50,2,0))))</f>
        <v>0</v>
      </c>
      <c r="BE478" s="1449">
        <f>MIN($AA469,$AC469)*time+ABS($AC469-$AA469)*IF($AC469&gt;$AA469,time*(VLOOKUP($G469,list!$J$48:$K$50,2,0)),time*(1-(VLOOKUP($G469,list!$J$48:$K$50,2,0))))</f>
        <v>0</v>
      </c>
      <c r="BF478" s="1449">
        <f>MIN($AD469,$AE469)*time+ABS($AE469-$AD469)*IF($AE469&gt;$AD469,time*(VLOOKUP($E469,list!$J$48:$K$50,2,0)),time*(1-(VLOOKUP($E469,list!$J$48:$K$50,2,0))))</f>
        <v>0</v>
      </c>
      <c r="BG478" s="1449">
        <f>MIN($AD469,$AF469)*time+ABS($AF469-$AD469)*IF($AF469&gt;$AD469,time*(VLOOKUP($G469,list!$J$48:$K$50,2,0)),time*(1-(VLOOKUP($G469,list!$J$48:$K$50,2,0))))</f>
        <v>0</v>
      </c>
      <c r="BK478" s="1084" t="s">
        <v>1133</v>
      </c>
      <c r="BL478" s="1314">
        <v>0</v>
      </c>
      <c r="BM478" s="1314">
        <v>0</v>
      </c>
      <c r="BN478" s="992">
        <f t="shared" si="225"/>
        <v>0</v>
      </c>
      <c r="BP478" s="1084" t="str">
        <f t="shared" si="226"/>
        <v>CH4 soil rewetting</v>
      </c>
      <c r="BQ478" s="1453">
        <f t="shared" si="227"/>
        <v>0</v>
      </c>
      <c r="BR478" s="1312">
        <v>0</v>
      </c>
      <c r="BS478" s="1453">
        <f t="shared" si="228"/>
        <v>0</v>
      </c>
      <c r="BT478" s="1455">
        <f t="shared" si="224"/>
        <v>0</v>
      </c>
    </row>
    <row r="479" spans="1:72" x14ac:dyDescent="0.15">
      <c r="AB479" s="3468">
        <f>MIN(SUM($R469,$AA469),SUM($S469,$AB469))*time_tot+ABS(SUM($AB469,$S469)-SUM($AA469,$R469))*IF(SUM($AB469,$S469)&gt;SUM($AA469,$R469),time_cap+time*(VLOOKUP($E469,list!$J$48:$K$50,2,0)),time*(1-(VLOOKUP($E469,list!$J$48:$K$50,2,0))))</f>
        <v>0</v>
      </c>
      <c r="AC479" s="3468">
        <f>MIN(SUM($R469,$AA469),SUM($T469,$AC469))*time_tot+ABS(SUM($AC469,$T469)-SUM($AA469,$R469))*IF(SUM($AC469,$T469)&gt;SUM($AA469,$R469),time_cap+time*(VLOOKUP($G469,list!$J$48:$K$50,2,0)),time*(1-(VLOOKUP($G469,list!$J$48:$K$50,2,0))))</f>
        <v>0</v>
      </c>
      <c r="AD479" s="3468">
        <f>MIN(SUM($U469,$AD469),SUM($V469,$AE469))*time_tot+ABS(SUM($AE469,$V469)-SUM($AD469,$U469))*IF(SUM($AE469,$V469)&gt;SUM($AD469,$U469),time_cap+time*(VLOOKUP($E469,list!$J$48:$K$50,2,0)),time*(1-(VLOOKUP($E469,list!$J$48:$K$50,2,0))))</f>
        <v>0</v>
      </c>
      <c r="AE479" s="3468">
        <f>MIN(SUM($U469,$AD469),SUM($W469,$AF469))*time_tot+ABS(SUM($AF469,$W469)-SUM($AD469,$U469))*IF(SUM($AF469,$W469)&gt;SUM($AD469,$U469),time_cap+time*(VLOOKUP($G469,list!$J$48:$K$50,2,0)),time*(1-(VLOOKUP($G469,list!$J$48:$K$50,2,0))))</f>
        <v>0</v>
      </c>
      <c r="AF479" s="3468">
        <f>MIN($X469,$Y469)*time_tot+ABS($Y469-$X469)*IF($Y469&gt;$X469,time_cap+time*(VLOOKUP($E469,list!$J$48:$K$50,2,0)),time*(1-(VLOOKUP($E469,list!$J$48:$K$50,2,0))))</f>
        <v>0</v>
      </c>
      <c r="AG479" s="3468">
        <f>MIN($X469,$Z469)*time_tot+ABS($Z469-$X469)*IF($Z469&gt;$X469,time_cap+time*(VLOOKUP($G469,list!$J$48:$K$50,2,0)),time*(1-(VLOOKUP($G469,list!$J$48:$K$50,2,0))))</f>
        <v>0</v>
      </c>
      <c r="AI479" s="3470">
        <f t="shared" si="229"/>
        <v>0</v>
      </c>
      <c r="AJ479" s="3470">
        <f t="shared" si="229"/>
        <v>0</v>
      </c>
      <c r="AK479" s="3473">
        <f>AJ479-AI479</f>
        <v>0</v>
      </c>
      <c r="AX479" s="1449">
        <f>MIN($R470,$S470)*time+ABS($S470-$R470)*IF($S470&gt;$R470,time*(VLOOKUP($E470,list!$J$48:$K$50,2,0)),time*(1-(VLOOKUP($E470,list!$J$48:$K$50,2,0))))</f>
        <v>0</v>
      </c>
      <c r="AY479" s="1449">
        <f>MIN($R470,$T470)*time+ABS($T470-$R470)*IF($T470&gt;$R470,time*(VLOOKUP($G470,list!$J$48:$K$50,2,0)),time*(1-(VLOOKUP($G470,list!$J$48:$K$50,2,0))))</f>
        <v>0</v>
      </c>
      <c r="AZ479" s="1449">
        <f>MIN($U470,$V470)*time+ABS($V470-$U470)*IF($V470&gt;$U470,time*(VLOOKUP($E470,list!$J$48:$K$50,2,0)),time*(1-(VLOOKUP($E470,list!$J$48:$K$50,2,0))))</f>
        <v>0</v>
      </c>
      <c r="BA479" s="1449">
        <f>MIN($X470,$Y470)*time+ABS($Y470-$X470)*IF($Y470&gt;$X470,time*(VLOOKUP($G470,list!$J$48:$K$50,2,0)),time*(1-(VLOOKUP($G470,list!$J$48:$K$50,2,0))))</f>
        <v>0</v>
      </c>
      <c r="BB479" s="1449">
        <f>MIN($X470,$Y470)*time+ABS($Y470-$X470)*IF($Y470&gt;$X470,time*(VLOOKUP($E470,list!$J$48:$K$50,2,0)),time*(1-(VLOOKUP($E470,list!$J$48:$K$50,2,0))))</f>
        <v>0</v>
      </c>
      <c r="BC479" s="1449">
        <f>MIN($X470,$Z470)*time+ABS($Z470-$X470)*IF($Z470&gt;$X470,time*(VLOOKUP($G470,list!$J$48:$K$50,2,0)),time*(1-(VLOOKUP($G470,list!$J$48:$K$50,2,0))))</f>
        <v>0</v>
      </c>
      <c r="BD479" s="1449">
        <f>MIN($AA470,$AB470)*time+ABS($AB470-$AA470)*IF($AB470&gt;$AA470,time*(VLOOKUP($E470,list!$J$48:$K$50,2,0)),time*(1-(VLOOKUP($E470,list!$J$48:$K$50,2,0))))</f>
        <v>0</v>
      </c>
      <c r="BE479" s="1449">
        <f>MIN($AA470,$AC470)*time+ABS($AC470-$AA470)*IF($AC470&gt;$AA470,time*(VLOOKUP($G470,list!$J$48:$K$50,2,0)),time*(1-(VLOOKUP($G470,list!$J$48:$K$50,2,0))))</f>
        <v>0</v>
      </c>
      <c r="BF479" s="1449">
        <f>MIN($AD470,$AE470)*time+ABS($AE470-$AD470)*IF($AE470&gt;$AD470,time*(VLOOKUP($E470,list!$J$48:$K$50,2,0)),time*(1-(VLOOKUP($E470,list!$J$48:$K$50,2,0))))</f>
        <v>0</v>
      </c>
      <c r="BG479" s="1449">
        <f>MIN($AD470,$AF470)*time+ABS($AF470-$AD470)*IF($AF470&gt;$AD470,time*(VLOOKUP($G470,list!$J$48:$K$50,2,0)),time*(1-(VLOOKUP($G470,list!$J$48:$K$50,2,0))))</f>
        <v>0</v>
      </c>
      <c r="BK479" s="1084" t="s">
        <v>1134</v>
      </c>
      <c r="BL479" s="1314">
        <v>0</v>
      </c>
      <c r="BM479" s="1314">
        <v>0</v>
      </c>
      <c r="BN479" s="992">
        <f t="shared" si="225"/>
        <v>0</v>
      </c>
      <c r="BP479" s="1084" t="str">
        <f t="shared" si="226"/>
        <v>N2O soil rewetting</v>
      </c>
      <c r="BQ479" s="1453">
        <f t="shared" si="227"/>
        <v>0</v>
      </c>
      <c r="BR479" s="1312">
        <v>0</v>
      </c>
      <c r="BS479" s="1453">
        <f t="shared" si="228"/>
        <v>0</v>
      </c>
      <c r="BT479" s="1455">
        <f t="shared" si="224"/>
        <v>0</v>
      </c>
    </row>
    <row r="480" spans="1:72" x14ac:dyDescent="0.15">
      <c r="AB480" s="3468">
        <f>MIN(SUM($R470,$AA470),SUM($S470,$AB470))*time_tot+ABS(SUM($AB470,$S470)-SUM($AA470,$R470))*IF(SUM($AB470,$S470)&gt;SUM($AA470,$R470),time_cap+time*(VLOOKUP($E470,list!$J$48:$K$50,2,0)),time*(1-(VLOOKUP($E470,list!$J$48:$K$50,2,0))))</f>
        <v>0</v>
      </c>
      <c r="AC480" s="3468">
        <f>MIN(SUM($R470,$AA470),SUM($T470,$AC470))*time_tot+ABS(SUM($AC470,$T470)-SUM($AA470,$R470))*IF(SUM($AC470,$T470)&gt;SUM($AA470,$R470),time_cap+time*(VLOOKUP($G470,list!$J$48:$K$50,2,0)),time*(1-(VLOOKUP($G470,list!$J$48:$K$50,2,0))))</f>
        <v>0</v>
      </c>
      <c r="AD480" s="3468">
        <f>MIN(SUM($U470,$AD470),SUM($V470,$AE470))*time_tot+ABS(SUM($AE470,$V470)-SUM($AD470,$U470))*IF(SUM($AE470,$V470)&gt;SUM($AD470,$U470),time_cap+time*(VLOOKUP($E470,list!$J$48:$K$50,2,0)),time*(1-(VLOOKUP($E470,list!$J$48:$K$50,2,0))))</f>
        <v>0</v>
      </c>
      <c r="AE480" s="3468">
        <f>MIN(SUM($U470,$AD470),SUM($W470,$AF470))*time_tot+ABS(SUM($AF470,$W470)-SUM($AD470,$U470))*IF(SUM($AF470,$W470)&gt;SUM($AD470,$U470),time_cap+time*(VLOOKUP($G470,list!$J$48:$K$50,2,0)),time*(1-(VLOOKUP($G470,list!$J$48:$K$50,2,0))))</f>
        <v>0</v>
      </c>
      <c r="AF480" s="3468">
        <f>MIN($X470,$Y470)*time_tot+ABS($Y470-$X470)*IF($Y470&gt;$X470,time_cap+time*(VLOOKUP($E470,list!$J$48:$K$50,2,0)),time*(1-(VLOOKUP($E470,list!$J$48:$K$50,2,0))))</f>
        <v>0</v>
      </c>
      <c r="AG480" s="3468">
        <f>MIN($X470,$Z470)*time_tot+ABS($Z470-$X470)*IF($Z470&gt;$X470,time_cap+time*(VLOOKUP($G470,list!$J$48:$K$50,2,0)),time*(1-(VLOOKUP($G470,list!$J$48:$K$50,2,0))))</f>
        <v>0</v>
      </c>
      <c r="AI480" s="3470">
        <f t="shared" si="229"/>
        <v>0</v>
      </c>
      <c r="AJ480" s="3470">
        <f t="shared" si="229"/>
        <v>0</v>
      </c>
      <c r="AK480" s="1159">
        <f>AJ480-AI480</f>
        <v>0</v>
      </c>
      <c r="AX480" s="1449">
        <f>MIN($R471,$S471)*time+ABS($S471-$R471)*IF($S471&gt;$R471,time*(VLOOKUP($E471,list!$J$48:$K$50,2,0)),time*(1-(VLOOKUP($E471,list!$J$48:$K$50,2,0))))</f>
        <v>0</v>
      </c>
      <c r="AY480" s="1449">
        <f>MIN($R471,$T471)*time+ABS($T471-$R471)*IF($T471&gt;$R471,time*(VLOOKUP($G471,list!$J$48:$K$50,2,0)),time*(1-(VLOOKUP($G471,list!$J$48:$K$50,2,0))))</f>
        <v>0</v>
      </c>
      <c r="AZ480" s="1449">
        <f>MIN($U471,$V471)*time+ABS($V471-$U471)*IF($V471&gt;$U471,time*(VLOOKUP($E471,list!$J$48:$K$50,2,0)),time*(1-(VLOOKUP($E471,list!$J$48:$K$50,2,0))))</f>
        <v>0</v>
      </c>
      <c r="BA480" s="1449">
        <f>MIN($X471,$Y471)*time+ABS($Y471-$X471)*IF($Y471&gt;$X471,time*(VLOOKUP($G471,list!$J$48:$K$50,2,0)),time*(1-(VLOOKUP($G471,list!$J$48:$K$50,2,0))))</f>
        <v>0</v>
      </c>
      <c r="BB480" s="1449">
        <f>MIN($X471,$Y471)*time+ABS($Y471-$X471)*IF($Y471&gt;$X471,time*(VLOOKUP($E471,list!$J$48:$K$50,2,0)),time*(1-(VLOOKUP($E471,list!$J$48:$K$50,2,0))))</f>
        <v>0</v>
      </c>
      <c r="BC480" s="1449">
        <f>MIN($X471,$Z471)*time+ABS($Z471-$X471)*IF($Z471&gt;$X471,time*(VLOOKUP($G471,list!$J$48:$K$50,2,0)),time*(1-(VLOOKUP($G471,list!$J$48:$K$50,2,0))))</f>
        <v>0</v>
      </c>
      <c r="BD480" s="1449">
        <f>MIN($AA471,$AB471)*time+ABS($AB471-$AA471)*IF($AB471&gt;$AA471,time*(VLOOKUP($E471,list!$J$48:$K$50,2,0)),time*(1-(VLOOKUP($E471,list!$J$48:$K$50,2,0))))</f>
        <v>0</v>
      </c>
      <c r="BE480" s="1449">
        <f>MIN($AA471,$AC471)*time+ABS($AC471-$AA471)*IF($AC471&gt;$AA471,time*(VLOOKUP($G471,list!$J$48:$K$50,2,0)),time*(1-(VLOOKUP($G471,list!$J$48:$K$50,2,0))))</f>
        <v>0</v>
      </c>
      <c r="BF480" s="1449">
        <f>MIN($AD471,$AE471)*time+ABS($AE471-$AD471)*IF($AE471&gt;$AD471,time*(VLOOKUP($E471,list!$J$48:$K$50,2,0)),time*(1-(VLOOKUP($E471,list!$J$48:$K$50,2,0))))</f>
        <v>0</v>
      </c>
      <c r="BG480" s="1449">
        <f>MIN($AD471,$AF471)*time+ABS($AF471-$AD471)*IF($AF471&gt;$AD471,time*(VLOOKUP($G471,list!$J$48:$K$50,2,0)),time*(1-(VLOOKUP($G471,list!$J$48:$K$50,2,0))))</f>
        <v>0</v>
      </c>
      <c r="BK480" s="1084" t="s">
        <v>1135</v>
      </c>
      <c r="BL480" s="1314">
        <v>0</v>
      </c>
      <c r="BM480" s="1314">
        <v>0</v>
      </c>
      <c r="BN480" s="992">
        <f t="shared" si="225"/>
        <v>0</v>
      </c>
      <c r="BP480" s="1084" t="str">
        <f t="shared" si="226"/>
        <v>CO2 Fire</v>
      </c>
      <c r="BQ480" s="1453">
        <f t="shared" si="227"/>
        <v>0</v>
      </c>
      <c r="BR480" s="1312">
        <v>0</v>
      </c>
      <c r="BS480" s="1453">
        <f t="shared" si="228"/>
        <v>0</v>
      </c>
      <c r="BT480" s="1455">
        <f t="shared" si="224"/>
        <v>0</v>
      </c>
    </row>
    <row r="481" spans="2:72" x14ac:dyDescent="0.15">
      <c r="H481" s="1598"/>
      <c r="P481" s="1051"/>
      <c r="Q481" s="1051"/>
      <c r="R481" s="1051"/>
      <c r="AB481" s="3468">
        <f>MIN(SUM($R471,$AA471),SUM($S471,$AB471))*time_tot+ABS(SUM($AB471,$S471)-SUM($AA471,$R471))*IF(SUM($AB471,$S471)&gt;SUM($AA471,$R471),time_cap+time*(VLOOKUP($E471,list!$J$48:$K$50,2,0)),time*(1-(VLOOKUP($E471,list!$J$48:$K$50,2,0))))</f>
        <v>0</v>
      </c>
      <c r="AC481" s="3468">
        <f>MIN(SUM($R471,$AA471),SUM($T471,$AC471))*time_tot+ABS(SUM($AC471,$T471)-SUM($AA471,$R471))*IF(SUM($AC471,$T471)&gt;SUM($AA471,$R471),time_cap+time*(VLOOKUP($G471,list!$J$48:$K$50,2,0)),time*(1-(VLOOKUP($G471,list!$J$48:$K$50,2,0))))</f>
        <v>0</v>
      </c>
      <c r="AD481" s="3468">
        <f>MIN(SUM($U471,$AD471),SUM($V471,$AE471))*time_tot+ABS(SUM($AE471,$V471)-SUM($AD471,$U471))*IF(SUM($AE471,$V471)&gt;SUM($AD471,$U471),time_cap+time*(VLOOKUP($E471,list!$J$48:$K$50,2,0)),time*(1-(VLOOKUP($E471,list!$J$48:$K$50,2,0))))</f>
        <v>0</v>
      </c>
      <c r="AE481" s="3468">
        <f>MIN(SUM($U471,$AD471),SUM($W471,$AF471))*time_tot+ABS(SUM($AF471,$W471)-SUM($AD471,$U471))*IF(SUM($AF471,$W471)&gt;SUM($AD471,$U471),time_cap+time*(VLOOKUP($G471,list!$J$48:$K$50,2,0)),time*(1-(VLOOKUP($G471,list!$J$48:$K$50,2,0))))</f>
        <v>0</v>
      </c>
      <c r="AF481" s="3468">
        <f>MIN($X471,$Y471)*time_tot+ABS($Y471-$X471)*IF($Y471&gt;$X471,time_cap+time*(VLOOKUP($E471,list!$J$48:$K$50,2,0)),time*(1-(VLOOKUP($E471,list!$J$48:$K$50,2,0))))</f>
        <v>0</v>
      </c>
      <c r="AG481" s="3468">
        <f>MIN($X471,$Z471)*time_tot+ABS($Z471-$X471)*IF($Z471&gt;$X471,time_cap+time*(VLOOKUP($G471,list!$J$48:$K$50,2,0)),time*(1-(VLOOKUP($G471,list!$J$48:$K$50,2,0))))</f>
        <v>0</v>
      </c>
      <c r="AI481" s="3470">
        <f t="shared" si="229"/>
        <v>0</v>
      </c>
      <c r="AJ481" s="3470">
        <f t="shared" si="229"/>
        <v>0</v>
      </c>
      <c r="AK481" s="1159">
        <f>AJ481-AI481</f>
        <v>0</v>
      </c>
      <c r="AX481" s="1449"/>
      <c r="AY481" s="1449"/>
      <c r="AZ481" s="1449"/>
      <c r="BA481" s="1449"/>
      <c r="BB481" s="1449"/>
      <c r="BC481" s="1449"/>
      <c r="BD481" s="1449"/>
      <c r="BE481" s="1449"/>
      <c r="BF481" s="1449"/>
      <c r="BG481" s="1449"/>
      <c r="BK481" s="1084" t="s">
        <v>1136</v>
      </c>
      <c r="BL481" s="1314">
        <v>0</v>
      </c>
      <c r="BM481" s="1314">
        <v>0</v>
      </c>
      <c r="BN481" s="992">
        <f t="shared" si="225"/>
        <v>0</v>
      </c>
      <c r="BP481" s="1084" t="str">
        <f t="shared" si="226"/>
        <v>CH4 Fire</v>
      </c>
      <c r="BQ481" s="1453">
        <f t="shared" si="227"/>
        <v>0</v>
      </c>
      <c r="BR481" s="1312">
        <v>0</v>
      </c>
      <c r="BS481" s="1453">
        <f t="shared" si="228"/>
        <v>0</v>
      </c>
      <c r="BT481" s="1455">
        <f t="shared" si="224"/>
        <v>0</v>
      </c>
    </row>
    <row r="482" spans="2:72" x14ac:dyDescent="0.15">
      <c r="H482" s="1598"/>
      <c r="AB482" s="3476"/>
      <c r="AC482" s="3476"/>
      <c r="AD482" s="3476"/>
      <c r="AE482" s="3476"/>
      <c r="AF482" s="3476"/>
      <c r="AG482" s="3476"/>
      <c r="AI482" s="3483"/>
      <c r="AJ482" s="3483"/>
      <c r="AK482" s="3484"/>
      <c r="AX482" s="1451">
        <f t="shared" ref="AX482:BG482" si="230">SUM(AX477:AX481)</f>
        <v>13603.333333333332</v>
      </c>
      <c r="AY482" s="1451">
        <f t="shared" si="230"/>
        <v>13654.666666666664</v>
      </c>
      <c r="AZ482" s="1451">
        <f t="shared" si="230"/>
        <v>113.155</v>
      </c>
      <c r="BA482" s="1451">
        <f t="shared" si="230"/>
        <v>165.53035714285716</v>
      </c>
      <c r="BB482" s="1451">
        <f t="shared" si="230"/>
        <v>165.53035714285716</v>
      </c>
      <c r="BC482" s="1451">
        <f t="shared" si="230"/>
        <v>166.155</v>
      </c>
      <c r="BD482" s="1451">
        <f t="shared" si="230"/>
        <v>1506.0833333333335</v>
      </c>
      <c r="BE482" s="1451">
        <f t="shared" si="230"/>
        <v>1511.7666666666669</v>
      </c>
      <c r="BF482" s="1451">
        <f t="shared" si="230"/>
        <v>10054.1</v>
      </c>
      <c r="BG482" s="1451">
        <f t="shared" si="230"/>
        <v>10092.040000000001</v>
      </c>
      <c r="BK482" s="1459" t="s">
        <v>626</v>
      </c>
      <c r="BL482" s="1319">
        <v>0</v>
      </c>
      <c r="BM482" s="1319">
        <v>0</v>
      </c>
      <c r="BN482" s="992">
        <f t="shared" si="225"/>
        <v>0</v>
      </c>
      <c r="BP482" s="1459" t="str">
        <f t="shared" si="226"/>
        <v>N2O Fire</v>
      </c>
      <c r="BQ482" s="1453">
        <f t="shared" si="227"/>
        <v>0</v>
      </c>
      <c r="BR482" s="1499">
        <v>0</v>
      </c>
      <c r="BS482" s="1320">
        <f t="shared" si="228"/>
        <v>0</v>
      </c>
      <c r="BT482" s="1455">
        <f t="shared" si="224"/>
        <v>0</v>
      </c>
    </row>
    <row r="483" spans="2:72" x14ac:dyDescent="0.15">
      <c r="AB483" s="3481"/>
      <c r="AC483" s="3481"/>
      <c r="AD483" s="3481"/>
      <c r="AE483" s="3481"/>
      <c r="AF483" s="3481"/>
      <c r="AG483" s="3481"/>
      <c r="AI483" s="3483"/>
      <c r="AJ483" s="3483"/>
      <c r="AK483" s="3485"/>
      <c r="AY483" s="1451">
        <f>AY482-AX482</f>
        <v>51.333333333332121</v>
      </c>
      <c r="AZ483" s="1451"/>
      <c r="BA483" s="1451">
        <f>BA482-AZ482</f>
        <v>52.375357142857155</v>
      </c>
      <c r="BB483" s="1451"/>
      <c r="BC483" s="1451">
        <f>BC482-BB482</f>
        <v>0.62464285714284529</v>
      </c>
      <c r="BD483" s="1451"/>
      <c r="BE483" s="1451">
        <f>BE482-BD482</f>
        <v>5.683333333333394</v>
      </c>
      <c r="BF483" s="1451"/>
      <c r="BG483" s="1451">
        <f>BG482-BF482</f>
        <v>37.940000000000509</v>
      </c>
      <c r="BN483" s="1688"/>
      <c r="BP483" s="1316"/>
      <c r="BQ483" s="1460">
        <f>SUM(BQ473:BQ482)</f>
        <v>110480.04154761873</v>
      </c>
      <c r="BR483" s="1460">
        <f>SUM(BR473:BR482)</f>
        <v>22147.956666666603</v>
      </c>
      <c r="BS483" s="1460">
        <f>SUM(BS473:BS482)</f>
        <v>88332.084880952127</v>
      </c>
      <c r="BT483" s="992">
        <f>BR483+BS483</f>
        <v>110480.04154761873</v>
      </c>
    </row>
    <row r="484" spans="2:72" ht="16" x14ac:dyDescent="0.2">
      <c r="H484" s="1587" t="s">
        <v>1279</v>
      </c>
      <c r="I484" s="1588"/>
      <c r="J484" s="1588"/>
      <c r="K484" s="1588"/>
      <c r="L484" s="1588"/>
      <c r="M484" s="1588" t="s">
        <v>1280</v>
      </c>
      <c r="N484" s="1588"/>
      <c r="O484" s="1588"/>
      <c r="P484" s="1588" t="s">
        <v>1281</v>
      </c>
      <c r="Q484" s="1588"/>
      <c r="R484" s="1588"/>
      <c r="S484" s="1601" t="s">
        <v>1282</v>
      </c>
      <c r="T484" s="1600"/>
      <c r="U484" s="1600"/>
      <c r="AI484" s="1270" t="s">
        <v>1115</v>
      </c>
      <c r="AJ484" s="1116"/>
      <c r="AK484" s="1116"/>
      <c r="BK484" s="973" t="s">
        <v>871</v>
      </c>
      <c r="BL484" s="992">
        <f>SUM(BL473:BL482)</f>
        <v>7181202.7005952392</v>
      </c>
      <c r="BM484" s="992">
        <f>SUM(BM473:BM482)</f>
        <v>7291682.7421428571</v>
      </c>
      <c r="BN484" s="992">
        <f>BM484-BL484</f>
        <v>110480.04154761788</v>
      </c>
      <c r="BO484" s="1246"/>
    </row>
    <row r="485" spans="2:72" ht="16" x14ac:dyDescent="0.2">
      <c r="B485" s="1602" t="s">
        <v>1283</v>
      </c>
      <c r="C485" s="2370" t="str">
        <f>C465</f>
        <v>Surface where peat is extracted (ha)</v>
      </c>
      <c r="D485" s="2370"/>
      <c r="E485" s="2370"/>
      <c r="F485" s="2370"/>
      <c r="G485" s="2370"/>
      <c r="H485" s="1588" t="s">
        <v>1284</v>
      </c>
      <c r="I485" s="1588"/>
      <c r="J485" s="1588" t="s">
        <v>1285</v>
      </c>
      <c r="K485" s="1599" t="s">
        <v>1286</v>
      </c>
      <c r="L485" s="1588"/>
      <c r="M485" s="1588" t="s">
        <v>1287</v>
      </c>
      <c r="N485" s="1588"/>
      <c r="O485" s="1588"/>
      <c r="P485" s="1588" t="s">
        <v>1288</v>
      </c>
      <c r="Q485" s="1588"/>
      <c r="R485" s="1588"/>
      <c r="S485" s="1588" t="s">
        <v>1289</v>
      </c>
      <c r="T485" s="1588"/>
      <c r="U485" s="1588"/>
      <c r="AI485" s="1270" t="s">
        <v>1121</v>
      </c>
      <c r="AJ485" s="1116"/>
      <c r="AK485" s="1116"/>
      <c r="BL485" s="992"/>
      <c r="BM485" s="992"/>
      <c r="BN485" s="992"/>
      <c r="BO485" s="1246"/>
    </row>
    <row r="486" spans="2:72" ht="16" x14ac:dyDescent="0.2">
      <c r="B486" s="1281" t="str">
        <f>B466</f>
        <v>Type of peat</v>
      </c>
      <c r="C486" s="1586" t="s">
        <v>219</v>
      </c>
      <c r="D486" s="1586" t="s">
        <v>179</v>
      </c>
      <c r="E486" s="1586" t="s">
        <v>225</v>
      </c>
      <c r="F486" s="1586" t="s">
        <v>180</v>
      </c>
      <c r="G486" s="1586" t="s">
        <v>225</v>
      </c>
      <c r="H486" s="1588" t="s">
        <v>1290</v>
      </c>
      <c r="I486" s="1588"/>
      <c r="J486" s="1588" t="s">
        <v>1291</v>
      </c>
      <c r="K486" s="1599" t="s">
        <v>1292</v>
      </c>
      <c r="L486" s="1588"/>
      <c r="M486" s="1588"/>
      <c r="N486" s="1588"/>
      <c r="O486" s="1588"/>
      <c r="P486" s="1588"/>
      <c r="Q486" s="1588"/>
      <c r="R486" s="1588"/>
      <c r="S486" s="1588"/>
      <c r="T486" s="1588"/>
      <c r="U486" s="1588"/>
      <c r="AI486" s="1270" t="s">
        <v>1177</v>
      </c>
      <c r="AJ486" s="1116"/>
      <c r="AK486" s="1116"/>
      <c r="AX486" s="1271" t="s">
        <v>1293</v>
      </c>
    </row>
    <row r="487" spans="2:72" ht="16" x14ac:dyDescent="0.2">
      <c r="C487" s="1306"/>
      <c r="D487" s="1306"/>
      <c r="E487" s="1306"/>
      <c r="F487" s="1306"/>
      <c r="G487" s="1306"/>
      <c r="H487" s="1589" t="s">
        <v>864</v>
      </c>
      <c r="I487" s="1589"/>
      <c r="J487" s="1588" t="s">
        <v>1294</v>
      </c>
      <c r="K487" s="1589" t="s">
        <v>864</v>
      </c>
      <c r="L487" s="1589" t="s">
        <v>66</v>
      </c>
      <c r="M487" s="973" t="s">
        <v>219</v>
      </c>
      <c r="N487" s="1102" t="s">
        <v>179</v>
      </c>
      <c r="O487" s="1103" t="s">
        <v>180</v>
      </c>
      <c r="P487" s="973" t="s">
        <v>219</v>
      </c>
      <c r="Q487" s="1102" t="s">
        <v>179</v>
      </c>
      <c r="R487" s="1103" t="s">
        <v>180</v>
      </c>
      <c r="S487" s="973" t="s">
        <v>219</v>
      </c>
      <c r="T487" s="1102" t="s">
        <v>179</v>
      </c>
      <c r="U487" s="1103" t="s">
        <v>180</v>
      </c>
      <c r="AI487" s="1102" t="s">
        <v>200</v>
      </c>
      <c r="AJ487" s="1103" t="s">
        <v>201</v>
      </c>
      <c r="AK487" s="1104" t="s">
        <v>324</v>
      </c>
      <c r="AX487" s="1450" t="s">
        <v>1036</v>
      </c>
      <c r="AY487" s="1450"/>
    </row>
    <row r="488" spans="2:72" x14ac:dyDescent="0.15">
      <c r="B488" s="973" t="str">
        <f t="shared" ref="B488:G491" si="231">B468</f>
        <v>Nutrient-rich</v>
      </c>
      <c r="C488" s="992">
        <f t="shared" si="231"/>
        <v>500</v>
      </c>
      <c r="D488" s="992">
        <f t="shared" si="231"/>
        <v>30</v>
      </c>
      <c r="E488" s="992" t="str">
        <f t="shared" si="231"/>
        <v>Linear</v>
      </c>
      <c r="F488" s="992">
        <f t="shared" si="231"/>
        <v>32</v>
      </c>
      <c r="G488" s="992" t="str">
        <f t="shared" si="231"/>
        <v>Linear</v>
      </c>
      <c r="H488" s="1044">
        <f>IF($B488="Please select",0,IF($B488=list!$E$218,INDEX(IPCC!$A$2056:$C$2067,MATCH(clim_moist,IPCC!$A$2056:$A$2067,0),MATCH(IPCC!$B$2056,IPCC!$A$2056:$C$2056,0)),IF('Inl. wetlands'!$B488=list!$E$219,INDEX(IPCC!$A$2073:$C$2084,MATCH(clim_moist,IPCC!$A$2073:$A$2084,0),MATCH(IPCC!$B$2073,IPCC!$A$2073:$C$2073,0)))))</f>
        <v>0.4</v>
      </c>
      <c r="J488" s="1110">
        <v>1</v>
      </c>
      <c r="K488" s="1002">
        <f>IFERROR(IF($B488="Please select",0,IF($B488=list!$E$218,INDEX(IPCC!$A$2056:$C$2067,MATCH(clim_moist,IPCC!$A$2056:$A$2067,0),MATCH(IPCC!$C$2056,IPCC!$A$2056:$C$2056,0)),IF('Inl. wetlands'!$B488=list!$E$219,INDEX(IPCC!$A$2073:$C$2084,MATCH(clim_moist,IPCC!$A$2073:$A$2084,0),MATCH(IPCC!$C$2073,IPCC!$A$2073:$C$2073,0)))))*J488/H488,0)</f>
        <v>0.6</v>
      </c>
      <c r="L488" s="1603">
        <f>IF('6.Inland wetlands'!CS175="",'6.Inland wetlands'!CR175,'6.Inland wetlands'!CS175)</f>
        <v>0.6</v>
      </c>
      <c r="M488" s="992">
        <f>'6.Inland wetlands'!W176</f>
        <v>50</v>
      </c>
      <c r="N488" s="992">
        <f>'6.Inland wetlands'!X176</f>
        <v>50</v>
      </c>
      <c r="O488" s="992">
        <f>'6.Inland wetlands'!Y176</f>
        <v>50</v>
      </c>
      <c r="P488" s="3468">
        <f>$C488*10000*$L488*$M488/100</f>
        <v>1500000</v>
      </c>
      <c r="Q488" s="1151">
        <f>$D488*10000*$L488*$N488/100</f>
        <v>90000</v>
      </c>
      <c r="R488" s="1151">
        <f>$F488*10000*$L488*$O488/100</f>
        <v>96000</v>
      </c>
      <c r="S488" s="1151">
        <f>$P488*44/12*$H488</f>
        <v>2200000</v>
      </c>
      <c r="T488" s="1151">
        <f>$Q488*44/12*$H488</f>
        <v>132000</v>
      </c>
      <c r="U488" s="1151">
        <f>$R488*44/12*$H488</f>
        <v>140800</v>
      </c>
      <c r="AI488" s="3470">
        <f>MIN($S488,$T488)*time_tot+ABS($T488-$S488)*IF($T488&gt;$S488,time_cap+time*(VLOOKUP($E488,list!$J$48:$K$50,2,0)),time*(1-(VLOOKUP($E488,list!$J$48:$K$50,2,0))))</f>
        <v>7150000</v>
      </c>
      <c r="AJ488" s="3470">
        <f>MIN($S488,$U488)*time_tot+ABS($U488-$S488)*IF($U488&gt;$S488,time_cap+time*(VLOOKUP($G488,list!$J$48:$K$50,2,0)),time*(1-(VLOOKUP($G488,list!$J$48:$K$50,2,0))))</f>
        <v>7260000</v>
      </c>
      <c r="AK488" s="1160">
        <f>AJ488-AI488</f>
        <v>110000</v>
      </c>
      <c r="AX488" s="1264" t="s">
        <v>859</v>
      </c>
    </row>
    <row r="489" spans="2:72" x14ac:dyDescent="0.15">
      <c r="B489" s="973" t="str">
        <f t="shared" si="231"/>
        <v>Please select</v>
      </c>
      <c r="C489" s="992">
        <f t="shared" si="231"/>
        <v>0</v>
      </c>
      <c r="D489" s="992">
        <f t="shared" si="231"/>
        <v>0</v>
      </c>
      <c r="E489" s="992" t="str">
        <f t="shared" si="231"/>
        <v>Linear</v>
      </c>
      <c r="F489" s="992">
        <f t="shared" si="231"/>
        <v>0</v>
      </c>
      <c r="G489" s="992" t="str">
        <f t="shared" si="231"/>
        <v>Linear</v>
      </c>
      <c r="H489" s="1044">
        <f>IF($B489="Please select",0,IF($B489=list!$E$218,INDEX(IPCC!$A$2056:$C$2067,MATCH(clim_moist,IPCC!$A$2056:$A$2067,0),MATCH(IPCC!$B$2056,IPCC!$A$2056:$C$2056,0)),IF('Inl. wetlands'!$B489=list!$E$219,INDEX(IPCC!$A$2073:$C$2084,MATCH(clim_moist,IPCC!$A$2073:$A$2084,0),MATCH(IPCC!$B$2073,IPCC!$A$2073:$C$2073,0)))))</f>
        <v>0</v>
      </c>
      <c r="J489" s="1110">
        <v>1</v>
      </c>
      <c r="K489" s="1002">
        <f>IFERROR(IF($B489="Please select",0,IF($B489=list!$E$218,INDEX(IPCC!$A$2056:$C$2067,MATCH(clim_moist,IPCC!$A$2056:$A$2067,0),MATCH(IPCC!$C$2056,IPCC!$A$2056:$C$2056,0)),IF('Inl. wetlands'!$B489=list!$E$219,INDEX(IPCC!$A$2073:$C$2084,MATCH(clim_moist,IPCC!$A$2073:$A$2084,0),MATCH(IPCC!$C$2073,IPCC!$A$2073:$C$2073,0)))))*J489/H489,0)</f>
        <v>0</v>
      </c>
      <c r="L489" s="1603">
        <f>IF('6.Inland wetlands'!CS176="",'6.Inland wetlands'!CR176,'6.Inland wetlands'!CS176)</f>
        <v>0</v>
      </c>
      <c r="M489" s="992">
        <f>'6.Inland wetlands'!W177</f>
        <v>50</v>
      </c>
      <c r="N489" s="992">
        <f>'6.Inland wetlands'!X177</f>
        <v>50</v>
      </c>
      <c r="O489" s="992">
        <f>'6.Inland wetlands'!Y177</f>
        <v>50</v>
      </c>
      <c r="P489" s="3470">
        <f>$C489*10000*$L489*$M489/100</f>
        <v>0</v>
      </c>
      <c r="Q489" s="1152">
        <f>$D489*10000*$L489*$N489/100</f>
        <v>0</v>
      </c>
      <c r="R489" s="1152">
        <f>$F489*10000*$L489*$O489/100</f>
        <v>0</v>
      </c>
      <c r="S489" s="1151">
        <f>$P489*44/12*$H489</f>
        <v>0</v>
      </c>
      <c r="T489" s="1151">
        <f>$Q489*44/12*$H489</f>
        <v>0</v>
      </c>
      <c r="U489" s="1151">
        <f>$R489*44/12*$H489</f>
        <v>0</v>
      </c>
      <c r="AI489" s="3470">
        <f>MIN($S489,$T489)*time_tot+ABS($T489-$S489)*IF($T489&gt;$S489,time_cap+time*(VLOOKUP($E489,list!$J$48:$K$50,2,0)),time*(1-(VLOOKUP($E489,list!$J$48:$K$50,2,0))))</f>
        <v>0</v>
      </c>
      <c r="AJ489" s="3470">
        <f>MIN($S489,$U489)*time_tot+ABS($U489-$S489)*IF($U489&gt;$S489,time_cap+time*(VLOOKUP($G489,list!$J$48:$K$50,2,0)),time*(1-(VLOOKUP($G489,list!$J$48:$K$50,2,0))))</f>
        <v>0</v>
      </c>
      <c r="AK489" s="3473">
        <f>AJ489-AI489</f>
        <v>0</v>
      </c>
      <c r="AX489" s="1272" t="s">
        <v>200</v>
      </c>
      <c r="AY489" s="1272" t="s">
        <v>201</v>
      </c>
    </row>
    <row r="490" spans="2:72" x14ac:dyDescent="0.15">
      <c r="B490" s="973" t="str">
        <f t="shared" si="231"/>
        <v>Please select</v>
      </c>
      <c r="C490" s="992">
        <f t="shared" si="231"/>
        <v>0</v>
      </c>
      <c r="D490" s="992">
        <f t="shared" si="231"/>
        <v>0</v>
      </c>
      <c r="E490" s="992" t="str">
        <f t="shared" si="231"/>
        <v>Linear</v>
      </c>
      <c r="F490" s="992">
        <f t="shared" si="231"/>
        <v>0</v>
      </c>
      <c r="G490" s="992" t="str">
        <f t="shared" si="231"/>
        <v>Linear</v>
      </c>
      <c r="H490" s="1044">
        <f>IF($B490="Please select",0,IF($B490=list!$E$218,INDEX(IPCC!$A$2056:$C$2067,MATCH(clim_moist,IPCC!$A$2056:$A$2067,0),MATCH(IPCC!$B$2056,IPCC!$A$2056:$C$2056,0)),IF('Inl. wetlands'!$B490=list!$E$219,INDEX(IPCC!$A$2073:$C$2084,MATCH(clim_moist,IPCC!$A$2073:$A$2084,0),MATCH(IPCC!$B$2073,IPCC!$A$2073:$C$2073,0)))))</f>
        <v>0</v>
      </c>
      <c r="J490" s="1110">
        <v>1</v>
      </c>
      <c r="K490" s="1002">
        <f>IFERROR(IF($B490="Please select",0,IF($B490=list!$E$218,INDEX(IPCC!$A$2056:$C$2067,MATCH(clim_moist,IPCC!$A$2056:$A$2067,0),MATCH(IPCC!$C$2056,IPCC!$A$2056:$C$2056,0)),IF('Inl. wetlands'!$B490=list!$E$219,INDEX(IPCC!$A$2073:$C$2084,MATCH(clim_moist,IPCC!$A$2073:$A$2084,0),MATCH(IPCC!$C$2073,IPCC!$A$2073:$C$2073,0)))))*J490/H490,0)</f>
        <v>0</v>
      </c>
      <c r="L490" s="1603">
        <f>IF('6.Inland wetlands'!CS177="",'6.Inland wetlands'!CR177,'6.Inland wetlands'!CS177)</f>
        <v>0</v>
      </c>
      <c r="M490" s="992">
        <f>'6.Inland wetlands'!W178</f>
        <v>50</v>
      </c>
      <c r="N490" s="992">
        <f>'6.Inland wetlands'!X178</f>
        <v>50</v>
      </c>
      <c r="O490" s="992">
        <f>'6.Inland wetlands'!Y178</f>
        <v>50</v>
      </c>
      <c r="P490" s="3470">
        <f>$C490*10000*$L490*$M490/100</f>
        <v>0</v>
      </c>
      <c r="Q490" s="1152">
        <f>$D490*10000*$L490*$N490/100</f>
        <v>0</v>
      </c>
      <c r="R490" s="1152">
        <f>$F490*10000*$L490*$O490/100</f>
        <v>0</v>
      </c>
      <c r="S490" s="1151">
        <f>$P490*44/12*$H490</f>
        <v>0</v>
      </c>
      <c r="T490" s="1151">
        <f>$Q490*44/12*$H490</f>
        <v>0</v>
      </c>
      <c r="U490" s="1151">
        <f>$R490*44/12*$H490</f>
        <v>0</v>
      </c>
      <c r="AI490" s="3470">
        <f>MIN($S490,$T490)*time_tot+ABS($T490-$S490)*IF($T490&gt;$S490,time_cap+time*(VLOOKUP($E490,list!$J$48:$K$50,2,0)),time*(1-(VLOOKUP($E490,list!$J$48:$K$50,2,0))))</f>
        <v>0</v>
      </c>
      <c r="AJ490" s="3470">
        <f>MIN($S490,$U490)*time_tot+ABS($U490-$S490)*IF($U490&gt;$S490,time_cap+time*(VLOOKUP($G490,list!$J$48:$K$50,2,0)),time*(1-(VLOOKUP($G490,list!$J$48:$K$50,2,0))))</f>
        <v>0</v>
      </c>
      <c r="AK490" s="1159">
        <f>AJ490-AI490</f>
        <v>0</v>
      </c>
      <c r="AX490" s="1449">
        <f>MIN($S488,$T488)*time+ABS($T488-$S488)*IF($T488&gt;$S488,time*(VLOOKUP($E488,list!$J$48:$K$50,2,0)),time*(1-(VLOOKUP($E488,list!$J$48:$K$50,2,0))))</f>
        <v>5830000</v>
      </c>
      <c r="AY490" s="1449">
        <f>MIN($S488,$U488)*time+ABS($U488-$S488)*IF($U488&gt;$S488,time*(VLOOKUP($G488,list!$J$48:$K$50,2,0)),time*(1-(VLOOKUP($G488,list!$J$48:$K$50,2,0))))</f>
        <v>5852000</v>
      </c>
    </row>
    <row r="491" spans="2:72" x14ac:dyDescent="0.15">
      <c r="B491" s="973" t="str">
        <f t="shared" si="231"/>
        <v>Please select</v>
      </c>
      <c r="C491" s="992">
        <f t="shared" si="231"/>
        <v>0</v>
      </c>
      <c r="D491" s="992">
        <f t="shared" si="231"/>
        <v>0</v>
      </c>
      <c r="E491" s="992" t="str">
        <f t="shared" si="231"/>
        <v>Linear</v>
      </c>
      <c r="F491" s="992">
        <f t="shared" si="231"/>
        <v>0</v>
      </c>
      <c r="G491" s="992" t="str">
        <f t="shared" si="231"/>
        <v>Linear</v>
      </c>
      <c r="H491" s="1044">
        <f>IF($B491="Please select",0,IF($B491=list!$E$218,INDEX(IPCC!$A$2056:$C$2067,MATCH(clim_moist,IPCC!$A$2056:$A$2067,0),MATCH(IPCC!$B$2056,IPCC!$A$2056:$C$2056,0)),IF('Inl. wetlands'!$B491=list!$E$219,INDEX(IPCC!$A$2073:$C$2084,MATCH(clim_moist,IPCC!$A$2073:$A$2084,0),MATCH(IPCC!$B$2073,IPCC!$A$2073:$C$2073,0)))))</f>
        <v>0</v>
      </c>
      <c r="J491" s="1110">
        <v>1</v>
      </c>
      <c r="K491" s="1002">
        <f>IFERROR(IF($B491="Please select",0,IF($B491=list!$E$218,INDEX(IPCC!$A$2056:$C$2067,MATCH(clim_moist,IPCC!$A$2056:$A$2067,0),MATCH(IPCC!$C$2056,IPCC!$A$2056:$C$2056,0)),IF('Inl. wetlands'!$B491=list!$E$219,INDEX(IPCC!$A$2073:$C$2084,MATCH(clim_moist,IPCC!$A$2073:$A$2084,0),MATCH(IPCC!$C$2073,IPCC!$A$2073:$C$2073,0)))))*J491/H491,0)</f>
        <v>0</v>
      </c>
      <c r="L491" s="1603">
        <f>IF('6.Inland wetlands'!CS178="",'6.Inland wetlands'!CR178,'6.Inland wetlands'!CS178)</f>
        <v>0</v>
      </c>
      <c r="M491" s="992">
        <f>'6.Inland wetlands'!W179</f>
        <v>50</v>
      </c>
      <c r="N491" s="992">
        <f>'6.Inland wetlands'!X179</f>
        <v>50</v>
      </c>
      <c r="O491" s="992">
        <f>'6.Inland wetlands'!Y179</f>
        <v>50</v>
      </c>
      <c r="P491" s="3471">
        <f>$C491*10000*$L491*$M491/100</f>
        <v>0</v>
      </c>
      <c r="Q491" s="1153">
        <f>$D491*10000*$L491*$N491/100</f>
        <v>0</v>
      </c>
      <c r="R491" s="1153">
        <f>$F491*10000*$L491*$O491/100</f>
        <v>0</v>
      </c>
      <c r="S491" s="1151">
        <f>$P491*44/12*$H491</f>
        <v>0</v>
      </c>
      <c r="T491" s="1151">
        <f>$Q491*44/12*$H491</f>
        <v>0</v>
      </c>
      <c r="U491" s="1151">
        <f>$R491*44/12*$H491</f>
        <v>0</v>
      </c>
      <c r="AI491" s="3470">
        <f>MIN($S491,$T491)*time_tot+ABS($T491-$S491)*IF($T491&gt;$S491,time_cap+time*(VLOOKUP($E491,list!$J$48:$K$50,2,0)),time*(1-(VLOOKUP($E491,list!$J$48:$K$50,2,0))))</f>
        <v>0</v>
      </c>
      <c r="AJ491" s="3470">
        <f>MIN($S491,$U491)*time_tot+ABS($U491-$S491)*IF($U491&gt;$S491,time_cap+time*(VLOOKUP($G491,list!$J$48:$K$50,2,0)),time*(1-(VLOOKUP($G491,list!$J$48:$K$50,2,0))))</f>
        <v>0</v>
      </c>
      <c r="AK491" s="1159">
        <f>AJ491-AI491</f>
        <v>0</v>
      </c>
      <c r="AX491" s="1449">
        <f>MIN($S489,$T489)*time+ABS($T489-$S489)*IF($T489&gt;$S489,time*(VLOOKUP($E489,list!$J$48:$K$50,2,0)),time*(1-(VLOOKUP($E489,list!$J$48:$K$50,2,0))))</f>
        <v>0</v>
      </c>
      <c r="AY491" s="1449">
        <f>MIN($S489,$U489)*time+ABS($U489-$S489)*IF($U489&gt;$S489,time*(VLOOKUP($G489,list!$J$48:$K$50,2,0)),time*(1-(VLOOKUP($G489,list!$J$48:$K$50,2,0))))</f>
        <v>0</v>
      </c>
    </row>
    <row r="492" spans="2:72" x14ac:dyDescent="0.15">
      <c r="H492" s="973" t="s">
        <v>1295</v>
      </c>
      <c r="AX492" s="1449">
        <f>MIN($S490,$T490)*time+ABS($T490-$S490)*IF($T490&gt;$S490,time*(VLOOKUP($E490,list!$J$48:$K$50,2,0)),time*(1-(VLOOKUP($E490,list!$J$48:$K$50,2,0))))</f>
        <v>0</v>
      </c>
      <c r="AY492" s="1449">
        <f>MIN($S490,$U490)*time+ABS($U490-$S490)*IF($U490&gt;$S490,time*(VLOOKUP($G490,list!$J$48:$K$50,2,0)),time*(1-(VLOOKUP($G490,list!$J$48:$K$50,2,0))))</f>
        <v>0</v>
      </c>
    </row>
    <row r="493" spans="2:72" x14ac:dyDescent="0.15">
      <c r="H493" s="973" t="s">
        <v>1296</v>
      </c>
      <c r="AX493" s="1449">
        <f>MIN($S491,$T491)*time+ABS($T491-$S491)*IF($T491&gt;$S491,time*(VLOOKUP($E491,list!$J$48:$K$50,2,0)),time*(1-(VLOOKUP($E491,list!$J$48:$K$50,2,0))))</f>
        <v>0</v>
      </c>
      <c r="AY493" s="1449">
        <f>MIN($S491,$U491)*time+ABS($U491-$S491)*IF($U491&gt;$S491,time*(VLOOKUP($G491,list!$J$48:$K$50,2,0)),time*(1-(VLOOKUP($G491,list!$J$48:$K$50,2,0))))</f>
        <v>0</v>
      </c>
    </row>
    <row r="494" spans="2:72" x14ac:dyDescent="0.15">
      <c r="AX494" s="1449"/>
      <c r="AY494" s="1449"/>
    </row>
    <row r="495" spans="2:72" x14ac:dyDescent="0.15">
      <c r="AX495" s="1451">
        <f>SUM(AX490:AX494)</f>
        <v>5830000</v>
      </c>
      <c r="AY495" s="1451">
        <f>SUM(AY490:AY494)</f>
        <v>5852000</v>
      </c>
    </row>
    <row r="496" spans="2:72" x14ac:dyDescent="0.15">
      <c r="AY496" s="1451">
        <f>AY495-AX495</f>
        <v>22000</v>
      </c>
    </row>
    <row r="498" spans="2:71" s="975" customFormat="1" ht="42.75" customHeight="1" x14ac:dyDescent="0.15">
      <c r="B498" s="975" t="s">
        <v>1297</v>
      </c>
      <c r="J498" s="1123"/>
      <c r="K498" s="1123"/>
      <c r="L498" s="1123"/>
      <c r="M498" s="1123"/>
      <c r="N498" s="1123"/>
    </row>
    <row r="499" spans="2:71" s="1087" customFormat="1" ht="29.25" customHeight="1" x14ac:dyDescent="0.15">
      <c r="J499" s="1058"/>
      <c r="K499" s="1058"/>
      <c r="L499" s="1058"/>
      <c r="M499" s="1058"/>
      <c r="N499" s="1058"/>
      <c r="AX499" s="1264"/>
      <c r="AY499" s="1264"/>
      <c r="AZ499" s="1264"/>
      <c r="BA499" s="1264"/>
      <c r="BB499" s="1264"/>
      <c r="BC499" s="1264"/>
      <c r="BD499" s="1264"/>
      <c r="BE499" s="1264"/>
      <c r="BF499" s="1264"/>
      <c r="BG499" s="1264"/>
    </row>
    <row r="500" spans="2:71" s="1087" customFormat="1" ht="18" customHeight="1" x14ac:dyDescent="0.2">
      <c r="J500" s="1058"/>
      <c r="K500" s="1058"/>
      <c r="L500" s="1058"/>
      <c r="M500" s="1058"/>
      <c r="N500" s="1058"/>
      <c r="AI500" s="1270" t="s">
        <v>1115</v>
      </c>
      <c r="AJ500" s="1116"/>
      <c r="AK500" s="1116"/>
      <c r="AX500" s="1264"/>
      <c r="AY500" s="1264"/>
      <c r="AZ500" s="1264"/>
      <c r="BA500" s="1264"/>
      <c r="BB500" s="1264"/>
      <c r="BC500" s="1264"/>
      <c r="BD500" s="1264"/>
      <c r="BE500" s="1264"/>
      <c r="BF500" s="1264"/>
      <c r="BG500" s="1264"/>
      <c r="BJ500" s="1262" t="s">
        <v>860</v>
      </c>
      <c r="BK500" s="3464"/>
      <c r="BL500" s="3464"/>
      <c r="BM500" s="973"/>
      <c r="BN500" s="973"/>
      <c r="BO500" s="1262" t="s">
        <v>861</v>
      </c>
      <c r="BP500" s="3464"/>
      <c r="BQ500" s="3464"/>
      <c r="BR500" s="3464"/>
      <c r="BS500" s="973"/>
    </row>
    <row r="501" spans="2:71" ht="16" x14ac:dyDescent="0.2">
      <c r="AI501" s="1270" t="s">
        <v>1121</v>
      </c>
      <c r="AJ501" s="1116"/>
      <c r="AK501" s="1116"/>
    </row>
    <row r="502" spans="2:71" ht="16" x14ac:dyDescent="0.2">
      <c r="H502" s="2163" t="s">
        <v>1298</v>
      </c>
      <c r="I502" s="3464"/>
      <c r="J502" s="3464"/>
      <c r="K502" s="2163" t="s">
        <v>1299</v>
      </c>
      <c r="L502" s="3464"/>
      <c r="M502" s="3464"/>
      <c r="N502" s="3464"/>
      <c r="P502" s="973" t="s">
        <v>1300</v>
      </c>
      <c r="AI502" s="1270" t="s">
        <v>1177</v>
      </c>
      <c r="AJ502" s="1116"/>
      <c r="AK502" s="1116"/>
      <c r="AX502" s="1264" t="s">
        <v>859</v>
      </c>
      <c r="BJ502" s="1321" t="s">
        <v>866</v>
      </c>
      <c r="BK502" s="1317" t="s">
        <v>200</v>
      </c>
      <c r="BL502" s="1317" t="s">
        <v>201</v>
      </c>
      <c r="BO502" s="1321" t="s">
        <v>866</v>
      </c>
      <c r="BP502" s="1317" t="s">
        <v>324</v>
      </c>
      <c r="BQ502" s="1317" t="s">
        <v>867</v>
      </c>
      <c r="BR502" s="1318" t="s">
        <v>868</v>
      </c>
      <c r="BS502" s="1454"/>
    </row>
    <row r="503" spans="2:71" x14ac:dyDescent="0.15">
      <c r="B503" s="1281" t="s">
        <v>1301</v>
      </c>
      <c r="C503" s="1576" t="s">
        <v>219</v>
      </c>
      <c r="D503" s="1576" t="s">
        <v>179</v>
      </c>
      <c r="E503" s="1576" t="s">
        <v>225</v>
      </c>
      <c r="F503" s="1576" t="s">
        <v>180</v>
      </c>
      <c r="G503" s="1576" t="s">
        <v>225</v>
      </c>
      <c r="H503" s="1688" t="s">
        <v>65</v>
      </c>
      <c r="I503" s="1688" t="s">
        <v>66</v>
      </c>
      <c r="J503" s="1688" t="s">
        <v>1302</v>
      </c>
      <c r="K503" s="1688" t="s">
        <v>65</v>
      </c>
      <c r="L503" s="1688" t="s">
        <v>1303</v>
      </c>
      <c r="M503" s="1688" t="s">
        <v>267</v>
      </c>
      <c r="N503" s="1688" t="s">
        <v>266</v>
      </c>
      <c r="P503" s="973" t="s">
        <v>219</v>
      </c>
      <c r="Q503" s="1102" t="s">
        <v>179</v>
      </c>
      <c r="R503" s="1103" t="s">
        <v>180</v>
      </c>
      <c r="AI503" s="1102" t="s">
        <v>200</v>
      </c>
      <c r="AJ503" s="1103" t="s">
        <v>201</v>
      </c>
      <c r="AK503" s="1104" t="s">
        <v>324</v>
      </c>
      <c r="AX503" s="1272" t="s">
        <v>200</v>
      </c>
      <c r="AY503" s="1272" t="s">
        <v>201</v>
      </c>
      <c r="BJ503" s="1084" t="s">
        <v>1304</v>
      </c>
      <c r="BK503" s="1312">
        <f>SUM(AI504:AI511)</f>
        <v>9914.94</v>
      </c>
      <c r="BL503" s="1312">
        <f>SUM(AJ504:AJ511)</f>
        <v>9914.94</v>
      </c>
      <c r="BM503" s="992">
        <f>BL503-BK503</f>
        <v>0</v>
      </c>
      <c r="BO503" s="1084" t="str">
        <f>BJ503</f>
        <v>CH4 water bodies</v>
      </c>
      <c r="BP503" s="1453">
        <f>SUM(AK504:AK511)</f>
        <v>0</v>
      </c>
      <c r="BQ503" s="1312">
        <f>IF(time=0,0,SUM(AY504:AY511)-SUM(AX504:AX511))</f>
        <v>0</v>
      </c>
      <c r="BR503" s="1453">
        <f>BP503-BQ503</f>
        <v>0</v>
      </c>
      <c r="BS503" s="1455">
        <f>SUM(BQ503:BR503)</f>
        <v>0</v>
      </c>
    </row>
    <row r="504" spans="2:71" x14ac:dyDescent="0.15">
      <c r="B504" s="973" t="str">
        <f>'6.Inland wetlands'!I197</f>
        <v>Freshwater pond</v>
      </c>
      <c r="C504" s="992">
        <f>'6.Inland wetlands'!M197</f>
        <v>43</v>
      </c>
      <c r="D504" s="992">
        <f>'6.Inland wetlands'!N197</f>
        <v>43</v>
      </c>
      <c r="E504" s="992" t="str">
        <f>VLOOKUP('6.Inland wetlands'!O197,list!$I$48:$J$50,2,FALSE )</f>
        <v>Linear</v>
      </c>
      <c r="F504" s="992">
        <f>'6.Inland wetlands'!P197</f>
        <v>43</v>
      </c>
      <c r="G504" s="992" t="str">
        <f>VLOOKUP('6.Inland wetlands'!Q197,list!$I$48:$J$50,2,FALSE )</f>
        <v>Linear</v>
      </c>
      <c r="H504" s="1235">
        <f>IF('6.Inland wetlands'!$T197="Please select",0,IF(J504="",VLOOKUP('6.Inland wetlands'!$T197,IPCC!$A$3222:$B$3227,2,FALSE),0.26*J504))</f>
        <v>3</v>
      </c>
      <c r="I504" s="1688">
        <f>IF('6.Inland wetlands'!$CN197="",'6.Inland wetlands'!$CM197,'6.Inland wetlands'!$CN197)</f>
        <v>3</v>
      </c>
      <c r="J504" s="1688" t="str">
        <f>IF('6.Inland wetlands'!CP197="","",'6.Inland wetlands'!CP197)</f>
        <v/>
      </c>
      <c r="K504" s="1235">
        <f>IF(B504="Please select",0,INDEX(IPCC!$A$3204:$E$3215,MATCH(clim_moist,IPCC!$A$3204:$A$3215,0),MATCH('Inl. wetlands'!$B504,IPCC!$A$3204:$E$3204,0)))</f>
        <v>183</v>
      </c>
      <c r="L504" s="1688">
        <f>IF('6.Inland wetlands'!CG197="",'6.Inland wetlands'!CF197,'6.Inland wetlands'!CG197)</f>
        <v>183</v>
      </c>
      <c r="M504" s="1688">
        <f>IF('6.Inland wetlands'!CI197="",'6.Inland wetlands'!CH197,'6.Inland wetlands'!CI197)</f>
        <v>183</v>
      </c>
      <c r="N504" s="1688">
        <f>IF('6.Inland wetlands'!CK197="",'6.Inland wetlands'!CJ197,'6.Inland wetlands'!CK197)</f>
        <v>183</v>
      </c>
      <c r="P504" s="3468">
        <f>$C504*$I504*$L504/1000*methane</f>
        <v>660.99599999999998</v>
      </c>
      <c r="Q504" s="3468">
        <f t="shared" ref="Q504:Q511" si="232">$D504*$I504*$M504/1000*methane</f>
        <v>660.99599999999998</v>
      </c>
      <c r="R504" s="3468">
        <f t="shared" ref="R504:R511" si="233">$F504*$I504*$N504/1000*methane</f>
        <v>660.99599999999998</v>
      </c>
      <c r="AI504" s="3470">
        <f>MIN($P504,$Q504)*time_tot+ABS($Q504-$P504)*IF($Q504&gt;$P504,time_cap+time*(VLOOKUP($E504,list!$J$48:$K$50,2,0)),time*(1-(VLOOKUP($E504,list!$J$48:$K$50,2,0))))</f>
        <v>9914.94</v>
      </c>
      <c r="AJ504" s="3470">
        <f>MIN($P504,$R504)*time_tot+ABS($R504-$P504)*IF($R504&gt;$P504,time_cap+time*(VLOOKUP($G504,list!$J$48:$K$50,2,0)),time*(1-(VLOOKUP($G504,list!$J$48:$K$50,2,0))))</f>
        <v>9914.94</v>
      </c>
      <c r="AK504" s="1160">
        <f>AJ504-AI504</f>
        <v>0</v>
      </c>
      <c r="AX504" s="1449">
        <f>MIN($P504,$Q504)*time+ABS($Q504-$P504)*IF($Q504&gt;$P504,time*(VLOOKUP($E504,list!$J$48:$K$50,2,0)),time*(1-(VLOOKUP($E504,list!$J$48:$K$50,2,0))))</f>
        <v>3304.98</v>
      </c>
      <c r="AY504" s="1449">
        <f>MIN($P504,$R504)*time+ABS($R504-$P504)*IF($R504&gt;$P504,time*(VLOOKUP($G504,list!$J$48:$K$50,2,0)),time*(1-(VLOOKUP($G504,list!$J$48:$K$50,2,0))))</f>
        <v>3304.98</v>
      </c>
      <c r="BM504" s="992"/>
      <c r="BO504" s="1316"/>
      <c r="BP504" s="1460">
        <f>SUM(BP503:BP503)</f>
        <v>0</v>
      </c>
      <c r="BQ504" s="1460">
        <f>SUM(BQ503:BQ503)</f>
        <v>0</v>
      </c>
      <c r="BR504" s="1460">
        <f>SUM(BR503:BR503)</f>
        <v>0</v>
      </c>
      <c r="BS504" s="992">
        <f>BQ504+BR504</f>
        <v>0</v>
      </c>
    </row>
    <row r="505" spans="2:71" x14ac:dyDescent="0.15">
      <c r="B505" s="973" t="str">
        <f>'6.Inland wetlands'!I198</f>
        <v>Please select</v>
      </c>
      <c r="C505" s="992">
        <f>'6.Inland wetlands'!M198</f>
        <v>0</v>
      </c>
      <c r="D505" s="992">
        <f>'6.Inland wetlands'!N198</f>
        <v>0</v>
      </c>
      <c r="E505" s="992" t="str">
        <f>VLOOKUP('6.Inland wetlands'!O198,list!$I$48:$J$50,2,FALSE )</f>
        <v>Linear</v>
      </c>
      <c r="F505" s="992">
        <f>'6.Inland wetlands'!P198</f>
        <v>0</v>
      </c>
      <c r="G505" s="992" t="str">
        <f>VLOOKUP('6.Inland wetlands'!Q198,list!$I$48:$J$50,2,FALSE )</f>
        <v>Linear</v>
      </c>
      <c r="H505" s="1235">
        <f>IF('6.Inland wetlands'!$T198="Please select",0,IF(J505="",VLOOKUP('6.Inland wetlands'!$T198,IPCC!$A$3222:$B$3227,2,FALSE),0.26*J505))</f>
        <v>0</v>
      </c>
      <c r="I505" s="1688">
        <f>IF('6.Inland wetlands'!$CN198="",'6.Inland wetlands'!$CM198,'6.Inland wetlands'!$CN198)</f>
        <v>0</v>
      </c>
      <c r="J505" s="1688" t="str">
        <f>IF('6.Inland wetlands'!CP198="","",'6.Inland wetlands'!CP198)</f>
        <v/>
      </c>
      <c r="K505" s="1235">
        <f>IF(B505="Please select",0,INDEX(IPCC!$A$3204:$E$3215,MATCH(clim_moist,IPCC!$A$3204:$A$3215,0),MATCH('Inl. wetlands'!$B505,IPCC!$A$3204:$E$3204,0)))</f>
        <v>0</v>
      </c>
      <c r="L505" s="1688">
        <f>IF('6.Inland wetlands'!CG198="",'6.Inland wetlands'!CF198,'6.Inland wetlands'!CG198)</f>
        <v>0</v>
      </c>
      <c r="M505" s="1688">
        <f>IF('6.Inland wetlands'!CI198="",'6.Inland wetlands'!CH198,'6.Inland wetlands'!CI198)</f>
        <v>0</v>
      </c>
      <c r="N505" s="1688">
        <f>IF('6.Inland wetlands'!CK198="",'6.Inland wetlands'!CJ198,'6.Inland wetlands'!CK198)</f>
        <v>0</v>
      </c>
      <c r="P505" s="3468">
        <f t="shared" ref="P505:P511" si="234">$C505*$I505*$L505/1000*methane</f>
        <v>0</v>
      </c>
      <c r="Q505" s="3468">
        <f t="shared" si="232"/>
        <v>0</v>
      </c>
      <c r="R505" s="3468">
        <f t="shared" si="233"/>
        <v>0</v>
      </c>
      <c r="AI505" s="3470">
        <f>MIN($P505,$Q505)*time_tot+ABS($Q505-$P505)*IF($Q505&gt;$P505,time_cap+time*(VLOOKUP($E505,list!$J$48:$K$50,2,0)),time*(1-(VLOOKUP($E505,list!$J$48:$K$50,2,0))))</f>
        <v>0</v>
      </c>
      <c r="AJ505" s="3470">
        <f>MIN($P505,$R505)*time_tot+ABS($R505-$P505)*IF($R505&gt;$P505,time_cap+time*(VLOOKUP($G505,list!$J$48:$K$50,2,0)),time*(1-(VLOOKUP($G505,list!$J$48:$K$50,2,0))))</f>
        <v>0</v>
      </c>
      <c r="AK505" s="1160">
        <f t="shared" ref="AK505:AK511" si="235">AJ505-AI505</f>
        <v>0</v>
      </c>
      <c r="AX505" s="1449">
        <f>MIN($P505,$Q505)*time+ABS($Q505-$P505)*IF($Q505&gt;$P505,time*(VLOOKUP($E505,list!$J$48:$K$50,2,0)),time*(1-(VLOOKUP($E505,list!$J$48:$K$50,2,0))))</f>
        <v>0</v>
      </c>
      <c r="AY505" s="1449">
        <f>MIN($P505,$R505)*time+ABS($R505-$P505)*IF($R505&gt;$P505,time*(VLOOKUP($G505,list!$J$48:$K$50,2,0)),time*(1-(VLOOKUP($G505,list!$J$48:$K$50,2,0))))</f>
        <v>0</v>
      </c>
      <c r="BJ505" s="973" t="s">
        <v>871</v>
      </c>
      <c r="BK505" s="992">
        <f>SUM(BK503:BK503)</f>
        <v>9914.94</v>
      </c>
      <c r="BL505" s="992">
        <f>SUM(BL503:BL503)</f>
        <v>9914.94</v>
      </c>
      <c r="BM505" s="992"/>
    </row>
    <row r="506" spans="2:71" x14ac:dyDescent="0.15">
      <c r="B506" s="973" t="str">
        <f>'6.Inland wetlands'!I199</f>
        <v>Please select</v>
      </c>
      <c r="C506" s="992">
        <f>'6.Inland wetlands'!M199</f>
        <v>0</v>
      </c>
      <c r="D506" s="992">
        <f>'6.Inland wetlands'!N199</f>
        <v>0</v>
      </c>
      <c r="E506" s="992" t="str">
        <f>VLOOKUP('6.Inland wetlands'!O199,list!$I$48:$J$50,2,FALSE )</f>
        <v>Linear</v>
      </c>
      <c r="F506" s="992">
        <f>'6.Inland wetlands'!P199</f>
        <v>0</v>
      </c>
      <c r="G506" s="992" t="str">
        <f>VLOOKUP('6.Inland wetlands'!Q199,list!$I$48:$J$50,2,FALSE )</f>
        <v>Linear</v>
      </c>
      <c r="H506" s="1235">
        <f>IF('6.Inland wetlands'!$T199="Please select",0,IF(J506="",VLOOKUP('6.Inland wetlands'!$T199,IPCC!$A$3222:$B$3227,2,FALSE),0.26*J506))</f>
        <v>0</v>
      </c>
      <c r="I506" s="1688">
        <f>IF('6.Inland wetlands'!$CN199="",'6.Inland wetlands'!$CM199,'6.Inland wetlands'!$CN199)</f>
        <v>0</v>
      </c>
      <c r="J506" s="1688" t="str">
        <f>IF('6.Inland wetlands'!CP199="","",'6.Inland wetlands'!CP199)</f>
        <v/>
      </c>
      <c r="K506" s="1235">
        <f>IF(B506="Please select",0,INDEX(IPCC!$A$3204:$E$3215,MATCH(clim_moist,IPCC!$A$3204:$A$3215,0),MATCH('Inl. wetlands'!$B506,IPCC!$A$3204:$E$3204,0)))</f>
        <v>0</v>
      </c>
      <c r="L506" s="1688">
        <f>IF('6.Inland wetlands'!CG199="",'6.Inland wetlands'!CF199,'6.Inland wetlands'!CG199)</f>
        <v>0</v>
      </c>
      <c r="M506" s="1688">
        <f>IF('6.Inland wetlands'!CI199="",'6.Inland wetlands'!CH199,'6.Inland wetlands'!CI199)</f>
        <v>0</v>
      </c>
      <c r="N506" s="1688">
        <f>IF('6.Inland wetlands'!CK199="",'6.Inland wetlands'!CJ199,'6.Inland wetlands'!CK199)</f>
        <v>0</v>
      </c>
      <c r="P506" s="3468">
        <f t="shared" si="234"/>
        <v>0</v>
      </c>
      <c r="Q506" s="3468">
        <f t="shared" si="232"/>
        <v>0</v>
      </c>
      <c r="R506" s="3468">
        <f t="shared" si="233"/>
        <v>0</v>
      </c>
      <c r="AI506" s="3470">
        <f>MIN($P506,$Q506)*time_tot+ABS($Q506-$P506)*IF($Q506&gt;$P506,time_cap+time*(VLOOKUP($E506,list!$J$48:$K$50,2,0)),time*(1-(VLOOKUP($E506,list!$J$48:$K$50,2,0))))</f>
        <v>0</v>
      </c>
      <c r="AJ506" s="3470">
        <f>MIN($P506,$R506)*time_tot+ABS($R506-$P506)*IF($R506&gt;$P506,time_cap+time*(VLOOKUP($G506,list!$J$48:$K$50,2,0)),time*(1-(VLOOKUP($G506,list!$J$48:$K$50,2,0))))</f>
        <v>0</v>
      </c>
      <c r="AK506" s="1160">
        <f t="shared" si="235"/>
        <v>0</v>
      </c>
      <c r="AX506" s="1449">
        <f>MIN($P506,$Q506)*time+ABS($Q506-$P506)*IF($Q506&gt;$P506,time*(VLOOKUP($E506,list!$J$48:$K$50,2,0)),time*(1-(VLOOKUP($E506,list!$J$48:$K$50,2,0))))</f>
        <v>0</v>
      </c>
      <c r="AY506" s="1449">
        <f>MIN($P506,$R506)*time+ABS($R506-$P506)*IF($R506&gt;$P506,time*(VLOOKUP($G506,list!$J$48:$K$50,2,0)),time*(1-(VLOOKUP($G506,list!$J$48:$K$50,2,0))))</f>
        <v>0</v>
      </c>
      <c r="BK506" s="992"/>
      <c r="BL506" s="992"/>
      <c r="BM506" s="992"/>
    </row>
    <row r="507" spans="2:71" x14ac:dyDescent="0.15">
      <c r="B507" s="973" t="str">
        <f>'6.Inland wetlands'!I200</f>
        <v>Please select</v>
      </c>
      <c r="C507" s="992">
        <f>'6.Inland wetlands'!M200</f>
        <v>0</v>
      </c>
      <c r="D507" s="992">
        <f>'6.Inland wetlands'!N200</f>
        <v>0</v>
      </c>
      <c r="E507" s="992" t="str">
        <f>VLOOKUP('6.Inland wetlands'!O200,list!$I$48:$J$50,2,FALSE )</f>
        <v>Linear</v>
      </c>
      <c r="F507" s="992">
        <f>'6.Inland wetlands'!P200</f>
        <v>0</v>
      </c>
      <c r="G507" s="992" t="str">
        <f>VLOOKUP('6.Inland wetlands'!Q200,list!$I$48:$J$50,2,FALSE )</f>
        <v>Linear</v>
      </c>
      <c r="H507" s="1235">
        <f>IF('6.Inland wetlands'!$T200="Please select",0,IF(J507="",VLOOKUP('6.Inland wetlands'!$T200,IPCC!$A$3222:$B$3227,2,FALSE),0.26*J507))</f>
        <v>0</v>
      </c>
      <c r="I507" s="1688">
        <f>IF('6.Inland wetlands'!$CN200="",'6.Inland wetlands'!$CM200,'6.Inland wetlands'!$CN200)</f>
        <v>0</v>
      </c>
      <c r="J507" s="1688" t="str">
        <f>IF('6.Inland wetlands'!CP200="","",'6.Inland wetlands'!CP200)</f>
        <v/>
      </c>
      <c r="K507" s="1235">
        <f>IF(B507="Please select",0,INDEX(IPCC!$A$3204:$E$3215,MATCH(clim_moist,IPCC!$A$3204:$A$3215,0),MATCH('Inl. wetlands'!$B507,IPCC!$A$3204:$E$3204,0)))</f>
        <v>0</v>
      </c>
      <c r="L507" s="1688">
        <f>IF('6.Inland wetlands'!CG200="",'6.Inland wetlands'!CF200,'6.Inland wetlands'!CG200)</f>
        <v>0</v>
      </c>
      <c r="M507" s="1688">
        <f>IF('6.Inland wetlands'!CI200="",'6.Inland wetlands'!CH200,'6.Inland wetlands'!CI200)</f>
        <v>0</v>
      </c>
      <c r="N507" s="1688">
        <f>IF('6.Inland wetlands'!CK200="",'6.Inland wetlands'!CJ200,'6.Inland wetlands'!CK200)</f>
        <v>0</v>
      </c>
      <c r="P507" s="3468">
        <f t="shared" si="234"/>
        <v>0</v>
      </c>
      <c r="Q507" s="3468">
        <f t="shared" si="232"/>
        <v>0</v>
      </c>
      <c r="R507" s="3468">
        <f t="shared" si="233"/>
        <v>0</v>
      </c>
      <c r="AI507" s="3470">
        <f>MIN($P507,$Q507)*time_tot+ABS($Q507-$P507)*IF($Q507&gt;$P507,time_cap+time*(VLOOKUP($E507,list!$J$48:$K$50,2,0)),time*(1-(VLOOKUP($E507,list!$J$48:$K$50,2,0))))</f>
        <v>0</v>
      </c>
      <c r="AJ507" s="3470">
        <f>MIN($P507,$R507)*time_tot+ABS($R507-$P507)*IF($R507&gt;$P507,time_cap+time*(VLOOKUP($G507,list!$J$48:$K$50,2,0)),time*(1-(VLOOKUP($G507,list!$J$48:$K$50,2,0))))</f>
        <v>0</v>
      </c>
      <c r="AK507" s="1160">
        <f t="shared" si="235"/>
        <v>0</v>
      </c>
      <c r="AX507" s="1449">
        <f>MIN($P507,$Q507)*time+ABS($Q507-$P507)*IF($Q507&gt;$P507,time*(VLOOKUP($E507,list!$J$48:$K$50,2,0)),time*(1-(VLOOKUP($E507,list!$J$48:$K$50,2,0))))</f>
        <v>0</v>
      </c>
      <c r="AY507" s="1449">
        <f>MIN($P507,$R507)*time+ABS($R507-$P507)*IF($R507&gt;$P507,time*(VLOOKUP($G507,list!$J$48:$K$50,2,0)),time*(1-(VLOOKUP($G507,list!$J$48:$K$50,2,0))))</f>
        <v>0</v>
      </c>
      <c r="BM507" s="992"/>
    </row>
    <row r="508" spans="2:71" x14ac:dyDescent="0.15">
      <c r="B508" s="973" t="str">
        <f>'6.Inland wetlands'!I201</f>
        <v>Please select</v>
      </c>
      <c r="C508" s="992">
        <f>'6.Inland wetlands'!M201</f>
        <v>0</v>
      </c>
      <c r="D508" s="992">
        <f>'6.Inland wetlands'!N201</f>
        <v>0</v>
      </c>
      <c r="E508" s="992" t="str">
        <f>VLOOKUP('6.Inland wetlands'!O201,list!$I$48:$J$50,2,FALSE )</f>
        <v>Linear</v>
      </c>
      <c r="F508" s="992">
        <f>'6.Inland wetlands'!P201</f>
        <v>0</v>
      </c>
      <c r="G508" s="992" t="str">
        <f>VLOOKUP('6.Inland wetlands'!Q201,list!$I$48:$J$50,2,FALSE )</f>
        <v>Linear</v>
      </c>
      <c r="H508" s="1235">
        <f>IF('6.Inland wetlands'!$T201="Please select",0,IF(J508="",VLOOKUP('6.Inland wetlands'!$T201,IPCC!$A$3222:$B$3227,2,FALSE),0.26*J508))</f>
        <v>0</v>
      </c>
      <c r="I508" s="1688">
        <f>IF('6.Inland wetlands'!$CN201="",'6.Inland wetlands'!$CM201,'6.Inland wetlands'!$CN201)</f>
        <v>0</v>
      </c>
      <c r="J508" s="1688" t="str">
        <f>IF('6.Inland wetlands'!CP201="","",'6.Inland wetlands'!CP201)</f>
        <v/>
      </c>
      <c r="K508" s="1235">
        <f>IF(B508="Please select",0,INDEX(IPCC!$A$3204:$E$3215,MATCH(clim_moist,IPCC!$A$3204:$A$3215,0),MATCH('Inl. wetlands'!$B508,IPCC!$A$3204:$E$3204,0)))</f>
        <v>0</v>
      </c>
      <c r="L508" s="1688">
        <f>IF('6.Inland wetlands'!CG201="",'6.Inland wetlands'!CF201,'6.Inland wetlands'!CG201)</f>
        <v>0</v>
      </c>
      <c r="M508" s="1688">
        <f>IF('6.Inland wetlands'!CI201="",'6.Inland wetlands'!CH201,'6.Inland wetlands'!CI201)</f>
        <v>0</v>
      </c>
      <c r="N508" s="1688">
        <f>IF('6.Inland wetlands'!CK201="",'6.Inland wetlands'!CJ201,'6.Inland wetlands'!CK201)</f>
        <v>0</v>
      </c>
      <c r="P508" s="3468">
        <f t="shared" si="234"/>
        <v>0</v>
      </c>
      <c r="Q508" s="3468">
        <f t="shared" si="232"/>
        <v>0</v>
      </c>
      <c r="R508" s="3468">
        <f t="shared" si="233"/>
        <v>0</v>
      </c>
      <c r="AI508" s="3470">
        <f>MIN($P508,$Q508)*time_tot+ABS($Q508-$P508)*IF($Q508&gt;$P508,time_cap+time*(VLOOKUP($E508,list!$J$48:$K$50,2,0)),time*(1-(VLOOKUP($E508,list!$J$48:$K$50,2,0))))</f>
        <v>0</v>
      </c>
      <c r="AJ508" s="3470">
        <f>MIN($P508,$R508)*time_tot+ABS($R508-$P508)*IF($R508&gt;$P508,time_cap+time*(VLOOKUP($G508,list!$J$48:$K$50,2,0)),time*(1-(VLOOKUP($G508,list!$J$48:$K$50,2,0))))</f>
        <v>0</v>
      </c>
      <c r="AK508" s="1160">
        <f t="shared" si="235"/>
        <v>0</v>
      </c>
      <c r="AX508" s="1449">
        <f>MIN($P508,$Q508)*time+ABS($Q508-$P508)*IF($Q508&gt;$P508,time*(VLOOKUP($E508,list!$J$48:$K$50,2,0)),time*(1-(VLOOKUP($E508,list!$J$48:$K$50,2,0))))</f>
        <v>0</v>
      </c>
      <c r="AY508" s="1449">
        <f>MIN($P508,$R508)*time+ABS($R508-$P508)*IF($R508&gt;$P508,time*(VLOOKUP($G508,list!$J$48:$K$50,2,0)),time*(1-(VLOOKUP($G508,list!$J$48:$K$50,2,0))))</f>
        <v>0</v>
      </c>
      <c r="BM508" s="992"/>
    </row>
    <row r="509" spans="2:71" x14ac:dyDescent="0.15">
      <c r="B509" s="973" t="str">
        <f>'6.Inland wetlands'!I202</f>
        <v>Please select</v>
      </c>
      <c r="C509" s="992">
        <f>'6.Inland wetlands'!M202</f>
        <v>0</v>
      </c>
      <c r="D509" s="992">
        <f>'6.Inland wetlands'!N202</f>
        <v>0</v>
      </c>
      <c r="E509" s="992" t="str">
        <f>VLOOKUP('6.Inland wetlands'!O202,list!$I$48:$J$50,2,FALSE )</f>
        <v>Linear</v>
      </c>
      <c r="F509" s="992">
        <f>'6.Inland wetlands'!P202</f>
        <v>0</v>
      </c>
      <c r="G509" s="992" t="str">
        <f>VLOOKUP('6.Inland wetlands'!Q202,list!$I$48:$J$50,2,FALSE )</f>
        <v>Linear</v>
      </c>
      <c r="H509" s="1235">
        <f>IF('6.Inland wetlands'!$T202="Please select",0,IF(J509="",VLOOKUP('6.Inland wetlands'!$T202,IPCC!$A$3222:$B$3227,2,FALSE),0.26*J509))</f>
        <v>0</v>
      </c>
      <c r="I509" s="1688">
        <f>IF('6.Inland wetlands'!$CN202="",'6.Inland wetlands'!$CM202,'6.Inland wetlands'!$CN202)</f>
        <v>0</v>
      </c>
      <c r="J509" s="1688" t="str">
        <f>IF('6.Inland wetlands'!CP202="","",'6.Inland wetlands'!CP202)</f>
        <v/>
      </c>
      <c r="K509" s="1235">
        <f>IF(B509="Please select",0,INDEX(IPCC!$A$3204:$E$3215,MATCH(clim_moist,IPCC!$A$3204:$A$3215,0),MATCH('Inl. wetlands'!$B509,IPCC!$A$3204:$E$3204,0)))</f>
        <v>0</v>
      </c>
      <c r="L509" s="1688">
        <f>IF('6.Inland wetlands'!CG202="",'6.Inland wetlands'!CF202,'6.Inland wetlands'!CG202)</f>
        <v>0</v>
      </c>
      <c r="M509" s="1688">
        <f>IF('6.Inland wetlands'!CI202="",'6.Inland wetlands'!CH202,'6.Inland wetlands'!CI202)</f>
        <v>0</v>
      </c>
      <c r="N509" s="1688">
        <f>IF('6.Inland wetlands'!CK202="",'6.Inland wetlands'!CJ202,'6.Inland wetlands'!CK202)</f>
        <v>0</v>
      </c>
      <c r="P509" s="3468">
        <f t="shared" si="234"/>
        <v>0</v>
      </c>
      <c r="Q509" s="3468">
        <f t="shared" si="232"/>
        <v>0</v>
      </c>
      <c r="R509" s="3468">
        <f t="shared" si="233"/>
        <v>0</v>
      </c>
      <c r="AI509" s="3470">
        <f>MIN($P509,$Q509)*time_tot+ABS($Q509-$P509)*IF($Q509&gt;$P509,time_cap+time*(VLOOKUP($E509,list!$J$48:$K$50,2,0)),time*(1-(VLOOKUP($E509,list!$J$48:$K$50,2,0))))</f>
        <v>0</v>
      </c>
      <c r="AJ509" s="3470">
        <f>MIN($P509,$R509)*time_tot+ABS($R509-$P509)*IF($R509&gt;$P509,time_cap+time*(VLOOKUP($G509,list!$J$48:$K$50,2,0)),time*(1-(VLOOKUP($G509,list!$J$48:$K$50,2,0))))</f>
        <v>0</v>
      </c>
      <c r="AK509" s="1160">
        <f t="shared" si="235"/>
        <v>0</v>
      </c>
      <c r="AX509" s="1449">
        <f>MIN($P509,$Q509)*time+ABS($Q509-$P509)*IF($Q509&gt;$P509,time*(VLOOKUP($E509,list!$J$48:$K$50,2,0)),time*(1-(VLOOKUP($E509,list!$J$48:$K$50,2,0))))</f>
        <v>0</v>
      </c>
      <c r="AY509" s="1449">
        <f>MIN($P509,$R509)*time+ABS($R509-$P509)*IF($R509&gt;$P509,time*(VLOOKUP($G509,list!$J$48:$K$50,2,0)),time*(1-(VLOOKUP($G509,list!$J$48:$K$50,2,0))))</f>
        <v>0</v>
      </c>
      <c r="BM509" s="992"/>
    </row>
    <row r="510" spans="2:71" x14ac:dyDescent="0.15">
      <c r="B510" s="973" t="str">
        <f>'6.Inland wetlands'!I203</f>
        <v>Please select</v>
      </c>
      <c r="C510" s="992">
        <f>'6.Inland wetlands'!M203</f>
        <v>0</v>
      </c>
      <c r="D510" s="992">
        <f>'6.Inland wetlands'!N203</f>
        <v>0</v>
      </c>
      <c r="E510" s="992" t="str">
        <f>VLOOKUP('6.Inland wetlands'!O203,list!$I$48:$J$50,2,FALSE )</f>
        <v>Linear</v>
      </c>
      <c r="F510" s="992">
        <f>'6.Inland wetlands'!P203</f>
        <v>0</v>
      </c>
      <c r="G510" s="992" t="str">
        <f>VLOOKUP('6.Inland wetlands'!Q203,list!$I$48:$J$50,2,FALSE )</f>
        <v>Linear</v>
      </c>
      <c r="H510" s="1235">
        <f>IF('6.Inland wetlands'!$T203="Please select",0,IF(J510="",VLOOKUP('6.Inland wetlands'!$T203,IPCC!$A$3222:$B$3227,2,FALSE),0.26*J510))</f>
        <v>0</v>
      </c>
      <c r="I510" s="1688">
        <f>IF('6.Inland wetlands'!$CN203="",'6.Inland wetlands'!$CM203,'6.Inland wetlands'!$CN203)</f>
        <v>0</v>
      </c>
      <c r="J510" s="1688" t="str">
        <f>IF('6.Inland wetlands'!CP203="","",'6.Inland wetlands'!CP203)</f>
        <v/>
      </c>
      <c r="K510" s="1235">
        <f>IF(B510="Please select",0,INDEX(IPCC!$A$3204:$E$3215,MATCH(clim_moist,IPCC!$A$3204:$A$3215,0),MATCH('Inl. wetlands'!$B510,IPCC!$A$3204:$E$3204,0)))</f>
        <v>0</v>
      </c>
      <c r="L510" s="1688">
        <f>IF('6.Inland wetlands'!CG203="",'6.Inland wetlands'!CF203,'6.Inland wetlands'!CG203)</f>
        <v>0</v>
      </c>
      <c r="M510" s="1688">
        <f>IF('6.Inland wetlands'!CI203="",'6.Inland wetlands'!CH203,'6.Inland wetlands'!CI203)</f>
        <v>0</v>
      </c>
      <c r="N510" s="1688">
        <f>IF('6.Inland wetlands'!CK203="",'6.Inland wetlands'!CJ203,'6.Inland wetlands'!CK203)</f>
        <v>0</v>
      </c>
      <c r="P510" s="3468">
        <f t="shared" si="234"/>
        <v>0</v>
      </c>
      <c r="Q510" s="3468">
        <f t="shared" si="232"/>
        <v>0</v>
      </c>
      <c r="R510" s="3468">
        <f t="shared" si="233"/>
        <v>0</v>
      </c>
      <c r="AI510" s="3470">
        <f>MIN($P510,$Q510)*time_tot+ABS($Q510-$P510)*IF($Q510&gt;$P510,time_cap+time*(VLOOKUP($E510,list!$J$48:$K$50,2,0)),time*(1-(VLOOKUP($E510,list!$J$48:$K$50,2,0))))</f>
        <v>0</v>
      </c>
      <c r="AJ510" s="3470">
        <f>MIN($P510,$R510)*time_tot+ABS($R510-$P510)*IF($R510&gt;$P510,time_cap+time*(VLOOKUP($G510,list!$J$48:$K$50,2,0)),time*(1-(VLOOKUP($G510,list!$J$48:$K$50,2,0))))</f>
        <v>0</v>
      </c>
      <c r="AK510" s="1160">
        <f t="shared" si="235"/>
        <v>0</v>
      </c>
      <c r="AX510" s="1449">
        <f>MIN($P510,$Q510)*time+ABS($Q510-$P510)*IF($Q510&gt;$P510,time*(VLOOKUP($E510,list!$J$48:$K$50,2,0)),time*(1-(VLOOKUP($E510,list!$J$48:$K$50,2,0))))</f>
        <v>0</v>
      </c>
      <c r="AY510" s="1449">
        <f>MIN($P510,$R510)*time+ABS($R510-$P510)*IF($R510&gt;$P510,time*(VLOOKUP($G510,list!$J$48:$K$50,2,0)),time*(1-(VLOOKUP($G510,list!$J$48:$K$50,2,0))))</f>
        <v>0</v>
      </c>
      <c r="BM510" s="992"/>
    </row>
    <row r="511" spans="2:71" x14ac:dyDescent="0.15">
      <c r="B511" s="973" t="str">
        <f>'6.Inland wetlands'!I204</f>
        <v>Please select</v>
      </c>
      <c r="C511" s="992">
        <f>'6.Inland wetlands'!M204</f>
        <v>0</v>
      </c>
      <c r="D511" s="992">
        <f>'6.Inland wetlands'!N204</f>
        <v>0</v>
      </c>
      <c r="E511" s="992" t="str">
        <f>VLOOKUP('6.Inland wetlands'!O204,list!$I$48:$J$50,2,FALSE )</f>
        <v>Linear</v>
      </c>
      <c r="F511" s="992">
        <f>'6.Inland wetlands'!P204</f>
        <v>0</v>
      </c>
      <c r="G511" s="992" t="str">
        <f>VLOOKUP('6.Inland wetlands'!Q204,list!$I$48:$J$50,2,FALSE )</f>
        <v>Linear</v>
      </c>
      <c r="H511" s="1235">
        <f>IF('6.Inland wetlands'!$T204="Please select",0,IF(J511="",VLOOKUP('6.Inland wetlands'!$T204,IPCC!$A$3222:$B$3227,2,FALSE),0.26*J511))</f>
        <v>0</v>
      </c>
      <c r="I511" s="1688">
        <f>IF('6.Inland wetlands'!$CN204="",'6.Inland wetlands'!$CM204,'6.Inland wetlands'!$CN204)</f>
        <v>0</v>
      </c>
      <c r="J511" s="1688" t="str">
        <f>IF('6.Inland wetlands'!CP204="","",'6.Inland wetlands'!CP204)</f>
        <v/>
      </c>
      <c r="K511" s="1235">
        <f>IF(B511="Please select",0,INDEX(IPCC!$A$3204:$E$3215,MATCH(clim_moist,IPCC!$A$3204:$A$3215,0),MATCH('Inl. wetlands'!$B511,IPCC!$A$3204:$E$3204,0)))</f>
        <v>0</v>
      </c>
      <c r="L511" s="1688">
        <f>IF('6.Inland wetlands'!CG204="",'6.Inland wetlands'!CF204,'6.Inland wetlands'!CG204)</f>
        <v>0</v>
      </c>
      <c r="M511" s="1688">
        <f>IF('6.Inland wetlands'!CI204="",'6.Inland wetlands'!CH204,'6.Inland wetlands'!CI204)</f>
        <v>0</v>
      </c>
      <c r="N511" s="1688">
        <f>IF('6.Inland wetlands'!CK204="",'6.Inland wetlands'!CJ204,'6.Inland wetlands'!CK204)</f>
        <v>0</v>
      </c>
      <c r="P511" s="3468">
        <f t="shared" si="234"/>
        <v>0</v>
      </c>
      <c r="Q511" s="3468">
        <f t="shared" si="232"/>
        <v>0</v>
      </c>
      <c r="R511" s="3468">
        <f t="shared" si="233"/>
        <v>0</v>
      </c>
      <c r="AI511" s="3470">
        <f>MIN($P511,$Q511)*time_tot+ABS($Q511-$P511)*IF($Q511&gt;$P511,time_cap+time*(VLOOKUP($E511,list!$J$48:$K$50,2,0)),time*(1-(VLOOKUP($E511,list!$J$48:$K$50,2,0))))</f>
        <v>0</v>
      </c>
      <c r="AJ511" s="3470">
        <f>MIN($P511,$R511)*time_tot+ABS($R511-$P511)*IF($R511&gt;$P511,time_cap+time*(VLOOKUP($G511,list!$J$48:$K$50,2,0)),time*(1-(VLOOKUP($G511,list!$J$48:$K$50,2,0))))</f>
        <v>0</v>
      </c>
      <c r="AK511" s="1160">
        <f t="shared" si="235"/>
        <v>0</v>
      </c>
      <c r="AX511" s="1449">
        <f>MIN($P511,$Q511)*time+ABS($Q511-$P511)*IF($Q511&gt;$P511,time*(VLOOKUP($E511,list!$J$48:$K$50,2,0)),time*(1-(VLOOKUP($E511,list!$J$48:$K$50,2,0))))</f>
        <v>0</v>
      </c>
      <c r="AY511" s="1449">
        <f>MIN($P511,$R511)*time+ABS($R511-$P511)*IF($R511&gt;$P511,time*(VLOOKUP($G511,list!$J$48:$K$50,2,0)),time*(1-(VLOOKUP($G511,list!$J$48:$K$50,2,0))))</f>
        <v>0</v>
      </c>
      <c r="BM511" s="992"/>
    </row>
    <row r="512" spans="2:71" x14ac:dyDescent="0.15">
      <c r="AX512" s="1449"/>
      <c r="BM512" s="992"/>
    </row>
    <row r="513" spans="3:66" x14ac:dyDescent="0.15">
      <c r="C513" s="3127">
        <f>SUM(C504:C511)</f>
        <v>43</v>
      </c>
      <c r="D513" s="3127">
        <f>SUM(D504:D511)</f>
        <v>43</v>
      </c>
      <c r="E513" s="1688"/>
      <c r="F513" s="3127">
        <f>SUM(F504:F511)</f>
        <v>43</v>
      </c>
      <c r="BM513" s="1688"/>
    </row>
    <row r="514" spans="3:66" x14ac:dyDescent="0.15">
      <c r="BM514" s="992"/>
      <c r="BN514" s="1246"/>
    </row>
    <row r="515" spans="3:66" x14ac:dyDescent="0.15">
      <c r="BM515" s="992"/>
      <c r="BN515" s="1246"/>
    </row>
  </sheetData>
  <mergeCells count="2">
    <mergeCell ref="Z21:AA21"/>
    <mergeCell ref="AB21:AC21"/>
  </mergeCells>
  <conditionalFormatting sqref="BL47:BN47">
    <cfRule type="expression" dxfId="82" priority="25">
      <formula>$BL$46&lt;&gt;$BL$47</formula>
    </cfRule>
  </conditionalFormatting>
  <conditionalFormatting sqref="BL236:BN236">
    <cfRule type="expression" dxfId="81" priority="5">
      <formula>$BL$235&lt;&gt;$BL$236</formula>
    </cfRule>
  </conditionalFormatting>
  <conditionalFormatting sqref="BL351:BN351">
    <cfRule type="expression" dxfId="80" priority="4">
      <formula>$BL$350&lt;&gt;$BL$351</formula>
    </cfRule>
  </conditionalFormatting>
  <conditionalFormatting sqref="BL427:BN427 BK506:BL506 BM515">
    <cfRule type="expression" dxfId="79" priority="3">
      <formula>$BL$426&lt;&gt;$BL$427</formula>
    </cfRule>
  </conditionalFormatting>
  <conditionalFormatting sqref="BL485:BN485">
    <cfRule type="expression" dxfId="78" priority="2">
      <formula>$BL$426&lt;&gt;$BL$427</formula>
    </cfRule>
  </conditionalFormatting>
  <pageMargins left="0.7" right="0.7" top="0.75" bottom="0.75" header="0.3" footer="0.3"/>
  <pageSetup orientation="portrait" r:id="rId1"/>
  <ignoredErrors>
    <ignoredError sqref="M25:M29 M24" formula="1"/>
  </ignoredErrors>
  <drawing r:id="rId2"/>
  <mc:AlternateContent xmlns:mc="http://schemas.openxmlformats.org/markup-compatibility/2006">
    <mc:Choice Requires="v">
      <legacyDrawing r:id="rId3"/>
    </mc:Choice>
  </mc:AlternateContent>
</worksheet>
</file>

<file path=xl/worksheets/sheet19.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dimension ref="A1:BI67"/>
  <sheetViews>
    <sheetView showGridLines="0" topLeftCell="K34" zoomScale="90" zoomScaleNormal="90" workbookViewId="0">
      <selection activeCell="AB45" sqref="AB45"/>
    </sheetView>
  </sheetViews>
  <sheetFormatPr baseColWidth="10" defaultColWidth="8.6640625" defaultRowHeight="15" x14ac:dyDescent="0.2"/>
  <cols>
    <col min="1" max="1" width="11.6640625" customWidth="1"/>
    <col min="2" max="2" width="7.5" customWidth="1"/>
    <col min="3" max="3" width="31.5" customWidth="1"/>
    <col min="4" max="4" width="18.5" customWidth="1"/>
    <col min="5" max="5" width="13.33203125" customWidth="1"/>
    <col min="6" max="7" width="18.5" bestFit="1" customWidth="1"/>
    <col min="8" max="9" width="18.5" customWidth="1"/>
    <col min="10" max="10" width="16.5" bestFit="1" customWidth="1"/>
    <col min="11" max="14" width="12.5" bestFit="1" customWidth="1"/>
    <col min="15" max="15" width="15.5" customWidth="1"/>
    <col min="16" max="16" width="18.5" customWidth="1"/>
    <col min="17" max="17" width="17.5" bestFit="1" customWidth="1"/>
    <col min="19" max="19" width="11.6640625" customWidth="1"/>
    <col min="25" max="25" width="9" customWidth="1"/>
    <col min="26" max="26" width="10.6640625" bestFit="1" customWidth="1"/>
    <col min="29" max="29" width="10.5" bestFit="1" customWidth="1"/>
    <col min="32" max="32" width="10.5" bestFit="1" customWidth="1"/>
    <col min="35" max="35" width="10.5" bestFit="1" customWidth="1"/>
    <col min="38" max="44" width="9.33203125"/>
    <col min="47" max="47" width="27.33203125" customWidth="1"/>
    <col min="49" max="49" width="15.5" bestFit="1" customWidth="1"/>
    <col min="50" max="50" width="13.5" bestFit="1" customWidth="1"/>
    <col min="53" max="53" width="22.6640625" customWidth="1"/>
    <col min="54" max="54" width="15.33203125" customWidth="1"/>
    <col min="57" max="57" width="9.5" bestFit="1" customWidth="1"/>
    <col min="58" max="58" width="12.33203125" customWidth="1"/>
    <col min="61" max="61" width="12.5" customWidth="1"/>
  </cols>
  <sheetData>
    <row r="1" spans="1:61" s="284" customFormat="1" x14ac:dyDescent="0.2"/>
    <row r="2" spans="1:61" s="284" customFormat="1" ht="63" customHeight="1" x14ac:dyDescent="0.2">
      <c r="A2" s="3834" t="s">
        <v>984</v>
      </c>
      <c r="B2" s="3514"/>
      <c r="C2" s="3514"/>
      <c r="D2" s="3514"/>
      <c r="E2" s="3514"/>
      <c r="F2" s="3514"/>
      <c r="G2" s="3514"/>
      <c r="H2" s="3514"/>
      <c r="I2" s="3514"/>
      <c r="J2" s="3514"/>
      <c r="K2" s="3514"/>
      <c r="L2" s="3514"/>
      <c r="M2" s="3514"/>
      <c r="N2" s="3514"/>
      <c r="O2" s="3514"/>
      <c r="P2" s="3514"/>
      <c r="Q2" s="3514"/>
      <c r="R2" s="3514"/>
      <c r="S2" s="3514"/>
      <c r="T2" s="3514"/>
      <c r="U2" s="3514"/>
      <c r="V2" s="3514"/>
      <c r="W2" s="3514"/>
      <c r="X2" s="3514"/>
      <c r="Y2" s="3514"/>
      <c r="Z2" s="3514"/>
      <c r="AA2" s="3514"/>
      <c r="AB2" s="3514"/>
      <c r="AC2" s="3514"/>
      <c r="AD2" s="3514"/>
      <c r="AE2" s="3514"/>
      <c r="AF2" s="3514"/>
      <c r="AG2" s="3514"/>
      <c r="AH2" s="3514"/>
      <c r="AI2" s="3514"/>
      <c r="AJ2" s="3514"/>
      <c r="AK2" s="3514"/>
      <c r="AL2" s="3514"/>
      <c r="AM2" s="3514"/>
      <c r="AN2" s="3514"/>
      <c r="AO2" s="3514"/>
      <c r="AP2" s="3514"/>
      <c r="AQ2" s="3514"/>
      <c r="AR2" s="3514"/>
      <c r="AS2" s="3514"/>
      <c r="AT2" s="3514"/>
      <c r="AU2" s="3514"/>
      <c r="AV2" s="3514"/>
      <c r="AW2" s="3514"/>
      <c r="AX2" s="3514"/>
      <c r="AY2" s="3514"/>
      <c r="AZ2" s="3514"/>
      <c r="BA2" s="3514"/>
      <c r="BB2" s="3514"/>
      <c r="BC2" s="3514"/>
      <c r="BD2" s="3514"/>
      <c r="BE2" s="3514"/>
      <c r="BF2" s="3514"/>
      <c r="BG2" s="3514"/>
      <c r="BH2" s="3514"/>
      <c r="BI2" s="3514"/>
    </row>
    <row r="3" spans="1:61" s="284" customFormat="1" x14ac:dyDescent="0.2"/>
    <row r="4" spans="1:61" s="284" customFormat="1" x14ac:dyDescent="0.2"/>
    <row r="5" spans="1:61" s="284" customFormat="1" x14ac:dyDescent="0.2">
      <c r="I5" s="3847" t="s">
        <v>985</v>
      </c>
    </row>
    <row r="6" spans="1:61" x14ac:dyDescent="0.2">
      <c r="G6" s="3849"/>
      <c r="H6" s="3848" t="s">
        <v>986</v>
      </c>
      <c r="I6" s="3848" t="s">
        <v>987</v>
      </c>
      <c r="J6" s="3848" t="s">
        <v>987</v>
      </c>
      <c r="K6" s="3848" t="s">
        <v>103</v>
      </c>
      <c r="L6" s="3848" t="s">
        <v>103</v>
      </c>
      <c r="M6" s="3848" t="s">
        <v>79</v>
      </c>
      <c r="N6" s="3848" t="s">
        <v>107</v>
      </c>
      <c r="O6" s="3848" t="s">
        <v>988</v>
      </c>
      <c r="P6" s="3459"/>
    </row>
    <row r="7" spans="1:61" ht="21" x14ac:dyDescent="0.25">
      <c r="A7" s="3844" t="s">
        <v>98</v>
      </c>
      <c r="B7" s="3775"/>
      <c r="C7" s="3775"/>
      <c r="D7" s="3845"/>
      <c r="E7" s="3775"/>
      <c r="G7" s="3848" t="s">
        <v>989</v>
      </c>
      <c r="H7" s="3850" t="s">
        <v>990</v>
      </c>
      <c r="I7" s="3848" t="s">
        <v>991</v>
      </c>
      <c r="J7" s="3848" t="s">
        <v>117</v>
      </c>
      <c r="K7" s="3848" t="s">
        <v>991</v>
      </c>
      <c r="L7" s="3848" t="s">
        <v>117</v>
      </c>
      <c r="M7" s="3848" t="s">
        <v>117</v>
      </c>
      <c r="N7" s="3848" t="s">
        <v>117</v>
      </c>
      <c r="O7" s="3848" t="s">
        <v>117</v>
      </c>
      <c r="P7" s="811"/>
    </row>
    <row r="8" spans="1:61" x14ac:dyDescent="0.2">
      <c r="A8" s="3846" t="s">
        <v>111</v>
      </c>
      <c r="B8" s="3846" t="s">
        <v>112</v>
      </c>
      <c r="C8" s="3846" t="s">
        <v>113</v>
      </c>
      <c r="D8" s="3846" t="s">
        <v>114</v>
      </c>
      <c r="E8" s="3846" t="s">
        <v>115</v>
      </c>
      <c r="G8" s="3851" t="s">
        <v>992</v>
      </c>
      <c r="H8" s="3848" t="str">
        <f>climate2</f>
        <v>WarmTemperate</v>
      </c>
      <c r="I8" s="3852" t="s">
        <v>993</v>
      </c>
      <c r="J8" s="3852" t="s">
        <v>993</v>
      </c>
      <c r="K8" s="3852" t="s">
        <v>993</v>
      </c>
      <c r="L8" s="3852" t="s">
        <v>993</v>
      </c>
      <c r="M8" s="3852" t="s">
        <v>993</v>
      </c>
      <c r="N8" s="3852" t="s">
        <v>993</v>
      </c>
      <c r="O8" s="3852" t="s">
        <v>993</v>
      </c>
      <c r="P8" s="682"/>
    </row>
    <row r="9" spans="1:61" x14ac:dyDescent="0.2">
      <c r="A9" s="3835" t="s">
        <v>118</v>
      </c>
      <c r="B9" s="3836" t="s">
        <v>119</v>
      </c>
      <c r="C9" s="3836" t="s">
        <v>120</v>
      </c>
      <c r="D9" s="3836" t="s">
        <v>121</v>
      </c>
      <c r="E9" s="3837" t="s">
        <v>122</v>
      </c>
      <c r="G9" s="682">
        <v>1</v>
      </c>
      <c r="H9" s="3853" t="str">
        <f ca="1">IF(climate2="Please select", "", IF(ROWS(H$9:H9)&lt;=COUNTA(INDIRECT(H$8)), INDIRECT(H$8),""))</f>
        <v>Subtropical humid forest</v>
      </c>
      <c r="I9" s="682">
        <f ca="1">IF($H9="", "", IF($H9="Mangrove Forest",VLOOKUP(clim_moist,IPCC!$A$1502:$G$1510,4,FALSE),INDEX(IPCC!$B$591:$AK$606,MATCH(continent_selected,IPCC!$A$591:$A$606,0),MATCH($H9,IPCC!$B$590:$AK$590,0))))</f>
        <v>220</v>
      </c>
      <c r="J9" s="3283">
        <f ca="1">IF($I9="", "", $I9*0.47)</f>
        <v>103.39999999999999</v>
      </c>
      <c r="K9" s="3283">
        <f ca="1">IF($H9="", "", ($L9*(1/0.47)))</f>
        <v>44</v>
      </c>
      <c r="L9" s="2399">
        <f ca="1">IF($H9="", "", IF($H9="Mangrove Forest",VLOOKUP(clim_moist,IPCC!$A$1502:$G$1510,7,FALSE),IF(OR($J9&lt;=125,$J9&lt;=75),INDEX(IPCC!$B$618:$AI$633,MATCH(continent_selected,IPCC!$A$618:$A$633,0),MATCH($H9,IPCC!$B$616:$AI$616,0)),(IF(OR($J9&gt;125,$J9&gt;75),INDEX(IPCC!$AJ$618:$BS$633,MATCH(continent_selected,IPCC!$A$618:$A$633,0),MATCH($H9,IPCC!$AJ$616:$BS$616,0)),"")))*$J9))</f>
        <v>20.68</v>
      </c>
      <c r="M9" s="682">
        <f ca="1">IF($H9 = "", "", IF($H9 = "Mangrove Forest", VLOOKUP(clim_moist, IPCC!$A$1502:$J$1511, 8, FALSE),   VLOOKUP($H9, IPCC!$A$643:$B$677, 2, FALSE)))</f>
        <v>8.6999999999999993</v>
      </c>
      <c r="N9" s="682">
        <f ca="1">IF($H9 = "", "", IF($H9 = "Mangrove Forest", VLOOKUP(clim_moist, IPCC!$A$1502:$J$1511, 9, FALSE),  VLOOKUP($H9, IPCC!$A$643:$C$677, 3, FALSE)))</f>
        <v>13.2</v>
      </c>
      <c r="O9" s="682">
        <f t="shared" ref="O9:O18" ca="1" si="0">IF($H9="", "", SOCref)</f>
        <v>24</v>
      </c>
      <c r="P9" s="683"/>
    </row>
    <row r="10" spans="1:61" x14ac:dyDescent="0.2">
      <c r="A10" s="3838" t="s">
        <v>123</v>
      </c>
      <c r="B10" s="3839" t="s">
        <v>124</v>
      </c>
      <c r="C10" s="3839" t="s">
        <v>125</v>
      </c>
      <c r="D10" s="3839" t="s">
        <v>126</v>
      </c>
      <c r="E10" s="3840" t="s">
        <v>127</v>
      </c>
      <c r="G10" s="682">
        <v>2</v>
      </c>
      <c r="H10" s="3853" t="str">
        <f ca="1">IF(climate2="Please select", "", IF(ROWS(H$9:H10)&lt;=COUNTA(INDIRECT(H$8)), INDIRECT(H$8),""))</f>
        <v>Subtropical dry forest</v>
      </c>
      <c r="I10" s="682">
        <f ca="1">IF($H10="", "", IF($H10="Mangrove Forest",VLOOKUP(clim_moist,IPCC!$A$1502:$G$1510,4,FALSE),INDEX(IPCC!$B$591:$AK$606,MATCH(continent_selected,IPCC!$A$591:$A$606,0),MATCH($H10,IPCC!$B$590:$AK$590,0))))</f>
        <v>130</v>
      </c>
      <c r="J10" s="3283">
        <f t="shared" ref="J10:J18" ca="1" si="1">IF($I10="", "", $I10*0.47)</f>
        <v>61.099999999999994</v>
      </c>
      <c r="K10" s="3283">
        <f t="shared" ref="K10:K18" ca="1" si="2">IF($H10="", "", ($L10*(1/0.47)))</f>
        <v>72.8</v>
      </c>
      <c r="L10" s="2399">
        <f ca="1">IF($H10="", "", IF($H10="Mangrove Forest",VLOOKUP(clim_moist,IPCC!$A$1502:$G$1510,7,FALSE),IF(OR($J10&lt;=125,$J10&lt;=75),INDEX(IPCC!$B$618:$AI$633,MATCH(continent_selected,IPCC!$A$618:$A$633,0),MATCH($H10,IPCC!$B$616:$AI$616,0)),(IF(OR($J10&gt;125,$J10&gt;75),INDEX(IPCC!$AJ$618:$BS$633,MATCH(continent_selected,IPCC!$A$618:$A$633,0),MATCH($H10,IPCC!$AJ$616:$BS$616,0)),"")))*$J10))</f>
        <v>34.216000000000001</v>
      </c>
      <c r="M10" s="682">
        <f ca="1">IF($H10 = "", "", IF($H10 = "Mangrove Forest", VLOOKUP(clim_moist, IPCC!$A$1502:$J$1511, 8, FALSE),   VLOOKUP($H10, IPCC!$A$643:$B$677, 2, FALSE)))</f>
        <v>0</v>
      </c>
      <c r="N10" s="682">
        <f ca="1">IF($H10 = "", "", IF($H10 = "Mangrove Forest", VLOOKUP(clim_moist, IPCC!$A$1502:$J$1511, 9, FALSE),  VLOOKUP($H10, IPCC!$A$643:$C$677, 3, FALSE)))</f>
        <v>64.400000000000006</v>
      </c>
      <c r="O10" s="682">
        <f t="shared" ca="1" si="0"/>
        <v>24</v>
      </c>
      <c r="P10" s="683"/>
    </row>
    <row r="11" spans="1:61" x14ac:dyDescent="0.2">
      <c r="A11" s="3838" t="s">
        <v>128</v>
      </c>
      <c r="B11" s="3839" t="s">
        <v>129</v>
      </c>
      <c r="C11" s="3839" t="s">
        <v>130</v>
      </c>
      <c r="D11" s="3839" t="s">
        <v>131</v>
      </c>
      <c r="E11" s="3840"/>
      <c r="G11" s="682">
        <v>3</v>
      </c>
      <c r="H11" s="3853" t="str">
        <f ca="1">IF(climate2="Please select", "", IF(ROWS(H$9:H11)&lt;=COUNTA(INDIRECT(H$8)), INDIRECT(H$8),""))</f>
        <v>Subtropical steppe</v>
      </c>
      <c r="I11" s="682">
        <f ca="1">IF($H11="", "", IF($H11="Mangrove Forest",VLOOKUP(clim_moist,IPCC!$A$1502:$G$1510,4,FALSE),INDEX(IPCC!$B$591:$AK$606,MATCH(continent_selected,IPCC!$A$591:$A$606,0),MATCH($H11,IPCC!$B$590:$AK$590,0))))</f>
        <v>70</v>
      </c>
      <c r="J11" s="3283">
        <f t="shared" ca="1" si="1"/>
        <v>32.9</v>
      </c>
      <c r="K11" s="3283">
        <f t="shared" ca="1" si="2"/>
        <v>22.400000000000002</v>
      </c>
      <c r="L11" s="2399">
        <f ca="1">IF($H11="", "", IF($H11="Mangrove Forest",VLOOKUP(clim_moist,IPCC!$A$1502:$G$1510,7,FALSE),IF(OR($J11&lt;=125,$J11&lt;=75),INDEX(IPCC!$B$618:$AI$633,MATCH(continent_selected,IPCC!$A$618:$A$633,0),MATCH($H11,IPCC!$B$616:$AI$616,0)),(IF(OR($J11&gt;125,$J11&gt;75),INDEX(IPCC!$AJ$618:$BS$633,MATCH(continent_selected,IPCC!$A$618:$A$633,0),MATCH($H11,IPCC!$AJ$616:$BS$616,0)),"")))*$J11))</f>
        <v>10.528</v>
      </c>
      <c r="M11" s="682">
        <f ca="1">IF($H11 = "", "", IF($H11 = "Mangrove Forest", VLOOKUP(clim_moist, IPCC!$A$1502:$J$1511, 8, FALSE),   VLOOKUP($H11, IPCC!$A$643:$B$677, 2, FALSE)))</f>
        <v>0</v>
      </c>
      <c r="N11" s="682">
        <f ca="1">IF($H11 = "", "", IF($H11 = "Mangrove Forest", VLOOKUP(clim_moist, IPCC!$A$1502:$J$1511, 9, FALSE),  VLOOKUP($H11, IPCC!$A$643:$C$677, 3, FALSE)))</f>
        <v>6.8</v>
      </c>
      <c r="O11" s="682">
        <f t="shared" ca="1" si="0"/>
        <v>24</v>
      </c>
      <c r="P11" s="683"/>
    </row>
    <row r="12" spans="1:61" x14ac:dyDescent="0.2">
      <c r="A12" s="3838" t="s">
        <v>132</v>
      </c>
      <c r="B12" s="3839" t="s">
        <v>133</v>
      </c>
      <c r="C12" s="3839" t="s">
        <v>134</v>
      </c>
      <c r="D12" s="3839" t="s">
        <v>135</v>
      </c>
      <c r="E12" s="3840"/>
      <c r="G12" s="682">
        <v>4</v>
      </c>
      <c r="H12" s="3853" t="str">
        <f ca="1">IF(climate2="Please select", "", IF(ROWS(H$9:H12)&lt;=COUNTA(INDIRECT(H$8)), INDIRECT(H$8),""))</f>
        <v>Subtropical mountain systems</v>
      </c>
      <c r="I12" s="682">
        <f ca="1">IF($H12="", "", IF($H12="Mangrove Forest",VLOOKUP(clim_moist,IPCC!$A$1502:$G$1510,4,FALSE),INDEX(IPCC!$B$591:$AK$606,MATCH(continent_selected,IPCC!$A$591:$A$606,0),MATCH($H12,IPCC!$B$590:$AK$590,0))))</f>
        <v>140</v>
      </c>
      <c r="J12" s="3283">
        <f t="shared" ca="1" si="1"/>
        <v>65.8</v>
      </c>
      <c r="K12" s="3283">
        <f t="shared" ca="1" si="2"/>
        <v>37.800000000000004</v>
      </c>
      <c r="L12" s="2399">
        <f ca="1">IF($H12="", "", IF($H12="Mangrove Forest",VLOOKUP(clim_moist,IPCC!$A$1502:$G$1510,7,FALSE),IF(OR($J12&lt;=125,$J12&lt;=75),INDEX(IPCC!$B$618:$AI$633,MATCH(continent_selected,IPCC!$A$618:$A$633,0),MATCH($H12,IPCC!$B$616:$AI$616,0)),(IF(OR($J12&gt;125,$J12&gt;75),INDEX(IPCC!$AJ$618:$BS$633,MATCH(continent_selected,IPCC!$A$618:$A$633,0),MATCH($H12,IPCC!$AJ$616:$BS$616,0)),"")))*$J12))</f>
        <v>17.766000000000002</v>
      </c>
      <c r="M12" s="682">
        <f ca="1">IF($H12 = "", "", IF($H12 = "Mangrove Forest", VLOOKUP(clim_moist, IPCC!$A$1502:$J$1511, 8, FALSE),   VLOOKUP($H12, IPCC!$A$643:$B$677, 2, FALSE)))</f>
        <v>0</v>
      </c>
      <c r="N12" s="682">
        <f ca="1">IF($H12 = "", "", IF($H12 = "Mangrove Forest", VLOOKUP(clim_moist, IPCC!$A$1502:$J$1511, 9, FALSE),  VLOOKUP($H12, IPCC!$A$643:$C$677, 3, FALSE)))</f>
        <v>11.8</v>
      </c>
      <c r="O12" s="682">
        <f t="shared" ca="1" si="0"/>
        <v>24</v>
      </c>
      <c r="P12" s="683"/>
    </row>
    <row r="13" spans="1:61" x14ac:dyDescent="0.2">
      <c r="A13" s="3838" t="s">
        <v>136</v>
      </c>
      <c r="B13" s="3839" t="s">
        <v>137</v>
      </c>
      <c r="C13" s="3839" t="s">
        <v>138</v>
      </c>
      <c r="D13" s="3839" t="s">
        <v>139</v>
      </c>
      <c r="E13" s="3840"/>
      <c r="G13" s="682">
        <v>5</v>
      </c>
      <c r="H13" s="3853" t="str">
        <f ca="1">IF(climate2="Please select", "", IF(ROWS(H$9:H13)&lt;=COUNTA(INDIRECT(H$8)), INDIRECT(H$8),""))</f>
        <v>Planted Subtropical humid forest</v>
      </c>
      <c r="I13" s="682">
        <f ca="1">IF($H13="", "", IF($H13="Mangrove Forest",VLOOKUP(clim_moist,IPCC!$A$1502:$G$1510,4,FALSE),INDEX(IPCC!$B$591:$AK$606,MATCH(continent_selected,IPCC!$A$591:$A$606,0),MATCH($H13,IPCC!$B$590:$AK$590,0))))</f>
        <v>140</v>
      </c>
      <c r="J13" s="3283">
        <f t="shared" ca="1" si="1"/>
        <v>65.8</v>
      </c>
      <c r="K13" s="3283">
        <f t="shared" ca="1" si="2"/>
        <v>28</v>
      </c>
      <c r="L13" s="2399">
        <f ca="1">IF($H13="", "", IF($H13="Mangrove Forest",VLOOKUP(clim_moist,IPCC!$A$1502:$G$1510,7,FALSE),IF(OR($J13&lt;=125,$J13&lt;=75),INDEX(IPCC!$B$618:$AI$633,MATCH(continent_selected,IPCC!$A$618:$A$633,0),MATCH($H13,IPCC!$B$616:$AI$616,0)),(IF(OR($J13&gt;125,$J13&gt;75),INDEX(IPCC!$AJ$618:$BS$633,MATCH(continent_selected,IPCC!$A$618:$A$633,0),MATCH($H13,IPCC!$AJ$616:$BS$616,0)),"")))*$J13))</f>
        <v>13.16</v>
      </c>
      <c r="M13" s="682">
        <f ca="1">IF($H13 = "", "", IF($H13 = "Mangrove Forest", VLOOKUP(clim_moist, IPCC!$A$1502:$J$1511, 8, FALSE),   VLOOKUP($H13, IPCC!$A$643:$B$677, 2, FALSE)))</f>
        <v>8.6999999999999993</v>
      </c>
      <c r="N13" s="682">
        <f ca="1">IF($H13 = "", "", IF($H13 = "Mangrove Forest", VLOOKUP(clim_moist, IPCC!$A$1502:$J$1511, 9, FALSE),  VLOOKUP($H13, IPCC!$A$643:$C$677, 3, FALSE)))</f>
        <v>13.2</v>
      </c>
      <c r="O13" s="682">
        <f t="shared" ca="1" si="0"/>
        <v>24</v>
      </c>
      <c r="P13" s="683"/>
    </row>
    <row r="14" spans="1:61" x14ac:dyDescent="0.2">
      <c r="A14" s="3838" t="s">
        <v>140</v>
      </c>
      <c r="B14" s="3839" t="s">
        <v>141</v>
      </c>
      <c r="C14" s="3839" t="s">
        <v>142</v>
      </c>
      <c r="D14" s="3839" t="s">
        <v>143</v>
      </c>
      <c r="E14" s="3840"/>
      <c r="G14" s="682">
        <v>6</v>
      </c>
      <c r="H14" s="3853" t="str">
        <f ca="1">IF(climate2="Please select", "", IF(ROWS(H$9:H14)&lt;=COUNTA(INDIRECT(H$8)), INDIRECT(H$8),""))</f>
        <v>Planted Subtropical dry forest</v>
      </c>
      <c r="I14" s="682">
        <f ca="1">IF($H14="", "", IF($H14="Mangrove Forest",VLOOKUP(clim_moist,IPCC!$A$1502:$G$1510,4,FALSE),INDEX(IPCC!$B$591:$AK$606,MATCH(continent_selected,IPCC!$A$591:$A$606,0),MATCH($H14,IPCC!$B$590:$AK$590,0))))</f>
        <v>60</v>
      </c>
      <c r="J14" s="3283">
        <f t="shared" ca="1" si="1"/>
        <v>28.2</v>
      </c>
      <c r="K14" s="3283">
        <f t="shared" ca="1" si="2"/>
        <v>33.6</v>
      </c>
      <c r="L14" s="2399">
        <f ca="1">IF($H14="", "", IF($H14="Mangrove Forest",VLOOKUP(clim_moist,IPCC!$A$1502:$G$1510,7,FALSE),IF(OR($J14&lt;=125,$J14&lt;=75),INDEX(IPCC!$B$618:$AI$633,MATCH(continent_selected,IPCC!$A$618:$A$633,0),MATCH($H14,IPCC!$B$616:$AI$616,0)),(IF(OR($J14&gt;125,$J14&gt;75),INDEX(IPCC!$AJ$618:$BS$633,MATCH(continent_selected,IPCC!$A$618:$A$633,0),MATCH($H14,IPCC!$AJ$616:$BS$616,0)),"")))*$J14))</f>
        <v>15.792000000000002</v>
      </c>
      <c r="M14" s="682">
        <f ca="1">IF($H14 = "", "", IF($H14 = "Mangrove Forest", VLOOKUP(clim_moist, IPCC!$A$1502:$J$1511, 8, FALSE),   VLOOKUP($H14, IPCC!$A$643:$B$677, 2, FALSE)))</f>
        <v>0</v>
      </c>
      <c r="N14" s="682">
        <f ca="1">IF($H14 = "", "", IF($H14 = "Mangrove Forest", VLOOKUP(clim_moist, IPCC!$A$1502:$J$1511, 9, FALSE),  VLOOKUP($H14, IPCC!$A$643:$C$677, 3, FALSE)))</f>
        <v>64.400000000000006</v>
      </c>
      <c r="O14" s="682">
        <f t="shared" ca="1" si="0"/>
        <v>24</v>
      </c>
      <c r="P14" s="683"/>
    </row>
    <row r="15" spans="1:61" x14ac:dyDescent="0.2">
      <c r="A15" s="3838" t="s">
        <v>144</v>
      </c>
      <c r="B15" s="3839" t="s">
        <v>145</v>
      </c>
      <c r="C15" s="3839" t="s">
        <v>146</v>
      </c>
      <c r="D15" s="3839"/>
      <c r="E15" s="3840"/>
      <c r="G15" s="682">
        <v>7</v>
      </c>
      <c r="H15" s="3853" t="str">
        <f ca="1">IF(climate2="Please select", "", IF(ROWS(H$9:H15)&lt;=COUNTA(INDIRECT(H$8)), INDIRECT(H$8),""))</f>
        <v>Planted Subtropical steppe</v>
      </c>
      <c r="I15" s="682">
        <f ca="1">IF($H15="", "", IF($H15="Mangrove Forest",VLOOKUP(clim_moist,IPCC!$A$1502:$G$1510,4,FALSE),INDEX(IPCC!$B$591:$AK$606,MATCH(continent_selected,IPCC!$A$591:$A$606,0),MATCH($H15,IPCC!$B$590:$AK$590,0))))</f>
        <v>30</v>
      </c>
      <c r="J15" s="3283">
        <f t="shared" ca="1" si="1"/>
        <v>14.1</v>
      </c>
      <c r="K15" s="3283">
        <f t="shared" ca="1" si="2"/>
        <v>9.6</v>
      </c>
      <c r="L15" s="2399">
        <f ca="1">IF($H15="", "", IF($H15="Mangrove Forest",VLOOKUP(clim_moist,IPCC!$A$1502:$G$1510,7,FALSE),IF(OR($J15&lt;=125,$J15&lt;=75),INDEX(IPCC!$B$618:$AI$633,MATCH(continent_selected,IPCC!$A$618:$A$633,0),MATCH($H15,IPCC!$B$616:$AI$616,0)),(IF(OR($J15&gt;125,$J15&gt;75),INDEX(IPCC!$AJ$618:$BS$633,MATCH(continent_selected,IPCC!$A$618:$A$633,0),MATCH($H15,IPCC!$AJ$616:$BS$616,0)),"")))*$J15))</f>
        <v>4.5119999999999996</v>
      </c>
      <c r="M15" s="682">
        <f ca="1">IF($H15 = "", "", IF($H15 = "Mangrove Forest", VLOOKUP(clim_moist, IPCC!$A$1502:$J$1511, 8, FALSE),   VLOOKUP($H15, IPCC!$A$643:$B$677, 2, FALSE)))</f>
        <v>0</v>
      </c>
      <c r="N15" s="682">
        <f ca="1">IF($H15 = "", "", IF($H15 = "Mangrove Forest", VLOOKUP(clim_moist, IPCC!$A$1502:$J$1511, 9, FALSE),  VLOOKUP($H15, IPCC!$A$643:$C$677, 3, FALSE)))</f>
        <v>6.8</v>
      </c>
      <c r="O15" s="682">
        <f t="shared" ca="1" si="0"/>
        <v>24</v>
      </c>
      <c r="P15" s="683"/>
    </row>
    <row r="16" spans="1:61" x14ac:dyDescent="0.2">
      <c r="A16" s="3838" t="s">
        <v>147</v>
      </c>
      <c r="B16" s="3839" t="s">
        <v>148</v>
      </c>
      <c r="C16" s="3839" t="s">
        <v>149</v>
      </c>
      <c r="D16" s="3839"/>
      <c r="E16" s="3840"/>
      <c r="G16" s="682">
        <v>8</v>
      </c>
      <c r="H16" s="3853" t="str">
        <f ca="1">IF(climate2="Please select", "", IF(ROWS(H$9:H16)&lt;=COUNTA(INDIRECT(H$8)), INDIRECT(H$8),""))</f>
        <v>Planted Subtropical mountain systems</v>
      </c>
      <c r="I16" s="682">
        <f ca="1">IF($H16="", "", IF($H16="Mangrove Forest",VLOOKUP(clim_moist,IPCC!$A$1502:$G$1510,4,FALSE),INDEX(IPCC!$B$591:$AK$606,MATCH(continent_selected,IPCC!$A$591:$A$606,0),MATCH($H16,IPCC!$B$590:$AK$590,0))))</f>
        <v>90</v>
      </c>
      <c r="J16" s="3283">
        <f t="shared" ca="1" si="1"/>
        <v>42.3</v>
      </c>
      <c r="K16" s="3283">
        <f t="shared" ca="1" si="2"/>
        <v>24.299999999999997</v>
      </c>
      <c r="L16" s="2399">
        <f ca="1">IF($H16="", "", IF($H16="Mangrove Forest",VLOOKUP(clim_moist,IPCC!$A$1502:$G$1510,7,FALSE),IF(OR($J16&lt;=125,$J16&lt;=75),INDEX(IPCC!$B$618:$AI$633,MATCH(continent_selected,IPCC!$A$618:$A$633,0),MATCH($H16,IPCC!$B$616:$AI$616,0)),(IF(OR($J16&gt;125,$J16&gt;75),INDEX(IPCC!$AJ$618:$BS$633,MATCH(continent_selected,IPCC!$A$618:$A$633,0),MATCH($H16,IPCC!$AJ$616:$BS$616,0)),"")))*$J16))</f>
        <v>11.420999999999999</v>
      </c>
      <c r="M16" s="682">
        <f ca="1">IF($H16 = "", "", IF($H16 = "Mangrove Forest", VLOOKUP(clim_moist, IPCC!$A$1502:$J$1511, 8, FALSE),   VLOOKUP($H16, IPCC!$A$643:$B$677, 2, FALSE)))</f>
        <v>0</v>
      </c>
      <c r="N16" s="682">
        <f ca="1">IF($H16 = "", "", IF($H16 = "Mangrove Forest", VLOOKUP(clim_moist, IPCC!$A$1502:$J$1511, 9, FALSE),  VLOOKUP($H16, IPCC!$A$643:$C$677, 3, FALSE)))</f>
        <v>11.8</v>
      </c>
      <c r="O16" s="682">
        <f t="shared" ca="1" si="0"/>
        <v>24</v>
      </c>
      <c r="P16" s="683"/>
    </row>
    <row r="17" spans="1:27" x14ac:dyDescent="0.2">
      <c r="A17" s="3838" t="s">
        <v>150</v>
      </c>
      <c r="B17" s="3839" t="s">
        <v>136</v>
      </c>
      <c r="C17" s="3839" t="s">
        <v>151</v>
      </c>
      <c r="D17" s="3839"/>
      <c r="E17" s="3840"/>
      <c r="G17" s="682">
        <v>9</v>
      </c>
      <c r="H17" s="3853" t="str">
        <f ca="1">IF(climate2="Please select", "", IF(ROWS(H$9:H17)&lt;=COUNTA(INDIRECT(H$8)), INDIRECT(H$8),""))</f>
        <v>Mangrove Forest</v>
      </c>
      <c r="I17" s="682">
        <f ca="1">IF($H17="", "", IF($H17="Mangrove Forest",VLOOKUP(clim_moist,IPCC!$A$1502:$G$1510,4,FALSE),INDEX(IPCC!$B$591:$AK$606,MATCH(continent_selected,IPCC!$A$591:$A$606,0),MATCH($H17,IPCC!$B$590:$AK$590,0))))</f>
        <v>33.825000000000003</v>
      </c>
      <c r="J17" s="3283">
        <f t="shared" ca="1" si="1"/>
        <v>15.89775</v>
      </c>
      <c r="K17" s="3283">
        <f t="shared" ca="1" si="2"/>
        <v>69.089361702127661</v>
      </c>
      <c r="L17" s="2399">
        <f ca="1">IF($H17="", "", IF($H17="Mangrove Forest",VLOOKUP(clim_moist,IPCC!$A$1502:$G$1510,7,FALSE),IF(OR($J17&lt;=125,$J17&lt;=75),INDEX(IPCC!$B$618:$AI$633,MATCH(continent_selected,IPCC!$A$618:$A$633,0),MATCH($H17,IPCC!$B$616:$AI$616,0)),(IF(OR($J17&gt;125,$J17&gt;75),INDEX(IPCC!$AJ$618:$BS$633,MATCH(continent_selected,IPCC!$A$618:$A$633,0),MATCH($H17,IPCC!$AJ$616:$BS$616,0)),"")))*$J17))</f>
        <v>32.472000000000001</v>
      </c>
      <c r="M17" s="682">
        <f ca="1">IF($H17 = "", "", IF($H17 = "Mangrove Forest", VLOOKUP(clim_moist, IPCC!$A$1502:$J$1511, 8, FALSE),   VLOOKUP($H17, IPCC!$A$643:$B$677, 2, FALSE)))</f>
        <v>0.7</v>
      </c>
      <c r="N17" s="682">
        <f ca="1">IF($H17 = "", "", IF($H17 = "Mangrove Forest", VLOOKUP(clim_moist, IPCC!$A$1502:$J$1511, 9, FALSE),  VLOOKUP($H17, IPCC!$A$643:$C$677, 3, FALSE)))</f>
        <v>10.7</v>
      </c>
      <c r="O17" s="682">
        <f t="shared" ca="1" si="0"/>
        <v>24</v>
      </c>
      <c r="P17" s="683"/>
    </row>
    <row r="18" spans="1:27" x14ac:dyDescent="0.2">
      <c r="A18" s="3841"/>
      <c r="B18" s="3842"/>
      <c r="C18" s="3842" t="s">
        <v>152</v>
      </c>
      <c r="D18" s="3842"/>
      <c r="E18" s="3843"/>
      <c r="G18" s="682">
        <v>10</v>
      </c>
      <c r="H18" s="3853" t="str">
        <f ca="1">IF(climate2="Please select", "", IF(ROWS(H$9:H18)&lt;=COUNTA(INDIRECT(H$8)), INDIRECT(H$8),""))</f>
        <v/>
      </c>
      <c r="I18" s="682" t="str">
        <f ca="1">IF($H18="", "", IF($H18="Mangrove Forest",VLOOKUP(clim_moist,IPCC!$A$1502:$G$1510,4,FALSE),INDEX(IPCC!$B$591:$AK$606,MATCH(continent_selected,IPCC!$A$591:$A$606,0),MATCH($H18,IPCC!$B$590:$AK$590,0))))</f>
        <v/>
      </c>
      <c r="J18" s="3283" t="str">
        <f t="shared" ca="1" si="1"/>
        <v/>
      </c>
      <c r="K18" s="3283" t="str">
        <f t="shared" ca="1" si="2"/>
        <v/>
      </c>
      <c r="L18" s="2399" t="str">
        <f ca="1">IF($H18="", "", IF($H18="Mangrove Forest",VLOOKUP(clim_moist,IPCC!$A$1502:$G$1510,7,FALSE),IF(OR($J18&lt;=125,$J18&lt;=75),INDEX(IPCC!$B$618:$AI$633,MATCH(continent_selected,IPCC!$A$618:$A$633,0),MATCH($H18,IPCC!$B$616:$AI$616,0)),(IF(OR($J18&gt;125,$J18&gt;75),INDEX(IPCC!$AJ$618:$BS$633,MATCH(continent_selected,IPCC!$A$618:$A$633,0),MATCH($H18,IPCC!$AJ$616:$BS$616,0)),"")))*$J18))</f>
        <v/>
      </c>
      <c r="M18" s="682" t="str">
        <f ca="1">IF($H18 = "", "", IF($H18 = "Mangrove Forest", VLOOKUP(clim_moist, IPCC!$A$1502:$J$1511, 8, FALSE),   VLOOKUP($H18, IPCC!$A$643:$B$677, 2, FALSE)))</f>
        <v/>
      </c>
      <c r="N18" s="682" t="str">
        <f ca="1">IF($H18 = "", "", IF($H18 = "Mangrove Forest", VLOOKUP(clim_moist, IPCC!$A$1502:$J$1511, 9, FALSE),  VLOOKUP($H18, IPCC!$A$643:$C$677, 3, FALSE)))</f>
        <v/>
      </c>
      <c r="O18" s="682" t="str">
        <f t="shared" ca="1" si="0"/>
        <v/>
      </c>
      <c r="P18" s="683"/>
    </row>
    <row r="21" spans="1:27" x14ac:dyDescent="0.2">
      <c r="C21" s="3854" t="s">
        <v>781</v>
      </c>
      <c r="D21" s="3854" t="s">
        <v>977</v>
      </c>
      <c r="T21" s="2554" t="s">
        <v>994</v>
      </c>
      <c r="U21" s="2554"/>
      <c r="V21" s="2554"/>
      <c r="W21" s="2554"/>
      <c r="X21" s="1202"/>
      <c r="Y21" s="1202"/>
      <c r="Z21" s="1202"/>
      <c r="AA21" s="1202"/>
    </row>
    <row r="22" spans="1:27" x14ac:dyDescent="0.2">
      <c r="C22" s="480" t="s">
        <v>57</v>
      </c>
      <c r="D22" s="483" t="s">
        <v>995</v>
      </c>
      <c r="G22" s="685"/>
      <c r="H22" s="797" t="s">
        <v>986</v>
      </c>
      <c r="I22" s="806" t="s">
        <v>987</v>
      </c>
      <c r="J22" s="806" t="s">
        <v>987</v>
      </c>
      <c r="K22" s="225" t="s">
        <v>103</v>
      </c>
      <c r="L22" s="225" t="s">
        <v>103</v>
      </c>
      <c r="M22" s="225" t="s">
        <v>79</v>
      </c>
      <c r="N22" s="225" t="s">
        <v>107</v>
      </c>
      <c r="O22" s="2551" t="s">
        <v>988</v>
      </c>
      <c r="P22" s="3" t="s">
        <v>996</v>
      </c>
      <c r="Q22" s="777" t="s">
        <v>258</v>
      </c>
      <c r="T22" s="784" t="s">
        <v>400</v>
      </c>
      <c r="U22" s="784"/>
      <c r="V22" s="784"/>
      <c r="W22" s="784"/>
      <c r="X22" s="284"/>
      <c r="Y22" s="284"/>
      <c r="Z22" s="284"/>
      <c r="AA22" s="284"/>
    </row>
    <row r="23" spans="1:27" x14ac:dyDescent="0.2">
      <c r="C23" s="480" t="s">
        <v>978</v>
      </c>
      <c r="D23" s="483">
        <v>0</v>
      </c>
      <c r="G23" s="2"/>
      <c r="H23" s="798" t="s">
        <v>997</v>
      </c>
      <c r="I23" s="807" t="s">
        <v>991</v>
      </c>
      <c r="J23" s="808" t="s">
        <v>117</v>
      </c>
      <c r="K23" s="808" t="s">
        <v>991</v>
      </c>
      <c r="L23" s="808" t="s">
        <v>117</v>
      </c>
      <c r="M23" s="808" t="s">
        <v>117</v>
      </c>
      <c r="N23" s="808" t="s">
        <v>117</v>
      </c>
      <c r="O23" s="809" t="s">
        <v>117</v>
      </c>
      <c r="P23" s="783" t="s">
        <v>287</v>
      </c>
      <c r="Q23" s="781" t="s">
        <v>998</v>
      </c>
      <c r="T23" s="784"/>
      <c r="U23" s="784" t="s">
        <v>219</v>
      </c>
      <c r="V23" s="784" t="s">
        <v>179</v>
      </c>
      <c r="W23" s="784" t="s">
        <v>180</v>
      </c>
      <c r="X23" s="284"/>
      <c r="Y23" s="284"/>
      <c r="Z23" s="284"/>
      <c r="AA23" s="284"/>
    </row>
    <row r="24" spans="1:27" x14ac:dyDescent="0.2">
      <c r="C24" s="480" t="s">
        <v>979</v>
      </c>
      <c r="D24" s="483">
        <v>10</v>
      </c>
      <c r="G24" s="795" t="s">
        <v>989</v>
      </c>
      <c r="H24" s="796"/>
      <c r="I24" s="800" t="s">
        <v>337</v>
      </c>
      <c r="J24" s="801" t="s">
        <v>337</v>
      </c>
      <c r="K24" s="799" t="s">
        <v>337</v>
      </c>
      <c r="L24" s="799" t="s">
        <v>337</v>
      </c>
      <c r="M24" s="799" t="s">
        <v>337</v>
      </c>
      <c r="N24" s="799" t="s">
        <v>337</v>
      </c>
      <c r="O24" s="799" t="s">
        <v>337</v>
      </c>
      <c r="P24" s="810" t="s">
        <v>117</v>
      </c>
      <c r="Q24" s="808" t="s">
        <v>117</v>
      </c>
      <c r="T24" s="784" t="s">
        <v>65</v>
      </c>
      <c r="U24" s="784"/>
      <c r="V24" s="784"/>
      <c r="W24" s="784"/>
      <c r="X24" s="284"/>
      <c r="Y24" s="284"/>
      <c r="Z24" s="284"/>
      <c r="AA24" s="284"/>
    </row>
    <row r="25" spans="1:27" x14ac:dyDescent="0.2">
      <c r="C25" s="480" t="s">
        <v>980</v>
      </c>
      <c r="D25" s="483">
        <v>20</v>
      </c>
      <c r="G25" s="679">
        <v>1</v>
      </c>
      <c r="H25" s="1" t="str">
        <f>'5.Management'!$C13</f>
        <v>Please select</v>
      </c>
      <c r="I25" s="1242">
        <f>IF(H25 &lt;&gt; "Please select",( J25*(1/0.47)), 0)</f>
        <v>0</v>
      </c>
      <c r="J25" s="814">
        <f>IF('5.Management'!AZ13="", '5.Management'!AY13, '5.Management'!AZ13)</f>
        <v>0</v>
      </c>
      <c r="K25" s="1242">
        <f>IF(L25="", "", L25*(1/0.47))</f>
        <v>0</v>
      </c>
      <c r="L25" s="814">
        <f>IF('5.Management'!$BB13="", '5.Management'!$BA13, '5.Management'!$BB13)</f>
        <v>0</v>
      </c>
      <c r="M25" s="679">
        <f>IF('5.Management'!$BD13="", '5.Management'!$BC13, '5.Management'!$BD13)</f>
        <v>0</v>
      </c>
      <c r="N25" s="679">
        <f>IF('5.Management'!$BF13="", '5.Management'!$BE13, '5.Management'!$BF13)</f>
        <v>0</v>
      </c>
      <c r="O25" s="679">
        <f>IF('5.Management'!$BI13="", '5.Management'!$BH13, '5.Management'!$BI13)</f>
        <v>0</v>
      </c>
      <c r="P25" s="803">
        <f t="shared" ref="P25:P32" si="3">J25+L25</f>
        <v>0</v>
      </c>
      <c r="Q25" s="675">
        <f t="shared" ref="Q25:Q32" si="4">M25+N25</f>
        <v>0</v>
      </c>
      <c r="T25" s="2552">
        <v>1</v>
      </c>
      <c r="U25" s="2553">
        <f>IF('5.Management'!BL13="",'5.Management'!$BK13,'5.Management'!BL13)</f>
        <v>1</v>
      </c>
      <c r="V25" s="2553">
        <f>IF('5.Management'!BM13="",'5.Management'!$BK13,'5.Management'!BM13)</f>
        <v>1</v>
      </c>
      <c r="W25" s="2553">
        <f>IF('5.Management'!BN13="",'5.Management'!$BK13,'5.Management'!BN13)</f>
        <v>1</v>
      </c>
      <c r="X25" s="2716"/>
      <c r="Y25" s="2399"/>
      <c r="Z25" s="2399"/>
      <c r="AA25" s="2399"/>
    </row>
    <row r="26" spans="1:27" x14ac:dyDescent="0.2">
      <c r="C26" s="480" t="s">
        <v>981</v>
      </c>
      <c r="D26" s="483">
        <v>40</v>
      </c>
      <c r="G26" s="678">
        <v>2</v>
      </c>
      <c r="H26" s="1" t="str">
        <f>'5.Management'!$C14</f>
        <v>Please select</v>
      </c>
      <c r="I26" s="1243">
        <f t="shared" ref="I26:I32" si="5">IF(H26 &lt;&gt; "Please select",( J26*(1/0.47)), 0)</f>
        <v>0</v>
      </c>
      <c r="J26" s="815">
        <f>IF('5.Management'!AZ14="", '5.Management'!AY14, '5.Management'!AZ14)</f>
        <v>0</v>
      </c>
      <c r="K26" s="1243">
        <f t="shared" ref="K26:K32" si="6">IF(L26="", "", L26*(1/0.47))</f>
        <v>0</v>
      </c>
      <c r="L26" s="815">
        <f>IF('5.Management'!$BB14="", '5.Management'!$BA14, '5.Management'!$BB14)</f>
        <v>0</v>
      </c>
      <c r="M26" s="678">
        <f>IF('5.Management'!$BD14="", '5.Management'!$BC14, '5.Management'!$BD14)</f>
        <v>0</v>
      </c>
      <c r="N26" s="678">
        <f>IF('5.Management'!$BF14="", '5.Management'!$BE14, '5.Management'!$BF14)</f>
        <v>0</v>
      </c>
      <c r="O26" s="678">
        <f>IF('5.Management'!$BI14="", '5.Management'!$BH14, '5.Management'!$BI14)</f>
        <v>0</v>
      </c>
      <c r="P26" s="804">
        <f t="shared" si="3"/>
        <v>0</v>
      </c>
      <c r="Q26" s="673">
        <f t="shared" si="4"/>
        <v>0</v>
      </c>
      <c r="T26" s="2552">
        <v>1</v>
      </c>
      <c r="U26" s="2553">
        <f>IF('5.Management'!BL14="",'5.Management'!$BK14,'5.Management'!BL14)</f>
        <v>1</v>
      </c>
      <c r="V26" s="2553">
        <f>IF('5.Management'!BM14="",'5.Management'!$BK14,'5.Management'!BM14)</f>
        <v>1</v>
      </c>
      <c r="W26" s="2553">
        <f>IF('5.Management'!BN14="",'5.Management'!$BK14,'5.Management'!BN14)</f>
        <v>1</v>
      </c>
      <c r="X26" s="2716"/>
      <c r="Y26" s="2399"/>
      <c r="Z26" s="2399"/>
      <c r="AA26" s="2399"/>
    </row>
    <row r="27" spans="1:27" x14ac:dyDescent="0.2">
      <c r="C27" s="480" t="s">
        <v>982</v>
      </c>
      <c r="D27" s="483">
        <v>60</v>
      </c>
      <c r="G27" s="678">
        <v>3</v>
      </c>
      <c r="H27" s="1" t="str">
        <f>'5.Management'!$C15</f>
        <v>Please select</v>
      </c>
      <c r="I27" s="1243">
        <f t="shared" si="5"/>
        <v>0</v>
      </c>
      <c r="J27" s="815">
        <f>IF('5.Management'!AZ15="", '5.Management'!AY15, '5.Management'!AZ15)</f>
        <v>0</v>
      </c>
      <c r="K27" s="1243">
        <f t="shared" si="6"/>
        <v>0</v>
      </c>
      <c r="L27" s="815">
        <f>IF('5.Management'!$BB15="", '5.Management'!$BA15, '5.Management'!$BB15)</f>
        <v>0</v>
      </c>
      <c r="M27" s="678">
        <f>IF('5.Management'!$BD15="", '5.Management'!$BC15, '5.Management'!$BD15)</f>
        <v>0</v>
      </c>
      <c r="N27" s="678">
        <f>IF('5.Management'!$BF15="", '5.Management'!$BE15, '5.Management'!$BF15)</f>
        <v>0</v>
      </c>
      <c r="O27" s="678">
        <f>IF('5.Management'!$BI15="", '5.Management'!$BH15, '5.Management'!$BI15)</f>
        <v>0</v>
      </c>
      <c r="P27" s="804">
        <f t="shared" si="3"/>
        <v>0</v>
      </c>
      <c r="Q27" s="673">
        <f t="shared" si="4"/>
        <v>0</v>
      </c>
      <c r="T27" s="2552">
        <v>1</v>
      </c>
      <c r="U27" s="2553">
        <f>IF('5.Management'!BL15="",'5.Management'!$BK15,'5.Management'!BL15)</f>
        <v>1</v>
      </c>
      <c r="V27" s="2553">
        <f>IF('5.Management'!BM15="",'5.Management'!$BK15,'5.Management'!BM15)</f>
        <v>1</v>
      </c>
      <c r="W27" s="2553">
        <f>IF('5.Management'!BN15="",'5.Management'!$BK15,'5.Management'!BN15)</f>
        <v>1</v>
      </c>
      <c r="X27" s="2716"/>
      <c r="Y27" s="2399"/>
      <c r="Z27" s="2399"/>
      <c r="AA27" s="2399"/>
    </row>
    <row r="28" spans="1:27" x14ac:dyDescent="0.2">
      <c r="C28" s="479" t="s">
        <v>999</v>
      </c>
      <c r="D28" s="3855">
        <v>80</v>
      </c>
      <c r="G28" s="678">
        <v>4</v>
      </c>
      <c r="H28" s="1" t="str">
        <f>'5.Management'!$C16</f>
        <v>Please select</v>
      </c>
      <c r="I28" s="1243">
        <f t="shared" si="5"/>
        <v>0</v>
      </c>
      <c r="J28" s="815">
        <f>IF('5.Management'!AZ16="", '5.Management'!AY16, '5.Management'!AZ16)</f>
        <v>0</v>
      </c>
      <c r="K28" s="1243">
        <f t="shared" si="6"/>
        <v>0</v>
      </c>
      <c r="L28" s="815">
        <f>IF('5.Management'!$BB16="", '5.Management'!$BA16, '5.Management'!$BB16)</f>
        <v>0</v>
      </c>
      <c r="M28" s="678">
        <f>IF('5.Management'!$BD16="", '5.Management'!$BC16, '5.Management'!$BD16)</f>
        <v>0</v>
      </c>
      <c r="N28" s="678">
        <f>IF('5.Management'!$BF16="", '5.Management'!$BE16, '5.Management'!$BF16)</f>
        <v>0</v>
      </c>
      <c r="O28" s="678">
        <f>IF('5.Management'!$BI16="", '5.Management'!$BH16, '5.Management'!$BI16)</f>
        <v>0</v>
      </c>
      <c r="P28" s="804">
        <f t="shared" si="3"/>
        <v>0</v>
      </c>
      <c r="Q28" s="673">
        <f t="shared" si="4"/>
        <v>0</v>
      </c>
      <c r="T28" s="2552">
        <v>1</v>
      </c>
      <c r="U28" s="2553">
        <f>IF('5.Management'!BL16="",'5.Management'!$BK16,'5.Management'!BL16)</f>
        <v>1</v>
      </c>
      <c r="V28" s="2553">
        <f>IF('5.Management'!BM16="",'5.Management'!$BK16,'5.Management'!BM16)</f>
        <v>1</v>
      </c>
      <c r="W28" s="2553">
        <f>IF('5.Management'!BN16="",'5.Management'!$BK16,'5.Management'!BN16)</f>
        <v>1</v>
      </c>
      <c r="X28" s="2716"/>
      <c r="Y28" s="2399"/>
      <c r="Z28" s="2399"/>
      <c r="AA28" s="2399"/>
    </row>
    <row r="29" spans="1:27" x14ac:dyDescent="0.2">
      <c r="G29" s="678">
        <v>5</v>
      </c>
      <c r="H29" s="1" t="str">
        <f>'5.Management'!$C17</f>
        <v>Please select</v>
      </c>
      <c r="I29" s="1243">
        <f t="shared" si="5"/>
        <v>0</v>
      </c>
      <c r="J29" s="815">
        <f>IF('5.Management'!AZ17="", '5.Management'!AY17, '5.Management'!AZ17)</f>
        <v>0</v>
      </c>
      <c r="K29" s="1243">
        <f t="shared" si="6"/>
        <v>0</v>
      </c>
      <c r="L29" s="815">
        <f>IF('5.Management'!$BB17="", '5.Management'!$BA17, '5.Management'!$BB17)</f>
        <v>0</v>
      </c>
      <c r="M29" s="678">
        <f>IF('5.Management'!$BD17="", '5.Management'!$BC17, '5.Management'!$BD17)</f>
        <v>0</v>
      </c>
      <c r="N29" s="678">
        <f>IF('5.Management'!$BF17="", '5.Management'!$BE17, '5.Management'!$BF17)</f>
        <v>0</v>
      </c>
      <c r="O29" s="678">
        <f>IF('5.Management'!$BI17="", '5.Management'!$BH17, '5.Management'!$BI17)</f>
        <v>0</v>
      </c>
      <c r="P29" s="804">
        <f t="shared" si="3"/>
        <v>0</v>
      </c>
      <c r="Q29" s="673">
        <f t="shared" si="4"/>
        <v>0</v>
      </c>
      <c r="T29" s="2552">
        <v>1</v>
      </c>
      <c r="U29" s="2553">
        <f>IF('5.Management'!BL17="",'5.Management'!$BK17,'5.Management'!BL17)</f>
        <v>1</v>
      </c>
      <c r="V29" s="2553">
        <f>IF('5.Management'!BM17="",'5.Management'!$BK17,'5.Management'!BM17)</f>
        <v>1</v>
      </c>
      <c r="W29" s="2553">
        <f>IF('5.Management'!BN17="",'5.Management'!$BK17,'5.Management'!BN17)</f>
        <v>1</v>
      </c>
      <c r="X29" s="2716"/>
      <c r="Y29" s="2399"/>
      <c r="Z29" s="2399"/>
      <c r="AA29" s="2399"/>
    </row>
    <row r="30" spans="1:27" x14ac:dyDescent="0.2">
      <c r="G30" s="678">
        <v>6</v>
      </c>
      <c r="H30" s="1" t="str">
        <f>'5.Management'!$C18</f>
        <v>Please select</v>
      </c>
      <c r="I30" s="1243">
        <f t="shared" si="5"/>
        <v>0</v>
      </c>
      <c r="J30" s="815">
        <f>IF('5.Management'!AZ18="", '5.Management'!AY18, '5.Management'!AZ18)</f>
        <v>0</v>
      </c>
      <c r="K30" s="1243">
        <f t="shared" si="6"/>
        <v>0</v>
      </c>
      <c r="L30" s="815">
        <f>IF('5.Management'!$BB18="", '5.Management'!$BA18, '5.Management'!$BB18)</f>
        <v>0</v>
      </c>
      <c r="M30" s="678">
        <f>IF('5.Management'!$BD18="", '5.Management'!$BC18, '5.Management'!$BD18)</f>
        <v>0</v>
      </c>
      <c r="N30" s="678">
        <f>IF('5.Management'!$BF18="", '5.Management'!$BE18, '5.Management'!$BF18)</f>
        <v>0</v>
      </c>
      <c r="O30" s="678">
        <f>IF('5.Management'!$BI18="", '5.Management'!$BH18, '5.Management'!$BI18)</f>
        <v>0</v>
      </c>
      <c r="P30" s="804">
        <f t="shared" si="3"/>
        <v>0</v>
      </c>
      <c r="Q30" s="673">
        <f t="shared" si="4"/>
        <v>0</v>
      </c>
      <c r="T30" s="2552">
        <v>1</v>
      </c>
      <c r="U30" s="2553">
        <f>IF('5.Management'!BL18="",'5.Management'!$BK18,'5.Management'!BL18)</f>
        <v>1</v>
      </c>
      <c r="V30" s="2553">
        <f>IF('5.Management'!BM18="",'5.Management'!$BK18,'5.Management'!BM18)</f>
        <v>1</v>
      </c>
      <c r="W30" s="2553">
        <f>IF('5.Management'!BN18="",'5.Management'!$BK18,'5.Management'!BN18)</f>
        <v>1</v>
      </c>
      <c r="X30" s="2716"/>
      <c r="Y30" s="2399"/>
      <c r="Z30" s="2399"/>
      <c r="AA30" s="2399"/>
    </row>
    <row r="31" spans="1:27" x14ac:dyDescent="0.2">
      <c r="G31" s="678">
        <v>7</v>
      </c>
      <c r="H31" s="1" t="str">
        <f>'5.Management'!$C19</f>
        <v>Please select</v>
      </c>
      <c r="I31" s="1243">
        <f t="shared" si="5"/>
        <v>0</v>
      </c>
      <c r="J31" s="815">
        <f>IF('5.Management'!AZ19="", '5.Management'!AY19, '5.Management'!AZ19)</f>
        <v>0</v>
      </c>
      <c r="K31" s="1243">
        <f t="shared" si="6"/>
        <v>0</v>
      </c>
      <c r="L31" s="815">
        <f>IF('5.Management'!$BB19="", '5.Management'!$BA19, '5.Management'!$BB19)</f>
        <v>0</v>
      </c>
      <c r="M31" s="678">
        <f>IF('5.Management'!$BD19="", '5.Management'!$BC19, '5.Management'!$BD19)</f>
        <v>0</v>
      </c>
      <c r="N31" s="678">
        <f>IF('5.Management'!$BF19="", '5.Management'!$BE19, '5.Management'!$BF19)</f>
        <v>0</v>
      </c>
      <c r="O31" s="678">
        <f>IF('5.Management'!$BI19="", '5.Management'!$BH19, '5.Management'!$BI19)</f>
        <v>0</v>
      </c>
      <c r="P31" s="804">
        <f t="shared" si="3"/>
        <v>0</v>
      </c>
      <c r="Q31" s="673">
        <f t="shared" si="4"/>
        <v>0</v>
      </c>
      <c r="T31" s="2552">
        <v>1</v>
      </c>
      <c r="U31" s="2553">
        <f>IF('5.Management'!BL19="",'5.Management'!$BK19,'5.Management'!BL19)</f>
        <v>1</v>
      </c>
      <c r="V31" s="2553">
        <f>IF('5.Management'!BM19="",'5.Management'!$BK19,'5.Management'!BM19)</f>
        <v>1</v>
      </c>
      <c r="W31" s="2553">
        <f>IF('5.Management'!BN19="",'5.Management'!$BK19,'5.Management'!BN19)</f>
        <v>1</v>
      </c>
      <c r="X31" s="2716"/>
      <c r="Y31" s="2399"/>
      <c r="Z31" s="2399"/>
      <c r="AA31" s="2399"/>
    </row>
    <row r="32" spans="1:27" x14ac:dyDescent="0.2">
      <c r="G32" s="680">
        <v>8</v>
      </c>
      <c r="H32" s="2" t="str">
        <f>'5.Management'!$C20</f>
        <v>Please select</v>
      </c>
      <c r="I32" s="1244">
        <f t="shared" si="5"/>
        <v>0</v>
      </c>
      <c r="J32" s="816">
        <f>IF('5.Management'!AZ20="", '5.Management'!AY20, '5.Management'!AZ20)</f>
        <v>0</v>
      </c>
      <c r="K32" s="1244">
        <f t="shared" si="6"/>
        <v>0</v>
      </c>
      <c r="L32" s="816">
        <f>IF('5.Management'!$BB20="", '5.Management'!$BA20, '5.Management'!$BB20)</f>
        <v>0</v>
      </c>
      <c r="M32" s="680">
        <f>IF('5.Management'!$BD20="", '5.Management'!$BC20, '5.Management'!$BD20)</f>
        <v>0</v>
      </c>
      <c r="N32" s="680">
        <f>IF('5.Management'!$BF20="", '5.Management'!$BE20, '5.Management'!$BF20)</f>
        <v>0</v>
      </c>
      <c r="O32" s="680">
        <f>IF('5.Management'!$BI20="", '5.Management'!$BH20, '5.Management'!$BI20)</f>
        <v>0</v>
      </c>
      <c r="P32" s="805">
        <f t="shared" si="3"/>
        <v>0</v>
      </c>
      <c r="Q32" s="677">
        <f t="shared" si="4"/>
        <v>0</v>
      </c>
      <c r="T32" s="2552">
        <v>1</v>
      </c>
      <c r="U32" s="2553">
        <f>IF('5.Management'!BL20="",'5.Management'!$BK20,'5.Management'!BL20)</f>
        <v>1</v>
      </c>
      <c r="V32" s="2553">
        <f>IF('5.Management'!BM20="",'5.Management'!$BK20,'5.Management'!BM20)</f>
        <v>1</v>
      </c>
      <c r="W32" s="2553">
        <f>IF('5.Management'!BN20="",'5.Management'!$BK20,'5.Management'!BN20)</f>
        <v>1</v>
      </c>
      <c r="X32" s="2716"/>
      <c r="Y32" s="2399"/>
      <c r="Z32" s="2399"/>
      <c r="AA32" s="2399"/>
    </row>
    <row r="34" spans="2:61" x14ac:dyDescent="0.2">
      <c r="K34" s="802"/>
    </row>
    <row r="35" spans="2:61" ht="24" x14ac:dyDescent="0.3">
      <c r="AW35" s="818" t="s">
        <v>1000</v>
      </c>
      <c r="AX35" s="818"/>
      <c r="AY35" s="818"/>
      <c r="AZ35" s="818"/>
      <c r="BA35" s="818"/>
      <c r="BB35" s="818"/>
    </row>
    <row r="36" spans="2:61" x14ac:dyDescent="0.2">
      <c r="AU36" s="3776" t="s">
        <v>573</v>
      </c>
      <c r="AV36" s="3777"/>
      <c r="AW36" s="3777"/>
      <c r="AX36" s="3777"/>
      <c r="AY36" s="3777"/>
      <c r="AZ36" s="3777"/>
      <c r="BA36" s="3777"/>
      <c r="BB36" s="3777"/>
    </row>
    <row r="37" spans="2:61" x14ac:dyDescent="0.2">
      <c r="AU37" s="3776" t="s">
        <v>246</v>
      </c>
      <c r="AV37" s="3777"/>
      <c r="AW37" s="3777"/>
      <c r="AX37" s="3777"/>
      <c r="AY37" s="3777"/>
      <c r="AZ37" s="3777"/>
      <c r="BA37" s="3777"/>
      <c r="BB37" s="3777"/>
    </row>
    <row r="38" spans="2:61" x14ac:dyDescent="0.2">
      <c r="B38" s="480"/>
      <c r="C38" s="480"/>
      <c r="D38" s="2833" t="s">
        <v>1001</v>
      </c>
      <c r="E38" s="2833"/>
      <c r="F38" s="2833" t="s">
        <v>1001</v>
      </c>
      <c r="G38" s="480"/>
      <c r="H38" s="2833" t="s">
        <v>1001</v>
      </c>
      <c r="I38" s="480"/>
      <c r="J38" s="2833" t="s">
        <v>181</v>
      </c>
      <c r="K38" s="480"/>
      <c r="L38" s="2833" t="s">
        <v>971</v>
      </c>
      <c r="M38" s="480"/>
      <c r="N38" s="2833" t="s">
        <v>1002</v>
      </c>
      <c r="O38" s="480"/>
      <c r="P38" s="3803" t="s">
        <v>1003</v>
      </c>
      <c r="Q38" s="480"/>
      <c r="R38" s="480"/>
      <c r="S38" s="2833" t="s">
        <v>258</v>
      </c>
      <c r="T38" s="480"/>
      <c r="U38" s="480"/>
      <c r="V38" s="2833" t="s">
        <v>782</v>
      </c>
      <c r="W38" s="480"/>
      <c r="X38" s="480"/>
      <c r="Y38" s="3522" t="s">
        <v>1004</v>
      </c>
      <c r="Z38" s="480"/>
      <c r="AA38" s="3856" t="s">
        <v>1005</v>
      </c>
      <c r="AB38" s="3857"/>
      <c r="AC38" s="3858"/>
      <c r="AD38" s="3804" t="s">
        <v>1006</v>
      </c>
      <c r="AE38" s="1095"/>
      <c r="AF38" s="1095"/>
      <c r="AG38" s="1095"/>
      <c r="AH38" s="1095"/>
      <c r="AI38" s="1095"/>
      <c r="AM38" s="3819" t="s">
        <v>349</v>
      </c>
      <c r="AN38" s="1011"/>
      <c r="AO38" s="1011"/>
      <c r="AP38" s="1011"/>
      <c r="AU38" s="3778"/>
      <c r="AV38" s="3779"/>
      <c r="AW38" s="3779"/>
      <c r="AX38" s="3779"/>
      <c r="AY38" s="3779"/>
      <c r="AZ38" s="3779"/>
      <c r="BA38" s="3780"/>
      <c r="BB38" s="3780"/>
    </row>
    <row r="39" spans="2:61" ht="17" x14ac:dyDescent="0.25">
      <c r="B39" s="480"/>
      <c r="C39" s="3805" t="s">
        <v>986</v>
      </c>
      <c r="D39" s="3806"/>
      <c r="E39" s="480"/>
      <c r="F39" s="3806"/>
      <c r="G39" s="480"/>
      <c r="H39" s="3806"/>
      <c r="I39" s="480"/>
      <c r="J39" s="2833"/>
      <c r="K39" s="2833"/>
      <c r="L39" s="2833"/>
      <c r="M39" s="2833"/>
      <c r="N39" s="2833"/>
      <c r="O39" s="2833"/>
      <c r="P39" s="3807" t="s">
        <v>90</v>
      </c>
      <c r="Q39" s="480"/>
      <c r="R39" s="480"/>
      <c r="S39" s="3460" t="s">
        <v>1007</v>
      </c>
      <c r="T39" s="480"/>
      <c r="U39" s="480"/>
      <c r="V39" s="3460"/>
      <c r="W39" s="480"/>
      <c r="X39" s="480"/>
      <c r="Y39" s="3808" t="s">
        <v>1008</v>
      </c>
      <c r="Z39" s="480"/>
      <c r="AA39" s="3792"/>
      <c r="AB39" s="3458"/>
      <c r="AC39" s="3523"/>
      <c r="AD39" s="3345" t="s">
        <v>179</v>
      </c>
      <c r="AE39" s="3345"/>
      <c r="AF39" s="3345"/>
      <c r="AG39" s="3523" t="s">
        <v>180</v>
      </c>
      <c r="AH39" s="3523"/>
      <c r="AI39" s="3523"/>
      <c r="AM39" s="3820" t="s">
        <v>1009</v>
      </c>
      <c r="AN39" s="3455"/>
      <c r="AO39" s="3820" t="s">
        <v>1010</v>
      </c>
      <c r="AP39" s="3455"/>
      <c r="AU39" s="3781" t="s">
        <v>259</v>
      </c>
      <c r="AV39" s="3782"/>
      <c r="AW39" s="3783" t="s">
        <v>1011</v>
      </c>
      <c r="AX39" s="3784"/>
      <c r="AY39" s="3785" t="s">
        <v>177</v>
      </c>
      <c r="AZ39" s="3779"/>
      <c r="BA39" s="3776" t="s">
        <v>1012</v>
      </c>
      <c r="BB39" s="3776"/>
      <c r="BD39" s="3806" t="s">
        <v>1013</v>
      </c>
      <c r="BE39" s="3620"/>
      <c r="BF39" s="3620"/>
      <c r="BG39" s="3826"/>
      <c r="BH39" s="3806" t="s">
        <v>621</v>
      </c>
      <c r="BI39" s="3813"/>
    </row>
    <row r="40" spans="2:61" x14ac:dyDescent="0.2">
      <c r="B40" s="480"/>
      <c r="C40" s="3805" t="s">
        <v>997</v>
      </c>
      <c r="D40" s="3792" t="s">
        <v>199</v>
      </c>
      <c r="E40" s="3809" t="s">
        <v>1014</v>
      </c>
      <c r="F40" s="3458" t="s">
        <v>179</v>
      </c>
      <c r="G40" s="3458" t="s">
        <v>1014</v>
      </c>
      <c r="H40" s="3523" t="s">
        <v>180</v>
      </c>
      <c r="I40" s="3523" t="s">
        <v>1014</v>
      </c>
      <c r="J40" s="3458" t="s">
        <v>179</v>
      </c>
      <c r="K40" s="3523" t="s">
        <v>180</v>
      </c>
      <c r="L40" s="3458" t="s">
        <v>179</v>
      </c>
      <c r="M40" s="3523" t="s">
        <v>180</v>
      </c>
      <c r="N40" s="3458" t="s">
        <v>179</v>
      </c>
      <c r="O40" s="3523" t="s">
        <v>180</v>
      </c>
      <c r="P40" s="3792" t="s">
        <v>199</v>
      </c>
      <c r="Q40" s="3345" t="s">
        <v>179</v>
      </c>
      <c r="R40" s="3523" t="s">
        <v>180</v>
      </c>
      <c r="S40" s="3792" t="s">
        <v>199</v>
      </c>
      <c r="T40" s="3458" t="s">
        <v>179</v>
      </c>
      <c r="U40" s="3523" t="s">
        <v>180</v>
      </c>
      <c r="V40" s="3792" t="s">
        <v>199</v>
      </c>
      <c r="W40" s="3458" t="s">
        <v>179</v>
      </c>
      <c r="X40" s="3523" t="s">
        <v>180</v>
      </c>
      <c r="Y40" s="3345" t="s">
        <v>179</v>
      </c>
      <c r="Z40" s="3523" t="s">
        <v>180</v>
      </c>
      <c r="AA40" s="3792" t="s">
        <v>199</v>
      </c>
      <c r="AB40" s="3345" t="s">
        <v>179</v>
      </c>
      <c r="AC40" s="3523" t="s">
        <v>180</v>
      </c>
      <c r="AD40" s="3345" t="s">
        <v>176</v>
      </c>
      <c r="AE40" s="3345" t="s">
        <v>177</v>
      </c>
      <c r="AF40" s="3345" t="s">
        <v>218</v>
      </c>
      <c r="AG40" s="3523" t="s">
        <v>176</v>
      </c>
      <c r="AH40" s="3523" t="s">
        <v>177</v>
      </c>
      <c r="AI40" s="3523" t="s">
        <v>218</v>
      </c>
      <c r="AM40" s="3345" t="s">
        <v>179</v>
      </c>
      <c r="AN40" s="3523" t="s">
        <v>180</v>
      </c>
      <c r="AO40" s="3345" t="s">
        <v>179</v>
      </c>
      <c r="AP40" s="3523" t="s">
        <v>180</v>
      </c>
      <c r="AU40" s="3784" t="s">
        <v>265</v>
      </c>
      <c r="AV40" s="3786" t="s">
        <v>266</v>
      </c>
      <c r="AW40" s="3784" t="s">
        <v>265</v>
      </c>
      <c r="AX40" s="3786" t="s">
        <v>266</v>
      </c>
      <c r="AY40" s="3784" t="s">
        <v>265</v>
      </c>
      <c r="AZ40" s="3786" t="s">
        <v>266</v>
      </c>
      <c r="BA40" s="3776" t="s">
        <v>774</v>
      </c>
      <c r="BB40" s="3787" t="s">
        <v>774</v>
      </c>
      <c r="BD40" s="3620" t="s">
        <v>199</v>
      </c>
      <c r="BE40" s="3620" t="s">
        <v>200</v>
      </c>
      <c r="BF40" s="3620" t="s">
        <v>201</v>
      </c>
      <c r="BG40" s="3826"/>
      <c r="BH40" s="3620" t="s">
        <v>200</v>
      </c>
      <c r="BI40" s="3620" t="s">
        <v>201</v>
      </c>
    </row>
    <row r="41" spans="2:61" x14ac:dyDescent="0.2">
      <c r="B41" s="3524" t="s">
        <v>989</v>
      </c>
      <c r="C41" s="3805"/>
      <c r="D41" s="3792" t="s">
        <v>387</v>
      </c>
      <c r="E41" s="3809" t="s">
        <v>1015</v>
      </c>
      <c r="F41" s="3458" t="s">
        <v>387</v>
      </c>
      <c r="G41" s="3458" t="s">
        <v>1015</v>
      </c>
      <c r="H41" s="3523" t="s">
        <v>387</v>
      </c>
      <c r="I41" s="3523" t="s">
        <v>1015</v>
      </c>
      <c r="J41" s="3810" t="s">
        <v>1016</v>
      </c>
      <c r="K41" s="3811" t="s">
        <v>1016</v>
      </c>
      <c r="L41" s="3810" t="s">
        <v>1017</v>
      </c>
      <c r="M41" s="3811" t="s">
        <v>1017</v>
      </c>
      <c r="N41" s="3810" t="s">
        <v>1018</v>
      </c>
      <c r="O41" s="3812" t="s">
        <v>1018</v>
      </c>
      <c r="P41" s="3792" t="s">
        <v>117</v>
      </c>
      <c r="Q41" s="3345" t="s">
        <v>117</v>
      </c>
      <c r="R41" s="3523" t="s">
        <v>117</v>
      </c>
      <c r="S41" s="3792" t="s">
        <v>117</v>
      </c>
      <c r="T41" s="3458" t="s">
        <v>117</v>
      </c>
      <c r="U41" s="3523" t="s">
        <v>117</v>
      </c>
      <c r="V41" s="3792" t="s">
        <v>117</v>
      </c>
      <c r="W41" s="3458" t="s">
        <v>117</v>
      </c>
      <c r="X41" s="3523" t="s">
        <v>117</v>
      </c>
      <c r="Y41" s="3458" t="s">
        <v>191</v>
      </c>
      <c r="Z41" s="3523" t="s">
        <v>191</v>
      </c>
      <c r="AA41" s="3792"/>
      <c r="AB41" s="3345"/>
      <c r="AC41" s="3523"/>
      <c r="AD41" s="3345" t="s">
        <v>1019</v>
      </c>
      <c r="AE41" s="3345" t="s">
        <v>1019</v>
      </c>
      <c r="AF41" s="3345" t="s">
        <v>1020</v>
      </c>
      <c r="AG41" s="3523" t="s">
        <v>1019</v>
      </c>
      <c r="AH41" s="3523" t="s">
        <v>1019</v>
      </c>
      <c r="AI41" s="3523" t="s">
        <v>1020</v>
      </c>
      <c r="AM41" s="3345" t="s">
        <v>198</v>
      </c>
      <c r="AN41" s="3523" t="s">
        <v>198</v>
      </c>
      <c r="AO41" s="3345" t="s">
        <v>198</v>
      </c>
      <c r="AP41" s="3523" t="s">
        <v>198</v>
      </c>
      <c r="AU41" s="3777" t="s">
        <v>198</v>
      </c>
      <c r="AV41" s="3777" t="s">
        <v>198</v>
      </c>
      <c r="AW41" s="3787" t="s">
        <v>196</v>
      </c>
      <c r="AX41" s="3787" t="s">
        <v>196</v>
      </c>
      <c r="AY41" s="3787" t="s">
        <v>196</v>
      </c>
      <c r="AZ41" s="3787" t="s">
        <v>196</v>
      </c>
      <c r="BA41" s="3784" t="s">
        <v>265</v>
      </c>
      <c r="BB41" s="3786" t="s">
        <v>266</v>
      </c>
      <c r="BD41" s="3827" t="s">
        <v>371</v>
      </c>
      <c r="BE41" s="3827" t="s">
        <v>371</v>
      </c>
      <c r="BF41" s="3827" t="s">
        <v>371</v>
      </c>
      <c r="BG41" s="3826"/>
      <c r="BH41" s="3827" t="s">
        <v>371</v>
      </c>
      <c r="BI41" s="3827" t="s">
        <v>371</v>
      </c>
    </row>
    <row r="42" spans="2:61" x14ac:dyDescent="0.2">
      <c r="B42" s="682">
        <v>1</v>
      </c>
      <c r="C42" s="284" t="str">
        <f>'5.Management'!$C13</f>
        <v>Please select</v>
      </c>
      <c r="D42" s="674" t="str">
        <f>'5.Management'!$E13</f>
        <v>Please select</v>
      </c>
      <c r="E42" s="3814" t="str">
        <f>IF('5.Management'!$AS13="", '5.Management'!$AR13, '5.Management'!$AS13)</f>
        <v>?</v>
      </c>
      <c r="F42" s="674" t="str">
        <f>'5.Management'!$G13</f>
        <v>Please select</v>
      </c>
      <c r="G42" s="3815" t="str">
        <f>IF('5.Management'!$AU13="", '5.Management'!$AT13, '5.Management'!$AU13)</f>
        <v>?</v>
      </c>
      <c r="H42" s="674" t="str">
        <f>'5.Management'!$I13</f>
        <v>Please select</v>
      </c>
      <c r="I42" s="3815" t="str">
        <f>IF('5.Management'!$AW13="", '5.Management'!$AV13, '5.Management'!$AW13)</f>
        <v>?</v>
      </c>
      <c r="J42" s="682" t="str">
        <f>'5.Management'!$K13</f>
        <v>NO</v>
      </c>
      <c r="K42" s="682" t="str">
        <f>'5.Management'!$M13</f>
        <v>NO</v>
      </c>
      <c r="L42" s="682">
        <f>'5.Management'!$O13</f>
        <v>1</v>
      </c>
      <c r="M42" s="682">
        <f>'5.Management'!$Q13</f>
        <v>1</v>
      </c>
      <c r="N42" s="682">
        <f>'5.Management'!$S13*100</f>
        <v>1</v>
      </c>
      <c r="O42" s="682">
        <f>'5.Management'!$U13*100</f>
        <v>1</v>
      </c>
      <c r="P42" s="3517">
        <f>IF($D42 = "Please select", 0, VLOOKUP($B42, $G$25:$Q$32, 10, FALSE)*(1-$E42))</f>
        <v>0</v>
      </c>
      <c r="Q42" s="3520">
        <f>IF($F42 = "Please select", 0, VLOOKUP($B42, $G$25:$Q$32, 10, FALSE)*(1-$G42))</f>
        <v>0</v>
      </c>
      <c r="R42" s="3520">
        <f>IF($H42 = "Please select", 0, VLOOKUP($B42, $G$25:$Q$32, 10, FALSE)*(1-$I42))</f>
        <v>0</v>
      </c>
      <c r="S42" s="3520">
        <f>IF($D42 = "Please select", 0, VLOOKUP($B42, $G$25:$Q$32, 11, FALSE)*(1-$E42))</f>
        <v>0</v>
      </c>
      <c r="T42" s="3520">
        <f>IF($F42 = "Please select", 0, VLOOKUP($B42, $G$25:$Q$32, 11, FALSE)*(1-$G42))</f>
        <v>0</v>
      </c>
      <c r="U42" s="3520">
        <f>IF($H42 = "Please select", 0, VLOOKUP($B42, $G$25:$Q$32, 11, FALSE)*(1-$I42))</f>
        <v>0</v>
      </c>
      <c r="V42" s="3653">
        <f>IF($D42 = "Please select", 0, VLOOKUP($B42, $G$25:$Q$32, 9, FALSE)*U25)</f>
        <v>0</v>
      </c>
      <c r="W42" s="3653">
        <f>IF($F42 = "Please select", 0, VLOOKUP($B42, $G$25:$Q$32, 9, FALSE)*V25)</f>
        <v>0</v>
      </c>
      <c r="X42" s="3653">
        <f>IF($H42 = "Please select", 0, VLOOKUP($B42, $G$25:$Q$32, 9, FALSE)*W25)</f>
        <v>0</v>
      </c>
      <c r="Y42" s="3518">
        <f t="shared" ref="Y42:Y49" si="7">(W42-V42)/20*(-44/12)</f>
        <v>0</v>
      </c>
      <c r="Z42" s="3518">
        <f t="shared" ref="Z42:Z49" si="8">(X42-V42)/20*(-44/12)</f>
        <v>0</v>
      </c>
      <c r="AA42" s="3520">
        <f>P42</f>
        <v>0</v>
      </c>
      <c r="AB42" s="3520">
        <f>Q42</f>
        <v>0</v>
      </c>
      <c r="AC42" s="3520">
        <f>R42</f>
        <v>0</v>
      </c>
      <c r="AD42" s="3519">
        <f>IF(C42 = "Please select",0,IF(L42&gt;time_tot,0,1)*2*IF(J42="YES",(MIN(AB42,AA42)*time_tot+ABS(AB42-AA42)*IF(AB42&gt;AA42,time_cap+time*VLOOKUP(F55,list!$J$48:$K$50,2,FALSE),time*(1-VLOOKUP(F55,list!$J$48:$K$50,2,FALSE)))),0)*VLOOKUP($C42,IPCC!$A$871:$E$906,4,FALSE)*VLOOKUP(C42,IPCC!$A$871:$E$906,2,FALSE)*($N42/100)*(1/$L42))</f>
        <v>0</v>
      </c>
      <c r="AE42" s="3518">
        <f>IF(C42 = "Please select",0,IF(L42&gt;time_tot,0,1)*2*IF(J42="YES",(MIN(AB42,AA42)*time_tot+ABS(AB42-AA42)*IF(AB42&gt;AA42,time_cap+time*VLOOKUP(F55,list!$J$48:$K$50,2,FALSE),time*(1-VLOOKUP(F55,list!$J$48:$K$50,2,FALSE)))),0)*VLOOKUP($C42,IPCC!$A$871:$E$906,5,FALSE)*VLOOKUP(C42,IPCC!$A$871:$E$906,2,FALSE)*($N42/100)*(1/L42))</f>
        <v>0</v>
      </c>
      <c r="AF42" s="3519">
        <f t="shared" ref="AF42:AF49" si="9">(AD42*methane+AE42*Nitrous)/1000</f>
        <v>0</v>
      </c>
      <c r="AG42" s="3519">
        <f>IF(C42 = "Please select",0,IF(M42&gt;time_tot,0,1)*2*IF(K42="YES",(MIN(AC42,AA42)*time_tot+ABS(AC42-AA42)*IF(AC42&gt;AA42,time_cap+time*VLOOKUP(H55,list!$J$48:$K$50,2,FALSE),time*(1-VLOOKUP(H55,list!$J$48:$K$50,2,FALSE)))),0)*VLOOKUP($C42,IPCC!$A$871:$E$906,4,FALSE)*VLOOKUP(C42,IPCC!$A$871:$E$906,2,FALSE)*($O42/100)*(1/$M42))</f>
        <v>0</v>
      </c>
      <c r="AH42" s="3519">
        <f>IF(C42 = "Please select",0,IF(M42&gt;time_tot,0,1)*2*IF(K42="YES",(MIN(AC42,AA42)*time_tot+ABS(AC42-AA42)*IF(AC42&gt;AA42,time_cap+time*VLOOKUP(H55,list!$J$48:$K$50,2,FALSE),time*(1-VLOOKUP(H55,list!$J$48:$K$50,2,FALSE)))),0)*VLOOKUP($C42,IPCC!$A$871:$E$906,5,FALSE)*VLOOKUP(C42,IPCC!$A$871:$E$906,2,FALSE)*($O42/100)*(1/M42))</f>
        <v>0</v>
      </c>
      <c r="AI42" s="3816">
        <f t="shared" ref="AI42:AI49" si="10">(AG42*methane+AH42*Nitrous)/1000</f>
        <v>0</v>
      </c>
      <c r="AM42" s="3821">
        <f t="shared" ref="AM42:AM49" si="11">(AD42*methane)*D55/1000</f>
        <v>0</v>
      </c>
      <c r="AN42" s="3641">
        <f t="shared" ref="AN42:AN49" si="12">(AG42*methane)*D55/1000</f>
        <v>0</v>
      </c>
      <c r="AO42" s="3641">
        <f t="shared" ref="AO42:AO49" si="13">(AE42*Nitrous)*D55/1000</f>
        <v>0</v>
      </c>
      <c r="AP42" s="3351">
        <f t="shared" ref="AP42:AP49" si="14">(AH42*Nitrous)*D55/1000</f>
        <v>0</v>
      </c>
      <c r="AU42" s="3767">
        <f>$Y42*(IF(F55="Immediate",IF(E55&gt;0, E55*MIN(20,time),0), E55*IF(time&gt;time+20,20,IF(time&lt;20,(time*VLOOKUP(F55, list!$J$48:$K$50,2,))+(time-time),((MIN(20,time)*VLOOKUP(F55, list!$J$48:$K$50,2,))+(time-MIN(20,time))-IF(F55="Exponential",time-20+0.217*time*(EXP(4.606*(20-time)/time)-1),((time-20)^2)*(0.5/time)))))))</f>
        <v>0</v>
      </c>
      <c r="AV42" s="3768">
        <f>$Z42*(IF(H55="Immediate",IF( G55&gt;0, G55*MIN(20,time),0), G55*IF(time&gt;time+20,20,IF(time&lt;20,(time*VLOOKUP(H55, list!$J$48:$K$50,2,))+(time-time),((MIN(20,time)*VLOOKUP(H55, list!$J$48:$K$50,2,))+(time-MIN(20,time))-IF(H55="Exponential",time-20+0.217*time*(EXP(4.606*(20-time)/time)-1),((time-20)^2)*(0.5/time)))))))</f>
        <v>0</v>
      </c>
      <c r="AW42" s="3768">
        <f>IF(C42 = "Please select",0,D55*IF(L42&gt;time,0,1)*2*IF(J42="YES",(MIN(AB42,AA42)*time+ABS(AB42-AA42)*IF(AB42&gt;AA42,0+time*VLOOKUP(F55,list!$J$48:$K$50,2,FALSE),time*(1-VLOOKUP(F55,list!$J$48:$K$50,2,FALSE)))),0)*VLOOKUP($C42,IPCC!$A$871:$E$906,4,FALSE)*VLOOKUP(C42,IPCC!$A$871:$E$906,2,FALSE)*($N42/100)*(1/L42))</f>
        <v>0</v>
      </c>
      <c r="AX42" s="3768">
        <f>IF(C42 = "Please select",0,D55*IF(M42&gt;time_tot,0,1)*2*IF(K42="YES",(MIN(AC42,AA42)*time+ABS(AC42-AA42)*IF(AC42&gt;AA42,0+time*VLOOKUP(H55,list!$J$48:$K$50,2,FALSE),time*(1-VLOOKUP(H55,list!$J$48:$K$50,2,FALSE)))),0)*VLOOKUP($C42,IPCC!$A$871:$E$906,4,FALSE)*VLOOKUP(C42,IPCC!$A$871:$E$906,2,FALSE)*($O42/100)*(1/$M42))</f>
        <v>0</v>
      </c>
      <c r="AY42" s="3768">
        <f>IF(C42 = "Please select",0,D55*IF(L42&gt;time_tot,0,1)*2*IF(J42="YES",(MIN(AB42,AA42)*time+ABS(AB42-AA42)*IF(AB42&gt;AA42,0+time*VLOOKUP(F55,list!$J$48:$K$50,2,FALSE),time*(1-VLOOKUP(F55,list!$J$48:$K$50,2,FALSE)))),0)*VLOOKUP($C42,IPCC!$A$871:$E$906,5,FALSE)*VLOOKUP(C42,IPCC!$A$871:$E$906,2,FALSE)*($N42/100)*(1/L42))</f>
        <v>0</v>
      </c>
      <c r="AZ42" s="3768">
        <f>IF(C42 = "Please select",0,D55*IF(M42&gt;time_tot,0,1)*2*IF(K42="YES",(MIN(AC42,AA42)*time+ABS(AC42-AA42)*IF(AC42&gt;AA42,0+time*VLOOKUP(H55,list!$J$48:$K$50,2,FALSE),time*(1-VLOOKUP(H55,list!$J$48:$K$50,2,FALSE)))),0)*VLOOKUP($C42,IPCC!$A$871:$E$906,5,FALSE)*VLOOKUP(C42,IPCC!$A$871:$E$906,2,FALSE)*($O42/100)*(1/M42))</f>
        <v>0</v>
      </c>
      <c r="BA42" s="3769">
        <f>(AW42*methane + AY42*Nitrous)/1000</f>
        <v>0</v>
      </c>
      <c r="BB42" s="3770">
        <f t="shared" ref="BB42:BB49" si="15">(AX42*methane+AZ42*Nitrous)/1000</f>
        <v>0</v>
      </c>
      <c r="BD42" s="3652">
        <f t="shared" ref="BD42:BD49" si="16">D55*IF(E42&gt;0,1,0)</f>
        <v>0</v>
      </c>
      <c r="BE42" s="3653">
        <f t="shared" ref="BE42:BE49" si="17">E55*IF(G42&gt;0,1,0)</f>
        <v>0</v>
      </c>
      <c r="BF42" s="3653">
        <f t="shared" ref="BF42:BF49" si="18">G55*IF(I42&gt;0,1,0)</f>
        <v>0</v>
      </c>
      <c r="BG42" s="3828"/>
      <c r="BH42" s="3653">
        <f t="shared" ref="BH42:BH49" si="19">IF(AF42&gt;0,O55/AF42,0)*time_tot/L42</f>
        <v>0</v>
      </c>
      <c r="BI42" s="3654">
        <f t="shared" ref="BI42:BI49" si="20">IF(AI42&gt;0,P55/AI42,0)*time_tot/M42</f>
        <v>0</v>
      </c>
    </row>
    <row r="43" spans="2:61" x14ac:dyDescent="0.2">
      <c r="B43" s="682">
        <v>2</v>
      </c>
      <c r="C43" s="284" t="str">
        <f>'5.Management'!$C14</f>
        <v>Please select</v>
      </c>
      <c r="D43" s="674" t="str">
        <f>'5.Management'!$E14</f>
        <v>Please select</v>
      </c>
      <c r="E43" s="3814" t="str">
        <f>IF('5.Management'!$AS14="", '5.Management'!$AR14, '5.Management'!$AS14)</f>
        <v>?</v>
      </c>
      <c r="F43" s="674" t="str">
        <f>'5.Management'!$G14</f>
        <v>Please select</v>
      </c>
      <c r="G43" s="3815" t="str">
        <f>IF('5.Management'!$AU14="", '5.Management'!$AT14, '5.Management'!$AU14)</f>
        <v>?</v>
      </c>
      <c r="H43" s="674" t="str">
        <f>'5.Management'!$I14</f>
        <v>Please select</v>
      </c>
      <c r="I43" s="3815" t="str">
        <f>IF('5.Management'!$AW14="", '5.Management'!$AV14, '5.Management'!$AW14)</f>
        <v>?</v>
      </c>
      <c r="J43" s="682" t="str">
        <f>'5.Management'!$K14</f>
        <v>NO</v>
      </c>
      <c r="K43" s="682" t="str">
        <f>'5.Management'!$M14</f>
        <v>NO</v>
      </c>
      <c r="L43" s="682">
        <f>'5.Management'!$O14</f>
        <v>1</v>
      </c>
      <c r="M43" s="682">
        <f>'5.Management'!$Q14</f>
        <v>1</v>
      </c>
      <c r="N43" s="682">
        <f>'5.Management'!$S14*100</f>
        <v>1</v>
      </c>
      <c r="O43" s="682">
        <f>'5.Management'!$U14*100</f>
        <v>1</v>
      </c>
      <c r="P43" s="3517">
        <f t="shared" ref="P43:P49" si="21">IF($D43 = "Please select", 0, VLOOKUP($B43, $G$25:$Q$32, 10, FALSE)*(1-$E43))</f>
        <v>0</v>
      </c>
      <c r="Q43" s="3520">
        <f t="shared" ref="Q43:Q49" si="22">IF($F43 = "Please select", 0, VLOOKUP($B43, $G$25:$Q$32, 10, FALSE)*(1-$G43))</f>
        <v>0</v>
      </c>
      <c r="R43" s="3520">
        <f t="shared" ref="R43:R49" si="23">IF($H43 = "Please select", 0, VLOOKUP($B43, $G$25:$Q$32, 10, FALSE)*(1-$I43))</f>
        <v>0</v>
      </c>
      <c r="S43" s="3520">
        <f t="shared" ref="S43:S49" si="24">IF($D43 = "Please select", 0, VLOOKUP($B43, $G$25:$Q$32, 11, FALSE)*(1-$E43))</f>
        <v>0</v>
      </c>
      <c r="T43" s="3520">
        <f t="shared" ref="T43:T49" si="25">IF($F43 = "Please select", 0, VLOOKUP($B43, $G$25:$Q$32, 11, FALSE)*(1-$G43))</f>
        <v>0</v>
      </c>
      <c r="U43" s="3520">
        <f t="shared" ref="U43:U49" si="26">IF($H43 = "Please select", 0, VLOOKUP($B43, $G$25:$Q$32, 11, FALSE)*(1-$I43))</f>
        <v>0</v>
      </c>
      <c r="V43" s="3653">
        <f t="shared" ref="V43:V49" si="27">IF($D43 = "Please select", 0, VLOOKUP($B43, $G$25:$Q$32, 9, FALSE)*U26)</f>
        <v>0</v>
      </c>
      <c r="W43" s="3653">
        <f t="shared" ref="W43:W49" si="28">IF($F43 = "Please select", 0, VLOOKUP($B43, $G$25:$Q$32, 9, FALSE)*V26)</f>
        <v>0</v>
      </c>
      <c r="X43" s="3653">
        <f t="shared" ref="X43:X49" si="29">IF($H43 = "Please select", 0, VLOOKUP($B43, $G$25:$Q$32, 9, FALSE)*W26)</f>
        <v>0</v>
      </c>
      <c r="Y43" s="3495">
        <f t="shared" si="7"/>
        <v>0</v>
      </c>
      <c r="Z43" s="3495">
        <f t="shared" si="8"/>
        <v>0</v>
      </c>
      <c r="AA43" s="3520">
        <f t="shared" ref="AA43:AA49" si="30">P43</f>
        <v>0</v>
      </c>
      <c r="AB43" s="3520">
        <f t="shared" ref="AB43:AB49" si="31">Q43</f>
        <v>0</v>
      </c>
      <c r="AC43" s="3520">
        <f t="shared" ref="AC43:AC49" si="32">R43</f>
        <v>0</v>
      </c>
      <c r="AD43" s="3232">
        <f>IF(C43 = "Please select",0,IF(L43&gt;time_tot,0,1)*2*IF(J43="YES",(MIN(AB43,AA43)*time_tot+ABS(AB43-AA43)*IF(AB43&gt;AA43,time_cap+time*VLOOKUP(F56,list!$J$48:$K$50,2,FALSE),time*(1-VLOOKUP(F56,list!$J$48:$K$50,2,FALSE)))),0)*VLOOKUP($C43,IPCC!$A$871:$E$906,4,FALSE)*VLOOKUP(C43,IPCC!$A$871:$E$906,2,FALSE)*($N43/100)*(1/$L43))</f>
        <v>0</v>
      </c>
      <c r="AE43" s="3495">
        <f>IF(C43 = "Please select",0,IF(L43&gt;time_tot,0,1)*2*IF(J43="YES",(MIN(AB43,AA43)*time_tot+ABS(AB43-AA43)*IF(AB43&gt;AA43,time_cap+time*VLOOKUP(F56,list!$J$48:$K$50,2,FALSE),time*(1-VLOOKUP(F56,list!$J$48:$K$50,2,FALSE)))),0)*VLOOKUP($C43,IPCC!$A$871:$E$906,5,FALSE)*VLOOKUP(C43,IPCC!$A$871:$E$906,2,FALSE)*($N43/100)*(1/L43))</f>
        <v>0</v>
      </c>
      <c r="AF43" s="3232">
        <f t="shared" si="9"/>
        <v>0</v>
      </c>
      <c r="AG43" s="3232">
        <f>IF(C43 = "Please select",0,IF(M43&gt;time_tot,0,1)*2*IF(K43="YES",(MIN(AC43,AA43)*time_tot+ABS(AC43-AA43)*IF(AC43&gt;AA43,time_cap+time*VLOOKUP(H56,list!$J$48:$K$50,2,FALSE),time*(1-VLOOKUP(H56,list!$J$48:$K$50,2,FALSE)))),0)*VLOOKUP($C43,IPCC!$A$871:$E$906,4,FALSE)*VLOOKUP(C43,IPCC!$A$871:$E$906,2,FALSE)*($O43/100)*(1/$M43))</f>
        <v>0</v>
      </c>
      <c r="AH43" s="3232">
        <f>IF(C43 = "Please select",0,IF(M43&gt;time_tot,0,1)*2*IF(K43="YES",(MIN(AC43,AA43)*time_tot+ABS(AC43-AA43)*IF(AC43&gt;AA43,time_cap+time*VLOOKUP(H56,list!$J$48:$K$50,2,FALSE),time*(1-VLOOKUP(H56,list!$J$48:$K$50,2,FALSE)))),0)*VLOOKUP($C43,IPCC!$A$871:$E$906,5,FALSE)*VLOOKUP(C43,IPCC!$A$871:$E$906,2,FALSE)*($O43/100)*(1/M43))</f>
        <v>0</v>
      </c>
      <c r="AI43" s="3817">
        <f t="shared" si="10"/>
        <v>0</v>
      </c>
      <c r="AM43" s="3530">
        <f t="shared" si="11"/>
        <v>0</v>
      </c>
      <c r="AN43" s="3642">
        <f t="shared" si="12"/>
        <v>0</v>
      </c>
      <c r="AO43" s="3642">
        <f t="shared" si="13"/>
        <v>0</v>
      </c>
      <c r="AP43" s="3529">
        <f t="shared" si="14"/>
        <v>0</v>
      </c>
      <c r="AU43" s="3771">
        <f>$Y43*(IF(F56="Immediate",IF(E56&gt;0, E56*MIN(20,time),0), E56*IF(time&gt;time+20,20,IF(time&lt;20,(time*VLOOKUP(F56, list!$J$48:$K$50,2,))+(time-time),((MIN(20,time)*VLOOKUP(F56, list!$J$48:$K$50,2,))+(time-MIN(20,time))-IF(F56="Exponential",time-20+0.217*time*(EXP(4.606*(20-time)/time)-1),((time-20)^2)*(0.5/time)))))))</f>
        <v>0</v>
      </c>
      <c r="AV43" s="3772">
        <f>$Z43*(IF(H56="Immediate",IF( G56&gt;0, G56*MIN(20,time),0), G56*IF(time&gt;time+20,20,IF(time&lt;20,(time*VLOOKUP(H56, list!$J$48:$K$50,2,))+(time-time),((MIN(20,time)*VLOOKUP(H56, list!$J$48:$K$50,2,))+(time-MIN(20,time))-IF(H56="Exponential",time-20+0.217*time*(EXP(4.606*(20-time)/time)-1),((time-20)^2)*(0.5/time)))))))</f>
        <v>0</v>
      </c>
      <c r="AW43" s="3772">
        <f>IF(C43 = "Please select",0,D56*IF(L43&gt;time,0,1)*2*IF(J43="YES",(MIN(AB43,AA43)*time+ABS(AB43-AA43)*IF(AB43&gt;AA43,0+time*VLOOKUP(F56,list!$J$48:$K$50,2,FALSE),time*(1-VLOOKUP(F56,list!$J$48:$K$50,2,FALSE)))),0)*VLOOKUP($C43,IPCC!$A$871:$E$906,4,FALSE)*VLOOKUP(C43,IPCC!$A$871:$E$906,2,FALSE)*($N43/100)*(1/L43))</f>
        <v>0</v>
      </c>
      <c r="AX43" s="3772">
        <f>IF(C43 = "Please select",0,D56*IF(M43&gt;time_tot,0,1)*2*IF(K43="YES",(MIN(AC43,AA43)*time+ABS(AC43-AA43)*IF(AC43&gt;AA43,0+time*VLOOKUP(H56,list!$J$48:$K$50,2,FALSE),time*(1-VLOOKUP(H56,list!$J$48:$K$50,2,FALSE)))),0)*VLOOKUP($C43,IPCC!$A$871:$E$906,4,FALSE)*VLOOKUP(C43,IPCC!$A$871:$E$906,2,FALSE)*($O43/100)*(1/$M43))</f>
        <v>0</v>
      </c>
      <c r="AY43" s="3772">
        <f>IF(C43 = "Please select",0,D56*IF(L43&gt;time_tot,0,1)*2*IF(J43="YES",(MIN(AB43,AA43)*time+ABS(AB43-AA43)*IF(AB43&gt;AA43,0+time*VLOOKUP(F56,list!$J$48:$K$50,2,FALSE),time*(1-VLOOKUP(F56,list!$J$48:$K$50,2,FALSE)))),0)*VLOOKUP($C43,IPCC!$A$871:$E$906,5,FALSE)*VLOOKUP(C43,IPCC!$A$871:$E$906,2,FALSE)*($N43/100)*(1/L43))</f>
        <v>0</v>
      </c>
      <c r="AZ43" s="3772">
        <f>IF(C43 = "Please select",0,D56*IF(M43&gt;time_tot,0,1)*2*IF(K43="YES",(MIN(AC43,AA43)*time+ABS(AC43-AA43)*IF(AC43&gt;AA43,0+time*VLOOKUP(H56,list!$J$48:$K$50,2,FALSE),time*(1-VLOOKUP(H56,list!$J$48:$K$50,2,FALSE)))),0)*VLOOKUP($C43,IPCC!$A$871:$E$906,5,FALSE)*VLOOKUP(C43,IPCC!$A$871:$E$906,2,FALSE)*($O43/100)*(1/M43))</f>
        <v>0</v>
      </c>
      <c r="BA43" s="3773">
        <f t="shared" ref="BA43:BA49" si="33">(AW43*methane + AY43*Nitrous)/1000</f>
        <v>0</v>
      </c>
      <c r="BB43" s="3774">
        <f t="shared" si="15"/>
        <v>0</v>
      </c>
      <c r="BD43" s="3646">
        <f t="shared" si="16"/>
        <v>0</v>
      </c>
      <c r="BE43" s="3647">
        <f t="shared" si="17"/>
        <v>0</v>
      </c>
      <c r="BF43" s="3647">
        <f t="shared" si="18"/>
        <v>0</v>
      </c>
      <c r="BG43" s="3829"/>
      <c r="BH43" s="3647">
        <f t="shared" si="19"/>
        <v>0</v>
      </c>
      <c r="BI43" s="3648">
        <f t="shared" si="20"/>
        <v>0</v>
      </c>
    </row>
    <row r="44" spans="2:61" x14ac:dyDescent="0.2">
      <c r="B44" s="682">
        <v>3</v>
      </c>
      <c r="C44" s="284" t="str">
        <f>'5.Management'!$C15</f>
        <v>Please select</v>
      </c>
      <c r="D44" s="674" t="str">
        <f>'5.Management'!$E15</f>
        <v>Please select</v>
      </c>
      <c r="E44" s="3814" t="str">
        <f>IF('5.Management'!$AS15="", '5.Management'!$AR15, '5.Management'!$AS15)</f>
        <v>?</v>
      </c>
      <c r="F44" s="674" t="str">
        <f>'5.Management'!$G15</f>
        <v>Please select</v>
      </c>
      <c r="G44" s="3815" t="str">
        <f>IF('5.Management'!$AU15="", '5.Management'!$AT15, '5.Management'!$AU15)</f>
        <v>?</v>
      </c>
      <c r="H44" s="674" t="str">
        <f>'5.Management'!$I15</f>
        <v>Please select</v>
      </c>
      <c r="I44" s="3815" t="str">
        <f>IF('5.Management'!$AW15="", '5.Management'!$AV15, '5.Management'!$AW15)</f>
        <v>?</v>
      </c>
      <c r="J44" s="682" t="str">
        <f>'5.Management'!$K15</f>
        <v>NO</v>
      </c>
      <c r="K44" s="682" t="str">
        <f>'5.Management'!$M15</f>
        <v>NO</v>
      </c>
      <c r="L44" s="682">
        <f>'5.Management'!$O15</f>
        <v>1</v>
      </c>
      <c r="M44" s="682">
        <f>'5.Management'!$Q15</f>
        <v>1</v>
      </c>
      <c r="N44" s="682">
        <f>'5.Management'!$S15*100</f>
        <v>1</v>
      </c>
      <c r="O44" s="682">
        <f>'5.Management'!$U15*100</f>
        <v>1</v>
      </c>
      <c r="P44" s="3517">
        <f t="shared" si="21"/>
        <v>0</v>
      </c>
      <c r="Q44" s="3520">
        <f t="shared" si="22"/>
        <v>0</v>
      </c>
      <c r="R44" s="3520">
        <f t="shared" si="23"/>
        <v>0</v>
      </c>
      <c r="S44" s="3520">
        <f t="shared" si="24"/>
        <v>0</v>
      </c>
      <c r="T44" s="3520">
        <f t="shared" si="25"/>
        <v>0</v>
      </c>
      <c r="U44" s="3520">
        <f t="shared" si="26"/>
        <v>0</v>
      </c>
      <c r="V44" s="3653">
        <f t="shared" si="27"/>
        <v>0</v>
      </c>
      <c r="W44" s="3653">
        <f t="shared" si="28"/>
        <v>0</v>
      </c>
      <c r="X44" s="3653">
        <f t="shared" si="29"/>
        <v>0</v>
      </c>
      <c r="Y44" s="3495">
        <f t="shared" si="7"/>
        <v>0</v>
      </c>
      <c r="Z44" s="3495">
        <f t="shared" si="8"/>
        <v>0</v>
      </c>
      <c r="AA44" s="3520">
        <f t="shared" si="30"/>
        <v>0</v>
      </c>
      <c r="AB44" s="3520">
        <f t="shared" si="31"/>
        <v>0</v>
      </c>
      <c r="AC44" s="3520">
        <f t="shared" si="32"/>
        <v>0</v>
      </c>
      <c r="AD44" s="3232">
        <f>IF(C44 = "Please select",0,IF(L44&gt;time_tot,0,1)*2*IF(J44="YES",(MIN(AB44,AA44)*time_tot+ABS(AB44-AA44)*IF(AB44&gt;AA44,time_cap+time*VLOOKUP(F57,list!$J$48:$K$50,2,FALSE),time*(1-VLOOKUP(F57,list!$J$48:$K$50,2,FALSE)))),0)*VLOOKUP($C44,IPCC!$A$871:$E$906,4,FALSE)*VLOOKUP(C44,IPCC!$A$871:$E$906,2,FALSE)*($N44/100)*(1/$L44))</f>
        <v>0</v>
      </c>
      <c r="AE44" s="3495">
        <f>IF(C44 = "Please select",0,IF(L44&gt;time_tot,0,1)*2*IF(J44="YES",(MIN(AB44,AA44)*time_tot+ABS(AB44-AA44)*IF(AB44&gt;AA44,time_cap+time*VLOOKUP(F57,list!$J$48:$K$50,2,FALSE),time*(1-VLOOKUP(F57,list!$J$48:$K$50,2,FALSE)))),0)*VLOOKUP($C44,IPCC!$A$871:$E$906,5,FALSE)*VLOOKUP(C44,IPCC!$A$871:$E$906,2,FALSE)*($N44/100)*(1/L44))</f>
        <v>0</v>
      </c>
      <c r="AF44" s="3232">
        <f t="shared" si="9"/>
        <v>0</v>
      </c>
      <c r="AG44" s="3232">
        <f>IF(C44 = "Please select",0,IF(M44&gt;time_tot,0,1)*2*IF(K44="YES",(MIN(AC44,AA44)*time_tot+ABS(AC44-AA44)*IF(AC44&gt;AA44,time_cap+time*VLOOKUP(H57,list!$J$48:$K$50,2,FALSE),time*(1-VLOOKUP(H57,list!$J$48:$K$50,2,FALSE)))),0)*VLOOKUP($C44,IPCC!$A$871:$E$906,4,FALSE)*VLOOKUP(C44,IPCC!$A$871:$E$906,2,FALSE)*($O44/100)*(1/$M44))</f>
        <v>0</v>
      </c>
      <c r="AH44" s="3232">
        <f>IF(C44 = "Please select",0,IF(M44&gt;time_tot,0,1)*2*IF(K44="YES",(MIN(AC44,AA44)*time_tot+ABS(AC44-AA44)*IF(AC44&gt;AA44,time_cap+time*VLOOKUP(H57,list!$J$48:$K$50,2,FALSE),time*(1-VLOOKUP(H57,list!$J$48:$K$50,2,FALSE)))),0)*VLOOKUP($C44,IPCC!$A$871:$E$906,5,FALSE)*VLOOKUP(C44,IPCC!$A$871:$E$906,2,FALSE)*($O44/100)*(1/M44))</f>
        <v>0</v>
      </c>
      <c r="AI44" s="3817">
        <f t="shared" si="10"/>
        <v>0</v>
      </c>
      <c r="AM44" s="3530">
        <f t="shared" si="11"/>
        <v>0</v>
      </c>
      <c r="AN44" s="3642">
        <f t="shared" si="12"/>
        <v>0</v>
      </c>
      <c r="AO44" s="3642">
        <f t="shared" si="13"/>
        <v>0</v>
      </c>
      <c r="AP44" s="3529">
        <f t="shared" si="14"/>
        <v>0</v>
      </c>
      <c r="AU44" s="3771">
        <f>$Y44*(IF(F57="Immediate",IF(E57&gt;0, E57*MIN(20,time),0), E57*IF(time&gt;time+20,20,IF(time&lt;20,(time*VLOOKUP(F57, list!$J$48:$K$50,2,))+(time-time),((MIN(20,time)*VLOOKUP(F57, list!$J$48:$K$50,2,))+(time-MIN(20,time))-IF(F57="Exponential",time-20+0.217*time*(EXP(4.606*(20-time)/time)-1),((time-20)^2)*(0.5/time)))))))</f>
        <v>0</v>
      </c>
      <c r="AV44" s="3772">
        <f>$Z44*(IF(H57="Immediate",IF( G57&gt;0, G57*MIN(20,time),0), G57*IF(time&gt;time+20,20,IF(time&lt;20,(time*VLOOKUP(H57, list!$J$48:$K$50,2,))+(time-time),((MIN(20,time)*VLOOKUP(H57, list!$J$48:$K$50,2,))+(time-MIN(20,time))-IF(H57="Exponential",time-20+0.217*time*(EXP(4.606*(20-time)/time)-1),((time-20)^2)*(0.5/time)))))))</f>
        <v>0</v>
      </c>
      <c r="AW44" s="3772">
        <f>IF(C44 = "Please select",0,D57*IF(L44&gt;time,0,1)*2*IF(J44="YES",(MIN(AB44,AA44)*time+ABS(AB44-AA44)*IF(AB44&gt;AA44,0+time*VLOOKUP(F57,list!$J$48:$K$50,2,FALSE),time*(1-VLOOKUP(F57,list!$J$48:$K$50,2,FALSE)))),0)*VLOOKUP($C44,IPCC!$A$871:$E$906,4,FALSE)*VLOOKUP(C44,IPCC!$A$871:$E$906,2,FALSE)*($N44/100)*(1/L44))</f>
        <v>0</v>
      </c>
      <c r="AX44" s="3772">
        <f>IF(C44 = "Please select",0,D57*IF(M44&gt;time_tot,0,1)*2*IF(K44="YES",(MIN(AC44,AA44)*time+ABS(AC44-AA44)*IF(AC44&gt;AA44,0+time*VLOOKUP(H57,list!$J$48:$K$50,2,FALSE),time*(1-VLOOKUP(H57,list!$J$48:$K$50,2,FALSE)))),0)*VLOOKUP($C44,IPCC!$A$871:$E$906,4,FALSE)*VLOOKUP(C44,IPCC!$A$871:$E$906,2,FALSE)*($O44/100)*(1/$M44))</f>
        <v>0</v>
      </c>
      <c r="AY44" s="3772">
        <f>IF(C44 = "Please select",0,D57*IF(L44&gt;time_tot,0,1)*2*IF(J44="YES",(MIN(AB44,AA44)*time+ABS(AB44-AA44)*IF(AB44&gt;AA44,0+time*VLOOKUP(F57,list!$J$48:$K$50,2,FALSE),time*(1-VLOOKUP(F57,list!$J$48:$K$50,2,FALSE)))),0)*VLOOKUP($C44,IPCC!$A$871:$E$906,5,FALSE)*VLOOKUP(C44,IPCC!$A$871:$E$906,2,FALSE)*($N44/100)*(1/L44))</f>
        <v>0</v>
      </c>
      <c r="AZ44" s="3772">
        <f>IF(C44 = "Please select",0,D57*IF(M44&gt;time_tot,0,1)*2*IF(K44="YES",(MIN(AC44,AA44)*time+ABS(AC44-AA44)*IF(AC44&gt;AA44,0+time*VLOOKUP(H57,list!$J$48:$K$50,2,FALSE),time*(1-VLOOKUP(H57,list!$J$48:$K$50,2,FALSE)))),0)*VLOOKUP($C44,IPCC!$A$871:$E$906,5,FALSE)*VLOOKUP(C44,IPCC!$A$871:$E$906,2,FALSE)*($O44/100)*(1/M44))</f>
        <v>0</v>
      </c>
      <c r="BA44" s="3773">
        <f t="shared" si="33"/>
        <v>0</v>
      </c>
      <c r="BB44" s="3774">
        <f t="shared" si="15"/>
        <v>0</v>
      </c>
      <c r="BD44" s="3646">
        <f t="shared" si="16"/>
        <v>0</v>
      </c>
      <c r="BE44" s="3647">
        <f t="shared" si="17"/>
        <v>0</v>
      </c>
      <c r="BF44" s="3647">
        <f t="shared" si="18"/>
        <v>0</v>
      </c>
      <c r="BG44" s="3829"/>
      <c r="BH44" s="3647">
        <f t="shared" si="19"/>
        <v>0</v>
      </c>
      <c r="BI44" s="3648">
        <f t="shared" si="20"/>
        <v>0</v>
      </c>
    </row>
    <row r="45" spans="2:61" x14ac:dyDescent="0.2">
      <c r="B45" s="682">
        <v>4</v>
      </c>
      <c r="C45" s="284" t="str">
        <f>'5.Management'!$C16</f>
        <v>Please select</v>
      </c>
      <c r="D45" s="674" t="str">
        <f>'5.Management'!$E16</f>
        <v>Please select</v>
      </c>
      <c r="E45" s="3814" t="str">
        <f>IF('5.Management'!$AS16="", '5.Management'!$AR16, '5.Management'!$AS16)</f>
        <v>?</v>
      </c>
      <c r="F45" s="674" t="str">
        <f>'5.Management'!$G16</f>
        <v>Please select</v>
      </c>
      <c r="G45" s="3815" t="str">
        <f>IF('5.Management'!$AU16="", '5.Management'!$AT16, '5.Management'!$AU16)</f>
        <v>?</v>
      </c>
      <c r="H45" s="674" t="str">
        <f>'5.Management'!$I16</f>
        <v>Please select</v>
      </c>
      <c r="I45" s="3815" t="str">
        <f>IF('5.Management'!$AW16="", '5.Management'!$AV16, '5.Management'!$AW16)</f>
        <v>?</v>
      </c>
      <c r="J45" s="682" t="str">
        <f>'5.Management'!$K16</f>
        <v>NO</v>
      </c>
      <c r="K45" s="682" t="str">
        <f>'5.Management'!$M16</f>
        <v>NO</v>
      </c>
      <c r="L45" s="682">
        <f>'5.Management'!$O16</f>
        <v>1</v>
      </c>
      <c r="M45" s="682">
        <f>'5.Management'!$Q16</f>
        <v>1</v>
      </c>
      <c r="N45" s="682">
        <f>'5.Management'!$S16*100</f>
        <v>1</v>
      </c>
      <c r="O45" s="682">
        <f>'5.Management'!$U16*100</f>
        <v>1</v>
      </c>
      <c r="P45" s="3517">
        <f t="shared" si="21"/>
        <v>0</v>
      </c>
      <c r="Q45" s="3520">
        <f t="shared" si="22"/>
        <v>0</v>
      </c>
      <c r="R45" s="3520">
        <f t="shared" si="23"/>
        <v>0</v>
      </c>
      <c r="S45" s="3520">
        <f t="shared" si="24"/>
        <v>0</v>
      </c>
      <c r="T45" s="3520">
        <f t="shared" si="25"/>
        <v>0</v>
      </c>
      <c r="U45" s="3520">
        <f t="shared" si="26"/>
        <v>0</v>
      </c>
      <c r="V45" s="3653">
        <f t="shared" si="27"/>
        <v>0</v>
      </c>
      <c r="W45" s="3653">
        <f t="shared" si="28"/>
        <v>0</v>
      </c>
      <c r="X45" s="3653">
        <f t="shared" si="29"/>
        <v>0</v>
      </c>
      <c r="Y45" s="3495">
        <f t="shared" si="7"/>
        <v>0</v>
      </c>
      <c r="Z45" s="3495">
        <f t="shared" si="8"/>
        <v>0</v>
      </c>
      <c r="AA45" s="3520">
        <f t="shared" si="30"/>
        <v>0</v>
      </c>
      <c r="AB45" s="3520">
        <f t="shared" si="31"/>
        <v>0</v>
      </c>
      <c r="AC45" s="3520">
        <f t="shared" si="32"/>
        <v>0</v>
      </c>
      <c r="AD45" s="3232">
        <f>IF(C45 = "Please select",0,IF(L45&gt;time_tot,0,1)*2*IF(J45="YES",(MIN(AB45,AA45)*time_tot+ABS(AB45-AA45)*IF(AB45&gt;AA45,time_cap+time*VLOOKUP(F58,list!$J$48:$K$50,2,FALSE),time*(1-VLOOKUP(F58,list!$J$48:$K$50,2,FALSE)))),0)*VLOOKUP($C45,IPCC!$A$871:$E$906,4,FALSE)*VLOOKUP(C45,IPCC!$A$871:$E$906,2,FALSE)*($N45/100)*(1/$L45))</f>
        <v>0</v>
      </c>
      <c r="AE45" s="3495">
        <f>IF(C45 = "Please select",0,IF(L45&gt;time_tot,0,1)*2*IF(J45="YES",(MIN(AB45,AA45)*time_tot+ABS(AB45-AA45)*IF(AB45&gt;AA45,time_cap+time*VLOOKUP(F58,list!$J$48:$K$50,2,FALSE),time*(1-VLOOKUP(F58,list!$J$48:$K$50,2,FALSE)))),0)*VLOOKUP($C45,IPCC!$A$871:$E$906,5,FALSE)*VLOOKUP(C45,IPCC!$A$871:$E$906,2,FALSE)*($N45/100)*(1/L45))</f>
        <v>0</v>
      </c>
      <c r="AF45" s="3232">
        <f t="shared" si="9"/>
        <v>0</v>
      </c>
      <c r="AG45" s="3232">
        <f>IF(C45 = "Please select",0,IF(M45&gt;time_tot,0,1)*2*IF(K45="YES",(MIN(AC45,AA45)*time_tot+ABS(AC45-AA45)*IF(AC45&gt;AA45,time_cap+time*VLOOKUP(H58,list!$J$48:$K$50,2,FALSE),time*(1-VLOOKUP(H58,list!$J$48:$K$50,2,FALSE)))),0)*VLOOKUP($C45,IPCC!$A$871:$E$906,4,FALSE)*VLOOKUP(C45,IPCC!$A$871:$E$906,2,FALSE)*($O45/100)*(1/$M45))</f>
        <v>0</v>
      </c>
      <c r="AH45" s="3232">
        <f>IF(C45 = "Please select",0,IF(M45&gt;time_tot,0,1)*2*IF(K45="YES",(MIN(AC45,AA45)*time_tot+ABS(AC45-AA45)*IF(AC45&gt;AA45,time_cap+time*VLOOKUP(H58,list!$J$48:$K$50,2,FALSE),time*(1-VLOOKUP(H58,list!$J$48:$K$50,2,FALSE)))),0)*VLOOKUP($C45,IPCC!$A$871:$E$906,5,FALSE)*VLOOKUP(C45,IPCC!$A$871:$E$906,2,FALSE)*($O45/100)*(1/M45))</f>
        <v>0</v>
      </c>
      <c r="AI45" s="3817">
        <f t="shared" si="10"/>
        <v>0</v>
      </c>
      <c r="AM45" s="3530">
        <f t="shared" si="11"/>
        <v>0</v>
      </c>
      <c r="AN45" s="3642">
        <f t="shared" si="12"/>
        <v>0</v>
      </c>
      <c r="AO45" s="3642">
        <f t="shared" si="13"/>
        <v>0</v>
      </c>
      <c r="AP45" s="3529">
        <f t="shared" si="14"/>
        <v>0</v>
      </c>
      <c r="AU45" s="3771">
        <f>$Y45*(IF(F58="Immediate",IF(E58&gt;0, E58*MIN(20,time),0), E58*IF(time&gt;time+20,20,IF(time&lt;20,(time*VLOOKUP(F58, list!$J$48:$K$50,2,))+(time-time),((MIN(20,time)*VLOOKUP(F58, list!$J$48:$K$50,2,))+(time-MIN(20,time))-IF(F58="Exponential",time-20+0.217*time*(EXP(4.606*(20-time)/time)-1),((time-20)^2)*(0.5/time)))))))</f>
        <v>0</v>
      </c>
      <c r="AV45" s="3772">
        <f>$Z45*(IF(H58="Immediate",IF( G58&gt;0, G58*MIN(20,time),0), G58*IF(time&gt;time+20,20,IF(time&lt;20,(time*VLOOKUP(H58, list!$J$48:$K$50,2,))+(time-time),((MIN(20,time)*VLOOKUP(H58, list!$J$48:$K$50,2,))+(time-MIN(20,time))-IF(H58="Exponential",time-20+0.217*time*(EXP(4.606*(20-time)/time)-1),((time-20)^2)*(0.5/time)))))))</f>
        <v>0</v>
      </c>
      <c r="AW45" s="3772">
        <f>IF(C45 = "Please select",0,D58*IF(L45&gt;time,0,1)*2*IF(J45="YES",(MIN(AB45,AA45)*time+ABS(AB45-AA45)*IF(AB45&gt;AA45,0+time*VLOOKUP(F58,list!$J$48:$K$50,2,FALSE),time*(1-VLOOKUP(F58,list!$J$48:$K$50,2,FALSE)))),0)*VLOOKUP($C45,IPCC!$A$871:$E$906,4,FALSE)*VLOOKUP(C45,IPCC!$A$871:$E$906,2,FALSE)*($N45/100)*(1/L45))</f>
        <v>0</v>
      </c>
      <c r="AX45" s="3772">
        <f>IF(C45 = "Please select",0,D58*IF(M45&gt;time_tot,0,1)*2*IF(K45="YES",(MIN(AC45,AA45)*time+ABS(AC45-AA45)*IF(AC45&gt;AA45,0+time*VLOOKUP(H58,list!$J$48:$K$50,2,FALSE),time*(1-VLOOKUP(H58,list!$J$48:$K$50,2,FALSE)))),0)*VLOOKUP($C45,IPCC!$A$871:$E$906,4,FALSE)*VLOOKUP(C45,IPCC!$A$871:$E$906,2,FALSE)*($O45/100)*(1/$M45))</f>
        <v>0</v>
      </c>
      <c r="AY45" s="3772">
        <f>IF(C45 = "Please select",0,D58*IF(L45&gt;time_tot,0,1)*2*IF(J45="YES",(MIN(AB45,AA45)*time+ABS(AB45-AA45)*IF(AB45&gt;AA45,0+time*VLOOKUP(F58,list!$J$48:$K$50,2,FALSE),time*(1-VLOOKUP(F58,list!$J$48:$K$50,2,FALSE)))),0)*VLOOKUP($C45,IPCC!$A$871:$E$906,5,FALSE)*VLOOKUP(C45,IPCC!$A$871:$E$906,2,FALSE)*($N45/100)*(1/L45))</f>
        <v>0</v>
      </c>
      <c r="AZ45" s="3772">
        <f>IF(C45 = "Please select",0,D58*IF(M45&gt;time_tot,0,1)*2*IF(K45="YES",(MIN(AC45,AA45)*time+ABS(AC45-AA45)*IF(AC45&gt;AA45,0+time*VLOOKUP(H58,list!$J$48:$K$50,2,FALSE),time*(1-VLOOKUP(H58,list!$J$48:$K$50,2,FALSE)))),0)*VLOOKUP($C45,IPCC!$A$871:$E$906,5,FALSE)*VLOOKUP(C45,IPCC!$A$871:$E$906,2,FALSE)*($O45/100)*(1/M45))</f>
        <v>0</v>
      </c>
      <c r="BA45" s="3773">
        <f t="shared" si="33"/>
        <v>0</v>
      </c>
      <c r="BB45" s="3774">
        <f t="shared" si="15"/>
        <v>0</v>
      </c>
      <c r="BD45" s="3646">
        <f t="shared" si="16"/>
        <v>0</v>
      </c>
      <c r="BE45" s="3647">
        <f t="shared" si="17"/>
        <v>0</v>
      </c>
      <c r="BF45" s="3647">
        <f t="shared" si="18"/>
        <v>0</v>
      </c>
      <c r="BG45" s="3829"/>
      <c r="BH45" s="3647">
        <f t="shared" si="19"/>
        <v>0</v>
      </c>
      <c r="BI45" s="3648">
        <f t="shared" si="20"/>
        <v>0</v>
      </c>
    </row>
    <row r="46" spans="2:61" x14ac:dyDescent="0.2">
      <c r="B46" s="682">
        <v>5</v>
      </c>
      <c r="C46" s="284" t="str">
        <f>'5.Management'!$C17</f>
        <v>Please select</v>
      </c>
      <c r="D46" s="674" t="str">
        <f>'5.Management'!$E17</f>
        <v>Please select</v>
      </c>
      <c r="E46" s="3814" t="str">
        <f>IF('5.Management'!$AS17="", '5.Management'!$AR17, '5.Management'!$AS17)</f>
        <v>?</v>
      </c>
      <c r="F46" s="674" t="str">
        <f>'5.Management'!$G17</f>
        <v>Please select</v>
      </c>
      <c r="G46" s="3815" t="str">
        <f>IF('5.Management'!$AU17="", '5.Management'!$AT17, '5.Management'!$AU17)</f>
        <v>?</v>
      </c>
      <c r="H46" s="674" t="str">
        <f>'5.Management'!$I17</f>
        <v>Please select</v>
      </c>
      <c r="I46" s="3815" t="str">
        <f>IF('5.Management'!$AW17="", '5.Management'!$AV17, '5.Management'!$AW17)</f>
        <v>?</v>
      </c>
      <c r="J46" s="682" t="str">
        <f>'5.Management'!$K17</f>
        <v>NO</v>
      </c>
      <c r="K46" s="682" t="str">
        <f>'5.Management'!$M17</f>
        <v>NO</v>
      </c>
      <c r="L46" s="682">
        <f>'5.Management'!$O17</f>
        <v>1</v>
      </c>
      <c r="M46" s="682">
        <f>'5.Management'!$Q17</f>
        <v>1</v>
      </c>
      <c r="N46" s="682">
        <f>'5.Management'!$S17*100</f>
        <v>1</v>
      </c>
      <c r="O46" s="682">
        <f>'5.Management'!$U17*100</f>
        <v>1</v>
      </c>
      <c r="P46" s="3517">
        <f t="shared" si="21"/>
        <v>0</v>
      </c>
      <c r="Q46" s="3520">
        <f t="shared" si="22"/>
        <v>0</v>
      </c>
      <c r="R46" s="3520">
        <f t="shared" si="23"/>
        <v>0</v>
      </c>
      <c r="S46" s="3520">
        <f t="shared" si="24"/>
        <v>0</v>
      </c>
      <c r="T46" s="3520">
        <f t="shared" si="25"/>
        <v>0</v>
      </c>
      <c r="U46" s="3520">
        <f t="shared" si="26"/>
        <v>0</v>
      </c>
      <c r="V46" s="3653">
        <f t="shared" si="27"/>
        <v>0</v>
      </c>
      <c r="W46" s="3653">
        <f t="shared" si="28"/>
        <v>0</v>
      </c>
      <c r="X46" s="3653">
        <f t="shared" si="29"/>
        <v>0</v>
      </c>
      <c r="Y46" s="3495">
        <f t="shared" si="7"/>
        <v>0</v>
      </c>
      <c r="Z46" s="3495">
        <f t="shared" si="8"/>
        <v>0</v>
      </c>
      <c r="AA46" s="3520">
        <f t="shared" si="30"/>
        <v>0</v>
      </c>
      <c r="AB46" s="3520">
        <f t="shared" si="31"/>
        <v>0</v>
      </c>
      <c r="AC46" s="3520">
        <f t="shared" si="32"/>
        <v>0</v>
      </c>
      <c r="AD46" s="3232">
        <f>IF(C46 = "Please select",0,IF(L46&gt;time_tot,0,1)*2*IF(J46="YES",(MIN(AB46,AA46)*time_tot+ABS(AB46-AA46)*IF(AB46&gt;AA46,time_cap+time*VLOOKUP(F59,list!$J$48:$K$50,2,FALSE),time*(1-VLOOKUP(F59,list!$J$48:$K$50,2,FALSE)))),0)*VLOOKUP($C46,IPCC!$A$871:$E$906,4,FALSE)*VLOOKUP(C46,IPCC!$A$871:$E$906,2,FALSE)*($N46/100)*(1/$L46))</f>
        <v>0</v>
      </c>
      <c r="AE46" s="3495">
        <f>IF(C46 = "Please select",0,IF(L46&gt;time_tot,0,1)*2*IF(J46="YES",(MIN(AB46,AA46)*time_tot+ABS(AB46-AA46)*IF(AB46&gt;AA46,time_cap+time*VLOOKUP(F59,list!$J$48:$K$50,2,FALSE),time*(1-VLOOKUP(F59,list!$J$48:$K$50,2,FALSE)))),0)*VLOOKUP($C46,IPCC!$A$871:$E$906,5,FALSE)*VLOOKUP(C46,IPCC!$A$871:$E$906,2,FALSE)*($N46/100)*(1/L46))</f>
        <v>0</v>
      </c>
      <c r="AF46" s="3232">
        <f t="shared" si="9"/>
        <v>0</v>
      </c>
      <c r="AG46" s="3232">
        <f>IF(C46 = "Please select",0,IF(M46&gt;time_tot,0,1)*2*IF(K46="YES",(MIN(AC46,AA46)*time_tot+ABS(AC46-AA46)*IF(AC46&gt;AA46,time_cap+time*VLOOKUP(H59,list!$J$48:$K$50,2,FALSE),time*(1-VLOOKUP(H59,list!$J$48:$K$50,2,FALSE)))),0)*VLOOKUP($C46,IPCC!$A$871:$E$906,4,FALSE)*VLOOKUP(C46,IPCC!$A$871:$E$906,2,FALSE)*($O46/100)*(1/$M46))</f>
        <v>0</v>
      </c>
      <c r="AH46" s="3232">
        <f>IF(C46 = "Please select",0,IF(M46&gt;time_tot,0,1)*2*IF(K46="YES",(MIN(AC46,AA46)*time_tot+ABS(AC46-AA46)*IF(AC46&gt;AA46,time_cap+time*VLOOKUP(H59,list!$J$48:$K$50,2,FALSE),time*(1-VLOOKUP(H59,list!$J$48:$K$50,2,FALSE)))),0)*VLOOKUP($C46,IPCC!$A$871:$E$906,5,FALSE)*VLOOKUP(C46,IPCC!$A$871:$E$906,2,FALSE)*($O46/100)*(1/M46))</f>
        <v>0</v>
      </c>
      <c r="AI46" s="3817">
        <f t="shared" si="10"/>
        <v>0</v>
      </c>
      <c r="AM46" s="3530">
        <f t="shared" si="11"/>
        <v>0</v>
      </c>
      <c r="AN46" s="3642">
        <f t="shared" si="12"/>
        <v>0</v>
      </c>
      <c r="AO46" s="3642">
        <f t="shared" si="13"/>
        <v>0</v>
      </c>
      <c r="AP46" s="3529">
        <f t="shared" si="14"/>
        <v>0</v>
      </c>
      <c r="AU46" s="3771">
        <f>$Y46*(IF(F59="Immediate",IF(E59&gt;0, E59*MIN(20,time),0), E59*IF(time&gt;time+20,20,IF(time&lt;20,(time*VLOOKUP(F59, list!$J$48:$K$50,2,))+(time-time),((MIN(20,time)*VLOOKUP(F59, list!$J$48:$K$50,2,))+(time-MIN(20,time))-IF(F59="Exponential",time-20+0.217*time*(EXP(4.606*(20-time)/time)-1),((time-20)^2)*(0.5/time)))))))</f>
        <v>0</v>
      </c>
      <c r="AV46" s="3772">
        <f>$Z46*(IF(H59="Immediate",IF( G59&gt;0, G59*MIN(20,time),0), G59*IF(time&gt;time+20,20,IF(time&lt;20,(time*VLOOKUP(H59, list!$J$48:$K$50,2,))+(time-time),((MIN(20,time)*VLOOKUP(H59, list!$J$48:$K$50,2,))+(time-MIN(20,time))-IF(H59="Exponential",time-20+0.217*time*(EXP(4.606*(20-time)/time)-1),((time-20)^2)*(0.5/time)))))))</f>
        <v>0</v>
      </c>
      <c r="AW46" s="3772">
        <f>IF(C46 = "Please select",0,D59*IF(L46&gt;time,0,1)*2*IF(J46="YES",(MIN(AB46,AA46)*time+ABS(AB46-AA46)*IF(AB46&gt;AA46,0+time*VLOOKUP(F59,list!$J$48:$K$50,2,FALSE),time*(1-VLOOKUP(F59,list!$J$48:$K$50,2,FALSE)))),0)*VLOOKUP($C46,IPCC!$A$871:$E$906,4,FALSE)*VLOOKUP(C46,IPCC!$A$871:$E$906,2,FALSE)*($N46/100)*(1/L46))</f>
        <v>0</v>
      </c>
      <c r="AX46" s="3772">
        <f>IF(C46 = "Please select",0,D59*IF(M46&gt;time_tot,0,1)*2*IF(K46="YES",(MIN(AC46,AA46)*time+ABS(AC46-AA46)*IF(AC46&gt;AA46,0+time*VLOOKUP(H59,list!$J$48:$K$50,2,FALSE),time*(1-VLOOKUP(H59,list!$J$48:$K$50,2,FALSE)))),0)*VLOOKUP($C46,IPCC!$A$871:$E$906,4,FALSE)*VLOOKUP(C46,IPCC!$A$871:$E$906,2,FALSE)*($O46/100)*(1/$M46))</f>
        <v>0</v>
      </c>
      <c r="AY46" s="3772">
        <f>IF(C46 = "Please select",0,D59*IF(L46&gt;time_tot,0,1)*2*IF(J46="YES",(MIN(AB46,AA46)*time+ABS(AB46-AA46)*IF(AB46&gt;AA46,0+time*VLOOKUP(F59,list!$J$48:$K$50,2,FALSE),time*(1-VLOOKUP(F59,list!$J$48:$K$50,2,FALSE)))),0)*VLOOKUP($C46,IPCC!$A$871:$E$906,5,FALSE)*VLOOKUP(C46,IPCC!$A$871:$E$906,2,FALSE)*($N46/100)*(1/L46))</f>
        <v>0</v>
      </c>
      <c r="AZ46" s="3772">
        <f>IF(C46 = "Please select",0,D59*IF(M46&gt;time_tot,0,1)*2*IF(K46="YES",(MIN(AC46,AA46)*time+ABS(AC46-AA46)*IF(AC46&gt;AA46,0+time*VLOOKUP(H59,list!$J$48:$K$50,2,FALSE),time*(1-VLOOKUP(H59,list!$J$48:$K$50,2,FALSE)))),0)*VLOOKUP($C46,IPCC!$A$871:$E$906,5,FALSE)*VLOOKUP(C46,IPCC!$A$871:$E$906,2,FALSE)*($O46/100)*(1/M46))</f>
        <v>0</v>
      </c>
      <c r="BA46" s="3773">
        <f t="shared" si="33"/>
        <v>0</v>
      </c>
      <c r="BB46" s="3774">
        <f t="shared" si="15"/>
        <v>0</v>
      </c>
      <c r="BD46" s="3646">
        <f t="shared" si="16"/>
        <v>0</v>
      </c>
      <c r="BE46" s="3647">
        <f t="shared" si="17"/>
        <v>0</v>
      </c>
      <c r="BF46" s="3647">
        <f t="shared" si="18"/>
        <v>0</v>
      </c>
      <c r="BG46" s="3829"/>
      <c r="BH46" s="3647">
        <f t="shared" si="19"/>
        <v>0</v>
      </c>
      <c r="BI46" s="3648">
        <f t="shared" si="20"/>
        <v>0</v>
      </c>
    </row>
    <row r="47" spans="2:61" x14ac:dyDescent="0.2">
      <c r="B47" s="682">
        <v>6</v>
      </c>
      <c r="C47" s="284" t="str">
        <f>'5.Management'!$C18</f>
        <v>Please select</v>
      </c>
      <c r="D47" s="674" t="str">
        <f>'5.Management'!$E18</f>
        <v>Please select</v>
      </c>
      <c r="E47" s="3814" t="str">
        <f>IF('5.Management'!$AS18="", '5.Management'!$AR18, '5.Management'!$AS18)</f>
        <v>?</v>
      </c>
      <c r="F47" s="674" t="str">
        <f>'5.Management'!$G18</f>
        <v>Please select</v>
      </c>
      <c r="G47" s="3815" t="str">
        <f>IF('5.Management'!$AU18="", '5.Management'!$AT18, '5.Management'!$AU18)</f>
        <v>?</v>
      </c>
      <c r="H47" s="674" t="str">
        <f>'5.Management'!$I18</f>
        <v>Please select</v>
      </c>
      <c r="I47" s="3815" t="str">
        <f>IF('5.Management'!$AW18="", '5.Management'!$AV18, '5.Management'!$AW18)</f>
        <v>?</v>
      </c>
      <c r="J47" s="682" t="str">
        <f>'5.Management'!$K18</f>
        <v>NO</v>
      </c>
      <c r="K47" s="682" t="str">
        <f>'5.Management'!$M18</f>
        <v>NO</v>
      </c>
      <c r="L47" s="682">
        <f>'5.Management'!$O18</f>
        <v>1</v>
      </c>
      <c r="M47" s="682">
        <f>'5.Management'!$Q18</f>
        <v>1</v>
      </c>
      <c r="N47" s="682">
        <f>'5.Management'!$S18*100</f>
        <v>1</v>
      </c>
      <c r="O47" s="682">
        <f>'5.Management'!$U18*100</f>
        <v>1</v>
      </c>
      <c r="P47" s="3517">
        <f t="shared" si="21"/>
        <v>0</v>
      </c>
      <c r="Q47" s="3520">
        <f t="shared" si="22"/>
        <v>0</v>
      </c>
      <c r="R47" s="3520">
        <f t="shared" si="23"/>
        <v>0</v>
      </c>
      <c r="S47" s="3520">
        <f t="shared" si="24"/>
        <v>0</v>
      </c>
      <c r="T47" s="3520">
        <f t="shared" si="25"/>
        <v>0</v>
      </c>
      <c r="U47" s="3520">
        <f t="shared" si="26"/>
        <v>0</v>
      </c>
      <c r="V47" s="3653">
        <f t="shared" si="27"/>
        <v>0</v>
      </c>
      <c r="W47" s="3653">
        <f t="shared" si="28"/>
        <v>0</v>
      </c>
      <c r="X47" s="3653">
        <f t="shared" si="29"/>
        <v>0</v>
      </c>
      <c r="Y47" s="3495">
        <f t="shared" si="7"/>
        <v>0</v>
      </c>
      <c r="Z47" s="3495">
        <f t="shared" si="8"/>
        <v>0</v>
      </c>
      <c r="AA47" s="3520">
        <f t="shared" si="30"/>
        <v>0</v>
      </c>
      <c r="AB47" s="3520">
        <f t="shared" si="31"/>
        <v>0</v>
      </c>
      <c r="AC47" s="3520">
        <f t="shared" si="32"/>
        <v>0</v>
      </c>
      <c r="AD47" s="3232">
        <f>IF(C47 = "Please select",0,IF(L47&gt;time_tot,0,1)*2*IF(J47="YES",(MIN(AB47,AA47)*time_tot+ABS(AB47-AA47)*IF(AB47&gt;AA47,time_cap+time*VLOOKUP(F60,list!$J$48:$K$50,2,FALSE),time*(1-VLOOKUP(F60,list!$J$48:$K$50,2,FALSE)))),0)*VLOOKUP($C47,IPCC!$A$871:$E$906,4,FALSE)*VLOOKUP(C47,IPCC!$A$871:$E$906,2,FALSE)*($N47/100)*(1/$L47))</f>
        <v>0</v>
      </c>
      <c r="AE47" s="3495">
        <f>IF(C47 = "Please select",0,IF(L47&gt;time_tot,0,1)*2*IF(J47="YES",(MIN(AB47,AA47)*time_tot+ABS(AB47-AA47)*IF(AB47&gt;AA47,time_cap+time*VLOOKUP(F60,list!$J$48:$K$50,2,FALSE),time*(1-VLOOKUP(F60,list!$J$48:$K$50,2,FALSE)))),0)*VLOOKUP($C47,IPCC!$A$871:$E$906,5,FALSE)*VLOOKUP(C47,IPCC!$A$871:$E$906,2,FALSE)*($N47/100)*(1/L47))</f>
        <v>0</v>
      </c>
      <c r="AF47" s="3232">
        <f t="shared" si="9"/>
        <v>0</v>
      </c>
      <c r="AG47" s="3232">
        <f>IF(C47 = "Please select",0,IF(M47&gt;time_tot,0,1)*2*IF(K47="YES",(MIN(AC47,AA47)*time_tot+ABS(AC47-AA47)*IF(AC47&gt;AA47,time_cap+time*VLOOKUP(H60,list!$J$48:$K$50,2,FALSE),time*(1-VLOOKUP(H60,list!$J$48:$K$50,2,FALSE)))),0)*VLOOKUP($C47,IPCC!$A$871:$E$906,4,FALSE)*VLOOKUP(C47,IPCC!$A$871:$E$906,2,FALSE)*($O47/100)*(1/$M47))</f>
        <v>0</v>
      </c>
      <c r="AH47" s="3232">
        <f>IF(C47 = "Please select",0,IF(M47&gt;time_tot,0,1)*2*IF(K47="YES",(MIN(AC47,AA47)*time_tot+ABS(AC47-AA47)*IF(AC47&gt;AA47,time_cap+time*VLOOKUP(H60,list!$J$48:$K$50,2,FALSE),time*(1-VLOOKUP(H60,list!$J$48:$K$50,2,FALSE)))),0)*VLOOKUP($C47,IPCC!$A$871:$E$906,5,FALSE)*VLOOKUP(C47,IPCC!$A$871:$E$906,2,FALSE)*($O47/100)*(1/M47))</f>
        <v>0</v>
      </c>
      <c r="AI47" s="3817">
        <f t="shared" si="10"/>
        <v>0</v>
      </c>
      <c r="AM47" s="3530">
        <f t="shared" si="11"/>
        <v>0</v>
      </c>
      <c r="AN47" s="3642">
        <f t="shared" si="12"/>
        <v>0</v>
      </c>
      <c r="AO47" s="3642">
        <f t="shared" si="13"/>
        <v>0</v>
      </c>
      <c r="AP47" s="3529">
        <f t="shared" si="14"/>
        <v>0</v>
      </c>
      <c r="AU47" s="3771">
        <f>$Y47*(IF(F60="Immediate",IF(E60&gt;0, E60*MIN(20,time),0), E60*IF(time&gt;time+20,20,IF(time&lt;20,(time*VLOOKUP(F60, list!$J$48:$K$50,2,))+(time-time),((MIN(20,time)*VLOOKUP(F60, list!$J$48:$K$50,2,))+(time-MIN(20,time))-IF(F60="Exponential",time-20+0.217*time*(EXP(4.606*(20-time)/time)-1),((time-20)^2)*(0.5/time)))))))</f>
        <v>0</v>
      </c>
      <c r="AV47" s="3772">
        <f>$Z47*(IF(H60="Immediate",IF( G60&gt;0, G60*MIN(20,time),0), G60*IF(time&gt;time+20,20,IF(time&lt;20,(time*VLOOKUP(H60, list!$J$48:$K$50,2,))+(time-time),((MIN(20,time)*VLOOKUP(H60, list!$J$48:$K$50,2,))+(time-MIN(20,time))-IF(H60="Exponential",time-20+0.217*time*(EXP(4.606*(20-time)/time)-1),((time-20)^2)*(0.5/time)))))))</f>
        <v>0</v>
      </c>
      <c r="AW47" s="3772">
        <f>IF(C47 = "Please select",0,D60*IF(L47&gt;time,0,1)*2*IF(J47="YES",(MIN(AB47,AA47)*time+ABS(AB47-AA47)*IF(AB47&gt;AA47,0+time*VLOOKUP(F60,list!$J$48:$K$50,2,FALSE),time*(1-VLOOKUP(F60,list!$J$48:$K$50,2,FALSE)))),0)*VLOOKUP($C47,IPCC!$A$871:$E$906,4,FALSE)*VLOOKUP(C47,IPCC!$A$871:$E$906,2,FALSE)*($N47/100)*(1/L47))</f>
        <v>0</v>
      </c>
      <c r="AX47" s="3772">
        <f>IF(C47 = "Please select",0,D60*IF(M47&gt;time_tot,0,1)*2*IF(K47="YES",(MIN(AC47,AA47)*time+ABS(AC47-AA47)*IF(AC47&gt;AA47,0+time*VLOOKUP(H60,list!$J$48:$K$50,2,FALSE),time*(1-VLOOKUP(H60,list!$J$48:$K$50,2,FALSE)))),0)*VLOOKUP($C47,IPCC!$A$871:$E$906,4,FALSE)*VLOOKUP(C47,IPCC!$A$871:$E$906,2,FALSE)*($O47/100)*(1/$M47))</f>
        <v>0</v>
      </c>
      <c r="AY47" s="3772">
        <f>IF(C47 = "Please select",0,D60*IF(L47&gt;time_tot,0,1)*2*IF(J47="YES",(MIN(AB47,AA47)*time+ABS(AB47-AA47)*IF(AB47&gt;AA47,0+time*VLOOKUP(F60,list!$J$48:$K$50,2,FALSE),time*(1-VLOOKUP(F60,list!$J$48:$K$50,2,FALSE)))),0)*VLOOKUP($C47,IPCC!$A$871:$E$906,5,FALSE)*VLOOKUP(C47,IPCC!$A$871:$E$906,2,FALSE)*($N47/100)*(1/L47))</f>
        <v>0</v>
      </c>
      <c r="AZ47" s="3772">
        <f>IF(C47 = "Please select",0,D60*IF(M47&gt;time_tot,0,1)*2*IF(K47="YES",(MIN(AC47,AA47)*time+ABS(AC47-AA47)*IF(AC47&gt;AA47,0+time*VLOOKUP(H60,list!$J$48:$K$50,2,FALSE),time*(1-VLOOKUP(H60,list!$J$48:$K$50,2,FALSE)))),0)*VLOOKUP($C47,IPCC!$A$871:$E$906,5,FALSE)*VLOOKUP(C47,IPCC!$A$871:$E$906,2,FALSE)*($O47/100)*(1/M47))</f>
        <v>0</v>
      </c>
      <c r="BA47" s="3773">
        <f t="shared" si="33"/>
        <v>0</v>
      </c>
      <c r="BB47" s="3774">
        <f t="shared" si="15"/>
        <v>0</v>
      </c>
      <c r="BD47" s="3646">
        <f t="shared" si="16"/>
        <v>0</v>
      </c>
      <c r="BE47" s="3647">
        <f t="shared" si="17"/>
        <v>0</v>
      </c>
      <c r="BF47" s="3647">
        <f t="shared" si="18"/>
        <v>0</v>
      </c>
      <c r="BG47" s="3829"/>
      <c r="BH47" s="3647">
        <f t="shared" si="19"/>
        <v>0</v>
      </c>
      <c r="BI47" s="3648">
        <f t="shared" si="20"/>
        <v>0</v>
      </c>
    </row>
    <row r="48" spans="2:61" x14ac:dyDescent="0.2">
      <c r="B48" s="682">
        <v>7</v>
      </c>
      <c r="C48" s="284" t="str">
        <f>'5.Management'!$C19</f>
        <v>Please select</v>
      </c>
      <c r="D48" s="674" t="str">
        <f>'5.Management'!$E19</f>
        <v>Please select</v>
      </c>
      <c r="E48" s="3814" t="str">
        <f>IF('5.Management'!$AS19="", '5.Management'!$AR19, '5.Management'!$AS19)</f>
        <v>?</v>
      </c>
      <c r="F48" s="674" t="str">
        <f>'5.Management'!$G19</f>
        <v>Please select</v>
      </c>
      <c r="G48" s="3815" t="str">
        <f>IF('5.Management'!$AU19="", '5.Management'!$AT19, '5.Management'!$AU19)</f>
        <v>?</v>
      </c>
      <c r="H48" s="674" t="str">
        <f>'5.Management'!$I19</f>
        <v>Please select</v>
      </c>
      <c r="I48" s="3815" t="str">
        <f>IF('5.Management'!$AW19="", '5.Management'!$AV19, '5.Management'!$AW19)</f>
        <v>?</v>
      </c>
      <c r="J48" s="682" t="str">
        <f>'5.Management'!$K19</f>
        <v>NO</v>
      </c>
      <c r="K48" s="682" t="str">
        <f>'5.Management'!$M19</f>
        <v>NO</v>
      </c>
      <c r="L48" s="682">
        <f>'5.Management'!$O19</f>
        <v>1</v>
      </c>
      <c r="M48" s="682">
        <f>'5.Management'!$Q19</f>
        <v>1</v>
      </c>
      <c r="N48" s="682">
        <f>'5.Management'!$S19*100</f>
        <v>1</v>
      </c>
      <c r="O48" s="682">
        <f>'5.Management'!$U19*100</f>
        <v>1</v>
      </c>
      <c r="P48" s="3517">
        <f t="shared" si="21"/>
        <v>0</v>
      </c>
      <c r="Q48" s="3520">
        <f t="shared" si="22"/>
        <v>0</v>
      </c>
      <c r="R48" s="3520">
        <f t="shared" si="23"/>
        <v>0</v>
      </c>
      <c r="S48" s="3520">
        <f t="shared" si="24"/>
        <v>0</v>
      </c>
      <c r="T48" s="3520">
        <f t="shared" si="25"/>
        <v>0</v>
      </c>
      <c r="U48" s="3520">
        <f t="shared" si="26"/>
        <v>0</v>
      </c>
      <c r="V48" s="3653">
        <f t="shared" si="27"/>
        <v>0</v>
      </c>
      <c r="W48" s="3653">
        <f t="shared" si="28"/>
        <v>0</v>
      </c>
      <c r="X48" s="3653">
        <f t="shared" si="29"/>
        <v>0</v>
      </c>
      <c r="Y48" s="3495">
        <f t="shared" si="7"/>
        <v>0</v>
      </c>
      <c r="Z48" s="3495">
        <f t="shared" si="8"/>
        <v>0</v>
      </c>
      <c r="AA48" s="3520">
        <f t="shared" si="30"/>
        <v>0</v>
      </c>
      <c r="AB48" s="3520">
        <f t="shared" si="31"/>
        <v>0</v>
      </c>
      <c r="AC48" s="3520">
        <f t="shared" si="32"/>
        <v>0</v>
      </c>
      <c r="AD48" s="3232">
        <f>IF(C48 = "Please select",0,IF(L48&gt;time_tot,0,1)*2*IF(J48="YES",(MIN(AB48,AA48)*time_tot+ABS(AB48-AA48)*IF(AB48&gt;AA48,time_cap+time*VLOOKUP(F61,list!$J$48:$K$50,2,FALSE),time*(1-VLOOKUP(F61,list!$J$48:$K$50,2,FALSE)))),0)*VLOOKUP($C48,IPCC!$A$871:$E$906,4,FALSE)*VLOOKUP(C48,IPCC!$A$871:$E$906,2,FALSE)*($N48/100)*(1/$L48))</f>
        <v>0</v>
      </c>
      <c r="AE48" s="3495">
        <f>IF(C48 = "Please select",0,IF(L48&gt;time_tot,0,1)*2*IF(J48="YES",(MIN(AB48,AA48)*time_tot+ABS(AB48-AA48)*IF(AB48&gt;AA48,time_cap+time*VLOOKUP(F61,list!$J$48:$K$50,2,FALSE),time*(1-VLOOKUP(F61,list!$J$48:$K$50,2,FALSE)))),0)*VLOOKUP($C48,IPCC!$A$871:$E$906,5,FALSE)*VLOOKUP(C48,IPCC!$A$871:$E$906,2,FALSE)*($N48/100)*(1/L48))</f>
        <v>0</v>
      </c>
      <c r="AF48" s="3232">
        <f t="shared" si="9"/>
        <v>0</v>
      </c>
      <c r="AG48" s="3232">
        <f>IF(C48 = "Please select",0,IF(M48&gt;time_tot,0,1)*2*IF(K48="YES",(MIN(AC48,AA48)*time_tot+ABS(AC48-AA48)*IF(AC48&gt;AA48,time_cap+time*VLOOKUP(H61,list!$J$48:$K$50,2,FALSE),time*(1-VLOOKUP(H61,list!$J$48:$K$50,2,FALSE)))),0)*VLOOKUP($C48,IPCC!$A$871:$E$906,4,FALSE)*VLOOKUP(C48,IPCC!$A$871:$E$906,2,FALSE)*($O48/100)*(1/$M48))</f>
        <v>0</v>
      </c>
      <c r="AH48" s="3232">
        <f>IF(C48 = "Please select",0,IF(M48&gt;time_tot,0,1)*2*IF(K48="YES",(MIN(AC48,AA48)*time_tot+ABS(AC48-AA48)*IF(AC48&gt;AA48,time_cap+time*VLOOKUP(H61,list!$J$48:$K$50,2,FALSE),time*(1-VLOOKUP(H61,list!$J$48:$K$50,2,FALSE)))),0)*VLOOKUP($C48,IPCC!$A$871:$E$906,5,FALSE)*VLOOKUP(C48,IPCC!$A$871:$E$906,2,FALSE)*($O48/100)*(1/M48))</f>
        <v>0</v>
      </c>
      <c r="AI48" s="3817">
        <f t="shared" si="10"/>
        <v>0</v>
      </c>
      <c r="AM48" s="3530">
        <f t="shared" si="11"/>
        <v>0</v>
      </c>
      <c r="AN48" s="3642">
        <f t="shared" si="12"/>
        <v>0</v>
      </c>
      <c r="AO48" s="3642">
        <f t="shared" si="13"/>
        <v>0</v>
      </c>
      <c r="AP48" s="3529">
        <f t="shared" si="14"/>
        <v>0</v>
      </c>
      <c r="AU48" s="3771">
        <f>$Y48*(IF(F61="Immediate",IF(E61&gt;0, E61*MIN(20,time),0), E61*IF(time&gt;time+20,20,IF(time&lt;20,(time*VLOOKUP(F61, list!$J$48:$K$50,2,))+(time-time),((MIN(20,time)*VLOOKUP(F61, list!$J$48:$K$50,2,))+(time-MIN(20,time))-IF(F61="Exponential",time-20+0.217*time*(EXP(4.606*(20-time)/time)-1),((time-20)^2)*(0.5/time)))))))</f>
        <v>0</v>
      </c>
      <c r="AV48" s="3772">
        <f>$Z48*(IF(H61="Immediate",IF( G61&gt;0, G61*MIN(20,time),0), G61*IF(time&gt;time+20,20,IF(time&lt;20,(time*VLOOKUP(H61, list!$J$48:$K$50,2,))+(time-time),((MIN(20,time)*VLOOKUP(H61, list!$J$48:$K$50,2,))+(time-MIN(20,time))-IF(H61="Exponential",time-20+0.217*time*(EXP(4.606*(20-time)/time)-1),((time-20)^2)*(0.5/time)))))))</f>
        <v>0</v>
      </c>
      <c r="AW48" s="3772">
        <f>IF(C48 = "Please select",0,D61*IF(L48&gt;time,0,1)*2*IF(J48="YES",(MIN(AB48,AA48)*time+ABS(AB48-AA48)*IF(AB48&gt;AA48,0+time*VLOOKUP(F61,list!$J$48:$K$50,2,FALSE),time*(1-VLOOKUP(F61,list!$J$48:$K$50,2,FALSE)))),0)*VLOOKUP($C48,IPCC!$A$871:$E$906,4,FALSE)*VLOOKUP(C48,IPCC!$A$871:$E$906,2,FALSE)*($N48/100)*(1/L48))</f>
        <v>0</v>
      </c>
      <c r="AX48" s="3772">
        <f>IF(C48 = "Please select",0,D61*IF(M48&gt;time_tot,0,1)*2*IF(K48="YES",(MIN(AC48,AA48)*time+ABS(AC48-AA48)*IF(AC48&gt;AA48,0+time*VLOOKUP(H61,list!$J$48:$K$50,2,FALSE),time*(1-VLOOKUP(H61,list!$J$48:$K$50,2,FALSE)))),0)*VLOOKUP($C48,IPCC!$A$871:$E$906,4,FALSE)*VLOOKUP(C48,IPCC!$A$871:$E$906,2,FALSE)*($O48/100)*(1/$M48))</f>
        <v>0</v>
      </c>
      <c r="AY48" s="3772">
        <f>IF(C48 = "Please select",0,D61*IF(L48&gt;time_tot,0,1)*2*IF(J48="YES",(MIN(AB48,AA48)*time+ABS(AB48-AA48)*IF(AB48&gt;AA48,0+time*VLOOKUP(F61,list!$J$48:$K$50,2,FALSE),time*(1-VLOOKUP(F61,list!$J$48:$K$50,2,FALSE)))),0)*VLOOKUP($C48,IPCC!$A$871:$E$906,5,FALSE)*VLOOKUP(C48,IPCC!$A$871:$E$906,2,FALSE)*($N48/100)*(1/L48))</f>
        <v>0</v>
      </c>
      <c r="AZ48" s="3772">
        <f>IF(C48 = "Please select",0,D61*IF(M48&gt;time_tot,0,1)*2*IF(K48="YES",(MIN(AC48,AA48)*time+ABS(AC48-AA48)*IF(AC48&gt;AA48,0+time*VLOOKUP(H61,list!$J$48:$K$50,2,FALSE),time*(1-VLOOKUP(H61,list!$J$48:$K$50,2,FALSE)))),0)*VLOOKUP($C48,IPCC!$A$871:$E$906,5,FALSE)*VLOOKUP(C48,IPCC!$A$871:$E$906,2,FALSE)*($O48/100)*(1/M48))</f>
        <v>0</v>
      </c>
      <c r="BA48" s="3773">
        <f t="shared" si="33"/>
        <v>0</v>
      </c>
      <c r="BB48" s="3774">
        <f t="shared" si="15"/>
        <v>0</v>
      </c>
      <c r="BD48" s="3646">
        <f t="shared" si="16"/>
        <v>0</v>
      </c>
      <c r="BE48" s="3647">
        <f t="shared" si="17"/>
        <v>0</v>
      </c>
      <c r="BF48" s="3647">
        <f t="shared" si="18"/>
        <v>0</v>
      </c>
      <c r="BG48" s="3829"/>
      <c r="BH48" s="3647">
        <f t="shared" si="19"/>
        <v>0</v>
      </c>
      <c r="BI48" s="3648">
        <f t="shared" si="20"/>
        <v>0</v>
      </c>
    </row>
    <row r="49" spans="2:61" x14ac:dyDescent="0.2">
      <c r="B49" s="682">
        <v>8</v>
      </c>
      <c r="C49" s="284" t="str">
        <f>'5.Management'!$C20</f>
        <v>Please select</v>
      </c>
      <c r="D49" s="674" t="str">
        <f>'5.Management'!$E20</f>
        <v>Please select</v>
      </c>
      <c r="E49" s="3814" t="str">
        <f>IF('5.Management'!$AS20="", '5.Management'!$AR20, '5.Management'!$AS20)</f>
        <v>?</v>
      </c>
      <c r="F49" s="674" t="str">
        <f>'5.Management'!$G20</f>
        <v>Please select</v>
      </c>
      <c r="G49" s="3815" t="str">
        <f>IF('5.Management'!$AU20="", '5.Management'!$AT20, '5.Management'!$AU20)</f>
        <v>?</v>
      </c>
      <c r="H49" s="674" t="str">
        <f>'5.Management'!$I20</f>
        <v>Please select</v>
      </c>
      <c r="I49" s="3815" t="str">
        <f>IF('5.Management'!$AW20="", '5.Management'!$AV20, '5.Management'!$AW20)</f>
        <v>?</v>
      </c>
      <c r="J49" s="682" t="str">
        <f>'5.Management'!$K20</f>
        <v>NO</v>
      </c>
      <c r="K49" s="682" t="str">
        <f>'5.Management'!$M20</f>
        <v>NO</v>
      </c>
      <c r="L49" s="682">
        <f>'5.Management'!$O20</f>
        <v>1</v>
      </c>
      <c r="M49" s="682">
        <f>'5.Management'!$Q20</f>
        <v>1</v>
      </c>
      <c r="N49" s="682">
        <f>'5.Management'!$S20*100</f>
        <v>1</v>
      </c>
      <c r="O49" s="682">
        <f>'5.Management'!$U20*100</f>
        <v>1</v>
      </c>
      <c r="P49" s="3517">
        <f t="shared" si="21"/>
        <v>0</v>
      </c>
      <c r="Q49" s="3520">
        <f t="shared" si="22"/>
        <v>0</v>
      </c>
      <c r="R49" s="3520">
        <f t="shared" si="23"/>
        <v>0</v>
      </c>
      <c r="S49" s="3520">
        <f t="shared" si="24"/>
        <v>0</v>
      </c>
      <c r="T49" s="3520">
        <f t="shared" si="25"/>
        <v>0</v>
      </c>
      <c r="U49" s="3520">
        <f t="shared" si="26"/>
        <v>0</v>
      </c>
      <c r="V49" s="3653">
        <f t="shared" si="27"/>
        <v>0</v>
      </c>
      <c r="W49" s="3653">
        <f t="shared" si="28"/>
        <v>0</v>
      </c>
      <c r="X49" s="3653">
        <f t="shared" si="29"/>
        <v>0</v>
      </c>
      <c r="Y49" s="3496">
        <f t="shared" si="7"/>
        <v>0</v>
      </c>
      <c r="Z49" s="3496">
        <f t="shared" si="8"/>
        <v>0</v>
      </c>
      <c r="AA49" s="3520">
        <f t="shared" si="30"/>
        <v>0</v>
      </c>
      <c r="AB49" s="3520">
        <f t="shared" si="31"/>
        <v>0</v>
      </c>
      <c r="AC49" s="3520">
        <f t="shared" si="32"/>
        <v>0</v>
      </c>
      <c r="AD49" s="3309">
        <f>IF(C49 = "Please select",0,IF(L49&gt;time_tot,0,1)*2*IF(J49="YES",(MIN(AB49,AA49)*time_tot+ABS(AB49-AA49)*IF(AB49&gt;AA49,time_cap+time*VLOOKUP(F62,list!$J$48:$K$50,2,FALSE),time*(1-VLOOKUP(F62,list!$J$48:$K$50,2,FALSE)))),0)*VLOOKUP($C49,IPCC!$A$871:$E$906,4,FALSE)*VLOOKUP(C49,IPCC!$A$871:$E$906,2,FALSE)*($N49/100)*(1/$L49))</f>
        <v>0</v>
      </c>
      <c r="AE49" s="3496">
        <f>IF(C49 = "Please select",0,IF(L49&gt;time_tot,0,1)*2*IF(J49="YES",(MIN(AB49,AA49)*time_tot+ABS(AB49-AA49)*IF(AB49&gt;AA49,time_cap+time*VLOOKUP(F62,list!$J$48:$K$50,2,FALSE),time*(1-VLOOKUP(F62,list!$J$48:$K$50,2,FALSE)))),0)*VLOOKUP($C49,IPCC!$A$871:$E$906,5,FALSE)*VLOOKUP(C49,IPCC!$A$871:$E$906,2,FALSE)*($N49/100)*(1/L49))</f>
        <v>0</v>
      </c>
      <c r="AF49" s="3309">
        <f t="shared" si="9"/>
        <v>0</v>
      </c>
      <c r="AG49" s="3309">
        <f>IF(C49 = "Please select",0,IF(M49&gt;time_tot,0,1)*2*IF(K49="YES",(MIN(AC49,AA49)*time_tot+ABS(AC49-AA49)*IF(AC49&gt;AA49,time_cap+time*VLOOKUP(H62,list!$J$48:$K$50,2,FALSE),time*(1-VLOOKUP(H62,list!$J$48:$K$50,2,FALSE)))),0)*VLOOKUP($C49,IPCC!$A$871:$E$906,4,FALSE)*VLOOKUP(C49,IPCC!$A$871:$E$906,2,FALSE)*($O49/100)*(1/$M49))</f>
        <v>0</v>
      </c>
      <c r="AH49" s="3309">
        <f>IF(C49 = "Please select",0,IF(M49&gt;time_tot,0,1)*2*IF(K49="YES",(MIN(AC49,AA49)*time_tot+ABS(AC49-AA49)*IF(AC49&gt;AA49,time_cap+time*VLOOKUP(H62,list!$J$48:$K$50,2,FALSE),time*(1-VLOOKUP(H62,list!$J$48:$K$50,2,FALSE)))),0)*VLOOKUP($C49,IPCC!$A$871:$E$906,5,FALSE)*VLOOKUP(C49,IPCC!$A$871:$E$906,2,FALSE)*($O49/100)*(1/M49))</f>
        <v>0</v>
      </c>
      <c r="AI49" s="3818">
        <f t="shared" si="10"/>
        <v>0</v>
      </c>
      <c r="AM49" s="3822">
        <f t="shared" si="11"/>
        <v>0</v>
      </c>
      <c r="AN49" s="3657">
        <f t="shared" si="12"/>
        <v>0</v>
      </c>
      <c r="AO49" s="3657">
        <f t="shared" si="13"/>
        <v>0</v>
      </c>
      <c r="AP49" s="3350">
        <f t="shared" si="14"/>
        <v>0</v>
      </c>
      <c r="AU49" s="3771">
        <f>$Y49*(IF(F62="Immediate",IF(E62&gt;0, E62*MIN(20,time),0), E62*IF(time&gt;time+20,20,IF(time&lt;20,(time*VLOOKUP(F62, list!$J$48:$K$50,2,))+(time-time),((MIN(20,time)*VLOOKUP(F62, list!$J$48:$K$50,2,))+(time-MIN(20,time))-IF(F62="Exponential",time-20+0.217*time*(EXP(4.606*(20-time)/time)-1),((time-20)^2)*(0.5/time)))))))</f>
        <v>0</v>
      </c>
      <c r="AV49" s="3772">
        <f>$Z49*(IF(H62="Immediate",IF( G62&gt;0, G62*MIN(20,time),0), G62*IF(time&gt;time+20,20,IF(time&lt;20,(time*VLOOKUP(H62, list!$J$48:$K$50,2,))+(time-time),((MIN(20,time)*VLOOKUP(H62, list!$J$48:$K$50,2,))+(time-MIN(20,time))-IF(H62="Exponential",time-20+0.217*time*(EXP(4.606*(20-time)/time)-1),((time-20)^2)*(0.5/time)))))))</f>
        <v>0</v>
      </c>
      <c r="AW49" s="3772">
        <f>IF(C49 = "Please select",0,D62*IF(L49&gt;time,0,1)*2*IF(J49="YES",(MIN(AB49,AA49)*time+ABS(AB49-AA49)*IF(AB49&gt;AA49,0+time*VLOOKUP(F62,list!$J$48:$K$50,2,FALSE),time*(1-VLOOKUP(F62,list!$J$48:$K$50,2,FALSE)))),0)*VLOOKUP($C49,IPCC!$A$871:$E$906,4,FALSE)*VLOOKUP(C49,IPCC!$A$871:$E$906,2,FALSE)*($N49/100)*(1/L49))</f>
        <v>0</v>
      </c>
      <c r="AX49" s="3772">
        <f>IF(C49 = "Please select",0,D62*IF(M49&gt;time_tot,0,1)*2*IF(K49="YES",(MIN(AC49,AA49)*time+ABS(AC49-AA49)*IF(AC49&gt;AA49,0+time*VLOOKUP(H62,list!$J$48:$K$50,2,FALSE),time*(1-VLOOKUP(H62,list!$J$48:$K$50,2,FALSE)))),0)*VLOOKUP($C49,IPCC!$A$871:$E$906,4,FALSE)*VLOOKUP(C49,IPCC!$A$871:$E$906,2,FALSE)*($O49/100)*(1/$M49))</f>
        <v>0</v>
      </c>
      <c r="AY49" s="3772">
        <f>IF(C49 = "Please select",0,D62*IF(L49&gt;time_tot,0,1)*2*IF(J49="YES",(MIN(AB49,AA49)*time+ABS(AB49-AA49)*IF(AB49&gt;AA49,0+time*VLOOKUP(F62,list!$J$48:$K$50,2,FALSE),time*(1-VLOOKUP(F62,list!$J$48:$K$50,2,FALSE)))),0)*VLOOKUP($C49,IPCC!$A$871:$E$906,5,FALSE)*VLOOKUP(C49,IPCC!$A$871:$E$906,2,FALSE)*($N49/100)*(1/L49))</f>
        <v>0</v>
      </c>
      <c r="AZ49" s="3772">
        <f>IF(C49 = "Please select",0,D62*IF(M49&gt;time_tot,0,1)*2*IF(K49="YES",(MIN(AC49,AA49)*time+ABS(AC49-AA49)*IF(AC49&gt;AA49,0+time*VLOOKUP(H62,list!$J$48:$K$50,2,FALSE),time*(1-VLOOKUP(H62,list!$J$48:$K$50,2,FALSE)))),0)*VLOOKUP($C49,IPCC!$A$871:$E$906,5,FALSE)*VLOOKUP(C49,IPCC!$A$871:$E$906,2,FALSE)*($O49/100)*(1/M49))</f>
        <v>0</v>
      </c>
      <c r="BA49" s="3773">
        <f t="shared" si="33"/>
        <v>0</v>
      </c>
      <c r="BB49" s="3774">
        <f t="shared" si="15"/>
        <v>0</v>
      </c>
      <c r="BD49" s="3649">
        <f t="shared" si="16"/>
        <v>0</v>
      </c>
      <c r="BE49" s="3650">
        <f t="shared" si="17"/>
        <v>0</v>
      </c>
      <c r="BF49" s="3650">
        <f t="shared" si="18"/>
        <v>0</v>
      </c>
      <c r="BG49" s="3830"/>
      <c r="BH49" s="3650">
        <f t="shared" si="19"/>
        <v>0</v>
      </c>
      <c r="BI49" s="3651">
        <f t="shared" si="20"/>
        <v>0</v>
      </c>
    </row>
    <row r="50" spans="2:61" x14ac:dyDescent="0.2">
      <c r="AM50" s="3823">
        <f>SUM(AM42:AM49)</f>
        <v>0</v>
      </c>
      <c r="AN50" s="3824">
        <f>SUM(AN42:AN49)</f>
        <v>0</v>
      </c>
      <c r="AO50" s="3824">
        <f>SUM(AO42:AO49)</f>
        <v>0</v>
      </c>
      <c r="AP50" s="3825">
        <f>SUM(AP42:AP49)</f>
        <v>0</v>
      </c>
      <c r="AU50" s="3788"/>
      <c r="AV50" s="3789"/>
      <c r="AW50" s="3790">
        <f>(SUM(AW42:AW49))*methane/1000</f>
        <v>0</v>
      </c>
      <c r="AX50" s="3790">
        <f>SUM(AX42:AX49)*methane/1000</f>
        <v>0</v>
      </c>
      <c r="AY50" s="3790">
        <f>SUM(AY42:AY49)*Nitrous/1000</f>
        <v>0</v>
      </c>
      <c r="AZ50" s="3790">
        <f>SUM(AZ42:AZ49)*Nitrous/1000</f>
        <v>0</v>
      </c>
      <c r="BA50" s="3309"/>
      <c r="BB50" s="3766"/>
      <c r="BD50" s="3831">
        <f>SUM(BD42:BD49)</f>
        <v>0</v>
      </c>
      <c r="BE50" s="3832">
        <f>SUM(BE42:BE49)</f>
        <v>0</v>
      </c>
      <c r="BF50" s="3833">
        <f>SUM(BF42:BF49)</f>
        <v>0</v>
      </c>
      <c r="BG50" s="3454"/>
      <c r="BH50" s="3831">
        <f>SUM(BH42:BH49)</f>
        <v>0</v>
      </c>
      <c r="BI50" s="3833">
        <f>SUM(BI42:BI49)</f>
        <v>0</v>
      </c>
    </row>
    <row r="52" spans="2:61" x14ac:dyDescent="0.2">
      <c r="I52" s="3636" t="s">
        <v>1003</v>
      </c>
      <c r="J52" s="3624"/>
      <c r="K52" s="3636" t="s">
        <v>1021</v>
      </c>
      <c r="L52" s="3624"/>
      <c r="M52" s="3636" t="s">
        <v>782</v>
      </c>
      <c r="N52" s="3624"/>
      <c r="O52" s="3636" t="s">
        <v>158</v>
      </c>
      <c r="P52" s="3624"/>
      <c r="Q52" s="3636" t="s">
        <v>1022</v>
      </c>
      <c r="R52" s="3624"/>
      <c r="S52" s="3524" t="s">
        <v>376</v>
      </c>
      <c r="AD52" s="388"/>
      <c r="AG52" s="388"/>
    </row>
    <row r="53" spans="2:61" x14ac:dyDescent="0.2">
      <c r="B53" s="3619" t="s">
        <v>1023</v>
      </c>
      <c r="C53" s="3791"/>
      <c r="D53" s="3792" t="s">
        <v>1024</v>
      </c>
      <c r="E53" s="3458" t="s">
        <v>179</v>
      </c>
      <c r="F53" s="3458"/>
      <c r="G53" s="3523" t="s">
        <v>180</v>
      </c>
      <c r="H53" s="3523"/>
      <c r="I53" s="3345" t="s">
        <v>179</v>
      </c>
      <c r="J53" s="3523" t="s">
        <v>180</v>
      </c>
      <c r="K53" s="3345" t="s">
        <v>179</v>
      </c>
      <c r="L53" s="3523" t="s">
        <v>180</v>
      </c>
      <c r="M53" s="3345" t="s">
        <v>179</v>
      </c>
      <c r="N53" s="3523" t="s">
        <v>180</v>
      </c>
      <c r="O53" s="3345" t="s">
        <v>179</v>
      </c>
      <c r="P53" s="3523" t="s">
        <v>180</v>
      </c>
      <c r="Q53" s="3345" t="s">
        <v>179</v>
      </c>
      <c r="R53" s="3523" t="s">
        <v>180</v>
      </c>
      <c r="S53" s="489"/>
      <c r="AC53" s="388"/>
    </row>
    <row r="54" spans="2:61" x14ac:dyDescent="0.2">
      <c r="B54" s="3793" t="s">
        <v>989</v>
      </c>
      <c r="C54" s="2833" t="s">
        <v>1025</v>
      </c>
      <c r="D54" s="3792" t="s">
        <v>226</v>
      </c>
      <c r="E54" s="3458" t="s">
        <v>1026</v>
      </c>
      <c r="F54" s="3458" t="s">
        <v>1027</v>
      </c>
      <c r="G54" s="3523" t="s">
        <v>1026</v>
      </c>
      <c r="H54" s="3523" t="s">
        <v>1027</v>
      </c>
      <c r="I54" s="3345" t="s">
        <v>198</v>
      </c>
      <c r="J54" s="3523" t="s">
        <v>198</v>
      </c>
      <c r="K54" s="3345" t="s">
        <v>198</v>
      </c>
      <c r="L54" s="3523" t="s">
        <v>198</v>
      </c>
      <c r="M54" s="3345" t="s">
        <v>198</v>
      </c>
      <c r="N54" s="3523" t="s">
        <v>198</v>
      </c>
      <c r="O54" s="3345" t="s">
        <v>198</v>
      </c>
      <c r="P54" s="3523" t="s">
        <v>198</v>
      </c>
      <c r="Q54" s="3345" t="s">
        <v>198</v>
      </c>
      <c r="R54" s="3523" t="s">
        <v>198</v>
      </c>
      <c r="S54" s="3524" t="s">
        <v>198</v>
      </c>
      <c r="AE54" s="388"/>
    </row>
    <row r="55" spans="2:61" x14ac:dyDescent="0.2">
      <c r="B55" s="3794">
        <v>1</v>
      </c>
      <c r="C55" s="682" t="str">
        <f>'5.Management'!$C13</f>
        <v>Please select</v>
      </c>
      <c r="D55" s="3493">
        <f>'5.Management'!$W13</f>
        <v>0</v>
      </c>
      <c r="E55" s="3493">
        <f>D55</f>
        <v>0</v>
      </c>
      <c r="F55" s="682" t="str">
        <f>VLOOKUP('5.Management'!$Y13, list!$I$48:$J$50, 2, FALSE)</f>
        <v>Linear</v>
      </c>
      <c r="G55" s="3493">
        <f>D55</f>
        <v>0</v>
      </c>
      <c r="H55" s="682" t="str">
        <f>VLOOKUP('5.Management'!$AA13, list!$I$48:$J$50, 2, FALSE)</f>
        <v>Linear</v>
      </c>
      <c r="I55" s="3525">
        <f>((Q42-P42)*(-44/12))*E55</f>
        <v>0</v>
      </c>
      <c r="J55" s="3519">
        <f>((R42-P42)*(-44/12))*G55</f>
        <v>0</v>
      </c>
      <c r="K55" s="3519">
        <f>((T42-S42)*(-44/12))*E55</f>
        <v>0</v>
      </c>
      <c r="L55" s="3519">
        <f>((U42-S42)*(-44/12))*G55</f>
        <v>0</v>
      </c>
      <c r="M55" s="3519">
        <f>$Y42*(IF(F55="Immediate",IF(E55&gt;0, E55*MIN(20,time_tot),0), E55*IF(time_tot&gt;time+20,20,IF(time_tot&lt;20,(time*VLOOKUP(F55, list!$J$48:$K$50,2,))+(time_tot-time),((MIN(20,time)*VLOOKUP(F55, list!$J$48:$K$50,2,))+(time_tot-MIN(20,time))-IF(F55="Exponential",time_tot-20+0.217*time*(EXP(4.606*(20-time_tot)/time)-1),((time_tot-20)^2)*(0.5/time)))))))</f>
        <v>0</v>
      </c>
      <c r="N55" s="3519">
        <f>$Z42*(IF(H55="Immediate",IF( G55&gt;0, G55*MIN(20,time_tot),0), G55*IF(time_tot&gt;time+20,20,IF(time_tot&lt;20,(time*VLOOKUP(H55, list!$J$48:$K$50,2,))+(time_tot-time),((MIN(20,time)*VLOOKUP(H55, list!$J$48:$K$50,2,))+(time_tot-MIN(20,time))-IF(H55="Exponential",time_tot-20+0.217*time*(EXP(4.606*(20-time_tot)/time)-1),((time_tot-20)^2)*(0.5/time)))))))</f>
        <v>0</v>
      </c>
      <c r="O55" s="3519">
        <f t="shared" ref="O55:O62" si="34">AF42*D55</f>
        <v>0</v>
      </c>
      <c r="P55" s="3519">
        <f t="shared" ref="P55:P62" si="35">D55*AI42</f>
        <v>0</v>
      </c>
      <c r="Q55" s="3519">
        <f>O55+M55+K55+I55</f>
        <v>0</v>
      </c>
      <c r="R55" s="3519">
        <f>J55+L55+N55+P55</f>
        <v>0</v>
      </c>
      <c r="S55" s="3526">
        <f>R55-Q55</f>
        <v>0</v>
      </c>
      <c r="AU55" s="3539" t="s">
        <v>228</v>
      </c>
      <c r="AV55" s="3540" t="s">
        <v>218</v>
      </c>
      <c r="AW55" s="3540" t="s">
        <v>229</v>
      </c>
      <c r="AX55" s="3540" t="s">
        <v>230</v>
      </c>
      <c r="BA55" s="3539" t="s">
        <v>228</v>
      </c>
      <c r="BB55" s="3540" t="s">
        <v>179</v>
      </c>
      <c r="BC55" s="3540" t="s">
        <v>180</v>
      </c>
    </row>
    <row r="56" spans="2:61" x14ac:dyDescent="0.2">
      <c r="B56" s="3794">
        <v>2</v>
      </c>
      <c r="C56" s="682" t="str">
        <f>'5.Management'!$C14</f>
        <v>Please select</v>
      </c>
      <c r="D56" s="3493">
        <f>'5.Management'!$W14</f>
        <v>0</v>
      </c>
      <c r="E56" s="3493">
        <f t="shared" ref="E56:E62" si="36">D56</f>
        <v>0</v>
      </c>
      <c r="F56" s="682" t="str">
        <f>VLOOKUP('5.Management'!$Y14, list!$I$48:$J$50, 2, FALSE)</f>
        <v>Linear</v>
      </c>
      <c r="G56" s="3493">
        <f t="shared" ref="G56:G62" si="37">D56</f>
        <v>0</v>
      </c>
      <c r="H56" s="682" t="str">
        <f>VLOOKUP('5.Management'!$AA14, list!$I$48:$J$50, 2, FALSE)</f>
        <v>Linear</v>
      </c>
      <c r="I56" s="3231">
        <f t="shared" ref="I56:I62" si="38">((Q43-P43)*(-44/12))*E56</f>
        <v>0</v>
      </c>
      <c r="J56" s="3232">
        <f t="shared" ref="J56:J62" si="39">((R43-P43)*(-44/12))*G56</f>
        <v>0</v>
      </c>
      <c r="K56" s="3232">
        <f t="shared" ref="K56:K62" si="40">((T43-S43)*(-44/12))*E56</f>
        <v>0</v>
      </c>
      <c r="L56" s="3232">
        <f t="shared" ref="L56:L62" si="41">((U43-S43)*(-44/12))*G56</f>
        <v>0</v>
      </c>
      <c r="M56" s="3232">
        <f>$Y43*(IF(F56="Immediate",IF(E56&gt;0, E56*MIN(20,time_tot),0), E56*IF(time_tot&gt;time+20,20,IF(time_tot&lt;20,(time*VLOOKUP(F56, list!$J$48:$K$50,2,))+(time_tot-time),((MIN(20,time)*VLOOKUP(F56, list!$J$48:$K$50,2,))+(time_tot-MIN(20,time))-IF(F56="Exponential",time_tot-20+0.217*time*(EXP(4.606*(20-time_tot)/time)-1),((time_tot-20)^2)*(0.5/time)))))))</f>
        <v>0</v>
      </c>
      <c r="N56" s="3232">
        <f>$Z43*(IF(H56="Immediate",IF( G56&gt;0, G56*MIN(20,time_tot),0), G56*IF(time_tot&gt;time+20,20,IF(time_tot&lt;20,(time*VLOOKUP(H56, list!$J$48:$K$50,2,))+(time_tot-time),((MIN(20,time)*VLOOKUP(H56, list!$J$48:$K$50,2,))+(time_tot-MIN(20,time))-IF(H56="Exponential",time_tot-20+0.217*time*(EXP(4.606*(20-time_tot)/time)-1),((time_tot-20)^2)*(0.5/time)))))))</f>
        <v>0</v>
      </c>
      <c r="O56" s="3232">
        <f t="shared" si="34"/>
        <v>0</v>
      </c>
      <c r="P56" s="3232">
        <f t="shared" si="35"/>
        <v>0</v>
      </c>
      <c r="Q56" s="3232">
        <f t="shared" ref="Q56:Q62" si="42">O56+M56+K56+I56</f>
        <v>0</v>
      </c>
      <c r="R56" s="3232">
        <f t="shared" ref="R56:R62" si="43">J56+L56+N56+P56</f>
        <v>0</v>
      </c>
      <c r="S56" s="3527">
        <f t="shared" ref="S56:S62" si="44">R56-Q56</f>
        <v>0</v>
      </c>
      <c r="AU56" s="3499" t="s">
        <v>850</v>
      </c>
      <c r="AV56" s="3544">
        <f>SUM(J55:J62)-SUM(I55:I62)</f>
        <v>0</v>
      </c>
      <c r="AW56" s="3545">
        <f>IF(time=0,0,AV56)</f>
        <v>0</v>
      </c>
      <c r="AX56" s="3546">
        <f>AV56-AW56</f>
        <v>0</v>
      </c>
      <c r="BA56" s="3499" t="s">
        <v>850</v>
      </c>
      <c r="BB56" s="3544">
        <f>SUM(I55:I62)</f>
        <v>0</v>
      </c>
      <c r="BC56" s="3545">
        <f>SUM(J55:J62)</f>
        <v>0</v>
      </c>
    </row>
    <row r="57" spans="2:61" x14ac:dyDescent="0.2">
      <c r="B57" s="682">
        <v>3</v>
      </c>
      <c r="C57" s="682" t="str">
        <f>'5.Management'!$C15</f>
        <v>Please select</v>
      </c>
      <c r="D57" s="3493">
        <f>'5.Management'!$W15</f>
        <v>0</v>
      </c>
      <c r="E57" s="3493">
        <f t="shared" si="36"/>
        <v>0</v>
      </c>
      <c r="F57" s="682" t="str">
        <f>VLOOKUP('5.Management'!$Y15, list!$I$48:$J$50, 2, FALSE)</f>
        <v>Linear</v>
      </c>
      <c r="G57" s="3493">
        <f t="shared" si="37"/>
        <v>0</v>
      </c>
      <c r="H57" s="682" t="str">
        <f>VLOOKUP('5.Management'!$AA15, list!$I$48:$J$50, 2, FALSE)</f>
        <v>Linear</v>
      </c>
      <c r="I57" s="3231">
        <f t="shared" si="38"/>
        <v>0</v>
      </c>
      <c r="J57" s="3232">
        <f t="shared" si="39"/>
        <v>0</v>
      </c>
      <c r="K57" s="3232">
        <f t="shared" si="40"/>
        <v>0</v>
      </c>
      <c r="L57" s="3232">
        <f t="shared" si="41"/>
        <v>0</v>
      </c>
      <c r="M57" s="3232">
        <f>$Y44*(IF(F57="Immediate",IF(E57&gt;0, E57*MIN(20,time_tot),0), E57*IF(time_tot&gt;time+20,20,IF(time_tot&lt;20,(time*VLOOKUP(F57, list!$J$48:$K$50,2,))+(time_tot-time),((MIN(20,time)*VLOOKUP(F57, list!$J$48:$K$50,2,))+(time_tot-MIN(20,time))-IF(F57="Exponential",time_tot-20+0.217*time*(EXP(4.606*(20-time_tot)/time)-1),((time_tot-20)^2)*(0.5/time)))))))</f>
        <v>0</v>
      </c>
      <c r="N57" s="3232">
        <f>$Z44*(IF(H57="Immediate",IF( G57&gt;0, G57*MIN(20,time_tot),0), G57*IF(time_tot&gt;time+20,20,IF(time_tot&lt;20,(time*VLOOKUP(H57, list!$J$48:$K$50,2,))+(time_tot-time),((MIN(20,time)*VLOOKUP(H57, list!$J$48:$K$50,2,))+(time_tot-MIN(20,time))-IF(H57="Exponential",time_tot-20+0.217*time*(EXP(4.606*(20-time_tot)/time)-1),((time_tot-20)^2)*(0.5/time)))))))</f>
        <v>0</v>
      </c>
      <c r="O57" s="3232">
        <f t="shared" si="34"/>
        <v>0</v>
      </c>
      <c r="P57" s="3232">
        <f t="shared" si="35"/>
        <v>0</v>
      </c>
      <c r="Q57" s="3232">
        <f t="shared" si="42"/>
        <v>0</v>
      </c>
      <c r="R57" s="3232">
        <f t="shared" si="43"/>
        <v>0</v>
      </c>
      <c r="S57" s="3527">
        <f t="shared" si="44"/>
        <v>0</v>
      </c>
      <c r="AU57" s="3499" t="s">
        <v>314</v>
      </c>
      <c r="AV57" s="3500">
        <f>SUM(L55:L62)-SUM(K55:K62)</f>
        <v>0</v>
      </c>
      <c r="AW57" s="3501">
        <f>IF(time=0,0,AV57)</f>
        <v>0</v>
      </c>
      <c r="AX57" s="3502">
        <f>AV57-AW57</f>
        <v>0</v>
      </c>
      <c r="BA57" s="3499" t="s">
        <v>314</v>
      </c>
      <c r="BB57" s="3500">
        <f>SUM(K55:K62)</f>
        <v>0</v>
      </c>
      <c r="BC57" s="3501">
        <f>SUM(L55:L62)</f>
        <v>0</v>
      </c>
    </row>
    <row r="58" spans="2:61" x14ac:dyDescent="0.2">
      <c r="B58" s="682">
        <v>4</v>
      </c>
      <c r="C58" s="682" t="str">
        <f>'5.Management'!$C16</f>
        <v>Please select</v>
      </c>
      <c r="D58" s="3493">
        <f>'5.Management'!$W16</f>
        <v>0</v>
      </c>
      <c r="E58" s="3493">
        <f t="shared" si="36"/>
        <v>0</v>
      </c>
      <c r="F58" s="682" t="str">
        <f>VLOOKUP('5.Management'!$Y16, list!$I$48:$J$50, 2, FALSE)</f>
        <v>Linear</v>
      </c>
      <c r="G58" s="3493">
        <f t="shared" si="37"/>
        <v>0</v>
      </c>
      <c r="H58" s="682" t="str">
        <f>VLOOKUP('5.Management'!$AA16, list!$I$48:$J$50, 2, FALSE)</f>
        <v>Linear</v>
      </c>
      <c r="I58" s="3231">
        <f>((Q45-P45)*(-44/12))*E58</f>
        <v>0</v>
      </c>
      <c r="J58" s="3232">
        <f t="shared" si="39"/>
        <v>0</v>
      </c>
      <c r="K58" s="3232">
        <f t="shared" si="40"/>
        <v>0</v>
      </c>
      <c r="L58" s="3232">
        <f t="shared" si="41"/>
        <v>0</v>
      </c>
      <c r="M58" s="3232">
        <f>$Y45*(IF(F58="Immediate",IF(E58&gt;0, E58*MIN(20,time_tot),0), E58*IF(time_tot&gt;time+20,20,IF(time_tot&lt;20,(time*VLOOKUP(F58, list!$J$48:$K$50,2,))+(time_tot-time),((MIN(20,time)*VLOOKUP(F58, list!$J$48:$K$50,2,))+(time_tot-MIN(20,time))-IF(F58="Exponential",time_tot-20+0.217*time*(EXP(4.606*(20-time_tot)/time)-1),((time_tot-20)^2)*(0.5/time)))))))</f>
        <v>0</v>
      </c>
      <c r="N58" s="3232">
        <f>$Z45*(IF(H58="Immediate",IF( G58&gt;0, G58*MIN(20,time_tot),0), G58*IF(time_tot&gt;time+20,20,IF(time_tot&lt;20,(time*VLOOKUP(H58, list!$J$48:$K$50,2,))+(time_tot-time),((MIN(20,time)*VLOOKUP(H58, list!$J$48:$K$50,2,))+(time_tot-MIN(20,time))-IF(H58="Exponential",time_tot-20+0.217*time*(EXP(4.606*(20-time_tot)/time)-1),((time_tot-20)^2)*(0.5/time)))))))</f>
        <v>0</v>
      </c>
      <c r="O58" s="3232">
        <f t="shared" si="34"/>
        <v>0</v>
      </c>
      <c r="P58" s="3232">
        <f t="shared" si="35"/>
        <v>0</v>
      </c>
      <c r="Q58" s="3232">
        <f t="shared" si="42"/>
        <v>0</v>
      </c>
      <c r="R58" s="3232">
        <f t="shared" si="43"/>
        <v>0</v>
      </c>
      <c r="S58" s="3527">
        <f t="shared" si="44"/>
        <v>0</v>
      </c>
      <c r="AU58" s="3499" t="s">
        <v>315</v>
      </c>
      <c r="AV58" s="3500">
        <f>SUM(N55:N62)-SUM(M55:M62)</f>
        <v>0</v>
      </c>
      <c r="AW58" s="3501">
        <f>SUM(AV42:AV49)-SUM(AU42:AU49)</f>
        <v>0</v>
      </c>
      <c r="AX58" s="3502">
        <f>AV58-AW58</f>
        <v>0</v>
      </c>
      <c r="BA58" s="3499" t="s">
        <v>315</v>
      </c>
      <c r="BB58" s="3500">
        <f>SUM(M55:M62)</f>
        <v>0</v>
      </c>
      <c r="BC58" s="3501">
        <f>SUM(N55:N62)</f>
        <v>0</v>
      </c>
    </row>
    <row r="59" spans="2:61" x14ac:dyDescent="0.2">
      <c r="B59" s="682">
        <v>5</v>
      </c>
      <c r="C59" s="682" t="str">
        <f>'5.Management'!$C17</f>
        <v>Please select</v>
      </c>
      <c r="D59" s="3493">
        <f>'5.Management'!$W17</f>
        <v>0</v>
      </c>
      <c r="E59" s="3493">
        <f t="shared" si="36"/>
        <v>0</v>
      </c>
      <c r="F59" s="682" t="str">
        <f>VLOOKUP('5.Management'!$Y17, list!$I$48:$J$50, 2, FALSE)</f>
        <v>Linear</v>
      </c>
      <c r="G59" s="3493">
        <f t="shared" si="37"/>
        <v>0</v>
      </c>
      <c r="H59" s="682" t="str">
        <f>VLOOKUP('5.Management'!$AA17, list!$I$48:$J$50, 2, FALSE)</f>
        <v>Linear</v>
      </c>
      <c r="I59" s="3231">
        <f t="shared" si="38"/>
        <v>0</v>
      </c>
      <c r="J59" s="3232">
        <f t="shared" si="39"/>
        <v>0</v>
      </c>
      <c r="K59" s="3232">
        <f t="shared" si="40"/>
        <v>0</v>
      </c>
      <c r="L59" s="3232">
        <f t="shared" si="41"/>
        <v>0</v>
      </c>
      <c r="M59" s="3232">
        <f>$Y46*(IF(F59="Immediate",IF(E59&gt;0, E59*MIN(20,time_tot),0), E59*IF(time_tot&gt;time+20,20,IF(time_tot&lt;20,(time*VLOOKUP(F59, list!$J$48:$K$50,2,))+(time_tot-time),((MIN(20,time)*VLOOKUP(F59, list!$J$48:$K$50,2,))+(time_tot-MIN(20,time))-IF(F59="Exponential",time_tot-20+0.217*time*(EXP(4.606*(20-time_tot)/time)-1),((time_tot-20)^2)*(0.5/time)))))))</f>
        <v>0</v>
      </c>
      <c r="N59" s="3232">
        <f>$Z46*(IF(H59="Immediate",IF( G59&gt;0, G59*MIN(20,time_tot),0), G59*IF(time_tot&gt;time+20,20,IF(time_tot&lt;20,(time*VLOOKUP(H59, list!$J$48:$K$50,2,))+(time_tot-time),((MIN(20,time)*VLOOKUP(H59, list!$J$48:$K$50,2,))+(time_tot-MIN(20,time))-IF(H59="Exponential",time_tot-20+0.217*time*(EXP(4.606*(20-time_tot)/time)-1),((time_tot-20)^2)*(0.5/time)))))))</f>
        <v>0</v>
      </c>
      <c r="O59" s="3232">
        <f t="shared" si="34"/>
        <v>0</v>
      </c>
      <c r="P59" s="3232">
        <f t="shared" si="35"/>
        <v>0</v>
      </c>
      <c r="Q59" s="3232">
        <f t="shared" si="42"/>
        <v>0</v>
      </c>
      <c r="R59" s="3232">
        <f t="shared" si="43"/>
        <v>0</v>
      </c>
      <c r="S59" s="3527">
        <f t="shared" si="44"/>
        <v>0</v>
      </c>
      <c r="AU59" s="3499" t="s">
        <v>161</v>
      </c>
      <c r="AV59" s="3547">
        <f>SUM(AN42:AN49)-SUM(AM42:AM49)</f>
        <v>0</v>
      </c>
      <c r="AW59" s="3548">
        <f>AX50-AW50</f>
        <v>0</v>
      </c>
      <c r="AX59" s="3549">
        <f>AV59-AW59</f>
        <v>0</v>
      </c>
      <c r="BA59" s="3499" t="s">
        <v>161</v>
      </c>
      <c r="BB59" s="3547">
        <f>SUM(AM42:AM49)</f>
        <v>0</v>
      </c>
      <c r="BC59" s="3548">
        <f>SUM(AN42:AN49)</f>
        <v>0</v>
      </c>
    </row>
    <row r="60" spans="2:61" x14ac:dyDescent="0.2">
      <c r="B60" s="682">
        <v>6</v>
      </c>
      <c r="C60" s="682" t="str">
        <f>'5.Management'!$C18</f>
        <v>Please select</v>
      </c>
      <c r="D60" s="3493">
        <f>'5.Management'!$W18</f>
        <v>0</v>
      </c>
      <c r="E60" s="3493">
        <f t="shared" si="36"/>
        <v>0</v>
      </c>
      <c r="F60" s="682" t="str">
        <f>VLOOKUP('5.Management'!$Y18, list!$I$48:$J$50, 2, FALSE)</f>
        <v>Linear</v>
      </c>
      <c r="G60" s="3493">
        <f t="shared" si="37"/>
        <v>0</v>
      </c>
      <c r="H60" s="682" t="str">
        <f>VLOOKUP('5.Management'!$AA18, list!$I$48:$J$50, 2, FALSE)</f>
        <v>Linear</v>
      </c>
      <c r="I60" s="3231">
        <f t="shared" si="38"/>
        <v>0</v>
      </c>
      <c r="J60" s="3232">
        <f t="shared" si="39"/>
        <v>0</v>
      </c>
      <c r="K60" s="3232">
        <f t="shared" si="40"/>
        <v>0</v>
      </c>
      <c r="L60" s="3232">
        <f t="shared" si="41"/>
        <v>0</v>
      </c>
      <c r="M60" s="3232">
        <f>$Y47*(IF(F60="Immediate",IF(E60&gt;0, E60*MIN(20,time_tot),0), E60*IF(time_tot&gt;time+20,20,IF(time_tot&lt;20,(time*VLOOKUP(F60, list!$J$48:$K$50,2,))+(time_tot-time),((MIN(20,time)*VLOOKUP(F60, list!$J$48:$K$50,2,))+(time_tot-MIN(20,time))-IF(F60="Exponential",time_tot-20+0.217*time*(EXP(4.606*(20-time_tot)/time)-1),((time_tot-20)^2)*(0.5/time)))))))</f>
        <v>0</v>
      </c>
      <c r="N60" s="3232">
        <f>$Z47*(IF(H60="Immediate",IF( G60&gt;0, G60*MIN(20,time_tot),0), G60*IF(time_tot&gt;time+20,20,IF(time_tot&lt;20,(time*VLOOKUP(H60, list!$J$48:$K$50,2,))+(time_tot-time),((MIN(20,time)*VLOOKUP(H60, list!$J$48:$K$50,2,))+(time_tot-MIN(20,time))-IF(H60="Exponential",time_tot-20+0.217*time*(EXP(4.606*(20-time_tot)/time)-1),((time_tot-20)^2)*(0.5/time)))))))</f>
        <v>0</v>
      </c>
      <c r="O60" s="3232">
        <f t="shared" si="34"/>
        <v>0</v>
      </c>
      <c r="P60" s="3232">
        <f t="shared" si="35"/>
        <v>0</v>
      </c>
      <c r="Q60" s="3232">
        <f t="shared" si="42"/>
        <v>0</v>
      </c>
      <c r="R60" s="3232">
        <f t="shared" si="43"/>
        <v>0</v>
      </c>
      <c r="S60" s="3527">
        <f t="shared" si="44"/>
        <v>0</v>
      </c>
      <c r="AU60" s="3499" t="s">
        <v>162</v>
      </c>
      <c r="AV60" s="3500">
        <f>SUM(AP42:AP49)-SUM(AO42:AO49)</f>
        <v>0</v>
      </c>
      <c r="AW60" s="3501">
        <f>AZ50-AY50</f>
        <v>0</v>
      </c>
      <c r="AX60" s="3502">
        <f>AV60-AW60</f>
        <v>0</v>
      </c>
      <c r="BA60" s="3499" t="s">
        <v>162</v>
      </c>
      <c r="BB60" s="3500">
        <f>SUM(AO42:AO49)</f>
        <v>0</v>
      </c>
      <c r="BC60" s="3501">
        <f>SUM(AP42:AP49)</f>
        <v>0</v>
      </c>
    </row>
    <row r="61" spans="2:61" x14ac:dyDescent="0.2">
      <c r="B61" s="682">
        <v>7</v>
      </c>
      <c r="C61" s="682" t="str">
        <f>'5.Management'!$C19</f>
        <v>Please select</v>
      </c>
      <c r="D61" s="3493">
        <f>'5.Management'!$W19</f>
        <v>0</v>
      </c>
      <c r="E61" s="3493">
        <f t="shared" si="36"/>
        <v>0</v>
      </c>
      <c r="F61" s="682" t="str">
        <f>VLOOKUP('5.Management'!$Y19, list!$I$48:$J$50, 2, FALSE)</f>
        <v>Linear</v>
      </c>
      <c r="G61" s="3493">
        <f t="shared" si="37"/>
        <v>0</v>
      </c>
      <c r="H61" s="682" t="str">
        <f>VLOOKUP('5.Management'!$AA19, list!$I$48:$J$50, 2, FALSE)</f>
        <v>Linear</v>
      </c>
      <c r="I61" s="3231">
        <f t="shared" si="38"/>
        <v>0</v>
      </c>
      <c r="J61" s="3232">
        <f t="shared" si="39"/>
        <v>0</v>
      </c>
      <c r="K61" s="3232">
        <f t="shared" si="40"/>
        <v>0</v>
      </c>
      <c r="L61" s="3232">
        <f t="shared" si="41"/>
        <v>0</v>
      </c>
      <c r="M61" s="3232">
        <f>$Y48*(IF(F61="Immediate",IF(E61&gt;0, E61*MIN(20,time_tot),0), E61*IF(time_tot&gt;time+20,20,IF(time_tot&lt;20,(time*VLOOKUP(F61, list!$J$48:$K$50,2,))+(time_tot-time),((MIN(20,time)*VLOOKUP(F61, list!$J$48:$K$50,2,))+(time_tot-MIN(20,time))-IF(F61="Exponential",time_tot-20+0.217*time*(EXP(4.606*(20-time_tot)/time)-1),((time_tot-20)^2)*(0.5/time)))))))</f>
        <v>0</v>
      </c>
      <c r="N61" s="3232">
        <f>$Z48*(IF(H61="Immediate",IF( G61&gt;0, G61*MIN(20,time_tot),0), G61*IF(time_tot&gt;time+20,20,IF(time_tot&lt;20,(time*VLOOKUP(H61, list!$J$48:$K$50,2,))+(time_tot-time),((MIN(20,time)*VLOOKUP(H61, list!$J$48:$K$50,2,))+(time_tot-MIN(20,time))-IF(H61="Exponential",time_tot-20+0.217*time*(EXP(4.606*(20-time_tot)/time)-1),((time_tot-20)^2)*(0.5/time)))))))</f>
        <v>0</v>
      </c>
      <c r="O61" s="3232">
        <f t="shared" si="34"/>
        <v>0</v>
      </c>
      <c r="P61" s="3232">
        <f t="shared" si="35"/>
        <v>0</v>
      </c>
      <c r="Q61" s="3232">
        <f t="shared" si="42"/>
        <v>0</v>
      </c>
      <c r="R61" s="3232">
        <f t="shared" si="43"/>
        <v>0</v>
      </c>
      <c r="S61" s="3527">
        <f t="shared" si="44"/>
        <v>0</v>
      </c>
      <c r="AU61" s="3538" t="s">
        <v>1028</v>
      </c>
      <c r="AV61" s="3550">
        <f>SUM(AV56:AV60)</f>
        <v>0</v>
      </c>
      <c r="AW61" s="3551">
        <f>SUM(AW56:AW60)</f>
        <v>0</v>
      </c>
      <c r="AX61" s="3552">
        <f>SUM(AX56:AX60)</f>
        <v>0</v>
      </c>
      <c r="BA61" s="3538" t="s">
        <v>1028</v>
      </c>
      <c r="BB61" s="3550">
        <f>SUM(BB56:BB60)</f>
        <v>0</v>
      </c>
      <c r="BC61" s="3551">
        <f>SUM(BC56:BC60)</f>
        <v>0</v>
      </c>
    </row>
    <row r="62" spans="2:61" x14ac:dyDescent="0.2">
      <c r="B62" s="682">
        <v>8</v>
      </c>
      <c r="C62" s="682" t="str">
        <f>'5.Management'!$C20</f>
        <v>Please select</v>
      </c>
      <c r="D62" s="3493">
        <f>'5.Management'!$W20</f>
        <v>0</v>
      </c>
      <c r="E62" s="3493">
        <f t="shared" si="36"/>
        <v>0</v>
      </c>
      <c r="F62" s="682" t="str">
        <f>VLOOKUP('5.Management'!$Y20, list!$I$48:$J$50, 2, FALSE)</f>
        <v>Linear</v>
      </c>
      <c r="G62" s="3493">
        <f t="shared" si="37"/>
        <v>0</v>
      </c>
      <c r="H62" s="682" t="str">
        <f>VLOOKUP('5.Management'!$AA20, list!$I$48:$J$50, 2, FALSE)</f>
        <v>Linear</v>
      </c>
      <c r="I62" s="3231">
        <f t="shared" si="38"/>
        <v>0</v>
      </c>
      <c r="J62" s="3232">
        <f t="shared" si="39"/>
        <v>0</v>
      </c>
      <c r="K62" s="3232">
        <f t="shared" si="40"/>
        <v>0</v>
      </c>
      <c r="L62" s="3232">
        <f t="shared" si="41"/>
        <v>0</v>
      </c>
      <c r="M62" s="3232">
        <f>$Y49*(IF(F62="Immediate",IF(E62&gt;0, E62*MIN(20,time_tot),0), E62*IF(time_tot&gt;time+20,20,IF(time_tot&lt;20,(time*VLOOKUP(F62, list!$J$48:$K$50,2,))+(time_tot-time),((MIN(20,time)*VLOOKUP(F62, list!$J$48:$K$50,2,))+(time_tot-MIN(20,time))-IF(F62="Exponential",time_tot-20+0.217*time*(EXP(4.606*(20-time_tot)/time)-1),((time_tot-20)^2)*(0.5/time)))))))</f>
        <v>0</v>
      </c>
      <c r="N62" s="3232">
        <f>$Z49*(IF(H62="Immediate",IF( G62&gt;0, G62*MIN(20,time_tot),0), G62*IF(time_tot&gt;time+20,20,IF(time_tot&lt;20,(time*VLOOKUP(H62, list!$J$48:$K$50,2,))+(time_tot-time),((MIN(20,time)*VLOOKUP(H62, list!$J$48:$K$50,2,))+(time_tot-MIN(20,time))-IF(H62="Exponential",time_tot-20+0.217*time*(EXP(4.606*(20-time_tot)/time)-1),((time_tot-20)^2)*(0.5/time)))))))</f>
        <v>0</v>
      </c>
      <c r="O62" s="3232">
        <f t="shared" si="34"/>
        <v>0</v>
      </c>
      <c r="P62" s="3232">
        <f t="shared" si="35"/>
        <v>0</v>
      </c>
      <c r="Q62" s="3232">
        <f t="shared" si="42"/>
        <v>0</v>
      </c>
      <c r="R62" s="3232">
        <f t="shared" si="43"/>
        <v>0</v>
      </c>
      <c r="S62" s="3527">
        <f t="shared" si="44"/>
        <v>0</v>
      </c>
    </row>
    <row r="63" spans="2:61" x14ac:dyDescent="0.2">
      <c r="I63" s="3795"/>
      <c r="J63" s="3796"/>
      <c r="K63" s="3796"/>
      <c r="L63" s="3796"/>
      <c r="M63" s="3796"/>
      <c r="N63" s="3796"/>
      <c r="O63" s="3796"/>
      <c r="P63" s="3796"/>
      <c r="Q63" s="3796"/>
      <c r="R63" s="3796"/>
      <c r="S63" s="3797"/>
    </row>
    <row r="64" spans="2:61" x14ac:dyDescent="0.2">
      <c r="I64" s="3795"/>
      <c r="J64" s="3796"/>
      <c r="K64" s="3796"/>
      <c r="L64" s="3796"/>
      <c r="M64" s="3796"/>
      <c r="N64" s="3796"/>
      <c r="O64" s="3796"/>
      <c r="P64" s="3796"/>
      <c r="Q64" s="3796"/>
      <c r="R64" s="3796"/>
      <c r="S64" s="3797"/>
    </row>
    <row r="65" spans="3:19" x14ac:dyDescent="0.2">
      <c r="I65" s="3798"/>
      <c r="J65" s="3799"/>
      <c r="K65" s="3799"/>
      <c r="L65" s="3799"/>
      <c r="M65" s="3799"/>
      <c r="N65" s="3799"/>
      <c r="O65" s="3799"/>
      <c r="P65" s="3800" t="s">
        <v>1029</v>
      </c>
      <c r="Q65" s="3859">
        <f>SUM(Q55:Q62)</f>
        <v>0</v>
      </c>
      <c r="R65" s="3801">
        <f>SUM(R55:R62)</f>
        <v>0</v>
      </c>
      <c r="S65" s="3802">
        <f>SUM(S55:S62)</f>
        <v>0</v>
      </c>
    </row>
    <row r="66" spans="3:19" x14ac:dyDescent="0.2">
      <c r="C66" t="s">
        <v>1030</v>
      </c>
    </row>
    <row r="67" spans="3:19" x14ac:dyDescent="0.2">
      <c r="Q67" s="1079" t="s">
        <v>629</v>
      </c>
      <c r="R67" s="3157">
        <f>SUM('5.Management'!AZ13:AZ20,'5.Management'!BB13:BB20,'5.Management'!BI13:BI20)</f>
        <v>0</v>
      </c>
    </row>
  </sheetData>
  <pageMargins left="0.7" right="0.7" top="0.75" bottom="0.75" header="0.3" footer="0.3"/>
  <pageSetup orientation="portrait" r:id="rId1"/>
  <drawing r:id="rId2"/>
  <mc:AlternateContent xmlns:mc="http://schemas.openxmlformats.org/markup-compatibility/2006">
    <mc:Choice Requires="v">
      <legacyDrawing r:id="rId3"/>
    </mc:Choice>
  </mc:AlternateContent>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election sqref="A1:B8"/>
    </sheetView>
  </sheetViews>
  <sheetFormatPr baseColWidth="10" defaultColWidth="8.83203125" defaultRowHeight="15" x14ac:dyDescent="0.2"/>
  <sheetData/>
  <pageMargins left="0.7" right="0.7" top="0.75" bottom="0.75" header="0.3" footer="0.3"/>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tabColor rgb="FF172735"/>
  </sheetPr>
  <dimension ref="B1:CO101"/>
  <sheetViews>
    <sheetView topLeftCell="C1" zoomScaleNormal="80" workbookViewId="0">
      <pane ySplit="1" topLeftCell="A4" activePane="bottomLeft" state="frozen"/>
      <selection pane="bottomLeft" activeCell="CF11" sqref="CF11"/>
    </sheetView>
  </sheetViews>
  <sheetFormatPr baseColWidth="10" defaultColWidth="9.33203125" defaultRowHeight="14" x14ac:dyDescent="0.2"/>
  <cols>
    <col min="1" max="1" width="9.33203125" style="1771"/>
    <col min="2" max="2" width="2.6640625" style="1771" customWidth="1"/>
    <col min="3" max="3" width="22.33203125" style="1771" customWidth="1"/>
    <col min="4" max="4" width="1.33203125" style="1771" customWidth="1"/>
    <col min="5" max="5" width="22.5" style="1771" customWidth="1"/>
    <col min="6" max="6" width="9.33203125" style="1771"/>
    <col min="7" max="7" width="2.6640625" style="1771" customWidth="1"/>
    <col min="8" max="8" width="9.33203125" style="1771"/>
    <col min="9" max="9" width="2.6640625" style="1771" customWidth="1"/>
    <col min="10" max="10" width="9.33203125" style="1771"/>
    <col min="11" max="11" width="2.6640625" style="1771" customWidth="1"/>
    <col min="12" max="12" width="11.5" style="1771" customWidth="1"/>
    <col min="13" max="13" width="2.6640625" style="1771" customWidth="1"/>
    <col min="14" max="14" width="12.33203125" style="1771" customWidth="1"/>
    <col min="15" max="15" width="2.6640625" style="1771" customWidth="1"/>
    <col min="16" max="16" width="10.33203125" style="1771" customWidth="1"/>
    <col min="17" max="17" width="2.6640625" style="1771" customWidth="1"/>
    <col min="18" max="18" width="11.33203125" style="1771" customWidth="1"/>
    <col min="19" max="19" width="2.6640625" style="1771" customWidth="1"/>
    <col min="20" max="20" width="11" style="1771" customWidth="1"/>
    <col min="21" max="21" width="3.5" style="1771" customWidth="1"/>
    <col min="22" max="22" width="11" style="1771" customWidth="1"/>
    <col min="23" max="23" width="2.6640625" style="1771" customWidth="1"/>
    <col min="24" max="24" width="9.33203125" style="1771"/>
    <col min="25" max="25" width="2.6640625" style="1771" customWidth="1"/>
    <col min="26" max="26" width="9.33203125" style="1771"/>
    <col min="27" max="27" width="2.6640625" style="1771" customWidth="1"/>
    <col min="28" max="28" width="9.33203125" style="1771" customWidth="1"/>
    <col min="29" max="29" width="2.6640625" style="1771" customWidth="1"/>
    <col min="30" max="30" width="9.6640625" style="1771" customWidth="1"/>
    <col min="31" max="31" width="11.5" style="1771" customWidth="1"/>
    <col min="32" max="32" width="9.33203125" style="1771"/>
    <col min="33" max="33" width="11.5" style="1771" customWidth="1"/>
    <col min="34" max="34" width="9.33203125" style="1771" customWidth="1"/>
    <col min="35" max="35" width="15.5" style="1771" customWidth="1"/>
    <col min="36" max="68" width="9.33203125" style="1771"/>
    <col min="69" max="69" width="3.33203125" style="1771" customWidth="1"/>
    <col min="70" max="70" width="24.33203125" style="1771" customWidth="1"/>
    <col min="71" max="71" width="16.5" style="1771" customWidth="1"/>
    <col min="72" max="72" width="9.33203125" style="1771"/>
    <col min="73" max="73" width="24.33203125" style="1771" customWidth="1"/>
    <col min="74" max="74" width="19.5" style="1771" customWidth="1"/>
    <col min="75" max="75" width="9.33203125" style="1771"/>
    <col min="76" max="76" width="23" style="1771" customWidth="1"/>
    <col min="77" max="79" width="9.33203125" style="1771"/>
    <col min="80" max="80" width="2.5" style="1771" customWidth="1"/>
    <col min="81" max="81" width="17.5" style="1771" customWidth="1"/>
    <col min="82" max="82" width="2.33203125" style="1771" customWidth="1"/>
    <col min="83" max="83" width="9" style="1771" customWidth="1"/>
    <col min="84" max="84" width="9.33203125" style="1771"/>
    <col min="85" max="85" width="11" style="1771" bestFit="1" customWidth="1"/>
    <col min="86" max="86" width="2.33203125" style="1771" customWidth="1"/>
    <col min="87" max="87" width="11.5" style="1771" customWidth="1"/>
    <col min="88" max="88" width="11.33203125" style="1771" customWidth="1"/>
    <col min="89" max="16384" width="9.33203125" style="1771"/>
  </cols>
  <sheetData>
    <row r="1" spans="2:93" s="2072" customFormat="1" ht="100.5" customHeight="1" x14ac:dyDescent="0.2"/>
    <row r="4" spans="2:93" ht="45" customHeight="1" x14ac:dyDescent="0.2">
      <c r="B4" s="1767"/>
      <c r="C4" s="2168" t="str">
        <f>Languages!B549</f>
        <v>7.1 MANAGEMENT OF COASTAL WETLANDS (mangroves, tidal marsh and seagrass meadow)</v>
      </c>
      <c r="D4" s="2168"/>
      <c r="E4" s="2053"/>
      <c r="F4" s="1769"/>
      <c r="G4" s="1769"/>
      <c r="H4" s="1769"/>
      <c r="I4" s="1769"/>
      <c r="J4" s="1769"/>
      <c r="K4" s="1769"/>
      <c r="L4" s="1769"/>
      <c r="M4" s="1769"/>
      <c r="N4" s="1769"/>
      <c r="O4" s="1769"/>
      <c r="P4" s="1769"/>
      <c r="Q4" s="1769"/>
      <c r="R4" s="1769"/>
      <c r="S4" s="1769"/>
      <c r="T4" s="1769"/>
      <c r="U4" s="1769"/>
      <c r="V4" s="1769"/>
      <c r="W4" s="1769"/>
      <c r="X4" s="1769"/>
      <c r="Y4" s="1769"/>
      <c r="Z4" s="1769"/>
      <c r="AA4" s="1769"/>
      <c r="AB4" s="1769"/>
      <c r="AC4" s="1769"/>
      <c r="AD4" s="1769"/>
      <c r="AE4" s="1769"/>
      <c r="AF4" s="1767"/>
      <c r="AG4" s="1978" t="str">
        <f>Languages!B22</f>
        <v>If country-specific data are available, please go to Tier 2:</v>
      </c>
      <c r="AH4" s="1769"/>
      <c r="AI4" s="1769"/>
      <c r="AJ4" s="1769"/>
      <c r="BQ4" s="4212"/>
      <c r="BR4" s="4213" t="str">
        <f>C4</f>
        <v>7.1 MANAGEMENT OF COASTAL WETLANDS (mangroves, tidal marsh and seagrass meadow)</v>
      </c>
      <c r="BS4" s="2168"/>
      <c r="BT4" s="2168"/>
      <c r="BU4" s="2168"/>
      <c r="BV4" s="2168"/>
      <c r="BW4" s="2168"/>
      <c r="BX4" s="2168"/>
      <c r="BY4" s="2168"/>
      <c r="BZ4" s="2168"/>
      <c r="CA4" s="2168"/>
      <c r="CB4" s="2168"/>
      <c r="CC4" s="2168"/>
      <c r="CD4" s="2168"/>
      <c r="CE4" s="2168"/>
      <c r="CF4" s="2168"/>
      <c r="CG4" s="2168"/>
      <c r="CH4" s="2168"/>
      <c r="CI4" s="2168"/>
      <c r="CJ4" s="2168"/>
      <c r="CK4" s="2168"/>
      <c r="CM4" s="4366" t="s">
        <v>71</v>
      </c>
      <c r="CN4" s="4366"/>
      <c r="CO4" s="4366"/>
    </row>
    <row r="5" spans="2:93" ht="6" customHeight="1" x14ac:dyDescent="0.2">
      <c r="CM5" s="1915"/>
      <c r="CN5" s="1915"/>
    </row>
    <row r="6" spans="2:93" ht="30.5" customHeight="1" x14ac:dyDescent="0.2">
      <c r="B6" s="1767"/>
      <c r="C6" s="1769" t="str">
        <f>Languages!B550</f>
        <v>7.1.1. Extraction and excavation (port construction, construction of aquaculture or salt production)</v>
      </c>
      <c r="D6" s="1769"/>
      <c r="E6" s="2053"/>
      <c r="F6" s="1769"/>
      <c r="G6" s="1769"/>
      <c r="H6" s="1769"/>
      <c r="I6" s="1769"/>
      <c r="J6" s="1769"/>
      <c r="K6" s="1769"/>
      <c r="L6" s="1769"/>
      <c r="M6" s="1769"/>
      <c r="N6" s="1769"/>
      <c r="O6" s="1769"/>
      <c r="P6" s="1769"/>
      <c r="Q6" s="1769"/>
      <c r="R6" s="1769"/>
      <c r="S6" s="1769"/>
      <c r="T6" s="1769"/>
      <c r="U6" s="1769"/>
      <c r="V6" s="1769"/>
      <c r="W6" s="1769"/>
      <c r="X6" s="1769"/>
      <c r="Y6" s="1769"/>
      <c r="Z6" s="1769"/>
      <c r="AA6" s="1769"/>
      <c r="AB6" s="1769"/>
      <c r="AC6" s="1769"/>
      <c r="AD6" s="1769"/>
      <c r="AE6" s="1769"/>
      <c r="AF6" s="1769"/>
      <c r="AG6" s="1769"/>
      <c r="AH6" s="1769"/>
      <c r="AI6" s="1769"/>
      <c r="AJ6" s="1769"/>
      <c r="BQ6" s="1767"/>
      <c r="BR6" s="4212" t="str">
        <f>C6</f>
        <v>7.1.1. Extraction and excavation (port construction, construction of aquaculture or salt production)</v>
      </c>
      <c r="BS6" s="1767"/>
      <c r="BT6" s="1767"/>
      <c r="BU6" s="1767"/>
      <c r="BV6" s="1767"/>
      <c r="BW6" s="1767"/>
      <c r="BX6" s="1767"/>
      <c r="BY6" s="1767"/>
      <c r="BZ6" s="1767"/>
      <c r="CA6" s="1767"/>
      <c r="CB6" s="1767"/>
      <c r="CC6" s="1767"/>
      <c r="CD6" s="1767"/>
      <c r="CE6" s="1767"/>
      <c r="CF6" s="1767"/>
      <c r="CG6" s="1767"/>
      <c r="CH6" s="1767"/>
      <c r="CI6" s="1767"/>
      <c r="CJ6" s="1767"/>
      <c r="CK6" s="1767"/>
      <c r="CM6" s="1767"/>
      <c r="CN6" s="1767"/>
      <c r="CO6" s="1767"/>
    </row>
    <row r="7" spans="2:93" ht="16" x14ac:dyDescent="0.2">
      <c r="B7" s="1781"/>
      <c r="C7" s="1781"/>
      <c r="D7" s="1781"/>
      <c r="E7" s="1781"/>
      <c r="F7" s="1781"/>
      <c r="G7" s="1781"/>
      <c r="H7" s="1781"/>
      <c r="I7" s="1781"/>
      <c r="J7" s="1781"/>
      <c r="K7" s="1781"/>
      <c r="L7" s="1781"/>
      <c r="M7" s="1781"/>
      <c r="N7" s="1781"/>
      <c r="O7" s="1781"/>
      <c r="P7" s="1781"/>
      <c r="Q7" s="1781"/>
      <c r="R7" s="1781"/>
      <c r="S7" s="1781"/>
      <c r="T7" s="1781"/>
      <c r="U7" s="1781"/>
      <c r="V7" s="1781"/>
      <c r="W7" s="1781"/>
      <c r="X7" s="1781"/>
      <c r="Y7" s="1781"/>
      <c r="Z7" s="1781"/>
      <c r="AA7" s="1781"/>
      <c r="AB7" s="1781"/>
      <c r="AC7" s="1781"/>
      <c r="AD7" s="1781"/>
      <c r="AE7" s="1781"/>
      <c r="AF7" s="1781"/>
      <c r="AG7" s="1781"/>
      <c r="AH7" s="1781"/>
      <c r="AI7" s="1781"/>
      <c r="AJ7" s="1781"/>
      <c r="BQ7" s="1782"/>
      <c r="BR7" s="1782"/>
      <c r="BS7" s="1782"/>
      <c r="BT7" s="4214" t="str">
        <f>Languages!B84</f>
        <v>All units are in tC/ha</v>
      </c>
      <c r="BU7" s="1785"/>
      <c r="BV7" s="1785"/>
      <c r="BW7" s="1785"/>
      <c r="BX7" s="1785"/>
      <c r="BY7" s="1785"/>
      <c r="BZ7" s="1785"/>
      <c r="CA7" s="1785"/>
      <c r="CB7" s="1785"/>
      <c r="CC7" s="1785"/>
      <c r="CD7" s="1785"/>
      <c r="CE7" s="1785"/>
      <c r="CF7" s="1785"/>
      <c r="CG7" s="1785"/>
      <c r="CH7" s="1782"/>
      <c r="CI7" s="1782"/>
      <c r="CJ7" s="1782"/>
      <c r="CK7" s="1782"/>
      <c r="CM7" s="1782"/>
      <c r="CN7" s="1782"/>
      <c r="CO7" s="1996"/>
    </row>
    <row r="8" spans="2:93" x14ac:dyDescent="0.2">
      <c r="B8" s="1781"/>
      <c r="C8" s="1781"/>
      <c r="D8" s="1781"/>
      <c r="E8" s="1781"/>
      <c r="F8" s="1781"/>
      <c r="G8" s="1781"/>
      <c r="H8" s="1781"/>
      <c r="I8" s="1781"/>
      <c r="J8" s="1781"/>
      <c r="K8" s="1781"/>
      <c r="L8" s="1781"/>
      <c r="M8" s="1781"/>
      <c r="N8" s="1781"/>
      <c r="O8" s="1781"/>
      <c r="P8" s="1781"/>
      <c r="Q8" s="1781"/>
      <c r="R8" s="1781"/>
      <c r="S8" s="1781"/>
      <c r="T8" s="1781"/>
      <c r="U8" s="1781"/>
      <c r="V8" s="1781"/>
      <c r="W8" s="1781"/>
      <c r="X8" s="1781"/>
      <c r="Y8" s="1781"/>
      <c r="Z8" s="1781"/>
      <c r="AA8" s="1781"/>
      <c r="AB8" s="1781"/>
      <c r="AC8" s="1781"/>
      <c r="AD8" s="1781"/>
      <c r="AE8" s="1781"/>
      <c r="AF8" s="1781"/>
      <c r="AG8" s="1781"/>
      <c r="AH8" s="1781"/>
      <c r="AI8" s="1781"/>
      <c r="AJ8" s="1826"/>
      <c r="BQ8" s="1782"/>
      <c r="BR8" s="1782"/>
      <c r="BS8" s="1782"/>
      <c r="BT8" s="1782"/>
      <c r="BU8" s="1782"/>
      <c r="BV8" s="1782"/>
      <c r="BW8" s="1782"/>
      <c r="BX8" s="1782"/>
      <c r="BY8" s="1782"/>
      <c r="BZ8" s="1782"/>
      <c r="CA8" s="1782"/>
      <c r="CB8" s="1782"/>
      <c r="CC8" s="1782"/>
      <c r="CD8" s="1782"/>
      <c r="CE8" s="1782"/>
      <c r="CF8" s="1782"/>
      <c r="CG8" s="1782"/>
      <c r="CH8" s="1782"/>
      <c r="CI8" s="1782"/>
      <c r="CJ8" s="1782"/>
      <c r="CK8" s="1782"/>
      <c r="CM8" s="1889" t="s">
        <v>74</v>
      </c>
      <c r="CN8" s="1889"/>
      <c r="CO8" s="1996"/>
    </row>
    <row r="9" spans="2:93" x14ac:dyDescent="0.2">
      <c r="B9" s="1781"/>
      <c r="C9" s="1826" t="str">
        <f>Languages!B58</f>
        <v xml:space="preserve">Type of vegetation </v>
      </c>
      <c r="D9" s="1826"/>
      <c r="E9" s="1781"/>
      <c r="F9" s="2091" t="str">
        <f>Languages!B115</f>
        <v>Area (ha)</v>
      </c>
      <c r="G9" s="1806"/>
      <c r="H9" s="4215" t="str">
        <f>Languages!B551</f>
        <v>% excavated</v>
      </c>
      <c r="I9" s="2091"/>
      <c r="J9" s="2091"/>
      <c r="K9" s="1781"/>
      <c r="L9" s="1781"/>
      <c r="M9" s="1781"/>
      <c r="N9" s="1789" t="str">
        <f>Languages!B533</f>
        <v>Area excavated (ha)</v>
      </c>
      <c r="O9" s="1789"/>
      <c r="P9" s="1789"/>
      <c r="Q9" s="1781"/>
      <c r="R9" s="1789" t="str">
        <f>Languages!B535</f>
        <v xml:space="preserve">Maximum area available for drainage </v>
      </c>
      <c r="S9" s="1789"/>
      <c r="T9" s="1789"/>
      <c r="U9" s="1789"/>
      <c r="V9" s="1789"/>
      <c r="W9" s="1781"/>
      <c r="X9" s="1781"/>
      <c r="Y9" s="1781"/>
      <c r="Z9" s="1781"/>
      <c r="AA9" s="1781"/>
      <c r="AB9" s="1781"/>
      <c r="AC9" s="1781"/>
      <c r="AD9" s="1781"/>
      <c r="AE9" s="1826" t="str">
        <f>Languages!B9</f>
        <v>Total emissions (tCO2-e)</v>
      </c>
      <c r="AF9" s="1781"/>
      <c r="AG9" s="1781"/>
      <c r="AH9" s="1781"/>
      <c r="AI9" s="1780" t="str">
        <f>Languages!B10</f>
        <v>Balance</v>
      </c>
      <c r="AJ9" s="1781"/>
      <c r="BQ9" s="1782"/>
      <c r="BR9" s="1889" t="str">
        <f>C9</f>
        <v xml:space="preserve">Type of vegetation </v>
      </c>
      <c r="BS9" s="1782"/>
      <c r="BT9" s="4146" t="str">
        <f>Languages!B26</f>
        <v>Above-ground</v>
      </c>
      <c r="BU9" s="1782"/>
      <c r="BV9" s="1783" t="str">
        <f>Languages!B27</f>
        <v>Below-ground</v>
      </c>
      <c r="BW9" s="1782"/>
      <c r="BX9" s="4216" t="str">
        <f>Languages!B28</f>
        <v>Litter</v>
      </c>
      <c r="BY9" s="1782"/>
      <c r="BZ9" s="1783" t="str">
        <f>Languages!B29</f>
        <v>Deadwood</v>
      </c>
      <c r="CA9" s="1782"/>
      <c r="CB9" s="1782"/>
      <c r="CC9" s="2150" t="str">
        <f>Languages!B560</f>
        <v>Type of soil</v>
      </c>
      <c r="CD9" s="1782"/>
      <c r="CE9" s="2588" t="str">
        <f>Languages!B561</f>
        <v>Soil (1 m depth)</v>
      </c>
      <c r="CF9" s="2588"/>
      <c r="CG9" s="1782"/>
      <c r="CH9" s="1782"/>
      <c r="CI9" s="1783" t="str">
        <f>Languages!B563</f>
        <v>% C lost after excavation</v>
      </c>
      <c r="CJ9" s="1782"/>
      <c r="CK9" s="1782"/>
      <c r="CM9" s="2014" t="s">
        <v>82</v>
      </c>
      <c r="CN9" s="2014"/>
      <c r="CO9" s="1996"/>
    </row>
    <row r="10" spans="2:93" x14ac:dyDescent="0.2">
      <c r="B10" s="1781"/>
      <c r="C10" s="1781"/>
      <c r="D10" s="1781"/>
      <c r="E10" s="1781"/>
      <c r="F10" s="1806" t="str">
        <f>Languages!B11</f>
        <v>Start</v>
      </c>
      <c r="G10" s="1806"/>
      <c r="H10" s="1806" t="str">
        <f>Languages!B12</f>
        <v>Without</v>
      </c>
      <c r="I10" s="1806"/>
      <c r="J10" s="1806" t="str">
        <f>Languages!B13</f>
        <v>With</v>
      </c>
      <c r="K10" s="1781"/>
      <c r="L10" s="1781"/>
      <c r="M10" s="1781"/>
      <c r="N10" s="1806" t="str">
        <f>H10</f>
        <v>Without</v>
      </c>
      <c r="O10" s="1806"/>
      <c r="P10" s="1806" t="str">
        <f>J10</f>
        <v>With</v>
      </c>
      <c r="Q10" s="1806"/>
      <c r="R10" s="1806" t="str">
        <f t="shared" ref="R10:R16" si="0">F10</f>
        <v>Start</v>
      </c>
      <c r="S10" s="1806"/>
      <c r="T10" s="1806" t="str">
        <f>H10</f>
        <v>Without</v>
      </c>
      <c r="U10" s="1806"/>
      <c r="V10" s="1806" t="str">
        <f>J10</f>
        <v>With</v>
      </c>
      <c r="W10" s="1781"/>
      <c r="X10" s="1781"/>
      <c r="Y10" s="1781"/>
      <c r="Z10" s="1781"/>
      <c r="AA10" s="1781"/>
      <c r="AB10" s="1781"/>
      <c r="AC10" s="1781"/>
      <c r="AD10" s="1781"/>
      <c r="AE10" s="1806" t="str">
        <f>T10</f>
        <v>Without</v>
      </c>
      <c r="AF10" s="1806"/>
      <c r="AG10" s="1806" t="str">
        <f>V10</f>
        <v>With</v>
      </c>
      <c r="AH10" s="1781"/>
      <c r="AI10" s="1781"/>
      <c r="AJ10" s="1781"/>
      <c r="BQ10" s="1782"/>
      <c r="BR10" s="1800"/>
      <c r="BS10" s="1782"/>
      <c r="BT10" s="2151" t="str">
        <f>Languages!B16</f>
        <v>Default</v>
      </c>
      <c r="BU10" s="2151" t="str">
        <f>Languages!B17</f>
        <v>Tier 2</v>
      </c>
      <c r="BV10" s="2151" t="str">
        <f t="shared" ref="BV10:CA10" si="1">BT10</f>
        <v>Default</v>
      </c>
      <c r="BW10" s="2151" t="str">
        <f t="shared" si="1"/>
        <v>Tier 2</v>
      </c>
      <c r="BX10" s="2151" t="str">
        <f t="shared" si="1"/>
        <v>Default</v>
      </c>
      <c r="BY10" s="2151" t="str">
        <f t="shared" si="1"/>
        <v>Tier 2</v>
      </c>
      <c r="BZ10" s="2151" t="str">
        <f t="shared" si="1"/>
        <v>Default</v>
      </c>
      <c r="CA10" s="2151" t="str">
        <f t="shared" si="1"/>
        <v>Tier 2</v>
      </c>
      <c r="CB10" s="1782"/>
      <c r="CC10" s="1782"/>
      <c r="CD10" s="1782"/>
      <c r="CE10" s="2151" t="str">
        <f>Languages!B562</f>
        <v>Tier</v>
      </c>
      <c r="CF10" s="2151" t="str">
        <f>BZ10</f>
        <v>Default</v>
      </c>
      <c r="CG10" s="2151" t="str">
        <f>CA10</f>
        <v>Tier 2</v>
      </c>
      <c r="CH10" s="2151"/>
      <c r="CI10" s="2151" t="str">
        <f>CF10</f>
        <v>Default</v>
      </c>
      <c r="CJ10" s="2151" t="str">
        <f>CG10</f>
        <v>Tier 2</v>
      </c>
      <c r="CK10" s="1782"/>
      <c r="CM10" s="1996"/>
      <c r="CN10" s="1996"/>
      <c r="CO10" s="1996"/>
    </row>
    <row r="11" spans="2:93" x14ac:dyDescent="0.2">
      <c r="B11" s="1781"/>
      <c r="C11" s="2125" t="s">
        <v>1689</v>
      </c>
      <c r="D11" s="1781"/>
      <c r="E11" s="1781"/>
      <c r="F11" s="2103">
        <v>50</v>
      </c>
      <c r="G11" s="1806"/>
      <c r="H11" s="4224">
        <v>0.5</v>
      </c>
      <c r="I11" s="1806"/>
      <c r="J11" s="4224">
        <v>0.5</v>
      </c>
      <c r="K11" s="1781"/>
      <c r="L11" s="1781"/>
      <c r="M11" s="1781"/>
      <c r="N11" s="1806">
        <f t="shared" ref="N11:N16" si="2">F11*H11</f>
        <v>25</v>
      </c>
      <c r="O11" s="1781"/>
      <c r="P11" s="1806">
        <f t="shared" ref="P11:P16" si="3">F11*J11</f>
        <v>25</v>
      </c>
      <c r="Q11" s="1806"/>
      <c r="R11" s="1841">
        <f t="shared" si="0"/>
        <v>50</v>
      </c>
      <c r="S11" s="1841"/>
      <c r="T11" s="1841">
        <f t="shared" ref="T11:T16" si="4">F11*(1-H11)</f>
        <v>25</v>
      </c>
      <c r="U11" s="1841"/>
      <c r="V11" s="1841">
        <f t="shared" ref="V11:V16" si="5">F11*(1-J11)</f>
        <v>25</v>
      </c>
      <c r="W11" s="1781"/>
      <c r="X11" s="1781"/>
      <c r="Y11" s="1781"/>
      <c r="Z11" s="1781"/>
      <c r="AA11" s="1781"/>
      <c r="AB11" s="1781"/>
      <c r="AC11" s="1781"/>
      <c r="AD11" s="1781"/>
      <c r="AE11" s="1841">
        <f>Coastal!O17</f>
        <v>19888</v>
      </c>
      <c r="AF11" s="1781"/>
      <c r="AG11" s="1841">
        <f>Coastal!P17</f>
        <v>19888</v>
      </c>
      <c r="AH11" s="1781"/>
      <c r="AI11" s="1806">
        <f t="shared" ref="AI11:AI16" si="6">AG11-AE11</f>
        <v>0</v>
      </c>
      <c r="AJ11" s="1781"/>
      <c r="BQ11" s="1782"/>
      <c r="BR11" s="1800" t="str">
        <f t="shared" ref="BR11:BR16" si="7">C11</f>
        <v>Tidal marsh</v>
      </c>
      <c r="BS11" s="1782"/>
      <c r="BT11" s="2011">
        <f>Coastal!E8</f>
        <v>0</v>
      </c>
      <c r="BU11" s="4227"/>
      <c r="BV11" s="2011">
        <f>Coastal!G8</f>
        <v>0</v>
      </c>
      <c r="BW11" s="4227"/>
      <c r="BX11" s="2011">
        <f>Coastal!I8</f>
        <v>0</v>
      </c>
      <c r="BY11" s="4227"/>
      <c r="BZ11" s="2011">
        <f>Coastal!K8</f>
        <v>0</v>
      </c>
      <c r="CA11" s="4227"/>
      <c r="CB11" s="1782"/>
      <c r="CC11" s="2131" t="s">
        <v>1707</v>
      </c>
      <c r="CD11" s="1782"/>
      <c r="CE11" s="2131" t="s">
        <v>864</v>
      </c>
      <c r="CF11" s="2582">
        <f>Coastal!M8</f>
        <v>226</v>
      </c>
      <c r="CG11" s="4227"/>
      <c r="CH11" s="2011"/>
      <c r="CI11" s="2339">
        <v>0.96</v>
      </c>
      <c r="CJ11" s="4224"/>
      <c r="CK11" s="1782"/>
      <c r="CL11" s="4318" t="str">
        <f t="shared" ref="CL11:CL16" si="8">IF(AND(CE11="Tier 1a",CF11=0), "the zero reflects no data in Atwood et al. (2017) exists for the country, please use the IPCC default value or provide Tier 2 value", "")</f>
        <v/>
      </c>
      <c r="CM11" s="4363">
        <v>1</v>
      </c>
      <c r="CN11" s="4364"/>
      <c r="CO11" s="1996"/>
    </row>
    <row r="12" spans="2:93" x14ac:dyDescent="0.2">
      <c r="B12" s="1781"/>
      <c r="C12" s="2125" t="s">
        <v>57</v>
      </c>
      <c r="D12" s="1781"/>
      <c r="E12" s="1781"/>
      <c r="F12" s="2103">
        <v>0</v>
      </c>
      <c r="G12" s="1806"/>
      <c r="H12" s="4224">
        <v>0</v>
      </c>
      <c r="I12" s="1806"/>
      <c r="J12" s="4224">
        <v>0</v>
      </c>
      <c r="K12" s="1781"/>
      <c r="L12" s="1781"/>
      <c r="M12" s="1781"/>
      <c r="N12" s="1806">
        <f t="shared" si="2"/>
        <v>0</v>
      </c>
      <c r="O12" s="1781"/>
      <c r="P12" s="1806">
        <f t="shared" si="3"/>
        <v>0</v>
      </c>
      <c r="Q12" s="1806"/>
      <c r="R12" s="1841">
        <f t="shared" si="0"/>
        <v>0</v>
      </c>
      <c r="S12" s="1841"/>
      <c r="T12" s="1841">
        <f t="shared" si="4"/>
        <v>0</v>
      </c>
      <c r="U12" s="1841"/>
      <c r="V12" s="1841">
        <f t="shared" si="5"/>
        <v>0</v>
      </c>
      <c r="W12" s="1781"/>
      <c r="X12" s="1781"/>
      <c r="Y12" s="1781"/>
      <c r="Z12" s="1781"/>
      <c r="AA12" s="1781"/>
      <c r="AB12" s="1781"/>
      <c r="AC12" s="1781"/>
      <c r="AD12" s="1781"/>
      <c r="AE12" s="1841">
        <f>Coastal!O18</f>
        <v>0</v>
      </c>
      <c r="AF12" s="1781"/>
      <c r="AG12" s="1841">
        <f>Coastal!P18</f>
        <v>0</v>
      </c>
      <c r="AH12" s="1781"/>
      <c r="AI12" s="1806">
        <f t="shared" si="6"/>
        <v>0</v>
      </c>
      <c r="AJ12" s="1781"/>
      <c r="BQ12" s="1782"/>
      <c r="BR12" s="1800" t="str">
        <f t="shared" si="7"/>
        <v>Please select</v>
      </c>
      <c r="BS12" s="1782"/>
      <c r="BT12" s="2011">
        <f>Coastal!E9</f>
        <v>0</v>
      </c>
      <c r="BU12" s="4227"/>
      <c r="BV12" s="2011">
        <f>Coastal!G9</f>
        <v>0</v>
      </c>
      <c r="BW12" s="4227"/>
      <c r="BX12" s="2011">
        <f>Coastal!I9</f>
        <v>0</v>
      </c>
      <c r="BY12" s="4227"/>
      <c r="BZ12" s="2011">
        <f>Coastal!K9</f>
        <v>0</v>
      </c>
      <c r="CA12" s="4227"/>
      <c r="CB12" s="1782"/>
      <c r="CC12" s="2131" t="s">
        <v>1707</v>
      </c>
      <c r="CD12" s="1782"/>
      <c r="CE12" s="2131" t="s">
        <v>864</v>
      </c>
      <c r="CF12" s="2582">
        <f>Coastal!M9</f>
        <v>0</v>
      </c>
      <c r="CG12" s="4227"/>
      <c r="CH12" s="2011"/>
      <c r="CI12" s="2339">
        <v>0.96</v>
      </c>
      <c r="CJ12" s="4224"/>
      <c r="CK12" s="1782"/>
      <c r="CL12" s="4318" t="str">
        <f t="shared" si="8"/>
        <v/>
      </c>
      <c r="CM12" s="4363">
        <v>1</v>
      </c>
      <c r="CN12" s="4364"/>
      <c r="CO12" s="1996"/>
    </row>
    <row r="13" spans="2:93" x14ac:dyDescent="0.2">
      <c r="B13" s="1781"/>
      <c r="C13" s="2125" t="s">
        <v>57</v>
      </c>
      <c r="D13" s="1781"/>
      <c r="E13" s="1781"/>
      <c r="F13" s="2103">
        <v>0</v>
      </c>
      <c r="G13" s="1806"/>
      <c r="H13" s="4224">
        <v>0</v>
      </c>
      <c r="I13" s="1806"/>
      <c r="J13" s="4224">
        <v>0</v>
      </c>
      <c r="K13" s="1781"/>
      <c r="L13" s="1781"/>
      <c r="M13" s="1781"/>
      <c r="N13" s="1806">
        <f t="shared" si="2"/>
        <v>0</v>
      </c>
      <c r="O13" s="1781"/>
      <c r="P13" s="1806">
        <f t="shared" si="3"/>
        <v>0</v>
      </c>
      <c r="Q13" s="1806"/>
      <c r="R13" s="1841">
        <f t="shared" si="0"/>
        <v>0</v>
      </c>
      <c r="S13" s="1841"/>
      <c r="T13" s="1841">
        <f t="shared" si="4"/>
        <v>0</v>
      </c>
      <c r="U13" s="1841"/>
      <c r="V13" s="1841">
        <f t="shared" si="5"/>
        <v>0</v>
      </c>
      <c r="W13" s="1781"/>
      <c r="X13" s="1781"/>
      <c r="Y13" s="1781"/>
      <c r="Z13" s="1781"/>
      <c r="AA13" s="1781"/>
      <c r="AB13" s="1781"/>
      <c r="AC13" s="1781"/>
      <c r="AD13" s="1781"/>
      <c r="AE13" s="1841">
        <f>Coastal!O19</f>
        <v>0</v>
      </c>
      <c r="AF13" s="1781"/>
      <c r="AG13" s="1841">
        <f>Coastal!P19</f>
        <v>0</v>
      </c>
      <c r="AH13" s="1781"/>
      <c r="AI13" s="1806">
        <f t="shared" si="6"/>
        <v>0</v>
      </c>
      <c r="AJ13" s="1781"/>
      <c r="BQ13" s="1782"/>
      <c r="BR13" s="1800" t="str">
        <f t="shared" si="7"/>
        <v>Please select</v>
      </c>
      <c r="BS13" s="1782"/>
      <c r="BT13" s="2011">
        <f>Coastal!E10</f>
        <v>0</v>
      </c>
      <c r="BU13" s="4227"/>
      <c r="BV13" s="2011">
        <f>Coastal!G10</f>
        <v>0</v>
      </c>
      <c r="BW13" s="4227"/>
      <c r="BX13" s="2011">
        <f>Coastal!I10</f>
        <v>0</v>
      </c>
      <c r="BY13" s="4227"/>
      <c r="BZ13" s="2011">
        <f>Coastal!K10</f>
        <v>0</v>
      </c>
      <c r="CA13" s="4227"/>
      <c r="CB13" s="1782"/>
      <c r="CC13" s="2131" t="s">
        <v>1707</v>
      </c>
      <c r="CD13" s="1782"/>
      <c r="CE13" s="2131" t="s">
        <v>864</v>
      </c>
      <c r="CF13" s="2582">
        <f>Coastal!M10</f>
        <v>0</v>
      </c>
      <c r="CG13" s="4227"/>
      <c r="CH13" s="2011"/>
      <c r="CI13" s="2339">
        <v>0.96</v>
      </c>
      <c r="CJ13" s="4224"/>
      <c r="CK13" s="1782"/>
      <c r="CL13" s="4318" t="str">
        <f t="shared" si="8"/>
        <v/>
      </c>
      <c r="CM13" s="4363">
        <v>1</v>
      </c>
      <c r="CN13" s="4364"/>
      <c r="CO13" s="1996"/>
    </row>
    <row r="14" spans="2:93" x14ac:dyDescent="0.2">
      <c r="B14" s="1781"/>
      <c r="C14" s="2125" t="s">
        <v>57</v>
      </c>
      <c r="D14" s="1781"/>
      <c r="E14" s="1781"/>
      <c r="F14" s="2103">
        <v>0</v>
      </c>
      <c r="G14" s="1806"/>
      <c r="H14" s="4224">
        <v>0</v>
      </c>
      <c r="I14" s="1806"/>
      <c r="J14" s="4224">
        <v>0</v>
      </c>
      <c r="K14" s="1781"/>
      <c r="L14" s="1781"/>
      <c r="M14" s="1781"/>
      <c r="N14" s="1806">
        <f t="shared" si="2"/>
        <v>0</v>
      </c>
      <c r="O14" s="1781"/>
      <c r="P14" s="1806">
        <f t="shared" si="3"/>
        <v>0</v>
      </c>
      <c r="Q14" s="1806"/>
      <c r="R14" s="1841">
        <f t="shared" si="0"/>
        <v>0</v>
      </c>
      <c r="S14" s="1841"/>
      <c r="T14" s="1841">
        <f t="shared" si="4"/>
        <v>0</v>
      </c>
      <c r="U14" s="1841"/>
      <c r="V14" s="1841">
        <f t="shared" si="5"/>
        <v>0</v>
      </c>
      <c r="W14" s="1781"/>
      <c r="X14" s="1781"/>
      <c r="Y14" s="1781"/>
      <c r="Z14" s="1781"/>
      <c r="AA14" s="1781"/>
      <c r="AB14" s="1781"/>
      <c r="AC14" s="1781"/>
      <c r="AD14" s="1781"/>
      <c r="AE14" s="1841">
        <f>Coastal!O20</f>
        <v>0</v>
      </c>
      <c r="AF14" s="1781"/>
      <c r="AG14" s="1841">
        <f>Coastal!P20</f>
        <v>0</v>
      </c>
      <c r="AH14" s="1781"/>
      <c r="AI14" s="1806">
        <f t="shared" si="6"/>
        <v>0</v>
      </c>
      <c r="AJ14" s="1781"/>
      <c r="BQ14" s="1782"/>
      <c r="BR14" s="1800" t="str">
        <f t="shared" si="7"/>
        <v>Please select</v>
      </c>
      <c r="BS14" s="1782"/>
      <c r="BT14" s="2011">
        <f>Coastal!E11</f>
        <v>0</v>
      </c>
      <c r="BU14" s="4227"/>
      <c r="BV14" s="2011">
        <f>Coastal!G11</f>
        <v>0</v>
      </c>
      <c r="BW14" s="4227"/>
      <c r="BX14" s="2011">
        <f>Coastal!I11</f>
        <v>0</v>
      </c>
      <c r="BY14" s="4227"/>
      <c r="BZ14" s="2011">
        <f>Coastal!K11</f>
        <v>0</v>
      </c>
      <c r="CA14" s="4227"/>
      <c r="CB14" s="1782"/>
      <c r="CC14" s="2131" t="s">
        <v>1707</v>
      </c>
      <c r="CD14" s="1782"/>
      <c r="CE14" s="2131" t="s">
        <v>864</v>
      </c>
      <c r="CF14" s="2582">
        <f>Coastal!M11</f>
        <v>0</v>
      </c>
      <c r="CG14" s="4227"/>
      <c r="CH14" s="2011"/>
      <c r="CI14" s="2339">
        <v>0.96</v>
      </c>
      <c r="CJ14" s="4224"/>
      <c r="CK14" s="1782"/>
      <c r="CL14" s="4318" t="str">
        <f t="shared" si="8"/>
        <v/>
      </c>
      <c r="CM14" s="4363">
        <v>1</v>
      </c>
      <c r="CN14" s="4364"/>
      <c r="CO14" s="1996"/>
    </row>
    <row r="15" spans="2:93" x14ac:dyDescent="0.2">
      <c r="B15" s="1781"/>
      <c r="C15" s="2125" t="s">
        <v>57</v>
      </c>
      <c r="D15" s="1781"/>
      <c r="E15" s="1781"/>
      <c r="F15" s="2103">
        <v>0</v>
      </c>
      <c r="G15" s="1806"/>
      <c r="H15" s="4224">
        <v>0</v>
      </c>
      <c r="I15" s="1806"/>
      <c r="J15" s="4224">
        <v>0</v>
      </c>
      <c r="K15" s="1781"/>
      <c r="L15" s="1781"/>
      <c r="M15" s="1781"/>
      <c r="N15" s="1806">
        <f t="shared" si="2"/>
        <v>0</v>
      </c>
      <c r="O15" s="1781"/>
      <c r="P15" s="1806">
        <f t="shared" si="3"/>
        <v>0</v>
      </c>
      <c r="Q15" s="1806"/>
      <c r="R15" s="1841">
        <f t="shared" si="0"/>
        <v>0</v>
      </c>
      <c r="S15" s="1841"/>
      <c r="T15" s="1841">
        <f t="shared" si="4"/>
        <v>0</v>
      </c>
      <c r="U15" s="1841"/>
      <c r="V15" s="1841">
        <f t="shared" si="5"/>
        <v>0</v>
      </c>
      <c r="W15" s="1781"/>
      <c r="X15" s="1781"/>
      <c r="Y15" s="1781"/>
      <c r="Z15" s="1781"/>
      <c r="AA15" s="1781"/>
      <c r="AB15" s="1781"/>
      <c r="AC15" s="1781"/>
      <c r="AD15" s="1781"/>
      <c r="AE15" s="1841">
        <f>Coastal!O21</f>
        <v>0</v>
      </c>
      <c r="AF15" s="1781"/>
      <c r="AG15" s="1841">
        <f>Coastal!P21</f>
        <v>0</v>
      </c>
      <c r="AH15" s="1781"/>
      <c r="AI15" s="1806">
        <f t="shared" si="6"/>
        <v>0</v>
      </c>
      <c r="AJ15" s="1781"/>
      <c r="BQ15" s="1782"/>
      <c r="BR15" s="1800" t="str">
        <f t="shared" si="7"/>
        <v>Please select</v>
      </c>
      <c r="BS15" s="1782"/>
      <c r="BT15" s="2011">
        <f>Coastal!E12</f>
        <v>0</v>
      </c>
      <c r="BU15" s="4227"/>
      <c r="BV15" s="2011">
        <f>Coastal!G12</f>
        <v>0</v>
      </c>
      <c r="BW15" s="4227"/>
      <c r="BX15" s="2011">
        <f>Coastal!I12</f>
        <v>0</v>
      </c>
      <c r="BY15" s="4227"/>
      <c r="BZ15" s="2011">
        <f>Coastal!K12</f>
        <v>0</v>
      </c>
      <c r="CA15" s="4227"/>
      <c r="CB15" s="1782"/>
      <c r="CC15" s="2131" t="s">
        <v>1707</v>
      </c>
      <c r="CD15" s="1782"/>
      <c r="CE15" s="2131" t="s">
        <v>864</v>
      </c>
      <c r="CF15" s="2582">
        <f>Coastal!M12</f>
        <v>0</v>
      </c>
      <c r="CG15" s="4227"/>
      <c r="CH15" s="2011"/>
      <c r="CI15" s="2339">
        <v>0.96</v>
      </c>
      <c r="CJ15" s="4224"/>
      <c r="CK15" s="1782"/>
      <c r="CL15" s="4318" t="str">
        <f t="shared" si="8"/>
        <v/>
      </c>
      <c r="CM15" s="4363">
        <v>1</v>
      </c>
      <c r="CN15" s="4364"/>
      <c r="CO15" s="1996"/>
    </row>
    <row r="16" spans="2:93" x14ac:dyDescent="0.2">
      <c r="B16" s="1781"/>
      <c r="C16" s="2125" t="s">
        <v>57</v>
      </c>
      <c r="D16" s="1781"/>
      <c r="E16" s="1781"/>
      <c r="F16" s="2103">
        <v>0</v>
      </c>
      <c r="G16" s="1806"/>
      <c r="H16" s="4224">
        <v>0</v>
      </c>
      <c r="I16" s="1806"/>
      <c r="J16" s="4224">
        <v>0</v>
      </c>
      <c r="K16" s="1781"/>
      <c r="L16" s="1781"/>
      <c r="M16" s="1781"/>
      <c r="N16" s="1806">
        <f t="shared" si="2"/>
        <v>0</v>
      </c>
      <c r="O16" s="1781"/>
      <c r="P16" s="1806">
        <f t="shared" si="3"/>
        <v>0</v>
      </c>
      <c r="Q16" s="1806"/>
      <c r="R16" s="1841">
        <f t="shared" si="0"/>
        <v>0</v>
      </c>
      <c r="S16" s="1841"/>
      <c r="T16" s="1841">
        <f t="shared" si="4"/>
        <v>0</v>
      </c>
      <c r="U16" s="1841"/>
      <c r="V16" s="1841">
        <f t="shared" si="5"/>
        <v>0</v>
      </c>
      <c r="W16" s="1781"/>
      <c r="X16" s="1781"/>
      <c r="Y16" s="1781"/>
      <c r="Z16" s="1781"/>
      <c r="AA16" s="1781"/>
      <c r="AB16" s="1781"/>
      <c r="AC16" s="1781"/>
      <c r="AD16" s="1781"/>
      <c r="AE16" s="1841">
        <f>Coastal!O22</f>
        <v>0</v>
      </c>
      <c r="AF16" s="1781"/>
      <c r="AG16" s="1841">
        <f>Coastal!P22</f>
        <v>0</v>
      </c>
      <c r="AH16" s="1781"/>
      <c r="AI16" s="1806">
        <f t="shared" si="6"/>
        <v>0</v>
      </c>
      <c r="AJ16" s="1781"/>
      <c r="BQ16" s="1782"/>
      <c r="BR16" s="1800" t="str">
        <f t="shared" si="7"/>
        <v>Please select</v>
      </c>
      <c r="BS16" s="1782"/>
      <c r="BT16" s="2011">
        <f>Coastal!E13</f>
        <v>0</v>
      </c>
      <c r="BU16" s="4227"/>
      <c r="BV16" s="2011">
        <f>Coastal!G13</f>
        <v>0</v>
      </c>
      <c r="BW16" s="4227"/>
      <c r="BX16" s="2011">
        <f>Coastal!I13</f>
        <v>0</v>
      </c>
      <c r="BY16" s="4227"/>
      <c r="BZ16" s="2011">
        <f>Coastal!K13</f>
        <v>0</v>
      </c>
      <c r="CA16" s="4227"/>
      <c r="CB16" s="1782"/>
      <c r="CC16" s="2131" t="s">
        <v>1707</v>
      </c>
      <c r="CD16" s="1782"/>
      <c r="CE16" s="2131" t="s">
        <v>864</v>
      </c>
      <c r="CF16" s="2582">
        <f>Coastal!M13</f>
        <v>0</v>
      </c>
      <c r="CG16" s="4227"/>
      <c r="CH16" s="2011"/>
      <c r="CI16" s="2339">
        <v>0.96</v>
      </c>
      <c r="CJ16" s="4224"/>
      <c r="CK16" s="1782"/>
      <c r="CL16" s="4318" t="str">
        <f t="shared" si="8"/>
        <v/>
      </c>
      <c r="CM16" s="4363">
        <v>1</v>
      </c>
      <c r="CN16" s="4364"/>
      <c r="CO16" s="1996"/>
    </row>
    <row r="17" spans="2:93" ht="16" x14ac:dyDescent="0.2">
      <c r="B17" s="1781"/>
      <c r="C17" s="1781"/>
      <c r="D17" s="1781"/>
      <c r="E17" s="1781"/>
      <c r="F17" s="1781"/>
      <c r="G17" s="1781"/>
      <c r="H17" s="1781"/>
      <c r="I17" s="1781"/>
      <c r="J17" s="1781"/>
      <c r="K17" s="1781"/>
      <c r="L17" s="1781"/>
      <c r="M17" s="1781"/>
      <c r="N17" s="1781"/>
      <c r="O17" s="1781"/>
      <c r="P17" s="1781"/>
      <c r="Q17" s="1781"/>
      <c r="R17" s="1781"/>
      <c r="S17" s="1781"/>
      <c r="T17" s="1781"/>
      <c r="U17" s="1781"/>
      <c r="V17" s="1781"/>
      <c r="W17" s="1781"/>
      <c r="X17" s="1781"/>
      <c r="Y17" s="1781"/>
      <c r="Z17" s="1781"/>
      <c r="AA17" s="1781"/>
      <c r="AB17" s="1781"/>
      <c r="AC17" s="1781"/>
      <c r="AD17" s="1781"/>
      <c r="AE17" s="1781"/>
      <c r="AF17" s="1781"/>
      <c r="AG17" s="1781"/>
      <c r="AH17" s="1781"/>
      <c r="AI17" s="1781"/>
      <c r="AJ17" s="1781"/>
      <c r="BQ17" s="1782"/>
      <c r="BR17" s="1794"/>
      <c r="BS17" s="1782"/>
      <c r="BT17" s="1782"/>
      <c r="BU17" s="1782"/>
      <c r="BV17" s="1782"/>
      <c r="BW17" s="1782"/>
      <c r="BX17" s="1782"/>
      <c r="BY17" s="1782"/>
      <c r="BZ17" s="1782"/>
      <c r="CA17" s="1782"/>
      <c r="CB17" s="1782"/>
      <c r="CC17" s="1782"/>
      <c r="CD17" s="1782"/>
      <c r="CE17" s="1782"/>
      <c r="CF17" s="1782"/>
      <c r="CG17" s="1782"/>
      <c r="CH17" s="1782"/>
      <c r="CI17" s="1782"/>
      <c r="CJ17" s="1782"/>
      <c r="CK17" s="1782"/>
      <c r="CM17" s="1996"/>
      <c r="CN17" s="1996"/>
      <c r="CO17" s="1996"/>
    </row>
    <row r="18" spans="2:93" ht="16" x14ac:dyDescent="0.2">
      <c r="B18" s="1781"/>
      <c r="C18" s="1781"/>
      <c r="D18" s="1781"/>
      <c r="E18" s="1781"/>
      <c r="F18" s="1781"/>
      <c r="G18" s="1781"/>
      <c r="H18" s="1781"/>
      <c r="I18" s="1781"/>
      <c r="J18" s="1781"/>
      <c r="K18" s="1781"/>
      <c r="L18" s="1781"/>
      <c r="M18" s="1781"/>
      <c r="N18" s="1781"/>
      <c r="O18" s="1781"/>
      <c r="P18" s="1781"/>
      <c r="Q18" s="1781"/>
      <c r="R18" s="1781"/>
      <c r="S18" s="1781"/>
      <c r="T18" s="1781"/>
      <c r="U18" s="1781"/>
      <c r="V18" s="1781"/>
      <c r="W18" s="1781"/>
      <c r="X18" s="1781"/>
      <c r="Y18" s="1781"/>
      <c r="Z18" s="1781"/>
      <c r="AA18" s="1781"/>
      <c r="AB18" s="1781"/>
      <c r="AC18" s="1781"/>
      <c r="AD18" s="1781"/>
      <c r="AE18" s="1781"/>
      <c r="AF18" s="1781"/>
      <c r="AG18" s="1781"/>
      <c r="AH18" s="1781"/>
      <c r="AI18" s="1781"/>
      <c r="AJ18" s="1781"/>
      <c r="BQ18" s="1782"/>
      <c r="BR18" s="1794"/>
      <c r="BS18" s="1782"/>
      <c r="BT18" s="1782"/>
      <c r="BU18" s="1782"/>
      <c r="BV18" s="1782"/>
      <c r="BW18" s="1782"/>
      <c r="BX18" s="1782"/>
      <c r="BY18" s="1782"/>
      <c r="BZ18" s="1782"/>
      <c r="CA18" s="1782"/>
      <c r="CB18" s="1782"/>
      <c r="CC18" s="1782"/>
      <c r="CD18" s="1782"/>
      <c r="CE18" s="1782"/>
      <c r="CF18" s="1782"/>
      <c r="CG18" s="1782"/>
      <c r="CH18" s="1782"/>
      <c r="CI18" s="1782"/>
      <c r="CJ18" s="1782"/>
      <c r="CK18" s="1782"/>
      <c r="CM18" s="4548" t="s">
        <v>87</v>
      </c>
      <c r="CN18" s="4548"/>
      <c r="CO18" s="4548"/>
    </row>
    <row r="19" spans="2:93" ht="15" customHeight="1" x14ac:dyDescent="0.2">
      <c r="B19" s="1781"/>
      <c r="C19" s="1781"/>
      <c r="D19" s="1781"/>
      <c r="E19" s="1781"/>
      <c r="F19" s="1781"/>
      <c r="G19" s="1781"/>
      <c r="H19" s="1781"/>
      <c r="I19" s="1781"/>
      <c r="J19" s="1781"/>
      <c r="K19" s="1781"/>
      <c r="L19" s="1781"/>
      <c r="M19" s="1781"/>
      <c r="N19" s="1781"/>
      <c r="O19" s="1781"/>
      <c r="P19" s="1781"/>
      <c r="Q19" s="1781"/>
      <c r="R19" s="1781"/>
      <c r="S19" s="1781"/>
      <c r="T19" s="1781"/>
      <c r="U19" s="1781"/>
      <c r="V19" s="1853"/>
      <c r="W19" s="1853"/>
      <c r="X19" s="1853"/>
      <c r="Y19" s="1853"/>
      <c r="Z19" s="1853"/>
      <c r="AA19" s="1853"/>
      <c r="AB19" s="2018" t="str">
        <f>Languages!B555</f>
        <v>Total for extraction and excavation (tCO2-e)</v>
      </c>
      <c r="AC19" s="2018"/>
      <c r="AD19" s="4217"/>
      <c r="AE19" s="2035">
        <f>SUM(AE11:AE16)</f>
        <v>19888</v>
      </c>
      <c r="AF19" s="2035"/>
      <c r="AG19" s="2035">
        <f>SUM(AG11:AG16)</f>
        <v>19888</v>
      </c>
      <c r="AH19" s="2035"/>
      <c r="AI19" s="2035">
        <f>SUM(AI11:AI16)</f>
        <v>0</v>
      </c>
      <c r="AJ19" s="1781"/>
      <c r="BQ19" s="1782"/>
      <c r="BR19" s="1782"/>
      <c r="BS19" s="1782"/>
      <c r="BT19" s="1782"/>
      <c r="BU19" s="1782"/>
      <c r="BV19" s="1782"/>
      <c r="BW19" s="1782"/>
      <c r="BX19" s="1782"/>
      <c r="BY19" s="1782"/>
      <c r="BZ19" s="1782"/>
      <c r="CA19" s="1782"/>
      <c r="CB19" s="1782"/>
      <c r="CC19" s="1782"/>
      <c r="CD19" s="1782"/>
      <c r="CE19" s="1782"/>
      <c r="CF19" s="1782"/>
      <c r="CG19" s="1782"/>
      <c r="CH19" s="1782"/>
      <c r="CI19" s="1782"/>
      <c r="CJ19" s="1782"/>
      <c r="CK19" s="1782"/>
      <c r="CM19" s="4548"/>
      <c r="CN19" s="4548"/>
      <c r="CO19" s="4548"/>
    </row>
    <row r="20" spans="2:93" x14ac:dyDescent="0.2">
      <c r="B20" s="1781"/>
      <c r="C20" s="1781"/>
      <c r="D20" s="1781"/>
      <c r="E20" s="1781"/>
      <c r="F20" s="1781"/>
      <c r="G20" s="1781"/>
      <c r="H20" s="1781"/>
      <c r="I20" s="1781"/>
      <c r="J20" s="1781"/>
      <c r="K20" s="1781"/>
      <c r="L20" s="1781"/>
      <c r="M20" s="1781"/>
      <c r="N20" s="1781"/>
      <c r="O20" s="1781"/>
      <c r="P20" s="1781"/>
      <c r="Q20" s="1781"/>
      <c r="R20" s="1781"/>
      <c r="S20" s="1781"/>
      <c r="T20" s="1781"/>
      <c r="U20" s="1781"/>
      <c r="V20" s="1781"/>
      <c r="W20" s="1781"/>
      <c r="X20" s="1781"/>
      <c r="Y20" s="1781"/>
      <c r="Z20" s="1781"/>
      <c r="AA20" s="1781"/>
      <c r="AB20" s="1781"/>
      <c r="AC20" s="1781"/>
      <c r="AD20" s="1781"/>
      <c r="AE20" s="1781"/>
      <c r="AF20" s="1781"/>
      <c r="AG20" s="1781"/>
      <c r="AH20" s="1781"/>
      <c r="AI20" s="1781"/>
      <c r="AJ20" s="1781"/>
      <c r="BQ20" s="1782"/>
      <c r="BR20" s="1782" t="str">
        <f>'5.Management'!AQ23</f>
        <v>Use this part only if you want to refine the analysis at Tier 2</v>
      </c>
      <c r="BS20" s="1782"/>
      <c r="BT20" s="1782"/>
      <c r="BU20" s="1782"/>
      <c r="BV20" s="1782"/>
      <c r="BW20" s="1782"/>
      <c r="BX20" s="1782"/>
      <c r="BY20" s="1782"/>
      <c r="BZ20" s="1782"/>
      <c r="CA20" s="1782"/>
      <c r="CB20" s="1782"/>
      <c r="CC20" s="1782"/>
      <c r="CD20" s="1782"/>
      <c r="CE20" s="1782"/>
      <c r="CF20" s="1782"/>
      <c r="CG20" s="1782"/>
      <c r="CH20" s="1782"/>
      <c r="CI20" s="1782"/>
      <c r="CJ20" s="1782"/>
      <c r="CK20" s="1782"/>
      <c r="CM20" s="4548"/>
      <c r="CN20" s="4548"/>
      <c r="CO20" s="4548"/>
    </row>
    <row r="21" spans="2:93" x14ac:dyDescent="0.2">
      <c r="B21" s="1781"/>
      <c r="C21" s="1820" t="str">
        <f>Languages!B23</f>
        <v>*The selection of "D" corresponds to a default (linear) dynamics of change. Other selection options include "I" for immediate changes and "E" for exponential - please refer to the guidelines for further explanation of these assumptions.</v>
      </c>
      <c r="D21" s="1820"/>
      <c r="E21" s="1781"/>
      <c r="F21" s="1781"/>
      <c r="G21" s="1781"/>
      <c r="H21" s="1781"/>
      <c r="I21" s="1781"/>
      <c r="J21" s="1781"/>
      <c r="K21" s="1781"/>
      <c r="L21" s="1781"/>
      <c r="M21" s="1781"/>
      <c r="N21" s="1781"/>
      <c r="O21" s="1781"/>
      <c r="P21" s="1781"/>
      <c r="Q21" s="1781"/>
      <c r="R21" s="1781"/>
      <c r="S21" s="1781"/>
      <c r="T21" s="1781"/>
      <c r="U21" s="1781"/>
      <c r="V21" s="1781"/>
      <c r="W21" s="1781"/>
      <c r="X21" s="1781"/>
      <c r="Y21" s="1781"/>
      <c r="Z21" s="1781"/>
      <c r="AA21" s="1781"/>
      <c r="AB21" s="1781"/>
      <c r="AC21" s="1781"/>
      <c r="AD21" s="1781"/>
      <c r="AE21" s="1781"/>
      <c r="AF21" s="1781"/>
      <c r="AG21" s="1781"/>
      <c r="AH21" s="1781"/>
      <c r="AI21" s="1781"/>
      <c r="AJ21" s="1781"/>
      <c r="BQ21" s="1782"/>
      <c r="BR21" s="1782" t="str">
        <f>'5.Management'!AQ24</f>
        <v>IPCC default values are provided for your information only; EX-ACT will use Tier 2 values automatically wherever specified.</v>
      </c>
      <c r="BS21" s="1782"/>
      <c r="BT21" s="1782"/>
      <c r="BU21" s="1782"/>
      <c r="BV21" s="1782"/>
      <c r="BW21" s="1782"/>
      <c r="BX21" s="1782"/>
      <c r="BY21" s="1782"/>
      <c r="BZ21" s="1782"/>
      <c r="CA21" s="1782"/>
      <c r="CB21" s="1782"/>
      <c r="CC21" s="1782"/>
      <c r="CD21" s="1782"/>
      <c r="CE21" s="1782"/>
      <c r="CF21" s="1782"/>
      <c r="CG21" s="1782"/>
      <c r="CH21" s="1782"/>
      <c r="CI21" s="1782"/>
      <c r="CJ21" s="1782"/>
      <c r="CK21" s="1782"/>
      <c r="CM21" s="1996"/>
      <c r="CN21" s="1996"/>
      <c r="CO21" s="1996"/>
    </row>
    <row r="22" spans="2:93" x14ac:dyDescent="0.2">
      <c r="B22" s="1781"/>
      <c r="C22" s="1781"/>
      <c r="D22" s="1781"/>
      <c r="E22" s="1781"/>
      <c r="F22" s="1781"/>
      <c r="G22" s="1781"/>
      <c r="H22" s="1781"/>
      <c r="I22" s="1781"/>
      <c r="J22" s="1781"/>
      <c r="K22" s="1781"/>
      <c r="L22" s="1781"/>
      <c r="M22" s="1781"/>
      <c r="N22" s="1781"/>
      <c r="O22" s="1781"/>
      <c r="P22" s="1781"/>
      <c r="Q22" s="1781"/>
      <c r="R22" s="1781"/>
      <c r="S22" s="1781"/>
      <c r="T22" s="1781"/>
      <c r="U22" s="1781"/>
      <c r="V22" s="1781"/>
      <c r="W22" s="1781"/>
      <c r="X22" s="1781"/>
      <c r="Y22" s="1781"/>
      <c r="Z22" s="1781"/>
      <c r="AA22" s="1781"/>
      <c r="AB22" s="1781"/>
      <c r="AC22" s="1781"/>
      <c r="AD22" s="1781"/>
      <c r="AE22" s="1781"/>
      <c r="AF22" s="1781"/>
      <c r="AG22" s="1781"/>
      <c r="AH22" s="1781"/>
      <c r="AI22" s="1781"/>
      <c r="AJ22" s="1781"/>
      <c r="BQ22" s="1782"/>
      <c r="BR22" s="1782"/>
      <c r="BS22" s="1782"/>
      <c r="BT22" s="1782"/>
      <c r="BU22" s="1782"/>
      <c r="BV22" s="1782"/>
      <c r="BW22" s="1782"/>
      <c r="BX22" s="1782"/>
      <c r="BY22" s="1782"/>
      <c r="BZ22" s="1782"/>
      <c r="CA22" s="1782"/>
      <c r="CB22" s="1782"/>
      <c r="CC22" s="1782"/>
      <c r="CD22" s="1782"/>
      <c r="CE22" s="1782"/>
      <c r="CF22" s="1782"/>
      <c r="CG22" s="1782"/>
      <c r="CH22" s="1782"/>
      <c r="CI22" s="1782"/>
      <c r="CJ22" s="1782"/>
      <c r="CK22" s="1782"/>
      <c r="CM22" s="1996"/>
      <c r="CN22" s="1996"/>
      <c r="CO22" s="1996"/>
    </row>
    <row r="24" spans="2:93" ht="31.25" customHeight="1" x14ac:dyDescent="0.2">
      <c r="B24" s="1767"/>
      <c r="C24" s="1769" t="str">
        <f>Languages!B552</f>
        <v>7.1.2 Drainage</v>
      </c>
      <c r="D24" s="1769"/>
      <c r="E24" s="2053"/>
      <c r="F24" s="1769"/>
      <c r="G24" s="1769"/>
      <c r="H24" s="1769"/>
      <c r="I24" s="1769"/>
      <c r="J24" s="1769"/>
      <c r="K24" s="1769"/>
      <c r="L24" s="1769"/>
      <c r="M24" s="1769"/>
      <c r="N24" s="1769"/>
      <c r="O24" s="1769"/>
      <c r="P24" s="1769"/>
      <c r="Q24" s="1769"/>
      <c r="R24" s="1769"/>
      <c r="S24" s="1769"/>
      <c r="T24" s="1769"/>
      <c r="U24" s="1769"/>
      <c r="V24" s="1769"/>
      <c r="W24" s="1769"/>
      <c r="X24" s="1769"/>
      <c r="Y24" s="1769"/>
      <c r="Z24" s="1769"/>
      <c r="AA24" s="1769"/>
      <c r="AB24" s="1769"/>
      <c r="AC24" s="1769"/>
      <c r="AD24" s="1769"/>
      <c r="AE24" s="1769"/>
      <c r="AF24" s="1769"/>
      <c r="AG24" s="1978" t="str">
        <f>AG4</f>
        <v>If country-specific data are available, please go to Tier 2:</v>
      </c>
      <c r="AH24" s="1769"/>
      <c r="AI24" s="1769"/>
      <c r="AJ24" s="1769"/>
      <c r="BQ24" s="1767"/>
      <c r="BR24" s="4212" t="str">
        <f>C24</f>
        <v>7.1.2 Drainage</v>
      </c>
      <c r="BS24" s="1767"/>
      <c r="BT24" s="1767"/>
      <c r="BU24" s="1767"/>
      <c r="BV24" s="1767"/>
      <c r="BW24" s="1767"/>
      <c r="BX24" s="1767"/>
      <c r="BY24" s="1767"/>
      <c r="BZ24" s="1767"/>
      <c r="CA24" s="1767"/>
      <c r="CB24" s="1767"/>
      <c r="CC24" s="1767"/>
      <c r="CD24" s="1767"/>
      <c r="CE24" s="1767"/>
      <c r="CF24" s="1767"/>
      <c r="CG24" s="1767"/>
      <c r="CH24" s="1767"/>
      <c r="CI24" s="1767"/>
      <c r="CJ24" s="1767"/>
      <c r="CK24" s="1767"/>
      <c r="CM24" s="4366" t="s">
        <v>71</v>
      </c>
      <c r="CN24" s="4366"/>
      <c r="CO24" s="4366"/>
    </row>
    <row r="25" spans="2:93" ht="16" x14ac:dyDescent="0.2">
      <c r="B25" s="1781"/>
      <c r="C25" s="4218" t="str">
        <f>Languages!B553</f>
        <v>Please specify area in the "Extraction and Excavation" module above.</v>
      </c>
      <c r="D25" s="4218"/>
      <c r="E25" s="4218"/>
      <c r="F25" s="4218"/>
      <c r="G25" s="4218"/>
      <c r="H25" s="4218"/>
      <c r="I25" s="4218"/>
      <c r="J25" s="4218"/>
      <c r="K25" s="1781"/>
      <c r="L25" s="1781"/>
      <c r="M25" s="1781"/>
      <c r="N25" s="1781"/>
      <c r="O25" s="1781"/>
      <c r="P25" s="1781"/>
      <c r="Q25" s="1781"/>
      <c r="R25" s="1781"/>
      <c r="S25" s="1781"/>
      <c r="T25" s="1781"/>
      <c r="U25" s="1781"/>
      <c r="V25" s="1781"/>
      <c r="W25" s="1781"/>
      <c r="X25" s="1781"/>
      <c r="Y25" s="1781"/>
      <c r="Z25" s="1781"/>
      <c r="AA25" s="1781"/>
      <c r="AB25" s="1781"/>
      <c r="AC25" s="1781"/>
      <c r="AD25" s="1781"/>
      <c r="AE25" s="1781"/>
      <c r="AF25" s="1781"/>
      <c r="AG25" s="1781"/>
      <c r="AH25" s="1781"/>
      <c r="AI25" s="1781"/>
      <c r="AJ25" s="1781"/>
      <c r="BQ25" s="1782"/>
      <c r="BR25" s="1782"/>
      <c r="BS25" s="1782"/>
      <c r="BT25" s="4214" t="str">
        <f>BT7</f>
        <v>All units are in tC/ha</v>
      </c>
      <c r="BU25" s="1785"/>
      <c r="BV25" s="1785"/>
      <c r="BW25" s="1785"/>
      <c r="BX25" s="1785"/>
      <c r="BY25" s="1785"/>
      <c r="BZ25" s="1785"/>
      <c r="CA25" s="1785"/>
      <c r="CB25" s="1785"/>
      <c r="CC25" s="1785"/>
      <c r="CD25" s="1785"/>
      <c r="CE25" s="1785"/>
      <c r="CF25" s="1785"/>
      <c r="CG25" s="1785"/>
      <c r="CH25" s="1782"/>
      <c r="CI25" s="1782"/>
      <c r="CJ25" s="1782"/>
      <c r="CK25" s="1782"/>
      <c r="CM25" s="1800"/>
      <c r="CN25" s="1800"/>
      <c r="CO25" s="1800"/>
    </row>
    <row r="26" spans="2:93" x14ac:dyDescent="0.2">
      <c r="B26" s="1781"/>
      <c r="C26" s="1781"/>
      <c r="D26" s="1781"/>
      <c r="E26" s="1781"/>
      <c r="F26" s="1781"/>
      <c r="G26" s="1781"/>
      <c r="H26" s="1781"/>
      <c r="I26" s="1781"/>
      <c r="J26" s="1781"/>
      <c r="K26" s="1781"/>
      <c r="L26" s="1781"/>
      <c r="M26" s="1781"/>
      <c r="N26" s="1781"/>
      <c r="O26" s="1781"/>
      <c r="P26" s="1781"/>
      <c r="Q26" s="1781"/>
      <c r="R26" s="1781"/>
      <c r="S26" s="1781"/>
      <c r="T26" s="1781"/>
      <c r="U26" s="1781"/>
      <c r="V26" s="1781"/>
      <c r="W26" s="1781"/>
      <c r="X26" s="1781"/>
      <c r="Y26" s="1781"/>
      <c r="Z26" s="1781"/>
      <c r="AA26" s="1781"/>
      <c r="AB26" s="1781"/>
      <c r="AC26" s="1781"/>
      <c r="AD26" s="1781"/>
      <c r="AE26" s="1826"/>
      <c r="AF26" s="1826"/>
      <c r="AG26" s="1826"/>
      <c r="AH26" s="1826"/>
      <c r="AI26" s="1826"/>
      <c r="AJ26" s="1826"/>
      <c r="BQ26" s="1782"/>
      <c r="BR26" s="1782"/>
      <c r="BS26" s="1782"/>
      <c r="BT26" s="1782"/>
      <c r="BU26" s="1782"/>
      <c r="BV26" s="1782"/>
      <c r="BW26" s="1782"/>
      <c r="BX26" s="1782"/>
      <c r="BY26" s="1782"/>
      <c r="BZ26" s="1782"/>
      <c r="CA26" s="1782"/>
      <c r="CB26" s="1782"/>
      <c r="CC26" s="1782"/>
      <c r="CD26" s="1782"/>
      <c r="CE26" s="1782"/>
      <c r="CF26" s="1782"/>
      <c r="CG26" s="1782"/>
      <c r="CH26" s="1782"/>
      <c r="CI26" s="1782"/>
      <c r="CJ26" s="1782"/>
      <c r="CK26" s="1782"/>
      <c r="CM26" s="1889" t="s">
        <v>74</v>
      </c>
      <c r="CN26" s="1889"/>
      <c r="CO26" s="1996"/>
    </row>
    <row r="27" spans="2:93" x14ac:dyDescent="0.2">
      <c r="B27" s="1781"/>
      <c r="C27" s="1826" t="str">
        <f>C9</f>
        <v xml:space="preserve">Type of vegetation </v>
      </c>
      <c r="D27" s="1826"/>
      <c r="E27" s="1781"/>
      <c r="F27" s="1789" t="str">
        <f>R9</f>
        <v xml:space="preserve">Maximum area available for drainage </v>
      </c>
      <c r="G27" s="1789"/>
      <c r="H27" s="1789"/>
      <c r="I27" s="1789"/>
      <c r="J27" s="1789"/>
      <c r="K27" s="1789"/>
      <c r="L27" s="1781"/>
      <c r="M27" s="1781"/>
      <c r="N27" s="1789" t="str">
        <f>Languages!B554</f>
        <v>% drained</v>
      </c>
      <c r="O27" s="1789"/>
      <c r="P27" s="1789"/>
      <c r="Q27" s="1789"/>
      <c r="R27" s="1789"/>
      <c r="S27" s="1781"/>
      <c r="T27" s="1781"/>
      <c r="U27" s="1781"/>
      <c r="V27" s="1789" t="str">
        <f>Languages!B534</f>
        <v>Area drained (ha)</v>
      </c>
      <c r="W27" s="1789"/>
      <c r="X27" s="1789"/>
      <c r="Y27" s="1789"/>
      <c r="Z27" s="1789"/>
      <c r="AA27" s="2043"/>
      <c r="AB27" s="2043"/>
      <c r="AC27" s="2043"/>
      <c r="AD27" s="1781"/>
      <c r="AE27" s="1826" t="str">
        <f>AE9</f>
        <v>Total emissions (tCO2-e)</v>
      </c>
      <c r="AF27" s="1781"/>
      <c r="AG27" s="1781"/>
      <c r="AH27" s="1781"/>
      <c r="AI27" s="1780" t="str">
        <f>AI9</f>
        <v>Balance</v>
      </c>
      <c r="AJ27" s="1781"/>
      <c r="BQ27" s="1782"/>
      <c r="BR27" s="1889" t="str">
        <f>C27</f>
        <v xml:space="preserve">Type of vegetation </v>
      </c>
      <c r="BS27" s="1782"/>
      <c r="BT27" s="4146" t="str">
        <f>BT9</f>
        <v>Above-ground</v>
      </c>
      <c r="BU27" s="1782"/>
      <c r="BV27" s="1783" t="str">
        <f>BV9</f>
        <v>Below-ground</v>
      </c>
      <c r="BW27" s="1782"/>
      <c r="BX27" s="4216" t="str">
        <f>BX9</f>
        <v>Litter</v>
      </c>
      <c r="BY27" s="1782"/>
      <c r="BZ27" s="1783" t="str">
        <f>BZ9</f>
        <v>Deadwood</v>
      </c>
      <c r="CA27" s="1782"/>
      <c r="CB27" s="1782"/>
      <c r="CC27" s="2150" t="str">
        <f>CC9</f>
        <v>Type of soil</v>
      </c>
      <c r="CD27" s="1782"/>
      <c r="CE27" s="2588" t="str">
        <f>CE9</f>
        <v>Soil (1 m depth)</v>
      </c>
      <c r="CF27" s="2588"/>
      <c r="CG27" s="1782"/>
      <c r="CH27" s="1782"/>
      <c r="CI27" s="1783" t="str">
        <f>Languages!B539</f>
        <v>EF drainage (tC/ha/yr)</v>
      </c>
      <c r="CJ27" s="1782"/>
      <c r="CK27" s="1782"/>
      <c r="CM27" s="2014" t="s">
        <v>82</v>
      </c>
      <c r="CN27" s="2014"/>
      <c r="CO27" s="1996"/>
    </row>
    <row r="28" spans="2:93" x14ac:dyDescent="0.2">
      <c r="B28" s="1781"/>
      <c r="C28" s="1781"/>
      <c r="D28" s="1781"/>
      <c r="E28" s="1781"/>
      <c r="F28" s="1806" t="str">
        <f>R10</f>
        <v>Start</v>
      </c>
      <c r="G28" s="1806"/>
      <c r="H28" s="1806" t="str">
        <f>T10</f>
        <v>Without</v>
      </c>
      <c r="I28" s="1806"/>
      <c r="J28" s="1806" t="str">
        <f>V10</f>
        <v>With</v>
      </c>
      <c r="K28" s="1806"/>
      <c r="L28" s="1781"/>
      <c r="M28" s="1781"/>
      <c r="N28" s="1806" t="str">
        <f>F10</f>
        <v>Start</v>
      </c>
      <c r="O28" s="1806"/>
      <c r="P28" s="1806" t="str">
        <f>H10</f>
        <v>Without</v>
      </c>
      <c r="Q28" s="1806" t="s">
        <v>83</v>
      </c>
      <c r="R28" s="1806" t="str">
        <f>J10</f>
        <v>With</v>
      </c>
      <c r="S28" s="1781" t="s">
        <v>83</v>
      </c>
      <c r="T28" s="1781"/>
      <c r="U28" s="1781"/>
      <c r="V28" s="1806" t="str">
        <f>N28</f>
        <v>Start</v>
      </c>
      <c r="W28" s="1806"/>
      <c r="X28" s="1806" t="str">
        <f>P28</f>
        <v>Without</v>
      </c>
      <c r="Y28" s="1806"/>
      <c r="Z28" s="1806" t="str">
        <f>R28</f>
        <v>With</v>
      </c>
      <c r="AA28" s="2043"/>
      <c r="AB28" s="2043"/>
      <c r="AC28" s="2043"/>
      <c r="AD28" s="1781"/>
      <c r="AE28" s="1806" t="str">
        <f>AE10</f>
        <v>Without</v>
      </c>
      <c r="AF28" s="1806"/>
      <c r="AG28" s="1806" t="str">
        <f>AG10</f>
        <v>With</v>
      </c>
      <c r="AH28" s="1781"/>
      <c r="AI28" s="1781"/>
      <c r="AJ28" s="1781"/>
      <c r="BQ28" s="1782"/>
      <c r="BR28" s="1800"/>
      <c r="BS28" s="1782"/>
      <c r="BT28" s="2151" t="str">
        <f>BT10</f>
        <v>Default</v>
      </c>
      <c r="BU28" s="2151" t="str">
        <f>BU10</f>
        <v>Tier 2</v>
      </c>
      <c r="BV28" s="2151" t="str">
        <f t="shared" ref="BV28:CA28" si="9">BT28</f>
        <v>Default</v>
      </c>
      <c r="BW28" s="2151" t="str">
        <f t="shared" si="9"/>
        <v>Tier 2</v>
      </c>
      <c r="BX28" s="2151" t="str">
        <f t="shared" si="9"/>
        <v>Default</v>
      </c>
      <c r="BY28" s="2151" t="str">
        <f t="shared" si="9"/>
        <v>Tier 2</v>
      </c>
      <c r="BZ28" s="2151" t="str">
        <f t="shared" si="9"/>
        <v>Default</v>
      </c>
      <c r="CA28" s="2151" t="str">
        <f t="shared" si="9"/>
        <v>Tier 2</v>
      </c>
      <c r="CB28" s="1782"/>
      <c r="CC28" s="1782"/>
      <c r="CD28" s="1782"/>
      <c r="CE28" s="2151" t="str">
        <f>CE10</f>
        <v>Tier</v>
      </c>
      <c r="CF28" s="2151" t="str">
        <f>BZ28</f>
        <v>Default</v>
      </c>
      <c r="CG28" s="2151" t="str">
        <f>CA28</f>
        <v>Tier 2</v>
      </c>
      <c r="CH28" s="2151"/>
      <c r="CI28" s="2151" t="str">
        <f>CF28</f>
        <v>Default</v>
      </c>
      <c r="CJ28" s="2151" t="str">
        <f>CG28</f>
        <v>Tier 2</v>
      </c>
      <c r="CK28" s="1782"/>
      <c r="CM28" s="1996"/>
      <c r="CN28" s="1996"/>
      <c r="CO28" s="1996"/>
    </row>
    <row r="29" spans="2:93" x14ac:dyDescent="0.2">
      <c r="B29" s="1781"/>
      <c r="C29" s="1781" t="str">
        <f t="shared" ref="C29:C34" si="10">C11</f>
        <v>Tidal marsh</v>
      </c>
      <c r="D29" s="1781"/>
      <c r="E29" s="1781"/>
      <c r="F29" s="1806">
        <f t="shared" ref="F29:F34" si="11">R11</f>
        <v>50</v>
      </c>
      <c r="G29" s="1841"/>
      <c r="H29" s="1806">
        <f t="shared" ref="H29:H34" si="12">T11</f>
        <v>25</v>
      </c>
      <c r="I29" s="1841"/>
      <c r="J29" s="1806">
        <f t="shared" ref="J29:J34" si="13">V11</f>
        <v>25</v>
      </c>
      <c r="K29" s="1841"/>
      <c r="L29" s="2110"/>
      <c r="M29" s="2110"/>
      <c r="N29" s="4224">
        <v>0.5</v>
      </c>
      <c r="O29" s="1781"/>
      <c r="P29" s="4224">
        <v>0.5</v>
      </c>
      <c r="Q29" s="2104" t="s">
        <v>86</v>
      </c>
      <c r="R29" s="4224">
        <v>0.5</v>
      </c>
      <c r="S29" s="2104" t="s">
        <v>86</v>
      </c>
      <c r="T29" s="1781"/>
      <c r="U29" s="1781"/>
      <c r="V29" s="1841">
        <f t="shared" ref="V29:V34" si="14">$R11*$N29</f>
        <v>25</v>
      </c>
      <c r="W29" s="1781"/>
      <c r="X29" s="1841">
        <f t="shared" ref="X29:X34" si="15">$T11*$P29</f>
        <v>12.5</v>
      </c>
      <c r="Y29" s="1781"/>
      <c r="Z29" s="1841">
        <f t="shared" ref="Z29:Z34" si="16">$V11*$R29</f>
        <v>12.5</v>
      </c>
      <c r="AA29" s="2043"/>
      <c r="AB29" s="2043"/>
      <c r="AC29" s="2043"/>
      <c r="AD29" s="1781"/>
      <c r="AE29" s="1841">
        <f>Coastal!O41+Coastal!O51</f>
        <v>4526.041666666667</v>
      </c>
      <c r="AF29" s="1806"/>
      <c r="AG29" s="1841">
        <f>Coastal!P41+Coastal!P51</f>
        <v>4526.041666666667</v>
      </c>
      <c r="AH29" s="1806"/>
      <c r="AI29" s="1806">
        <f t="shared" ref="AI29:AI34" si="17">AG29-AE29</f>
        <v>0</v>
      </c>
      <c r="AJ29" s="1781"/>
      <c r="BQ29" s="1782"/>
      <c r="BR29" s="1800" t="str">
        <f t="shared" ref="BR29:BR34" si="18">C29</f>
        <v>Tidal marsh</v>
      </c>
      <c r="BS29" s="1782"/>
      <c r="BT29" s="2011">
        <f>Coastal!E31</f>
        <v>0</v>
      </c>
      <c r="BU29" s="4227"/>
      <c r="BV29" s="2011">
        <f>Coastal!G31</f>
        <v>0</v>
      </c>
      <c r="BW29" s="4227"/>
      <c r="BX29" s="2011">
        <f>Coastal!I31</f>
        <v>0</v>
      </c>
      <c r="BY29" s="4227"/>
      <c r="BZ29" s="2011">
        <f>Coastal!K31</f>
        <v>0</v>
      </c>
      <c r="CA29" s="4227"/>
      <c r="CB29" s="1782"/>
      <c r="CC29" s="2131" t="s">
        <v>1707</v>
      </c>
      <c r="CD29" s="1782"/>
      <c r="CE29" s="2131" t="s">
        <v>864</v>
      </c>
      <c r="CF29" s="2582">
        <f>Coastal!M31</f>
        <v>226</v>
      </c>
      <c r="CG29" s="4227"/>
      <c r="CH29" s="2011"/>
      <c r="CI29" s="4219">
        <f>Coastal!O31</f>
        <v>7.9</v>
      </c>
      <c r="CJ29" s="4228"/>
      <c r="CK29" s="1782"/>
      <c r="CL29" s="4318" t="str">
        <f t="shared" ref="CL29:CL34" si="19">IF(AND(CE29="Tier 1a",CF29=0), "the zero reflects no data in Atwood et al. (2017) exists for the country, please use the IPCC default value or provide Tier 2 value", "")</f>
        <v/>
      </c>
      <c r="CM29" s="4363">
        <v>1</v>
      </c>
      <c r="CN29" s="4364"/>
      <c r="CO29" s="1996"/>
    </row>
    <row r="30" spans="2:93" x14ac:dyDescent="0.2">
      <c r="B30" s="1781"/>
      <c r="C30" s="1781" t="str">
        <f t="shared" si="10"/>
        <v>Please select</v>
      </c>
      <c r="D30" s="1781"/>
      <c r="E30" s="1781"/>
      <c r="F30" s="1806">
        <f t="shared" si="11"/>
        <v>0</v>
      </c>
      <c r="G30" s="1841"/>
      <c r="H30" s="1806">
        <f t="shared" si="12"/>
        <v>0</v>
      </c>
      <c r="I30" s="1841"/>
      <c r="J30" s="1806">
        <f t="shared" si="13"/>
        <v>0</v>
      </c>
      <c r="K30" s="1841"/>
      <c r="L30" s="2110"/>
      <c r="M30" s="2110"/>
      <c r="N30" s="4224">
        <v>0</v>
      </c>
      <c r="O30" s="1781"/>
      <c r="P30" s="4224">
        <v>0</v>
      </c>
      <c r="Q30" s="2104" t="s">
        <v>86</v>
      </c>
      <c r="R30" s="4224">
        <v>0</v>
      </c>
      <c r="S30" s="2104" t="s">
        <v>86</v>
      </c>
      <c r="T30" s="1781"/>
      <c r="U30" s="1781"/>
      <c r="V30" s="1841">
        <f t="shared" si="14"/>
        <v>0</v>
      </c>
      <c r="W30" s="1781"/>
      <c r="X30" s="1841">
        <f t="shared" si="15"/>
        <v>0</v>
      </c>
      <c r="Y30" s="1781"/>
      <c r="Z30" s="1841">
        <f t="shared" si="16"/>
        <v>0</v>
      </c>
      <c r="AA30" s="2043"/>
      <c r="AB30" s="2043"/>
      <c r="AC30" s="2043"/>
      <c r="AD30" s="1781"/>
      <c r="AE30" s="1841">
        <f>Coastal!O42+Coastal!O52</f>
        <v>0</v>
      </c>
      <c r="AF30" s="1806"/>
      <c r="AG30" s="1841">
        <f>Coastal!P42+Coastal!P52</f>
        <v>0</v>
      </c>
      <c r="AH30" s="1806"/>
      <c r="AI30" s="1806">
        <f t="shared" si="17"/>
        <v>0</v>
      </c>
      <c r="AJ30" s="1781"/>
      <c r="BQ30" s="1782"/>
      <c r="BR30" s="1800" t="str">
        <f t="shared" si="18"/>
        <v>Please select</v>
      </c>
      <c r="BS30" s="1782"/>
      <c r="BT30" s="2011">
        <f>Coastal!E32</f>
        <v>0</v>
      </c>
      <c r="BU30" s="4227"/>
      <c r="BV30" s="2011">
        <f>Coastal!G32</f>
        <v>0</v>
      </c>
      <c r="BW30" s="4227"/>
      <c r="BX30" s="2011">
        <f>Coastal!I32</f>
        <v>0</v>
      </c>
      <c r="BY30" s="4227"/>
      <c r="BZ30" s="2011">
        <f>Coastal!K32</f>
        <v>0</v>
      </c>
      <c r="CA30" s="4227"/>
      <c r="CB30" s="1782"/>
      <c r="CC30" s="2131" t="s">
        <v>1707</v>
      </c>
      <c r="CD30" s="1782"/>
      <c r="CE30" s="2131" t="s">
        <v>864</v>
      </c>
      <c r="CF30" s="2582">
        <f>Coastal!M32</f>
        <v>0</v>
      </c>
      <c r="CG30" s="4227"/>
      <c r="CH30" s="2011"/>
      <c r="CI30" s="4219">
        <f>Coastal!O32</f>
        <v>0</v>
      </c>
      <c r="CJ30" s="4228"/>
      <c r="CK30" s="1782"/>
      <c r="CL30" s="4318" t="str">
        <f t="shared" si="19"/>
        <v/>
      </c>
      <c r="CM30" s="4363">
        <v>1</v>
      </c>
      <c r="CN30" s="4364"/>
      <c r="CO30" s="1996"/>
    </row>
    <row r="31" spans="2:93" x14ac:dyDescent="0.2">
      <c r="B31" s="1781"/>
      <c r="C31" s="1781" t="str">
        <f t="shared" si="10"/>
        <v>Please select</v>
      </c>
      <c r="D31" s="1781"/>
      <c r="E31" s="1781"/>
      <c r="F31" s="1806">
        <f t="shared" si="11"/>
        <v>0</v>
      </c>
      <c r="G31" s="1841"/>
      <c r="H31" s="1806">
        <f t="shared" si="12"/>
        <v>0</v>
      </c>
      <c r="I31" s="1841"/>
      <c r="J31" s="1806">
        <f t="shared" si="13"/>
        <v>0</v>
      </c>
      <c r="K31" s="1841"/>
      <c r="L31" s="2110"/>
      <c r="M31" s="2110"/>
      <c r="N31" s="4224">
        <v>0</v>
      </c>
      <c r="O31" s="1781"/>
      <c r="P31" s="4224">
        <v>0</v>
      </c>
      <c r="Q31" s="2104" t="s">
        <v>86</v>
      </c>
      <c r="R31" s="4224">
        <v>0</v>
      </c>
      <c r="S31" s="2104" t="s">
        <v>86</v>
      </c>
      <c r="T31" s="1781"/>
      <c r="U31" s="1781"/>
      <c r="V31" s="1841">
        <f t="shared" si="14"/>
        <v>0</v>
      </c>
      <c r="W31" s="1781"/>
      <c r="X31" s="1841">
        <f t="shared" si="15"/>
        <v>0</v>
      </c>
      <c r="Y31" s="1781"/>
      <c r="Z31" s="1841">
        <f t="shared" si="16"/>
        <v>0</v>
      </c>
      <c r="AA31" s="2043"/>
      <c r="AB31" s="2043"/>
      <c r="AC31" s="2043"/>
      <c r="AD31" s="1781"/>
      <c r="AE31" s="1841">
        <f>Coastal!O43+Coastal!O53</f>
        <v>0</v>
      </c>
      <c r="AF31" s="1806"/>
      <c r="AG31" s="1841">
        <f>Coastal!P43+Coastal!P53</f>
        <v>0</v>
      </c>
      <c r="AH31" s="1806"/>
      <c r="AI31" s="1806">
        <f t="shared" si="17"/>
        <v>0</v>
      </c>
      <c r="AJ31" s="1781"/>
      <c r="BQ31" s="1782"/>
      <c r="BR31" s="1800" t="str">
        <f t="shared" si="18"/>
        <v>Please select</v>
      </c>
      <c r="BS31" s="1782"/>
      <c r="BT31" s="2011">
        <f>Coastal!E33</f>
        <v>0</v>
      </c>
      <c r="BU31" s="4227"/>
      <c r="BV31" s="2011">
        <f>Coastal!G33</f>
        <v>0</v>
      </c>
      <c r="BW31" s="4227"/>
      <c r="BX31" s="2011">
        <f>Coastal!I33</f>
        <v>0</v>
      </c>
      <c r="BY31" s="4227"/>
      <c r="BZ31" s="2011">
        <f>Coastal!K33</f>
        <v>0</v>
      </c>
      <c r="CA31" s="4227"/>
      <c r="CB31" s="1782"/>
      <c r="CC31" s="2131" t="s">
        <v>1707</v>
      </c>
      <c r="CD31" s="1782"/>
      <c r="CE31" s="2131" t="s">
        <v>864</v>
      </c>
      <c r="CF31" s="2582">
        <f>Coastal!M33</f>
        <v>0</v>
      </c>
      <c r="CG31" s="4227"/>
      <c r="CH31" s="2011"/>
      <c r="CI31" s="4219">
        <f>Coastal!O33</f>
        <v>0</v>
      </c>
      <c r="CJ31" s="4228"/>
      <c r="CK31" s="1782"/>
      <c r="CL31" s="4318" t="str">
        <f t="shared" si="19"/>
        <v/>
      </c>
      <c r="CM31" s="4363">
        <v>1</v>
      </c>
      <c r="CN31" s="4364"/>
      <c r="CO31" s="1996"/>
    </row>
    <row r="32" spans="2:93" x14ac:dyDescent="0.2">
      <c r="B32" s="1781"/>
      <c r="C32" s="1781" t="str">
        <f t="shared" si="10"/>
        <v>Please select</v>
      </c>
      <c r="D32" s="1781"/>
      <c r="E32" s="1781"/>
      <c r="F32" s="1806">
        <f t="shared" si="11"/>
        <v>0</v>
      </c>
      <c r="G32" s="1841"/>
      <c r="H32" s="1806">
        <f t="shared" si="12"/>
        <v>0</v>
      </c>
      <c r="I32" s="1841"/>
      <c r="J32" s="1806">
        <f t="shared" si="13"/>
        <v>0</v>
      </c>
      <c r="K32" s="1841"/>
      <c r="L32" s="2110"/>
      <c r="M32" s="2110"/>
      <c r="N32" s="4224">
        <v>0</v>
      </c>
      <c r="O32" s="1781"/>
      <c r="P32" s="4224">
        <v>0</v>
      </c>
      <c r="Q32" s="2104" t="s">
        <v>86</v>
      </c>
      <c r="R32" s="4224">
        <v>0</v>
      </c>
      <c r="S32" s="2104" t="s">
        <v>86</v>
      </c>
      <c r="T32" s="1781"/>
      <c r="U32" s="1781"/>
      <c r="V32" s="1841">
        <f t="shared" si="14"/>
        <v>0</v>
      </c>
      <c r="W32" s="1781"/>
      <c r="X32" s="1841">
        <f t="shared" si="15"/>
        <v>0</v>
      </c>
      <c r="Y32" s="1781"/>
      <c r="Z32" s="1841">
        <f t="shared" si="16"/>
        <v>0</v>
      </c>
      <c r="AA32" s="2043"/>
      <c r="AB32" s="2043"/>
      <c r="AC32" s="2043"/>
      <c r="AD32" s="1781"/>
      <c r="AE32" s="1841">
        <f>Coastal!O44+Coastal!O54</f>
        <v>0</v>
      </c>
      <c r="AF32" s="1806"/>
      <c r="AG32" s="1841">
        <f>Coastal!P44+Coastal!P54</f>
        <v>0</v>
      </c>
      <c r="AH32" s="1806"/>
      <c r="AI32" s="1806">
        <f t="shared" si="17"/>
        <v>0</v>
      </c>
      <c r="AJ32" s="1781"/>
      <c r="BQ32" s="1782"/>
      <c r="BR32" s="1800" t="str">
        <f t="shared" si="18"/>
        <v>Please select</v>
      </c>
      <c r="BS32" s="1782"/>
      <c r="BT32" s="2011">
        <f>Coastal!E34</f>
        <v>0</v>
      </c>
      <c r="BU32" s="4227"/>
      <c r="BV32" s="2011">
        <f>Coastal!G34</f>
        <v>0</v>
      </c>
      <c r="BW32" s="4227"/>
      <c r="BX32" s="2011">
        <f>Coastal!I34</f>
        <v>0</v>
      </c>
      <c r="BY32" s="4227"/>
      <c r="BZ32" s="2011">
        <f>Coastal!K34</f>
        <v>0</v>
      </c>
      <c r="CA32" s="4227"/>
      <c r="CB32" s="1782"/>
      <c r="CC32" s="2131" t="s">
        <v>1707</v>
      </c>
      <c r="CD32" s="1782"/>
      <c r="CE32" s="2131" t="s">
        <v>864</v>
      </c>
      <c r="CF32" s="2582">
        <f>Coastal!M34</f>
        <v>0</v>
      </c>
      <c r="CG32" s="4227"/>
      <c r="CH32" s="2011"/>
      <c r="CI32" s="4219">
        <f>Coastal!O34</f>
        <v>0</v>
      </c>
      <c r="CJ32" s="4228"/>
      <c r="CK32" s="1782"/>
      <c r="CL32" s="4318" t="str">
        <f t="shared" si="19"/>
        <v/>
      </c>
      <c r="CM32" s="4363">
        <v>1</v>
      </c>
      <c r="CN32" s="4364"/>
      <c r="CO32" s="1996"/>
    </row>
    <row r="33" spans="2:93" x14ac:dyDescent="0.2">
      <c r="B33" s="1781"/>
      <c r="C33" s="1781" t="str">
        <f t="shared" si="10"/>
        <v>Please select</v>
      </c>
      <c r="D33" s="1781"/>
      <c r="E33" s="1781"/>
      <c r="F33" s="1806">
        <f t="shared" si="11"/>
        <v>0</v>
      </c>
      <c r="G33" s="1841"/>
      <c r="H33" s="1806">
        <f t="shared" si="12"/>
        <v>0</v>
      </c>
      <c r="I33" s="1841"/>
      <c r="J33" s="1806">
        <f t="shared" si="13"/>
        <v>0</v>
      </c>
      <c r="K33" s="1841"/>
      <c r="L33" s="2110"/>
      <c r="M33" s="2110"/>
      <c r="N33" s="4224">
        <v>0</v>
      </c>
      <c r="O33" s="1781"/>
      <c r="P33" s="4224">
        <v>0</v>
      </c>
      <c r="Q33" s="2104" t="s">
        <v>86</v>
      </c>
      <c r="R33" s="4224">
        <v>0</v>
      </c>
      <c r="S33" s="2104" t="s">
        <v>86</v>
      </c>
      <c r="T33" s="1781"/>
      <c r="U33" s="1781"/>
      <c r="V33" s="1841">
        <f t="shared" si="14"/>
        <v>0</v>
      </c>
      <c r="W33" s="1781"/>
      <c r="X33" s="1841">
        <f t="shared" si="15"/>
        <v>0</v>
      </c>
      <c r="Y33" s="1781"/>
      <c r="Z33" s="1841">
        <f t="shared" si="16"/>
        <v>0</v>
      </c>
      <c r="AA33" s="2043"/>
      <c r="AB33" s="2043"/>
      <c r="AC33" s="2043"/>
      <c r="AD33" s="1781"/>
      <c r="AE33" s="1841">
        <f>Coastal!O45+Coastal!O55</f>
        <v>0</v>
      </c>
      <c r="AF33" s="1806"/>
      <c r="AG33" s="1841">
        <f>Coastal!P45+Coastal!P55</f>
        <v>0</v>
      </c>
      <c r="AH33" s="1806"/>
      <c r="AI33" s="1806">
        <f t="shared" si="17"/>
        <v>0</v>
      </c>
      <c r="AJ33" s="1781"/>
      <c r="BQ33" s="1782"/>
      <c r="BR33" s="1800" t="str">
        <f t="shared" si="18"/>
        <v>Please select</v>
      </c>
      <c r="BS33" s="1782"/>
      <c r="BT33" s="2011">
        <f>Coastal!E35</f>
        <v>0</v>
      </c>
      <c r="BU33" s="4227"/>
      <c r="BV33" s="2011">
        <f>Coastal!G35</f>
        <v>0</v>
      </c>
      <c r="BW33" s="4227"/>
      <c r="BX33" s="2011">
        <f>Coastal!I35</f>
        <v>0</v>
      </c>
      <c r="BY33" s="4227"/>
      <c r="BZ33" s="2011">
        <f>Coastal!K35</f>
        <v>0</v>
      </c>
      <c r="CA33" s="4227"/>
      <c r="CB33" s="1782"/>
      <c r="CC33" s="2131" t="s">
        <v>1707</v>
      </c>
      <c r="CD33" s="1782"/>
      <c r="CE33" s="2131" t="s">
        <v>864</v>
      </c>
      <c r="CF33" s="2582">
        <f>Coastal!M35</f>
        <v>0</v>
      </c>
      <c r="CG33" s="4227"/>
      <c r="CH33" s="2011"/>
      <c r="CI33" s="4219">
        <f>Coastal!O35</f>
        <v>0</v>
      </c>
      <c r="CJ33" s="4228"/>
      <c r="CK33" s="1782"/>
      <c r="CL33" s="4318" t="str">
        <f t="shared" si="19"/>
        <v/>
      </c>
      <c r="CM33" s="4363">
        <v>1</v>
      </c>
      <c r="CN33" s="4364"/>
      <c r="CO33" s="1996"/>
    </row>
    <row r="34" spans="2:93" x14ac:dyDescent="0.2">
      <c r="B34" s="1781"/>
      <c r="C34" s="1781" t="str">
        <f t="shared" si="10"/>
        <v>Please select</v>
      </c>
      <c r="D34" s="1781"/>
      <c r="E34" s="1781"/>
      <c r="F34" s="1806">
        <f t="shared" si="11"/>
        <v>0</v>
      </c>
      <c r="G34" s="1841"/>
      <c r="H34" s="1806">
        <f t="shared" si="12"/>
        <v>0</v>
      </c>
      <c r="I34" s="1841"/>
      <c r="J34" s="1806">
        <f t="shared" si="13"/>
        <v>0</v>
      </c>
      <c r="K34" s="1841"/>
      <c r="L34" s="2110"/>
      <c r="M34" s="2110"/>
      <c r="N34" s="4224">
        <v>0</v>
      </c>
      <c r="O34" s="1781"/>
      <c r="P34" s="4224">
        <v>0</v>
      </c>
      <c r="Q34" s="2104" t="s">
        <v>86</v>
      </c>
      <c r="R34" s="4224">
        <v>0</v>
      </c>
      <c r="S34" s="2104" t="s">
        <v>86</v>
      </c>
      <c r="T34" s="1781"/>
      <c r="U34" s="1781"/>
      <c r="V34" s="1841">
        <f t="shared" si="14"/>
        <v>0</v>
      </c>
      <c r="W34" s="1781"/>
      <c r="X34" s="1841">
        <f t="shared" si="15"/>
        <v>0</v>
      </c>
      <c r="Y34" s="1781"/>
      <c r="Z34" s="1841">
        <f t="shared" si="16"/>
        <v>0</v>
      </c>
      <c r="AA34" s="2043"/>
      <c r="AB34" s="2043"/>
      <c r="AC34" s="2043"/>
      <c r="AD34" s="1781"/>
      <c r="AE34" s="1841">
        <f>Coastal!O46+Coastal!O56</f>
        <v>0</v>
      </c>
      <c r="AF34" s="1806"/>
      <c r="AG34" s="1841">
        <f>Coastal!P46+Coastal!P56</f>
        <v>0</v>
      </c>
      <c r="AH34" s="1806"/>
      <c r="AI34" s="1806">
        <f t="shared" si="17"/>
        <v>0</v>
      </c>
      <c r="AJ34" s="1781"/>
      <c r="BQ34" s="1782"/>
      <c r="BR34" s="1800" t="str">
        <f t="shared" si="18"/>
        <v>Please select</v>
      </c>
      <c r="BS34" s="1782"/>
      <c r="BT34" s="2011">
        <f>Coastal!E36</f>
        <v>0</v>
      </c>
      <c r="BU34" s="4227"/>
      <c r="BV34" s="2011">
        <f>Coastal!G36</f>
        <v>0</v>
      </c>
      <c r="BW34" s="4227"/>
      <c r="BX34" s="2011">
        <f>Coastal!I36</f>
        <v>0</v>
      </c>
      <c r="BY34" s="4227"/>
      <c r="BZ34" s="2011">
        <f>Coastal!K36</f>
        <v>0</v>
      </c>
      <c r="CA34" s="4227"/>
      <c r="CB34" s="1782"/>
      <c r="CC34" s="2131" t="s">
        <v>1707</v>
      </c>
      <c r="CD34" s="1782"/>
      <c r="CE34" s="2131" t="s">
        <v>864</v>
      </c>
      <c r="CF34" s="2582">
        <f>Coastal!M36</f>
        <v>0</v>
      </c>
      <c r="CG34" s="4227"/>
      <c r="CH34" s="2011"/>
      <c r="CI34" s="4219">
        <f>Coastal!O36</f>
        <v>0</v>
      </c>
      <c r="CJ34" s="4228"/>
      <c r="CK34" s="1782"/>
      <c r="CL34" s="4318" t="str">
        <f t="shared" si="19"/>
        <v/>
      </c>
      <c r="CM34" s="4363">
        <v>1</v>
      </c>
      <c r="CN34" s="4364"/>
      <c r="CO34" s="1996"/>
    </row>
    <row r="35" spans="2:93" ht="16" x14ac:dyDescent="0.2">
      <c r="B35" s="1781"/>
      <c r="C35" s="1781"/>
      <c r="D35" s="1781"/>
      <c r="E35" s="1781"/>
      <c r="F35" s="1781"/>
      <c r="G35" s="1781"/>
      <c r="H35" s="1781"/>
      <c r="I35" s="1781"/>
      <c r="J35" s="1781"/>
      <c r="K35" s="1781"/>
      <c r="L35" s="1781"/>
      <c r="M35" s="1781"/>
      <c r="N35" s="1781"/>
      <c r="O35" s="1781"/>
      <c r="P35" s="1781"/>
      <c r="Q35" s="1781"/>
      <c r="R35" s="1781"/>
      <c r="S35" s="1781"/>
      <c r="T35" s="1781"/>
      <c r="U35" s="1781"/>
      <c r="V35" s="1781"/>
      <c r="W35" s="1781"/>
      <c r="X35" s="1781"/>
      <c r="Y35" s="1781"/>
      <c r="Z35" s="1781"/>
      <c r="AA35" s="1781"/>
      <c r="AB35" s="1781"/>
      <c r="AC35" s="1781"/>
      <c r="AD35" s="1781"/>
      <c r="AE35" s="1781"/>
      <c r="AF35" s="1781"/>
      <c r="AG35" s="1781"/>
      <c r="AH35" s="1781"/>
      <c r="AI35" s="1781"/>
      <c r="AJ35" s="1781"/>
      <c r="BQ35" s="1782"/>
      <c r="BR35" s="1794"/>
      <c r="BS35" s="1782"/>
      <c r="BT35" s="1782"/>
      <c r="BU35" s="1782"/>
      <c r="BV35" s="1782"/>
      <c r="BW35" s="1782"/>
      <c r="BX35" s="1782"/>
      <c r="BY35" s="1782"/>
      <c r="BZ35" s="1782"/>
      <c r="CA35" s="1782"/>
      <c r="CB35" s="1782"/>
      <c r="CC35" s="1782"/>
      <c r="CD35" s="1782"/>
      <c r="CE35" s="1782"/>
      <c r="CF35" s="1782"/>
      <c r="CG35" s="1782"/>
      <c r="CH35" s="1782"/>
      <c r="CI35" s="1782"/>
      <c r="CJ35" s="1782"/>
      <c r="CK35" s="1782"/>
      <c r="CM35" s="1996"/>
      <c r="CN35" s="1996"/>
      <c r="CO35" s="1996"/>
    </row>
    <row r="36" spans="2:93" ht="16" x14ac:dyDescent="0.2">
      <c r="B36" s="1781"/>
      <c r="C36" s="1781"/>
      <c r="D36" s="1781"/>
      <c r="E36" s="1781"/>
      <c r="F36" s="1781"/>
      <c r="G36" s="1781"/>
      <c r="H36" s="1781"/>
      <c r="I36" s="1781"/>
      <c r="J36" s="1781"/>
      <c r="K36" s="1781"/>
      <c r="L36" s="1781"/>
      <c r="M36" s="1781"/>
      <c r="N36" s="1781"/>
      <c r="O36" s="1781"/>
      <c r="P36" s="1781"/>
      <c r="Q36" s="1781"/>
      <c r="R36" s="1781"/>
      <c r="S36" s="1781"/>
      <c r="T36" s="1781"/>
      <c r="U36" s="1781"/>
      <c r="V36" s="1853"/>
      <c r="W36" s="1853"/>
      <c r="X36" s="1853"/>
      <c r="Y36" s="1853"/>
      <c r="Z36" s="1853"/>
      <c r="AA36" s="1853"/>
      <c r="AB36" s="2018" t="str">
        <f>Languages!B556</f>
        <v>Total for drainage (tCO2-e)</v>
      </c>
      <c r="AC36" s="2018"/>
      <c r="AD36" s="1853"/>
      <c r="AE36" s="2035">
        <f>SUM(AE29:AE34)</f>
        <v>4526.041666666667</v>
      </c>
      <c r="AF36" s="2036"/>
      <c r="AG36" s="2035">
        <f>SUM(AG29:AG34)</f>
        <v>4526.041666666667</v>
      </c>
      <c r="AH36" s="2036"/>
      <c r="AI36" s="2035">
        <f>SUM(AI29:AI34)</f>
        <v>0</v>
      </c>
      <c r="AJ36" s="1781"/>
      <c r="BQ36" s="1782"/>
      <c r="BR36" s="1794"/>
      <c r="BS36" s="1782"/>
      <c r="BT36" s="1782"/>
      <c r="BU36" s="1782"/>
      <c r="BV36" s="1782"/>
      <c r="BW36" s="1782"/>
      <c r="BX36" s="1782"/>
      <c r="BY36" s="1782"/>
      <c r="BZ36" s="1782"/>
      <c r="CA36" s="1782"/>
      <c r="CB36" s="1782"/>
      <c r="CC36" s="1782"/>
      <c r="CD36" s="1782"/>
      <c r="CE36" s="1782"/>
      <c r="CF36" s="1782"/>
      <c r="CG36" s="1782"/>
      <c r="CH36" s="1782"/>
      <c r="CI36" s="1782"/>
      <c r="CJ36" s="1782"/>
      <c r="CK36" s="1782"/>
      <c r="CM36" s="4548" t="s">
        <v>87</v>
      </c>
      <c r="CN36" s="4548"/>
      <c r="CO36" s="4548"/>
    </row>
    <row r="37" spans="2:93" x14ac:dyDescent="0.2">
      <c r="B37" s="1781"/>
      <c r="C37" s="1781"/>
      <c r="D37" s="1781"/>
      <c r="E37" s="1781"/>
      <c r="F37" s="1781"/>
      <c r="G37" s="1781"/>
      <c r="H37" s="1781"/>
      <c r="I37" s="1781"/>
      <c r="J37" s="1781"/>
      <c r="K37" s="1781"/>
      <c r="L37" s="1781"/>
      <c r="M37" s="1781"/>
      <c r="N37" s="1781"/>
      <c r="O37" s="1781"/>
      <c r="P37" s="1781"/>
      <c r="Q37" s="1781"/>
      <c r="R37" s="1781"/>
      <c r="S37" s="1781"/>
      <c r="T37" s="1781"/>
      <c r="U37" s="1781"/>
      <c r="V37" s="1781"/>
      <c r="W37" s="1781"/>
      <c r="X37" s="1781"/>
      <c r="Y37" s="1781"/>
      <c r="Z37" s="1781"/>
      <c r="AA37" s="1781"/>
      <c r="AB37" s="1781"/>
      <c r="AC37" s="1781"/>
      <c r="AD37" s="1781"/>
      <c r="AE37" s="1781"/>
      <c r="AF37" s="1781"/>
      <c r="AG37" s="1781"/>
      <c r="AH37" s="1781"/>
      <c r="AI37" s="1781"/>
      <c r="AJ37" s="1781"/>
      <c r="BQ37" s="1782"/>
      <c r="BR37" s="1782" t="str">
        <f>BR20</f>
        <v>Use this part only if you want to refine the analysis at Tier 2</v>
      </c>
      <c r="BS37" s="1782"/>
      <c r="BT37" s="1782"/>
      <c r="BU37" s="1782"/>
      <c r="BV37" s="1782"/>
      <c r="BW37" s="1782"/>
      <c r="BX37" s="1782"/>
      <c r="BY37" s="1782"/>
      <c r="BZ37" s="1782"/>
      <c r="CA37" s="1782"/>
      <c r="CB37" s="1782"/>
      <c r="CC37" s="1782"/>
      <c r="CD37" s="1782"/>
      <c r="CE37" s="1782"/>
      <c r="CF37" s="1782"/>
      <c r="CG37" s="1782"/>
      <c r="CH37" s="1782"/>
      <c r="CI37" s="1782"/>
      <c r="CJ37" s="1782"/>
      <c r="CK37" s="1782"/>
      <c r="CM37" s="4548"/>
      <c r="CN37" s="4548"/>
      <c r="CO37" s="4548"/>
    </row>
    <row r="38" spans="2:93" x14ac:dyDescent="0.2">
      <c r="B38" s="1781"/>
      <c r="C38" s="1820" t="str">
        <f>C21</f>
        <v>*The selection of "D" corresponds to a default (linear) dynamics of change. Other selection options include "I" for immediate changes and "E" for exponential - please refer to the guidelines for further explanation of these assumptions.</v>
      </c>
      <c r="D38" s="1820"/>
      <c r="E38" s="1781"/>
      <c r="F38" s="1781"/>
      <c r="G38" s="1781"/>
      <c r="H38" s="1781"/>
      <c r="I38" s="1781"/>
      <c r="J38" s="1781"/>
      <c r="K38" s="1781"/>
      <c r="L38" s="1781"/>
      <c r="M38" s="1781"/>
      <c r="N38" s="1781"/>
      <c r="O38" s="1781"/>
      <c r="P38" s="1781"/>
      <c r="Q38" s="1781"/>
      <c r="R38" s="1781"/>
      <c r="S38" s="1781"/>
      <c r="T38" s="1781"/>
      <c r="U38" s="1781"/>
      <c r="V38" s="1781"/>
      <c r="W38" s="1781"/>
      <c r="X38" s="1781"/>
      <c r="Y38" s="1781"/>
      <c r="Z38" s="1781"/>
      <c r="AA38" s="1781"/>
      <c r="AB38" s="1781"/>
      <c r="AC38" s="1781"/>
      <c r="AD38" s="1781"/>
      <c r="AE38" s="1781"/>
      <c r="AF38" s="1781"/>
      <c r="AG38" s="1781"/>
      <c r="AH38" s="1781"/>
      <c r="AI38" s="1781"/>
      <c r="AJ38" s="1781"/>
      <c r="BQ38" s="1782"/>
      <c r="BR38" s="1782" t="str">
        <f>BR21</f>
        <v>IPCC default values are provided for your information only; EX-ACT will use Tier 2 values automatically wherever specified.</v>
      </c>
      <c r="BS38" s="1782"/>
      <c r="BT38" s="1782"/>
      <c r="BU38" s="1782"/>
      <c r="BV38" s="1782"/>
      <c r="BW38" s="1782"/>
      <c r="BX38" s="1782"/>
      <c r="BY38" s="1782"/>
      <c r="BZ38" s="1782"/>
      <c r="CA38" s="1782"/>
      <c r="CB38" s="1782"/>
      <c r="CC38" s="1782"/>
      <c r="CD38" s="1782"/>
      <c r="CE38" s="1782"/>
      <c r="CF38" s="1782"/>
      <c r="CG38" s="1782"/>
      <c r="CH38" s="1782"/>
      <c r="CI38" s="1782"/>
      <c r="CJ38" s="1782"/>
      <c r="CK38" s="1782"/>
      <c r="CM38" s="4548"/>
      <c r="CN38" s="4548"/>
      <c r="CO38" s="4548"/>
    </row>
    <row r="39" spans="2:93" x14ac:dyDescent="0.2">
      <c r="B39" s="1781"/>
      <c r="C39" s="1781"/>
      <c r="D39" s="1781"/>
      <c r="E39" s="1781"/>
      <c r="F39" s="1781"/>
      <c r="G39" s="1781"/>
      <c r="H39" s="1781"/>
      <c r="I39" s="1781"/>
      <c r="J39" s="1781"/>
      <c r="K39" s="1781"/>
      <c r="L39" s="1781"/>
      <c r="M39" s="1781"/>
      <c r="N39" s="1781"/>
      <c r="O39" s="1781"/>
      <c r="P39" s="1781"/>
      <c r="Q39" s="1781"/>
      <c r="R39" s="1781"/>
      <c r="S39" s="1781"/>
      <c r="T39" s="1781"/>
      <c r="U39" s="1781"/>
      <c r="V39" s="1781"/>
      <c r="W39" s="1781"/>
      <c r="X39" s="1781"/>
      <c r="Y39" s="1781"/>
      <c r="Z39" s="1781"/>
      <c r="AA39" s="1781"/>
      <c r="AB39" s="1781"/>
      <c r="AC39" s="1781"/>
      <c r="AD39" s="1781"/>
      <c r="AE39" s="1781"/>
      <c r="AF39" s="1781"/>
      <c r="AG39" s="1781"/>
      <c r="AH39" s="1781"/>
      <c r="AI39" s="1781"/>
      <c r="AJ39" s="1781"/>
      <c r="BQ39" s="1782"/>
      <c r="BR39" s="1782"/>
      <c r="BS39" s="1782"/>
      <c r="BT39" s="1782"/>
      <c r="BU39" s="1782"/>
      <c r="BV39" s="1782"/>
      <c r="BW39" s="1782"/>
      <c r="BX39" s="1782"/>
      <c r="BY39" s="1782"/>
      <c r="BZ39" s="1782"/>
      <c r="CA39" s="1782"/>
      <c r="CB39" s="1782"/>
      <c r="CC39" s="1782"/>
      <c r="CD39" s="1782"/>
      <c r="CE39" s="1782"/>
      <c r="CF39" s="1782"/>
      <c r="CG39" s="1782"/>
      <c r="CH39" s="1782"/>
      <c r="CI39" s="1782"/>
      <c r="CJ39" s="1782"/>
      <c r="CK39" s="1782"/>
      <c r="CM39" s="1996"/>
      <c r="CN39" s="1996"/>
      <c r="CO39" s="1996"/>
    </row>
    <row r="40" spans="2:93" x14ac:dyDescent="0.2">
      <c r="BQ40" s="2046"/>
      <c r="BR40" s="2046"/>
      <c r="BS40" s="2046"/>
      <c r="BT40" s="2046"/>
      <c r="BU40" s="2046"/>
      <c r="BV40" s="2046"/>
      <c r="BW40" s="2046"/>
      <c r="BX40" s="2046"/>
      <c r="BY40" s="2046"/>
      <c r="BZ40" s="2046"/>
      <c r="CA40" s="2046"/>
      <c r="CB40" s="2046"/>
      <c r="CC40" s="2046"/>
      <c r="CD40" s="2046"/>
      <c r="CE40" s="2046"/>
      <c r="CF40" s="2046"/>
      <c r="CG40" s="2046"/>
      <c r="CH40" s="2046"/>
      <c r="CI40" s="2046"/>
      <c r="CJ40" s="2046"/>
      <c r="CK40" s="2046"/>
    </row>
    <row r="41" spans="2:93" ht="30.5" customHeight="1" x14ac:dyDescent="0.2">
      <c r="B41" s="1767"/>
      <c r="C41" s="1769" t="str">
        <f>Languages!B566</f>
        <v>7.1.3 Rewetting &amp; revegetation</v>
      </c>
      <c r="D41" s="1769"/>
      <c r="E41" s="2053"/>
      <c r="F41" s="1769"/>
      <c r="G41" s="1769"/>
      <c r="H41" s="1769"/>
      <c r="I41" s="1769"/>
      <c r="J41" s="1769"/>
      <c r="K41" s="1769"/>
      <c r="L41" s="1769"/>
      <c r="M41" s="1769"/>
      <c r="N41" s="1769"/>
      <c r="O41" s="1769"/>
      <c r="P41" s="1769"/>
      <c r="Q41" s="1769"/>
      <c r="R41" s="1769"/>
      <c r="S41" s="1769"/>
      <c r="T41" s="1769"/>
      <c r="U41" s="1769"/>
      <c r="V41" s="1769"/>
      <c r="W41" s="1769"/>
      <c r="X41" s="1769"/>
      <c r="Y41" s="1769"/>
      <c r="Z41" s="1769"/>
      <c r="AA41" s="1769"/>
      <c r="AB41" s="1769"/>
      <c r="AC41" s="1769"/>
      <c r="AD41" s="1769"/>
      <c r="AE41" s="1769"/>
      <c r="AF41" s="1769"/>
      <c r="AG41" s="1978" t="str">
        <f>AG24</f>
        <v>If country-specific data are available, please go to Tier 2:</v>
      </c>
      <c r="AH41" s="1769"/>
      <c r="AI41" s="1769"/>
      <c r="AJ41" s="1769"/>
      <c r="BQ41" s="1767"/>
      <c r="BR41" s="4212" t="str">
        <f>C41</f>
        <v>7.1.3 Rewetting &amp; revegetation</v>
      </c>
      <c r="BS41" s="1767"/>
      <c r="BT41" s="1767"/>
      <c r="BU41" s="1767"/>
      <c r="BV41" s="1767"/>
      <c r="BW41" s="1767"/>
      <c r="BX41" s="1767"/>
      <c r="BY41" s="1767"/>
      <c r="BZ41" s="1767"/>
      <c r="CA41" s="1767"/>
      <c r="CB41" s="1767"/>
      <c r="CC41" s="1767"/>
      <c r="CD41" s="1767"/>
      <c r="CE41" s="1767"/>
      <c r="CF41" s="1767"/>
      <c r="CG41" s="1767"/>
      <c r="CH41" s="1767"/>
      <c r="CI41" s="1767"/>
      <c r="CJ41" s="1767"/>
      <c r="CK41" s="1767"/>
      <c r="CM41" s="4366" t="s">
        <v>71</v>
      </c>
      <c r="CN41" s="4366"/>
      <c r="CO41" s="4366"/>
    </row>
    <row r="42" spans="2:93" ht="16" x14ac:dyDescent="0.2">
      <c r="B42" s="1781"/>
      <c r="C42" s="1781"/>
      <c r="D42" s="1781"/>
      <c r="E42" s="1781"/>
      <c r="F42" s="1781"/>
      <c r="G42" s="1781"/>
      <c r="H42" s="1781"/>
      <c r="I42" s="1781"/>
      <c r="J42" s="1781"/>
      <c r="K42" s="1781"/>
      <c r="L42" s="1781"/>
      <c r="M42" s="1781"/>
      <c r="N42" s="1781"/>
      <c r="O42" s="1781"/>
      <c r="P42" s="1781"/>
      <c r="Q42" s="1781"/>
      <c r="R42" s="1781"/>
      <c r="S42" s="1781"/>
      <c r="T42" s="1781"/>
      <c r="U42" s="1781"/>
      <c r="V42" s="1781"/>
      <c r="W42" s="1781"/>
      <c r="X42" s="1781"/>
      <c r="Y42" s="1781"/>
      <c r="Z42" s="1781"/>
      <c r="AA42" s="1781"/>
      <c r="AB42" s="1781"/>
      <c r="AC42" s="1781"/>
      <c r="AD42" s="1781"/>
      <c r="AE42" s="1781"/>
      <c r="AF42" s="1781"/>
      <c r="AG42" s="1781"/>
      <c r="AH42" s="1781"/>
      <c r="AI42" s="1781"/>
      <c r="AJ42" s="1781"/>
      <c r="BQ42" s="1782"/>
      <c r="BR42" s="1782"/>
      <c r="BS42" s="1782"/>
      <c r="BT42" s="4214" t="str">
        <f>BT25</f>
        <v>All units are in tC/ha</v>
      </c>
      <c r="BU42" s="1785"/>
      <c r="BV42" s="1785"/>
      <c r="BW42" s="1785"/>
      <c r="BX42" s="1785"/>
      <c r="BY42" s="1785"/>
      <c r="BZ42" s="1785"/>
      <c r="CA42" s="1785"/>
      <c r="CB42" s="1782"/>
      <c r="CC42" s="1782"/>
      <c r="CD42" s="1782"/>
      <c r="CE42" s="1782"/>
      <c r="CF42" s="1782"/>
      <c r="CG42" s="1782"/>
      <c r="CH42" s="1782"/>
      <c r="CI42" s="1782"/>
      <c r="CJ42" s="1782"/>
      <c r="CK42" s="1782"/>
      <c r="CM42" s="1800"/>
      <c r="CN42" s="1800"/>
      <c r="CO42" s="1800"/>
    </row>
    <row r="43" spans="2:93" x14ac:dyDescent="0.2">
      <c r="B43" s="1781"/>
      <c r="C43" s="1781"/>
      <c r="D43" s="1781"/>
      <c r="E43" s="1781"/>
      <c r="F43" s="1781"/>
      <c r="G43" s="1781"/>
      <c r="H43" s="1781"/>
      <c r="I43" s="1781"/>
      <c r="J43" s="1781"/>
      <c r="K43" s="1781"/>
      <c r="L43" s="1781"/>
      <c r="M43" s="1781"/>
      <c r="N43" s="1781"/>
      <c r="O43" s="1781"/>
      <c r="P43" s="1781"/>
      <c r="Q43" s="1781"/>
      <c r="R43" s="1781"/>
      <c r="S43" s="1781"/>
      <c r="T43" s="1781"/>
      <c r="U43" s="1781"/>
      <c r="V43" s="1781"/>
      <c r="W43" s="1781"/>
      <c r="X43" s="1781"/>
      <c r="Y43" s="1781"/>
      <c r="Z43" s="1781"/>
      <c r="AA43" s="1781"/>
      <c r="AB43" s="1781"/>
      <c r="AC43" s="1781"/>
      <c r="AD43" s="1781"/>
      <c r="AE43" s="1826"/>
      <c r="AF43" s="1826"/>
      <c r="AG43" s="1826"/>
      <c r="AH43" s="1826"/>
      <c r="AI43" s="1826"/>
      <c r="AJ43" s="1826"/>
      <c r="BQ43" s="1782"/>
      <c r="BR43" s="1782"/>
      <c r="BS43" s="1782"/>
      <c r="BT43" s="1782"/>
      <c r="BU43" s="1782"/>
      <c r="BV43" s="1782"/>
      <c r="BW43" s="1782"/>
      <c r="BX43" s="1782"/>
      <c r="BY43" s="1782"/>
      <c r="BZ43" s="1782"/>
      <c r="CA43" s="1782"/>
      <c r="CB43" s="1782"/>
      <c r="CC43" s="1782"/>
      <c r="CD43" s="1782"/>
      <c r="CE43" s="1782"/>
      <c r="CF43" s="1782"/>
      <c r="CG43" s="1782"/>
      <c r="CH43" s="1782"/>
      <c r="CI43" s="1782"/>
      <c r="CJ43" s="1782"/>
      <c r="CK43" s="1782"/>
      <c r="CM43" s="1889" t="s">
        <v>74</v>
      </c>
      <c r="CN43" s="1889"/>
      <c r="CO43" s="1996"/>
    </row>
    <row r="44" spans="2:93" x14ac:dyDescent="0.2">
      <c r="B44" s="1781"/>
      <c r="C44" s="1826" t="str">
        <f>C27</f>
        <v xml:space="preserve">Type of vegetation </v>
      </c>
      <c r="D44" s="1826"/>
      <c r="E44" s="1781"/>
      <c r="F44" s="1781"/>
      <c r="G44" s="1781"/>
      <c r="H44" s="1789" t="str">
        <f>Languages!B557</f>
        <v>Area rewetted (ha)</v>
      </c>
      <c r="I44" s="1789"/>
      <c r="J44" s="1789"/>
      <c r="K44" s="1781"/>
      <c r="L44" s="1781"/>
      <c r="M44" s="1781"/>
      <c r="N44" s="1789" t="str">
        <f>Languages!B558</f>
        <v>Percentage of nominal biomass restored</v>
      </c>
      <c r="O44" s="1789"/>
      <c r="P44" s="1789"/>
      <c r="Q44" s="1789"/>
      <c r="R44" s="1789"/>
      <c r="S44" s="1781"/>
      <c r="T44" s="1781"/>
      <c r="U44" s="1781"/>
      <c r="V44" s="1781"/>
      <c r="W44" s="1781"/>
      <c r="X44" s="1781"/>
      <c r="Y44" s="1781"/>
      <c r="Z44" s="1781"/>
      <c r="AA44" s="1781"/>
      <c r="AB44" s="1781"/>
      <c r="AC44" s="1781"/>
      <c r="AD44" s="1781"/>
      <c r="AE44" s="1826" t="str">
        <f>AE27</f>
        <v>Total emissions (tCO2-e)</v>
      </c>
      <c r="AF44" s="1781"/>
      <c r="AG44" s="1781"/>
      <c r="AH44" s="1781"/>
      <c r="AI44" s="1780" t="str">
        <f>AI27</f>
        <v>Balance</v>
      </c>
      <c r="AJ44" s="1826"/>
      <c r="BQ44" s="1782"/>
      <c r="BR44" s="1889" t="str">
        <f>C44</f>
        <v xml:space="preserve">Type of vegetation </v>
      </c>
      <c r="BS44" s="1782"/>
      <c r="BT44" s="4146" t="str">
        <f>BT27</f>
        <v>Above-ground</v>
      </c>
      <c r="BU44" s="1782"/>
      <c r="BV44" s="1783" t="str">
        <f>BV27</f>
        <v>Below-ground</v>
      </c>
      <c r="BW44" s="1782"/>
      <c r="BX44" s="4216" t="str">
        <f>BX27</f>
        <v>Litter</v>
      </c>
      <c r="BY44" s="1782"/>
      <c r="BZ44" s="1783" t="str">
        <f>BZ27</f>
        <v>Deadwood</v>
      </c>
      <c r="CA44" s="1782"/>
      <c r="CB44" s="1782"/>
      <c r="CC44" s="2150" t="str">
        <f>Languages!B540</f>
        <v>Average salinity</v>
      </c>
      <c r="CD44" s="1782"/>
      <c r="CE44" s="1783" t="str">
        <f>Languages!B541</f>
        <v>EF CO2 (tC/ha/yr)</v>
      </c>
      <c r="CF44" s="1783"/>
      <c r="CG44" s="1782"/>
      <c r="CH44" s="1782"/>
      <c r="CI44" s="1783" t="str">
        <f>Languages!B542</f>
        <v>EF CH4 (kgCH4/ha/yr)</v>
      </c>
      <c r="CJ44" s="1782"/>
      <c r="CK44" s="1782"/>
      <c r="CM44" s="2014" t="s">
        <v>82</v>
      </c>
      <c r="CN44" s="2014"/>
      <c r="CO44" s="1996"/>
    </row>
    <row r="45" spans="2:93" x14ac:dyDescent="0.2">
      <c r="B45" s="1781"/>
      <c r="C45" s="1781"/>
      <c r="D45" s="1781"/>
      <c r="E45" s="1781"/>
      <c r="F45" s="1806"/>
      <c r="G45" s="1806"/>
      <c r="H45" s="1806" t="str">
        <f>P28</f>
        <v>Without</v>
      </c>
      <c r="I45" s="1806" t="s">
        <v>83</v>
      </c>
      <c r="J45" s="1806" t="str">
        <f>R28</f>
        <v>With</v>
      </c>
      <c r="K45" s="1781" t="s">
        <v>83</v>
      </c>
      <c r="L45" s="1781"/>
      <c r="M45" s="1781"/>
      <c r="N45" s="1806"/>
      <c r="O45" s="1806"/>
      <c r="P45" s="1806" t="str">
        <f>H45</f>
        <v>Without</v>
      </c>
      <c r="Q45" s="1806"/>
      <c r="R45" s="1806" t="str">
        <f>J45</f>
        <v>With</v>
      </c>
      <c r="S45" s="1781"/>
      <c r="T45" s="1781"/>
      <c r="U45" s="1781"/>
      <c r="V45" s="1806"/>
      <c r="W45" s="1806"/>
      <c r="X45" s="1806"/>
      <c r="Y45" s="1806"/>
      <c r="Z45" s="1806"/>
      <c r="AA45" s="1781"/>
      <c r="AB45" s="1781"/>
      <c r="AC45" s="1781"/>
      <c r="AD45" s="1781"/>
      <c r="AE45" s="1806" t="str">
        <f>AE28</f>
        <v>Without</v>
      </c>
      <c r="AF45" s="1806"/>
      <c r="AG45" s="1806" t="str">
        <f>AG28</f>
        <v>With</v>
      </c>
      <c r="AH45" s="1781"/>
      <c r="AI45" s="1781"/>
      <c r="AJ45" s="1826"/>
      <c r="BQ45" s="1782"/>
      <c r="BR45" s="1800"/>
      <c r="BS45" s="1782"/>
      <c r="BT45" s="2151" t="str">
        <f>BT28</f>
        <v>Default</v>
      </c>
      <c r="BU45" s="2151" t="str">
        <f>BU28</f>
        <v>Tier 2</v>
      </c>
      <c r="BV45" s="2151" t="str">
        <f t="shared" ref="BV45:CA45" si="20">BT45</f>
        <v>Default</v>
      </c>
      <c r="BW45" s="2151" t="str">
        <f t="shared" si="20"/>
        <v>Tier 2</v>
      </c>
      <c r="BX45" s="2151" t="str">
        <f t="shared" si="20"/>
        <v>Default</v>
      </c>
      <c r="BY45" s="2151" t="str">
        <f t="shared" si="20"/>
        <v>Tier 2</v>
      </c>
      <c r="BZ45" s="2151" t="str">
        <f t="shared" si="20"/>
        <v>Default</v>
      </c>
      <c r="CA45" s="2151" t="str">
        <f t="shared" si="20"/>
        <v>Tier 2</v>
      </c>
      <c r="CB45" s="1782"/>
      <c r="CC45" s="2151" t="s">
        <v>2269</v>
      </c>
      <c r="CD45" s="1782"/>
      <c r="CE45" s="2151" t="str">
        <f>BZ45</f>
        <v>Default</v>
      </c>
      <c r="CF45" s="2151" t="str">
        <f>CA45</f>
        <v>Tier 2</v>
      </c>
      <c r="CG45" s="1782"/>
      <c r="CH45" s="2151"/>
      <c r="CI45" s="2151" t="str">
        <f>CE45</f>
        <v>Default</v>
      </c>
      <c r="CJ45" s="2151" t="str">
        <f>CF45</f>
        <v>Tier 2</v>
      </c>
      <c r="CK45" s="1782"/>
      <c r="CM45" s="1996"/>
      <c r="CN45" s="1996"/>
      <c r="CO45" s="1996"/>
    </row>
    <row r="46" spans="2:93" x14ac:dyDescent="0.2">
      <c r="B46" s="1781"/>
      <c r="C46" s="2125" t="s">
        <v>1689</v>
      </c>
      <c r="D46" s="1781"/>
      <c r="E46" s="1781"/>
      <c r="F46" s="4220"/>
      <c r="G46" s="1781"/>
      <c r="H46" s="4225">
        <v>10</v>
      </c>
      <c r="I46" s="2104" t="s">
        <v>86</v>
      </c>
      <c r="J46" s="4225">
        <v>10</v>
      </c>
      <c r="K46" s="2104" t="s">
        <v>86</v>
      </c>
      <c r="L46" s="1781"/>
      <c r="M46" s="1781"/>
      <c r="N46" s="1781"/>
      <c r="O46" s="1781"/>
      <c r="P46" s="4224">
        <v>0</v>
      </c>
      <c r="Q46" s="1781"/>
      <c r="R46" s="4224">
        <v>0</v>
      </c>
      <c r="S46" s="1781"/>
      <c r="T46" s="1781"/>
      <c r="U46" s="1781"/>
      <c r="V46" s="1781"/>
      <c r="W46" s="1781"/>
      <c r="X46" s="1781"/>
      <c r="Y46" s="1781"/>
      <c r="Z46" s="1781"/>
      <c r="AA46" s="1781"/>
      <c r="AB46" s="1781"/>
      <c r="AC46" s="1781"/>
      <c r="AD46" s="1781"/>
      <c r="AE46" s="1841">
        <f>SUM(Coastal!O79,Coastal!O89,Coastal!O100)</f>
        <v>260.86666666666673</v>
      </c>
      <c r="AF46" s="1806"/>
      <c r="AG46" s="1841">
        <f>SUM(Coastal!P79,Coastal!P89,Coastal!P100)</f>
        <v>260.86666666666673</v>
      </c>
      <c r="AH46" s="1781"/>
      <c r="AI46" s="1806">
        <f t="shared" ref="AI46:AI51" si="21">AG46-AE46</f>
        <v>0</v>
      </c>
      <c r="AJ46" s="1781"/>
      <c r="BQ46" s="1782"/>
      <c r="BR46" s="1800" t="str">
        <f t="shared" ref="BR46:BR51" si="22">C46</f>
        <v>Tidal marsh</v>
      </c>
      <c r="BS46" s="1782"/>
      <c r="BT46" s="2011">
        <f>Coastal!E66</f>
        <v>0</v>
      </c>
      <c r="BU46" s="4227"/>
      <c r="BV46" s="2011">
        <f>Coastal!G66</f>
        <v>0</v>
      </c>
      <c r="BW46" s="4227"/>
      <c r="BX46" s="2011">
        <f>Coastal!I66</f>
        <v>0</v>
      </c>
      <c r="BY46" s="4227"/>
      <c r="BZ46" s="2011">
        <f>Coastal!K66</f>
        <v>0</v>
      </c>
      <c r="CA46" s="4227"/>
      <c r="CB46" s="1782"/>
      <c r="CC46" s="2131" t="s">
        <v>1690</v>
      </c>
      <c r="CD46" s="1782"/>
      <c r="CE46" s="2340">
        <f>Coastal!M66</f>
        <v>-0.91</v>
      </c>
      <c r="CF46" s="4227"/>
      <c r="CG46" s="1782"/>
      <c r="CH46" s="2011"/>
      <c r="CI46" s="4219">
        <f>Coastal!O66</f>
        <v>193.7</v>
      </c>
      <c r="CJ46" s="4228"/>
      <c r="CK46" s="1782"/>
      <c r="CM46" s="4363">
        <v>1</v>
      </c>
      <c r="CN46" s="4364"/>
      <c r="CO46" s="1996"/>
    </row>
    <row r="47" spans="2:93" x14ac:dyDescent="0.2">
      <c r="B47" s="1781"/>
      <c r="C47" s="2125" t="s">
        <v>57</v>
      </c>
      <c r="D47" s="1781"/>
      <c r="E47" s="1781"/>
      <c r="F47" s="4220"/>
      <c r="G47" s="1781"/>
      <c r="H47" s="4225">
        <v>0</v>
      </c>
      <c r="I47" s="2104" t="s">
        <v>86</v>
      </c>
      <c r="J47" s="4225">
        <v>0</v>
      </c>
      <c r="K47" s="2104" t="s">
        <v>86</v>
      </c>
      <c r="L47" s="1781"/>
      <c r="M47" s="1781"/>
      <c r="N47" s="1781"/>
      <c r="O47" s="1781"/>
      <c r="P47" s="4224">
        <v>0</v>
      </c>
      <c r="Q47" s="1781"/>
      <c r="R47" s="4224">
        <v>0</v>
      </c>
      <c r="S47" s="1781"/>
      <c r="T47" s="1781"/>
      <c r="U47" s="1781"/>
      <c r="V47" s="1781"/>
      <c r="W47" s="1781"/>
      <c r="X47" s="1781"/>
      <c r="Y47" s="1781"/>
      <c r="Z47" s="1781"/>
      <c r="AA47" s="1781"/>
      <c r="AB47" s="1781"/>
      <c r="AC47" s="1781"/>
      <c r="AD47" s="1781"/>
      <c r="AE47" s="1841">
        <f>SUM(Coastal!O80,Coastal!O90,Coastal!O101)</f>
        <v>0</v>
      </c>
      <c r="AF47" s="1806"/>
      <c r="AG47" s="1841">
        <f>SUM(Coastal!P80,Coastal!P90,Coastal!P101)</f>
        <v>0</v>
      </c>
      <c r="AH47" s="1781"/>
      <c r="AI47" s="1806">
        <f t="shared" si="21"/>
        <v>0</v>
      </c>
      <c r="AJ47" s="1781"/>
      <c r="BQ47" s="1782"/>
      <c r="BR47" s="1800" t="str">
        <f t="shared" si="22"/>
        <v>Please select</v>
      </c>
      <c r="BS47" s="1782"/>
      <c r="BT47" s="2011">
        <f>Coastal!E67</f>
        <v>0</v>
      </c>
      <c r="BU47" s="4227"/>
      <c r="BV47" s="2011">
        <f>Coastal!G67</f>
        <v>0</v>
      </c>
      <c r="BW47" s="4227"/>
      <c r="BX47" s="2011">
        <f>Coastal!I67</f>
        <v>0</v>
      </c>
      <c r="BY47" s="4227"/>
      <c r="BZ47" s="2011">
        <f>Coastal!K67</f>
        <v>0</v>
      </c>
      <c r="CA47" s="4227"/>
      <c r="CB47" s="1782"/>
      <c r="CC47" s="2131" t="s">
        <v>1690</v>
      </c>
      <c r="CD47" s="1782"/>
      <c r="CE47" s="2340">
        <f>Coastal!M67</f>
        <v>0</v>
      </c>
      <c r="CF47" s="4227"/>
      <c r="CG47" s="1782"/>
      <c r="CH47" s="2011"/>
      <c r="CI47" s="4219">
        <f>Coastal!O67</f>
        <v>0</v>
      </c>
      <c r="CJ47" s="4228"/>
      <c r="CK47" s="1782"/>
      <c r="CM47" s="4363">
        <v>1</v>
      </c>
      <c r="CN47" s="4364"/>
      <c r="CO47" s="1996"/>
    </row>
    <row r="48" spans="2:93" x14ac:dyDescent="0.2">
      <c r="B48" s="1781"/>
      <c r="C48" s="2125" t="s">
        <v>57</v>
      </c>
      <c r="D48" s="1781"/>
      <c r="E48" s="1781"/>
      <c r="F48" s="4220"/>
      <c r="G48" s="1781"/>
      <c r="H48" s="4225">
        <v>0</v>
      </c>
      <c r="I48" s="2104" t="s">
        <v>86</v>
      </c>
      <c r="J48" s="4225">
        <v>0</v>
      </c>
      <c r="K48" s="2104" t="s">
        <v>86</v>
      </c>
      <c r="L48" s="1781"/>
      <c r="M48" s="1781"/>
      <c r="N48" s="1781"/>
      <c r="O48" s="1781"/>
      <c r="P48" s="4224">
        <v>0</v>
      </c>
      <c r="Q48" s="1781"/>
      <c r="R48" s="4224">
        <v>0</v>
      </c>
      <c r="S48" s="1781"/>
      <c r="T48" s="1781"/>
      <c r="U48" s="1781"/>
      <c r="V48" s="1781"/>
      <c r="W48" s="1781"/>
      <c r="X48" s="1781"/>
      <c r="Y48" s="1781"/>
      <c r="Z48" s="1781"/>
      <c r="AA48" s="1781"/>
      <c r="AB48" s="1781"/>
      <c r="AC48" s="1781"/>
      <c r="AD48" s="1781"/>
      <c r="AE48" s="1841">
        <f>SUM(Coastal!O81,Coastal!O91,Coastal!O102)</f>
        <v>0</v>
      </c>
      <c r="AF48" s="1806"/>
      <c r="AG48" s="1841">
        <f>SUM(Coastal!P81,Coastal!P91,Coastal!P102)</f>
        <v>0</v>
      </c>
      <c r="AH48" s="1781"/>
      <c r="AI48" s="1806">
        <f t="shared" si="21"/>
        <v>0</v>
      </c>
      <c r="AJ48" s="1781"/>
      <c r="BQ48" s="1782"/>
      <c r="BR48" s="1800" t="str">
        <f t="shared" si="22"/>
        <v>Please select</v>
      </c>
      <c r="BS48" s="1782"/>
      <c r="BT48" s="2011">
        <f>Coastal!E68</f>
        <v>0</v>
      </c>
      <c r="BU48" s="4227"/>
      <c r="BV48" s="2011">
        <f>Coastal!G68</f>
        <v>0</v>
      </c>
      <c r="BW48" s="4227"/>
      <c r="BX48" s="2011">
        <f>Coastal!I68</f>
        <v>0</v>
      </c>
      <c r="BY48" s="4227"/>
      <c r="BZ48" s="2011">
        <f>Coastal!K68</f>
        <v>0</v>
      </c>
      <c r="CA48" s="4227"/>
      <c r="CB48" s="1782"/>
      <c r="CC48" s="2131" t="s">
        <v>1690</v>
      </c>
      <c r="CD48" s="1782"/>
      <c r="CE48" s="2340">
        <f>Coastal!M68</f>
        <v>0</v>
      </c>
      <c r="CF48" s="4227"/>
      <c r="CG48" s="1782"/>
      <c r="CH48" s="2011"/>
      <c r="CI48" s="4219">
        <f>Coastal!O68</f>
        <v>0</v>
      </c>
      <c r="CJ48" s="4228"/>
      <c r="CK48" s="1782"/>
      <c r="CM48" s="4363">
        <v>1</v>
      </c>
      <c r="CN48" s="4364"/>
      <c r="CO48" s="1996"/>
    </row>
    <row r="49" spans="2:93" x14ac:dyDescent="0.2">
      <c r="B49" s="1781"/>
      <c r="C49" s="2125" t="s">
        <v>57</v>
      </c>
      <c r="D49" s="1781"/>
      <c r="E49" s="1781"/>
      <c r="F49" s="4220"/>
      <c r="G49" s="1781"/>
      <c r="H49" s="4225">
        <v>0</v>
      </c>
      <c r="I49" s="2104" t="s">
        <v>86</v>
      </c>
      <c r="J49" s="4225">
        <v>0</v>
      </c>
      <c r="K49" s="2104" t="s">
        <v>86</v>
      </c>
      <c r="L49" s="1781"/>
      <c r="M49" s="1781"/>
      <c r="N49" s="1781"/>
      <c r="O49" s="1781"/>
      <c r="P49" s="4224">
        <v>0</v>
      </c>
      <c r="Q49" s="1781"/>
      <c r="R49" s="4224">
        <v>0</v>
      </c>
      <c r="S49" s="1781"/>
      <c r="T49" s="1781"/>
      <c r="U49" s="1781"/>
      <c r="V49" s="1781"/>
      <c r="W49" s="1781"/>
      <c r="X49" s="1781"/>
      <c r="Y49" s="1781"/>
      <c r="Z49" s="1781"/>
      <c r="AA49" s="1781"/>
      <c r="AB49" s="1781"/>
      <c r="AC49" s="1781"/>
      <c r="AD49" s="1781"/>
      <c r="AE49" s="1841">
        <f>SUM(Coastal!O82,Coastal!O92,Coastal!O103)</f>
        <v>0</v>
      </c>
      <c r="AF49" s="1806"/>
      <c r="AG49" s="1841">
        <f>SUM(Coastal!P82,Coastal!P92,Coastal!P103)</f>
        <v>0</v>
      </c>
      <c r="AH49" s="1781"/>
      <c r="AI49" s="1806">
        <f t="shared" si="21"/>
        <v>0</v>
      </c>
      <c r="AJ49" s="1781"/>
      <c r="BQ49" s="1782"/>
      <c r="BR49" s="1800" t="str">
        <f t="shared" si="22"/>
        <v>Please select</v>
      </c>
      <c r="BS49" s="1782"/>
      <c r="BT49" s="2011">
        <f>Coastal!E69</f>
        <v>0</v>
      </c>
      <c r="BU49" s="4227"/>
      <c r="BV49" s="2011">
        <f>Coastal!G69</f>
        <v>0</v>
      </c>
      <c r="BW49" s="4227"/>
      <c r="BX49" s="2011">
        <f>Coastal!I69</f>
        <v>0</v>
      </c>
      <c r="BY49" s="4227"/>
      <c r="BZ49" s="2011">
        <f>Coastal!K69</f>
        <v>0</v>
      </c>
      <c r="CA49" s="4227"/>
      <c r="CB49" s="1782"/>
      <c r="CC49" s="2131" t="s">
        <v>1690</v>
      </c>
      <c r="CD49" s="1782"/>
      <c r="CE49" s="2340">
        <f>Coastal!M69</f>
        <v>0</v>
      </c>
      <c r="CF49" s="4227"/>
      <c r="CG49" s="1782"/>
      <c r="CH49" s="2011"/>
      <c r="CI49" s="4219">
        <f>Coastal!O69</f>
        <v>0</v>
      </c>
      <c r="CJ49" s="4228"/>
      <c r="CK49" s="1782"/>
      <c r="CM49" s="4363">
        <v>1</v>
      </c>
      <c r="CN49" s="4364"/>
      <c r="CO49" s="1996"/>
    </row>
    <row r="50" spans="2:93" x14ac:dyDescent="0.2">
      <c r="B50" s="1781"/>
      <c r="C50" s="2125" t="s">
        <v>57</v>
      </c>
      <c r="D50" s="1781"/>
      <c r="E50" s="1781"/>
      <c r="F50" s="4220"/>
      <c r="G50" s="1781"/>
      <c r="H50" s="4225">
        <v>0</v>
      </c>
      <c r="I50" s="2104" t="s">
        <v>86</v>
      </c>
      <c r="J50" s="4225">
        <v>0</v>
      </c>
      <c r="K50" s="2104" t="s">
        <v>86</v>
      </c>
      <c r="L50" s="1781"/>
      <c r="M50" s="1781"/>
      <c r="N50" s="1781"/>
      <c r="O50" s="1781"/>
      <c r="P50" s="4224">
        <v>0</v>
      </c>
      <c r="Q50" s="1781"/>
      <c r="R50" s="4224">
        <v>0</v>
      </c>
      <c r="S50" s="1781"/>
      <c r="T50" s="1781"/>
      <c r="U50" s="1781"/>
      <c r="V50" s="1781"/>
      <c r="W50" s="1781"/>
      <c r="X50" s="1781"/>
      <c r="Y50" s="1781"/>
      <c r="Z50" s="1781"/>
      <c r="AA50" s="1781"/>
      <c r="AB50" s="1781"/>
      <c r="AC50" s="1781"/>
      <c r="AD50" s="1781"/>
      <c r="AE50" s="1841">
        <f>SUM(Coastal!O83,Coastal!O93,Coastal!O104)</f>
        <v>0</v>
      </c>
      <c r="AF50" s="1806"/>
      <c r="AG50" s="1841">
        <f>SUM(Coastal!P83,Coastal!P93,Coastal!P104)</f>
        <v>0</v>
      </c>
      <c r="AH50" s="1781"/>
      <c r="AI50" s="1806">
        <f t="shared" si="21"/>
        <v>0</v>
      </c>
      <c r="AJ50" s="1781"/>
      <c r="BQ50" s="1782"/>
      <c r="BR50" s="1800" t="str">
        <f t="shared" si="22"/>
        <v>Please select</v>
      </c>
      <c r="BS50" s="1782"/>
      <c r="BT50" s="2011">
        <f>Coastal!E70</f>
        <v>0</v>
      </c>
      <c r="BU50" s="4227"/>
      <c r="BV50" s="2011">
        <f>Coastal!G70</f>
        <v>0</v>
      </c>
      <c r="BW50" s="4227"/>
      <c r="BX50" s="2011">
        <f>Coastal!I70</f>
        <v>0</v>
      </c>
      <c r="BY50" s="4227"/>
      <c r="BZ50" s="2011">
        <f>Coastal!K70</f>
        <v>0</v>
      </c>
      <c r="CA50" s="4227"/>
      <c r="CB50" s="1782"/>
      <c r="CC50" s="2131" t="s">
        <v>1690</v>
      </c>
      <c r="CD50" s="1782"/>
      <c r="CE50" s="2340">
        <f>Coastal!M70</f>
        <v>0</v>
      </c>
      <c r="CF50" s="4227"/>
      <c r="CG50" s="1782"/>
      <c r="CH50" s="2011"/>
      <c r="CI50" s="4219">
        <f>Coastal!O70</f>
        <v>0</v>
      </c>
      <c r="CJ50" s="4228"/>
      <c r="CK50" s="1782"/>
      <c r="CM50" s="4363">
        <v>1</v>
      </c>
      <c r="CN50" s="4364"/>
      <c r="CO50" s="1996"/>
    </row>
    <row r="51" spans="2:93" x14ac:dyDescent="0.2">
      <c r="B51" s="1781"/>
      <c r="C51" s="2125" t="s">
        <v>57</v>
      </c>
      <c r="D51" s="1781"/>
      <c r="E51" s="1781"/>
      <c r="F51" s="4220"/>
      <c r="G51" s="1781"/>
      <c r="H51" s="4225">
        <v>0</v>
      </c>
      <c r="I51" s="2104" t="s">
        <v>86</v>
      </c>
      <c r="J51" s="4225">
        <v>0</v>
      </c>
      <c r="K51" s="2104" t="s">
        <v>86</v>
      </c>
      <c r="L51" s="1781"/>
      <c r="M51" s="1781"/>
      <c r="N51" s="1781"/>
      <c r="O51" s="1781"/>
      <c r="P51" s="4224">
        <v>0</v>
      </c>
      <c r="Q51" s="1781"/>
      <c r="R51" s="4224">
        <v>0</v>
      </c>
      <c r="S51" s="1781"/>
      <c r="T51" s="1781"/>
      <c r="U51" s="1781"/>
      <c r="V51" s="1781"/>
      <c r="W51" s="1781"/>
      <c r="X51" s="1781"/>
      <c r="Y51" s="1781"/>
      <c r="Z51" s="1781"/>
      <c r="AA51" s="1781"/>
      <c r="AB51" s="1781"/>
      <c r="AC51" s="1781"/>
      <c r="AD51" s="1781"/>
      <c r="AE51" s="1841">
        <f>SUM(Coastal!O84,Coastal!O94,Coastal!O105)</f>
        <v>0</v>
      </c>
      <c r="AF51" s="1806"/>
      <c r="AG51" s="1841">
        <f>SUM(Coastal!P84,Coastal!P94,Coastal!P105)</f>
        <v>0</v>
      </c>
      <c r="AH51" s="1781"/>
      <c r="AI51" s="1806">
        <f t="shared" si="21"/>
        <v>0</v>
      </c>
      <c r="AJ51" s="1781"/>
      <c r="BQ51" s="1782"/>
      <c r="BR51" s="1800" t="str">
        <f t="shared" si="22"/>
        <v>Please select</v>
      </c>
      <c r="BS51" s="1782"/>
      <c r="BT51" s="2011">
        <f>Coastal!E71</f>
        <v>0</v>
      </c>
      <c r="BU51" s="4227"/>
      <c r="BV51" s="2011">
        <f>Coastal!G71</f>
        <v>0</v>
      </c>
      <c r="BW51" s="4227"/>
      <c r="BX51" s="2011">
        <f>Coastal!I71</f>
        <v>0</v>
      </c>
      <c r="BY51" s="4227"/>
      <c r="BZ51" s="2011">
        <f>Coastal!K71</f>
        <v>0</v>
      </c>
      <c r="CA51" s="4227"/>
      <c r="CB51" s="1782"/>
      <c r="CC51" s="2131" t="s">
        <v>1690</v>
      </c>
      <c r="CD51" s="1782"/>
      <c r="CE51" s="2340">
        <f>Coastal!M71</f>
        <v>0</v>
      </c>
      <c r="CF51" s="4227"/>
      <c r="CG51" s="1782"/>
      <c r="CH51" s="2011"/>
      <c r="CI51" s="4219">
        <f>Coastal!O71</f>
        <v>0</v>
      </c>
      <c r="CJ51" s="4228"/>
      <c r="CK51" s="1782"/>
      <c r="CM51" s="4363">
        <v>1</v>
      </c>
      <c r="CN51" s="4364"/>
      <c r="CO51" s="1996"/>
    </row>
    <row r="52" spans="2:93" ht="16" x14ac:dyDescent="0.2">
      <c r="B52" s="1781"/>
      <c r="C52" s="1781"/>
      <c r="D52" s="1781"/>
      <c r="E52" s="1781"/>
      <c r="F52" s="1781"/>
      <c r="G52" s="1781"/>
      <c r="H52" s="1781"/>
      <c r="I52" s="1781"/>
      <c r="J52" s="1781"/>
      <c r="K52" s="1781"/>
      <c r="L52" s="1781"/>
      <c r="M52" s="1781"/>
      <c r="N52" s="1781"/>
      <c r="O52" s="1781"/>
      <c r="P52" s="1781"/>
      <c r="Q52" s="1781"/>
      <c r="R52" s="1781"/>
      <c r="S52" s="1781"/>
      <c r="T52" s="1781"/>
      <c r="U52" s="1781"/>
      <c r="V52" s="1781"/>
      <c r="W52" s="1781"/>
      <c r="X52" s="1781"/>
      <c r="Y52" s="1781"/>
      <c r="Z52" s="1781"/>
      <c r="AA52" s="1781"/>
      <c r="AB52" s="1781"/>
      <c r="AC52" s="1781"/>
      <c r="AD52" s="1781"/>
      <c r="AE52" s="1781"/>
      <c r="AF52" s="1781"/>
      <c r="AG52" s="1781"/>
      <c r="AH52" s="1781"/>
      <c r="AI52" s="1781"/>
      <c r="AJ52" s="1781"/>
      <c r="BQ52" s="1782"/>
      <c r="BR52" s="1794"/>
      <c r="BS52" s="1782"/>
      <c r="BT52" s="1782"/>
      <c r="BU52" s="1782"/>
      <c r="BV52" s="1782"/>
      <c r="BW52" s="1782"/>
      <c r="BX52" s="1782"/>
      <c r="BY52" s="1782"/>
      <c r="BZ52" s="1782"/>
      <c r="CA52" s="1782"/>
      <c r="CB52" s="1782"/>
      <c r="CC52" s="1782"/>
      <c r="CD52" s="1782"/>
      <c r="CE52" s="1782"/>
      <c r="CF52" s="1782"/>
      <c r="CG52" s="1782"/>
      <c r="CH52" s="1782"/>
      <c r="CI52" s="1782"/>
      <c r="CJ52" s="1782"/>
      <c r="CK52" s="1782"/>
      <c r="CM52" s="1996"/>
      <c r="CN52" s="1996"/>
      <c r="CO52" s="1996"/>
    </row>
    <row r="53" spans="2:93" ht="16" x14ac:dyDescent="0.2">
      <c r="B53" s="1781"/>
      <c r="C53" s="1781"/>
      <c r="D53" s="1781"/>
      <c r="E53" s="1781"/>
      <c r="F53" s="1781"/>
      <c r="G53" s="1781"/>
      <c r="H53" s="1781"/>
      <c r="I53" s="1781"/>
      <c r="J53" s="1781"/>
      <c r="K53" s="1781"/>
      <c r="L53" s="1781"/>
      <c r="M53" s="1781"/>
      <c r="N53" s="1781"/>
      <c r="O53" s="1781"/>
      <c r="P53" s="1781"/>
      <c r="Q53" s="1781"/>
      <c r="R53" s="1781"/>
      <c r="S53" s="1781"/>
      <c r="T53" s="1781"/>
      <c r="U53" s="1781"/>
      <c r="V53" s="1853"/>
      <c r="W53" s="1853"/>
      <c r="X53" s="1853"/>
      <c r="Y53" s="1853"/>
      <c r="Z53" s="1853"/>
      <c r="AA53" s="1853"/>
      <c r="AB53" s="2018" t="str">
        <f>Languages!B559</f>
        <v>Total for rewetting &amp; revegetation (tCO2-e)</v>
      </c>
      <c r="AC53" s="2018"/>
      <c r="AD53" s="1853"/>
      <c r="AE53" s="2035">
        <f>SUM(AE46:AE51)</f>
        <v>260.86666666666673</v>
      </c>
      <c r="AF53" s="2036"/>
      <c r="AG53" s="2035">
        <f>SUM(AG46:AG51)</f>
        <v>260.86666666666673</v>
      </c>
      <c r="AH53" s="2036"/>
      <c r="AI53" s="2035">
        <f>SUM(AI46:AI51)</f>
        <v>0</v>
      </c>
      <c r="AJ53" s="1781"/>
      <c r="BQ53" s="1782"/>
      <c r="BR53" s="1794"/>
      <c r="BS53" s="1782"/>
      <c r="BT53" s="1782"/>
      <c r="BU53" s="1782"/>
      <c r="BV53" s="1782"/>
      <c r="BW53" s="1782"/>
      <c r="BX53" s="1782"/>
      <c r="BY53" s="1782"/>
      <c r="BZ53" s="1782"/>
      <c r="CA53" s="1782"/>
      <c r="CB53" s="1782"/>
      <c r="CC53" s="1782"/>
      <c r="CD53" s="1782"/>
      <c r="CE53" s="1782"/>
      <c r="CF53" s="1782"/>
      <c r="CG53" s="1782"/>
      <c r="CH53" s="1782"/>
      <c r="CI53" s="1782"/>
      <c r="CJ53" s="1782"/>
      <c r="CK53" s="1782"/>
      <c r="CM53" s="4548" t="s">
        <v>87</v>
      </c>
      <c r="CN53" s="4548"/>
      <c r="CO53" s="4548"/>
    </row>
    <row r="54" spans="2:93" x14ac:dyDescent="0.2">
      <c r="B54" s="1781"/>
      <c r="C54" s="1781"/>
      <c r="D54" s="1781"/>
      <c r="E54" s="1781"/>
      <c r="F54" s="1781"/>
      <c r="G54" s="1781"/>
      <c r="H54" s="1781"/>
      <c r="I54" s="1781"/>
      <c r="J54" s="1781"/>
      <c r="K54" s="1781"/>
      <c r="L54" s="1781"/>
      <c r="M54" s="1781"/>
      <c r="N54" s="1781"/>
      <c r="O54" s="1781"/>
      <c r="P54" s="1781"/>
      <c r="Q54" s="1781"/>
      <c r="R54" s="1781"/>
      <c r="S54" s="1781"/>
      <c r="T54" s="1781"/>
      <c r="U54" s="1781"/>
      <c r="V54" s="1781"/>
      <c r="W54" s="1781"/>
      <c r="X54" s="1781"/>
      <c r="Y54" s="1781"/>
      <c r="Z54" s="1781"/>
      <c r="AA54" s="1781"/>
      <c r="AB54" s="1781"/>
      <c r="AC54" s="1781"/>
      <c r="AD54" s="1781"/>
      <c r="AE54" s="1781"/>
      <c r="AF54" s="1781"/>
      <c r="AG54" s="1781"/>
      <c r="AH54" s="1781"/>
      <c r="AI54" s="1781"/>
      <c r="AJ54" s="1781"/>
      <c r="BQ54" s="1782"/>
      <c r="BR54" s="1782" t="str">
        <f>BR37</f>
        <v>Use this part only if you want to refine the analysis at Tier 2</v>
      </c>
      <c r="BS54" s="1782"/>
      <c r="BT54" s="1782"/>
      <c r="BU54" s="1782"/>
      <c r="BV54" s="1782"/>
      <c r="BW54" s="1782"/>
      <c r="BX54" s="1782"/>
      <c r="BY54" s="1782"/>
      <c r="BZ54" s="1782"/>
      <c r="CA54" s="1782"/>
      <c r="CB54" s="1782"/>
      <c r="CC54" s="1782"/>
      <c r="CD54" s="1782"/>
      <c r="CE54" s="1782"/>
      <c r="CF54" s="1782"/>
      <c r="CG54" s="1782"/>
      <c r="CH54" s="1782"/>
      <c r="CI54" s="1782"/>
      <c r="CJ54" s="1782"/>
      <c r="CK54" s="1782"/>
      <c r="CM54" s="4548"/>
      <c r="CN54" s="4548"/>
      <c r="CO54" s="4548"/>
    </row>
    <row r="55" spans="2:93" x14ac:dyDescent="0.2">
      <c r="B55" s="1781"/>
      <c r="C55" s="1820" t="str">
        <f>C38</f>
        <v>*The selection of "D" corresponds to a default (linear) dynamics of change. Other selection options include "I" for immediate changes and "E" for exponential - please refer to the guidelines for further explanation of these assumptions.</v>
      </c>
      <c r="D55" s="1820"/>
      <c r="E55" s="1781"/>
      <c r="F55" s="1781"/>
      <c r="G55" s="1781"/>
      <c r="H55" s="1781"/>
      <c r="I55" s="1781"/>
      <c r="J55" s="1781"/>
      <c r="K55" s="1781"/>
      <c r="L55" s="1781"/>
      <c r="M55" s="1781"/>
      <c r="N55" s="1781"/>
      <c r="O55" s="1781"/>
      <c r="P55" s="1781"/>
      <c r="Q55" s="1781"/>
      <c r="R55" s="1781"/>
      <c r="S55" s="1781"/>
      <c r="T55" s="1781"/>
      <c r="U55" s="1781"/>
      <c r="V55" s="1781"/>
      <c r="W55" s="1781"/>
      <c r="X55" s="1781"/>
      <c r="Y55" s="1781"/>
      <c r="Z55" s="1781"/>
      <c r="AA55" s="1781"/>
      <c r="AB55" s="1781"/>
      <c r="AC55" s="1781"/>
      <c r="AD55" s="1781"/>
      <c r="AE55" s="1781"/>
      <c r="AF55" s="1781"/>
      <c r="AG55" s="1781"/>
      <c r="AH55" s="1781"/>
      <c r="AI55" s="1781"/>
      <c r="AJ55" s="1781"/>
      <c r="BQ55" s="1782"/>
      <c r="BR55" s="1782" t="str">
        <f>BR38</f>
        <v>IPCC default values are provided for your information only; EX-ACT will use Tier 2 values automatically wherever specified.</v>
      </c>
      <c r="BS55" s="1782"/>
      <c r="BT55" s="1782"/>
      <c r="BU55" s="1782"/>
      <c r="BV55" s="1782"/>
      <c r="BW55" s="1782"/>
      <c r="BX55" s="1782"/>
      <c r="BY55" s="1782"/>
      <c r="BZ55" s="1782"/>
      <c r="CA55" s="1782"/>
      <c r="CB55" s="1782"/>
      <c r="CC55" s="1782"/>
      <c r="CD55" s="1782"/>
      <c r="CE55" s="1782"/>
      <c r="CF55" s="1782"/>
      <c r="CG55" s="1782"/>
      <c r="CH55" s="1782"/>
      <c r="CI55" s="1782"/>
      <c r="CJ55" s="1782"/>
      <c r="CK55" s="1782"/>
      <c r="CM55" s="4548"/>
      <c r="CN55" s="4548"/>
      <c r="CO55" s="4548"/>
    </row>
    <row r="56" spans="2:93" x14ac:dyDescent="0.2">
      <c r="B56" s="1781"/>
      <c r="C56" s="1781"/>
      <c r="D56" s="1781"/>
      <c r="E56" s="1781"/>
      <c r="F56" s="1781"/>
      <c r="G56" s="1781"/>
      <c r="H56" s="1781"/>
      <c r="I56" s="1781"/>
      <c r="J56" s="1781"/>
      <c r="K56" s="1781"/>
      <c r="L56" s="1781"/>
      <c r="M56" s="1781"/>
      <c r="N56" s="1781"/>
      <c r="O56" s="1781"/>
      <c r="P56" s="1781"/>
      <c r="Q56" s="1781"/>
      <c r="R56" s="1781"/>
      <c r="S56" s="1781"/>
      <c r="T56" s="1781"/>
      <c r="U56" s="1781"/>
      <c r="V56" s="1781"/>
      <c r="W56" s="1781"/>
      <c r="X56" s="1781"/>
      <c r="Y56" s="1781"/>
      <c r="Z56" s="1781"/>
      <c r="AA56" s="1781"/>
      <c r="AB56" s="1781"/>
      <c r="AC56" s="1781"/>
      <c r="AD56" s="1781"/>
      <c r="AE56" s="1781"/>
      <c r="AF56" s="1781"/>
      <c r="AG56" s="1781"/>
      <c r="AH56" s="1781"/>
      <c r="AI56" s="1781"/>
      <c r="AJ56" s="1781"/>
      <c r="BQ56" s="1782"/>
      <c r="BR56" s="1782"/>
      <c r="BS56" s="1782"/>
      <c r="BT56" s="1782"/>
      <c r="BU56" s="1782"/>
      <c r="BV56" s="1782"/>
      <c r="BW56" s="1782"/>
      <c r="BX56" s="1782"/>
      <c r="BY56" s="1782"/>
      <c r="BZ56" s="1782"/>
      <c r="CA56" s="1782"/>
      <c r="CB56" s="1782"/>
      <c r="CC56" s="1782"/>
      <c r="CD56" s="1782"/>
      <c r="CE56" s="1782"/>
      <c r="CF56" s="1782"/>
      <c r="CG56" s="1782"/>
      <c r="CH56" s="1782"/>
      <c r="CI56" s="1782"/>
      <c r="CJ56" s="1782"/>
      <c r="CK56" s="1782"/>
      <c r="CM56" s="1996"/>
      <c r="CN56" s="1996"/>
      <c r="CO56" s="1996"/>
    </row>
    <row r="58" spans="2:93" ht="42.5" customHeight="1" x14ac:dyDescent="0.2">
      <c r="B58" s="1976"/>
      <c r="C58" s="1769" t="s">
        <v>2270</v>
      </c>
      <c r="D58" s="1769"/>
      <c r="E58" s="1769"/>
      <c r="F58" s="1769"/>
      <c r="G58" s="1769"/>
      <c r="H58" s="1769"/>
      <c r="I58" s="1769"/>
      <c r="J58" s="1769"/>
      <c r="K58" s="1769"/>
      <c r="L58" s="1769"/>
      <c r="M58" s="1769"/>
      <c r="N58" s="1769"/>
      <c r="O58" s="1769"/>
      <c r="P58" s="1769"/>
      <c r="Q58" s="1976"/>
      <c r="R58" s="1976"/>
      <c r="S58" s="1976"/>
      <c r="T58" s="1976"/>
      <c r="U58" s="1976"/>
      <c r="V58" s="1976"/>
      <c r="W58" s="1976"/>
      <c r="X58" s="1976"/>
      <c r="Y58" s="1976"/>
      <c r="Z58" s="1976"/>
      <c r="AA58" s="1976"/>
      <c r="AB58" s="1976"/>
      <c r="AC58" s="1976"/>
      <c r="AD58" s="1976"/>
      <c r="AE58" s="1978"/>
      <c r="AF58" s="1976"/>
      <c r="AG58" s="1978" t="str">
        <f>AG4</f>
        <v>If country-specific data are available, please go to Tier 2:</v>
      </c>
      <c r="AH58" s="1976"/>
      <c r="AI58" s="1976"/>
      <c r="AJ58" s="1769"/>
      <c r="BQ58" s="1767"/>
      <c r="BR58" s="4212" t="str">
        <f>C58</f>
        <v>7.2 Coastal waterbodies (total area must remain constant)</v>
      </c>
      <c r="BS58" s="1767"/>
      <c r="BT58" s="1767"/>
      <c r="BU58" s="1767"/>
      <c r="BV58" s="1767"/>
      <c r="BW58" s="1767"/>
      <c r="BX58" s="1767"/>
      <c r="BY58" s="1767"/>
      <c r="BZ58" s="1767"/>
      <c r="CA58" s="1767"/>
      <c r="CB58" s="1767"/>
      <c r="CC58" s="1767"/>
      <c r="CD58" s="1767"/>
      <c r="CE58" s="1767"/>
      <c r="CF58" s="1767"/>
      <c r="CG58" s="1767"/>
      <c r="CH58" s="1767"/>
      <c r="CI58" s="1767"/>
      <c r="CJ58" s="1767"/>
      <c r="CK58" s="1767"/>
      <c r="CM58" s="4366" t="s">
        <v>71</v>
      </c>
      <c r="CN58" s="4366"/>
      <c r="CO58" s="4366"/>
    </row>
    <row r="59" spans="2:93" x14ac:dyDescent="0.2">
      <c r="B59" s="1781"/>
      <c r="C59" s="4188" t="str">
        <f>Languages!B536</f>
        <v>For inland wetland waterbodies, go to the Inland Wetlands module</v>
      </c>
      <c r="D59" s="1781"/>
      <c r="E59" s="1781"/>
      <c r="F59" s="1781"/>
      <c r="G59" s="1781"/>
      <c r="H59" s="1781"/>
      <c r="I59" s="1781"/>
      <c r="J59" s="1781"/>
      <c r="K59" s="1781"/>
      <c r="L59" s="1781"/>
      <c r="M59" s="1781"/>
      <c r="N59" s="1781"/>
      <c r="O59" s="1781"/>
      <c r="P59" s="1781"/>
      <c r="Q59" s="1781"/>
      <c r="R59" s="1781"/>
      <c r="S59" s="1781"/>
      <c r="T59" s="1781"/>
      <c r="U59" s="1781"/>
      <c r="V59" s="1781"/>
      <c r="W59" s="1781"/>
      <c r="X59" s="1781"/>
      <c r="Y59" s="1781"/>
      <c r="Z59" s="1781"/>
      <c r="AA59" s="1781"/>
      <c r="AB59" s="1781"/>
      <c r="AC59" s="1781"/>
      <c r="AD59" s="1781"/>
      <c r="AE59" s="1781"/>
      <c r="AF59" s="1781"/>
      <c r="AG59" s="1781"/>
      <c r="AH59" s="1781"/>
      <c r="AI59" s="1781"/>
      <c r="AJ59" s="1781"/>
      <c r="BQ59" s="1782"/>
      <c r="BR59" s="1782"/>
      <c r="BS59" s="1800"/>
      <c r="BT59" s="1800"/>
      <c r="BU59" s="1800"/>
      <c r="BV59" s="1800"/>
      <c r="BW59" s="1800"/>
      <c r="BX59" s="1800"/>
      <c r="BY59" s="1800"/>
      <c r="BZ59" s="1800"/>
      <c r="CA59" s="1800"/>
      <c r="CB59" s="1800"/>
      <c r="CC59" s="1800"/>
      <c r="CD59" s="1800"/>
      <c r="CE59" s="1800"/>
      <c r="CF59" s="1800"/>
      <c r="CG59" s="1800"/>
      <c r="CH59" s="1800"/>
      <c r="CI59" s="1800"/>
      <c r="CJ59" s="1800"/>
      <c r="CK59" s="1782"/>
      <c r="CM59" s="1800"/>
      <c r="CN59" s="1800"/>
      <c r="CO59" s="1800"/>
    </row>
    <row r="60" spans="2:93" x14ac:dyDescent="0.2">
      <c r="B60" s="1960"/>
      <c r="C60" s="4175"/>
      <c r="D60" s="4144"/>
      <c r="E60" s="4144"/>
      <c r="F60" s="1960"/>
      <c r="G60" s="1960"/>
      <c r="H60" s="1960"/>
      <c r="I60" s="1960"/>
      <c r="J60" s="1960"/>
      <c r="K60" s="1960"/>
      <c r="L60" s="1960"/>
      <c r="M60" s="1960"/>
      <c r="N60" s="1960"/>
      <c r="O60" s="1960"/>
      <c r="P60" s="1960"/>
      <c r="Q60" s="1960"/>
      <c r="R60" s="1960"/>
      <c r="S60" s="1960"/>
      <c r="T60" s="1960"/>
      <c r="U60" s="1960"/>
      <c r="V60" s="1960"/>
      <c r="W60" s="1960"/>
      <c r="X60" s="1960"/>
      <c r="Y60" s="1960"/>
      <c r="Z60" s="1960"/>
      <c r="AA60" s="1960"/>
      <c r="AB60" s="1960"/>
      <c r="AC60" s="1960"/>
      <c r="AD60" s="1960"/>
      <c r="AE60" s="1960"/>
      <c r="AF60" s="1960"/>
      <c r="AG60" s="1960"/>
      <c r="AH60" s="1960"/>
      <c r="AI60" s="1960"/>
      <c r="AJ60" s="1826"/>
      <c r="BQ60" s="1782"/>
      <c r="BR60" s="1782"/>
      <c r="BS60" s="1800"/>
      <c r="BT60" s="1800"/>
      <c r="BU60" s="1800"/>
      <c r="BV60" s="1800"/>
      <c r="BW60" s="1800"/>
      <c r="BX60" s="1800"/>
      <c r="BY60" s="1800"/>
      <c r="BZ60" s="1800"/>
      <c r="CA60" s="1800"/>
      <c r="CB60" s="1800"/>
      <c r="CC60" s="1800"/>
      <c r="CD60" s="1800"/>
      <c r="CE60" s="1800"/>
      <c r="CF60" s="1800"/>
      <c r="CG60" s="1800"/>
      <c r="CH60" s="1800"/>
      <c r="CI60" s="1800"/>
      <c r="CJ60" s="1800"/>
      <c r="CK60" s="1782"/>
      <c r="CM60" s="1889" t="s">
        <v>74</v>
      </c>
      <c r="CN60" s="1889"/>
      <c r="CO60" s="1996"/>
    </row>
    <row r="61" spans="2:93" x14ac:dyDescent="0.2">
      <c r="B61" s="1960"/>
      <c r="C61" s="1960"/>
      <c r="D61" s="1960"/>
      <c r="E61" s="1960"/>
      <c r="F61" s="1960"/>
      <c r="G61" s="1960"/>
      <c r="H61" s="1960"/>
      <c r="I61" s="1960"/>
      <c r="J61" s="1960"/>
      <c r="K61" s="1960"/>
      <c r="L61" s="1960"/>
      <c r="M61" s="1960"/>
      <c r="N61" s="1960"/>
      <c r="O61" s="1960"/>
      <c r="P61" s="1960"/>
      <c r="Q61" s="1960"/>
      <c r="R61" s="1960"/>
      <c r="S61" s="1960"/>
      <c r="T61" s="1960"/>
      <c r="U61" s="1960"/>
      <c r="V61" s="1960"/>
      <c r="W61" s="1960"/>
      <c r="X61" s="1960"/>
      <c r="Y61" s="1960"/>
      <c r="Z61" s="1960"/>
      <c r="AA61" s="1960"/>
      <c r="AB61" s="1960"/>
      <c r="AC61" s="1960"/>
      <c r="AD61" s="1960"/>
      <c r="AE61" s="1960"/>
      <c r="AF61" s="1960"/>
      <c r="AG61" s="1960"/>
      <c r="AH61" s="1960"/>
      <c r="AI61" s="1960"/>
      <c r="AJ61" s="1826"/>
      <c r="BQ61" s="1782"/>
      <c r="BR61" s="1782"/>
      <c r="BS61" s="1782"/>
      <c r="BT61" s="4141" t="str">
        <f>Languages!B417</f>
        <v>CH4 emission factor from waterbodies</v>
      </c>
      <c r="BU61" s="4141"/>
      <c r="BV61" s="4141"/>
      <c r="BW61" s="4141"/>
      <c r="BX61" s="4141"/>
      <c r="BY61" s="4141"/>
      <c r="BZ61" s="2591"/>
      <c r="CA61" s="4141" t="str">
        <f>'6.Inland wetlands'!CM193</f>
        <v>Trophic class</v>
      </c>
      <c r="CB61" s="4141"/>
      <c r="CC61" s="4141"/>
      <c r="CD61" s="4141"/>
      <c r="CE61" s="4141"/>
      <c r="CF61" s="1800"/>
      <c r="CG61" s="2591"/>
      <c r="CH61" s="1800"/>
      <c r="CI61" s="1800"/>
      <c r="CJ61" s="1800"/>
      <c r="CK61" s="1782"/>
      <c r="CM61" s="2014" t="s">
        <v>82</v>
      </c>
      <c r="CN61" s="2014"/>
      <c r="CO61" s="1996"/>
    </row>
    <row r="62" spans="2:93" x14ac:dyDescent="0.2">
      <c r="B62" s="1960"/>
      <c r="C62" s="4188"/>
      <c r="D62" s="1960"/>
      <c r="E62" s="1960"/>
      <c r="F62" s="1960"/>
      <c r="G62" s="1960"/>
      <c r="H62" s="1960"/>
      <c r="I62" s="1960"/>
      <c r="J62" s="1960"/>
      <c r="K62" s="1960"/>
      <c r="L62" s="1960"/>
      <c r="M62" s="1960"/>
      <c r="N62" s="1960"/>
      <c r="O62" s="1960"/>
      <c r="P62" s="1960"/>
      <c r="Q62" s="1960"/>
      <c r="R62" s="1960"/>
      <c r="S62" s="1960"/>
      <c r="T62" s="1960"/>
      <c r="U62" s="1960"/>
      <c r="V62" s="1960"/>
      <c r="W62" s="1960"/>
      <c r="X62" s="1960"/>
      <c r="Y62" s="1960"/>
      <c r="Z62" s="1960"/>
      <c r="AA62" s="1960"/>
      <c r="AB62" s="1960"/>
      <c r="AC62" s="1960"/>
      <c r="AD62" s="1960"/>
      <c r="AE62" s="4143" t="str">
        <f>AE44</f>
        <v>Total emissions (tCO2-e)</v>
      </c>
      <c r="AF62" s="4144"/>
      <c r="AG62" s="4144"/>
      <c r="AH62" s="1960"/>
      <c r="AI62" s="1834" t="str">
        <f>AI44</f>
        <v>Balance</v>
      </c>
      <c r="AJ62" s="1826"/>
      <c r="BQ62" s="1782"/>
      <c r="BR62" s="1782"/>
      <c r="BS62" s="1782"/>
      <c r="BT62" s="2591" t="str">
        <f>'6.Inland wetlands'!CF194</f>
        <v>kgCH4/ha/yr</v>
      </c>
      <c r="BU62" s="2591"/>
      <c r="BV62" s="2591"/>
      <c r="BW62" s="2591"/>
      <c r="BX62" s="2591"/>
      <c r="BY62" s="2591"/>
      <c r="BZ62" s="2591"/>
      <c r="CA62" s="2591"/>
      <c r="CB62" s="2591"/>
      <c r="CC62" s="2591"/>
      <c r="CD62" s="1782"/>
      <c r="CE62" s="2560" t="str">
        <f>Languages!B418</f>
        <v>Mean annual [Chlo.a]</v>
      </c>
      <c r="CF62" s="1800"/>
      <c r="CG62" s="2560"/>
      <c r="CH62" s="1800"/>
      <c r="CI62" s="1800"/>
      <c r="CJ62" s="1800"/>
      <c r="CK62" s="1782"/>
      <c r="CM62" s="1996"/>
      <c r="CN62" s="1996"/>
      <c r="CO62" s="1996"/>
    </row>
    <row r="63" spans="2:93" ht="19" x14ac:dyDescent="0.2">
      <c r="B63" s="1960"/>
      <c r="C63" s="4365" t="str">
        <f>Languages!B359</f>
        <v>Waterbody type</v>
      </c>
      <c r="D63" s="1960"/>
      <c r="E63" s="4189" t="str">
        <f>Languages!B361</f>
        <v>Trophic class</v>
      </c>
      <c r="F63" s="1960"/>
      <c r="G63" s="1960"/>
      <c r="H63" s="1960"/>
      <c r="I63" s="1960"/>
      <c r="J63" s="1960"/>
      <c r="K63" s="1960"/>
      <c r="L63" s="1826" t="str">
        <f>Languages!B360</f>
        <v>Tota area of waterbodies (ha)</v>
      </c>
      <c r="M63" s="1826"/>
      <c r="N63" s="1826"/>
      <c r="O63" s="1781"/>
      <c r="P63" s="1781"/>
      <c r="Q63" s="1781"/>
      <c r="R63" s="1960"/>
      <c r="S63" s="1960"/>
      <c r="T63" s="1960"/>
      <c r="U63" s="1960"/>
      <c r="V63" s="1834"/>
      <c r="W63" s="1960"/>
      <c r="X63" s="1960"/>
      <c r="Y63" s="1960"/>
      <c r="Z63" s="1834"/>
      <c r="AA63" s="1960"/>
      <c r="AB63" s="1960"/>
      <c r="AC63" s="1960"/>
      <c r="AD63" s="1960"/>
      <c r="AE63" s="1838" t="str">
        <f>AE45</f>
        <v>Without</v>
      </c>
      <c r="AF63" s="1960"/>
      <c r="AG63" s="1838" t="str">
        <f>AG45</f>
        <v>With</v>
      </c>
      <c r="AH63" s="1960"/>
      <c r="AI63" s="1960"/>
      <c r="AJ63" s="1781"/>
      <c r="BQ63" s="1782"/>
      <c r="BR63" s="1782"/>
      <c r="BS63" s="1782"/>
      <c r="BT63" s="4151" t="str">
        <f>L64</f>
        <v>Start</v>
      </c>
      <c r="BU63" s="2591"/>
      <c r="BV63" s="4149" t="s">
        <v>179</v>
      </c>
      <c r="BW63" s="2591" t="str">
        <f>N64</f>
        <v>Without</v>
      </c>
      <c r="BX63" s="4169" t="s">
        <v>180</v>
      </c>
      <c r="BY63" s="2591" t="str">
        <f>P64</f>
        <v>With</v>
      </c>
      <c r="BZ63" s="2591"/>
      <c r="CA63" s="4190" t="s">
        <v>1086</v>
      </c>
      <c r="CB63" s="2591"/>
      <c r="CC63" s="2591"/>
      <c r="CD63" s="1782"/>
      <c r="CE63" s="2591" t="s">
        <v>1087</v>
      </c>
      <c r="CF63" s="1800"/>
      <c r="CG63" s="2591"/>
      <c r="CH63" s="1800"/>
      <c r="CI63" s="1800"/>
      <c r="CJ63" s="1800"/>
      <c r="CK63" s="1782"/>
      <c r="CM63" s="1996"/>
      <c r="CN63" s="1996"/>
      <c r="CO63" s="1996"/>
    </row>
    <row r="64" spans="2:93" x14ac:dyDescent="0.2">
      <c r="B64" s="1960"/>
      <c r="C64" s="1781"/>
      <c r="D64" s="1960"/>
      <c r="E64" s="1960"/>
      <c r="F64" s="1960"/>
      <c r="G64" s="1960"/>
      <c r="H64" s="1960"/>
      <c r="I64" s="1960"/>
      <c r="J64" s="1960"/>
      <c r="K64" s="1960"/>
      <c r="L64" s="1806" t="str">
        <f>'8. Fisheries and aquaculture'!X73</f>
        <v>Start</v>
      </c>
      <c r="M64" s="1806"/>
      <c r="N64" s="1806" t="str">
        <f>'8. Fisheries and aquaculture'!T12</f>
        <v>Without</v>
      </c>
      <c r="O64" s="1806" t="s">
        <v>83</v>
      </c>
      <c r="P64" s="1806" t="str">
        <f>'8. Fisheries and aquaculture'!U12</f>
        <v>With</v>
      </c>
      <c r="Q64" s="1806" t="s">
        <v>83</v>
      </c>
      <c r="R64" s="1960"/>
      <c r="S64" s="1960"/>
      <c r="T64" s="1960"/>
      <c r="U64" s="1960"/>
      <c r="V64" s="1960"/>
      <c r="W64" s="1960"/>
      <c r="X64" s="1960"/>
      <c r="Y64" s="1960"/>
      <c r="Z64" s="1960"/>
      <c r="AA64" s="1960"/>
      <c r="AB64" s="1960"/>
      <c r="AC64" s="1960"/>
      <c r="AD64" s="1960"/>
      <c r="AE64" s="1960"/>
      <c r="AF64" s="1960"/>
      <c r="AG64" s="1960"/>
      <c r="AH64" s="1960"/>
      <c r="AI64" s="1960"/>
      <c r="AJ64" s="1781"/>
      <c r="BQ64" s="1782"/>
      <c r="BR64" s="1783" t="str">
        <f>C63</f>
        <v>Waterbody type</v>
      </c>
      <c r="BS64" s="1783" t="str">
        <f>E63</f>
        <v>Trophic class</v>
      </c>
      <c r="BT64" s="2560" t="str">
        <f>BT45</f>
        <v>Default</v>
      </c>
      <c r="BU64" s="2560" t="str">
        <f>BU45</f>
        <v>Tier 2</v>
      </c>
      <c r="BV64" s="2560" t="str">
        <f>BT64</f>
        <v>Default</v>
      </c>
      <c r="BW64" s="2560" t="str">
        <f>BU64</f>
        <v>Tier 2</v>
      </c>
      <c r="BX64" s="2560" t="str">
        <f>BV64</f>
        <v>Default</v>
      </c>
      <c r="BY64" s="2560" t="str">
        <f>BW64</f>
        <v>Tier 2</v>
      </c>
      <c r="BZ64" s="2591"/>
      <c r="CA64" s="2560" t="str">
        <f>BT64</f>
        <v>Default</v>
      </c>
      <c r="CB64" s="1782"/>
      <c r="CC64" s="2560" t="s">
        <v>66</v>
      </c>
      <c r="CD64" s="1782"/>
      <c r="CE64" s="2591"/>
      <c r="CF64" s="1800"/>
      <c r="CG64" s="2591"/>
      <c r="CH64" s="1800"/>
      <c r="CI64" s="1800"/>
      <c r="CJ64" s="1800"/>
      <c r="CK64" s="1782"/>
      <c r="CM64" s="1996"/>
      <c r="CN64" s="1996"/>
      <c r="CO64" s="1996"/>
    </row>
    <row r="65" spans="2:93" x14ac:dyDescent="0.2">
      <c r="B65" s="1960"/>
      <c r="C65" s="2131" t="s">
        <v>1710</v>
      </c>
      <c r="D65" s="1960"/>
      <c r="E65" s="4105" t="s">
        <v>2248</v>
      </c>
      <c r="F65" s="1960"/>
      <c r="G65" s="1960"/>
      <c r="H65" s="1960"/>
      <c r="I65" s="1960"/>
      <c r="J65" s="1960"/>
      <c r="K65" s="1960"/>
      <c r="L65" s="2103">
        <v>50</v>
      </c>
      <c r="M65" s="1781"/>
      <c r="N65" s="2103">
        <v>0</v>
      </c>
      <c r="O65" s="2104" t="s">
        <v>86</v>
      </c>
      <c r="P65" s="2103">
        <v>0</v>
      </c>
      <c r="Q65" s="2104" t="s">
        <v>86</v>
      </c>
      <c r="R65" s="1960"/>
      <c r="S65" s="1960"/>
      <c r="T65" s="1960"/>
      <c r="U65" s="1960"/>
      <c r="V65" s="1960"/>
      <c r="W65" s="1960"/>
      <c r="X65" s="1960"/>
      <c r="Y65" s="1960"/>
      <c r="Z65" s="1960"/>
      <c r="AA65" s="1960"/>
      <c r="AB65" s="1960"/>
      <c r="AC65" s="1960"/>
      <c r="AD65" s="1960"/>
      <c r="AE65" s="2107">
        <f>+Coastal!O115</f>
        <v>73.5</v>
      </c>
      <c r="AF65" s="1960"/>
      <c r="AG65" s="2107">
        <f>+Coastal!P115</f>
        <v>73.5</v>
      </c>
      <c r="AH65" s="1960"/>
      <c r="AI65" s="1806">
        <f t="shared" ref="AI65:AI70" si="23">AG65-AE65</f>
        <v>0</v>
      </c>
      <c r="AJ65" s="1781"/>
      <c r="BQ65" s="1782"/>
      <c r="BR65" s="1782" t="str">
        <f>'7.Coastal wetlands'!C65</f>
        <v>Saline pond</v>
      </c>
      <c r="BS65" s="1782" t="str">
        <f>'7.Coastal wetlands'!E65</f>
        <v>Oligotrophic</v>
      </c>
      <c r="BT65" s="2612">
        <f>'Fish and aqua'!O111</f>
        <v>30</v>
      </c>
      <c r="BU65" s="4205"/>
      <c r="BV65" s="2612">
        <f t="shared" ref="BV65:BV70" si="24">BT65</f>
        <v>30</v>
      </c>
      <c r="BW65" s="4205"/>
      <c r="BX65" s="2612">
        <f t="shared" ref="BX65:BX70" si="25">BV65</f>
        <v>30</v>
      </c>
      <c r="BY65" s="4205"/>
      <c r="BZ65" s="2591"/>
      <c r="CA65" s="2612">
        <f>Coastal!F126</f>
        <v>0.7</v>
      </c>
      <c r="CB65" s="1782"/>
      <c r="CC65" s="4205"/>
      <c r="CD65" s="1782"/>
      <c r="CE65" s="4205"/>
      <c r="CF65" s="1800"/>
      <c r="CG65" s="2591"/>
      <c r="CH65" s="1800"/>
      <c r="CI65" s="1800"/>
      <c r="CJ65" s="1800"/>
      <c r="CK65" s="1782"/>
      <c r="CM65" s="4363">
        <v>1</v>
      </c>
      <c r="CN65" s="4364"/>
      <c r="CO65" s="1996"/>
    </row>
    <row r="66" spans="2:93" x14ac:dyDescent="0.2">
      <c r="B66" s="1960"/>
      <c r="C66" s="2131" t="s">
        <v>1710</v>
      </c>
      <c r="D66" s="1960"/>
      <c r="E66" s="4105" t="s">
        <v>2249</v>
      </c>
      <c r="F66" s="1960"/>
      <c r="G66" s="1960"/>
      <c r="H66" s="1960"/>
      <c r="I66" s="1960"/>
      <c r="J66" s="1960"/>
      <c r="K66" s="1960"/>
      <c r="L66" s="2103">
        <v>0</v>
      </c>
      <c r="M66" s="1781"/>
      <c r="N66" s="2103">
        <v>50</v>
      </c>
      <c r="O66" s="2104" t="s">
        <v>86</v>
      </c>
      <c r="P66" s="2103">
        <v>0</v>
      </c>
      <c r="Q66" s="2104" t="s">
        <v>86</v>
      </c>
      <c r="R66" s="1960"/>
      <c r="S66" s="1960"/>
      <c r="T66" s="1960"/>
      <c r="U66" s="1960"/>
      <c r="V66" s="1960"/>
      <c r="W66" s="1960"/>
      <c r="X66" s="1960"/>
      <c r="Y66" s="1960"/>
      <c r="Z66" s="1960"/>
      <c r="AA66" s="1960"/>
      <c r="AB66" s="1960"/>
      <c r="AC66" s="1960"/>
      <c r="AD66" s="1960"/>
      <c r="AE66" s="2107">
        <f>+Coastal!O116</f>
        <v>1575</v>
      </c>
      <c r="AF66" s="1960"/>
      <c r="AG66" s="2107">
        <f>+Coastal!P116</f>
        <v>0</v>
      </c>
      <c r="AH66" s="1960"/>
      <c r="AI66" s="1806">
        <f t="shared" si="23"/>
        <v>-1575</v>
      </c>
      <c r="AJ66" s="1781"/>
      <c r="BQ66" s="1782"/>
      <c r="BR66" s="1782" t="str">
        <f>'7.Coastal wetlands'!C66</f>
        <v>Saline pond</v>
      </c>
      <c r="BS66" s="1782" t="str">
        <f>'7.Coastal wetlands'!E66</f>
        <v>Mesotrophic</v>
      </c>
      <c r="BT66" s="2612">
        <f>'Fish and aqua'!O112</f>
        <v>30</v>
      </c>
      <c r="BU66" s="4205"/>
      <c r="BV66" s="2612">
        <f t="shared" si="24"/>
        <v>30</v>
      </c>
      <c r="BW66" s="4205"/>
      <c r="BX66" s="2612">
        <f t="shared" si="25"/>
        <v>30</v>
      </c>
      <c r="BY66" s="4205"/>
      <c r="BZ66" s="2591"/>
      <c r="CA66" s="2612">
        <f>Coastal!F127</f>
        <v>3</v>
      </c>
      <c r="CB66" s="1782"/>
      <c r="CC66" s="4205"/>
      <c r="CD66" s="1782"/>
      <c r="CE66" s="4205"/>
      <c r="CF66" s="1800"/>
      <c r="CG66" s="2591"/>
      <c r="CH66" s="1800"/>
      <c r="CI66" s="1800"/>
      <c r="CJ66" s="1800"/>
      <c r="CK66" s="1782"/>
      <c r="CM66" s="4363">
        <v>1</v>
      </c>
      <c r="CN66" s="4364"/>
      <c r="CO66" s="1996"/>
    </row>
    <row r="67" spans="2:93" ht="15" customHeight="1" x14ac:dyDescent="0.2">
      <c r="B67" s="1960"/>
      <c r="C67" s="2131" t="s">
        <v>1710</v>
      </c>
      <c r="D67" s="1960"/>
      <c r="E67" s="4105" t="s">
        <v>2250</v>
      </c>
      <c r="F67" s="1960"/>
      <c r="G67" s="1960"/>
      <c r="H67" s="1960"/>
      <c r="I67" s="1960"/>
      <c r="J67" s="1960"/>
      <c r="K67" s="1960"/>
      <c r="L67" s="2103">
        <v>0</v>
      </c>
      <c r="M67" s="1781"/>
      <c r="N67" s="2103">
        <v>0</v>
      </c>
      <c r="O67" s="2104" t="s">
        <v>86</v>
      </c>
      <c r="P67" s="2103">
        <v>50</v>
      </c>
      <c r="Q67" s="2104" t="s">
        <v>86</v>
      </c>
      <c r="R67" s="1960"/>
      <c r="S67" s="1960"/>
      <c r="T67" s="1960"/>
      <c r="U67" s="1960"/>
      <c r="V67" s="1960"/>
      <c r="W67" s="1960"/>
      <c r="X67" s="1960"/>
      <c r="Y67" s="1960"/>
      <c r="Z67" s="1960"/>
      <c r="AA67" s="1960"/>
      <c r="AB67" s="1960"/>
      <c r="AC67" s="1960"/>
      <c r="AD67" s="1960"/>
      <c r="AE67" s="2107">
        <f>+Coastal!O117</f>
        <v>0</v>
      </c>
      <c r="AF67" s="1960"/>
      <c r="AG67" s="2107">
        <f>+Coastal!P117</f>
        <v>5197.5</v>
      </c>
      <c r="AH67" s="1960"/>
      <c r="AI67" s="1806">
        <f t="shared" si="23"/>
        <v>5197.5</v>
      </c>
      <c r="AJ67" s="1781"/>
      <c r="BQ67" s="1782"/>
      <c r="BR67" s="1782" t="str">
        <f>'7.Coastal wetlands'!C67</f>
        <v>Saline pond</v>
      </c>
      <c r="BS67" s="1782" t="str">
        <f>'7.Coastal wetlands'!E67</f>
        <v>Eutrophic</v>
      </c>
      <c r="BT67" s="2612">
        <f>'Fish and aqua'!O113</f>
        <v>30</v>
      </c>
      <c r="BU67" s="4205"/>
      <c r="BV67" s="2612">
        <f t="shared" si="24"/>
        <v>30</v>
      </c>
      <c r="BW67" s="4205"/>
      <c r="BX67" s="2612">
        <f t="shared" si="25"/>
        <v>30</v>
      </c>
      <c r="BY67" s="4205"/>
      <c r="BZ67" s="2591"/>
      <c r="CA67" s="2612">
        <f>Coastal!F128</f>
        <v>9.9</v>
      </c>
      <c r="CB67" s="1782"/>
      <c r="CC67" s="4205"/>
      <c r="CD67" s="1782"/>
      <c r="CE67" s="4205"/>
      <c r="CF67" s="1800"/>
      <c r="CG67" s="2591"/>
      <c r="CH67" s="1800"/>
      <c r="CI67" s="1800"/>
      <c r="CJ67" s="1800"/>
      <c r="CK67" s="1782"/>
      <c r="CM67" s="4363">
        <v>1</v>
      </c>
      <c r="CN67" s="4364"/>
      <c r="CO67" s="1996"/>
    </row>
    <row r="68" spans="2:93" x14ac:dyDescent="0.2">
      <c r="B68" s="1960"/>
      <c r="C68" s="2131" t="s">
        <v>57</v>
      </c>
      <c r="D68" s="1960"/>
      <c r="E68" s="4105" t="s">
        <v>57</v>
      </c>
      <c r="F68" s="1960"/>
      <c r="G68" s="1960"/>
      <c r="H68" s="1960"/>
      <c r="I68" s="1960"/>
      <c r="J68" s="1960"/>
      <c r="K68" s="1960"/>
      <c r="L68" s="2103">
        <v>0</v>
      </c>
      <c r="M68" s="1781"/>
      <c r="N68" s="2103">
        <v>0</v>
      </c>
      <c r="O68" s="2104" t="s">
        <v>86</v>
      </c>
      <c r="P68" s="2103">
        <v>0</v>
      </c>
      <c r="Q68" s="2104" t="s">
        <v>86</v>
      </c>
      <c r="R68" s="1960"/>
      <c r="S68" s="1960"/>
      <c r="T68" s="1960"/>
      <c r="U68" s="1960"/>
      <c r="V68" s="1960"/>
      <c r="W68" s="1960"/>
      <c r="X68" s="1960"/>
      <c r="Y68" s="1960"/>
      <c r="Z68" s="1960"/>
      <c r="AA68" s="1960"/>
      <c r="AB68" s="1960"/>
      <c r="AC68" s="1960"/>
      <c r="AD68" s="1960"/>
      <c r="AE68" s="2107">
        <f>+Coastal!O118</f>
        <v>0</v>
      </c>
      <c r="AF68" s="1960"/>
      <c r="AG68" s="2107">
        <f>+Coastal!P118</f>
        <v>0</v>
      </c>
      <c r="AH68" s="1960"/>
      <c r="AI68" s="1806">
        <f t="shared" si="23"/>
        <v>0</v>
      </c>
      <c r="AJ68" s="1781"/>
      <c r="BQ68" s="1782"/>
      <c r="BR68" s="1782" t="str">
        <f>'7.Coastal wetlands'!C68</f>
        <v>Please select</v>
      </c>
      <c r="BS68" s="1782" t="str">
        <f>'7.Coastal wetlands'!E68</f>
        <v>Please select</v>
      </c>
      <c r="BT68" s="2612">
        <f>'Fish and aqua'!O114</f>
        <v>0</v>
      </c>
      <c r="BU68" s="4205"/>
      <c r="BV68" s="2612">
        <f t="shared" si="24"/>
        <v>0</v>
      </c>
      <c r="BW68" s="4205"/>
      <c r="BX68" s="2612">
        <f t="shared" si="25"/>
        <v>0</v>
      </c>
      <c r="BY68" s="4205"/>
      <c r="BZ68" s="2591"/>
      <c r="CA68" s="2612">
        <f>Coastal!F129</f>
        <v>0</v>
      </c>
      <c r="CB68" s="1782"/>
      <c r="CC68" s="4205"/>
      <c r="CD68" s="1782"/>
      <c r="CE68" s="4205"/>
      <c r="CF68" s="1800"/>
      <c r="CG68" s="2591"/>
      <c r="CH68" s="1800"/>
      <c r="CI68" s="1800"/>
      <c r="CJ68" s="1800"/>
      <c r="CK68" s="1782"/>
      <c r="CM68" s="4363">
        <v>1</v>
      </c>
      <c r="CN68" s="4364"/>
      <c r="CO68" s="1996"/>
    </row>
    <row r="69" spans="2:93" x14ac:dyDescent="0.2">
      <c r="B69" s="1960"/>
      <c r="C69" s="2131" t="s">
        <v>57</v>
      </c>
      <c r="D69" s="1960"/>
      <c r="E69" s="4105" t="s">
        <v>57</v>
      </c>
      <c r="F69" s="1960"/>
      <c r="G69" s="1960"/>
      <c r="H69" s="1960"/>
      <c r="I69" s="1960"/>
      <c r="J69" s="1960"/>
      <c r="K69" s="1960"/>
      <c r="L69" s="2103">
        <v>0</v>
      </c>
      <c r="M69" s="1781"/>
      <c r="N69" s="2103">
        <v>0</v>
      </c>
      <c r="O69" s="2104" t="s">
        <v>86</v>
      </c>
      <c r="P69" s="2103">
        <v>0</v>
      </c>
      <c r="Q69" s="2104" t="s">
        <v>86</v>
      </c>
      <c r="R69" s="1960"/>
      <c r="S69" s="1960"/>
      <c r="T69" s="1960"/>
      <c r="U69" s="1960"/>
      <c r="V69" s="1960"/>
      <c r="W69" s="1960"/>
      <c r="X69" s="1960"/>
      <c r="Y69" s="1960"/>
      <c r="Z69" s="1960"/>
      <c r="AA69" s="1960"/>
      <c r="AB69" s="1960"/>
      <c r="AC69" s="1960"/>
      <c r="AD69" s="1960"/>
      <c r="AE69" s="2107">
        <f>+Coastal!O119</f>
        <v>0</v>
      </c>
      <c r="AF69" s="1960"/>
      <c r="AG69" s="2107">
        <f>+Coastal!P119</f>
        <v>0</v>
      </c>
      <c r="AH69" s="1960"/>
      <c r="AI69" s="1806">
        <f t="shared" si="23"/>
        <v>0</v>
      </c>
      <c r="AJ69" s="1781"/>
      <c r="BQ69" s="1782"/>
      <c r="BR69" s="1782" t="str">
        <f>'7.Coastal wetlands'!C69</f>
        <v>Please select</v>
      </c>
      <c r="BS69" s="1782" t="str">
        <f>'7.Coastal wetlands'!E69</f>
        <v>Please select</v>
      </c>
      <c r="BT69" s="2612">
        <f>'Fish and aqua'!O115</f>
        <v>0</v>
      </c>
      <c r="BU69" s="4205"/>
      <c r="BV69" s="2612">
        <f t="shared" si="24"/>
        <v>0</v>
      </c>
      <c r="BW69" s="4205"/>
      <c r="BX69" s="2612">
        <f t="shared" si="25"/>
        <v>0</v>
      </c>
      <c r="BY69" s="4205"/>
      <c r="BZ69" s="2591"/>
      <c r="CA69" s="2612">
        <f>Coastal!F130</f>
        <v>0</v>
      </c>
      <c r="CB69" s="1782"/>
      <c r="CC69" s="4205"/>
      <c r="CD69" s="1782"/>
      <c r="CE69" s="4205"/>
      <c r="CF69" s="1800"/>
      <c r="CG69" s="2591"/>
      <c r="CH69" s="1800"/>
      <c r="CI69" s="1800"/>
      <c r="CJ69" s="1800"/>
      <c r="CK69" s="1782"/>
      <c r="CM69" s="4363">
        <v>1</v>
      </c>
      <c r="CN69" s="4364"/>
      <c r="CO69" s="1996"/>
    </row>
    <row r="70" spans="2:93" x14ac:dyDescent="0.2">
      <c r="B70" s="1960"/>
      <c r="C70" s="2131" t="s">
        <v>57</v>
      </c>
      <c r="D70" s="1960"/>
      <c r="E70" s="4105" t="s">
        <v>57</v>
      </c>
      <c r="F70" s="1960"/>
      <c r="G70" s="1960"/>
      <c r="H70" s="1960"/>
      <c r="I70" s="1960"/>
      <c r="J70" s="1960"/>
      <c r="K70" s="1960"/>
      <c r="L70" s="2103">
        <v>0</v>
      </c>
      <c r="M70" s="1781"/>
      <c r="N70" s="2103">
        <v>0</v>
      </c>
      <c r="O70" s="2104" t="s">
        <v>86</v>
      </c>
      <c r="P70" s="2103">
        <v>0</v>
      </c>
      <c r="Q70" s="2104" t="s">
        <v>86</v>
      </c>
      <c r="R70" s="1960"/>
      <c r="S70" s="1960"/>
      <c r="T70" s="1960"/>
      <c r="U70" s="1960"/>
      <c r="V70" s="1960"/>
      <c r="W70" s="1960"/>
      <c r="X70" s="1960"/>
      <c r="Y70" s="1960"/>
      <c r="Z70" s="1960"/>
      <c r="AA70" s="1960"/>
      <c r="AB70" s="1960"/>
      <c r="AC70" s="1960"/>
      <c r="AD70" s="1960"/>
      <c r="AE70" s="2107">
        <f>+Coastal!O120</f>
        <v>0</v>
      </c>
      <c r="AF70" s="1960"/>
      <c r="AG70" s="2107">
        <f>+Coastal!P120</f>
        <v>0</v>
      </c>
      <c r="AH70" s="1960"/>
      <c r="AI70" s="1806">
        <f t="shared" si="23"/>
        <v>0</v>
      </c>
      <c r="AJ70" s="1781"/>
      <c r="BQ70" s="1782"/>
      <c r="BR70" s="1782" t="str">
        <f>'7.Coastal wetlands'!C70</f>
        <v>Please select</v>
      </c>
      <c r="BS70" s="1782" t="str">
        <f>'7.Coastal wetlands'!E70</f>
        <v>Please select</v>
      </c>
      <c r="BT70" s="2612">
        <f>'Fish and aqua'!O116</f>
        <v>0</v>
      </c>
      <c r="BU70" s="4205"/>
      <c r="BV70" s="2612">
        <f t="shared" si="24"/>
        <v>0</v>
      </c>
      <c r="BW70" s="4205"/>
      <c r="BX70" s="2612">
        <f t="shared" si="25"/>
        <v>0</v>
      </c>
      <c r="BY70" s="4205"/>
      <c r="BZ70" s="2591"/>
      <c r="CA70" s="2612">
        <f>Coastal!F131</f>
        <v>0</v>
      </c>
      <c r="CB70" s="1782"/>
      <c r="CC70" s="4205"/>
      <c r="CD70" s="1782"/>
      <c r="CE70" s="4205"/>
      <c r="CF70" s="1800"/>
      <c r="CG70" s="2591"/>
      <c r="CH70" s="1800"/>
      <c r="CI70" s="1800"/>
      <c r="CJ70" s="1800"/>
      <c r="CK70" s="1782"/>
      <c r="CM70" s="4363">
        <v>1</v>
      </c>
      <c r="CN70" s="4364"/>
      <c r="CO70" s="1996"/>
    </row>
    <row r="71" spans="2:93" s="1964" customFormat="1" x14ac:dyDescent="0.2">
      <c r="B71" s="4142"/>
      <c r="C71" s="4142"/>
      <c r="D71" s="4142"/>
      <c r="E71" s="4142"/>
      <c r="F71" s="4142"/>
      <c r="G71" s="4142"/>
      <c r="H71" s="4142"/>
      <c r="I71" s="4142"/>
      <c r="J71" s="4321"/>
      <c r="K71" s="4321" t="str">
        <f>Languages!B537</f>
        <v>Total (ha)</v>
      </c>
      <c r="L71" s="4322">
        <f>SUM(L65:L70)</f>
        <v>50</v>
      </c>
      <c r="M71" s="4322"/>
      <c r="N71" s="4322">
        <f>SUM(N65:N70)</f>
        <v>50</v>
      </c>
      <c r="O71" s="4322"/>
      <c r="P71" s="4322">
        <f>SUM(P65:P70)</f>
        <v>50</v>
      </c>
      <c r="Q71" s="4142"/>
      <c r="R71" s="4142"/>
      <c r="S71" s="4142"/>
      <c r="T71" s="4142"/>
      <c r="U71" s="4142"/>
      <c r="V71" s="4142"/>
      <c r="W71" s="4142"/>
      <c r="X71" s="4142"/>
      <c r="Y71" s="4142"/>
      <c r="Z71" s="4142"/>
      <c r="AA71" s="4142"/>
      <c r="AB71" s="4142"/>
      <c r="AC71" s="4142"/>
      <c r="AD71" s="4142"/>
      <c r="AE71" s="4142"/>
      <c r="AF71" s="4142"/>
      <c r="AG71" s="4142"/>
      <c r="AH71" s="4142"/>
      <c r="AI71" s="4142"/>
      <c r="AJ71" s="1826"/>
      <c r="BQ71" s="1783"/>
      <c r="BR71" s="1783"/>
      <c r="BS71" s="1783"/>
      <c r="BT71" s="1783"/>
      <c r="BU71" s="4346"/>
      <c r="BV71" s="4145"/>
      <c r="BW71" s="4346"/>
      <c r="BX71" s="4145"/>
      <c r="BY71" s="4346"/>
      <c r="BZ71" s="4145"/>
      <c r="CA71" s="4145"/>
      <c r="CB71" s="4346"/>
      <c r="CC71" s="1783"/>
      <c r="CD71" s="4145"/>
      <c r="CE71" s="1783"/>
      <c r="CF71" s="4145"/>
      <c r="CG71" s="4145"/>
      <c r="CH71" s="1889"/>
      <c r="CI71" s="1889"/>
      <c r="CJ71" s="1889"/>
      <c r="CK71" s="1783"/>
      <c r="CM71" s="1996"/>
      <c r="CN71" s="1996"/>
      <c r="CO71" s="1996"/>
    </row>
    <row r="72" spans="2:93" ht="15.75" customHeight="1" x14ac:dyDescent="0.2">
      <c r="B72" s="1960"/>
      <c r="C72" s="1960"/>
      <c r="D72" s="1960"/>
      <c r="E72" s="1960"/>
      <c r="F72" s="1960"/>
      <c r="G72" s="1960"/>
      <c r="H72" s="1960"/>
      <c r="I72" s="1960"/>
      <c r="J72" s="1960"/>
      <c r="K72" s="1960"/>
      <c r="L72" s="4344" t="str">
        <f>IF(OR(L71&lt;&gt;N71, L71&lt;&gt;P71,N71&lt;&gt;P71), "Error - total area must remain constant", "")</f>
        <v/>
      </c>
      <c r="M72" s="4279"/>
      <c r="N72" s="1960"/>
      <c r="O72" s="1960"/>
      <c r="P72" s="1960"/>
      <c r="Q72" s="1960"/>
      <c r="R72" s="1960"/>
      <c r="S72" s="1960"/>
      <c r="T72" s="1960"/>
      <c r="U72" s="1960"/>
      <c r="V72" s="4144"/>
      <c r="W72" s="4144"/>
      <c r="X72" s="4144"/>
      <c r="Y72" s="4144"/>
      <c r="Z72" s="4144"/>
      <c r="AA72" s="4144"/>
      <c r="AB72" s="4144"/>
      <c r="AC72" s="4144"/>
      <c r="AD72" s="4144"/>
      <c r="AE72" s="1960"/>
      <c r="AF72" s="4144"/>
      <c r="AG72" s="1960"/>
      <c r="AH72" s="4144"/>
      <c r="AI72" s="4144"/>
      <c r="AJ72" s="1781"/>
      <c r="BQ72" s="1782"/>
      <c r="BR72" s="1782" t="str">
        <f>BR54</f>
        <v>Use this part only if you want to refine the analysis at Tier 2</v>
      </c>
      <c r="BS72" s="1782"/>
      <c r="BT72" s="1782"/>
      <c r="BU72" s="1782"/>
      <c r="BV72" s="1782"/>
      <c r="BW72" s="1782"/>
      <c r="BX72" s="1782"/>
      <c r="BY72" s="1782"/>
      <c r="BZ72" s="1782"/>
      <c r="CA72" s="1782"/>
      <c r="CB72" s="1782"/>
      <c r="CC72" s="1782"/>
      <c r="CD72" s="1782"/>
      <c r="CE72" s="1782"/>
      <c r="CF72" s="1782"/>
      <c r="CG72" s="1782"/>
      <c r="CH72" s="1782"/>
      <c r="CI72" s="1782"/>
      <c r="CJ72" s="1782"/>
      <c r="CK72" s="1782"/>
      <c r="CM72" s="4548" t="s">
        <v>87</v>
      </c>
      <c r="CN72" s="4548"/>
      <c r="CO72" s="4548"/>
    </row>
    <row r="73" spans="2:93" x14ac:dyDescent="0.2">
      <c r="B73" s="1960"/>
      <c r="C73" s="1960"/>
      <c r="D73" s="1960"/>
      <c r="E73" s="1960"/>
      <c r="F73" s="1960"/>
      <c r="G73" s="1960"/>
      <c r="H73" s="1960"/>
      <c r="I73" s="1960"/>
      <c r="J73" s="1960"/>
      <c r="K73" s="1960"/>
      <c r="L73" s="1960"/>
      <c r="M73" s="1960"/>
      <c r="N73" s="1960"/>
      <c r="O73" s="1960"/>
      <c r="P73" s="1960"/>
      <c r="Q73" s="1960"/>
      <c r="R73" s="1960"/>
      <c r="S73" s="1960"/>
      <c r="T73" s="1960"/>
      <c r="U73" s="1960"/>
      <c r="V73" s="1960"/>
      <c r="W73" s="1960"/>
      <c r="X73" s="1960"/>
      <c r="Y73" s="1960"/>
      <c r="Z73" s="1960"/>
      <c r="AA73" s="1960"/>
      <c r="AB73" s="1906" t="str">
        <f>Languages!B538</f>
        <v>Total for coastal water bodies (tCO2-e)</v>
      </c>
      <c r="AC73" s="1960"/>
      <c r="AD73" s="1960"/>
      <c r="AE73" s="2035">
        <f>SUM(AE65:AE70)</f>
        <v>1648.5</v>
      </c>
      <c r="AF73" s="1960"/>
      <c r="AG73" s="2035">
        <f>SUM(AG65:AG70)</f>
        <v>5271</v>
      </c>
      <c r="AH73" s="1960"/>
      <c r="AI73" s="1780">
        <f>SUM(AI65:AI70)</f>
        <v>3622.5</v>
      </c>
      <c r="AJ73" s="1781"/>
      <c r="BQ73" s="1782"/>
      <c r="BR73" s="1782" t="str">
        <f>BR55</f>
        <v>IPCC default values are provided for your information only; EX-ACT will use Tier 2 values automatically wherever specified.</v>
      </c>
      <c r="BS73" s="1782"/>
      <c r="BT73" s="1782"/>
      <c r="BU73" s="1782"/>
      <c r="BV73" s="1782"/>
      <c r="BW73" s="1782"/>
      <c r="BX73" s="1782"/>
      <c r="BY73" s="1782"/>
      <c r="BZ73" s="1782"/>
      <c r="CA73" s="1782"/>
      <c r="CB73" s="1782"/>
      <c r="CC73" s="1782"/>
      <c r="CD73" s="1782"/>
      <c r="CE73" s="1782"/>
      <c r="CF73" s="1782"/>
      <c r="CG73" s="1782"/>
      <c r="CH73" s="1782"/>
      <c r="CI73" s="1782"/>
      <c r="CJ73" s="1782"/>
      <c r="CK73" s="1782"/>
      <c r="CM73" s="4548"/>
      <c r="CN73" s="4548"/>
      <c r="CO73" s="4548"/>
    </row>
    <row r="74" spans="2:93" x14ac:dyDescent="0.2">
      <c r="B74" s="1960"/>
      <c r="C74" s="1960"/>
      <c r="D74" s="1960"/>
      <c r="E74" s="1960"/>
      <c r="F74" s="1960"/>
      <c r="G74" s="1960"/>
      <c r="H74" s="1960"/>
      <c r="I74" s="1960"/>
      <c r="J74" s="1960"/>
      <c r="K74" s="1960"/>
      <c r="L74" s="1960"/>
      <c r="M74" s="1960"/>
      <c r="N74" s="1960"/>
      <c r="O74" s="1960"/>
      <c r="P74" s="1960"/>
      <c r="Q74" s="1960"/>
      <c r="R74" s="1960"/>
      <c r="S74" s="1960"/>
      <c r="T74" s="1960"/>
      <c r="U74" s="1960"/>
      <c r="V74" s="1960"/>
      <c r="W74" s="1960"/>
      <c r="X74" s="1960"/>
      <c r="Y74" s="1960"/>
      <c r="Z74" s="1960"/>
      <c r="AA74" s="1960"/>
      <c r="AB74" s="1906"/>
      <c r="AC74" s="1960"/>
      <c r="AD74" s="1960"/>
      <c r="AE74" s="1843"/>
      <c r="AF74" s="1960"/>
      <c r="AG74" s="1843"/>
      <c r="AH74" s="1960"/>
      <c r="AI74" s="1780"/>
      <c r="AJ74" s="1781"/>
      <c r="BQ74" s="1782"/>
      <c r="BR74" s="1782"/>
      <c r="BS74" s="1782"/>
      <c r="BT74" s="1782"/>
      <c r="BU74" s="1782"/>
      <c r="BV74" s="1782"/>
      <c r="BW74" s="1782"/>
      <c r="BX74" s="1782"/>
      <c r="BY74" s="1782"/>
      <c r="BZ74" s="1782"/>
      <c r="CA74" s="1782"/>
      <c r="CB74" s="1782"/>
      <c r="CC74" s="1782"/>
      <c r="CD74" s="1782"/>
      <c r="CE74" s="1782"/>
      <c r="CF74" s="1782"/>
      <c r="CG74" s="1782"/>
      <c r="CH74" s="1782"/>
      <c r="CI74" s="1782"/>
      <c r="CJ74" s="1782"/>
      <c r="CK74" s="1782"/>
      <c r="CM74" s="4548"/>
      <c r="CN74" s="4548"/>
      <c r="CO74" s="4548"/>
    </row>
    <row r="75" spans="2:93" x14ac:dyDescent="0.2">
      <c r="B75" s="1960"/>
      <c r="C75" s="1960" t="str">
        <f>C55</f>
        <v>*The selection of "D" corresponds to a default (linear) dynamics of change. Other selection options include "I" for immediate changes and "E" for exponential - please refer to the guidelines for further explanation of these assumptions.</v>
      </c>
      <c r="D75" s="1960"/>
      <c r="E75" s="1960"/>
      <c r="F75" s="1960"/>
      <c r="G75" s="1960"/>
      <c r="H75" s="1960"/>
      <c r="I75" s="1960"/>
      <c r="J75" s="1960"/>
      <c r="K75" s="1960"/>
      <c r="L75" s="1960"/>
      <c r="M75" s="1960"/>
      <c r="N75" s="1960"/>
      <c r="O75" s="1960"/>
      <c r="P75" s="1960"/>
      <c r="Q75" s="1960"/>
      <c r="R75" s="1960"/>
      <c r="S75" s="1960"/>
      <c r="T75" s="1960"/>
      <c r="U75" s="1960"/>
      <c r="V75" s="1960"/>
      <c r="W75" s="1960"/>
      <c r="X75" s="1960"/>
      <c r="Y75" s="1960"/>
      <c r="Z75" s="1960"/>
      <c r="AA75" s="1960"/>
      <c r="AB75" s="1960"/>
      <c r="AC75" s="1960"/>
      <c r="AD75" s="1960"/>
      <c r="AE75" s="1960"/>
      <c r="AF75" s="1960"/>
      <c r="AG75" s="1960"/>
      <c r="AH75" s="1960"/>
      <c r="AI75" s="1960"/>
      <c r="AJ75" s="1781"/>
    </row>
    <row r="100" ht="45" customHeight="1" x14ac:dyDescent="0.2"/>
    <row r="101" ht="5.25" customHeight="1" x14ac:dyDescent="0.2"/>
  </sheetData>
  <sheetProtection algorithmName="SHA-512" hashValue="w+pKVVWCQWhzPU7mE8wMVL9CQKv3sx/0aI8EylIzR8OUDauYLYc2K+/vombXhXEhcJd4NloA8BjtMJqohmJPHA==" saltValue="aKVLaeJoxLmSzMzeIimW9Q==" spinCount="100000" sheet="1" formatColumns="0"/>
  <mergeCells count="4">
    <mergeCell ref="CM72:CO74"/>
    <mergeCell ref="CM18:CO20"/>
    <mergeCell ref="CM36:CO38"/>
    <mergeCell ref="CM53:CO55"/>
  </mergeCells>
  <conditionalFormatting sqref="E60">
    <cfRule type="expression" priority="548">
      <formula>IF(SUM($M$13:$N$18,$P$13:$P$18,$N$45:$N$50,$P$45:$P$50,$N$78:$N$83,$P$78:$P$83,$M$116:$M$121,$M$146:$N$151,$P$146:$P$151,$M$172:$N$175)&gt;0,)</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1500-000000000000}">
          <x14:formula1>
            <xm:f>list!$I$48:$I$50</xm:f>
          </x14:formula1>
          <xm:sqref>K46:K51 I46:I51 Q29:Q34 S29:S34 O65:O70 Q65:Q70</xm:sqref>
        </x14:dataValidation>
        <x14:dataValidation type="list" allowBlank="1" showInputMessage="1" showErrorMessage="1" xr:uid="{00000000-0002-0000-1500-000001000000}">
          <x14:formula1>
            <xm:f>list!$B$253:$B$256</xm:f>
          </x14:formula1>
          <xm:sqref>C46:C51</xm:sqref>
        </x14:dataValidation>
        <x14:dataValidation type="list" allowBlank="1" showInputMessage="1" showErrorMessage="1" xr:uid="{00000000-0002-0000-1500-000002000000}">
          <x14:formula1>
            <xm:f>list!$B$253:$B$257</xm:f>
          </x14:formula1>
          <xm:sqref>C11:C16</xm:sqref>
        </x14:dataValidation>
        <x14:dataValidation type="list" allowBlank="1" showInputMessage="1" showErrorMessage="1" xr:uid="{00000000-0002-0000-1500-000003000000}">
          <x14:formula1>
            <xm:f>list!$C$254:$C$255</xm:f>
          </x14:formula1>
          <xm:sqref>CC46:CC51</xm:sqref>
        </x14:dataValidation>
        <x14:dataValidation type="list" allowBlank="1" showInputMessage="1" showErrorMessage="1" xr:uid="{00000000-0002-0000-1500-000004000000}">
          <x14:formula1>
            <xm:f>OFFSET(list!$B$261,1,MATCH($BR30,list!$B$261:$D$261,0)-1, COUNTA(OFFSET(list!$B$261,1, MATCH($BR30,list!$B$261:$D$261,0)-1,10,1)), 1)</xm:f>
          </x14:formula1>
          <xm:sqref>CC30:CC34</xm:sqref>
        </x14:dataValidation>
        <x14:dataValidation type="list" allowBlank="1" showInputMessage="1" showErrorMessage="1" xr:uid="{00000000-0002-0000-1500-000005000000}">
          <x14:formula1>
            <xm:f>OFFSET(list!$B$261,1,MATCH($BR11,list!$B$261:$D$261,0)-1, COUNTA(OFFSET(list!$B$261,1, MATCH($BR11,list!$B$261:$D$261,0)-1,4,1)), 1)</xm:f>
          </x14:formula1>
          <xm:sqref>CC11:CC16 CC29</xm:sqref>
        </x14:dataValidation>
        <x14:dataValidation type="list" allowBlank="1" showInputMessage="1" showErrorMessage="1" xr:uid="{00000000-0002-0000-1500-000006000000}">
          <x14:formula1>
            <xm:f>IF($BR11="Mangrove",list!$D$253:$D$254)</xm:f>
          </x14:formula1>
          <xm:sqref>CE11:CE16 CE29:CE34</xm:sqref>
        </x14:dataValidation>
        <x14:dataValidation type="list" allowBlank="1" showInputMessage="1" showErrorMessage="1" xr:uid="{00000000-0002-0000-1500-000007000000}">
          <x14:formula1>
            <xm:f>IPCC!$A$3222:$A$3227</xm:f>
          </x14:formula1>
          <xm:sqref>E65:E70</xm:sqref>
        </x14:dataValidation>
        <x14:dataValidation type="list" allowBlank="1" showInputMessage="1" showErrorMessage="1" xr:uid="{00000000-0002-0000-1500-000008000000}">
          <x14:formula1>
            <xm:f>list!$B$268:$B$270</xm:f>
          </x14:formula1>
          <xm:sqref>C65:C70</xm:sqref>
        </x14:dataValidation>
        <x14:dataValidation type="whole" operator="lessThanOrEqual" allowBlank="1" showInputMessage="1" showErrorMessage="1" error="The start year of the activity cannot be after the end of the implementation period." xr:uid="{00000000-0002-0000-1500-000009000000}">
          <x14:formula1>
            <xm:f>'1.Description'!$T$13</xm:f>
          </x14:formula1>
          <xm:sqref>CN29:CN34 CN46:CN51 CN65:CN70 CN11:CN16</xm:sqref>
        </x14:dataValidation>
      </x14:dataValidations>
    </ext>
  </extLst>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3:BS131"/>
  <sheetViews>
    <sheetView zoomScaleNormal="115" workbookViewId="0">
      <selection activeCell="M8" sqref="M8"/>
    </sheetView>
  </sheetViews>
  <sheetFormatPr baseColWidth="10" defaultColWidth="9.33203125" defaultRowHeight="13" x14ac:dyDescent="0.15"/>
  <cols>
    <col min="1" max="1" width="9.33203125" style="2188"/>
    <col min="2" max="2" width="24.5" style="2188" customWidth="1"/>
    <col min="3" max="3" width="15.5" style="2188" customWidth="1"/>
    <col min="4" max="4" width="9.33203125" style="2188"/>
    <col min="5" max="5" width="10.5" style="2188" bestFit="1" customWidth="1"/>
    <col min="6" max="11" width="9.33203125" style="2188"/>
    <col min="12" max="12" width="10" style="2188" bestFit="1" customWidth="1"/>
    <col min="13" max="14" width="9.33203125" style="2188"/>
    <col min="15" max="16" width="10.5" style="2188" bestFit="1" customWidth="1"/>
    <col min="17" max="17" width="9.5" style="2188" bestFit="1" customWidth="1"/>
    <col min="18" max="18" width="25.5" style="2188" customWidth="1"/>
    <col min="19" max="20" width="9.33203125" style="2188"/>
    <col min="21" max="21" width="14.5" style="2188" customWidth="1"/>
    <col min="22" max="22" width="12.5" style="2188" customWidth="1"/>
    <col min="23" max="23" width="9.33203125" style="2188"/>
    <col min="24" max="24" width="10.5" style="2188" customWidth="1"/>
    <col min="25" max="25" width="9.33203125" style="2188"/>
    <col min="26" max="26" width="23.5" style="2188" customWidth="1"/>
    <col min="27" max="27" width="11" style="2188" customWidth="1"/>
    <col min="28" max="28" width="12.5" style="2188" customWidth="1"/>
    <col min="29" max="29" width="11.6640625" style="2188" customWidth="1"/>
    <col min="30" max="16384" width="9.33203125" style="2188"/>
  </cols>
  <sheetData>
    <row r="3" spans="1:30" ht="45" customHeight="1" x14ac:dyDescent="0.15">
      <c r="A3" s="2187"/>
      <c r="B3" s="2260" t="s">
        <v>2273</v>
      </c>
      <c r="C3" s="2187"/>
      <c r="D3" s="2187"/>
      <c r="E3" s="2187"/>
      <c r="F3" s="2187"/>
      <c r="G3" s="2187"/>
      <c r="H3" s="2187"/>
      <c r="I3" s="2187"/>
      <c r="J3" s="2187"/>
      <c r="K3" s="2187"/>
      <c r="L3" s="2187"/>
      <c r="M3" s="2187"/>
      <c r="N3" s="2187"/>
      <c r="O3" s="2187"/>
      <c r="P3" s="2187"/>
      <c r="Q3" s="2187"/>
      <c r="R3" s="2187"/>
      <c r="S3" s="2187"/>
      <c r="T3" s="2187"/>
      <c r="U3" s="2187"/>
      <c r="V3" s="2187"/>
      <c r="W3" s="2187"/>
      <c r="X3" s="2187"/>
      <c r="Y3" s="2187"/>
      <c r="Z3" s="2187"/>
      <c r="AA3" s="2187"/>
      <c r="AB3" s="2187"/>
      <c r="AC3" s="2187"/>
    </row>
    <row r="5" spans="1:30" x14ac:dyDescent="0.15">
      <c r="U5" s="2189" t="s">
        <v>860</v>
      </c>
      <c r="V5" s="2190"/>
      <c r="W5" s="2190"/>
      <c r="Z5" s="2189" t="s">
        <v>861</v>
      </c>
      <c r="AA5" s="2190"/>
      <c r="AB5" s="2190"/>
      <c r="AC5" s="2190"/>
    </row>
    <row r="6" spans="1:30" x14ac:dyDescent="0.15">
      <c r="E6" s="2191" t="s">
        <v>2274</v>
      </c>
      <c r="F6" s="2191"/>
      <c r="G6" s="2191" t="s">
        <v>2275</v>
      </c>
      <c r="H6" s="2191"/>
      <c r="I6" s="2191" t="s">
        <v>2276</v>
      </c>
      <c r="J6" s="2191"/>
      <c r="K6" s="2191" t="s">
        <v>1035</v>
      </c>
      <c r="M6" s="2191" t="s">
        <v>2263</v>
      </c>
      <c r="O6" s="2191" t="s">
        <v>2277</v>
      </c>
    </row>
    <row r="7" spans="1:30" x14ac:dyDescent="0.15">
      <c r="B7" s="2191" t="s">
        <v>2278</v>
      </c>
      <c r="C7" s="2191" t="s">
        <v>2279</v>
      </c>
      <c r="E7" s="1661" t="s">
        <v>864</v>
      </c>
      <c r="F7" s="1661" t="s">
        <v>66</v>
      </c>
      <c r="G7" s="1661" t="s">
        <v>864</v>
      </c>
      <c r="H7" s="1661" t="s">
        <v>66</v>
      </c>
      <c r="I7" s="1661" t="s">
        <v>864</v>
      </c>
      <c r="J7" s="1661" t="s">
        <v>66</v>
      </c>
      <c r="K7" s="1661" t="s">
        <v>864</v>
      </c>
      <c r="L7" s="1661" t="s">
        <v>66</v>
      </c>
      <c r="M7" s="1661" t="s">
        <v>864</v>
      </c>
      <c r="N7" s="1661" t="s">
        <v>66</v>
      </c>
      <c r="O7" s="1661" t="s">
        <v>864</v>
      </c>
      <c r="P7" s="1661" t="s">
        <v>66</v>
      </c>
      <c r="U7" s="2192" t="s">
        <v>866</v>
      </c>
      <c r="V7" s="2193" t="s">
        <v>200</v>
      </c>
      <c r="W7" s="2193" t="s">
        <v>201</v>
      </c>
      <c r="X7" s="2193" t="s">
        <v>2280</v>
      </c>
      <c r="Z7" s="2192" t="s">
        <v>866</v>
      </c>
      <c r="AA7" s="2193" t="s">
        <v>324</v>
      </c>
      <c r="AB7" s="2193" t="s">
        <v>867</v>
      </c>
      <c r="AC7" s="2194" t="s">
        <v>868</v>
      </c>
    </row>
    <row r="8" spans="1:30" x14ac:dyDescent="0.15">
      <c r="B8" s="2188" t="str">
        <f>'7.Coastal wetlands'!C11</f>
        <v>Tidal marsh</v>
      </c>
      <c r="C8" s="2188" t="str">
        <f>IF('7.Coastal wetlands'!CE11="Tier 1a","Mineral",'7.Coastal wetlands'!CC11)</f>
        <v>Mineral</v>
      </c>
      <c r="E8" s="2195">
        <f>IFERROR(INDEX(IPCC!$A$2093:$D$2104,MATCH(clim_moist,IPCC!$A$2093:$A$2104,0),MATCH(Coastal!$B8,IPCC!$A$2093:$D$2093,0)),0)*0.451</f>
        <v>0</v>
      </c>
      <c r="F8" s="2196">
        <f>IF('7.Coastal wetlands'!BU11="",'7.Coastal wetlands'!BT11,'7.Coastal wetlands'!BU11)</f>
        <v>0</v>
      </c>
      <c r="G8" s="2195">
        <f>IFERROR(INDEX(IPCC!$A$2111:$D$2122,MATCH(clim_moist,IPCC!$A$2111:$A$2122,0),MATCH(Coastal!$B8,IPCC!$A$2111:$D$2111,0)),0)*E8</f>
        <v>0</v>
      </c>
      <c r="H8" s="2196">
        <f>IF('7.Coastal wetlands'!BW11="",'7.Coastal wetlands'!BV11,'7.Coastal wetlands'!BW11)</f>
        <v>0</v>
      </c>
      <c r="I8" s="2195">
        <f>IFERROR(INDEX(IPCC!$A$2128:$D$2139,MATCH(clim_moist,IPCC!$A$2128:$A$2139,0),MATCH(Coastal!$B8,IPCC!$A$2128:$D$2128,0)),0)</f>
        <v>0</v>
      </c>
      <c r="J8" s="2196">
        <f>IF('7.Coastal wetlands'!BY11="",'7.Coastal wetlands'!BX11,'7.Coastal wetlands'!BY11)</f>
        <v>0</v>
      </c>
      <c r="K8" s="2195">
        <f>IFERROR(INDEX(IPCC!$A$2145:$D$2156,MATCH(clim_moist,IPCC!$A$2145:$A$2156,0),MATCH(Coastal!$B8,IPCC!$A$2145:$D$2145,0)),0)</f>
        <v>0</v>
      </c>
      <c r="L8" s="2196">
        <f>IF('7.Coastal wetlands'!CA11="",'7.Coastal wetlands'!BZ11,'7.Coastal wetlands'!CA11)</f>
        <v>0</v>
      </c>
      <c r="M8" s="2197">
        <f>IFERROR(IF(AND(B8="Mangrove",'7.Coastal wetlands'!CE11=list!$D$254),INDEX(Atwood!$A$2:$G$85,MATCH(country_selected,Atwood!$A$2:$A$85,"NA"),MATCH(Atwood!$E$2,Atwood!$A$2:$G$2,0)),IF($C8=list!$B$262,INDEX(IPCC!$A$2162:$D$2173,MATCH(clim_moist,IPCC!$A$2162:$A$2173,0),MATCH(Coastal!$B8,IPCC!$A$2162:$D$2162,0)),IF($C8=list!$B$263,INDEX(IPCC!$A$2179:$D$2190,MATCH(clim_moist,IPCC!$A$2179:$A$2190,0),MATCH(Coastal!$B8,IPCC!$A$2179:$D$2179,0)),IF($C8=list!$B$264,INDEX(IPCC!$A$2196:$D$2207,MATCH(clim_moist,IPCC!$A$2196:$A$2207,0),MATCH(Coastal!$B8,IPCC!$A$2196:$D$2196,0)),0)))),0)</f>
        <v>226</v>
      </c>
      <c r="N8" s="2198">
        <f>IF('7.Coastal wetlands'!CG11="",'7.Coastal wetlands'!CF11,'7.Coastal wetlands'!CG11)</f>
        <v>226</v>
      </c>
      <c r="O8" s="2199">
        <v>0.96</v>
      </c>
      <c r="P8" s="2200">
        <f>IF('7.Coastal wetlands'!CJ11="",'7.Coastal wetlands'!CI11,'7.Coastal wetlands'!CJ11)</f>
        <v>0.96</v>
      </c>
      <c r="U8" s="2203" t="s">
        <v>2281</v>
      </c>
      <c r="V8" s="2204">
        <f>SUMPRODUCT($J$17:$J$22,F17:F22)</f>
        <v>0</v>
      </c>
      <c r="W8" s="2204">
        <f>SUMPRODUCT($J$17:$J$22,G17:G22)</f>
        <v>0</v>
      </c>
      <c r="X8" s="2204">
        <f>W8-V8</f>
        <v>0</v>
      </c>
      <c r="Z8" s="2203" t="str">
        <f>U8</f>
        <v>Total Biomass</v>
      </c>
      <c r="AA8" s="2204">
        <f>SUMPRODUCT($J$17:$J$22,$G$17:$G$22)-SUMPRODUCT($J$17:$J$22,$F$17:$F$22)</f>
        <v>0</v>
      </c>
      <c r="AB8" s="2204">
        <f>IF(time=0,0,W8-V8)</f>
        <v>0</v>
      </c>
      <c r="AC8" s="2206">
        <f>AA8-AB8</f>
        <v>0</v>
      </c>
    </row>
    <row r="9" spans="1:30" x14ac:dyDescent="0.15">
      <c r="B9" s="2188" t="str">
        <f>'7.Coastal wetlands'!C12</f>
        <v>Please select</v>
      </c>
      <c r="C9" s="2188" t="str">
        <f>IF('7.Coastal wetlands'!CE12="Tier 1a","Mineral",'7.Coastal wetlands'!CC12)</f>
        <v>Mineral</v>
      </c>
      <c r="E9" s="2195">
        <f>IFERROR(INDEX(IPCC!$A$2093:$D$2104,MATCH(clim_moist,IPCC!$A$2093:$A$2104,0),MATCH(Coastal!$B9,IPCC!$A$2093:$D$2093,0)),0)*0.451</f>
        <v>0</v>
      </c>
      <c r="F9" s="2196">
        <f>IF('7.Coastal wetlands'!BU12="",'7.Coastal wetlands'!BT12,'7.Coastal wetlands'!BU12)</f>
        <v>0</v>
      </c>
      <c r="G9" s="2195">
        <f>IFERROR(INDEX(IPCC!$A$2111:$D$2122,MATCH(clim_moist,IPCC!$A$2111:$A$2122,0),MATCH(Coastal!$B9,IPCC!$A$2111:$D$2111,0)),0)*E9</f>
        <v>0</v>
      </c>
      <c r="H9" s="2196">
        <f>IF('7.Coastal wetlands'!BW12="",'7.Coastal wetlands'!BV12,'7.Coastal wetlands'!BW12)</f>
        <v>0</v>
      </c>
      <c r="I9" s="2195">
        <f>IFERROR(INDEX(IPCC!$A$2128:$D$2139,MATCH(clim_moist,IPCC!$A$2128:$A$2139,0),MATCH(Coastal!$B9,IPCC!$A$2128:$D$2128,0)),0)</f>
        <v>0</v>
      </c>
      <c r="J9" s="2196">
        <f>IF('7.Coastal wetlands'!BY12="",'7.Coastal wetlands'!BX12,'7.Coastal wetlands'!BY12)</f>
        <v>0</v>
      </c>
      <c r="K9" s="2195">
        <f>IFERROR(INDEX(IPCC!$A$2145:$D$2156,MATCH(clim_moist,IPCC!$A$2145:$A$2156,0),MATCH(Coastal!$B9,IPCC!$A$2145:$D$2145,0)),0)</f>
        <v>0</v>
      </c>
      <c r="L9" s="2196">
        <f>IF('7.Coastal wetlands'!CA12="",'7.Coastal wetlands'!BZ12,'7.Coastal wetlands'!CA12)</f>
        <v>0</v>
      </c>
      <c r="M9" s="2197">
        <f>IFERROR(IF(AND(B9="Mangrove",'7.Coastal wetlands'!CE12=list!$D$254),INDEX(Atwood!$A$2:$G$85,MATCH(country_selected,Atwood!$A$2:$A$85,0),MATCH(Atwood!$E$2,Atwood!$A$2:$G$2,0)),IF($C9=list!$B$262,INDEX(IPCC!$A$2162:$D$2173,MATCH(clim_moist,IPCC!$A$2162:$A$2173,0),MATCH(Coastal!$B9,IPCC!$A$2162:$D$2162,0)),IF($C9=list!$B$263,INDEX(IPCC!$A$2179:$D$2190,MATCH(clim_moist,IPCC!$A$2179:$A$2190,0),MATCH(Coastal!$B9,IPCC!$A$2179:$D$2179,0)),IF($C9=list!$B$264,INDEX(IPCC!$A$2196:$D$2207,MATCH(clim_moist,IPCC!$A$2196:$A$2207,0),MATCH(Coastal!$B9,IPCC!$A$2196:$D$2196,0)),0)))),0)</f>
        <v>0</v>
      </c>
      <c r="N9" s="2198">
        <f>IF('7.Coastal wetlands'!CG12="",'7.Coastal wetlands'!CF12,'7.Coastal wetlands'!CG12)</f>
        <v>0</v>
      </c>
      <c r="O9" s="2199">
        <v>0.96</v>
      </c>
      <c r="P9" s="2200">
        <f>IF('7.Coastal wetlands'!CJ12="",'7.Coastal wetlands'!CI12,'7.Coastal wetlands'!CJ12)</f>
        <v>0.96</v>
      </c>
      <c r="U9" s="2203" t="s">
        <v>2282</v>
      </c>
      <c r="V9" s="2204">
        <f>SUMPRODUCT($M$17:$M$22,F17:F22)</f>
        <v>19888</v>
      </c>
      <c r="W9" s="2204">
        <f>SUMPRODUCT($M$17:$M$22,G17:G22)</f>
        <v>19888</v>
      </c>
      <c r="X9" s="2204">
        <f>W9-V9</f>
        <v>0</v>
      </c>
      <c r="Z9" s="2203" t="str">
        <f>U9</f>
        <v>Total soil</v>
      </c>
      <c r="AA9" s="2204">
        <f>SUMPRODUCT($M$17:$M$22,$G$17:$G$22)-SUMPRODUCT($M$17:$M$22,$F$17:$F$22)</f>
        <v>0</v>
      </c>
      <c r="AB9" s="2204">
        <f>IF(time=0,0,W9-V9)</f>
        <v>0</v>
      </c>
      <c r="AC9" s="2207">
        <v>0</v>
      </c>
    </row>
    <row r="10" spans="1:30" x14ac:dyDescent="0.15">
      <c r="B10" s="2188" t="str">
        <f>'7.Coastal wetlands'!C13</f>
        <v>Please select</v>
      </c>
      <c r="C10" s="2188" t="str">
        <f>IF('7.Coastal wetlands'!CE13="Tier 1a","Mineral",'7.Coastal wetlands'!CC13)</f>
        <v>Mineral</v>
      </c>
      <c r="E10" s="2195">
        <f>IFERROR(INDEX(IPCC!$A$2093:$D$2104,MATCH(clim_moist,IPCC!$A$2093:$A$2104,0),MATCH(Coastal!$B10,IPCC!$A$2093:$D$2093,0)),0)*0.451</f>
        <v>0</v>
      </c>
      <c r="F10" s="2196">
        <f>IF('7.Coastal wetlands'!BU13="",'7.Coastal wetlands'!BT13,'7.Coastal wetlands'!BU13)</f>
        <v>0</v>
      </c>
      <c r="G10" s="2195">
        <f>IFERROR(INDEX(IPCC!$A$2111:$D$2122,MATCH(clim_moist,IPCC!$A$2111:$A$2122,0),MATCH(Coastal!$B10,IPCC!$A$2111:$D$2111,0)),0)*E10</f>
        <v>0</v>
      </c>
      <c r="H10" s="2196">
        <f>IF('7.Coastal wetlands'!BW13="",'7.Coastal wetlands'!BV13,'7.Coastal wetlands'!BW13)</f>
        <v>0</v>
      </c>
      <c r="I10" s="2195">
        <f>IFERROR(INDEX(IPCC!$A$2128:$D$2139,MATCH(clim_moist,IPCC!$A$2128:$A$2139,0),MATCH(Coastal!$B10,IPCC!$A$2128:$D$2128,0)),0)</f>
        <v>0</v>
      </c>
      <c r="J10" s="2196">
        <f>IF('7.Coastal wetlands'!BY13="",'7.Coastal wetlands'!BX13,'7.Coastal wetlands'!BY13)</f>
        <v>0</v>
      </c>
      <c r="K10" s="2195">
        <f>IFERROR(INDEX(IPCC!$A$2145:$D$2156,MATCH(clim_moist,IPCC!$A$2145:$A$2156,0),MATCH(Coastal!$B10,IPCC!$A$2145:$D$2145,0)),0)</f>
        <v>0</v>
      </c>
      <c r="L10" s="2196">
        <f>IF('7.Coastal wetlands'!CA13="",'7.Coastal wetlands'!BZ13,'7.Coastal wetlands'!CA13)</f>
        <v>0</v>
      </c>
      <c r="M10" s="2197">
        <f>IFERROR(IF(AND(B10="Mangrove",'7.Coastal wetlands'!CE13=list!$D$254),INDEX(Atwood!$A$2:$G$85,MATCH(country_selected,Atwood!$A$2:$A$85,0),MATCH(Atwood!$E$2,Atwood!$A$2:$G$2,0)),IF($C10=list!$B$262,INDEX(IPCC!$A$2162:$D$2173,MATCH(clim_moist,IPCC!$A$2162:$A$2173,0),MATCH(Coastal!$B10,IPCC!$A$2162:$D$2162,0)),IF($C10=list!$B$263,INDEX(IPCC!$A$2179:$D$2190,MATCH(clim_moist,IPCC!$A$2179:$A$2190,0),MATCH(Coastal!$B10,IPCC!$A$2179:$D$2179,0)),IF($C10=list!$B$264,INDEX(IPCC!$A$2196:$D$2207,MATCH(clim_moist,IPCC!$A$2196:$A$2207,0),MATCH(Coastal!$B10,IPCC!$A$2196:$D$2196,0)),0)))),0)</f>
        <v>0</v>
      </c>
      <c r="N10" s="2198">
        <f>IF('7.Coastal wetlands'!CG13="",'7.Coastal wetlands'!CF13,'7.Coastal wetlands'!CG13)</f>
        <v>0</v>
      </c>
      <c r="O10" s="2199">
        <v>0.96</v>
      </c>
      <c r="P10" s="2200">
        <f>IF('7.Coastal wetlands'!CJ13="",'7.Coastal wetlands'!CI13,'7.Coastal wetlands'!CJ13)</f>
        <v>0.96</v>
      </c>
      <c r="U10" s="2208" t="s">
        <v>871</v>
      </c>
      <c r="V10" s="2209">
        <f>SUM(V8:V9)</f>
        <v>19888</v>
      </c>
      <c r="W10" s="2209">
        <f>SUM(W8:W9)</f>
        <v>19888</v>
      </c>
      <c r="X10" s="2209">
        <f>W10-V10</f>
        <v>0</v>
      </c>
      <c r="Z10" s="2208" t="s">
        <v>871</v>
      </c>
      <c r="AA10" s="2210">
        <f>SUM(AA8:AA9)</f>
        <v>0</v>
      </c>
      <c r="AB10" s="2210">
        <f>SUM(AB8:AB9)</f>
        <v>0</v>
      </c>
      <c r="AC10" s="2210">
        <f>SUM(AC8:AC9)</f>
        <v>0</v>
      </c>
    </row>
    <row r="11" spans="1:30" x14ac:dyDescent="0.15">
      <c r="B11" s="2188" t="str">
        <f>'7.Coastal wetlands'!C14</f>
        <v>Please select</v>
      </c>
      <c r="C11" s="2188" t="str">
        <f>IF('7.Coastal wetlands'!CE14="Tier 1a","Mineral",'7.Coastal wetlands'!CC14)</f>
        <v>Mineral</v>
      </c>
      <c r="E11" s="2195">
        <f>IFERROR(INDEX(IPCC!$A$2093:$D$2104,MATCH(clim_moist,IPCC!$A$2093:$A$2104,0),MATCH(Coastal!$B11,IPCC!$A$2093:$D$2093,0)),0)*0.451</f>
        <v>0</v>
      </c>
      <c r="F11" s="2196">
        <f>IF('7.Coastal wetlands'!BU14="",'7.Coastal wetlands'!BT14,'7.Coastal wetlands'!BU14)</f>
        <v>0</v>
      </c>
      <c r="G11" s="2195">
        <f>IFERROR(INDEX(IPCC!$A$2111:$D$2122,MATCH(clim_moist,IPCC!$A$2111:$A$2122,0),MATCH(Coastal!$B11,IPCC!$A$2111:$D$2111,0)),0)*E11</f>
        <v>0</v>
      </c>
      <c r="H11" s="2196">
        <f>IF('7.Coastal wetlands'!BW14="",'7.Coastal wetlands'!BV14,'7.Coastal wetlands'!BW14)</f>
        <v>0</v>
      </c>
      <c r="I11" s="2195">
        <f>IFERROR(INDEX(IPCC!$A$2128:$D$2139,MATCH(clim_moist,IPCC!$A$2128:$A$2139,0),MATCH(Coastal!$B11,IPCC!$A$2128:$D$2128,0)),0)</f>
        <v>0</v>
      </c>
      <c r="J11" s="2196">
        <f>IF('7.Coastal wetlands'!BY14="",'7.Coastal wetlands'!BX14,'7.Coastal wetlands'!BY14)</f>
        <v>0</v>
      </c>
      <c r="K11" s="2195">
        <f>IFERROR(INDEX(IPCC!$A$2145:$D$2156,MATCH(clim_moist,IPCC!$A$2145:$A$2156,0),MATCH(Coastal!$B11,IPCC!$A$2145:$D$2145,0)),0)</f>
        <v>0</v>
      </c>
      <c r="L11" s="2196">
        <f>IF('7.Coastal wetlands'!CA14="",'7.Coastal wetlands'!BZ14,'7.Coastal wetlands'!CA14)</f>
        <v>0</v>
      </c>
      <c r="M11" s="2197">
        <f>IFERROR(IF(AND(B11="Mangrove",'7.Coastal wetlands'!CE14=list!$D$254),INDEX(Atwood!$A$2:$G$85,MATCH(country_selected,Atwood!$A$2:$A$85,0),MATCH(Atwood!$E$2,Atwood!$A$2:$G$2,0)),IF($C11=list!$B$262,INDEX(IPCC!$A$2162:$D$2173,MATCH(clim_moist,IPCC!$A$2162:$A$2173,0),MATCH(Coastal!$B11,IPCC!$A$2162:$D$2162,0)),IF($C11=list!$B$263,INDEX(IPCC!$A$2179:$D$2190,MATCH(clim_moist,IPCC!$A$2179:$A$2190,0),MATCH(Coastal!$B11,IPCC!$A$2179:$D$2179,0)),IF($C11=list!$B$264,INDEX(IPCC!$A$2196:$D$2207,MATCH(clim_moist,IPCC!$A$2196:$A$2207,0),MATCH(Coastal!$B11,IPCC!$A$2196:$D$2196,0)),0)))),0)</f>
        <v>0</v>
      </c>
      <c r="N11" s="2198">
        <f>IF('7.Coastal wetlands'!CG14="",'7.Coastal wetlands'!CF14,'7.Coastal wetlands'!CG14)</f>
        <v>0</v>
      </c>
      <c r="O11" s="2199">
        <v>0.96</v>
      </c>
      <c r="P11" s="2200">
        <f>IF('7.Coastal wetlands'!CJ14="",'7.Coastal wetlands'!CI14,'7.Coastal wetlands'!CJ14)</f>
        <v>0.96</v>
      </c>
    </row>
    <row r="12" spans="1:30" x14ac:dyDescent="0.15">
      <c r="B12" s="2188" t="str">
        <f>'7.Coastal wetlands'!C15</f>
        <v>Please select</v>
      </c>
      <c r="C12" s="2188" t="str">
        <f>IF('7.Coastal wetlands'!CE15="Tier 1a","Mineral",'7.Coastal wetlands'!CC15)</f>
        <v>Mineral</v>
      </c>
      <c r="E12" s="2195">
        <f>IFERROR(INDEX(IPCC!$A$2093:$D$2104,MATCH(clim_moist,IPCC!$A$2093:$A$2104,0),MATCH(Coastal!$B12,IPCC!$A$2093:$D$2093,0)),0)*0.451</f>
        <v>0</v>
      </c>
      <c r="F12" s="2196">
        <f>IF('7.Coastal wetlands'!BU15="",'7.Coastal wetlands'!BT15,'7.Coastal wetlands'!BU15)</f>
        <v>0</v>
      </c>
      <c r="G12" s="2195">
        <f>IFERROR(INDEX(IPCC!$A$2111:$D$2122,MATCH(clim_moist,IPCC!$A$2111:$A$2122,0),MATCH(Coastal!$B12,IPCC!$A$2111:$D$2111,0)),0)*E12</f>
        <v>0</v>
      </c>
      <c r="H12" s="2196">
        <f>IF('7.Coastal wetlands'!BW15="",'7.Coastal wetlands'!BV15,'7.Coastal wetlands'!BW15)</f>
        <v>0</v>
      </c>
      <c r="I12" s="2195">
        <f>IFERROR(INDEX(IPCC!$A$2128:$D$2139,MATCH(clim_moist,IPCC!$A$2128:$A$2139,0),MATCH(Coastal!$B12,IPCC!$A$2128:$D$2128,0)),0)</f>
        <v>0</v>
      </c>
      <c r="J12" s="2196">
        <f>IF('7.Coastal wetlands'!BY15="",'7.Coastal wetlands'!BX15,'7.Coastal wetlands'!BY15)</f>
        <v>0</v>
      </c>
      <c r="K12" s="2195">
        <f>IFERROR(INDEX(IPCC!$A$2145:$D$2156,MATCH(clim_moist,IPCC!$A$2145:$A$2156,0),MATCH(Coastal!$B12,IPCC!$A$2145:$D$2145,0)),0)</f>
        <v>0</v>
      </c>
      <c r="L12" s="2196">
        <f>IF('7.Coastal wetlands'!CA15="",'7.Coastal wetlands'!BZ15,'7.Coastal wetlands'!CA15)</f>
        <v>0</v>
      </c>
      <c r="M12" s="2197">
        <f>IFERROR(IF(AND(B12="Mangrove",'7.Coastal wetlands'!CE15=list!$D$254),INDEX(Atwood!$A$2:$G$85,MATCH(country_selected,Atwood!$A$2:$A$85,0),MATCH(Atwood!$E$2,Atwood!$A$2:$G$2,0)),IF($C12=list!$B$262,INDEX(IPCC!$A$2162:$D$2173,MATCH(clim_moist,IPCC!$A$2162:$A$2173,0),MATCH(Coastal!$B12,IPCC!$A$2162:$D$2162,0)),IF($C12=list!$B$263,INDEX(IPCC!$A$2179:$D$2190,MATCH(clim_moist,IPCC!$A$2179:$A$2190,0),MATCH(Coastal!$B12,IPCC!$A$2179:$D$2179,0)),IF($C12=list!$B$264,INDEX(IPCC!$A$2196:$D$2207,MATCH(clim_moist,IPCC!$A$2196:$A$2207,0),MATCH(Coastal!$B12,IPCC!$A$2196:$D$2196,0)),0)))),0)</f>
        <v>0</v>
      </c>
      <c r="N12" s="2198">
        <f>IF('7.Coastal wetlands'!CG15="",'7.Coastal wetlands'!CF15,'7.Coastal wetlands'!CG15)</f>
        <v>0</v>
      </c>
      <c r="O12" s="2199">
        <v>0.96</v>
      </c>
      <c r="P12" s="2200">
        <f>IF('7.Coastal wetlands'!CJ15="",'7.Coastal wetlands'!CI15,'7.Coastal wetlands'!CJ15)</f>
        <v>0.96</v>
      </c>
    </row>
    <row r="13" spans="1:30" ht="15" x14ac:dyDescent="0.15">
      <c r="B13" s="2188" t="str">
        <f>'7.Coastal wetlands'!C16</f>
        <v>Please select</v>
      </c>
      <c r="C13" s="2188" t="str">
        <f>IF('7.Coastal wetlands'!CE16="Tier 1a","Mineral",'7.Coastal wetlands'!CC16)</f>
        <v>Mineral</v>
      </c>
      <c r="E13" s="2195">
        <f>IFERROR(INDEX(IPCC!$A$2093:$D$2104,MATCH(clim_moist,IPCC!$A$2093:$A$2104,0),MATCH(Coastal!$B13,IPCC!$A$2093:$D$2093,0)),0)*0.451</f>
        <v>0</v>
      </c>
      <c r="F13" s="2196">
        <f>IF('7.Coastal wetlands'!BU16="",'7.Coastal wetlands'!BT16,'7.Coastal wetlands'!BU16)</f>
        <v>0</v>
      </c>
      <c r="G13" s="2195">
        <f>IFERROR(INDEX(IPCC!$A$2111:$D$2122,MATCH(clim_moist,IPCC!$A$2111:$A$2122,0),MATCH(Coastal!$B13,IPCC!$A$2111:$D$2111,0)),0)*E13</f>
        <v>0</v>
      </c>
      <c r="H13" s="2196">
        <f>IF('7.Coastal wetlands'!BW16="",'7.Coastal wetlands'!BV16,'7.Coastal wetlands'!BW16)</f>
        <v>0</v>
      </c>
      <c r="I13" s="2195">
        <f>IFERROR(INDEX(IPCC!$A$2128:$D$2139,MATCH(clim_moist,IPCC!$A$2128:$A$2139,0),MATCH(Coastal!$B13,IPCC!$A$2128:$D$2128,0)),0)</f>
        <v>0</v>
      </c>
      <c r="J13" s="2196">
        <f>IF('7.Coastal wetlands'!BY16="",'7.Coastal wetlands'!BX16,'7.Coastal wetlands'!BY16)</f>
        <v>0</v>
      </c>
      <c r="K13" s="2195">
        <f>IFERROR(INDEX(IPCC!$A$2145:$D$2156,MATCH(clim_moist,IPCC!$A$2145:$A$2156,0),MATCH(Coastal!$B13,IPCC!$A$2145:$D$2145,0)),0)</f>
        <v>0</v>
      </c>
      <c r="L13" s="2196">
        <f>IF('7.Coastal wetlands'!CA16="",'7.Coastal wetlands'!BZ16,'7.Coastal wetlands'!CA16)</f>
        <v>0</v>
      </c>
      <c r="M13" s="2197">
        <f>IFERROR(IF(AND(B13="Mangrove",'7.Coastal wetlands'!CE16=list!$D$254),INDEX(Atwood!$A$2:$G$85,MATCH(country_selected,Atwood!$A$2:$A$85,0),MATCH(Atwood!$E$2,Atwood!$A$2:$G$2,0)),IF($C13=list!$B$262,INDEX(IPCC!$A$2162:$D$2173,MATCH(clim_moist,IPCC!$A$2162:$A$2173,0),MATCH(Coastal!$B13,IPCC!$A$2162:$D$2162,0)),IF($C13=list!$B$263,INDEX(IPCC!$A$2179:$D$2190,MATCH(clim_moist,IPCC!$A$2179:$A$2190,0),MATCH(Coastal!$B13,IPCC!$A$2179:$D$2179,0)),IF($C13=list!$B$264,INDEX(IPCC!$A$2196:$D$2207,MATCH(clim_moist,IPCC!$A$2196:$A$2207,0),MATCH(Coastal!$B13,IPCC!$A$2196:$D$2196,0)),0)))),0)</f>
        <v>0</v>
      </c>
      <c r="N13" s="2198">
        <f>IF('7.Coastal wetlands'!CG16="",'7.Coastal wetlands'!CF16,'7.Coastal wetlands'!CG16)</f>
        <v>0</v>
      </c>
      <c r="O13" s="2199">
        <v>0.96</v>
      </c>
      <c r="P13" s="2200">
        <f>IF('7.Coastal wetlands'!CJ16="",'7.Coastal wetlands'!CI16,'7.Coastal wetlands'!CJ16)</f>
        <v>0.96</v>
      </c>
      <c r="AA13" s="3126" t="s">
        <v>1684</v>
      </c>
      <c r="AB13" s="3126" t="s">
        <v>1689</v>
      </c>
      <c r="AC13" s="3126" t="s">
        <v>1693</v>
      </c>
    </row>
    <row r="14" spans="1:30" ht="15" x14ac:dyDescent="0.2">
      <c r="Z14" s="2201" t="s">
        <v>2283</v>
      </c>
      <c r="AA14" s="2202">
        <f>SUMIFS(Coastal!$E$17:$E$22,$B$17:$B$22,AA$13,$C$17:$C$22,$AD14)</f>
        <v>0</v>
      </c>
      <c r="AB14" s="2202">
        <f>SUMIFS(Coastal!$E$17:$E$22,$B$17:$B$22,AB$13,$C$17:$C$22,$AD14)</f>
        <v>0</v>
      </c>
      <c r="AC14" s="2202">
        <f>SUMIFS(Coastal!$E$17:$E$22,$B$17:$B$22,AC$13,$C$17:$C$22,$AD14)</f>
        <v>0</v>
      </c>
      <c r="AD14" s="284" t="s">
        <v>1707</v>
      </c>
    </row>
    <row r="15" spans="1:30" ht="15" x14ac:dyDescent="0.2">
      <c r="E15" s="2191" t="s">
        <v>2284</v>
      </c>
      <c r="F15" s="2191"/>
      <c r="I15" s="2191" t="s">
        <v>2285</v>
      </c>
      <c r="J15" s="2191"/>
      <c r="L15" s="2191" t="s">
        <v>2286</v>
      </c>
      <c r="M15" s="2191"/>
      <c r="O15" s="2191" t="s">
        <v>2287</v>
      </c>
      <c r="U15" s="2188" t="s">
        <v>2288</v>
      </c>
      <c r="Z15" s="2201" t="s">
        <v>2289</v>
      </c>
      <c r="AA15" s="2202">
        <f>SUMIFS(Coastal!$E$17:$E$22,$B$17:$B$22,AA$13,$C$17:$C$22,$AD15)</f>
        <v>0</v>
      </c>
      <c r="AB15" s="2202">
        <f>SUMIFS(Coastal!$E$17:$E$22,$B$17:$B$22,AB$13,$C$17:$C$22,$AD15)</f>
        <v>0</v>
      </c>
      <c r="AC15" s="2202"/>
      <c r="AD15" s="284" t="s">
        <v>1708</v>
      </c>
    </row>
    <row r="16" spans="1:30" ht="15" x14ac:dyDescent="0.2">
      <c r="B16" s="2191" t="str">
        <f t="shared" ref="B16:C22" si="0">B7</f>
        <v>Type of vegetation</v>
      </c>
      <c r="C16" s="2191" t="str">
        <f t="shared" si="0"/>
        <v>Soil type</v>
      </c>
      <c r="E16" s="2188" t="s">
        <v>219</v>
      </c>
      <c r="F16" s="2188" t="s">
        <v>179</v>
      </c>
      <c r="G16" s="2188" t="s">
        <v>180</v>
      </c>
      <c r="I16" s="1661" t="s">
        <v>62</v>
      </c>
      <c r="J16" s="1661" t="s">
        <v>253</v>
      </c>
      <c r="L16" s="1661" t="s">
        <v>62</v>
      </c>
      <c r="M16" s="1661" t="s">
        <v>253</v>
      </c>
      <c r="O16" s="2211" t="s">
        <v>179</v>
      </c>
      <c r="P16" s="2212" t="s">
        <v>180</v>
      </c>
      <c r="Q16" s="2213" t="s">
        <v>376</v>
      </c>
      <c r="U16" s="2211" t="s">
        <v>179</v>
      </c>
      <c r="V16" s="2212" t="s">
        <v>180</v>
      </c>
      <c r="Z16" s="2201" t="s">
        <v>2290</v>
      </c>
      <c r="AA16" s="2202">
        <f>SUMIFS(Coastal!$E$17:$E$22,$B$17:$B$22,AA$13,$C$17:$C$22,$AD16)</f>
        <v>0</v>
      </c>
      <c r="AB16" s="2202">
        <f>SUMIFS(Coastal!$E$17:$E$22,$B$17:$B$22,AB$13,$C$17:$C$22,$AD16)</f>
        <v>0</v>
      </c>
      <c r="AC16" s="2202">
        <f>SUMIFS(Coastal!$E$17:$E$22,$B$17:$B$22,AC$13,$C$17:$C$22,$AD16)</f>
        <v>0</v>
      </c>
      <c r="AD16" s="284" t="s">
        <v>1709</v>
      </c>
    </row>
    <row r="17" spans="1:29" x14ac:dyDescent="0.15">
      <c r="B17" s="2188" t="str">
        <f t="shared" si="0"/>
        <v>Tidal marsh</v>
      </c>
      <c r="C17" s="2188" t="str">
        <f t="shared" si="0"/>
        <v>Mineral</v>
      </c>
      <c r="E17" s="2214">
        <v>0</v>
      </c>
      <c r="F17" s="2215">
        <f>'7.Coastal wetlands'!N11</f>
        <v>25</v>
      </c>
      <c r="G17" s="2216">
        <f>'7.Coastal wetlands'!P11</f>
        <v>25</v>
      </c>
      <c r="I17" s="2214">
        <f t="shared" ref="I17:I22" si="1">SUM(F8,H8,J8,L8)</f>
        <v>0</v>
      </c>
      <c r="J17" s="2217">
        <f t="shared" ref="J17:J22" si="2">I17*44/12</f>
        <v>0</v>
      </c>
      <c r="L17" s="2214">
        <f t="shared" ref="L17:L22" si="3">SUMPRODUCT(N8,P8)</f>
        <v>216.95999999999998</v>
      </c>
      <c r="M17" s="2217">
        <f t="shared" ref="M17:M22" si="4">L17*44/12</f>
        <v>795.52</v>
      </c>
      <c r="O17" s="2214">
        <f t="shared" ref="O17:O22" si="5">(J17+M17)*(F17-E17)</f>
        <v>19888</v>
      </c>
      <c r="P17" s="2218">
        <f t="shared" ref="P17:P22" si="6">(J17+M17)*(G17-E17)</f>
        <v>19888</v>
      </c>
      <c r="Q17" s="2219">
        <f t="shared" ref="Q17:Q22" si="7">P17-O17</f>
        <v>0</v>
      </c>
      <c r="S17" s="2220"/>
      <c r="T17" s="2220"/>
      <c r="U17" s="2221">
        <f t="shared" ref="U17:V22" si="8">O17</f>
        <v>19888</v>
      </c>
      <c r="V17" s="2221">
        <f t="shared" si="8"/>
        <v>19888</v>
      </c>
    </row>
    <row r="18" spans="1:29" x14ac:dyDescent="0.15">
      <c r="B18" s="2188" t="str">
        <f t="shared" si="0"/>
        <v>Please select</v>
      </c>
      <c r="C18" s="2188" t="str">
        <f t="shared" si="0"/>
        <v>Mineral</v>
      </c>
      <c r="E18" s="2222">
        <v>0</v>
      </c>
      <c r="F18" s="2223">
        <f>'7.Coastal wetlands'!N12</f>
        <v>0</v>
      </c>
      <c r="G18" s="2224">
        <f>'7.Coastal wetlands'!P12</f>
        <v>0</v>
      </c>
      <c r="I18" s="2222">
        <f t="shared" si="1"/>
        <v>0</v>
      </c>
      <c r="J18" s="2225">
        <f t="shared" si="2"/>
        <v>0</v>
      </c>
      <c r="L18" s="2222">
        <f t="shared" si="3"/>
        <v>0</v>
      </c>
      <c r="M18" s="2225">
        <f t="shared" si="4"/>
        <v>0</v>
      </c>
      <c r="O18" s="2222">
        <f t="shared" si="5"/>
        <v>0</v>
      </c>
      <c r="P18" s="2226">
        <f t="shared" si="6"/>
        <v>0</v>
      </c>
      <c r="Q18" s="2227">
        <f t="shared" si="7"/>
        <v>0</v>
      </c>
      <c r="S18" s="2220"/>
      <c r="T18" s="2220"/>
      <c r="U18" s="2221">
        <f t="shared" si="8"/>
        <v>0</v>
      </c>
      <c r="V18" s="2221">
        <f t="shared" si="8"/>
        <v>0</v>
      </c>
    </row>
    <row r="19" spans="1:29" x14ac:dyDescent="0.15">
      <c r="B19" s="2188" t="str">
        <f t="shared" si="0"/>
        <v>Please select</v>
      </c>
      <c r="C19" s="2188" t="str">
        <f t="shared" si="0"/>
        <v>Mineral</v>
      </c>
      <c r="E19" s="2222">
        <v>0</v>
      </c>
      <c r="F19" s="2223">
        <f>'7.Coastal wetlands'!N13</f>
        <v>0</v>
      </c>
      <c r="G19" s="2224">
        <f>'7.Coastal wetlands'!P13</f>
        <v>0</v>
      </c>
      <c r="I19" s="2222">
        <f t="shared" si="1"/>
        <v>0</v>
      </c>
      <c r="J19" s="2225">
        <f t="shared" si="2"/>
        <v>0</v>
      </c>
      <c r="L19" s="2222">
        <f t="shared" si="3"/>
        <v>0</v>
      </c>
      <c r="M19" s="2225">
        <f t="shared" si="4"/>
        <v>0</v>
      </c>
      <c r="O19" s="2222">
        <f t="shared" si="5"/>
        <v>0</v>
      </c>
      <c r="P19" s="2226">
        <f t="shared" si="6"/>
        <v>0</v>
      </c>
      <c r="Q19" s="2227">
        <f t="shared" si="7"/>
        <v>0</v>
      </c>
      <c r="S19" s="2220"/>
      <c r="T19" s="2220"/>
      <c r="U19" s="2221">
        <f t="shared" si="8"/>
        <v>0</v>
      </c>
      <c r="V19" s="2221">
        <f t="shared" si="8"/>
        <v>0</v>
      </c>
    </row>
    <row r="20" spans="1:29" x14ac:dyDescent="0.15">
      <c r="B20" s="2188" t="str">
        <f t="shared" si="0"/>
        <v>Please select</v>
      </c>
      <c r="C20" s="2188" t="str">
        <f t="shared" si="0"/>
        <v>Mineral</v>
      </c>
      <c r="E20" s="2222">
        <v>0</v>
      </c>
      <c r="F20" s="2223">
        <f>'7.Coastal wetlands'!N14</f>
        <v>0</v>
      </c>
      <c r="G20" s="2224">
        <f>'7.Coastal wetlands'!P14</f>
        <v>0</v>
      </c>
      <c r="I20" s="2222">
        <f t="shared" si="1"/>
        <v>0</v>
      </c>
      <c r="J20" s="2225">
        <f t="shared" si="2"/>
        <v>0</v>
      </c>
      <c r="L20" s="2222">
        <f t="shared" si="3"/>
        <v>0</v>
      </c>
      <c r="M20" s="2225">
        <f t="shared" si="4"/>
        <v>0</v>
      </c>
      <c r="O20" s="2222">
        <f t="shared" si="5"/>
        <v>0</v>
      </c>
      <c r="P20" s="2226">
        <f t="shared" si="6"/>
        <v>0</v>
      </c>
      <c r="Q20" s="2227">
        <f t="shared" si="7"/>
        <v>0</v>
      </c>
      <c r="S20" s="2220"/>
      <c r="T20" s="2220"/>
      <c r="U20" s="2221">
        <f t="shared" si="8"/>
        <v>0</v>
      </c>
      <c r="V20" s="2221">
        <f t="shared" si="8"/>
        <v>0</v>
      </c>
    </row>
    <row r="21" spans="1:29" x14ac:dyDescent="0.15">
      <c r="B21" s="2188" t="str">
        <f t="shared" si="0"/>
        <v>Please select</v>
      </c>
      <c r="C21" s="2188" t="str">
        <f t="shared" si="0"/>
        <v>Mineral</v>
      </c>
      <c r="E21" s="2222">
        <v>0</v>
      </c>
      <c r="F21" s="2223">
        <f>'7.Coastal wetlands'!N15</f>
        <v>0</v>
      </c>
      <c r="G21" s="2224">
        <f>'7.Coastal wetlands'!P15</f>
        <v>0</v>
      </c>
      <c r="I21" s="2222">
        <f t="shared" si="1"/>
        <v>0</v>
      </c>
      <c r="J21" s="2225">
        <f t="shared" si="2"/>
        <v>0</v>
      </c>
      <c r="L21" s="2222">
        <f t="shared" si="3"/>
        <v>0</v>
      </c>
      <c r="M21" s="2225">
        <f t="shared" si="4"/>
        <v>0</v>
      </c>
      <c r="O21" s="2222">
        <f t="shared" si="5"/>
        <v>0</v>
      </c>
      <c r="P21" s="2226">
        <f t="shared" si="6"/>
        <v>0</v>
      </c>
      <c r="Q21" s="2227">
        <f t="shared" si="7"/>
        <v>0</v>
      </c>
      <c r="S21" s="2220"/>
      <c r="T21" s="2220"/>
      <c r="U21" s="2221">
        <f t="shared" si="8"/>
        <v>0</v>
      </c>
      <c r="V21" s="2221">
        <f t="shared" si="8"/>
        <v>0</v>
      </c>
    </row>
    <row r="22" spans="1:29" x14ac:dyDescent="0.15">
      <c r="B22" s="2188" t="str">
        <f t="shared" si="0"/>
        <v>Please select</v>
      </c>
      <c r="C22" s="2188" t="str">
        <f t="shared" si="0"/>
        <v>Mineral</v>
      </c>
      <c r="E22" s="2228">
        <v>0</v>
      </c>
      <c r="F22" s="2229">
        <f>'7.Coastal wetlands'!N16</f>
        <v>0</v>
      </c>
      <c r="G22" s="2230">
        <f>'7.Coastal wetlands'!P16</f>
        <v>0</v>
      </c>
      <c r="I22" s="2228">
        <f t="shared" si="1"/>
        <v>0</v>
      </c>
      <c r="J22" s="2231">
        <f t="shared" si="2"/>
        <v>0</v>
      </c>
      <c r="L22" s="2228">
        <f t="shared" si="3"/>
        <v>0</v>
      </c>
      <c r="M22" s="2231">
        <f t="shared" si="4"/>
        <v>0</v>
      </c>
      <c r="O22" s="2228">
        <f t="shared" si="5"/>
        <v>0</v>
      </c>
      <c r="P22" s="2232">
        <f t="shared" si="6"/>
        <v>0</v>
      </c>
      <c r="Q22" s="2233">
        <f t="shared" si="7"/>
        <v>0</v>
      </c>
      <c r="S22" s="2220"/>
      <c r="T22" s="2220"/>
      <c r="U22" s="2221">
        <f t="shared" si="8"/>
        <v>0</v>
      </c>
      <c r="V22" s="2221">
        <f t="shared" si="8"/>
        <v>0</v>
      </c>
    </row>
    <row r="24" spans="1:29" x14ac:dyDescent="0.15">
      <c r="L24" s="2234"/>
      <c r="M24" s="2234"/>
      <c r="N24" s="2235" t="s">
        <v>2291</v>
      </c>
      <c r="O24" s="2236">
        <f>SUM(O17:O22)</f>
        <v>19888</v>
      </c>
      <c r="P24" s="2236">
        <f>SUM(P17:P22)</f>
        <v>19888</v>
      </c>
      <c r="Q24" s="2236">
        <f>SUM(Q17:Q22)</f>
        <v>0</v>
      </c>
    </row>
    <row r="27" spans="1:29" ht="45" customHeight="1" x14ac:dyDescent="0.15">
      <c r="A27" s="2187"/>
      <c r="B27" s="2260" t="s">
        <v>1224</v>
      </c>
      <c r="C27" s="2187"/>
      <c r="D27" s="2187"/>
      <c r="E27" s="2187"/>
      <c r="F27" s="2187"/>
      <c r="G27" s="2187"/>
      <c r="H27" s="2187"/>
      <c r="I27" s="2187"/>
      <c r="J27" s="2187"/>
      <c r="K27" s="2187"/>
      <c r="L27" s="2187"/>
      <c r="M27" s="2187"/>
      <c r="N27" s="2187"/>
      <c r="O27" s="2187"/>
      <c r="P27" s="2187"/>
      <c r="Q27" s="2187"/>
      <c r="R27" s="2187"/>
      <c r="S27" s="2187"/>
      <c r="T27" s="2187"/>
      <c r="U27" s="2187"/>
      <c r="V27" s="2187"/>
      <c r="W27" s="2187"/>
      <c r="X27" s="2187"/>
      <c r="Y27" s="2187"/>
      <c r="Z27" s="2187"/>
      <c r="AA27" s="2187"/>
      <c r="AB27" s="2187"/>
      <c r="AC27" s="2187"/>
    </row>
    <row r="28" spans="1:29" x14ac:dyDescent="0.15">
      <c r="U28" s="2189" t="s">
        <v>860</v>
      </c>
      <c r="V28" s="2190"/>
      <c r="W28" s="2190"/>
      <c r="Z28" s="2189" t="s">
        <v>861</v>
      </c>
      <c r="AA28" s="2190"/>
      <c r="AB28" s="2190"/>
      <c r="AC28" s="2190"/>
    </row>
    <row r="29" spans="1:29" x14ac:dyDescent="0.15">
      <c r="E29" s="2191" t="s">
        <v>2274</v>
      </c>
      <c r="F29" s="2191"/>
      <c r="G29" s="2191" t="s">
        <v>2275</v>
      </c>
      <c r="H29" s="2191"/>
      <c r="I29" s="2191" t="s">
        <v>2276</v>
      </c>
      <c r="J29" s="2191"/>
      <c r="K29" s="2191" t="s">
        <v>1035</v>
      </c>
      <c r="M29" s="2191" t="s">
        <v>2263</v>
      </c>
      <c r="O29" s="2191" t="s">
        <v>2292</v>
      </c>
    </row>
    <row r="30" spans="1:29" x14ac:dyDescent="0.15">
      <c r="B30" s="2191" t="str">
        <f t="shared" ref="B30:C36" si="9">B16</f>
        <v>Type of vegetation</v>
      </c>
      <c r="C30" s="2191" t="str">
        <f t="shared" si="9"/>
        <v>Soil type</v>
      </c>
      <c r="E30" s="1661" t="s">
        <v>864</v>
      </c>
      <c r="F30" s="1661" t="s">
        <v>66</v>
      </c>
      <c r="G30" s="1661" t="s">
        <v>864</v>
      </c>
      <c r="H30" s="1661" t="s">
        <v>66</v>
      </c>
      <c r="I30" s="1661" t="s">
        <v>864</v>
      </c>
      <c r="J30" s="1661" t="s">
        <v>66</v>
      </c>
      <c r="K30" s="1661" t="s">
        <v>864</v>
      </c>
      <c r="L30" s="1661" t="s">
        <v>66</v>
      </c>
      <c r="M30" s="1661" t="s">
        <v>864</v>
      </c>
      <c r="N30" s="1661" t="s">
        <v>66</v>
      </c>
      <c r="O30" s="1661" t="s">
        <v>864</v>
      </c>
      <c r="P30" s="1661" t="s">
        <v>66</v>
      </c>
      <c r="U30" s="2192" t="s">
        <v>866</v>
      </c>
      <c r="V30" s="2193" t="s">
        <v>200</v>
      </c>
      <c r="W30" s="2193" t="s">
        <v>201</v>
      </c>
      <c r="X30" s="2193" t="s">
        <v>2280</v>
      </c>
      <c r="Z30" s="2192" t="s">
        <v>866</v>
      </c>
      <c r="AA30" s="2193" t="s">
        <v>324</v>
      </c>
      <c r="AB30" s="2193" t="s">
        <v>867</v>
      </c>
      <c r="AC30" s="2194" t="s">
        <v>868</v>
      </c>
    </row>
    <row r="31" spans="1:29" x14ac:dyDescent="0.15">
      <c r="B31" s="2188" t="str">
        <f t="shared" si="9"/>
        <v>Tidal marsh</v>
      </c>
      <c r="C31" s="2188" t="str">
        <f t="shared" si="9"/>
        <v>Mineral</v>
      </c>
      <c r="E31" s="2195">
        <f>IFERROR(INDEX(IPCC!$A$2093:$D$2104,MATCH(clim_moist,IPCC!$A$2093:$A$2104,0),MATCH(Coastal!$B31,IPCC!$A$2093:$D$2093,0)),0)*0.451</f>
        <v>0</v>
      </c>
      <c r="F31" s="2196">
        <f>IF('7.Coastal wetlands'!BU29="",'7.Coastal wetlands'!BT29,'7.Coastal wetlands'!BU29)</f>
        <v>0</v>
      </c>
      <c r="G31" s="2195">
        <f>IFERROR(INDEX(IPCC!$A$2111:$D$2122,MATCH(clim_moist,IPCC!$A$2111:$A$2122,0),MATCH(Coastal!$B31,IPCC!$A$2111:$D$2111,0)),0)*E31</f>
        <v>0</v>
      </c>
      <c r="H31" s="2196">
        <f>IF('7.Coastal wetlands'!BW29="",'7.Coastal wetlands'!BV29,'7.Coastal wetlands'!BW29)</f>
        <v>0</v>
      </c>
      <c r="I31" s="2195">
        <f>IFERROR(INDEX(IPCC!$A$2128:$D$2139,MATCH(clim_moist,IPCC!$A$2128:$A$2139,0),MATCH(Coastal!$B31,IPCC!$A$2128:$D$2128,0)),0)</f>
        <v>0</v>
      </c>
      <c r="J31" s="2196">
        <f>IF('7.Coastal wetlands'!BY29="",'7.Coastal wetlands'!BX29,'7.Coastal wetlands'!BY29)</f>
        <v>0</v>
      </c>
      <c r="K31" s="2195">
        <f>IFERROR(INDEX(IPCC!$A$2145:$D$2156,MATCH(clim_moist,IPCC!$A$2145:$A$2156,0),MATCH(Coastal!$B31,IPCC!$A$2145:$D$2145,0)),0)</f>
        <v>0</v>
      </c>
      <c r="L31" s="2196">
        <f>IF('7.Coastal wetlands'!CA29="",'7.Coastal wetlands'!BZ29,'7.Coastal wetlands'!CA29)</f>
        <v>0</v>
      </c>
      <c r="M31" s="2197">
        <f>IFERROR(IF(AND(B31="Mangrove",'7.Coastal wetlands'!CE34=list!$D$254),INDEX(Atwood!$A$2:$G$85,MATCH(country_selected,Atwood!$A$2:$A$85,0),MATCH(Atwood!$E$2,Atwood!$A$2:$G$2,0)),IF($C31=list!$B$262,INDEX(IPCC!$A$2162:$D$2173,MATCH(clim_moist,IPCC!$A$2162:$A$2173,0),MATCH(Coastal!$B31,IPCC!$A$2162:$D$2162,0)),IF($C31=list!$B$263,INDEX(IPCC!$A$2179:$D$2190,MATCH(clim_moist,IPCC!$A$2179:$A$2190,0),MATCH(Coastal!$B31,IPCC!$A$2179:$D$2179,0)),IF($C31=list!$B$264,INDEX(IPCC!$A$2196:$D$2207,MATCH(clim_moist,IPCC!$A$2196:$A$2207,0),MATCH(Coastal!$B31,IPCC!$A$2196:$D$2196,0)),0)))),0)</f>
        <v>226</v>
      </c>
      <c r="N31" s="2198">
        <f>IF('7.Coastal wetlands'!CG29="",'7.Coastal wetlands'!CF29,'7.Coastal wetlands'!CG29)</f>
        <v>226</v>
      </c>
      <c r="O31" s="2237">
        <f>IFERROR(INDEX(IPCC!$A$2213:$D$2224,MATCH(clim_moist,IPCC!$A$2213:$A$2224,0),MATCH(Coastal!$B31,IPCC!$A$2213:$D$2213,0)),0)</f>
        <v>7.9</v>
      </c>
      <c r="P31" s="2238">
        <f>IF('7.Coastal wetlands'!CJ29="",'7.Coastal wetlands'!CI29,'7.Coastal wetlands'!CJ29)</f>
        <v>7.9</v>
      </c>
      <c r="S31" s="1661"/>
      <c r="U31" s="2203" t="s">
        <v>2281</v>
      </c>
      <c r="V31" s="2204">
        <f>SUM($O$41:$O$46)</f>
        <v>0</v>
      </c>
      <c r="W31" s="2204">
        <f>SUM($P$41:$P$46)</f>
        <v>0</v>
      </c>
      <c r="X31" s="2204">
        <f>W31-V31</f>
        <v>0</v>
      </c>
      <c r="Z31" s="2203" t="str">
        <f>U31</f>
        <v>Total Biomass</v>
      </c>
      <c r="AA31" s="2204">
        <f>AB31</f>
        <v>0</v>
      </c>
      <c r="AB31" s="2204">
        <f>IF(time=0,0,SUM(V41:V46)-SUM(U41:U46))</f>
        <v>0</v>
      </c>
      <c r="AC31" s="2206">
        <f>AA31-AB31</f>
        <v>0</v>
      </c>
    </row>
    <row r="32" spans="1:29" x14ac:dyDescent="0.15">
      <c r="B32" s="2188" t="str">
        <f t="shared" si="9"/>
        <v>Please select</v>
      </c>
      <c r="C32" s="2188" t="str">
        <f t="shared" si="9"/>
        <v>Mineral</v>
      </c>
      <c r="E32" s="2195">
        <f>IFERROR(INDEX(IPCC!$A$2093:$D$2104,MATCH(clim_moist,IPCC!$A$2093:$A$2104,0),MATCH(Coastal!$B32,IPCC!$A$2093:$D$2093,0)),0)*0.451</f>
        <v>0</v>
      </c>
      <c r="F32" s="2196">
        <f>IF('7.Coastal wetlands'!BU30="",'7.Coastal wetlands'!BT30,'7.Coastal wetlands'!BU30)</f>
        <v>0</v>
      </c>
      <c r="G32" s="2195">
        <f>IFERROR(INDEX(IPCC!$A$2111:$D$2122,MATCH(clim_moist,IPCC!$A$2111:$A$2122,0),MATCH(Coastal!$B32,IPCC!$A$2111:$D$2111,0)),0)*E32</f>
        <v>0</v>
      </c>
      <c r="H32" s="2196">
        <f>IF('7.Coastal wetlands'!BW30="",'7.Coastal wetlands'!BV30,'7.Coastal wetlands'!BW30)</f>
        <v>0</v>
      </c>
      <c r="I32" s="2195">
        <f>IFERROR(INDEX(IPCC!$A$2128:$D$2139,MATCH(clim_moist,IPCC!$A$2128:$A$2139,0),MATCH(Coastal!$B32,IPCC!$A$2128:$D$2128,0)),0)</f>
        <v>0</v>
      </c>
      <c r="J32" s="2196">
        <f>IF('7.Coastal wetlands'!BY30="",'7.Coastal wetlands'!BX30,'7.Coastal wetlands'!BY30)</f>
        <v>0</v>
      </c>
      <c r="K32" s="2195">
        <f>IFERROR(INDEX(IPCC!$A$2145:$D$2156,MATCH(clim_moist,IPCC!$A$2145:$A$2156,0),MATCH(Coastal!$B32,IPCC!$A$2145:$D$2145,0)),0)</f>
        <v>0</v>
      </c>
      <c r="L32" s="2196">
        <f>IF('7.Coastal wetlands'!CA30="",'7.Coastal wetlands'!BZ30,'7.Coastal wetlands'!CA30)</f>
        <v>0</v>
      </c>
      <c r="M32" s="2197">
        <f>IFERROR(IF(AND(B32="Mangrove",'7.Coastal wetlands'!CE35=list!$D$254),INDEX(Atwood!$A$2:$G$85,MATCH(country_selected,Atwood!$A$2:$A$85,0),MATCH(Atwood!$E$2,Atwood!$A$2:$G$2,0)),IF($C32=list!$B$262,INDEX(IPCC!$A$2162:$D$2173,MATCH(clim_moist,IPCC!$A$2162:$A$2173,0),MATCH(Coastal!$B32,IPCC!$A$2162:$D$2162,0)),IF($C32=list!$B$263,INDEX(IPCC!$A$2179:$D$2190,MATCH(clim_moist,IPCC!$A$2179:$A$2190,0),MATCH(Coastal!$B32,IPCC!$A$2179:$D$2179,0)),IF($C32=list!$B$264,INDEX(IPCC!$A$2196:$D$2207,MATCH(clim_moist,IPCC!$A$2196:$A$2207,0),MATCH(Coastal!$B32,IPCC!$A$2196:$D$2196,0)),0)))),0)</f>
        <v>0</v>
      </c>
      <c r="N32" s="2198">
        <f>IF('7.Coastal wetlands'!CG30="",'7.Coastal wetlands'!CF30,'7.Coastal wetlands'!CG30)</f>
        <v>0</v>
      </c>
      <c r="O32" s="2237">
        <f>IFERROR(INDEX(IPCC!$A$2213:$D$2224,MATCH(clim_moist,IPCC!$A$2213:$A$2224,0),MATCH(Coastal!$B32,IPCC!$A$2213:$D$2213,0)),0)</f>
        <v>0</v>
      </c>
      <c r="P32" s="2238">
        <f>IF('7.Coastal wetlands'!CJ30="",'7.Coastal wetlands'!CI30,'7.Coastal wetlands'!CJ30)</f>
        <v>0</v>
      </c>
      <c r="S32" s="1661"/>
      <c r="U32" s="2203" t="s">
        <v>2282</v>
      </c>
      <c r="V32" s="2204">
        <f>SUM(O51:O56)</f>
        <v>4526.041666666667</v>
      </c>
      <c r="W32" s="2204">
        <f>SUM(P51:P56)</f>
        <v>4526.041666666667</v>
      </c>
      <c r="X32" s="2204">
        <f>W32-V32</f>
        <v>0</v>
      </c>
      <c r="Z32" s="2203" t="str">
        <f>U32</f>
        <v>Total soil</v>
      </c>
      <c r="AA32" s="2204">
        <f>SUM(Q51:Q56)</f>
        <v>0</v>
      </c>
      <c r="AB32" s="2204">
        <f>IF(time=0,0,SUM(V51:V56)-SUM(U51:U57))</f>
        <v>0</v>
      </c>
      <c r="AC32" s="2206">
        <f>AA32-AB32</f>
        <v>0</v>
      </c>
    </row>
    <row r="33" spans="2:29" x14ac:dyDescent="0.15">
      <c r="B33" s="2188" t="str">
        <f t="shared" si="9"/>
        <v>Please select</v>
      </c>
      <c r="C33" s="2188" t="str">
        <f t="shared" si="9"/>
        <v>Mineral</v>
      </c>
      <c r="E33" s="2195">
        <f>IFERROR(INDEX(IPCC!$A$2093:$D$2104,MATCH(clim_moist,IPCC!$A$2093:$A$2104,0),MATCH(Coastal!$B33,IPCC!$A$2093:$D$2093,0)),0)*0.451</f>
        <v>0</v>
      </c>
      <c r="F33" s="2196">
        <f>IF('7.Coastal wetlands'!BU31="",'7.Coastal wetlands'!BT31,'7.Coastal wetlands'!BU31)</f>
        <v>0</v>
      </c>
      <c r="G33" s="2195">
        <f>IFERROR(INDEX(IPCC!$A$2111:$D$2122,MATCH(clim_moist,IPCC!$A$2111:$A$2122,0),MATCH(Coastal!$B33,IPCC!$A$2111:$D$2111,0)),0)*E33</f>
        <v>0</v>
      </c>
      <c r="H33" s="2196">
        <f>IF('7.Coastal wetlands'!BW31="",'7.Coastal wetlands'!BV31,'7.Coastal wetlands'!BW31)</f>
        <v>0</v>
      </c>
      <c r="I33" s="2195">
        <f>IFERROR(INDEX(IPCC!$A$2128:$D$2139,MATCH(clim_moist,IPCC!$A$2128:$A$2139,0),MATCH(Coastal!$B33,IPCC!$A$2128:$D$2128,0)),0)</f>
        <v>0</v>
      </c>
      <c r="J33" s="2196">
        <f>IF('7.Coastal wetlands'!BY31="",'7.Coastal wetlands'!BX31,'7.Coastal wetlands'!BY31)</f>
        <v>0</v>
      </c>
      <c r="K33" s="2195">
        <f>IFERROR(INDEX(IPCC!$A$2145:$D$2156,MATCH(clim_moist,IPCC!$A$2145:$A$2156,0),MATCH(Coastal!$B33,IPCC!$A$2145:$D$2145,0)),0)</f>
        <v>0</v>
      </c>
      <c r="L33" s="2196">
        <f>IF('7.Coastal wetlands'!CA31="",'7.Coastal wetlands'!BZ31,'7.Coastal wetlands'!CA31)</f>
        <v>0</v>
      </c>
      <c r="M33" s="2197">
        <f>IFERROR(IF(AND(B33="Mangrove",'7.Coastal wetlands'!CE36=list!$D$254),INDEX(Atwood!$A$2:$G$85,MATCH(country_selected,Atwood!$A$2:$A$85,0),MATCH(Atwood!$E$2,Atwood!$A$2:$G$2,0)),IF($C33=list!$B$262,INDEX(IPCC!$A$2162:$D$2173,MATCH(clim_moist,IPCC!$A$2162:$A$2173,0),MATCH(Coastal!$B33,IPCC!$A$2162:$D$2162,0)),IF($C33=list!$B$263,INDEX(IPCC!$A$2179:$D$2190,MATCH(clim_moist,IPCC!$A$2179:$A$2190,0),MATCH(Coastal!$B33,IPCC!$A$2179:$D$2179,0)),IF($C33=list!$B$264,INDEX(IPCC!$A$2196:$D$2207,MATCH(clim_moist,IPCC!$A$2196:$A$2207,0),MATCH(Coastal!$B33,IPCC!$A$2196:$D$2196,0)),0)))),0)</f>
        <v>0</v>
      </c>
      <c r="N33" s="2198">
        <f>IF('7.Coastal wetlands'!CG31="",'7.Coastal wetlands'!CF31,'7.Coastal wetlands'!CG31)</f>
        <v>0</v>
      </c>
      <c r="O33" s="2237">
        <f>IFERROR(INDEX(IPCC!$A$2213:$D$2224,MATCH(clim_moist,IPCC!$A$2213:$A$2224,0),MATCH(Coastal!$B33,IPCC!$A$2213:$D$2213,0)),0)</f>
        <v>0</v>
      </c>
      <c r="P33" s="2238">
        <f>IF('7.Coastal wetlands'!CJ31="",'7.Coastal wetlands'!CI31,'7.Coastal wetlands'!CJ31)</f>
        <v>0</v>
      </c>
      <c r="S33" s="1661"/>
      <c r="U33" s="2208" t="s">
        <v>871</v>
      </c>
      <c r="V33" s="2209">
        <f>SUM(V31:V32)</f>
        <v>4526.041666666667</v>
      </c>
      <c r="W33" s="2209">
        <f>SUM(W31:W32)</f>
        <v>4526.041666666667</v>
      </c>
      <c r="X33" s="2209">
        <f>W33-V33</f>
        <v>0</v>
      </c>
      <c r="Z33" s="2208" t="s">
        <v>871</v>
      </c>
      <c r="AA33" s="2210">
        <f>SUM(AA31:AA32)</f>
        <v>0</v>
      </c>
      <c r="AB33" s="2210">
        <f>SUM(AB31:AB32)</f>
        <v>0</v>
      </c>
      <c r="AC33" s="2210">
        <f>SUM(AC31:AC32)</f>
        <v>0</v>
      </c>
    </row>
    <row r="34" spans="2:29" x14ac:dyDescent="0.15">
      <c r="B34" s="2188" t="str">
        <f t="shared" si="9"/>
        <v>Please select</v>
      </c>
      <c r="C34" s="2188" t="str">
        <f t="shared" si="9"/>
        <v>Mineral</v>
      </c>
      <c r="E34" s="2195">
        <f>IFERROR(INDEX(IPCC!$A$2093:$D$2104,MATCH(clim_moist,IPCC!$A$2093:$A$2104,0),MATCH(Coastal!$B34,IPCC!$A$2093:$D$2093,0)),0)*0.451</f>
        <v>0</v>
      </c>
      <c r="F34" s="2196">
        <f>IF('7.Coastal wetlands'!BU32="",'7.Coastal wetlands'!BT32,'7.Coastal wetlands'!BU32)</f>
        <v>0</v>
      </c>
      <c r="G34" s="2195">
        <f>IFERROR(INDEX(IPCC!$A$2111:$D$2122,MATCH(clim_moist,IPCC!$A$2111:$A$2122,0),MATCH(Coastal!$B34,IPCC!$A$2111:$D$2111,0)),0)*E34</f>
        <v>0</v>
      </c>
      <c r="H34" s="2196">
        <f>IF('7.Coastal wetlands'!BW32="",'7.Coastal wetlands'!BV32,'7.Coastal wetlands'!BW32)</f>
        <v>0</v>
      </c>
      <c r="I34" s="2195">
        <f>IFERROR(INDEX(IPCC!$A$2128:$D$2139,MATCH(clim_moist,IPCC!$A$2128:$A$2139,0),MATCH(Coastal!$B34,IPCC!$A$2128:$D$2128,0)),0)</f>
        <v>0</v>
      </c>
      <c r="J34" s="2196">
        <f>IF('7.Coastal wetlands'!BY32="",'7.Coastal wetlands'!BX32,'7.Coastal wetlands'!BY32)</f>
        <v>0</v>
      </c>
      <c r="K34" s="2195">
        <f>IFERROR(INDEX(IPCC!$A$2145:$D$2156,MATCH(clim_moist,IPCC!$A$2145:$A$2156,0),MATCH(Coastal!$B34,IPCC!$A$2145:$D$2145,0)),0)</f>
        <v>0</v>
      </c>
      <c r="L34" s="2196">
        <f>IF('7.Coastal wetlands'!CA32="",'7.Coastal wetlands'!BZ32,'7.Coastal wetlands'!CA32)</f>
        <v>0</v>
      </c>
      <c r="M34" s="2197">
        <f>IFERROR(IF(AND(B34="Mangrove",'7.Coastal wetlands'!CE37=list!$D$254),INDEX(Atwood!$A$2:$G$85,MATCH(country_selected,Atwood!$A$2:$A$85,0),MATCH(Atwood!$E$2,Atwood!$A$2:$G$2,0)),IF($C34=list!$B$262,INDEX(IPCC!$A$2162:$D$2173,MATCH(clim_moist,IPCC!$A$2162:$A$2173,0),MATCH(Coastal!$B34,IPCC!$A$2162:$D$2162,0)),IF($C34=list!$B$263,INDEX(IPCC!$A$2179:$D$2190,MATCH(clim_moist,IPCC!$A$2179:$A$2190,0),MATCH(Coastal!$B34,IPCC!$A$2179:$D$2179,0)),IF($C34=list!$B$264,INDEX(IPCC!$A$2196:$D$2207,MATCH(clim_moist,IPCC!$A$2196:$A$2207,0),MATCH(Coastal!$B34,IPCC!$A$2196:$D$2196,0)),0)))),0)</f>
        <v>0</v>
      </c>
      <c r="N34" s="2198">
        <f>IF('7.Coastal wetlands'!CG32="",'7.Coastal wetlands'!CF32,'7.Coastal wetlands'!CG32)</f>
        <v>0</v>
      </c>
      <c r="O34" s="2237">
        <f>IFERROR(INDEX(IPCC!$A$2213:$D$2224,MATCH(clim_moist,IPCC!$A$2213:$A$2224,0),MATCH(Coastal!$B34,IPCC!$A$2213:$D$2213,0)),0)</f>
        <v>0</v>
      </c>
      <c r="P34" s="2238">
        <f>IF('7.Coastal wetlands'!CJ32="",'7.Coastal wetlands'!CI32,'7.Coastal wetlands'!CJ32)</f>
        <v>0</v>
      </c>
    </row>
    <row r="35" spans="2:29" x14ac:dyDescent="0.15">
      <c r="B35" s="2188" t="str">
        <f t="shared" si="9"/>
        <v>Please select</v>
      </c>
      <c r="C35" s="2188" t="str">
        <f t="shared" si="9"/>
        <v>Mineral</v>
      </c>
      <c r="E35" s="2195">
        <f>IFERROR(INDEX(IPCC!$A$2093:$D$2104,MATCH(clim_moist,IPCC!$A$2093:$A$2104,0),MATCH(Coastal!$B35,IPCC!$A$2093:$D$2093,0)),0)*0.451</f>
        <v>0</v>
      </c>
      <c r="F35" s="2196">
        <f>IF('7.Coastal wetlands'!BU33="",'7.Coastal wetlands'!BT33,'7.Coastal wetlands'!BU33)</f>
        <v>0</v>
      </c>
      <c r="G35" s="2195">
        <f>IFERROR(INDEX(IPCC!$A$2111:$D$2122,MATCH(clim_moist,IPCC!$A$2111:$A$2122,0),MATCH(Coastal!$B35,IPCC!$A$2111:$D$2111,0)),0)*E35</f>
        <v>0</v>
      </c>
      <c r="H35" s="2196">
        <f>IF('7.Coastal wetlands'!BW33="",'7.Coastal wetlands'!BV33,'7.Coastal wetlands'!BW33)</f>
        <v>0</v>
      </c>
      <c r="I35" s="2195">
        <f>IFERROR(INDEX(IPCC!$A$2128:$D$2139,MATCH(clim_moist,IPCC!$A$2128:$A$2139,0),MATCH(Coastal!$B35,IPCC!$A$2128:$D$2128,0)),0)</f>
        <v>0</v>
      </c>
      <c r="J35" s="2196">
        <f>IF('7.Coastal wetlands'!BY33="",'7.Coastal wetlands'!BX33,'7.Coastal wetlands'!BY33)</f>
        <v>0</v>
      </c>
      <c r="K35" s="2195">
        <f>IFERROR(INDEX(IPCC!$A$2145:$D$2156,MATCH(clim_moist,IPCC!$A$2145:$A$2156,0),MATCH(Coastal!$B35,IPCC!$A$2145:$D$2145,0)),0)</f>
        <v>0</v>
      </c>
      <c r="L35" s="2196">
        <f>IF('7.Coastal wetlands'!CA33="",'7.Coastal wetlands'!BZ33,'7.Coastal wetlands'!CA33)</f>
        <v>0</v>
      </c>
      <c r="M35" s="2197">
        <f>IFERROR(IF(AND(B35="Mangrove",'7.Coastal wetlands'!CE38=list!$D$254),INDEX(Atwood!$A$2:$G$85,MATCH(country_selected,Atwood!$A$2:$A$85,0),MATCH(Atwood!$E$2,Atwood!$A$2:$G$2,0)),IF($C35=list!$B$262,INDEX(IPCC!$A$2162:$D$2173,MATCH(clim_moist,IPCC!$A$2162:$A$2173,0),MATCH(Coastal!$B35,IPCC!$A$2162:$D$2162,0)),IF($C35=list!$B$263,INDEX(IPCC!$A$2179:$D$2190,MATCH(clim_moist,IPCC!$A$2179:$A$2190,0),MATCH(Coastal!$B35,IPCC!$A$2179:$D$2179,0)),IF($C35=list!$B$264,INDEX(IPCC!$A$2196:$D$2207,MATCH(clim_moist,IPCC!$A$2196:$A$2207,0),MATCH(Coastal!$B35,IPCC!$A$2196:$D$2196,0)),0)))),0)</f>
        <v>0</v>
      </c>
      <c r="N35" s="2198">
        <f>IF('7.Coastal wetlands'!CG33="",'7.Coastal wetlands'!CF33,'7.Coastal wetlands'!CG33)</f>
        <v>0</v>
      </c>
      <c r="O35" s="2237">
        <f>IFERROR(INDEX(IPCC!$A$2213:$D$2224,MATCH(clim_moist,IPCC!$A$2213:$A$2224,0),MATCH(Coastal!$B35,IPCC!$A$2213:$D$2213,0)),0)</f>
        <v>0</v>
      </c>
      <c r="P35" s="2238">
        <f>IF('7.Coastal wetlands'!CJ33="",'7.Coastal wetlands'!CI33,'7.Coastal wetlands'!CJ33)</f>
        <v>0</v>
      </c>
    </row>
    <row r="36" spans="2:29" x14ac:dyDescent="0.15">
      <c r="B36" s="2188" t="str">
        <f t="shared" si="9"/>
        <v>Please select</v>
      </c>
      <c r="C36" s="2188" t="str">
        <f t="shared" si="9"/>
        <v>Mineral</v>
      </c>
      <c r="E36" s="2195">
        <f>IFERROR(INDEX(IPCC!$A$2093:$D$2104,MATCH(clim_moist,IPCC!$A$2093:$A$2104,0),MATCH(Coastal!$B36,IPCC!$A$2093:$D$2093,0)),0)*0.451</f>
        <v>0</v>
      </c>
      <c r="F36" s="2196">
        <f>IF('7.Coastal wetlands'!BU34="",'7.Coastal wetlands'!BT34,'7.Coastal wetlands'!BU34)</f>
        <v>0</v>
      </c>
      <c r="G36" s="2195">
        <f>IFERROR(INDEX(IPCC!$A$2111:$D$2122,MATCH(clim_moist,IPCC!$A$2111:$A$2122,0),MATCH(Coastal!$B36,IPCC!$A$2111:$D$2111,0)),0)*E36</f>
        <v>0</v>
      </c>
      <c r="H36" s="2196">
        <f>IF('7.Coastal wetlands'!BW34="",'7.Coastal wetlands'!BV34,'7.Coastal wetlands'!BW34)</f>
        <v>0</v>
      </c>
      <c r="I36" s="2195">
        <f>IFERROR(INDEX(IPCC!$A$2128:$D$2139,MATCH(clim_moist,IPCC!$A$2128:$A$2139,0),MATCH(Coastal!$B36,IPCC!$A$2128:$D$2128,0)),0)</f>
        <v>0</v>
      </c>
      <c r="J36" s="2196">
        <f>IF('7.Coastal wetlands'!BY34="",'7.Coastal wetlands'!BX34,'7.Coastal wetlands'!BY34)</f>
        <v>0</v>
      </c>
      <c r="K36" s="2195">
        <f>IFERROR(INDEX(IPCC!$A$2145:$D$2156,MATCH(clim_moist,IPCC!$A$2145:$A$2156,0),MATCH(Coastal!$B36,IPCC!$A$2145:$D$2145,0)),0)</f>
        <v>0</v>
      </c>
      <c r="L36" s="2196">
        <f>IF('7.Coastal wetlands'!CA34="",'7.Coastal wetlands'!BZ34,'7.Coastal wetlands'!CA34)</f>
        <v>0</v>
      </c>
      <c r="M36" s="2197">
        <f>IFERROR(IF(AND(B36="Mangrove",'7.Coastal wetlands'!CE39=list!$D$254),INDEX(Atwood!$A$2:$G$85,MATCH(country_selected,Atwood!$A$2:$A$85,0),MATCH(Atwood!$E$2,Atwood!$A$2:$G$2,0)),IF($C36=list!$B$262,INDEX(IPCC!$A$2162:$D$2173,MATCH(clim_moist,IPCC!$A$2162:$A$2173,0),MATCH(Coastal!$B36,IPCC!$A$2162:$D$2162,0)),IF($C36=list!$B$263,INDEX(IPCC!$A$2179:$D$2190,MATCH(clim_moist,IPCC!$A$2179:$A$2190,0),MATCH(Coastal!$B36,IPCC!$A$2179:$D$2179,0)),IF($C36=list!$B$264,INDEX(IPCC!$A$2196:$D$2207,MATCH(clim_moist,IPCC!$A$2196:$A$2207,0),MATCH(Coastal!$B36,IPCC!$A$2196:$D$2196,0)),0)))),0)</f>
        <v>0</v>
      </c>
      <c r="N36" s="2198">
        <f>IF('7.Coastal wetlands'!CG34="",'7.Coastal wetlands'!CF34,'7.Coastal wetlands'!CG34)</f>
        <v>0</v>
      </c>
      <c r="O36" s="2237">
        <f>IFERROR(INDEX(IPCC!$A$2213:$D$2224,MATCH(clim_moist,IPCC!$A$2213:$A$2224,0),MATCH(Coastal!$B36,IPCC!$A$2213:$D$2213,0)),0)</f>
        <v>0</v>
      </c>
      <c r="P36" s="2238">
        <f>IF('7.Coastal wetlands'!CJ34="",'7.Coastal wetlands'!CI34,'7.Coastal wetlands'!CJ34)</f>
        <v>0</v>
      </c>
    </row>
    <row r="39" spans="2:29" x14ac:dyDescent="0.15">
      <c r="E39" s="2189" t="s">
        <v>323</v>
      </c>
      <c r="F39" s="2189"/>
      <c r="G39" s="2189"/>
      <c r="H39" s="2190"/>
      <c r="I39" s="2190"/>
      <c r="K39" s="2191" t="s">
        <v>2293</v>
      </c>
      <c r="L39" s="2191"/>
      <c r="O39" s="2191" t="s">
        <v>2294</v>
      </c>
      <c r="U39" s="2188" t="s">
        <v>2288</v>
      </c>
    </row>
    <row r="40" spans="2:29" x14ac:dyDescent="0.15">
      <c r="B40" s="2191" t="str">
        <f t="shared" ref="B40:C46" si="10">B30</f>
        <v>Type of vegetation</v>
      </c>
      <c r="C40" s="2191" t="str">
        <f t="shared" si="10"/>
        <v>Soil type</v>
      </c>
      <c r="D40" s="1661"/>
      <c r="E40" s="1661" t="s">
        <v>219</v>
      </c>
      <c r="F40" s="1661" t="s">
        <v>179</v>
      </c>
      <c r="G40" s="2188" t="s">
        <v>225</v>
      </c>
      <c r="H40" s="1661" t="s">
        <v>180</v>
      </c>
      <c r="I40" s="2188" t="s">
        <v>225</v>
      </c>
      <c r="K40" s="1661" t="s">
        <v>219</v>
      </c>
      <c r="L40" s="1661" t="s">
        <v>179</v>
      </c>
      <c r="M40" s="2188" t="s">
        <v>180</v>
      </c>
      <c r="O40" s="2211" t="s">
        <v>179</v>
      </c>
      <c r="P40" s="2212" t="s">
        <v>180</v>
      </c>
      <c r="Q40" s="2213" t="s">
        <v>376</v>
      </c>
      <c r="U40" s="2211" t="s">
        <v>179</v>
      </c>
      <c r="V40" s="2212" t="s">
        <v>180</v>
      </c>
    </row>
    <row r="41" spans="2:29" x14ac:dyDescent="0.15">
      <c r="B41" s="2188" t="str">
        <f t="shared" si="10"/>
        <v>Tidal marsh</v>
      </c>
      <c r="C41" s="2188" t="str">
        <f t="shared" si="10"/>
        <v>Mineral</v>
      </c>
      <c r="E41" s="2221">
        <f>'7.Coastal wetlands'!V29</f>
        <v>25</v>
      </c>
      <c r="F41" s="2221">
        <f>'7.Coastal wetlands'!X29</f>
        <v>12.5</v>
      </c>
      <c r="G41" s="2188" t="str">
        <f>VLOOKUP('7.Coastal wetlands'!Q29, list!$I$48:$J$50,2,FALSE )</f>
        <v>Linear</v>
      </c>
      <c r="H41" s="2221">
        <f>'7.Coastal wetlands'!Z29</f>
        <v>12.5</v>
      </c>
      <c r="I41" s="2188" t="str">
        <f>VLOOKUP('7.Coastal wetlands'!S29, list!$I$48:$J$50,2,FALSE )</f>
        <v>Linear</v>
      </c>
      <c r="K41" s="2214">
        <v>0</v>
      </c>
      <c r="L41" s="2214">
        <f t="shared" ref="L41:L46" si="11">SUM($F31,$H31,$J31,$L31)*$F41</f>
        <v>0</v>
      </c>
      <c r="M41" s="2214">
        <f t="shared" ref="M41:M46" si="12">SUM($F31,$H31,$J31,$L31)*$H41</f>
        <v>0</v>
      </c>
      <c r="O41" s="2214">
        <f t="shared" ref="O41:O46" si="13">(L41-K41)*44/12</f>
        <v>0</v>
      </c>
      <c r="P41" s="2218">
        <f t="shared" ref="P41:P46" si="14">(M41-K41)*44/12</f>
        <v>0</v>
      </c>
      <c r="Q41" s="2219">
        <f t="shared" ref="Q41:Q46" si="15">P41-O41</f>
        <v>0</v>
      </c>
      <c r="U41" s="2221">
        <f t="shared" ref="U41:V46" si="16">O41</f>
        <v>0</v>
      </c>
      <c r="V41" s="2221">
        <f t="shared" si="16"/>
        <v>0</v>
      </c>
    </row>
    <row r="42" spans="2:29" x14ac:dyDescent="0.15">
      <c r="B42" s="2188" t="str">
        <f t="shared" si="10"/>
        <v>Please select</v>
      </c>
      <c r="C42" s="2188" t="str">
        <f t="shared" si="10"/>
        <v>Mineral</v>
      </c>
      <c r="E42" s="2221">
        <f>'7.Coastal wetlands'!V30</f>
        <v>0</v>
      </c>
      <c r="F42" s="2221">
        <f>'7.Coastal wetlands'!X30</f>
        <v>0</v>
      </c>
      <c r="G42" s="2188" t="str">
        <f>VLOOKUP('7.Coastal wetlands'!Q30, list!$I$48:$J$50,2,FALSE )</f>
        <v>Linear</v>
      </c>
      <c r="H42" s="2221">
        <f>'7.Coastal wetlands'!Z30</f>
        <v>0</v>
      </c>
      <c r="I42" s="2188" t="str">
        <f>VLOOKUP('7.Coastal wetlands'!S30, list!$I$48:$J$50,2,FALSE )</f>
        <v>Linear</v>
      </c>
      <c r="K42" s="2214">
        <v>0</v>
      </c>
      <c r="L42" s="2214">
        <f t="shared" si="11"/>
        <v>0</v>
      </c>
      <c r="M42" s="2214">
        <f t="shared" si="12"/>
        <v>0</v>
      </c>
      <c r="O42" s="2222">
        <f t="shared" si="13"/>
        <v>0</v>
      </c>
      <c r="P42" s="2226">
        <f t="shared" si="14"/>
        <v>0</v>
      </c>
      <c r="Q42" s="2227">
        <f t="shared" si="15"/>
        <v>0</v>
      </c>
      <c r="U42" s="2221">
        <f t="shared" si="16"/>
        <v>0</v>
      </c>
      <c r="V42" s="2221">
        <f t="shared" si="16"/>
        <v>0</v>
      </c>
    </row>
    <row r="43" spans="2:29" x14ac:dyDescent="0.15">
      <c r="B43" s="2188" t="str">
        <f t="shared" si="10"/>
        <v>Please select</v>
      </c>
      <c r="C43" s="2188" t="str">
        <f t="shared" si="10"/>
        <v>Mineral</v>
      </c>
      <c r="E43" s="2221">
        <f>'7.Coastal wetlands'!V31</f>
        <v>0</v>
      </c>
      <c r="F43" s="2221">
        <f>'7.Coastal wetlands'!X31</f>
        <v>0</v>
      </c>
      <c r="G43" s="2188" t="str">
        <f>VLOOKUP('7.Coastal wetlands'!Q31, list!$I$48:$J$50,2,FALSE )</f>
        <v>Linear</v>
      </c>
      <c r="H43" s="2221">
        <f>'7.Coastal wetlands'!Z31</f>
        <v>0</v>
      </c>
      <c r="I43" s="2188" t="str">
        <f>VLOOKUP('7.Coastal wetlands'!S31, list!$I$48:$J$50,2,FALSE )</f>
        <v>Linear</v>
      </c>
      <c r="K43" s="2214">
        <v>0</v>
      </c>
      <c r="L43" s="2214">
        <f t="shared" si="11"/>
        <v>0</v>
      </c>
      <c r="M43" s="2214">
        <f t="shared" si="12"/>
        <v>0</v>
      </c>
      <c r="O43" s="2222">
        <f t="shared" si="13"/>
        <v>0</v>
      </c>
      <c r="P43" s="2226">
        <f t="shared" si="14"/>
        <v>0</v>
      </c>
      <c r="Q43" s="2227">
        <f t="shared" si="15"/>
        <v>0</v>
      </c>
      <c r="U43" s="2221">
        <f t="shared" si="16"/>
        <v>0</v>
      </c>
      <c r="V43" s="2221">
        <f t="shared" si="16"/>
        <v>0</v>
      </c>
    </row>
    <row r="44" spans="2:29" x14ac:dyDescent="0.15">
      <c r="B44" s="2188" t="str">
        <f t="shared" si="10"/>
        <v>Please select</v>
      </c>
      <c r="C44" s="2188" t="str">
        <f t="shared" si="10"/>
        <v>Mineral</v>
      </c>
      <c r="E44" s="2221">
        <f>'7.Coastal wetlands'!V32</f>
        <v>0</v>
      </c>
      <c r="F44" s="2221">
        <f>'7.Coastal wetlands'!X32</f>
        <v>0</v>
      </c>
      <c r="G44" s="2188" t="str">
        <f>VLOOKUP('7.Coastal wetlands'!Q32, list!$I$48:$J$50,2,FALSE )</f>
        <v>Linear</v>
      </c>
      <c r="H44" s="2221">
        <f>'7.Coastal wetlands'!Z32</f>
        <v>0</v>
      </c>
      <c r="I44" s="2188" t="str">
        <f>VLOOKUP('7.Coastal wetlands'!S32, list!$I$48:$J$50,2,FALSE )</f>
        <v>Linear</v>
      </c>
      <c r="K44" s="2214">
        <v>0</v>
      </c>
      <c r="L44" s="2214">
        <f t="shared" si="11"/>
        <v>0</v>
      </c>
      <c r="M44" s="2214">
        <f t="shared" si="12"/>
        <v>0</v>
      </c>
      <c r="O44" s="2222">
        <f t="shared" si="13"/>
        <v>0</v>
      </c>
      <c r="P44" s="2226">
        <f t="shared" si="14"/>
        <v>0</v>
      </c>
      <c r="Q44" s="2227">
        <f t="shared" si="15"/>
        <v>0</v>
      </c>
      <c r="U44" s="2221">
        <f t="shared" si="16"/>
        <v>0</v>
      </c>
      <c r="V44" s="2221">
        <f t="shared" si="16"/>
        <v>0</v>
      </c>
    </row>
    <row r="45" spans="2:29" x14ac:dyDescent="0.15">
      <c r="B45" s="2188" t="str">
        <f t="shared" si="10"/>
        <v>Please select</v>
      </c>
      <c r="C45" s="2188" t="str">
        <f t="shared" si="10"/>
        <v>Mineral</v>
      </c>
      <c r="E45" s="2221">
        <f>'7.Coastal wetlands'!V33</f>
        <v>0</v>
      </c>
      <c r="F45" s="2221">
        <f>'7.Coastal wetlands'!X33</f>
        <v>0</v>
      </c>
      <c r="G45" s="2188" t="str">
        <f>VLOOKUP('7.Coastal wetlands'!Q33, list!$I$48:$J$50,2,FALSE )</f>
        <v>Linear</v>
      </c>
      <c r="H45" s="2221">
        <f>'7.Coastal wetlands'!Z33</f>
        <v>0</v>
      </c>
      <c r="I45" s="2188" t="str">
        <f>VLOOKUP('7.Coastal wetlands'!S33, list!$I$48:$J$50,2,FALSE )</f>
        <v>Linear</v>
      </c>
      <c r="K45" s="2214">
        <v>0</v>
      </c>
      <c r="L45" s="2214">
        <f t="shared" si="11"/>
        <v>0</v>
      </c>
      <c r="M45" s="2214">
        <f t="shared" si="12"/>
        <v>0</v>
      </c>
      <c r="O45" s="2222">
        <f t="shared" si="13"/>
        <v>0</v>
      </c>
      <c r="P45" s="2226">
        <f t="shared" si="14"/>
        <v>0</v>
      </c>
      <c r="Q45" s="2227">
        <f t="shared" si="15"/>
        <v>0</v>
      </c>
      <c r="U45" s="2221">
        <f t="shared" si="16"/>
        <v>0</v>
      </c>
      <c r="V45" s="2221">
        <f t="shared" si="16"/>
        <v>0</v>
      </c>
    </row>
    <row r="46" spans="2:29" x14ac:dyDescent="0.15">
      <c r="B46" s="2188" t="str">
        <f t="shared" si="10"/>
        <v>Please select</v>
      </c>
      <c r="C46" s="2188" t="str">
        <f t="shared" si="10"/>
        <v>Mineral</v>
      </c>
      <c r="E46" s="2221">
        <f>'7.Coastal wetlands'!V34</f>
        <v>0</v>
      </c>
      <c r="F46" s="2221">
        <f>'7.Coastal wetlands'!X34</f>
        <v>0</v>
      </c>
      <c r="G46" s="2188" t="str">
        <f>VLOOKUP('7.Coastal wetlands'!Q34, list!$I$48:$J$50,2,FALSE )</f>
        <v>Linear</v>
      </c>
      <c r="H46" s="2221">
        <f>'7.Coastal wetlands'!Z34</f>
        <v>0</v>
      </c>
      <c r="I46" s="2188" t="str">
        <f>VLOOKUP('7.Coastal wetlands'!S34, list!$I$48:$J$50,2,FALSE )</f>
        <v>Linear</v>
      </c>
      <c r="K46" s="2214">
        <v>0</v>
      </c>
      <c r="L46" s="2214">
        <f t="shared" si="11"/>
        <v>0</v>
      </c>
      <c r="M46" s="2214">
        <f t="shared" si="12"/>
        <v>0</v>
      </c>
      <c r="O46" s="2228">
        <f t="shared" si="13"/>
        <v>0</v>
      </c>
      <c r="P46" s="2232">
        <f t="shared" si="14"/>
        <v>0</v>
      </c>
      <c r="Q46" s="2233">
        <f t="shared" si="15"/>
        <v>0</v>
      </c>
      <c r="U46" s="2221">
        <f t="shared" si="16"/>
        <v>0</v>
      </c>
      <c r="V46" s="2221">
        <f t="shared" si="16"/>
        <v>0</v>
      </c>
    </row>
    <row r="49" spans="1:29" x14ac:dyDescent="0.15">
      <c r="E49" s="2189" t="s">
        <v>323</v>
      </c>
      <c r="F49" s="2189"/>
      <c r="G49" s="2189"/>
      <c r="H49" s="2190"/>
      <c r="I49" s="2190"/>
      <c r="K49" s="2191" t="s">
        <v>2295</v>
      </c>
      <c r="O49" s="2188" t="s">
        <v>2296</v>
      </c>
      <c r="U49" s="2188" t="s">
        <v>2288</v>
      </c>
    </row>
    <row r="50" spans="1:29" x14ac:dyDescent="0.15">
      <c r="B50" s="2191" t="str">
        <f t="shared" ref="B50:C56" si="17">B40</f>
        <v>Type of vegetation</v>
      </c>
      <c r="C50" s="2191" t="str">
        <f t="shared" si="17"/>
        <v>Soil type</v>
      </c>
      <c r="E50" s="1661" t="str">
        <f>E40</f>
        <v>Start</v>
      </c>
      <c r="F50" s="1661" t="str">
        <f>F40</f>
        <v>Without</v>
      </c>
      <c r="G50" s="1661" t="str">
        <f>G40</f>
        <v>Rate</v>
      </c>
      <c r="H50" s="1661" t="str">
        <f>H40</f>
        <v>With</v>
      </c>
      <c r="I50" s="1661" t="str">
        <f>I40</f>
        <v>Rate</v>
      </c>
      <c r="K50" s="1661" t="s">
        <v>1158</v>
      </c>
      <c r="L50" s="1661" t="s">
        <v>253</v>
      </c>
      <c r="M50" s="1661"/>
      <c r="O50" s="2211" t="s">
        <v>179</v>
      </c>
      <c r="P50" s="2212" t="s">
        <v>180</v>
      </c>
      <c r="Q50" s="2213" t="s">
        <v>376</v>
      </c>
      <c r="U50" s="2211" t="s">
        <v>179</v>
      </c>
      <c r="V50" s="2212" t="s">
        <v>180</v>
      </c>
    </row>
    <row r="51" spans="1:29" x14ac:dyDescent="0.15">
      <c r="B51" s="2188" t="str">
        <f t="shared" si="17"/>
        <v>Tidal marsh</v>
      </c>
      <c r="C51" s="2188" t="str">
        <f t="shared" si="17"/>
        <v>Mineral</v>
      </c>
      <c r="E51" s="1661">
        <v>0</v>
      </c>
      <c r="F51" s="1661">
        <f t="shared" ref="F51:I56" si="18">F41</f>
        <v>12.5</v>
      </c>
      <c r="G51" s="1661" t="str">
        <f t="shared" si="18"/>
        <v>Linear</v>
      </c>
      <c r="H51" s="1661">
        <f t="shared" si="18"/>
        <v>12.5</v>
      </c>
      <c r="I51" s="1661" t="str">
        <f t="shared" si="18"/>
        <v>Linear</v>
      </c>
      <c r="K51" s="2239">
        <f t="shared" ref="K51:K56" si="19">IF(P31=0,1000,INT(N31/P31))</f>
        <v>28</v>
      </c>
      <c r="L51" s="2240">
        <f t="shared" ref="L51:L56" si="20">N31*44/12</f>
        <v>828.66666666666663</v>
      </c>
      <c r="O51" s="2214">
        <f>MIN(MAX($E51,$F51)*$L51,$O31*(44/12)*((MIN($E51,$F51)*MIN($K51,time_tot))+IF($G51="immediate",IF($F51&gt;$E51,$F51*MIN($K51,time_tot),0),IF($E51&gt;$F51,($E51-$F51)*IF(time&gt;$K51,IF($G51="linear",time-((time-$K51)^2)/(2*time),(0.215*time)-(time/4.6)*(EXP(-92.1/time)-0.01)),time*(1-VLOOKUP($G51,list!$J$48:$K$50,2,))),($F51-$E51)*IF(time_tot&gt;time+$K51,$K51,IF(time_tot&lt;$K51,(time*VLOOKUP($G51,list!$J$48:$K$50,2,))+(time_tot-time),((MIN($K51,time)))))))))</f>
        <v>4526.041666666667</v>
      </c>
      <c r="P51" s="2217">
        <f>MIN(MAX($E51,$H51)*$L51,$O31*(44/12)*((MIN($E51,$H51)*MIN($K51,time_tot))+IF($I51="immediate",IF($H51&gt;$E51,$H51*MIN($K51,time_tot),0),IF($E51&gt;$H51,($E51-$H51)*IF(time&gt;$K51,IF($I51="linear",time-((time-$K51)^2)/(2*time),(0.215*time)-(time/4.6)*(EXP(-92.1/time)-0.01)),time*(1-VLOOKUP($I51,list!$J$48:$K$50,2,))),($H51-$E51)*IF(time_tot&gt;time+$K51,$K51,IF(time_tot&lt;$K51,(time*VLOOKUP($I51,list!$J$48:$K$50,2,))+(time_tot-time),((MIN($K51,time)))))))))</f>
        <v>4526.041666666667</v>
      </c>
      <c r="Q51" s="2236">
        <f t="shared" ref="Q51:Q56" si="21">P51-O51</f>
        <v>0</v>
      </c>
      <c r="U51" s="2221">
        <f>IFERROR(MIN(MAX($E51,$F51)*$L51,$P31*(44/12)*((MIN($E51,$F51)*MIN($K51,time))+IF($G51="immediate",IF($F51&gt;$E51,$F51*MIN($K51,time),0),IF($E51&gt;$F51,($E51-$F51)*IF(time&gt;$K51,IF($G51="linear",time-((time-$K51)^2)/(2*time),(0.215*time)-(time/4.6)*(EXP(-92.1/time)-0.01)),time*(1-VLOOKUP($G51,list!$E$35:$F$37,2,))),($F51-$E51)*IF(time&gt;time+$K51,$K51,IF(time&lt;$K51,(time*VLOOKUP($G51,list!$E$35:$F$37,2,))+(time-time),((MIN($K51,time))))))))),0)</f>
        <v>0</v>
      </c>
      <c r="V51" s="2221">
        <f>IFERROR(MIN(MAX($E51,$H51)*$L51,$P31*(44/12)*((MIN($E51,$H51)*MIN($K51,time))+IF($I51="immediate",IF($H51&gt;$E51,$H51*MIN($K51,time),0),IF($E51&gt;$H51,($E51-$H51)*IF(time&gt;$K51,IF($I51="linear",time-((time-$K51)^2)/(2*time),(0.215*time)-(time/4.6)*(EXP(-92.1/time)-0.01)),time*(1-VLOOKUP($I51,list!$E$35:$F$37,2,))),($H51-$E51)*IF(time&gt;time+$K51,$K51,IF(time&lt;$K51,(time*VLOOKUP($I51,list!$E$35:$F$37,2,))+(time-time),((MIN($K51,time))))))))),0)</f>
        <v>0</v>
      </c>
    </row>
    <row r="52" spans="1:29" x14ac:dyDescent="0.15">
      <c r="B52" s="2188" t="str">
        <f t="shared" si="17"/>
        <v>Please select</v>
      </c>
      <c r="C52" s="2188" t="str">
        <f t="shared" si="17"/>
        <v>Mineral</v>
      </c>
      <c r="E52" s="1661">
        <v>0</v>
      </c>
      <c r="F52" s="1661">
        <f t="shared" si="18"/>
        <v>0</v>
      </c>
      <c r="G52" s="1661" t="str">
        <f t="shared" si="18"/>
        <v>Linear</v>
      </c>
      <c r="H52" s="1661">
        <f t="shared" si="18"/>
        <v>0</v>
      </c>
      <c r="I52" s="1661" t="str">
        <f t="shared" si="18"/>
        <v>Linear</v>
      </c>
      <c r="K52" s="2241">
        <f t="shared" si="19"/>
        <v>1000</v>
      </c>
      <c r="L52" s="2242">
        <f t="shared" si="20"/>
        <v>0</v>
      </c>
      <c r="O52" s="2222">
        <f>MIN(MAX($E52,$F52)*$L52,$O32*(44/12)*((MIN($E52,$F52)*MIN($K52,time_tot))+IF($G52="immediate",IF($F52&gt;$E52,$F52*MIN($K52,time_tot),0),IF($E52&gt;$F52,($E52-$F52)*IF(time&gt;$K52,IF($G52="linear",time-((time-$K52)^2)/(2*time),(0.215*time)-(time/4.6)*(EXP(-92.1/time)-0.01)),time*(1-VLOOKUP($G52,list!$J$48:$K$50,2,))),($F52-$E52)*IF(time_tot&gt;time+$K52,$K52,IF(time_tot&lt;$K52,(time*VLOOKUP($G52,list!$J$48:$K$50,2,))+(time_tot-time),((MIN($K52,time)))))))))</f>
        <v>0</v>
      </c>
      <c r="P52" s="2225">
        <f>MIN(MAX($E52,$H52)*$L52,$O32*(44/12)*((MIN($E52,$H52)*MIN($K52,time_tot))+IF($I52="immediate",IF($H52&gt;$E52,$H52*MIN($K52,time_tot),0),IF($E52&gt;$H52,($E52-$H52)*IF(time&gt;$K52,IF($I52="linear",time-((time-$K52)^2)/(2*time),(0.215*time)-(time/4.6)*(EXP(-92.1/time)-0.01)),time*(1-VLOOKUP($I52,list!$J$48:$K$50,2,))),($H52-$E52)*IF(time_tot&gt;time+$K52,$K52,IF(time_tot&lt;$K52,(time*VLOOKUP($I52,list!$J$48:$K$50,2,))+(time_tot-time),((MIN($K52,time)))))))))</f>
        <v>0</v>
      </c>
      <c r="Q52" s="2236">
        <f t="shared" si="21"/>
        <v>0</v>
      </c>
      <c r="U52" s="2221">
        <f>IFERROR(MIN(MAX($E52,$F52)*$L52,$P32*(44/12)*((MIN($E52,$F52)*MIN($K52,time))+IF($G52="immediate",IF($F52&gt;$E52,$F52*MIN($K52,time),0),IF($E52&gt;$F52,($E52-$F52)*IF(time&gt;$K52,IF($G52="linear",time-((time-$K52)^2)/(2*time),(0.215*time)-(time/4.6)*(EXP(-92.1/time)-0.01)),time*(1-VLOOKUP($G52,list!$E$35:$F$37,2,))),($F52-$E52)*IF(time&gt;time+$K52,$K52,IF(time&lt;$K52,(time*VLOOKUP($G52,list!$E$35:$F$37,2,))+(time-time),((MIN($K52,time))))))))),0)</f>
        <v>0</v>
      </c>
      <c r="V52" s="2221">
        <f>IFERROR(MIN(MAX($E52,$H52)*$L52,$P32*(44/12)*((MIN($E52,$H52)*MIN($K52,time))+IF($I52="immediate",IF($H52&gt;$E52,$H52*MIN($K52,time),0),IF($E52&gt;$H52,($E52-$H52)*IF(time&gt;$K52,IF($I52="linear",time-((time-$K52)^2)/(2*time),(0.215*time)-(time/4.6)*(EXP(-92.1/time)-0.01)),time*(1-VLOOKUP($I52,list!$E$35:$F$37,2,))),($H52-$E52)*IF(time&gt;time+$K52,$K52,IF(time&lt;$K52,(time*VLOOKUP($I52,list!$E$35:$F$37,2,))+(time-time),((MIN($K52,time))))))))),0)</f>
        <v>0</v>
      </c>
    </row>
    <row r="53" spans="1:29" x14ac:dyDescent="0.15">
      <c r="B53" s="2188" t="str">
        <f t="shared" si="17"/>
        <v>Please select</v>
      </c>
      <c r="C53" s="2188" t="str">
        <f t="shared" si="17"/>
        <v>Mineral</v>
      </c>
      <c r="E53" s="1661">
        <v>0</v>
      </c>
      <c r="F53" s="1661">
        <f t="shared" si="18"/>
        <v>0</v>
      </c>
      <c r="G53" s="1661" t="str">
        <f t="shared" si="18"/>
        <v>Linear</v>
      </c>
      <c r="H53" s="1661">
        <f t="shared" si="18"/>
        <v>0</v>
      </c>
      <c r="I53" s="1661" t="str">
        <f t="shared" si="18"/>
        <v>Linear</v>
      </c>
      <c r="K53" s="2241">
        <f t="shared" si="19"/>
        <v>1000</v>
      </c>
      <c r="L53" s="2242">
        <f t="shared" si="20"/>
        <v>0</v>
      </c>
      <c r="O53" s="2222">
        <f>MIN(MAX($E53,$F53)*$L53,$O33*(44/12)*((MIN($E53,$F53)*MIN($K53,time_tot))+IF($G53="immediate",IF($F53&gt;$E53,$F53*MIN($K53,time_tot),0),IF($E53&gt;$F53,($E53-$F53)*IF(time&gt;$K53,IF($G53="linear",time-((time-$K53)^2)/(2*time),(0.215*time)-(time/4.6)*(EXP(-92.1/time)-0.01)),time*(1-VLOOKUP($G53,list!$J$48:$K$50,2,))),($F53-$E53)*IF(time_tot&gt;time+$K53,$K53,IF(time_tot&lt;$K53,(time*VLOOKUP($G53,list!$J$48:$K$50,2,))+(time_tot-time),((MIN($K53,time)))))))))</f>
        <v>0</v>
      </c>
      <c r="P53" s="2225">
        <f>MIN(MAX($E53,$H53)*$L53,$O33*(44/12)*((MIN($E53,$H53)*MIN($K53,time_tot))+IF($I53="immediate",IF($H53&gt;$E53,$H53*MIN($K53,time_tot),0),IF($E53&gt;$H53,($E53-$H53)*IF(time&gt;$K53,IF($I53="linear",time-((time-$K53)^2)/(2*time),(0.215*time)-(time/4.6)*(EXP(-92.1/time)-0.01)),time*(1-VLOOKUP($I53,list!$J$48:$K$50,2,))),($H53-$E53)*IF(time_tot&gt;time+$K53,$K53,IF(time_tot&lt;$K53,(time*VLOOKUP($I53,list!$J$48:$K$50,2,))+(time_tot-time),((MIN($K53,time)))))))))</f>
        <v>0</v>
      </c>
      <c r="Q53" s="2236">
        <f t="shared" si="21"/>
        <v>0</v>
      </c>
      <c r="U53" s="2221">
        <f>IFERROR(MIN(MAX($E53,$F53)*$L53,$P33*(44/12)*((MIN($E53,$F53)*MIN($K53,time))+IF($G53="immediate",IF($F53&gt;$E53,$F53*MIN($K53,time),0),IF($E53&gt;$F53,($E53-$F53)*IF(time&gt;$K53,IF($G53="linear",time-((time-$K53)^2)/(2*time),(0.215*time)-(time/4.6)*(EXP(-92.1/time)-0.01)),time*(1-VLOOKUP($G53,list!$E$35:$F$37,2,))),($F53-$E53)*IF(time&gt;time+$K53,$K53,IF(time&lt;$K53,(time*VLOOKUP($G53,list!$E$35:$F$37,2,))+(time-time),((MIN($K53,time))))))))),0)</f>
        <v>0</v>
      </c>
      <c r="V53" s="2221">
        <f>IFERROR(MIN(MAX($E53,$H53)*$L53,$P33*(44/12)*((MIN($E53,$H53)*MIN($K53,time))+IF($I53="immediate",IF($H53&gt;$E53,$H53*MIN($K53,time),0),IF($E53&gt;$H53,($E53-$H53)*IF(time&gt;$K53,IF($I53="linear",time-((time-$K53)^2)/(2*time),(0.215*time)-(time/4.6)*(EXP(-92.1/time)-0.01)),time*(1-VLOOKUP($I53,list!$E$35:$F$37,2,))),($H53-$E53)*IF(time&gt;time+$K53,$K53,IF(time&lt;$K53,(time*VLOOKUP($I53,list!$E$35:$F$37,2,))+(time-time),((MIN($K53,time))))))))),0)</f>
        <v>0</v>
      </c>
    </row>
    <row r="54" spans="1:29" x14ac:dyDescent="0.15">
      <c r="B54" s="2188" t="str">
        <f t="shared" si="17"/>
        <v>Please select</v>
      </c>
      <c r="C54" s="2188" t="str">
        <f t="shared" si="17"/>
        <v>Mineral</v>
      </c>
      <c r="E54" s="1661">
        <v>0</v>
      </c>
      <c r="F54" s="1661">
        <f t="shared" si="18"/>
        <v>0</v>
      </c>
      <c r="G54" s="1661" t="str">
        <f t="shared" si="18"/>
        <v>Linear</v>
      </c>
      <c r="H54" s="1661">
        <f t="shared" si="18"/>
        <v>0</v>
      </c>
      <c r="I54" s="1661" t="str">
        <f t="shared" si="18"/>
        <v>Linear</v>
      </c>
      <c r="K54" s="2241">
        <f t="shared" si="19"/>
        <v>1000</v>
      </c>
      <c r="L54" s="2242">
        <f t="shared" si="20"/>
        <v>0</v>
      </c>
      <c r="O54" s="2222">
        <f>MIN(MAX($E54,$F54)*$L54,$O34*(44/12)*((MIN($E54,$F54)*MIN($K54,time_tot))+IF($G54="immediate",IF($F54&gt;$E54,$F54*MIN($K54,time_tot),0),IF($E54&gt;$F54,($E54-$F54)*IF(time&gt;$K54,IF($G54="linear",time-((time-$K54)^2)/(2*time),(0.215*time)-(time/4.6)*(EXP(-92.1/time)-0.01)),time*(1-VLOOKUP($G54,list!$J$48:$K$50,2,))),($F54-$E54)*IF(time_tot&gt;time+$K54,$K54,IF(time_tot&lt;$K54,(time*VLOOKUP($G54,list!$J$48:$K$50,2,))+(time_tot-time),((MIN($K54,time)))))))))</f>
        <v>0</v>
      </c>
      <c r="P54" s="2225">
        <f>MIN(MAX($E54,$H54)*$L54,$O34*(44/12)*((MIN($E54,$H54)*MIN($K54,time_tot))+IF($I54="immediate",IF($H54&gt;$E54,$H54*MIN($K54,time_tot),0),IF($E54&gt;$H54,($E54-$H54)*IF(time&gt;$K54,IF($I54="linear",time-((time-$K54)^2)/(2*time),(0.215*time)-(time/4.6)*(EXP(-92.1/time)-0.01)),time*(1-VLOOKUP($I54,list!$J$48:$K$50,2,))),($H54-$E54)*IF(time_tot&gt;time+$K54,$K54,IF(time_tot&lt;$K54,(time*VLOOKUP($I54,list!$J$48:$K$50,2,))+(time_tot-time),((MIN($K54,time)))))))))</f>
        <v>0</v>
      </c>
      <c r="Q54" s="2236">
        <f t="shared" si="21"/>
        <v>0</v>
      </c>
      <c r="U54" s="2221">
        <f>IFERROR(MIN(MAX($E54,$F54)*$L54,$P34*(44/12)*((MIN($E54,$F54)*MIN($K54,time))+IF($G54="immediate",IF($F54&gt;$E54,$F54*MIN($K54,time),0),IF($E54&gt;$F54,($E54-$F54)*IF(time&gt;$K54,IF($G54="linear",time-((time-$K54)^2)/(2*time),(0.215*time)-(time/4.6)*(EXP(-92.1/time)-0.01)),time*(1-VLOOKUP($G54,list!$E$35:$F$37,2,))),($F54-$E54)*IF(time&gt;time+$K54,$K54,IF(time&lt;$K54,(time*VLOOKUP($G54,list!$E$35:$F$37,2,))+(time-time),((MIN($K54,time))))))))),0)</f>
        <v>0</v>
      </c>
      <c r="V54" s="2221">
        <f>IFERROR(MIN(MAX($E54,$H54)*$L54,$P34*(44/12)*((MIN($E54,$H54)*MIN($K54,time))+IF($I54="immediate",IF($H54&gt;$E54,$H54*MIN($K54,time),0),IF($E54&gt;$H54,($E54-$H54)*IF(time&gt;$K54,IF($I54="linear",time-((time-$K54)^2)/(2*time),(0.215*time)-(time/4.6)*(EXP(-92.1/time)-0.01)),time*(1-VLOOKUP($I54,list!$E$35:$F$37,2,))),($H54-$E54)*IF(time&gt;time+$K54,$K54,IF(time&lt;$K54,(time*VLOOKUP($I54,list!$E$35:$F$37,2,))+(time-time),((MIN($K54,time))))))))),0)</f>
        <v>0</v>
      </c>
    </row>
    <row r="55" spans="1:29" x14ac:dyDescent="0.15">
      <c r="B55" s="2188" t="str">
        <f t="shared" si="17"/>
        <v>Please select</v>
      </c>
      <c r="C55" s="2188" t="str">
        <f t="shared" si="17"/>
        <v>Mineral</v>
      </c>
      <c r="E55" s="1661">
        <v>0</v>
      </c>
      <c r="F55" s="1661">
        <f t="shared" si="18"/>
        <v>0</v>
      </c>
      <c r="G55" s="1661" t="str">
        <f t="shared" si="18"/>
        <v>Linear</v>
      </c>
      <c r="H55" s="1661">
        <f t="shared" si="18"/>
        <v>0</v>
      </c>
      <c r="I55" s="1661" t="str">
        <f t="shared" si="18"/>
        <v>Linear</v>
      </c>
      <c r="K55" s="2241">
        <f t="shared" si="19"/>
        <v>1000</v>
      </c>
      <c r="L55" s="2242">
        <f t="shared" si="20"/>
        <v>0</v>
      </c>
      <c r="O55" s="2222">
        <f>MIN(MAX($E55,$F55)*$L55,$O35*(44/12)*((MIN($E55,$F55)*MIN($K55,time_tot))+IF($G55="immediate",IF($F55&gt;$E55,$F55*MIN($K55,time_tot),0),IF($E55&gt;$F55,($E55-$F55)*IF(time&gt;$K55,IF($G55="linear",time-((time-$K55)^2)/(2*time),(0.215*time)-(time/4.6)*(EXP(-92.1/time)-0.01)),time*(1-VLOOKUP($G55,list!$J$48:$K$50,2,))),($F55-$E55)*IF(time_tot&gt;time+$K55,$K55,IF(time_tot&lt;$K55,(time*VLOOKUP($G55,list!$J$48:$K$50,2,))+(time_tot-time),((MIN($K55,time)))))))))</f>
        <v>0</v>
      </c>
      <c r="P55" s="2225">
        <f>MIN(MAX($E55,$H55)*$L55,$O35*(44/12)*((MIN($E55,$H55)*MIN($K55,time_tot))+IF($I55="immediate",IF($H55&gt;$E55,$H55*MIN($K55,time_tot),0),IF($E55&gt;$H55,($E55-$H55)*IF(time&gt;$K55,IF($I55="linear",time-((time-$K55)^2)/(2*time),(0.215*time)-(time/4.6)*(EXP(-92.1/time)-0.01)),time*(1-VLOOKUP($I55,list!$J$48:$K$50,2,))),($H55-$E55)*IF(time_tot&gt;time+$K55,$K55,IF(time_tot&lt;$K55,(time*VLOOKUP($I55,list!$J$48:$K$50,2,))+(time_tot-time),((MIN($K55,time)))))))))</f>
        <v>0</v>
      </c>
      <c r="Q55" s="2236">
        <f t="shared" si="21"/>
        <v>0</v>
      </c>
      <c r="U55" s="2221">
        <f>IFERROR(MIN(MAX($E55,$F55)*$L55,$P35*(44/12)*((MIN($E55,$F55)*MIN($K55,time))+IF($G55="immediate",IF($F55&gt;$E55,$F55*MIN($K55,time),0),IF($E55&gt;$F55,($E55-$F55)*IF(time&gt;$K55,IF($G55="linear",time-((time-$K55)^2)/(2*time),(0.215*time)-(time/4.6)*(EXP(-92.1/time)-0.01)),time*(1-VLOOKUP($G55,list!$E$35:$F$37,2,))),($F55-$E55)*IF(time&gt;time+$K55,$K55,IF(time&lt;$K55,(time*VLOOKUP($G55,list!$E$35:$F$37,2,))+(time-time),((MIN($K55,time))))))))),0)</f>
        <v>0</v>
      </c>
      <c r="V55" s="2221">
        <f>IFERROR(MIN(MAX($E55,$H55)*$L55,$P35*(44/12)*((MIN($E55,$H55)*MIN($K55,time))+IF($I55="immediate",IF($H55&gt;$E55,$H55*MIN($K55,time),0),IF($E55&gt;$H55,($E55-$H55)*IF(time&gt;$K55,IF($I55="linear",time-((time-$K55)^2)/(2*time),(0.215*time)-(time/4.6)*(EXP(-92.1/time)-0.01)),time*(1-VLOOKUP($I55,list!$E$35:$F$37,2,))),($H55-$E55)*IF(time&gt;time+$K55,$K55,IF(time&lt;$K55,(time*VLOOKUP($I55,list!$E$35:$F$37,2,))+(time-time),((MIN($K55,time))))))))),0)</f>
        <v>0</v>
      </c>
    </row>
    <row r="56" spans="1:29" x14ac:dyDescent="0.15">
      <c r="B56" s="2188" t="str">
        <f t="shared" si="17"/>
        <v>Please select</v>
      </c>
      <c r="C56" s="2188" t="str">
        <f t="shared" si="17"/>
        <v>Mineral</v>
      </c>
      <c r="E56" s="1661">
        <v>0</v>
      </c>
      <c r="F56" s="1661">
        <f t="shared" si="18"/>
        <v>0</v>
      </c>
      <c r="G56" s="1661" t="str">
        <f t="shared" si="18"/>
        <v>Linear</v>
      </c>
      <c r="H56" s="1661">
        <f t="shared" si="18"/>
        <v>0</v>
      </c>
      <c r="I56" s="1661" t="str">
        <f t="shared" si="18"/>
        <v>Linear</v>
      </c>
      <c r="K56" s="2243">
        <f t="shared" si="19"/>
        <v>1000</v>
      </c>
      <c r="L56" s="2244">
        <f t="shared" si="20"/>
        <v>0</v>
      </c>
      <c r="O56" s="2228">
        <f>MIN(MAX($E56,$F56)*$L56,$O36*(44/12)*((MIN($E56,$F56)*MIN($K56,time_tot))+IF($G56="immediate",IF($F56&gt;$E56,$F56*MIN($K56,time_tot),0),IF($E56&gt;$F56,($E56-$F56)*IF(time&gt;$K56,IF($G56="linear",time-((time-$K56)^2)/(2*time),(0.215*time)-(time/4.6)*(EXP(-92.1/time)-0.01)),time*(1-VLOOKUP($G56,list!$J$48:$K$50,2,))),($F56-$E56)*IF(time_tot&gt;time+$K56,$K56,IF(time_tot&lt;$K56,(time*VLOOKUP($G56,list!$J$48:$K$50,2,))+(time_tot-time),((MIN($K56,time)))))))))</f>
        <v>0</v>
      </c>
      <c r="P56" s="2231">
        <f>MIN(MAX($E56,$H56)*$L56,$O36*(44/12)*((MIN($E56,$H56)*MIN($K56,time_tot))+IF($I56="immediate",IF($H56&gt;$E56,$H56*MIN($K56,time_tot),0),IF($E56&gt;$H56,($E56-$H56)*IF(time&gt;$K56,IF($I56="linear",time-((time-$K56)^2)/(2*time),(0.215*time)-(time/4.6)*(EXP(-92.1/time)-0.01)),time*(1-VLOOKUP($I56,list!$J$48:$K$50,2,))),($H56-$E56)*IF(time_tot&gt;time+$K56,$K56,IF(time_tot&lt;$K56,(time*VLOOKUP($I56,list!$J$48:$K$50,2,))+(time_tot-time),((MIN($K56,time)))))))))</f>
        <v>0</v>
      </c>
      <c r="Q56" s="2236">
        <f t="shared" si="21"/>
        <v>0</v>
      </c>
      <c r="U56" s="2221">
        <f>IFERROR(MIN(MAX($E56,$F56)*$L56,$P36*(44/12)*((MIN($E56,$F56)*MIN($K56,time))+IF($G56="immediate",IF($F56&gt;$E56,$F56*MIN($K56,time),0),IF($E56&gt;$F56,($E56-$F56)*IF(time&gt;$K56,IF($G56="linear",time-((time-$K56)^2)/(2*time),(0.215*time)-(time/4.6)*(EXP(-92.1/time)-0.01)),time*(1-VLOOKUP($G56,list!$E$35:$F$37,2,))),($F56-$E56)*IF(time&gt;time+$K56,$K56,IF(time&lt;$K56,(time*VLOOKUP($G56,list!$E$35:$F$37,2,))+(time-time),((MIN($K56,time))))))))),0)</f>
        <v>0</v>
      </c>
      <c r="V56" s="2221">
        <f>IFERROR(MIN(MAX($E56,$H56)*$L56,$P36*(44/12)*((MIN($E56,$H56)*MIN($K56,time))+IF($I56="immediate",IF($H56&gt;$E56,$H56*MIN($K56,time),0),IF($E56&gt;$H56,($E56-$H56)*IF(time&gt;$K56,IF($I56="linear",time-((time-$K56)^2)/(2*time),(0.215*time)-(time/4.6)*(EXP(-92.1/time)-0.01)),time*(1-VLOOKUP($I56,list!$E$35:$F$37,2,))),($H56-$E56)*IF(time&gt;time+$K56,$K56,IF(time&lt;$K56,(time*VLOOKUP($I56,list!$E$35:$F$37,2,))+(time-time),((MIN($K56,time))))))))),0)</f>
        <v>0</v>
      </c>
    </row>
    <row r="59" spans="1:29" x14ac:dyDescent="0.15">
      <c r="L59" s="2234"/>
      <c r="M59" s="2234"/>
      <c r="N59" s="2235" t="s">
        <v>2297</v>
      </c>
      <c r="O59" s="2236">
        <f>SUM(O51:O56,O41:O46)</f>
        <v>4526.041666666667</v>
      </c>
      <c r="P59" s="2236">
        <f>SUM(P51:P56,P41:P46)</f>
        <v>4526.041666666667</v>
      </c>
      <c r="Q59" s="2236">
        <f>SUM(Q51:Q56,Q41:Q46)</f>
        <v>0</v>
      </c>
    </row>
    <row r="62" spans="1:29" ht="45" customHeight="1" x14ac:dyDescent="0.15">
      <c r="A62" s="2187"/>
      <c r="B62" s="2260" t="s">
        <v>2298</v>
      </c>
      <c r="C62" s="2187"/>
      <c r="D62" s="2187"/>
      <c r="E62" s="2187"/>
      <c r="F62" s="2187"/>
      <c r="G62" s="2187"/>
      <c r="H62" s="2187"/>
      <c r="I62" s="2187"/>
      <c r="J62" s="2187"/>
      <c r="K62" s="2187"/>
      <c r="L62" s="2187"/>
      <c r="M62" s="2187"/>
      <c r="N62" s="2187"/>
      <c r="O62" s="2187"/>
      <c r="P62" s="2187"/>
      <c r="Q62" s="2187"/>
      <c r="R62" s="2187"/>
      <c r="S62" s="2187"/>
      <c r="T62" s="2187"/>
      <c r="U62" s="2187"/>
      <c r="V62" s="2187"/>
      <c r="W62" s="2187"/>
      <c r="X62" s="2187"/>
      <c r="Y62" s="2187"/>
      <c r="Z62" s="2187"/>
      <c r="AA62" s="2187"/>
      <c r="AB62" s="2187"/>
      <c r="AC62" s="2187"/>
    </row>
    <row r="63" spans="1:29" x14ac:dyDescent="0.15">
      <c r="U63" s="2189" t="s">
        <v>860</v>
      </c>
      <c r="V63" s="2190"/>
      <c r="W63" s="2190"/>
      <c r="Z63" s="2189" t="s">
        <v>861</v>
      </c>
      <c r="AA63" s="2190"/>
      <c r="AB63" s="2190"/>
      <c r="AC63" s="2190"/>
    </row>
    <row r="64" spans="1:29" x14ac:dyDescent="0.15">
      <c r="B64" s="2191" t="str">
        <f>'7.Coastal wetlands'!C44</f>
        <v xml:space="preserve">Type of vegetation </v>
      </c>
      <c r="C64" s="2191" t="s">
        <v>2279</v>
      </c>
      <c r="E64" s="2191" t="s">
        <v>2274</v>
      </c>
      <c r="F64" s="2191"/>
      <c r="G64" s="2191" t="s">
        <v>2275</v>
      </c>
      <c r="H64" s="2191"/>
      <c r="I64" s="2191" t="s">
        <v>2276</v>
      </c>
      <c r="J64" s="2191"/>
      <c r="K64" s="2191" t="s">
        <v>1035</v>
      </c>
      <c r="M64" s="2191" t="s">
        <v>2299</v>
      </c>
      <c r="O64" s="2191" t="s">
        <v>2300</v>
      </c>
    </row>
    <row r="65" spans="2:30" x14ac:dyDescent="0.15">
      <c r="E65" s="1661" t="s">
        <v>864</v>
      </c>
      <c r="F65" s="1661" t="s">
        <v>66</v>
      </c>
      <c r="G65" s="1661" t="s">
        <v>864</v>
      </c>
      <c r="H65" s="1661" t="s">
        <v>66</v>
      </c>
      <c r="I65" s="1661" t="s">
        <v>864</v>
      </c>
      <c r="J65" s="1661" t="s">
        <v>66</v>
      </c>
      <c r="K65" s="1661" t="s">
        <v>864</v>
      </c>
      <c r="L65" s="1661" t="s">
        <v>66</v>
      </c>
      <c r="M65" s="1661" t="s">
        <v>864</v>
      </c>
      <c r="N65" s="1661" t="s">
        <v>66</v>
      </c>
      <c r="O65" s="1661" t="s">
        <v>864</v>
      </c>
      <c r="P65" s="1661" t="s">
        <v>66</v>
      </c>
      <c r="U65" s="2192" t="s">
        <v>866</v>
      </c>
      <c r="V65" s="2193" t="s">
        <v>200</v>
      </c>
      <c r="W65" s="2193" t="s">
        <v>201</v>
      </c>
      <c r="X65" s="2193" t="s">
        <v>2280</v>
      </c>
      <c r="Z65" s="2192" t="s">
        <v>866</v>
      </c>
      <c r="AA65" s="2193" t="s">
        <v>324</v>
      </c>
      <c r="AB65" s="2193" t="s">
        <v>867</v>
      </c>
      <c r="AC65" s="2194" t="s">
        <v>868</v>
      </c>
    </row>
    <row r="66" spans="2:30" x14ac:dyDescent="0.15">
      <c r="B66" s="2188" t="str">
        <f>'7.Coastal wetlands'!C46</f>
        <v>Tidal marsh</v>
      </c>
      <c r="C66" s="2188" t="str">
        <f>'7.Coastal wetlands'!CC46</f>
        <v>&lt;18</v>
      </c>
      <c r="E66" s="2195">
        <f>IFERROR(INDEX(IPCC!$A$2093:$D$2104,MATCH(clim_moist,IPCC!$A$2093:$A$2104,0),MATCH(Coastal!$B66,IPCC!$A$2093:$D$2093,0)),0)*0.451</f>
        <v>0</v>
      </c>
      <c r="F66" s="2196">
        <f>IF('7.Coastal wetlands'!BU46="",'7.Coastal wetlands'!BT46,'7.Coastal wetlands'!BU46)</f>
        <v>0</v>
      </c>
      <c r="G66" s="2195">
        <f>IFERROR(INDEX(IPCC!$A$2111:$D$2122,MATCH(clim_moist,IPCC!$A$2111:$A$2122,0),MATCH(Coastal!$B66,IPCC!$A$2111:$D$2111,0)),0)*E66</f>
        <v>0</v>
      </c>
      <c r="H66" s="2196">
        <f>IF('7.Coastal wetlands'!BW46="",'7.Coastal wetlands'!BV46,'7.Coastal wetlands'!BW46)</f>
        <v>0</v>
      </c>
      <c r="I66" s="2195">
        <f>IFERROR(INDEX(IPCC!$A$2128:$D$2139,MATCH(clim_moist,IPCC!$A$2128:$A$2139,0),MATCH(Coastal!$B66,IPCC!$A$2128:$D$2128,0)),0)</f>
        <v>0</v>
      </c>
      <c r="J66" s="2196">
        <f>IF('7.Coastal wetlands'!BY46="",'7.Coastal wetlands'!BX46,'7.Coastal wetlands'!BY46)</f>
        <v>0</v>
      </c>
      <c r="K66" s="2195">
        <f>IFERROR(INDEX(IPCC!$A$2145:$D$2156,MATCH(clim_moist,IPCC!$A$2145:$A$2156,0),MATCH(Coastal!$B66,IPCC!$A$2145:$D$2145,0)),0)</f>
        <v>0</v>
      </c>
      <c r="L66" s="2196">
        <f>IF('7.Coastal wetlands'!CA46="",'7.Coastal wetlands'!BZ46,'7.Coastal wetlands'!CA46)</f>
        <v>0</v>
      </c>
      <c r="M66" s="2237">
        <f>IFERROR(INDEX(IPCC!$A$2230:$D$2241,MATCH(clim_moist,IPCC!$A$2230:$A$2241,0),MATCH(Coastal!$B66,IPCC!$A$2230:$D$2230,0)),0)</f>
        <v>-0.91</v>
      </c>
      <c r="N66" s="2238">
        <f>IF('7.Coastal wetlands'!CF46="",'7.Coastal wetlands'!CE46,'7.Coastal wetlands'!CF46)</f>
        <v>-0.91</v>
      </c>
      <c r="O66" s="2237">
        <f>IFERROR(IF(C66="&lt;18",INDEX(IPCC!$A$2247:$D$2258,MATCH(clim_moist,IPCC!$A$2247:$A$2258,0),MATCH(Coastal!$B66,IPCC!$A$2247:$D$2247,0)),0),0)</f>
        <v>193.7</v>
      </c>
      <c r="P66" s="2238">
        <f>IF('7.Coastal wetlands'!CJ46="",'7.Coastal wetlands'!CI46,'7.Coastal wetlands'!CJ46)</f>
        <v>193.7</v>
      </c>
      <c r="U66" s="2203" t="s">
        <v>2281</v>
      </c>
      <c r="V66" s="2204">
        <f>SUM($O$79:$O$84)</f>
        <v>0</v>
      </c>
      <c r="W66" s="2204">
        <f>SUM($P$79:$P$84)</f>
        <v>0</v>
      </c>
      <c r="X66" s="2204">
        <f>W66-V66</f>
        <v>0</v>
      </c>
      <c r="Z66" s="2203" t="str">
        <f>U66</f>
        <v>Total Biomass</v>
      </c>
      <c r="AA66" s="2204">
        <f>SUM(Q79:Q84)</f>
        <v>0</v>
      </c>
      <c r="AB66" s="2204">
        <f>IF(time=0,0,SUM(V79:V84)-SUM(U79:U84))</f>
        <v>0</v>
      </c>
      <c r="AC66" s="2206">
        <f>AA66-AB66</f>
        <v>0</v>
      </c>
    </row>
    <row r="67" spans="2:30" x14ac:dyDescent="0.15">
      <c r="B67" s="2188" t="str">
        <f>'7.Coastal wetlands'!C47</f>
        <v>Please select</v>
      </c>
      <c r="C67" s="2188" t="str">
        <f>'7.Coastal wetlands'!CC47</f>
        <v>&lt;18</v>
      </c>
      <c r="E67" s="2195">
        <f>IFERROR(INDEX(IPCC!$A$2093:$D$2104,MATCH(clim_moist,IPCC!$A$2093:$A$2104,0),MATCH(Coastal!$B67,IPCC!$A$2093:$D$2093,0)),0)*0.451</f>
        <v>0</v>
      </c>
      <c r="F67" s="2196">
        <f>IF('7.Coastal wetlands'!BU47="",'7.Coastal wetlands'!BT47,'7.Coastal wetlands'!BU47)</f>
        <v>0</v>
      </c>
      <c r="G67" s="2195">
        <f>IFERROR(INDEX(IPCC!$A$2111:$D$2122,MATCH(clim_moist,IPCC!$A$2111:$A$2122,0),MATCH(Coastal!$B67,IPCC!$A$2111:$D$2111,0)),0)*E67</f>
        <v>0</v>
      </c>
      <c r="H67" s="2196">
        <f>IF('7.Coastal wetlands'!BW47="",'7.Coastal wetlands'!BV47,'7.Coastal wetlands'!BW47)</f>
        <v>0</v>
      </c>
      <c r="I67" s="2195">
        <f>IFERROR(INDEX(IPCC!$A$2128:$D$2139,MATCH(clim_moist,IPCC!$A$2128:$A$2139,0),MATCH(Coastal!$B67,IPCC!$A$2128:$D$2128,0)),0)</f>
        <v>0</v>
      </c>
      <c r="J67" s="2196">
        <f>IF('7.Coastal wetlands'!BY47="",'7.Coastal wetlands'!BX47,'7.Coastal wetlands'!BY47)</f>
        <v>0</v>
      </c>
      <c r="K67" s="2195">
        <f>IFERROR(INDEX(IPCC!$A$2145:$D$2156,MATCH(clim_moist,IPCC!$A$2145:$A$2156,0),MATCH(Coastal!$B67,IPCC!$A$2145:$D$2145,0)),0)</f>
        <v>0</v>
      </c>
      <c r="L67" s="2196">
        <f>IF('7.Coastal wetlands'!CA47="",'7.Coastal wetlands'!BZ47,'7.Coastal wetlands'!CA47)</f>
        <v>0</v>
      </c>
      <c r="M67" s="2237">
        <f>IFERROR(INDEX(IPCC!$A$2230:$D$2241,MATCH(clim_moist,IPCC!$A$2230:$A$2241,0),MATCH(Coastal!$B67,IPCC!$A$2230:$D$2230,0)),0)</f>
        <v>0</v>
      </c>
      <c r="N67" s="2238">
        <f>IF('7.Coastal wetlands'!CF47="",'7.Coastal wetlands'!CE47,'7.Coastal wetlands'!CF47)</f>
        <v>0</v>
      </c>
      <c r="O67" s="2237">
        <f>IFERROR(IF(C67="&lt;18",INDEX(IPCC!$A$2247:$D$2258,MATCH(clim_moist,IPCC!$A$2247:$A$2258,0),MATCH(Coastal!$B67,IPCC!$A$2247:$D$2247,0)),0),0)</f>
        <v>0</v>
      </c>
      <c r="P67" s="2238">
        <f>IF('7.Coastal wetlands'!CJ47="",'7.Coastal wetlands'!CI47,'7.Coastal wetlands'!CJ47)</f>
        <v>0</v>
      </c>
      <c r="U67" s="2203" t="s">
        <v>2301</v>
      </c>
      <c r="V67" s="2204">
        <f>SUM(O89:O94)</f>
        <v>-417.08333333333331</v>
      </c>
      <c r="W67" s="2204">
        <f>SUM(P89:P94)</f>
        <v>-417.08333333333331</v>
      </c>
      <c r="X67" s="2204">
        <f>W67-V67</f>
        <v>0</v>
      </c>
      <c r="Z67" s="2203" t="str">
        <f>U67</f>
        <v>Total Soil CO2</v>
      </c>
      <c r="AA67" s="2204">
        <f>SUM(Q89:Q94)</f>
        <v>0</v>
      </c>
      <c r="AB67" s="2204">
        <f>IF(time=0,0,SUM(V89:V94)-SUM(U89:U94))</f>
        <v>0</v>
      </c>
      <c r="AC67" s="2206">
        <f>AA67-AB67</f>
        <v>0</v>
      </c>
    </row>
    <row r="68" spans="2:30" x14ac:dyDescent="0.15">
      <c r="B68" s="2188" t="str">
        <f>'7.Coastal wetlands'!C48</f>
        <v>Please select</v>
      </c>
      <c r="C68" s="2188" t="str">
        <f>'7.Coastal wetlands'!CC48</f>
        <v>&lt;18</v>
      </c>
      <c r="E68" s="2195">
        <f>IFERROR(INDEX(IPCC!$A$2093:$D$2104,MATCH(clim_moist,IPCC!$A$2093:$A$2104,0),MATCH(Coastal!$B68,IPCC!$A$2093:$D$2093,0)),0)*0.451</f>
        <v>0</v>
      </c>
      <c r="F68" s="2196">
        <f>IF('7.Coastal wetlands'!BU48="",'7.Coastal wetlands'!BT48,'7.Coastal wetlands'!BU48)</f>
        <v>0</v>
      </c>
      <c r="G68" s="2195">
        <f>IFERROR(INDEX(IPCC!$A$2111:$D$2122,MATCH(clim_moist,IPCC!$A$2111:$A$2122,0),MATCH(Coastal!$B68,IPCC!$A$2111:$D$2111,0)),0)*E68</f>
        <v>0</v>
      </c>
      <c r="H68" s="2196">
        <f>IF('7.Coastal wetlands'!BW48="",'7.Coastal wetlands'!BV48,'7.Coastal wetlands'!BW48)</f>
        <v>0</v>
      </c>
      <c r="I68" s="2195">
        <f>IFERROR(INDEX(IPCC!$A$2128:$D$2139,MATCH(clim_moist,IPCC!$A$2128:$A$2139,0),MATCH(Coastal!$B68,IPCC!$A$2128:$D$2128,0)),0)</f>
        <v>0</v>
      </c>
      <c r="J68" s="2196">
        <f>IF('7.Coastal wetlands'!BY48="",'7.Coastal wetlands'!BX48,'7.Coastal wetlands'!BY48)</f>
        <v>0</v>
      </c>
      <c r="K68" s="2195">
        <f>IFERROR(INDEX(IPCC!$A$2145:$D$2156,MATCH(clim_moist,IPCC!$A$2145:$A$2156,0),MATCH(Coastal!$B68,IPCC!$A$2145:$D$2145,0)),0)</f>
        <v>0</v>
      </c>
      <c r="L68" s="2196">
        <f>IF('7.Coastal wetlands'!CA48="",'7.Coastal wetlands'!BZ48,'7.Coastal wetlands'!CA48)</f>
        <v>0</v>
      </c>
      <c r="M68" s="2237">
        <f>IFERROR(INDEX(IPCC!$A$2230:$D$2241,MATCH(clim_moist,IPCC!$A$2230:$A$2241,0),MATCH(Coastal!$B68,IPCC!$A$2230:$D$2230,0)),0)</f>
        <v>0</v>
      </c>
      <c r="N68" s="2238">
        <f>IF('7.Coastal wetlands'!CF48="",'7.Coastal wetlands'!CE48,'7.Coastal wetlands'!CF48)</f>
        <v>0</v>
      </c>
      <c r="O68" s="2237">
        <f>IFERROR(IF(C68="&lt;18",INDEX(IPCC!$A$2247:$D$2258,MATCH(clim_moist,IPCC!$A$2247:$A$2258,0),MATCH(Coastal!$B68,IPCC!$A$2247:$D$2247,0)),0),0)</f>
        <v>0</v>
      </c>
      <c r="P68" s="2238">
        <f>IF('7.Coastal wetlands'!CJ48="",'7.Coastal wetlands'!CI48,'7.Coastal wetlands'!CJ48)</f>
        <v>0</v>
      </c>
      <c r="U68" s="2203" t="s">
        <v>2302</v>
      </c>
      <c r="V68" s="2204">
        <f>SUM(O100:O105)</f>
        <v>677.95</v>
      </c>
      <c r="W68" s="2204">
        <f>SUM(P100:P105)</f>
        <v>677.95</v>
      </c>
      <c r="X68" s="2204">
        <f>W68-V68</f>
        <v>0</v>
      </c>
      <c r="Z68" s="2203" t="str">
        <f>U68</f>
        <v>Total Soil CH4</v>
      </c>
      <c r="AA68" s="2204">
        <f>SUM(Q100:Q105)</f>
        <v>0</v>
      </c>
      <c r="AB68" s="2204">
        <f>IF(time=0,0,SUM(V100:V105)-SUM(U100:U105))</f>
        <v>0</v>
      </c>
      <c r="AC68" s="2206">
        <f>AA68-AB68</f>
        <v>0</v>
      </c>
    </row>
    <row r="69" spans="2:30" x14ac:dyDescent="0.15">
      <c r="B69" s="2188" t="str">
        <f>'7.Coastal wetlands'!C49</f>
        <v>Please select</v>
      </c>
      <c r="C69" s="2188" t="str">
        <f>'7.Coastal wetlands'!CC49</f>
        <v>&lt;18</v>
      </c>
      <c r="E69" s="2195">
        <f>IFERROR(INDEX(IPCC!$A$2093:$D$2104,MATCH(clim_moist,IPCC!$A$2093:$A$2104,0),MATCH(Coastal!$B69,IPCC!$A$2093:$D$2093,0)),0)*0.451</f>
        <v>0</v>
      </c>
      <c r="F69" s="2196">
        <f>IF('7.Coastal wetlands'!BU49="",'7.Coastal wetlands'!BT49,'7.Coastal wetlands'!BU49)</f>
        <v>0</v>
      </c>
      <c r="G69" s="2195">
        <f>IFERROR(INDEX(IPCC!$A$2111:$D$2122,MATCH(clim_moist,IPCC!$A$2111:$A$2122,0),MATCH(Coastal!$B69,IPCC!$A$2111:$D$2111,0)),0)*E69</f>
        <v>0</v>
      </c>
      <c r="H69" s="2196">
        <f>IF('7.Coastal wetlands'!BW49="",'7.Coastal wetlands'!BV49,'7.Coastal wetlands'!BW49)</f>
        <v>0</v>
      </c>
      <c r="I69" s="2195">
        <f>IFERROR(INDEX(IPCC!$A$2128:$D$2139,MATCH(clim_moist,IPCC!$A$2128:$A$2139,0),MATCH(Coastal!$B69,IPCC!$A$2128:$D$2128,0)),0)</f>
        <v>0</v>
      </c>
      <c r="J69" s="2196">
        <f>IF('7.Coastal wetlands'!BY49="",'7.Coastal wetlands'!BX49,'7.Coastal wetlands'!BY49)</f>
        <v>0</v>
      </c>
      <c r="K69" s="2195">
        <f>IFERROR(INDEX(IPCC!$A$2145:$D$2156,MATCH(clim_moist,IPCC!$A$2145:$A$2156,0),MATCH(Coastal!$B69,IPCC!$A$2145:$D$2145,0)),0)</f>
        <v>0</v>
      </c>
      <c r="L69" s="2196">
        <f>IF('7.Coastal wetlands'!CA49="",'7.Coastal wetlands'!BZ49,'7.Coastal wetlands'!CA49)</f>
        <v>0</v>
      </c>
      <c r="M69" s="2237">
        <f>IFERROR(INDEX(IPCC!$A$2230:$D$2241,MATCH(clim_moist,IPCC!$A$2230:$A$2241,0),MATCH(Coastal!$B69,IPCC!$A$2230:$D$2230,0)),0)</f>
        <v>0</v>
      </c>
      <c r="N69" s="2238">
        <f>IF('7.Coastal wetlands'!CF49="",'7.Coastal wetlands'!CE49,'7.Coastal wetlands'!CF49)</f>
        <v>0</v>
      </c>
      <c r="O69" s="2237">
        <f>IFERROR(IF(C69="&lt;18",INDEX(IPCC!$A$2247:$D$2258,MATCH(clim_moist,IPCC!$A$2247:$A$2258,0),MATCH(Coastal!$B69,IPCC!$A$2247:$D$2247,0)),0),0)</f>
        <v>0</v>
      </c>
      <c r="P69" s="2238">
        <f>IF('7.Coastal wetlands'!CJ49="",'7.Coastal wetlands'!CI49,'7.Coastal wetlands'!CJ49)</f>
        <v>0</v>
      </c>
      <c r="U69" s="2208" t="s">
        <v>871</v>
      </c>
      <c r="V69" s="2209">
        <f>SUM(V66:V68)</f>
        <v>260.86666666666673</v>
      </c>
      <c r="W69" s="2209">
        <f>SUM(W66:W68)</f>
        <v>260.86666666666673</v>
      </c>
      <c r="X69" s="2209">
        <f>W69-V69</f>
        <v>0</v>
      </c>
      <c r="Z69" s="2208" t="s">
        <v>871</v>
      </c>
      <c r="AA69" s="2210">
        <f>SUM(AA66:AA68)</f>
        <v>0</v>
      </c>
      <c r="AB69" s="2210">
        <f>SUM(AB66:AB68)</f>
        <v>0</v>
      </c>
      <c r="AC69" s="2210">
        <f>SUM(AC66:AC68)</f>
        <v>0</v>
      </c>
    </row>
    <row r="70" spans="2:30" x14ac:dyDescent="0.15">
      <c r="B70" s="2188" t="str">
        <f>'7.Coastal wetlands'!C50</f>
        <v>Please select</v>
      </c>
      <c r="C70" s="2188" t="str">
        <f>'7.Coastal wetlands'!CC50</f>
        <v>&lt;18</v>
      </c>
      <c r="E70" s="2195">
        <f>IFERROR(INDEX(IPCC!$A$2093:$D$2104,MATCH(clim_moist,IPCC!$A$2093:$A$2104,0),MATCH(Coastal!$B70,IPCC!$A$2093:$D$2093,0)),0)*0.451</f>
        <v>0</v>
      </c>
      <c r="F70" s="2196">
        <f>IF('7.Coastal wetlands'!BU50="",'7.Coastal wetlands'!BT50,'7.Coastal wetlands'!BU50)</f>
        <v>0</v>
      </c>
      <c r="G70" s="2195">
        <f>IFERROR(INDEX(IPCC!$A$2111:$D$2122,MATCH(clim_moist,IPCC!$A$2111:$A$2122,0),MATCH(Coastal!$B70,IPCC!$A$2111:$D$2111,0)),0)*E70</f>
        <v>0</v>
      </c>
      <c r="H70" s="2196">
        <f>IF('7.Coastal wetlands'!BW50="",'7.Coastal wetlands'!BV50,'7.Coastal wetlands'!BW50)</f>
        <v>0</v>
      </c>
      <c r="I70" s="2195">
        <f>IFERROR(INDEX(IPCC!$A$2128:$D$2139,MATCH(clim_moist,IPCC!$A$2128:$A$2139,0),MATCH(Coastal!$B70,IPCC!$A$2128:$D$2128,0)),0)</f>
        <v>0</v>
      </c>
      <c r="J70" s="2196">
        <f>IF('7.Coastal wetlands'!BY50="",'7.Coastal wetlands'!BX50,'7.Coastal wetlands'!BY50)</f>
        <v>0</v>
      </c>
      <c r="K70" s="2195">
        <f>IFERROR(INDEX(IPCC!$A$2145:$D$2156,MATCH(clim_moist,IPCC!$A$2145:$A$2156,0),MATCH(Coastal!$B70,IPCC!$A$2145:$D$2145,0)),0)</f>
        <v>0</v>
      </c>
      <c r="L70" s="2196">
        <f>IF('7.Coastal wetlands'!CA50="",'7.Coastal wetlands'!BZ50,'7.Coastal wetlands'!CA50)</f>
        <v>0</v>
      </c>
      <c r="M70" s="2237">
        <f>IFERROR(INDEX(IPCC!$A$2230:$D$2241,MATCH(clim_moist,IPCC!$A$2230:$A$2241,0),MATCH(Coastal!$B70,IPCC!$A$2230:$D$2230,0)),0)</f>
        <v>0</v>
      </c>
      <c r="N70" s="2238">
        <f>IF('7.Coastal wetlands'!CF50="",'7.Coastal wetlands'!CE50,'7.Coastal wetlands'!CF50)</f>
        <v>0</v>
      </c>
      <c r="O70" s="2237">
        <f>IFERROR(IF(C70="&lt;18",INDEX(IPCC!$A$2247:$D$2258,MATCH(clim_moist,IPCC!$A$2247:$A$2258,0),MATCH(Coastal!$B70,IPCC!$A$2247:$D$2247,0)),0),0)</f>
        <v>0</v>
      </c>
      <c r="P70" s="2238">
        <f>IF('7.Coastal wetlands'!CJ50="",'7.Coastal wetlands'!CI50,'7.Coastal wetlands'!CJ50)</f>
        <v>0</v>
      </c>
    </row>
    <row r="71" spans="2:30" x14ac:dyDescent="0.15">
      <c r="B71" s="2188" t="str">
        <f>'7.Coastal wetlands'!C51</f>
        <v>Please select</v>
      </c>
      <c r="C71" s="2188" t="str">
        <f>'7.Coastal wetlands'!CC51</f>
        <v>&lt;18</v>
      </c>
      <c r="E71" s="2195">
        <f>IFERROR(INDEX(IPCC!$A$2093:$D$2104,MATCH(clim_moist,IPCC!$A$2093:$A$2104,0),MATCH(Coastal!$B71,IPCC!$A$2093:$D$2093,0)),0)*0.451</f>
        <v>0</v>
      </c>
      <c r="F71" s="2196">
        <f>IF('7.Coastal wetlands'!BU51="",'7.Coastal wetlands'!BT51,'7.Coastal wetlands'!BU51)</f>
        <v>0</v>
      </c>
      <c r="G71" s="2195">
        <f>IFERROR(INDEX(IPCC!$A$2111:$D$2122,MATCH(clim_moist,IPCC!$A$2111:$A$2122,0),MATCH(Coastal!$B71,IPCC!$A$2111:$D$2111,0)),0)*E71</f>
        <v>0</v>
      </c>
      <c r="H71" s="2196">
        <f>IF('7.Coastal wetlands'!BW51="",'7.Coastal wetlands'!BV51,'7.Coastal wetlands'!BW51)</f>
        <v>0</v>
      </c>
      <c r="I71" s="2195">
        <f>IFERROR(INDEX(IPCC!$A$2128:$D$2139,MATCH(clim_moist,IPCC!$A$2128:$A$2139,0),MATCH(Coastal!$B71,IPCC!$A$2128:$D$2128,0)),0)</f>
        <v>0</v>
      </c>
      <c r="J71" s="2196">
        <f>IF('7.Coastal wetlands'!BY51="",'7.Coastal wetlands'!BX51,'7.Coastal wetlands'!BY51)</f>
        <v>0</v>
      </c>
      <c r="K71" s="2195">
        <f>IFERROR(INDEX(IPCC!$A$2145:$D$2156,MATCH(clim_moist,IPCC!$A$2145:$A$2156,0),MATCH(Coastal!$B71,IPCC!$A$2145:$D$2145,0)),0)</f>
        <v>0</v>
      </c>
      <c r="L71" s="2196">
        <f>IF('7.Coastal wetlands'!CA51="",'7.Coastal wetlands'!BZ51,'7.Coastal wetlands'!CA51)</f>
        <v>0</v>
      </c>
      <c r="M71" s="2237">
        <f>IFERROR(INDEX(IPCC!$A$2230:$D$2241,MATCH(clim_moist,IPCC!$A$2230:$A$2241,0),MATCH(Coastal!$B71,IPCC!$A$2230:$D$2230,0)),0)</f>
        <v>0</v>
      </c>
      <c r="N71" s="2238">
        <f>IF('7.Coastal wetlands'!CF51="",'7.Coastal wetlands'!CE51,'7.Coastal wetlands'!CF51)</f>
        <v>0</v>
      </c>
      <c r="O71" s="2237">
        <f>IFERROR(IF(C71="&lt;18",INDEX(IPCC!$A$2247:$D$2258,MATCH(clim_moist,IPCC!$A$2247:$A$2258,0),MATCH(Coastal!$B71,IPCC!$A$2247:$D$2247,0)),0),0)</f>
        <v>0</v>
      </c>
      <c r="P71" s="2238">
        <f>IF('7.Coastal wetlands'!CJ51="",'7.Coastal wetlands'!CI51,'7.Coastal wetlands'!CJ51)</f>
        <v>0</v>
      </c>
    </row>
    <row r="72" spans="2:30" ht="15" x14ac:dyDescent="0.15">
      <c r="AA72" s="3126" t="s">
        <v>1684</v>
      </c>
      <c r="AB72" s="3126" t="s">
        <v>1689</v>
      </c>
      <c r="AC72" s="3126" t="s">
        <v>1693</v>
      </c>
    </row>
    <row r="73" spans="2:30" ht="15" x14ac:dyDescent="0.2">
      <c r="Z73" s="2201" t="s">
        <v>2283</v>
      </c>
      <c r="AA73" s="2202">
        <f>SUMIFS(Coastal!$E$17:$E$22,$B$17:$B$22,AA$72,$C$17:$C$22,$AD73)</f>
        <v>0</v>
      </c>
      <c r="AB73" s="2202">
        <f>SUMIFS(Coastal!$E$17:$E$22,$B$17:$B$22,AB$72,$C$17:$C$22,$AD73)</f>
        <v>0</v>
      </c>
      <c r="AC73" s="2202">
        <f>SUMIFS(Coastal!$E$17:$E$22,$B$17:$B$22,AC$72,$C$17:$C$22,$AD73)</f>
        <v>0</v>
      </c>
      <c r="AD73" s="284" t="s">
        <v>1707</v>
      </c>
    </row>
    <row r="74" spans="2:30" ht="15" x14ac:dyDescent="0.2">
      <c r="Z74" s="2201" t="s">
        <v>2289</v>
      </c>
      <c r="AA74" s="2202">
        <f>SUMIFS(Coastal!$E$17:$E$22,$B$17:$B$22,AA$72,$C$17:$C$22,$AD74)</f>
        <v>0</v>
      </c>
      <c r="AB74" s="2202">
        <f>SUMIFS(Coastal!$E$17:$E$22,$B$17:$B$22,AB$72,$C$17:$C$22,$AD74)</f>
        <v>0</v>
      </c>
      <c r="AC74" s="2202"/>
      <c r="AD74" s="284" t="s">
        <v>1708</v>
      </c>
    </row>
    <row r="75" spans="2:30" ht="15" x14ac:dyDescent="0.2">
      <c r="Z75" s="2201" t="s">
        <v>2290</v>
      </c>
      <c r="AA75" s="2202">
        <f>SUMIFS(Coastal!$E$17:$E$22,$B$17:$B$22,AA$72,$C$17:$C$22,$AD75)</f>
        <v>0</v>
      </c>
      <c r="AB75" s="2202">
        <f>SUMIFS(Coastal!$E$17:$E$22,$B$17:$B$22,AB$72,$C$17:$C$22,$AD75)</f>
        <v>0</v>
      </c>
      <c r="AC75" s="2202"/>
      <c r="AD75" s="284" t="s">
        <v>1709</v>
      </c>
    </row>
    <row r="76" spans="2:30" x14ac:dyDescent="0.15">
      <c r="D76" s="2189" t="s">
        <v>323</v>
      </c>
      <c r="E76" s="2189"/>
      <c r="F76" s="2189"/>
      <c r="G76" s="2190"/>
      <c r="H76" s="2190"/>
    </row>
    <row r="77" spans="2:30" x14ac:dyDescent="0.15">
      <c r="B77" s="2191" t="str">
        <f>B64</f>
        <v xml:space="preserve">Type of vegetation </v>
      </c>
      <c r="C77" s="2191" t="str">
        <f>C64</f>
        <v>Soil type</v>
      </c>
      <c r="D77" s="1661" t="str">
        <f>E50</f>
        <v>Start</v>
      </c>
      <c r="E77" s="1661" t="str">
        <f>F50</f>
        <v>Without</v>
      </c>
      <c r="F77" s="1661" t="str">
        <f>G50</f>
        <v>Rate</v>
      </c>
      <c r="G77" s="1661" t="str">
        <f>H50</f>
        <v>With</v>
      </c>
      <c r="H77" s="1661" t="str">
        <f>I50</f>
        <v>Rate</v>
      </c>
      <c r="K77" s="2191" t="s">
        <v>2303</v>
      </c>
      <c r="L77" s="2191"/>
      <c r="O77" s="2191" t="s">
        <v>2304</v>
      </c>
      <c r="U77" s="2188" t="s">
        <v>2288</v>
      </c>
    </row>
    <row r="78" spans="2:30" x14ac:dyDescent="0.15">
      <c r="B78" s="2191"/>
      <c r="C78" s="2191"/>
      <c r="K78" s="1661" t="s">
        <v>219</v>
      </c>
      <c r="L78" s="1661" t="s">
        <v>179</v>
      </c>
      <c r="M78" s="2188" t="s">
        <v>180</v>
      </c>
      <c r="O78" s="2211" t="s">
        <v>179</v>
      </c>
      <c r="P78" s="2212" t="s">
        <v>180</v>
      </c>
      <c r="Q78" s="2213" t="s">
        <v>376</v>
      </c>
      <c r="U78" s="2211" t="s">
        <v>179</v>
      </c>
      <c r="V78" s="2212" t="s">
        <v>180</v>
      </c>
    </row>
    <row r="79" spans="2:30" x14ac:dyDescent="0.15">
      <c r="B79" s="2188" t="str">
        <f t="shared" ref="B79:C84" si="22">B66</f>
        <v>Tidal marsh</v>
      </c>
      <c r="C79" s="2188" t="str">
        <f t="shared" si="22"/>
        <v>&lt;18</v>
      </c>
      <c r="D79" s="2221">
        <v>0</v>
      </c>
      <c r="E79" s="2221">
        <f>'7.Coastal wetlands'!H46</f>
        <v>10</v>
      </c>
      <c r="F79" s="1661" t="str">
        <f>VLOOKUP('7.Coastal wetlands'!I46, list!$I$48:$J$50,2,FALSE )</f>
        <v>Linear</v>
      </c>
      <c r="G79" s="2221">
        <f>'7.Coastal wetlands'!J46</f>
        <v>10</v>
      </c>
      <c r="H79" s="1661" t="str">
        <f>VLOOKUP('7.Coastal wetlands'!K46, list!$I$48:$J$50,2,FALSE )</f>
        <v>Linear</v>
      </c>
      <c r="K79" s="2214">
        <v>0</v>
      </c>
      <c r="L79" s="2214">
        <f t="shared" ref="L79:L84" si="23">SUM($F66,$H66,$J66,$L66)*$E79/20</f>
        <v>0</v>
      </c>
      <c r="M79" s="2214">
        <f t="shared" ref="M79:M84" si="24">SUM($F66,$H66,$J66,$L66)*$G79/20</f>
        <v>0</v>
      </c>
      <c r="O79" s="2214">
        <f>-44/12*(L79*IF(time_tot&gt;time+20,20,IF(time_tot&lt;20,(time*VLOOKUP($F79,list!$J$48:$K$50,2,))+(time_tot-time),((MIN(20,time)*VLOOKUP($F79,list!$J$48:$K$50,2,))+(time_tot-MIN(20,time))-IF($F79="exponential",time_tot-20+0.217*time*(EXP(4.606*(20-time_tot)/time)-1),((time_tot-20)^2)*(0.5/time))))))*'7.Coastal wetlands'!P46</f>
        <v>0</v>
      </c>
      <c r="P79" s="2214">
        <f>-44/12*(M79*IF(time_tot&gt;time+20,20,IF(time_tot&lt;20,(time*VLOOKUP($H79,list!$J$48:$K$50,2,))+(time_tot-time),((MIN(20,time)*VLOOKUP($H79,list!$J$48:$K$50,2,))+(time_tot-MIN(20,time))-IF($H79="exponential",time_tot-20+0.217*time*(EXP(4.606*(20-time_tot)/time)-1),((time_tot-20)^2)*(0.5/time))))))*'7.Coastal wetlands'!R46</f>
        <v>0</v>
      </c>
      <c r="Q79" s="2219">
        <f t="shared" ref="Q79:Q84" si="25">P79-O79</f>
        <v>0</v>
      </c>
      <c r="U79" s="2221">
        <f>-44/12*(L79*IF(time&gt;20,20,IF(time&lt;20,(time*VLOOKUP($F79,list!$J$48:$K$50,2,)),((MIN(20,time)*VLOOKUP($F79,list!$J$48:$K$50,2,))+(time-MIN(20,time))-IF($F79="exponential",time-20+0.217*time*(EXP(4.606*(20-time)/time)-1),((time-20)^2)*(0.5/time))))))</f>
        <v>0</v>
      </c>
      <c r="V79" s="2221">
        <f>-44/12*(M79*IF(time&gt;20,20,IF(time&lt;20,(time*VLOOKUP($H79,list!$J$48:$K$50,2,)),((MIN(20,time)*VLOOKUP($H79,list!$J$48:$K$50,2,))+(time-MIN(20,time))-IF($H79="exponential",time-20+0.217*time*(EXP(4.606*(20-time)/time)-1),((time-20)^2)*(0.5/time))))))</f>
        <v>0</v>
      </c>
    </row>
    <row r="80" spans="2:30" x14ac:dyDescent="0.15">
      <c r="B80" s="2188" t="str">
        <f t="shared" si="22"/>
        <v>Please select</v>
      </c>
      <c r="C80" s="2188" t="str">
        <f t="shared" si="22"/>
        <v>&lt;18</v>
      </c>
      <c r="D80" s="2221">
        <v>0</v>
      </c>
      <c r="E80" s="2221">
        <f>'7.Coastal wetlands'!H47</f>
        <v>0</v>
      </c>
      <c r="F80" s="1661" t="str">
        <f>VLOOKUP('7.Coastal wetlands'!I47, list!$I$48:$J$50,2,FALSE )</f>
        <v>Linear</v>
      </c>
      <c r="G80" s="2221">
        <f>'7.Coastal wetlands'!J47</f>
        <v>0</v>
      </c>
      <c r="H80" s="1661" t="str">
        <f>VLOOKUP('7.Coastal wetlands'!K47, list!$I$48:$J$50,2,FALSE )</f>
        <v>Linear</v>
      </c>
      <c r="K80" s="2214">
        <v>0</v>
      </c>
      <c r="L80" s="2214">
        <f t="shared" si="23"/>
        <v>0</v>
      </c>
      <c r="M80" s="2214">
        <f t="shared" si="24"/>
        <v>0</v>
      </c>
      <c r="O80" s="2214">
        <f>-44/12*(L80*IF(time_tot&gt;time+20,20,IF(time_tot&lt;20,(time*VLOOKUP($F80,list!$J$48:$K$50,2,))+(time_tot-time),((MIN(20,time)*VLOOKUP($F80,list!$J$48:$K$50,2,))+(time_tot-MIN(20,time))-IF($F80="exponential",time_tot-20+0.217*time*(EXP(4.606*(20-time_tot)/time)-1),((time_tot-20)^2)*(0.5/time))))))*'7.Coastal wetlands'!P47</f>
        <v>0</v>
      </c>
      <c r="P80" s="2214">
        <f>-44/12*(M80*IF(time_tot&gt;time+20,20,IF(time_tot&lt;20,(time*VLOOKUP($H80,list!$J$48:$K$50,2,))+(time_tot-time),((MIN(20,time)*VLOOKUP($H80,list!$J$48:$K$50,2,))+(time_tot-MIN(20,time))-IF($H80="exponential",time_tot-20+0.217*time*(EXP(4.606*(20-time_tot)/time)-1),((time_tot-20)^2)*(0.5/time))))))*'7.Coastal wetlands'!R47</f>
        <v>0</v>
      </c>
      <c r="Q80" s="2227">
        <f t="shared" si="25"/>
        <v>0</v>
      </c>
      <c r="U80" s="2221">
        <f>-44/12*(L80*IF(time&gt;20,20,IF(time&lt;20,(time*VLOOKUP($F80,list!$J$48:$K$50,2,)),((MIN(20,time)*VLOOKUP($F80,list!$J$48:$K$50,2,))+(time-MIN(20,time))-IF($F80="exponential",time-20+0.217*time*(EXP(4.606*(20-time)/time)-1),((time-20)^2)*(0.5/time))))))</f>
        <v>0</v>
      </c>
      <c r="V80" s="2221">
        <f>-44/12*(M80*IF(time&gt;20,20,IF(time&lt;20,(time*VLOOKUP($H80,list!$J$48:$K$50,2,)),((MIN(20,time)*VLOOKUP($H80,list!$J$48:$K$50,2,))+(time-MIN(20,time))-IF($H80="exponential",time-20+0.217*time*(EXP(4.606*(20-time)/time)-1),((time-20)^2)*(0.5/time))))))</f>
        <v>0</v>
      </c>
    </row>
    <row r="81" spans="2:22" x14ac:dyDescent="0.15">
      <c r="B81" s="2188" t="str">
        <f t="shared" si="22"/>
        <v>Please select</v>
      </c>
      <c r="C81" s="2188" t="str">
        <f t="shared" si="22"/>
        <v>&lt;18</v>
      </c>
      <c r="D81" s="2221">
        <v>0</v>
      </c>
      <c r="E81" s="2221">
        <f>'7.Coastal wetlands'!H48</f>
        <v>0</v>
      </c>
      <c r="F81" s="1661" t="str">
        <f>VLOOKUP('7.Coastal wetlands'!I48, list!$I$48:$J$50,2,FALSE )</f>
        <v>Linear</v>
      </c>
      <c r="G81" s="2221">
        <f>'7.Coastal wetlands'!J48</f>
        <v>0</v>
      </c>
      <c r="H81" s="1661" t="str">
        <f>VLOOKUP('7.Coastal wetlands'!K48, list!$I$48:$J$50,2,FALSE )</f>
        <v>Linear</v>
      </c>
      <c r="K81" s="2214">
        <v>0</v>
      </c>
      <c r="L81" s="2214">
        <f t="shared" si="23"/>
        <v>0</v>
      </c>
      <c r="M81" s="2214">
        <f t="shared" si="24"/>
        <v>0</v>
      </c>
      <c r="O81" s="2214">
        <f>-44/12*(L81*IF(time_tot&gt;time+20,20,IF(time_tot&lt;20,(time*VLOOKUP($F81,list!$J$48:$K$50,2,))+(time_tot-time),((MIN(20,time)*VLOOKUP($F81,list!$J$48:$K$50,2,))+(time_tot-MIN(20,time))-IF($F81="exponential",time_tot-20+0.217*time*(EXP(4.606*(20-time_tot)/time)-1),((time_tot-20)^2)*(0.5/time))))))*'7.Coastal wetlands'!P48</f>
        <v>0</v>
      </c>
      <c r="P81" s="2214">
        <f>-44/12*(M81*IF(time_tot&gt;time+20,20,IF(time_tot&lt;20,(time*VLOOKUP($H81,list!$J$48:$K$50,2,))+(time_tot-time),((MIN(20,time)*VLOOKUP($H81,list!$J$48:$K$50,2,))+(time_tot-MIN(20,time))-IF($H81="exponential",time_tot-20+0.217*time*(EXP(4.606*(20-time_tot)/time)-1),((time_tot-20)^2)*(0.5/time))))))*'7.Coastal wetlands'!R48</f>
        <v>0</v>
      </c>
      <c r="Q81" s="2227">
        <f t="shared" si="25"/>
        <v>0</v>
      </c>
      <c r="U81" s="2221">
        <f>-44/12*(L81*IF(time&gt;20,20,IF(time&lt;20,(time*VLOOKUP($F81,list!$J$48:$K$50,2,)),((MIN(20,time)*VLOOKUP($F81,list!$J$48:$K$50,2,))+(time-MIN(20,time))-IF($F81="exponential",time-20+0.217*time*(EXP(4.606*(20-time)/time)-1),((time-20)^2)*(0.5/time))))))</f>
        <v>0</v>
      </c>
      <c r="V81" s="2221">
        <f>-44/12*(M81*IF(time&gt;20,20,IF(time&lt;20,(time*VLOOKUP($H81,list!$J$48:$K$50,2,)),((MIN(20,time)*VLOOKUP($H81,list!$J$48:$K$50,2,))+(time-MIN(20,time))-IF($H81="exponential",time-20+0.217*time*(EXP(4.606*(20-time)/time)-1),((time-20)^2)*(0.5/time))))))</f>
        <v>0</v>
      </c>
    </row>
    <row r="82" spans="2:22" x14ac:dyDescent="0.15">
      <c r="B82" s="2188" t="str">
        <f t="shared" si="22"/>
        <v>Please select</v>
      </c>
      <c r="C82" s="2188" t="str">
        <f t="shared" si="22"/>
        <v>&lt;18</v>
      </c>
      <c r="D82" s="2221">
        <v>0</v>
      </c>
      <c r="E82" s="2221">
        <f>'7.Coastal wetlands'!H49</f>
        <v>0</v>
      </c>
      <c r="F82" s="1661" t="str">
        <f>VLOOKUP('7.Coastal wetlands'!I49, list!$I$48:$J$50,2,FALSE )</f>
        <v>Linear</v>
      </c>
      <c r="G82" s="2221">
        <f>'7.Coastal wetlands'!J49</f>
        <v>0</v>
      </c>
      <c r="H82" s="1661" t="str">
        <f>VLOOKUP('7.Coastal wetlands'!K49, list!$I$48:$J$50,2,FALSE )</f>
        <v>Linear</v>
      </c>
      <c r="K82" s="2214">
        <v>0</v>
      </c>
      <c r="L82" s="2214">
        <f t="shared" si="23"/>
        <v>0</v>
      </c>
      <c r="M82" s="2214">
        <f t="shared" si="24"/>
        <v>0</v>
      </c>
      <c r="O82" s="2214">
        <f>-44/12*(L82*IF(time_tot&gt;time+20,20,IF(time_tot&lt;20,(time*VLOOKUP($F82,list!$J$48:$K$50,2,))+(time_tot-time),((MIN(20,time)*VLOOKUP($F82,list!$J$48:$K$50,2,))+(time_tot-MIN(20,time))-IF($F82="exponential",time_tot-20+0.217*time*(EXP(4.606*(20-time_tot)/time)-1),((time_tot-20)^2)*(0.5/time))))))*'7.Coastal wetlands'!P49</f>
        <v>0</v>
      </c>
      <c r="P82" s="2214">
        <f>-44/12*(M82*IF(time_tot&gt;time+20,20,IF(time_tot&lt;20,(time*VLOOKUP($H82,list!$J$48:$K$50,2,))+(time_tot-time),((MIN(20,time)*VLOOKUP($H82,list!$J$48:$K$50,2,))+(time_tot-MIN(20,time))-IF($H82="exponential",time_tot-20+0.217*time*(EXP(4.606*(20-time_tot)/time)-1),((time_tot-20)^2)*(0.5/time))))))*'7.Coastal wetlands'!R49</f>
        <v>0</v>
      </c>
      <c r="Q82" s="2227">
        <f t="shared" si="25"/>
        <v>0</v>
      </c>
      <c r="U82" s="2221">
        <f>-44/12*(L82*IF(time&gt;20,20,IF(time&lt;20,(time*VLOOKUP($F82,list!$J$48:$K$50,2,)),((MIN(20,time)*VLOOKUP($F82,list!$J$48:$K$50,2,))+(time-MIN(20,time))-IF($F82="exponential",time-20+0.217*time*(EXP(4.606*(20-time)/time)-1),((time-20)^2)*(0.5/time))))))</f>
        <v>0</v>
      </c>
      <c r="V82" s="2221">
        <f>-44/12*(M82*IF(time&gt;20,20,IF(time&lt;20,(time*VLOOKUP($H82,list!$J$48:$K$50,2,)),((MIN(20,time)*VLOOKUP($H82,list!$J$48:$K$50,2,))+(time-MIN(20,time))-IF($H82="exponential",time-20+0.217*time*(EXP(4.606*(20-time)/time)-1),((time-20)^2)*(0.5/time))))))</f>
        <v>0</v>
      </c>
    </row>
    <row r="83" spans="2:22" x14ac:dyDescent="0.15">
      <c r="B83" s="2188" t="str">
        <f t="shared" si="22"/>
        <v>Please select</v>
      </c>
      <c r="C83" s="2188" t="str">
        <f t="shared" si="22"/>
        <v>&lt;18</v>
      </c>
      <c r="D83" s="2221">
        <v>0</v>
      </c>
      <c r="E83" s="2221">
        <f>'7.Coastal wetlands'!H50</f>
        <v>0</v>
      </c>
      <c r="F83" s="1661" t="str">
        <f>VLOOKUP('7.Coastal wetlands'!I50, list!$I$48:$J$50,2,FALSE )</f>
        <v>Linear</v>
      </c>
      <c r="G83" s="2221">
        <f>'7.Coastal wetlands'!J50</f>
        <v>0</v>
      </c>
      <c r="H83" s="1661" t="str">
        <f>VLOOKUP('7.Coastal wetlands'!K50, list!$I$48:$J$50,2,FALSE )</f>
        <v>Linear</v>
      </c>
      <c r="K83" s="2214">
        <v>0</v>
      </c>
      <c r="L83" s="2214">
        <f t="shared" si="23"/>
        <v>0</v>
      </c>
      <c r="M83" s="2214">
        <f t="shared" si="24"/>
        <v>0</v>
      </c>
      <c r="O83" s="2214">
        <f>-44/12*(L83*IF(time_tot&gt;time+20,20,IF(time_tot&lt;20,(time*VLOOKUP($F83,list!$J$48:$K$50,2,))+(time_tot-time),((MIN(20,time)*VLOOKUP($F83,list!$J$48:$K$50,2,))+(time_tot-MIN(20,time))-IF($F83="exponential",time_tot-20+0.217*time*(EXP(4.606*(20-time_tot)/time)-1),((time_tot-20)^2)*(0.5/time))))))*'7.Coastal wetlands'!P50</f>
        <v>0</v>
      </c>
      <c r="P83" s="2214">
        <f>-44/12*(M83*IF(time_tot&gt;time+20,20,IF(time_tot&lt;20,(time*VLOOKUP($H83,list!$J$48:$K$50,2,))+(time_tot-time),((MIN(20,time)*VLOOKUP($H83,list!$J$48:$K$50,2,))+(time_tot-MIN(20,time))-IF($H83="exponential",time_tot-20+0.217*time*(EXP(4.606*(20-time_tot)/time)-1),((time_tot-20)^2)*(0.5/time))))))*'7.Coastal wetlands'!R50</f>
        <v>0</v>
      </c>
      <c r="Q83" s="2227">
        <f t="shared" si="25"/>
        <v>0</v>
      </c>
      <c r="U83" s="2221">
        <f>-44/12*(L83*IF(time&gt;20,20,IF(time&lt;20,(time*VLOOKUP($F83,list!$J$48:$K$50,2,)),((MIN(20,time)*VLOOKUP($F83,list!$J$48:$K$50,2,))+(time-MIN(20,time))-IF($F83="exponential",time-20+0.217*time*(EXP(4.606*(20-time)/time)-1),((time-20)^2)*(0.5/time))))))</f>
        <v>0</v>
      </c>
      <c r="V83" s="2221">
        <f>-44/12*(M83*IF(time&gt;20,20,IF(time&lt;20,(time*VLOOKUP($H83,list!$J$48:$K$50,2,)),((MIN(20,time)*VLOOKUP($H83,list!$J$48:$K$50,2,))+(time-MIN(20,time))-IF($H83="exponential",time-20+0.217*time*(EXP(4.606*(20-time)/time)-1),((time-20)^2)*(0.5/time))))))</f>
        <v>0</v>
      </c>
    </row>
    <row r="84" spans="2:22" x14ac:dyDescent="0.15">
      <c r="B84" s="2188" t="str">
        <f t="shared" si="22"/>
        <v>Please select</v>
      </c>
      <c r="C84" s="2188" t="str">
        <f t="shared" si="22"/>
        <v>&lt;18</v>
      </c>
      <c r="D84" s="2221">
        <v>0</v>
      </c>
      <c r="E84" s="2221">
        <f>'7.Coastal wetlands'!H51</f>
        <v>0</v>
      </c>
      <c r="F84" s="1661" t="str">
        <f>VLOOKUP('7.Coastal wetlands'!I51, list!$I$48:$J$50,2,FALSE )</f>
        <v>Linear</v>
      </c>
      <c r="G84" s="2221">
        <f>'7.Coastal wetlands'!J51</f>
        <v>0</v>
      </c>
      <c r="H84" s="1661" t="str">
        <f>VLOOKUP('7.Coastal wetlands'!K51, list!$I$48:$J$50,2,FALSE )</f>
        <v>Linear</v>
      </c>
      <c r="K84" s="2214">
        <v>0</v>
      </c>
      <c r="L84" s="2214">
        <f t="shared" si="23"/>
        <v>0</v>
      </c>
      <c r="M84" s="2214">
        <f t="shared" si="24"/>
        <v>0</v>
      </c>
      <c r="O84" s="2214">
        <f>-44/12*(L84*IF(time_tot&gt;time+20,20,IF(time_tot&lt;20,(time*VLOOKUP($F84,list!$J$48:$K$50,2,))+(time_tot-time),((MIN(20,time)*VLOOKUP($F84,list!$J$48:$K$50,2,))+(time_tot-MIN(20,time))-IF($F84="exponential",time_tot-20+0.217*time*(EXP(4.606*(20-time_tot)/time)-1),((time_tot-20)^2)*(0.5/time))))))*'7.Coastal wetlands'!P51</f>
        <v>0</v>
      </c>
      <c r="P84" s="2214">
        <f>-44/12*(M84*IF(time_tot&gt;time+20,20,IF(time_tot&lt;20,(time*VLOOKUP($H84,list!$J$48:$K$50,2,))+(time_tot-time),((MIN(20,time)*VLOOKUP($H84,list!$J$48:$K$50,2,))+(time_tot-MIN(20,time))-IF($H84="exponential",time_tot-20+0.217*time*(EXP(4.606*(20-time_tot)/time)-1),((time_tot-20)^2)*(0.5/time))))))*'7.Coastal wetlands'!R51</f>
        <v>0</v>
      </c>
      <c r="Q84" s="2233">
        <f t="shared" si="25"/>
        <v>0</v>
      </c>
      <c r="U84" s="2221">
        <f>-44/12*(L84*IF(time&gt;20,20,IF(time&lt;20,(time*VLOOKUP($F84,list!$J$48:$K$50,2,)),((MIN(20,time)*VLOOKUP($F84,list!$J$48:$K$50,2,))+(time-MIN(20,time))-IF($F84="exponential",time-20+0.217*time*(EXP(4.606*(20-time)/time)-1),((time-20)^2)*(0.5/time))))))</f>
        <v>0</v>
      </c>
      <c r="V84" s="2221">
        <f>-44/12*(M84*IF(time&gt;20,20,IF(time&lt;20,(time*VLOOKUP($H84,list!$J$48:$K$50,2,)),((MIN(20,time)*VLOOKUP($H84,list!$J$48:$K$50,2,))+(time-MIN(20,time))-IF($H84="exponential",time-20+0.217*time*(EXP(4.606*(20-time)/time)-1),((time-20)^2)*(0.5/time))))))</f>
        <v>0</v>
      </c>
    </row>
    <row r="86" spans="2:22" x14ac:dyDescent="0.15">
      <c r="D86" s="2189" t="s">
        <v>323</v>
      </c>
      <c r="E86" s="2190"/>
      <c r="F86" s="2189"/>
      <c r="G86" s="2189"/>
      <c r="H86" s="2190"/>
    </row>
    <row r="87" spans="2:22" x14ac:dyDescent="0.15">
      <c r="B87" s="2191" t="str">
        <f t="shared" ref="B87:H87" si="26">B77</f>
        <v xml:space="preserve">Type of vegetation </v>
      </c>
      <c r="C87" s="2191" t="str">
        <f t="shared" si="26"/>
        <v>Soil type</v>
      </c>
      <c r="D87" s="1661" t="str">
        <f t="shared" si="26"/>
        <v>Start</v>
      </c>
      <c r="E87" s="1661" t="str">
        <f t="shared" si="26"/>
        <v>Without</v>
      </c>
      <c r="F87" s="1661" t="str">
        <f t="shared" si="26"/>
        <v>Rate</v>
      </c>
      <c r="G87" s="1661" t="str">
        <f t="shared" si="26"/>
        <v>With</v>
      </c>
      <c r="H87" s="1661" t="str">
        <f t="shared" si="26"/>
        <v>Rate</v>
      </c>
      <c r="I87" s="1661"/>
      <c r="K87" s="2191" t="s">
        <v>2305</v>
      </c>
      <c r="M87" s="1661"/>
      <c r="O87" s="2191" t="s">
        <v>2306</v>
      </c>
      <c r="U87" s="2188" t="s">
        <v>2288</v>
      </c>
    </row>
    <row r="88" spans="2:22" x14ac:dyDescent="0.15">
      <c r="E88" s="1661"/>
      <c r="F88" s="1661"/>
      <c r="G88" s="1661"/>
      <c r="H88" s="1661"/>
      <c r="I88" s="1661"/>
      <c r="K88" s="2188" t="s">
        <v>219</v>
      </c>
      <c r="L88" s="1661" t="s">
        <v>179</v>
      </c>
      <c r="M88" s="1661" t="s">
        <v>180</v>
      </c>
      <c r="O88" s="2211" t="s">
        <v>179</v>
      </c>
      <c r="P88" s="2212" t="s">
        <v>180</v>
      </c>
      <c r="Q88" s="2213" t="s">
        <v>376</v>
      </c>
      <c r="U88" s="2211" t="s">
        <v>179</v>
      </c>
      <c r="V88" s="2212" t="s">
        <v>180</v>
      </c>
    </row>
    <row r="89" spans="2:22" x14ac:dyDescent="0.15">
      <c r="B89" s="2188" t="str">
        <f t="shared" ref="B89:C94" si="27">B79</f>
        <v>Tidal marsh</v>
      </c>
      <c r="C89" s="2188" t="str">
        <f t="shared" si="27"/>
        <v>&lt;18</v>
      </c>
      <c r="D89" s="2221">
        <v>0</v>
      </c>
      <c r="E89" s="2221">
        <f t="shared" ref="E89:H94" si="28">E79</f>
        <v>10</v>
      </c>
      <c r="F89" s="2221" t="str">
        <f t="shared" si="28"/>
        <v>Linear</v>
      </c>
      <c r="G89" s="2221">
        <f t="shared" si="28"/>
        <v>10</v>
      </c>
      <c r="H89" s="2221" t="str">
        <f t="shared" si="28"/>
        <v>Linear</v>
      </c>
      <c r="I89" s="1661"/>
      <c r="K89" s="2214">
        <v>0</v>
      </c>
      <c r="L89" s="2214">
        <f t="shared" ref="L89:L94" si="29">$E89*$N66</f>
        <v>-9.1</v>
      </c>
      <c r="M89" s="2214">
        <f t="shared" ref="M89:M94" si="30">$G89*$N66</f>
        <v>-9.1</v>
      </c>
      <c r="O89" s="2214">
        <f>44/12*(L89*IF(time_tot&gt;time+20,20,IF(time_tot&lt;20,(time*VLOOKUP($F89,list!$J$48:$K$50,2,))+(time_tot-time),((MIN(20,time)*VLOOKUP($F89,list!$J$48:$K$50,2,))+(time_tot-MIN(20,time))-IF($F89="exponential",time_tot-20+0.217*time*(EXP(4.606*(20-time_tot)/time)-1),((time_tot-20)^2)*(0.5/time))))))</f>
        <v>-417.08333333333331</v>
      </c>
      <c r="P89" s="2214">
        <f>44/12*(M89*IF(time_tot&gt;time+20,20,IF(time_tot&lt;20,(time*VLOOKUP($H89,list!$J$48:$K$50,2,))+(time_tot-time),((MIN(20,time)*VLOOKUP($H89,list!$J$48:$K$50,2,))+(time_tot-MIN(20,time))-IF($H89="exponential",time_tot-20+0.217*time*(EXP(4.606*(20-time_tot)/time)-1),((time_tot-20)^2)*(0.5/time))))))</f>
        <v>-417.08333333333331</v>
      </c>
      <c r="Q89" s="2219">
        <f t="shared" ref="Q89:Q94" si="31">P89-O89</f>
        <v>0</v>
      </c>
      <c r="U89" s="2221">
        <f>44/12*(L89*IF(time&gt;20,20,IF(time&lt;20,(time*VLOOKUP($F89,list!$J$48:$K$50,2,)),((MIN(20,time)*VLOOKUP($F89,list!$J$48:$K$50,2,))+(time-MIN(20,time))-IF($F89="exponential",time-20+0.217*time*(EXP(4.606*(20-time)/time)-1),((time-20)^2)*(0.5/time))))))</f>
        <v>-83.416666666666657</v>
      </c>
      <c r="V89" s="2221">
        <f>44/12*(M89*IF(time&gt;20,20,IF(time&lt;20,(time*VLOOKUP($H89,list!$J$48:$K$50,2,)),((MIN(20,time)*VLOOKUP($H89,list!$J$48:$K$50,2,))+(time-MIN(20,time))-IF($H89="exponential",time-20+0.217*time*(EXP(4.606*(20-time)/time)-1),((time-20)^2)*(0.5/time))))))</f>
        <v>-83.416666666666657</v>
      </c>
    </row>
    <row r="90" spans="2:22" x14ac:dyDescent="0.15">
      <c r="B90" s="2188" t="str">
        <f t="shared" si="27"/>
        <v>Please select</v>
      </c>
      <c r="C90" s="2188" t="str">
        <f t="shared" si="27"/>
        <v>&lt;18</v>
      </c>
      <c r="D90" s="2221">
        <v>0</v>
      </c>
      <c r="E90" s="2221">
        <f t="shared" si="28"/>
        <v>0</v>
      </c>
      <c r="F90" s="2221" t="str">
        <f t="shared" si="28"/>
        <v>Linear</v>
      </c>
      <c r="G90" s="2221">
        <f t="shared" si="28"/>
        <v>0</v>
      </c>
      <c r="H90" s="2221" t="str">
        <f t="shared" si="28"/>
        <v>Linear</v>
      </c>
      <c r="I90" s="1661"/>
      <c r="K90" s="2214">
        <v>0</v>
      </c>
      <c r="L90" s="2214">
        <f t="shared" si="29"/>
        <v>0</v>
      </c>
      <c r="M90" s="2214">
        <f t="shared" si="30"/>
        <v>0</v>
      </c>
      <c r="O90" s="2214">
        <f>44/12*(L90*IF(time_tot&gt;time+20,20,IF(time_tot&lt;20,(time*VLOOKUP($F90,list!$J$48:$K$50,2,))+(time_tot-time),((MIN(20,time)*VLOOKUP($F90,list!$J$48:$K$50,2,))+(time_tot-MIN(20,time))-IF($F90="exponential",time_tot-20+0.217*time*(EXP(4.606*(20-time_tot)/time)-1),((time_tot-20)^2)*(0.5/time))))))</f>
        <v>0</v>
      </c>
      <c r="P90" s="2214">
        <f>44/12*(M90*IF(time_tot&gt;time+20,20,IF(time_tot&lt;20,(time*VLOOKUP($H90,list!$J$48:$K$50,2,))+(time_tot-time),((MIN(20,time)*VLOOKUP($H90,list!$J$48:$K$50,2,))+(time_tot-MIN(20,time))-IF($H90="exponential",time_tot-20+0.217*time*(EXP(4.606*(20-time_tot)/time)-1),((time_tot-20)^2)*(0.5/time))))))</f>
        <v>0</v>
      </c>
      <c r="Q90" s="2227">
        <f t="shared" si="31"/>
        <v>0</v>
      </c>
      <c r="U90" s="2221">
        <f>44/12*(L90*IF(time&gt;20,20,IF(time&lt;20,(time*VLOOKUP($F90,list!$J$48:$K$50,2,)),((MIN(20,time)*VLOOKUP($F90,list!$J$48:$K$50,2,))+(time-MIN(20,time))-IF($F90="exponential",time-20+0.217*time*(EXP(4.606*(20-time)/time)-1),((time-20)^2)*(0.5/time))))))</f>
        <v>0</v>
      </c>
      <c r="V90" s="2221">
        <f>44/12*(M90*IF(time&gt;20,20,IF(time&lt;20,(time*VLOOKUP($H90,list!$J$48:$K$50,2,)),((MIN(20,time)*VLOOKUP($H90,list!$J$48:$K$50,2,))+(time-MIN(20,time))-IF($H90="exponential",time-20+0.217*time*(EXP(4.606*(20-time)/time)-1),((time-20)^2)*(0.5/time))))))</f>
        <v>0</v>
      </c>
    </row>
    <row r="91" spans="2:22" x14ac:dyDescent="0.15">
      <c r="B91" s="2188" t="str">
        <f t="shared" si="27"/>
        <v>Please select</v>
      </c>
      <c r="C91" s="2188" t="str">
        <f t="shared" si="27"/>
        <v>&lt;18</v>
      </c>
      <c r="D91" s="2221">
        <v>0</v>
      </c>
      <c r="E91" s="2221">
        <f t="shared" si="28"/>
        <v>0</v>
      </c>
      <c r="F91" s="2221" t="str">
        <f t="shared" si="28"/>
        <v>Linear</v>
      </c>
      <c r="G91" s="2221">
        <f t="shared" si="28"/>
        <v>0</v>
      </c>
      <c r="H91" s="2221" t="str">
        <f t="shared" si="28"/>
        <v>Linear</v>
      </c>
      <c r="I91" s="1661"/>
      <c r="K91" s="2214">
        <v>0</v>
      </c>
      <c r="L91" s="2214">
        <f t="shared" si="29"/>
        <v>0</v>
      </c>
      <c r="M91" s="2214">
        <f t="shared" si="30"/>
        <v>0</v>
      </c>
      <c r="O91" s="2214">
        <f>44/12*(L91*IF(time_tot&gt;time+20,20,IF(time_tot&lt;20,(time*VLOOKUP($F91,list!$J$48:$K$50,2,))+(time_tot-time),((MIN(20,time)*VLOOKUP($F91,list!$J$48:$K$50,2,))+(time_tot-MIN(20,time))-IF($F91="exponential",time_tot-20+0.217*time*(EXP(4.606*(20-time_tot)/time)-1),((time_tot-20)^2)*(0.5/time))))))</f>
        <v>0</v>
      </c>
      <c r="P91" s="2214">
        <f>44/12*(M91*IF(time_tot&gt;time+20,20,IF(time_tot&lt;20,(time*VLOOKUP($H91,list!$J$48:$K$50,2,))+(time_tot-time),((MIN(20,time)*VLOOKUP($H91,list!$J$48:$K$50,2,))+(time_tot-MIN(20,time))-IF($H91="exponential",time_tot-20+0.217*time*(EXP(4.606*(20-time_tot)/time)-1),((time_tot-20)^2)*(0.5/time))))))</f>
        <v>0</v>
      </c>
      <c r="Q91" s="2227">
        <f t="shared" si="31"/>
        <v>0</v>
      </c>
      <c r="U91" s="2221">
        <f>44/12*(L91*IF(time&gt;20,20,IF(time&lt;20,(time*VLOOKUP($F91,list!$J$48:$K$50,2,)),((MIN(20,time)*VLOOKUP($F91,list!$J$48:$K$50,2,))+(time-MIN(20,time))-IF($F91="exponential",time-20+0.217*time*(EXP(4.606*(20-time)/time)-1),((time-20)^2)*(0.5/time))))))</f>
        <v>0</v>
      </c>
      <c r="V91" s="2221">
        <f>44/12*(M91*IF(time&gt;20,20,IF(time&lt;20,(time*VLOOKUP($H91,list!$J$48:$K$50,2,)),((MIN(20,time)*VLOOKUP($H91,list!$J$48:$K$50,2,))+(time-MIN(20,time))-IF($H91="exponential",time-20+0.217*time*(EXP(4.606*(20-time)/time)-1),((time-20)^2)*(0.5/time))))))</f>
        <v>0</v>
      </c>
    </row>
    <row r="92" spans="2:22" x14ac:dyDescent="0.15">
      <c r="B92" s="2188" t="str">
        <f t="shared" si="27"/>
        <v>Please select</v>
      </c>
      <c r="C92" s="2188" t="str">
        <f t="shared" si="27"/>
        <v>&lt;18</v>
      </c>
      <c r="D92" s="2221">
        <v>0</v>
      </c>
      <c r="E92" s="2221">
        <f t="shared" si="28"/>
        <v>0</v>
      </c>
      <c r="F92" s="2221" t="str">
        <f t="shared" si="28"/>
        <v>Linear</v>
      </c>
      <c r="G92" s="2221">
        <f t="shared" si="28"/>
        <v>0</v>
      </c>
      <c r="H92" s="2221" t="str">
        <f t="shared" si="28"/>
        <v>Linear</v>
      </c>
      <c r="I92" s="1661"/>
      <c r="K92" s="2214">
        <v>0</v>
      </c>
      <c r="L92" s="2214">
        <f t="shared" si="29"/>
        <v>0</v>
      </c>
      <c r="M92" s="2214">
        <f t="shared" si="30"/>
        <v>0</v>
      </c>
      <c r="O92" s="2214">
        <f>44/12*(L92*IF(time_tot&gt;time+20,20,IF(time_tot&lt;20,(time*VLOOKUP($F92,list!$J$48:$K$50,2,))+(time_tot-time),((MIN(20,time)*VLOOKUP($F92,list!$J$48:$K$50,2,))+(time_tot-MIN(20,time))-IF($F92="exponential",time_tot-20+0.217*time*(EXP(4.606*(20-time_tot)/time)-1),((time_tot-20)^2)*(0.5/time))))))</f>
        <v>0</v>
      </c>
      <c r="P92" s="2214">
        <f>44/12*(M92*IF(time_tot&gt;time+20,20,IF(time_tot&lt;20,(time*VLOOKUP($H92,list!$J$48:$K$50,2,))+(time_tot-time),((MIN(20,time)*VLOOKUP($H92,list!$J$48:$K$50,2,))+(time_tot-MIN(20,time))-IF($H92="exponential",time_tot-20+0.217*time*(EXP(4.606*(20-time_tot)/time)-1),((time_tot-20)^2)*(0.5/time))))))</f>
        <v>0</v>
      </c>
      <c r="Q92" s="2227">
        <f t="shared" si="31"/>
        <v>0</v>
      </c>
      <c r="U92" s="2221">
        <f>44/12*(L92*IF(time&gt;20,20,IF(time&lt;20,(time*VLOOKUP($F92,list!$J$48:$K$50,2,)),((MIN(20,time)*VLOOKUP($F92,list!$J$48:$K$50,2,))+(time-MIN(20,time))-IF($F92="exponential",time-20+0.217*time*(EXP(4.606*(20-time)/time)-1),((time-20)^2)*(0.5/time))))))</f>
        <v>0</v>
      </c>
      <c r="V92" s="2221">
        <f>44/12*(M92*IF(time&gt;20,20,IF(time&lt;20,(time*VLOOKUP($H92,list!$J$48:$K$50,2,)),((MIN(20,time)*VLOOKUP($H92,list!$J$48:$K$50,2,))+(time-MIN(20,time))-IF($H92="exponential",time-20+0.217*time*(EXP(4.606*(20-time)/time)-1),((time-20)^2)*(0.5/time))))))</f>
        <v>0</v>
      </c>
    </row>
    <row r="93" spans="2:22" x14ac:dyDescent="0.15">
      <c r="B93" s="2188" t="str">
        <f t="shared" si="27"/>
        <v>Please select</v>
      </c>
      <c r="C93" s="2188" t="str">
        <f t="shared" si="27"/>
        <v>&lt;18</v>
      </c>
      <c r="D93" s="2221">
        <v>0</v>
      </c>
      <c r="E93" s="2221">
        <f t="shared" si="28"/>
        <v>0</v>
      </c>
      <c r="F93" s="2221" t="str">
        <f t="shared" si="28"/>
        <v>Linear</v>
      </c>
      <c r="G93" s="2221">
        <f t="shared" si="28"/>
        <v>0</v>
      </c>
      <c r="H93" s="2221" t="str">
        <f t="shared" si="28"/>
        <v>Linear</v>
      </c>
      <c r="I93" s="1661"/>
      <c r="K93" s="2214">
        <v>0</v>
      </c>
      <c r="L93" s="2214">
        <f t="shared" si="29"/>
        <v>0</v>
      </c>
      <c r="M93" s="2214">
        <f t="shared" si="30"/>
        <v>0</v>
      </c>
      <c r="O93" s="2214">
        <f>44/12*(L93*IF(time_tot&gt;time+20,20,IF(time_tot&lt;20,(time*VLOOKUP($F93,list!$J$48:$K$50,2,))+(time_tot-time),((MIN(20,time)*VLOOKUP($F93,list!$J$48:$K$50,2,))+(time_tot-MIN(20,time))-IF($F93="exponential",time_tot-20+0.217*time*(EXP(4.606*(20-time_tot)/time)-1),((time_tot-20)^2)*(0.5/time))))))</f>
        <v>0</v>
      </c>
      <c r="P93" s="2214">
        <f>44/12*(M93*IF(time_tot&gt;time+20,20,IF(time_tot&lt;20,(time*VLOOKUP($H93,list!$J$48:$K$50,2,))+(time_tot-time),((MIN(20,time)*VLOOKUP($H93,list!$J$48:$K$50,2,))+(time_tot-MIN(20,time))-IF($H93="exponential",time_tot-20+0.217*time*(EXP(4.606*(20-time_tot)/time)-1),((time_tot-20)^2)*(0.5/time))))))</f>
        <v>0</v>
      </c>
      <c r="Q93" s="2227">
        <f t="shared" si="31"/>
        <v>0</v>
      </c>
      <c r="U93" s="2221">
        <f>44/12*(L93*IF(time&gt;20,20,IF(time&lt;20,(time*VLOOKUP($F93,list!$J$48:$K$50,2,)),((MIN(20,time)*VLOOKUP($F93,list!$J$48:$K$50,2,))+(time-MIN(20,time))-IF($F93="exponential",time-20+0.217*time*(EXP(4.606*(20-time)/time)-1),((time-20)^2)*(0.5/time))))))</f>
        <v>0</v>
      </c>
      <c r="V93" s="2221">
        <f>44/12*(M93*IF(time&gt;20,20,IF(time&lt;20,(time*VLOOKUP($H93,list!$J$48:$K$50,2,)),((MIN(20,time)*VLOOKUP($H93,list!$J$48:$K$50,2,))+(time-MIN(20,time))-IF($H93="exponential",time-20+0.217*time*(EXP(4.606*(20-time)/time)-1),((time-20)^2)*(0.5/time))))))</f>
        <v>0</v>
      </c>
    </row>
    <row r="94" spans="2:22" x14ac:dyDescent="0.15">
      <c r="B94" s="2188" t="str">
        <f t="shared" si="27"/>
        <v>Please select</v>
      </c>
      <c r="C94" s="2188" t="str">
        <f t="shared" si="27"/>
        <v>&lt;18</v>
      </c>
      <c r="D94" s="2221">
        <v>0</v>
      </c>
      <c r="E94" s="2221">
        <f t="shared" si="28"/>
        <v>0</v>
      </c>
      <c r="F94" s="2221" t="str">
        <f t="shared" si="28"/>
        <v>Linear</v>
      </c>
      <c r="G94" s="2221">
        <f t="shared" si="28"/>
        <v>0</v>
      </c>
      <c r="H94" s="2221" t="str">
        <f t="shared" si="28"/>
        <v>Linear</v>
      </c>
      <c r="I94" s="1661"/>
      <c r="K94" s="2214">
        <v>0</v>
      </c>
      <c r="L94" s="2214">
        <f t="shared" si="29"/>
        <v>0</v>
      </c>
      <c r="M94" s="2214">
        <f t="shared" si="30"/>
        <v>0</v>
      </c>
      <c r="O94" s="2214">
        <f>44/12*(L94*IF(time_tot&gt;time+20,20,IF(time_tot&lt;20,(time*VLOOKUP($F94,list!$J$48:$K$50,2,))+(time_tot-time),((MIN(20,time)*VLOOKUP($F94,list!$J$48:$K$50,2,))+(time_tot-MIN(20,time))-IF($F94="exponential",time_tot-20+0.217*time*(EXP(4.606*(20-time_tot)/time)-1),((time_tot-20)^2)*(0.5/time))))))</f>
        <v>0</v>
      </c>
      <c r="P94" s="2214">
        <f>44/12*(M94*IF(time_tot&gt;time+20,20,IF(time_tot&lt;20,(time*VLOOKUP($H94,list!$J$48:$K$50,2,))+(time_tot-time),((MIN(20,time)*VLOOKUP($H94,list!$J$48:$K$50,2,))+(time_tot-MIN(20,time))-IF($H94="exponential",time_tot-20+0.217*time*(EXP(4.606*(20-time_tot)/time)-1),((time_tot-20)^2)*(0.5/time))))))</f>
        <v>0</v>
      </c>
      <c r="Q94" s="2233">
        <f t="shared" si="31"/>
        <v>0</v>
      </c>
      <c r="U94" s="2221">
        <f>44/12*(L94*IF(time&gt;20,20,IF(time&lt;20,(time*VLOOKUP($F94,list!$J$48:$K$50,2,)),((MIN(20,time)*VLOOKUP($F94,list!$J$48:$K$50,2,))+(time-MIN(20,time))-IF($F94="exponential",time-20+0.217*time*(EXP(4.606*(20-time)/time)-1),((time-20)^2)*(0.5/time))))))</f>
        <v>0</v>
      </c>
      <c r="V94" s="2221">
        <f>44/12*(M94*IF(time&gt;20,20,IF(time&lt;20,(time*VLOOKUP($H94,list!$J$48:$K$50,2,)),((MIN(20,time)*VLOOKUP($H94,list!$J$48:$K$50,2,))+(time-MIN(20,time))-IF($H94="exponential",time-20+0.217*time*(EXP(4.606*(20-time)/time)-1),((time-20)^2)*(0.5/time))))))</f>
        <v>0</v>
      </c>
    </row>
    <row r="97" spans="1:35" x14ac:dyDescent="0.15">
      <c r="D97" s="2189" t="s">
        <v>323</v>
      </c>
      <c r="E97" s="2190"/>
      <c r="F97" s="2189"/>
      <c r="G97" s="2189"/>
      <c r="H97" s="2190"/>
    </row>
    <row r="98" spans="1:35" x14ac:dyDescent="0.15">
      <c r="B98" s="2191" t="str">
        <f t="shared" ref="B98:H98" si="32">B87</f>
        <v xml:space="preserve">Type of vegetation </v>
      </c>
      <c r="C98" s="2191" t="str">
        <f t="shared" si="32"/>
        <v>Soil type</v>
      </c>
      <c r="D98" s="2191" t="str">
        <f t="shared" si="32"/>
        <v>Start</v>
      </c>
      <c r="E98" s="2191" t="str">
        <f t="shared" si="32"/>
        <v>Without</v>
      </c>
      <c r="F98" s="2191" t="str">
        <f t="shared" si="32"/>
        <v>Rate</v>
      </c>
      <c r="G98" s="2191" t="str">
        <f t="shared" si="32"/>
        <v>With</v>
      </c>
      <c r="H98" s="2191" t="str">
        <f t="shared" si="32"/>
        <v>Rate</v>
      </c>
      <c r="I98" s="1661"/>
      <c r="K98" s="2191" t="s">
        <v>2307</v>
      </c>
      <c r="M98" s="1661"/>
      <c r="O98" s="2191" t="s">
        <v>2306</v>
      </c>
      <c r="U98" s="2188" t="s">
        <v>2288</v>
      </c>
    </row>
    <row r="99" spans="1:35" x14ac:dyDescent="0.15">
      <c r="I99" s="1661"/>
      <c r="K99" s="2188" t="s">
        <v>219</v>
      </c>
      <c r="L99" s="1661" t="s">
        <v>179</v>
      </c>
      <c r="M99" s="1661" t="s">
        <v>180</v>
      </c>
      <c r="O99" s="2211" t="s">
        <v>179</v>
      </c>
      <c r="P99" s="2212" t="s">
        <v>180</v>
      </c>
      <c r="Q99" s="2213" t="s">
        <v>376</v>
      </c>
      <c r="U99" s="2211" t="s">
        <v>179</v>
      </c>
      <c r="V99" s="2212" t="s">
        <v>180</v>
      </c>
    </row>
    <row r="100" spans="1:35" x14ac:dyDescent="0.15">
      <c r="B100" s="2188" t="str">
        <f t="shared" ref="B100:H105" si="33">B89</f>
        <v>Tidal marsh</v>
      </c>
      <c r="C100" s="2188" t="str">
        <f t="shared" si="33"/>
        <v>&lt;18</v>
      </c>
      <c r="D100" s="1661">
        <f t="shared" si="33"/>
        <v>0</v>
      </c>
      <c r="E100" s="1661">
        <f t="shared" si="33"/>
        <v>10</v>
      </c>
      <c r="F100" s="1661" t="str">
        <f t="shared" si="33"/>
        <v>Linear</v>
      </c>
      <c r="G100" s="1661">
        <f t="shared" si="33"/>
        <v>10</v>
      </c>
      <c r="H100" s="1661" t="str">
        <f t="shared" si="33"/>
        <v>Linear</v>
      </c>
      <c r="I100" s="1661"/>
      <c r="K100" s="2214">
        <v>0</v>
      </c>
      <c r="L100" s="2214">
        <f t="shared" ref="L100:L105" si="34">$E100*$P66/1000</f>
        <v>1.9370000000000001</v>
      </c>
      <c r="M100" s="2214">
        <f t="shared" ref="M100:M105" si="35">$G100*$P66/1000</f>
        <v>1.9370000000000001</v>
      </c>
      <c r="O100" s="2214">
        <f>methane*(L100*IF(time_tot&gt;time+20,20,IF(time_tot&lt;20,(time*VLOOKUP($F100,list!$J$48:$K$50,2,))+(time_tot-time),((MIN(20,time)*VLOOKUP($F100,list!$J$48:$K$50,2,))+(time_tot-MIN(20,time))-IF($F100="exponential",time_tot-20+0.217*time*(EXP(4.606*(20-time_tot)/time)-1),((time_tot-20)^2)*(0.5/time))))))</f>
        <v>677.95</v>
      </c>
      <c r="P100" s="2214">
        <f>methane*(M100*IF(time_tot&gt;time+20,20,IF(time_tot&lt;20,(time*VLOOKUP($H100,list!$J$48:$K$50,2,))+(time_tot-time),((MIN(20,time)*VLOOKUP($H100,list!$J$48:$K$50,2,))+(time_tot-MIN(20,time))-IF($H100="exponential",time_tot-20+0.217*time*(EXP(4.606*(20-time_tot)/time)-1),((time_tot-20)^2)*(0.5/time))))))</f>
        <v>677.95</v>
      </c>
      <c r="Q100" s="2219">
        <f t="shared" ref="Q100:Q105" si="36">P100-O100</f>
        <v>0</v>
      </c>
      <c r="R100" s="2220"/>
      <c r="U100" s="2221">
        <f>methane*(L100*IF(time&gt;20,20,IF(time&lt;20,(time*VLOOKUP($F100,list!$J$48:$K$50,2,)),((MIN(20,time)*VLOOKUP($F100,list!$J$48:$K$50,2,))+(time-MIN(20,time))-IF($F100="exponential",time-20+0.217*time*(EXP(4.606*(20-time)/time)-1),((time-20)^2)*(0.5/time))))))</f>
        <v>135.59</v>
      </c>
      <c r="V100" s="2221">
        <f>methane*(M100*IF(time&gt;20,20,IF(time&lt;20,(time*VLOOKUP($H100,list!$J$48:$K$50,2,)),((MIN(20,time)*VLOOKUP($H100,list!$J$48:$K$50,2,))+(time-MIN(20,time))-IF($H100="exponential",time-20+0.217*time*(EXP(4.606*(20-time)/time)-1),((time-20)^2)*(0.5/time))))))</f>
        <v>135.59</v>
      </c>
    </row>
    <row r="101" spans="1:35" x14ac:dyDescent="0.15">
      <c r="B101" s="2188" t="str">
        <f t="shared" si="33"/>
        <v>Please select</v>
      </c>
      <c r="C101" s="2188" t="str">
        <f t="shared" si="33"/>
        <v>&lt;18</v>
      </c>
      <c r="D101" s="1661">
        <f t="shared" si="33"/>
        <v>0</v>
      </c>
      <c r="E101" s="1661">
        <f t="shared" si="33"/>
        <v>0</v>
      </c>
      <c r="F101" s="1661" t="str">
        <f t="shared" si="33"/>
        <v>Linear</v>
      </c>
      <c r="G101" s="1661">
        <f t="shared" si="33"/>
        <v>0</v>
      </c>
      <c r="H101" s="1661" t="str">
        <f t="shared" si="33"/>
        <v>Linear</v>
      </c>
      <c r="I101" s="1661"/>
      <c r="K101" s="2214">
        <v>0</v>
      </c>
      <c r="L101" s="2214">
        <f t="shared" si="34"/>
        <v>0</v>
      </c>
      <c r="M101" s="2214">
        <f t="shared" si="35"/>
        <v>0</v>
      </c>
      <c r="O101" s="2214">
        <f>methane*(L101*IF(time_tot&gt;time+20,20,IF(time_tot&lt;20,(time*VLOOKUP($F101,list!$J$48:$K$50,2,))+(time_tot-time),((MIN(20,time)*VLOOKUP($F101,list!$J$48:$K$50,2,))+(time_tot-MIN(20,time))-IF($F101="exponential",time_tot-20+0.217*time*(EXP(4.606*(20-time_tot)/time)-1),((time_tot-20)^2)*(0.5/time))))))</f>
        <v>0</v>
      </c>
      <c r="P101" s="2214">
        <f>methane*(M101*IF(time_tot&gt;time+20,20,IF(time_tot&lt;20,(time*VLOOKUP($H101,list!$J$48:$K$50,2,))+(time_tot-time),((MIN(20,time)*VLOOKUP($H101,list!$J$48:$K$50,2,))+(time_tot-MIN(20,time))-IF($H101="exponential",time_tot-20+0.217*time*(EXP(4.606*(20-time_tot)/time)-1),((time_tot-20)^2)*(0.5/time))))))</f>
        <v>0</v>
      </c>
      <c r="Q101" s="2227">
        <f t="shared" si="36"/>
        <v>0</v>
      </c>
      <c r="U101" s="2221">
        <f>methane*(L101*IF(time&gt;20,20,IF(time&lt;20,(time*VLOOKUP($F101,list!$J$48:$K$50,2,)),((MIN(20,time)*VLOOKUP($F101,list!$J$48:$K$50,2,))+(time-MIN(20,time))-IF($F101="exponential",time-20+0.217*time*(EXP(4.606*(20-time)/time)-1),((time-20)^2)*(0.5/time))))))</f>
        <v>0</v>
      </c>
      <c r="V101" s="2221">
        <f>methane*(M101*IF(time&gt;20,20,IF(time&lt;20,(time*VLOOKUP($H101,list!$J$48:$K$50,2,)),((MIN(20,time)*VLOOKUP($H101,list!$J$48:$K$50,2,))+(time-MIN(20,time))-IF($H101="exponential",time-20+0.217*time*(EXP(4.606*(20-time)/time)-1),((time-20)^2)*(0.5/time))))))</f>
        <v>0</v>
      </c>
    </row>
    <row r="102" spans="1:35" x14ac:dyDescent="0.15">
      <c r="B102" s="2188" t="str">
        <f t="shared" si="33"/>
        <v>Please select</v>
      </c>
      <c r="C102" s="2188" t="str">
        <f t="shared" si="33"/>
        <v>&lt;18</v>
      </c>
      <c r="D102" s="1661">
        <f t="shared" si="33"/>
        <v>0</v>
      </c>
      <c r="E102" s="1661">
        <f t="shared" si="33"/>
        <v>0</v>
      </c>
      <c r="F102" s="1661" t="str">
        <f t="shared" si="33"/>
        <v>Linear</v>
      </c>
      <c r="G102" s="1661">
        <f t="shared" si="33"/>
        <v>0</v>
      </c>
      <c r="H102" s="1661" t="str">
        <f t="shared" si="33"/>
        <v>Linear</v>
      </c>
      <c r="I102" s="1661"/>
      <c r="K102" s="2214">
        <v>0</v>
      </c>
      <c r="L102" s="2214">
        <f t="shared" si="34"/>
        <v>0</v>
      </c>
      <c r="M102" s="2214">
        <f t="shared" si="35"/>
        <v>0</v>
      </c>
      <c r="O102" s="2214">
        <f>methane*(L102*IF(time_tot&gt;time+20,20,IF(time_tot&lt;20,(time*VLOOKUP($F102,list!$J$48:$K$50,2,))+(time_tot-time),((MIN(20,time)*VLOOKUP($F102,list!$J$48:$K$50,2,))+(time_tot-MIN(20,time))-IF($F102="exponential",time_tot-20+0.217*time*(EXP(4.606*(20-time_tot)/time)-1),((time_tot-20)^2)*(0.5/time))))))</f>
        <v>0</v>
      </c>
      <c r="P102" s="2214">
        <f>methane*(M102*IF(time_tot&gt;time+20,20,IF(time_tot&lt;20,(time*VLOOKUP($H102,list!$J$48:$K$50,2,))+(time_tot-time),((MIN(20,time)*VLOOKUP($H102,list!$J$48:$K$50,2,))+(time_tot-MIN(20,time))-IF($H102="exponential",time_tot-20+0.217*time*(EXP(4.606*(20-time_tot)/time)-1),((time_tot-20)^2)*(0.5/time))))))</f>
        <v>0</v>
      </c>
      <c r="Q102" s="2227">
        <f t="shared" si="36"/>
        <v>0</v>
      </c>
      <c r="U102" s="2221">
        <f>methane*(L102*IF(time&gt;20,20,IF(time&lt;20,(time*VLOOKUP($F102,list!$J$48:$K$50,2,)),((MIN(20,time)*VLOOKUP($F102,list!$J$48:$K$50,2,))+(time-MIN(20,time))-IF($F102="exponential",time-20+0.217*time*(EXP(4.606*(20-time)/time)-1),((time-20)^2)*(0.5/time))))))</f>
        <v>0</v>
      </c>
      <c r="V102" s="2221">
        <f>methane*(M102*IF(time&gt;20,20,IF(time&lt;20,(time*VLOOKUP($H102,list!$J$48:$K$50,2,)),((MIN(20,time)*VLOOKUP($H102,list!$J$48:$K$50,2,))+(time-MIN(20,time))-IF($H102="exponential",time-20+0.217*time*(EXP(4.606*(20-time)/time)-1),((time-20)^2)*(0.5/time))))))</f>
        <v>0</v>
      </c>
    </row>
    <row r="103" spans="1:35" x14ac:dyDescent="0.15">
      <c r="B103" s="2188" t="str">
        <f t="shared" si="33"/>
        <v>Please select</v>
      </c>
      <c r="C103" s="2188" t="str">
        <f t="shared" si="33"/>
        <v>&lt;18</v>
      </c>
      <c r="D103" s="1661">
        <f t="shared" si="33"/>
        <v>0</v>
      </c>
      <c r="E103" s="1661">
        <f t="shared" si="33"/>
        <v>0</v>
      </c>
      <c r="F103" s="1661" t="str">
        <f t="shared" si="33"/>
        <v>Linear</v>
      </c>
      <c r="G103" s="1661">
        <f t="shared" si="33"/>
        <v>0</v>
      </c>
      <c r="H103" s="1661" t="str">
        <f t="shared" si="33"/>
        <v>Linear</v>
      </c>
      <c r="I103" s="1661"/>
      <c r="K103" s="2214">
        <v>0</v>
      </c>
      <c r="L103" s="2214">
        <f t="shared" si="34"/>
        <v>0</v>
      </c>
      <c r="M103" s="2214">
        <f t="shared" si="35"/>
        <v>0</v>
      </c>
      <c r="O103" s="2214">
        <f>methane*(L103*IF(time_tot&gt;time+20,20,IF(time_tot&lt;20,(time*VLOOKUP($F103,list!$J$48:$K$50,2,))+(time_tot-time),((MIN(20,time)*VLOOKUP($F103,list!$J$48:$K$50,2,))+(time_tot-MIN(20,time))-IF($F103="exponential",time_tot-20+0.217*time*(EXP(4.606*(20-time_tot)/time)-1),((time_tot-20)^2)*(0.5/time))))))</f>
        <v>0</v>
      </c>
      <c r="P103" s="2214">
        <f>methane*(M103*IF(time_tot&gt;time+20,20,IF(time_tot&lt;20,(time*VLOOKUP($H103,list!$J$48:$K$50,2,))+(time_tot-time),((MIN(20,time)*VLOOKUP($H103,list!$J$48:$K$50,2,))+(time_tot-MIN(20,time))-IF($H103="exponential",time_tot-20+0.217*time*(EXP(4.606*(20-time_tot)/time)-1),((time_tot-20)^2)*(0.5/time))))))</f>
        <v>0</v>
      </c>
      <c r="Q103" s="2227">
        <f t="shared" si="36"/>
        <v>0</v>
      </c>
      <c r="U103" s="2221">
        <f>methane*(L103*IF(time&gt;20,20,IF(time&lt;20,(time*VLOOKUP($F103,list!$J$48:$K$50,2,)),((MIN(20,time)*VLOOKUP($F103,list!$J$48:$K$50,2,))+(time-MIN(20,time))-IF($F103="exponential",time-20+0.217*time*(EXP(4.606*(20-time)/time)-1),((time-20)^2)*(0.5/time))))))</f>
        <v>0</v>
      </c>
      <c r="V103" s="2221">
        <f>methane*(M103*IF(time&gt;20,20,IF(time&lt;20,(time*VLOOKUP($H103,list!$J$48:$K$50,2,)),((MIN(20,time)*VLOOKUP($H103,list!$J$48:$K$50,2,))+(time-MIN(20,time))-IF($H103="exponential",time-20+0.217*time*(EXP(4.606*(20-time)/time)-1),((time-20)^2)*(0.5/time))))))</f>
        <v>0</v>
      </c>
    </row>
    <row r="104" spans="1:35" x14ac:dyDescent="0.15">
      <c r="B104" s="2188" t="str">
        <f t="shared" si="33"/>
        <v>Please select</v>
      </c>
      <c r="C104" s="2188" t="str">
        <f t="shared" si="33"/>
        <v>&lt;18</v>
      </c>
      <c r="D104" s="1661">
        <f t="shared" si="33"/>
        <v>0</v>
      </c>
      <c r="E104" s="1661">
        <f t="shared" si="33"/>
        <v>0</v>
      </c>
      <c r="F104" s="1661" t="str">
        <f t="shared" si="33"/>
        <v>Linear</v>
      </c>
      <c r="G104" s="1661">
        <f t="shared" si="33"/>
        <v>0</v>
      </c>
      <c r="H104" s="1661" t="str">
        <f t="shared" si="33"/>
        <v>Linear</v>
      </c>
      <c r="I104" s="1661"/>
      <c r="K104" s="2214">
        <v>0</v>
      </c>
      <c r="L104" s="2214">
        <f t="shared" si="34"/>
        <v>0</v>
      </c>
      <c r="M104" s="2214">
        <f t="shared" si="35"/>
        <v>0</v>
      </c>
      <c r="O104" s="2214">
        <f>methane*(L104*IF(time_tot&gt;time+20,20,IF(time_tot&lt;20,(time*VLOOKUP($F104,list!$J$48:$K$50,2,))+(time_tot-time),((MIN(20,time)*VLOOKUP($F104,list!$J$48:$K$50,2,))+(time_tot-MIN(20,time))-IF($F104="exponential",time_tot-20+0.217*time*(EXP(4.606*(20-time_tot)/time)-1),((time_tot-20)^2)*(0.5/time))))))</f>
        <v>0</v>
      </c>
      <c r="P104" s="2214">
        <f>methane*(M104*IF(time_tot&gt;time+20,20,IF(time_tot&lt;20,(time*VLOOKUP($H104,list!$J$48:$K$50,2,))+(time_tot-time),((MIN(20,time)*VLOOKUP($H104,list!$J$48:$K$50,2,))+(time_tot-MIN(20,time))-IF($H104="exponential",time_tot-20+0.217*time*(EXP(4.606*(20-time_tot)/time)-1),((time_tot-20)^2)*(0.5/time))))))</f>
        <v>0</v>
      </c>
      <c r="Q104" s="2227">
        <f t="shared" si="36"/>
        <v>0</v>
      </c>
      <c r="U104" s="2221">
        <f>methane*(L104*IF(time&gt;20,20,IF(time&lt;20,(time*VLOOKUP($F104,list!$J$48:$K$50,2,)),((MIN(20,time)*VLOOKUP($F104,list!$J$48:$K$50,2,))+(time-MIN(20,time))-IF($F104="exponential",time-20+0.217*time*(EXP(4.606*(20-time)/time)-1),((time-20)^2)*(0.5/time))))))</f>
        <v>0</v>
      </c>
      <c r="V104" s="2221">
        <f>methane*(M104*IF(time&gt;20,20,IF(time&lt;20,(time*VLOOKUP($H104,list!$J$48:$K$50,2,)),((MIN(20,time)*VLOOKUP($H104,list!$J$48:$K$50,2,))+(time-MIN(20,time))-IF($H104="exponential",time-20+0.217*time*(EXP(4.606*(20-time)/time)-1),((time-20)^2)*(0.5/time))))))</f>
        <v>0</v>
      </c>
    </row>
    <row r="105" spans="1:35" x14ac:dyDescent="0.15">
      <c r="B105" s="2188" t="str">
        <f t="shared" si="33"/>
        <v>Please select</v>
      </c>
      <c r="C105" s="2188" t="str">
        <f t="shared" si="33"/>
        <v>&lt;18</v>
      </c>
      <c r="D105" s="1661">
        <f t="shared" si="33"/>
        <v>0</v>
      </c>
      <c r="E105" s="1661">
        <f t="shared" si="33"/>
        <v>0</v>
      </c>
      <c r="F105" s="1661" t="str">
        <f t="shared" si="33"/>
        <v>Linear</v>
      </c>
      <c r="G105" s="1661">
        <f t="shared" si="33"/>
        <v>0</v>
      </c>
      <c r="H105" s="1661" t="str">
        <f t="shared" si="33"/>
        <v>Linear</v>
      </c>
      <c r="I105" s="1661"/>
      <c r="K105" s="2214">
        <v>0</v>
      </c>
      <c r="L105" s="2214">
        <f t="shared" si="34"/>
        <v>0</v>
      </c>
      <c r="M105" s="2214">
        <f t="shared" si="35"/>
        <v>0</v>
      </c>
      <c r="O105" s="2214">
        <f>methane*(L105*IF(time_tot&gt;time+20,20,IF(time_tot&lt;20,(time*VLOOKUP($F105,list!$J$48:$K$50,2,))+(time_tot-time),((MIN(20,time)*VLOOKUP($F105,list!$J$48:$K$50,2,))+(time_tot-MIN(20,time))-IF($F105="exponential",time_tot-20+0.217*time*(EXP(4.606*(20-time_tot)/time)-1),((time_tot-20)^2)*(0.5/time))))))</f>
        <v>0</v>
      </c>
      <c r="P105" s="2214">
        <f>methane*(M105*IF(time_tot&gt;time+20,20,IF(time_tot&lt;20,(time*VLOOKUP($H105,list!$J$48:$K$50,2,))+(time_tot-time),((MIN(20,time)*VLOOKUP($H105,list!$J$48:$K$50,2,))+(time_tot-MIN(20,time))-IF($H105="exponential",time_tot-20+0.217*time*(EXP(4.606*(20-time_tot)/time)-1),((time_tot-20)^2)*(0.5/time))))))</f>
        <v>0</v>
      </c>
      <c r="Q105" s="2233">
        <f t="shared" si="36"/>
        <v>0</v>
      </c>
      <c r="U105" s="2221">
        <f>methane*(L105*IF(time&gt;20,20,IF(time&lt;20,(time*VLOOKUP($F105,list!$J$48:$K$50,2,)),((MIN(20,time)*VLOOKUP($F105,list!$J$48:$K$50,2,))+(time-MIN(20,time))-IF($F105="exponential",time-20+0.217*time*(EXP(4.606*(20-time)/time)-1),((time-20)^2)*(0.5/time))))))</f>
        <v>0</v>
      </c>
      <c r="V105" s="2221">
        <f>methane*(M105*IF(time&gt;20,20,IF(time&lt;20,(time*VLOOKUP($H105,list!$J$48:$K$50,2,)),((MIN(20,time)*VLOOKUP($H105,list!$J$48:$K$50,2,))+(time-MIN(20,time))-IF($H105="exponential",time-20+0.217*time*(EXP(4.606*(20-time)/time)-1),((time-20)^2)*(0.5/time))))))</f>
        <v>0</v>
      </c>
    </row>
    <row r="108" spans="1:35" x14ac:dyDescent="0.15">
      <c r="L108" s="2234"/>
      <c r="M108" s="2234"/>
      <c r="N108" s="2235" t="s">
        <v>2308</v>
      </c>
      <c r="O108" s="2236">
        <f>SUM(O89:O94,O79:O84,O100:O105)</f>
        <v>260.86666666666673</v>
      </c>
      <c r="P108" s="2236">
        <f>SUM(P89:P94,P79:P84,P100:P105)</f>
        <v>260.86666666666673</v>
      </c>
      <c r="Q108" s="2236">
        <f>SUM(Q89:Q94,Q79:Q84,Q100:Q105)</f>
        <v>0</v>
      </c>
    </row>
    <row r="110" spans="1:35" ht="45" customHeight="1" x14ac:dyDescent="0.15">
      <c r="A110" s="2187"/>
      <c r="B110" s="2260" t="s">
        <v>2309</v>
      </c>
      <c r="C110" s="2187"/>
      <c r="D110" s="2187"/>
      <c r="E110" s="2187"/>
      <c r="F110" s="2187"/>
      <c r="G110" s="2187"/>
      <c r="H110" s="2187"/>
      <c r="I110" s="2187"/>
      <c r="J110" s="2187"/>
      <c r="K110" s="2187"/>
      <c r="L110" s="2187"/>
      <c r="M110" s="2187"/>
      <c r="N110" s="2187"/>
      <c r="O110" s="2187"/>
      <c r="P110" s="2187"/>
      <c r="Q110" s="2187"/>
      <c r="R110" s="2187"/>
      <c r="S110" s="2187"/>
      <c r="T110" s="2187"/>
      <c r="U110" s="2187"/>
      <c r="V110" s="2187"/>
      <c r="W110" s="2187"/>
      <c r="X110" s="2187"/>
      <c r="Y110" s="2187"/>
      <c r="Z110" s="2187"/>
      <c r="AA110" s="2187"/>
      <c r="AB110" s="2187"/>
      <c r="AC110" s="2187"/>
    </row>
    <row r="111" spans="1:35" s="973" customFormat="1" ht="21" x14ac:dyDescent="0.2">
      <c r="A111" s="2373"/>
      <c r="B111" s="2373" t="s">
        <v>2037</v>
      </c>
      <c r="C111" s="2373"/>
      <c r="D111" s="2373"/>
      <c r="E111" s="2373"/>
      <c r="F111" s="2373"/>
      <c r="G111" s="2373"/>
      <c r="H111" s="2373"/>
      <c r="I111" s="2373"/>
      <c r="J111" s="2373"/>
      <c r="K111" s="2373"/>
      <c r="L111" s="2373"/>
      <c r="M111" s="2373"/>
      <c r="N111" s="2373"/>
      <c r="O111" s="2373"/>
      <c r="P111" s="2373"/>
      <c r="Q111" s="2373"/>
      <c r="R111" s="2373"/>
      <c r="S111" s="2373"/>
      <c r="T111" s="2373"/>
      <c r="U111" s="2373"/>
      <c r="V111" s="2373"/>
      <c r="W111" s="2373"/>
      <c r="X111" s="2373"/>
      <c r="Y111" s="2373"/>
      <c r="Z111" s="2373"/>
      <c r="AA111" s="2373"/>
      <c r="AB111" s="2373"/>
      <c r="AC111" s="2373"/>
      <c r="AI111" s="1231"/>
    </row>
    <row r="112" spans="1:35" s="973" customFormat="1" ht="21" x14ac:dyDescent="0.2">
      <c r="A112" s="2374"/>
      <c r="B112" s="2374"/>
      <c r="C112" s="2374"/>
      <c r="D112" s="2374"/>
      <c r="E112" s="2374"/>
      <c r="F112" s="2374"/>
      <c r="G112" s="2374"/>
      <c r="H112" s="2374"/>
      <c r="I112" s="2374"/>
      <c r="J112" s="2374"/>
      <c r="K112" s="2189" t="s">
        <v>1300</v>
      </c>
      <c r="L112" s="2375"/>
      <c r="M112" s="2375"/>
      <c r="N112" s="2375"/>
      <c r="O112" s="2375"/>
      <c r="P112" s="2375"/>
      <c r="Q112" s="2375"/>
      <c r="R112" s="2374"/>
      <c r="S112" s="2374"/>
      <c r="T112" s="2374"/>
      <c r="U112" s="2189" t="s">
        <v>860</v>
      </c>
      <c r="V112" s="2190"/>
      <c r="W112" s="2190"/>
      <c r="X112" s="2188"/>
      <c r="Y112" s="2374"/>
      <c r="Z112" s="2374"/>
      <c r="AA112" s="2374"/>
      <c r="AB112" s="2374"/>
      <c r="AC112" s="2374"/>
      <c r="AI112" s="1231"/>
    </row>
    <row r="113" spans="2:71" s="973" customFormat="1" ht="16" x14ac:dyDescent="0.2">
      <c r="D113" s="3464" t="str">
        <f>Languages!B360</f>
        <v>Tota area of waterbodies (ha)</v>
      </c>
      <c r="E113" s="3464"/>
      <c r="F113" s="3464"/>
      <c r="G113" s="3464"/>
      <c r="H113" s="3464"/>
      <c r="K113" s="2191" t="s">
        <v>2310</v>
      </c>
      <c r="L113" s="2188"/>
      <c r="M113" s="2188"/>
      <c r="O113" s="2191" t="s">
        <v>2306</v>
      </c>
      <c r="P113" s="2188"/>
      <c r="Q113" s="2188"/>
      <c r="U113" s="2188"/>
      <c r="V113" s="2188"/>
      <c r="W113" s="2188"/>
      <c r="X113" s="2188"/>
      <c r="AI113" s="1231"/>
      <c r="BJ113" s="2376"/>
      <c r="BK113" s="2377"/>
      <c r="BL113" s="2377"/>
      <c r="BO113" s="2376"/>
      <c r="BP113" s="2377"/>
      <c r="BQ113" s="2377"/>
      <c r="BR113" s="2378"/>
      <c r="BS113" s="1454"/>
    </row>
    <row r="114" spans="2:71" s="973" customFormat="1" ht="14" x14ac:dyDescent="0.15">
      <c r="B114" s="1281" t="s">
        <v>1301</v>
      </c>
      <c r="D114" s="1576" t="s">
        <v>219</v>
      </c>
      <c r="E114" s="1576" t="s">
        <v>179</v>
      </c>
      <c r="F114" s="1576" t="s">
        <v>225</v>
      </c>
      <c r="G114" s="1576" t="s">
        <v>180</v>
      </c>
      <c r="H114" s="1576" t="s">
        <v>225</v>
      </c>
      <c r="K114" s="2188" t="s">
        <v>219</v>
      </c>
      <c r="L114" s="2372" t="s">
        <v>179</v>
      </c>
      <c r="M114" s="2212" t="s">
        <v>180</v>
      </c>
      <c r="O114" s="2211" t="s">
        <v>179</v>
      </c>
      <c r="P114" s="2212" t="s">
        <v>180</v>
      </c>
      <c r="Q114" s="2213" t="s">
        <v>376</v>
      </c>
      <c r="U114" s="2192" t="s">
        <v>866</v>
      </c>
      <c r="V114" s="2193" t="s">
        <v>200</v>
      </c>
      <c r="W114" s="2193" t="s">
        <v>201</v>
      </c>
      <c r="X114" s="2193" t="s">
        <v>2280</v>
      </c>
      <c r="AI114" s="1688"/>
      <c r="AJ114" s="1688"/>
      <c r="AK114" s="1688"/>
      <c r="AX114" s="1688"/>
      <c r="AY114" s="1688"/>
      <c r="BJ114" s="1582"/>
      <c r="BK114" s="1585"/>
      <c r="BL114" s="1585"/>
      <c r="BM114" s="992"/>
      <c r="BO114" s="1582"/>
      <c r="BP114" s="1584"/>
      <c r="BQ114" s="1585"/>
      <c r="BR114" s="1584"/>
      <c r="BS114" s="1455"/>
    </row>
    <row r="115" spans="2:71" s="973" customFormat="1" ht="14" x14ac:dyDescent="0.15">
      <c r="B115" s="973" t="str">
        <f>Coastal!B126</f>
        <v>Saline pond</v>
      </c>
      <c r="D115" s="992">
        <f>'7.Coastal wetlands'!L65</f>
        <v>50</v>
      </c>
      <c r="E115" s="992">
        <f>'7.Coastal wetlands'!N65</f>
        <v>0</v>
      </c>
      <c r="F115" s="2221" t="str">
        <f>VLOOKUP('7.Coastal wetlands'!O65, list!$I$48:$J$50,2,FALSE )</f>
        <v>Linear</v>
      </c>
      <c r="G115" s="992">
        <f>'7.Coastal wetlands'!P65</f>
        <v>0</v>
      </c>
      <c r="H115" s="992" t="str">
        <f>VLOOKUP('7.Coastal wetlands'!Q65,list!$I$48:$J$50,2,FALSE )</f>
        <v>Linear</v>
      </c>
      <c r="K115" s="2214">
        <f>$D115*Coastal!$G126*'Fish and aqua'!$P111/1000*methane</f>
        <v>29.400000000000002</v>
      </c>
      <c r="L115" s="2214">
        <f>$E115*Coastal!$G126*'Fish and aqua'!$Q111/1000*methane</f>
        <v>0</v>
      </c>
      <c r="M115" s="2214">
        <f>$G115*Coastal!$G126*'Fish and aqua'!$R111/1000*methane</f>
        <v>0</v>
      </c>
      <c r="O115" s="2214">
        <f>MIN(K115,L115)*time_tot+ABS(L115-K115)*IF(L115&gt;K115,time_cap+time*(VLOOKUP(F115,list!$J$48:$K$50,2,0)),time*(1-(VLOOKUP(F115,list!$J$48:$K$50,2,0))))</f>
        <v>73.5</v>
      </c>
      <c r="P115" s="2214">
        <f>MIN(K115,M115)*time_tot+ABS(M115-K115)*IF(M115&gt;K115,time_cap+time*(VLOOKUP(H115,list!$J$48:$K$50,2,0)),time*(1-(VLOOKUP(H115,list!$J$48:$K$50,2,0))))</f>
        <v>73.5</v>
      </c>
      <c r="Q115" s="2219">
        <f t="shared" ref="Q115:Q120" si="37">P115-O115</f>
        <v>0</v>
      </c>
      <c r="U115" s="2203" t="s">
        <v>869</v>
      </c>
      <c r="V115" s="2204">
        <f>SUM($O$115:$O$120)</f>
        <v>1648.5</v>
      </c>
      <c r="W115" s="2204">
        <f>SUM($P$115:$P$120)</f>
        <v>5271</v>
      </c>
      <c r="X115" s="2204">
        <f>W115-V115</f>
        <v>3622.5</v>
      </c>
      <c r="AI115" s="3483"/>
      <c r="AJ115" s="3483"/>
      <c r="AK115" s="3494"/>
      <c r="AX115" s="992"/>
      <c r="AY115" s="992"/>
      <c r="BM115" s="992"/>
      <c r="BO115" s="2379"/>
      <c r="BP115" s="1455"/>
      <c r="BQ115" s="1455"/>
      <c r="BR115" s="1455"/>
      <c r="BS115" s="992"/>
    </row>
    <row r="116" spans="2:71" s="973" customFormat="1" ht="14" x14ac:dyDescent="0.15">
      <c r="B116" s="973" t="str">
        <f>Coastal!B127</f>
        <v>Saline pond</v>
      </c>
      <c r="D116" s="992">
        <f>'7.Coastal wetlands'!L66</f>
        <v>0</v>
      </c>
      <c r="E116" s="992">
        <f>'7.Coastal wetlands'!N66</f>
        <v>50</v>
      </c>
      <c r="F116" s="2221" t="str">
        <f>VLOOKUP('7.Coastal wetlands'!O66, list!$I$48:$J$50,2,FALSE )</f>
        <v>Linear</v>
      </c>
      <c r="G116" s="992">
        <f>'7.Coastal wetlands'!P66</f>
        <v>0</v>
      </c>
      <c r="H116" s="992" t="str">
        <f>VLOOKUP('7.Coastal wetlands'!Q66,list!$I$48:$J$50,2,FALSE )</f>
        <v>Linear</v>
      </c>
      <c r="K116" s="2214">
        <f>$D116*Coastal!$G127*'Fish and aqua'!$P112/1000*methane</f>
        <v>0</v>
      </c>
      <c r="L116" s="2214">
        <f>$E116*Coastal!$G127*'Fish and aqua'!$Q112/1000*methane</f>
        <v>126</v>
      </c>
      <c r="M116" s="2214">
        <f>$G116*Coastal!$G127*'Fish and aqua'!$R112/1000*methane</f>
        <v>0</v>
      </c>
      <c r="O116" s="2214">
        <f>MIN(K116,L116)*time_tot+ABS(L116-K116)*IF(L116&gt;K116,time_cap+time*(VLOOKUP(F116,list!$J$48:$K$50,2,0)),time*(1-(VLOOKUP(F116,list!$J$48:$K$50,2,0))))</f>
        <v>1575</v>
      </c>
      <c r="P116" s="2214">
        <f>MIN(K116,M116)*time_tot+ABS(M116-K116)*IF(M116&gt;K116,time_cap+time*(VLOOKUP(H116,list!$J$48:$K$50,2,0)),time*(1-(VLOOKUP(H116,list!$J$48:$K$50,2,0))))</f>
        <v>0</v>
      </c>
      <c r="Q116" s="2219">
        <f t="shared" si="37"/>
        <v>-1575</v>
      </c>
      <c r="U116" s="2203"/>
      <c r="V116" s="2204"/>
      <c r="W116" s="2204"/>
      <c r="X116" s="2204"/>
      <c r="AI116" s="3483"/>
      <c r="AJ116" s="3483"/>
      <c r="AK116" s="3494"/>
      <c r="AX116" s="992"/>
      <c r="AY116" s="992"/>
      <c r="BK116" s="992"/>
      <c r="BL116" s="992"/>
      <c r="BM116" s="992"/>
    </row>
    <row r="117" spans="2:71" s="973" customFormat="1" ht="14" x14ac:dyDescent="0.15">
      <c r="B117" s="973" t="str">
        <f>Coastal!B128</f>
        <v>Saline pond</v>
      </c>
      <c r="D117" s="992">
        <f>'7.Coastal wetlands'!L67</f>
        <v>0</v>
      </c>
      <c r="E117" s="992">
        <f>'7.Coastal wetlands'!N67</f>
        <v>0</v>
      </c>
      <c r="F117" s="2221" t="str">
        <f>VLOOKUP('7.Coastal wetlands'!O67, list!$I$48:$J$50,2,FALSE )</f>
        <v>Linear</v>
      </c>
      <c r="G117" s="992">
        <f>'7.Coastal wetlands'!P67</f>
        <v>50</v>
      </c>
      <c r="H117" s="992" t="str">
        <f>VLOOKUP('7.Coastal wetlands'!Q67,list!$I$48:$J$50,2,FALSE )</f>
        <v>Linear</v>
      </c>
      <c r="K117" s="2214">
        <f>$D117*Coastal!$G128*'Fish and aqua'!$P113/1000*methane</f>
        <v>0</v>
      </c>
      <c r="L117" s="2214">
        <f>$E117*Coastal!$G128*'Fish and aqua'!$Q113/1000*methane</f>
        <v>0</v>
      </c>
      <c r="M117" s="2214">
        <f>$G117*Coastal!$G128*'Fish and aqua'!$R113/1000*methane</f>
        <v>415.8</v>
      </c>
      <c r="O117" s="2214">
        <f>MIN(K117,L117)*time_tot+ABS(L117-K117)*IF(L117&gt;K117,time_cap+time*(VLOOKUP(F117,list!$J$48:$K$50,2,0)),time*(1-(VLOOKUP(F117,list!$J$48:$K$50,2,0))))</f>
        <v>0</v>
      </c>
      <c r="P117" s="2214">
        <f>MIN(K117,M117)*time_tot+ABS(M117-K117)*IF(M117&gt;K117,time_cap+time*(VLOOKUP(H117,list!$J$48:$K$50,2,0)),time*(1-(VLOOKUP(H117,list!$J$48:$K$50,2,0))))</f>
        <v>5197.5</v>
      </c>
      <c r="Q117" s="2219">
        <f t="shared" si="37"/>
        <v>5197.5</v>
      </c>
      <c r="U117" s="2203"/>
      <c r="V117" s="2204"/>
      <c r="W117" s="2204"/>
      <c r="X117" s="2204"/>
      <c r="AI117" s="3483"/>
      <c r="AJ117" s="3483"/>
      <c r="AK117" s="3494"/>
      <c r="AX117" s="992"/>
      <c r="AY117" s="992"/>
      <c r="BK117" s="992"/>
      <c r="BL117" s="992"/>
      <c r="BM117" s="992"/>
    </row>
    <row r="118" spans="2:71" s="973" customFormat="1" ht="14" x14ac:dyDescent="0.15">
      <c r="B118" s="973" t="str">
        <f>Coastal!B129</f>
        <v>Please select</v>
      </c>
      <c r="D118" s="992">
        <f>'7.Coastal wetlands'!L68</f>
        <v>0</v>
      </c>
      <c r="E118" s="992">
        <f>'7.Coastal wetlands'!N68</f>
        <v>0</v>
      </c>
      <c r="F118" s="2221" t="str">
        <f>VLOOKUP('7.Coastal wetlands'!O68, list!$I$48:$J$50,2,FALSE )</f>
        <v>Linear</v>
      </c>
      <c r="G118" s="992">
        <f>'7.Coastal wetlands'!P68</f>
        <v>0</v>
      </c>
      <c r="H118" s="992" t="str">
        <f>VLOOKUP('7.Coastal wetlands'!Q68,list!$I$48:$J$50,2,FALSE )</f>
        <v>Linear</v>
      </c>
      <c r="K118" s="2214">
        <f>$D118*Coastal!$G129*'Fish and aqua'!$P114/1000*methane</f>
        <v>0</v>
      </c>
      <c r="L118" s="2214">
        <f>$E118*Coastal!$G129*'Fish and aqua'!$Q114/1000*methane</f>
        <v>0</v>
      </c>
      <c r="M118" s="2214">
        <f>$G118*Coastal!$G129*'Fish and aqua'!$R114/1000*methane</f>
        <v>0</v>
      </c>
      <c r="O118" s="2214">
        <f>MIN(K118,L118)*time_tot+ABS(L118-K118)*IF(L118&gt;K118,time_cap+time*(VLOOKUP(F118,list!$J$48:$K$50,2,0)),time*(1-(VLOOKUP(F118,list!$J$48:$K$50,2,0))))</f>
        <v>0</v>
      </c>
      <c r="P118" s="2214">
        <f>MIN(K118,M118)*time_tot+ABS(M118-K118)*IF(M118&gt;K118,time_cap+time*(VLOOKUP(H118,list!$J$48:$K$50,2,0)),time*(1-(VLOOKUP(H118,list!$J$48:$K$50,2,0))))</f>
        <v>0</v>
      </c>
      <c r="Q118" s="2219">
        <f t="shared" si="37"/>
        <v>0</v>
      </c>
      <c r="U118" s="2208" t="s">
        <v>871</v>
      </c>
      <c r="V118" s="2209">
        <f>SUM(V115:V117)</f>
        <v>1648.5</v>
      </c>
      <c r="W118" s="2209">
        <f>SUM(W115:W117)</f>
        <v>5271</v>
      </c>
      <c r="X118" s="2209">
        <f>W118-V118</f>
        <v>3622.5</v>
      </c>
      <c r="AI118" s="3483"/>
      <c r="AJ118" s="3483"/>
      <c r="AK118" s="3494"/>
      <c r="AX118" s="992"/>
      <c r="AY118" s="992"/>
      <c r="BM118" s="992"/>
    </row>
    <row r="119" spans="2:71" s="973" customFormat="1" ht="14" x14ac:dyDescent="0.15">
      <c r="B119" s="973" t="str">
        <f>Coastal!B130</f>
        <v>Please select</v>
      </c>
      <c r="D119" s="992">
        <f>'7.Coastal wetlands'!L69</f>
        <v>0</v>
      </c>
      <c r="E119" s="992">
        <f>'7.Coastal wetlands'!N69</f>
        <v>0</v>
      </c>
      <c r="F119" s="2221" t="str">
        <f>VLOOKUP('7.Coastal wetlands'!O69, list!$I$48:$J$50,2,FALSE )</f>
        <v>Linear</v>
      </c>
      <c r="G119" s="992">
        <f>'7.Coastal wetlands'!P69</f>
        <v>0</v>
      </c>
      <c r="H119" s="992" t="str">
        <f>VLOOKUP('7.Coastal wetlands'!Q69,list!$I$48:$J$50,2,FALSE )</f>
        <v>Linear</v>
      </c>
      <c r="K119" s="2214">
        <f>$D119*Coastal!$G130*'Fish and aqua'!$P115/1000*methane</f>
        <v>0</v>
      </c>
      <c r="L119" s="2214">
        <f>$E119*Coastal!$G130*'Fish and aqua'!$Q115/1000*methane</f>
        <v>0</v>
      </c>
      <c r="M119" s="2214">
        <f>$G119*Coastal!$G130*'Fish and aqua'!$R115/1000*methane</f>
        <v>0</v>
      </c>
      <c r="O119" s="2214">
        <f>MIN(K119,L119)*time_tot+ABS(L119-K119)*IF(L119&gt;K119,time_cap+time*(VLOOKUP(F119,list!$J$48:$K$50,2,0)),time*(1-(VLOOKUP(F119,list!$J$48:$K$50,2,0))))</f>
        <v>0</v>
      </c>
      <c r="P119" s="2214">
        <f>MIN(K119,M119)*time_tot+ABS(M119-K119)*IF(M119&gt;K119,time_cap+time*(VLOOKUP(H119,list!$J$48:$K$50,2,0)),time*(1-(VLOOKUP(H119,list!$J$48:$K$50,2,0))))</f>
        <v>0</v>
      </c>
      <c r="Q119" s="2219">
        <f t="shared" si="37"/>
        <v>0</v>
      </c>
      <c r="AI119" s="3483"/>
      <c r="AJ119" s="3483"/>
      <c r="AK119" s="3494"/>
      <c r="AX119" s="992"/>
      <c r="AY119" s="992"/>
      <c r="BM119" s="992"/>
    </row>
    <row r="120" spans="2:71" s="973" customFormat="1" ht="14" x14ac:dyDescent="0.15">
      <c r="B120" s="973" t="str">
        <f>Coastal!B131</f>
        <v>Please select</v>
      </c>
      <c r="D120" s="992">
        <f>'7.Coastal wetlands'!L70</f>
        <v>0</v>
      </c>
      <c r="E120" s="992">
        <f>'7.Coastal wetlands'!N70</f>
        <v>0</v>
      </c>
      <c r="F120" s="2221" t="str">
        <f>VLOOKUP('7.Coastal wetlands'!O70, list!$I$48:$J$50,2,FALSE )</f>
        <v>Linear</v>
      </c>
      <c r="G120" s="992">
        <f>'7.Coastal wetlands'!P70</f>
        <v>0</v>
      </c>
      <c r="H120" s="992" t="str">
        <f>VLOOKUP('7.Coastal wetlands'!Q70,list!$I$48:$J$50,2,FALSE )</f>
        <v>Linear</v>
      </c>
      <c r="K120" s="2214">
        <f>$D120*Coastal!$G131*'Fish and aqua'!$P116/1000*methane</f>
        <v>0</v>
      </c>
      <c r="L120" s="2214">
        <f>$E120*Coastal!$G131*'Fish and aqua'!$Q116/1000*methane</f>
        <v>0</v>
      </c>
      <c r="M120" s="2214">
        <f>$G120*Coastal!$G131*'Fish and aqua'!$R116/1000*methane</f>
        <v>0</v>
      </c>
      <c r="O120" s="2214">
        <f>MIN(K120,L120)*time_tot+ABS(L120-K120)*IF(L120&gt;K120,time_cap+time*(VLOOKUP(F120,list!$J$48:$K$50,2,0)),time*(1-(VLOOKUP(F120,list!$J$48:$K$50,2,0))))</f>
        <v>0</v>
      </c>
      <c r="P120" s="2214">
        <f>MIN(K120,M120)*time_tot+ABS(M120-K120)*IF(M120&gt;K120,time_cap+time*(VLOOKUP(H120,list!$J$48:$K$50,2,0)),time*(1-(VLOOKUP(H120,list!$J$48:$K$50,2,0))))</f>
        <v>0</v>
      </c>
      <c r="Q120" s="2219">
        <f t="shared" si="37"/>
        <v>0</v>
      </c>
      <c r="AI120" s="3483"/>
      <c r="AJ120" s="3483"/>
      <c r="AK120" s="3494"/>
      <c r="AX120" s="992"/>
      <c r="AY120" s="992"/>
      <c r="BM120" s="992"/>
    </row>
    <row r="121" spans="2:71" s="973" customFormat="1" ht="14" x14ac:dyDescent="0.15">
      <c r="AX121" s="992"/>
      <c r="BM121" s="992"/>
    </row>
    <row r="123" spans="2:71" x14ac:dyDescent="0.15">
      <c r="U123" s="2188" t="s">
        <v>2288</v>
      </c>
    </row>
    <row r="124" spans="2:71" x14ac:dyDescent="0.15">
      <c r="F124" s="2189" t="s">
        <v>1298</v>
      </c>
      <c r="G124" s="2190"/>
      <c r="H124" s="2190"/>
      <c r="U124" s="2211" t="s">
        <v>179</v>
      </c>
      <c r="V124" s="2212" t="s">
        <v>180</v>
      </c>
    </row>
    <row r="125" spans="2:71" x14ac:dyDescent="0.15">
      <c r="B125" s="2191" t="str">
        <f>'7.Coastal wetlands'!C63</f>
        <v>Waterbody type</v>
      </c>
      <c r="C125" s="2191" t="str">
        <f>'7.Coastal wetlands'!E63</f>
        <v>Trophic class</v>
      </c>
      <c r="F125" s="1661" t="s">
        <v>65</v>
      </c>
      <c r="G125" s="1661" t="s">
        <v>66</v>
      </c>
      <c r="H125" s="1661" t="s">
        <v>1302</v>
      </c>
      <c r="U125" s="2221">
        <f>MIN(L115,K115)*time+ABS(L115-K115)*IF(L115&gt;K115,time*(VLOOKUP(F115,list!$J$48:$K$50,2,0)),time*(1-(VLOOKUP(F115,list!$J$48:$K$50,2,0))))</f>
        <v>73.5</v>
      </c>
      <c r="V125" s="2221">
        <f>MIN(M115,K115)*time+ABS(M115-K115)*IF(M114&gt;K115,time*(VLOOKUP(H115,list!$J$48:$K$50,2,0)),time*(1-(VLOOKUP(H115,list!$J$48:$K$50,2,0))))</f>
        <v>73.5</v>
      </c>
    </row>
    <row r="126" spans="2:71" x14ac:dyDescent="0.15">
      <c r="B126" s="2188" t="str">
        <f>'7.Coastal wetlands'!C65</f>
        <v>Saline pond</v>
      </c>
      <c r="C126" s="2188" t="str">
        <f>'7.Coastal wetlands'!E65</f>
        <v>Oligotrophic</v>
      </c>
      <c r="F126" s="2386">
        <f>IF('7.Coastal wetlands'!E65="Please select",0,IF(H126="",VLOOKUP('7.Coastal wetlands'!E65,IPCC!$A$3222:$B$3227,2,FALSE),0.26*H126))</f>
        <v>0.7</v>
      </c>
      <c r="G126" s="2392">
        <f>IF('7.Coastal wetlands'!CC65="",'7.Coastal wetlands'!CA65,'7.Coastal wetlands'!CC65)</f>
        <v>0.7</v>
      </c>
      <c r="H126" s="2188" t="str">
        <f>IF('7.Coastal wetlands'!CE65="","",'7.Coastal wetlands'!CE65)</f>
        <v/>
      </c>
      <c r="U126" s="2221">
        <f>MIN(L116,K116)*time+ABS(L116-K116)*IF(L116&gt;K116,time*(VLOOKUP(F116,list!$J$48:$K$50,2,0)),time*(1-(VLOOKUP(F116,list!$J$48:$K$50,2,0))))</f>
        <v>315</v>
      </c>
      <c r="V126" s="2221">
        <f>MIN(M116,K116)*time+ABS(M116-K116)*IF(M115&gt;K116,time*(VLOOKUP(H116,list!$J$48:$K$50,2,0)),time*(1-(VLOOKUP(H116,list!$J$48:$K$50,2,0))))</f>
        <v>0</v>
      </c>
    </row>
    <row r="127" spans="2:71" x14ac:dyDescent="0.15">
      <c r="B127" s="2188" t="str">
        <f>'7.Coastal wetlands'!C66</f>
        <v>Saline pond</v>
      </c>
      <c r="C127" s="2188" t="str">
        <f>'7.Coastal wetlands'!E66</f>
        <v>Mesotrophic</v>
      </c>
      <c r="F127" s="2387">
        <f>IF('7.Coastal wetlands'!E66="Please select",0,IF(H127="",VLOOKUP('7.Coastal wetlands'!E66,IPCC!$A$3222:$B$3227,2,FALSE),0.26*H127))</f>
        <v>3</v>
      </c>
      <c r="G127" s="2393">
        <f>IF('7.Coastal wetlands'!CC66="",'7.Coastal wetlands'!CA66,'7.Coastal wetlands'!CC66)</f>
        <v>3</v>
      </c>
      <c r="H127" s="2188" t="str">
        <f>IF('7.Coastal wetlands'!CE66="","",'7.Coastal wetlands'!CE66)</f>
        <v/>
      </c>
      <c r="U127" s="2221">
        <f>MIN(L117,K117)*time+ABS(L117-K117)*IF(L117&gt;K117,time*(VLOOKUP(F117,list!$J$48:$K$50,2,0)),time*(1-(VLOOKUP(F117,list!$J$48:$K$50,2,0))))</f>
        <v>0</v>
      </c>
      <c r="V127" s="2221">
        <f>MIN(M117,K117)*time+ABS(M117-K117)*IF(M116&gt;K117,time*(VLOOKUP(H117,list!$J$48:$K$50,2,0)),time*(1-(VLOOKUP(H117,list!$J$48:$K$50,2,0))))</f>
        <v>1039.5</v>
      </c>
    </row>
    <row r="128" spans="2:71" x14ac:dyDescent="0.15">
      <c r="B128" s="2188" t="str">
        <f>'7.Coastal wetlands'!C67</f>
        <v>Saline pond</v>
      </c>
      <c r="C128" s="2188" t="str">
        <f>'7.Coastal wetlands'!E67</f>
        <v>Eutrophic</v>
      </c>
      <c r="F128" s="2387">
        <f>IF('7.Coastal wetlands'!E67="Please select",0,IF(H128="",VLOOKUP('7.Coastal wetlands'!E67,IPCC!$A$3222:$B$3227,2,FALSE),0.26*H128))</f>
        <v>9.9</v>
      </c>
      <c r="G128" s="2393">
        <f>IF('7.Coastal wetlands'!CC67="",'7.Coastal wetlands'!CA67,'7.Coastal wetlands'!CC67)</f>
        <v>9.9</v>
      </c>
      <c r="H128" s="2188" t="str">
        <f>IF('7.Coastal wetlands'!CE67="","",'7.Coastal wetlands'!CE67)</f>
        <v/>
      </c>
      <c r="U128" s="2221">
        <f>MIN(L118,K118)*time+ABS(L118-K118)*IF(L118&gt;K118,time*(VLOOKUP(F118,list!$J$48:$K$50,2,0)),time*(1-(VLOOKUP(F118,list!$J$48:$K$50,2,0))))</f>
        <v>0</v>
      </c>
      <c r="V128" s="2221">
        <f>MIN(M118,K118)*time+ABS(M118-K118)*IF(M117&gt;K118,time*(VLOOKUP(H118,list!$J$48:$K$50,2,0)),time*(1-(VLOOKUP(H118,list!$J$48:$K$50,2,0))))</f>
        <v>0</v>
      </c>
    </row>
    <row r="129" spans="2:22" x14ac:dyDescent="0.15">
      <c r="B129" s="2188" t="str">
        <f>'7.Coastal wetlands'!C68</f>
        <v>Please select</v>
      </c>
      <c r="C129" s="2188" t="str">
        <f>'7.Coastal wetlands'!E68</f>
        <v>Please select</v>
      </c>
      <c r="F129" s="2387">
        <f>IF('7.Coastal wetlands'!E68="Please select",0,IF(H129="",VLOOKUP('7.Coastal wetlands'!E68,IPCC!$A$3222:$B$3227,2,FALSE),0.26*H129))</f>
        <v>0</v>
      </c>
      <c r="G129" s="2393">
        <f>IF('7.Coastal wetlands'!CC68="",'7.Coastal wetlands'!CA68,'7.Coastal wetlands'!CC68)</f>
        <v>0</v>
      </c>
      <c r="H129" s="2188" t="str">
        <f>IF('7.Coastal wetlands'!CE68="","",'7.Coastal wetlands'!CE68)</f>
        <v/>
      </c>
      <c r="U129" s="2221">
        <f>MIN(L119,K119)*time+ABS(L119-K119)*IF(L119&gt;K119,time*(VLOOKUP(F119,list!$J$48:$K$50,2,0)),time*(1-(VLOOKUP(F119,list!$J$48:$K$50,2,0))))</f>
        <v>0</v>
      </c>
      <c r="V129" s="2221">
        <f>MIN(M119,K119)*time+ABS(M119-K119)*IF(M118&gt;K119,time*(VLOOKUP(H119,list!$J$48:$K$50,2,0)),time*(1-(VLOOKUP(H119,list!$J$48:$K$50,2,0))))</f>
        <v>0</v>
      </c>
    </row>
    <row r="130" spans="2:22" x14ac:dyDescent="0.15">
      <c r="B130" s="2188" t="str">
        <f>'7.Coastal wetlands'!C69</f>
        <v>Please select</v>
      </c>
      <c r="C130" s="2188" t="str">
        <f>'7.Coastal wetlands'!E69</f>
        <v>Please select</v>
      </c>
      <c r="F130" s="2387">
        <f>IF('7.Coastal wetlands'!E69="Please select",0,IF(H130="",VLOOKUP('7.Coastal wetlands'!E69,IPCC!$A$3222:$B$3227,2,FALSE),0.26*H130))</f>
        <v>0</v>
      </c>
      <c r="G130" s="2393">
        <f>IF('7.Coastal wetlands'!CC69="",'7.Coastal wetlands'!CA69,'7.Coastal wetlands'!CC69)</f>
        <v>0</v>
      </c>
      <c r="H130" s="2188" t="str">
        <f>IF('7.Coastal wetlands'!CE69="","",'7.Coastal wetlands'!CE69)</f>
        <v/>
      </c>
      <c r="U130" s="2221">
        <f>MIN(L120,K120)*time+ABS(L120-K120)*IF(L120&gt;K120,time*(VLOOKUP(F120,list!$J$48:$K$50,2,0)),time*(1-(VLOOKUP(F120,list!$J$48:$K$50,2,0))))</f>
        <v>0</v>
      </c>
      <c r="V130" s="2221">
        <f>MIN(M120,K120)*time+ABS(M120-K120)*IF(M119&gt;K120,time*(VLOOKUP(H120,list!$J$48:$K$50,2,0)),time*(1-(VLOOKUP(H120,list!$J$48:$K$50,2,0))))</f>
        <v>0</v>
      </c>
    </row>
    <row r="131" spans="2:22" x14ac:dyDescent="0.15">
      <c r="B131" s="2188" t="str">
        <f>'7.Coastal wetlands'!C70</f>
        <v>Please select</v>
      </c>
      <c r="C131" s="2188" t="str">
        <f>'7.Coastal wetlands'!E70</f>
        <v>Please select</v>
      </c>
      <c r="F131" s="2388">
        <f>IF('7.Coastal wetlands'!E70="Please select",0,IF(H131="",VLOOKUP('7.Coastal wetlands'!E70,IPCC!$A$3222:$B$3227,2,FALSE),0.26*H131))</f>
        <v>0</v>
      </c>
      <c r="G131" s="2394">
        <f>IF('7.Coastal wetlands'!CC70="",'7.Coastal wetlands'!CA70,'7.Coastal wetlands'!CC70)</f>
        <v>0</v>
      </c>
      <c r="H131" s="2188" t="str">
        <f>IF('7.Coastal wetlands'!CE70="","",'7.Coastal wetlands'!CE70)</f>
        <v/>
      </c>
    </row>
  </sheetData>
  <phoneticPr fontId="302" type="noConversion"/>
  <conditionalFormatting sqref="BK117:BL117">
    <cfRule type="expression" dxfId="77" priority="1">
      <formula>$BL$371&lt;&gt;$BL$372</formula>
    </cfRule>
  </conditionalFormatting>
  <pageMargins left="0.7" right="0.7" top="0.75" bottom="0.75" header="0.3" footer="0.3"/>
  <pageSetup orientation="portrait" r:id="rId1"/>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72735"/>
  </sheetPr>
  <dimension ref="A1:MI114"/>
  <sheetViews>
    <sheetView zoomScale="80" zoomScaleNormal="80" workbookViewId="0">
      <selection activeCell="AI25" sqref="AI25"/>
    </sheetView>
  </sheetViews>
  <sheetFormatPr baseColWidth="10" defaultColWidth="8.83203125" defaultRowHeight="15" x14ac:dyDescent="0.2"/>
  <cols>
    <col min="1" max="1" width="3.33203125" customWidth="1"/>
    <col min="2" max="2" width="2.5" customWidth="1"/>
    <col min="3" max="3" width="31.5" customWidth="1"/>
    <col min="4" max="4" width="4.5" customWidth="1"/>
    <col min="5" max="5" width="22.5" customWidth="1"/>
    <col min="6" max="6" width="3.5" customWidth="1"/>
    <col min="7" max="7" width="2.5" customWidth="1"/>
    <col min="9" max="9" width="1.33203125" customWidth="1"/>
    <col min="11" max="11" width="1.33203125" customWidth="1"/>
    <col min="12" max="12" width="8.6640625" customWidth="1"/>
    <col min="13" max="13" width="1.33203125" customWidth="1"/>
    <col min="14" max="14" width="12" customWidth="1"/>
    <col min="15" max="15" width="9.6640625" customWidth="1"/>
    <col min="17" max="17" width="3" customWidth="1"/>
    <col min="18" max="18" width="9.33203125" customWidth="1"/>
    <col min="19" max="19" width="2.6640625" customWidth="1"/>
    <col min="24" max="24" width="9.33203125" customWidth="1"/>
    <col min="25" max="25" width="0.6640625" customWidth="1"/>
    <col min="27" max="27" width="2.6640625" customWidth="1"/>
    <col min="28" max="28" width="13" bestFit="1" customWidth="1"/>
    <col min="29" max="29" width="2.6640625" customWidth="1"/>
    <col min="31" max="31" width="10.6640625" customWidth="1"/>
    <col min="33" max="33" width="12.5" customWidth="1"/>
    <col min="35" max="35" width="15.33203125" customWidth="1"/>
    <col min="102" max="347" width="9.33203125" style="284"/>
  </cols>
  <sheetData>
    <row r="1" spans="1:347" s="2072" customFormat="1" ht="100.5" customHeight="1" x14ac:dyDescent="0.2">
      <c r="CX1" s="4386"/>
      <c r="CY1" s="4386"/>
      <c r="CZ1" s="4386"/>
      <c r="DA1" s="4386"/>
      <c r="DB1" s="4386"/>
      <c r="DC1" s="4386"/>
      <c r="DD1" s="4386"/>
      <c r="DE1" s="4386"/>
      <c r="DF1" s="4386"/>
      <c r="DG1" s="4386"/>
      <c r="DH1" s="4386"/>
      <c r="DI1" s="4386"/>
      <c r="DJ1" s="4386"/>
      <c r="DK1" s="4386"/>
      <c r="DL1" s="4386"/>
      <c r="DM1" s="4386"/>
      <c r="DN1" s="4386"/>
      <c r="DO1" s="4386"/>
      <c r="DP1" s="4386"/>
      <c r="DQ1" s="4386"/>
      <c r="DR1" s="4386"/>
      <c r="DS1" s="4386"/>
      <c r="DT1" s="4386"/>
      <c r="DU1" s="4386"/>
      <c r="DV1" s="4386"/>
      <c r="DW1" s="4386"/>
      <c r="DX1" s="4386"/>
      <c r="DY1" s="4386"/>
      <c r="DZ1" s="4386"/>
      <c r="EA1" s="4386"/>
      <c r="EB1" s="4386"/>
      <c r="EC1" s="4386"/>
      <c r="ED1" s="4386"/>
      <c r="EE1" s="4386"/>
      <c r="EF1" s="4386"/>
      <c r="EG1" s="4386"/>
      <c r="EH1" s="4386"/>
      <c r="EI1" s="4386"/>
      <c r="EJ1" s="4386"/>
      <c r="EK1" s="4386"/>
      <c r="EL1" s="4386"/>
      <c r="EM1" s="4386"/>
      <c r="EN1" s="4386"/>
      <c r="EO1" s="4386"/>
      <c r="EP1" s="4386"/>
      <c r="EQ1" s="4386"/>
      <c r="ER1" s="4386"/>
      <c r="ES1" s="4386"/>
      <c r="ET1" s="4386"/>
      <c r="EU1" s="4386"/>
      <c r="EV1" s="4386"/>
      <c r="EW1" s="4386"/>
      <c r="EX1" s="4386"/>
      <c r="EY1" s="4386"/>
      <c r="EZ1" s="4386"/>
      <c r="FA1" s="4386"/>
      <c r="FB1" s="4386"/>
      <c r="FC1" s="4386"/>
      <c r="FD1" s="4386"/>
      <c r="FE1" s="4386"/>
      <c r="FF1" s="4386"/>
      <c r="FG1" s="4386"/>
      <c r="FH1" s="4386"/>
      <c r="FI1" s="4386"/>
      <c r="FJ1" s="4386"/>
      <c r="FK1" s="4386"/>
      <c r="FL1" s="4386"/>
      <c r="FM1" s="4386"/>
      <c r="FN1" s="4386"/>
      <c r="FO1" s="4386"/>
      <c r="FP1" s="4386"/>
      <c r="FQ1" s="4386"/>
      <c r="FR1" s="4386"/>
      <c r="FS1" s="4386"/>
      <c r="FT1" s="4386"/>
      <c r="FU1" s="4386"/>
      <c r="FV1" s="4386"/>
      <c r="FW1" s="4386"/>
      <c r="FX1" s="4386"/>
      <c r="FY1" s="4386"/>
      <c r="FZ1" s="4386"/>
      <c r="GA1" s="4386"/>
      <c r="GB1" s="4386"/>
      <c r="GC1" s="4386"/>
      <c r="GD1" s="4386"/>
      <c r="GE1" s="4386"/>
      <c r="GF1" s="4386"/>
      <c r="GG1" s="4386"/>
      <c r="GH1" s="4386"/>
      <c r="GI1" s="4386"/>
      <c r="GJ1" s="4386"/>
      <c r="GK1" s="4386"/>
      <c r="GL1" s="4386"/>
      <c r="GM1" s="4386"/>
      <c r="GN1" s="4386"/>
      <c r="GO1" s="4386"/>
      <c r="GP1" s="4386"/>
      <c r="GQ1" s="4386"/>
      <c r="GR1" s="4386"/>
      <c r="GS1" s="4386"/>
      <c r="GT1" s="4386"/>
      <c r="GU1" s="4386"/>
      <c r="GV1" s="4386"/>
      <c r="GW1" s="4386"/>
      <c r="GX1" s="4386"/>
      <c r="GY1" s="4386"/>
      <c r="GZ1" s="4386"/>
      <c r="HA1" s="4386"/>
      <c r="HB1" s="4386"/>
      <c r="HC1" s="4386"/>
      <c r="HD1" s="4386"/>
      <c r="HE1" s="4386"/>
      <c r="HF1" s="4386"/>
      <c r="HG1" s="4386"/>
      <c r="HH1" s="4386"/>
      <c r="HI1" s="4386"/>
      <c r="HJ1" s="4386"/>
      <c r="HK1" s="4386"/>
      <c r="HL1" s="4386"/>
      <c r="HM1" s="4386"/>
      <c r="HN1" s="4386"/>
      <c r="HO1" s="4386"/>
      <c r="HP1" s="4386"/>
      <c r="HQ1" s="4386"/>
      <c r="HR1" s="4386"/>
      <c r="HS1" s="4386"/>
      <c r="HT1" s="4386"/>
      <c r="HU1" s="4386"/>
      <c r="HV1" s="4386"/>
      <c r="HW1" s="4386"/>
      <c r="HX1" s="4386"/>
      <c r="HY1" s="4386"/>
      <c r="HZ1" s="4386"/>
      <c r="IA1" s="4386"/>
      <c r="IB1" s="4386"/>
      <c r="IC1" s="4386"/>
      <c r="ID1" s="4386"/>
      <c r="IE1" s="4386"/>
      <c r="IF1" s="4386"/>
      <c r="IG1" s="4386"/>
      <c r="IH1" s="4386"/>
      <c r="II1" s="4386"/>
      <c r="IJ1" s="4386"/>
      <c r="IK1" s="4386"/>
      <c r="IL1" s="4386"/>
      <c r="IM1" s="4386"/>
      <c r="IN1" s="4386"/>
      <c r="IO1" s="4386"/>
      <c r="IP1" s="4386"/>
      <c r="IQ1" s="4386"/>
      <c r="IR1" s="4386"/>
      <c r="IS1" s="4386"/>
      <c r="IT1" s="4386"/>
      <c r="IU1" s="4386"/>
      <c r="IV1" s="4386"/>
      <c r="IW1" s="4386"/>
      <c r="IX1" s="4386"/>
      <c r="IY1" s="4386"/>
      <c r="IZ1" s="4386"/>
      <c r="JA1" s="4386"/>
      <c r="JB1" s="4386"/>
      <c r="JC1" s="4386"/>
      <c r="JD1" s="4386"/>
      <c r="JE1" s="4386"/>
      <c r="JF1" s="4386"/>
      <c r="JG1" s="4386"/>
      <c r="JH1" s="4386"/>
      <c r="JI1" s="4386"/>
      <c r="JJ1" s="4386"/>
      <c r="JK1" s="4386"/>
      <c r="JL1" s="4386"/>
      <c r="JM1" s="4386"/>
      <c r="JN1" s="4386"/>
      <c r="JO1" s="4386"/>
      <c r="JP1" s="4386"/>
      <c r="JQ1" s="4386"/>
      <c r="JR1" s="4386"/>
      <c r="JS1" s="4386"/>
      <c r="JT1" s="4386"/>
      <c r="JU1" s="4386"/>
      <c r="JV1" s="4386"/>
      <c r="JW1" s="4386"/>
      <c r="JX1" s="4386"/>
      <c r="JY1" s="4386"/>
      <c r="JZ1" s="4386"/>
      <c r="KA1" s="4386"/>
      <c r="KB1" s="4386"/>
      <c r="KC1" s="4386"/>
      <c r="KD1" s="4386"/>
      <c r="KE1" s="4386"/>
      <c r="KF1" s="4386"/>
      <c r="KG1" s="4386"/>
      <c r="KH1" s="4386"/>
      <c r="KI1" s="4386"/>
      <c r="KJ1" s="4386"/>
      <c r="KK1" s="4386"/>
      <c r="KL1" s="4386"/>
      <c r="KM1" s="4386"/>
      <c r="KN1" s="4386"/>
      <c r="KO1" s="4386"/>
      <c r="KP1" s="4386"/>
      <c r="KQ1" s="4386"/>
      <c r="KR1" s="4386"/>
      <c r="KS1" s="4386"/>
      <c r="KT1" s="4386"/>
      <c r="KU1" s="4386"/>
      <c r="KV1" s="4386"/>
      <c r="KW1" s="4386"/>
      <c r="KX1" s="4386"/>
      <c r="KY1" s="4386"/>
      <c r="KZ1" s="4386"/>
      <c r="LA1" s="4386"/>
      <c r="LB1" s="4386"/>
      <c r="LC1" s="4386"/>
      <c r="LD1" s="4386"/>
      <c r="LE1" s="4386"/>
      <c r="LF1" s="4386"/>
      <c r="LG1" s="4386"/>
      <c r="LH1" s="4386"/>
      <c r="LI1" s="4386"/>
      <c r="LJ1" s="4386"/>
      <c r="LK1" s="4386"/>
      <c r="LL1" s="4386"/>
      <c r="LM1" s="4386"/>
      <c r="LN1" s="4386"/>
      <c r="LO1" s="4386"/>
      <c r="LP1" s="4386"/>
      <c r="LQ1" s="4386"/>
      <c r="LR1" s="4386"/>
      <c r="LS1" s="4386"/>
      <c r="LT1" s="4386"/>
      <c r="LU1" s="4386"/>
      <c r="LV1" s="4386"/>
      <c r="LW1" s="4386"/>
      <c r="LX1" s="4386"/>
      <c r="LY1" s="4386"/>
      <c r="LZ1" s="4386"/>
      <c r="MA1" s="4386"/>
      <c r="MB1" s="4386"/>
      <c r="MC1" s="4386"/>
      <c r="MD1" s="4386"/>
      <c r="ME1" s="4386"/>
      <c r="MF1" s="4386"/>
      <c r="MG1" s="4386"/>
      <c r="MH1" s="4386"/>
      <c r="MI1" s="4386"/>
    </row>
    <row r="2" spans="1:347" s="1771" customFormat="1" ht="14" x14ac:dyDescent="0.2"/>
    <row r="3" spans="1:347" s="1771" customFormat="1" ht="14" x14ac:dyDescent="0.2"/>
    <row r="4" spans="1:347" s="1771" customFormat="1" ht="14" x14ac:dyDescent="0.2"/>
    <row r="5" spans="1:347" s="1771" customFormat="1" ht="14" x14ac:dyDescent="0.2"/>
    <row r="6" spans="1:347" ht="47.25" customHeight="1" x14ac:dyDescent="0.2">
      <c r="A6" s="1771"/>
      <c r="B6" s="1767"/>
      <c r="C6" s="2168" t="str">
        <f>Languages!B569</f>
        <v>8.1. Small-scale fisheries (marine and inland)</v>
      </c>
      <c r="D6" s="2168"/>
      <c r="E6" s="2053"/>
      <c r="F6" s="1769"/>
      <c r="G6" s="1769"/>
      <c r="H6" s="1769"/>
      <c r="I6" s="1769"/>
      <c r="J6" s="1769"/>
      <c r="K6" s="1769"/>
      <c r="L6" s="1769"/>
      <c r="M6" s="1769"/>
      <c r="N6" s="1769"/>
      <c r="O6" s="1769"/>
      <c r="P6" s="1769"/>
      <c r="Q6" s="1769"/>
      <c r="R6" s="1769"/>
      <c r="S6" s="1769"/>
      <c r="T6" s="1769"/>
      <c r="U6" s="1769"/>
      <c r="V6" s="1769"/>
      <c r="W6" s="1769"/>
      <c r="X6" s="1769"/>
      <c r="Y6" s="1769"/>
      <c r="Z6" s="1769"/>
      <c r="AA6" s="1769"/>
      <c r="AB6" s="1769"/>
      <c r="AC6" s="1769"/>
      <c r="AD6" s="1769"/>
      <c r="AE6" s="1769"/>
      <c r="AF6" s="1767"/>
      <c r="AG6" s="1978" t="str">
        <f>'7.Coastal wetlands'!AG4</f>
        <v>If country-specific data are available, please go to Tier 2:</v>
      </c>
      <c r="AH6" s="1769"/>
      <c r="AI6" s="1769"/>
      <c r="AJ6" s="1769"/>
      <c r="AK6" s="1771"/>
      <c r="AL6" s="1771"/>
      <c r="AM6" s="1771"/>
      <c r="AN6" s="1771"/>
      <c r="AO6" s="1771"/>
      <c r="AP6" s="1771"/>
      <c r="AQ6" s="1771"/>
      <c r="AR6" s="1771"/>
      <c r="AS6" s="1771"/>
      <c r="AT6" s="1771"/>
      <c r="AU6" s="1771"/>
      <c r="AV6" s="1771"/>
      <c r="AW6" s="1771"/>
      <c r="AX6" s="1771"/>
      <c r="AY6" s="1771"/>
      <c r="AZ6" s="1771"/>
      <c r="BA6" s="1771"/>
      <c r="BB6" s="1771"/>
      <c r="BC6" s="1771"/>
      <c r="BD6" s="1771"/>
      <c r="BE6" s="1771"/>
      <c r="BF6" s="1771"/>
      <c r="BG6" s="1771"/>
      <c r="BH6" s="1771"/>
      <c r="BI6" s="1771"/>
      <c r="BJ6" s="1771"/>
      <c r="BK6" s="1771"/>
      <c r="BL6" s="1771"/>
      <c r="BM6" s="1771"/>
      <c r="BN6" s="1771"/>
      <c r="BO6" s="1771"/>
      <c r="BP6" s="1771"/>
      <c r="BQ6" s="4212"/>
      <c r="BR6" s="4213" t="str">
        <f>C6</f>
        <v>8.1. Small-scale fisheries (marine and inland)</v>
      </c>
      <c r="BS6" s="2168"/>
      <c r="BT6" s="2168"/>
      <c r="BU6" s="2168"/>
      <c r="BV6" s="2168"/>
      <c r="BW6" s="2168"/>
      <c r="BX6" s="2168"/>
      <c r="BY6" s="2168"/>
      <c r="BZ6" s="2168"/>
      <c r="CA6" s="2168"/>
      <c r="CB6" s="2168"/>
      <c r="CC6" s="2168"/>
      <c r="CD6" s="2168"/>
      <c r="CE6" s="2168"/>
      <c r="CF6" s="2168"/>
      <c r="CG6" s="2168"/>
      <c r="CH6" s="2168"/>
      <c r="CI6" s="2168"/>
      <c r="CJ6" s="2168"/>
      <c r="CK6" s="2168"/>
      <c r="CL6" s="1771"/>
      <c r="CM6" s="4366" t="s">
        <v>71</v>
      </c>
      <c r="CN6" s="4366"/>
      <c r="CO6" s="4366"/>
      <c r="CP6" s="1771"/>
      <c r="CQ6" s="1771"/>
      <c r="CR6" s="1771"/>
      <c r="CS6" s="1771"/>
      <c r="CT6" s="1771"/>
      <c r="CU6" s="1771"/>
      <c r="CV6" s="1771"/>
      <c r="CW6" s="1771"/>
      <c r="CX6" s="1771"/>
      <c r="CY6" s="1771"/>
    </row>
    <row r="7" spans="1:347" ht="17" x14ac:dyDescent="0.2">
      <c r="A7" s="1771"/>
      <c r="B7" s="1771"/>
      <c r="C7" s="1771"/>
      <c r="D7" s="1771"/>
      <c r="E7" s="1771"/>
      <c r="F7" s="1771"/>
      <c r="G7" s="1771"/>
      <c r="H7" s="1771"/>
      <c r="I7" s="1771"/>
      <c r="J7" s="1771"/>
      <c r="K7" s="1771"/>
      <c r="L7" s="1771"/>
      <c r="M7" s="1771"/>
      <c r="N7" s="1771"/>
      <c r="O7" s="1771"/>
      <c r="P7" s="1771"/>
      <c r="Q7" s="1771"/>
      <c r="R7" s="1771"/>
      <c r="S7" s="1771"/>
      <c r="T7" s="1771"/>
      <c r="U7" s="1771"/>
      <c r="V7" s="1771"/>
      <c r="W7" s="1771"/>
      <c r="X7" s="1771"/>
      <c r="Y7" s="1771"/>
      <c r="Z7" s="1771"/>
      <c r="AA7" s="1771"/>
      <c r="AB7" s="1771"/>
      <c r="AC7" s="1771"/>
      <c r="AD7" s="1771"/>
      <c r="AE7" s="1771"/>
      <c r="AF7" s="1771"/>
      <c r="AG7" s="1771"/>
      <c r="AH7" s="1771"/>
      <c r="AI7" s="1771"/>
      <c r="AJ7" s="1771"/>
      <c r="AK7" s="1771"/>
      <c r="AL7" s="1771"/>
      <c r="AM7" s="1771"/>
      <c r="AN7" s="1771"/>
      <c r="AO7" s="1771"/>
      <c r="AP7" s="1771"/>
      <c r="AQ7" s="1771"/>
      <c r="AR7" s="1771"/>
      <c r="AS7" s="1771"/>
      <c r="AT7" s="1771"/>
      <c r="AU7" s="1771"/>
      <c r="AV7" s="1771"/>
      <c r="AW7" s="1771"/>
      <c r="AX7" s="1771"/>
      <c r="AY7" s="1771"/>
      <c r="AZ7" s="1771"/>
      <c r="BA7" s="1771"/>
      <c r="BB7" s="1771"/>
      <c r="BC7" s="1771"/>
      <c r="BD7" s="1771"/>
      <c r="BE7" s="1771"/>
      <c r="BF7" s="1771"/>
      <c r="BG7" s="1771"/>
      <c r="BH7" s="1771"/>
      <c r="BI7" s="1771"/>
      <c r="BJ7" s="1771"/>
      <c r="BK7" s="1771"/>
      <c r="BL7" s="1771"/>
      <c r="BM7" s="1771"/>
      <c r="BN7" s="1771"/>
      <c r="BO7" s="1771"/>
      <c r="BP7" s="1771"/>
      <c r="BQ7" s="1782"/>
      <c r="BR7" s="1782"/>
      <c r="BS7" s="1782"/>
      <c r="BT7" s="1782"/>
      <c r="BU7" s="1782"/>
      <c r="BV7" s="1782"/>
      <c r="BW7" s="1782"/>
      <c r="BX7" s="1782"/>
      <c r="BY7" s="1782"/>
      <c r="BZ7" s="1782"/>
      <c r="CA7" s="1782"/>
      <c r="CB7" s="1782"/>
      <c r="CC7" s="1782"/>
      <c r="CD7" s="1782"/>
      <c r="CE7" s="1782"/>
      <c r="CF7" s="1782"/>
      <c r="CG7" s="1782"/>
      <c r="CH7" s="1782"/>
      <c r="CI7" s="1782"/>
      <c r="CJ7" s="1782"/>
      <c r="CK7" s="1782"/>
      <c r="CL7" s="1771"/>
      <c r="CM7" s="1915"/>
      <c r="CN7" s="1915"/>
      <c r="CO7" s="1771"/>
      <c r="CP7" s="1771"/>
      <c r="CQ7" s="1771"/>
      <c r="CR7" s="1771"/>
      <c r="CS7" s="1771"/>
      <c r="CT7" s="1771"/>
      <c r="CU7" s="1771"/>
      <c r="CV7" s="1771"/>
      <c r="CW7" s="1771"/>
      <c r="CX7" s="1771"/>
      <c r="CY7" s="1771"/>
    </row>
    <row r="8" spans="1:347" x14ac:dyDescent="0.2">
      <c r="A8" s="1771"/>
      <c r="B8" s="1781"/>
      <c r="C8" s="1781" t="str">
        <f>Languages!B572</f>
        <v>Inputs &amp; Investments module can be used to complement this section</v>
      </c>
      <c r="D8" s="1781"/>
      <c r="E8" s="1781"/>
      <c r="F8" s="1781"/>
      <c r="G8" s="1781"/>
      <c r="H8" s="1781"/>
      <c r="I8" s="1781"/>
      <c r="J8" s="1781"/>
      <c r="K8" s="1781"/>
      <c r="L8" s="1781"/>
      <c r="M8" s="1781"/>
      <c r="N8" s="1781"/>
      <c r="O8" s="1781"/>
      <c r="P8" s="1781"/>
      <c r="Q8" s="1781"/>
      <c r="R8" s="1781"/>
      <c r="S8" s="1781"/>
      <c r="T8" s="1781"/>
      <c r="U8" s="1781"/>
      <c r="V8" s="1781"/>
      <c r="W8" s="1781"/>
      <c r="X8" s="1781"/>
      <c r="Y8" s="1781"/>
      <c r="Z8" s="1781"/>
      <c r="AA8" s="1781"/>
      <c r="AB8" s="1781"/>
      <c r="AC8" s="1781"/>
      <c r="AD8" s="1781"/>
      <c r="AE8" s="1781"/>
      <c r="AF8" s="1781"/>
      <c r="AG8" s="1781"/>
      <c r="AH8" s="1781"/>
      <c r="AI8" s="1781"/>
      <c r="AJ8" s="1781"/>
      <c r="AK8" s="1771"/>
      <c r="AL8" s="1771"/>
      <c r="AM8" s="1771"/>
      <c r="AN8" s="1771"/>
      <c r="AO8" s="1771"/>
      <c r="AP8" s="1771"/>
      <c r="AQ8" s="1771"/>
      <c r="AR8" s="1771"/>
      <c r="AS8" s="1771"/>
      <c r="AT8" s="1771"/>
      <c r="AU8" s="1771"/>
      <c r="AV8" s="1771"/>
      <c r="AW8" s="1771"/>
      <c r="AX8" s="1771"/>
      <c r="AY8" s="1771"/>
      <c r="AZ8" s="1771"/>
      <c r="BA8" s="1771"/>
      <c r="BB8" s="1771"/>
      <c r="BC8" s="1771"/>
      <c r="BD8" s="1771"/>
      <c r="BE8" s="1771"/>
      <c r="BF8" s="1771"/>
      <c r="BG8" s="1771"/>
      <c r="BH8" s="1771"/>
      <c r="BI8" s="1771"/>
      <c r="BJ8" s="1771"/>
      <c r="BK8" s="1771"/>
      <c r="BL8" s="1771"/>
      <c r="BM8" s="1771"/>
      <c r="BN8" s="1771"/>
      <c r="BO8" s="1771"/>
      <c r="BP8" s="1771"/>
      <c r="BQ8" s="1782"/>
      <c r="BR8" s="1782"/>
      <c r="BS8" s="1782"/>
      <c r="BT8" s="1782"/>
      <c r="BU8" s="1782" t="str">
        <f>Languages!B595</f>
        <v>Emission factor (tCO2-e/m3)</v>
      </c>
      <c r="BV8" s="4221"/>
      <c r="BW8" s="4221"/>
      <c r="BX8" s="4221"/>
      <c r="BY8" s="4221"/>
      <c r="BZ8" s="4221"/>
      <c r="CA8" s="1782"/>
      <c r="CB8" s="1782"/>
      <c r="CC8" s="1782"/>
      <c r="CD8" s="1782"/>
      <c r="CE8" s="2334" t="str">
        <f>Languages!B597</f>
        <v>On-board leakage from refrigeration systems</v>
      </c>
      <c r="CF8" s="1785"/>
      <c r="CG8" s="1785"/>
      <c r="CH8" s="1785"/>
      <c r="CI8" s="1785"/>
      <c r="CJ8" s="1785"/>
      <c r="CK8" s="1782"/>
      <c r="CL8" s="1771"/>
      <c r="CM8" s="1889" t="s">
        <v>74</v>
      </c>
      <c r="CN8" s="1889"/>
      <c r="CO8" s="1996"/>
      <c r="CP8" s="1771"/>
      <c r="CQ8" s="1771"/>
      <c r="CR8" s="1771"/>
      <c r="CS8" s="1771"/>
      <c r="CT8" s="1771"/>
      <c r="CU8" s="1771"/>
      <c r="CV8" s="1771"/>
      <c r="CW8" s="1771"/>
      <c r="CX8" s="1771"/>
      <c r="CY8" s="1771"/>
    </row>
    <row r="9" spans="1:347" x14ac:dyDescent="0.2">
      <c r="A9" s="1771"/>
      <c r="B9" s="1781"/>
      <c r="C9" s="1826"/>
      <c r="D9" s="1781"/>
      <c r="E9" s="1781"/>
      <c r="F9" s="1781"/>
      <c r="G9" s="1781"/>
      <c r="H9" s="1781"/>
      <c r="I9" s="1781"/>
      <c r="J9" s="1781"/>
      <c r="K9" s="1781"/>
      <c r="L9" s="1781"/>
      <c r="M9" s="1781"/>
      <c r="N9" s="1781"/>
      <c r="O9" s="1781"/>
      <c r="P9" s="1781"/>
      <c r="Q9" s="1781"/>
      <c r="R9" s="1781"/>
      <c r="S9" s="1781"/>
      <c r="T9" s="1781"/>
      <c r="U9" s="1781"/>
      <c r="V9" s="1781"/>
      <c r="W9" s="1781"/>
      <c r="X9" s="1781"/>
      <c r="Y9" s="1781"/>
      <c r="Z9" s="1781"/>
      <c r="AA9" s="1781"/>
      <c r="AB9" s="1781"/>
      <c r="AC9" s="1781"/>
      <c r="AD9" s="1781"/>
      <c r="AE9" s="1781"/>
      <c r="AF9" s="1781"/>
      <c r="AG9" s="1781"/>
      <c r="AH9" s="1781"/>
      <c r="AI9" s="1781"/>
      <c r="AJ9" s="1781"/>
      <c r="AK9" s="1771"/>
      <c r="AL9" s="1771"/>
      <c r="AM9" s="1771"/>
      <c r="AN9" s="1771"/>
      <c r="AO9" s="1771"/>
      <c r="AP9" s="1771"/>
      <c r="AQ9" s="1771"/>
      <c r="AR9" s="1771"/>
      <c r="AS9" s="1771"/>
      <c r="AT9" s="1771"/>
      <c r="AU9" s="1771"/>
      <c r="AV9" s="1771"/>
      <c r="AW9" s="1771"/>
      <c r="AX9" s="1771"/>
      <c r="AY9" s="1771"/>
      <c r="AZ9" s="1771"/>
      <c r="BA9" s="1771"/>
      <c r="BB9" s="1771"/>
      <c r="BC9" s="1771"/>
      <c r="BD9" s="1771"/>
      <c r="BE9" s="1771"/>
      <c r="BF9" s="1771"/>
      <c r="BG9" s="1771"/>
      <c r="BH9" s="1771"/>
      <c r="BI9" s="1771"/>
      <c r="BJ9" s="1771"/>
      <c r="BK9" s="1771"/>
      <c r="BL9" s="1771"/>
      <c r="BM9" s="1771"/>
      <c r="BN9" s="1771"/>
      <c r="BO9" s="1771"/>
      <c r="BP9" s="1771"/>
      <c r="BQ9" s="1782"/>
      <c r="BR9" s="1782"/>
      <c r="BS9" s="1782"/>
      <c r="BT9" s="1782"/>
      <c r="BU9" s="1782"/>
      <c r="BV9" s="2602" t="str">
        <f>Languages!B610</f>
        <v>Gasoil/Diesel</v>
      </c>
      <c r="BW9" s="2602"/>
      <c r="BX9" s="2340">
        <f>AVERAGE(IPCC!B1739:B1741)</f>
        <v>2.5722345859999991</v>
      </c>
      <c r="BY9" s="1782"/>
      <c r="BZ9" s="2125"/>
      <c r="CA9" s="1782"/>
      <c r="CB9" s="1782"/>
      <c r="CC9" s="1782"/>
      <c r="CD9" s="1782"/>
      <c r="CE9" s="1782"/>
      <c r="CF9" s="1782"/>
      <c r="CG9" s="1782"/>
      <c r="CH9" s="1782" t="str">
        <f>Languages!B599</f>
        <v>Quantity lost (kg refrigerant)</v>
      </c>
      <c r="CI9" s="1782"/>
      <c r="CJ9" s="1782"/>
      <c r="CK9" s="1782"/>
      <c r="CL9" s="1771"/>
      <c r="CM9" s="2014" t="s">
        <v>82</v>
      </c>
      <c r="CN9" s="2014"/>
      <c r="CO9" s="1996"/>
      <c r="CP9" s="1771"/>
      <c r="CQ9" s="1771"/>
      <c r="CR9" s="1771"/>
      <c r="CS9" s="1771"/>
      <c r="CT9" s="1771"/>
      <c r="CU9" s="1771"/>
      <c r="CV9" s="1771"/>
      <c r="CW9" s="1771"/>
      <c r="CX9" s="1771"/>
      <c r="CY9" s="1771"/>
    </row>
    <row r="10" spans="1:347" ht="15" customHeight="1" x14ac:dyDescent="0.2">
      <c r="A10" s="1771"/>
      <c r="B10" s="1781"/>
      <c r="C10" s="1826" t="str">
        <f>Languages!B573</f>
        <v>Fishing operations (based on fuel use intensity, FUI, values)</v>
      </c>
      <c r="D10" s="1781"/>
      <c r="E10" s="1781"/>
      <c r="F10" s="1781"/>
      <c r="G10" s="1781"/>
      <c r="H10" s="1781"/>
      <c r="I10" s="1781"/>
      <c r="J10" s="1781"/>
      <c r="K10" s="1781"/>
      <c r="L10" s="1781"/>
      <c r="M10" s="1781"/>
      <c r="N10" s="1781"/>
      <c r="O10" s="1781"/>
      <c r="P10" s="1781"/>
      <c r="Q10" s="1781"/>
      <c r="R10" s="1781"/>
      <c r="S10" s="1781"/>
      <c r="T10" s="1781"/>
      <c r="U10" s="1781"/>
      <c r="V10" s="1781"/>
      <c r="W10" s="1781"/>
      <c r="X10" s="1781"/>
      <c r="Y10" s="1781"/>
      <c r="Z10" s="1781"/>
      <c r="AA10" s="1781"/>
      <c r="AB10" s="1781"/>
      <c r="AC10" s="1781"/>
      <c r="AD10" s="1781"/>
      <c r="AE10" s="1781"/>
      <c r="AF10" s="1781"/>
      <c r="AG10" s="1781"/>
      <c r="AH10" s="1781"/>
      <c r="AI10" s="1781"/>
      <c r="AJ10" s="1781"/>
      <c r="AK10" s="1771"/>
      <c r="AL10" s="1771"/>
      <c r="AM10" s="1771"/>
      <c r="AN10" s="1771"/>
      <c r="AO10" s="1771"/>
      <c r="AP10" s="1771"/>
      <c r="AQ10" s="1771"/>
      <c r="AR10" s="1771"/>
      <c r="AS10" s="1771"/>
      <c r="AT10" s="1771"/>
      <c r="AU10" s="1771"/>
      <c r="AV10" s="1771"/>
      <c r="AW10" s="1771"/>
      <c r="AX10" s="1771"/>
      <c r="AY10" s="1771"/>
      <c r="AZ10" s="1771"/>
      <c r="BA10" s="1771"/>
      <c r="BB10" s="1771"/>
      <c r="BC10" s="1771"/>
      <c r="BD10" s="1771"/>
      <c r="BE10" s="1771"/>
      <c r="BF10" s="1771"/>
      <c r="BG10" s="1771"/>
      <c r="BH10" s="1771"/>
      <c r="BI10" s="1771"/>
      <c r="BJ10" s="1771"/>
      <c r="BK10" s="1771"/>
      <c r="BL10" s="1771"/>
      <c r="BM10" s="1771"/>
      <c r="BN10" s="1771"/>
      <c r="BO10" s="1771"/>
      <c r="BP10" s="1771"/>
      <c r="BQ10" s="1782"/>
      <c r="BR10" s="1782"/>
      <c r="BS10" s="1782"/>
      <c r="BT10" s="1782"/>
      <c r="BU10" s="1782"/>
      <c r="BV10" s="1782"/>
      <c r="BW10" s="1782"/>
      <c r="BX10" s="1782"/>
      <c r="BY10" s="1782"/>
      <c r="BZ10" s="1782"/>
      <c r="CA10" s="1782"/>
      <c r="CB10" s="1782"/>
      <c r="CC10" s="1782"/>
      <c r="CD10" s="1782"/>
      <c r="CE10" s="4575" t="str">
        <f>Languages!B598</f>
        <v>Refrigerant lost per tonne of landed catch</v>
      </c>
      <c r="CF10" s="4575"/>
      <c r="CG10" s="4575"/>
      <c r="CH10" s="2151" t="str">
        <f>Languages!B16</f>
        <v>Default</v>
      </c>
      <c r="CI10" s="2151" t="str">
        <f>Languages!B17</f>
        <v>Tier 2</v>
      </c>
      <c r="CJ10" s="1782"/>
      <c r="CK10" s="1782"/>
      <c r="CL10" s="1771"/>
      <c r="CM10" s="1996"/>
      <c r="CN10" s="1996"/>
      <c r="CO10" s="1996"/>
      <c r="CP10" s="1771"/>
      <c r="CQ10" s="1771"/>
      <c r="CR10" s="1771"/>
      <c r="CS10" s="1771"/>
      <c r="CT10" s="1771"/>
      <c r="CU10" s="1771"/>
      <c r="CV10" s="1771"/>
      <c r="CW10" s="1771"/>
      <c r="CX10" s="1771"/>
      <c r="CY10" s="1771"/>
    </row>
    <row r="11" spans="1:347" ht="15" customHeight="1" x14ac:dyDescent="0.2">
      <c r="A11" s="1771"/>
      <c r="B11" s="1781"/>
      <c r="C11" s="1781"/>
      <c r="D11" s="1781"/>
      <c r="E11" s="1781"/>
      <c r="F11" s="1781"/>
      <c r="G11" s="1781"/>
      <c r="H11" s="1826" t="str">
        <f>Languages!B576</f>
        <v>% with refrigerant systems</v>
      </c>
      <c r="I11" s="1826"/>
      <c r="J11" s="1826"/>
      <c r="K11" s="1826"/>
      <c r="L11" s="1826"/>
      <c r="M11" s="1826"/>
      <c r="N11" s="1826"/>
      <c r="O11" s="1826"/>
      <c r="P11" s="1826" t="str">
        <f>Languages!B577</f>
        <v>Changes in FUI management (litre/tonne)</v>
      </c>
      <c r="Q11" s="1826"/>
      <c r="R11" s="1826"/>
      <c r="S11" s="1826"/>
      <c r="T11" s="1826"/>
      <c r="U11" s="1826"/>
      <c r="V11" s="1826"/>
      <c r="W11" s="1826"/>
      <c r="X11" s="1826" t="str">
        <f>Languages!B578</f>
        <v>Total catch per year (tonne/year)</v>
      </c>
      <c r="Y11" s="1826"/>
      <c r="Z11" s="1826"/>
      <c r="AA11" s="1781"/>
      <c r="AB11" s="1781"/>
      <c r="AC11" s="1781"/>
      <c r="AD11" s="1781"/>
      <c r="AE11" s="1826" t="str">
        <f>Languages!B9</f>
        <v>Total emissions (tCO2-e)</v>
      </c>
      <c r="AF11" s="1826"/>
      <c r="AG11" s="1826"/>
      <c r="AH11" s="1826"/>
      <c r="AI11" s="1780" t="str">
        <f>Languages!B10</f>
        <v>Balance</v>
      </c>
      <c r="AJ11" s="1781"/>
      <c r="AK11" s="1771"/>
      <c r="AL11" s="1771"/>
      <c r="AM11" s="1771"/>
      <c r="AN11" s="1771"/>
      <c r="AO11" s="1771"/>
      <c r="AP11" s="1771"/>
      <c r="AQ11" s="1771"/>
      <c r="AR11" s="1771"/>
      <c r="AS11" s="1771"/>
      <c r="AT11" s="1771"/>
      <c r="AU11" s="1771"/>
      <c r="AV11" s="1771"/>
      <c r="AW11" s="1771"/>
      <c r="AX11" s="1771"/>
      <c r="AY11" s="1771"/>
      <c r="AZ11" s="1771"/>
      <c r="BA11" s="1771"/>
      <c r="BB11" s="1771"/>
      <c r="BC11" s="1771"/>
      <c r="BD11" s="1771"/>
      <c r="BE11" s="1771"/>
      <c r="BF11" s="1771"/>
      <c r="BG11" s="1771"/>
      <c r="BH11" s="1771"/>
      <c r="BI11" s="1771"/>
      <c r="BJ11" s="1771"/>
      <c r="BK11" s="1771"/>
      <c r="BL11" s="1771"/>
      <c r="BM11" s="1771"/>
      <c r="BN11" s="1771"/>
      <c r="BO11" s="1771"/>
      <c r="BP11" s="1771"/>
      <c r="BQ11" s="1782"/>
      <c r="BR11" s="1782"/>
      <c r="BS11" s="1782"/>
      <c r="BT11" s="1782"/>
      <c r="BU11" s="1782"/>
      <c r="BV11" s="2330" t="str">
        <f>Languages!B596</f>
        <v>Emission factor (tCO2eq/t catch)</v>
      </c>
      <c r="BW11" s="2330"/>
      <c r="BX11" s="2330"/>
      <c r="BY11" s="2330"/>
      <c r="BZ11" s="2330"/>
      <c r="CA11" s="1782"/>
      <c r="CB11" s="1782"/>
      <c r="CC11" s="1782"/>
      <c r="CD11" s="1782"/>
      <c r="CE11" s="4575"/>
      <c r="CF11" s="4575"/>
      <c r="CG11" s="4575"/>
      <c r="CH11" s="2151">
        <f>'Fish and aqua'!C27</f>
        <v>8.3000000000000004E-2</v>
      </c>
      <c r="CI11" s="2125"/>
      <c r="CJ11" s="1782"/>
      <c r="CK11" s="1782"/>
      <c r="CL11" s="1771"/>
      <c r="CM11" s="1996"/>
      <c r="CN11" s="1996"/>
      <c r="CO11" s="1996"/>
      <c r="CP11" s="1771"/>
      <c r="CQ11" s="1771"/>
      <c r="CR11" s="1771"/>
      <c r="CS11" s="1771"/>
      <c r="CT11" s="1771"/>
      <c r="CU11" s="1771"/>
      <c r="CV11" s="1771"/>
      <c r="CW11" s="1771"/>
      <c r="CX11" s="1771"/>
      <c r="CY11" s="1771"/>
    </row>
    <row r="12" spans="1:347" ht="30" x14ac:dyDescent="0.2">
      <c r="A12" s="1771"/>
      <c r="B12" s="1781"/>
      <c r="C12" s="4226" t="str">
        <f>Languages!B574</f>
        <v>Type of fishery</v>
      </c>
      <c r="D12" s="1781"/>
      <c r="E12" s="1781" t="str">
        <f>Languages!B575</f>
        <v>Gear Category</v>
      </c>
      <c r="F12" s="1781"/>
      <c r="G12" s="1781"/>
      <c r="H12" s="1806" t="str">
        <f>Languages!B11</f>
        <v>Start</v>
      </c>
      <c r="I12" s="1806"/>
      <c r="J12" s="1806" t="str">
        <f>Languages!B12</f>
        <v>Without</v>
      </c>
      <c r="K12" s="1806"/>
      <c r="L12" s="1806" t="str">
        <f>Languages!B13</f>
        <v>With</v>
      </c>
      <c r="M12" s="1781"/>
      <c r="N12" s="4448" t="str">
        <f>Languages!B587</f>
        <v>Refrigerant GWP</v>
      </c>
      <c r="O12" s="1781"/>
      <c r="P12" s="1806" t="str">
        <f>Languages!B16</f>
        <v>Default</v>
      </c>
      <c r="Q12" s="1806"/>
      <c r="R12" s="1806" t="str">
        <f>H12</f>
        <v>Start</v>
      </c>
      <c r="S12" s="1781"/>
      <c r="T12" s="1806" t="str">
        <f>J12</f>
        <v>Without</v>
      </c>
      <c r="U12" s="1806" t="str">
        <f>L12</f>
        <v>With</v>
      </c>
      <c r="V12" s="1781"/>
      <c r="W12" s="1781"/>
      <c r="X12" s="1806" t="str">
        <f>H12</f>
        <v>Start</v>
      </c>
      <c r="Y12" s="1806"/>
      <c r="Z12" s="1806" t="str">
        <f>J12</f>
        <v>Without</v>
      </c>
      <c r="AA12" s="1806" t="s">
        <v>83</v>
      </c>
      <c r="AB12" s="1806" t="str">
        <f>L12</f>
        <v>With</v>
      </c>
      <c r="AC12" s="1806" t="s">
        <v>83</v>
      </c>
      <c r="AD12" s="1781"/>
      <c r="AE12" s="1806" t="str">
        <f>'7.Coastal wetlands'!AE45</f>
        <v>Without</v>
      </c>
      <c r="AF12" s="1806"/>
      <c r="AG12" s="1806" t="str">
        <f>'7.Coastal wetlands'!AG45</f>
        <v>With</v>
      </c>
      <c r="AH12" s="1781"/>
      <c r="AI12" s="1781"/>
      <c r="AJ12" s="1781"/>
      <c r="AK12" s="1771"/>
      <c r="AL12" s="1771"/>
      <c r="AM12" s="1771"/>
      <c r="AN12" s="1771"/>
      <c r="AO12" s="1771"/>
      <c r="AP12" s="1771"/>
      <c r="AQ12" s="1771"/>
      <c r="AR12" s="1771"/>
      <c r="AS12" s="1771"/>
      <c r="AT12" s="1771"/>
      <c r="AU12" s="1771"/>
      <c r="AV12" s="1771"/>
      <c r="AW12" s="1771"/>
      <c r="AX12" s="1771"/>
      <c r="AY12" s="1771"/>
      <c r="AZ12" s="1771"/>
      <c r="BA12" s="1771"/>
      <c r="BB12" s="1771"/>
      <c r="BC12" s="1771"/>
      <c r="BD12" s="1771"/>
      <c r="BE12" s="1771"/>
      <c r="BF12" s="1771"/>
      <c r="BG12" s="1771"/>
      <c r="BH12" s="1771"/>
      <c r="BI12" s="1771"/>
      <c r="BJ12" s="1771"/>
      <c r="BK12" s="1771"/>
      <c r="BL12" s="1771"/>
      <c r="BM12" s="1771"/>
      <c r="BN12" s="1771"/>
      <c r="BO12" s="1771"/>
      <c r="BP12" s="1771"/>
      <c r="BQ12" s="1782"/>
      <c r="BR12" s="1783"/>
      <c r="BS12" s="1783"/>
      <c r="BT12" s="1782"/>
      <c r="BU12" s="1782"/>
      <c r="BV12" s="2151" t="str">
        <f>X12</f>
        <v>Start</v>
      </c>
      <c r="BW12" s="2151"/>
      <c r="BX12" s="2151" t="str">
        <f>T12</f>
        <v>Without</v>
      </c>
      <c r="BY12" s="2151"/>
      <c r="BZ12" s="2151" t="str">
        <f>U12</f>
        <v>With</v>
      </c>
      <c r="CA12" s="1782"/>
      <c r="CB12" s="1782"/>
      <c r="CC12" s="1782"/>
      <c r="CD12" s="1782"/>
      <c r="CE12" s="1782"/>
      <c r="CF12" s="1782"/>
      <c r="CG12" s="1782"/>
      <c r="CH12" s="1782"/>
      <c r="CI12" s="1782"/>
      <c r="CJ12" s="1782"/>
      <c r="CK12" s="1782"/>
      <c r="CL12" s="1771"/>
      <c r="CM12" s="1996"/>
      <c r="CN12" s="1996"/>
      <c r="CO12" s="1996"/>
      <c r="CP12" s="1771"/>
      <c r="CQ12" s="1771"/>
      <c r="CR12" s="1771"/>
      <c r="CS12" s="1771"/>
      <c r="CT12" s="1771"/>
      <c r="CU12" s="1771"/>
      <c r="CV12" s="1771"/>
      <c r="CW12" s="1771"/>
      <c r="CX12" s="1771"/>
      <c r="CY12" s="1771"/>
    </row>
    <row r="13" spans="1:347" x14ac:dyDescent="0.2">
      <c r="A13" s="1771"/>
      <c r="B13" s="1781"/>
      <c r="C13" s="2125" t="s">
        <v>2426</v>
      </c>
      <c r="D13" s="1781"/>
      <c r="E13" s="2125" t="s">
        <v>2425</v>
      </c>
      <c r="F13" s="1781"/>
      <c r="G13" s="1781"/>
      <c r="H13" s="4224">
        <v>0</v>
      </c>
      <c r="I13" s="1781"/>
      <c r="J13" s="4224">
        <v>0</v>
      </c>
      <c r="K13" s="1781"/>
      <c r="L13" s="4224">
        <v>0</v>
      </c>
      <c r="M13" s="1781"/>
      <c r="N13" s="4337">
        <f t="shared" ref="N13:N18" si="0">IF($CF$17= "",$CE$17,$CF$17)</f>
        <v>1810</v>
      </c>
      <c r="O13" s="1781"/>
      <c r="P13" s="2582">
        <f>'Fish and aqua'!K6</f>
        <v>1415</v>
      </c>
      <c r="Q13" s="1781"/>
      <c r="R13" s="4336"/>
      <c r="S13" s="1781"/>
      <c r="T13" s="4336"/>
      <c r="U13" s="4336">
        <v>1132</v>
      </c>
      <c r="V13" s="4316" t="str">
        <f>IF('Fish and aqua'!L6 ="not specific", "The Fuel Use Intensity Available is not specific to this type of gear", "")</f>
        <v/>
      </c>
      <c r="W13" s="1781"/>
      <c r="X13" s="2103">
        <v>856</v>
      </c>
      <c r="Y13" s="1781"/>
      <c r="Z13" s="2103">
        <v>856</v>
      </c>
      <c r="AA13" s="2104" t="s">
        <v>86</v>
      </c>
      <c r="AB13" s="2103">
        <v>1000</v>
      </c>
      <c r="AC13" s="2104" t="s">
        <v>86</v>
      </c>
      <c r="AD13" s="1781"/>
      <c r="AE13" s="1841">
        <f>'Fish and aqua'!O16</f>
        <v>46733.901299199584</v>
      </c>
      <c r="AF13" s="1781"/>
      <c r="AG13" s="1841">
        <f>'Fish and aqua'!P16</f>
        <v>44186.102941766585</v>
      </c>
      <c r="AH13" s="1781"/>
      <c r="AI13" s="1806">
        <f t="shared" ref="AI13:AI18" si="1">AG13-AE13</f>
        <v>-2547.7983574329992</v>
      </c>
      <c r="AJ13" s="1781"/>
      <c r="AK13" s="1771"/>
      <c r="AL13" s="1771"/>
      <c r="AM13" s="1771"/>
      <c r="AN13" s="1771"/>
      <c r="AO13" s="1771"/>
      <c r="AP13" s="1771"/>
      <c r="AQ13" s="1771"/>
      <c r="AR13" s="1771"/>
      <c r="AS13" s="1771"/>
      <c r="AT13" s="1771"/>
      <c r="AU13" s="1771"/>
      <c r="AV13" s="1771"/>
      <c r="AW13" s="1771"/>
      <c r="AX13" s="1771"/>
      <c r="AY13" s="1771"/>
      <c r="AZ13" s="1771"/>
      <c r="BA13" s="1771"/>
      <c r="BB13" s="1771"/>
      <c r="BC13" s="1771"/>
      <c r="BD13" s="1771"/>
      <c r="BE13" s="1771"/>
      <c r="BF13" s="1771"/>
      <c r="BG13" s="1771"/>
      <c r="BH13" s="1771"/>
      <c r="BI13" s="1771"/>
      <c r="BJ13" s="1771"/>
      <c r="BK13" s="1771"/>
      <c r="BL13" s="1771"/>
      <c r="BM13" s="1771"/>
      <c r="BN13" s="1771"/>
      <c r="BO13" s="1771"/>
      <c r="BP13" s="1771"/>
      <c r="BQ13" s="1782"/>
      <c r="BR13" s="1782"/>
      <c r="BS13" s="1782"/>
      <c r="BT13" s="1782"/>
      <c r="BU13" s="1782"/>
      <c r="BV13" s="2340">
        <f>'Fish and aqua'!Q6</f>
        <v>3.6397119391899988</v>
      </c>
      <c r="BW13" s="2340"/>
      <c r="BX13" s="2340">
        <f>'Fish and aqua'!R6</f>
        <v>3.6397119391899988</v>
      </c>
      <c r="BY13" s="2340"/>
      <c r="BZ13" s="2340">
        <f>'Fish and aqua'!S6</f>
        <v>2.9117695513519988</v>
      </c>
      <c r="CA13" s="1782"/>
      <c r="CB13" s="1782"/>
      <c r="CC13" s="1782"/>
      <c r="CD13" s="1782"/>
      <c r="CE13" s="1782"/>
      <c r="CF13" s="1782"/>
      <c r="CG13" s="1782"/>
      <c r="CH13" s="1782"/>
      <c r="CI13" s="1782"/>
      <c r="CJ13" s="1782"/>
      <c r="CK13" s="1782"/>
      <c r="CL13" s="1771"/>
      <c r="CM13" s="4363">
        <v>1</v>
      </c>
      <c r="CN13" s="4364"/>
      <c r="CO13" s="1996"/>
      <c r="CP13" s="1771"/>
      <c r="CQ13" s="1771"/>
      <c r="CR13" s="1771"/>
      <c r="CS13" s="1771"/>
      <c r="CT13" s="1771"/>
      <c r="CU13" s="1771"/>
      <c r="CV13" s="1771"/>
      <c r="CW13" s="1771"/>
      <c r="CX13" s="1771"/>
      <c r="CY13" s="1771"/>
    </row>
    <row r="14" spans="1:347" x14ac:dyDescent="0.2">
      <c r="A14" s="1771"/>
      <c r="B14" s="1781"/>
      <c r="C14" s="2125" t="s">
        <v>2426</v>
      </c>
      <c r="D14" s="1781"/>
      <c r="E14" s="2125" t="s">
        <v>2425</v>
      </c>
      <c r="F14" s="1781"/>
      <c r="G14" s="1781"/>
      <c r="H14" s="4224">
        <v>0</v>
      </c>
      <c r="I14" s="1781"/>
      <c r="J14" s="4224">
        <v>0</v>
      </c>
      <c r="K14" s="1781"/>
      <c r="L14" s="4224">
        <v>0</v>
      </c>
      <c r="M14" s="1781"/>
      <c r="N14" s="4337">
        <f t="shared" si="0"/>
        <v>1810</v>
      </c>
      <c r="O14" s="1781"/>
      <c r="P14" s="2582">
        <f>'Fish and aqua'!K7</f>
        <v>1415</v>
      </c>
      <c r="Q14" s="1781"/>
      <c r="R14" s="4336"/>
      <c r="S14" s="1781"/>
      <c r="T14" s="4336"/>
      <c r="U14" s="4336">
        <v>1132</v>
      </c>
      <c r="V14" s="4316" t="str">
        <f>IF('Fish and aqua'!L7 ="not specific", "The Fuel Use Intensity Available is not specific to this type of gear", "")</f>
        <v/>
      </c>
      <c r="W14" s="1781"/>
      <c r="X14" s="2103">
        <v>0</v>
      </c>
      <c r="Y14" s="1781"/>
      <c r="Z14" s="2103">
        <v>0</v>
      </c>
      <c r="AA14" s="2104" t="s">
        <v>86</v>
      </c>
      <c r="AB14" s="2103">
        <v>0</v>
      </c>
      <c r="AC14" s="2104" t="s">
        <v>86</v>
      </c>
      <c r="AD14" s="1781"/>
      <c r="AE14" s="1841">
        <f>'Fish and aqua'!O17</f>
        <v>0</v>
      </c>
      <c r="AF14" s="1781"/>
      <c r="AG14" s="1841">
        <f>'Fish and aqua'!P17</f>
        <v>0</v>
      </c>
      <c r="AH14" s="1781"/>
      <c r="AI14" s="1806">
        <f t="shared" si="1"/>
        <v>0</v>
      </c>
      <c r="AJ14" s="1781"/>
      <c r="AK14" s="1771"/>
      <c r="AL14" s="1771"/>
      <c r="AM14" s="1771"/>
      <c r="AN14" s="1771"/>
      <c r="AO14" s="1771"/>
      <c r="AP14" s="1771"/>
      <c r="AQ14" s="1771"/>
      <c r="AR14" s="1771"/>
      <c r="AS14" s="1771"/>
      <c r="AT14" s="1771"/>
      <c r="AU14" s="1771"/>
      <c r="AV14" s="1771"/>
      <c r="AW14" s="1771"/>
      <c r="AX14" s="1771"/>
      <c r="AY14" s="1771"/>
      <c r="AZ14" s="1771"/>
      <c r="BA14" s="1771"/>
      <c r="BB14" s="1771"/>
      <c r="BC14" s="1771"/>
      <c r="BD14" s="1771"/>
      <c r="BE14" s="1771"/>
      <c r="BF14" s="1771"/>
      <c r="BG14" s="1771"/>
      <c r="BH14" s="1771"/>
      <c r="BI14" s="1771"/>
      <c r="BJ14" s="1771"/>
      <c r="BK14" s="1771"/>
      <c r="BL14" s="1771"/>
      <c r="BM14" s="1771"/>
      <c r="BN14" s="1771"/>
      <c r="BO14" s="1771"/>
      <c r="BP14" s="1771"/>
      <c r="BQ14" s="1782"/>
      <c r="BR14" s="1782"/>
      <c r="BS14" s="1782"/>
      <c r="BT14" s="1782"/>
      <c r="BU14" s="1782"/>
      <c r="BV14" s="2340">
        <f>'Fish and aqua'!Q7</f>
        <v>3.6397119391899988</v>
      </c>
      <c r="BW14" s="2340"/>
      <c r="BX14" s="2340">
        <f>'Fish and aqua'!R7</f>
        <v>3.6397119391899988</v>
      </c>
      <c r="BY14" s="2340"/>
      <c r="BZ14" s="2340">
        <f>'Fish and aqua'!S7</f>
        <v>2.9117695513519988</v>
      </c>
      <c r="CA14" s="1782"/>
      <c r="CB14" s="1782"/>
      <c r="CC14" s="1782"/>
      <c r="CD14" s="1782"/>
      <c r="CE14" s="1782"/>
      <c r="CF14" s="1782"/>
      <c r="CG14" s="1782"/>
      <c r="CH14" s="1782"/>
      <c r="CI14" s="1782"/>
      <c r="CJ14" s="1782"/>
      <c r="CK14" s="1782"/>
      <c r="CL14" s="1771"/>
      <c r="CM14" s="4363">
        <v>1</v>
      </c>
      <c r="CN14" s="4364"/>
      <c r="CO14" s="1996"/>
      <c r="CP14" s="1771"/>
      <c r="CQ14" s="1771"/>
      <c r="CR14" s="1771"/>
      <c r="CS14" s="1771"/>
      <c r="CT14" s="1771"/>
      <c r="CU14" s="1771"/>
      <c r="CV14" s="1771"/>
      <c r="CW14" s="1771"/>
      <c r="CX14" s="1771"/>
      <c r="CY14" s="1771"/>
    </row>
    <row r="15" spans="1:347" x14ac:dyDescent="0.2">
      <c r="A15" s="1771"/>
      <c r="B15" s="1781"/>
      <c r="C15" s="2125" t="s">
        <v>2426</v>
      </c>
      <c r="D15" s="1781"/>
      <c r="E15" s="2125" t="s">
        <v>2425</v>
      </c>
      <c r="F15" s="1781"/>
      <c r="G15" s="1781"/>
      <c r="H15" s="4224">
        <v>0</v>
      </c>
      <c r="I15" s="1781"/>
      <c r="J15" s="4224">
        <v>0</v>
      </c>
      <c r="K15" s="1781"/>
      <c r="L15" s="4224">
        <v>0</v>
      </c>
      <c r="M15" s="1781"/>
      <c r="N15" s="4337">
        <f t="shared" si="0"/>
        <v>1810</v>
      </c>
      <c r="O15" s="1781"/>
      <c r="P15" s="2582">
        <f>'Fish and aqua'!K8</f>
        <v>1415</v>
      </c>
      <c r="Q15" s="1781"/>
      <c r="R15" s="4336"/>
      <c r="S15" s="1781"/>
      <c r="T15" s="4336"/>
      <c r="U15" s="4336">
        <v>1132</v>
      </c>
      <c r="V15" s="4316" t="str">
        <f>IF('Fish and aqua'!L8 ="not specific", "The Fuel Use Intensity Available is not specific to this type of gear", "")</f>
        <v/>
      </c>
      <c r="W15" s="1781"/>
      <c r="X15" s="2103">
        <v>0</v>
      </c>
      <c r="Y15" s="1781"/>
      <c r="Z15" s="2103">
        <v>0</v>
      </c>
      <c r="AA15" s="2104" t="s">
        <v>86</v>
      </c>
      <c r="AB15" s="2103">
        <v>0</v>
      </c>
      <c r="AC15" s="2104" t="s">
        <v>86</v>
      </c>
      <c r="AD15" s="1781"/>
      <c r="AE15" s="1841">
        <f>'Fish and aqua'!O18</f>
        <v>0</v>
      </c>
      <c r="AF15" s="1781"/>
      <c r="AG15" s="1841">
        <f>'Fish and aqua'!P18</f>
        <v>0</v>
      </c>
      <c r="AH15" s="1781"/>
      <c r="AI15" s="1806">
        <f t="shared" si="1"/>
        <v>0</v>
      </c>
      <c r="AJ15" s="1781"/>
      <c r="AK15" s="1771"/>
      <c r="AL15" s="1771"/>
      <c r="AM15" s="1771"/>
      <c r="AN15" s="1771"/>
      <c r="AO15" s="1771"/>
      <c r="AP15" s="1771"/>
      <c r="AQ15" s="1771"/>
      <c r="AR15" s="1771"/>
      <c r="AS15" s="1771"/>
      <c r="AT15" s="1771"/>
      <c r="AU15" s="1771"/>
      <c r="AV15" s="1771"/>
      <c r="AW15" s="1771"/>
      <c r="AX15" s="1771"/>
      <c r="AY15" s="1771"/>
      <c r="AZ15" s="1771"/>
      <c r="BA15" s="1771"/>
      <c r="BB15" s="1771"/>
      <c r="BC15" s="1771"/>
      <c r="BD15" s="1771"/>
      <c r="BE15" s="1771"/>
      <c r="BF15" s="1771"/>
      <c r="BG15" s="1771"/>
      <c r="BH15" s="1771"/>
      <c r="BI15" s="1771"/>
      <c r="BJ15" s="1771"/>
      <c r="BK15" s="1771"/>
      <c r="BL15" s="1771"/>
      <c r="BM15" s="1771"/>
      <c r="BN15" s="1771"/>
      <c r="BO15" s="1771"/>
      <c r="BP15" s="1771"/>
      <c r="BQ15" s="1782"/>
      <c r="BR15" s="1782"/>
      <c r="BS15" s="1782"/>
      <c r="BT15" s="1782"/>
      <c r="BU15" s="1782"/>
      <c r="BV15" s="2340">
        <f>'Fish and aqua'!Q8</f>
        <v>3.6397119391899988</v>
      </c>
      <c r="BW15" s="2340"/>
      <c r="BX15" s="2340">
        <f>'Fish and aqua'!R8</f>
        <v>3.6397119391899988</v>
      </c>
      <c r="BY15" s="2340"/>
      <c r="BZ15" s="2340">
        <f>'Fish and aqua'!S8</f>
        <v>2.9117695513519988</v>
      </c>
      <c r="CA15" s="1782"/>
      <c r="CB15" s="1782"/>
      <c r="CC15" s="1782"/>
      <c r="CD15" s="1782"/>
      <c r="CE15" s="1782" t="str">
        <f>Languages!B600</f>
        <v>GWP of refrigerant</v>
      </c>
      <c r="CF15" s="1782"/>
      <c r="CG15" s="1782"/>
      <c r="CH15" s="1782"/>
      <c r="CI15" s="2151" t="str">
        <f>Languages!B601</f>
        <v>Emission factor</v>
      </c>
      <c r="CJ15" s="1782"/>
      <c r="CK15" s="1782"/>
      <c r="CL15" s="1771"/>
      <c r="CM15" s="4363">
        <v>1</v>
      </c>
      <c r="CN15" s="4364"/>
      <c r="CO15" s="1996"/>
      <c r="CP15" s="1771"/>
      <c r="CQ15" s="1771"/>
      <c r="CR15" s="1771"/>
      <c r="CS15" s="1771"/>
      <c r="CT15" s="1771"/>
      <c r="CU15" s="1771"/>
      <c r="CV15" s="1771"/>
      <c r="CW15" s="1771"/>
      <c r="CX15" s="1771"/>
      <c r="CY15" s="1771"/>
    </row>
    <row r="16" spans="1:347" x14ac:dyDescent="0.2">
      <c r="A16" s="1771"/>
      <c r="B16" s="1781"/>
      <c r="C16" s="2125" t="s">
        <v>57</v>
      </c>
      <c r="D16" s="1781"/>
      <c r="E16" s="2125" t="s">
        <v>57</v>
      </c>
      <c r="F16" s="1781"/>
      <c r="G16" s="1781"/>
      <c r="H16" s="4224">
        <v>0</v>
      </c>
      <c r="I16" s="1781"/>
      <c r="J16" s="4224">
        <v>0</v>
      </c>
      <c r="K16" s="1781"/>
      <c r="L16" s="4224">
        <v>0</v>
      </c>
      <c r="M16" s="1781"/>
      <c r="N16" s="4337">
        <f t="shared" si="0"/>
        <v>1810</v>
      </c>
      <c r="O16" s="1781"/>
      <c r="P16" s="2582">
        <f>'Fish and aqua'!K9</f>
        <v>0</v>
      </c>
      <c r="Q16" s="1781"/>
      <c r="R16" s="4336"/>
      <c r="S16" s="1781"/>
      <c r="T16" s="4336"/>
      <c r="U16" s="4336"/>
      <c r="V16" s="4316" t="str">
        <f>IF('Fish and aqua'!L9 ="not specific", "The Fuel Use Intensity Available is not specific to this type of gear", "")</f>
        <v/>
      </c>
      <c r="W16" s="1781"/>
      <c r="X16" s="2103">
        <v>0</v>
      </c>
      <c r="Y16" s="1781"/>
      <c r="Z16" s="2103">
        <v>0</v>
      </c>
      <c r="AA16" s="2104" t="s">
        <v>86</v>
      </c>
      <c r="AB16" s="2103">
        <v>0</v>
      </c>
      <c r="AC16" s="2104" t="s">
        <v>86</v>
      </c>
      <c r="AD16" s="1781"/>
      <c r="AE16" s="1841">
        <f>'Fish and aqua'!O19</f>
        <v>0</v>
      </c>
      <c r="AF16" s="1781"/>
      <c r="AG16" s="1841">
        <f>'Fish and aqua'!P19</f>
        <v>0</v>
      </c>
      <c r="AH16" s="1781"/>
      <c r="AI16" s="1806">
        <f t="shared" si="1"/>
        <v>0</v>
      </c>
      <c r="AJ16" s="1781"/>
      <c r="AK16" s="1771"/>
      <c r="AL16" s="1771"/>
      <c r="AM16" s="1771"/>
      <c r="AN16" s="1771"/>
      <c r="AO16" s="1771"/>
      <c r="AP16" s="1771"/>
      <c r="AQ16" s="1771"/>
      <c r="AR16" s="1771"/>
      <c r="AS16" s="1771"/>
      <c r="AT16" s="1771"/>
      <c r="AU16" s="1771"/>
      <c r="AV16" s="1771"/>
      <c r="AW16" s="1771"/>
      <c r="AX16" s="1771"/>
      <c r="AY16" s="1771"/>
      <c r="AZ16" s="1771"/>
      <c r="BA16" s="1771"/>
      <c r="BB16" s="1771"/>
      <c r="BC16" s="1771"/>
      <c r="BD16" s="1771"/>
      <c r="BE16" s="1771"/>
      <c r="BF16" s="1771"/>
      <c r="BG16" s="1771"/>
      <c r="BH16" s="1771"/>
      <c r="BI16" s="1771"/>
      <c r="BJ16" s="1771"/>
      <c r="BK16" s="1771"/>
      <c r="BL16" s="1771"/>
      <c r="BM16" s="1771"/>
      <c r="BN16" s="1771"/>
      <c r="BO16" s="1771"/>
      <c r="BP16" s="1771"/>
      <c r="BQ16" s="1782"/>
      <c r="BR16" s="1782"/>
      <c r="BS16" s="1782"/>
      <c r="BT16" s="1782"/>
      <c r="BU16" s="1782"/>
      <c r="BV16" s="2340">
        <f>'Fish and aqua'!Q9</f>
        <v>0</v>
      </c>
      <c r="BW16" s="2340"/>
      <c r="BX16" s="2340">
        <f>'Fish and aqua'!R9</f>
        <v>0</v>
      </c>
      <c r="BY16" s="2340"/>
      <c r="BZ16" s="2340">
        <f>'Fish and aqua'!S9</f>
        <v>0</v>
      </c>
      <c r="CA16" s="1782"/>
      <c r="CB16" s="1782"/>
      <c r="CC16" s="1782"/>
      <c r="CD16" s="1782"/>
      <c r="CE16" s="1782" t="str">
        <f>CH10</f>
        <v>Default</v>
      </c>
      <c r="CF16" s="1782" t="str">
        <f>CI10</f>
        <v>Tier 2</v>
      </c>
      <c r="CG16" s="1782"/>
      <c r="CH16" s="1782"/>
      <c r="CI16" s="2151" t="str">
        <f>Languages!B602</f>
        <v>tCO2-e/t catch</v>
      </c>
      <c r="CJ16" s="1782"/>
      <c r="CK16" s="1782"/>
      <c r="CL16" s="1771"/>
      <c r="CM16" s="4363">
        <v>1</v>
      </c>
      <c r="CN16" s="4364"/>
      <c r="CO16" s="1996"/>
      <c r="CP16" s="1771"/>
      <c r="CQ16" s="1771"/>
      <c r="CR16" s="1771"/>
      <c r="CS16" s="1771"/>
      <c r="CT16" s="1771"/>
      <c r="CU16" s="1771"/>
      <c r="CV16" s="1771"/>
      <c r="CW16" s="1771"/>
      <c r="CX16" s="1771"/>
      <c r="CY16" s="1771"/>
    </row>
    <row r="17" spans="1:103" x14ac:dyDescent="0.2">
      <c r="A17" s="1771"/>
      <c r="B17" s="1781"/>
      <c r="C17" s="2125" t="s">
        <v>57</v>
      </c>
      <c r="D17" s="1781"/>
      <c r="E17" s="2125" t="s">
        <v>57</v>
      </c>
      <c r="F17" s="1781"/>
      <c r="G17" s="1781"/>
      <c r="H17" s="4224">
        <v>0</v>
      </c>
      <c r="I17" s="1781"/>
      <c r="J17" s="4224">
        <v>0</v>
      </c>
      <c r="K17" s="1781"/>
      <c r="L17" s="4224">
        <v>0</v>
      </c>
      <c r="M17" s="1781"/>
      <c r="N17" s="4337">
        <f t="shared" si="0"/>
        <v>1810</v>
      </c>
      <c r="O17" s="1781"/>
      <c r="P17" s="2582">
        <f>'Fish and aqua'!K10</f>
        <v>0</v>
      </c>
      <c r="Q17" s="1781"/>
      <c r="R17" s="4336"/>
      <c r="S17" s="1781"/>
      <c r="T17" s="4336"/>
      <c r="U17" s="4336"/>
      <c r="V17" s="4316" t="str">
        <f>IF('Fish and aqua'!L10 ="not specific", "The Fuel Use Intensity Available is not specific to this type of gear", "")</f>
        <v/>
      </c>
      <c r="W17" s="1781"/>
      <c r="X17" s="2103">
        <v>0</v>
      </c>
      <c r="Y17" s="1781"/>
      <c r="Z17" s="2103">
        <v>0</v>
      </c>
      <c r="AA17" s="2104" t="s">
        <v>86</v>
      </c>
      <c r="AB17" s="2103">
        <v>0</v>
      </c>
      <c r="AC17" s="2104" t="s">
        <v>86</v>
      </c>
      <c r="AD17" s="1781"/>
      <c r="AE17" s="1841">
        <f>'Fish and aqua'!O20</f>
        <v>0</v>
      </c>
      <c r="AF17" s="1781"/>
      <c r="AG17" s="1841">
        <f>'Fish and aqua'!P20</f>
        <v>0</v>
      </c>
      <c r="AH17" s="1781"/>
      <c r="AI17" s="1806">
        <f t="shared" si="1"/>
        <v>0</v>
      </c>
      <c r="AJ17" s="1781"/>
      <c r="AK17" s="1771"/>
      <c r="AL17" s="1771"/>
      <c r="AM17" s="1771"/>
      <c r="AN17" s="1771"/>
      <c r="AO17" s="1771"/>
      <c r="AP17" s="1771"/>
      <c r="AQ17" s="1771"/>
      <c r="AR17" s="1771"/>
      <c r="AS17" s="1771"/>
      <c r="AT17" s="1771"/>
      <c r="AU17" s="1771"/>
      <c r="AV17" s="1771"/>
      <c r="AW17" s="1771"/>
      <c r="AX17" s="1771"/>
      <c r="AY17" s="1771"/>
      <c r="AZ17" s="1771"/>
      <c r="BA17" s="1771"/>
      <c r="BB17" s="1771"/>
      <c r="BC17" s="1771"/>
      <c r="BD17" s="1771"/>
      <c r="BE17" s="1771"/>
      <c r="BF17" s="1771"/>
      <c r="BG17" s="1771"/>
      <c r="BH17" s="1771"/>
      <c r="BI17" s="1771"/>
      <c r="BJ17" s="1771"/>
      <c r="BK17" s="1771"/>
      <c r="BL17" s="1771"/>
      <c r="BM17" s="1771"/>
      <c r="BN17" s="1771"/>
      <c r="BO17" s="1771"/>
      <c r="BP17" s="1771"/>
      <c r="BQ17" s="1782"/>
      <c r="BR17" s="1782"/>
      <c r="BS17" s="1782"/>
      <c r="BT17" s="1782"/>
      <c r="BU17" s="1782"/>
      <c r="BV17" s="2340">
        <f>'Fish and aqua'!Q10</f>
        <v>0</v>
      </c>
      <c r="BW17" s="2340"/>
      <c r="BX17" s="2340">
        <f>'Fish and aqua'!R10</f>
        <v>0</v>
      </c>
      <c r="BY17" s="2340"/>
      <c r="BZ17" s="2340">
        <f>'Fish and aqua'!S10</f>
        <v>0</v>
      </c>
      <c r="CA17" s="1782"/>
      <c r="CB17" s="1782"/>
      <c r="CC17" s="1782"/>
      <c r="CD17" s="1782"/>
      <c r="CE17" s="2151">
        <f>'Fish and aqua'!F27</f>
        <v>1810</v>
      </c>
      <c r="CF17" s="2125"/>
      <c r="CG17" s="1782"/>
      <c r="CH17" s="1782"/>
      <c r="CI17" s="2011">
        <f>'Fish and aqua'!G27*'Fish and aqua'!D27/100</f>
        <v>1.5023000000000002</v>
      </c>
      <c r="CJ17" s="1782"/>
      <c r="CK17" s="1782"/>
      <c r="CL17" s="1771"/>
      <c r="CM17" s="4363">
        <v>1</v>
      </c>
      <c r="CN17" s="4364"/>
      <c r="CO17" s="1996"/>
      <c r="CP17" s="1771"/>
      <c r="CQ17" s="1771"/>
      <c r="CR17" s="1771"/>
      <c r="CS17" s="1771"/>
      <c r="CT17" s="1771"/>
      <c r="CU17" s="1771"/>
      <c r="CV17" s="1771"/>
      <c r="CW17" s="1771"/>
      <c r="CX17" s="1771"/>
      <c r="CY17" s="1771"/>
    </row>
    <row r="18" spans="1:103" x14ac:dyDescent="0.2">
      <c r="A18" s="1771"/>
      <c r="B18" s="1781"/>
      <c r="C18" s="2125" t="s">
        <v>57</v>
      </c>
      <c r="D18" s="1781"/>
      <c r="E18" s="2125" t="s">
        <v>57</v>
      </c>
      <c r="F18" s="1781"/>
      <c r="G18" s="1781"/>
      <c r="H18" s="4224">
        <v>0</v>
      </c>
      <c r="I18" s="1781"/>
      <c r="J18" s="4224">
        <v>0</v>
      </c>
      <c r="K18" s="1781"/>
      <c r="L18" s="4224">
        <v>0</v>
      </c>
      <c r="M18" s="1781"/>
      <c r="N18" s="4337">
        <f t="shared" si="0"/>
        <v>1810</v>
      </c>
      <c r="O18" s="1781"/>
      <c r="P18" s="2582">
        <v>0</v>
      </c>
      <c r="Q18" s="1781"/>
      <c r="R18" s="4336"/>
      <c r="S18" s="1781"/>
      <c r="T18" s="4336"/>
      <c r="U18" s="4336"/>
      <c r="V18" s="4316" t="str">
        <f>IF('Fish and aqua'!L11 ="not specific", "The Fuel Use Intensity Available is not specific to this type of gear", "")</f>
        <v/>
      </c>
      <c r="W18" s="1781"/>
      <c r="X18" s="2103">
        <v>0</v>
      </c>
      <c r="Y18" s="1781"/>
      <c r="Z18" s="2103">
        <v>0</v>
      </c>
      <c r="AA18" s="2104" t="s">
        <v>86</v>
      </c>
      <c r="AB18" s="2103">
        <v>0</v>
      </c>
      <c r="AC18" s="2104" t="s">
        <v>86</v>
      </c>
      <c r="AD18" s="1781"/>
      <c r="AE18" s="1841">
        <f>'Fish and aqua'!O21</f>
        <v>0</v>
      </c>
      <c r="AF18" s="1781"/>
      <c r="AG18" s="1841">
        <f>'Fish and aqua'!P21</f>
        <v>0</v>
      </c>
      <c r="AH18" s="1781"/>
      <c r="AI18" s="1806">
        <f t="shared" si="1"/>
        <v>0</v>
      </c>
      <c r="AJ18" s="1781"/>
      <c r="AK18" s="1771"/>
      <c r="AL18" s="1771"/>
      <c r="AM18" s="1771"/>
      <c r="AN18" s="1771"/>
      <c r="AO18" s="1771"/>
      <c r="AP18" s="1771"/>
      <c r="AQ18" s="1771"/>
      <c r="AR18" s="1771"/>
      <c r="AS18" s="1771"/>
      <c r="AT18" s="1771"/>
      <c r="AU18" s="1771"/>
      <c r="AV18" s="1771"/>
      <c r="AW18" s="1771"/>
      <c r="AX18" s="1771"/>
      <c r="AY18" s="1771"/>
      <c r="AZ18" s="1771"/>
      <c r="BA18" s="1771"/>
      <c r="BB18" s="1771"/>
      <c r="BC18" s="1771"/>
      <c r="BD18" s="1771"/>
      <c r="BE18" s="1771"/>
      <c r="BF18" s="1771"/>
      <c r="BG18" s="1771"/>
      <c r="BH18" s="1771"/>
      <c r="BI18" s="1771"/>
      <c r="BJ18" s="1771"/>
      <c r="BK18" s="1771"/>
      <c r="BL18" s="1771"/>
      <c r="BM18" s="1771"/>
      <c r="BN18" s="1771"/>
      <c r="BO18" s="1771"/>
      <c r="BP18" s="1771"/>
      <c r="BQ18" s="1782"/>
      <c r="BR18" s="1782"/>
      <c r="BS18" s="1782"/>
      <c r="BT18" s="1782"/>
      <c r="BU18" s="1782"/>
      <c r="BV18" s="2340">
        <f>'Fish and aqua'!Q11</f>
        <v>0</v>
      </c>
      <c r="BW18" s="2340"/>
      <c r="BX18" s="2340">
        <f>'Fish and aqua'!R11</f>
        <v>0</v>
      </c>
      <c r="BY18" s="2340"/>
      <c r="BZ18" s="2340">
        <f>'Fish and aqua'!S11</f>
        <v>0</v>
      </c>
      <c r="CA18" s="1782"/>
      <c r="CB18" s="1782"/>
      <c r="CC18" s="1782"/>
      <c r="CD18" s="1782"/>
      <c r="CE18" s="1782"/>
      <c r="CF18" s="1782"/>
      <c r="CG18" s="1782"/>
      <c r="CH18" s="1782"/>
      <c r="CI18" s="1782"/>
      <c r="CJ18" s="1782"/>
      <c r="CK18" s="1782"/>
      <c r="CL18" s="1771"/>
      <c r="CM18" s="4363">
        <v>1</v>
      </c>
      <c r="CN18" s="4364"/>
      <c r="CO18" s="1996"/>
      <c r="CP18" s="1771"/>
      <c r="CQ18" s="1771"/>
      <c r="CR18" s="1771"/>
      <c r="CS18" s="1771"/>
      <c r="CT18" s="1771"/>
      <c r="CU18" s="1771"/>
      <c r="CV18" s="1771"/>
      <c r="CW18" s="1771"/>
      <c r="CX18" s="1771"/>
      <c r="CY18" s="1771"/>
    </row>
    <row r="19" spans="1:103" x14ac:dyDescent="0.2">
      <c r="A19" s="1771"/>
      <c r="B19" s="1781"/>
      <c r="C19" s="1781"/>
      <c r="D19" s="1781"/>
      <c r="E19" s="1781"/>
      <c r="F19" s="1781"/>
      <c r="G19" s="1781"/>
      <c r="H19" s="1781"/>
      <c r="I19" s="1781"/>
      <c r="J19" s="1781"/>
      <c r="K19" s="1781"/>
      <c r="L19" s="1781"/>
      <c r="M19" s="1781"/>
      <c r="N19" s="1781"/>
      <c r="O19" s="1781"/>
      <c r="P19" s="1781" t="str">
        <f>Languages!B579</f>
        <v xml:space="preserve">FUI is the amount of fuel needed to land </v>
      </c>
      <c r="Q19" s="1781"/>
      <c r="R19" s="1781"/>
      <c r="S19" s="1781"/>
      <c r="T19" s="1781"/>
      <c r="U19" s="1781"/>
      <c r="V19" s="1781"/>
      <c r="W19" s="1781"/>
      <c r="X19" s="1781"/>
      <c r="Y19" s="1781"/>
      <c r="Z19" s="1781"/>
      <c r="AA19" s="1781"/>
      <c r="AB19" s="1781"/>
      <c r="AC19" s="1781"/>
      <c r="AD19" s="1781"/>
      <c r="AE19" s="1781"/>
      <c r="AF19" s="1781"/>
      <c r="AG19" s="1781"/>
      <c r="AH19" s="1781"/>
      <c r="AI19" s="1781"/>
      <c r="AJ19" s="1781"/>
      <c r="AK19" s="1771"/>
      <c r="AL19" s="1771"/>
      <c r="AM19" s="1771"/>
      <c r="AN19" s="1771"/>
      <c r="AO19" s="1771"/>
      <c r="AP19" s="1771"/>
      <c r="AQ19" s="1771"/>
      <c r="AR19" s="1771"/>
      <c r="AS19" s="1771"/>
      <c r="AT19" s="1771"/>
      <c r="AU19" s="1771"/>
      <c r="AV19" s="1771"/>
      <c r="AW19" s="1771"/>
      <c r="AX19" s="1771"/>
      <c r="AY19" s="1771"/>
      <c r="AZ19" s="1771"/>
      <c r="BA19" s="1771"/>
      <c r="BB19" s="1771"/>
      <c r="BC19" s="1771"/>
      <c r="BD19" s="1771"/>
      <c r="BE19" s="1771"/>
      <c r="BF19" s="1771"/>
      <c r="BG19" s="1771"/>
      <c r="BH19" s="1771"/>
      <c r="BI19" s="1771"/>
      <c r="BJ19" s="1771"/>
      <c r="BK19" s="1771"/>
      <c r="BL19" s="1771"/>
      <c r="BM19" s="1771"/>
      <c r="BN19" s="1771"/>
      <c r="BO19" s="1771"/>
      <c r="BP19" s="1771"/>
      <c r="BQ19" s="1782"/>
      <c r="BR19" s="1782"/>
      <c r="BS19" s="1782"/>
      <c r="BT19" s="1782"/>
      <c r="BU19" s="1782"/>
      <c r="BV19" s="1782"/>
      <c r="BW19" s="1782"/>
      <c r="BX19" s="1782"/>
      <c r="BY19" s="1782"/>
      <c r="BZ19" s="1782"/>
      <c r="CA19" s="1782"/>
      <c r="CB19" s="1782"/>
      <c r="CC19" s="1782"/>
      <c r="CD19" s="1782"/>
      <c r="CE19" s="1782"/>
      <c r="CF19" s="1782"/>
      <c r="CG19" s="1782"/>
      <c r="CH19" s="1782"/>
      <c r="CI19" s="1782"/>
      <c r="CJ19" s="1782"/>
      <c r="CK19" s="1782"/>
      <c r="CL19" s="1771"/>
      <c r="CM19" s="1996"/>
      <c r="CN19" s="1996"/>
      <c r="CO19" s="1996"/>
      <c r="CP19" s="1771"/>
      <c r="CQ19" s="1771"/>
      <c r="CR19" s="1771"/>
      <c r="CS19" s="1771"/>
      <c r="CT19" s="1771"/>
      <c r="CU19" s="1771"/>
      <c r="CV19" s="1771"/>
      <c r="CW19" s="1771"/>
      <c r="CX19" s="1771"/>
      <c r="CY19" s="1771"/>
    </row>
    <row r="20" spans="1:103" x14ac:dyDescent="0.2">
      <c r="A20" s="1771"/>
      <c r="B20" s="1781"/>
      <c r="C20" s="1781"/>
      <c r="D20" s="1781"/>
      <c r="E20" s="1781"/>
      <c r="F20" s="1781"/>
      <c r="G20" s="1781"/>
      <c r="H20" s="1781"/>
      <c r="I20" s="1781"/>
      <c r="J20" s="1781"/>
      <c r="K20" s="1781"/>
      <c r="L20" s="1781"/>
      <c r="M20" s="1781"/>
      <c r="N20" s="1781"/>
      <c r="O20" s="1781"/>
      <c r="P20" s="1781" t="str">
        <f>Languages!B580</f>
        <v>1 tonne of catch</v>
      </c>
      <c r="Q20" s="1781"/>
      <c r="R20" s="1781"/>
      <c r="S20" s="1781"/>
      <c r="T20" s="1781"/>
      <c r="U20" s="1781"/>
      <c r="V20" s="1781"/>
      <c r="W20" s="1781"/>
      <c r="X20" s="1781"/>
      <c r="Y20" s="1781"/>
      <c r="Z20" s="1781"/>
      <c r="AA20" s="1781"/>
      <c r="AB20" s="1781"/>
      <c r="AC20" s="1781"/>
      <c r="AD20" s="1781"/>
      <c r="AE20" s="1781"/>
      <c r="AF20" s="1781"/>
      <c r="AG20" s="1781"/>
      <c r="AH20" s="1781"/>
      <c r="AI20" s="1781"/>
      <c r="AJ20" s="1781"/>
      <c r="AK20" s="1771"/>
      <c r="AL20" s="1771"/>
      <c r="AM20" s="1771"/>
      <c r="AN20" s="1771"/>
      <c r="AO20" s="1771"/>
      <c r="AP20" s="1771"/>
      <c r="AQ20" s="1771"/>
      <c r="AR20" s="1771"/>
      <c r="AS20" s="1771"/>
      <c r="AT20" s="1771"/>
      <c r="AU20" s="1771"/>
      <c r="AV20" s="1771"/>
      <c r="AW20" s="1771"/>
      <c r="AX20" s="1771"/>
      <c r="AY20" s="1771"/>
      <c r="AZ20" s="1771"/>
      <c r="BA20" s="1771"/>
      <c r="BB20" s="1771"/>
      <c r="BC20" s="1771"/>
      <c r="BD20" s="1771"/>
      <c r="BE20" s="1771"/>
      <c r="BF20" s="1771"/>
      <c r="BG20" s="1771"/>
      <c r="BH20" s="1771"/>
      <c r="BI20" s="1771"/>
      <c r="BJ20" s="1771"/>
      <c r="BK20" s="1771"/>
      <c r="BL20" s="1771"/>
      <c r="BM20" s="1771"/>
      <c r="BN20" s="1771"/>
      <c r="BO20" s="1771"/>
      <c r="BP20" s="1771"/>
      <c r="BQ20" s="1782"/>
      <c r="BR20" s="1782"/>
      <c r="BS20" s="1782"/>
      <c r="BT20" s="2602" t="str">
        <f>Languages!B604</f>
        <v>Total fuel consumption (m3/year)</v>
      </c>
      <c r="BU20" s="1782"/>
      <c r="BV20" s="2582">
        <f>'Fish and aqua'!K23</f>
        <v>1211.24</v>
      </c>
      <c r="BW20" s="2582"/>
      <c r="BX20" s="2582">
        <f>'Fish and aqua'!L23</f>
        <v>1211.24</v>
      </c>
      <c r="BY20" s="1782"/>
      <c r="BZ20" s="2582">
        <f>'Fish and aqua'!M23</f>
        <v>1132</v>
      </c>
      <c r="CA20" s="1782"/>
      <c r="CB20" s="1782"/>
      <c r="CC20" s="1782"/>
      <c r="CD20" s="1782"/>
      <c r="CE20" s="1782"/>
      <c r="CF20" s="1782"/>
      <c r="CG20" s="1782"/>
      <c r="CH20" s="1782"/>
      <c r="CI20" s="1782"/>
      <c r="CJ20" s="1782"/>
      <c r="CK20" s="1782"/>
      <c r="CL20" s="1771"/>
      <c r="CM20" s="4548" t="s">
        <v>87</v>
      </c>
      <c r="CN20" s="4548"/>
      <c r="CO20" s="4548"/>
      <c r="CP20" s="1771"/>
      <c r="CQ20" s="1771"/>
      <c r="CR20" s="1771"/>
      <c r="CS20" s="1771"/>
      <c r="CT20" s="1771"/>
      <c r="CU20" s="1771"/>
      <c r="CV20" s="1771"/>
      <c r="CW20" s="1771"/>
      <c r="CX20" s="1771"/>
      <c r="CY20" s="1771"/>
    </row>
    <row r="21" spans="1:103" x14ac:dyDescent="0.2">
      <c r="A21" s="1771"/>
      <c r="B21" s="1781"/>
      <c r="C21" s="1826" t="str">
        <f>Languages!B581</f>
        <v>On-board leakage from refrigeration systems</v>
      </c>
      <c r="D21" s="1781"/>
      <c r="E21" s="1781"/>
      <c r="F21" s="1781"/>
      <c r="G21" s="1781"/>
      <c r="H21" s="1781"/>
      <c r="I21" s="1781"/>
      <c r="J21" s="1781"/>
      <c r="K21" s="1781"/>
      <c r="L21" s="1781"/>
      <c r="M21" s="1781"/>
      <c r="N21" s="1781"/>
      <c r="O21" s="1781"/>
      <c r="P21" s="1781"/>
      <c r="Q21" s="1781"/>
      <c r="R21" s="1781"/>
      <c r="S21" s="1781"/>
      <c r="T21" s="1781"/>
      <c r="U21" s="1781"/>
      <c r="V21" s="1781"/>
      <c r="W21" s="1781"/>
      <c r="X21" s="1806" t="str">
        <f>H12</f>
        <v>Start</v>
      </c>
      <c r="Y21" s="1806"/>
      <c r="Z21" s="1806" t="str">
        <f>J12</f>
        <v>Without</v>
      </c>
      <c r="AA21" s="1806"/>
      <c r="AB21" s="1806" t="str">
        <f>L12</f>
        <v>With</v>
      </c>
      <c r="AC21" s="1781"/>
      <c r="AD21" s="1781"/>
      <c r="AE21" s="1806" t="str">
        <f>AE12</f>
        <v>Without</v>
      </c>
      <c r="AF21" s="1806"/>
      <c r="AG21" s="1806" t="str">
        <f>AG12</f>
        <v>With</v>
      </c>
      <c r="AH21" s="1806"/>
      <c r="AI21" s="1806"/>
      <c r="AJ21" s="1781"/>
      <c r="AK21" s="1771"/>
      <c r="AL21" s="1771"/>
      <c r="AM21" s="1771"/>
      <c r="AN21" s="1771"/>
      <c r="AO21" s="1771"/>
      <c r="AP21" s="1771"/>
      <c r="AQ21" s="1771"/>
      <c r="AR21" s="1771"/>
      <c r="AS21" s="1771"/>
      <c r="AT21" s="1771"/>
      <c r="AU21" s="1771"/>
      <c r="AV21" s="1771"/>
      <c r="AW21" s="1771"/>
      <c r="AX21" s="1771"/>
      <c r="AY21" s="1771"/>
      <c r="AZ21" s="1771"/>
      <c r="BA21" s="1771"/>
      <c r="BB21" s="1771"/>
      <c r="BC21" s="1771"/>
      <c r="BD21" s="1771"/>
      <c r="BE21" s="1771"/>
      <c r="BF21" s="1771"/>
      <c r="BG21" s="1771"/>
      <c r="BH21" s="1771"/>
      <c r="BI21" s="1771"/>
      <c r="BJ21" s="1771"/>
      <c r="BK21" s="1771"/>
      <c r="BL21" s="1771"/>
      <c r="BM21" s="1771"/>
      <c r="BN21" s="1771"/>
      <c r="BO21" s="1771"/>
      <c r="BP21" s="1771"/>
      <c r="BQ21" s="1782"/>
      <c r="BR21" s="1782"/>
      <c r="BS21" s="1782"/>
      <c r="BT21" s="1782"/>
      <c r="BU21" s="1782"/>
      <c r="BV21" s="1782"/>
      <c r="BW21" s="1782"/>
      <c r="BX21" s="1782"/>
      <c r="BY21" s="1782"/>
      <c r="BZ21" s="1782"/>
      <c r="CA21" s="1782"/>
      <c r="CB21" s="1782"/>
      <c r="CC21" s="1782"/>
      <c r="CD21" s="1782"/>
      <c r="CE21" s="1782"/>
      <c r="CF21" s="1782"/>
      <c r="CG21" s="1782"/>
      <c r="CH21" s="1782"/>
      <c r="CI21" s="1782"/>
      <c r="CJ21" s="1782"/>
      <c r="CK21" s="1782"/>
      <c r="CL21" s="1771"/>
      <c r="CM21" s="4548"/>
      <c r="CN21" s="4548"/>
      <c r="CO21" s="4548"/>
      <c r="CP21" s="1771"/>
      <c r="CQ21" s="1771"/>
      <c r="CR21" s="1771"/>
      <c r="CS21" s="1771"/>
      <c r="CT21" s="1771"/>
      <c r="CU21" s="1771"/>
      <c r="CV21" s="1771"/>
      <c r="CW21" s="1771"/>
      <c r="CX21" s="1771"/>
      <c r="CY21" s="1771"/>
    </row>
    <row r="22" spans="1:103" x14ac:dyDescent="0.2">
      <c r="A22" s="1771"/>
      <c r="B22" s="1781"/>
      <c r="C22" s="1781" t="str">
        <f>Languages!B582</f>
        <v xml:space="preserve">Total catch with refrigerant systems </v>
      </c>
      <c r="D22" s="1781"/>
      <c r="E22" s="1781"/>
      <c r="F22" s="1781"/>
      <c r="G22" s="1781"/>
      <c r="H22" s="1781"/>
      <c r="I22" s="1781"/>
      <c r="J22" s="1781"/>
      <c r="K22" s="1781"/>
      <c r="L22" s="1781"/>
      <c r="M22" s="1781"/>
      <c r="N22" s="1781"/>
      <c r="O22" s="1781"/>
      <c r="P22" s="1781"/>
      <c r="Q22" s="1781"/>
      <c r="R22" s="1781"/>
      <c r="S22" s="1781"/>
      <c r="T22" s="1781"/>
      <c r="U22" s="1781"/>
      <c r="V22" s="1781"/>
      <c r="W22" s="1781"/>
      <c r="X22" s="1806">
        <f>SUMPRODUCT(H13:H18,X13:X18)</f>
        <v>0</v>
      </c>
      <c r="Y22" s="1781"/>
      <c r="Z22" s="1806">
        <f>SUMPRODUCT(J13:J18,Z13:Z18)</f>
        <v>0</v>
      </c>
      <c r="AA22" s="1781"/>
      <c r="AB22" s="1806">
        <f>SUMPRODUCT(L13:L18,AB13:AB18)</f>
        <v>0</v>
      </c>
      <c r="AC22" s="1781"/>
      <c r="AD22" s="1781"/>
      <c r="AE22" s="1841">
        <f>'Fish and aqua'!O35</f>
        <v>0</v>
      </c>
      <c r="AF22" s="1806"/>
      <c r="AG22" s="1841">
        <f>'Fish and aqua'!P35</f>
        <v>0</v>
      </c>
      <c r="AH22" s="1806"/>
      <c r="AI22" s="1806">
        <f>AG22-AE22</f>
        <v>0</v>
      </c>
      <c r="AJ22" s="1781"/>
      <c r="AK22" s="1771"/>
      <c r="AL22" s="1771"/>
      <c r="AM22" s="1771"/>
      <c r="AN22" s="1771"/>
      <c r="AO22" s="1771"/>
      <c r="AP22" s="1771"/>
      <c r="AQ22" s="1771"/>
      <c r="AR22" s="1771"/>
      <c r="AS22" s="1771"/>
      <c r="AT22" s="1771"/>
      <c r="AU22" s="1771"/>
      <c r="AV22" s="1771"/>
      <c r="AW22" s="1771"/>
      <c r="AX22" s="1771"/>
      <c r="AY22" s="1771"/>
      <c r="AZ22" s="1771"/>
      <c r="BA22" s="1771"/>
      <c r="BB22" s="1771"/>
      <c r="BC22" s="1771"/>
      <c r="BD22" s="1771"/>
      <c r="BE22" s="1771"/>
      <c r="BF22" s="1771"/>
      <c r="BG22" s="1771"/>
      <c r="BH22" s="1771"/>
      <c r="BI22" s="1771"/>
      <c r="BJ22" s="1771"/>
      <c r="BK22" s="1771"/>
      <c r="BL22" s="1771"/>
      <c r="BM22" s="1771"/>
      <c r="BN22" s="1771"/>
      <c r="BO22" s="1771"/>
      <c r="BP22" s="1771"/>
      <c r="BQ22" s="1782"/>
      <c r="BR22" s="1783" t="str">
        <f>C24</f>
        <v>Emissions from production of ice produced inshore</v>
      </c>
      <c r="BS22" s="1782"/>
      <c r="BT22" s="1782"/>
      <c r="BU22" s="1782"/>
      <c r="BV22" s="1782"/>
      <c r="BW22" s="1782"/>
      <c r="BX22" s="1782"/>
      <c r="BY22" s="1782"/>
      <c r="BZ22" s="1782"/>
      <c r="CA22" s="1782"/>
      <c r="CB22" s="1782"/>
      <c r="CC22" s="1782"/>
      <c r="CD22" s="1782"/>
      <c r="CE22" s="1782"/>
      <c r="CF22" s="1782"/>
      <c r="CG22" s="1782"/>
      <c r="CH22" s="1782"/>
      <c r="CI22" s="1782"/>
      <c r="CJ22" s="1782"/>
      <c r="CK22" s="1782"/>
      <c r="CL22" s="1771"/>
      <c r="CM22" s="4548"/>
      <c r="CN22" s="4548"/>
      <c r="CO22" s="4548"/>
      <c r="CP22" s="1771"/>
      <c r="CQ22" s="1771"/>
      <c r="CR22" s="1771"/>
      <c r="CS22" s="1771"/>
      <c r="CT22" s="1771"/>
      <c r="CU22" s="1771"/>
      <c r="CV22" s="1771"/>
      <c r="CW22" s="1771"/>
      <c r="CX22" s="1771"/>
      <c r="CY22" s="1771"/>
    </row>
    <row r="23" spans="1:103" x14ac:dyDescent="0.2">
      <c r="A23" s="1771"/>
      <c r="B23" s="1781"/>
      <c r="C23" s="1781"/>
      <c r="D23" s="1781"/>
      <c r="E23" s="1781"/>
      <c r="F23" s="1781"/>
      <c r="G23" s="1781"/>
      <c r="H23" s="1781"/>
      <c r="I23" s="1781"/>
      <c r="J23" s="1781"/>
      <c r="K23" s="1781"/>
      <c r="L23" s="1781"/>
      <c r="M23" s="1781"/>
      <c r="N23" s="1781"/>
      <c r="O23" s="1781"/>
      <c r="P23" s="1781"/>
      <c r="Q23" s="1781"/>
      <c r="R23" s="1781"/>
      <c r="S23" s="1781"/>
      <c r="T23" s="1781"/>
      <c r="U23" s="1781"/>
      <c r="V23" s="1781"/>
      <c r="W23" s="1781"/>
      <c r="X23" s="1781"/>
      <c r="Y23" s="1781"/>
      <c r="Z23" s="1781"/>
      <c r="AA23" s="1781"/>
      <c r="AB23" s="1781"/>
      <c r="AC23" s="1781"/>
      <c r="AD23" s="1781"/>
      <c r="AE23" s="1781"/>
      <c r="AF23" s="1781"/>
      <c r="AG23" s="1781"/>
      <c r="AH23" s="1781"/>
      <c r="AI23" s="1781"/>
      <c r="AJ23" s="1781"/>
      <c r="AK23" s="1771"/>
      <c r="AL23" s="1771"/>
      <c r="AM23" s="1771"/>
      <c r="AN23" s="1771"/>
      <c r="AO23" s="1771"/>
      <c r="AP23" s="1771"/>
      <c r="AQ23" s="1771"/>
      <c r="AR23" s="1771"/>
      <c r="AS23" s="1771"/>
      <c r="AT23" s="1771"/>
      <c r="AU23" s="1771"/>
      <c r="AV23" s="1771"/>
      <c r="AW23" s="1771"/>
      <c r="AX23" s="1771"/>
      <c r="AY23" s="1771"/>
      <c r="AZ23" s="1771"/>
      <c r="BA23" s="1771"/>
      <c r="BB23" s="1771"/>
      <c r="BC23" s="1771"/>
      <c r="BD23" s="1771"/>
      <c r="BE23" s="1771"/>
      <c r="BF23" s="1771"/>
      <c r="BG23" s="1771"/>
      <c r="BH23" s="1771"/>
      <c r="BI23" s="1771"/>
      <c r="BJ23" s="1771"/>
      <c r="BK23" s="1771"/>
      <c r="BL23" s="1771"/>
      <c r="BM23" s="1771"/>
      <c r="BN23" s="1771"/>
      <c r="BO23" s="1771"/>
      <c r="BP23" s="1771"/>
      <c r="BQ23" s="1782"/>
      <c r="BR23" s="1782"/>
      <c r="BS23" s="1782"/>
      <c r="BT23" s="1782"/>
      <c r="BU23" s="1782" t="str">
        <f>Languages!B605</f>
        <v>Quantity (tonne)</v>
      </c>
      <c r="BV23" s="1782"/>
      <c r="BW23" s="1782"/>
      <c r="BX23" s="1782"/>
      <c r="BY23" s="1782"/>
      <c r="BZ23" s="1782"/>
      <c r="CA23" s="1782"/>
      <c r="CB23" s="1782"/>
      <c r="CC23" s="1782" t="str">
        <f>Languages!B603</f>
        <v>Quantity (kWh/t ice)</v>
      </c>
      <c r="CD23" s="1782"/>
      <c r="CE23" s="1782"/>
      <c r="CF23" s="1782"/>
      <c r="CG23" s="1782"/>
      <c r="CH23" s="1782"/>
      <c r="CI23" s="2151" t="str">
        <f>CI15</f>
        <v>Emission factor</v>
      </c>
      <c r="CJ23" s="1782"/>
      <c r="CK23" s="1782"/>
      <c r="CL23" s="1771"/>
      <c r="CM23" s="1996"/>
      <c r="CN23" s="1996"/>
      <c r="CO23" s="1996"/>
      <c r="CP23" s="1771"/>
      <c r="CQ23" s="1771"/>
      <c r="CR23" s="1771"/>
      <c r="CS23" s="1771"/>
      <c r="CT23" s="1771"/>
      <c r="CU23" s="1771"/>
      <c r="CV23" s="1771"/>
      <c r="CW23" s="1771"/>
      <c r="CX23" s="1771"/>
      <c r="CY23" s="1771"/>
    </row>
    <row r="24" spans="1:103" x14ac:dyDescent="0.2">
      <c r="A24" s="1771"/>
      <c r="B24" s="1781"/>
      <c r="C24" s="1826" t="str">
        <f>Languages!B583</f>
        <v>Emissions from production of ice produced inshore</v>
      </c>
      <c r="D24" s="1781"/>
      <c r="E24" s="1781"/>
      <c r="F24" s="1781"/>
      <c r="G24" s="1781"/>
      <c r="H24" s="1781" t="str">
        <f>Languages!B584</f>
        <v>% of Total catch preserved by ice produced inshore</v>
      </c>
      <c r="I24" s="1781"/>
      <c r="J24" s="1781"/>
      <c r="K24" s="1781"/>
      <c r="L24" s="1781"/>
      <c r="M24" s="1781"/>
      <c r="N24" s="1781"/>
      <c r="O24" s="1781"/>
      <c r="P24" s="1781"/>
      <c r="Q24" s="1781"/>
      <c r="R24" s="1781"/>
      <c r="S24" s="1781"/>
      <c r="T24" s="1781"/>
      <c r="U24" s="1781"/>
      <c r="V24" s="1781"/>
      <c r="W24" s="1781"/>
      <c r="X24" s="1781"/>
      <c r="Y24" s="1781"/>
      <c r="Z24" s="1781"/>
      <c r="AA24" s="1781"/>
      <c r="AB24" s="1781"/>
      <c r="AC24" s="1781"/>
      <c r="AD24" s="1781"/>
      <c r="AE24" s="1781"/>
      <c r="AF24" s="1781"/>
      <c r="AG24" s="1781"/>
      <c r="AH24" s="1781"/>
      <c r="AI24" s="1781"/>
      <c r="AJ24" s="1781"/>
      <c r="AK24" s="1771"/>
      <c r="AL24" s="1771"/>
      <c r="AM24" s="1771"/>
      <c r="AN24" s="1771"/>
      <c r="AO24" s="1771"/>
      <c r="AP24" s="1771"/>
      <c r="AQ24" s="1771"/>
      <c r="AR24" s="1771"/>
      <c r="AS24" s="1771"/>
      <c r="AT24" s="1771"/>
      <c r="AU24" s="1771"/>
      <c r="AV24" s="1771"/>
      <c r="AW24" s="1771"/>
      <c r="AX24" s="1771"/>
      <c r="AY24" s="1771"/>
      <c r="AZ24" s="1771"/>
      <c r="BA24" s="1771"/>
      <c r="BB24" s="1771"/>
      <c r="BC24" s="1771"/>
      <c r="BD24" s="1771"/>
      <c r="BE24" s="1771"/>
      <c r="BF24" s="1771"/>
      <c r="BG24" s="1771"/>
      <c r="BH24" s="1771"/>
      <c r="BI24" s="1771"/>
      <c r="BJ24" s="1771"/>
      <c r="BK24" s="1771"/>
      <c r="BL24" s="1771"/>
      <c r="BM24" s="1771"/>
      <c r="BN24" s="1771"/>
      <c r="BO24" s="1771"/>
      <c r="BP24" s="1771"/>
      <c r="BQ24" s="1782"/>
      <c r="BR24" s="1782"/>
      <c r="BS24" s="1782"/>
      <c r="BT24" s="1782"/>
      <c r="BU24" s="1782" t="str">
        <f>CH10</f>
        <v>Default</v>
      </c>
      <c r="BV24" s="1782" t="str">
        <f>CI10</f>
        <v>Tier 2</v>
      </c>
      <c r="BW24" s="1782"/>
      <c r="BX24" s="1782"/>
      <c r="BY24" s="1782"/>
      <c r="BZ24" s="1782"/>
      <c r="CA24" s="1782"/>
      <c r="CB24" s="1782"/>
      <c r="CC24" s="2151" t="str">
        <f>BU24</f>
        <v>Default</v>
      </c>
      <c r="CD24" s="1782"/>
      <c r="CE24" s="1782" t="str">
        <f>BV24</f>
        <v>Tier 2</v>
      </c>
      <c r="CF24" s="1782"/>
      <c r="CG24" s="1782"/>
      <c r="CH24" s="1782"/>
      <c r="CI24" s="2151" t="str">
        <f>CI16</f>
        <v>tCO2-e/t catch</v>
      </c>
      <c r="CJ24" s="1782"/>
      <c r="CK24" s="1782"/>
      <c r="CL24" s="1771"/>
      <c r="CM24" s="1996"/>
      <c r="CN24" s="1996"/>
      <c r="CO24" s="1996"/>
      <c r="CP24" s="1771"/>
      <c r="CQ24" s="1771"/>
      <c r="CR24" s="1771"/>
      <c r="CS24" s="1771"/>
      <c r="CT24" s="1771"/>
      <c r="CU24" s="1771"/>
      <c r="CV24" s="1771"/>
      <c r="CW24" s="1771"/>
      <c r="CX24" s="1771"/>
      <c r="CY24" s="1771"/>
    </row>
    <row r="25" spans="1:103" x14ac:dyDescent="0.2">
      <c r="A25" s="1771"/>
      <c r="B25" s="1781"/>
      <c r="C25" s="1781"/>
      <c r="D25" s="1781"/>
      <c r="E25" s="1781"/>
      <c r="F25" s="1781"/>
      <c r="G25" s="1781"/>
      <c r="H25" s="1806" t="str">
        <f>H12</f>
        <v>Start</v>
      </c>
      <c r="I25" s="1806"/>
      <c r="J25" s="1806" t="str">
        <f>J12</f>
        <v>Without</v>
      </c>
      <c r="K25" s="1806"/>
      <c r="L25" s="1806" t="str">
        <f>L12</f>
        <v>With</v>
      </c>
      <c r="M25" s="1806"/>
      <c r="N25" s="1781"/>
      <c r="O25" s="1781"/>
      <c r="P25" s="1781"/>
      <c r="Q25" s="1781"/>
      <c r="R25" s="1781"/>
      <c r="S25" s="1781"/>
      <c r="T25" s="1781"/>
      <c r="U25" s="1781"/>
      <c r="V25" s="1781"/>
      <c r="W25" s="1781"/>
      <c r="X25" s="1806" t="str">
        <f>X21</f>
        <v>Start</v>
      </c>
      <c r="Y25" s="1806"/>
      <c r="Z25" s="1806" t="str">
        <f>Z21</f>
        <v>Without</v>
      </c>
      <c r="AA25" s="1806"/>
      <c r="AB25" s="1806" t="str">
        <f>AB21</f>
        <v>With</v>
      </c>
      <c r="AC25" s="1781"/>
      <c r="AD25" s="1781"/>
      <c r="AE25" s="1806" t="str">
        <f>AE21</f>
        <v>Without</v>
      </c>
      <c r="AF25" s="1806"/>
      <c r="AG25" s="1806" t="str">
        <f>AG21</f>
        <v>With</v>
      </c>
      <c r="AH25" s="1781"/>
      <c r="AI25" s="1781"/>
      <c r="AJ25" s="1781"/>
      <c r="AK25" s="1771"/>
      <c r="AL25" s="1771"/>
      <c r="AM25" s="1771"/>
      <c r="AN25" s="1771"/>
      <c r="AO25" s="1771"/>
      <c r="AP25" s="1771"/>
      <c r="AQ25" s="1771"/>
      <c r="AR25" s="1771"/>
      <c r="AS25" s="1771"/>
      <c r="AT25" s="1771"/>
      <c r="AU25" s="1771"/>
      <c r="AV25" s="1771"/>
      <c r="AW25" s="1771"/>
      <c r="AX25" s="1771"/>
      <c r="AY25" s="1771"/>
      <c r="AZ25" s="1771"/>
      <c r="BA25" s="1771"/>
      <c r="BB25" s="1771"/>
      <c r="BC25" s="1771"/>
      <c r="BD25" s="1771"/>
      <c r="BE25" s="1771"/>
      <c r="BF25" s="1771"/>
      <c r="BG25" s="1771"/>
      <c r="BH25" s="1771"/>
      <c r="BI25" s="1771"/>
      <c r="BJ25" s="1771"/>
      <c r="BK25" s="1771"/>
      <c r="BL25" s="1771"/>
      <c r="BM25" s="1771"/>
      <c r="BN25" s="1771"/>
      <c r="BO25" s="1771"/>
      <c r="BP25" s="1771"/>
      <c r="BQ25" s="1782"/>
      <c r="BR25" s="1782" t="str">
        <f>Languages!B606</f>
        <v>Quantity of ice (tonne) per tonne of catch</v>
      </c>
      <c r="BS25" s="1782"/>
      <c r="BT25" s="1782"/>
      <c r="BU25" s="2151">
        <f>'Fish and aqua'!C39</f>
        <v>2.8</v>
      </c>
      <c r="BV25" s="2125"/>
      <c r="BW25" s="1782"/>
      <c r="BX25" s="1782"/>
      <c r="BY25" s="1782"/>
      <c r="BZ25" s="1782"/>
      <c r="CA25" s="2602" t="str">
        <f>Languages!B607</f>
        <v xml:space="preserve">Electricity (kWh) used per tonne of ice </v>
      </c>
      <c r="CB25" s="1782"/>
      <c r="CC25" s="2151">
        <v>60</v>
      </c>
      <c r="CD25" s="1782"/>
      <c r="CE25" s="4229"/>
      <c r="CF25" s="4223"/>
      <c r="CG25" s="1782"/>
      <c r="CH25" s="1782"/>
      <c r="CI25" s="2341">
        <f>'Fish and aqua'!I39</f>
        <v>6.7490710425844688E-2</v>
      </c>
      <c r="CJ25" s="1782"/>
      <c r="CK25" s="1782"/>
      <c r="CL25" s="1771"/>
      <c r="CM25" s="1996"/>
      <c r="CN25" s="1996"/>
      <c r="CO25" s="1996"/>
      <c r="CP25" s="1771"/>
      <c r="CQ25" s="1771"/>
      <c r="CR25" s="1771"/>
      <c r="CS25" s="1771"/>
      <c r="CT25" s="1771"/>
      <c r="CU25" s="1771"/>
      <c r="CV25" s="1771"/>
      <c r="CW25" s="1771"/>
      <c r="CX25" s="1771"/>
      <c r="CY25" s="1771"/>
    </row>
    <row r="26" spans="1:103" x14ac:dyDescent="0.2">
      <c r="A26" s="1771"/>
      <c r="B26" s="1781"/>
      <c r="C26" s="1781" t="str">
        <f>Languages!B585</f>
        <v>Total artisanal and coastal catch</v>
      </c>
      <c r="D26" s="1781"/>
      <c r="E26" s="1781"/>
      <c r="F26" s="1781"/>
      <c r="G26" s="1781"/>
      <c r="H26" s="4224">
        <v>0</v>
      </c>
      <c r="I26" s="1781"/>
      <c r="J26" s="4224">
        <v>0</v>
      </c>
      <c r="K26" s="1781"/>
      <c r="L26" s="4224">
        <v>0</v>
      </c>
      <c r="M26" s="4222"/>
      <c r="N26" s="1781"/>
      <c r="O26" s="1781"/>
      <c r="P26" s="1781"/>
      <c r="Q26" s="1781"/>
      <c r="R26" s="1781"/>
      <c r="S26" s="1781"/>
      <c r="T26" s="1781"/>
      <c r="U26" s="1781"/>
      <c r="V26" s="1781"/>
      <c r="W26" s="1781"/>
      <c r="X26" s="1806">
        <f>H26*SUM(X13:X18)</f>
        <v>0</v>
      </c>
      <c r="Y26" s="1806"/>
      <c r="Z26" s="1806">
        <f>J26*SUM(Z13:Z18)</f>
        <v>0</v>
      </c>
      <c r="AA26" s="1806"/>
      <c r="AB26" s="1806">
        <f>L26*SUM(AB13:AB18)</f>
        <v>0</v>
      </c>
      <c r="AC26" s="1781"/>
      <c r="AD26" s="1781"/>
      <c r="AE26" s="1841">
        <f>'Fish and aqua'!O48</f>
        <v>0</v>
      </c>
      <c r="AF26" s="1806"/>
      <c r="AG26" s="1841">
        <f>'Fish and aqua'!P48</f>
        <v>0</v>
      </c>
      <c r="AH26" s="1781"/>
      <c r="AI26" s="1806">
        <f>AG26-AE26</f>
        <v>0</v>
      </c>
      <c r="AJ26" s="1781"/>
      <c r="AK26" s="1771"/>
      <c r="AL26" s="1771"/>
      <c r="AM26" s="1771"/>
      <c r="AN26" s="1771"/>
      <c r="AO26" s="1771"/>
      <c r="AP26" s="1771"/>
      <c r="AQ26" s="1771"/>
      <c r="AR26" s="1771"/>
      <c r="AS26" s="1771"/>
      <c r="AT26" s="1771"/>
      <c r="AU26" s="1771"/>
      <c r="AV26" s="1771"/>
      <c r="AW26" s="1771"/>
      <c r="AX26" s="1771"/>
      <c r="AY26" s="1771"/>
      <c r="AZ26" s="1771"/>
      <c r="BA26" s="1771"/>
      <c r="BB26" s="1771"/>
      <c r="BC26" s="1771"/>
      <c r="BD26" s="1771"/>
      <c r="BE26" s="1771"/>
      <c r="BF26" s="1771"/>
      <c r="BG26" s="1771"/>
      <c r="BH26" s="1771"/>
      <c r="BI26" s="1771"/>
      <c r="BJ26" s="1771"/>
      <c r="BK26" s="1771"/>
      <c r="BL26" s="1771"/>
      <c r="BM26" s="1771"/>
      <c r="BN26" s="1771"/>
      <c r="BO26" s="1771"/>
      <c r="BP26" s="1771"/>
      <c r="BQ26" s="1782"/>
      <c r="BR26" s="1782"/>
      <c r="BS26" s="1782"/>
      <c r="BT26" s="1782"/>
      <c r="BU26" s="1782"/>
      <c r="BV26" s="1782"/>
      <c r="BW26" s="1782"/>
      <c r="BX26" s="1782"/>
      <c r="BY26" s="1782"/>
      <c r="BZ26" s="1782"/>
      <c r="CA26" s="2602" t="str">
        <f>Languages!B608</f>
        <v>Country of origin of ice production</v>
      </c>
      <c r="CB26" s="1782"/>
      <c r="CC26" s="2257" t="s">
        <v>57</v>
      </c>
      <c r="CD26" s="1782"/>
      <c r="CE26" s="1782"/>
      <c r="CF26" s="1782"/>
      <c r="CG26" s="1782"/>
      <c r="CH26" s="1782"/>
      <c r="CI26" s="2151"/>
      <c r="CJ26" s="1782"/>
      <c r="CK26" s="1782"/>
      <c r="CL26" s="1771"/>
      <c r="CM26" s="1996"/>
      <c r="CN26" s="1996"/>
      <c r="CO26" s="1996"/>
      <c r="CP26" s="1771"/>
      <c r="CQ26" s="1771"/>
      <c r="CR26" s="1771"/>
      <c r="CS26" s="1771"/>
      <c r="CT26" s="1771"/>
      <c r="CU26" s="1771"/>
      <c r="CV26" s="1771"/>
      <c r="CW26" s="1771"/>
      <c r="CX26" s="1771"/>
      <c r="CY26" s="1771"/>
    </row>
    <row r="27" spans="1:103" x14ac:dyDescent="0.2">
      <c r="A27" s="1771"/>
      <c r="B27" s="1781"/>
      <c r="C27" s="1781"/>
      <c r="D27" s="1781"/>
      <c r="E27" s="1849"/>
      <c r="F27" s="1781"/>
      <c r="G27" s="1781"/>
      <c r="H27" s="1781"/>
      <c r="I27" s="1781"/>
      <c r="J27" s="1781"/>
      <c r="K27" s="1781"/>
      <c r="L27" s="1781"/>
      <c r="M27" s="1781"/>
      <c r="N27" s="1781"/>
      <c r="O27" s="1781"/>
      <c r="P27" s="1781"/>
      <c r="Q27" s="1781"/>
      <c r="R27" s="1781"/>
      <c r="S27" s="1781"/>
      <c r="T27" s="1781"/>
      <c r="U27" s="1781"/>
      <c r="V27" s="1781"/>
      <c r="W27" s="1781"/>
      <c r="X27" s="1781"/>
      <c r="Y27" s="1781"/>
      <c r="Z27" s="1781"/>
      <c r="AA27" s="1781"/>
      <c r="AB27" s="1781"/>
      <c r="AC27" s="1781"/>
      <c r="AD27" s="1781"/>
      <c r="AE27" s="1781"/>
      <c r="AF27" s="1781"/>
      <c r="AG27" s="1781"/>
      <c r="AH27" s="1781"/>
      <c r="AI27" s="1781"/>
      <c r="AJ27" s="1781"/>
      <c r="AK27" s="1771"/>
      <c r="AL27" s="1771"/>
      <c r="AM27" s="1771"/>
      <c r="AN27" s="1771"/>
      <c r="AO27" s="1771"/>
      <c r="AP27" s="1771"/>
      <c r="AQ27" s="1771"/>
      <c r="AR27" s="1771"/>
      <c r="AS27" s="1771"/>
      <c r="AT27" s="1771"/>
      <c r="AU27" s="1771"/>
      <c r="AV27" s="1771"/>
      <c r="AW27" s="1771"/>
      <c r="AX27" s="1771"/>
      <c r="AY27" s="1771"/>
      <c r="AZ27" s="1771"/>
      <c r="BA27" s="1771"/>
      <c r="BB27" s="1771"/>
      <c r="BC27" s="1771"/>
      <c r="BD27" s="1771"/>
      <c r="BE27" s="1771"/>
      <c r="BF27" s="1771"/>
      <c r="BG27" s="1771"/>
      <c r="BH27" s="1771"/>
      <c r="BI27" s="1771"/>
      <c r="BJ27" s="1771"/>
      <c r="BK27" s="1771"/>
      <c r="BL27" s="1771"/>
      <c r="BM27" s="1771"/>
      <c r="BN27" s="1771"/>
      <c r="BO27" s="1771"/>
      <c r="BP27" s="1771"/>
      <c r="BQ27" s="1782"/>
      <c r="BR27" s="1782" t="str">
        <f>'7.Coastal wetlands'!BR54</f>
        <v>Use this part only if you want to refine the analysis at Tier 2</v>
      </c>
      <c r="BS27" s="1782"/>
      <c r="BT27" s="1782"/>
      <c r="BU27" s="1782"/>
      <c r="BV27" s="1782"/>
      <c r="BW27" s="1782"/>
      <c r="BX27" s="1782"/>
      <c r="BY27" s="1782"/>
      <c r="BZ27" s="1782"/>
      <c r="CA27" s="1782"/>
      <c r="CB27" s="1782"/>
      <c r="CC27" s="1782"/>
      <c r="CD27" s="1782"/>
      <c r="CE27" s="1782"/>
      <c r="CF27" s="1782"/>
      <c r="CG27" s="1782"/>
      <c r="CH27" s="1782"/>
      <c r="CI27" s="2151" t="str">
        <f>Languages!B609</f>
        <v>UNFCCC operating margin</v>
      </c>
      <c r="CJ27" s="1782"/>
      <c r="CK27" s="1782"/>
      <c r="CL27" s="1771"/>
      <c r="CM27" s="1996"/>
      <c r="CN27" s="1996"/>
      <c r="CO27" s="1996"/>
      <c r="CP27" s="1771"/>
      <c r="CQ27" s="1771"/>
      <c r="CR27" s="1771"/>
      <c r="CS27" s="1771"/>
      <c r="CT27" s="1771"/>
      <c r="CU27" s="1771"/>
      <c r="CV27" s="1771"/>
      <c r="CW27" s="1771"/>
      <c r="CX27" s="1771"/>
      <c r="CY27" s="1771"/>
    </row>
    <row r="28" spans="1:103" x14ac:dyDescent="0.2">
      <c r="A28" s="1771"/>
      <c r="B28" s="1781"/>
      <c r="C28" s="1781"/>
      <c r="D28" s="1781"/>
      <c r="E28" s="1781"/>
      <c r="F28" s="1781"/>
      <c r="G28" s="1781"/>
      <c r="H28" s="1781"/>
      <c r="I28" s="1781"/>
      <c r="J28" s="1781"/>
      <c r="K28" s="1781"/>
      <c r="L28" s="1781"/>
      <c r="M28" s="1781"/>
      <c r="N28" s="1781"/>
      <c r="O28" s="1781"/>
      <c r="P28" s="1781"/>
      <c r="Q28" s="1781"/>
      <c r="R28" s="1781"/>
      <c r="S28" s="1781"/>
      <c r="T28" s="1781"/>
      <c r="U28" s="1781"/>
      <c r="V28" s="1781"/>
      <c r="W28" s="1781"/>
      <c r="X28" s="1781"/>
      <c r="Y28" s="1781"/>
      <c r="Z28" s="1781"/>
      <c r="AA28" s="1781"/>
      <c r="AB28" s="1781"/>
      <c r="AC28" s="1781"/>
      <c r="AD28" s="1781"/>
      <c r="AE28" s="1781"/>
      <c r="AF28" s="1781"/>
      <c r="AG28" s="1781"/>
      <c r="AH28" s="1781"/>
      <c r="AI28" s="1781"/>
      <c r="AJ28" s="1781"/>
      <c r="AK28" s="1771"/>
      <c r="AL28" s="1771"/>
      <c r="AM28" s="1771"/>
      <c r="AN28" s="1771"/>
      <c r="AO28" s="1771"/>
      <c r="AP28" s="1771"/>
      <c r="AQ28" s="1771"/>
      <c r="AR28" s="1771"/>
      <c r="AS28" s="1771"/>
      <c r="AT28" s="1771"/>
      <c r="AU28" s="1771"/>
      <c r="AV28" s="1771"/>
      <c r="AW28" s="1771"/>
      <c r="AX28" s="1771"/>
      <c r="AY28" s="1771"/>
      <c r="AZ28" s="1771"/>
      <c r="BA28" s="1771"/>
      <c r="BB28" s="1771"/>
      <c r="BC28" s="1771"/>
      <c r="BD28" s="1771"/>
      <c r="BE28" s="1771"/>
      <c r="BF28" s="1771"/>
      <c r="BG28" s="1771"/>
      <c r="BH28" s="1771"/>
      <c r="BI28" s="1771"/>
      <c r="BJ28" s="1771"/>
      <c r="BK28" s="1771"/>
      <c r="BL28" s="1771"/>
      <c r="BM28" s="1771"/>
      <c r="BN28" s="1771"/>
      <c r="BO28" s="1771"/>
      <c r="BP28" s="1771"/>
      <c r="BQ28" s="1782"/>
      <c r="BR28" s="1782" t="str">
        <f>'7.Coastal wetlands'!BR55</f>
        <v>IPCC default values are provided for your information only; EX-ACT will use Tier 2 values automatically wherever specified.</v>
      </c>
      <c r="BS28" s="1782"/>
      <c r="BT28" s="1782"/>
      <c r="BU28" s="1782"/>
      <c r="BV28" s="1782"/>
      <c r="BW28" s="1782"/>
      <c r="BX28" s="1782"/>
      <c r="BY28" s="1782"/>
      <c r="BZ28" s="1782"/>
      <c r="CA28" s="1782"/>
      <c r="CB28" s="1782"/>
      <c r="CC28" s="1782"/>
      <c r="CD28" s="1782"/>
      <c r="CE28" s="1782"/>
      <c r="CF28" s="1782"/>
      <c r="CG28" s="1782"/>
      <c r="CH28" s="1782"/>
      <c r="CI28" s="1782"/>
      <c r="CJ28" s="1782"/>
      <c r="CK28" s="1782"/>
      <c r="CL28" s="1771"/>
      <c r="CM28" s="1996"/>
      <c r="CN28" s="1996"/>
      <c r="CO28" s="1996"/>
      <c r="CP28" s="1771"/>
      <c r="CQ28" s="1771"/>
      <c r="CR28" s="1771"/>
      <c r="CS28" s="1771"/>
      <c r="CT28" s="1771"/>
      <c r="CU28" s="1771"/>
      <c r="CV28" s="1771"/>
      <c r="CW28" s="1771"/>
      <c r="CX28" s="1771"/>
      <c r="CY28" s="1771"/>
    </row>
    <row r="29" spans="1:103" x14ac:dyDescent="0.2">
      <c r="A29" s="1771"/>
      <c r="B29" s="1781"/>
      <c r="C29" s="1781"/>
      <c r="D29" s="1781"/>
      <c r="E29" s="1781"/>
      <c r="F29" s="1781"/>
      <c r="G29" s="1781"/>
      <c r="H29" s="1781"/>
      <c r="I29" s="1781"/>
      <c r="J29" s="1781"/>
      <c r="K29" s="1781"/>
      <c r="L29" s="1781"/>
      <c r="M29" s="1781"/>
      <c r="N29" s="1781"/>
      <c r="O29" s="1781"/>
      <c r="P29" s="1781"/>
      <c r="Q29" s="1781"/>
      <c r="R29" s="1781"/>
      <c r="S29" s="1781"/>
      <c r="T29" s="1781"/>
      <c r="U29" s="1781"/>
      <c r="V29" s="1781"/>
      <c r="W29" s="1781"/>
      <c r="X29" s="1781"/>
      <c r="Y29" s="1781"/>
      <c r="Z29" s="1781"/>
      <c r="AA29" s="1781"/>
      <c r="AB29" s="1781"/>
      <c r="AC29" s="1781"/>
      <c r="AD29" s="1781"/>
      <c r="AE29" s="1781"/>
      <c r="AF29" s="1781"/>
      <c r="AG29" s="1781"/>
      <c r="AH29" s="1781"/>
      <c r="AI29" s="1781"/>
      <c r="AJ29" s="1781"/>
      <c r="AK29" s="1771"/>
      <c r="AL29" s="1771"/>
      <c r="AM29" s="1771"/>
      <c r="AN29" s="1771"/>
      <c r="AO29" s="1771"/>
      <c r="AP29" s="1771"/>
      <c r="AQ29" s="1771"/>
      <c r="AR29" s="1771"/>
      <c r="AS29" s="1771"/>
      <c r="AT29" s="1771"/>
      <c r="AU29" s="1771"/>
      <c r="AV29" s="1771"/>
      <c r="AW29" s="1771"/>
      <c r="AX29" s="1771"/>
      <c r="AY29" s="1771"/>
      <c r="AZ29" s="1771"/>
      <c r="BA29" s="1771"/>
      <c r="BB29" s="1771"/>
      <c r="BC29" s="1771"/>
      <c r="BD29" s="1771"/>
      <c r="BE29" s="1771"/>
      <c r="BF29" s="1771"/>
      <c r="BG29" s="1771"/>
      <c r="BH29" s="1771"/>
      <c r="BI29" s="1771"/>
      <c r="BJ29" s="1771"/>
      <c r="BK29" s="1771"/>
      <c r="BL29" s="1771"/>
      <c r="BM29" s="1771"/>
      <c r="BN29" s="1771"/>
      <c r="BO29" s="1771"/>
      <c r="BP29" s="1771"/>
      <c r="BQ29" s="1771"/>
      <c r="BR29" s="1771"/>
      <c r="BS29" s="1771"/>
      <c r="BT29" s="1771"/>
      <c r="BU29" s="1771"/>
      <c r="BV29" s="1771"/>
      <c r="BW29" s="1771"/>
      <c r="BX29" s="1771"/>
      <c r="BY29" s="1771"/>
      <c r="BZ29" s="1771"/>
      <c r="CA29" s="1771"/>
      <c r="CB29" s="1771"/>
      <c r="CC29" s="1771"/>
      <c r="CD29" s="1771"/>
      <c r="CE29" s="1771"/>
      <c r="CF29" s="1771"/>
      <c r="CG29" s="1771"/>
      <c r="CH29" s="1771"/>
      <c r="CI29" s="1771"/>
      <c r="CJ29" s="1771"/>
      <c r="CK29" s="1771"/>
      <c r="CL29" s="1771"/>
      <c r="CM29" s="1771"/>
      <c r="CN29" s="1771"/>
      <c r="CO29" s="1771"/>
      <c r="CP29" s="1771"/>
      <c r="CQ29" s="1771"/>
      <c r="CR29" s="1771"/>
      <c r="CS29" s="1771"/>
      <c r="CT29" s="1771"/>
      <c r="CU29" s="1771"/>
      <c r="CV29" s="1771"/>
      <c r="CW29" s="1771"/>
      <c r="CX29" s="1771"/>
      <c r="CY29" s="1771"/>
    </row>
    <row r="30" spans="1:103" x14ac:dyDescent="0.2">
      <c r="A30" s="1771"/>
      <c r="B30" s="1781"/>
      <c r="C30" s="1781"/>
      <c r="D30" s="1781"/>
      <c r="E30" s="1781"/>
      <c r="F30" s="1781"/>
      <c r="G30" s="1781"/>
      <c r="H30" s="1781"/>
      <c r="I30" s="1781"/>
      <c r="J30" s="1781"/>
      <c r="K30" s="1781"/>
      <c r="L30" s="1781"/>
      <c r="M30" s="1781"/>
      <c r="N30" s="1781"/>
      <c r="O30" s="1781"/>
      <c r="P30" s="1781"/>
      <c r="Q30" s="1781"/>
      <c r="R30" s="1781"/>
      <c r="S30" s="1781"/>
      <c r="T30" s="1781"/>
      <c r="U30" s="1781"/>
      <c r="V30" s="1853"/>
      <c r="W30" s="1853"/>
      <c r="X30" s="1853"/>
      <c r="Y30" s="1853"/>
      <c r="Z30" s="1853"/>
      <c r="AA30" s="1853"/>
      <c r="AB30" s="2018" t="str">
        <f>Languages!B586</f>
        <v>Total for small scale fisheries (tCO2-e)</v>
      </c>
      <c r="AC30" s="2018"/>
      <c r="AD30" s="1853"/>
      <c r="AE30" s="2035">
        <f>SUM(AE13:AE18,AE22,AE26)</f>
        <v>46733.901299199584</v>
      </c>
      <c r="AF30" s="2036"/>
      <c r="AG30" s="2035">
        <f>SUM(AG13:AG18,AG22,AG26)</f>
        <v>44186.102941766585</v>
      </c>
      <c r="AH30" s="2036"/>
      <c r="AI30" s="2036">
        <f>SUM(AI13:AI18,AI22,AI26)</f>
        <v>-2547.7983574329992</v>
      </c>
      <c r="AJ30" s="1781"/>
      <c r="AK30" s="1771"/>
      <c r="AL30" s="1771"/>
      <c r="AM30" s="1771"/>
      <c r="AN30" s="1771"/>
      <c r="AO30" s="1771"/>
      <c r="AP30" s="1771"/>
      <c r="AQ30" s="1771"/>
      <c r="AR30" s="1771"/>
      <c r="AS30" s="1771"/>
      <c r="AT30" s="1771"/>
      <c r="AU30" s="1771"/>
      <c r="AV30" s="1771"/>
      <c r="AW30" s="1771"/>
      <c r="AX30" s="1771"/>
      <c r="AY30" s="1771"/>
      <c r="AZ30" s="1771"/>
      <c r="BA30" s="1771"/>
      <c r="BB30" s="1771"/>
      <c r="BC30" s="1771"/>
      <c r="BD30" s="1771"/>
      <c r="BE30" s="1771"/>
      <c r="BF30" s="1771"/>
      <c r="BG30" s="1771"/>
      <c r="BH30" s="1771"/>
      <c r="BI30" s="1771"/>
      <c r="BJ30" s="1771"/>
      <c r="BK30" s="1771"/>
      <c r="BL30" s="1771"/>
      <c r="BM30" s="1771"/>
      <c r="BN30" s="1771"/>
      <c r="BO30" s="1771"/>
      <c r="BP30" s="1771"/>
      <c r="BQ30" s="1771"/>
      <c r="BR30" s="1771"/>
      <c r="BS30" s="1771"/>
      <c r="BT30" s="1771"/>
      <c r="BU30" s="1771"/>
      <c r="BV30" s="1771"/>
      <c r="BW30" s="1771"/>
      <c r="BX30" s="1771"/>
      <c r="BY30" s="1771"/>
      <c r="BZ30" s="1771"/>
      <c r="CA30" s="1771"/>
      <c r="CB30" s="1771"/>
      <c r="CC30" s="1771"/>
      <c r="CD30" s="1771"/>
      <c r="CE30" s="1771"/>
      <c r="CF30" s="1771"/>
      <c r="CG30" s="1771"/>
      <c r="CH30" s="1771"/>
      <c r="CI30" s="1771"/>
      <c r="CJ30" s="1771"/>
      <c r="CK30" s="1771"/>
      <c r="CL30" s="1771"/>
      <c r="CM30" s="1771"/>
      <c r="CN30" s="1771"/>
      <c r="CO30" s="1771"/>
      <c r="CP30" s="1771"/>
      <c r="CQ30" s="1771"/>
      <c r="CR30" s="1771"/>
      <c r="CS30" s="1771"/>
      <c r="CT30" s="1771"/>
      <c r="CU30" s="1771"/>
      <c r="CV30" s="1771"/>
      <c r="CW30" s="1771"/>
      <c r="CX30" s="1771"/>
      <c r="CY30" s="1771"/>
    </row>
    <row r="31" spans="1:103" x14ac:dyDescent="0.2">
      <c r="A31" s="1771"/>
      <c r="B31" s="1781"/>
      <c r="C31" s="1781"/>
      <c r="D31" s="1781"/>
      <c r="E31" s="1781"/>
      <c r="F31" s="1781"/>
      <c r="G31" s="1781"/>
      <c r="H31" s="1781"/>
      <c r="I31" s="1781"/>
      <c r="J31" s="1781"/>
      <c r="K31" s="1781"/>
      <c r="L31" s="1781"/>
      <c r="M31" s="1781"/>
      <c r="N31" s="1781"/>
      <c r="O31" s="1781"/>
      <c r="P31" s="1781"/>
      <c r="Q31" s="1781"/>
      <c r="R31" s="1781"/>
      <c r="S31" s="1781"/>
      <c r="T31" s="1781"/>
      <c r="U31" s="1781"/>
      <c r="V31" s="1781"/>
      <c r="W31" s="1781"/>
      <c r="X31" s="1781"/>
      <c r="Y31" s="1781"/>
      <c r="Z31" s="1781"/>
      <c r="AA31" s="1781"/>
      <c r="AB31" s="1781"/>
      <c r="AC31" s="1781"/>
      <c r="AD31" s="1781"/>
      <c r="AE31" s="1781"/>
      <c r="AF31" s="1781"/>
      <c r="AG31" s="1781"/>
      <c r="AH31" s="1781"/>
      <c r="AI31" s="1781"/>
      <c r="AJ31" s="1781"/>
      <c r="AK31" s="1771"/>
      <c r="AL31" s="1771"/>
      <c r="AM31" s="1771"/>
      <c r="AN31" s="1771"/>
      <c r="AO31" s="1771"/>
      <c r="AP31" s="1771"/>
      <c r="AQ31" s="1771"/>
      <c r="AR31" s="1771"/>
      <c r="AS31" s="1771"/>
      <c r="AT31" s="1771"/>
      <c r="AU31" s="1771"/>
      <c r="AV31" s="1771"/>
      <c r="AW31" s="1771"/>
      <c r="AX31" s="1771"/>
      <c r="AY31" s="1771"/>
      <c r="AZ31" s="1771"/>
      <c r="BA31" s="1771"/>
      <c r="BB31" s="1771"/>
      <c r="BC31" s="1771"/>
      <c r="BD31" s="1771"/>
      <c r="BE31" s="1771"/>
      <c r="BF31" s="1771"/>
      <c r="BG31" s="1771"/>
      <c r="BH31" s="1771"/>
      <c r="BI31" s="1771"/>
      <c r="BJ31" s="1771"/>
      <c r="BK31" s="1771"/>
      <c r="BL31" s="1771"/>
      <c r="BM31" s="1771"/>
      <c r="BN31" s="1771"/>
      <c r="BO31" s="1771"/>
      <c r="BP31" s="1771"/>
      <c r="BQ31" s="1771"/>
      <c r="BR31" s="1771"/>
      <c r="BS31" s="1771"/>
      <c r="BT31" s="1771"/>
      <c r="BU31" s="1771"/>
      <c r="BV31" s="1771"/>
      <c r="BW31" s="1771"/>
      <c r="BX31" s="1771"/>
      <c r="BY31" s="1771"/>
      <c r="BZ31" s="1771"/>
      <c r="CA31" s="1771"/>
      <c r="CB31" s="1771"/>
      <c r="CC31" s="1771"/>
      <c r="CD31" s="1771"/>
      <c r="CE31" s="1771"/>
      <c r="CF31" s="1771"/>
      <c r="CG31" s="1771"/>
      <c r="CH31" s="1771"/>
      <c r="CI31" s="1771"/>
      <c r="CJ31" s="1771"/>
      <c r="CK31" s="1771"/>
      <c r="CL31" s="1771"/>
      <c r="CM31" s="1771"/>
      <c r="CN31" s="1771"/>
      <c r="CO31" s="1771"/>
      <c r="CP31" s="1771"/>
      <c r="CQ31" s="1771"/>
      <c r="CR31" s="1771"/>
      <c r="CS31" s="1771"/>
      <c r="CT31" s="1771"/>
      <c r="CU31" s="1771"/>
      <c r="CV31" s="1771"/>
      <c r="CW31" s="1771"/>
      <c r="CX31" s="1771"/>
      <c r="CY31" s="1771"/>
    </row>
    <row r="32" spans="1:103" x14ac:dyDescent="0.2">
      <c r="A32" s="1771"/>
      <c r="B32" s="1781"/>
      <c r="C32" s="1820" t="str">
        <f>Languages!B23</f>
        <v>*The selection of "D" corresponds to a default (linear) dynamics of change. Other selection options include "I" for immediate changes and "E" for exponential - please refer to the guidelines for further explanation of these assumptions.</v>
      </c>
      <c r="D32" s="1781"/>
      <c r="E32" s="1781"/>
      <c r="F32" s="1781"/>
      <c r="G32" s="1781"/>
      <c r="H32" s="1781"/>
      <c r="I32" s="1781"/>
      <c r="J32" s="1781"/>
      <c r="K32" s="1781"/>
      <c r="L32" s="1781"/>
      <c r="M32" s="1781"/>
      <c r="N32" s="1781"/>
      <c r="O32" s="1781"/>
      <c r="P32" s="1781"/>
      <c r="Q32" s="1781"/>
      <c r="R32" s="1781"/>
      <c r="S32" s="1781"/>
      <c r="T32" s="1781"/>
      <c r="U32" s="1781"/>
      <c r="V32" s="1781"/>
      <c r="W32" s="1781"/>
      <c r="X32" s="1781"/>
      <c r="Y32" s="1781"/>
      <c r="Z32" s="1781"/>
      <c r="AA32" s="1781"/>
      <c r="AB32" s="1781"/>
      <c r="AC32" s="1781"/>
      <c r="AD32" s="1781"/>
      <c r="AE32" s="1781"/>
      <c r="AF32" s="1781"/>
      <c r="AG32" s="1781"/>
      <c r="AH32" s="1781"/>
      <c r="AI32" s="1781"/>
      <c r="AJ32" s="1781"/>
      <c r="AK32" s="1771"/>
      <c r="AL32" s="1771"/>
      <c r="AM32" s="1771"/>
      <c r="AN32" s="1771"/>
      <c r="AO32" s="1771"/>
      <c r="AP32" s="1771"/>
      <c r="AQ32" s="1771"/>
      <c r="AR32" s="1771"/>
      <c r="AS32" s="1771"/>
      <c r="AT32" s="1771"/>
      <c r="AU32" s="1771"/>
      <c r="AV32" s="1771"/>
      <c r="AW32" s="1771"/>
      <c r="AX32" s="1771"/>
      <c r="AY32" s="1771"/>
      <c r="AZ32" s="1771"/>
      <c r="BA32" s="1771"/>
      <c r="BB32" s="1771"/>
      <c r="BC32" s="1771"/>
      <c r="BD32" s="1771"/>
      <c r="BE32" s="1771"/>
      <c r="BF32" s="1771"/>
      <c r="BG32" s="1771"/>
      <c r="BH32" s="1771"/>
      <c r="BI32" s="1771"/>
      <c r="BJ32" s="1771"/>
      <c r="BK32" s="1771"/>
      <c r="BL32" s="1771"/>
      <c r="BM32" s="1771"/>
      <c r="BN32" s="1771"/>
      <c r="BO32" s="1771"/>
      <c r="BP32" s="1771"/>
      <c r="BQ32" s="1771"/>
      <c r="BR32" s="1771"/>
      <c r="BS32" s="1771"/>
      <c r="BT32" s="1771"/>
      <c r="BU32" s="1771"/>
      <c r="BV32" s="1771"/>
      <c r="BW32" s="1771"/>
      <c r="BX32" s="1771"/>
      <c r="BY32" s="1771"/>
      <c r="BZ32" s="1771"/>
      <c r="CA32" s="1771"/>
      <c r="CB32" s="1771"/>
      <c r="CC32" s="1771"/>
      <c r="CD32" s="1771"/>
      <c r="CE32" s="1771"/>
      <c r="CF32" s="1771"/>
      <c r="CG32" s="1771"/>
      <c r="CH32" s="1771"/>
      <c r="CI32" s="1771"/>
      <c r="CJ32" s="1771"/>
      <c r="CK32" s="1771"/>
      <c r="CL32" s="1771"/>
      <c r="CM32" s="1771"/>
      <c r="CN32" s="1771"/>
      <c r="CO32" s="1771"/>
      <c r="CP32" s="1771"/>
      <c r="CQ32" s="1771"/>
      <c r="CR32" s="1771"/>
      <c r="CS32" s="1771"/>
      <c r="CT32" s="1771"/>
      <c r="CU32" s="1771"/>
      <c r="CV32" s="1771"/>
      <c r="CW32" s="1771"/>
      <c r="CX32" s="1771"/>
      <c r="CY32" s="1771"/>
    </row>
    <row r="33" spans="1:103" x14ac:dyDescent="0.2">
      <c r="A33" s="1771"/>
      <c r="B33" s="1781"/>
      <c r="C33" s="1781"/>
      <c r="D33" s="1781"/>
      <c r="E33" s="1781"/>
      <c r="F33" s="1781"/>
      <c r="G33" s="1781"/>
      <c r="H33" s="1781"/>
      <c r="I33" s="1781"/>
      <c r="J33" s="1781"/>
      <c r="K33" s="1781"/>
      <c r="L33" s="1781"/>
      <c r="M33" s="1781"/>
      <c r="N33" s="1781"/>
      <c r="O33" s="1781"/>
      <c r="P33" s="1781"/>
      <c r="Q33" s="1781"/>
      <c r="R33" s="1781"/>
      <c r="S33" s="1781"/>
      <c r="T33" s="1781"/>
      <c r="U33" s="1781"/>
      <c r="V33" s="1781"/>
      <c r="W33" s="1781"/>
      <c r="X33" s="1781"/>
      <c r="Y33" s="1781"/>
      <c r="Z33" s="1781"/>
      <c r="AA33" s="1781"/>
      <c r="AB33" s="1781"/>
      <c r="AC33" s="1781"/>
      <c r="AD33" s="1781"/>
      <c r="AE33" s="1781"/>
      <c r="AF33" s="1781"/>
      <c r="AG33" s="1781"/>
      <c r="AH33" s="1781"/>
      <c r="AI33" s="1781"/>
      <c r="AJ33" s="1781"/>
      <c r="AK33" s="1771"/>
      <c r="AL33" s="1771"/>
      <c r="AM33" s="1771"/>
      <c r="AN33" s="1771"/>
      <c r="AO33" s="1771"/>
      <c r="AP33" s="1771"/>
      <c r="AQ33" s="1771"/>
      <c r="AR33" s="1771"/>
      <c r="AS33" s="1771"/>
      <c r="AT33" s="1771"/>
      <c r="AU33" s="1771"/>
      <c r="AV33" s="1771"/>
      <c r="AW33" s="1771"/>
      <c r="AX33" s="1771"/>
      <c r="AY33" s="1771"/>
      <c r="AZ33" s="1771"/>
      <c r="BA33" s="1771"/>
      <c r="BB33" s="1771"/>
      <c r="BC33" s="1771"/>
      <c r="BD33" s="1771"/>
      <c r="BE33" s="1771"/>
      <c r="BF33" s="1771"/>
      <c r="BG33" s="1771"/>
      <c r="BH33" s="1771"/>
      <c r="BI33" s="1771"/>
      <c r="BJ33" s="1771"/>
      <c r="BK33" s="1771"/>
      <c r="BL33" s="1771"/>
      <c r="BM33" s="1771"/>
      <c r="BN33" s="1771"/>
      <c r="BO33" s="1771"/>
      <c r="BP33" s="1771"/>
      <c r="BQ33" s="1771"/>
      <c r="BR33" s="1771"/>
      <c r="BS33" s="1771"/>
      <c r="BT33" s="1771"/>
      <c r="BU33" s="1771"/>
      <c r="BV33" s="1771"/>
      <c r="BW33" s="1771"/>
      <c r="BX33" s="1771"/>
      <c r="BY33" s="1771"/>
      <c r="BZ33" s="1771"/>
      <c r="CA33" s="1771"/>
      <c r="CB33" s="1771"/>
      <c r="CC33" s="1771"/>
      <c r="CD33" s="1771"/>
      <c r="CE33" s="1771"/>
      <c r="CF33" s="1771"/>
      <c r="CG33" s="1771"/>
      <c r="CH33" s="1771"/>
      <c r="CI33" s="1771"/>
      <c r="CJ33" s="1771"/>
      <c r="CK33" s="1771"/>
      <c r="CL33" s="1771"/>
      <c r="CM33" s="1771"/>
      <c r="CN33" s="1771"/>
      <c r="CO33" s="1771"/>
      <c r="CP33" s="1771"/>
      <c r="CQ33" s="1771"/>
      <c r="CR33" s="1771"/>
      <c r="CS33" s="1771"/>
      <c r="CT33" s="1771"/>
      <c r="CU33" s="1771"/>
      <c r="CV33" s="1771"/>
      <c r="CW33" s="1771"/>
      <c r="CX33" s="1771"/>
      <c r="CY33" s="1771"/>
    </row>
    <row r="34" spans="1:103" x14ac:dyDescent="0.2">
      <c r="A34" s="1771"/>
      <c r="B34" s="1771"/>
      <c r="C34" s="1771"/>
      <c r="D34" s="1771"/>
      <c r="E34" s="1771"/>
      <c r="F34" s="1771"/>
      <c r="G34" s="1771"/>
      <c r="H34" s="1771"/>
      <c r="I34" s="1771"/>
      <c r="J34" s="1771"/>
      <c r="K34" s="1771"/>
      <c r="L34" s="1771"/>
      <c r="M34" s="1771"/>
      <c r="N34" s="1771"/>
      <c r="O34" s="1771"/>
      <c r="P34" s="1771"/>
      <c r="Q34" s="1771"/>
      <c r="R34" s="1771"/>
      <c r="S34" s="1771"/>
      <c r="T34" s="1771"/>
      <c r="U34" s="1771"/>
      <c r="V34" s="1771"/>
      <c r="W34" s="1771"/>
      <c r="X34" s="1771"/>
      <c r="Y34" s="1771"/>
      <c r="Z34" s="1771"/>
      <c r="AA34" s="1771"/>
      <c r="AB34" s="1771"/>
      <c r="AC34" s="1771"/>
      <c r="AD34" s="1771"/>
      <c r="AE34" s="1771"/>
      <c r="AF34" s="1771"/>
      <c r="AG34" s="1771"/>
      <c r="AH34" s="1771"/>
      <c r="AI34" s="1771"/>
      <c r="AJ34" s="1771"/>
      <c r="AK34" s="1771"/>
      <c r="AL34" s="1771"/>
      <c r="AM34" s="1771"/>
      <c r="AN34" s="1771"/>
      <c r="AO34" s="1771"/>
      <c r="AP34" s="1771"/>
      <c r="AQ34" s="1771"/>
      <c r="AR34" s="1771"/>
      <c r="AS34" s="1771"/>
      <c r="AT34" s="1771"/>
      <c r="AU34" s="1771"/>
      <c r="AV34" s="1771"/>
      <c r="AW34" s="1771"/>
      <c r="AX34" s="1771"/>
      <c r="AY34" s="1771"/>
      <c r="AZ34" s="1771"/>
      <c r="BA34" s="1771"/>
      <c r="BB34" s="1771"/>
      <c r="BC34" s="1771"/>
      <c r="BD34" s="1771"/>
      <c r="BE34" s="1771"/>
      <c r="BF34" s="1771"/>
      <c r="BG34" s="1771"/>
      <c r="BH34" s="1771"/>
      <c r="BI34" s="1771"/>
      <c r="BJ34" s="1771"/>
      <c r="BK34" s="1771"/>
      <c r="BL34" s="1771"/>
      <c r="BM34" s="1771"/>
      <c r="BN34" s="1771"/>
      <c r="BO34" s="1771"/>
      <c r="BP34" s="1771"/>
      <c r="BQ34" s="1771"/>
      <c r="BR34" s="1771"/>
      <c r="BS34" s="1771"/>
      <c r="BT34" s="1771"/>
      <c r="BU34" s="1771"/>
      <c r="BV34" s="1771"/>
      <c r="BW34" s="1771"/>
      <c r="BX34" s="1771"/>
      <c r="BY34" s="1771"/>
      <c r="BZ34" s="1771"/>
      <c r="CA34" s="1771"/>
      <c r="CB34" s="1771"/>
      <c r="CC34" s="1771"/>
      <c r="CD34" s="1771"/>
      <c r="CE34" s="1771"/>
      <c r="CF34" s="1771"/>
      <c r="CG34" s="1771"/>
      <c r="CH34" s="1771"/>
      <c r="CI34" s="1771"/>
      <c r="CJ34" s="1771"/>
      <c r="CK34" s="1771"/>
      <c r="CL34" s="1771"/>
      <c r="CM34" s="1771"/>
      <c r="CN34" s="1771"/>
      <c r="CO34" s="1771"/>
      <c r="CP34" s="1771"/>
      <c r="CQ34" s="1771"/>
      <c r="CR34" s="1771"/>
      <c r="CS34" s="1771"/>
      <c r="CT34" s="1771"/>
      <c r="CU34" s="1771"/>
      <c r="CV34" s="1771"/>
      <c r="CW34" s="1771"/>
      <c r="CX34" s="1771"/>
      <c r="CY34" s="1771"/>
    </row>
    <row r="35" spans="1:103" x14ac:dyDescent="0.2">
      <c r="A35" s="1771"/>
      <c r="B35" s="1771"/>
      <c r="C35" s="1771"/>
      <c r="D35" s="1771"/>
      <c r="E35" s="1771"/>
      <c r="F35" s="1771"/>
      <c r="G35" s="1771"/>
      <c r="H35" s="1771"/>
      <c r="I35" s="1771"/>
      <c r="J35" s="1771"/>
      <c r="K35" s="1771"/>
      <c r="L35" s="1771"/>
      <c r="M35" s="1771"/>
      <c r="N35" s="1771"/>
      <c r="O35" s="1771"/>
      <c r="P35" s="1771"/>
      <c r="Q35" s="1771"/>
      <c r="R35" s="1771"/>
      <c r="S35" s="1771"/>
      <c r="T35" s="1771"/>
      <c r="U35" s="1771"/>
      <c r="V35" s="1771"/>
      <c r="W35" s="1771"/>
      <c r="X35" s="1771"/>
      <c r="Y35" s="1771"/>
      <c r="Z35" s="1771"/>
      <c r="AA35" s="1771"/>
      <c r="AB35" s="1771"/>
      <c r="AC35" s="1771"/>
      <c r="AD35" s="1771"/>
      <c r="AE35" s="1771"/>
      <c r="AF35" s="1771"/>
      <c r="AG35" s="1771"/>
      <c r="AH35" s="1771"/>
      <c r="AI35" s="1771"/>
      <c r="AJ35" s="1771"/>
      <c r="AK35" s="1771"/>
      <c r="AL35" s="1771"/>
      <c r="AM35" s="1771"/>
      <c r="AN35" s="1771"/>
      <c r="AO35" s="1771"/>
      <c r="AP35" s="1771"/>
      <c r="AQ35" s="1771"/>
      <c r="AR35" s="1771"/>
      <c r="AS35" s="1771"/>
      <c r="AT35" s="1771"/>
      <c r="AU35" s="1771"/>
      <c r="AV35" s="1771"/>
      <c r="AW35" s="1771"/>
      <c r="AX35" s="1771"/>
      <c r="AY35" s="1771"/>
      <c r="AZ35" s="1771"/>
      <c r="BA35" s="1771"/>
      <c r="BB35" s="1771"/>
      <c r="BC35" s="1771"/>
      <c r="BD35" s="1771"/>
      <c r="BE35" s="1771"/>
      <c r="BF35" s="1771"/>
      <c r="BG35" s="1771"/>
      <c r="BH35" s="1771"/>
      <c r="BI35" s="1771"/>
      <c r="BJ35" s="1771"/>
      <c r="BK35" s="1771"/>
      <c r="BL35" s="1771"/>
      <c r="BM35" s="1771"/>
      <c r="BN35" s="1771"/>
      <c r="BO35" s="1771"/>
      <c r="BP35" s="1771"/>
      <c r="BQ35" s="1771"/>
      <c r="BR35" s="1771"/>
      <c r="BS35" s="1771"/>
      <c r="BT35" s="1771"/>
      <c r="BU35" s="1771"/>
      <c r="BV35" s="1771"/>
      <c r="BW35" s="1771"/>
      <c r="BX35" s="1771"/>
      <c r="BY35" s="1771"/>
      <c r="BZ35" s="1771"/>
      <c r="CA35" s="1771"/>
      <c r="CB35" s="1771"/>
      <c r="CC35" s="1771"/>
      <c r="CD35" s="1771"/>
      <c r="CE35" s="1771"/>
      <c r="CF35" s="1771"/>
      <c r="CG35" s="1771"/>
      <c r="CH35" s="1771"/>
      <c r="CI35" s="1771"/>
      <c r="CJ35" s="1771"/>
      <c r="CK35" s="1771"/>
      <c r="CL35" s="1771"/>
      <c r="CM35" s="1771"/>
      <c r="CN35" s="1771"/>
      <c r="CO35" s="1771"/>
      <c r="CP35" s="1771"/>
      <c r="CQ35" s="1771"/>
      <c r="CR35" s="1771"/>
      <c r="CS35" s="1771"/>
      <c r="CT35" s="1771"/>
      <c r="CU35" s="1771"/>
      <c r="CV35" s="1771"/>
      <c r="CW35" s="1771"/>
      <c r="CX35" s="1771"/>
      <c r="CY35" s="1771"/>
    </row>
    <row r="36" spans="1:103" x14ac:dyDescent="0.2">
      <c r="A36" s="1771"/>
      <c r="B36" s="1771"/>
      <c r="C36" s="1771"/>
      <c r="D36" s="1771"/>
      <c r="E36" s="1771"/>
      <c r="F36" s="1771"/>
      <c r="G36" s="1771"/>
      <c r="H36" s="1771"/>
      <c r="I36" s="1771"/>
      <c r="J36" s="1771"/>
      <c r="K36" s="1771"/>
      <c r="L36" s="1771"/>
      <c r="M36" s="1771"/>
      <c r="N36" s="1771"/>
      <c r="O36" s="1771"/>
      <c r="P36" s="1771"/>
      <c r="Q36" s="1771"/>
      <c r="R36" s="1771"/>
      <c r="S36" s="1771"/>
      <c r="T36" s="1771"/>
      <c r="U36" s="1771"/>
      <c r="V36" s="1771"/>
      <c r="W36" s="1771"/>
      <c r="X36" s="1771"/>
      <c r="Y36" s="1771"/>
      <c r="Z36" s="1771"/>
      <c r="AA36" s="1771"/>
      <c r="AB36" s="1771"/>
      <c r="AC36" s="1771"/>
      <c r="AD36" s="1771"/>
      <c r="AE36" s="1771"/>
      <c r="AF36" s="1771"/>
      <c r="AG36" s="1771"/>
      <c r="AH36" s="1771"/>
      <c r="AI36" s="1771"/>
      <c r="AJ36" s="1771"/>
      <c r="AK36" s="1771"/>
      <c r="AL36" s="1771"/>
      <c r="AM36" s="1771"/>
      <c r="AN36" s="1771"/>
      <c r="AO36" s="1771"/>
      <c r="AP36" s="1771"/>
      <c r="AQ36" s="1771"/>
      <c r="AR36" s="1771"/>
      <c r="AS36" s="1771"/>
      <c r="AT36" s="1771"/>
      <c r="AU36" s="1771"/>
      <c r="AV36" s="1771"/>
      <c r="AW36" s="1771"/>
      <c r="AX36" s="1771"/>
      <c r="AY36" s="1771"/>
      <c r="AZ36" s="1771"/>
      <c r="BA36" s="1771"/>
      <c r="BB36" s="1771"/>
      <c r="BC36" s="1771"/>
      <c r="BD36" s="1771"/>
      <c r="BE36" s="1771"/>
      <c r="BF36" s="1771"/>
      <c r="BG36" s="1771"/>
      <c r="BH36" s="1771"/>
      <c r="BI36" s="1771"/>
      <c r="BJ36" s="1771"/>
      <c r="BK36" s="1771"/>
      <c r="BL36" s="1771"/>
      <c r="BM36" s="1771"/>
      <c r="BN36" s="1771"/>
      <c r="BO36" s="1771"/>
      <c r="BP36" s="1771"/>
      <c r="BQ36" s="1771"/>
      <c r="BR36" s="1771"/>
      <c r="BS36" s="1771"/>
      <c r="BT36" s="1771"/>
      <c r="BU36" s="1771"/>
      <c r="BV36" s="1771"/>
      <c r="BW36" s="1771"/>
      <c r="BX36" s="1771"/>
      <c r="BY36" s="1771"/>
      <c r="BZ36" s="1771"/>
      <c r="CA36" s="1771"/>
      <c r="CB36" s="1771"/>
      <c r="CC36" s="1771"/>
      <c r="CD36" s="1771"/>
      <c r="CE36" s="1771"/>
      <c r="CF36" s="1771"/>
      <c r="CG36" s="1771"/>
      <c r="CH36" s="1771"/>
      <c r="CI36" s="1771"/>
      <c r="CJ36" s="1771"/>
      <c r="CK36" s="1771"/>
      <c r="CL36" s="1771"/>
      <c r="CM36" s="1771"/>
      <c r="CN36" s="1771"/>
      <c r="CO36" s="1771"/>
      <c r="CP36" s="1771"/>
      <c r="CQ36" s="1771"/>
      <c r="CR36" s="1771"/>
      <c r="CS36" s="1771"/>
      <c r="CT36" s="1771"/>
      <c r="CU36" s="1771"/>
      <c r="CV36" s="1771"/>
      <c r="CW36" s="1771"/>
      <c r="CX36" s="1771"/>
      <c r="CY36" s="1771"/>
    </row>
    <row r="37" spans="1:103" ht="47.25" customHeight="1" x14ac:dyDescent="0.2">
      <c r="A37" s="1771"/>
      <c r="B37" s="1767"/>
      <c r="C37" s="2168" t="str">
        <f>Languages!B570</f>
        <v>8.2. Large-scale Fisheries (marine fisheries)</v>
      </c>
      <c r="D37" s="2168"/>
      <c r="E37" s="2053"/>
      <c r="F37" s="1769"/>
      <c r="G37" s="1769"/>
      <c r="H37" s="1769"/>
      <c r="I37" s="1769"/>
      <c r="J37" s="1769"/>
      <c r="K37" s="1769"/>
      <c r="L37" s="1769"/>
      <c r="M37" s="1769"/>
      <c r="N37" s="1769"/>
      <c r="O37" s="1769"/>
      <c r="P37" s="1769"/>
      <c r="Q37" s="1769"/>
      <c r="R37" s="1769"/>
      <c r="S37" s="1769"/>
      <c r="T37" s="1769"/>
      <c r="U37" s="1769"/>
      <c r="V37" s="1769"/>
      <c r="W37" s="1769"/>
      <c r="X37" s="1769"/>
      <c r="Y37" s="1769"/>
      <c r="Z37" s="1769"/>
      <c r="AA37" s="1769"/>
      <c r="AB37" s="1769"/>
      <c r="AC37" s="1769"/>
      <c r="AD37" s="1769"/>
      <c r="AE37" s="1769"/>
      <c r="AF37" s="1767"/>
      <c r="AG37" s="1978" t="str">
        <f>AG6</f>
        <v>If country-specific data are available, please go to Tier 2:</v>
      </c>
      <c r="AH37" s="1769"/>
      <c r="AI37" s="1769"/>
      <c r="AJ37" s="1769"/>
      <c r="AK37" s="1771"/>
      <c r="AL37" s="1771"/>
      <c r="AM37" s="1771"/>
      <c r="AN37" s="1771"/>
      <c r="AO37" s="1771"/>
      <c r="AP37" s="1771"/>
      <c r="AQ37" s="1771"/>
      <c r="AR37" s="1771"/>
      <c r="AS37" s="1771"/>
      <c r="AT37" s="1771"/>
      <c r="AU37" s="1771"/>
      <c r="AV37" s="1771"/>
      <c r="AW37" s="1771"/>
      <c r="AX37" s="1771"/>
      <c r="AY37" s="1771"/>
      <c r="AZ37" s="1771"/>
      <c r="BA37" s="1771"/>
      <c r="BB37" s="1771"/>
      <c r="BC37" s="1771"/>
      <c r="BD37" s="1771"/>
      <c r="BE37" s="1771"/>
      <c r="BF37" s="1771"/>
      <c r="BG37" s="1771"/>
      <c r="BH37" s="1771"/>
      <c r="BI37" s="1771"/>
      <c r="BJ37" s="1771"/>
      <c r="BK37" s="1771"/>
      <c r="BL37" s="1771"/>
      <c r="BM37" s="1771"/>
      <c r="BN37" s="1771"/>
      <c r="BO37" s="1771"/>
      <c r="BP37" s="1771"/>
      <c r="BQ37" s="4212"/>
      <c r="BR37" s="4213" t="str">
        <f>C37</f>
        <v>8.2. Large-scale Fisheries (marine fisheries)</v>
      </c>
      <c r="BS37" s="2168"/>
      <c r="BT37" s="2168"/>
      <c r="BU37" s="2168"/>
      <c r="BV37" s="2168"/>
      <c r="BW37" s="2168"/>
      <c r="BX37" s="2168"/>
      <c r="BY37" s="2168"/>
      <c r="BZ37" s="2168"/>
      <c r="CA37" s="2168"/>
      <c r="CB37" s="2168"/>
      <c r="CC37" s="2168"/>
      <c r="CD37" s="2168"/>
      <c r="CE37" s="2168"/>
      <c r="CF37" s="2168"/>
      <c r="CG37" s="2168"/>
      <c r="CH37" s="2168"/>
      <c r="CI37" s="2168"/>
      <c r="CJ37" s="2168"/>
      <c r="CK37" s="2168"/>
      <c r="CL37" s="1771"/>
      <c r="CM37" s="4366" t="s">
        <v>71</v>
      </c>
      <c r="CN37" s="4366"/>
      <c r="CO37" s="4366"/>
      <c r="CP37" s="1771"/>
      <c r="CQ37" s="1771"/>
      <c r="CR37" s="1771"/>
      <c r="CS37" s="1771"/>
      <c r="CT37" s="1771"/>
      <c r="CU37" s="1771"/>
      <c r="CV37" s="1771"/>
      <c r="CW37" s="1771"/>
      <c r="CX37" s="1771"/>
      <c r="CY37" s="1771"/>
    </row>
    <row r="38" spans="1:103" x14ac:dyDescent="0.2">
      <c r="A38" s="1771"/>
      <c r="B38" s="1771"/>
      <c r="C38" s="1771"/>
      <c r="D38" s="1771"/>
      <c r="E38" s="1771"/>
      <c r="F38" s="1771"/>
      <c r="G38" s="1771"/>
      <c r="H38" s="1771"/>
      <c r="I38" s="1771"/>
      <c r="J38" s="1771"/>
      <c r="K38" s="1771"/>
      <c r="L38" s="1771"/>
      <c r="M38" s="1771"/>
      <c r="N38" s="1771"/>
      <c r="O38" s="1771"/>
      <c r="P38" s="1771"/>
      <c r="Q38" s="1771"/>
      <c r="R38" s="1771"/>
      <c r="S38" s="1771"/>
      <c r="T38" s="1771"/>
      <c r="U38" s="1771"/>
      <c r="V38" s="1771"/>
      <c r="W38" s="1771"/>
      <c r="X38" s="1771"/>
      <c r="Y38" s="1771"/>
      <c r="Z38" s="1771"/>
      <c r="AA38" s="1771"/>
      <c r="AB38" s="1771"/>
      <c r="AC38" s="1771"/>
      <c r="AD38" s="1771"/>
      <c r="AE38" s="1771"/>
      <c r="AF38" s="1771"/>
      <c r="AG38" s="1771"/>
      <c r="AH38" s="1771"/>
      <c r="AI38" s="1771"/>
      <c r="AJ38" s="1771"/>
      <c r="AK38" s="1771"/>
      <c r="AL38" s="1771"/>
      <c r="AM38" s="1771"/>
      <c r="AN38" s="1771"/>
      <c r="AO38" s="1771"/>
      <c r="AP38" s="1771"/>
      <c r="AQ38" s="1771"/>
      <c r="AR38" s="1771"/>
      <c r="AS38" s="1771"/>
      <c r="AT38" s="1771"/>
      <c r="AU38" s="1771"/>
      <c r="AV38" s="1771"/>
      <c r="AW38" s="1771"/>
      <c r="AX38" s="1771"/>
      <c r="AY38" s="1771"/>
      <c r="AZ38" s="1771"/>
      <c r="BA38" s="1771"/>
      <c r="BB38" s="1771"/>
      <c r="BC38" s="1771"/>
      <c r="BD38" s="1771"/>
      <c r="BE38" s="1771"/>
      <c r="BF38" s="1771"/>
      <c r="BG38" s="1771"/>
      <c r="BH38" s="1771"/>
      <c r="BI38" s="1771"/>
      <c r="BJ38" s="1771"/>
      <c r="BK38" s="1771"/>
      <c r="BL38" s="1771"/>
      <c r="BM38" s="1771"/>
      <c r="BN38" s="1771"/>
      <c r="BO38" s="1771"/>
      <c r="BP38" s="1771"/>
      <c r="BQ38" s="1782"/>
      <c r="BR38" s="1782"/>
      <c r="BS38" s="1782"/>
      <c r="BT38" s="1782"/>
      <c r="BU38" s="1782"/>
      <c r="BV38" s="1782"/>
      <c r="BW38" s="1782"/>
      <c r="BX38" s="1782"/>
      <c r="BY38" s="1782"/>
      <c r="BZ38" s="1782"/>
      <c r="CA38" s="1782"/>
      <c r="CB38" s="1782"/>
      <c r="CC38" s="1782"/>
      <c r="CD38" s="1782"/>
      <c r="CE38" s="1782"/>
      <c r="CF38" s="1782"/>
      <c r="CG38" s="1782"/>
      <c r="CH38" s="1782"/>
      <c r="CI38" s="1782"/>
      <c r="CJ38" s="1782"/>
      <c r="CK38" s="1782"/>
      <c r="CL38" s="1771"/>
      <c r="CM38" s="1782"/>
      <c r="CN38" s="1782"/>
      <c r="CO38" s="1782"/>
      <c r="CP38" s="1771"/>
      <c r="CQ38" s="1771"/>
      <c r="CR38" s="1771"/>
      <c r="CS38" s="1771"/>
      <c r="CT38" s="1771"/>
      <c r="CU38" s="1771"/>
      <c r="CV38" s="1771"/>
      <c r="CW38" s="1771"/>
      <c r="CX38" s="1771"/>
      <c r="CY38" s="1771"/>
    </row>
    <row r="39" spans="1:103" x14ac:dyDescent="0.2">
      <c r="A39" s="1771"/>
      <c r="B39" s="1781"/>
      <c r="C39" s="1781" t="str">
        <f>C8</f>
        <v>Inputs &amp; Investments module can be used to complement this section</v>
      </c>
      <c r="D39" s="1781"/>
      <c r="E39" s="1781"/>
      <c r="F39" s="1781"/>
      <c r="G39" s="1781"/>
      <c r="H39" s="1781"/>
      <c r="I39" s="1781"/>
      <c r="J39" s="1781"/>
      <c r="K39" s="1781"/>
      <c r="L39" s="1781"/>
      <c r="M39" s="1781"/>
      <c r="N39" s="1781"/>
      <c r="O39" s="1781"/>
      <c r="P39" s="1781"/>
      <c r="Q39" s="1781"/>
      <c r="R39" s="1781"/>
      <c r="S39" s="1781"/>
      <c r="T39" s="1781"/>
      <c r="U39" s="1781"/>
      <c r="V39" s="1781"/>
      <c r="W39" s="1781"/>
      <c r="X39" s="1781"/>
      <c r="Y39" s="1781"/>
      <c r="Z39" s="1781"/>
      <c r="AA39" s="1781"/>
      <c r="AB39" s="1781"/>
      <c r="AC39" s="1781"/>
      <c r="AD39" s="1781"/>
      <c r="AE39" s="1781"/>
      <c r="AF39" s="1781"/>
      <c r="AG39" s="1781"/>
      <c r="AH39" s="1781"/>
      <c r="AI39" s="1781"/>
      <c r="AJ39" s="1781"/>
      <c r="AK39" s="1771"/>
      <c r="AL39" s="1771"/>
      <c r="AM39" s="1771"/>
      <c r="AN39" s="1771"/>
      <c r="AO39" s="1771"/>
      <c r="AP39" s="1771"/>
      <c r="AQ39" s="1771"/>
      <c r="AR39" s="1771"/>
      <c r="AS39" s="1771"/>
      <c r="AT39" s="1771"/>
      <c r="AU39" s="1771"/>
      <c r="AV39" s="1771"/>
      <c r="AW39" s="1771"/>
      <c r="AX39" s="1771"/>
      <c r="AY39" s="1771"/>
      <c r="AZ39" s="1771"/>
      <c r="BA39" s="1771"/>
      <c r="BB39" s="1771"/>
      <c r="BC39" s="1771"/>
      <c r="BD39" s="1771"/>
      <c r="BE39" s="1771"/>
      <c r="BF39" s="1771"/>
      <c r="BG39" s="1771"/>
      <c r="BH39" s="1771"/>
      <c r="BI39" s="1771"/>
      <c r="BJ39" s="1771"/>
      <c r="BK39" s="1771"/>
      <c r="BL39" s="1771"/>
      <c r="BM39" s="1771"/>
      <c r="BN39" s="1771"/>
      <c r="BO39" s="1771"/>
      <c r="BP39" s="1771"/>
      <c r="BQ39" s="1782"/>
      <c r="BR39" s="1782"/>
      <c r="BS39" s="1782"/>
      <c r="BT39" s="1782"/>
      <c r="BU39" s="1782" t="str">
        <f>BU8</f>
        <v>Emission factor (tCO2-e/m3)</v>
      </c>
      <c r="BV39" s="4221"/>
      <c r="BW39" s="4221"/>
      <c r="BX39" s="4221"/>
      <c r="BY39" s="4221"/>
      <c r="BZ39" s="4221"/>
      <c r="CA39" s="1782"/>
      <c r="CB39" s="1782"/>
      <c r="CC39" s="1782"/>
      <c r="CD39" s="1782"/>
      <c r="CE39" s="2334" t="str">
        <f>CE8</f>
        <v>On-board leakage from refrigeration systems</v>
      </c>
      <c r="CF39" s="1785"/>
      <c r="CG39" s="1785"/>
      <c r="CH39" s="1785"/>
      <c r="CI39" s="1785"/>
      <c r="CJ39" s="1785"/>
      <c r="CK39" s="1782"/>
      <c r="CL39" s="1771"/>
      <c r="CM39" s="1889" t="s">
        <v>74</v>
      </c>
      <c r="CN39" s="1889"/>
      <c r="CO39" s="1996"/>
      <c r="CP39" s="1771"/>
      <c r="CQ39" s="1771"/>
      <c r="CR39" s="1771"/>
      <c r="CS39" s="1771"/>
      <c r="CT39" s="1771"/>
      <c r="CU39" s="1771"/>
      <c r="CV39" s="1771"/>
      <c r="CW39" s="1771"/>
      <c r="CX39" s="1771"/>
      <c r="CY39" s="1771"/>
    </row>
    <row r="40" spans="1:103" x14ac:dyDescent="0.2">
      <c r="A40" s="1771"/>
      <c r="B40" s="1781"/>
      <c r="C40" s="1781"/>
      <c r="D40" s="1781"/>
      <c r="E40" s="1781"/>
      <c r="F40" s="1781"/>
      <c r="G40" s="1781"/>
      <c r="H40" s="1781"/>
      <c r="I40" s="1781"/>
      <c r="J40" s="1781"/>
      <c r="K40" s="1781"/>
      <c r="L40" s="1781"/>
      <c r="M40" s="1781"/>
      <c r="N40" s="1781"/>
      <c r="O40" s="1781"/>
      <c r="P40" s="1781"/>
      <c r="Q40" s="1781"/>
      <c r="R40" s="1781"/>
      <c r="S40" s="1781"/>
      <c r="T40" s="1781"/>
      <c r="U40" s="1781"/>
      <c r="V40" s="1781"/>
      <c r="W40" s="1781"/>
      <c r="X40" s="1781"/>
      <c r="Y40" s="1781"/>
      <c r="Z40" s="1781"/>
      <c r="AA40" s="1781"/>
      <c r="AB40" s="1781"/>
      <c r="AC40" s="1781"/>
      <c r="AD40" s="1781"/>
      <c r="AE40" s="1781"/>
      <c r="AF40" s="1781"/>
      <c r="AG40" s="1781"/>
      <c r="AH40" s="1781"/>
      <c r="AI40" s="1781"/>
      <c r="AJ40" s="1781"/>
      <c r="AK40" s="1771"/>
      <c r="AL40" s="1771"/>
      <c r="AM40" s="1771"/>
      <c r="AN40" s="1771"/>
      <c r="AO40" s="1771"/>
      <c r="AP40" s="1771"/>
      <c r="AQ40" s="1771"/>
      <c r="AR40" s="1771"/>
      <c r="AS40" s="1771"/>
      <c r="AT40" s="1771"/>
      <c r="AU40" s="1771"/>
      <c r="AV40" s="1771"/>
      <c r="AW40" s="1771"/>
      <c r="AX40" s="1771"/>
      <c r="AY40" s="1771"/>
      <c r="AZ40" s="1771"/>
      <c r="BA40" s="1771"/>
      <c r="BB40" s="1771"/>
      <c r="BC40" s="1771"/>
      <c r="BD40" s="1771"/>
      <c r="BE40" s="1771"/>
      <c r="BF40" s="1771"/>
      <c r="BG40" s="1771"/>
      <c r="BH40" s="1771"/>
      <c r="BI40" s="1771"/>
      <c r="BJ40" s="1771"/>
      <c r="BK40" s="1771"/>
      <c r="BL40" s="1771"/>
      <c r="BM40" s="1771"/>
      <c r="BN40" s="1771"/>
      <c r="BO40" s="1771"/>
      <c r="BP40" s="1771"/>
      <c r="BQ40" s="1782"/>
      <c r="BR40" s="1782"/>
      <c r="BS40" s="1782"/>
      <c r="BT40" s="1782"/>
      <c r="BU40" s="1782"/>
      <c r="BV40" s="2602" t="str">
        <f>BV9</f>
        <v>Gasoil/Diesel</v>
      </c>
      <c r="BW40" s="2602"/>
      <c r="BX40" s="2340">
        <f>AVERAGE(IPCC!B1739:B1741)</f>
        <v>2.5722345859999991</v>
      </c>
      <c r="BY40" s="1782"/>
      <c r="BZ40" s="2125"/>
      <c r="CA40" s="1782"/>
      <c r="CB40" s="1782"/>
      <c r="CC40" s="1782"/>
      <c r="CD40" s="1782"/>
      <c r="CE40" s="1782"/>
      <c r="CF40" s="1782"/>
      <c r="CG40" s="1782"/>
      <c r="CH40" s="1782" t="str">
        <f>CH9</f>
        <v>Quantity lost (kg refrigerant)</v>
      </c>
      <c r="CI40" s="1782"/>
      <c r="CJ40" s="1782"/>
      <c r="CK40" s="1782"/>
      <c r="CL40" s="1771"/>
      <c r="CM40" s="2014" t="s">
        <v>82</v>
      </c>
      <c r="CN40" s="2014"/>
      <c r="CO40" s="1996"/>
      <c r="CP40" s="1771"/>
      <c r="CQ40" s="1771"/>
      <c r="CR40" s="1771"/>
      <c r="CS40" s="1771"/>
      <c r="CT40" s="1771"/>
      <c r="CU40" s="1771"/>
      <c r="CV40" s="1771"/>
      <c r="CW40" s="1771"/>
      <c r="CX40" s="1771"/>
      <c r="CY40" s="1771"/>
    </row>
    <row r="41" spans="1:103" x14ac:dyDescent="0.2">
      <c r="A41" s="1771"/>
      <c r="B41" s="1781"/>
      <c r="C41" s="1826" t="str">
        <f>C10</f>
        <v>Fishing operations (based on fuel use intensity, FUI, values)</v>
      </c>
      <c r="D41" s="1781"/>
      <c r="E41" s="1781"/>
      <c r="F41" s="1781"/>
      <c r="G41" s="1781"/>
      <c r="H41" s="1781"/>
      <c r="I41" s="1781"/>
      <c r="J41" s="1781"/>
      <c r="K41" s="1781"/>
      <c r="L41" s="1781"/>
      <c r="M41" s="1781"/>
      <c r="N41" s="1781"/>
      <c r="O41" s="1781"/>
      <c r="P41" s="1781"/>
      <c r="Q41" s="1781"/>
      <c r="R41" s="1781"/>
      <c r="S41" s="1781"/>
      <c r="T41" s="1781"/>
      <c r="U41" s="1781"/>
      <c r="V41" s="1781"/>
      <c r="W41" s="1781"/>
      <c r="X41" s="1781"/>
      <c r="Y41" s="1781"/>
      <c r="Z41" s="1781"/>
      <c r="AA41" s="1781"/>
      <c r="AB41" s="1781"/>
      <c r="AC41" s="1781"/>
      <c r="AD41" s="1781"/>
      <c r="AE41" s="1781"/>
      <c r="AF41" s="1781"/>
      <c r="AG41" s="1781"/>
      <c r="AH41" s="1781"/>
      <c r="AI41" s="1781"/>
      <c r="AJ41" s="1781"/>
      <c r="AK41" s="1771"/>
      <c r="AL41" s="1771"/>
      <c r="AM41" s="1771"/>
      <c r="AN41" s="1771"/>
      <c r="AO41" s="1771"/>
      <c r="AP41" s="1771"/>
      <c r="AQ41" s="1771"/>
      <c r="AR41" s="1771"/>
      <c r="AS41" s="1771"/>
      <c r="AT41" s="1771"/>
      <c r="AU41" s="1771"/>
      <c r="AV41" s="1771"/>
      <c r="AW41" s="1771"/>
      <c r="AX41" s="1771"/>
      <c r="AY41" s="1771"/>
      <c r="AZ41" s="1771"/>
      <c r="BA41" s="1771"/>
      <c r="BB41" s="1771"/>
      <c r="BC41" s="1771"/>
      <c r="BD41" s="1771"/>
      <c r="BE41" s="1771"/>
      <c r="BF41" s="1771"/>
      <c r="BG41" s="1771"/>
      <c r="BH41" s="1771"/>
      <c r="BI41" s="1771"/>
      <c r="BJ41" s="1771"/>
      <c r="BK41" s="1771"/>
      <c r="BL41" s="1771"/>
      <c r="BM41" s="1771"/>
      <c r="BN41" s="1771"/>
      <c r="BO41" s="1771"/>
      <c r="BP41" s="1771"/>
      <c r="BQ41" s="1782"/>
      <c r="BR41" s="1782"/>
      <c r="BS41" s="1782"/>
      <c r="BT41" s="1782"/>
      <c r="BU41" s="1782"/>
      <c r="BV41" s="1782"/>
      <c r="BW41" s="1782"/>
      <c r="BX41" s="1782"/>
      <c r="BY41" s="1782"/>
      <c r="BZ41" s="1782"/>
      <c r="CA41" s="1782"/>
      <c r="CB41" s="1782"/>
      <c r="CC41" s="1782"/>
      <c r="CD41" s="1782"/>
      <c r="CE41" s="4576" t="str">
        <f>CE10</f>
        <v>Refrigerant lost per tonne of landed catch</v>
      </c>
      <c r="CF41" s="4576"/>
      <c r="CG41" s="4576"/>
      <c r="CH41" s="2151" t="str">
        <f>CH10</f>
        <v>Default</v>
      </c>
      <c r="CI41" s="2151" t="str">
        <f>CI10</f>
        <v>Tier 2</v>
      </c>
      <c r="CJ41" s="1782"/>
      <c r="CK41" s="1782"/>
      <c r="CL41" s="1771"/>
      <c r="CM41" s="1996"/>
      <c r="CN41" s="1996"/>
      <c r="CO41" s="1996"/>
      <c r="CP41" s="1771"/>
      <c r="CQ41" s="1771"/>
      <c r="CR41" s="1771"/>
      <c r="CS41" s="1771"/>
      <c r="CT41" s="1771"/>
      <c r="CU41" s="1771"/>
      <c r="CV41" s="1771"/>
      <c r="CW41" s="1771"/>
      <c r="CX41" s="1771"/>
      <c r="CY41" s="1771"/>
    </row>
    <row r="42" spans="1:103" x14ac:dyDescent="0.2">
      <c r="A42" s="1771"/>
      <c r="B42" s="1781"/>
      <c r="C42" s="1781"/>
      <c r="D42" s="1781"/>
      <c r="E42" s="1781"/>
      <c r="F42" s="1781"/>
      <c r="G42" s="1781"/>
      <c r="H42" s="1826" t="str">
        <f>H11</f>
        <v>% with refrigerant systems</v>
      </c>
      <c r="I42" s="1826"/>
      <c r="J42" s="1826"/>
      <c r="K42" s="1826"/>
      <c r="L42" s="1826"/>
      <c r="M42" s="1826"/>
      <c r="N42" s="1826"/>
      <c r="O42" s="1826"/>
      <c r="P42" s="1826" t="str">
        <f>P11</f>
        <v>Changes in FUI management (litre/tonne)</v>
      </c>
      <c r="Q42" s="1826"/>
      <c r="R42" s="1826"/>
      <c r="S42" s="1826"/>
      <c r="T42" s="1826"/>
      <c r="U42" s="1826"/>
      <c r="V42" s="1826"/>
      <c r="W42" s="1826"/>
      <c r="X42" s="1826" t="str">
        <f>X11</f>
        <v>Total catch per year (tonne/year)</v>
      </c>
      <c r="Y42" s="1826"/>
      <c r="Z42" s="1826"/>
      <c r="AA42" s="1781"/>
      <c r="AB42" s="1781"/>
      <c r="AC42" s="1781"/>
      <c r="AD42" s="1781"/>
      <c r="AE42" s="1826" t="str">
        <f>AE11</f>
        <v>Total emissions (tCO2-e)</v>
      </c>
      <c r="AF42" s="1826"/>
      <c r="AG42" s="1826"/>
      <c r="AH42" s="1826"/>
      <c r="AI42" s="1780" t="str">
        <f>AI11</f>
        <v>Balance</v>
      </c>
      <c r="AJ42" s="1781"/>
      <c r="AK42" s="1771"/>
      <c r="AL42" s="1771"/>
      <c r="AM42" s="1771"/>
      <c r="AN42" s="1771"/>
      <c r="AO42" s="1771"/>
      <c r="AP42" s="1771"/>
      <c r="AQ42" s="1771"/>
      <c r="AR42" s="1771"/>
      <c r="AS42" s="1771"/>
      <c r="AT42" s="1771"/>
      <c r="AU42" s="1771"/>
      <c r="AV42" s="1771"/>
      <c r="AW42" s="1771"/>
      <c r="AX42" s="1771"/>
      <c r="AY42" s="1771"/>
      <c r="AZ42" s="1771"/>
      <c r="BA42" s="1771"/>
      <c r="BB42" s="1771"/>
      <c r="BC42" s="1771"/>
      <c r="BD42" s="1771"/>
      <c r="BE42" s="1771"/>
      <c r="BF42" s="1771"/>
      <c r="BG42" s="1771"/>
      <c r="BH42" s="1771"/>
      <c r="BI42" s="1771"/>
      <c r="BJ42" s="1771"/>
      <c r="BK42" s="1771"/>
      <c r="BL42" s="1771"/>
      <c r="BM42" s="1771"/>
      <c r="BN42" s="1771"/>
      <c r="BO42" s="1771"/>
      <c r="BP42" s="1771"/>
      <c r="BQ42" s="1782"/>
      <c r="BR42" s="1782"/>
      <c r="BS42" s="1782"/>
      <c r="BT42" s="1782"/>
      <c r="BU42" s="1782"/>
      <c r="BV42" s="2330" t="str">
        <f>BV11</f>
        <v>Emission factor (tCO2eq/t catch)</v>
      </c>
      <c r="BW42" s="2330"/>
      <c r="BX42" s="2330"/>
      <c r="BY42" s="2330"/>
      <c r="BZ42" s="2330"/>
      <c r="CA42" s="1782"/>
      <c r="CB42" s="1782"/>
      <c r="CC42" s="1782"/>
      <c r="CD42" s="1782"/>
      <c r="CE42" s="4576"/>
      <c r="CF42" s="4576"/>
      <c r="CG42" s="4576"/>
      <c r="CH42" s="2584">
        <f>'Fish and aqua'!C79</f>
        <v>0.48734</v>
      </c>
      <c r="CI42" s="2125"/>
      <c r="CJ42" s="1782"/>
      <c r="CK42" s="1782"/>
      <c r="CL42" s="1771"/>
      <c r="CM42" s="1996"/>
      <c r="CN42" s="1996"/>
      <c r="CO42" s="1996"/>
      <c r="CP42" s="1771"/>
      <c r="CQ42" s="1771"/>
      <c r="CR42" s="1771"/>
      <c r="CS42" s="1771"/>
      <c r="CT42" s="1771"/>
      <c r="CU42" s="1771"/>
      <c r="CV42" s="1771"/>
      <c r="CW42" s="1771"/>
      <c r="CX42" s="1771"/>
      <c r="CY42" s="1771"/>
    </row>
    <row r="43" spans="1:103" ht="30" x14ac:dyDescent="0.2">
      <c r="A43" s="1771"/>
      <c r="B43" s="1781"/>
      <c r="C43" s="4226" t="str">
        <f>Languages!B589</f>
        <v>Fish category</v>
      </c>
      <c r="D43" s="1781"/>
      <c r="E43" s="1781" t="str">
        <f>E12</f>
        <v>Gear Category</v>
      </c>
      <c r="F43" s="1781"/>
      <c r="G43" s="1781"/>
      <c r="H43" s="1806" t="str">
        <f>H12</f>
        <v>Start</v>
      </c>
      <c r="I43" s="1806"/>
      <c r="J43" s="1806" t="str">
        <f>J12</f>
        <v>Without</v>
      </c>
      <c r="K43" s="1806"/>
      <c r="L43" s="1806" t="str">
        <f>L12</f>
        <v>With</v>
      </c>
      <c r="M43" s="1781"/>
      <c r="N43" s="4448" t="str">
        <f>N12</f>
        <v>Refrigerant GWP</v>
      </c>
      <c r="O43" s="1781"/>
      <c r="P43" s="1781" t="str">
        <f>P12</f>
        <v>Default</v>
      </c>
      <c r="Q43" s="1806"/>
      <c r="R43" s="1806" t="str">
        <f>H43</f>
        <v>Start</v>
      </c>
      <c r="S43" s="1781"/>
      <c r="T43" s="1806" t="str">
        <f>J43</f>
        <v>Without</v>
      </c>
      <c r="U43" s="1806" t="str">
        <f>L43</f>
        <v>With</v>
      </c>
      <c r="V43" s="1781"/>
      <c r="W43" s="1781"/>
      <c r="X43" s="1806" t="str">
        <f>H43</f>
        <v>Start</v>
      </c>
      <c r="Y43" s="1806"/>
      <c r="Z43" s="1806" t="str">
        <f>J43</f>
        <v>Without</v>
      </c>
      <c r="AA43" s="1806" t="s">
        <v>83</v>
      </c>
      <c r="AB43" s="1806" t="str">
        <f>L43</f>
        <v>With</v>
      </c>
      <c r="AC43" s="1806" t="s">
        <v>83</v>
      </c>
      <c r="AD43" s="1781"/>
      <c r="AE43" s="1841" t="str">
        <f>AE12</f>
        <v>Without</v>
      </c>
      <c r="AF43" s="1806"/>
      <c r="AG43" s="1841" t="str">
        <f>AG12</f>
        <v>With</v>
      </c>
      <c r="AH43" s="1781"/>
      <c r="AI43" s="1806"/>
      <c r="AJ43" s="1781"/>
      <c r="AK43" s="1771"/>
      <c r="AL43" s="1771"/>
      <c r="AM43" s="1771"/>
      <c r="AN43" s="1771"/>
      <c r="AO43" s="1771"/>
      <c r="AP43" s="1771"/>
      <c r="AQ43" s="1771"/>
      <c r="AR43" s="1771"/>
      <c r="AS43" s="1771"/>
      <c r="AT43" s="1771"/>
      <c r="AU43" s="1771"/>
      <c r="AV43" s="1771"/>
      <c r="AW43" s="1771"/>
      <c r="AX43" s="1771"/>
      <c r="AY43" s="1771"/>
      <c r="AZ43" s="1771"/>
      <c r="BA43" s="1771"/>
      <c r="BB43" s="1771"/>
      <c r="BC43" s="1771"/>
      <c r="BD43" s="1771"/>
      <c r="BE43" s="1771"/>
      <c r="BF43" s="1771"/>
      <c r="BG43" s="1771"/>
      <c r="BH43" s="1771"/>
      <c r="BI43" s="1771"/>
      <c r="BJ43" s="1771"/>
      <c r="BK43" s="1771"/>
      <c r="BL43" s="1771"/>
      <c r="BM43" s="1771"/>
      <c r="BN43" s="1771"/>
      <c r="BO43" s="1771"/>
      <c r="BP43" s="1771"/>
      <c r="BQ43" s="1782"/>
      <c r="BR43" s="1782"/>
      <c r="BS43" s="1782"/>
      <c r="BT43" s="1782"/>
      <c r="BU43" s="1782"/>
      <c r="BV43" s="2151" t="str">
        <f>BV12</f>
        <v>Start</v>
      </c>
      <c r="BW43" s="2151"/>
      <c r="BX43" s="2151" t="str">
        <f>BX12</f>
        <v>Without</v>
      </c>
      <c r="BY43" s="2151"/>
      <c r="BZ43" s="2151" t="str">
        <f>BZ12</f>
        <v>With</v>
      </c>
      <c r="CA43" s="1782"/>
      <c r="CB43" s="1782"/>
      <c r="CC43" s="1782"/>
      <c r="CD43" s="1782"/>
      <c r="CE43" s="1782"/>
      <c r="CF43" s="1782"/>
      <c r="CG43" s="1782"/>
      <c r="CH43" s="1782"/>
      <c r="CI43" s="1782"/>
      <c r="CJ43" s="1782"/>
      <c r="CK43" s="1782"/>
      <c r="CL43" s="1771"/>
      <c r="CM43" s="1996"/>
      <c r="CN43" s="1996"/>
      <c r="CO43" s="1996"/>
      <c r="CP43" s="1771"/>
      <c r="CQ43" s="1771"/>
      <c r="CR43" s="1771"/>
      <c r="CS43" s="1771"/>
      <c r="CT43" s="1771"/>
      <c r="CU43" s="1771"/>
      <c r="CV43" s="1771"/>
      <c r="CW43" s="1771"/>
      <c r="CX43" s="1771"/>
      <c r="CY43" s="1771"/>
    </row>
    <row r="44" spans="1:103" x14ac:dyDescent="0.2">
      <c r="A44" s="1771"/>
      <c r="B44" s="1781"/>
      <c r="C44" s="2125" t="s">
        <v>57</v>
      </c>
      <c r="D44" s="1781"/>
      <c r="E44" s="2125" t="s">
        <v>57</v>
      </c>
      <c r="F44" s="1781"/>
      <c r="G44" s="1781"/>
      <c r="H44" s="4224">
        <v>0</v>
      </c>
      <c r="I44" s="1781"/>
      <c r="J44" s="4224">
        <v>0</v>
      </c>
      <c r="K44" s="1781"/>
      <c r="L44" s="4224">
        <v>0</v>
      </c>
      <c r="M44" s="1781"/>
      <c r="N44" s="4337">
        <f t="shared" ref="N44:N49" si="2">IF($CF$48= "",$CE$48,$CF$48)</f>
        <v>1810</v>
      </c>
      <c r="O44" s="1781"/>
      <c r="P44" s="2582">
        <f>'Fish and aqua'!K58</f>
        <v>0</v>
      </c>
      <c r="Q44" s="1781"/>
      <c r="R44" s="4336"/>
      <c r="S44" s="1781"/>
      <c r="T44" s="4348"/>
      <c r="U44" s="4336"/>
      <c r="V44" s="4316" t="str">
        <f>IF('Fish and aqua'!L58 ="not specific", "The default FUI is not available for this type of gear and an average value is proposed", "")</f>
        <v/>
      </c>
      <c r="W44" s="1781"/>
      <c r="X44" s="2103">
        <v>0</v>
      </c>
      <c r="Y44" s="1781"/>
      <c r="Z44" s="2103">
        <v>0</v>
      </c>
      <c r="AA44" s="2104" t="s">
        <v>86</v>
      </c>
      <c r="AB44" s="2103">
        <v>0</v>
      </c>
      <c r="AC44" s="2104" t="s">
        <v>86</v>
      </c>
      <c r="AD44" s="1781"/>
      <c r="AE44" s="1841">
        <f>'Fish and aqua'!O68</f>
        <v>0</v>
      </c>
      <c r="AF44" s="1781"/>
      <c r="AG44" s="1841">
        <f>'Fish and aqua'!P68</f>
        <v>0</v>
      </c>
      <c r="AH44" s="1781"/>
      <c r="AI44" s="1806">
        <f t="shared" ref="AI44:AI49" si="3">AG44-AE44</f>
        <v>0</v>
      </c>
      <c r="AJ44" s="1781"/>
      <c r="AK44" s="1771"/>
      <c r="AL44" s="1771"/>
      <c r="AM44" s="1771"/>
      <c r="AN44" s="1771"/>
      <c r="AO44" s="1771"/>
      <c r="AP44" s="1771"/>
      <c r="AQ44" s="1771"/>
      <c r="AR44" s="1771"/>
      <c r="AS44" s="1771"/>
      <c r="AT44" s="1771"/>
      <c r="AU44" s="1771"/>
      <c r="AV44" s="1771"/>
      <c r="AW44" s="1771"/>
      <c r="AX44" s="1771"/>
      <c r="AY44" s="1771"/>
      <c r="AZ44" s="1771"/>
      <c r="BA44" s="1771"/>
      <c r="BB44" s="1771"/>
      <c r="BC44" s="1771"/>
      <c r="BD44" s="1771"/>
      <c r="BE44" s="1771"/>
      <c r="BF44" s="1771"/>
      <c r="BG44" s="1771"/>
      <c r="BH44" s="1771"/>
      <c r="BI44" s="1771"/>
      <c r="BJ44" s="1771"/>
      <c r="BK44" s="1771"/>
      <c r="BL44" s="1771"/>
      <c r="BM44" s="1771"/>
      <c r="BN44" s="1771"/>
      <c r="BO44" s="1771"/>
      <c r="BP44" s="1771"/>
      <c r="BQ44" s="1782"/>
      <c r="BR44" s="1782"/>
      <c r="BS44" s="1782"/>
      <c r="BT44" s="1782"/>
      <c r="BU44" s="1782"/>
      <c r="BV44" s="2340">
        <f>'Fish and aqua'!Q58</f>
        <v>0</v>
      </c>
      <c r="BW44" s="2340"/>
      <c r="BX44" s="2340">
        <f>'Fish and aqua'!R58</f>
        <v>0</v>
      </c>
      <c r="BY44" s="2340"/>
      <c r="BZ44" s="2340">
        <f>'Fish and aqua'!S58</f>
        <v>0</v>
      </c>
      <c r="CA44" s="1782"/>
      <c r="CB44" s="1782"/>
      <c r="CC44" s="1782"/>
      <c r="CD44" s="1782"/>
      <c r="CE44" s="1782"/>
      <c r="CF44" s="1782"/>
      <c r="CG44" s="1782"/>
      <c r="CH44" s="1782"/>
      <c r="CI44" s="1782"/>
      <c r="CJ44" s="1782"/>
      <c r="CK44" s="1782"/>
      <c r="CL44" s="1771"/>
      <c r="CM44" s="4363">
        <v>1</v>
      </c>
      <c r="CN44" s="4364"/>
      <c r="CO44" s="1996"/>
      <c r="CP44" s="1771"/>
      <c r="CQ44" s="1771"/>
      <c r="CR44" s="1771"/>
      <c r="CS44" s="1771"/>
      <c r="CT44" s="1771"/>
      <c r="CU44" s="1771"/>
      <c r="CV44" s="1771"/>
      <c r="CW44" s="1771"/>
      <c r="CX44" s="1771"/>
      <c r="CY44" s="1771"/>
    </row>
    <row r="45" spans="1:103" x14ac:dyDescent="0.2">
      <c r="A45" s="1771"/>
      <c r="B45" s="1781"/>
      <c r="C45" s="2125" t="s">
        <v>57</v>
      </c>
      <c r="D45" s="1781"/>
      <c r="E45" s="2125" t="s">
        <v>57</v>
      </c>
      <c r="F45" s="1781"/>
      <c r="G45" s="1781"/>
      <c r="H45" s="4224">
        <v>0</v>
      </c>
      <c r="I45" s="1781"/>
      <c r="J45" s="4224">
        <v>0</v>
      </c>
      <c r="K45" s="1781"/>
      <c r="L45" s="4224">
        <v>0</v>
      </c>
      <c r="M45" s="1781"/>
      <c r="N45" s="4337">
        <f t="shared" si="2"/>
        <v>1810</v>
      </c>
      <c r="O45" s="1781"/>
      <c r="P45" s="2582">
        <f>'Fish and aqua'!K59</f>
        <v>0</v>
      </c>
      <c r="Q45" s="1781"/>
      <c r="R45" s="4336"/>
      <c r="S45" s="1781"/>
      <c r="T45" s="4348"/>
      <c r="U45" s="4336"/>
      <c r="V45" s="4316" t="str">
        <f>IF('Fish and aqua'!L59 ="not specific", "The default FUI is not available for this type of gear and an average value is proposed", "")</f>
        <v/>
      </c>
      <c r="W45" s="1781"/>
      <c r="X45" s="2103">
        <v>0</v>
      </c>
      <c r="Y45" s="1781"/>
      <c r="Z45" s="2103">
        <v>0</v>
      </c>
      <c r="AA45" s="2104" t="s">
        <v>86</v>
      </c>
      <c r="AB45" s="2103">
        <v>0</v>
      </c>
      <c r="AC45" s="2104" t="s">
        <v>86</v>
      </c>
      <c r="AD45" s="1781"/>
      <c r="AE45" s="1841">
        <f>'Fish and aqua'!O69</f>
        <v>0</v>
      </c>
      <c r="AF45" s="1781"/>
      <c r="AG45" s="1841">
        <f>'Fish and aqua'!P69</f>
        <v>0</v>
      </c>
      <c r="AH45" s="1781"/>
      <c r="AI45" s="1806">
        <f t="shared" si="3"/>
        <v>0</v>
      </c>
      <c r="AJ45" s="1781"/>
      <c r="AK45" s="1771"/>
      <c r="AL45" s="1771"/>
      <c r="AM45" s="1771"/>
      <c r="AN45" s="1771"/>
      <c r="AO45" s="1771"/>
      <c r="AP45" s="1771"/>
      <c r="AQ45" s="1771"/>
      <c r="AR45" s="1771"/>
      <c r="AS45" s="1771"/>
      <c r="AT45" s="1771"/>
      <c r="AU45" s="1771"/>
      <c r="AV45" s="1771"/>
      <c r="AW45" s="1771"/>
      <c r="AX45" s="1771"/>
      <c r="AY45" s="1771"/>
      <c r="AZ45" s="1771"/>
      <c r="BA45" s="1771"/>
      <c r="BB45" s="1771"/>
      <c r="BC45" s="1771"/>
      <c r="BD45" s="1771"/>
      <c r="BE45" s="1771"/>
      <c r="BF45" s="1771"/>
      <c r="BG45" s="1771"/>
      <c r="BH45" s="1771"/>
      <c r="BI45" s="1771"/>
      <c r="BJ45" s="1771"/>
      <c r="BK45" s="1771"/>
      <c r="BL45" s="1771"/>
      <c r="BM45" s="1771"/>
      <c r="BN45" s="1771"/>
      <c r="BO45" s="1771"/>
      <c r="BP45" s="1771"/>
      <c r="BQ45" s="1782"/>
      <c r="BR45" s="1782"/>
      <c r="BS45" s="1782"/>
      <c r="BT45" s="1782"/>
      <c r="BU45" s="1782"/>
      <c r="BV45" s="2340">
        <f>'Fish and aqua'!Q59</f>
        <v>0</v>
      </c>
      <c r="BW45" s="2340"/>
      <c r="BX45" s="2340">
        <f>'Fish and aqua'!R59</f>
        <v>0</v>
      </c>
      <c r="BY45" s="2340"/>
      <c r="BZ45" s="2340">
        <f>'Fish and aqua'!S59</f>
        <v>0</v>
      </c>
      <c r="CA45" s="1782"/>
      <c r="CB45" s="1782"/>
      <c r="CC45" s="1782"/>
      <c r="CD45" s="1782"/>
      <c r="CE45" s="1782"/>
      <c r="CF45" s="1782"/>
      <c r="CG45" s="1782"/>
      <c r="CH45" s="1782"/>
      <c r="CI45" s="1782"/>
      <c r="CJ45" s="1782"/>
      <c r="CK45" s="1782"/>
      <c r="CL45" s="1771"/>
      <c r="CM45" s="4363">
        <v>1</v>
      </c>
      <c r="CN45" s="4364"/>
      <c r="CO45" s="1996"/>
      <c r="CP45" s="1771"/>
      <c r="CQ45" s="1771"/>
      <c r="CR45" s="1771"/>
      <c r="CS45" s="1771"/>
      <c r="CT45" s="1771"/>
      <c r="CU45" s="1771"/>
      <c r="CV45" s="1771"/>
      <c r="CW45" s="1771"/>
      <c r="CX45" s="1771"/>
      <c r="CY45" s="1771"/>
    </row>
    <row r="46" spans="1:103" x14ac:dyDescent="0.2">
      <c r="A46" s="1771"/>
      <c r="B46" s="1781"/>
      <c r="C46" s="2125" t="s">
        <v>57</v>
      </c>
      <c r="D46" s="1781"/>
      <c r="E46" s="2125" t="s">
        <v>57</v>
      </c>
      <c r="F46" s="1781"/>
      <c r="G46" s="1781"/>
      <c r="H46" s="4224">
        <v>0</v>
      </c>
      <c r="I46" s="1781"/>
      <c r="J46" s="4224">
        <v>0</v>
      </c>
      <c r="K46" s="1781"/>
      <c r="L46" s="4224">
        <v>0</v>
      </c>
      <c r="M46" s="1781"/>
      <c r="N46" s="4337">
        <f t="shared" si="2"/>
        <v>1810</v>
      </c>
      <c r="O46" s="1781"/>
      <c r="P46" s="2582">
        <f>'Fish and aqua'!K60</f>
        <v>0</v>
      </c>
      <c r="Q46" s="1781"/>
      <c r="R46" s="4336"/>
      <c r="S46" s="1781"/>
      <c r="T46" s="4348"/>
      <c r="U46" s="4336"/>
      <c r="V46" s="4316" t="str">
        <f>IF('Fish and aqua'!L60 ="not specific", "The default FUI is not available for this type of gear and an average value is proposed", "")</f>
        <v/>
      </c>
      <c r="W46" s="1781"/>
      <c r="X46" s="2103">
        <v>0</v>
      </c>
      <c r="Y46" s="1781"/>
      <c r="Z46" s="2103">
        <v>0</v>
      </c>
      <c r="AA46" s="2104" t="s">
        <v>86</v>
      </c>
      <c r="AB46" s="2103">
        <v>0</v>
      </c>
      <c r="AC46" s="2104" t="s">
        <v>86</v>
      </c>
      <c r="AD46" s="1781"/>
      <c r="AE46" s="1841">
        <f>'Fish and aqua'!O70</f>
        <v>0</v>
      </c>
      <c r="AF46" s="1781"/>
      <c r="AG46" s="1841">
        <f>'Fish and aqua'!P70</f>
        <v>0</v>
      </c>
      <c r="AH46" s="1781"/>
      <c r="AI46" s="1806">
        <f t="shared" si="3"/>
        <v>0</v>
      </c>
      <c r="AJ46" s="1781"/>
      <c r="AK46" s="1771"/>
      <c r="AL46" s="1771"/>
      <c r="AM46" s="1771"/>
      <c r="AN46" s="1771"/>
      <c r="AO46" s="1771"/>
      <c r="AP46" s="1771"/>
      <c r="AQ46" s="1771"/>
      <c r="AR46" s="1771"/>
      <c r="AS46" s="1771"/>
      <c r="AT46" s="1771"/>
      <c r="AU46" s="1771"/>
      <c r="AV46" s="1771"/>
      <c r="AW46" s="1771"/>
      <c r="AX46" s="1771"/>
      <c r="AY46" s="1771"/>
      <c r="AZ46" s="1771"/>
      <c r="BA46" s="1771"/>
      <c r="BB46" s="1771"/>
      <c r="BC46" s="1771"/>
      <c r="BD46" s="1771"/>
      <c r="BE46" s="1771"/>
      <c r="BF46" s="1771"/>
      <c r="BG46" s="1771"/>
      <c r="BH46" s="1771"/>
      <c r="BI46" s="1771"/>
      <c r="BJ46" s="1771"/>
      <c r="BK46" s="1771"/>
      <c r="BL46" s="1771"/>
      <c r="BM46" s="1771"/>
      <c r="BN46" s="1771"/>
      <c r="BO46" s="1771"/>
      <c r="BP46" s="1771"/>
      <c r="BQ46" s="1782"/>
      <c r="BR46" s="1782"/>
      <c r="BS46" s="1782"/>
      <c r="BT46" s="1782"/>
      <c r="BU46" s="1782"/>
      <c r="BV46" s="2340">
        <f>'Fish and aqua'!Q60</f>
        <v>0</v>
      </c>
      <c r="BW46" s="2340"/>
      <c r="BX46" s="2340">
        <f>'Fish and aqua'!R60</f>
        <v>0</v>
      </c>
      <c r="BY46" s="2340"/>
      <c r="BZ46" s="2340">
        <f>'Fish and aqua'!S60</f>
        <v>0</v>
      </c>
      <c r="CA46" s="1782"/>
      <c r="CB46" s="1782"/>
      <c r="CC46" s="1782"/>
      <c r="CD46" s="1782"/>
      <c r="CE46" s="1782" t="str">
        <f>CE15</f>
        <v>GWP of refrigerant</v>
      </c>
      <c r="CF46" s="1782"/>
      <c r="CG46" s="1782"/>
      <c r="CH46" s="1782"/>
      <c r="CI46" s="2151" t="str">
        <f>CH15:CI15</f>
        <v>Emission factor</v>
      </c>
      <c r="CJ46" s="1782"/>
      <c r="CK46" s="1782"/>
      <c r="CL46" s="1771"/>
      <c r="CM46" s="4363">
        <v>1</v>
      </c>
      <c r="CN46" s="4364"/>
      <c r="CO46" s="1996"/>
      <c r="CP46" s="1771"/>
      <c r="CQ46" s="1771"/>
      <c r="CR46" s="1771"/>
      <c r="CS46" s="1771"/>
      <c r="CT46" s="1771"/>
      <c r="CU46" s="1771"/>
      <c r="CV46" s="1771"/>
      <c r="CW46" s="1771"/>
      <c r="CX46" s="1771"/>
      <c r="CY46" s="1771"/>
    </row>
    <row r="47" spans="1:103" x14ac:dyDescent="0.2">
      <c r="A47" s="1771"/>
      <c r="B47" s="1781"/>
      <c r="C47" s="2125" t="s">
        <v>57</v>
      </c>
      <c r="D47" s="1781"/>
      <c r="E47" s="2125" t="s">
        <v>57</v>
      </c>
      <c r="F47" s="1781"/>
      <c r="G47" s="1781"/>
      <c r="H47" s="4224">
        <v>0</v>
      </c>
      <c r="I47" s="1781"/>
      <c r="J47" s="4224">
        <v>0</v>
      </c>
      <c r="K47" s="1781"/>
      <c r="L47" s="4224">
        <v>0</v>
      </c>
      <c r="M47" s="1781"/>
      <c r="N47" s="4337">
        <f t="shared" si="2"/>
        <v>1810</v>
      </c>
      <c r="O47" s="1781"/>
      <c r="P47" s="2582">
        <f>'Fish and aqua'!K61</f>
        <v>0</v>
      </c>
      <c r="Q47" s="1781"/>
      <c r="R47" s="4336"/>
      <c r="S47" s="1781"/>
      <c r="T47" s="4348"/>
      <c r="U47" s="4336"/>
      <c r="V47" s="4316" t="str">
        <f>IF('Fish and aqua'!L61 ="not specific", "The default FUI is not available for this type of gear and an average value is proposed", "")</f>
        <v/>
      </c>
      <c r="W47" s="1781"/>
      <c r="X47" s="2103">
        <v>0</v>
      </c>
      <c r="Y47" s="1781"/>
      <c r="Z47" s="2103">
        <v>0</v>
      </c>
      <c r="AA47" s="2104" t="s">
        <v>86</v>
      </c>
      <c r="AB47" s="2103">
        <v>0</v>
      </c>
      <c r="AC47" s="2104" t="s">
        <v>86</v>
      </c>
      <c r="AD47" s="1781"/>
      <c r="AE47" s="1841">
        <f>'Fish and aqua'!O71</f>
        <v>0</v>
      </c>
      <c r="AF47" s="1781"/>
      <c r="AG47" s="1841">
        <f>'Fish and aqua'!P71</f>
        <v>0</v>
      </c>
      <c r="AH47" s="1781"/>
      <c r="AI47" s="1806">
        <f t="shared" si="3"/>
        <v>0</v>
      </c>
      <c r="AJ47" s="1781"/>
      <c r="AK47" s="1771"/>
      <c r="AL47" s="1771"/>
      <c r="AM47" s="1771"/>
      <c r="AN47" s="1771"/>
      <c r="AO47" s="1771"/>
      <c r="AP47" s="1771"/>
      <c r="AQ47" s="1771"/>
      <c r="AR47" s="1771"/>
      <c r="AS47" s="1771"/>
      <c r="AT47" s="1771"/>
      <c r="AU47" s="1771"/>
      <c r="AV47" s="1771"/>
      <c r="AW47" s="1771"/>
      <c r="AX47" s="1771"/>
      <c r="AY47" s="1771"/>
      <c r="AZ47" s="1771"/>
      <c r="BA47" s="1771"/>
      <c r="BB47" s="1771"/>
      <c r="BC47" s="1771"/>
      <c r="BD47" s="1771"/>
      <c r="BE47" s="1771"/>
      <c r="BF47" s="1771"/>
      <c r="BG47" s="1771"/>
      <c r="BH47" s="1771"/>
      <c r="BI47" s="1771"/>
      <c r="BJ47" s="1771"/>
      <c r="BK47" s="1771"/>
      <c r="BL47" s="1771"/>
      <c r="BM47" s="1771"/>
      <c r="BN47" s="1771"/>
      <c r="BO47" s="1771"/>
      <c r="BP47" s="1771"/>
      <c r="BQ47" s="1782"/>
      <c r="BR47" s="1782"/>
      <c r="BS47" s="1782"/>
      <c r="BT47" s="1782"/>
      <c r="BU47" s="1782"/>
      <c r="BV47" s="2340">
        <f>'Fish and aqua'!Q61</f>
        <v>0</v>
      </c>
      <c r="BW47" s="2340"/>
      <c r="BX47" s="2340">
        <f>'Fish and aqua'!R61</f>
        <v>0</v>
      </c>
      <c r="BY47" s="2340"/>
      <c r="BZ47" s="2340">
        <f>'Fish and aqua'!S61</f>
        <v>0</v>
      </c>
      <c r="CA47" s="1782"/>
      <c r="CB47" s="1782"/>
      <c r="CC47" s="1782"/>
      <c r="CD47" s="1782"/>
      <c r="CE47" s="1782" t="str">
        <f>CH41</f>
        <v>Default</v>
      </c>
      <c r="CF47" s="1782" t="str">
        <f>CI41</f>
        <v>Tier 2</v>
      </c>
      <c r="CG47" s="1782"/>
      <c r="CH47" s="1782"/>
      <c r="CI47" s="2151" t="str">
        <f>CI16</f>
        <v>tCO2-e/t catch</v>
      </c>
      <c r="CJ47" s="1782"/>
      <c r="CK47" s="1782"/>
      <c r="CL47" s="1771"/>
      <c r="CM47" s="4363">
        <v>1</v>
      </c>
      <c r="CN47" s="4364"/>
      <c r="CO47" s="1996"/>
      <c r="CP47" s="1771"/>
      <c r="CQ47" s="1771"/>
      <c r="CR47" s="1771"/>
      <c r="CS47" s="1771"/>
      <c r="CT47" s="1771"/>
      <c r="CU47" s="1771"/>
      <c r="CV47" s="1771"/>
      <c r="CW47" s="1771"/>
      <c r="CX47" s="1771"/>
      <c r="CY47" s="1771"/>
    </row>
    <row r="48" spans="1:103" x14ac:dyDescent="0.2">
      <c r="A48" s="1771"/>
      <c r="B48" s="1781"/>
      <c r="C48" s="2125" t="s">
        <v>57</v>
      </c>
      <c r="D48" s="1781"/>
      <c r="E48" s="2125" t="s">
        <v>57</v>
      </c>
      <c r="F48" s="1781"/>
      <c r="G48" s="1781"/>
      <c r="H48" s="4224">
        <v>0</v>
      </c>
      <c r="I48" s="1781"/>
      <c r="J48" s="4224">
        <v>0</v>
      </c>
      <c r="K48" s="1781"/>
      <c r="L48" s="4224">
        <v>0</v>
      </c>
      <c r="M48" s="1781"/>
      <c r="N48" s="4337">
        <f t="shared" si="2"/>
        <v>1810</v>
      </c>
      <c r="O48" s="1781"/>
      <c r="P48" s="2582">
        <f>'Fish and aqua'!K62</f>
        <v>0</v>
      </c>
      <c r="Q48" s="1781"/>
      <c r="R48" s="4336"/>
      <c r="S48" s="1781"/>
      <c r="T48" s="4348"/>
      <c r="U48" s="4336"/>
      <c r="V48" s="4316" t="str">
        <f>IF('Fish and aqua'!L62 ="not specific", "The default FUI is not available for this type of gear and an average value is proposed", "")</f>
        <v/>
      </c>
      <c r="W48" s="1781"/>
      <c r="X48" s="2103">
        <v>0</v>
      </c>
      <c r="Y48" s="1781"/>
      <c r="Z48" s="2103">
        <v>0</v>
      </c>
      <c r="AA48" s="2104" t="s">
        <v>86</v>
      </c>
      <c r="AB48" s="2103">
        <v>0</v>
      </c>
      <c r="AC48" s="2104" t="s">
        <v>86</v>
      </c>
      <c r="AD48" s="1781"/>
      <c r="AE48" s="1841">
        <f>'Fish and aqua'!O72</f>
        <v>0</v>
      </c>
      <c r="AF48" s="1781"/>
      <c r="AG48" s="1841">
        <f>'Fish and aqua'!P72</f>
        <v>0</v>
      </c>
      <c r="AH48" s="1781"/>
      <c r="AI48" s="1806">
        <f t="shared" si="3"/>
        <v>0</v>
      </c>
      <c r="AJ48" s="1781"/>
      <c r="AK48" s="1771"/>
      <c r="AL48" s="1771"/>
      <c r="AM48" s="1771"/>
      <c r="AN48" s="1771"/>
      <c r="AO48" s="1771"/>
      <c r="AP48" s="1771"/>
      <c r="AQ48" s="1771"/>
      <c r="AR48" s="1771"/>
      <c r="AS48" s="1771"/>
      <c r="AT48" s="1771"/>
      <c r="AU48" s="1771"/>
      <c r="AV48" s="1771"/>
      <c r="AW48" s="1771"/>
      <c r="AX48" s="1771"/>
      <c r="AY48" s="1771"/>
      <c r="AZ48" s="1771"/>
      <c r="BA48" s="1771"/>
      <c r="BB48" s="1771"/>
      <c r="BC48" s="1771"/>
      <c r="BD48" s="1771"/>
      <c r="BE48" s="1771"/>
      <c r="BF48" s="1771"/>
      <c r="BG48" s="1771"/>
      <c r="BH48" s="1771"/>
      <c r="BI48" s="1771"/>
      <c r="BJ48" s="1771"/>
      <c r="BK48" s="1771"/>
      <c r="BL48" s="1771"/>
      <c r="BM48" s="1771"/>
      <c r="BN48" s="1771"/>
      <c r="BO48" s="1771"/>
      <c r="BP48" s="1771"/>
      <c r="BQ48" s="1782"/>
      <c r="BR48" s="1782"/>
      <c r="BS48" s="1782"/>
      <c r="BT48" s="1782"/>
      <c r="BU48" s="1782"/>
      <c r="BV48" s="2340">
        <f>'Fish and aqua'!Q62</f>
        <v>0</v>
      </c>
      <c r="BW48" s="2340"/>
      <c r="BX48" s="2340">
        <f>'Fish and aqua'!R62</f>
        <v>0</v>
      </c>
      <c r="BY48" s="2340"/>
      <c r="BZ48" s="2340">
        <f>'Fish and aqua'!S62</f>
        <v>0</v>
      </c>
      <c r="CA48" s="1782"/>
      <c r="CB48" s="1782"/>
      <c r="CC48" s="1782"/>
      <c r="CD48" s="1782"/>
      <c r="CE48" s="2151">
        <f>'Fish and aqua'!F79</f>
        <v>1810</v>
      </c>
      <c r="CF48" s="2125"/>
      <c r="CG48" s="1782"/>
      <c r="CH48" s="1782"/>
      <c r="CI48" s="2011">
        <f>'Fish and aqua'!G79*'Fish and aqua'!D79/100</f>
        <v>8.8208539999999989</v>
      </c>
      <c r="CJ48" s="1782"/>
      <c r="CK48" s="1782"/>
      <c r="CL48" s="1771"/>
      <c r="CM48" s="4363">
        <v>1</v>
      </c>
      <c r="CN48" s="4364"/>
      <c r="CO48" s="1996"/>
      <c r="CP48" s="1771"/>
      <c r="CQ48" s="1771"/>
      <c r="CR48" s="1771"/>
      <c r="CS48" s="1771"/>
      <c r="CT48" s="1771"/>
      <c r="CU48" s="1771"/>
      <c r="CV48" s="1771"/>
      <c r="CW48" s="1771"/>
      <c r="CX48" s="1771"/>
      <c r="CY48" s="1771"/>
    </row>
    <row r="49" spans="1:103" x14ac:dyDescent="0.2">
      <c r="A49" s="1771"/>
      <c r="B49" s="1781"/>
      <c r="C49" s="2125" t="s">
        <v>57</v>
      </c>
      <c r="D49" s="1781"/>
      <c r="E49" s="2125" t="s">
        <v>57</v>
      </c>
      <c r="F49" s="1781"/>
      <c r="G49" s="1781"/>
      <c r="H49" s="4224">
        <v>0</v>
      </c>
      <c r="I49" s="1781"/>
      <c r="J49" s="4224">
        <v>0</v>
      </c>
      <c r="K49" s="1781"/>
      <c r="L49" s="4224">
        <v>0</v>
      </c>
      <c r="M49" s="1781"/>
      <c r="N49" s="4337">
        <f t="shared" si="2"/>
        <v>1810</v>
      </c>
      <c r="O49" s="1781"/>
      <c r="P49" s="2582">
        <f>'Fish and aqua'!K63</f>
        <v>0</v>
      </c>
      <c r="Q49" s="1781"/>
      <c r="R49" s="4336"/>
      <c r="S49" s="1781"/>
      <c r="T49" s="4348"/>
      <c r="U49" s="4336"/>
      <c r="V49" s="4316" t="str">
        <f>IF('Fish and aqua'!L63 ="not specific", "The default FUI is not available for this type of gear and an average value is proposed", "")</f>
        <v/>
      </c>
      <c r="W49" s="1781"/>
      <c r="X49" s="2103">
        <v>0</v>
      </c>
      <c r="Y49" s="1781"/>
      <c r="Z49" s="2103">
        <v>0</v>
      </c>
      <c r="AA49" s="2104" t="s">
        <v>86</v>
      </c>
      <c r="AB49" s="2103">
        <v>0</v>
      </c>
      <c r="AC49" s="2104" t="s">
        <v>86</v>
      </c>
      <c r="AD49" s="1781"/>
      <c r="AE49" s="1841">
        <f>'Fish and aqua'!O73</f>
        <v>0</v>
      </c>
      <c r="AF49" s="1781"/>
      <c r="AG49" s="1841">
        <f>'Fish and aqua'!P73</f>
        <v>0</v>
      </c>
      <c r="AH49" s="1781"/>
      <c r="AI49" s="1806">
        <f t="shared" si="3"/>
        <v>0</v>
      </c>
      <c r="AJ49" s="1781"/>
      <c r="AK49" s="1771"/>
      <c r="AL49" s="1771"/>
      <c r="AM49" s="1771"/>
      <c r="AN49" s="1771"/>
      <c r="AO49" s="1771"/>
      <c r="AP49" s="1771"/>
      <c r="AQ49" s="1771"/>
      <c r="AR49" s="1771"/>
      <c r="AS49" s="1771"/>
      <c r="AT49" s="1771"/>
      <c r="AU49" s="1771"/>
      <c r="AV49" s="1771"/>
      <c r="AW49" s="1771"/>
      <c r="AX49" s="1771"/>
      <c r="AY49" s="1771"/>
      <c r="AZ49" s="1771"/>
      <c r="BA49" s="1771"/>
      <c r="BB49" s="1771"/>
      <c r="BC49" s="1771"/>
      <c r="BD49" s="1771"/>
      <c r="BE49" s="1771"/>
      <c r="BF49" s="1771"/>
      <c r="BG49" s="1771"/>
      <c r="BH49" s="1771"/>
      <c r="BI49" s="1771"/>
      <c r="BJ49" s="1771"/>
      <c r="BK49" s="1771"/>
      <c r="BL49" s="1771"/>
      <c r="BM49" s="1771"/>
      <c r="BN49" s="1771"/>
      <c r="BO49" s="1771"/>
      <c r="BP49" s="1771"/>
      <c r="BQ49" s="1782"/>
      <c r="BR49" s="1782"/>
      <c r="BS49" s="1782"/>
      <c r="BT49" s="1782"/>
      <c r="BU49" s="1782"/>
      <c r="BV49" s="2340">
        <f>'Fish and aqua'!Q63</f>
        <v>0</v>
      </c>
      <c r="BW49" s="2340"/>
      <c r="BX49" s="2340">
        <f>'Fish and aqua'!R63</f>
        <v>0</v>
      </c>
      <c r="BY49" s="2340"/>
      <c r="BZ49" s="2340">
        <f>'Fish and aqua'!S63</f>
        <v>0</v>
      </c>
      <c r="CA49" s="1782"/>
      <c r="CB49" s="1782"/>
      <c r="CC49" s="1782"/>
      <c r="CD49" s="1782"/>
      <c r="CE49" s="1782"/>
      <c r="CF49" s="1782"/>
      <c r="CG49" s="1782"/>
      <c r="CH49" s="1782"/>
      <c r="CI49" s="1782"/>
      <c r="CJ49" s="1782"/>
      <c r="CK49" s="1782"/>
      <c r="CL49" s="1771"/>
      <c r="CM49" s="4363">
        <v>1</v>
      </c>
      <c r="CN49" s="4364"/>
      <c r="CO49" s="1996"/>
      <c r="CP49" s="1771"/>
      <c r="CQ49" s="1771"/>
      <c r="CR49" s="1771"/>
      <c r="CS49" s="1771"/>
      <c r="CT49" s="1771"/>
      <c r="CU49" s="1771"/>
      <c r="CV49" s="1771"/>
      <c r="CW49" s="1771"/>
      <c r="CX49" s="1771"/>
      <c r="CY49" s="1771"/>
    </row>
    <row r="50" spans="1:103" x14ac:dyDescent="0.2">
      <c r="A50" s="1771"/>
      <c r="B50" s="1781"/>
      <c r="C50" s="1781"/>
      <c r="D50" s="1781"/>
      <c r="E50" s="1781"/>
      <c r="F50" s="1781"/>
      <c r="G50" s="1781"/>
      <c r="H50" s="1781"/>
      <c r="I50" s="1781"/>
      <c r="J50" s="1781"/>
      <c r="K50" s="1781"/>
      <c r="L50" s="1781"/>
      <c r="M50" s="1781"/>
      <c r="N50" s="1781"/>
      <c r="O50" s="1781"/>
      <c r="P50" s="1781" t="str">
        <f>P19</f>
        <v xml:space="preserve">FUI is the amount of fuel needed to land </v>
      </c>
      <c r="Q50" s="1781"/>
      <c r="R50" s="1781"/>
      <c r="S50" s="1781"/>
      <c r="T50" s="1781"/>
      <c r="U50" s="1781"/>
      <c r="V50" s="1781"/>
      <c r="W50" s="1781"/>
      <c r="X50" s="1781"/>
      <c r="Y50" s="1781"/>
      <c r="Z50" s="1781"/>
      <c r="AA50" s="1781"/>
      <c r="AB50" s="1781"/>
      <c r="AC50" s="1781"/>
      <c r="AD50" s="1781"/>
      <c r="AE50" s="1781"/>
      <c r="AF50" s="1781"/>
      <c r="AG50" s="1781"/>
      <c r="AH50" s="1781"/>
      <c r="AI50" s="1781"/>
      <c r="AJ50" s="1781"/>
      <c r="AK50" s="1771"/>
      <c r="AL50" s="1771"/>
      <c r="AM50" s="1771"/>
      <c r="AN50" s="1771"/>
      <c r="AO50" s="1771"/>
      <c r="AP50" s="1771"/>
      <c r="AQ50" s="1771"/>
      <c r="AR50" s="1771"/>
      <c r="AS50" s="1771"/>
      <c r="AT50" s="1771"/>
      <c r="AU50" s="1771"/>
      <c r="AV50" s="1771"/>
      <c r="AW50" s="1771"/>
      <c r="AX50" s="1771"/>
      <c r="AY50" s="1771"/>
      <c r="AZ50" s="1771"/>
      <c r="BA50" s="1771"/>
      <c r="BB50" s="1771"/>
      <c r="BC50" s="1771"/>
      <c r="BD50" s="1771"/>
      <c r="BE50" s="1771"/>
      <c r="BF50" s="1771"/>
      <c r="BG50" s="1771"/>
      <c r="BH50" s="1771"/>
      <c r="BI50" s="1771"/>
      <c r="BJ50" s="1771"/>
      <c r="BK50" s="1771"/>
      <c r="BL50" s="1771"/>
      <c r="BM50" s="1771"/>
      <c r="BN50" s="1771"/>
      <c r="BO50" s="1771"/>
      <c r="BP50" s="1771"/>
      <c r="BQ50" s="1782"/>
      <c r="BR50" s="1782"/>
      <c r="BS50" s="1782"/>
      <c r="BT50" s="1782"/>
      <c r="BU50" s="1782"/>
      <c r="BV50" s="1782"/>
      <c r="BW50" s="1782"/>
      <c r="BX50" s="1782"/>
      <c r="BY50" s="1782"/>
      <c r="BZ50" s="1782"/>
      <c r="CA50" s="1782"/>
      <c r="CB50" s="1782"/>
      <c r="CC50" s="1782"/>
      <c r="CD50" s="1782"/>
      <c r="CE50" s="1782"/>
      <c r="CF50" s="1782"/>
      <c r="CG50" s="1782"/>
      <c r="CH50" s="1782"/>
      <c r="CI50" s="1782"/>
      <c r="CJ50" s="1782"/>
      <c r="CK50" s="1782"/>
      <c r="CL50" s="1771"/>
      <c r="CM50" s="1996"/>
      <c r="CN50" s="1996"/>
      <c r="CO50" s="1996"/>
      <c r="CP50" s="1771"/>
      <c r="CQ50" s="1771"/>
      <c r="CR50" s="1771"/>
      <c r="CS50" s="1771"/>
      <c r="CT50" s="1771"/>
      <c r="CU50" s="1771"/>
      <c r="CV50" s="1771"/>
      <c r="CW50" s="1771"/>
      <c r="CX50" s="1771"/>
      <c r="CY50" s="1771"/>
    </row>
    <row r="51" spans="1:103" x14ac:dyDescent="0.2">
      <c r="A51" s="1771"/>
      <c r="B51" s="1781"/>
      <c r="C51" s="1781"/>
      <c r="D51" s="1781"/>
      <c r="E51" s="1781"/>
      <c r="F51" s="1781"/>
      <c r="G51" s="1781"/>
      <c r="H51" s="1781"/>
      <c r="I51" s="1781"/>
      <c r="J51" s="1781"/>
      <c r="K51" s="1781"/>
      <c r="L51" s="1781"/>
      <c r="M51" s="1781"/>
      <c r="N51" s="1781"/>
      <c r="O51" s="1781"/>
      <c r="P51" s="1781" t="str">
        <f>P20</f>
        <v>1 tonne of catch</v>
      </c>
      <c r="Q51" s="1781"/>
      <c r="R51" s="1781"/>
      <c r="S51" s="1781"/>
      <c r="T51" s="1781"/>
      <c r="U51" s="1781"/>
      <c r="V51" s="1781"/>
      <c r="W51" s="1781"/>
      <c r="X51" s="1781"/>
      <c r="Y51" s="1781"/>
      <c r="Z51" s="1781"/>
      <c r="AA51" s="1781"/>
      <c r="AB51" s="1781"/>
      <c r="AC51" s="1781"/>
      <c r="AD51" s="1781"/>
      <c r="AE51" s="1781"/>
      <c r="AF51" s="1781"/>
      <c r="AG51" s="1781"/>
      <c r="AH51" s="1781"/>
      <c r="AI51" s="1781"/>
      <c r="AJ51" s="1781"/>
      <c r="AK51" s="1771"/>
      <c r="AL51" s="1771"/>
      <c r="AM51" s="1771"/>
      <c r="AN51" s="1771"/>
      <c r="AO51" s="1771"/>
      <c r="AP51" s="1771"/>
      <c r="AQ51" s="1771"/>
      <c r="AR51" s="1771"/>
      <c r="AS51" s="1771"/>
      <c r="AT51" s="1771"/>
      <c r="AU51" s="1771"/>
      <c r="AV51" s="1771"/>
      <c r="AW51" s="1771"/>
      <c r="AX51" s="1771"/>
      <c r="AY51" s="1771"/>
      <c r="AZ51" s="1771"/>
      <c r="BA51" s="1771"/>
      <c r="BB51" s="1771"/>
      <c r="BC51" s="1771"/>
      <c r="BD51" s="1771"/>
      <c r="BE51" s="1771"/>
      <c r="BF51" s="1771"/>
      <c r="BG51" s="1771"/>
      <c r="BH51" s="1771"/>
      <c r="BI51" s="1771"/>
      <c r="BJ51" s="1771"/>
      <c r="BK51" s="1771"/>
      <c r="BL51" s="1771"/>
      <c r="BM51" s="1771"/>
      <c r="BN51" s="1771"/>
      <c r="BO51" s="1771"/>
      <c r="BP51" s="1771"/>
      <c r="BQ51" s="1782"/>
      <c r="BR51" s="1782"/>
      <c r="BS51" s="1782"/>
      <c r="BT51" s="2602" t="str">
        <f>BT20</f>
        <v>Total fuel consumption (m3/year)</v>
      </c>
      <c r="BU51" s="1782"/>
      <c r="BV51" s="2582">
        <f>'Fish and aqua'!K75</f>
        <v>0</v>
      </c>
      <c r="BW51" s="2582"/>
      <c r="BX51" s="2582">
        <f>'Fish and aqua'!L75</f>
        <v>0</v>
      </c>
      <c r="BY51" s="1782"/>
      <c r="BZ51" s="2582">
        <f>'Fish and aqua'!M75</f>
        <v>0</v>
      </c>
      <c r="CA51" s="1782"/>
      <c r="CB51" s="1782"/>
      <c r="CC51" s="1782"/>
      <c r="CD51" s="1782"/>
      <c r="CE51" s="1782"/>
      <c r="CF51" s="1782"/>
      <c r="CG51" s="1782"/>
      <c r="CH51" s="1782"/>
      <c r="CI51" s="1782"/>
      <c r="CJ51" s="1782"/>
      <c r="CK51" s="1782"/>
      <c r="CL51" s="1771"/>
      <c r="CM51" s="4548" t="s">
        <v>87</v>
      </c>
      <c r="CN51" s="4548"/>
      <c r="CO51" s="4548"/>
      <c r="CP51" s="1771"/>
      <c r="CQ51" s="1771"/>
      <c r="CR51" s="1771"/>
      <c r="CS51" s="1771"/>
      <c r="CT51" s="1771"/>
      <c r="CU51" s="1771"/>
      <c r="CV51" s="1771"/>
      <c r="CW51" s="1771"/>
      <c r="CX51" s="1771"/>
      <c r="CY51" s="1771"/>
    </row>
    <row r="52" spans="1:103" x14ac:dyDescent="0.2">
      <c r="A52" s="1771"/>
      <c r="B52" s="1781"/>
      <c r="C52" s="1826" t="str">
        <f>C21</f>
        <v>On-board leakage from refrigeration systems</v>
      </c>
      <c r="D52" s="1781"/>
      <c r="E52" s="1781"/>
      <c r="F52" s="1781"/>
      <c r="G52" s="1781"/>
      <c r="H52" s="1781"/>
      <c r="I52" s="1781"/>
      <c r="J52" s="1781"/>
      <c r="K52" s="1781"/>
      <c r="L52" s="1781"/>
      <c r="M52" s="1781"/>
      <c r="N52" s="1781"/>
      <c r="O52" s="1781"/>
      <c r="P52" s="1781"/>
      <c r="Q52" s="1781"/>
      <c r="R52" s="1781"/>
      <c r="S52" s="1781"/>
      <c r="T52" s="1781"/>
      <c r="U52" s="1781"/>
      <c r="V52" s="1781"/>
      <c r="W52" s="1781"/>
      <c r="X52" s="1806" t="str">
        <f>H43</f>
        <v>Start</v>
      </c>
      <c r="Y52" s="1806"/>
      <c r="Z52" s="1806" t="str">
        <f>J43</f>
        <v>Without</v>
      </c>
      <c r="AA52" s="1806"/>
      <c r="AB52" s="1806" t="str">
        <f>L43</f>
        <v>With</v>
      </c>
      <c r="AC52" s="1781"/>
      <c r="AD52" s="1781"/>
      <c r="AE52" s="1806" t="str">
        <f>AE21</f>
        <v>Without</v>
      </c>
      <c r="AF52" s="1806"/>
      <c r="AG52" s="1806" t="str">
        <f>AG21</f>
        <v>With</v>
      </c>
      <c r="AH52" s="1806"/>
      <c r="AI52" s="1806"/>
      <c r="AJ52" s="1781"/>
      <c r="AK52" s="1771"/>
      <c r="AL52" s="1771"/>
      <c r="AM52" s="1771"/>
      <c r="AN52" s="1771"/>
      <c r="AO52" s="1771"/>
      <c r="AP52" s="1771"/>
      <c r="AQ52" s="1771"/>
      <c r="AR52" s="1771"/>
      <c r="AS52" s="1771"/>
      <c r="AT52" s="1771"/>
      <c r="AU52" s="1771"/>
      <c r="AV52" s="1771"/>
      <c r="AW52" s="1771"/>
      <c r="AX52" s="1771"/>
      <c r="AY52" s="1771"/>
      <c r="AZ52" s="1771"/>
      <c r="BA52" s="1771"/>
      <c r="BB52" s="1771"/>
      <c r="BC52" s="1771"/>
      <c r="BD52" s="1771"/>
      <c r="BE52" s="1771"/>
      <c r="BF52" s="1771"/>
      <c r="BG52" s="1771"/>
      <c r="BH52" s="1771"/>
      <c r="BI52" s="1771"/>
      <c r="BJ52" s="1771"/>
      <c r="BK52" s="1771"/>
      <c r="BL52" s="1771"/>
      <c r="BM52" s="1771"/>
      <c r="BN52" s="1771"/>
      <c r="BO52" s="1771"/>
      <c r="BP52" s="1771"/>
      <c r="BQ52" s="1782"/>
      <c r="BR52" s="1782"/>
      <c r="BS52" s="1782"/>
      <c r="BT52" s="1782"/>
      <c r="BU52" s="1782"/>
      <c r="BV52" s="1782"/>
      <c r="BW52" s="1782"/>
      <c r="BX52" s="1782"/>
      <c r="BY52" s="1782"/>
      <c r="BZ52" s="1782"/>
      <c r="CA52" s="1782"/>
      <c r="CB52" s="1782"/>
      <c r="CC52" s="1782"/>
      <c r="CD52" s="1782"/>
      <c r="CE52" s="1782"/>
      <c r="CF52" s="1782"/>
      <c r="CG52" s="1782"/>
      <c r="CH52" s="1782"/>
      <c r="CI52" s="1782"/>
      <c r="CJ52" s="1782"/>
      <c r="CK52" s="1782"/>
      <c r="CL52" s="1771"/>
      <c r="CM52" s="4548"/>
      <c r="CN52" s="4548"/>
      <c r="CO52" s="4548"/>
      <c r="CP52" s="1771"/>
      <c r="CQ52" s="1771"/>
      <c r="CR52" s="1771"/>
      <c r="CS52" s="1771"/>
      <c r="CT52" s="1771"/>
      <c r="CU52" s="1771"/>
      <c r="CV52" s="1771"/>
      <c r="CW52" s="1771"/>
      <c r="CX52" s="1771"/>
      <c r="CY52" s="1771"/>
    </row>
    <row r="53" spans="1:103" x14ac:dyDescent="0.2">
      <c r="A53" s="1771"/>
      <c r="B53" s="1781"/>
      <c r="C53" s="1781" t="str">
        <f>C22</f>
        <v xml:space="preserve">Total catch with refrigerant systems </v>
      </c>
      <c r="D53" s="1781"/>
      <c r="E53" s="1781"/>
      <c r="F53" s="1781"/>
      <c r="G53" s="1781"/>
      <c r="H53" s="1781"/>
      <c r="I53" s="1781"/>
      <c r="J53" s="1781"/>
      <c r="K53" s="1781"/>
      <c r="L53" s="1781"/>
      <c r="M53" s="1781"/>
      <c r="N53" s="1781"/>
      <c r="O53" s="1781"/>
      <c r="P53" s="1781"/>
      <c r="Q53" s="1781"/>
      <c r="R53" s="1781"/>
      <c r="S53" s="1781"/>
      <c r="T53" s="1781"/>
      <c r="U53" s="1781"/>
      <c r="V53" s="1781"/>
      <c r="W53" s="1781"/>
      <c r="X53" s="1806">
        <f>SUMPRODUCT(H44:H49,X44:X49)</f>
        <v>0</v>
      </c>
      <c r="Y53" s="1781"/>
      <c r="Z53" s="1806">
        <f>SUMPRODUCT(J44:J49,Z44:Z49)</f>
        <v>0</v>
      </c>
      <c r="AA53" s="1781"/>
      <c r="AB53" s="1806">
        <f>SUMPRODUCT(L44:L49,AB44:AB49)</f>
        <v>0</v>
      </c>
      <c r="AC53" s="1781"/>
      <c r="AD53" s="1781"/>
      <c r="AE53" s="1841">
        <f>'Fish and aqua'!O89</f>
        <v>0</v>
      </c>
      <c r="AF53" s="1806"/>
      <c r="AG53" s="1841">
        <f>'Fish and aqua'!P89</f>
        <v>0</v>
      </c>
      <c r="AH53" s="1806"/>
      <c r="AI53" s="1806">
        <f>AG53-AE53</f>
        <v>0</v>
      </c>
      <c r="AJ53" s="1781"/>
      <c r="AK53" s="1771"/>
      <c r="AL53" s="1771"/>
      <c r="AM53" s="1771"/>
      <c r="AN53" s="1771"/>
      <c r="AO53" s="1771"/>
      <c r="AP53" s="1771"/>
      <c r="AQ53" s="1771"/>
      <c r="AR53" s="1771"/>
      <c r="AS53" s="1771"/>
      <c r="AT53" s="1771"/>
      <c r="AU53" s="1771"/>
      <c r="AV53" s="1771"/>
      <c r="AW53" s="1771"/>
      <c r="AX53" s="1771"/>
      <c r="AY53" s="1771"/>
      <c r="AZ53" s="1771"/>
      <c r="BA53" s="1771"/>
      <c r="BB53" s="1771"/>
      <c r="BC53" s="1771"/>
      <c r="BD53" s="1771"/>
      <c r="BE53" s="1771"/>
      <c r="BF53" s="1771"/>
      <c r="BG53" s="1771"/>
      <c r="BH53" s="1771"/>
      <c r="BI53" s="1771"/>
      <c r="BJ53" s="1771"/>
      <c r="BK53" s="1771"/>
      <c r="BL53" s="1771"/>
      <c r="BM53" s="1771"/>
      <c r="BN53" s="1771"/>
      <c r="BO53" s="1771"/>
      <c r="BP53" s="1771"/>
      <c r="BQ53" s="1782"/>
      <c r="BR53" s="1783" t="str">
        <f>BR22</f>
        <v>Emissions from production of ice produced inshore</v>
      </c>
      <c r="BS53" s="1782"/>
      <c r="BT53" s="1782"/>
      <c r="BU53" s="1782"/>
      <c r="BV53" s="1782"/>
      <c r="BW53" s="1782"/>
      <c r="BX53" s="1782"/>
      <c r="BY53" s="1782"/>
      <c r="BZ53" s="1782"/>
      <c r="CA53" s="1782"/>
      <c r="CB53" s="1782"/>
      <c r="CC53" s="1782"/>
      <c r="CD53" s="1782"/>
      <c r="CE53" s="1782"/>
      <c r="CF53" s="1782"/>
      <c r="CG53" s="1782"/>
      <c r="CH53" s="1782"/>
      <c r="CI53" s="1782"/>
      <c r="CJ53" s="1782"/>
      <c r="CK53" s="1782"/>
      <c r="CL53" s="1771"/>
      <c r="CM53" s="4548"/>
      <c r="CN53" s="4548"/>
      <c r="CO53" s="4548"/>
      <c r="CP53" s="1771"/>
      <c r="CQ53" s="1771"/>
      <c r="CR53" s="1771"/>
      <c r="CS53" s="1771"/>
      <c r="CT53" s="1771"/>
      <c r="CU53" s="1771"/>
      <c r="CV53" s="1771"/>
      <c r="CW53" s="1771"/>
      <c r="CX53" s="1771"/>
      <c r="CY53" s="1771"/>
    </row>
    <row r="54" spans="1:103" x14ac:dyDescent="0.2">
      <c r="A54" s="1771"/>
      <c r="B54" s="1781"/>
      <c r="C54" s="1781"/>
      <c r="D54" s="1781"/>
      <c r="E54" s="1781"/>
      <c r="F54" s="1781"/>
      <c r="G54" s="1781"/>
      <c r="H54" s="1781"/>
      <c r="I54" s="1781"/>
      <c r="J54" s="1781"/>
      <c r="K54" s="1781"/>
      <c r="L54" s="1781"/>
      <c r="M54" s="1781"/>
      <c r="N54" s="1781"/>
      <c r="O54" s="1781"/>
      <c r="P54" s="1781"/>
      <c r="Q54" s="1781"/>
      <c r="R54" s="1781"/>
      <c r="S54" s="1781"/>
      <c r="T54" s="1781"/>
      <c r="U54" s="1781"/>
      <c r="V54" s="1781"/>
      <c r="W54" s="1781"/>
      <c r="X54" s="1781"/>
      <c r="Y54" s="1781"/>
      <c r="Z54" s="1781"/>
      <c r="AA54" s="1781"/>
      <c r="AB54" s="1781"/>
      <c r="AC54" s="1781"/>
      <c r="AD54" s="1781"/>
      <c r="AE54" s="1781"/>
      <c r="AF54" s="1781"/>
      <c r="AG54" s="1781"/>
      <c r="AH54" s="1781"/>
      <c r="AI54" s="1781"/>
      <c r="AJ54" s="1781"/>
      <c r="AK54" s="1771"/>
      <c r="AL54" s="1771"/>
      <c r="AM54" s="1771"/>
      <c r="AN54" s="1771"/>
      <c r="AO54" s="1771"/>
      <c r="AP54" s="1771"/>
      <c r="AQ54" s="1771"/>
      <c r="AR54" s="1771"/>
      <c r="AS54" s="1771"/>
      <c r="AT54" s="1771"/>
      <c r="AU54" s="1771"/>
      <c r="AV54" s="1771"/>
      <c r="AW54" s="1771"/>
      <c r="AX54" s="1771"/>
      <c r="AY54" s="1771"/>
      <c r="AZ54" s="1771"/>
      <c r="BA54" s="1771"/>
      <c r="BB54" s="1771"/>
      <c r="BC54" s="1771"/>
      <c r="BD54" s="1771"/>
      <c r="BE54" s="1771"/>
      <c r="BF54" s="1771"/>
      <c r="BG54" s="1771"/>
      <c r="BH54" s="1771"/>
      <c r="BI54" s="1771"/>
      <c r="BJ54" s="1771"/>
      <c r="BK54" s="1771"/>
      <c r="BL54" s="1771"/>
      <c r="BM54" s="1771"/>
      <c r="BN54" s="1771"/>
      <c r="BO54" s="1771"/>
      <c r="BP54" s="1771"/>
      <c r="BQ54" s="1782"/>
      <c r="BR54" s="1782"/>
      <c r="BS54" s="1782"/>
      <c r="BT54" s="1782"/>
      <c r="BU54" s="1782" t="str">
        <f>BU23</f>
        <v>Quantity (tonne)</v>
      </c>
      <c r="BV54" s="1782"/>
      <c r="BW54" s="1782"/>
      <c r="BX54" s="1782"/>
      <c r="BY54" s="1782"/>
      <c r="BZ54" s="1782"/>
      <c r="CA54" s="1782"/>
      <c r="CB54" s="1782"/>
      <c r="CC54" s="1782" t="str">
        <f>CC23</f>
        <v>Quantity (kWh/t ice)</v>
      </c>
      <c r="CD54" s="1782"/>
      <c r="CE54" s="1782"/>
      <c r="CF54" s="1782"/>
      <c r="CG54" s="1782"/>
      <c r="CH54" s="1782"/>
      <c r="CI54" s="2151" t="str">
        <f>CI23</f>
        <v>Emission factor</v>
      </c>
      <c r="CJ54" s="1782"/>
      <c r="CK54" s="1782"/>
      <c r="CL54" s="1771"/>
      <c r="CM54" s="1996"/>
      <c r="CN54" s="1996"/>
      <c r="CO54" s="1996"/>
      <c r="CP54" s="1771"/>
      <c r="CQ54" s="1771"/>
      <c r="CR54" s="1771"/>
      <c r="CS54" s="1771"/>
      <c r="CT54" s="1771"/>
      <c r="CU54" s="1771"/>
      <c r="CV54" s="1771"/>
      <c r="CW54" s="1771"/>
      <c r="CX54" s="1771"/>
      <c r="CY54" s="1771"/>
    </row>
    <row r="55" spans="1:103" x14ac:dyDescent="0.2">
      <c r="A55" s="1771"/>
      <c r="B55" s="1781"/>
      <c r="C55" s="1826" t="str">
        <f>C24</f>
        <v>Emissions from production of ice produced inshore</v>
      </c>
      <c r="D55" s="1781"/>
      <c r="E55" s="1781"/>
      <c r="F55" s="1781"/>
      <c r="G55" s="1781"/>
      <c r="H55" s="1781" t="str">
        <f>H24</f>
        <v>% of Total catch preserved by ice produced inshore</v>
      </c>
      <c r="I55" s="1781"/>
      <c r="J55" s="1781"/>
      <c r="K55" s="1781"/>
      <c r="L55" s="1781"/>
      <c r="M55" s="1781"/>
      <c r="N55" s="1781"/>
      <c r="O55" s="1781"/>
      <c r="P55" s="1781"/>
      <c r="Q55" s="1781"/>
      <c r="R55" s="1781"/>
      <c r="S55" s="1781"/>
      <c r="T55" s="1781"/>
      <c r="U55" s="1781"/>
      <c r="V55" s="1781"/>
      <c r="W55" s="1781"/>
      <c r="X55" s="1781"/>
      <c r="Y55" s="1781"/>
      <c r="Z55" s="1781"/>
      <c r="AA55" s="1781"/>
      <c r="AB55" s="1781"/>
      <c r="AC55" s="1781"/>
      <c r="AD55" s="1781"/>
      <c r="AE55" s="1781"/>
      <c r="AF55" s="1781"/>
      <c r="AG55" s="1781"/>
      <c r="AH55" s="1781"/>
      <c r="AI55" s="1781"/>
      <c r="AJ55" s="1781"/>
      <c r="AK55" s="1771"/>
      <c r="AL55" s="1771"/>
      <c r="AM55" s="1771"/>
      <c r="AN55" s="1771"/>
      <c r="AO55" s="1771"/>
      <c r="AP55" s="1771"/>
      <c r="AQ55" s="1771"/>
      <c r="AR55" s="1771"/>
      <c r="AS55" s="1771"/>
      <c r="AT55" s="1771"/>
      <c r="AU55" s="1771"/>
      <c r="AV55" s="1771"/>
      <c r="AW55" s="1771"/>
      <c r="AX55" s="1771"/>
      <c r="AY55" s="1771"/>
      <c r="AZ55" s="1771"/>
      <c r="BA55" s="1771"/>
      <c r="BB55" s="1771"/>
      <c r="BC55" s="1771"/>
      <c r="BD55" s="1771"/>
      <c r="BE55" s="1771"/>
      <c r="BF55" s="1771"/>
      <c r="BG55" s="1771"/>
      <c r="BH55" s="1771"/>
      <c r="BI55" s="1771"/>
      <c r="BJ55" s="1771"/>
      <c r="BK55" s="1771"/>
      <c r="BL55" s="1771"/>
      <c r="BM55" s="1771"/>
      <c r="BN55" s="1771"/>
      <c r="BO55" s="1771"/>
      <c r="BP55" s="1771"/>
      <c r="BQ55" s="1782"/>
      <c r="BR55" s="1782"/>
      <c r="BS55" s="1782"/>
      <c r="BT55" s="1782"/>
      <c r="BU55" s="1782" t="str">
        <f>CH41</f>
        <v>Default</v>
      </c>
      <c r="BV55" s="1782" t="str">
        <f>CI41</f>
        <v>Tier 2</v>
      </c>
      <c r="BW55" s="1782"/>
      <c r="BX55" s="1782"/>
      <c r="BY55" s="1782"/>
      <c r="BZ55" s="1782"/>
      <c r="CA55" s="1782"/>
      <c r="CB55" s="1782"/>
      <c r="CC55" s="2151" t="str">
        <f>BU55</f>
        <v>Default</v>
      </c>
      <c r="CD55" s="1782"/>
      <c r="CE55" s="1782" t="str">
        <f>BV55</f>
        <v>Tier 2</v>
      </c>
      <c r="CF55" s="1782"/>
      <c r="CG55" s="1782"/>
      <c r="CH55" s="1782"/>
      <c r="CI55" s="2151" t="str">
        <f>CI24</f>
        <v>tCO2-e/t catch</v>
      </c>
      <c r="CJ55" s="1782"/>
      <c r="CK55" s="1782"/>
      <c r="CL55" s="1771"/>
      <c r="CM55" s="1996"/>
      <c r="CN55" s="1996"/>
      <c r="CO55" s="1996"/>
      <c r="CP55" s="1771"/>
      <c r="CQ55" s="1771"/>
      <c r="CR55" s="1771"/>
      <c r="CS55" s="1771"/>
      <c r="CT55" s="1771"/>
      <c r="CU55" s="1771"/>
      <c r="CV55" s="1771"/>
      <c r="CW55" s="1771"/>
      <c r="CX55" s="1771"/>
      <c r="CY55" s="1771"/>
    </row>
    <row r="56" spans="1:103" x14ac:dyDescent="0.2">
      <c r="A56" s="1771"/>
      <c r="B56" s="1781"/>
      <c r="C56" s="1781"/>
      <c r="D56" s="1781"/>
      <c r="E56" s="1781"/>
      <c r="F56" s="1781"/>
      <c r="G56" s="1781"/>
      <c r="H56" s="1806" t="str">
        <f>H43</f>
        <v>Start</v>
      </c>
      <c r="I56" s="1806"/>
      <c r="J56" s="1806" t="str">
        <f>J43</f>
        <v>Without</v>
      </c>
      <c r="K56" s="1806"/>
      <c r="L56" s="1806" t="str">
        <f>L43</f>
        <v>With</v>
      </c>
      <c r="M56" s="1806"/>
      <c r="N56" s="1781"/>
      <c r="O56" s="1781"/>
      <c r="P56" s="1781"/>
      <c r="Q56" s="1781"/>
      <c r="R56" s="1781"/>
      <c r="S56" s="1781"/>
      <c r="T56" s="1781"/>
      <c r="U56" s="1781"/>
      <c r="V56" s="1781"/>
      <c r="W56" s="1781"/>
      <c r="X56" s="1806" t="str">
        <f>X52</f>
        <v>Start</v>
      </c>
      <c r="Y56" s="1806"/>
      <c r="Z56" s="1806" t="str">
        <f>Z52</f>
        <v>Without</v>
      </c>
      <c r="AA56" s="1806"/>
      <c r="AB56" s="1806" t="str">
        <f>AB52</f>
        <v>With</v>
      </c>
      <c r="AC56" s="1781"/>
      <c r="AD56" s="1781"/>
      <c r="AE56" s="1806" t="str">
        <f>AE52</f>
        <v>Without</v>
      </c>
      <c r="AF56" s="1806"/>
      <c r="AG56" s="1806" t="str">
        <f>AG52</f>
        <v>With</v>
      </c>
      <c r="AH56" s="1781"/>
      <c r="AI56" s="1781"/>
      <c r="AJ56" s="1781"/>
      <c r="AK56" s="1771"/>
      <c r="AL56" s="1771"/>
      <c r="AM56" s="1771"/>
      <c r="AN56" s="1771"/>
      <c r="AO56" s="1771"/>
      <c r="AP56" s="1771"/>
      <c r="AQ56" s="1771"/>
      <c r="AR56" s="1771"/>
      <c r="AS56" s="1771"/>
      <c r="AT56" s="1771"/>
      <c r="AU56" s="1771"/>
      <c r="AV56" s="1771"/>
      <c r="AW56" s="1771"/>
      <c r="AX56" s="1771"/>
      <c r="AY56" s="1771"/>
      <c r="AZ56" s="1771"/>
      <c r="BA56" s="1771"/>
      <c r="BB56" s="1771"/>
      <c r="BC56" s="1771"/>
      <c r="BD56" s="1771"/>
      <c r="BE56" s="1771"/>
      <c r="BF56" s="1771"/>
      <c r="BG56" s="1771"/>
      <c r="BH56" s="1771"/>
      <c r="BI56" s="1771"/>
      <c r="BJ56" s="1771"/>
      <c r="BK56" s="1771"/>
      <c r="BL56" s="1771"/>
      <c r="BM56" s="1771"/>
      <c r="BN56" s="1771"/>
      <c r="BO56" s="1771"/>
      <c r="BP56" s="1771"/>
      <c r="BQ56" s="1782"/>
      <c r="BR56" s="1782" t="str">
        <f>BR25</f>
        <v>Quantity of ice (tonne) per tonne of catch</v>
      </c>
      <c r="BS56" s="1782"/>
      <c r="BT56" s="1782"/>
      <c r="BU56" s="2151">
        <f>'Fish and aqua'!C94</f>
        <v>2.8</v>
      </c>
      <c r="BV56" s="2125"/>
      <c r="BW56" s="1782"/>
      <c r="BX56" s="1782"/>
      <c r="BY56" s="1782"/>
      <c r="BZ56" s="1782"/>
      <c r="CA56" s="2602" t="str">
        <f>CA25</f>
        <v xml:space="preserve">Electricity (kWh) used per tonne of ice </v>
      </c>
      <c r="CB56" s="1782"/>
      <c r="CC56" s="2151">
        <v>60</v>
      </c>
      <c r="CD56" s="1782"/>
      <c r="CE56" s="4229"/>
      <c r="CF56" s="4223"/>
      <c r="CG56" s="1782"/>
      <c r="CH56" s="1782"/>
      <c r="CI56" s="2341">
        <f>'Fish and aqua'!I94</f>
        <v>6.7490710425844688E-2</v>
      </c>
      <c r="CJ56" s="1782"/>
      <c r="CK56" s="1782"/>
      <c r="CL56" s="1771"/>
      <c r="CM56" s="1996"/>
      <c r="CN56" s="1996"/>
      <c r="CO56" s="1996"/>
      <c r="CP56" s="1771"/>
      <c r="CQ56" s="1771"/>
      <c r="CR56" s="1771"/>
      <c r="CS56" s="1771"/>
      <c r="CT56" s="1771"/>
      <c r="CU56" s="1771"/>
      <c r="CV56" s="1771"/>
      <c r="CW56" s="1771"/>
      <c r="CX56" s="1771"/>
      <c r="CY56" s="1771"/>
    </row>
    <row r="57" spans="1:103" x14ac:dyDescent="0.2">
      <c r="A57" s="1771"/>
      <c r="B57" s="1781"/>
      <c r="C57" s="1781" t="str">
        <f>Languages!B590</f>
        <v>Total coastal catch</v>
      </c>
      <c r="D57" s="1781"/>
      <c r="E57" s="1781"/>
      <c r="F57" s="1781"/>
      <c r="G57" s="1781"/>
      <c r="H57" s="4224">
        <v>0</v>
      </c>
      <c r="I57" s="1781"/>
      <c r="J57" s="4224">
        <v>0</v>
      </c>
      <c r="K57" s="1781"/>
      <c r="L57" s="4224">
        <v>0</v>
      </c>
      <c r="M57" s="4222"/>
      <c r="N57" s="1781"/>
      <c r="O57" s="1781"/>
      <c r="P57" s="1781"/>
      <c r="Q57" s="1781"/>
      <c r="R57" s="1781"/>
      <c r="S57" s="1781"/>
      <c r="T57" s="1781"/>
      <c r="U57" s="1781"/>
      <c r="V57" s="1781"/>
      <c r="W57" s="1781"/>
      <c r="X57" s="1806">
        <f>H57*SUM(X44:X49)</f>
        <v>0</v>
      </c>
      <c r="Y57" s="1806"/>
      <c r="Z57" s="1806">
        <f>J57*SUM(Z44:Z49)</f>
        <v>0</v>
      </c>
      <c r="AA57" s="1806"/>
      <c r="AB57" s="1806">
        <f>L57*SUM(AB44:AB49)</f>
        <v>0</v>
      </c>
      <c r="AC57" s="1781"/>
      <c r="AD57" s="1781"/>
      <c r="AE57" s="1841">
        <f>'Fish and aqua'!O102</f>
        <v>0</v>
      </c>
      <c r="AF57" s="1806"/>
      <c r="AG57" s="1841">
        <f>'Fish and aqua'!P102</f>
        <v>0</v>
      </c>
      <c r="AH57" s="1781"/>
      <c r="AI57" s="1806">
        <f>AG57-AE57</f>
        <v>0</v>
      </c>
      <c r="AJ57" s="1781"/>
      <c r="AK57" s="1771"/>
      <c r="AL57" s="1771"/>
      <c r="AM57" s="1771"/>
      <c r="AN57" s="1771"/>
      <c r="AO57" s="1771"/>
      <c r="AP57" s="1771"/>
      <c r="AQ57" s="1771"/>
      <c r="AR57" s="1771"/>
      <c r="AS57" s="1771"/>
      <c r="AT57" s="1771"/>
      <c r="AU57" s="1771"/>
      <c r="AV57" s="1771"/>
      <c r="AW57" s="1771"/>
      <c r="AX57" s="1771"/>
      <c r="AY57" s="1771"/>
      <c r="AZ57" s="1771"/>
      <c r="BA57" s="1771"/>
      <c r="BB57" s="1771"/>
      <c r="BC57" s="1771"/>
      <c r="BD57" s="1771"/>
      <c r="BE57" s="1771"/>
      <c r="BF57" s="1771"/>
      <c r="BG57" s="1771"/>
      <c r="BH57" s="1771"/>
      <c r="BI57" s="1771"/>
      <c r="BJ57" s="1771"/>
      <c r="BK57" s="1771"/>
      <c r="BL57" s="1771"/>
      <c r="BM57" s="1771"/>
      <c r="BN57" s="1771"/>
      <c r="BO57" s="1771"/>
      <c r="BP57" s="1771"/>
      <c r="BQ57" s="1782"/>
      <c r="BR57" s="1782"/>
      <c r="BS57" s="1782"/>
      <c r="BT57" s="1782"/>
      <c r="BU57" s="1782"/>
      <c r="BV57" s="1782"/>
      <c r="BW57" s="1782"/>
      <c r="BX57" s="1782"/>
      <c r="BY57" s="1782"/>
      <c r="BZ57" s="1782"/>
      <c r="CA57" s="2602" t="str">
        <f>CA26</f>
        <v>Country of origin of ice production</v>
      </c>
      <c r="CB57" s="1782"/>
      <c r="CC57" s="2257" t="s">
        <v>57</v>
      </c>
      <c r="CD57" s="1782"/>
      <c r="CE57" s="1782"/>
      <c r="CF57" s="1782"/>
      <c r="CG57" s="1782"/>
      <c r="CH57" s="1782"/>
      <c r="CI57" s="1782"/>
      <c r="CJ57" s="1782"/>
      <c r="CK57" s="1782"/>
      <c r="CL57" s="1771"/>
      <c r="CM57" s="1996"/>
      <c r="CN57" s="1996"/>
      <c r="CO57" s="1996"/>
      <c r="CP57" s="1771"/>
      <c r="CQ57" s="1771"/>
      <c r="CR57" s="1771"/>
      <c r="CS57" s="1771"/>
      <c r="CT57" s="1771"/>
      <c r="CU57" s="1771"/>
      <c r="CV57" s="1771"/>
      <c r="CW57" s="1771"/>
      <c r="CX57" s="1771"/>
      <c r="CY57" s="1771"/>
    </row>
    <row r="58" spans="1:103" x14ac:dyDescent="0.2">
      <c r="A58" s="1771"/>
      <c r="B58" s="1781"/>
      <c r="C58" s="1781"/>
      <c r="D58" s="1781"/>
      <c r="E58" s="1849"/>
      <c r="F58" s="1781"/>
      <c r="G58" s="1781"/>
      <c r="H58" s="1781"/>
      <c r="I58" s="1781"/>
      <c r="J58" s="1781"/>
      <c r="K58" s="1781"/>
      <c r="L58" s="1781"/>
      <c r="M58" s="1781"/>
      <c r="N58" s="1781"/>
      <c r="O58" s="1781"/>
      <c r="P58" s="1781"/>
      <c r="Q58" s="1781"/>
      <c r="R58" s="1781"/>
      <c r="S58" s="1781"/>
      <c r="T58" s="1781"/>
      <c r="U58" s="1781"/>
      <c r="V58" s="1781"/>
      <c r="W58" s="1781"/>
      <c r="X58" s="1781"/>
      <c r="Y58" s="1781"/>
      <c r="Z58" s="1781"/>
      <c r="AA58" s="1781"/>
      <c r="AB58" s="1781"/>
      <c r="AC58" s="1781"/>
      <c r="AD58" s="1781"/>
      <c r="AE58" s="1781"/>
      <c r="AF58" s="1781"/>
      <c r="AG58" s="1781"/>
      <c r="AH58" s="1781"/>
      <c r="AI58" s="1781"/>
      <c r="AJ58" s="1781"/>
      <c r="AK58" s="1771"/>
      <c r="AL58" s="1771"/>
      <c r="AM58" s="1771"/>
      <c r="AN58" s="1771"/>
      <c r="AO58" s="1771"/>
      <c r="AP58" s="1771"/>
      <c r="AQ58" s="1771"/>
      <c r="AR58" s="1771"/>
      <c r="AS58" s="1771"/>
      <c r="AT58" s="1771"/>
      <c r="AU58" s="1771"/>
      <c r="AV58" s="1771"/>
      <c r="AW58" s="1771"/>
      <c r="AX58" s="1771"/>
      <c r="AY58" s="1771"/>
      <c r="AZ58" s="1771"/>
      <c r="BA58" s="1771"/>
      <c r="BB58" s="1771"/>
      <c r="BC58" s="1771"/>
      <c r="BD58" s="1771"/>
      <c r="BE58" s="1771"/>
      <c r="BF58" s="1771"/>
      <c r="BG58" s="1771"/>
      <c r="BH58" s="1771"/>
      <c r="BI58" s="1771"/>
      <c r="BJ58" s="1771"/>
      <c r="BK58" s="1771"/>
      <c r="BL58" s="1771"/>
      <c r="BM58" s="1771"/>
      <c r="BN58" s="1771"/>
      <c r="BO58" s="1771"/>
      <c r="BP58" s="1771"/>
      <c r="BQ58" s="1782"/>
      <c r="BR58" s="1782" t="str">
        <f>BR27</f>
        <v>Use this part only if you want to refine the analysis at Tier 2</v>
      </c>
      <c r="BS58" s="1782"/>
      <c r="BT58" s="1782"/>
      <c r="BU58" s="1782"/>
      <c r="BV58" s="1782"/>
      <c r="BW58" s="1782"/>
      <c r="BX58" s="1782"/>
      <c r="BY58" s="1782"/>
      <c r="BZ58" s="1782"/>
      <c r="CA58" s="1782"/>
      <c r="CB58" s="1782"/>
      <c r="CC58" s="1782"/>
      <c r="CD58" s="1782"/>
      <c r="CE58" s="1782"/>
      <c r="CF58" s="1782"/>
      <c r="CG58" s="1782"/>
      <c r="CH58" s="1782"/>
      <c r="CI58" s="1782" t="str">
        <f>CI27</f>
        <v>UNFCCC operating margin</v>
      </c>
      <c r="CJ58" s="1782"/>
      <c r="CK58" s="1782"/>
      <c r="CL58" s="1771"/>
      <c r="CM58" s="1996"/>
      <c r="CN58" s="1996"/>
      <c r="CO58" s="1996"/>
      <c r="CP58" s="1771"/>
      <c r="CQ58" s="1771"/>
      <c r="CR58" s="1771"/>
      <c r="CS58" s="1771"/>
      <c r="CT58" s="1771"/>
      <c r="CU58" s="1771"/>
      <c r="CV58" s="1771"/>
      <c r="CW58" s="1771"/>
      <c r="CX58" s="1771"/>
      <c r="CY58" s="1771"/>
    </row>
    <row r="59" spans="1:103" x14ac:dyDescent="0.2">
      <c r="A59" s="1771"/>
      <c r="B59" s="1781"/>
      <c r="C59" s="1781"/>
      <c r="D59" s="1781"/>
      <c r="E59" s="1781"/>
      <c r="F59" s="1781"/>
      <c r="G59" s="1781"/>
      <c r="H59" s="1781"/>
      <c r="I59" s="1781"/>
      <c r="J59" s="1781"/>
      <c r="K59" s="1781"/>
      <c r="L59" s="1781"/>
      <c r="M59" s="1781"/>
      <c r="N59" s="1781"/>
      <c r="O59" s="1781"/>
      <c r="P59" s="1781"/>
      <c r="Q59" s="1781"/>
      <c r="R59" s="1781"/>
      <c r="S59" s="1781"/>
      <c r="T59" s="1781"/>
      <c r="U59" s="1781"/>
      <c r="V59" s="1781"/>
      <c r="W59" s="1781"/>
      <c r="X59" s="1781"/>
      <c r="Y59" s="1781"/>
      <c r="Z59" s="1781"/>
      <c r="AA59" s="1781"/>
      <c r="AB59" s="1781"/>
      <c r="AC59" s="1781"/>
      <c r="AD59" s="1781"/>
      <c r="AE59" s="1781"/>
      <c r="AF59" s="1781"/>
      <c r="AG59" s="1781"/>
      <c r="AH59" s="1781"/>
      <c r="AI59" s="1781"/>
      <c r="AJ59" s="1781"/>
      <c r="AK59" s="1771"/>
      <c r="AL59" s="1771"/>
      <c r="AM59" s="1771"/>
      <c r="AN59" s="1771"/>
      <c r="AO59" s="1771"/>
      <c r="AP59" s="1771"/>
      <c r="AQ59" s="1771"/>
      <c r="AR59" s="1771"/>
      <c r="AS59" s="1771"/>
      <c r="AT59" s="1771"/>
      <c r="AU59" s="1771"/>
      <c r="AV59" s="1771"/>
      <c r="AW59" s="1771"/>
      <c r="AX59" s="1771"/>
      <c r="AY59" s="1771"/>
      <c r="AZ59" s="1771"/>
      <c r="BA59" s="1771"/>
      <c r="BB59" s="1771"/>
      <c r="BC59" s="1771"/>
      <c r="BD59" s="1771"/>
      <c r="BE59" s="1771"/>
      <c r="BF59" s="1771"/>
      <c r="BG59" s="1771"/>
      <c r="BH59" s="1771"/>
      <c r="BI59" s="1771"/>
      <c r="BJ59" s="1771"/>
      <c r="BK59" s="1771"/>
      <c r="BL59" s="1771"/>
      <c r="BM59" s="1771"/>
      <c r="BN59" s="1771"/>
      <c r="BO59" s="1771"/>
      <c r="BP59" s="1771"/>
      <c r="BQ59" s="1782"/>
      <c r="BR59" s="1782" t="str">
        <f>BR28</f>
        <v>IPCC default values are provided for your information only; EX-ACT will use Tier 2 values automatically wherever specified.</v>
      </c>
      <c r="BS59" s="1782"/>
      <c r="BT59" s="1782"/>
      <c r="BU59" s="1782"/>
      <c r="BV59" s="1782"/>
      <c r="BW59" s="1782"/>
      <c r="BX59" s="1782"/>
      <c r="BY59" s="1782"/>
      <c r="BZ59" s="1782"/>
      <c r="CA59" s="1782"/>
      <c r="CB59" s="1782"/>
      <c r="CC59" s="1782"/>
      <c r="CD59" s="1782"/>
      <c r="CE59" s="1782"/>
      <c r="CF59" s="1782"/>
      <c r="CG59" s="1782"/>
      <c r="CH59" s="1782"/>
      <c r="CI59" s="1782"/>
      <c r="CJ59" s="1782"/>
      <c r="CK59" s="1782"/>
      <c r="CL59" s="1771"/>
      <c r="CM59" s="1996"/>
      <c r="CN59" s="1996"/>
      <c r="CO59" s="1996"/>
      <c r="CP59" s="1771"/>
      <c r="CQ59" s="1771"/>
      <c r="CR59" s="1771"/>
      <c r="CS59" s="1771"/>
      <c r="CT59" s="1771"/>
      <c r="CU59" s="1771"/>
      <c r="CV59" s="1771"/>
      <c r="CW59" s="1771"/>
      <c r="CX59" s="1771"/>
      <c r="CY59" s="1771"/>
    </row>
    <row r="60" spans="1:103" x14ac:dyDescent="0.2">
      <c r="A60" s="1771"/>
      <c r="B60" s="1781"/>
      <c r="C60" s="1781"/>
      <c r="D60" s="1781"/>
      <c r="E60" s="1781"/>
      <c r="F60" s="1781"/>
      <c r="G60" s="1781"/>
      <c r="H60" s="1781"/>
      <c r="I60" s="1781"/>
      <c r="J60" s="1781"/>
      <c r="K60" s="1781"/>
      <c r="L60" s="1781"/>
      <c r="M60" s="1781"/>
      <c r="N60" s="1781"/>
      <c r="O60" s="1781"/>
      <c r="P60" s="1781"/>
      <c r="Q60" s="1781"/>
      <c r="R60" s="1781"/>
      <c r="S60" s="1781"/>
      <c r="T60" s="1781"/>
      <c r="U60" s="1781"/>
      <c r="V60" s="1781"/>
      <c r="W60" s="1781"/>
      <c r="X60" s="1781"/>
      <c r="Y60" s="1781"/>
      <c r="Z60" s="1781"/>
      <c r="AA60" s="1781"/>
      <c r="AB60" s="1781"/>
      <c r="AC60" s="1781"/>
      <c r="AD60" s="1781"/>
      <c r="AE60" s="1781"/>
      <c r="AF60" s="1781"/>
      <c r="AG60" s="1781"/>
      <c r="AH60" s="1781"/>
      <c r="AI60" s="1781"/>
      <c r="AJ60" s="1781"/>
      <c r="AK60" s="1771"/>
      <c r="AL60" s="1771"/>
      <c r="AM60" s="1771"/>
      <c r="AN60" s="1771"/>
      <c r="AO60" s="1771"/>
      <c r="AP60" s="1771"/>
      <c r="AQ60" s="1771"/>
      <c r="AR60" s="1771"/>
      <c r="AS60" s="1771"/>
      <c r="AT60" s="1771"/>
      <c r="AU60" s="1771"/>
      <c r="AV60" s="1771"/>
      <c r="AW60" s="1771"/>
      <c r="AX60" s="1771"/>
      <c r="AY60" s="1771"/>
      <c r="AZ60" s="1771"/>
      <c r="BA60" s="1771"/>
      <c r="BB60" s="1771"/>
      <c r="BC60" s="1771"/>
      <c r="BD60" s="1771"/>
      <c r="BE60" s="1771"/>
      <c r="BF60" s="1771"/>
      <c r="BG60" s="1771"/>
      <c r="BH60" s="1771"/>
      <c r="BI60" s="1771"/>
      <c r="BJ60" s="1771"/>
      <c r="BK60" s="1771"/>
      <c r="BL60" s="1771"/>
      <c r="BM60" s="1771"/>
      <c r="BN60" s="1771"/>
      <c r="BO60" s="1771"/>
      <c r="BP60" s="1771"/>
      <c r="BQ60" s="1771"/>
      <c r="BR60" s="1771"/>
      <c r="BS60" s="1771"/>
      <c r="BT60" s="1771"/>
      <c r="BU60" s="1771"/>
      <c r="BV60" s="1771"/>
      <c r="BW60" s="1771"/>
      <c r="BX60" s="1771"/>
      <c r="BY60" s="1771"/>
      <c r="BZ60" s="1771"/>
      <c r="CA60" s="1771"/>
      <c r="CB60" s="1771"/>
      <c r="CC60" s="1771"/>
      <c r="CD60" s="1771"/>
      <c r="CE60" s="1771"/>
      <c r="CF60" s="1771"/>
      <c r="CG60" s="1771"/>
      <c r="CH60" s="1771"/>
      <c r="CI60" s="1771"/>
      <c r="CJ60" s="1771"/>
      <c r="CK60" s="1771"/>
      <c r="CL60" s="1771"/>
      <c r="CM60" s="1771"/>
      <c r="CN60" s="1771"/>
      <c r="CO60" s="1771"/>
      <c r="CP60" s="1771"/>
      <c r="CQ60" s="1771"/>
      <c r="CR60" s="1771"/>
      <c r="CS60" s="1771"/>
      <c r="CT60" s="1771"/>
      <c r="CU60" s="1771"/>
      <c r="CV60" s="1771"/>
      <c r="CW60" s="1771"/>
      <c r="CX60" s="1771"/>
      <c r="CY60" s="1771"/>
    </row>
    <row r="61" spans="1:103" x14ac:dyDescent="0.2">
      <c r="A61" s="1771"/>
      <c r="B61" s="1781"/>
      <c r="C61" s="1781"/>
      <c r="D61" s="1781"/>
      <c r="E61" s="1781"/>
      <c r="F61" s="1781"/>
      <c r="G61" s="1781"/>
      <c r="H61" s="1781"/>
      <c r="I61" s="1781"/>
      <c r="J61" s="1781"/>
      <c r="K61" s="1781"/>
      <c r="L61" s="1781"/>
      <c r="M61" s="1781"/>
      <c r="N61" s="1781"/>
      <c r="O61" s="1781"/>
      <c r="P61" s="1781"/>
      <c r="Q61" s="1781"/>
      <c r="R61" s="1781"/>
      <c r="S61" s="1781"/>
      <c r="T61" s="1781"/>
      <c r="U61" s="1781"/>
      <c r="V61" s="1853"/>
      <c r="W61" s="1853"/>
      <c r="X61" s="1853"/>
      <c r="Y61" s="1853"/>
      <c r="Z61" s="1853"/>
      <c r="AA61" s="1853"/>
      <c r="AB61" s="2018" t="str">
        <f>Languages!B591</f>
        <v>Total for large scale fisheries (tCO2-e)</v>
      </c>
      <c r="AC61" s="2018"/>
      <c r="AD61" s="1853"/>
      <c r="AE61" s="2035">
        <f>SUM(AE44:AE49,AE53,AE57)</f>
        <v>0</v>
      </c>
      <c r="AF61" s="2036"/>
      <c r="AG61" s="2035">
        <f>SUM(AG44:AG49,AG53,AG57)</f>
        <v>0</v>
      </c>
      <c r="AH61" s="2036"/>
      <c r="AI61" s="2036">
        <f>SUM(AI44:AI49,AI53,AI57)</f>
        <v>0</v>
      </c>
      <c r="AJ61" s="1781"/>
      <c r="AK61" s="1771"/>
      <c r="AL61" s="1771"/>
      <c r="AM61" s="1771"/>
      <c r="AN61" s="1771"/>
      <c r="AO61" s="1771"/>
      <c r="AP61" s="1771"/>
      <c r="AQ61" s="1771"/>
      <c r="AR61" s="1771"/>
      <c r="AS61" s="1771"/>
      <c r="AT61" s="1771"/>
      <c r="AU61" s="1771"/>
      <c r="AV61" s="1771"/>
      <c r="AW61" s="1771"/>
      <c r="AX61" s="1771"/>
      <c r="AY61" s="1771"/>
      <c r="AZ61" s="1771"/>
      <c r="BA61" s="1771"/>
      <c r="BB61" s="1771"/>
      <c r="BC61" s="1771"/>
      <c r="BD61" s="1771"/>
      <c r="BE61" s="1771"/>
      <c r="BF61" s="1771"/>
      <c r="BG61" s="1771"/>
      <c r="BH61" s="1771"/>
      <c r="BI61" s="1771"/>
      <c r="BJ61" s="1771"/>
      <c r="BK61" s="1771"/>
      <c r="BL61" s="1771"/>
      <c r="BM61" s="1771"/>
      <c r="BN61" s="1771"/>
      <c r="BO61" s="1771"/>
      <c r="BP61" s="1771"/>
      <c r="BQ61" s="1771"/>
      <c r="BR61" s="1771"/>
      <c r="BS61" s="1771"/>
      <c r="BT61" s="1771"/>
      <c r="BU61" s="1771"/>
      <c r="BV61" s="1771"/>
      <c r="BW61" s="1771"/>
      <c r="BX61" s="1771"/>
      <c r="BY61" s="1771"/>
      <c r="BZ61" s="1771"/>
      <c r="CA61" s="1771"/>
      <c r="CB61" s="1771"/>
      <c r="CC61" s="1771"/>
      <c r="CD61" s="1771"/>
      <c r="CE61" s="1771"/>
      <c r="CF61" s="1771"/>
      <c r="CG61" s="1771"/>
      <c r="CH61" s="1771"/>
      <c r="CI61" s="1771"/>
      <c r="CJ61" s="1771"/>
      <c r="CK61" s="1771"/>
      <c r="CL61" s="1771"/>
      <c r="CM61" s="1771"/>
      <c r="CN61" s="1771"/>
      <c r="CO61" s="1771"/>
      <c r="CP61" s="1771"/>
      <c r="CQ61" s="1771"/>
      <c r="CR61" s="1771"/>
      <c r="CS61" s="1771"/>
      <c r="CT61" s="1771"/>
      <c r="CU61" s="1771"/>
      <c r="CV61" s="1771"/>
      <c r="CW61" s="1771"/>
      <c r="CX61" s="1771"/>
      <c r="CY61" s="1771"/>
    </row>
    <row r="62" spans="1:103" x14ac:dyDescent="0.2">
      <c r="A62" s="1771"/>
      <c r="B62" s="1781"/>
      <c r="C62" s="1781"/>
      <c r="D62" s="1781"/>
      <c r="E62" s="1781"/>
      <c r="F62" s="1781"/>
      <c r="G62" s="1781"/>
      <c r="H62" s="1781"/>
      <c r="I62" s="1781"/>
      <c r="J62" s="1781"/>
      <c r="K62" s="1781"/>
      <c r="L62" s="1781"/>
      <c r="M62" s="1781"/>
      <c r="N62" s="1781"/>
      <c r="O62" s="1781"/>
      <c r="P62" s="1781"/>
      <c r="Q62" s="1781"/>
      <c r="R62" s="1781"/>
      <c r="S62" s="1781"/>
      <c r="T62" s="1781"/>
      <c r="U62" s="1781"/>
      <c r="V62" s="1781"/>
      <c r="W62" s="1781"/>
      <c r="X62" s="1781"/>
      <c r="Y62" s="1781"/>
      <c r="Z62" s="1781"/>
      <c r="AA62" s="1781"/>
      <c r="AB62" s="1781"/>
      <c r="AC62" s="1781"/>
      <c r="AD62" s="1781"/>
      <c r="AE62" s="1781"/>
      <c r="AF62" s="1781"/>
      <c r="AG62" s="1781"/>
      <c r="AH62" s="1781"/>
      <c r="AI62" s="1781"/>
      <c r="AJ62" s="1781"/>
      <c r="AK62" s="1771"/>
      <c r="AL62" s="1771"/>
      <c r="AM62" s="1771"/>
      <c r="AN62" s="1771"/>
      <c r="AO62" s="1771"/>
      <c r="AP62" s="1771"/>
      <c r="AQ62" s="1771"/>
      <c r="AR62" s="1771"/>
      <c r="AS62" s="1771"/>
      <c r="AT62" s="1771"/>
      <c r="AU62" s="1771"/>
      <c r="AV62" s="1771"/>
      <c r="AW62" s="1771"/>
      <c r="AX62" s="1771"/>
      <c r="AY62" s="1771"/>
      <c r="AZ62" s="1771"/>
      <c r="BA62" s="1771"/>
      <c r="BB62" s="1771"/>
      <c r="BC62" s="1771"/>
      <c r="BD62" s="1771"/>
      <c r="BE62" s="1771"/>
      <c r="BF62" s="1771"/>
      <c r="BG62" s="1771"/>
      <c r="BH62" s="1771"/>
      <c r="BI62" s="1771"/>
      <c r="BJ62" s="1771"/>
      <c r="BK62" s="1771"/>
      <c r="BL62" s="1771"/>
      <c r="BM62" s="1771"/>
      <c r="BN62" s="1771"/>
      <c r="BO62" s="1771"/>
      <c r="BP62" s="1771"/>
      <c r="BQ62" s="1771"/>
      <c r="BR62" s="1771"/>
      <c r="BS62" s="1771"/>
      <c r="BT62" s="1771"/>
      <c r="BU62" s="1771"/>
      <c r="BV62" s="1771"/>
      <c r="BW62" s="1771"/>
      <c r="BX62" s="1771"/>
      <c r="BY62" s="1771"/>
      <c r="BZ62" s="1771"/>
      <c r="CA62" s="1771"/>
      <c r="CB62" s="1771"/>
      <c r="CC62" s="1771"/>
      <c r="CD62" s="1771"/>
      <c r="CE62" s="1771"/>
      <c r="CF62" s="1771"/>
      <c r="CG62" s="1771"/>
      <c r="CH62" s="1771"/>
      <c r="CI62" s="1771"/>
      <c r="CJ62" s="1771"/>
      <c r="CK62" s="1771"/>
      <c r="CL62" s="1771"/>
      <c r="CM62" s="1771"/>
      <c r="CN62" s="1771"/>
      <c r="CO62" s="1771"/>
      <c r="CP62" s="1771"/>
      <c r="CQ62" s="1771"/>
      <c r="CR62" s="1771"/>
      <c r="CS62" s="1771"/>
      <c r="CT62" s="1771"/>
      <c r="CU62" s="1771"/>
      <c r="CV62" s="1771"/>
      <c r="CW62" s="1771"/>
      <c r="CX62" s="1771"/>
      <c r="CY62" s="1771"/>
    </row>
    <row r="63" spans="1:103" x14ac:dyDescent="0.2">
      <c r="A63" s="1771"/>
      <c r="B63" s="1781"/>
      <c r="C63" s="1820" t="str">
        <f>C32</f>
        <v>*The selection of "D" corresponds to a default (linear) dynamics of change. Other selection options include "I" for immediate changes and "E" for exponential - please refer to the guidelines for further explanation of these assumptions.</v>
      </c>
      <c r="D63" s="1781"/>
      <c r="E63" s="1781"/>
      <c r="F63" s="1781"/>
      <c r="G63" s="1781"/>
      <c r="H63" s="1781"/>
      <c r="I63" s="1781"/>
      <c r="J63" s="1781"/>
      <c r="K63" s="1781"/>
      <c r="L63" s="1781"/>
      <c r="M63" s="1781"/>
      <c r="N63" s="1781"/>
      <c r="O63" s="1781"/>
      <c r="P63" s="1781"/>
      <c r="Q63" s="1781"/>
      <c r="R63" s="1781"/>
      <c r="S63" s="1781"/>
      <c r="T63" s="1781"/>
      <c r="U63" s="1781"/>
      <c r="V63" s="1781"/>
      <c r="W63" s="1781"/>
      <c r="X63" s="1781"/>
      <c r="Y63" s="1781"/>
      <c r="Z63" s="1781"/>
      <c r="AA63" s="1781"/>
      <c r="AB63" s="1781"/>
      <c r="AC63" s="1781"/>
      <c r="AD63" s="1781"/>
      <c r="AE63" s="1781"/>
      <c r="AF63" s="1781"/>
      <c r="AG63" s="1781"/>
      <c r="AH63" s="1781"/>
      <c r="AI63" s="1781"/>
      <c r="AJ63" s="1781"/>
      <c r="AK63" s="1771"/>
      <c r="AL63" s="1771"/>
      <c r="AM63" s="1771"/>
      <c r="AN63" s="1771"/>
      <c r="AO63" s="1771"/>
      <c r="AP63" s="1771"/>
      <c r="AQ63" s="1771"/>
      <c r="AR63" s="1771"/>
      <c r="AS63" s="1771"/>
      <c r="AT63" s="1771"/>
      <c r="AU63" s="1771"/>
      <c r="AV63" s="1771"/>
      <c r="AW63" s="1771"/>
      <c r="AX63" s="1771"/>
      <c r="AY63" s="1771"/>
      <c r="AZ63" s="1771"/>
      <c r="BA63" s="1771"/>
      <c r="BB63" s="1771"/>
      <c r="BC63" s="1771"/>
      <c r="BD63" s="1771"/>
      <c r="BE63" s="1771"/>
      <c r="BF63" s="1771"/>
      <c r="BG63" s="1771"/>
      <c r="BH63" s="1771"/>
      <c r="BI63" s="1771"/>
      <c r="BJ63" s="1771"/>
      <c r="BK63" s="1771"/>
      <c r="BL63" s="1771"/>
      <c r="BM63" s="1771"/>
      <c r="BN63" s="1771"/>
      <c r="BO63" s="1771"/>
      <c r="BP63" s="1771"/>
      <c r="BQ63" s="1771"/>
      <c r="BR63" s="1771"/>
      <c r="BS63" s="1771"/>
      <c r="BT63" s="1771"/>
      <c r="BU63" s="1771"/>
      <c r="BV63" s="1771"/>
      <c r="BW63" s="1771"/>
      <c r="BX63" s="1771"/>
      <c r="BY63" s="1771"/>
      <c r="BZ63" s="1771"/>
      <c r="CA63" s="1771"/>
      <c r="CB63" s="1771"/>
      <c r="CC63" s="1771"/>
      <c r="CD63" s="1771"/>
      <c r="CE63" s="1771"/>
      <c r="CF63" s="1771"/>
      <c r="CG63" s="1771"/>
      <c r="CH63" s="1771"/>
      <c r="CI63" s="1771"/>
      <c r="CJ63" s="1771"/>
      <c r="CK63" s="1771"/>
      <c r="CL63" s="1771"/>
      <c r="CM63" s="1771"/>
      <c r="CN63" s="1771"/>
      <c r="CO63" s="1771"/>
      <c r="CP63" s="1771"/>
      <c r="CQ63" s="1771"/>
      <c r="CR63" s="1771"/>
      <c r="CS63" s="1771"/>
      <c r="CT63" s="1771"/>
      <c r="CU63" s="1771"/>
      <c r="CV63" s="1771"/>
      <c r="CW63" s="1771"/>
      <c r="CX63" s="1771"/>
      <c r="CY63" s="1771"/>
    </row>
    <row r="64" spans="1:103" x14ac:dyDescent="0.2">
      <c r="A64" s="1771"/>
      <c r="B64" s="1781"/>
      <c r="C64" s="1781"/>
      <c r="D64" s="1781"/>
      <c r="E64" s="1781"/>
      <c r="F64" s="1781"/>
      <c r="G64" s="1781"/>
      <c r="H64" s="1781"/>
      <c r="I64" s="1781"/>
      <c r="J64" s="1781"/>
      <c r="K64" s="1781"/>
      <c r="L64" s="1781"/>
      <c r="M64" s="1781"/>
      <c r="N64" s="1781"/>
      <c r="O64" s="1781"/>
      <c r="P64" s="1781"/>
      <c r="Q64" s="1781"/>
      <c r="R64" s="1781"/>
      <c r="S64" s="1781"/>
      <c r="T64" s="1781"/>
      <c r="U64" s="1781"/>
      <c r="V64" s="1781"/>
      <c r="W64" s="1781"/>
      <c r="X64" s="1781"/>
      <c r="Y64" s="1781"/>
      <c r="Z64" s="1781"/>
      <c r="AA64" s="1781"/>
      <c r="AB64" s="1781"/>
      <c r="AC64" s="1781"/>
      <c r="AD64" s="1781"/>
      <c r="AE64" s="1781"/>
      <c r="AF64" s="1781"/>
      <c r="AG64" s="1781"/>
      <c r="AH64" s="1781"/>
      <c r="AI64" s="1781"/>
      <c r="AJ64" s="1781"/>
      <c r="AK64" s="1771"/>
      <c r="AL64" s="1771"/>
      <c r="AM64" s="1771"/>
      <c r="AN64" s="1771"/>
      <c r="AO64" s="1771"/>
      <c r="AP64" s="1771"/>
      <c r="AQ64" s="1771"/>
      <c r="AR64" s="1771"/>
      <c r="AS64" s="1771"/>
      <c r="AT64" s="1771"/>
      <c r="AU64" s="1771"/>
      <c r="AV64" s="1771"/>
      <c r="AW64" s="1771"/>
      <c r="AX64" s="1771"/>
      <c r="AY64" s="1771"/>
      <c r="AZ64" s="1771"/>
      <c r="BA64" s="1771"/>
      <c r="BB64" s="1771"/>
      <c r="BC64" s="1771"/>
      <c r="BD64" s="1771"/>
      <c r="BE64" s="1771"/>
      <c r="BF64" s="1771"/>
      <c r="BG64" s="1771"/>
      <c r="BH64" s="1771"/>
      <c r="BI64" s="1771"/>
      <c r="BJ64" s="1771"/>
      <c r="BK64" s="1771"/>
      <c r="BL64" s="1771"/>
      <c r="BM64" s="1771"/>
      <c r="BN64" s="1771"/>
      <c r="BO64" s="1771"/>
      <c r="BP64" s="1771"/>
      <c r="BQ64" s="1771"/>
      <c r="BR64" s="1771"/>
      <c r="BS64" s="1771"/>
      <c r="BT64" s="1771"/>
      <c r="BU64" s="1771"/>
      <c r="BV64" s="1771"/>
      <c r="BW64" s="1771"/>
      <c r="BX64" s="1771"/>
      <c r="BY64" s="1771"/>
      <c r="BZ64" s="1771"/>
      <c r="CA64" s="1771"/>
      <c r="CB64" s="1771"/>
      <c r="CC64" s="1771"/>
      <c r="CD64" s="1771"/>
      <c r="CE64" s="1771"/>
      <c r="CF64" s="1771"/>
      <c r="CG64" s="1771"/>
      <c r="CH64" s="1771"/>
      <c r="CI64" s="1771"/>
      <c r="CJ64" s="1771"/>
      <c r="CK64" s="1771"/>
      <c r="CL64" s="1771"/>
      <c r="CM64" s="1771"/>
      <c r="CN64" s="1771"/>
      <c r="CO64" s="1771"/>
      <c r="CP64" s="1771"/>
      <c r="CQ64" s="1771"/>
      <c r="CR64" s="1771"/>
      <c r="CS64" s="1771"/>
      <c r="CT64" s="1771"/>
      <c r="CU64" s="1771"/>
      <c r="CV64" s="1771"/>
      <c r="CW64" s="1771"/>
      <c r="CX64" s="1771"/>
      <c r="CY64" s="1771"/>
    </row>
    <row r="65" spans="1:103" x14ac:dyDescent="0.2">
      <c r="A65" s="1771"/>
      <c r="B65" s="1771"/>
      <c r="C65" s="1771"/>
      <c r="D65" s="1771"/>
      <c r="E65" s="1771"/>
      <c r="F65" s="1771"/>
      <c r="G65" s="1771"/>
      <c r="H65" s="1771"/>
      <c r="I65" s="1771"/>
      <c r="J65" s="1771"/>
      <c r="K65" s="1771"/>
      <c r="L65" s="1771"/>
      <c r="M65" s="1771"/>
      <c r="N65" s="1771"/>
      <c r="O65" s="1771"/>
      <c r="P65" s="1771"/>
      <c r="Q65" s="1771"/>
      <c r="R65" s="1771"/>
      <c r="S65" s="1771"/>
      <c r="T65" s="1771"/>
      <c r="U65" s="1771"/>
      <c r="V65" s="1771"/>
      <c r="W65" s="1771"/>
      <c r="X65" s="1771"/>
      <c r="Y65" s="1771"/>
      <c r="Z65" s="1771"/>
      <c r="AA65" s="1771"/>
      <c r="AB65" s="1771"/>
      <c r="AC65" s="1771"/>
      <c r="AD65" s="1771"/>
      <c r="AE65" s="1771"/>
      <c r="AF65" s="1771"/>
      <c r="AG65" s="1771"/>
      <c r="AH65" s="1771"/>
      <c r="AI65" s="1771"/>
      <c r="AJ65" s="1771"/>
      <c r="AK65" s="1771"/>
      <c r="AL65" s="1771"/>
      <c r="AM65" s="1771"/>
      <c r="AN65" s="1771"/>
      <c r="AO65" s="1771"/>
      <c r="AP65" s="1771"/>
      <c r="AQ65" s="1771"/>
      <c r="AR65" s="1771"/>
      <c r="AS65" s="1771"/>
      <c r="AT65" s="1771"/>
      <c r="AU65" s="1771"/>
      <c r="AV65" s="1771"/>
      <c r="AW65" s="1771"/>
      <c r="AX65" s="1771"/>
      <c r="AY65" s="1771"/>
      <c r="AZ65" s="1771"/>
      <c r="BA65" s="1771"/>
      <c r="BB65" s="1771"/>
      <c r="BC65" s="1771"/>
      <c r="BD65" s="1771"/>
      <c r="BE65" s="1771"/>
      <c r="BF65" s="1771"/>
      <c r="BG65" s="1771"/>
      <c r="BH65" s="1771"/>
      <c r="BI65" s="1771"/>
      <c r="BJ65" s="1771"/>
      <c r="BK65" s="1771"/>
      <c r="BL65" s="1771"/>
      <c r="BM65" s="1771"/>
      <c r="BN65" s="1771"/>
      <c r="BO65" s="1771"/>
      <c r="BP65" s="1771"/>
      <c r="BQ65" s="1771"/>
      <c r="BR65" s="1771"/>
      <c r="BS65" s="1771"/>
      <c r="BT65" s="1771"/>
      <c r="BU65" s="1771"/>
      <c r="BV65" s="1771"/>
      <c r="BW65" s="1771"/>
      <c r="BX65" s="1771"/>
      <c r="BY65" s="1771"/>
      <c r="BZ65" s="1771"/>
      <c r="CA65" s="1771"/>
      <c r="CB65" s="1771"/>
      <c r="CC65" s="1771"/>
      <c r="CD65" s="1771"/>
      <c r="CE65" s="1771"/>
      <c r="CF65" s="1771"/>
      <c r="CG65" s="1771"/>
      <c r="CH65" s="1771"/>
      <c r="CI65" s="1771"/>
      <c r="CJ65" s="1771"/>
      <c r="CK65" s="1771"/>
      <c r="CL65" s="1771"/>
      <c r="CM65" s="1771"/>
      <c r="CN65" s="1771"/>
      <c r="CO65" s="1771"/>
      <c r="CP65" s="1771"/>
      <c r="CQ65" s="1771"/>
      <c r="CR65" s="1771"/>
      <c r="CS65" s="1771"/>
      <c r="CT65" s="1771"/>
      <c r="CU65" s="1771"/>
      <c r="CV65" s="1771"/>
      <c r="CW65" s="1771"/>
      <c r="CX65" s="1771"/>
      <c r="CY65" s="1771"/>
    </row>
    <row r="66" spans="1:103" x14ac:dyDescent="0.2">
      <c r="A66" s="1771"/>
      <c r="B66" s="1771"/>
      <c r="C66" s="1771"/>
      <c r="D66" s="1771"/>
      <c r="E66" s="1771"/>
      <c r="F66" s="1771"/>
      <c r="G66" s="1771"/>
      <c r="H66" s="1771"/>
      <c r="I66" s="1771"/>
      <c r="J66" s="1771"/>
      <c r="K66" s="1771"/>
      <c r="L66" s="1771"/>
      <c r="M66" s="1771"/>
      <c r="N66" s="1771"/>
      <c r="O66" s="1771"/>
      <c r="P66" s="1771"/>
      <c r="Q66" s="1771"/>
      <c r="R66" s="1771"/>
      <c r="S66" s="1771"/>
      <c r="T66" s="1771"/>
      <c r="U66" s="1771"/>
      <c r="V66" s="1771"/>
      <c r="W66" s="1771"/>
      <c r="X66" s="1771"/>
      <c r="Y66" s="1771"/>
      <c r="Z66" s="1771"/>
      <c r="AA66" s="1771"/>
      <c r="AB66" s="1771"/>
      <c r="AC66" s="1771"/>
      <c r="AD66" s="1771"/>
      <c r="AE66" s="1771"/>
      <c r="AF66" s="1771"/>
      <c r="AG66" s="1771"/>
      <c r="AH66" s="1771"/>
      <c r="AI66" s="1771"/>
      <c r="AJ66" s="1771"/>
      <c r="AK66" s="1771"/>
      <c r="AL66" s="1771"/>
      <c r="AM66" s="1771"/>
      <c r="AN66" s="1771"/>
      <c r="AO66" s="1771"/>
      <c r="AP66" s="1771"/>
      <c r="AQ66" s="1771"/>
      <c r="AR66" s="1771"/>
      <c r="AS66" s="1771"/>
      <c r="AT66" s="1771"/>
      <c r="AU66" s="1771"/>
      <c r="AV66" s="1771"/>
      <c r="AW66" s="1771"/>
      <c r="AX66" s="1771"/>
      <c r="AY66" s="1771"/>
      <c r="AZ66" s="1771"/>
      <c r="BA66" s="1771"/>
      <c r="BB66" s="1771"/>
      <c r="BC66" s="1771"/>
      <c r="BD66" s="1771"/>
      <c r="BE66" s="1771"/>
      <c r="BF66" s="1771"/>
      <c r="BG66" s="1771"/>
      <c r="BH66" s="1771"/>
      <c r="BI66" s="1771"/>
      <c r="BJ66" s="1771"/>
      <c r="BK66" s="1771"/>
      <c r="BL66" s="1771"/>
      <c r="BM66" s="1771"/>
      <c r="BN66" s="1771"/>
      <c r="BO66" s="1771"/>
      <c r="BP66" s="1771"/>
      <c r="BQ66" s="1771"/>
      <c r="BR66" s="1771"/>
      <c r="BS66" s="1771"/>
      <c r="BT66" s="1771"/>
      <c r="BU66" s="1771"/>
      <c r="BV66" s="1771"/>
      <c r="BW66" s="1771"/>
      <c r="BX66" s="1771"/>
      <c r="BY66" s="1771"/>
      <c r="BZ66" s="1771"/>
      <c r="CA66" s="1771"/>
      <c r="CB66" s="1771"/>
      <c r="CC66" s="1771"/>
      <c r="CD66" s="1771"/>
      <c r="CE66" s="1771"/>
      <c r="CF66" s="1771"/>
      <c r="CG66" s="1771"/>
      <c r="CH66" s="1771"/>
      <c r="CI66" s="1771"/>
      <c r="CJ66" s="1771"/>
      <c r="CK66" s="1771"/>
      <c r="CL66" s="1771"/>
      <c r="CM66" s="1771"/>
      <c r="CN66" s="1771"/>
      <c r="CO66" s="1771"/>
      <c r="CP66" s="1771"/>
      <c r="CQ66" s="1771"/>
      <c r="CR66" s="1771"/>
      <c r="CS66" s="1771"/>
      <c r="CT66" s="1771"/>
      <c r="CU66" s="1771"/>
      <c r="CV66" s="1771"/>
      <c r="CW66" s="1771"/>
      <c r="CX66" s="1771"/>
      <c r="CY66" s="1771"/>
    </row>
    <row r="67" spans="1:103" ht="47.25" customHeight="1" x14ac:dyDescent="0.2">
      <c r="A67" s="1771"/>
      <c r="B67" s="1767"/>
      <c r="C67" s="2168" t="str">
        <f>Languages!B571</f>
        <v>8.3. Inland and coastal aquaculture</v>
      </c>
      <c r="D67" s="2168"/>
      <c r="E67" s="2053"/>
      <c r="F67" s="1769"/>
      <c r="G67" s="1769"/>
      <c r="H67" s="1769"/>
      <c r="I67" s="1769"/>
      <c r="J67" s="1769"/>
      <c r="K67" s="1769"/>
      <c r="L67" s="1769"/>
      <c r="M67" s="1769"/>
      <c r="N67" s="1769"/>
      <c r="O67" s="1769"/>
      <c r="P67" s="1769"/>
      <c r="Q67" s="1769"/>
      <c r="R67" s="1769"/>
      <c r="S67" s="1769"/>
      <c r="T67" s="1769"/>
      <c r="U67" s="1769"/>
      <c r="V67" s="1769"/>
      <c r="W67" s="1769"/>
      <c r="X67" s="1769"/>
      <c r="Y67" s="1769"/>
      <c r="Z67" s="1769"/>
      <c r="AA67" s="1769"/>
      <c r="AB67" s="1769"/>
      <c r="AC67" s="1769"/>
      <c r="AD67" s="1769"/>
      <c r="AE67" s="1769"/>
      <c r="AF67" s="1767"/>
      <c r="AG67" s="1978" t="str">
        <f>AG6</f>
        <v>If country-specific data are available, please go to Tier 2:</v>
      </c>
      <c r="AH67" s="1769"/>
      <c r="AI67" s="1769"/>
      <c r="AJ67" s="1769"/>
      <c r="AK67" s="1771"/>
      <c r="AL67" s="1771"/>
      <c r="AM67" s="1771"/>
      <c r="AN67" s="1771"/>
      <c r="AO67" s="1771"/>
      <c r="AP67" s="1771"/>
      <c r="AQ67" s="1771"/>
      <c r="AR67" s="1771"/>
      <c r="AS67" s="1771"/>
      <c r="AT67" s="1771"/>
      <c r="AU67" s="1771"/>
      <c r="AV67" s="1771"/>
      <c r="AW67" s="1771"/>
      <c r="AX67" s="1771"/>
      <c r="AY67" s="1771"/>
      <c r="AZ67" s="1771"/>
      <c r="BA67" s="1771"/>
      <c r="BB67" s="1771"/>
      <c r="BC67" s="1771"/>
      <c r="BD67" s="1771"/>
      <c r="BE67" s="1771"/>
      <c r="BF67" s="1771"/>
      <c r="BG67" s="1771"/>
      <c r="BH67" s="1771"/>
      <c r="BI67" s="1771"/>
      <c r="BJ67" s="1771"/>
      <c r="BK67" s="1771"/>
      <c r="BL67" s="1771"/>
      <c r="BM67" s="1771"/>
      <c r="BN67" s="1771"/>
      <c r="BO67" s="1771"/>
      <c r="BP67" s="1771"/>
      <c r="BQ67" s="4212"/>
      <c r="BR67" s="4213" t="str">
        <f>C67</f>
        <v>8.3. Inland and coastal aquaculture</v>
      </c>
      <c r="BS67" s="2168"/>
      <c r="BT67" s="2168"/>
      <c r="BU67" s="2168"/>
      <c r="BV67" s="2168"/>
      <c r="BW67" s="2168"/>
      <c r="BX67" s="2168"/>
      <c r="BY67" s="2168"/>
      <c r="BZ67" s="2168"/>
      <c r="CA67" s="2168"/>
      <c r="CB67" s="2168"/>
      <c r="CC67" s="2168"/>
      <c r="CD67" s="2168"/>
      <c r="CE67" s="2168"/>
      <c r="CF67" s="2168"/>
      <c r="CG67" s="2168"/>
      <c r="CH67" s="2168"/>
      <c r="CI67" s="2168"/>
      <c r="CJ67" s="2168"/>
      <c r="CK67" s="2168"/>
      <c r="CL67" s="1771"/>
      <c r="CM67" s="4366" t="s">
        <v>71</v>
      </c>
      <c r="CN67" s="4366"/>
      <c r="CO67" s="4366"/>
      <c r="CP67" s="1771"/>
      <c r="CQ67" s="1771"/>
      <c r="CR67" s="1771"/>
      <c r="CS67" s="1771"/>
      <c r="CT67" s="1771"/>
      <c r="CU67" s="1771"/>
      <c r="CV67" s="1771"/>
      <c r="CW67" s="1771"/>
      <c r="CX67" s="1771"/>
      <c r="CY67" s="1771"/>
    </row>
    <row r="68" spans="1:103" x14ac:dyDescent="0.2">
      <c r="A68" s="1771"/>
      <c r="B68" s="1771"/>
      <c r="C68" s="1771"/>
      <c r="D68" s="1771"/>
      <c r="E68" s="1771"/>
      <c r="F68" s="1771"/>
      <c r="G68" s="1771"/>
      <c r="H68" s="1771"/>
      <c r="I68" s="1771"/>
      <c r="J68" s="1771"/>
      <c r="K68" s="1771"/>
      <c r="L68" s="1771"/>
      <c r="M68" s="1771"/>
      <c r="N68" s="1771"/>
      <c r="O68" s="1771"/>
      <c r="P68" s="1771"/>
      <c r="Q68" s="1771"/>
      <c r="R68" s="1771"/>
      <c r="S68" s="1771"/>
      <c r="T68" s="1771"/>
      <c r="U68" s="1771"/>
      <c r="V68" s="1771"/>
      <c r="W68" s="1771"/>
      <c r="X68" s="1771"/>
      <c r="Y68" s="1771"/>
      <c r="Z68" s="1771"/>
      <c r="AA68" s="1771"/>
      <c r="AB68" s="1771"/>
      <c r="AC68" s="1771"/>
      <c r="AD68" s="1771"/>
      <c r="AE68" s="1771"/>
      <c r="AF68" s="1771"/>
      <c r="AG68" s="1771"/>
      <c r="AH68" s="1771"/>
      <c r="AI68" s="1771"/>
      <c r="AJ68" s="1771"/>
      <c r="AK68" s="1771"/>
      <c r="AL68" s="1771"/>
      <c r="AM68" s="1771"/>
      <c r="AN68" s="1771"/>
      <c r="AO68" s="1771"/>
      <c r="AP68" s="1771"/>
      <c r="AQ68" s="1771"/>
      <c r="AR68" s="1771"/>
      <c r="AS68" s="1771"/>
      <c r="AT68" s="1771"/>
      <c r="AU68" s="1771"/>
      <c r="AV68" s="1771"/>
      <c r="AW68" s="1771"/>
      <c r="AX68" s="1771"/>
      <c r="AY68" s="1771"/>
      <c r="AZ68" s="1771"/>
      <c r="BA68" s="1771"/>
      <c r="BB68" s="1771"/>
      <c r="BC68" s="1771"/>
      <c r="BD68" s="1771"/>
      <c r="BE68" s="1771"/>
      <c r="BF68" s="1771"/>
      <c r="BG68" s="1771"/>
      <c r="BH68" s="1771"/>
      <c r="BI68" s="1771"/>
      <c r="BJ68" s="1771"/>
      <c r="BK68" s="1771"/>
      <c r="BL68" s="1771"/>
      <c r="BM68" s="1771"/>
      <c r="BN68" s="1771"/>
      <c r="BO68" s="1771"/>
      <c r="BP68" s="1771"/>
      <c r="BQ68" s="1782"/>
      <c r="BR68" s="1782"/>
      <c r="BS68" s="1782"/>
      <c r="BT68" s="1782"/>
      <c r="BU68" s="1782"/>
      <c r="BV68" s="1782"/>
      <c r="BW68" s="1782"/>
      <c r="BX68" s="1782"/>
      <c r="BY68" s="1782"/>
      <c r="BZ68" s="1782"/>
      <c r="CA68" s="1782"/>
      <c r="CB68" s="1782"/>
      <c r="CC68" s="1782"/>
      <c r="CD68" s="1782"/>
      <c r="CE68" s="1782"/>
      <c r="CF68" s="1782"/>
      <c r="CG68" s="1782"/>
      <c r="CH68" s="1782"/>
      <c r="CI68" s="1782"/>
      <c r="CJ68" s="1782"/>
      <c r="CK68" s="1782"/>
      <c r="CL68" s="1771"/>
      <c r="CM68" s="1782"/>
      <c r="CN68" s="1782"/>
      <c r="CO68" s="1782"/>
      <c r="CP68" s="1771"/>
      <c r="CQ68" s="1771"/>
      <c r="CR68" s="1771"/>
      <c r="CS68" s="1771"/>
      <c r="CT68" s="1771"/>
      <c r="CU68" s="1771"/>
      <c r="CV68" s="1771"/>
      <c r="CW68" s="1771"/>
      <c r="CX68" s="1771"/>
      <c r="CY68" s="1771"/>
    </row>
    <row r="69" spans="1:103" x14ac:dyDescent="0.2">
      <c r="A69" s="1771"/>
      <c r="B69" s="1781"/>
      <c r="C69" s="1781" t="str">
        <f>C39</f>
        <v>Inputs &amp; Investments module can be used to complement this section</v>
      </c>
      <c r="D69" s="1781"/>
      <c r="E69" s="1781"/>
      <c r="F69" s="1781"/>
      <c r="G69" s="1781"/>
      <c r="H69" s="1781"/>
      <c r="I69" s="1781"/>
      <c r="J69" s="1781"/>
      <c r="K69" s="1781"/>
      <c r="L69" s="1781"/>
      <c r="M69" s="1781"/>
      <c r="N69" s="1781"/>
      <c r="O69" s="1781"/>
      <c r="P69" s="1781"/>
      <c r="Q69" s="1781"/>
      <c r="R69" s="1781"/>
      <c r="S69" s="1781"/>
      <c r="T69" s="1781"/>
      <c r="U69" s="1781"/>
      <c r="V69" s="1781"/>
      <c r="W69" s="1781"/>
      <c r="X69" s="1781"/>
      <c r="Y69" s="1781"/>
      <c r="Z69" s="1781"/>
      <c r="AA69" s="1781"/>
      <c r="AB69" s="1781"/>
      <c r="AC69" s="1781"/>
      <c r="AD69" s="1781"/>
      <c r="AE69" s="1781"/>
      <c r="AF69" s="1781"/>
      <c r="AG69" s="1781"/>
      <c r="AH69" s="1781"/>
      <c r="AI69" s="1781"/>
      <c r="AJ69" s="1781"/>
      <c r="AK69" s="1771"/>
      <c r="AL69" s="1771"/>
      <c r="AM69" s="1771"/>
      <c r="AN69" s="1771"/>
      <c r="AO69" s="1771"/>
      <c r="AP69" s="1771"/>
      <c r="AQ69" s="1771"/>
      <c r="AR69" s="1771"/>
      <c r="AS69" s="1771"/>
      <c r="AT69" s="1771"/>
      <c r="AU69" s="1771"/>
      <c r="AV69" s="1771"/>
      <c r="AW69" s="1771"/>
      <c r="AX69" s="1771"/>
      <c r="AY69" s="1771"/>
      <c r="AZ69" s="1771"/>
      <c r="BA69" s="1771"/>
      <c r="BB69" s="1771"/>
      <c r="BC69" s="1771"/>
      <c r="BD69" s="1771"/>
      <c r="BE69" s="1771"/>
      <c r="BF69" s="1771"/>
      <c r="BG69" s="1771"/>
      <c r="BH69" s="1771"/>
      <c r="BI69" s="1771"/>
      <c r="BJ69" s="1771"/>
      <c r="BK69" s="1771"/>
      <c r="BL69" s="1771"/>
      <c r="BM69" s="1771"/>
      <c r="BN69" s="1771"/>
      <c r="BO69" s="1771"/>
      <c r="BP69" s="1771"/>
      <c r="BQ69" s="1782"/>
      <c r="BR69" s="1782"/>
      <c r="BS69" s="1782"/>
      <c r="BT69" s="1782"/>
      <c r="BU69" s="1782"/>
      <c r="BV69" s="1782"/>
      <c r="BW69" s="1782"/>
      <c r="BX69" s="1782"/>
      <c r="BY69" s="1782"/>
      <c r="BZ69" s="1782"/>
      <c r="CA69" s="1782"/>
      <c r="CB69" s="1782"/>
      <c r="CC69" s="1782"/>
      <c r="CD69" s="1782"/>
      <c r="CE69" s="1782"/>
      <c r="CF69" s="1782"/>
      <c r="CG69" s="1782"/>
      <c r="CH69" s="1782"/>
      <c r="CI69" s="1782"/>
      <c r="CJ69" s="1782"/>
      <c r="CK69" s="1782"/>
      <c r="CL69" s="1771"/>
      <c r="CM69" s="1889" t="s">
        <v>74</v>
      </c>
      <c r="CN69" s="1889"/>
      <c r="CO69" s="1996"/>
      <c r="CP69" s="1771"/>
      <c r="CQ69" s="1771"/>
      <c r="CR69" s="1771"/>
      <c r="CS69" s="1771"/>
      <c r="CT69" s="1771"/>
      <c r="CU69" s="1771"/>
      <c r="CV69" s="1771"/>
      <c r="CW69" s="1771"/>
      <c r="CX69" s="1771"/>
      <c r="CY69" s="1771"/>
    </row>
    <row r="70" spans="1:103" x14ac:dyDescent="0.2">
      <c r="A70" s="1771"/>
      <c r="B70" s="1781"/>
      <c r="C70" s="1781"/>
      <c r="D70" s="1781"/>
      <c r="E70" s="1781"/>
      <c r="F70" s="1781"/>
      <c r="G70" s="1781"/>
      <c r="H70" s="1781"/>
      <c r="I70" s="1781"/>
      <c r="J70" s="1781"/>
      <c r="K70" s="1781"/>
      <c r="L70" s="1781"/>
      <c r="M70" s="1781"/>
      <c r="N70" s="1781"/>
      <c r="O70" s="1781"/>
      <c r="P70" s="1781"/>
      <c r="Q70" s="1781"/>
      <c r="R70" s="1781"/>
      <c r="S70" s="1781"/>
      <c r="T70" s="1781"/>
      <c r="U70" s="1781"/>
      <c r="V70" s="1781"/>
      <c r="W70" s="1781"/>
      <c r="X70" s="1781"/>
      <c r="Y70" s="1781"/>
      <c r="Z70" s="1781"/>
      <c r="AA70" s="1781"/>
      <c r="AB70" s="1781"/>
      <c r="AC70" s="1781"/>
      <c r="AD70" s="1781"/>
      <c r="AE70" s="1781"/>
      <c r="AF70" s="1781"/>
      <c r="AG70" s="1781"/>
      <c r="AH70" s="1781"/>
      <c r="AI70" s="1781"/>
      <c r="AJ70" s="1781"/>
      <c r="AK70" s="1771"/>
      <c r="AL70" s="1771"/>
      <c r="AM70" s="1771"/>
      <c r="AN70" s="1771"/>
      <c r="AO70" s="1771"/>
      <c r="AP70" s="1771"/>
      <c r="AQ70" s="1771"/>
      <c r="AR70" s="1771"/>
      <c r="AS70" s="1771"/>
      <c r="AT70" s="1771"/>
      <c r="AU70" s="1771"/>
      <c r="AV70" s="1771"/>
      <c r="AW70" s="1771"/>
      <c r="AX70" s="1771"/>
      <c r="AY70" s="1771"/>
      <c r="AZ70" s="1771"/>
      <c r="BA70" s="1771"/>
      <c r="BB70" s="1771"/>
      <c r="BC70" s="1771"/>
      <c r="BD70" s="1771"/>
      <c r="BE70" s="1771"/>
      <c r="BF70" s="1771"/>
      <c r="BG70" s="1771"/>
      <c r="BH70" s="1771"/>
      <c r="BI70" s="1771"/>
      <c r="BJ70" s="1771"/>
      <c r="BK70" s="1771"/>
      <c r="BL70" s="1771"/>
      <c r="BM70" s="1771"/>
      <c r="BN70" s="1771"/>
      <c r="BO70" s="1771"/>
      <c r="BP70" s="1771"/>
      <c r="BQ70" s="1782"/>
      <c r="BR70" s="1783" t="str">
        <f>Languages!B611</f>
        <v>Emissions from feed use</v>
      </c>
      <c r="BS70" s="1782"/>
      <c r="BT70" s="1782"/>
      <c r="BU70" s="1782"/>
      <c r="BV70" s="1782"/>
      <c r="BW70" s="1783" t="str">
        <f>Languages!B613</f>
        <v>N2O EF from fish production</v>
      </c>
      <c r="BX70" s="1782"/>
      <c r="BY70" s="1782"/>
      <c r="BZ70" s="1782"/>
      <c r="CA70" s="1782"/>
      <c r="CB70" s="1782"/>
      <c r="CC70" s="1782"/>
      <c r="CD70" s="1782"/>
      <c r="CE70" s="1782"/>
      <c r="CF70" s="1782"/>
      <c r="CG70" s="1782"/>
      <c r="CH70" s="1782"/>
      <c r="CI70" s="1782"/>
      <c r="CJ70" s="1782"/>
      <c r="CK70" s="1782"/>
      <c r="CL70" s="1771"/>
      <c r="CM70" s="2014" t="s">
        <v>82</v>
      </c>
      <c r="CN70" s="2014"/>
      <c r="CO70" s="1996"/>
      <c r="CP70" s="1771"/>
      <c r="CQ70" s="1771"/>
      <c r="CR70" s="1771"/>
      <c r="CS70" s="1771"/>
      <c r="CT70" s="1771"/>
      <c r="CU70" s="1771"/>
      <c r="CV70" s="1771"/>
      <c r="CW70" s="1771"/>
      <c r="CX70" s="1771"/>
      <c r="CY70" s="1771"/>
    </row>
    <row r="71" spans="1:103" x14ac:dyDescent="0.2">
      <c r="A71" s="1771"/>
      <c r="B71" s="1781"/>
      <c r="C71" s="4175" t="str">
        <f>Languages!B592</f>
        <v>Emissions from production and feed</v>
      </c>
      <c r="D71" s="1789"/>
      <c r="E71" s="1789"/>
      <c r="F71" s="1781"/>
      <c r="G71" s="1781"/>
      <c r="H71" s="1781"/>
      <c r="I71" s="1781"/>
      <c r="J71" s="1781"/>
      <c r="K71" s="1781"/>
      <c r="L71" s="1781"/>
      <c r="M71" s="1781"/>
      <c r="N71" s="1781"/>
      <c r="O71" s="1781"/>
      <c r="P71" s="1781"/>
      <c r="Q71" s="1781"/>
      <c r="R71" s="1781"/>
      <c r="S71" s="1781"/>
      <c r="T71" s="1781"/>
      <c r="U71" s="1781"/>
      <c r="V71" s="1781"/>
      <c r="W71" s="1781"/>
      <c r="X71" s="1781"/>
      <c r="Y71" s="1781"/>
      <c r="Z71" s="1781"/>
      <c r="AA71" s="1781"/>
      <c r="AB71" s="1781"/>
      <c r="AC71" s="1781"/>
      <c r="AD71" s="1781"/>
      <c r="AE71" s="1781"/>
      <c r="AF71" s="1781"/>
      <c r="AG71" s="1781"/>
      <c r="AH71" s="1781"/>
      <c r="AI71" s="1781"/>
      <c r="AJ71" s="1781"/>
      <c r="AK71" s="1771"/>
      <c r="AL71" s="1771"/>
      <c r="AM71" s="1771"/>
      <c r="AN71" s="1771"/>
      <c r="AO71" s="1771"/>
      <c r="AP71" s="1771"/>
      <c r="AQ71" s="1771"/>
      <c r="AR71" s="1771"/>
      <c r="AS71" s="1771"/>
      <c r="AT71" s="1771"/>
      <c r="AU71" s="1771"/>
      <c r="AV71" s="1771"/>
      <c r="AW71" s="1771"/>
      <c r="AX71" s="1771"/>
      <c r="AY71" s="1771"/>
      <c r="AZ71" s="1771"/>
      <c r="BA71" s="1771"/>
      <c r="BB71" s="1771"/>
      <c r="BC71" s="1771"/>
      <c r="BD71" s="1771"/>
      <c r="BE71" s="1771"/>
      <c r="BF71" s="1771"/>
      <c r="BG71" s="1771"/>
      <c r="BH71" s="1771"/>
      <c r="BI71" s="1771"/>
      <c r="BJ71" s="1771"/>
      <c r="BK71" s="1771"/>
      <c r="BL71" s="1771"/>
      <c r="BM71" s="1771"/>
      <c r="BN71" s="1771"/>
      <c r="BO71" s="1771"/>
      <c r="BP71" s="1771"/>
      <c r="BQ71" s="1782"/>
      <c r="BR71" s="1785" t="str">
        <f>Languages!B612</f>
        <v>(tCO2-e/t feed)</v>
      </c>
      <c r="BS71" s="1785"/>
      <c r="BT71" s="1782"/>
      <c r="BU71" s="1782"/>
      <c r="BV71" s="1782"/>
      <c r="BW71" s="1785" t="str">
        <f>Languages!B614</f>
        <v>(t N2O-N/t production)</v>
      </c>
      <c r="BX71" s="1785"/>
      <c r="BY71" s="1782"/>
      <c r="BZ71" s="1782"/>
      <c r="CA71" s="1782"/>
      <c r="CB71" s="1782"/>
      <c r="CC71" s="1782"/>
      <c r="CD71" s="1782"/>
      <c r="CE71" s="1782"/>
      <c r="CF71" s="1782"/>
      <c r="CG71" s="1782"/>
      <c r="CH71" s="1782"/>
      <c r="CI71" s="1782"/>
      <c r="CJ71" s="1782"/>
      <c r="CK71" s="1782"/>
      <c r="CL71" s="1771"/>
      <c r="CM71" s="1996"/>
      <c r="CN71" s="1996"/>
      <c r="CO71" s="1996"/>
      <c r="CP71" s="1771"/>
      <c r="CQ71" s="1771"/>
      <c r="CR71" s="1771"/>
      <c r="CS71" s="1771"/>
      <c r="CT71" s="1771"/>
      <c r="CU71" s="1771"/>
      <c r="CV71" s="1771"/>
      <c r="CW71" s="1771"/>
      <c r="CX71" s="1771"/>
      <c r="CY71" s="1771"/>
    </row>
    <row r="72" spans="1:103" x14ac:dyDescent="0.2">
      <c r="A72" s="1771"/>
      <c r="B72" s="1781"/>
      <c r="C72" s="1780"/>
      <c r="D72" s="1781"/>
      <c r="E72" s="1780"/>
      <c r="F72" s="1781"/>
      <c r="G72" s="1781"/>
      <c r="H72" s="1781"/>
      <c r="I72" s="1781"/>
      <c r="J72" s="1781"/>
      <c r="K72" s="1781"/>
      <c r="L72" s="1781"/>
      <c r="M72" s="1781"/>
      <c r="N72" s="1781"/>
      <c r="O72" s="1826" t="str">
        <f>Languages!B593</f>
        <v>Annual quantity of feed (tonne/year)</v>
      </c>
      <c r="P72" s="1781"/>
      <c r="Q72" s="1781"/>
      <c r="R72" s="1781"/>
      <c r="S72" s="1781"/>
      <c r="T72" s="1781"/>
      <c r="U72" s="1781"/>
      <c r="V72" s="1781"/>
      <c r="W72" s="1781"/>
      <c r="X72" s="1826" t="str">
        <f>Languages!B594</f>
        <v>Annual production (tonne/year)</v>
      </c>
      <c r="Y72" s="1826"/>
      <c r="Z72" s="1826"/>
      <c r="AA72" s="1781"/>
      <c r="AB72" s="1781"/>
      <c r="AC72" s="1781"/>
      <c r="AD72" s="1781"/>
      <c r="AE72" s="1826" t="str">
        <f>Languages!B9</f>
        <v>Total emissions (tCO2-e)</v>
      </c>
      <c r="AF72" s="1781"/>
      <c r="AG72" s="1781"/>
      <c r="AH72" s="1781"/>
      <c r="AI72" s="1780" t="str">
        <f>AI11</f>
        <v>Balance</v>
      </c>
      <c r="AJ72" s="1781"/>
      <c r="AK72" s="1771"/>
      <c r="AL72" s="1771"/>
      <c r="AM72" s="1771"/>
      <c r="AN72" s="1771"/>
      <c r="AO72" s="1771"/>
      <c r="AP72" s="1771"/>
      <c r="AQ72" s="1771"/>
      <c r="AR72" s="1771"/>
      <c r="AS72" s="1771"/>
      <c r="AT72" s="1771"/>
      <c r="AU72" s="1771"/>
      <c r="AV72" s="1771"/>
      <c r="AW72" s="1771"/>
      <c r="AX72" s="1771"/>
      <c r="AY72" s="1771"/>
      <c r="AZ72" s="1771"/>
      <c r="BA72" s="1771"/>
      <c r="BB72" s="1771"/>
      <c r="BC72" s="1771"/>
      <c r="BD72" s="1771"/>
      <c r="BE72" s="1771"/>
      <c r="BF72" s="1771"/>
      <c r="BG72" s="1771"/>
      <c r="BH72" s="1771"/>
      <c r="BI72" s="1771"/>
      <c r="BJ72" s="1771"/>
      <c r="BK72" s="1771"/>
      <c r="BL72" s="1771"/>
      <c r="BM72" s="1771"/>
      <c r="BN72" s="1771"/>
      <c r="BO72" s="1771"/>
      <c r="BP72" s="1771"/>
      <c r="BQ72" s="1782"/>
      <c r="BR72" s="1782"/>
      <c r="BS72" s="2151"/>
      <c r="BT72" s="1782"/>
      <c r="BU72" s="1782"/>
      <c r="BV72" s="1782"/>
      <c r="BW72" s="1782"/>
      <c r="BX72" s="2151"/>
      <c r="BY72" s="1782"/>
      <c r="BZ72" s="1782"/>
      <c r="CA72" s="1782"/>
      <c r="CB72" s="1782"/>
      <c r="CC72" s="1782"/>
      <c r="CD72" s="1782"/>
      <c r="CE72" s="1782"/>
      <c r="CF72" s="1782"/>
      <c r="CG72" s="1782"/>
      <c r="CH72" s="1782"/>
      <c r="CI72" s="1782"/>
      <c r="CJ72" s="1782"/>
      <c r="CK72" s="1782"/>
      <c r="CL72" s="1771"/>
      <c r="CM72" s="1996"/>
      <c r="CN72" s="1996"/>
      <c r="CO72" s="1996"/>
      <c r="CP72" s="1771"/>
      <c r="CQ72" s="1771"/>
      <c r="CR72" s="1771"/>
      <c r="CS72" s="1771"/>
      <c r="CT72" s="1771"/>
      <c r="CU72" s="1771"/>
      <c r="CV72" s="1771"/>
      <c r="CW72" s="1771"/>
      <c r="CX72" s="1771"/>
      <c r="CY72" s="1771"/>
    </row>
    <row r="73" spans="1:103" x14ac:dyDescent="0.2">
      <c r="A73" s="1771"/>
      <c r="B73" s="1781"/>
      <c r="C73" s="1826" t="str">
        <f>Languages!B80</f>
        <v>User notes</v>
      </c>
      <c r="D73" s="1781"/>
      <c r="E73" s="1781"/>
      <c r="F73" s="1781"/>
      <c r="G73" s="1781"/>
      <c r="H73" s="1781"/>
      <c r="I73" s="1781"/>
      <c r="J73" s="1781"/>
      <c r="K73" s="1781"/>
      <c r="L73" s="1781"/>
      <c r="M73" s="1781"/>
      <c r="N73" s="1781"/>
      <c r="O73" s="1806" t="str">
        <f>X73</f>
        <v>Start</v>
      </c>
      <c r="P73" s="1806" t="str">
        <f>Z73</f>
        <v>Without</v>
      </c>
      <c r="Q73" s="1806" t="s">
        <v>83</v>
      </c>
      <c r="R73" s="1806" t="str">
        <f>AB73</f>
        <v>With</v>
      </c>
      <c r="S73" s="1806" t="s">
        <v>83</v>
      </c>
      <c r="T73" s="1781"/>
      <c r="U73" s="1781"/>
      <c r="V73" s="1781"/>
      <c r="W73" s="1781"/>
      <c r="X73" s="1806" t="str">
        <f>X12</f>
        <v>Start</v>
      </c>
      <c r="Y73" s="1806"/>
      <c r="Z73" s="1806" t="str">
        <f>Z12</f>
        <v>Without</v>
      </c>
      <c r="AA73" s="1806" t="s">
        <v>83</v>
      </c>
      <c r="AB73" s="1806" t="str">
        <f>AB12</f>
        <v>With</v>
      </c>
      <c r="AC73" s="1806" t="s">
        <v>83</v>
      </c>
      <c r="AD73" s="1806"/>
      <c r="AE73" s="1806" t="str">
        <f>Z73</f>
        <v>Without</v>
      </c>
      <c r="AF73" s="1806"/>
      <c r="AG73" s="1806" t="str">
        <f>AB73</f>
        <v>With</v>
      </c>
      <c r="AH73" s="1806"/>
      <c r="AI73" s="1781"/>
      <c r="AJ73" s="1781"/>
      <c r="AK73" s="1771"/>
      <c r="AL73" s="1771"/>
      <c r="AM73" s="1771"/>
      <c r="AN73" s="1771"/>
      <c r="AO73" s="1771"/>
      <c r="AP73" s="1771"/>
      <c r="AQ73" s="1771"/>
      <c r="AR73" s="1771"/>
      <c r="AS73" s="1771"/>
      <c r="AT73" s="1771"/>
      <c r="AU73" s="1771"/>
      <c r="AV73" s="1771"/>
      <c r="AW73" s="1771"/>
      <c r="AX73" s="1771"/>
      <c r="AY73" s="1771"/>
      <c r="AZ73" s="1771"/>
      <c r="BA73" s="1771"/>
      <c r="BB73" s="1771"/>
      <c r="BC73" s="1771"/>
      <c r="BD73" s="1771"/>
      <c r="BE73" s="1771"/>
      <c r="BF73" s="1771"/>
      <c r="BG73" s="1771"/>
      <c r="BH73" s="1771"/>
      <c r="BI73" s="1771"/>
      <c r="BJ73" s="1771"/>
      <c r="BK73" s="1771"/>
      <c r="BL73" s="1771"/>
      <c r="BM73" s="1771"/>
      <c r="BN73" s="1771"/>
      <c r="BO73" s="1771"/>
      <c r="BP73" s="1771"/>
      <c r="BQ73" s="1782"/>
      <c r="BR73" s="2151" t="str">
        <f>CH10</f>
        <v>Default</v>
      </c>
      <c r="BS73" s="2151" t="str">
        <f>CI10</f>
        <v>Tier 2</v>
      </c>
      <c r="BT73" s="1782"/>
      <c r="BU73" s="1782"/>
      <c r="BV73" s="1782"/>
      <c r="BW73" s="2151" t="str">
        <f>BR73</f>
        <v>Default</v>
      </c>
      <c r="BX73" s="2151" t="str">
        <f>BS73</f>
        <v>Tier 2</v>
      </c>
      <c r="BY73" s="1782"/>
      <c r="BZ73" s="1782"/>
      <c r="CA73" s="1782"/>
      <c r="CB73" s="1782"/>
      <c r="CC73" s="1782"/>
      <c r="CD73" s="1782"/>
      <c r="CE73" s="1782"/>
      <c r="CF73" s="1782"/>
      <c r="CG73" s="1782"/>
      <c r="CH73" s="1782"/>
      <c r="CI73" s="1782"/>
      <c r="CJ73" s="1782"/>
      <c r="CK73" s="1782"/>
      <c r="CL73" s="1771"/>
      <c r="CM73" s="1996"/>
      <c r="CN73" s="1996"/>
      <c r="CO73" s="1996"/>
      <c r="CP73" s="1771"/>
      <c r="CQ73" s="1771"/>
      <c r="CR73" s="1771"/>
      <c r="CS73" s="1771"/>
      <c r="CT73" s="1771"/>
      <c r="CU73" s="1771"/>
      <c r="CV73" s="1771"/>
      <c r="CW73" s="1771"/>
      <c r="CX73" s="1771"/>
      <c r="CY73" s="1771"/>
    </row>
    <row r="74" spans="1:103" x14ac:dyDescent="0.2">
      <c r="A74" s="1771"/>
      <c r="B74" s="1781"/>
      <c r="C74" s="4577"/>
      <c r="D74" s="4577"/>
      <c r="E74" s="4577"/>
      <c r="F74" s="1781"/>
      <c r="G74" s="1781"/>
      <c r="H74" s="1781"/>
      <c r="I74" s="1781"/>
      <c r="J74" s="1781"/>
      <c r="K74" s="1781"/>
      <c r="L74" s="1781"/>
      <c r="M74" s="1781"/>
      <c r="N74" s="1781"/>
      <c r="O74" s="4347">
        <v>0</v>
      </c>
      <c r="P74" s="2103">
        <v>0</v>
      </c>
      <c r="Q74" s="2104" t="s">
        <v>86</v>
      </c>
      <c r="R74" s="2103">
        <v>0</v>
      </c>
      <c r="S74" s="2104" t="s">
        <v>86</v>
      </c>
      <c r="T74" s="1781"/>
      <c r="U74" s="1781"/>
      <c r="V74" s="1781"/>
      <c r="W74" s="1781"/>
      <c r="X74" s="2103">
        <v>22</v>
      </c>
      <c r="Y74" s="1781"/>
      <c r="Z74" s="2103">
        <v>23</v>
      </c>
      <c r="AA74" s="2104" t="s">
        <v>86</v>
      </c>
      <c r="AB74" s="2103">
        <v>45</v>
      </c>
      <c r="AC74" s="2104" t="s">
        <v>86</v>
      </c>
      <c r="AD74" s="1781"/>
      <c r="AE74" s="1841">
        <f>'Fish and aqua'!O123+'Fish and aqua'!O134</f>
        <v>241.03926785714287</v>
      </c>
      <c r="AF74" s="1781"/>
      <c r="AG74" s="1841">
        <f>'Fish and aqua'!P123+'Fish and aqua'!P134</f>
        <v>434.57444642857155</v>
      </c>
      <c r="AH74" s="1781"/>
      <c r="AI74" s="1806">
        <f t="shared" ref="AI74:AI79" si="4">AG74-AE74</f>
        <v>193.53517857142867</v>
      </c>
      <c r="AJ74" s="1781"/>
      <c r="AK74" s="1771"/>
      <c r="AL74" s="1771"/>
      <c r="AM74" s="1771"/>
      <c r="AN74" s="1771"/>
      <c r="AO74" s="1771"/>
      <c r="AP74" s="1771"/>
      <c r="AQ74" s="1771"/>
      <c r="AR74" s="1771"/>
      <c r="AS74" s="1771"/>
      <c r="AT74" s="1771"/>
      <c r="AU74" s="1771"/>
      <c r="AV74" s="1771"/>
      <c r="AW74" s="1771"/>
      <c r="AX74" s="1771"/>
      <c r="AY74" s="1771"/>
      <c r="AZ74" s="1771"/>
      <c r="BA74" s="1771"/>
      <c r="BB74" s="1771"/>
      <c r="BC74" s="1771"/>
      <c r="BD74" s="1771"/>
      <c r="BE74" s="1771"/>
      <c r="BF74" s="1771"/>
      <c r="BG74" s="1771"/>
      <c r="BH74" s="1771"/>
      <c r="BI74" s="1771"/>
      <c r="BJ74" s="1771"/>
      <c r="BK74" s="1771"/>
      <c r="BL74" s="1771"/>
      <c r="BM74" s="1771"/>
      <c r="BN74" s="1771"/>
      <c r="BO74" s="1771"/>
      <c r="BP74" s="1771"/>
      <c r="BQ74" s="1782"/>
      <c r="BR74" s="2151">
        <f>'Fish and aqua'!D111</f>
        <v>0</v>
      </c>
      <c r="BS74" s="4227">
        <v>1</v>
      </c>
      <c r="BT74" s="1782"/>
      <c r="BU74" s="1782"/>
      <c r="BV74" s="1782"/>
      <c r="BW74" s="1782">
        <f>'Fish and aqua'!G111</f>
        <v>1.6900000000000001E-3</v>
      </c>
      <c r="BX74" s="4227"/>
      <c r="BY74" s="1782"/>
      <c r="BZ74" s="1782"/>
      <c r="CA74" s="1782"/>
      <c r="CB74" s="1782"/>
      <c r="CC74" s="1782"/>
      <c r="CD74" s="1782"/>
      <c r="CE74" s="1782"/>
      <c r="CF74" s="1782"/>
      <c r="CG74" s="1782"/>
      <c r="CH74" s="1782"/>
      <c r="CI74" s="1782"/>
      <c r="CJ74" s="1782"/>
      <c r="CK74" s="1782"/>
      <c r="CL74" s="1771"/>
      <c r="CM74" s="4363">
        <v>1</v>
      </c>
      <c r="CN74" s="4364"/>
      <c r="CO74" s="1996"/>
      <c r="CP74" s="1771"/>
      <c r="CQ74" s="1771"/>
      <c r="CR74" s="1771"/>
      <c r="CS74" s="1771"/>
      <c r="CT74" s="1771"/>
      <c r="CU74" s="1771"/>
      <c r="CV74" s="1771"/>
      <c r="CW74" s="1771"/>
      <c r="CX74" s="1771"/>
      <c r="CY74" s="1771"/>
    </row>
    <row r="75" spans="1:103" x14ac:dyDescent="0.2">
      <c r="A75" s="1771"/>
      <c r="B75" s="1781"/>
      <c r="C75" s="4574"/>
      <c r="D75" s="4574"/>
      <c r="E75" s="4574"/>
      <c r="F75" s="1781"/>
      <c r="G75" s="1781"/>
      <c r="H75" s="1781"/>
      <c r="I75" s="1781"/>
      <c r="J75" s="1781"/>
      <c r="K75" s="1781"/>
      <c r="L75" s="1781"/>
      <c r="M75" s="1781"/>
      <c r="N75" s="1781"/>
      <c r="O75" s="4347">
        <v>0</v>
      </c>
      <c r="P75" s="2103">
        <v>0</v>
      </c>
      <c r="Q75" s="2104" t="s">
        <v>86</v>
      </c>
      <c r="R75" s="2103">
        <v>0</v>
      </c>
      <c r="S75" s="2104" t="s">
        <v>86</v>
      </c>
      <c r="T75" s="1781"/>
      <c r="U75" s="1781"/>
      <c r="V75" s="1781"/>
      <c r="W75" s="1781"/>
      <c r="X75" s="2103">
        <v>0</v>
      </c>
      <c r="Y75" s="1781"/>
      <c r="Z75" s="2103">
        <v>0</v>
      </c>
      <c r="AA75" s="2104" t="s">
        <v>86</v>
      </c>
      <c r="AB75" s="2103">
        <v>0</v>
      </c>
      <c r="AC75" s="2104" t="s">
        <v>86</v>
      </c>
      <c r="AD75" s="1781"/>
      <c r="AE75" s="1841">
        <f>'Fish and aqua'!O124+'Fish and aqua'!O135</f>
        <v>0</v>
      </c>
      <c r="AF75" s="1781"/>
      <c r="AG75" s="1841">
        <f>'Fish and aqua'!P124+'Fish and aqua'!P135</f>
        <v>0</v>
      </c>
      <c r="AH75" s="1781"/>
      <c r="AI75" s="1806">
        <f t="shared" si="4"/>
        <v>0</v>
      </c>
      <c r="AJ75" s="1781"/>
      <c r="AK75" s="1771"/>
      <c r="AL75" s="1771"/>
      <c r="AM75" s="1771"/>
      <c r="AN75" s="1771"/>
      <c r="AO75" s="1771"/>
      <c r="AP75" s="1771"/>
      <c r="AQ75" s="1771"/>
      <c r="AR75" s="1771"/>
      <c r="AS75" s="1771"/>
      <c r="AT75" s="1771"/>
      <c r="AU75" s="1771"/>
      <c r="AV75" s="1771"/>
      <c r="AW75" s="1771"/>
      <c r="AX75" s="1771"/>
      <c r="AY75" s="1771"/>
      <c r="AZ75" s="1771"/>
      <c r="BA75" s="1771"/>
      <c r="BB75" s="1771"/>
      <c r="BC75" s="1771"/>
      <c r="BD75" s="1771"/>
      <c r="BE75" s="1771"/>
      <c r="BF75" s="1771"/>
      <c r="BG75" s="1771"/>
      <c r="BH75" s="1771"/>
      <c r="BI75" s="1771"/>
      <c r="BJ75" s="1771"/>
      <c r="BK75" s="1771"/>
      <c r="BL75" s="1771"/>
      <c r="BM75" s="1771"/>
      <c r="BN75" s="1771"/>
      <c r="BO75" s="1771"/>
      <c r="BP75" s="1771"/>
      <c r="BQ75" s="1782"/>
      <c r="BR75" s="2151">
        <f>'Fish and aqua'!D112</f>
        <v>0</v>
      </c>
      <c r="BS75" s="4227">
        <v>1</v>
      </c>
      <c r="BT75" s="1782"/>
      <c r="BU75" s="1782"/>
      <c r="BV75" s="1782"/>
      <c r="BW75" s="1782">
        <f>'Fish and aqua'!G112</f>
        <v>1.6900000000000001E-3</v>
      </c>
      <c r="BX75" s="4227"/>
      <c r="BY75" s="1782"/>
      <c r="BZ75" s="1782"/>
      <c r="CA75" s="1782"/>
      <c r="CB75" s="1782"/>
      <c r="CC75" s="1782"/>
      <c r="CD75" s="1782"/>
      <c r="CE75" s="1782"/>
      <c r="CF75" s="1782"/>
      <c r="CG75" s="1782"/>
      <c r="CH75" s="1782"/>
      <c r="CI75" s="1782"/>
      <c r="CJ75" s="1782"/>
      <c r="CK75" s="1782"/>
      <c r="CL75" s="1771"/>
      <c r="CM75" s="4363">
        <v>1</v>
      </c>
      <c r="CN75" s="4364"/>
      <c r="CO75" s="1996"/>
      <c r="CP75" s="1771"/>
      <c r="CQ75" s="1771"/>
      <c r="CR75" s="1771"/>
      <c r="CS75" s="1771"/>
      <c r="CT75" s="1771"/>
      <c r="CU75" s="1771"/>
      <c r="CV75" s="1771"/>
      <c r="CW75" s="1771"/>
      <c r="CX75" s="1771"/>
      <c r="CY75" s="1771"/>
    </row>
    <row r="76" spans="1:103" x14ac:dyDescent="0.2">
      <c r="A76" s="1771"/>
      <c r="B76" s="1781"/>
      <c r="C76" s="4574"/>
      <c r="D76" s="4574"/>
      <c r="E76" s="4574"/>
      <c r="F76" s="1781"/>
      <c r="G76" s="1781"/>
      <c r="H76" s="1781"/>
      <c r="I76" s="1781"/>
      <c r="J76" s="1781"/>
      <c r="K76" s="1781"/>
      <c r="L76" s="1781"/>
      <c r="M76" s="1781"/>
      <c r="N76" s="1781"/>
      <c r="O76" s="4347">
        <v>0</v>
      </c>
      <c r="P76" s="2103">
        <v>0</v>
      </c>
      <c r="Q76" s="2104" t="s">
        <v>86</v>
      </c>
      <c r="R76" s="2103">
        <v>0</v>
      </c>
      <c r="S76" s="2104" t="s">
        <v>86</v>
      </c>
      <c r="T76" s="1781"/>
      <c r="U76" s="1781"/>
      <c r="V76" s="1781"/>
      <c r="W76" s="1781"/>
      <c r="X76" s="2103">
        <v>0</v>
      </c>
      <c r="Y76" s="1781"/>
      <c r="Z76" s="2103">
        <v>0</v>
      </c>
      <c r="AA76" s="2104" t="s">
        <v>86</v>
      </c>
      <c r="AB76" s="2103">
        <v>0</v>
      </c>
      <c r="AC76" s="2104" t="s">
        <v>86</v>
      </c>
      <c r="AD76" s="1781"/>
      <c r="AE76" s="1841">
        <f>'Fish and aqua'!O125+'Fish and aqua'!O136</f>
        <v>0</v>
      </c>
      <c r="AF76" s="1781"/>
      <c r="AG76" s="1841">
        <f>'Fish and aqua'!P125+'Fish and aqua'!P136</f>
        <v>0</v>
      </c>
      <c r="AH76" s="1781"/>
      <c r="AI76" s="1806">
        <f t="shared" si="4"/>
        <v>0</v>
      </c>
      <c r="AJ76" s="1781"/>
      <c r="AK76" s="1771"/>
      <c r="AL76" s="1771"/>
      <c r="AM76" s="1771"/>
      <c r="AN76" s="1771"/>
      <c r="AO76" s="1771"/>
      <c r="AP76" s="1771"/>
      <c r="AQ76" s="1771"/>
      <c r="AR76" s="1771"/>
      <c r="AS76" s="1771"/>
      <c r="AT76" s="1771"/>
      <c r="AU76" s="1771"/>
      <c r="AV76" s="1771"/>
      <c r="AW76" s="1771"/>
      <c r="AX76" s="1771"/>
      <c r="AY76" s="1771"/>
      <c r="AZ76" s="1771"/>
      <c r="BA76" s="1771"/>
      <c r="BB76" s="1771"/>
      <c r="BC76" s="1771"/>
      <c r="BD76" s="1771"/>
      <c r="BE76" s="1771"/>
      <c r="BF76" s="1771"/>
      <c r="BG76" s="1771"/>
      <c r="BH76" s="1771"/>
      <c r="BI76" s="1771"/>
      <c r="BJ76" s="1771"/>
      <c r="BK76" s="1771"/>
      <c r="BL76" s="1771"/>
      <c r="BM76" s="1771"/>
      <c r="BN76" s="1771"/>
      <c r="BO76" s="1771"/>
      <c r="BP76" s="1771"/>
      <c r="BQ76" s="1782"/>
      <c r="BR76" s="2151">
        <f>'Fish and aqua'!D113</f>
        <v>0</v>
      </c>
      <c r="BS76" s="4227">
        <v>1</v>
      </c>
      <c r="BT76" s="1782"/>
      <c r="BU76" s="1782"/>
      <c r="BV76" s="1782"/>
      <c r="BW76" s="1782">
        <f>'Fish and aqua'!G113</f>
        <v>1.6900000000000001E-3</v>
      </c>
      <c r="BX76" s="4227"/>
      <c r="BY76" s="1782"/>
      <c r="BZ76" s="1782"/>
      <c r="CA76" s="1782"/>
      <c r="CB76" s="1782"/>
      <c r="CC76" s="1782"/>
      <c r="CD76" s="1782"/>
      <c r="CE76" s="1782"/>
      <c r="CF76" s="1782"/>
      <c r="CG76" s="1782"/>
      <c r="CH76" s="1782"/>
      <c r="CI76" s="1782"/>
      <c r="CJ76" s="1782"/>
      <c r="CK76" s="1782"/>
      <c r="CL76" s="1771"/>
      <c r="CM76" s="4363">
        <v>1</v>
      </c>
      <c r="CN76" s="4364"/>
      <c r="CO76" s="1996"/>
      <c r="CP76" s="1771"/>
      <c r="CQ76" s="1771"/>
      <c r="CR76" s="1771"/>
      <c r="CS76" s="1771"/>
      <c r="CT76" s="1771"/>
      <c r="CU76" s="1771"/>
      <c r="CV76" s="1771"/>
      <c r="CW76" s="1771"/>
      <c r="CX76" s="1771"/>
      <c r="CY76" s="1771"/>
    </row>
    <row r="77" spans="1:103" x14ac:dyDescent="0.2">
      <c r="A77" s="1771"/>
      <c r="B77" s="1781"/>
      <c r="C77" s="4574"/>
      <c r="D77" s="4574"/>
      <c r="E77" s="4574"/>
      <c r="F77" s="1781"/>
      <c r="G77" s="1781"/>
      <c r="H77" s="1781"/>
      <c r="I77" s="1781"/>
      <c r="J77" s="1781"/>
      <c r="K77" s="1781"/>
      <c r="L77" s="1781"/>
      <c r="M77" s="1781"/>
      <c r="N77" s="1781"/>
      <c r="O77" s="4347">
        <v>0</v>
      </c>
      <c r="P77" s="2103">
        <v>0</v>
      </c>
      <c r="Q77" s="2104" t="s">
        <v>86</v>
      </c>
      <c r="R77" s="2103">
        <v>0</v>
      </c>
      <c r="S77" s="2104" t="s">
        <v>86</v>
      </c>
      <c r="T77" s="1781"/>
      <c r="U77" s="1781"/>
      <c r="V77" s="1781"/>
      <c r="W77" s="1781"/>
      <c r="X77" s="2103">
        <v>0</v>
      </c>
      <c r="Y77" s="1781"/>
      <c r="Z77" s="2103">
        <v>0</v>
      </c>
      <c r="AA77" s="2104" t="s">
        <v>86</v>
      </c>
      <c r="AB77" s="2103">
        <v>0</v>
      </c>
      <c r="AC77" s="2104" t="s">
        <v>86</v>
      </c>
      <c r="AD77" s="1781"/>
      <c r="AE77" s="1841">
        <f>'Fish and aqua'!O126+'Fish and aqua'!O137</f>
        <v>0</v>
      </c>
      <c r="AF77" s="1781"/>
      <c r="AG77" s="1841">
        <f>'Fish and aqua'!P126+'Fish and aqua'!P137</f>
        <v>0</v>
      </c>
      <c r="AH77" s="1781"/>
      <c r="AI77" s="1806">
        <f t="shared" si="4"/>
        <v>0</v>
      </c>
      <c r="AJ77" s="1781"/>
      <c r="AK77" s="1771"/>
      <c r="AL77" s="1771"/>
      <c r="AM77" s="1771"/>
      <c r="AN77" s="1771"/>
      <c r="AO77" s="1771"/>
      <c r="AP77" s="1771"/>
      <c r="AQ77" s="1771"/>
      <c r="AR77" s="1771"/>
      <c r="AS77" s="1771"/>
      <c r="AT77" s="1771"/>
      <c r="AU77" s="1771"/>
      <c r="AV77" s="1771"/>
      <c r="AW77" s="1771"/>
      <c r="AX77" s="1771"/>
      <c r="AY77" s="1771"/>
      <c r="AZ77" s="1771"/>
      <c r="BA77" s="1771"/>
      <c r="BB77" s="1771"/>
      <c r="BC77" s="1771"/>
      <c r="BD77" s="1771"/>
      <c r="BE77" s="1771"/>
      <c r="BF77" s="1771"/>
      <c r="BG77" s="1771"/>
      <c r="BH77" s="1771"/>
      <c r="BI77" s="1771"/>
      <c r="BJ77" s="1771"/>
      <c r="BK77" s="1771"/>
      <c r="BL77" s="1771"/>
      <c r="BM77" s="1771"/>
      <c r="BN77" s="1771"/>
      <c r="BO77" s="1771"/>
      <c r="BP77" s="1771"/>
      <c r="BQ77" s="1782"/>
      <c r="BR77" s="2151">
        <f>'Fish and aqua'!D114</f>
        <v>0</v>
      </c>
      <c r="BS77" s="4227">
        <v>1</v>
      </c>
      <c r="BT77" s="1782"/>
      <c r="BU77" s="1782"/>
      <c r="BV77" s="1782"/>
      <c r="BW77" s="1782">
        <f>'Fish and aqua'!G114</f>
        <v>1.6900000000000001E-3</v>
      </c>
      <c r="BX77" s="4227"/>
      <c r="BY77" s="1782"/>
      <c r="BZ77" s="1782"/>
      <c r="CA77" s="1782"/>
      <c r="CB77" s="1782"/>
      <c r="CC77" s="1782"/>
      <c r="CD77" s="1782"/>
      <c r="CE77" s="1782"/>
      <c r="CF77" s="1782"/>
      <c r="CG77" s="1782"/>
      <c r="CH77" s="1782"/>
      <c r="CI77" s="1782"/>
      <c r="CJ77" s="1782"/>
      <c r="CK77" s="1782"/>
      <c r="CL77" s="1771"/>
      <c r="CM77" s="4363">
        <v>1</v>
      </c>
      <c r="CN77" s="4364"/>
      <c r="CO77" s="1996"/>
      <c r="CP77" s="1771"/>
      <c r="CQ77" s="1771"/>
      <c r="CR77" s="1771"/>
      <c r="CS77" s="1771"/>
      <c r="CT77" s="1771"/>
      <c r="CU77" s="1771"/>
      <c r="CV77" s="1771"/>
      <c r="CW77" s="1771"/>
      <c r="CX77" s="1771"/>
      <c r="CY77" s="1771"/>
    </row>
    <row r="78" spans="1:103" x14ac:dyDescent="0.2">
      <c r="A78" s="1771"/>
      <c r="B78" s="1781"/>
      <c r="C78" s="4574"/>
      <c r="D78" s="4574"/>
      <c r="E78" s="4574"/>
      <c r="F78" s="1781"/>
      <c r="G78" s="1781"/>
      <c r="H78" s="1781"/>
      <c r="I78" s="1781"/>
      <c r="J78" s="1781"/>
      <c r="K78" s="1781"/>
      <c r="L78" s="1781"/>
      <c r="M78" s="1781"/>
      <c r="N78" s="1781"/>
      <c r="O78" s="4347">
        <v>0</v>
      </c>
      <c r="P78" s="2103">
        <v>0</v>
      </c>
      <c r="Q78" s="2104" t="s">
        <v>86</v>
      </c>
      <c r="R78" s="2103">
        <v>0</v>
      </c>
      <c r="S78" s="2104" t="s">
        <v>86</v>
      </c>
      <c r="T78" s="1781"/>
      <c r="U78" s="1781"/>
      <c r="V78" s="1781"/>
      <c r="W78" s="1781"/>
      <c r="X78" s="2103">
        <v>0</v>
      </c>
      <c r="Y78" s="1781"/>
      <c r="Z78" s="2103">
        <v>0</v>
      </c>
      <c r="AA78" s="2104" t="s">
        <v>86</v>
      </c>
      <c r="AB78" s="2103">
        <v>0</v>
      </c>
      <c r="AC78" s="2104" t="s">
        <v>86</v>
      </c>
      <c r="AD78" s="1781"/>
      <c r="AE78" s="1841">
        <f>'Fish and aqua'!O127+'Fish and aqua'!O138</f>
        <v>0</v>
      </c>
      <c r="AF78" s="1781"/>
      <c r="AG78" s="1841">
        <f>'Fish and aqua'!P127+'Fish and aqua'!P138</f>
        <v>0</v>
      </c>
      <c r="AH78" s="1781"/>
      <c r="AI78" s="1806">
        <f t="shared" si="4"/>
        <v>0</v>
      </c>
      <c r="AJ78" s="1781"/>
      <c r="AK78" s="1771"/>
      <c r="AL78" s="1771"/>
      <c r="AM78" s="1771"/>
      <c r="AN78" s="1771"/>
      <c r="AO78" s="1771"/>
      <c r="AP78" s="1771"/>
      <c r="AQ78" s="1771"/>
      <c r="AR78" s="1771"/>
      <c r="AS78" s="1771"/>
      <c r="AT78" s="1771"/>
      <c r="AU78" s="1771"/>
      <c r="AV78" s="1771"/>
      <c r="AW78" s="1771"/>
      <c r="AX78" s="1771"/>
      <c r="AY78" s="1771"/>
      <c r="AZ78" s="1771"/>
      <c r="BA78" s="1771"/>
      <c r="BB78" s="1771"/>
      <c r="BC78" s="1771"/>
      <c r="BD78" s="1771"/>
      <c r="BE78" s="1771"/>
      <c r="BF78" s="1771"/>
      <c r="BG78" s="1771"/>
      <c r="BH78" s="1771"/>
      <c r="BI78" s="1771"/>
      <c r="BJ78" s="1771"/>
      <c r="BK78" s="1771"/>
      <c r="BL78" s="1771"/>
      <c r="BM78" s="1771"/>
      <c r="BN78" s="1771"/>
      <c r="BO78" s="1771"/>
      <c r="BP78" s="1771"/>
      <c r="BQ78" s="1782"/>
      <c r="BR78" s="2151">
        <f>'Fish and aqua'!D115</f>
        <v>0</v>
      </c>
      <c r="BS78" s="4227">
        <v>1</v>
      </c>
      <c r="BT78" s="1782"/>
      <c r="BU78" s="1782"/>
      <c r="BV78" s="1782"/>
      <c r="BW78" s="1782">
        <f>'Fish and aqua'!G115</f>
        <v>1.6900000000000001E-3</v>
      </c>
      <c r="BX78" s="4227"/>
      <c r="BY78" s="1782"/>
      <c r="BZ78" s="1782"/>
      <c r="CA78" s="1782"/>
      <c r="CB78" s="1782"/>
      <c r="CC78" s="1782"/>
      <c r="CD78" s="1782"/>
      <c r="CE78" s="1782"/>
      <c r="CF78" s="1782"/>
      <c r="CG78" s="1782"/>
      <c r="CH78" s="1782"/>
      <c r="CI78" s="1782"/>
      <c r="CJ78" s="1782"/>
      <c r="CK78" s="1782"/>
      <c r="CL78" s="1771"/>
      <c r="CM78" s="4363">
        <v>1</v>
      </c>
      <c r="CN78" s="4364"/>
      <c r="CO78" s="1996"/>
      <c r="CP78" s="1771"/>
      <c r="CQ78" s="1771"/>
      <c r="CR78" s="1771"/>
      <c r="CS78" s="1771"/>
      <c r="CT78" s="1771"/>
      <c r="CU78" s="1771"/>
      <c r="CV78" s="1771"/>
      <c r="CW78" s="1771"/>
      <c r="CX78" s="1771"/>
      <c r="CY78" s="1771"/>
    </row>
    <row r="79" spans="1:103" x14ac:dyDescent="0.2">
      <c r="A79" s="1771"/>
      <c r="B79" s="1781"/>
      <c r="C79" s="4574"/>
      <c r="D79" s="4574"/>
      <c r="E79" s="4574"/>
      <c r="F79" s="1781"/>
      <c r="G79" s="1781"/>
      <c r="H79" s="1781"/>
      <c r="I79" s="1781"/>
      <c r="J79" s="1781"/>
      <c r="K79" s="1781"/>
      <c r="L79" s="1781"/>
      <c r="M79" s="1781"/>
      <c r="N79" s="1781"/>
      <c r="O79" s="4347">
        <v>0</v>
      </c>
      <c r="P79" s="2103">
        <v>0</v>
      </c>
      <c r="Q79" s="2104" t="s">
        <v>86</v>
      </c>
      <c r="R79" s="2103">
        <v>0</v>
      </c>
      <c r="S79" s="2104" t="s">
        <v>86</v>
      </c>
      <c r="T79" s="1781"/>
      <c r="U79" s="1781"/>
      <c r="V79" s="1781"/>
      <c r="W79" s="1781"/>
      <c r="X79" s="2103">
        <v>0</v>
      </c>
      <c r="Y79" s="1781"/>
      <c r="Z79" s="2103">
        <v>0</v>
      </c>
      <c r="AA79" s="2104" t="s">
        <v>86</v>
      </c>
      <c r="AB79" s="2103">
        <v>0</v>
      </c>
      <c r="AC79" s="2104" t="s">
        <v>86</v>
      </c>
      <c r="AD79" s="1781"/>
      <c r="AE79" s="1841">
        <f>'Fish and aqua'!O128+'Fish and aqua'!O139</f>
        <v>0</v>
      </c>
      <c r="AF79" s="1781"/>
      <c r="AG79" s="1841">
        <f>'Fish and aqua'!P128+'Fish and aqua'!P139</f>
        <v>0</v>
      </c>
      <c r="AH79" s="1781"/>
      <c r="AI79" s="1806">
        <f t="shared" si="4"/>
        <v>0</v>
      </c>
      <c r="AJ79" s="1781"/>
      <c r="AK79" s="1771"/>
      <c r="AL79" s="1771"/>
      <c r="AM79" s="1771"/>
      <c r="AN79" s="1771"/>
      <c r="AO79" s="1771"/>
      <c r="AP79" s="1771"/>
      <c r="AQ79" s="1771"/>
      <c r="AR79" s="1771"/>
      <c r="AS79" s="1771"/>
      <c r="AT79" s="1771"/>
      <c r="AU79" s="1771"/>
      <c r="AV79" s="1771"/>
      <c r="AW79" s="1771"/>
      <c r="AX79" s="1771"/>
      <c r="AY79" s="1771"/>
      <c r="AZ79" s="1771"/>
      <c r="BA79" s="1771"/>
      <c r="BB79" s="1771"/>
      <c r="BC79" s="1771"/>
      <c r="BD79" s="1771"/>
      <c r="BE79" s="1771"/>
      <c r="BF79" s="1771"/>
      <c r="BG79" s="1771"/>
      <c r="BH79" s="1771"/>
      <c r="BI79" s="1771"/>
      <c r="BJ79" s="1771"/>
      <c r="BK79" s="1771"/>
      <c r="BL79" s="1771"/>
      <c r="BM79" s="1771"/>
      <c r="BN79" s="1771"/>
      <c r="BO79" s="1771"/>
      <c r="BP79" s="1771"/>
      <c r="BQ79" s="1782"/>
      <c r="BR79" s="2151">
        <f>'Fish and aqua'!D116</f>
        <v>0</v>
      </c>
      <c r="BS79" s="4227">
        <v>1</v>
      </c>
      <c r="BT79" s="1782"/>
      <c r="BU79" s="1782"/>
      <c r="BV79" s="1782"/>
      <c r="BW79" s="1782">
        <f>'Fish and aqua'!G116</f>
        <v>1.6900000000000001E-3</v>
      </c>
      <c r="BX79" s="4227"/>
      <c r="BY79" s="1782"/>
      <c r="BZ79" s="1782"/>
      <c r="CA79" s="1782"/>
      <c r="CB79" s="1782"/>
      <c r="CC79" s="1782"/>
      <c r="CD79" s="1782"/>
      <c r="CE79" s="1782"/>
      <c r="CF79" s="1782"/>
      <c r="CG79" s="1782"/>
      <c r="CH79" s="1782"/>
      <c r="CI79" s="1782"/>
      <c r="CJ79" s="1782"/>
      <c r="CK79" s="1782"/>
      <c r="CL79" s="1771"/>
      <c r="CM79" s="4363">
        <v>1</v>
      </c>
      <c r="CN79" s="4364"/>
      <c r="CO79" s="1996"/>
      <c r="CP79" s="1771"/>
      <c r="CQ79" s="1771"/>
      <c r="CR79" s="1771"/>
      <c r="CS79" s="1771"/>
      <c r="CT79" s="1771"/>
      <c r="CU79" s="1771"/>
      <c r="CV79" s="1771"/>
      <c r="CW79" s="1771"/>
      <c r="CX79" s="1771"/>
      <c r="CY79" s="1771"/>
    </row>
    <row r="80" spans="1:103" x14ac:dyDescent="0.2">
      <c r="A80" s="1771"/>
      <c r="B80" s="1781"/>
      <c r="C80" s="1781"/>
      <c r="D80" s="1781"/>
      <c r="E80" s="1781"/>
      <c r="F80" s="1781"/>
      <c r="G80" s="1781"/>
      <c r="H80" s="1781"/>
      <c r="I80" s="1781"/>
      <c r="J80" s="1781"/>
      <c r="K80" s="1781"/>
      <c r="L80" s="1781"/>
      <c r="M80" s="1781"/>
      <c r="N80" s="4182">
        <f>SUM('7.Coastal wetlands'!L65:L70)</f>
        <v>50</v>
      </c>
      <c r="O80" s="1781"/>
      <c r="P80" s="4182">
        <f>SUM('7.Coastal wetlands'!N65:N70)</f>
        <v>50</v>
      </c>
      <c r="Q80" s="1781"/>
      <c r="R80" s="4182">
        <f>SUM('7.Coastal wetlands'!P65:P70)</f>
        <v>50</v>
      </c>
      <c r="S80" s="1781"/>
      <c r="T80" s="1781"/>
      <c r="U80" s="1781"/>
      <c r="V80" s="1781"/>
      <c r="W80" s="1781"/>
      <c r="X80" s="1781"/>
      <c r="Y80" s="1781"/>
      <c r="Z80" s="1781"/>
      <c r="AA80" s="1781"/>
      <c r="AB80" s="1781"/>
      <c r="AC80" s="1781"/>
      <c r="AD80" s="1781"/>
      <c r="AE80" s="1781"/>
      <c r="AF80" s="1781"/>
      <c r="AG80" s="1781"/>
      <c r="AH80" s="1781"/>
      <c r="AI80" s="1781"/>
      <c r="AJ80" s="1781"/>
      <c r="AK80" s="1771"/>
      <c r="AL80" s="1771"/>
      <c r="AM80" s="1771"/>
      <c r="AN80" s="1771"/>
      <c r="AO80" s="1771"/>
      <c r="AP80" s="1771"/>
      <c r="AQ80" s="1771"/>
      <c r="AR80" s="1771"/>
      <c r="AS80" s="1771"/>
      <c r="AT80" s="1771"/>
      <c r="AU80" s="1771"/>
      <c r="AV80" s="1771"/>
      <c r="AW80" s="1771"/>
      <c r="AX80" s="1771"/>
      <c r="AY80" s="1771"/>
      <c r="AZ80" s="1771"/>
      <c r="BA80" s="1771"/>
      <c r="BB80" s="1771"/>
      <c r="BC80" s="1771"/>
      <c r="BD80" s="1771"/>
      <c r="BE80" s="1771"/>
      <c r="BF80" s="1771"/>
      <c r="BG80" s="1771"/>
      <c r="BH80" s="1771"/>
      <c r="BI80" s="1771"/>
      <c r="BJ80" s="1771"/>
      <c r="BK80" s="1771"/>
      <c r="BL80" s="1771"/>
      <c r="BM80" s="1771"/>
      <c r="BN80" s="1771"/>
      <c r="BO80" s="1771"/>
      <c r="BP80" s="1771"/>
      <c r="BQ80" s="1782"/>
      <c r="BR80" s="1782"/>
      <c r="BS80" s="1782"/>
      <c r="BT80" s="1782"/>
      <c r="BU80" s="1782"/>
      <c r="BV80" s="1782"/>
      <c r="BW80" s="1782"/>
      <c r="BX80" s="1782"/>
      <c r="BY80" s="1782"/>
      <c r="BZ80" s="1782"/>
      <c r="CA80" s="1782"/>
      <c r="CB80" s="1782"/>
      <c r="CC80" s="1782"/>
      <c r="CD80" s="1782"/>
      <c r="CE80" s="1782"/>
      <c r="CF80" s="1782"/>
      <c r="CG80" s="1782"/>
      <c r="CH80" s="1782"/>
      <c r="CI80" s="1782"/>
      <c r="CJ80" s="1782"/>
      <c r="CK80" s="1782"/>
      <c r="CL80" s="1771"/>
      <c r="CM80" s="1996"/>
      <c r="CN80" s="1996"/>
      <c r="CO80" s="1996"/>
      <c r="CP80" s="1771"/>
      <c r="CQ80" s="1771"/>
      <c r="CR80" s="1771"/>
      <c r="CS80" s="1771"/>
      <c r="CT80" s="1771"/>
      <c r="CU80" s="1771"/>
      <c r="CV80" s="1771"/>
      <c r="CW80" s="1771"/>
      <c r="CX80" s="1771"/>
      <c r="CY80" s="1771"/>
    </row>
    <row r="81" spans="1:103" x14ac:dyDescent="0.2">
      <c r="A81" s="1771"/>
      <c r="B81" s="1781"/>
      <c r="C81" s="1781"/>
      <c r="D81" s="1781"/>
      <c r="E81" s="1781"/>
      <c r="F81" s="1781"/>
      <c r="G81" s="1781"/>
      <c r="H81" s="1781"/>
      <c r="I81" s="1781"/>
      <c r="J81" s="1781"/>
      <c r="K81" s="1781"/>
      <c r="L81" s="1781"/>
      <c r="M81" s="1781"/>
      <c r="N81" s="1781"/>
      <c r="O81" s="1781"/>
      <c r="P81" s="1781"/>
      <c r="Q81" s="1781"/>
      <c r="R81" s="1781"/>
      <c r="S81" s="1781"/>
      <c r="T81" s="1781"/>
      <c r="U81" s="1781"/>
      <c r="V81" s="1853"/>
      <c r="W81" s="1853"/>
      <c r="X81" s="1853"/>
      <c r="Y81" s="1853"/>
      <c r="Z81" s="1853"/>
      <c r="AA81" s="1853"/>
      <c r="AB81" s="2018" t="str">
        <f>Languages!B565</f>
        <v>Total for coastal-based aquaculture (tCO2-e)</v>
      </c>
      <c r="AC81" s="2018"/>
      <c r="AD81" s="1853"/>
      <c r="AE81" s="2035">
        <f>SUM(AE74:AE79)</f>
        <v>241.03926785714287</v>
      </c>
      <c r="AF81" s="2036"/>
      <c r="AG81" s="2035">
        <f>SUM(AG74:AG79)</f>
        <v>434.57444642857155</v>
      </c>
      <c r="AH81" s="2036"/>
      <c r="AI81" s="2036">
        <f>SUM(AI74:AI79)</f>
        <v>193.53517857142867</v>
      </c>
      <c r="AJ81" s="1781"/>
      <c r="AK81" s="1771"/>
      <c r="AL81" s="1771"/>
      <c r="AM81" s="1771"/>
      <c r="AN81" s="1771"/>
      <c r="AO81" s="1771"/>
      <c r="AP81" s="1771"/>
      <c r="AQ81" s="1771"/>
      <c r="AR81" s="1771"/>
      <c r="AS81" s="1771"/>
      <c r="AT81" s="1771"/>
      <c r="AU81" s="1771"/>
      <c r="AV81" s="1771"/>
      <c r="AW81" s="1771"/>
      <c r="AX81" s="1771"/>
      <c r="AY81" s="1771"/>
      <c r="AZ81" s="1771"/>
      <c r="BA81" s="1771"/>
      <c r="BB81" s="1771"/>
      <c r="BC81" s="1771"/>
      <c r="BD81" s="1771"/>
      <c r="BE81" s="1771"/>
      <c r="BF81" s="1771"/>
      <c r="BG81" s="1771"/>
      <c r="BH81" s="1771"/>
      <c r="BI81" s="1771"/>
      <c r="BJ81" s="1771"/>
      <c r="BK81" s="1771"/>
      <c r="BL81" s="1771"/>
      <c r="BM81" s="1771"/>
      <c r="BN81" s="1771"/>
      <c r="BO81" s="1771"/>
      <c r="BP81" s="1771"/>
      <c r="BQ81" s="1782"/>
      <c r="BR81" s="1782"/>
      <c r="BS81" s="1782"/>
      <c r="BT81" s="1782"/>
      <c r="BU81" s="1782"/>
      <c r="BV81" s="1782"/>
      <c r="BW81" s="1782"/>
      <c r="BX81" s="1782"/>
      <c r="BY81" s="1782"/>
      <c r="BZ81" s="1782"/>
      <c r="CA81" s="1782"/>
      <c r="CB81" s="1782"/>
      <c r="CC81" s="1782"/>
      <c r="CD81" s="1782"/>
      <c r="CE81" s="1782"/>
      <c r="CF81" s="1782"/>
      <c r="CG81" s="1782"/>
      <c r="CH81" s="1782"/>
      <c r="CI81" s="1782"/>
      <c r="CJ81" s="1782"/>
      <c r="CK81" s="1782"/>
      <c r="CL81" s="1771"/>
      <c r="CM81" s="4548" t="s">
        <v>87</v>
      </c>
      <c r="CN81" s="4548"/>
      <c r="CO81" s="4548"/>
      <c r="CP81" s="1771"/>
      <c r="CQ81" s="1771"/>
      <c r="CR81" s="1771"/>
      <c r="CS81" s="1771"/>
      <c r="CT81" s="1771"/>
      <c r="CU81" s="1771"/>
      <c r="CV81" s="1771"/>
      <c r="CW81" s="1771"/>
      <c r="CX81" s="1771"/>
      <c r="CY81" s="1771"/>
    </row>
    <row r="82" spans="1:103" x14ac:dyDescent="0.2">
      <c r="A82" s="1771"/>
      <c r="B82" s="1781"/>
      <c r="C82" s="1781"/>
      <c r="D82" s="1781"/>
      <c r="E82" s="1781"/>
      <c r="F82" s="1781"/>
      <c r="G82" s="1781"/>
      <c r="H82" s="1781"/>
      <c r="I82" s="1781"/>
      <c r="J82" s="1781"/>
      <c r="K82" s="1781"/>
      <c r="L82" s="1781"/>
      <c r="M82" s="1781"/>
      <c r="N82" s="1781"/>
      <c r="O82" s="1781"/>
      <c r="P82" s="1781"/>
      <c r="Q82" s="1781"/>
      <c r="R82" s="1781"/>
      <c r="S82" s="1781"/>
      <c r="T82" s="1781"/>
      <c r="U82" s="1781"/>
      <c r="V82" s="1781"/>
      <c r="W82" s="1781"/>
      <c r="X82" s="1781"/>
      <c r="Y82" s="1781"/>
      <c r="Z82" s="1781"/>
      <c r="AA82" s="1781"/>
      <c r="AB82" s="1781"/>
      <c r="AC82" s="1781"/>
      <c r="AD82" s="1781"/>
      <c r="AE82" s="1781"/>
      <c r="AF82" s="1781"/>
      <c r="AG82" s="1781"/>
      <c r="AH82" s="1781"/>
      <c r="AI82" s="1781"/>
      <c r="AJ82" s="1781"/>
      <c r="AK82" s="1771"/>
      <c r="AL82" s="1771"/>
      <c r="AM82" s="1771"/>
      <c r="AN82" s="1771"/>
      <c r="AO82" s="1771"/>
      <c r="AP82" s="1771"/>
      <c r="AQ82" s="1771"/>
      <c r="AR82" s="1771"/>
      <c r="AS82" s="1771"/>
      <c r="AT82" s="1771"/>
      <c r="AU82" s="1771"/>
      <c r="AV82" s="1771"/>
      <c r="AW82" s="1771"/>
      <c r="AX82" s="1771"/>
      <c r="AY82" s="1771"/>
      <c r="AZ82" s="1771"/>
      <c r="BA82" s="1771"/>
      <c r="BB82" s="1771"/>
      <c r="BC82" s="1771"/>
      <c r="BD82" s="1771"/>
      <c r="BE82" s="1771"/>
      <c r="BF82" s="1771"/>
      <c r="BG82" s="1771"/>
      <c r="BH82" s="1771"/>
      <c r="BI82" s="1771"/>
      <c r="BJ82" s="1771"/>
      <c r="BK82" s="1771"/>
      <c r="BL82" s="1771"/>
      <c r="BM82" s="1771"/>
      <c r="BN82" s="1771"/>
      <c r="BO82" s="1771"/>
      <c r="BP82" s="1771"/>
      <c r="BQ82" s="1782"/>
      <c r="BR82" s="1782" t="str">
        <f>BR27</f>
        <v>Use this part only if you want to refine the analysis at Tier 2</v>
      </c>
      <c r="BS82" s="1782"/>
      <c r="BT82" s="1782"/>
      <c r="BU82" s="1782"/>
      <c r="BV82" s="1782"/>
      <c r="BW82" s="1782"/>
      <c r="BX82" s="1782"/>
      <c r="BY82" s="1782"/>
      <c r="BZ82" s="1782"/>
      <c r="CA82" s="1782"/>
      <c r="CB82" s="1782"/>
      <c r="CC82" s="1782"/>
      <c r="CD82" s="1782"/>
      <c r="CE82" s="1782"/>
      <c r="CF82" s="1782"/>
      <c r="CG82" s="1782"/>
      <c r="CH82" s="1782"/>
      <c r="CI82" s="1782"/>
      <c r="CJ82" s="1782"/>
      <c r="CK82" s="1782"/>
      <c r="CL82" s="1771"/>
      <c r="CM82" s="4548"/>
      <c r="CN82" s="4548"/>
      <c r="CO82" s="4548"/>
      <c r="CP82" s="1771"/>
      <c r="CQ82" s="1771"/>
      <c r="CR82" s="1771"/>
      <c r="CS82" s="1771"/>
      <c r="CT82" s="1771"/>
      <c r="CU82" s="1771"/>
      <c r="CV82" s="1771"/>
      <c r="CW82" s="1771"/>
      <c r="CX82" s="1771"/>
      <c r="CY82" s="1771"/>
    </row>
    <row r="83" spans="1:103" x14ac:dyDescent="0.2">
      <c r="A83" s="1771"/>
      <c r="B83" s="1781"/>
      <c r="C83" s="1781" t="str">
        <f>C32</f>
        <v>*The selection of "D" corresponds to a default (linear) dynamics of change. Other selection options include "I" for immediate changes and "E" for exponential - please refer to the guidelines for further explanation of these assumptions.</v>
      </c>
      <c r="D83" s="1781"/>
      <c r="E83" s="1781"/>
      <c r="F83" s="1781"/>
      <c r="G83" s="1781"/>
      <c r="H83" s="1781"/>
      <c r="I83" s="1781"/>
      <c r="J83" s="1781"/>
      <c r="K83" s="1781"/>
      <c r="L83" s="1781"/>
      <c r="M83" s="1781"/>
      <c r="N83" s="1781"/>
      <c r="O83" s="1781"/>
      <c r="P83" s="1781"/>
      <c r="Q83" s="1781"/>
      <c r="R83" s="1781"/>
      <c r="S83" s="1781"/>
      <c r="T83" s="1781"/>
      <c r="U83" s="1781"/>
      <c r="V83" s="1781"/>
      <c r="W83" s="1781"/>
      <c r="X83" s="1781"/>
      <c r="Y83" s="1781"/>
      <c r="Z83" s="1781"/>
      <c r="AA83" s="1781"/>
      <c r="AB83" s="1781"/>
      <c r="AC83" s="1781"/>
      <c r="AD83" s="1781"/>
      <c r="AE83" s="1781"/>
      <c r="AF83" s="1781"/>
      <c r="AG83" s="1781"/>
      <c r="AH83" s="1781"/>
      <c r="AI83" s="1781"/>
      <c r="AJ83" s="1781"/>
      <c r="AK83" s="1771"/>
      <c r="AL83" s="1771"/>
      <c r="AM83" s="1771"/>
      <c r="AN83" s="1771"/>
      <c r="AO83" s="1771"/>
      <c r="AP83" s="1771"/>
      <c r="AQ83" s="1771"/>
      <c r="AR83" s="1771"/>
      <c r="AS83" s="1771"/>
      <c r="AT83" s="1771"/>
      <c r="AU83" s="1771"/>
      <c r="AV83" s="1771"/>
      <c r="AW83" s="1771"/>
      <c r="AX83" s="1771"/>
      <c r="AY83" s="1771"/>
      <c r="AZ83" s="1771"/>
      <c r="BA83" s="1771"/>
      <c r="BB83" s="1771"/>
      <c r="BC83" s="1771"/>
      <c r="BD83" s="1771"/>
      <c r="BE83" s="1771"/>
      <c r="BF83" s="1771"/>
      <c r="BG83" s="1771"/>
      <c r="BH83" s="1771"/>
      <c r="BI83" s="1771"/>
      <c r="BJ83" s="1771"/>
      <c r="BK83" s="1771"/>
      <c r="BL83" s="1771"/>
      <c r="BM83" s="1771"/>
      <c r="BN83" s="1771"/>
      <c r="BO83" s="1771"/>
      <c r="BP83" s="1771"/>
      <c r="BQ83" s="1782"/>
      <c r="BR83" s="1782" t="str">
        <f>BR28</f>
        <v>IPCC default values are provided for your information only; EX-ACT will use Tier 2 values automatically wherever specified.</v>
      </c>
      <c r="BS83" s="1782"/>
      <c r="BT83" s="1782"/>
      <c r="BU83" s="1782"/>
      <c r="BV83" s="1782"/>
      <c r="BW83" s="1782"/>
      <c r="BX83" s="1782"/>
      <c r="BY83" s="1782"/>
      <c r="BZ83" s="1782"/>
      <c r="CA83" s="1782"/>
      <c r="CB83" s="1782"/>
      <c r="CC83" s="1782"/>
      <c r="CD83" s="1782"/>
      <c r="CE83" s="1782"/>
      <c r="CF83" s="1782"/>
      <c r="CG83" s="1782"/>
      <c r="CH83" s="1782"/>
      <c r="CI83" s="1782"/>
      <c r="CJ83" s="1782"/>
      <c r="CK83" s="1782"/>
      <c r="CL83" s="1771"/>
      <c r="CM83" s="4548"/>
      <c r="CN83" s="4548"/>
      <c r="CO83" s="4548"/>
      <c r="CP83" s="1771"/>
      <c r="CQ83" s="1771"/>
      <c r="CR83" s="1771"/>
      <c r="CS83" s="1771"/>
      <c r="CT83" s="1771"/>
      <c r="CU83" s="1771"/>
      <c r="CV83" s="1771"/>
      <c r="CW83" s="1771"/>
      <c r="CX83" s="1771"/>
      <c r="CY83" s="1771"/>
    </row>
    <row r="84" spans="1:103" x14ac:dyDescent="0.2">
      <c r="A84" s="1771"/>
      <c r="B84" s="1781"/>
      <c r="C84" s="1781"/>
      <c r="D84" s="1781"/>
      <c r="E84" s="1781"/>
      <c r="F84" s="1781"/>
      <c r="G84" s="1781"/>
      <c r="H84" s="1781"/>
      <c r="I84" s="1781"/>
      <c r="J84" s="1781"/>
      <c r="K84" s="1781"/>
      <c r="L84" s="1781"/>
      <c r="M84" s="1781"/>
      <c r="N84" s="1781"/>
      <c r="O84" s="1781"/>
      <c r="P84" s="1781"/>
      <c r="Q84" s="1781"/>
      <c r="R84" s="1781"/>
      <c r="S84" s="1781"/>
      <c r="T84" s="1781"/>
      <c r="U84" s="1781"/>
      <c r="V84" s="1781"/>
      <c r="W84" s="1781"/>
      <c r="X84" s="1781"/>
      <c r="Y84" s="1781"/>
      <c r="Z84" s="1781"/>
      <c r="AA84" s="1781"/>
      <c r="AB84" s="1781"/>
      <c r="AC84" s="1781"/>
      <c r="AD84" s="1781"/>
      <c r="AE84" s="1781"/>
      <c r="AF84" s="1781"/>
      <c r="AG84" s="1781"/>
      <c r="AH84" s="1781"/>
      <c r="AI84" s="1781"/>
      <c r="AJ84" s="1781"/>
      <c r="AK84" s="1771"/>
      <c r="AL84" s="1771"/>
      <c r="AM84" s="1771"/>
      <c r="AN84" s="1771"/>
      <c r="AO84" s="1771"/>
      <c r="AP84" s="1771"/>
      <c r="AQ84" s="1771"/>
      <c r="AR84" s="1771"/>
      <c r="AS84" s="1771"/>
      <c r="AT84" s="1771"/>
      <c r="AU84" s="1771"/>
      <c r="AV84" s="1771"/>
      <c r="AW84" s="1771"/>
      <c r="AX84" s="1771"/>
      <c r="AY84" s="1771"/>
      <c r="AZ84" s="1771"/>
      <c r="BA84" s="1771"/>
      <c r="BB84" s="1771"/>
      <c r="BC84" s="1771"/>
      <c r="BD84" s="1771"/>
      <c r="BE84" s="1771"/>
      <c r="BF84" s="1771"/>
      <c r="BG84" s="1771"/>
      <c r="BH84" s="1771"/>
      <c r="BI84" s="1771"/>
      <c r="BJ84" s="1771"/>
      <c r="BK84" s="1771"/>
      <c r="BL84" s="1771"/>
      <c r="BM84" s="1771"/>
      <c r="BN84" s="1771"/>
      <c r="BO84" s="1771"/>
      <c r="BP84" s="1771"/>
      <c r="BQ84" s="1782"/>
      <c r="BR84" s="1782"/>
      <c r="BS84" s="1782"/>
      <c r="BT84" s="1782"/>
      <c r="BU84" s="1782"/>
      <c r="BV84" s="1782"/>
      <c r="BW84" s="1782"/>
      <c r="BX84" s="1782"/>
      <c r="BY84" s="1782"/>
      <c r="BZ84" s="1782"/>
      <c r="CA84" s="1782"/>
      <c r="CB84" s="1782"/>
      <c r="CC84" s="1782"/>
      <c r="CD84" s="1782"/>
      <c r="CE84" s="1782"/>
      <c r="CF84" s="1782"/>
      <c r="CG84" s="1782"/>
      <c r="CH84" s="1782"/>
      <c r="CI84" s="1782"/>
      <c r="CJ84" s="1782"/>
      <c r="CK84" s="1782"/>
      <c r="CL84" s="1771"/>
      <c r="CM84" s="1996"/>
      <c r="CN84" s="1996"/>
      <c r="CO84" s="1996"/>
      <c r="CP84" s="1771"/>
      <c r="CQ84" s="1771"/>
      <c r="CR84" s="1771"/>
      <c r="CS84" s="1771"/>
      <c r="CT84" s="1771"/>
      <c r="CU84" s="1771"/>
      <c r="CV84" s="1771"/>
      <c r="CW84" s="1771"/>
      <c r="CX84" s="1771"/>
      <c r="CY84" s="1771"/>
    </row>
    <row r="85" spans="1:103" x14ac:dyDescent="0.2">
      <c r="A85" s="1771"/>
      <c r="B85" s="1771"/>
      <c r="C85" s="1771"/>
      <c r="D85" s="1771"/>
      <c r="E85" s="1771"/>
      <c r="F85" s="1771"/>
      <c r="G85" s="1771"/>
      <c r="H85" s="1771"/>
      <c r="I85" s="1771"/>
      <c r="J85" s="1771"/>
      <c r="K85" s="1771"/>
      <c r="L85" s="1771"/>
      <c r="M85" s="1771"/>
      <c r="N85" s="1771"/>
      <c r="O85" s="1771"/>
      <c r="P85" s="1771"/>
      <c r="Q85" s="1771"/>
      <c r="R85" s="1771"/>
      <c r="S85" s="1771"/>
      <c r="T85" s="1771"/>
      <c r="U85" s="1771"/>
      <c r="V85" s="1771"/>
      <c r="W85" s="1771"/>
      <c r="X85" s="1771"/>
      <c r="Y85" s="1771"/>
      <c r="Z85" s="1771"/>
      <c r="AA85" s="1771"/>
      <c r="AB85" s="1771"/>
      <c r="AC85" s="1771"/>
      <c r="AD85" s="1771"/>
      <c r="AE85" s="1771"/>
      <c r="AF85" s="1771"/>
      <c r="AG85" s="1771"/>
      <c r="AH85" s="1771"/>
      <c r="AI85" s="1771"/>
      <c r="AJ85" s="1771"/>
      <c r="AK85" s="1771"/>
      <c r="AL85" s="1771"/>
      <c r="AM85" s="1771"/>
      <c r="AN85" s="1771"/>
      <c r="AO85" s="1771"/>
      <c r="AP85" s="1771"/>
      <c r="AQ85" s="1771"/>
      <c r="AR85" s="1771"/>
      <c r="AS85" s="1771"/>
      <c r="AT85" s="1771"/>
      <c r="AU85" s="1771"/>
      <c r="AV85" s="1771"/>
      <c r="AW85" s="1771"/>
      <c r="AX85" s="1771"/>
      <c r="AY85" s="1771"/>
      <c r="AZ85" s="1771"/>
      <c r="BA85" s="1771"/>
      <c r="BB85" s="1771"/>
      <c r="BC85" s="1771"/>
      <c r="BD85" s="1771"/>
      <c r="BE85" s="1771"/>
      <c r="BF85" s="1771"/>
      <c r="BG85" s="1771"/>
      <c r="BH85" s="1771"/>
      <c r="BI85" s="1771"/>
      <c r="BJ85" s="1771"/>
      <c r="BK85" s="1771"/>
      <c r="BL85" s="1771"/>
      <c r="BM85" s="1771"/>
      <c r="BN85" s="1771"/>
      <c r="BO85" s="1771"/>
      <c r="BP85" s="1771"/>
      <c r="BQ85" s="1771"/>
      <c r="BR85" s="1771"/>
      <c r="BS85" s="1771"/>
      <c r="BT85" s="1771"/>
      <c r="BU85" s="1771"/>
      <c r="BV85" s="1771"/>
      <c r="BW85" s="1771"/>
      <c r="BX85" s="1771"/>
      <c r="BY85" s="1771"/>
      <c r="BZ85" s="1771"/>
      <c r="CA85" s="1771"/>
      <c r="CB85" s="1771"/>
      <c r="CC85" s="1771"/>
      <c r="CD85" s="1771"/>
      <c r="CE85" s="1771"/>
      <c r="CF85" s="1771"/>
      <c r="CG85" s="1771"/>
      <c r="CH85" s="1771"/>
      <c r="CI85" s="1771"/>
      <c r="CJ85" s="1771"/>
      <c r="CK85" s="1771"/>
      <c r="CL85" s="1771"/>
      <c r="CM85" s="1771"/>
      <c r="CN85" s="1771"/>
      <c r="CO85" s="1771"/>
      <c r="CP85" s="1771"/>
      <c r="CQ85" s="1771"/>
      <c r="CR85" s="1771"/>
      <c r="CS85" s="1771"/>
      <c r="CT85" s="1771"/>
      <c r="CU85" s="1771"/>
      <c r="CV85" s="1771"/>
      <c r="CW85" s="1771"/>
      <c r="CX85" s="1771"/>
      <c r="CY85" s="1771"/>
    </row>
    <row r="86" spans="1:103" x14ac:dyDescent="0.2">
      <c r="A86" s="1771"/>
      <c r="B86" s="1771"/>
      <c r="C86" s="1771"/>
      <c r="D86" s="1771"/>
      <c r="E86" s="1771"/>
      <c r="F86" s="1771"/>
      <c r="G86" s="1771"/>
      <c r="H86" s="1771"/>
      <c r="I86" s="1771"/>
      <c r="J86" s="1771"/>
      <c r="K86" s="1771"/>
      <c r="L86" s="1771"/>
      <c r="M86" s="1771"/>
      <c r="N86" s="1771"/>
      <c r="O86" s="1771"/>
      <c r="P86" s="1771"/>
      <c r="Q86" s="1771"/>
      <c r="R86" s="1771"/>
      <c r="S86" s="1771"/>
      <c r="T86" s="1771"/>
      <c r="U86" s="1771"/>
      <c r="V86" s="1771"/>
      <c r="W86" s="1771"/>
      <c r="X86" s="1771"/>
      <c r="Y86" s="1771"/>
      <c r="Z86" s="1771"/>
      <c r="AA86" s="1771"/>
      <c r="AB86" s="1771"/>
      <c r="AC86" s="1771"/>
      <c r="AD86" s="1771"/>
      <c r="AE86" s="1771"/>
      <c r="AF86" s="1771"/>
      <c r="AG86" s="1771"/>
      <c r="AH86" s="1771"/>
      <c r="AI86" s="1771"/>
      <c r="AJ86" s="1771"/>
      <c r="AK86" s="1771"/>
      <c r="AL86" s="1771"/>
      <c r="AM86" s="1771"/>
      <c r="AN86" s="1771"/>
      <c r="AO86" s="1771"/>
      <c r="AP86" s="1771"/>
      <c r="AQ86" s="1771"/>
      <c r="AR86" s="1771"/>
      <c r="AS86" s="1771"/>
      <c r="AT86" s="1771"/>
      <c r="AU86" s="1771"/>
      <c r="AV86" s="1771"/>
      <c r="AW86" s="1771"/>
      <c r="AX86" s="1771"/>
      <c r="AY86" s="1771"/>
      <c r="AZ86" s="1771"/>
      <c r="BA86" s="1771"/>
      <c r="BB86" s="1771"/>
      <c r="BC86" s="1771"/>
      <c r="BD86" s="1771"/>
      <c r="BE86" s="1771"/>
      <c r="BF86" s="1771"/>
      <c r="BG86" s="1771"/>
      <c r="BH86" s="1771"/>
      <c r="BI86" s="1771"/>
      <c r="BJ86" s="1771"/>
      <c r="BK86" s="1771"/>
      <c r="BL86" s="1771"/>
      <c r="BM86" s="1771"/>
      <c r="BN86" s="1771"/>
      <c r="BO86" s="1771"/>
      <c r="BP86" s="1771"/>
      <c r="BQ86" s="1771"/>
      <c r="BR86" s="1771"/>
      <c r="BS86" s="1771"/>
      <c r="BT86" s="1771"/>
      <c r="BU86" s="1771"/>
      <c r="BV86" s="1771"/>
      <c r="BW86" s="1771"/>
      <c r="BX86" s="1771"/>
      <c r="BY86" s="1771"/>
      <c r="BZ86" s="1771"/>
      <c r="CA86" s="1771"/>
      <c r="CB86" s="1771"/>
      <c r="CC86" s="1771"/>
      <c r="CD86" s="1771"/>
      <c r="CE86" s="1771"/>
      <c r="CF86" s="1771"/>
      <c r="CG86" s="1771"/>
      <c r="CH86" s="1771"/>
      <c r="CI86" s="1771"/>
      <c r="CJ86" s="1771"/>
      <c r="CK86" s="1771"/>
      <c r="CL86" s="1771"/>
      <c r="CM86" s="1771"/>
      <c r="CN86" s="1771"/>
      <c r="CO86" s="1771"/>
      <c r="CP86" s="1771"/>
      <c r="CQ86" s="1771"/>
      <c r="CR86" s="1771"/>
      <c r="CS86" s="1771"/>
      <c r="CT86" s="1771"/>
      <c r="CU86" s="1771"/>
      <c r="CV86" s="1771"/>
      <c r="CW86" s="1771"/>
      <c r="CX86" s="1771"/>
      <c r="CY86" s="1771"/>
    </row>
    <row r="87" spans="1:103" x14ac:dyDescent="0.2">
      <c r="A87" s="1771"/>
      <c r="B87" s="1771"/>
      <c r="C87" s="1771"/>
      <c r="D87" s="1771"/>
      <c r="E87" s="1771"/>
      <c r="F87" s="1771"/>
      <c r="G87" s="1771"/>
      <c r="H87" s="1771"/>
      <c r="I87" s="1771"/>
      <c r="J87" s="1771"/>
      <c r="K87" s="1771"/>
      <c r="L87" s="1771"/>
      <c r="M87" s="1771"/>
      <c r="N87" s="1771"/>
      <c r="O87" s="1771"/>
      <c r="P87" s="1771"/>
      <c r="Q87" s="1771"/>
      <c r="R87" s="1771"/>
      <c r="S87" s="1771"/>
      <c r="T87" s="1771"/>
      <c r="U87" s="1771"/>
      <c r="V87" s="1771"/>
      <c r="W87" s="1771"/>
      <c r="X87" s="1771"/>
      <c r="Y87" s="1771"/>
      <c r="Z87" s="1771"/>
      <c r="AA87" s="1771"/>
      <c r="AB87" s="1771"/>
      <c r="AC87" s="1771"/>
      <c r="AD87" s="1771"/>
      <c r="AE87" s="1771"/>
      <c r="AF87" s="1771"/>
      <c r="AG87" s="1771"/>
      <c r="AH87" s="1771"/>
      <c r="AI87" s="1771"/>
      <c r="AJ87" s="1771"/>
      <c r="AK87" s="1771"/>
      <c r="AL87" s="1771"/>
      <c r="AM87" s="1771"/>
      <c r="AN87" s="1771"/>
      <c r="AO87" s="1771"/>
      <c r="AP87" s="1771"/>
      <c r="AQ87" s="1771"/>
      <c r="AR87" s="1771"/>
      <c r="AS87" s="1771"/>
      <c r="AT87" s="1771"/>
      <c r="AU87" s="1771"/>
      <c r="AV87" s="1771"/>
      <c r="AW87" s="1771"/>
      <c r="AX87" s="1771"/>
      <c r="AY87" s="1771"/>
      <c r="AZ87" s="1771"/>
      <c r="BA87" s="1771"/>
      <c r="BB87" s="1771"/>
      <c r="BC87" s="1771"/>
      <c r="BD87" s="1771"/>
      <c r="BE87" s="1771"/>
      <c r="BF87" s="1771"/>
      <c r="BG87" s="1771"/>
      <c r="BH87" s="1771"/>
      <c r="BI87" s="1771"/>
      <c r="BJ87" s="1771"/>
      <c r="BK87" s="1771"/>
      <c r="BL87" s="1771"/>
      <c r="BM87" s="1771"/>
      <c r="BN87" s="1771"/>
      <c r="BO87" s="1771"/>
      <c r="BP87" s="1771"/>
      <c r="BQ87" s="1771"/>
      <c r="BR87" s="1771"/>
      <c r="BS87" s="1771"/>
      <c r="BT87" s="1771"/>
      <c r="BU87" s="1771"/>
      <c r="BV87" s="1771"/>
      <c r="BW87" s="1771"/>
      <c r="BX87" s="1771"/>
      <c r="BY87" s="1771"/>
      <c r="BZ87" s="1771"/>
      <c r="CA87" s="1771"/>
      <c r="CB87" s="1771"/>
      <c r="CC87" s="1771"/>
      <c r="CD87" s="1771"/>
      <c r="CE87" s="1771"/>
      <c r="CF87" s="1771"/>
      <c r="CG87" s="1771"/>
      <c r="CH87" s="1771"/>
      <c r="CI87" s="1771"/>
      <c r="CJ87" s="1771"/>
      <c r="CK87" s="1771"/>
      <c r="CL87" s="1771"/>
      <c r="CM87" s="1771"/>
      <c r="CN87" s="1771"/>
      <c r="CO87" s="1771"/>
      <c r="CP87" s="1771"/>
      <c r="CQ87" s="1771"/>
      <c r="CR87" s="1771"/>
      <c r="CS87" s="1771"/>
      <c r="CT87" s="1771"/>
      <c r="CU87" s="1771"/>
      <c r="CV87" s="1771"/>
      <c r="CW87" s="1771"/>
      <c r="CX87" s="1771"/>
      <c r="CY87" s="1771"/>
    </row>
    <row r="88" spans="1:103" x14ac:dyDescent="0.2">
      <c r="A88" s="1771"/>
      <c r="B88" s="1771"/>
      <c r="C88" s="1771"/>
      <c r="D88" s="1771"/>
      <c r="E88" s="1771"/>
      <c r="F88" s="1771"/>
      <c r="G88" s="1771"/>
      <c r="H88" s="1771"/>
      <c r="I88" s="1771"/>
      <c r="J88" s="1771"/>
      <c r="K88" s="1771"/>
      <c r="L88" s="1771"/>
      <c r="M88" s="1771"/>
      <c r="N88" s="1771"/>
      <c r="O88" s="1771"/>
      <c r="P88" s="1771"/>
      <c r="Q88" s="1771"/>
      <c r="R88" s="1771"/>
      <c r="S88" s="1771"/>
      <c r="T88" s="1771"/>
      <c r="U88" s="1771"/>
      <c r="V88" s="1771"/>
      <c r="W88" s="1771"/>
      <c r="X88" s="1771"/>
      <c r="Y88" s="1771"/>
      <c r="Z88" s="1771"/>
      <c r="AA88" s="1771"/>
      <c r="AB88" s="1771"/>
      <c r="AC88" s="1771"/>
      <c r="AD88" s="1771"/>
      <c r="AE88" s="1771"/>
      <c r="AF88" s="1771"/>
      <c r="AG88" s="1771"/>
      <c r="AH88" s="1771"/>
      <c r="AI88" s="1771"/>
      <c r="AJ88" s="1771"/>
      <c r="AK88" s="1771"/>
      <c r="AL88" s="1771"/>
      <c r="AM88" s="1771"/>
      <c r="AN88" s="1771"/>
      <c r="AO88" s="1771"/>
      <c r="AP88" s="1771"/>
      <c r="AQ88" s="1771"/>
      <c r="AR88" s="1771"/>
      <c r="AS88" s="1771"/>
      <c r="AT88" s="1771"/>
      <c r="AU88" s="1771"/>
      <c r="AV88" s="1771"/>
      <c r="AW88" s="1771"/>
      <c r="AX88" s="1771"/>
      <c r="AY88" s="1771"/>
      <c r="AZ88" s="1771"/>
      <c r="BA88" s="1771"/>
      <c r="BB88" s="1771"/>
      <c r="BC88" s="1771"/>
      <c r="BD88" s="1771"/>
      <c r="BE88" s="1771"/>
      <c r="BF88" s="1771"/>
      <c r="BG88" s="1771"/>
      <c r="BH88" s="1771"/>
      <c r="BI88" s="1771"/>
      <c r="BJ88" s="1771"/>
      <c r="BK88" s="1771"/>
      <c r="BL88" s="1771"/>
      <c r="BM88" s="1771"/>
      <c r="BN88" s="1771"/>
      <c r="BO88" s="1771"/>
      <c r="BP88" s="1771"/>
      <c r="BQ88" s="1771"/>
      <c r="BR88" s="1771"/>
      <c r="BS88" s="1771"/>
      <c r="BT88" s="1771"/>
      <c r="BU88" s="1771"/>
      <c r="BV88" s="1771"/>
      <c r="BW88" s="1771"/>
      <c r="BX88" s="1771"/>
      <c r="BY88" s="1771"/>
      <c r="BZ88" s="1771"/>
      <c r="CA88" s="1771"/>
      <c r="CB88" s="1771"/>
      <c r="CC88" s="1771"/>
      <c r="CD88" s="1771"/>
      <c r="CE88" s="1771"/>
      <c r="CF88" s="1771"/>
      <c r="CG88" s="1771"/>
      <c r="CH88" s="1771"/>
      <c r="CI88" s="1771"/>
      <c r="CJ88" s="1771"/>
      <c r="CK88" s="1771"/>
      <c r="CL88" s="1771"/>
      <c r="CM88" s="1771"/>
      <c r="CN88" s="1771"/>
      <c r="CO88" s="1771"/>
      <c r="CP88" s="1771"/>
      <c r="CQ88" s="1771"/>
      <c r="CR88" s="1771"/>
      <c r="CS88" s="1771"/>
      <c r="CT88" s="1771"/>
      <c r="CU88" s="1771"/>
      <c r="CV88" s="1771"/>
      <c r="CW88" s="1771"/>
      <c r="CX88" s="1771"/>
      <c r="CY88" s="1771"/>
    </row>
    <row r="89" spans="1:103" x14ac:dyDescent="0.2">
      <c r="A89" s="1771"/>
      <c r="B89" s="1771"/>
      <c r="C89" s="1771"/>
      <c r="D89" s="1771"/>
      <c r="E89" s="1771"/>
      <c r="F89" s="1771"/>
      <c r="G89" s="1771"/>
      <c r="H89" s="1771"/>
      <c r="I89" s="1771"/>
      <c r="J89" s="1771"/>
      <c r="K89" s="1771"/>
      <c r="L89" s="1771"/>
      <c r="M89" s="1771"/>
      <c r="N89" s="1771"/>
      <c r="O89" s="1771"/>
      <c r="P89" s="1771"/>
      <c r="Q89" s="1771"/>
      <c r="R89" s="1771"/>
      <c r="S89" s="1771"/>
      <c r="T89" s="1771"/>
      <c r="U89" s="1771"/>
      <c r="V89" s="1771"/>
      <c r="W89" s="1771"/>
      <c r="X89" s="1771"/>
      <c r="Y89" s="1771"/>
      <c r="Z89" s="1771"/>
      <c r="AA89" s="1771"/>
      <c r="AB89" s="1771"/>
      <c r="AC89" s="1771"/>
      <c r="AD89" s="1771"/>
      <c r="AE89" s="1771"/>
      <c r="AF89" s="1771"/>
      <c r="AG89" s="1771"/>
      <c r="AH89" s="1771"/>
      <c r="AI89" s="1771"/>
      <c r="AJ89" s="1771"/>
      <c r="AK89" s="1771"/>
      <c r="AL89" s="1771"/>
      <c r="AM89" s="1771"/>
      <c r="AN89" s="1771"/>
      <c r="AO89" s="1771"/>
      <c r="AP89" s="1771"/>
      <c r="AQ89" s="1771"/>
      <c r="AR89" s="1771"/>
      <c r="AS89" s="1771"/>
      <c r="AT89" s="1771"/>
      <c r="AU89" s="1771"/>
      <c r="AV89" s="1771"/>
      <c r="AW89" s="1771"/>
      <c r="AX89" s="1771"/>
      <c r="AY89" s="1771"/>
      <c r="AZ89" s="1771"/>
      <c r="BA89" s="1771"/>
      <c r="BB89" s="1771"/>
      <c r="BC89" s="1771"/>
      <c r="BD89" s="1771"/>
      <c r="BE89" s="1771"/>
      <c r="BF89" s="1771"/>
      <c r="BG89" s="1771"/>
      <c r="BH89" s="1771"/>
      <c r="BI89" s="1771"/>
      <c r="BJ89" s="1771"/>
      <c r="BK89" s="1771"/>
      <c r="BL89" s="1771"/>
      <c r="BM89" s="1771"/>
      <c r="BN89" s="1771"/>
      <c r="BO89" s="1771"/>
      <c r="BP89" s="1771"/>
      <c r="BQ89" s="1771"/>
      <c r="BR89" s="1771"/>
      <c r="BS89" s="1771"/>
      <c r="BT89" s="1771"/>
      <c r="BU89" s="1771"/>
      <c r="BV89" s="1771"/>
      <c r="BW89" s="1771"/>
      <c r="BX89" s="1771"/>
      <c r="BY89" s="1771"/>
      <c r="BZ89" s="1771"/>
      <c r="CA89" s="1771"/>
      <c r="CB89" s="1771"/>
      <c r="CC89" s="1771"/>
      <c r="CD89" s="1771"/>
      <c r="CE89" s="1771"/>
      <c r="CF89" s="1771"/>
      <c r="CG89" s="1771"/>
      <c r="CH89" s="1771"/>
      <c r="CI89" s="1771"/>
      <c r="CJ89" s="1771"/>
      <c r="CK89" s="1771"/>
      <c r="CL89" s="1771"/>
      <c r="CM89" s="1771"/>
      <c r="CN89" s="1771"/>
      <c r="CO89" s="1771"/>
      <c r="CP89" s="1771"/>
      <c r="CQ89" s="1771"/>
      <c r="CR89" s="1771"/>
      <c r="CS89" s="1771"/>
      <c r="CT89" s="1771"/>
      <c r="CU89" s="1771"/>
      <c r="CV89" s="1771"/>
      <c r="CW89" s="1771"/>
      <c r="CX89" s="1771"/>
      <c r="CY89" s="1771"/>
    </row>
    <row r="90" spans="1:103" x14ac:dyDescent="0.2">
      <c r="A90" s="1771"/>
      <c r="B90" s="1771"/>
      <c r="C90" s="1771"/>
      <c r="D90" s="1771"/>
      <c r="E90" s="1771"/>
      <c r="F90" s="1771"/>
      <c r="G90" s="1771"/>
      <c r="H90" s="1771"/>
      <c r="I90" s="1771"/>
      <c r="J90" s="1771"/>
      <c r="K90" s="1771"/>
      <c r="L90" s="1771"/>
      <c r="M90" s="1771"/>
      <c r="N90" s="1771"/>
      <c r="O90" s="1771"/>
      <c r="P90" s="1771"/>
      <c r="Q90" s="1771"/>
      <c r="R90" s="1771"/>
      <c r="S90" s="1771"/>
      <c r="T90" s="1771"/>
      <c r="U90" s="1771"/>
      <c r="V90" s="1771"/>
      <c r="W90" s="1771"/>
      <c r="X90" s="1771"/>
      <c r="Y90" s="1771"/>
      <c r="Z90" s="1771"/>
      <c r="AA90" s="1771"/>
      <c r="AB90" s="1771"/>
      <c r="AC90" s="1771"/>
      <c r="AD90" s="1771"/>
      <c r="AE90" s="1771"/>
      <c r="AF90" s="1771"/>
      <c r="AG90" s="1771"/>
      <c r="AH90" s="1771"/>
      <c r="AI90" s="1771"/>
      <c r="AJ90" s="1771"/>
      <c r="AK90" s="1771"/>
      <c r="AL90" s="1771"/>
      <c r="AM90" s="1771"/>
      <c r="AN90" s="1771"/>
      <c r="AO90" s="1771"/>
      <c r="AP90" s="1771"/>
      <c r="AQ90" s="1771"/>
      <c r="AR90" s="1771"/>
      <c r="AS90" s="1771"/>
      <c r="AT90" s="1771"/>
      <c r="AU90" s="1771"/>
      <c r="AV90" s="1771"/>
      <c r="AW90" s="1771"/>
      <c r="AX90" s="1771"/>
      <c r="AY90" s="1771"/>
      <c r="AZ90" s="1771"/>
      <c r="BA90" s="1771"/>
      <c r="BB90" s="1771"/>
      <c r="BC90" s="1771"/>
      <c r="BD90" s="1771"/>
      <c r="BE90" s="1771"/>
      <c r="BF90" s="1771"/>
      <c r="BG90" s="1771"/>
      <c r="BH90" s="1771"/>
      <c r="BI90" s="1771"/>
      <c r="BJ90" s="1771"/>
      <c r="BK90" s="1771"/>
      <c r="BL90" s="1771"/>
      <c r="BM90" s="1771"/>
      <c r="BN90" s="1771"/>
      <c r="BO90" s="1771"/>
      <c r="BP90" s="1771"/>
      <c r="BQ90" s="1771"/>
      <c r="BR90" s="1771"/>
      <c r="BS90" s="1771"/>
      <c r="BT90" s="1771"/>
      <c r="BU90" s="1771"/>
      <c r="BV90" s="1771"/>
      <c r="BW90" s="1771"/>
      <c r="BX90" s="1771"/>
      <c r="BY90" s="1771"/>
      <c r="BZ90" s="1771"/>
      <c r="CA90" s="1771"/>
      <c r="CB90" s="1771"/>
      <c r="CC90" s="1771"/>
      <c r="CD90" s="1771"/>
      <c r="CE90" s="1771"/>
      <c r="CF90" s="1771"/>
      <c r="CG90" s="1771"/>
      <c r="CH90" s="1771"/>
      <c r="CI90" s="1771"/>
      <c r="CJ90" s="1771"/>
      <c r="CK90" s="1771"/>
      <c r="CL90" s="1771"/>
      <c r="CM90" s="1771"/>
      <c r="CN90" s="1771"/>
      <c r="CO90" s="1771"/>
      <c r="CP90" s="1771"/>
      <c r="CQ90" s="1771"/>
      <c r="CR90" s="1771"/>
      <c r="CS90" s="1771"/>
      <c r="CT90" s="1771"/>
      <c r="CU90" s="1771"/>
      <c r="CV90" s="1771"/>
      <c r="CW90" s="1771"/>
      <c r="CX90" s="1771"/>
      <c r="CY90" s="1771"/>
    </row>
    <row r="91" spans="1:103" x14ac:dyDescent="0.2">
      <c r="A91" s="1771"/>
      <c r="B91" s="1771"/>
      <c r="C91" s="1771"/>
      <c r="D91" s="1771"/>
      <c r="E91" s="1771"/>
      <c r="F91" s="1771"/>
      <c r="G91" s="1771"/>
      <c r="H91" s="1771"/>
      <c r="I91" s="1771"/>
      <c r="J91" s="1771"/>
      <c r="K91" s="1771"/>
      <c r="L91" s="1771"/>
      <c r="M91" s="1771"/>
      <c r="N91" s="1771"/>
      <c r="O91" s="1771"/>
      <c r="P91" s="1771"/>
      <c r="Q91" s="1771"/>
      <c r="R91" s="1771"/>
      <c r="S91" s="1771"/>
      <c r="T91" s="1771"/>
      <c r="U91" s="1771"/>
      <c r="V91" s="1771"/>
      <c r="W91" s="1771"/>
      <c r="X91" s="1771"/>
      <c r="Y91" s="1771"/>
      <c r="Z91" s="1771"/>
      <c r="AA91" s="1771"/>
      <c r="AB91" s="1771"/>
      <c r="AC91" s="1771"/>
      <c r="AD91" s="1771"/>
      <c r="AE91" s="1771"/>
      <c r="AF91" s="1771"/>
      <c r="AG91" s="1771"/>
      <c r="AH91" s="1771"/>
      <c r="AI91" s="1771"/>
      <c r="AJ91" s="1771"/>
      <c r="AK91" s="1771"/>
      <c r="AL91" s="1771"/>
      <c r="AM91" s="1771"/>
      <c r="AN91" s="1771"/>
      <c r="AO91" s="1771"/>
      <c r="AP91" s="1771"/>
      <c r="AQ91" s="1771"/>
      <c r="AR91" s="1771"/>
      <c r="AS91" s="1771"/>
      <c r="AT91" s="1771"/>
      <c r="AU91" s="1771"/>
      <c r="AV91" s="1771"/>
      <c r="AW91" s="1771"/>
      <c r="AX91" s="1771"/>
      <c r="AY91" s="1771"/>
      <c r="AZ91" s="1771"/>
      <c r="BA91" s="1771"/>
      <c r="BB91" s="1771"/>
      <c r="BC91" s="1771"/>
      <c r="BD91" s="1771"/>
      <c r="BE91" s="1771"/>
      <c r="BF91" s="1771"/>
      <c r="BG91" s="1771"/>
      <c r="BH91" s="1771"/>
      <c r="BI91" s="1771"/>
      <c r="BJ91" s="1771"/>
      <c r="BK91" s="1771"/>
      <c r="BL91" s="1771"/>
      <c r="BM91" s="1771"/>
      <c r="BN91" s="1771"/>
      <c r="BO91" s="1771"/>
      <c r="BP91" s="1771"/>
      <c r="BQ91" s="1771"/>
      <c r="BR91" s="1771"/>
      <c r="BS91" s="1771"/>
      <c r="BT91" s="1771"/>
      <c r="BU91" s="1771"/>
      <c r="BV91" s="1771"/>
      <c r="BW91" s="1771"/>
      <c r="BX91" s="1771"/>
      <c r="BY91" s="1771"/>
      <c r="BZ91" s="1771"/>
      <c r="CA91" s="1771"/>
      <c r="CB91" s="1771"/>
      <c r="CC91" s="1771"/>
      <c r="CD91" s="1771"/>
      <c r="CE91" s="1771"/>
      <c r="CF91" s="1771"/>
      <c r="CG91" s="1771"/>
      <c r="CH91" s="1771"/>
      <c r="CI91" s="1771"/>
      <c r="CJ91" s="1771"/>
      <c r="CK91" s="1771"/>
      <c r="CL91" s="1771"/>
      <c r="CM91" s="1771"/>
      <c r="CN91" s="1771"/>
      <c r="CO91" s="1771"/>
      <c r="CP91" s="1771"/>
      <c r="CQ91" s="1771"/>
      <c r="CR91" s="1771"/>
      <c r="CS91" s="1771"/>
      <c r="CT91" s="1771"/>
      <c r="CU91" s="1771"/>
      <c r="CV91" s="1771"/>
      <c r="CW91" s="1771"/>
      <c r="CX91" s="1771"/>
      <c r="CY91" s="1771"/>
    </row>
    <row r="92" spans="1:103" x14ac:dyDescent="0.2">
      <c r="A92" s="1771"/>
      <c r="B92" s="1771"/>
      <c r="C92" s="1771"/>
      <c r="D92" s="1771"/>
      <c r="E92" s="1771"/>
      <c r="F92" s="1771"/>
      <c r="G92" s="1771"/>
      <c r="H92" s="1771"/>
      <c r="I92" s="1771"/>
      <c r="J92" s="1771"/>
      <c r="K92" s="1771"/>
      <c r="L92" s="1771"/>
      <c r="M92" s="1771"/>
      <c r="N92" s="1771"/>
      <c r="O92" s="1771"/>
      <c r="P92" s="1771"/>
      <c r="Q92" s="1771"/>
      <c r="R92" s="1771"/>
      <c r="S92" s="1771"/>
      <c r="T92" s="1771"/>
      <c r="U92" s="1771"/>
      <c r="V92" s="1771"/>
      <c r="W92" s="1771"/>
      <c r="X92" s="1771"/>
      <c r="Y92" s="1771"/>
      <c r="Z92" s="1771"/>
      <c r="AA92" s="1771"/>
      <c r="AB92" s="1771"/>
      <c r="AC92" s="1771"/>
      <c r="AD92" s="1771"/>
      <c r="AE92" s="1771"/>
      <c r="AF92" s="1771"/>
      <c r="AG92" s="1771"/>
      <c r="AH92" s="1771"/>
      <c r="AI92" s="1771"/>
      <c r="AJ92" s="1771"/>
      <c r="AK92" s="1771"/>
      <c r="AL92" s="1771"/>
      <c r="AM92" s="1771"/>
      <c r="AN92" s="1771"/>
      <c r="AO92" s="1771"/>
      <c r="AP92" s="1771"/>
      <c r="AQ92" s="1771"/>
      <c r="AR92" s="1771"/>
      <c r="AS92" s="1771"/>
      <c r="AT92" s="1771"/>
      <c r="AU92" s="1771"/>
      <c r="AV92" s="1771"/>
      <c r="AW92" s="1771"/>
      <c r="AX92" s="1771"/>
      <c r="AY92" s="1771"/>
      <c r="AZ92" s="1771"/>
      <c r="BA92" s="1771"/>
      <c r="BB92" s="1771"/>
      <c r="BC92" s="1771"/>
      <c r="BD92" s="1771"/>
      <c r="BE92" s="1771"/>
      <c r="BF92" s="1771"/>
      <c r="BG92" s="1771"/>
      <c r="BH92" s="1771"/>
      <c r="BI92" s="1771"/>
      <c r="BJ92" s="1771"/>
      <c r="BK92" s="1771"/>
      <c r="BL92" s="1771"/>
      <c r="BM92" s="1771"/>
      <c r="BN92" s="1771"/>
      <c r="BO92" s="1771"/>
      <c r="BP92" s="1771"/>
      <c r="BQ92" s="1771"/>
      <c r="BR92" s="1771"/>
      <c r="BS92" s="1771"/>
      <c r="BT92" s="1771"/>
      <c r="BU92" s="1771"/>
      <c r="BV92" s="1771"/>
      <c r="BW92" s="1771"/>
      <c r="BX92" s="1771"/>
      <c r="BY92" s="1771"/>
      <c r="BZ92" s="1771"/>
      <c r="CA92" s="1771"/>
      <c r="CB92" s="1771"/>
      <c r="CC92" s="1771"/>
      <c r="CD92" s="1771"/>
      <c r="CE92" s="1771"/>
      <c r="CF92" s="1771"/>
      <c r="CG92" s="1771"/>
      <c r="CH92" s="1771"/>
      <c r="CI92" s="1771"/>
      <c r="CJ92" s="1771"/>
      <c r="CK92" s="1771"/>
      <c r="CL92" s="1771"/>
      <c r="CM92" s="1771"/>
      <c r="CN92" s="1771"/>
      <c r="CO92" s="1771"/>
      <c r="CP92" s="1771"/>
      <c r="CQ92" s="1771"/>
      <c r="CR92" s="1771"/>
      <c r="CS92" s="1771"/>
      <c r="CT92" s="1771"/>
      <c r="CU92" s="1771"/>
      <c r="CV92" s="1771"/>
      <c r="CW92" s="1771"/>
      <c r="CX92" s="1771"/>
      <c r="CY92" s="1771"/>
    </row>
    <row r="93" spans="1:103" x14ac:dyDescent="0.2">
      <c r="A93" s="1771"/>
      <c r="B93" s="1771"/>
      <c r="C93" s="1771"/>
      <c r="D93" s="1771"/>
      <c r="E93" s="1771"/>
      <c r="F93" s="1771"/>
      <c r="G93" s="1771"/>
      <c r="H93" s="1771"/>
      <c r="I93" s="1771"/>
      <c r="J93" s="1771"/>
      <c r="K93" s="1771"/>
      <c r="L93" s="1771"/>
      <c r="M93" s="1771"/>
      <c r="N93" s="1771"/>
      <c r="O93" s="1771"/>
      <c r="P93" s="1771"/>
      <c r="Q93" s="1771"/>
      <c r="R93" s="1771"/>
      <c r="S93" s="1771"/>
      <c r="T93" s="1771"/>
      <c r="U93" s="1771"/>
      <c r="V93" s="1771"/>
      <c r="W93" s="1771"/>
      <c r="X93" s="1771"/>
      <c r="Y93" s="1771"/>
      <c r="Z93" s="1771"/>
      <c r="AA93" s="1771"/>
      <c r="AB93" s="1771"/>
      <c r="AC93" s="1771"/>
      <c r="AD93" s="1771"/>
      <c r="AE93" s="1771"/>
      <c r="AF93" s="1771"/>
      <c r="AG93" s="1771"/>
      <c r="AH93" s="1771"/>
      <c r="AI93" s="1771"/>
      <c r="AJ93" s="1771"/>
      <c r="AK93" s="1771"/>
      <c r="AL93" s="1771"/>
      <c r="AM93" s="1771"/>
      <c r="AN93" s="1771"/>
      <c r="AO93" s="1771"/>
      <c r="AP93" s="1771"/>
      <c r="AQ93" s="1771"/>
      <c r="AR93" s="1771"/>
      <c r="AS93" s="1771"/>
      <c r="AT93" s="1771"/>
      <c r="AU93" s="1771"/>
      <c r="AV93" s="1771"/>
      <c r="AW93" s="1771"/>
      <c r="AX93" s="1771"/>
      <c r="AY93" s="1771"/>
      <c r="AZ93" s="1771"/>
      <c r="BA93" s="1771"/>
      <c r="BB93" s="1771"/>
      <c r="BC93" s="1771"/>
      <c r="BD93" s="1771"/>
      <c r="BE93" s="1771"/>
      <c r="BF93" s="1771"/>
      <c r="BG93" s="1771"/>
      <c r="BH93" s="1771"/>
      <c r="BI93" s="1771"/>
      <c r="BJ93" s="1771"/>
      <c r="BK93" s="1771"/>
      <c r="BL93" s="1771"/>
      <c r="BM93" s="1771"/>
      <c r="BN93" s="1771"/>
      <c r="BO93" s="1771"/>
      <c r="BP93" s="1771"/>
      <c r="BQ93" s="1771"/>
      <c r="BR93" s="1771"/>
      <c r="BS93" s="1771"/>
      <c r="BT93" s="1771"/>
      <c r="BU93" s="1771"/>
      <c r="BV93" s="1771"/>
      <c r="BW93" s="1771"/>
      <c r="BX93" s="1771"/>
      <c r="BY93" s="1771"/>
      <c r="BZ93" s="1771"/>
      <c r="CA93" s="1771"/>
      <c r="CB93" s="1771"/>
      <c r="CC93" s="1771"/>
      <c r="CD93" s="1771"/>
      <c r="CE93" s="1771"/>
      <c r="CF93" s="1771"/>
      <c r="CG93" s="1771"/>
      <c r="CH93" s="1771"/>
      <c r="CI93" s="1771"/>
      <c r="CJ93" s="1771"/>
      <c r="CK93" s="1771"/>
      <c r="CL93" s="1771"/>
      <c r="CM93" s="1771"/>
      <c r="CN93" s="1771"/>
      <c r="CO93" s="1771"/>
      <c r="CP93" s="1771"/>
      <c r="CQ93" s="1771"/>
      <c r="CR93" s="1771"/>
      <c r="CS93" s="1771"/>
      <c r="CT93" s="1771"/>
      <c r="CU93" s="1771"/>
      <c r="CV93" s="1771"/>
      <c r="CW93" s="1771"/>
      <c r="CX93" s="1771"/>
      <c r="CY93" s="1771"/>
    </row>
    <row r="94" spans="1:103" x14ac:dyDescent="0.2">
      <c r="A94" s="1771"/>
      <c r="B94" s="1771"/>
      <c r="C94" s="1771"/>
      <c r="D94" s="1771"/>
      <c r="E94" s="1771"/>
      <c r="F94" s="1771"/>
      <c r="G94" s="1771"/>
      <c r="H94" s="1771"/>
      <c r="I94" s="1771"/>
      <c r="J94" s="1771"/>
      <c r="K94" s="1771"/>
      <c r="L94" s="1771"/>
      <c r="M94" s="1771"/>
      <c r="N94" s="1771"/>
      <c r="O94" s="1771"/>
      <c r="P94" s="1771"/>
      <c r="Q94" s="1771"/>
      <c r="R94" s="1771"/>
      <c r="S94" s="1771"/>
      <c r="T94" s="1771"/>
      <c r="U94" s="1771"/>
      <c r="V94" s="1771"/>
      <c r="W94" s="1771"/>
      <c r="X94" s="1771"/>
      <c r="Y94" s="1771"/>
      <c r="Z94" s="1771"/>
      <c r="AA94" s="1771"/>
      <c r="AB94" s="1771"/>
      <c r="AC94" s="1771"/>
      <c r="AD94" s="1771"/>
      <c r="AE94" s="1771"/>
      <c r="AF94" s="1771"/>
      <c r="AG94" s="1771"/>
      <c r="AH94" s="1771"/>
      <c r="AI94" s="1771"/>
      <c r="AJ94" s="1771"/>
      <c r="AK94" s="1771"/>
      <c r="AL94" s="1771"/>
      <c r="AM94" s="1771"/>
      <c r="AN94" s="1771"/>
      <c r="AO94" s="1771"/>
      <c r="AP94" s="1771"/>
      <c r="AQ94" s="1771"/>
      <c r="AR94" s="1771"/>
      <c r="AS94" s="1771"/>
      <c r="AT94" s="1771"/>
      <c r="AU94" s="1771"/>
      <c r="AV94" s="1771"/>
      <c r="AW94" s="1771"/>
      <c r="AX94" s="1771"/>
      <c r="AY94" s="1771"/>
      <c r="AZ94" s="1771"/>
      <c r="BA94" s="1771"/>
      <c r="BB94" s="1771"/>
      <c r="BC94" s="1771"/>
      <c r="BD94" s="1771"/>
      <c r="BE94" s="1771"/>
      <c r="BF94" s="1771"/>
      <c r="BG94" s="1771"/>
      <c r="BH94" s="1771"/>
      <c r="BI94" s="1771"/>
      <c r="BJ94" s="1771"/>
      <c r="BK94" s="1771"/>
      <c r="BL94" s="1771"/>
      <c r="BM94" s="1771"/>
      <c r="BN94" s="1771"/>
      <c r="BO94" s="1771"/>
      <c r="BP94" s="1771"/>
      <c r="BQ94" s="1771"/>
      <c r="BR94" s="1771"/>
      <c r="BS94" s="1771"/>
      <c r="BT94" s="1771"/>
      <c r="BU94" s="1771"/>
      <c r="BV94" s="1771"/>
      <c r="BW94" s="1771"/>
      <c r="BX94" s="1771"/>
      <c r="BY94" s="1771"/>
      <c r="BZ94" s="1771"/>
      <c r="CA94" s="1771"/>
      <c r="CB94" s="1771"/>
      <c r="CC94" s="1771"/>
      <c r="CD94" s="1771"/>
      <c r="CE94" s="1771"/>
      <c r="CF94" s="1771"/>
      <c r="CG94" s="1771"/>
      <c r="CH94" s="1771"/>
      <c r="CI94" s="1771"/>
      <c r="CJ94" s="1771"/>
      <c r="CK94" s="1771"/>
      <c r="CL94" s="1771"/>
      <c r="CM94" s="1771"/>
      <c r="CN94" s="1771"/>
      <c r="CO94" s="1771"/>
      <c r="CP94" s="1771"/>
      <c r="CQ94" s="1771"/>
      <c r="CR94" s="1771"/>
      <c r="CS94" s="1771"/>
      <c r="CT94" s="1771"/>
      <c r="CU94" s="1771"/>
      <c r="CV94" s="1771"/>
      <c r="CW94" s="1771"/>
      <c r="CX94" s="1771"/>
      <c r="CY94" s="1771"/>
    </row>
    <row r="95" spans="1:103" x14ac:dyDescent="0.2">
      <c r="A95" s="1771"/>
      <c r="B95" s="1771"/>
      <c r="C95" s="1771"/>
      <c r="D95" s="1771"/>
      <c r="E95" s="1771"/>
      <c r="F95" s="1771"/>
      <c r="G95" s="1771"/>
      <c r="H95" s="1771"/>
      <c r="I95" s="1771"/>
      <c r="J95" s="1771"/>
      <c r="K95" s="1771"/>
      <c r="L95" s="1771"/>
      <c r="M95" s="1771"/>
      <c r="N95" s="1771"/>
      <c r="O95" s="1771"/>
      <c r="P95" s="1771"/>
      <c r="Q95" s="1771"/>
      <c r="R95" s="1771"/>
      <c r="S95" s="1771"/>
      <c r="T95" s="1771"/>
      <c r="U95" s="1771"/>
      <c r="V95" s="1771"/>
      <c r="W95" s="1771"/>
      <c r="X95" s="1771"/>
      <c r="Y95" s="1771"/>
      <c r="Z95" s="1771"/>
      <c r="AA95" s="1771"/>
      <c r="AB95" s="1771"/>
      <c r="AC95" s="1771"/>
      <c r="AD95" s="1771"/>
      <c r="AE95" s="1771"/>
      <c r="AF95" s="1771"/>
      <c r="AG95" s="1771"/>
      <c r="AH95" s="1771"/>
      <c r="AI95" s="1771"/>
      <c r="AJ95" s="1771"/>
      <c r="AK95" s="1771"/>
      <c r="AL95" s="1771"/>
      <c r="AM95" s="1771"/>
      <c r="AN95" s="1771"/>
      <c r="AO95" s="1771"/>
      <c r="AP95" s="1771"/>
      <c r="AQ95" s="1771"/>
      <c r="AR95" s="1771"/>
      <c r="AS95" s="1771"/>
      <c r="AT95" s="1771"/>
      <c r="AU95" s="1771"/>
      <c r="AV95" s="1771"/>
      <c r="AW95" s="1771"/>
      <c r="AX95" s="1771"/>
      <c r="AY95" s="1771"/>
      <c r="AZ95" s="1771"/>
      <c r="BA95" s="1771"/>
      <c r="BB95" s="1771"/>
      <c r="BC95" s="1771"/>
      <c r="BD95" s="1771"/>
      <c r="BE95" s="1771"/>
      <c r="BF95" s="1771"/>
      <c r="BG95" s="1771"/>
      <c r="BH95" s="1771"/>
      <c r="BI95" s="1771"/>
      <c r="BJ95" s="1771"/>
      <c r="BK95" s="1771"/>
      <c r="BL95" s="1771"/>
      <c r="BM95" s="1771"/>
      <c r="BN95" s="1771"/>
      <c r="BO95" s="1771"/>
      <c r="BP95" s="1771"/>
      <c r="BQ95" s="1771"/>
      <c r="BR95" s="1771"/>
      <c r="BS95" s="1771"/>
      <c r="BT95" s="1771"/>
      <c r="BU95" s="1771"/>
      <c r="BV95" s="1771"/>
      <c r="BW95" s="1771"/>
      <c r="BX95" s="1771"/>
      <c r="BY95" s="1771"/>
      <c r="BZ95" s="1771"/>
      <c r="CA95" s="1771"/>
      <c r="CB95" s="1771"/>
      <c r="CC95" s="1771"/>
      <c r="CD95" s="1771"/>
      <c r="CE95" s="1771"/>
      <c r="CF95" s="1771"/>
      <c r="CG95" s="1771"/>
      <c r="CH95" s="1771"/>
      <c r="CI95" s="1771"/>
      <c r="CJ95" s="1771"/>
      <c r="CK95" s="1771"/>
      <c r="CL95" s="1771"/>
      <c r="CM95" s="1771"/>
      <c r="CN95" s="1771"/>
      <c r="CO95" s="1771"/>
      <c r="CP95" s="1771"/>
      <c r="CQ95" s="1771"/>
      <c r="CR95" s="1771"/>
      <c r="CS95" s="1771"/>
      <c r="CT95" s="1771"/>
      <c r="CU95" s="1771"/>
      <c r="CV95" s="1771"/>
      <c r="CW95" s="1771"/>
      <c r="CX95" s="1771"/>
      <c r="CY95" s="1771"/>
    </row>
    <row r="96" spans="1:103" x14ac:dyDescent="0.2">
      <c r="A96" s="1771"/>
      <c r="B96" s="1771"/>
      <c r="C96" s="1771"/>
      <c r="D96" s="1771"/>
      <c r="E96" s="1771"/>
      <c r="F96" s="1771"/>
      <c r="G96" s="1771"/>
      <c r="H96" s="1771"/>
      <c r="I96" s="1771"/>
      <c r="J96" s="1771"/>
      <c r="K96" s="1771"/>
      <c r="L96" s="1771"/>
      <c r="M96" s="1771"/>
      <c r="N96" s="1771"/>
      <c r="O96" s="1771"/>
      <c r="P96" s="1771"/>
      <c r="Q96" s="1771"/>
      <c r="R96" s="1771"/>
      <c r="S96" s="1771"/>
      <c r="T96" s="1771"/>
      <c r="U96" s="1771"/>
      <c r="V96" s="1771"/>
      <c r="W96" s="1771"/>
      <c r="X96" s="1771"/>
      <c r="Y96" s="1771"/>
      <c r="Z96" s="1771"/>
      <c r="AA96" s="1771"/>
      <c r="AB96" s="1771"/>
      <c r="AC96" s="1771"/>
      <c r="AD96" s="1771"/>
      <c r="AE96" s="1771"/>
      <c r="AF96" s="1771"/>
      <c r="AG96" s="1771"/>
      <c r="AH96" s="1771"/>
      <c r="AI96" s="1771"/>
      <c r="AJ96" s="1771"/>
      <c r="AK96" s="1771"/>
      <c r="AL96" s="1771"/>
      <c r="AM96" s="1771"/>
      <c r="AN96" s="1771"/>
      <c r="AO96" s="1771"/>
      <c r="AP96" s="1771"/>
      <c r="AQ96" s="1771"/>
      <c r="AR96" s="1771"/>
      <c r="AS96" s="1771"/>
      <c r="AT96" s="1771"/>
      <c r="AU96" s="1771"/>
      <c r="AV96" s="1771"/>
      <c r="AW96" s="1771"/>
      <c r="AX96" s="1771"/>
      <c r="AY96" s="1771"/>
      <c r="AZ96" s="1771"/>
      <c r="BA96" s="1771"/>
      <c r="BB96" s="1771"/>
      <c r="BC96" s="1771"/>
      <c r="BD96" s="1771"/>
      <c r="BE96" s="1771"/>
      <c r="BF96" s="1771"/>
      <c r="BG96" s="1771"/>
      <c r="BH96" s="1771"/>
      <c r="BI96" s="1771"/>
      <c r="BJ96" s="1771"/>
      <c r="BK96" s="1771"/>
      <c r="BL96" s="1771"/>
      <c r="BM96" s="1771"/>
      <c r="BN96" s="1771"/>
      <c r="BO96" s="1771"/>
      <c r="BP96" s="1771"/>
      <c r="BQ96" s="1771"/>
      <c r="BR96" s="1771"/>
      <c r="BS96" s="1771"/>
      <c r="BT96" s="1771"/>
      <c r="BU96" s="1771"/>
      <c r="BV96" s="1771"/>
      <c r="BW96" s="1771"/>
      <c r="BX96" s="1771"/>
      <c r="BY96" s="1771"/>
      <c r="BZ96" s="1771"/>
      <c r="CA96" s="1771"/>
      <c r="CB96" s="1771"/>
      <c r="CC96" s="1771"/>
      <c r="CD96" s="1771"/>
      <c r="CE96" s="1771"/>
      <c r="CF96" s="1771"/>
      <c r="CG96" s="1771"/>
      <c r="CH96" s="1771"/>
      <c r="CI96" s="1771"/>
      <c r="CJ96" s="1771"/>
      <c r="CK96" s="1771"/>
      <c r="CL96" s="1771"/>
      <c r="CM96" s="1771"/>
      <c r="CN96" s="1771"/>
      <c r="CO96" s="1771"/>
      <c r="CP96" s="1771"/>
      <c r="CQ96" s="1771"/>
      <c r="CR96" s="1771"/>
      <c r="CS96" s="1771"/>
      <c r="CT96" s="1771"/>
      <c r="CU96" s="1771"/>
      <c r="CV96" s="1771"/>
      <c r="CW96" s="1771"/>
      <c r="CX96" s="1771"/>
      <c r="CY96" s="1771"/>
    </row>
    <row r="97" spans="1:103" x14ac:dyDescent="0.2">
      <c r="A97" s="1771"/>
      <c r="B97" s="1771"/>
      <c r="C97" s="1771"/>
      <c r="D97" s="1771"/>
      <c r="E97" s="1771"/>
      <c r="F97" s="1771"/>
      <c r="G97" s="1771"/>
      <c r="H97" s="1771"/>
      <c r="I97" s="1771"/>
      <c r="J97" s="1771"/>
      <c r="K97" s="1771"/>
      <c r="L97" s="1771"/>
      <c r="M97" s="1771"/>
      <c r="N97" s="1771"/>
      <c r="O97" s="1771"/>
      <c r="P97" s="1771"/>
      <c r="Q97" s="1771"/>
      <c r="R97" s="1771"/>
      <c r="S97" s="1771"/>
      <c r="T97" s="1771"/>
      <c r="U97" s="1771"/>
      <c r="V97" s="1771"/>
      <c r="W97" s="1771"/>
      <c r="X97" s="1771"/>
      <c r="Y97" s="1771"/>
      <c r="Z97" s="1771"/>
      <c r="AA97" s="1771"/>
      <c r="AB97" s="1771"/>
      <c r="AC97" s="1771"/>
      <c r="AD97" s="1771"/>
      <c r="AE97" s="1771"/>
      <c r="AF97" s="1771"/>
      <c r="AG97" s="1771"/>
      <c r="AH97" s="1771"/>
      <c r="AI97" s="1771"/>
      <c r="AJ97" s="1771"/>
      <c r="AK97" s="1771"/>
      <c r="AL97" s="1771"/>
      <c r="AM97" s="1771"/>
      <c r="AN97" s="1771"/>
      <c r="AO97" s="1771"/>
      <c r="AP97" s="1771"/>
      <c r="AQ97" s="1771"/>
      <c r="AR97" s="1771"/>
      <c r="AS97" s="1771"/>
      <c r="AT97" s="1771"/>
      <c r="AU97" s="1771"/>
      <c r="AV97" s="1771"/>
      <c r="AW97" s="1771"/>
      <c r="AX97" s="1771"/>
      <c r="AY97" s="1771"/>
      <c r="AZ97" s="1771"/>
      <c r="BA97" s="1771"/>
      <c r="BB97" s="1771"/>
      <c r="BC97" s="1771"/>
      <c r="BD97" s="1771"/>
      <c r="BE97" s="1771"/>
      <c r="BF97" s="1771"/>
      <c r="BG97" s="1771"/>
      <c r="BH97" s="1771"/>
      <c r="BI97" s="1771"/>
      <c r="BJ97" s="1771"/>
      <c r="BK97" s="1771"/>
      <c r="BL97" s="1771"/>
      <c r="BM97" s="1771"/>
      <c r="BN97" s="1771"/>
      <c r="BO97" s="1771"/>
      <c r="BP97" s="1771"/>
      <c r="BQ97" s="1771"/>
      <c r="BR97" s="1771"/>
      <c r="BS97" s="1771"/>
      <c r="BT97" s="1771"/>
      <c r="BU97" s="1771"/>
      <c r="BV97" s="1771"/>
      <c r="BW97" s="1771"/>
      <c r="BX97" s="1771"/>
      <c r="BY97" s="1771"/>
      <c r="BZ97" s="1771"/>
      <c r="CA97" s="1771"/>
      <c r="CB97" s="1771"/>
      <c r="CC97" s="1771"/>
      <c r="CD97" s="1771"/>
      <c r="CE97" s="1771"/>
      <c r="CF97" s="1771"/>
      <c r="CG97" s="1771"/>
      <c r="CH97" s="1771"/>
      <c r="CI97" s="1771"/>
      <c r="CJ97" s="1771"/>
      <c r="CK97" s="1771"/>
      <c r="CL97" s="1771"/>
      <c r="CM97" s="1771"/>
      <c r="CN97" s="1771"/>
      <c r="CO97" s="1771"/>
      <c r="CP97" s="1771"/>
      <c r="CQ97" s="1771"/>
      <c r="CR97" s="1771"/>
      <c r="CS97" s="1771"/>
      <c r="CT97" s="1771"/>
      <c r="CU97" s="1771"/>
      <c r="CV97" s="1771"/>
      <c r="CW97" s="1771"/>
      <c r="CX97" s="1771"/>
      <c r="CY97" s="1771"/>
    </row>
    <row r="98" spans="1:103" x14ac:dyDescent="0.2">
      <c r="A98" s="1771"/>
      <c r="B98" s="1771"/>
      <c r="C98" s="1771"/>
      <c r="D98" s="1771"/>
      <c r="E98" s="1771"/>
      <c r="F98" s="1771"/>
      <c r="G98" s="1771"/>
      <c r="H98" s="1771"/>
      <c r="I98" s="1771"/>
      <c r="J98" s="1771"/>
      <c r="K98" s="1771"/>
      <c r="L98" s="1771"/>
      <c r="M98" s="1771"/>
      <c r="N98" s="1771"/>
      <c r="O98" s="1771"/>
      <c r="P98" s="1771"/>
      <c r="Q98" s="1771"/>
      <c r="R98" s="1771"/>
      <c r="S98" s="1771"/>
      <c r="T98" s="1771"/>
      <c r="U98" s="1771"/>
      <c r="V98" s="1771"/>
      <c r="W98" s="1771"/>
      <c r="X98" s="1771"/>
      <c r="Y98" s="1771"/>
      <c r="Z98" s="1771"/>
      <c r="AA98" s="1771"/>
      <c r="AB98" s="1771"/>
      <c r="AC98" s="1771"/>
      <c r="AD98" s="1771"/>
      <c r="AE98" s="1771"/>
      <c r="AF98" s="1771"/>
      <c r="AG98" s="1771"/>
      <c r="AH98" s="1771"/>
      <c r="AI98" s="1771"/>
      <c r="AJ98" s="1771"/>
      <c r="AK98" s="1771"/>
      <c r="AL98" s="1771"/>
      <c r="AM98" s="1771"/>
      <c r="AN98" s="1771"/>
      <c r="AO98" s="1771"/>
      <c r="AP98" s="1771"/>
      <c r="AQ98" s="1771"/>
      <c r="AR98" s="1771"/>
      <c r="AS98" s="1771"/>
      <c r="AT98" s="1771"/>
      <c r="AU98" s="1771"/>
      <c r="AV98" s="1771"/>
      <c r="AW98" s="1771"/>
      <c r="AX98" s="1771"/>
      <c r="AY98" s="1771"/>
      <c r="AZ98" s="1771"/>
      <c r="BA98" s="1771"/>
      <c r="BB98" s="1771"/>
      <c r="BC98" s="1771"/>
      <c r="BD98" s="1771"/>
      <c r="BE98" s="1771"/>
      <c r="BF98" s="1771"/>
      <c r="BG98" s="1771"/>
      <c r="BH98" s="1771"/>
      <c r="BI98" s="1771"/>
      <c r="BJ98" s="1771"/>
      <c r="BK98" s="1771"/>
      <c r="BL98" s="1771"/>
      <c r="BM98" s="1771"/>
      <c r="BN98" s="1771"/>
      <c r="BO98" s="1771"/>
      <c r="BP98" s="1771"/>
      <c r="BQ98" s="1771"/>
      <c r="BR98" s="1771"/>
      <c r="BS98" s="1771"/>
      <c r="BT98" s="1771"/>
      <c r="BU98" s="1771"/>
      <c r="BV98" s="1771"/>
      <c r="BW98" s="1771"/>
      <c r="BX98" s="1771"/>
      <c r="BY98" s="1771"/>
      <c r="BZ98" s="1771"/>
      <c r="CA98" s="1771"/>
      <c r="CB98" s="1771"/>
      <c r="CC98" s="1771"/>
      <c r="CD98" s="1771"/>
      <c r="CE98" s="1771"/>
      <c r="CF98" s="1771"/>
      <c r="CG98" s="1771"/>
      <c r="CH98" s="1771"/>
      <c r="CI98" s="1771"/>
      <c r="CJ98" s="1771"/>
      <c r="CK98" s="1771"/>
      <c r="CL98" s="1771"/>
      <c r="CM98" s="1771"/>
      <c r="CN98" s="1771"/>
      <c r="CO98" s="1771"/>
      <c r="CP98" s="1771"/>
      <c r="CQ98" s="1771"/>
      <c r="CR98" s="1771"/>
      <c r="CS98" s="1771"/>
      <c r="CT98" s="1771"/>
      <c r="CU98" s="1771"/>
      <c r="CV98" s="1771"/>
      <c r="CW98" s="1771"/>
      <c r="CX98" s="1771"/>
      <c r="CY98" s="1771"/>
    </row>
    <row r="99" spans="1:103" x14ac:dyDescent="0.2">
      <c r="A99" s="1771"/>
      <c r="B99" s="1771"/>
      <c r="C99" s="1771"/>
      <c r="D99" s="1771"/>
      <c r="E99" s="1771"/>
      <c r="F99" s="1771"/>
      <c r="G99" s="1771"/>
      <c r="H99" s="1771"/>
      <c r="I99" s="1771"/>
      <c r="J99" s="1771"/>
      <c r="K99" s="1771"/>
      <c r="L99" s="1771"/>
      <c r="M99" s="1771"/>
      <c r="N99" s="1771"/>
      <c r="O99" s="1771"/>
      <c r="P99" s="1771"/>
      <c r="Q99" s="1771"/>
      <c r="R99" s="1771"/>
      <c r="S99" s="1771"/>
      <c r="T99" s="1771"/>
      <c r="U99" s="1771"/>
      <c r="V99" s="1771"/>
      <c r="W99" s="1771"/>
      <c r="X99" s="1771"/>
      <c r="Y99" s="1771"/>
      <c r="Z99" s="1771"/>
      <c r="AA99" s="1771"/>
      <c r="AB99" s="1771"/>
      <c r="AC99" s="1771"/>
      <c r="AD99" s="1771"/>
      <c r="AE99" s="1771"/>
      <c r="AF99" s="1771"/>
      <c r="AG99" s="1771"/>
      <c r="AH99" s="1771"/>
      <c r="AI99" s="1771"/>
      <c r="AJ99" s="1771"/>
      <c r="AK99" s="1771"/>
      <c r="AL99" s="1771"/>
      <c r="AM99" s="1771"/>
      <c r="AN99" s="1771"/>
      <c r="AO99" s="1771"/>
      <c r="AP99" s="1771"/>
      <c r="AQ99" s="1771"/>
      <c r="AR99" s="1771"/>
      <c r="AS99" s="1771"/>
      <c r="AT99" s="1771"/>
      <c r="AU99" s="1771"/>
      <c r="AV99" s="1771"/>
      <c r="AW99" s="1771"/>
      <c r="AX99" s="1771"/>
      <c r="AY99" s="1771"/>
      <c r="AZ99" s="1771"/>
      <c r="BA99" s="1771"/>
      <c r="BB99" s="1771"/>
      <c r="BC99" s="1771"/>
      <c r="BD99" s="1771"/>
      <c r="BE99" s="1771"/>
      <c r="BF99" s="1771"/>
      <c r="BG99" s="1771"/>
      <c r="BH99" s="1771"/>
      <c r="BI99" s="1771"/>
      <c r="BJ99" s="1771"/>
      <c r="BK99" s="1771"/>
      <c r="BL99" s="1771"/>
      <c r="BM99" s="1771"/>
      <c r="BN99" s="1771"/>
      <c r="BO99" s="1771"/>
      <c r="BP99" s="1771"/>
      <c r="BQ99" s="1771"/>
      <c r="BR99" s="1771"/>
      <c r="BS99" s="1771"/>
      <c r="BT99" s="1771"/>
      <c r="BU99" s="1771"/>
      <c r="BV99" s="1771"/>
      <c r="BW99" s="1771"/>
      <c r="BX99" s="1771"/>
      <c r="BY99" s="1771"/>
      <c r="BZ99" s="1771"/>
      <c r="CA99" s="1771"/>
      <c r="CB99" s="1771"/>
      <c r="CC99" s="1771"/>
      <c r="CD99" s="1771"/>
      <c r="CE99" s="1771"/>
      <c r="CF99" s="1771"/>
      <c r="CG99" s="1771"/>
      <c r="CH99" s="1771"/>
      <c r="CI99" s="1771"/>
      <c r="CJ99" s="1771"/>
      <c r="CK99" s="1771"/>
      <c r="CL99" s="1771"/>
      <c r="CM99" s="1771"/>
      <c r="CN99" s="1771"/>
      <c r="CO99" s="1771"/>
      <c r="CP99" s="1771"/>
      <c r="CQ99" s="1771"/>
      <c r="CR99" s="1771"/>
      <c r="CS99" s="1771"/>
      <c r="CT99" s="1771"/>
      <c r="CU99" s="1771"/>
      <c r="CV99" s="1771"/>
      <c r="CW99" s="1771"/>
      <c r="CX99" s="1771"/>
      <c r="CY99" s="1771"/>
    </row>
    <row r="100" spans="1:103" x14ac:dyDescent="0.2">
      <c r="A100" s="1771"/>
      <c r="B100" s="1771"/>
      <c r="C100" s="1771"/>
      <c r="D100" s="1771"/>
      <c r="E100" s="1771"/>
      <c r="F100" s="1771"/>
      <c r="G100" s="1771"/>
      <c r="H100" s="1771"/>
      <c r="I100" s="1771"/>
      <c r="J100" s="1771"/>
      <c r="K100" s="1771"/>
      <c r="L100" s="1771"/>
      <c r="M100" s="1771"/>
      <c r="N100" s="1771"/>
      <c r="O100" s="1771"/>
      <c r="P100" s="1771"/>
      <c r="Q100" s="1771"/>
      <c r="R100" s="1771"/>
      <c r="S100" s="1771"/>
      <c r="T100" s="1771"/>
      <c r="U100" s="1771"/>
      <c r="V100" s="1771"/>
      <c r="W100" s="1771"/>
      <c r="X100" s="1771"/>
      <c r="Y100" s="1771"/>
      <c r="Z100" s="1771"/>
      <c r="AA100" s="1771"/>
      <c r="AB100" s="1771"/>
      <c r="AC100" s="1771"/>
      <c r="AD100" s="1771"/>
      <c r="AE100" s="1771"/>
      <c r="AF100" s="1771"/>
      <c r="AG100" s="1771"/>
      <c r="AH100" s="1771"/>
      <c r="AI100" s="1771"/>
      <c r="AJ100" s="1771"/>
      <c r="AK100" s="1771"/>
      <c r="AL100" s="1771"/>
      <c r="AM100" s="1771"/>
      <c r="AN100" s="1771"/>
      <c r="AO100" s="1771"/>
      <c r="AP100" s="1771"/>
      <c r="AQ100" s="1771"/>
      <c r="AR100" s="1771"/>
      <c r="AS100" s="1771"/>
      <c r="AT100" s="1771"/>
      <c r="AU100" s="1771"/>
      <c r="AV100" s="1771"/>
      <c r="AW100" s="1771"/>
      <c r="AX100" s="1771"/>
      <c r="AY100" s="1771"/>
      <c r="AZ100" s="1771"/>
      <c r="BA100" s="1771"/>
      <c r="BB100" s="1771"/>
      <c r="BC100" s="1771"/>
      <c r="BD100" s="1771"/>
      <c r="BE100" s="1771"/>
      <c r="BF100" s="1771"/>
      <c r="BG100" s="1771"/>
      <c r="BH100" s="1771"/>
      <c r="BI100" s="1771"/>
      <c r="BJ100" s="1771"/>
      <c r="BK100" s="1771"/>
      <c r="BL100" s="1771"/>
      <c r="BM100" s="1771"/>
      <c r="BN100" s="1771"/>
      <c r="BO100" s="1771"/>
      <c r="BP100" s="1771"/>
      <c r="BQ100" s="1771"/>
      <c r="BR100" s="1771"/>
      <c r="BS100" s="1771"/>
      <c r="BT100" s="1771"/>
      <c r="BU100" s="1771"/>
      <c r="BV100" s="1771"/>
      <c r="BW100" s="1771"/>
      <c r="BX100" s="1771"/>
      <c r="BY100" s="1771"/>
      <c r="BZ100" s="1771"/>
      <c r="CA100" s="1771"/>
      <c r="CB100" s="1771"/>
      <c r="CC100" s="1771"/>
      <c r="CD100" s="1771"/>
      <c r="CE100" s="1771"/>
      <c r="CF100" s="1771"/>
      <c r="CG100" s="1771"/>
      <c r="CH100" s="1771"/>
      <c r="CI100" s="1771"/>
      <c r="CJ100" s="1771"/>
      <c r="CK100" s="1771"/>
      <c r="CL100" s="1771"/>
      <c r="CM100" s="1771"/>
      <c r="CN100" s="1771"/>
      <c r="CO100" s="1771"/>
      <c r="CP100" s="1771"/>
      <c r="CQ100" s="1771"/>
      <c r="CR100" s="1771"/>
      <c r="CS100" s="1771"/>
      <c r="CT100" s="1771"/>
      <c r="CU100" s="1771"/>
      <c r="CV100" s="1771"/>
      <c r="CW100" s="1771"/>
      <c r="CX100" s="1771"/>
      <c r="CY100" s="1771"/>
    </row>
    <row r="101" spans="1:103" x14ac:dyDescent="0.2">
      <c r="A101" s="1771"/>
      <c r="B101" s="1771"/>
      <c r="C101" s="1771"/>
      <c r="D101" s="1771"/>
      <c r="E101" s="1771"/>
      <c r="F101" s="1771"/>
      <c r="G101" s="1771"/>
      <c r="H101" s="1771"/>
      <c r="I101" s="1771"/>
      <c r="J101" s="1771"/>
      <c r="K101" s="1771"/>
      <c r="L101" s="1771"/>
      <c r="M101" s="1771"/>
      <c r="N101" s="1771"/>
      <c r="O101" s="1771"/>
      <c r="P101" s="1771"/>
      <c r="Q101" s="1771"/>
      <c r="R101" s="1771"/>
      <c r="S101" s="1771"/>
      <c r="T101" s="1771"/>
      <c r="U101" s="1771"/>
      <c r="V101" s="1771"/>
      <c r="W101" s="1771"/>
      <c r="X101" s="1771"/>
      <c r="Y101" s="1771"/>
      <c r="Z101" s="1771"/>
      <c r="AA101" s="1771"/>
      <c r="AB101" s="1771"/>
      <c r="AC101" s="1771"/>
      <c r="AD101" s="1771"/>
      <c r="AE101" s="1771"/>
      <c r="AF101" s="1771"/>
      <c r="AG101" s="1771"/>
      <c r="AH101" s="1771"/>
      <c r="AI101" s="1771"/>
      <c r="AJ101" s="1771"/>
      <c r="AK101" s="1771"/>
      <c r="AL101" s="1771"/>
      <c r="AM101" s="1771"/>
      <c r="AN101" s="1771"/>
      <c r="AO101" s="1771"/>
      <c r="AP101" s="1771"/>
      <c r="AQ101" s="1771"/>
      <c r="AR101" s="1771"/>
      <c r="AS101" s="1771"/>
      <c r="AT101" s="1771"/>
      <c r="AU101" s="1771"/>
      <c r="AV101" s="1771"/>
      <c r="AW101" s="1771"/>
      <c r="AX101" s="1771"/>
      <c r="AY101" s="1771"/>
      <c r="AZ101" s="1771"/>
      <c r="BA101" s="1771"/>
      <c r="BB101" s="1771"/>
      <c r="BC101" s="1771"/>
      <c r="BD101" s="1771"/>
      <c r="BE101" s="1771"/>
      <c r="BF101" s="1771"/>
      <c r="BG101" s="1771"/>
      <c r="BH101" s="1771"/>
      <c r="BI101" s="1771"/>
      <c r="BJ101" s="1771"/>
      <c r="BK101" s="1771"/>
      <c r="BL101" s="1771"/>
      <c r="BM101" s="1771"/>
      <c r="BN101" s="1771"/>
      <c r="BO101" s="1771"/>
      <c r="BP101" s="1771"/>
      <c r="BQ101" s="1771"/>
      <c r="BR101" s="1771"/>
      <c r="BS101" s="1771"/>
      <c r="BT101" s="1771"/>
      <c r="BU101" s="1771"/>
      <c r="BV101" s="1771"/>
      <c r="BW101" s="1771"/>
      <c r="BX101" s="1771"/>
      <c r="BY101" s="1771"/>
      <c r="BZ101" s="1771"/>
      <c r="CA101" s="1771"/>
      <c r="CB101" s="1771"/>
      <c r="CC101" s="1771"/>
      <c r="CD101" s="1771"/>
      <c r="CE101" s="1771"/>
      <c r="CF101" s="1771"/>
      <c r="CG101" s="1771"/>
      <c r="CH101" s="1771"/>
      <c r="CI101" s="1771"/>
      <c r="CJ101" s="1771"/>
      <c r="CK101" s="1771"/>
      <c r="CL101" s="1771"/>
      <c r="CM101" s="1771"/>
      <c r="CN101" s="1771"/>
      <c r="CO101" s="1771"/>
      <c r="CP101" s="1771"/>
      <c r="CQ101" s="1771"/>
      <c r="CR101" s="1771"/>
      <c r="CS101" s="1771"/>
      <c r="CT101" s="1771"/>
      <c r="CU101" s="1771"/>
      <c r="CV101" s="1771"/>
      <c r="CW101" s="1771"/>
      <c r="CX101" s="1771"/>
      <c r="CY101" s="1771"/>
    </row>
    <row r="102" spans="1:103" x14ac:dyDescent="0.2">
      <c r="A102" s="1771"/>
      <c r="B102" s="1771"/>
      <c r="C102" s="1771"/>
      <c r="D102" s="1771"/>
      <c r="E102" s="1771"/>
      <c r="F102" s="1771"/>
      <c r="G102" s="1771"/>
      <c r="H102" s="1771"/>
      <c r="I102" s="1771"/>
      <c r="J102" s="1771"/>
      <c r="K102" s="1771"/>
      <c r="L102" s="1771"/>
      <c r="M102" s="1771"/>
      <c r="N102" s="1771"/>
      <c r="O102" s="1771"/>
      <c r="P102" s="1771"/>
      <c r="Q102" s="1771"/>
      <c r="R102" s="1771"/>
      <c r="S102" s="1771"/>
      <c r="T102" s="1771"/>
      <c r="U102" s="1771"/>
      <c r="V102" s="1771"/>
      <c r="W102" s="1771"/>
      <c r="X102" s="1771"/>
      <c r="Y102" s="1771"/>
      <c r="Z102" s="1771"/>
      <c r="AA102" s="1771"/>
      <c r="AB102" s="1771"/>
      <c r="AC102" s="1771"/>
      <c r="AD102" s="1771"/>
      <c r="AE102" s="1771"/>
      <c r="AF102" s="1771"/>
      <c r="AG102" s="1771"/>
      <c r="AH102" s="1771"/>
      <c r="AI102" s="1771"/>
      <c r="AJ102" s="1771"/>
      <c r="AK102" s="1771"/>
      <c r="AL102" s="1771"/>
      <c r="AM102" s="1771"/>
      <c r="AN102" s="1771"/>
      <c r="AO102" s="1771"/>
      <c r="AP102" s="1771"/>
      <c r="AQ102" s="1771"/>
      <c r="AR102" s="1771"/>
      <c r="AS102" s="1771"/>
      <c r="AT102" s="1771"/>
      <c r="AU102" s="1771"/>
      <c r="AV102" s="1771"/>
      <c r="AW102" s="1771"/>
      <c r="AX102" s="1771"/>
      <c r="AY102" s="1771"/>
      <c r="AZ102" s="1771"/>
      <c r="BA102" s="1771"/>
      <c r="BB102" s="1771"/>
      <c r="BC102" s="1771"/>
      <c r="BD102" s="1771"/>
      <c r="BE102" s="1771"/>
      <c r="BF102" s="1771"/>
      <c r="BG102" s="1771"/>
      <c r="BH102" s="1771"/>
      <c r="BI102" s="1771"/>
      <c r="BJ102" s="1771"/>
      <c r="BK102" s="1771"/>
      <c r="BL102" s="1771"/>
      <c r="BM102" s="1771"/>
      <c r="BN102" s="1771"/>
      <c r="BO102" s="1771"/>
      <c r="BP102" s="1771"/>
      <c r="BQ102" s="1771"/>
      <c r="BR102" s="1771"/>
      <c r="BS102" s="1771"/>
      <c r="BT102" s="1771"/>
      <c r="BU102" s="1771"/>
      <c r="BV102" s="1771"/>
      <c r="BW102" s="1771"/>
      <c r="BX102" s="1771"/>
      <c r="BY102" s="1771"/>
      <c r="BZ102" s="1771"/>
      <c r="CA102" s="1771"/>
      <c r="CB102" s="1771"/>
      <c r="CC102" s="1771"/>
      <c r="CD102" s="1771"/>
      <c r="CE102" s="1771"/>
      <c r="CF102" s="1771"/>
      <c r="CG102" s="1771"/>
      <c r="CH102" s="1771"/>
      <c r="CI102" s="1771"/>
      <c r="CJ102" s="1771"/>
      <c r="CK102" s="1771"/>
      <c r="CL102" s="1771"/>
      <c r="CM102" s="1771"/>
      <c r="CN102" s="1771"/>
      <c r="CO102" s="1771"/>
      <c r="CP102" s="1771"/>
      <c r="CQ102" s="1771"/>
      <c r="CR102" s="1771"/>
      <c r="CS102" s="1771"/>
      <c r="CT102" s="1771"/>
      <c r="CU102" s="1771"/>
      <c r="CV102" s="1771"/>
      <c r="CW102" s="1771"/>
      <c r="CX102" s="1771"/>
      <c r="CY102" s="1771"/>
    </row>
    <row r="103" spans="1:103" x14ac:dyDescent="0.2">
      <c r="A103" s="1771"/>
      <c r="B103" s="1771"/>
      <c r="C103" s="1771"/>
      <c r="D103" s="1771"/>
      <c r="E103" s="1771"/>
      <c r="F103" s="1771"/>
      <c r="G103" s="1771"/>
      <c r="H103" s="1771"/>
      <c r="I103" s="1771"/>
      <c r="J103" s="1771"/>
      <c r="K103" s="1771"/>
      <c r="L103" s="1771"/>
      <c r="M103" s="1771"/>
      <c r="N103" s="1771"/>
      <c r="O103" s="1771"/>
      <c r="P103" s="1771"/>
      <c r="Q103" s="1771"/>
      <c r="R103" s="1771"/>
      <c r="S103" s="1771"/>
      <c r="T103" s="1771"/>
      <c r="U103" s="1771"/>
      <c r="V103" s="1771"/>
      <c r="W103" s="1771"/>
      <c r="X103" s="1771"/>
      <c r="Y103" s="1771"/>
      <c r="Z103" s="1771"/>
      <c r="AA103" s="1771"/>
      <c r="AB103" s="1771"/>
      <c r="AC103" s="1771"/>
      <c r="AD103" s="1771"/>
      <c r="AE103" s="1771"/>
      <c r="AF103" s="1771"/>
      <c r="AG103" s="1771"/>
      <c r="AH103" s="1771"/>
      <c r="AI103" s="1771"/>
      <c r="AJ103" s="1771"/>
      <c r="AK103" s="1771"/>
      <c r="AL103" s="1771"/>
      <c r="AM103" s="1771"/>
      <c r="AN103" s="1771"/>
      <c r="AO103" s="1771"/>
      <c r="AP103" s="1771"/>
      <c r="AQ103" s="1771"/>
      <c r="AR103" s="1771"/>
      <c r="AS103" s="1771"/>
      <c r="AT103" s="1771"/>
      <c r="AU103" s="1771"/>
      <c r="AV103" s="1771"/>
      <c r="AW103" s="1771"/>
      <c r="AX103" s="1771"/>
      <c r="AY103" s="1771"/>
      <c r="AZ103" s="1771"/>
      <c r="BA103" s="1771"/>
      <c r="BB103" s="1771"/>
      <c r="BC103" s="1771"/>
      <c r="BD103" s="1771"/>
      <c r="BE103" s="1771"/>
      <c r="BF103" s="1771"/>
      <c r="BG103" s="1771"/>
      <c r="BH103" s="1771"/>
      <c r="BI103" s="1771"/>
      <c r="BJ103" s="1771"/>
      <c r="BK103" s="1771"/>
      <c r="BL103" s="1771"/>
      <c r="BM103" s="1771"/>
      <c r="BN103" s="1771"/>
      <c r="BO103" s="1771"/>
      <c r="BP103" s="1771"/>
      <c r="BQ103" s="1771"/>
      <c r="BR103" s="1771"/>
      <c r="BS103" s="1771"/>
      <c r="BT103" s="1771"/>
      <c r="BU103" s="1771"/>
      <c r="BV103" s="1771"/>
      <c r="BW103" s="1771"/>
      <c r="BX103" s="1771"/>
      <c r="BY103" s="1771"/>
      <c r="BZ103" s="1771"/>
      <c r="CA103" s="1771"/>
      <c r="CB103" s="1771"/>
      <c r="CC103" s="1771"/>
      <c r="CD103" s="1771"/>
      <c r="CE103" s="1771"/>
      <c r="CF103" s="1771"/>
      <c r="CG103" s="1771"/>
      <c r="CH103" s="1771"/>
      <c r="CI103" s="1771"/>
      <c r="CJ103" s="1771"/>
      <c r="CK103" s="1771"/>
      <c r="CL103" s="1771"/>
      <c r="CM103" s="1771"/>
      <c r="CN103" s="1771"/>
      <c r="CO103" s="1771"/>
      <c r="CP103" s="1771"/>
      <c r="CQ103" s="1771"/>
      <c r="CR103" s="1771"/>
      <c r="CS103" s="1771"/>
      <c r="CT103" s="1771"/>
      <c r="CU103" s="1771"/>
      <c r="CV103" s="1771"/>
      <c r="CW103" s="1771"/>
      <c r="CX103" s="1771"/>
      <c r="CY103" s="1771"/>
    </row>
    <row r="104" spans="1:103" x14ac:dyDescent="0.2">
      <c r="A104" s="1771"/>
      <c r="B104" s="1771"/>
      <c r="C104" s="1771"/>
      <c r="D104" s="1771"/>
      <c r="E104" s="1771"/>
      <c r="F104" s="1771"/>
      <c r="G104" s="1771"/>
      <c r="H104" s="1771"/>
      <c r="I104" s="1771"/>
      <c r="J104" s="1771"/>
      <c r="K104" s="1771"/>
      <c r="L104" s="1771"/>
      <c r="M104" s="1771"/>
      <c r="N104" s="1771"/>
      <c r="O104" s="1771"/>
      <c r="P104" s="1771"/>
      <c r="Q104" s="1771"/>
      <c r="R104" s="1771"/>
      <c r="S104" s="1771"/>
      <c r="T104" s="1771"/>
      <c r="U104" s="1771"/>
      <c r="V104" s="1771"/>
      <c r="W104" s="1771"/>
      <c r="X104" s="1771"/>
      <c r="Y104" s="1771"/>
      <c r="Z104" s="1771"/>
      <c r="AA104" s="1771"/>
      <c r="AB104" s="1771"/>
      <c r="AC104" s="1771"/>
      <c r="AD104" s="1771"/>
      <c r="AE104" s="1771"/>
      <c r="AF104" s="1771"/>
      <c r="AG104" s="1771"/>
      <c r="AH104" s="1771"/>
      <c r="AI104" s="1771"/>
      <c r="AJ104" s="1771"/>
      <c r="AK104" s="1771"/>
      <c r="AL104" s="1771"/>
      <c r="AM104" s="1771"/>
      <c r="AN104" s="1771"/>
      <c r="AO104" s="1771"/>
      <c r="AP104" s="1771"/>
      <c r="AQ104" s="1771"/>
      <c r="AR104" s="1771"/>
      <c r="AS104" s="1771"/>
      <c r="AT104" s="1771"/>
      <c r="AU104" s="1771"/>
      <c r="AV104" s="1771"/>
      <c r="AW104" s="1771"/>
      <c r="AX104" s="1771"/>
      <c r="AY104" s="1771"/>
      <c r="AZ104" s="1771"/>
      <c r="BA104" s="1771"/>
      <c r="BB104" s="1771"/>
      <c r="BC104" s="1771"/>
      <c r="BD104" s="1771"/>
      <c r="BE104" s="1771"/>
      <c r="BF104" s="1771"/>
      <c r="BG104" s="1771"/>
      <c r="BH104" s="1771"/>
      <c r="BI104" s="1771"/>
      <c r="BJ104" s="1771"/>
      <c r="BK104" s="1771"/>
      <c r="BL104" s="1771"/>
      <c r="BM104" s="1771"/>
      <c r="BN104" s="1771"/>
      <c r="BO104" s="1771"/>
      <c r="BP104" s="1771"/>
      <c r="BQ104" s="1771"/>
      <c r="BR104" s="1771"/>
      <c r="BS104" s="1771"/>
      <c r="BT104" s="1771"/>
      <c r="BU104" s="1771"/>
      <c r="BV104" s="1771"/>
      <c r="BW104" s="1771"/>
      <c r="BX104" s="1771"/>
      <c r="BY104" s="1771"/>
      <c r="BZ104" s="1771"/>
      <c r="CA104" s="1771"/>
      <c r="CB104" s="1771"/>
      <c r="CC104" s="1771"/>
      <c r="CD104" s="1771"/>
      <c r="CE104" s="1771"/>
      <c r="CF104" s="1771"/>
      <c r="CG104" s="1771"/>
      <c r="CH104" s="1771"/>
      <c r="CI104" s="1771"/>
      <c r="CJ104" s="1771"/>
      <c r="CK104" s="1771"/>
      <c r="CL104" s="1771"/>
      <c r="CM104" s="1771"/>
      <c r="CN104" s="1771"/>
      <c r="CO104" s="1771"/>
      <c r="CP104" s="1771"/>
      <c r="CQ104" s="1771"/>
      <c r="CR104" s="1771"/>
      <c r="CS104" s="1771"/>
      <c r="CT104" s="1771"/>
      <c r="CU104" s="1771"/>
      <c r="CV104" s="1771"/>
      <c r="CW104" s="1771"/>
      <c r="CX104" s="1771"/>
      <c r="CY104" s="1771"/>
    </row>
    <row r="105" spans="1:103" x14ac:dyDescent="0.2">
      <c r="A105" s="1771"/>
      <c r="B105" s="1771"/>
      <c r="C105" s="1771"/>
      <c r="D105" s="1771"/>
      <c r="E105" s="1771"/>
      <c r="F105" s="1771"/>
      <c r="G105" s="1771"/>
      <c r="H105" s="1771"/>
      <c r="I105" s="1771"/>
      <c r="J105" s="1771"/>
      <c r="K105" s="1771"/>
      <c r="L105" s="1771"/>
      <c r="M105" s="1771"/>
      <c r="N105" s="1771"/>
      <c r="O105" s="1771"/>
      <c r="P105" s="1771"/>
      <c r="Q105" s="1771"/>
      <c r="R105" s="1771"/>
      <c r="S105" s="1771"/>
      <c r="T105" s="1771"/>
      <c r="U105" s="1771"/>
      <c r="V105" s="1771"/>
      <c r="W105" s="1771"/>
      <c r="X105" s="1771"/>
      <c r="Y105" s="1771"/>
      <c r="Z105" s="1771"/>
      <c r="AA105" s="1771"/>
      <c r="AB105" s="1771"/>
      <c r="AC105" s="1771"/>
      <c r="AD105" s="1771"/>
      <c r="AE105" s="1771"/>
      <c r="AF105" s="1771"/>
      <c r="AG105" s="1771"/>
      <c r="AH105" s="1771"/>
      <c r="AI105" s="1771"/>
      <c r="AJ105" s="1771"/>
      <c r="AK105" s="1771"/>
      <c r="AL105" s="1771"/>
      <c r="AM105" s="1771"/>
      <c r="AN105" s="1771"/>
      <c r="AO105" s="1771"/>
      <c r="AP105" s="1771"/>
      <c r="AQ105" s="1771"/>
      <c r="AR105" s="1771"/>
      <c r="AS105" s="1771"/>
      <c r="AT105" s="1771"/>
      <c r="AU105" s="1771"/>
      <c r="AV105" s="1771"/>
      <c r="AW105" s="1771"/>
      <c r="AX105" s="1771"/>
      <c r="AY105" s="1771"/>
      <c r="AZ105" s="1771"/>
      <c r="BA105" s="1771"/>
      <c r="BB105" s="1771"/>
      <c r="BC105" s="1771"/>
      <c r="BD105" s="1771"/>
      <c r="BE105" s="1771"/>
      <c r="BF105" s="1771"/>
      <c r="BG105" s="1771"/>
      <c r="BH105" s="1771"/>
      <c r="BI105" s="1771"/>
      <c r="BJ105" s="1771"/>
      <c r="BK105" s="1771"/>
      <c r="BL105" s="1771"/>
      <c r="BM105" s="1771"/>
      <c r="BN105" s="1771"/>
      <c r="BO105" s="1771"/>
      <c r="BP105" s="1771"/>
      <c r="BQ105" s="1771"/>
      <c r="BR105" s="1771"/>
      <c r="BS105" s="1771"/>
      <c r="BT105" s="1771"/>
      <c r="BU105" s="1771"/>
      <c r="BV105" s="1771"/>
      <c r="BW105" s="1771"/>
      <c r="BX105" s="1771"/>
      <c r="BY105" s="1771"/>
      <c r="BZ105" s="1771"/>
      <c r="CA105" s="1771"/>
      <c r="CB105" s="1771"/>
      <c r="CC105" s="1771"/>
      <c r="CD105" s="1771"/>
      <c r="CE105" s="1771"/>
      <c r="CF105" s="1771"/>
      <c r="CG105" s="1771"/>
      <c r="CH105" s="1771"/>
      <c r="CI105" s="1771"/>
      <c r="CJ105" s="1771"/>
      <c r="CK105" s="1771"/>
      <c r="CL105" s="1771"/>
      <c r="CM105" s="1771"/>
      <c r="CN105" s="1771"/>
      <c r="CO105" s="1771"/>
      <c r="CP105" s="1771"/>
      <c r="CQ105" s="1771"/>
      <c r="CR105" s="1771"/>
      <c r="CS105" s="1771"/>
      <c r="CT105" s="1771"/>
      <c r="CU105" s="1771"/>
      <c r="CV105" s="1771"/>
      <c r="CW105" s="1771"/>
      <c r="CX105" s="1771"/>
      <c r="CY105" s="1771"/>
    </row>
    <row r="106" spans="1:103" x14ac:dyDescent="0.2">
      <c r="A106" s="1771"/>
      <c r="B106" s="1771"/>
      <c r="C106" s="1771"/>
      <c r="D106" s="1771"/>
      <c r="E106" s="1771"/>
      <c r="F106" s="1771"/>
      <c r="G106" s="1771"/>
      <c r="H106" s="1771"/>
      <c r="I106" s="1771"/>
      <c r="J106" s="1771"/>
      <c r="K106" s="1771"/>
      <c r="L106" s="1771"/>
      <c r="M106" s="1771"/>
      <c r="N106" s="1771"/>
      <c r="O106" s="1771"/>
      <c r="P106" s="1771"/>
      <c r="Q106" s="1771"/>
      <c r="R106" s="1771"/>
      <c r="S106" s="1771"/>
      <c r="T106" s="1771"/>
      <c r="U106" s="1771"/>
      <c r="V106" s="1771"/>
      <c r="W106" s="1771"/>
      <c r="X106" s="1771"/>
      <c r="Y106" s="1771"/>
      <c r="Z106" s="1771"/>
      <c r="AA106" s="1771"/>
      <c r="AB106" s="1771"/>
      <c r="AC106" s="1771"/>
      <c r="AD106" s="1771"/>
      <c r="AE106" s="1771"/>
      <c r="AF106" s="1771"/>
      <c r="AG106" s="1771"/>
      <c r="AH106" s="1771"/>
      <c r="AI106" s="1771"/>
      <c r="AJ106" s="1771"/>
      <c r="AK106" s="1771"/>
      <c r="AL106" s="1771"/>
      <c r="AM106" s="1771"/>
      <c r="AN106" s="1771"/>
      <c r="AO106" s="1771"/>
      <c r="AP106" s="1771"/>
      <c r="AQ106" s="1771"/>
      <c r="AR106" s="1771"/>
      <c r="AS106" s="1771"/>
      <c r="AT106" s="1771"/>
      <c r="AU106" s="1771"/>
      <c r="AV106" s="1771"/>
      <c r="AW106" s="1771"/>
      <c r="AX106" s="1771"/>
      <c r="AY106" s="1771"/>
      <c r="AZ106" s="1771"/>
      <c r="BA106" s="1771"/>
      <c r="BB106" s="1771"/>
      <c r="BC106" s="1771"/>
      <c r="BD106" s="1771"/>
      <c r="BE106" s="1771"/>
      <c r="BF106" s="1771"/>
      <c r="BG106" s="1771"/>
      <c r="BH106" s="1771"/>
      <c r="BI106" s="1771"/>
      <c r="BJ106" s="1771"/>
      <c r="BK106" s="1771"/>
      <c r="BL106" s="1771"/>
      <c r="BM106" s="1771"/>
      <c r="BN106" s="1771"/>
      <c r="BO106" s="1771"/>
      <c r="BP106" s="1771"/>
      <c r="BQ106" s="1771"/>
      <c r="BR106" s="1771"/>
      <c r="BS106" s="1771"/>
      <c r="BT106" s="1771"/>
      <c r="BU106" s="1771"/>
      <c r="BV106" s="1771"/>
      <c r="BW106" s="1771"/>
      <c r="BX106" s="1771"/>
      <c r="BY106" s="1771"/>
      <c r="BZ106" s="1771"/>
      <c r="CA106" s="1771"/>
      <c r="CB106" s="1771"/>
      <c r="CC106" s="1771"/>
      <c r="CD106" s="1771"/>
      <c r="CE106" s="1771"/>
      <c r="CF106" s="1771"/>
      <c r="CG106" s="1771"/>
      <c r="CH106" s="1771"/>
      <c r="CI106" s="1771"/>
      <c r="CJ106" s="1771"/>
      <c r="CK106" s="1771"/>
      <c r="CL106" s="1771"/>
      <c r="CM106" s="1771"/>
      <c r="CN106" s="1771"/>
      <c r="CO106" s="1771"/>
      <c r="CP106" s="1771"/>
      <c r="CQ106" s="1771"/>
      <c r="CR106" s="1771"/>
      <c r="CS106" s="1771"/>
      <c r="CT106" s="1771"/>
      <c r="CU106" s="1771"/>
      <c r="CV106" s="1771"/>
      <c r="CW106" s="1771"/>
      <c r="CX106" s="1771"/>
      <c r="CY106" s="1771"/>
    </row>
    <row r="107" spans="1:103" x14ac:dyDescent="0.2">
      <c r="A107" s="1771"/>
      <c r="B107" s="1771"/>
      <c r="C107" s="1771"/>
      <c r="D107" s="1771"/>
      <c r="E107" s="1771"/>
      <c r="F107" s="1771"/>
      <c r="G107" s="1771"/>
      <c r="H107" s="1771"/>
      <c r="I107" s="1771"/>
      <c r="J107" s="1771"/>
      <c r="K107" s="1771"/>
      <c r="L107" s="1771"/>
      <c r="M107" s="1771"/>
      <c r="N107" s="1771"/>
      <c r="O107" s="1771"/>
      <c r="P107" s="1771"/>
      <c r="Q107" s="1771"/>
      <c r="R107" s="1771"/>
      <c r="S107" s="1771"/>
      <c r="T107" s="1771"/>
      <c r="U107" s="1771"/>
      <c r="V107" s="1771"/>
      <c r="W107" s="1771"/>
      <c r="X107" s="1771"/>
      <c r="Y107" s="1771"/>
      <c r="Z107" s="1771"/>
      <c r="AA107" s="1771"/>
      <c r="AB107" s="1771"/>
      <c r="AC107" s="1771"/>
      <c r="AD107" s="1771"/>
      <c r="AE107" s="1771"/>
      <c r="AF107" s="1771"/>
      <c r="AG107" s="1771"/>
      <c r="AH107" s="1771"/>
      <c r="AI107" s="1771"/>
      <c r="AJ107" s="1771"/>
      <c r="AK107" s="1771"/>
      <c r="AL107" s="1771"/>
      <c r="AM107" s="1771"/>
      <c r="AN107" s="1771"/>
      <c r="AO107" s="1771"/>
      <c r="AP107" s="1771"/>
      <c r="AQ107" s="1771"/>
      <c r="AR107" s="1771"/>
      <c r="AS107" s="1771"/>
      <c r="AT107" s="1771"/>
      <c r="AU107" s="1771"/>
      <c r="AV107" s="1771"/>
      <c r="AW107" s="1771"/>
      <c r="AX107" s="1771"/>
      <c r="AY107" s="1771"/>
      <c r="AZ107" s="1771"/>
      <c r="BA107" s="1771"/>
      <c r="BB107" s="1771"/>
      <c r="BC107" s="1771"/>
      <c r="BD107" s="1771"/>
      <c r="BE107" s="1771"/>
      <c r="BF107" s="1771"/>
      <c r="BG107" s="1771"/>
      <c r="BH107" s="1771"/>
      <c r="BI107" s="1771"/>
      <c r="BJ107" s="1771"/>
      <c r="BK107" s="1771"/>
      <c r="BL107" s="1771"/>
      <c r="BM107" s="1771"/>
      <c r="BN107" s="1771"/>
      <c r="BO107" s="1771"/>
      <c r="BP107" s="1771"/>
      <c r="BQ107" s="1771"/>
      <c r="BR107" s="1771"/>
      <c r="BS107" s="1771"/>
      <c r="BT107" s="1771"/>
      <c r="BU107" s="1771"/>
      <c r="BV107" s="1771"/>
      <c r="BW107" s="1771"/>
      <c r="BX107" s="1771"/>
      <c r="BY107" s="1771"/>
      <c r="BZ107" s="1771"/>
      <c r="CA107" s="1771"/>
      <c r="CB107" s="1771"/>
      <c r="CC107" s="1771"/>
      <c r="CD107" s="1771"/>
      <c r="CE107" s="1771"/>
      <c r="CF107" s="1771"/>
      <c r="CG107" s="1771"/>
      <c r="CH107" s="1771"/>
      <c r="CI107" s="1771"/>
      <c r="CJ107" s="1771"/>
      <c r="CK107" s="1771"/>
      <c r="CL107" s="1771"/>
      <c r="CM107" s="1771"/>
      <c r="CN107" s="1771"/>
      <c r="CO107" s="1771"/>
      <c r="CP107" s="1771"/>
      <c r="CQ107" s="1771"/>
      <c r="CR107" s="1771"/>
      <c r="CS107" s="1771"/>
      <c r="CT107" s="1771"/>
      <c r="CU107" s="1771"/>
      <c r="CV107" s="1771"/>
      <c r="CW107" s="1771"/>
      <c r="CX107" s="1771"/>
      <c r="CY107" s="1771"/>
    </row>
    <row r="108" spans="1:103" x14ac:dyDescent="0.2">
      <c r="A108" s="1771"/>
      <c r="B108" s="1771"/>
      <c r="C108" s="1771"/>
      <c r="D108" s="1771"/>
      <c r="E108" s="1771"/>
      <c r="F108" s="1771"/>
      <c r="G108" s="1771"/>
      <c r="H108" s="1771"/>
      <c r="I108" s="1771"/>
      <c r="J108" s="1771"/>
      <c r="K108" s="1771"/>
      <c r="L108" s="1771"/>
      <c r="M108" s="1771"/>
      <c r="N108" s="1771"/>
      <c r="O108" s="1771"/>
      <c r="P108" s="1771"/>
      <c r="Q108" s="1771"/>
      <c r="R108" s="1771"/>
      <c r="S108" s="1771"/>
      <c r="T108" s="1771"/>
      <c r="U108" s="1771"/>
      <c r="V108" s="1771"/>
      <c r="W108" s="1771"/>
      <c r="X108" s="1771"/>
      <c r="Y108" s="1771"/>
      <c r="Z108" s="1771"/>
      <c r="AA108" s="1771"/>
      <c r="AB108" s="1771"/>
      <c r="AC108" s="1771"/>
      <c r="AD108" s="1771"/>
      <c r="AE108" s="1771"/>
      <c r="AF108" s="1771"/>
      <c r="AG108" s="1771"/>
      <c r="AH108" s="1771"/>
      <c r="AI108" s="1771"/>
      <c r="AJ108" s="1771"/>
      <c r="AK108" s="1771"/>
      <c r="AL108" s="1771"/>
      <c r="AM108" s="1771"/>
      <c r="AN108" s="1771"/>
      <c r="AO108" s="1771"/>
      <c r="AP108" s="1771"/>
      <c r="AQ108" s="1771"/>
      <c r="AR108" s="1771"/>
      <c r="AS108" s="1771"/>
      <c r="AT108" s="1771"/>
      <c r="AU108" s="1771"/>
      <c r="AV108" s="1771"/>
      <c r="AW108" s="1771"/>
      <c r="AX108" s="1771"/>
      <c r="AY108" s="1771"/>
      <c r="AZ108" s="1771"/>
      <c r="BA108" s="1771"/>
      <c r="BB108" s="1771"/>
      <c r="BC108" s="1771"/>
      <c r="BD108" s="1771"/>
      <c r="BE108" s="1771"/>
      <c r="BF108" s="1771"/>
      <c r="BG108" s="1771"/>
      <c r="BH108" s="1771"/>
      <c r="BI108" s="1771"/>
      <c r="BJ108" s="1771"/>
      <c r="BK108" s="1771"/>
      <c r="BL108" s="1771"/>
      <c r="BM108" s="1771"/>
      <c r="BN108" s="1771"/>
      <c r="BO108" s="1771"/>
      <c r="BP108" s="1771"/>
      <c r="BQ108" s="1771"/>
      <c r="BR108" s="1771"/>
      <c r="BS108" s="1771"/>
      <c r="BT108" s="1771"/>
      <c r="BU108" s="1771"/>
      <c r="BV108" s="1771"/>
      <c r="BW108" s="1771"/>
      <c r="BX108" s="1771"/>
      <c r="BY108" s="1771"/>
      <c r="BZ108" s="1771"/>
      <c r="CA108" s="1771"/>
      <c r="CB108" s="1771"/>
      <c r="CC108" s="1771"/>
      <c r="CD108" s="1771"/>
      <c r="CE108" s="1771"/>
      <c r="CF108" s="1771"/>
      <c r="CG108" s="1771"/>
      <c r="CH108" s="1771"/>
      <c r="CI108" s="1771"/>
      <c r="CJ108" s="1771"/>
      <c r="CK108" s="1771"/>
      <c r="CL108" s="1771"/>
      <c r="CM108" s="1771"/>
      <c r="CN108" s="1771"/>
      <c r="CO108" s="1771"/>
      <c r="CP108" s="1771"/>
      <c r="CQ108" s="1771"/>
      <c r="CR108" s="1771"/>
      <c r="CS108" s="1771"/>
      <c r="CT108" s="1771"/>
      <c r="CU108" s="1771"/>
      <c r="CV108" s="1771"/>
      <c r="CW108" s="1771"/>
      <c r="CX108" s="1771"/>
      <c r="CY108" s="1771"/>
    </row>
    <row r="109" spans="1:103" x14ac:dyDescent="0.2">
      <c r="A109" s="1771"/>
      <c r="B109" s="1771"/>
      <c r="C109" s="1771"/>
      <c r="D109" s="1771"/>
      <c r="E109" s="1771"/>
      <c r="F109" s="1771"/>
      <c r="G109" s="1771"/>
      <c r="H109" s="1771"/>
      <c r="I109" s="1771"/>
      <c r="J109" s="1771"/>
      <c r="K109" s="1771"/>
      <c r="L109" s="1771"/>
      <c r="M109" s="1771"/>
      <c r="N109" s="1771"/>
      <c r="O109" s="1771"/>
      <c r="P109" s="1771"/>
      <c r="Q109" s="1771"/>
      <c r="R109" s="1771"/>
      <c r="S109" s="1771"/>
      <c r="T109" s="1771"/>
      <c r="U109" s="1771"/>
      <c r="V109" s="1771"/>
      <c r="W109" s="1771"/>
      <c r="X109" s="1771"/>
      <c r="Y109" s="1771"/>
      <c r="Z109" s="1771"/>
      <c r="AA109" s="1771"/>
      <c r="AB109" s="1771"/>
      <c r="AC109" s="1771"/>
      <c r="AD109" s="1771"/>
      <c r="AE109" s="1771"/>
      <c r="AF109" s="1771"/>
      <c r="AG109" s="1771"/>
      <c r="AH109" s="1771"/>
      <c r="AI109" s="1771"/>
      <c r="AJ109" s="1771"/>
      <c r="AK109" s="1771"/>
      <c r="AL109" s="1771"/>
      <c r="AM109" s="1771"/>
      <c r="AN109" s="1771"/>
      <c r="AO109" s="1771"/>
      <c r="AP109" s="1771"/>
      <c r="AQ109" s="1771"/>
      <c r="AR109" s="1771"/>
      <c r="AS109" s="1771"/>
      <c r="AT109" s="1771"/>
      <c r="AU109" s="1771"/>
      <c r="AV109" s="1771"/>
      <c r="AW109" s="1771"/>
      <c r="AX109" s="1771"/>
      <c r="AY109" s="1771"/>
      <c r="AZ109" s="1771"/>
      <c r="BA109" s="1771"/>
      <c r="BB109" s="1771"/>
      <c r="BC109" s="1771"/>
      <c r="BD109" s="1771"/>
      <c r="BE109" s="1771"/>
      <c r="BF109" s="1771"/>
      <c r="BG109" s="1771"/>
      <c r="BH109" s="1771"/>
      <c r="BI109" s="1771"/>
      <c r="BJ109" s="1771"/>
      <c r="BK109" s="1771"/>
      <c r="BL109" s="1771"/>
      <c r="BM109" s="1771"/>
      <c r="BN109" s="1771"/>
      <c r="BO109" s="1771"/>
      <c r="BP109" s="1771"/>
      <c r="BQ109" s="1771"/>
      <c r="BR109" s="1771"/>
      <c r="BS109" s="1771"/>
      <c r="BT109" s="1771"/>
      <c r="BU109" s="1771"/>
      <c r="BV109" s="1771"/>
      <c r="BW109" s="1771"/>
      <c r="BX109" s="1771"/>
      <c r="BY109" s="1771"/>
      <c r="BZ109" s="1771"/>
      <c r="CA109" s="1771"/>
      <c r="CB109" s="1771"/>
      <c r="CC109" s="1771"/>
      <c r="CD109" s="1771"/>
      <c r="CE109" s="1771"/>
      <c r="CF109" s="1771"/>
      <c r="CG109" s="1771"/>
      <c r="CH109" s="1771"/>
      <c r="CI109" s="1771"/>
      <c r="CJ109" s="1771"/>
      <c r="CK109" s="1771"/>
      <c r="CL109" s="1771"/>
      <c r="CM109" s="1771"/>
      <c r="CN109" s="1771"/>
      <c r="CO109" s="1771"/>
      <c r="CP109" s="1771"/>
      <c r="CQ109" s="1771"/>
      <c r="CR109" s="1771"/>
      <c r="CS109" s="1771"/>
      <c r="CT109" s="1771"/>
      <c r="CU109" s="1771"/>
      <c r="CV109" s="1771"/>
      <c r="CW109" s="1771"/>
      <c r="CX109" s="1771"/>
      <c r="CY109" s="1771"/>
    </row>
    <row r="110" spans="1:103" x14ac:dyDescent="0.2">
      <c r="A110" s="1771"/>
      <c r="B110" s="1771"/>
      <c r="C110" s="1771"/>
      <c r="D110" s="1771"/>
      <c r="E110" s="1771"/>
      <c r="F110" s="1771"/>
      <c r="G110" s="1771"/>
      <c r="H110" s="1771"/>
      <c r="I110" s="1771"/>
      <c r="J110" s="1771"/>
      <c r="K110" s="1771"/>
      <c r="L110" s="1771"/>
      <c r="M110" s="1771"/>
      <c r="N110" s="1771"/>
      <c r="O110" s="1771"/>
      <c r="P110" s="1771"/>
      <c r="Q110" s="1771"/>
      <c r="R110" s="1771"/>
      <c r="S110" s="1771"/>
      <c r="T110" s="1771"/>
      <c r="U110" s="1771"/>
      <c r="V110" s="1771"/>
      <c r="W110" s="1771"/>
      <c r="X110" s="1771"/>
      <c r="Y110" s="1771"/>
      <c r="Z110" s="1771"/>
      <c r="AA110" s="1771"/>
      <c r="AB110" s="1771"/>
      <c r="AC110" s="1771"/>
      <c r="AD110" s="1771"/>
      <c r="AE110" s="1771"/>
      <c r="AF110" s="1771"/>
      <c r="AG110" s="1771"/>
      <c r="AH110" s="1771"/>
      <c r="AI110" s="1771"/>
      <c r="AJ110" s="1771"/>
      <c r="AK110" s="1771"/>
      <c r="AL110" s="1771"/>
      <c r="AM110" s="1771"/>
      <c r="AN110" s="1771"/>
      <c r="AO110" s="1771"/>
      <c r="AP110" s="1771"/>
      <c r="AQ110" s="1771"/>
      <c r="AR110" s="1771"/>
      <c r="AS110" s="1771"/>
      <c r="AT110" s="1771"/>
      <c r="AU110" s="1771"/>
      <c r="AV110" s="1771"/>
      <c r="AW110" s="1771"/>
      <c r="AX110" s="1771"/>
      <c r="AY110" s="1771"/>
      <c r="AZ110" s="1771"/>
      <c r="BA110" s="1771"/>
      <c r="BB110" s="1771"/>
      <c r="BC110" s="1771"/>
      <c r="BD110" s="1771"/>
      <c r="BE110" s="1771"/>
      <c r="BF110" s="1771"/>
      <c r="BG110" s="1771"/>
      <c r="BH110" s="1771"/>
      <c r="BI110" s="1771"/>
      <c r="BJ110" s="1771"/>
      <c r="BK110" s="1771"/>
      <c r="BL110" s="1771"/>
      <c r="BM110" s="1771"/>
      <c r="BN110" s="1771"/>
      <c r="BO110" s="1771"/>
      <c r="BP110" s="1771"/>
      <c r="BQ110" s="1771"/>
      <c r="BR110" s="1771"/>
      <c r="BS110" s="1771"/>
      <c r="BT110" s="1771"/>
      <c r="BU110" s="1771"/>
      <c r="BV110" s="1771"/>
      <c r="BW110" s="1771"/>
      <c r="BX110" s="1771"/>
      <c r="BY110" s="1771"/>
      <c r="BZ110" s="1771"/>
      <c r="CA110" s="1771"/>
      <c r="CB110" s="1771"/>
      <c r="CC110" s="1771"/>
      <c r="CD110" s="1771"/>
      <c r="CE110" s="1771"/>
      <c r="CF110" s="1771"/>
      <c r="CG110" s="1771"/>
      <c r="CH110" s="1771"/>
      <c r="CI110" s="1771"/>
      <c r="CJ110" s="1771"/>
      <c r="CK110" s="1771"/>
      <c r="CL110" s="1771"/>
      <c r="CM110" s="1771"/>
      <c r="CN110" s="1771"/>
      <c r="CO110" s="1771"/>
      <c r="CP110" s="1771"/>
      <c r="CQ110" s="1771"/>
      <c r="CR110" s="1771"/>
      <c r="CS110" s="1771"/>
      <c r="CT110" s="1771"/>
      <c r="CU110" s="1771"/>
      <c r="CV110" s="1771"/>
      <c r="CW110" s="1771"/>
      <c r="CX110" s="1771"/>
      <c r="CY110" s="1771"/>
    </row>
    <row r="111" spans="1:103" x14ac:dyDescent="0.2">
      <c r="A111" s="1771"/>
      <c r="B111" s="1771"/>
      <c r="C111" s="1771"/>
      <c r="D111" s="1771"/>
      <c r="E111" s="1771"/>
      <c r="F111" s="1771"/>
      <c r="G111" s="1771"/>
      <c r="H111" s="1771"/>
      <c r="I111" s="1771"/>
      <c r="J111" s="1771"/>
      <c r="K111" s="1771"/>
      <c r="L111" s="1771"/>
      <c r="M111" s="1771"/>
      <c r="N111" s="1771"/>
      <c r="O111" s="1771"/>
      <c r="P111" s="1771"/>
      <c r="Q111" s="1771"/>
      <c r="R111" s="1771"/>
      <c r="S111" s="1771"/>
      <c r="T111" s="1771"/>
      <c r="U111" s="1771"/>
      <c r="V111" s="1771"/>
      <c r="W111" s="1771"/>
      <c r="X111" s="1771"/>
      <c r="Y111" s="1771"/>
      <c r="Z111" s="1771"/>
      <c r="AA111" s="1771"/>
      <c r="AB111" s="1771"/>
      <c r="AC111" s="1771"/>
      <c r="AD111" s="1771"/>
      <c r="AE111" s="1771"/>
      <c r="AF111" s="1771"/>
      <c r="AG111" s="1771"/>
      <c r="AH111" s="1771"/>
      <c r="AI111" s="1771"/>
      <c r="AJ111" s="1771"/>
      <c r="AK111" s="1771"/>
      <c r="AL111" s="1771"/>
      <c r="AM111" s="1771"/>
      <c r="AN111" s="1771"/>
      <c r="AO111" s="1771"/>
      <c r="AP111" s="1771"/>
      <c r="AQ111" s="1771"/>
      <c r="AR111" s="1771"/>
      <c r="AS111" s="1771"/>
      <c r="AT111" s="1771"/>
      <c r="AU111" s="1771"/>
      <c r="AV111" s="1771"/>
      <c r="AW111" s="1771"/>
      <c r="AX111" s="1771"/>
      <c r="AY111" s="1771"/>
      <c r="AZ111" s="1771"/>
      <c r="BA111" s="1771"/>
      <c r="BB111" s="1771"/>
      <c r="BC111" s="1771"/>
      <c r="BD111" s="1771"/>
      <c r="BE111" s="1771"/>
      <c r="BF111" s="1771"/>
      <c r="BG111" s="1771"/>
      <c r="BH111" s="1771"/>
      <c r="BI111" s="1771"/>
      <c r="BJ111" s="1771"/>
      <c r="BK111" s="1771"/>
      <c r="BL111" s="1771"/>
      <c r="BM111" s="1771"/>
      <c r="BN111" s="1771"/>
      <c r="BO111" s="1771"/>
      <c r="BP111" s="1771"/>
      <c r="BQ111" s="1771"/>
      <c r="BR111" s="1771"/>
      <c r="BS111" s="1771"/>
      <c r="BT111" s="1771"/>
      <c r="BU111" s="1771"/>
      <c r="BV111" s="1771"/>
      <c r="BW111" s="1771"/>
      <c r="BX111" s="1771"/>
      <c r="BY111" s="1771"/>
      <c r="BZ111" s="1771"/>
      <c r="CA111" s="1771"/>
      <c r="CB111" s="1771"/>
      <c r="CC111" s="1771"/>
      <c r="CD111" s="1771"/>
      <c r="CE111" s="1771"/>
      <c r="CF111" s="1771"/>
      <c r="CG111" s="1771"/>
      <c r="CH111" s="1771"/>
      <c r="CI111" s="1771"/>
      <c r="CJ111" s="1771"/>
      <c r="CK111" s="1771"/>
      <c r="CL111" s="1771"/>
      <c r="CM111" s="1771"/>
      <c r="CN111" s="1771"/>
      <c r="CO111" s="1771"/>
      <c r="CP111" s="1771"/>
      <c r="CQ111" s="1771"/>
      <c r="CR111" s="1771"/>
      <c r="CS111" s="1771"/>
      <c r="CT111" s="1771"/>
      <c r="CU111" s="1771"/>
      <c r="CV111" s="1771"/>
      <c r="CW111" s="1771"/>
      <c r="CX111" s="1771"/>
      <c r="CY111" s="1771"/>
    </row>
    <row r="112" spans="1:103" x14ac:dyDescent="0.2">
      <c r="A112" s="1771"/>
      <c r="B112" s="1771"/>
      <c r="C112" s="1771"/>
      <c r="D112" s="1771"/>
      <c r="E112" s="1771"/>
      <c r="F112" s="1771"/>
      <c r="G112" s="1771"/>
      <c r="H112" s="1771"/>
      <c r="I112" s="1771"/>
      <c r="J112" s="1771"/>
      <c r="K112" s="1771"/>
      <c r="L112" s="1771"/>
      <c r="M112" s="1771"/>
      <c r="N112" s="1771"/>
      <c r="O112" s="1771"/>
      <c r="P112" s="1771"/>
      <c r="Q112" s="1771"/>
      <c r="R112" s="1771"/>
      <c r="S112" s="1771"/>
      <c r="T112" s="1771"/>
      <c r="U112" s="1771"/>
      <c r="V112" s="1771"/>
      <c r="W112" s="1771"/>
      <c r="X112" s="1771"/>
      <c r="Y112" s="1771"/>
      <c r="Z112" s="1771"/>
      <c r="AA112" s="1771"/>
      <c r="AB112" s="1771"/>
      <c r="AC112" s="1771"/>
      <c r="AD112" s="1771"/>
      <c r="AE112" s="1771"/>
      <c r="AF112" s="1771"/>
      <c r="AG112" s="1771"/>
      <c r="AH112" s="1771"/>
      <c r="AI112" s="1771"/>
      <c r="AJ112" s="1771"/>
      <c r="AK112" s="1771"/>
      <c r="AL112" s="1771"/>
      <c r="AM112" s="1771"/>
      <c r="AN112" s="1771"/>
      <c r="AO112" s="1771"/>
      <c r="AP112" s="1771"/>
      <c r="AQ112" s="1771"/>
      <c r="AR112" s="1771"/>
      <c r="AS112" s="1771"/>
      <c r="AT112" s="1771"/>
      <c r="AU112" s="1771"/>
      <c r="AV112" s="1771"/>
      <c r="AW112" s="1771"/>
      <c r="AX112" s="1771"/>
      <c r="AY112" s="1771"/>
      <c r="AZ112" s="1771"/>
      <c r="BA112" s="1771"/>
      <c r="BB112" s="1771"/>
      <c r="BC112" s="1771"/>
      <c r="BD112" s="1771"/>
      <c r="BE112" s="1771"/>
      <c r="BF112" s="1771"/>
      <c r="BG112" s="1771"/>
      <c r="BH112" s="1771"/>
      <c r="BI112" s="1771"/>
      <c r="BJ112" s="1771"/>
      <c r="BK112" s="1771"/>
      <c r="BL112" s="1771"/>
      <c r="BM112" s="1771"/>
      <c r="BN112" s="1771"/>
      <c r="BO112" s="1771"/>
      <c r="BP112" s="1771"/>
      <c r="BQ112" s="1771"/>
      <c r="BR112" s="1771"/>
      <c r="BS112" s="1771"/>
      <c r="BT112" s="1771"/>
      <c r="BU112" s="1771"/>
      <c r="BV112" s="1771"/>
      <c r="BW112" s="1771"/>
      <c r="BX112" s="1771"/>
      <c r="BY112" s="1771"/>
      <c r="BZ112" s="1771"/>
      <c r="CA112" s="1771"/>
      <c r="CB112" s="1771"/>
      <c r="CC112" s="1771"/>
      <c r="CD112" s="1771"/>
      <c r="CE112" s="1771"/>
      <c r="CF112" s="1771"/>
      <c r="CG112" s="1771"/>
      <c r="CH112" s="1771"/>
      <c r="CI112" s="1771"/>
      <c r="CJ112" s="1771"/>
      <c r="CK112" s="1771"/>
      <c r="CL112" s="1771"/>
      <c r="CM112" s="1771"/>
      <c r="CN112" s="1771"/>
      <c r="CO112" s="1771"/>
      <c r="CP112" s="1771"/>
      <c r="CQ112" s="1771"/>
      <c r="CR112" s="1771"/>
      <c r="CS112" s="1771"/>
      <c r="CT112" s="1771"/>
      <c r="CU112" s="1771"/>
      <c r="CV112" s="1771"/>
      <c r="CW112" s="1771"/>
      <c r="CX112" s="1771"/>
      <c r="CY112" s="1771"/>
    </row>
    <row r="113" spans="1:103" x14ac:dyDescent="0.2">
      <c r="A113" s="1771"/>
      <c r="B113" s="1771"/>
      <c r="C113" s="1771"/>
      <c r="D113" s="1771"/>
      <c r="E113" s="1771"/>
      <c r="F113" s="1771"/>
      <c r="G113" s="1771"/>
      <c r="H113" s="1771"/>
      <c r="I113" s="1771"/>
      <c r="J113" s="1771"/>
      <c r="K113" s="1771"/>
      <c r="L113" s="1771"/>
      <c r="M113" s="1771"/>
      <c r="N113" s="1771"/>
      <c r="O113" s="1771"/>
      <c r="P113" s="1771"/>
      <c r="Q113" s="1771"/>
      <c r="R113" s="1771"/>
      <c r="S113" s="1771"/>
      <c r="T113" s="1771"/>
      <c r="U113" s="1771"/>
      <c r="V113" s="1771"/>
      <c r="W113" s="1771"/>
      <c r="X113" s="1771"/>
      <c r="Y113" s="1771"/>
      <c r="Z113" s="1771"/>
      <c r="AA113" s="1771"/>
      <c r="AB113" s="1771"/>
      <c r="AC113" s="1771"/>
      <c r="AD113" s="1771"/>
      <c r="AE113" s="1771"/>
      <c r="AF113" s="1771"/>
      <c r="AG113" s="1771"/>
      <c r="AH113" s="1771"/>
      <c r="AI113" s="1771"/>
      <c r="AJ113" s="1771"/>
      <c r="AK113" s="1771"/>
      <c r="AL113" s="1771"/>
      <c r="AM113" s="1771"/>
      <c r="AN113" s="1771"/>
      <c r="AO113" s="1771"/>
      <c r="AP113" s="1771"/>
      <c r="AQ113" s="1771"/>
      <c r="AR113" s="1771"/>
      <c r="AS113" s="1771"/>
      <c r="AT113" s="1771"/>
      <c r="AU113" s="1771"/>
      <c r="AV113" s="1771"/>
      <c r="AW113" s="1771"/>
      <c r="AX113" s="1771"/>
      <c r="AY113" s="1771"/>
      <c r="AZ113" s="1771"/>
      <c r="BA113" s="1771"/>
      <c r="BB113" s="1771"/>
      <c r="BC113" s="1771"/>
      <c r="BD113" s="1771"/>
      <c r="BE113" s="1771"/>
      <c r="BF113" s="1771"/>
      <c r="BG113" s="1771"/>
      <c r="BH113" s="1771"/>
      <c r="BI113" s="1771"/>
      <c r="BJ113" s="1771"/>
      <c r="BK113" s="1771"/>
      <c r="BL113" s="1771"/>
      <c r="BM113" s="1771"/>
      <c r="BN113" s="1771"/>
      <c r="BO113" s="1771"/>
      <c r="BP113" s="1771"/>
      <c r="BQ113" s="1771"/>
      <c r="BR113" s="1771"/>
      <c r="BS113" s="1771"/>
      <c r="BT113" s="1771"/>
      <c r="BU113" s="1771"/>
      <c r="BV113" s="1771"/>
      <c r="BW113" s="1771"/>
      <c r="BX113" s="1771"/>
      <c r="BY113" s="1771"/>
      <c r="BZ113" s="1771"/>
      <c r="CA113" s="1771"/>
      <c r="CB113" s="1771"/>
      <c r="CC113" s="1771"/>
      <c r="CD113" s="1771"/>
      <c r="CE113" s="1771"/>
      <c r="CF113" s="1771"/>
      <c r="CG113" s="1771"/>
      <c r="CH113" s="1771"/>
      <c r="CI113" s="1771"/>
      <c r="CJ113" s="1771"/>
      <c r="CK113" s="1771"/>
      <c r="CL113" s="1771"/>
      <c r="CM113" s="1771"/>
      <c r="CN113" s="1771"/>
      <c r="CO113" s="1771"/>
      <c r="CP113" s="1771"/>
      <c r="CQ113" s="1771"/>
      <c r="CR113" s="1771"/>
      <c r="CS113" s="1771"/>
      <c r="CT113" s="1771"/>
      <c r="CU113" s="1771"/>
      <c r="CV113" s="1771"/>
      <c r="CW113" s="1771"/>
      <c r="CX113" s="1771"/>
      <c r="CY113" s="1771"/>
    </row>
    <row r="114" spans="1:103" x14ac:dyDescent="0.2">
      <c r="A114" s="1771"/>
      <c r="B114" s="1771"/>
      <c r="C114" s="1771"/>
      <c r="D114" s="1771"/>
      <c r="AO114" s="1771"/>
      <c r="AP114" s="1771"/>
      <c r="AQ114" s="1771"/>
      <c r="AR114" s="1771"/>
      <c r="AS114" s="1771"/>
      <c r="AT114" s="1771"/>
      <c r="AU114" s="1771"/>
      <c r="AV114" s="1771"/>
      <c r="AW114" s="1771"/>
      <c r="AX114" s="1771"/>
      <c r="AY114" s="1771"/>
      <c r="AZ114" s="1771"/>
      <c r="BA114" s="1771"/>
      <c r="BB114" s="1771"/>
      <c r="BC114" s="1771"/>
      <c r="BD114" s="1771"/>
      <c r="BE114" s="1771"/>
      <c r="BF114" s="1771"/>
      <c r="BG114" s="1771"/>
      <c r="BH114" s="1771"/>
      <c r="BI114" s="1771"/>
      <c r="BJ114" s="1771"/>
      <c r="BK114" s="1771"/>
      <c r="BL114" s="1771"/>
      <c r="BM114" s="1771"/>
      <c r="BN114" s="1771"/>
      <c r="BO114" s="1771"/>
      <c r="BP114" s="1771"/>
      <c r="BQ114" s="1771"/>
      <c r="BR114" s="1771"/>
      <c r="BS114" s="1771"/>
      <c r="BT114" s="1771"/>
      <c r="BU114" s="1771"/>
      <c r="BV114" s="1771"/>
      <c r="BW114" s="1771"/>
      <c r="BX114" s="1771"/>
      <c r="BY114" s="1771"/>
      <c r="BZ114" s="1771"/>
      <c r="CA114" s="1771"/>
      <c r="CB114" s="1771"/>
      <c r="CC114" s="1771"/>
      <c r="CD114" s="1771"/>
      <c r="CE114" s="1771"/>
      <c r="CF114" s="1771"/>
      <c r="CG114" s="1771"/>
      <c r="CH114" s="1771"/>
      <c r="CI114" s="1771"/>
      <c r="CJ114" s="1771"/>
      <c r="CK114" s="1771"/>
      <c r="CL114" s="1771"/>
      <c r="CM114" s="1771"/>
      <c r="CN114" s="1771"/>
      <c r="CO114" s="1771"/>
      <c r="CP114" s="1771"/>
      <c r="CQ114" s="1771"/>
      <c r="CR114" s="1771"/>
      <c r="CS114" s="1771"/>
      <c r="CT114" s="1771"/>
      <c r="CU114" s="1771"/>
      <c r="CV114" s="1771"/>
      <c r="CW114" s="1771"/>
      <c r="CX114" s="1771"/>
      <c r="CY114" s="1771"/>
    </row>
  </sheetData>
  <sheetProtection algorithmName="SHA-512" hashValue="Hf/s+8oXrcyFmb351L6kLV/jSkZLsGLgaa1R9n4rx5pwXoPb85yX0GsJCVHXhlECY55tLheWr/G87HiOhAUKZg==" saltValue="3MsfS65V2TC0rZyaYZXVWg==" spinCount="100000" sheet="1"/>
  <mergeCells count="11">
    <mergeCell ref="CM81:CO83"/>
    <mergeCell ref="C79:E79"/>
    <mergeCell ref="CE10:CG11"/>
    <mergeCell ref="CE41:CG42"/>
    <mergeCell ref="C74:E74"/>
    <mergeCell ref="C75:E75"/>
    <mergeCell ref="C76:E76"/>
    <mergeCell ref="C77:E77"/>
    <mergeCell ref="C78:E78"/>
    <mergeCell ref="CM20:CO22"/>
    <mergeCell ref="CM51:CO53"/>
  </mergeCells>
  <dataValidations count="1">
    <dataValidation type="decimal" operator="lessThanOrEqual" allowBlank="1" showInputMessage="1" showErrorMessage="1" sqref="H57 J57 L57 H26 J26 L26" xr:uid="{00000000-0002-0000-1800-000000000000}">
      <formula1>100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800-000001000000}">
          <x14:formula1>
            <xm:f>OFFSET(list_region_country!$G$3,1,MATCH(continent_selected, list_region_country!$G$3:$V$3,0)-1,COUNTA(OFFSET(list_region_country!$G$3,1,MATCH(continent_selected, list_region_country!$G$3:$V$3,0)-1,60,1)),1)</xm:f>
          </x14:formula1>
          <xm:sqref>CC26 CC57</xm:sqref>
        </x14:dataValidation>
        <x14:dataValidation type="list" allowBlank="1" showInputMessage="1" showErrorMessage="1" xr:uid="{00000000-0002-0000-1800-000002000000}">
          <x14:formula1>
            <xm:f>'Database fish'!$A$36:$I$36</xm:f>
          </x14:formula1>
          <xm:sqref>E13:E18</xm:sqref>
        </x14:dataValidation>
        <x14:dataValidation type="list" allowBlank="1" showInputMessage="1" showErrorMessage="1" xr:uid="{00000000-0002-0000-1800-000003000000}">
          <x14:formula1>
            <xm:f>list!$I$48:$I$50</xm:f>
          </x14:formula1>
          <xm:sqref>S74:S79 AA13:AA18 AC13:AC18 AA74:AA79 AC74:AC79 Q74:Q79 AA44:AA49 AC44:AC49</xm:sqref>
        </x14:dataValidation>
        <x14:dataValidation type="list" allowBlank="1" showInputMessage="1" showErrorMessage="1" xr:uid="{00000000-0002-0000-1800-000004000000}">
          <x14:formula1>
            <xm:f>'Database fish'!$A$36:$A$39</xm:f>
          </x14:formula1>
          <xm:sqref>C13:C18</xm:sqref>
        </x14:dataValidation>
        <x14:dataValidation type="list" allowBlank="1" showInputMessage="1" showErrorMessage="1" xr:uid="{00000000-0002-0000-1800-000005000000}">
          <x14:formula1>
            <xm:f>'Database fish'!$A$6:$K$6</xm:f>
          </x14:formula1>
          <xm:sqref>E44:E49</xm:sqref>
        </x14:dataValidation>
        <x14:dataValidation type="list" allowBlank="1" showInputMessage="1" showErrorMessage="1" xr:uid="{00000000-0002-0000-1800-000006000000}">
          <x14:formula1>
            <xm:f>'Database fish'!$W$6:$W$29</xm:f>
          </x14:formula1>
          <xm:sqref>C44:C49</xm:sqref>
        </x14:dataValidation>
        <x14:dataValidation type="whole" operator="lessThanOrEqual" allowBlank="1" showInputMessage="1" showErrorMessage="1" error="The start year of the activity cannot be after the end of the implementation period." xr:uid="{00000000-0002-0000-1800-000007000000}">
          <x14:formula1>
            <xm:f>'1.Description'!$T$13</xm:f>
          </x14:formula1>
          <xm:sqref>CN13:CN18 CN44:CN49 CN74:CN79</xm:sqref>
        </x14:dataValidation>
      </x14:dataValidations>
    </ext>
  </extLst>
</worksheet>
</file>

<file path=xl/worksheets/sheet2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S142"/>
  <sheetViews>
    <sheetView zoomScaleNormal="115" workbookViewId="0">
      <selection activeCell="I39" sqref="I39"/>
    </sheetView>
  </sheetViews>
  <sheetFormatPr baseColWidth="10" defaultColWidth="8.83203125" defaultRowHeight="15" x14ac:dyDescent="0.2"/>
  <cols>
    <col min="15" max="16" width="9.5" bestFit="1" customWidth="1"/>
  </cols>
  <sheetData>
    <row r="1" spans="1:29" s="2188" customFormat="1" ht="45" customHeight="1" x14ac:dyDescent="0.15">
      <c r="A1" s="2187"/>
      <c r="B1" s="2259" t="s">
        <v>1679</v>
      </c>
      <c r="C1" s="2187"/>
      <c r="D1" s="2187"/>
      <c r="E1" s="2187"/>
      <c r="F1" s="2187"/>
      <c r="G1" s="2187"/>
      <c r="H1" s="2187"/>
      <c r="I1" s="2187"/>
      <c r="J1" s="2187"/>
      <c r="K1" s="2187"/>
      <c r="L1" s="2187"/>
      <c r="M1" s="2187"/>
      <c r="N1" s="2187"/>
      <c r="O1" s="2187"/>
      <c r="P1" s="2187"/>
      <c r="Q1" s="2187"/>
      <c r="R1" s="2187"/>
      <c r="S1" s="2187"/>
      <c r="T1" s="2187"/>
      <c r="U1" s="2187"/>
      <c r="V1" s="2187"/>
      <c r="W1" s="2187"/>
      <c r="X1" s="2187"/>
      <c r="Y1" s="2187"/>
      <c r="Z1" s="2187"/>
      <c r="AA1" s="2187"/>
      <c r="AB1" s="2187"/>
      <c r="AC1" s="2187"/>
    </row>
    <row r="2" spans="1:29" s="2188" customFormat="1" ht="45" customHeight="1" x14ac:dyDescent="0.25">
      <c r="A2" s="4335" t="s">
        <v>2311</v>
      </c>
      <c r="B2" s="4334"/>
      <c r="C2" s="4333"/>
      <c r="D2" s="4333"/>
      <c r="E2" s="4333"/>
      <c r="F2" s="4333"/>
      <c r="G2" s="4333"/>
      <c r="H2" s="4333"/>
      <c r="I2" s="4333"/>
      <c r="J2" s="4333"/>
      <c r="K2" s="4333"/>
      <c r="L2" s="4333"/>
      <c r="M2" s="4333"/>
      <c r="N2" s="4333"/>
      <c r="O2" s="4333"/>
      <c r="P2" s="4333"/>
      <c r="Q2" s="4333"/>
      <c r="R2" s="4333"/>
      <c r="S2" s="4333"/>
      <c r="T2" s="4333"/>
      <c r="U2" s="4333"/>
      <c r="V2" s="4333"/>
      <c r="W2" s="4333"/>
      <c r="X2" s="4333"/>
      <c r="Y2" s="4333"/>
      <c r="Z2" s="4333"/>
      <c r="AA2" s="4333"/>
      <c r="AB2" s="4333"/>
      <c r="AC2" s="4333"/>
    </row>
    <row r="3" spans="1:29" s="2188" customFormat="1" ht="13" x14ac:dyDescent="0.15"/>
    <row r="4" spans="1:29" s="2188" customFormat="1" ht="13" x14ac:dyDescent="0.15">
      <c r="B4" s="2191" t="s">
        <v>2312</v>
      </c>
      <c r="C4" s="2191"/>
      <c r="D4" s="2189" t="s">
        <v>2313</v>
      </c>
      <c r="E4" s="2190"/>
      <c r="F4" s="2190"/>
      <c r="G4" s="2190"/>
      <c r="H4" s="2190"/>
      <c r="K4" s="2189" t="s">
        <v>2314</v>
      </c>
      <c r="L4" s="2189"/>
      <c r="M4" s="2189"/>
      <c r="N4" s="2189"/>
      <c r="O4" s="2190"/>
      <c r="Q4" s="2245" t="s">
        <v>2315</v>
      </c>
      <c r="R4" s="2245"/>
      <c r="S4" s="2245"/>
      <c r="V4" s="2246" t="s">
        <v>2316</v>
      </c>
      <c r="W4" s="2246"/>
      <c r="X4" s="2246"/>
    </row>
    <row r="5" spans="1:29" s="2188" customFormat="1" ht="13" x14ac:dyDescent="0.15">
      <c r="B5" s="2191" t="s">
        <v>2317</v>
      </c>
      <c r="C5" s="2191" t="s">
        <v>2318</v>
      </c>
      <c r="D5" s="2247" t="s">
        <v>219</v>
      </c>
      <c r="E5" s="2247" t="s">
        <v>179</v>
      </c>
      <c r="F5" s="2247" t="s">
        <v>225</v>
      </c>
      <c r="G5" s="2247" t="s">
        <v>180</v>
      </c>
      <c r="H5" s="2247" t="s">
        <v>225</v>
      </c>
      <c r="K5" s="2247" t="s">
        <v>65</v>
      </c>
      <c r="M5" s="2247" t="s">
        <v>219</v>
      </c>
      <c r="N5" s="2247" t="s">
        <v>179</v>
      </c>
      <c r="O5" s="2247" t="s">
        <v>180</v>
      </c>
      <c r="Q5" s="1661" t="s">
        <v>219</v>
      </c>
      <c r="R5" s="1661" t="s">
        <v>179</v>
      </c>
      <c r="S5" s="1661" t="s">
        <v>180</v>
      </c>
      <c r="V5" s="2248" t="s">
        <v>2319</v>
      </c>
      <c r="W5" s="2249">
        <f>AVERAGE(IPCC!B1739:B1741)</f>
        <v>2.5722345859999991</v>
      </c>
      <c r="X5" s="2250">
        <f>IF('8. Fisheries and aquaculture'!BZ9="",'8. Fisheries and aquaculture'!BX9,'8. Fisheries and aquaculture'!BZ9)</f>
        <v>2.5722345859999991</v>
      </c>
    </row>
    <row r="6" spans="1:29" s="2188" customFormat="1" ht="13" x14ac:dyDescent="0.15">
      <c r="B6" s="2188" t="str">
        <f>'8. Fisheries and aquaculture'!C13</f>
        <v>Marine</v>
      </c>
      <c r="C6" s="2188" t="str">
        <f>'8. Fisheries and aquaculture'!E13</f>
        <v>Multiple</v>
      </c>
      <c r="D6" s="2221">
        <f>'8. Fisheries and aquaculture'!X13</f>
        <v>856</v>
      </c>
      <c r="E6" s="2221">
        <f>'8. Fisheries and aquaculture'!Z13</f>
        <v>856</v>
      </c>
      <c r="F6" s="1661" t="str">
        <f>VLOOKUP('8. Fisheries and aquaculture'!AA13, list!$I$48:$J$50,2,FALSE )</f>
        <v>Linear</v>
      </c>
      <c r="G6" s="2221">
        <f>'8. Fisheries and aquaculture'!AB13</f>
        <v>1000</v>
      </c>
      <c r="H6" s="1661" t="str">
        <f>VLOOKUP('8. Fisheries and aquaculture'!AC13, list!$I$48:$J$50,2,FALSE )</f>
        <v>Linear</v>
      </c>
      <c r="K6" s="2251">
        <f>IF(OR(B6="Please select",C6="Please select"),0,IF(INDEX('Database fish'!$A$36:$I$39,MATCH('Fish and aqua'!$B6,'Database fish'!$A$36:$A$39,0),MATCH('Fish and aqua'!$C6,'Database fish'!$A$36:$I$36,0))=0,(INDEX('Database fish'!$A$36:$I$39,MATCH('Fish and aqua'!$B6,'Database fish'!$A$36:$A$39,0),MATCH('Database fish'!$I$36,'Database fish'!$A$36:$I$36,0))),(INDEX('Database fish'!$A$36:$I$39,MATCH('Fish and aqua'!$B6,'Database fish'!$A$36:$A$39,0),MATCH('Fish and aqua'!$C6,'Database fish'!$A$36:$I$36,0)))))</f>
        <v>1415</v>
      </c>
      <c r="L6" s="2188" t="str">
        <f>IF(INDEX('Database fish'!$A$36:$I$39,MATCH('Fish and aqua'!$B6,'Database fish'!$A$36:$A$39,0),MATCH('Fish and aqua'!$C6,'Database fish'!$A$36:$I$36,0))="","Not specific","Gear specific")</f>
        <v>Gear specific</v>
      </c>
      <c r="M6" s="2214">
        <f>IF('8. Fisheries and aquaculture'!$R13="",'8. Fisheries and aquaculture'!$P13,'8. Fisheries and aquaculture'!$R13)</f>
        <v>1415</v>
      </c>
      <c r="N6" s="2214">
        <f>IF('8. Fisheries and aquaculture'!$T13="",'8. Fisheries and aquaculture'!$P13,'8. Fisheries and aquaculture'!$T13)</f>
        <v>1415</v>
      </c>
      <c r="O6" s="2214">
        <f>IF('8. Fisheries and aquaculture'!$U13="",'8. Fisheries and aquaculture'!$P13,'8. Fisheries and aquaculture'!$U13)</f>
        <v>1132</v>
      </c>
      <c r="Q6" s="2395">
        <f t="shared" ref="Q6:Q11" si="0">$M6*$X$5/1000</f>
        <v>3.6397119391899988</v>
      </c>
      <c r="R6" s="2396">
        <f t="shared" ref="R6:R11" si="1">$N6*$X$5/1000</f>
        <v>3.6397119391899988</v>
      </c>
      <c r="S6" s="2397">
        <f t="shared" ref="S6:S11" si="2">$O6*$X$5/1000</f>
        <v>2.9117695513519988</v>
      </c>
    </row>
    <row r="7" spans="1:29" s="2188" customFormat="1" ht="13" x14ac:dyDescent="0.15">
      <c r="B7" s="2188" t="str">
        <f>'8. Fisheries and aquaculture'!C14</f>
        <v>Marine</v>
      </c>
      <c r="C7" s="2188" t="str">
        <f>'8. Fisheries and aquaculture'!E14</f>
        <v>Multiple</v>
      </c>
      <c r="D7" s="2221">
        <f>'8. Fisheries and aquaculture'!X14</f>
        <v>0</v>
      </c>
      <c r="E7" s="2221">
        <f>'8. Fisheries and aquaculture'!Z14</f>
        <v>0</v>
      </c>
      <c r="F7" s="1661" t="str">
        <f>VLOOKUP('8. Fisheries and aquaculture'!AA14, list!$I$48:$J$50,2,FALSE )</f>
        <v>Linear</v>
      </c>
      <c r="G7" s="2221">
        <f>'8. Fisheries and aquaculture'!AB14</f>
        <v>0</v>
      </c>
      <c r="H7" s="1661" t="str">
        <f>VLOOKUP('8. Fisheries and aquaculture'!AC14, list!$I$48:$J$50,2,FALSE )</f>
        <v>Linear</v>
      </c>
      <c r="K7" s="2252">
        <f>IF(OR(B7="Please select",C7="Please select"),0,IF(INDEX('Database fish'!$A$36:$I$39,MATCH('Fish and aqua'!$B7,'Database fish'!$A$36:$A$39,0),MATCH('Fish and aqua'!$C7,'Database fish'!$A$36:$I$36,0))=0,(INDEX('Database fish'!$A$36:$I$39,MATCH('Fish and aqua'!$B7,'Database fish'!$A$36:$A$39,0),MATCH('Database fish'!$I$36,'Database fish'!$A$36:$I$36,0))),(INDEX('Database fish'!$A$36:$I$39,MATCH('Fish and aqua'!$B7,'Database fish'!$A$36:$A$39,0),MATCH('Fish and aqua'!$C7,'Database fish'!$A$36:$I$36,0)))))</f>
        <v>1415</v>
      </c>
      <c r="L7" s="2188" t="str">
        <f>IF(INDEX('Database fish'!$A$36:$I$39,MATCH('Fish and aqua'!$B7,'Database fish'!$A$36:$A$39,0),MATCH('Fish and aqua'!$C7,'Database fish'!$A$36:$I$36,0))="","Not specific","Gear specific")</f>
        <v>Gear specific</v>
      </c>
      <c r="M7" s="2214">
        <f>IF('8. Fisheries and aquaculture'!$R14="",'8. Fisheries and aquaculture'!$P14,'8. Fisheries and aquaculture'!$R14)</f>
        <v>1415</v>
      </c>
      <c r="N7" s="2214">
        <f>IF('8. Fisheries and aquaculture'!$T14="",'8. Fisheries and aquaculture'!$P14,'8. Fisheries and aquaculture'!$T14)</f>
        <v>1415</v>
      </c>
      <c r="O7" s="2214">
        <f>IF('8. Fisheries and aquaculture'!$U14="",'8. Fisheries and aquaculture'!$P14,'8. Fisheries and aquaculture'!$U14)</f>
        <v>1132</v>
      </c>
      <c r="Q7" s="2395">
        <f t="shared" si="0"/>
        <v>3.6397119391899988</v>
      </c>
      <c r="R7" s="2396">
        <f t="shared" si="1"/>
        <v>3.6397119391899988</v>
      </c>
      <c r="S7" s="2397">
        <f t="shared" si="2"/>
        <v>2.9117695513519988</v>
      </c>
    </row>
    <row r="8" spans="1:29" s="2188" customFormat="1" ht="13" x14ac:dyDescent="0.15">
      <c r="B8" s="2188" t="str">
        <f>'8. Fisheries and aquaculture'!C15</f>
        <v>Marine</v>
      </c>
      <c r="C8" s="2188" t="str">
        <f>'8. Fisheries and aquaculture'!E15</f>
        <v>Multiple</v>
      </c>
      <c r="D8" s="2221">
        <f>'8. Fisheries and aquaculture'!X15</f>
        <v>0</v>
      </c>
      <c r="E8" s="2221">
        <f>'8. Fisheries and aquaculture'!Z15</f>
        <v>0</v>
      </c>
      <c r="F8" s="1661" t="str">
        <f>VLOOKUP('8. Fisheries and aquaculture'!AA15, list!$I$48:$J$50,2,FALSE )</f>
        <v>Linear</v>
      </c>
      <c r="G8" s="2221">
        <f>'8. Fisheries and aquaculture'!AB15</f>
        <v>0</v>
      </c>
      <c r="H8" s="1661" t="str">
        <f>VLOOKUP('8. Fisheries and aquaculture'!AC15, list!$I$48:$J$50,2,FALSE )</f>
        <v>Linear</v>
      </c>
      <c r="K8" s="2252">
        <f>IF(OR(B8="Please select",C8="Please select"),0,IF(INDEX('Database fish'!$A$36:$I$39,MATCH('Fish and aqua'!$B8,'Database fish'!$A$36:$A$39,0),MATCH('Fish and aqua'!$C8,'Database fish'!$A$36:$I$36,0))=0,(INDEX('Database fish'!$A$36:$I$39,MATCH('Fish and aqua'!$B8,'Database fish'!$A$36:$A$39,0),MATCH('Database fish'!$I$36,'Database fish'!$A$36:$I$36,0))),(INDEX('Database fish'!$A$36:$I$39,MATCH('Fish and aqua'!$B8,'Database fish'!$A$36:$A$39,0),MATCH('Fish and aqua'!$C8,'Database fish'!$A$36:$I$36,0)))))</f>
        <v>1415</v>
      </c>
      <c r="L8" s="2188" t="str">
        <f>IF(INDEX('Database fish'!$A$36:$I$39,MATCH('Fish and aqua'!$B8,'Database fish'!$A$36:$A$39,0),MATCH('Fish and aqua'!$C8,'Database fish'!$A$36:$I$36,0))="","Not specific","Gear specific")</f>
        <v>Gear specific</v>
      </c>
      <c r="M8" s="2214">
        <f>IF('8. Fisheries and aquaculture'!$R15="",'8. Fisheries and aquaculture'!$P15,'8. Fisheries and aquaculture'!$R15)</f>
        <v>1415</v>
      </c>
      <c r="N8" s="2214">
        <f>IF('8. Fisheries and aquaculture'!$T15="",'8. Fisheries and aquaculture'!$P15,'8. Fisheries and aquaculture'!$T15)</f>
        <v>1415</v>
      </c>
      <c r="O8" s="2214">
        <f>IF('8. Fisheries and aquaculture'!$U15="",'8. Fisheries and aquaculture'!$P15,'8. Fisheries and aquaculture'!$U15)</f>
        <v>1132</v>
      </c>
      <c r="Q8" s="2395">
        <f t="shared" si="0"/>
        <v>3.6397119391899988</v>
      </c>
      <c r="R8" s="2396">
        <f t="shared" si="1"/>
        <v>3.6397119391899988</v>
      </c>
      <c r="S8" s="2397">
        <f t="shared" si="2"/>
        <v>2.9117695513519988</v>
      </c>
    </row>
    <row r="9" spans="1:29" s="2188" customFormat="1" ht="13" x14ac:dyDescent="0.15">
      <c r="B9" s="2188" t="str">
        <f>'8. Fisheries and aquaculture'!C16</f>
        <v>Please select</v>
      </c>
      <c r="C9" s="2188" t="str">
        <f>'8. Fisheries and aquaculture'!E16</f>
        <v>Please select</v>
      </c>
      <c r="D9" s="2221">
        <f>'8. Fisheries and aquaculture'!X16</f>
        <v>0</v>
      </c>
      <c r="E9" s="2221">
        <f>'8. Fisheries and aquaculture'!Z16</f>
        <v>0</v>
      </c>
      <c r="F9" s="1661" t="str">
        <f>VLOOKUP('8. Fisheries and aquaculture'!AA16, list!$I$48:$J$50,2,FALSE )</f>
        <v>Linear</v>
      </c>
      <c r="G9" s="2221">
        <f>'8. Fisheries and aquaculture'!AB16</f>
        <v>0</v>
      </c>
      <c r="H9" s="1661" t="str">
        <f>VLOOKUP('8. Fisheries and aquaculture'!AC16, list!$I$48:$J$50,2,FALSE )</f>
        <v>Linear</v>
      </c>
      <c r="K9" s="2252">
        <f>IF(OR(B9="Please select",C9="Please select"),0,IF(INDEX('Database fish'!$A$36:$I$39,MATCH('Fish and aqua'!$B9,'Database fish'!$A$36:$A$39,0),MATCH('Fish and aqua'!$C9,'Database fish'!$A$36:$I$36,0))=0,(INDEX('Database fish'!$A$36:$I$39,MATCH('Fish and aqua'!$B9,'Database fish'!$A$36:$A$39,0),MATCH('Database fish'!$I$36,'Database fish'!$A$36:$I$36,0))),(INDEX('Database fish'!$A$36:$I$39,MATCH('Fish and aqua'!$B9,'Database fish'!$A$36:$A$39,0),MATCH('Fish and aqua'!$C9,'Database fish'!$A$36:$I$36,0)))))</f>
        <v>0</v>
      </c>
      <c r="L9" s="2188" t="str">
        <f>IF(INDEX('Database fish'!$A$36:$I$39,MATCH('Fish and aqua'!$B9,'Database fish'!$A$36:$A$39,0),MATCH('Fish and aqua'!$C9,'Database fish'!$A$36:$I$36,0))="","Not specific","Gear specific")</f>
        <v>Gear specific</v>
      </c>
      <c r="M9" s="2214">
        <f>IF('8. Fisheries and aquaculture'!$R16="",'8. Fisheries and aquaculture'!$P16,'8. Fisheries and aquaculture'!$R16)</f>
        <v>0</v>
      </c>
      <c r="N9" s="2214">
        <f>IF('8. Fisheries and aquaculture'!$T16="",'8. Fisheries and aquaculture'!$P16,'8. Fisheries and aquaculture'!$T16)</f>
        <v>0</v>
      </c>
      <c r="O9" s="2214">
        <f>IF('8. Fisheries and aquaculture'!$U16="",'8. Fisheries and aquaculture'!$P16,'8. Fisheries and aquaculture'!$U16)</f>
        <v>0</v>
      </c>
      <c r="Q9" s="2395">
        <f t="shared" si="0"/>
        <v>0</v>
      </c>
      <c r="R9" s="2396">
        <f t="shared" si="1"/>
        <v>0</v>
      </c>
      <c r="S9" s="2397">
        <f t="shared" si="2"/>
        <v>0</v>
      </c>
    </row>
    <row r="10" spans="1:29" s="2188" customFormat="1" ht="13" x14ac:dyDescent="0.15">
      <c r="B10" s="2188" t="str">
        <f>'8. Fisheries and aquaculture'!C17</f>
        <v>Please select</v>
      </c>
      <c r="C10" s="2188" t="str">
        <f>'8. Fisheries and aquaculture'!E17</f>
        <v>Please select</v>
      </c>
      <c r="D10" s="2221">
        <f>'8. Fisheries and aquaculture'!X17</f>
        <v>0</v>
      </c>
      <c r="E10" s="2221">
        <f>'8. Fisheries and aquaculture'!Z17</f>
        <v>0</v>
      </c>
      <c r="F10" s="1661" t="str">
        <f>VLOOKUP('8. Fisheries and aquaculture'!AA17, list!$I$48:$J$50,2,FALSE )</f>
        <v>Linear</v>
      </c>
      <c r="G10" s="2221">
        <f>'8. Fisheries and aquaculture'!AB17</f>
        <v>0</v>
      </c>
      <c r="H10" s="1661" t="str">
        <f>VLOOKUP('8. Fisheries and aquaculture'!AC17, list!$I$48:$J$50,2,FALSE )</f>
        <v>Linear</v>
      </c>
      <c r="K10" s="2252">
        <f>IF(OR(B10="Please select",C10="Please select"),0,IF(INDEX('Database fish'!$A$36:$I$39,MATCH('Fish and aqua'!$B10,'Database fish'!$A$36:$A$39,0),MATCH('Fish and aqua'!$C10,'Database fish'!$A$36:$I$36,0))=0,(INDEX('Database fish'!$A$36:$I$39,MATCH('Fish and aqua'!$B10,'Database fish'!$A$36:$A$39,0),MATCH('Database fish'!$I$36,'Database fish'!$A$36:$I$36,0))),(INDEX('Database fish'!$A$36:$I$39,MATCH('Fish and aqua'!$B10,'Database fish'!$A$36:$A$39,0),MATCH('Fish and aqua'!$C10,'Database fish'!$A$36:$I$36,0)))))</f>
        <v>0</v>
      </c>
      <c r="L10" s="2188" t="str">
        <f>IF(INDEX('Database fish'!$A$36:$I$39,MATCH('Fish and aqua'!$B10,'Database fish'!$A$36:$A$39,0),MATCH('Fish and aqua'!$C10,'Database fish'!$A$36:$I$36,0))="","Not specific","Gear specific")</f>
        <v>Gear specific</v>
      </c>
      <c r="M10" s="2214">
        <f>IF('8. Fisheries and aquaculture'!$R17="",'8. Fisheries and aquaculture'!$P17,'8. Fisheries and aquaculture'!$R17)</f>
        <v>0</v>
      </c>
      <c r="N10" s="2214">
        <f>IF('8. Fisheries and aquaculture'!$T17="",'8. Fisheries and aquaculture'!$P17,'8. Fisheries and aquaculture'!$T17)</f>
        <v>0</v>
      </c>
      <c r="O10" s="2214">
        <f>IF('8. Fisheries and aquaculture'!$U17="",'8. Fisheries and aquaculture'!$P17,'8. Fisheries and aquaculture'!$U17)</f>
        <v>0</v>
      </c>
      <c r="Q10" s="2395">
        <f t="shared" si="0"/>
        <v>0</v>
      </c>
      <c r="R10" s="2396">
        <f t="shared" si="1"/>
        <v>0</v>
      </c>
      <c r="S10" s="2397">
        <f t="shared" si="2"/>
        <v>0</v>
      </c>
      <c r="V10" s="1661"/>
    </row>
    <row r="11" spans="1:29" s="2188" customFormat="1" ht="13" x14ac:dyDescent="0.15">
      <c r="B11" s="2188" t="str">
        <f>'8. Fisheries and aquaculture'!C18</f>
        <v>Please select</v>
      </c>
      <c r="C11" s="2188" t="str">
        <f>'8. Fisheries and aquaculture'!E18</f>
        <v>Please select</v>
      </c>
      <c r="D11" s="2221">
        <f>'8. Fisheries and aquaculture'!X18</f>
        <v>0</v>
      </c>
      <c r="E11" s="2221">
        <f>'8. Fisheries and aquaculture'!Z18</f>
        <v>0</v>
      </c>
      <c r="F11" s="1661" t="str">
        <f>VLOOKUP('8. Fisheries and aquaculture'!AA18, list!$I$48:$J$50,2,FALSE )</f>
        <v>Linear</v>
      </c>
      <c r="G11" s="2221">
        <f>'8. Fisheries and aquaculture'!AB18</f>
        <v>0</v>
      </c>
      <c r="H11" s="1661" t="str">
        <f>VLOOKUP('8. Fisheries and aquaculture'!AC18, list!$I$48:$J$50,2,FALSE )</f>
        <v>Linear</v>
      </c>
      <c r="K11" s="2253">
        <f>IF(OR(B11="Please select",C11="Please select"),0,IF(INDEX('Database fish'!$A$36:$I$39,MATCH('Fish and aqua'!$B11,'Database fish'!$A$36:$A$39,0),MATCH('Fish and aqua'!$C11,'Database fish'!$A$36:$I$36,0))=0,(INDEX('Database fish'!$A$36:$I$39,MATCH('Fish and aqua'!$B11,'Database fish'!$A$36:$A$39,0),MATCH('Database fish'!$I$36,'Database fish'!$A$36:$I$36,0))),(INDEX('Database fish'!$A$36:$I$39,MATCH('Fish and aqua'!$B11,'Database fish'!$A$36:$A$39,0),MATCH('Fish and aqua'!$C11,'Database fish'!$A$36:$I$36,0)))))</f>
        <v>0</v>
      </c>
      <c r="L11" s="2188" t="str">
        <f>IF(INDEX('Database fish'!$A$36:$I$39,MATCH('Fish and aqua'!$B11,'Database fish'!$A$36:$A$39,0),MATCH('Fish and aqua'!$C11,'Database fish'!$A$36:$I$36,0))="","Not specific","Gear specific")</f>
        <v>Gear specific</v>
      </c>
      <c r="M11" s="2214">
        <f>IF('8. Fisheries and aquaculture'!$R18="",'8. Fisheries and aquaculture'!$P18,'8. Fisheries and aquaculture'!$R18)</f>
        <v>0</v>
      </c>
      <c r="N11" s="2214">
        <f>IF('8. Fisheries and aquaculture'!$T18="",'8. Fisheries and aquaculture'!$P18,'8. Fisheries and aquaculture'!$T18)</f>
        <v>0</v>
      </c>
      <c r="O11" s="2214">
        <f>IF('8. Fisheries and aquaculture'!$U18="",'8. Fisheries and aquaculture'!$P18,'8. Fisheries and aquaculture'!$U18)</f>
        <v>0</v>
      </c>
      <c r="Q11" s="2395">
        <f t="shared" si="0"/>
        <v>0</v>
      </c>
      <c r="R11" s="2396">
        <f t="shared" si="1"/>
        <v>0</v>
      </c>
      <c r="S11" s="2397">
        <f t="shared" si="2"/>
        <v>0</v>
      </c>
      <c r="V11" s="1661"/>
    </row>
    <row r="12" spans="1:29" s="2188" customFormat="1" ht="13" x14ac:dyDescent="0.15">
      <c r="V12" s="1661"/>
    </row>
    <row r="13" spans="1:29" s="2188" customFormat="1" ht="13" x14ac:dyDescent="0.15"/>
    <row r="14" spans="1:29" s="2188" customFormat="1" ht="13" x14ac:dyDescent="0.15">
      <c r="K14" s="2188" t="s">
        <v>2310</v>
      </c>
      <c r="O14" s="2191" t="s">
        <v>2306</v>
      </c>
      <c r="U14" s="2188" t="s">
        <v>2288</v>
      </c>
    </row>
    <row r="15" spans="1:29" s="2188" customFormat="1" ht="13" x14ac:dyDescent="0.15">
      <c r="B15" s="2191" t="str">
        <f t="shared" ref="B15:C21" si="3">B5</f>
        <v>Fishery category</v>
      </c>
      <c r="C15" s="2191" t="str">
        <f t="shared" si="3"/>
        <v>Gear category</v>
      </c>
      <c r="K15" s="1661" t="s">
        <v>219</v>
      </c>
      <c r="L15" s="2211" t="s">
        <v>179</v>
      </c>
      <c r="M15" s="2212" t="s">
        <v>180</v>
      </c>
      <c r="O15" s="2211" t="s">
        <v>179</v>
      </c>
      <c r="P15" s="2212" t="s">
        <v>180</v>
      </c>
      <c r="Q15" s="2213" t="s">
        <v>376</v>
      </c>
      <c r="U15" s="2211" t="s">
        <v>179</v>
      </c>
      <c r="V15" s="2212" t="s">
        <v>180</v>
      </c>
    </row>
    <row r="16" spans="1:29" s="2188" customFormat="1" ht="13" x14ac:dyDescent="0.15">
      <c r="B16" s="2188" t="str">
        <f t="shared" si="3"/>
        <v>Marine</v>
      </c>
      <c r="C16" s="2188" t="str">
        <f t="shared" si="3"/>
        <v>Multiple</v>
      </c>
      <c r="K16" s="2214">
        <f>D6*Q6</f>
        <v>3115.5934199466392</v>
      </c>
      <c r="L16" s="2214">
        <f t="shared" ref="K16:L21" si="4">E6*R6</f>
        <v>3115.5934199466392</v>
      </c>
      <c r="M16" s="2214">
        <f t="shared" ref="M16:M21" si="5">G6*S6</f>
        <v>2911.7695513519989</v>
      </c>
      <c r="O16" s="2214">
        <f>MIN(K16,L16)*time_tot+ABS(L16-K16)*IF(L16&gt;K16,time_cap+time*(VLOOKUP(F6,list!$J$48:$K$50,2,0)),time*(1-(VLOOKUP(F6,list!$J$48:$K$50,2,0))))</f>
        <v>46733.901299199584</v>
      </c>
      <c r="P16" s="2214">
        <f>MIN(K16,M16)*time_tot+ABS(M16-K16)*IF(M16&gt;K16,time_cap+time*(VLOOKUP(H6,list!$J$48:$K$50,2,0)),time*(1-(VLOOKUP(H6,list!$J$48:$K$50,2,0))))</f>
        <v>44186.102941766585</v>
      </c>
      <c r="Q16" s="2219">
        <f t="shared" ref="Q16:Q21" si="6">P16-O16</f>
        <v>-2547.7983574329992</v>
      </c>
      <c r="U16" s="2221">
        <f>MIN(L16,K16)*time+ABS(L16-K16)*IF(L16&gt;K16,time*(VLOOKUP(F6,list!$J$48:$K$50,2,0)),time*(1-(VLOOKUP(F6,list!$J$48:$K$50,2,0))))</f>
        <v>15577.967099733196</v>
      </c>
      <c r="V16" s="2221">
        <f>MIN(M16,K16)*time+ABS(M16-K16)*IF(M16&gt;K16,time*(VLOOKUP(H6,list!$J$48:$K$50,2,0)),time*(1-(VLOOKUP(H6,list!$J$48:$K$50,2,0))))</f>
        <v>15068.407428246595</v>
      </c>
    </row>
    <row r="17" spans="2:22" s="2188" customFormat="1" ht="13" x14ac:dyDescent="0.15">
      <c r="B17" s="2188" t="str">
        <f t="shared" si="3"/>
        <v>Marine</v>
      </c>
      <c r="C17" s="2188" t="str">
        <f t="shared" si="3"/>
        <v>Multiple</v>
      </c>
      <c r="K17" s="2214">
        <f t="shared" si="4"/>
        <v>0</v>
      </c>
      <c r="L17" s="2214">
        <f t="shared" si="4"/>
        <v>0</v>
      </c>
      <c r="M17" s="2214">
        <f t="shared" si="5"/>
        <v>0</v>
      </c>
      <c r="O17" s="2214">
        <f>MIN(K17,L17)*time_tot+ABS(L17-K17)*IF(L17&gt;K17,time_cap+time*(VLOOKUP(F7,list!$J$48:$K$50,2,0)),time*(1-(VLOOKUP(F7,list!$J$48:$K$50,2,0))))</f>
        <v>0</v>
      </c>
      <c r="P17" s="2214">
        <f>MIN(K17,M17)*time_tot+ABS(M17-K17)*IF(M17&gt;K17,time_cap+time*(VLOOKUP(H7,list!$J$48:$K$50,2,0)),time*(1-(VLOOKUP(H7,list!$J$48:$K$50,2,0))))</f>
        <v>0</v>
      </c>
      <c r="Q17" s="2219">
        <f t="shared" si="6"/>
        <v>0</v>
      </c>
      <c r="U17" s="2221">
        <f>MIN(L17,K17)*time+ABS(L17-K17)*IF(L17&gt;K17,time*(VLOOKUP(F7,list!$J$48:$K$50,2,0)),time*(1-(VLOOKUP(F7,list!$J$48:$K$50,2,0))))</f>
        <v>0</v>
      </c>
      <c r="V17" s="2221">
        <f>MIN(M17,K17)*time+ABS(M17-K17)*IF(M17&gt;K17,time*(VLOOKUP(H7,list!$J$48:$K$50,2,0)),time*(1-(VLOOKUP(H7,list!$J$48:$K$50,2,0))))</f>
        <v>0</v>
      </c>
    </row>
    <row r="18" spans="2:22" s="2188" customFormat="1" ht="13" x14ac:dyDescent="0.15">
      <c r="B18" s="2188" t="str">
        <f t="shared" si="3"/>
        <v>Marine</v>
      </c>
      <c r="C18" s="2188" t="str">
        <f t="shared" si="3"/>
        <v>Multiple</v>
      </c>
      <c r="K18" s="2214">
        <f t="shared" si="4"/>
        <v>0</v>
      </c>
      <c r="L18" s="2214">
        <f t="shared" si="4"/>
        <v>0</v>
      </c>
      <c r="M18" s="2214">
        <f t="shared" si="5"/>
        <v>0</v>
      </c>
      <c r="O18" s="2214">
        <f>MIN(K18,L18)*time_tot+ABS(L18-K18)*IF(L18&gt;K18,time_cap+time*(VLOOKUP(F8,list!$J$48:$K$50,2,0)),time*(1-(VLOOKUP(F8,list!$J$48:$K$50,2,0))))</f>
        <v>0</v>
      </c>
      <c r="P18" s="2214">
        <f>MIN(K18,M18)*time_tot+ABS(M18-K18)*IF(M18&gt;K18,time_cap+time*(VLOOKUP(H8,list!$J$48:$K$50,2,0)),time*(1-(VLOOKUP(H8,list!$J$48:$K$50,2,0))))</f>
        <v>0</v>
      </c>
      <c r="Q18" s="2219">
        <f t="shared" si="6"/>
        <v>0</v>
      </c>
      <c r="U18" s="2221">
        <f>MIN(L18,K18)*time+ABS(L18-K18)*IF(L18&gt;K18,time*(VLOOKUP(F8,list!$J$48:$K$50,2,0)),time*(1-(VLOOKUP(F8,list!$J$48:$K$50,2,0))))</f>
        <v>0</v>
      </c>
      <c r="V18" s="2221">
        <f>MIN(M18,K18)*time+ABS(M18-K18)*IF(M18&gt;K18,time*(VLOOKUP(H8,list!$J$48:$K$50,2,0)),time*(1-(VLOOKUP(H8,list!$J$48:$K$50,2,0))))</f>
        <v>0</v>
      </c>
    </row>
    <row r="19" spans="2:22" s="2188" customFormat="1" ht="13" x14ac:dyDescent="0.15">
      <c r="B19" s="2188" t="str">
        <f t="shared" si="3"/>
        <v>Please select</v>
      </c>
      <c r="C19" s="2188" t="str">
        <f t="shared" si="3"/>
        <v>Please select</v>
      </c>
      <c r="K19" s="2214">
        <f t="shared" si="4"/>
        <v>0</v>
      </c>
      <c r="L19" s="2214">
        <f t="shared" si="4"/>
        <v>0</v>
      </c>
      <c r="M19" s="2214">
        <f t="shared" si="5"/>
        <v>0</v>
      </c>
      <c r="O19" s="2214">
        <f>MIN(K19,L19)*time_tot+ABS(L19-K19)*IF(L19&gt;K19,time_cap+time*(VLOOKUP(F9,list!$J$48:$K$50,2,0)),time*(1-(VLOOKUP(F9,list!$J$48:$K$50,2,0))))</f>
        <v>0</v>
      </c>
      <c r="P19" s="2214">
        <f>MIN(K19,M19)*time_tot+ABS(M19-K19)*IF(M19&gt;K19,time_cap+time*(VLOOKUP(H9,list!$J$48:$K$50,2,0)),time*(1-(VLOOKUP(H9,list!$J$48:$K$50,2,0))))</f>
        <v>0</v>
      </c>
      <c r="Q19" s="2219">
        <f t="shared" si="6"/>
        <v>0</v>
      </c>
      <c r="U19" s="2221">
        <f>MIN(L19,K19)*time+ABS(L19-K19)*IF(L19&gt;K19,time*(VLOOKUP(F9,list!$J$48:$K$50,2,0)),time*(1-(VLOOKUP(F9,list!$J$48:$K$50,2,0))))</f>
        <v>0</v>
      </c>
      <c r="V19" s="2221">
        <f>MIN(M19,K19)*time+ABS(M19-K19)*IF(M19&gt;K19,time*(VLOOKUP(H9,list!$J$48:$K$50,2,0)),time*(1-(VLOOKUP(H9,list!$J$48:$K$50,2,0))))</f>
        <v>0</v>
      </c>
    </row>
    <row r="20" spans="2:22" s="2188" customFormat="1" ht="13" x14ac:dyDescent="0.15">
      <c r="B20" s="2188" t="str">
        <f t="shared" si="3"/>
        <v>Please select</v>
      </c>
      <c r="C20" s="2188" t="str">
        <f t="shared" si="3"/>
        <v>Please select</v>
      </c>
      <c r="K20" s="2214">
        <f t="shared" si="4"/>
        <v>0</v>
      </c>
      <c r="L20" s="2214">
        <f t="shared" si="4"/>
        <v>0</v>
      </c>
      <c r="M20" s="2214">
        <f t="shared" si="5"/>
        <v>0</v>
      </c>
      <c r="O20" s="2214">
        <f>MIN(K20,L20)*time_tot+ABS(L20-K20)*IF(L20&gt;K20,time_cap+time*(VLOOKUP(F10,list!$J$48:$K$50,2,0)),time*(1-(VLOOKUP(F10,list!$J$48:$K$50,2,0))))</f>
        <v>0</v>
      </c>
      <c r="P20" s="2214">
        <f>MIN(K20,M20)*time_tot+ABS(M20-K20)*IF(M20&gt;K20,time_cap+time*(VLOOKUP(H10,list!$J$48:$K$50,2,0)),time*(1-(VLOOKUP(H10,list!$J$48:$K$50,2,0))))</f>
        <v>0</v>
      </c>
      <c r="Q20" s="2219">
        <f t="shared" si="6"/>
        <v>0</v>
      </c>
      <c r="U20" s="2221">
        <f>MIN(L20,K20)*time+ABS(L20-K20)*IF(L20&gt;K20,time*(VLOOKUP(F10,list!$J$48:$K$50,2,0)),time*(1-(VLOOKUP(F10,list!$J$48:$K$50,2,0))))</f>
        <v>0</v>
      </c>
      <c r="V20" s="2221">
        <f>MIN(M20,K20)*time+ABS(M20-K20)*IF(M20&gt;K20,time*(VLOOKUP(H10,list!$J$48:$K$50,2,0)),time*(1-(VLOOKUP(H10,list!$J$48:$K$50,2,0))))</f>
        <v>0</v>
      </c>
    </row>
    <row r="21" spans="2:22" s="2188" customFormat="1" ht="13" x14ac:dyDescent="0.15">
      <c r="B21" s="2188" t="str">
        <f t="shared" si="3"/>
        <v>Please select</v>
      </c>
      <c r="C21" s="2188" t="str">
        <f t="shared" si="3"/>
        <v>Please select</v>
      </c>
      <c r="K21" s="2214">
        <f t="shared" si="4"/>
        <v>0</v>
      </c>
      <c r="L21" s="2214">
        <f t="shared" si="4"/>
        <v>0</v>
      </c>
      <c r="M21" s="2214">
        <f t="shared" si="5"/>
        <v>0</v>
      </c>
      <c r="O21" s="2214">
        <f>MIN(K21,L21)*time_tot+ABS(L21-K21)*IF(L21&gt;K21,time_cap+time*(VLOOKUP(F11,list!$J$48:$K$50,2,0)),time*(1-(VLOOKUP(F11,list!$J$48:$K$50,2,0))))</f>
        <v>0</v>
      </c>
      <c r="P21" s="2214">
        <f>MIN(K21,M21)*time_tot+ABS(M21-K21)*IF(M21&gt;K21,time_cap+time*(VLOOKUP(H11,list!$J$48:$K$50,2,0)),time*(1-(VLOOKUP(H11,list!$J$48:$K$50,2,0))))</f>
        <v>0</v>
      </c>
      <c r="Q21" s="2219">
        <f t="shared" si="6"/>
        <v>0</v>
      </c>
      <c r="U21" s="2221">
        <f>MIN(L21,K21)*time+ABS(L21-K21)*IF(L21&gt;K21,time*(VLOOKUP(F11,list!$J$48:$K$50,2,0)),time*(1-(VLOOKUP(F11,list!$J$48:$K$50,2,0))))</f>
        <v>0</v>
      </c>
      <c r="V21" s="2221">
        <f>MIN(M21,K21)*time+ABS(M21-K21)*IF(M21&gt;K21,time*(VLOOKUP(H11,list!$J$48:$K$50,2,0)),time*(1-(VLOOKUP(H11,list!$J$48:$K$50,2,0))))</f>
        <v>0</v>
      </c>
    </row>
    <row r="22" spans="2:22" s="2188" customFormat="1" ht="13" x14ac:dyDescent="0.15"/>
    <row r="23" spans="2:22" s="2188" customFormat="1" ht="13" x14ac:dyDescent="0.15">
      <c r="J23" s="2248" t="s">
        <v>2320</v>
      </c>
      <c r="K23" s="2221">
        <f>SUM(K16:K21)/$X$5</f>
        <v>1211.24</v>
      </c>
      <c r="L23" s="2221">
        <f>SUM(L16:L21)/$X$5</f>
        <v>1211.24</v>
      </c>
      <c r="M23" s="2221">
        <f>SUM(M16:M21)/$X$5</f>
        <v>1132</v>
      </c>
    </row>
    <row r="24" spans="2:22" s="2188" customFormat="1" ht="13" x14ac:dyDescent="0.15">
      <c r="B24" s="2191" t="s">
        <v>2321</v>
      </c>
    </row>
    <row r="25" spans="2:22" s="2188" customFormat="1" ht="13" x14ac:dyDescent="0.15">
      <c r="B25" s="2188" t="s">
        <v>2322</v>
      </c>
      <c r="C25" s="2188" t="s">
        <v>2323</v>
      </c>
      <c r="F25" s="2188" t="s">
        <v>2324</v>
      </c>
      <c r="K25" s="2188" t="s">
        <v>2310</v>
      </c>
      <c r="O25" s="2191" t="s">
        <v>2306</v>
      </c>
      <c r="U25" s="2188" t="s">
        <v>2288</v>
      </c>
    </row>
    <row r="26" spans="2:22" s="2188" customFormat="1" ht="13" x14ac:dyDescent="0.15">
      <c r="C26" s="1661" t="s">
        <v>65</v>
      </c>
      <c r="D26" s="1661" t="s">
        <v>66</v>
      </c>
      <c r="F26" s="1661" t="str">
        <f>C26</f>
        <v>Default</v>
      </c>
      <c r="G26" s="1661" t="str">
        <f>D26</f>
        <v>Tier 2</v>
      </c>
      <c r="K26" s="1661" t="s">
        <v>219</v>
      </c>
      <c r="L26" s="2211" t="s">
        <v>179</v>
      </c>
      <c r="M26" s="2212" t="s">
        <v>180</v>
      </c>
      <c r="O26" s="2211" t="s">
        <v>179</v>
      </c>
      <c r="P26" s="2212" t="s">
        <v>180</v>
      </c>
      <c r="Q26" s="2213" t="s">
        <v>376</v>
      </c>
      <c r="U26" s="2211" t="s">
        <v>179</v>
      </c>
      <c r="V26" s="2212" t="s">
        <v>180</v>
      </c>
    </row>
    <row r="27" spans="2:22" s="2188" customFormat="1" ht="13" x14ac:dyDescent="0.15">
      <c r="B27" s="2188" t="s">
        <v>2325</v>
      </c>
      <c r="C27" s="2254">
        <f>83/1000</f>
        <v>8.3000000000000004E-2</v>
      </c>
      <c r="D27" s="2256">
        <f>IF('8. Fisheries and aquaculture'!CH11="",'8. Fisheries and aquaculture'!CI11,'8. Fisheries and aquaculture'!CH11)</f>
        <v>8.3000000000000004E-2</v>
      </c>
      <c r="F27" s="2254">
        <v>1810</v>
      </c>
      <c r="G27" s="2256">
        <f>IF('8. Fisheries and aquaculture'!CF17="",'8. Fisheries and aquaculture'!CE17,'8. Fisheries and aquaculture'!CF17)</f>
        <v>1810</v>
      </c>
      <c r="I27" s="2188" t="s">
        <v>625</v>
      </c>
      <c r="K27" s="2255">
        <f>$D$27*$G$27/1000*'8. Fisheries and aquaculture'!X13*'8. Fisheries and aquaculture'!H13</f>
        <v>0</v>
      </c>
      <c r="L27" s="2255">
        <f>$D$27*$G$27/1000*'8. Fisheries and aquaculture'!Z13*'8. Fisheries and aquaculture'!J13</f>
        <v>0</v>
      </c>
      <c r="M27" s="2255">
        <f>$D$27*$G$27/1000*'8. Fisheries and aquaculture'!AB13*'8. Fisheries and aquaculture'!L13</f>
        <v>0</v>
      </c>
      <c r="O27" s="2214">
        <f>MIN(K27,L27)*time_tot+ABS(L27-K27)*IF(L27&gt;K27,time_cap+time*(VLOOKUP($I$27,list!$J$48:$K$50,2,0)),time*(1-(VLOOKUP($I$27,list!$J$48:$K$50,2,0))))</f>
        <v>0</v>
      </c>
      <c r="P27" s="2214">
        <f>MIN(K27,M27)*time_tot+ABS(M27-K27)*IF(M27&gt;K27,time_cap+time*(VLOOKUP($I$27,list!$J$48:$K$50,2,0)),time*(1-(VLOOKUP($I$27,list!$J$48:$K$50,2,0))))</f>
        <v>0</v>
      </c>
      <c r="Q27" s="2219">
        <f t="shared" ref="Q27:Q32" si="7">P27-O27</f>
        <v>0</v>
      </c>
      <c r="U27" s="2221">
        <f>MIN(L27,K27)*time+ABS(L27-K27)*IF(L27&gt;K27,time*(VLOOKUP(I27,list!$J$48:$K$50,2,0)),time*(1-(VLOOKUP(I27,list!$J$48:$K$50,2,0))))</f>
        <v>0</v>
      </c>
      <c r="V27" s="2221">
        <f>MIN(M27,K27)*time+ABS(M27-K27)*IF(M27&gt;K27,time*(VLOOKUP(I27,list!$J$48:$K$50,2,0)),time*(1-(VLOOKUP(I27,list!$J$48:$K$50,2,0))))</f>
        <v>0</v>
      </c>
    </row>
    <row r="28" spans="2:22" s="2188" customFormat="1" ht="13" x14ac:dyDescent="0.15">
      <c r="K28" s="2255">
        <f>$D$27*$G$27/1000*'8. Fisheries and aquaculture'!X14*'8. Fisheries and aquaculture'!H14</f>
        <v>0</v>
      </c>
      <c r="L28" s="2255">
        <f>$D$27*$G$27/1000*'8. Fisheries and aquaculture'!Z14*'8. Fisheries and aquaculture'!J14</f>
        <v>0</v>
      </c>
      <c r="M28" s="2255">
        <f>$D$27*$G$27/1000*'8. Fisheries and aquaculture'!AB14*'8. Fisheries and aquaculture'!L14</f>
        <v>0</v>
      </c>
      <c r="O28" s="2214">
        <f>MIN(K28,L28)*time_tot+ABS(L28-K28)*IF(L28&gt;K28,time_cap+time*(VLOOKUP($I$27,list!$J$48:$K$50,2,0)),time*(1-(VLOOKUP($I$27,list!$J$48:$K$50,2,0))))</f>
        <v>0</v>
      </c>
      <c r="P28" s="2214">
        <f>MIN(K28,M28)*time_tot+ABS(M28-K28)*IF(M28&gt;K28,time_cap+time*(VLOOKUP($I$27,list!$J$48:$K$50,2,0)),time*(1-(VLOOKUP($I$27,list!$J$48:$K$50,2,0))))</f>
        <v>0</v>
      </c>
      <c r="Q28" s="2219">
        <f t="shared" si="7"/>
        <v>0</v>
      </c>
    </row>
    <row r="29" spans="2:22" s="2188" customFormat="1" ht="13" x14ac:dyDescent="0.15">
      <c r="K29" s="2255">
        <f>$D$27*$G$27/1000*'8. Fisheries and aquaculture'!X15*'8. Fisheries and aquaculture'!H15</f>
        <v>0</v>
      </c>
      <c r="L29" s="2255">
        <f>$D$27*$G$27/1000*'8. Fisheries and aquaculture'!Z15*'8. Fisheries and aquaculture'!J15</f>
        <v>0</v>
      </c>
      <c r="M29" s="2255">
        <f>$D$27*$G$27/1000*'8. Fisheries and aquaculture'!AB15*'8. Fisheries and aquaculture'!L15</f>
        <v>0</v>
      </c>
      <c r="O29" s="2214">
        <f>MIN(K29,L29)*time_tot+ABS(L29-K29)*IF(L29&gt;K29,time_cap+time*(VLOOKUP($I$27,list!$J$48:$K$50,2,0)),time*(1-(VLOOKUP($I$27,list!$J$48:$K$50,2,0))))</f>
        <v>0</v>
      </c>
      <c r="P29" s="2214">
        <f>MIN(K29,M29)*time_tot+ABS(M29-K29)*IF(M29&gt;K29,time_cap+time*(VLOOKUP($I$27,list!$J$48:$K$50,2,0)),time*(1-(VLOOKUP($I$27,list!$J$48:$K$50,2,0))))</f>
        <v>0</v>
      </c>
      <c r="Q29" s="2219">
        <f t="shared" si="7"/>
        <v>0</v>
      </c>
    </row>
    <row r="30" spans="2:22" s="2188" customFormat="1" ht="13" x14ac:dyDescent="0.15">
      <c r="K30" s="2255">
        <f>$D$27*$G$27/1000*'8. Fisheries and aquaculture'!X16*'8. Fisheries and aquaculture'!H16</f>
        <v>0</v>
      </c>
      <c r="L30" s="2255">
        <f>$D$27*$G$27/1000*'8. Fisheries and aquaculture'!Z16*'8. Fisheries and aquaculture'!J16</f>
        <v>0</v>
      </c>
      <c r="M30" s="2255">
        <f>$D$27*$G$27/1000*'8. Fisheries and aquaculture'!AB16*'8. Fisheries and aquaculture'!L16</f>
        <v>0</v>
      </c>
      <c r="O30" s="2214">
        <f>MIN(K30,L30)*time_tot+ABS(L30-K30)*IF(L30&gt;K30,time_cap+time*(VLOOKUP($I$27,list!$J$48:$K$50,2,0)),time*(1-(VLOOKUP($I$27,list!$J$48:$K$50,2,0))))</f>
        <v>0</v>
      </c>
      <c r="P30" s="2214">
        <f>MIN(K30,M30)*time_tot+ABS(M30-K30)*IF(M30&gt;K30,time_cap+time*(VLOOKUP($I$27,list!$J$48:$K$50,2,0)),time*(1-(VLOOKUP($I$27,list!$J$48:$K$50,2,0))))</f>
        <v>0</v>
      </c>
      <c r="Q30" s="2219">
        <f t="shared" si="7"/>
        <v>0</v>
      </c>
    </row>
    <row r="31" spans="2:22" s="2188" customFormat="1" ht="13" x14ac:dyDescent="0.15">
      <c r="K31" s="2255">
        <f>$D$27*$G$27/1000*'8. Fisheries and aquaculture'!X17*'8. Fisheries and aquaculture'!H17</f>
        <v>0</v>
      </c>
      <c r="L31" s="2255">
        <f>$D$27*$G$27/1000*'8. Fisheries and aquaculture'!Z17*'8. Fisheries and aquaculture'!J17</f>
        <v>0</v>
      </c>
      <c r="M31" s="2255">
        <f>$D$27*$G$27/1000*'8. Fisheries and aquaculture'!AB17*'8. Fisheries and aquaculture'!L17</f>
        <v>0</v>
      </c>
      <c r="O31" s="2214">
        <f>MIN(K31,L31)*time_tot+ABS(L31-K31)*IF(L31&gt;K31,time_cap+time*(VLOOKUP($I$27,list!$J$48:$K$50,2,0)),time*(1-(VLOOKUP($I$27,list!$J$48:$K$50,2,0))))</f>
        <v>0</v>
      </c>
      <c r="P31" s="2214">
        <f>MIN(K31,M31)*time_tot+ABS(M31-K31)*IF(M31&gt;K31,time_cap+time*(VLOOKUP($I$27,list!$J$48:$K$50,2,0)),time*(1-(VLOOKUP($I$27,list!$J$48:$K$50,2,0))))</f>
        <v>0</v>
      </c>
      <c r="Q31" s="2219">
        <f t="shared" si="7"/>
        <v>0</v>
      </c>
    </row>
    <row r="32" spans="2:22" s="2188" customFormat="1" ht="13" x14ac:dyDescent="0.15">
      <c r="K32" s="2255">
        <f>$D$27*$G$27/1000*'8. Fisheries and aquaculture'!X18*'8. Fisheries and aquaculture'!H18</f>
        <v>0</v>
      </c>
      <c r="L32" s="2255">
        <f>$D$27*$G$27/1000*'8. Fisheries and aquaculture'!Z18*'8. Fisheries and aquaculture'!J18</f>
        <v>0</v>
      </c>
      <c r="M32" s="2255">
        <f>$D$27*$G$27/1000*'8. Fisheries and aquaculture'!AB18*'8. Fisheries and aquaculture'!L18</f>
        <v>0</v>
      </c>
      <c r="O32" s="2214">
        <f>MIN(K32,L32)*time_tot+ABS(L32-K32)*IF(L32&gt;K32,time_cap+time*(VLOOKUP($I$27,list!$J$48:$K$50,2,0)),time*(1-(VLOOKUP($I$27,list!$J$48:$K$50,2,0))))</f>
        <v>0</v>
      </c>
      <c r="P32" s="2214">
        <f>MIN(K32,M32)*time_tot+ABS(M32-K32)*IF(M32&gt;K32,time_cap+time*(VLOOKUP($I$27,list!$J$48:$K$50,2,0)),time*(1-(VLOOKUP($I$27,list!$J$48:$K$50,2,0))))</f>
        <v>0</v>
      </c>
      <c r="Q32" s="2219">
        <f t="shared" si="7"/>
        <v>0</v>
      </c>
    </row>
    <row r="33" spans="2:22" s="2188" customFormat="1" ht="13" x14ac:dyDescent="0.15"/>
    <row r="34" spans="2:22" s="2188" customFormat="1" ht="13" x14ac:dyDescent="0.15">
      <c r="O34" s="2211" t="s">
        <v>179</v>
      </c>
      <c r="P34" s="2212" t="s">
        <v>180</v>
      </c>
      <c r="Q34" s="2213" t="s">
        <v>376</v>
      </c>
    </row>
    <row r="35" spans="2:22" s="2188" customFormat="1" ht="13" x14ac:dyDescent="0.15">
      <c r="O35" s="2214">
        <f>SUM(O27:O32)</f>
        <v>0</v>
      </c>
      <c r="P35" s="2214">
        <f>SUM(P27:P32)</f>
        <v>0</v>
      </c>
      <c r="Q35" s="2219">
        <f>P35-O35</f>
        <v>0</v>
      </c>
    </row>
    <row r="36" spans="2:22" s="2188" customFormat="1" ht="13" x14ac:dyDescent="0.15">
      <c r="B36" s="2191" t="s">
        <v>2326</v>
      </c>
    </row>
    <row r="37" spans="2:22" s="2188" customFormat="1" ht="13" x14ac:dyDescent="0.15">
      <c r="B37" s="2188" t="s">
        <v>2322</v>
      </c>
      <c r="C37" s="2188" t="s">
        <v>2323</v>
      </c>
      <c r="F37" s="2188" t="s">
        <v>2327</v>
      </c>
      <c r="I37" s="2188" t="s">
        <v>2328</v>
      </c>
      <c r="K37" s="2188" t="s">
        <v>2310</v>
      </c>
      <c r="O37" s="2191" t="s">
        <v>2306</v>
      </c>
      <c r="U37" s="2188" t="s">
        <v>2288</v>
      </c>
    </row>
    <row r="38" spans="2:22" s="2188" customFormat="1" ht="13" x14ac:dyDescent="0.15">
      <c r="C38" s="1661" t="s">
        <v>65</v>
      </c>
      <c r="D38" s="1661" t="s">
        <v>66</v>
      </c>
      <c r="F38" s="1661" t="str">
        <f>C38</f>
        <v>Default</v>
      </c>
      <c r="G38" s="1661" t="str">
        <f>D38</f>
        <v>Tier 2</v>
      </c>
      <c r="I38" s="2188" t="s">
        <v>2329</v>
      </c>
      <c r="K38" s="1661" t="s">
        <v>219</v>
      </c>
      <c r="L38" s="2211" t="s">
        <v>179</v>
      </c>
      <c r="M38" s="2212" t="s">
        <v>180</v>
      </c>
      <c r="O38" s="2211" t="s">
        <v>179</v>
      </c>
      <c r="P38" s="2212" t="s">
        <v>180</v>
      </c>
      <c r="Q38" s="2213" t="s">
        <v>376</v>
      </c>
      <c r="U38" s="2211" t="s">
        <v>179</v>
      </c>
      <c r="V38" s="2212" t="s">
        <v>180</v>
      </c>
    </row>
    <row r="39" spans="2:22" s="2188" customFormat="1" ht="13" x14ac:dyDescent="0.15">
      <c r="B39" s="2188" t="s">
        <v>2330</v>
      </c>
      <c r="C39" s="2254">
        <v>2.8</v>
      </c>
      <c r="D39" s="2256">
        <f>IF('8. Fisheries and aquaculture'!BV25="",'8. Fisheries and aquaculture'!BU25,'8. Fisheries and aquaculture'!BV25)</f>
        <v>2.8</v>
      </c>
      <c r="F39" s="2254">
        <v>60</v>
      </c>
      <c r="G39" s="2256">
        <f>IF('8. Fisheries and aquaculture'!CE25="",'8. Fisheries and aquaculture'!CC25,'8. Fisheries and aquaculture'!CE25)</f>
        <v>60</v>
      </c>
      <c r="I39" s="2258">
        <f>IFERROR(IF(C40="Please select",$D$39*$G$39*VLOOKUP(country_selected,Elec!$A$2:$F$252,6,)/1000,$D$39*$G$39*VLOOKUP($C$40,Elec!$A$2:$F$252,6,)/1000),0)</f>
        <v>6.7490710425844688E-2</v>
      </c>
      <c r="K39" s="2255">
        <f>$I$39*'8. Fisheries and aquaculture'!X13*'8. Fisheries and aquaculture'!$H$26</f>
        <v>0</v>
      </c>
      <c r="L39" s="2255">
        <f>$I$39*'8. Fisheries and aquaculture'!Z13*'8. Fisheries and aquaculture'!$J$26</f>
        <v>0</v>
      </c>
      <c r="M39" s="2255">
        <f>$I$39*'8. Fisheries and aquaculture'!AB13*'8. Fisheries and aquaculture'!$L$26</f>
        <v>0</v>
      </c>
      <c r="O39" s="2214">
        <f>MIN(K39,L39)*time_tot+ABS(L39-K39)*IF(L39&gt;K39,time_cap+time*(VLOOKUP($I$27,list!$J$48:$K$50,2,0)),time*(1-(VLOOKUP($I$27,list!$J$48:$K$50,2,0))))</f>
        <v>0</v>
      </c>
      <c r="P39" s="2214">
        <f>MIN(K39,M39)*time_tot+ABS(M39-K39)*IF(M39&gt;K39,time_cap+time*(VLOOKUP($I$27,list!$J$48:$K$50,2,0)),time*(1-(VLOOKUP($I$27,list!$J$48:$K$50,2,0))))</f>
        <v>0</v>
      </c>
      <c r="Q39" s="2219">
        <f t="shared" ref="Q39:Q44" si="8">P39-O39</f>
        <v>0</v>
      </c>
      <c r="U39" s="2221">
        <f>MIN(L39,K39)*time+ABS(L39-K39)*IF(L39&gt;K39,time*(VLOOKUP(I27,list!$J$48:$K$50,2,0)),time*(1-(VLOOKUP(I27,list!$J$48:$K$50,2,0))))</f>
        <v>0</v>
      </c>
      <c r="V39" s="2221">
        <f>MIN(M39,K39)*time+ABS(M39-K39)*IF(M39&gt;K39,time*(VLOOKUP(I27,list!$J$48:$K$50,2,0)),time*(1-(VLOOKUP(I27,list!$J$48:$K$50,2,0))))</f>
        <v>0</v>
      </c>
    </row>
    <row r="40" spans="2:22" s="2188" customFormat="1" ht="13" x14ac:dyDescent="0.15">
      <c r="B40" s="2188" t="s">
        <v>2331</v>
      </c>
      <c r="C40" s="2188" t="str">
        <f>'8. Fisheries and aquaculture'!CC26</f>
        <v>Please select</v>
      </c>
      <c r="K40" s="2255">
        <f>$I$39*'8. Fisheries and aquaculture'!X14*'8. Fisheries and aquaculture'!$H$26</f>
        <v>0</v>
      </c>
      <c r="L40" s="2255">
        <f>$I$39*'8. Fisheries and aquaculture'!Z14*'8. Fisheries and aquaculture'!$J$26</f>
        <v>0</v>
      </c>
      <c r="M40" s="2255">
        <f>$I$39*'8. Fisheries and aquaculture'!AB14*'8. Fisheries and aquaculture'!$L$26</f>
        <v>0</v>
      </c>
      <c r="O40" s="2214">
        <f>MIN(K40,L40)*time_tot+ABS(L40-K40)*IF(L40&gt;K40,time_cap+time*(VLOOKUP($I$27,list!$J$48:$K$50,2,0)),time*(1-(VLOOKUP($I$27,list!$J$48:$K$50,2,0))))</f>
        <v>0</v>
      </c>
      <c r="P40" s="2214">
        <f>MIN(K40,M40)*time_tot+ABS(M40-K40)*IF(M40&gt;K40,time_cap+time*(VLOOKUP($I$27,list!$J$48:$K$50,2,0)),time*(1-(VLOOKUP($I$27,list!$J$48:$K$50,2,0))))</f>
        <v>0</v>
      </c>
      <c r="Q40" s="2219">
        <f t="shared" si="8"/>
        <v>0</v>
      </c>
    </row>
    <row r="41" spans="2:22" s="2188" customFormat="1" ht="13" x14ac:dyDescent="0.15">
      <c r="K41" s="2255">
        <f>$I$39*'8. Fisheries and aquaculture'!X15*'8. Fisheries and aquaculture'!$H$26</f>
        <v>0</v>
      </c>
      <c r="L41" s="2255">
        <f>$I$39*'8. Fisheries and aquaculture'!Z15*'8. Fisheries and aquaculture'!$J$26</f>
        <v>0</v>
      </c>
      <c r="M41" s="2255">
        <f>$I$39*'8. Fisheries and aquaculture'!AB15*'8. Fisheries and aquaculture'!$L$26</f>
        <v>0</v>
      </c>
      <c r="O41" s="2214">
        <f>MIN(K41,L41)*time_tot+ABS(L41-K41)*IF(L41&gt;K41,time_cap+time*(VLOOKUP($I$27,list!$J$48:$K$50,2,0)),time*(1-(VLOOKUP($I$27,list!$J$48:$K$50,2,0))))</f>
        <v>0</v>
      </c>
      <c r="P41" s="2214">
        <f>MIN(K41,M41)*time_tot+ABS(M41-K41)*IF(M41&gt;K41,time_cap+time*(VLOOKUP($I$27,list!$J$48:$K$50,2,0)),time*(1-(VLOOKUP($I$27,list!$J$48:$K$50,2,0))))</f>
        <v>0</v>
      </c>
      <c r="Q41" s="2219">
        <f t="shared" si="8"/>
        <v>0</v>
      </c>
    </row>
    <row r="42" spans="2:22" s="2188" customFormat="1" ht="13" x14ac:dyDescent="0.15">
      <c r="K42" s="2255">
        <f>$I$39*'8. Fisheries and aquaculture'!X16*'8. Fisheries and aquaculture'!$H$26</f>
        <v>0</v>
      </c>
      <c r="L42" s="2255">
        <f>$I$39*'8. Fisheries and aquaculture'!Z16*'8. Fisheries and aquaculture'!$J$26</f>
        <v>0</v>
      </c>
      <c r="M42" s="2255">
        <f>$I$39*'8. Fisheries and aquaculture'!AB16*'8. Fisheries and aquaculture'!$L$26</f>
        <v>0</v>
      </c>
      <c r="O42" s="2214">
        <f>MIN(K42,L42)*time_tot+ABS(L42-K42)*IF(L42&gt;K42,time_cap+time*(VLOOKUP($I$27,list!$J$48:$K$50,2,0)),time*(1-(VLOOKUP($I$27,list!$J$48:$K$50,2,0))))</f>
        <v>0</v>
      </c>
      <c r="P42" s="2214">
        <f>MIN(K42,M42)*time_tot+ABS(M42-K42)*IF(M42&gt;K42,time_cap+time*(VLOOKUP($I$27,list!$J$48:$K$50,2,0)),time*(1-(VLOOKUP($I$27,list!$J$48:$K$50,2,0))))</f>
        <v>0</v>
      </c>
      <c r="Q42" s="2219">
        <f t="shared" si="8"/>
        <v>0</v>
      </c>
    </row>
    <row r="43" spans="2:22" s="2188" customFormat="1" ht="13" x14ac:dyDescent="0.15">
      <c r="K43" s="2255">
        <f>$I$39*'8. Fisheries and aquaculture'!X17*'8. Fisheries and aquaculture'!$H$26</f>
        <v>0</v>
      </c>
      <c r="L43" s="2255">
        <f>$I$39*'8. Fisheries and aquaculture'!Z17*'8. Fisheries and aquaculture'!$J$26</f>
        <v>0</v>
      </c>
      <c r="M43" s="2255">
        <f>$I$39*'8. Fisheries and aquaculture'!AB17*'8. Fisheries and aquaculture'!$L$26</f>
        <v>0</v>
      </c>
      <c r="O43" s="2214">
        <f>MIN(K43,L43)*time_tot+ABS(L43-K43)*IF(L43&gt;K43,time_cap+time*(VLOOKUP($I$27,list!$J$48:$K$50,2,0)),time*(1-(VLOOKUP($I$27,list!$J$48:$K$50,2,0))))</f>
        <v>0</v>
      </c>
      <c r="P43" s="2214">
        <f>MIN(K43,M43)*time_tot+ABS(M43-K43)*IF(M43&gt;K43,time_cap+time*(VLOOKUP($I$27,list!$J$48:$K$50,2,0)),time*(1-(VLOOKUP($I$27,list!$J$48:$K$50,2,0))))</f>
        <v>0</v>
      </c>
      <c r="Q43" s="2219">
        <f t="shared" si="8"/>
        <v>0</v>
      </c>
    </row>
    <row r="44" spans="2:22" s="2188" customFormat="1" ht="13" x14ac:dyDescent="0.15">
      <c r="K44" s="2255">
        <f>$I$39*'8. Fisheries and aquaculture'!X18*'8. Fisheries and aquaculture'!$H$26</f>
        <v>0</v>
      </c>
      <c r="L44" s="2255">
        <f>$I$39*'8. Fisheries and aquaculture'!Z18*'8. Fisheries and aquaculture'!$J$26</f>
        <v>0</v>
      </c>
      <c r="M44" s="2255">
        <f>$I$39*'8. Fisheries and aquaculture'!AB18*'8. Fisheries and aquaculture'!$L$26</f>
        <v>0</v>
      </c>
      <c r="O44" s="2214">
        <f>MIN(K44,L44)*time_tot+ABS(L44-K44)*IF(L44&gt;K44,time_cap+time*(VLOOKUP($I$27,list!$J$48:$K$50,2,0)),time*(1-(VLOOKUP($I$27,list!$J$48:$K$50,2,0))))</f>
        <v>0</v>
      </c>
      <c r="P44" s="2214">
        <f>MIN(K44,M44)*time_tot+ABS(M44-K44)*IF(M44&gt;K44,time_cap+time*(VLOOKUP($I$27,list!$J$48:$K$50,2,0)),time*(1-(VLOOKUP($I$27,list!$J$48:$K$50,2,0))))</f>
        <v>0</v>
      </c>
      <c r="Q44" s="2219">
        <f t="shared" si="8"/>
        <v>0</v>
      </c>
    </row>
    <row r="45" spans="2:22" s="2188" customFormat="1" ht="13" x14ac:dyDescent="0.15"/>
    <row r="46" spans="2:22" s="2188" customFormat="1" ht="13" x14ac:dyDescent="0.15"/>
    <row r="47" spans="2:22" s="2188" customFormat="1" ht="13" x14ac:dyDescent="0.15">
      <c r="O47" s="2211" t="s">
        <v>179</v>
      </c>
      <c r="P47" s="2212" t="s">
        <v>180</v>
      </c>
      <c r="Q47" s="2213" t="s">
        <v>376</v>
      </c>
    </row>
    <row r="48" spans="2:22" s="2188" customFormat="1" ht="13" x14ac:dyDescent="0.15">
      <c r="O48" s="2214">
        <f>SUM(O39:O44)</f>
        <v>0</v>
      </c>
      <c r="P48" s="2214">
        <f>SUM(P39:P44)</f>
        <v>0</v>
      </c>
      <c r="Q48" s="2219">
        <f>P48-O48</f>
        <v>0</v>
      </c>
    </row>
    <row r="49" spans="1:35" s="2188" customFormat="1" ht="13" x14ac:dyDescent="0.15"/>
    <row r="50" spans="1:35" s="2188" customFormat="1" ht="13" x14ac:dyDescent="0.15"/>
    <row r="51" spans="1:35" s="2188" customFormat="1" ht="13" x14ac:dyDescent="0.15">
      <c r="L51" s="2234"/>
      <c r="M51" s="2234"/>
      <c r="N51" s="2235" t="s">
        <v>2332</v>
      </c>
      <c r="O51" s="2236">
        <f>SUM(O16:O21,O35,O48)</f>
        <v>46733.901299199584</v>
      </c>
      <c r="P51" s="2236">
        <f>SUM(P16:P21,P35,P48)</f>
        <v>44186.102941766585</v>
      </c>
      <c r="Q51" s="2236">
        <f>SUM(Q16:Q21,Q35,Q48)</f>
        <v>-2547.7983574329992</v>
      </c>
    </row>
    <row r="52" spans="1:35" s="2188" customFormat="1" ht="13" x14ac:dyDescent="0.15">
      <c r="AA52" s="2189" t="s">
        <v>860</v>
      </c>
      <c r="AB52" s="2190"/>
      <c r="AC52" s="2190"/>
      <c r="AF52" s="2189" t="s">
        <v>861</v>
      </c>
      <c r="AG52" s="2190"/>
      <c r="AH52" s="2190"/>
      <c r="AI52" s="2190"/>
    </row>
    <row r="53" spans="1:35" s="2188" customFormat="1" ht="13" x14ac:dyDescent="0.15"/>
    <row r="54" spans="1:35" s="2188" customFormat="1" ht="25" x14ac:dyDescent="0.25">
      <c r="A54" s="4335" t="s">
        <v>2333</v>
      </c>
      <c r="B54" s="4334"/>
      <c r="C54" s="4333"/>
      <c r="D54" s="4333"/>
      <c r="E54" s="4333"/>
      <c r="F54" s="4333"/>
      <c r="G54" s="4333"/>
      <c r="H54" s="4333"/>
      <c r="I54" s="4333"/>
      <c r="J54" s="4333"/>
      <c r="K54" s="4333"/>
      <c r="L54" s="4333"/>
      <c r="M54" s="4333"/>
      <c r="N54" s="4333"/>
      <c r="O54" s="4333"/>
      <c r="P54" s="4333"/>
      <c r="Q54" s="4333"/>
      <c r="R54" s="4333"/>
      <c r="S54" s="4333"/>
      <c r="T54" s="4333"/>
      <c r="U54" s="4333"/>
      <c r="V54" s="4333"/>
      <c r="W54" s="4333"/>
      <c r="X54" s="4333"/>
      <c r="Y54" s="4333"/>
      <c r="Z54" s="4333"/>
      <c r="AA54" s="2192" t="s">
        <v>866</v>
      </c>
      <c r="AB54" s="2193" t="s">
        <v>200</v>
      </c>
      <c r="AC54" s="2193" t="s">
        <v>201</v>
      </c>
      <c r="AF54" s="2192" t="s">
        <v>866</v>
      </c>
      <c r="AG54" s="2193" t="s">
        <v>324</v>
      </c>
      <c r="AH54" s="2193" t="s">
        <v>867</v>
      </c>
      <c r="AI54" s="2194" t="s">
        <v>868</v>
      </c>
    </row>
    <row r="55" spans="1:35" s="2188" customFormat="1" ht="13" x14ac:dyDescent="0.15">
      <c r="AA55" s="2203" t="s">
        <v>2334</v>
      </c>
      <c r="AB55" s="2204">
        <f>SUM(O16:O21,O35,O48)+SUM(O68:O73,O89,O102)</f>
        <v>46733.901299199584</v>
      </c>
      <c r="AC55" s="2204">
        <f>SUM(P16:P21,P35,P48)+SUM(P68:P73,P89,P102)</f>
        <v>44186.102941766585</v>
      </c>
      <c r="AD55" s="2205">
        <f>AC55-AB55</f>
        <v>-2547.7983574329992</v>
      </c>
      <c r="AF55" s="2203" t="str">
        <f>AA55</f>
        <v>TotalCO2eq</v>
      </c>
      <c r="AG55" s="2204">
        <f>Q51+Q105</f>
        <v>-2547.7983574329992</v>
      </c>
      <c r="AH55" s="2204">
        <f>IF(time=0,0,SUM(V16:V21,V27,V39)-SUM(U16:U21,U27,U39))</f>
        <v>-509.55967148660056</v>
      </c>
      <c r="AI55" s="2206">
        <f>AG55-AH55</f>
        <v>-2038.2386859463986</v>
      </c>
    </row>
    <row r="56" spans="1:35" s="2188" customFormat="1" ht="13" x14ac:dyDescent="0.15">
      <c r="B56" s="2191" t="s">
        <v>2312</v>
      </c>
      <c r="C56" s="2191"/>
      <c r="D56" s="2189" t="s">
        <v>2313</v>
      </c>
      <c r="E56" s="2190"/>
      <c r="F56" s="2190"/>
      <c r="G56" s="2190"/>
      <c r="H56" s="2190"/>
      <c r="K56" s="2189" t="s">
        <v>2314</v>
      </c>
      <c r="L56" s="2189"/>
      <c r="M56" s="2189"/>
      <c r="N56" s="2189"/>
      <c r="O56" s="2190"/>
      <c r="Q56" s="2245" t="s">
        <v>2315</v>
      </c>
      <c r="R56" s="2245"/>
      <c r="S56" s="2245"/>
      <c r="V56" s="2246" t="s">
        <v>2316</v>
      </c>
      <c r="W56" s="2246"/>
      <c r="X56" s="2246"/>
      <c r="AA56" s="2203"/>
      <c r="AB56" s="2204"/>
      <c r="AC56" s="2204"/>
      <c r="AD56" s="2205"/>
      <c r="AF56" s="2203"/>
      <c r="AG56" s="2204"/>
      <c r="AH56" s="2204"/>
      <c r="AI56" s="2206"/>
    </row>
    <row r="57" spans="1:35" s="2188" customFormat="1" ht="13" x14ac:dyDescent="0.15">
      <c r="B57" s="2191" t="s">
        <v>2335</v>
      </c>
      <c r="C57" s="2191" t="s">
        <v>2318</v>
      </c>
      <c r="D57" s="2247" t="s">
        <v>219</v>
      </c>
      <c r="E57" s="2247" t="s">
        <v>179</v>
      </c>
      <c r="F57" s="2247" t="s">
        <v>225</v>
      </c>
      <c r="G57" s="2247" t="s">
        <v>180</v>
      </c>
      <c r="H57" s="2247" t="s">
        <v>225</v>
      </c>
      <c r="K57" s="2247" t="s">
        <v>65</v>
      </c>
      <c r="M57" s="2247" t="s">
        <v>219</v>
      </c>
      <c r="N57" s="2247" t="s">
        <v>179</v>
      </c>
      <c r="O57" s="2247" t="s">
        <v>180</v>
      </c>
      <c r="Q57" s="1661" t="s">
        <v>219</v>
      </c>
      <c r="R57" s="1661" t="s">
        <v>179</v>
      </c>
      <c r="S57" s="1661" t="s">
        <v>180</v>
      </c>
      <c r="V57" s="2248" t="s">
        <v>2319</v>
      </c>
      <c r="W57" s="2249">
        <f>AVERAGE(IPCC!B1739:B1741)</f>
        <v>2.5722345859999991</v>
      </c>
      <c r="X57" s="2250">
        <f>IF('8. Fisheries and aquaculture'!BZ40="",'8. Fisheries and aquaculture'!BX40,'8. Fisheries and aquaculture'!BZ40)</f>
        <v>2.5722345859999991</v>
      </c>
      <c r="AA57" s="2203"/>
      <c r="AB57" s="2204"/>
      <c r="AC57" s="2204"/>
      <c r="AD57" s="2205"/>
      <c r="AF57" s="2203"/>
      <c r="AG57" s="2204"/>
      <c r="AH57" s="2204"/>
      <c r="AI57" s="2206"/>
    </row>
    <row r="58" spans="1:35" s="2188" customFormat="1" ht="13" x14ac:dyDescent="0.15">
      <c r="B58" s="2188" t="str">
        <f>'8. Fisheries and aquaculture'!C44</f>
        <v>Please select</v>
      </c>
      <c r="C58" s="2188" t="str">
        <f>'8. Fisheries and aquaculture'!E44</f>
        <v>Please select</v>
      </c>
      <c r="D58" s="2221">
        <f>'8. Fisheries and aquaculture'!X44</f>
        <v>0</v>
      </c>
      <c r="E58" s="2221">
        <f>'8. Fisheries and aquaculture'!Z44</f>
        <v>0</v>
      </c>
      <c r="F58" s="1661" t="str">
        <f>VLOOKUP('8. Fisheries and aquaculture'!AA44, list!$I$48:$J$50,2,FALSE )</f>
        <v>Linear</v>
      </c>
      <c r="G58" s="2221">
        <f>'8. Fisheries and aquaculture'!AB44</f>
        <v>0</v>
      </c>
      <c r="H58" s="1661" t="str">
        <f>VLOOKUP('8. Fisheries and aquaculture'!AC44, list!$I$48:$J$50,2,FALSE )</f>
        <v>Linear</v>
      </c>
      <c r="K58" s="2251">
        <f>IF(OR(B58="Please select",C58="Please select"),0,IF(INDEX('Database fish'!$A$6:$K$30,MATCH('Fish and aqua'!$B58,'Database fish'!$A$6:$A$30,0),MATCH('Fish and aqua'!$C58,'Database fish'!$A$6:$K$6,0))=0,(INDEX('Database fish'!$A$6:$K$30,MATCH('Fish and aqua'!$B58,'Database fish'!$A$6:$A$30,0),MATCH('Database fish'!$K$6,'Database fish'!$A$6:$K$6,0))),(INDEX('Database fish'!$A$6:$K$30,MATCH('Fish and aqua'!$B58,'Database fish'!$A$6:$A$30,0),MATCH('Fish and aqua'!$C58,'Database fish'!$A$6:$K$6,0)))))</f>
        <v>0</v>
      </c>
      <c r="L58" s="2188" t="str">
        <f>IF(INDEX('Database fish'!$A$6:$K$30,MATCH('Fish and aqua'!$B58,'Database fish'!$A$6:$A$30,0),MATCH('Fish and aqua'!$C58,'Database fish'!$A$6:$K$6,0))=0,"Not specific","Gear specific")</f>
        <v>Gear specific</v>
      </c>
      <c r="M58" s="2214">
        <f>IF('8. Fisheries and aquaculture'!$R44="",'8. Fisheries and aquaculture'!$P44,'8. Fisheries and aquaculture'!$R44)</f>
        <v>0</v>
      </c>
      <c r="N58" s="2214">
        <f>IF('8. Fisheries and aquaculture'!T44="",'8. Fisheries and aquaculture'!$P44,'8. Fisheries and aquaculture'!T44)</f>
        <v>0</v>
      </c>
      <c r="O58" s="2214">
        <f>IF('8. Fisheries and aquaculture'!U44="",'8. Fisheries and aquaculture'!$P44,'8. Fisheries and aquaculture'!U44)</f>
        <v>0</v>
      </c>
      <c r="Q58" s="2395">
        <f t="shared" ref="Q58:Q63" si="9">$M58*$X$5/1000</f>
        <v>0</v>
      </c>
      <c r="R58" s="2396">
        <f t="shared" ref="R58:R63" si="10">$N58*$X$5/1000</f>
        <v>0</v>
      </c>
      <c r="S58" s="2397">
        <f t="shared" ref="S58:S63" si="11">$O58*$X$5/1000</f>
        <v>0</v>
      </c>
      <c r="AA58" s="2208" t="s">
        <v>871</v>
      </c>
      <c r="AB58" s="2209">
        <f>SUM(AB55:AB57)</f>
        <v>46733.901299199584</v>
      </c>
      <c r="AC58" s="2209">
        <f>SUM(AC55:AC57)</f>
        <v>44186.102941766585</v>
      </c>
      <c r="AD58" s="2205">
        <f>AC58-AB58</f>
        <v>-2547.7983574329992</v>
      </c>
      <c r="AF58" s="2208" t="s">
        <v>871</v>
      </c>
      <c r="AG58" s="2210">
        <f>SUM(AG55:AG57)</f>
        <v>-2547.7983574329992</v>
      </c>
      <c r="AH58" s="2210">
        <f>SUM(AH55:AH57)</f>
        <v>-509.55967148660056</v>
      </c>
      <c r="AI58" s="2210">
        <f>SUM(AI55:AI57)</f>
        <v>-2038.2386859463986</v>
      </c>
    </row>
    <row r="59" spans="1:35" s="2188" customFormat="1" ht="13" x14ac:dyDescent="0.15">
      <c r="B59" s="2188" t="str">
        <f>'8. Fisheries and aquaculture'!C45</f>
        <v>Please select</v>
      </c>
      <c r="C59" s="2188" t="str">
        <f>'8. Fisheries and aquaculture'!E45</f>
        <v>Please select</v>
      </c>
      <c r="D59" s="2221">
        <f>'8. Fisheries and aquaculture'!X45</f>
        <v>0</v>
      </c>
      <c r="E59" s="2221">
        <f>'8. Fisheries and aquaculture'!Z45</f>
        <v>0</v>
      </c>
      <c r="F59" s="1661" t="str">
        <f>VLOOKUP('8. Fisheries and aquaculture'!AA45, list!$I$48:$J$50,2,FALSE )</f>
        <v>Linear</v>
      </c>
      <c r="G59" s="2221">
        <f>'8. Fisheries and aquaculture'!AB45</f>
        <v>0</v>
      </c>
      <c r="H59" s="1661" t="str">
        <f>VLOOKUP('8. Fisheries and aquaculture'!AC45, list!$I$48:$J$50,2,FALSE )</f>
        <v>Linear</v>
      </c>
      <c r="K59" s="2251">
        <f>IF(OR(B59="Please select",C59="Please select"),0,IF(INDEX('Database fish'!$A$6:$K$30,MATCH('Fish and aqua'!$B59,'Database fish'!$A$6:$A$30,0),MATCH('Fish and aqua'!$C59,'Database fish'!$A$6:$K$6,0))=0,(INDEX('Database fish'!$A$6:$K$30,MATCH('Fish and aqua'!$B59,'Database fish'!$A$6:$A$30,0),MATCH('Database fish'!$K$6,'Database fish'!$A$6:$K$6,0))),(INDEX('Database fish'!$A$6:$K$30,MATCH('Fish and aqua'!$B59,'Database fish'!$A$6:$A$30,0),MATCH('Fish and aqua'!$C59,'Database fish'!$A$6:$K$6,0)))))</f>
        <v>0</v>
      </c>
      <c r="L59" s="2188" t="str">
        <f>IF(INDEX('Database fish'!$A$6:$K$30,MATCH('Fish and aqua'!$B59,'Database fish'!$A$6:$A$30,0),MATCH('Fish and aqua'!$C59,'Database fish'!$A$6:$K$6,0))=0,"Not specific","Gear specific")</f>
        <v>Gear specific</v>
      </c>
      <c r="M59" s="2214">
        <f>IF('8. Fisheries and aquaculture'!$R45="",'8. Fisheries and aquaculture'!$P45,'8. Fisheries and aquaculture'!$R45)</f>
        <v>0</v>
      </c>
      <c r="N59" s="2214">
        <f>IF('8. Fisheries and aquaculture'!T45="",'8. Fisheries and aquaculture'!$P45,'8. Fisheries and aquaculture'!T45)</f>
        <v>0</v>
      </c>
      <c r="O59" s="2214">
        <f>IF('8. Fisheries and aquaculture'!U45="",'8. Fisheries and aquaculture'!$P45,'8. Fisheries and aquaculture'!U45)</f>
        <v>0</v>
      </c>
      <c r="Q59" s="2395">
        <f t="shared" si="9"/>
        <v>0</v>
      </c>
      <c r="R59" s="2396">
        <f t="shared" si="10"/>
        <v>0</v>
      </c>
      <c r="S59" s="2397">
        <f t="shared" si="11"/>
        <v>0</v>
      </c>
    </row>
    <row r="60" spans="1:35" s="2188" customFormat="1" ht="13" x14ac:dyDescent="0.15">
      <c r="B60" s="2188" t="str">
        <f>'8. Fisheries and aquaculture'!C46</f>
        <v>Please select</v>
      </c>
      <c r="C60" s="2188" t="str">
        <f>'8. Fisheries and aquaculture'!E46</f>
        <v>Please select</v>
      </c>
      <c r="D60" s="2221">
        <f>'8. Fisheries and aquaculture'!X46</f>
        <v>0</v>
      </c>
      <c r="E60" s="2221">
        <f>'8. Fisheries and aquaculture'!Z46</f>
        <v>0</v>
      </c>
      <c r="F60" s="1661" t="str">
        <f>VLOOKUP('8. Fisheries and aquaculture'!AA46, list!$I$48:$J$50,2,FALSE )</f>
        <v>Linear</v>
      </c>
      <c r="G60" s="2221">
        <f>'8. Fisheries and aquaculture'!AB46</f>
        <v>0</v>
      </c>
      <c r="H60" s="1661" t="str">
        <f>VLOOKUP('8. Fisheries and aquaculture'!AC46, list!$I$48:$J$50,2,FALSE )</f>
        <v>Linear</v>
      </c>
      <c r="K60" s="2251">
        <f>IF(OR(B60="Please select",C60="Please select"),0,IF(INDEX('Database fish'!$A$6:$K$30,MATCH('Fish and aqua'!$B60,'Database fish'!$A$6:$A$30,0),MATCH('Fish and aqua'!$C60,'Database fish'!$A$6:$K$6,0))=0,(INDEX('Database fish'!$A$6:$K$30,MATCH('Fish and aqua'!$B60,'Database fish'!$A$6:$A$30,0),MATCH('Database fish'!$K$6,'Database fish'!$A$6:$K$6,0))),(INDEX('Database fish'!$A$6:$K$30,MATCH('Fish and aqua'!$B60,'Database fish'!$A$6:$A$30,0),MATCH('Fish and aqua'!$C60,'Database fish'!$A$6:$K$6,0)))))</f>
        <v>0</v>
      </c>
      <c r="L60" s="2188" t="str">
        <f>IF(INDEX('Database fish'!$A$6:$K$30,MATCH('Fish and aqua'!$B60,'Database fish'!$A$6:$A$30,0),MATCH('Fish and aqua'!$C60,'Database fish'!$A$6:$K$6,0))=0,"Not specific","Gear specific")</f>
        <v>Gear specific</v>
      </c>
      <c r="M60" s="2214">
        <f>IF('8. Fisheries and aquaculture'!$R46="",'8. Fisheries and aquaculture'!$P46,'8. Fisheries and aquaculture'!$R46)</f>
        <v>0</v>
      </c>
      <c r="N60" s="2214">
        <f>IF('8. Fisheries and aquaculture'!T46="",'8. Fisheries and aquaculture'!$P46,'8. Fisheries and aquaculture'!T46)</f>
        <v>0</v>
      </c>
      <c r="O60" s="2214">
        <f>IF('8. Fisheries and aquaculture'!U46="",'8. Fisheries and aquaculture'!$P46,'8. Fisheries and aquaculture'!U46)</f>
        <v>0</v>
      </c>
      <c r="Q60" s="2395">
        <f t="shared" si="9"/>
        <v>0</v>
      </c>
      <c r="R60" s="2396">
        <f t="shared" si="10"/>
        <v>0</v>
      </c>
      <c r="S60" s="2397">
        <f t="shared" si="11"/>
        <v>0</v>
      </c>
    </row>
    <row r="61" spans="1:35" s="2188" customFormat="1" ht="13" x14ac:dyDescent="0.15">
      <c r="B61" s="2188" t="str">
        <f>'8. Fisheries and aquaculture'!C47</f>
        <v>Please select</v>
      </c>
      <c r="C61" s="2188" t="str">
        <f>'8. Fisheries and aquaculture'!E47</f>
        <v>Please select</v>
      </c>
      <c r="D61" s="2221">
        <f>'8. Fisheries and aquaculture'!X47</f>
        <v>0</v>
      </c>
      <c r="E61" s="2221">
        <f>'8. Fisheries and aquaculture'!Z47</f>
        <v>0</v>
      </c>
      <c r="F61" s="1661" t="str">
        <f>VLOOKUP('8. Fisheries and aquaculture'!AA47, list!$I$48:$J$50,2,FALSE )</f>
        <v>Linear</v>
      </c>
      <c r="G61" s="2221">
        <f>'8. Fisheries and aquaculture'!AB47</f>
        <v>0</v>
      </c>
      <c r="H61" s="1661" t="str">
        <f>VLOOKUP('8. Fisheries and aquaculture'!AC47, list!$I$48:$J$50,2,FALSE )</f>
        <v>Linear</v>
      </c>
      <c r="K61" s="2251">
        <f>IF(OR(B61="Please select",C61="Please select"),0,IF(INDEX('Database fish'!$A$6:$K$30,MATCH('Fish and aqua'!$B61,'Database fish'!$A$6:$A$30,0),MATCH('Fish and aqua'!$C61,'Database fish'!$A$6:$K$6,0))=0,(INDEX('Database fish'!$A$6:$K$30,MATCH('Fish and aqua'!$B61,'Database fish'!$A$6:$A$30,0),MATCH('Database fish'!$K$6,'Database fish'!$A$6:$K$6,0))),(INDEX('Database fish'!$A$6:$K$30,MATCH('Fish and aqua'!$B61,'Database fish'!$A$6:$A$30,0),MATCH('Fish and aqua'!$C61,'Database fish'!$A$6:$K$6,0)))))</f>
        <v>0</v>
      </c>
      <c r="L61" s="2188" t="str">
        <f>IF(INDEX('Database fish'!$A$6:$K$30,MATCH('Fish and aqua'!$B61,'Database fish'!$A$6:$A$30,0),MATCH('Fish and aqua'!$C61,'Database fish'!$A$6:$K$6,0))=0,"Not specific","Gear specific")</f>
        <v>Gear specific</v>
      </c>
      <c r="M61" s="2214">
        <f>IF('8. Fisheries and aquaculture'!$R47="",'8. Fisheries and aquaculture'!$P47,'8. Fisheries and aquaculture'!$R47)</f>
        <v>0</v>
      </c>
      <c r="N61" s="2214">
        <f>IF('8. Fisheries and aquaculture'!T47="",'8. Fisheries and aquaculture'!$P47,'8. Fisheries and aquaculture'!T47)</f>
        <v>0</v>
      </c>
      <c r="O61" s="2214">
        <f>IF('8. Fisheries and aquaculture'!U47="",'8. Fisheries and aquaculture'!$P47,'8. Fisheries and aquaculture'!U47)</f>
        <v>0</v>
      </c>
      <c r="Q61" s="2395">
        <f t="shared" si="9"/>
        <v>0</v>
      </c>
      <c r="R61" s="2396">
        <f t="shared" si="10"/>
        <v>0</v>
      </c>
      <c r="S61" s="2397">
        <f t="shared" si="11"/>
        <v>0</v>
      </c>
    </row>
    <row r="62" spans="1:35" s="2188" customFormat="1" ht="13" x14ac:dyDescent="0.15">
      <c r="B62" s="2188" t="str">
        <f>'8. Fisheries and aquaculture'!C48</f>
        <v>Please select</v>
      </c>
      <c r="C62" s="2188" t="str">
        <f>'8. Fisheries and aquaculture'!E48</f>
        <v>Please select</v>
      </c>
      <c r="D62" s="2221">
        <f>'8. Fisheries and aquaculture'!X48</f>
        <v>0</v>
      </c>
      <c r="E62" s="2221">
        <f>'8. Fisheries and aquaculture'!Z48</f>
        <v>0</v>
      </c>
      <c r="F62" s="1661" t="str">
        <f>VLOOKUP('8. Fisheries and aquaculture'!AA48, list!$I$48:$J$50,2,FALSE )</f>
        <v>Linear</v>
      </c>
      <c r="G62" s="2221">
        <f>'8. Fisheries and aquaculture'!AB48</f>
        <v>0</v>
      </c>
      <c r="H62" s="1661" t="str">
        <f>VLOOKUP('8. Fisheries and aquaculture'!AC48, list!$I$48:$J$50,2,FALSE )</f>
        <v>Linear</v>
      </c>
      <c r="K62" s="2251">
        <f>IF(OR(B62="Please select",C62="Please select"),0,IF(INDEX('Database fish'!$A$6:$K$30,MATCH('Fish and aqua'!$B62,'Database fish'!$A$6:$A$30,0),MATCH('Fish and aqua'!$C62,'Database fish'!$A$6:$K$6,0))=0,(INDEX('Database fish'!$A$6:$K$30,MATCH('Fish and aqua'!$B62,'Database fish'!$A$6:$A$30,0),MATCH('Database fish'!$K$6,'Database fish'!$A$6:$K$6,0))),(INDEX('Database fish'!$A$6:$K$30,MATCH('Fish and aqua'!$B62,'Database fish'!$A$6:$A$30,0),MATCH('Fish and aqua'!$C62,'Database fish'!$A$6:$K$6,0)))))</f>
        <v>0</v>
      </c>
      <c r="L62" s="2188" t="str">
        <f>IF(INDEX('Database fish'!$A$6:$K$30,MATCH('Fish and aqua'!$B62,'Database fish'!$A$6:$A$30,0),MATCH('Fish and aqua'!$C62,'Database fish'!$A$6:$K$6,0))=0,"Not specific","Gear specific")</f>
        <v>Gear specific</v>
      </c>
      <c r="M62" s="2214">
        <f>IF('8. Fisheries and aquaculture'!$R48="",'8. Fisheries and aquaculture'!$P48,'8. Fisheries and aquaculture'!$R48)</f>
        <v>0</v>
      </c>
      <c r="N62" s="2214">
        <f>IF('8. Fisheries and aquaculture'!T48="",'8. Fisheries and aquaculture'!$P48,'8. Fisheries and aquaculture'!T48)</f>
        <v>0</v>
      </c>
      <c r="O62" s="2214">
        <f>IF('8. Fisheries and aquaculture'!U48="",'8. Fisheries and aquaculture'!$P48,'8. Fisheries and aquaculture'!U48)</f>
        <v>0</v>
      </c>
      <c r="Q62" s="2395">
        <f t="shared" si="9"/>
        <v>0</v>
      </c>
      <c r="R62" s="2396">
        <f t="shared" si="10"/>
        <v>0</v>
      </c>
      <c r="S62" s="2397">
        <f t="shared" si="11"/>
        <v>0</v>
      </c>
      <c r="V62" s="1661"/>
    </row>
    <row r="63" spans="1:35" s="2188" customFormat="1" ht="13" x14ac:dyDescent="0.15">
      <c r="B63" s="2188" t="str">
        <f>'8. Fisheries and aquaculture'!C49</f>
        <v>Please select</v>
      </c>
      <c r="C63" s="2188" t="str">
        <f>'8. Fisheries and aquaculture'!E49</f>
        <v>Please select</v>
      </c>
      <c r="D63" s="2221">
        <f>'8. Fisheries and aquaculture'!X49</f>
        <v>0</v>
      </c>
      <c r="E63" s="2221">
        <f>'8. Fisheries and aquaculture'!Z49</f>
        <v>0</v>
      </c>
      <c r="F63" s="1661" t="str">
        <f>VLOOKUP('8. Fisheries and aquaculture'!AA49, list!$I$48:$J$50,2,FALSE )</f>
        <v>Linear</v>
      </c>
      <c r="G63" s="2221">
        <f>'8. Fisheries and aquaculture'!AB49</f>
        <v>0</v>
      </c>
      <c r="H63" s="1661" t="str">
        <f>VLOOKUP('8. Fisheries and aquaculture'!AC49, list!$I$48:$J$50,2,FALSE )</f>
        <v>Linear</v>
      </c>
      <c r="K63" s="2251">
        <f>IF(OR(B63="Please select",C63="Please select"),0,IF(INDEX('Database fish'!$A$6:$K$30,MATCH('Fish and aqua'!$B63,'Database fish'!$A$6:$A$30,0),MATCH('Fish and aqua'!$C63,'Database fish'!$A$6:$K$6,0))=0,(INDEX('Database fish'!$A$6:$K$30,MATCH('Fish and aqua'!$B63,'Database fish'!$A$6:$A$30,0),MATCH('Database fish'!$K$6,'Database fish'!$A$6:$K$6,0))),(INDEX('Database fish'!$A$6:$K$30,MATCH('Fish and aqua'!$B63,'Database fish'!$A$6:$A$30,0),MATCH('Fish and aqua'!$C63,'Database fish'!$A$6:$K$6,0)))))</f>
        <v>0</v>
      </c>
      <c r="L63" s="2188" t="str">
        <f>IF(INDEX('Database fish'!$A$6:$K$30,MATCH('Fish and aqua'!$B63,'Database fish'!$A$6:$A$30,0),MATCH('Fish and aqua'!$C63,'Database fish'!$A$6:$K$6,0))=0,"Not specific","Gear specific")</f>
        <v>Gear specific</v>
      </c>
      <c r="M63" s="2214">
        <f>IF('8. Fisheries and aquaculture'!$R49="",'8. Fisheries and aquaculture'!$P49,'8. Fisheries and aquaculture'!$R49)</f>
        <v>0</v>
      </c>
      <c r="N63" s="2214">
        <f>IF('8. Fisheries and aquaculture'!T49="",'8. Fisheries and aquaculture'!$P49,'8. Fisheries and aquaculture'!T49)</f>
        <v>0</v>
      </c>
      <c r="O63" s="2214">
        <f>IF('8. Fisheries and aquaculture'!U49="",'8. Fisheries and aquaculture'!$P49,'8. Fisheries and aquaculture'!U49)</f>
        <v>0</v>
      </c>
      <c r="Q63" s="2395">
        <f t="shared" si="9"/>
        <v>0</v>
      </c>
      <c r="R63" s="2396">
        <f t="shared" si="10"/>
        <v>0</v>
      </c>
      <c r="S63" s="2397">
        <f t="shared" si="11"/>
        <v>0</v>
      </c>
      <c r="V63" s="1661"/>
    </row>
    <row r="64" spans="1:35" s="2188" customFormat="1" ht="13" x14ac:dyDescent="0.15">
      <c r="V64" s="1661"/>
    </row>
    <row r="65" spans="2:22" s="2188" customFormat="1" ht="13" x14ac:dyDescent="0.15"/>
    <row r="66" spans="2:22" s="2188" customFormat="1" ht="13" x14ac:dyDescent="0.15">
      <c r="K66" s="2188" t="s">
        <v>2310</v>
      </c>
      <c r="O66" s="2191" t="s">
        <v>2306</v>
      </c>
      <c r="U66" s="2188" t="s">
        <v>2288</v>
      </c>
    </row>
    <row r="67" spans="2:22" s="2188" customFormat="1" ht="13" x14ac:dyDescent="0.15">
      <c r="B67" s="2191" t="str">
        <f t="shared" ref="B67:C73" si="12">B57</f>
        <v>Fish category</v>
      </c>
      <c r="C67" s="2191" t="str">
        <f t="shared" si="12"/>
        <v>Gear category</v>
      </c>
      <c r="K67" s="1661" t="s">
        <v>219</v>
      </c>
      <c r="L67" s="2211" t="s">
        <v>179</v>
      </c>
      <c r="M67" s="2212" t="s">
        <v>180</v>
      </c>
      <c r="O67" s="2211" t="s">
        <v>179</v>
      </c>
      <c r="P67" s="2212" t="s">
        <v>180</v>
      </c>
      <c r="Q67" s="2213" t="s">
        <v>376</v>
      </c>
      <c r="U67" s="2211" t="s">
        <v>179</v>
      </c>
      <c r="V67" s="2212" t="s">
        <v>180</v>
      </c>
    </row>
    <row r="68" spans="2:22" s="2188" customFormat="1" ht="13" x14ac:dyDescent="0.15">
      <c r="B68" s="2188" t="str">
        <f t="shared" si="12"/>
        <v>Please select</v>
      </c>
      <c r="C68" s="2188" t="str">
        <f t="shared" si="12"/>
        <v>Please select</v>
      </c>
      <c r="K68" s="2214">
        <f t="shared" ref="K68:L73" si="13">D58*Q58</f>
        <v>0</v>
      </c>
      <c r="L68" s="2214">
        <f>E58*R58</f>
        <v>0</v>
      </c>
      <c r="M68" s="2214">
        <f t="shared" ref="M68:M73" si="14">G58*S58</f>
        <v>0</v>
      </c>
      <c r="O68" s="2214">
        <f>MIN(K68,L68)*time_tot+ABS(L68-K68)*IF(L68&gt;K68,time_cap+time*(VLOOKUP(F58,list!$J$48:$K$50,2,0)),time*(1-(VLOOKUP(F58,list!$J$48:$K$50,2,0))))</f>
        <v>0</v>
      </c>
      <c r="P68" s="2214">
        <f>MIN(K68,M68)*time_tot+ABS(M68-K68)*IF(M68&gt;K68,time_cap+time*(VLOOKUP(H58,list!$J$48:$K$50,2,0)),time*(1-(VLOOKUP(H58,list!$J$48:$K$50,2,0))))</f>
        <v>0</v>
      </c>
      <c r="Q68" s="2219">
        <f t="shared" ref="Q68:Q73" si="15">P68-O68</f>
        <v>0</v>
      </c>
      <c r="U68" s="2221">
        <f>MIN(L68,K68)*time+ABS(L68-K68)*IF(L68&gt;K68,time*(VLOOKUP(F58,list!$J$48:$K$50,2,0)),time*(1-(VLOOKUP(F58,list!$J$48:$K$50,2,0))))</f>
        <v>0</v>
      </c>
      <c r="V68" s="2221">
        <f>MIN(M68,K68)*time+ABS(M68-K68)*IF(M68&gt;K68,time*(VLOOKUP(H58,list!$J$48:$K$50,2,0)),time*(1-(VLOOKUP(H58,list!$J$48:$K$50,2,0))))</f>
        <v>0</v>
      </c>
    </row>
    <row r="69" spans="2:22" s="2188" customFormat="1" ht="13" x14ac:dyDescent="0.15">
      <c r="B69" s="2188" t="str">
        <f t="shared" si="12"/>
        <v>Please select</v>
      </c>
      <c r="C69" s="2188" t="str">
        <f t="shared" si="12"/>
        <v>Please select</v>
      </c>
      <c r="K69" s="2214">
        <f t="shared" si="13"/>
        <v>0</v>
      </c>
      <c r="L69" s="2214">
        <f t="shared" si="13"/>
        <v>0</v>
      </c>
      <c r="M69" s="2214">
        <f t="shared" si="14"/>
        <v>0</v>
      </c>
      <c r="O69" s="2214">
        <f>MIN(K69,L69)*time_tot+ABS(L69-K69)*IF(L69&gt;K69,time_cap+time*(VLOOKUP(F59,list!$J$48:$K$50,2,0)),time*(1-(VLOOKUP(F59,list!$J$48:$K$50,2,0))))</f>
        <v>0</v>
      </c>
      <c r="P69" s="2214">
        <f>MIN(K69,M69)*time_tot+ABS(M69-K69)*IF(M69&gt;K69,time_cap+time*(VLOOKUP(H59,list!$J$48:$K$50,2,0)),time*(1-(VLOOKUP(H59,list!$J$48:$K$50,2,0))))</f>
        <v>0</v>
      </c>
      <c r="Q69" s="2219">
        <f t="shared" si="15"/>
        <v>0</v>
      </c>
      <c r="U69" s="2221">
        <f>MIN(L69,K69)*time+ABS(L69-K69)*IF(L69&gt;K69,time*(VLOOKUP(F59,list!$J$48:$K$50,2,0)),time*(1-(VLOOKUP(F59,list!$J$48:$K$50,2,0))))</f>
        <v>0</v>
      </c>
      <c r="V69" s="2221">
        <f>MIN(M69,K69)*time+ABS(M69-K69)*IF(M69&gt;K69,time*(VLOOKUP(H59,list!$J$48:$K$50,2,0)),time*(1-(VLOOKUP(H59,list!$J$48:$K$50,2,0))))</f>
        <v>0</v>
      </c>
    </row>
    <row r="70" spans="2:22" s="2188" customFormat="1" ht="13" x14ac:dyDescent="0.15">
      <c r="B70" s="2188" t="str">
        <f t="shared" si="12"/>
        <v>Please select</v>
      </c>
      <c r="C70" s="2188" t="str">
        <f t="shared" si="12"/>
        <v>Please select</v>
      </c>
      <c r="K70" s="2214">
        <f t="shared" si="13"/>
        <v>0</v>
      </c>
      <c r="L70" s="2214">
        <f t="shared" si="13"/>
        <v>0</v>
      </c>
      <c r="M70" s="2214">
        <f t="shared" si="14"/>
        <v>0</v>
      </c>
      <c r="O70" s="2214">
        <f>MIN(K70,L70)*time_tot+ABS(L70-K70)*IF(L70&gt;K70,time_cap+time*(VLOOKUP(F60,list!$J$48:$K$50,2,0)),time*(1-(VLOOKUP(F60,list!$J$48:$K$50,2,0))))</f>
        <v>0</v>
      </c>
      <c r="P70" s="2214">
        <f>MIN(K70,M70)*time_tot+ABS(M70-K70)*IF(M70&gt;K70,time_cap+time*(VLOOKUP(H60,list!$J$48:$K$50,2,0)),time*(1-(VLOOKUP(H60,list!$J$48:$K$50,2,0))))</f>
        <v>0</v>
      </c>
      <c r="Q70" s="2219">
        <f t="shared" si="15"/>
        <v>0</v>
      </c>
      <c r="U70" s="2221">
        <f>MIN(L70,K70)*time+ABS(L70-K70)*IF(L70&gt;K70,time*(VLOOKUP(F60,list!$J$48:$K$50,2,0)),time*(1-(VLOOKUP(F60,list!$J$48:$K$50,2,0))))</f>
        <v>0</v>
      </c>
      <c r="V70" s="2221">
        <f>MIN(M70,K70)*time+ABS(M70-K70)*IF(M70&gt;K70,time*(VLOOKUP(H60,list!$J$48:$K$50,2,0)),time*(1-(VLOOKUP(H60,list!$J$48:$K$50,2,0))))</f>
        <v>0</v>
      </c>
    </row>
    <row r="71" spans="2:22" s="2188" customFormat="1" ht="13" x14ac:dyDescent="0.15">
      <c r="B71" s="2188" t="str">
        <f t="shared" si="12"/>
        <v>Please select</v>
      </c>
      <c r="C71" s="2188" t="str">
        <f t="shared" si="12"/>
        <v>Please select</v>
      </c>
      <c r="K71" s="2214">
        <f t="shared" si="13"/>
        <v>0</v>
      </c>
      <c r="L71" s="2214">
        <f t="shared" si="13"/>
        <v>0</v>
      </c>
      <c r="M71" s="2214">
        <f t="shared" si="14"/>
        <v>0</v>
      </c>
      <c r="O71" s="2214">
        <f>MIN(K71,L71)*time_tot+ABS(L71-K71)*IF(L71&gt;K71,time_cap+time*(VLOOKUP(F61,list!$J$48:$K$50,2,0)),time*(1-(VLOOKUP(F61,list!$J$48:$K$50,2,0))))</f>
        <v>0</v>
      </c>
      <c r="P71" s="2214">
        <f>MIN(K71,M71)*time_tot+ABS(M71-K71)*IF(M71&gt;K71,time_cap+time*(VLOOKUP(H61,list!$J$48:$K$50,2,0)),time*(1-(VLOOKUP(H61,list!$J$48:$K$50,2,0))))</f>
        <v>0</v>
      </c>
      <c r="Q71" s="2219">
        <f t="shared" si="15"/>
        <v>0</v>
      </c>
      <c r="U71" s="2221">
        <f>MIN(L71,K71)*time+ABS(L71-K71)*IF(L71&gt;K71,time*(VLOOKUP(F61,list!$J$48:$K$50,2,0)),time*(1-(VLOOKUP(F61,list!$J$48:$K$50,2,0))))</f>
        <v>0</v>
      </c>
      <c r="V71" s="2221">
        <f>MIN(M71,K71)*time+ABS(M71-K71)*IF(M71&gt;K71,time*(VLOOKUP(H61,list!$J$48:$K$50,2,0)),time*(1-(VLOOKUP(H61,list!$J$48:$K$50,2,0))))</f>
        <v>0</v>
      </c>
    </row>
    <row r="72" spans="2:22" s="2188" customFormat="1" ht="13" x14ac:dyDescent="0.15">
      <c r="B72" s="2188" t="str">
        <f t="shared" si="12"/>
        <v>Please select</v>
      </c>
      <c r="C72" s="2188" t="str">
        <f t="shared" si="12"/>
        <v>Please select</v>
      </c>
      <c r="K72" s="2214">
        <f t="shared" si="13"/>
        <v>0</v>
      </c>
      <c r="L72" s="2214">
        <f t="shared" si="13"/>
        <v>0</v>
      </c>
      <c r="M72" s="2214">
        <f t="shared" si="14"/>
        <v>0</v>
      </c>
      <c r="O72" s="2214">
        <f>MIN(K72,L72)*time_tot+ABS(L72-K72)*IF(L72&gt;K72,time_cap+time*(VLOOKUP(F62,list!$J$48:$K$50,2,0)),time*(1-(VLOOKUP(F62,list!$J$48:$K$50,2,0))))</f>
        <v>0</v>
      </c>
      <c r="P72" s="2214">
        <f>MIN(K72,M72)*time_tot+ABS(M72-K72)*IF(M72&gt;K72,time_cap+time*(VLOOKUP(H62,list!$J$48:$K$50,2,0)),time*(1-(VLOOKUP(H62,list!$J$48:$K$50,2,0))))</f>
        <v>0</v>
      </c>
      <c r="Q72" s="2219">
        <f t="shared" si="15"/>
        <v>0</v>
      </c>
      <c r="U72" s="2221">
        <f>MIN(L72,K72)*time+ABS(L72-K72)*IF(L72&gt;K72,time*(VLOOKUP(F62,list!$J$48:$K$50,2,0)),time*(1-(VLOOKUP(F62,list!$J$48:$K$50,2,0))))</f>
        <v>0</v>
      </c>
      <c r="V72" s="2221">
        <f>MIN(M72,K72)*time+ABS(M72-K72)*IF(M72&gt;K72,time*(VLOOKUP(H62,list!$J$48:$K$50,2,0)),time*(1-(VLOOKUP(H62,list!$J$48:$K$50,2,0))))</f>
        <v>0</v>
      </c>
    </row>
    <row r="73" spans="2:22" s="2188" customFormat="1" ht="13" x14ac:dyDescent="0.15">
      <c r="B73" s="2188" t="str">
        <f t="shared" si="12"/>
        <v>Please select</v>
      </c>
      <c r="C73" s="2188" t="str">
        <f t="shared" si="12"/>
        <v>Please select</v>
      </c>
      <c r="K73" s="2214">
        <f t="shared" si="13"/>
        <v>0</v>
      </c>
      <c r="L73" s="2214">
        <f t="shared" si="13"/>
        <v>0</v>
      </c>
      <c r="M73" s="2214">
        <f t="shared" si="14"/>
        <v>0</v>
      </c>
      <c r="O73" s="2214">
        <f>MIN(K73,L73)*time_tot+ABS(L73-K73)*IF(L73&gt;K73,time_cap+time*(VLOOKUP(F63,list!$J$48:$K$50,2,0)),time*(1-(VLOOKUP(F63,list!$J$48:$K$50,2,0))))</f>
        <v>0</v>
      </c>
      <c r="P73" s="2214">
        <f>MIN(K73,M73)*time_tot+ABS(M73-K73)*IF(M73&gt;K73,time_cap+time*(VLOOKUP(H63,list!$J$48:$K$50,2,0)),time*(1-(VLOOKUP(H63,list!$J$48:$K$50,2,0))))</f>
        <v>0</v>
      </c>
      <c r="Q73" s="2219">
        <f t="shared" si="15"/>
        <v>0</v>
      </c>
      <c r="U73" s="2221">
        <f>MIN(L73,K73)*time+ABS(L73-K73)*IF(L73&gt;K73,time*(VLOOKUP(F63,list!$J$48:$K$50,2,0)),time*(1-(VLOOKUP(F63,list!$J$48:$K$50,2,0))))</f>
        <v>0</v>
      </c>
      <c r="V73" s="2221">
        <f>MIN(M73,K73)*time+ABS(M73-K73)*IF(M73&gt;K73,time*(VLOOKUP(H63,list!$J$48:$K$50,2,0)),time*(1-(VLOOKUP(H63,list!$J$48:$K$50,2,0))))</f>
        <v>0</v>
      </c>
    </row>
    <row r="74" spans="2:22" s="2188" customFormat="1" ht="13" x14ac:dyDescent="0.15"/>
    <row r="75" spans="2:22" s="2188" customFormat="1" ht="13" x14ac:dyDescent="0.15">
      <c r="J75" s="2248" t="s">
        <v>2320</v>
      </c>
      <c r="K75" s="2221">
        <f>SUM(K68:K73)/$X$5</f>
        <v>0</v>
      </c>
      <c r="L75" s="2221">
        <f>SUM(L68:L73)/$X$5</f>
        <v>0</v>
      </c>
      <c r="M75" s="2221">
        <f>SUM(M68:M73)/$X$5</f>
        <v>0</v>
      </c>
    </row>
    <row r="76" spans="2:22" s="2188" customFormat="1" ht="13" x14ac:dyDescent="0.15">
      <c r="B76" s="2191" t="s">
        <v>2321</v>
      </c>
    </row>
    <row r="77" spans="2:22" s="2188" customFormat="1" ht="13" x14ac:dyDescent="0.15">
      <c r="B77" s="2188" t="s">
        <v>2322</v>
      </c>
      <c r="C77" s="2188" t="s">
        <v>2323</v>
      </c>
      <c r="F77" s="2188" t="s">
        <v>2324</v>
      </c>
      <c r="K77" s="2188" t="s">
        <v>2310</v>
      </c>
      <c r="O77" s="2191" t="s">
        <v>2306</v>
      </c>
      <c r="U77" s="2188" t="s">
        <v>2288</v>
      </c>
    </row>
    <row r="78" spans="2:22" s="2188" customFormat="1" ht="13" x14ac:dyDescent="0.15">
      <c r="C78" s="1661" t="s">
        <v>65</v>
      </c>
      <c r="D78" s="1661" t="s">
        <v>66</v>
      </c>
      <c r="F78" s="1661" t="str">
        <f>C78</f>
        <v>Default</v>
      </c>
      <c r="G78" s="1661" t="str">
        <f>D78</f>
        <v>Tier 2</v>
      </c>
      <c r="K78" s="1661" t="s">
        <v>219</v>
      </c>
      <c r="L78" s="2211" t="s">
        <v>179</v>
      </c>
      <c r="M78" s="2212" t="s">
        <v>180</v>
      </c>
      <c r="O78" s="2211" t="s">
        <v>179</v>
      </c>
      <c r="P78" s="2212" t="s">
        <v>180</v>
      </c>
      <c r="Q78" s="2213" t="s">
        <v>376</v>
      </c>
      <c r="U78" s="2211" t="s">
        <v>179</v>
      </c>
      <c r="V78" s="2212" t="s">
        <v>180</v>
      </c>
    </row>
    <row r="79" spans="2:22" s="2188" customFormat="1" ht="13" x14ac:dyDescent="0.15">
      <c r="B79" s="2188" t="s">
        <v>2325</v>
      </c>
      <c r="C79" s="2254">
        <f>487.34/1000</f>
        <v>0.48734</v>
      </c>
      <c r="D79" s="2256">
        <f>IF('8. Fisheries and aquaculture'!CI42="",'8. Fisheries and aquaculture'!CH42,'8. Fisheries and aquaculture'!CI42)</f>
        <v>0.48734</v>
      </c>
      <c r="F79" s="2254">
        <v>1810</v>
      </c>
      <c r="G79" s="2256">
        <f>IF('8. Fisheries and aquaculture'!CF48="",'8. Fisheries and aquaculture'!CE48,'8. Fisheries and aquaculture'!CF48)</f>
        <v>1810</v>
      </c>
      <c r="I79" s="2188" t="s">
        <v>625</v>
      </c>
      <c r="K79" s="2255">
        <f>$D$79*$G$79*'8. Fisheries and aquaculture'!X44*'8. Fisheries and aquaculture'!H44/1000</f>
        <v>0</v>
      </c>
      <c r="L79" s="2255">
        <f>$D$79*$G$79*'8. Fisheries and aquaculture'!Z44*'8. Fisheries and aquaculture'!J44/1000</f>
        <v>0</v>
      </c>
      <c r="M79" s="2255">
        <f>$D$79*$G$79*'8. Fisheries and aquaculture'!AB44*'8. Fisheries and aquaculture'!L44/1000</f>
        <v>0</v>
      </c>
      <c r="O79" s="2214">
        <f>MIN(K79,L79)*time_tot+ABS(L79-K79)*IF(L79&gt;K79,time_cap+time*(VLOOKUP($I$79,list!$J$48:$K$50,2,0)),time*(1-(VLOOKUP($I$79,list!$J$48:$K$50,2,0))))</f>
        <v>0</v>
      </c>
      <c r="P79" s="2214">
        <f>MIN(K79,M79)*time_tot+ABS(M79-K79)*IF(M79&gt;K79,time_cap+time*(VLOOKUP($I$79,list!$J$48:$K$50,2,0)),time*(1-(VLOOKUP($I$79,list!$J$48:$K$50,2,0))))</f>
        <v>0</v>
      </c>
      <c r="Q79" s="2219">
        <f>P79-O79</f>
        <v>0</v>
      </c>
      <c r="U79" s="2221">
        <f>MIN(L79,K79)*time+ABS(L79-K79)*IF(L79&gt;K79,time*(VLOOKUP(I79,list!$J$48:$K$50,2,0)),time*(1-(VLOOKUP(I79,list!$J$48:$K$50,2,0))))</f>
        <v>0</v>
      </c>
      <c r="V79" s="2221">
        <f>MIN(M79,K79)*time+ABS(M79-K79)*IF(M79&gt;K79,time*(VLOOKUP(I79,list!$J$48:$K$50,2,0)),time*(1-(VLOOKUP(I79,list!$J$48:$K$50,2,0))))</f>
        <v>0</v>
      </c>
    </row>
    <row r="80" spans="2:22" s="2188" customFormat="1" ht="13" x14ac:dyDescent="0.15">
      <c r="K80" s="2255">
        <f>$D$79*$G$79*'8. Fisheries and aquaculture'!X45*'8. Fisheries and aquaculture'!H45/1000</f>
        <v>0</v>
      </c>
      <c r="L80" s="2255">
        <f>$D$79*$G$79*'8. Fisheries and aquaculture'!Z45*'8. Fisheries and aquaculture'!J45/1000</f>
        <v>0</v>
      </c>
      <c r="M80" s="2255">
        <f>$D$79*$G$79*'8. Fisheries and aquaculture'!AB45*'8. Fisheries and aquaculture'!L45/1000</f>
        <v>0</v>
      </c>
      <c r="O80" s="2214">
        <f>MIN(K80,L80)*time_tot+ABS(L80-K80)*IF(L80&gt;K80,time_cap+time*(VLOOKUP($I$79,list!$J$48:$K$50,2,0)),time*(1-(VLOOKUP($I$79,list!$J$48:$K$50,2,0))))</f>
        <v>0</v>
      </c>
      <c r="P80" s="2214">
        <f>MIN(K80,M80)*time_tot+ABS(M80-K80)*IF(M80&gt;K80,time_cap+time*(VLOOKUP($I$79,list!$J$48:$K$50,2,0)),time*(1-(VLOOKUP($I$79,list!$J$48:$K$50,2,0))))</f>
        <v>0</v>
      </c>
      <c r="Q80" s="2219">
        <f t="shared" ref="Q80:Q86" si="16">P80-O80</f>
        <v>0</v>
      </c>
    </row>
    <row r="81" spans="2:22" s="2188" customFormat="1" ht="13" x14ac:dyDescent="0.15">
      <c r="K81" s="2255">
        <f>$D$79*$G$79*'8. Fisheries and aquaculture'!X46*'8. Fisheries and aquaculture'!H46/1000</f>
        <v>0</v>
      </c>
      <c r="L81" s="2255">
        <f>$D$79*$G$79*'8. Fisheries and aquaculture'!Z46*'8. Fisheries and aquaculture'!J46/1000</f>
        <v>0</v>
      </c>
      <c r="M81" s="2255">
        <f>$D$79*$G$79*'8. Fisheries and aquaculture'!AB46*'8. Fisheries and aquaculture'!L46/1000</f>
        <v>0</v>
      </c>
      <c r="O81" s="2214">
        <f>MIN(K81,L81)*time_tot+ABS(L81-K81)*IF(L81&gt;K81,time_cap+time*(VLOOKUP($I$79,list!$J$48:$K$50,2,0)),time*(1-(VLOOKUP($I$79,list!$J$48:$K$50,2,0))))</f>
        <v>0</v>
      </c>
      <c r="P81" s="2214">
        <f>MIN(K81,M81)*time_tot+ABS(M81-K81)*IF(M81&gt;K81,time_cap+time*(VLOOKUP($I$79,list!$J$48:$K$50,2,0)),time*(1-(VLOOKUP($I$79,list!$J$48:$K$50,2,0))))</f>
        <v>0</v>
      </c>
      <c r="Q81" s="2219">
        <f t="shared" si="16"/>
        <v>0</v>
      </c>
    </row>
    <row r="82" spans="2:22" s="2188" customFormat="1" ht="13" x14ac:dyDescent="0.15">
      <c r="K82" s="2255">
        <f>$D$79*$G$79*'8. Fisheries and aquaculture'!X47*'8. Fisheries and aquaculture'!H47/1000</f>
        <v>0</v>
      </c>
      <c r="L82" s="2255">
        <f>$D$79*$G$79*'8. Fisheries and aquaculture'!Z47*'8. Fisheries and aquaculture'!J47/1000</f>
        <v>0</v>
      </c>
      <c r="M82" s="2255">
        <f>$D$79*$G$79*'8. Fisheries and aquaculture'!AB47*'8. Fisheries and aquaculture'!L47/1000</f>
        <v>0</v>
      </c>
      <c r="O82" s="2214">
        <f>MIN(K82,L82)*time_tot+ABS(L82-K82)*IF(L82&gt;K82,time_cap+time*(VLOOKUP($I$79,list!$J$48:$K$50,2,0)),time*(1-(VLOOKUP($I$79,list!$J$48:$K$50,2,0))))</f>
        <v>0</v>
      </c>
      <c r="P82" s="2214">
        <f>MIN(K82,M82)*time_tot+ABS(M82-K82)*IF(M82&gt;K82,time_cap+time*(VLOOKUP($I$79,list!$J$48:$K$50,2,0)),time*(1-(VLOOKUP($I$79,list!$J$48:$K$50,2,0))))</f>
        <v>0</v>
      </c>
      <c r="Q82" s="2219">
        <f t="shared" si="16"/>
        <v>0</v>
      </c>
    </row>
    <row r="83" spans="2:22" s="2188" customFormat="1" ht="13" x14ac:dyDescent="0.15">
      <c r="K83" s="2255">
        <f>$D$79*$G$79*'8. Fisheries and aquaculture'!X48*'8. Fisheries and aquaculture'!H48/1000</f>
        <v>0</v>
      </c>
      <c r="L83" s="2255">
        <f>$D$79*$G$79*'8. Fisheries and aquaculture'!Z48*'8. Fisheries and aquaculture'!J48/1000</f>
        <v>0</v>
      </c>
      <c r="M83" s="2255">
        <f>$D$79*$G$79*'8. Fisheries and aquaculture'!AB48*'8. Fisheries and aquaculture'!L48/1000</f>
        <v>0</v>
      </c>
      <c r="O83" s="2214">
        <f>MIN(K83,L83)*time_tot+ABS(L83-K83)*IF(L83&gt;K83,time_cap+time*(VLOOKUP($I$79,list!$J$48:$K$50,2,0)),time*(1-(VLOOKUP($I$79,list!$J$48:$K$50,2,0))))</f>
        <v>0</v>
      </c>
      <c r="P83" s="2214">
        <f>MIN(K83,M83)*time_tot+ABS(M83-K83)*IF(M83&gt;K83,time_cap+time*(VLOOKUP($I$79,list!$J$48:$K$50,2,0)),time*(1-(VLOOKUP($I$79,list!$J$48:$K$50,2,0))))</f>
        <v>0</v>
      </c>
      <c r="Q83" s="2219">
        <f t="shared" si="16"/>
        <v>0</v>
      </c>
    </row>
    <row r="84" spans="2:22" s="2188" customFormat="1" ht="13" x14ac:dyDescent="0.15">
      <c r="K84" s="2255">
        <f>$D$79*$G$79*'8. Fisheries and aquaculture'!X49*'8. Fisheries and aquaculture'!H49/1000</f>
        <v>0</v>
      </c>
      <c r="L84" s="2255">
        <f>$D$79*$G$79*'8. Fisheries and aquaculture'!Z49*'8. Fisheries and aquaculture'!J49/1000</f>
        <v>0</v>
      </c>
      <c r="M84" s="2255">
        <f>$D$79*$G$79*'8. Fisheries and aquaculture'!AB49*'8. Fisheries and aquaculture'!L49/1000</f>
        <v>0</v>
      </c>
      <c r="O84" s="2214">
        <f>MIN(K84,L84)*time_tot+ABS(L84-K84)*IF(L84&gt;K84,time_cap+time*(VLOOKUP($I$79,list!$J$48:$K$50,2,0)),time*(1-(VLOOKUP($I$79,list!$J$48:$K$50,2,0))))</f>
        <v>0</v>
      </c>
      <c r="P84" s="2214">
        <f>MIN(K84,M84)*time_tot+ABS(M84-K84)*IF(M84&gt;K84,time_cap+time*(VLOOKUP($I$79,list!$J$48:$K$50,2,0)),time*(1-(VLOOKUP($I$79,list!$J$48:$K$50,2,0))))</f>
        <v>0</v>
      </c>
      <c r="Q84" s="2219">
        <f t="shared" si="16"/>
        <v>0</v>
      </c>
    </row>
    <row r="85" spans="2:22" s="2188" customFormat="1" ht="13" x14ac:dyDescent="0.15">
      <c r="K85" s="2255">
        <f>$D$79*$G$79*'8. Fisheries and aquaculture'!X50*'8. Fisheries and aquaculture'!H50/1000</f>
        <v>0</v>
      </c>
      <c r="L85" s="2255">
        <f>$D$79*$G$79*'8. Fisheries and aquaculture'!Z50*'8. Fisheries and aquaculture'!J50/1000</f>
        <v>0</v>
      </c>
      <c r="M85" s="2255">
        <f>$D$79*$G$79*'8. Fisheries and aquaculture'!AB50*'8. Fisheries and aquaculture'!L50/1000</f>
        <v>0</v>
      </c>
      <c r="O85" s="2214">
        <f>MIN(K85,L85)*time_tot+ABS(L85-K85)*IF(L85&gt;K85,time_cap+time*(VLOOKUP($I$79,list!$J$48:$K$50,2,0)),time*(1-(VLOOKUP($I$79,list!$J$48:$K$50,2,0))))</f>
        <v>0</v>
      </c>
      <c r="P85" s="2214">
        <f>MIN(K85,M85)*time_tot+ABS(M85-K85)*IF(M85&gt;K85,time_cap+time*(VLOOKUP($I$79,list!$J$48:$K$50,2,0)),time*(1-(VLOOKUP($I$79,list!$J$48:$K$50,2,0))))</f>
        <v>0</v>
      </c>
      <c r="Q85" s="2219">
        <f t="shared" si="16"/>
        <v>0</v>
      </c>
    </row>
    <row r="86" spans="2:22" s="2188" customFormat="1" ht="13" x14ac:dyDescent="0.15">
      <c r="K86" s="2255">
        <f>$D$79*$G$79*'8. Fisheries and aquaculture'!X51*'8. Fisheries and aquaculture'!H51/1000</f>
        <v>0</v>
      </c>
      <c r="L86" s="2255">
        <f>$D$79*$G$79*'8. Fisheries and aquaculture'!Z51*'8. Fisheries and aquaculture'!J51/1000</f>
        <v>0</v>
      </c>
      <c r="M86" s="2255">
        <f>$D$79*$G$79*'8. Fisheries and aquaculture'!AB51*'8. Fisheries and aquaculture'!L51/1000</f>
        <v>0</v>
      </c>
      <c r="O86" s="2214">
        <f>MIN(K86,L86)*time_tot+ABS(L86-K86)*IF(L86&gt;K86,time_cap+time*(VLOOKUP($I$79,list!$J$48:$K$50,2,0)),time*(1-(VLOOKUP($I$79,list!$J$48:$K$50,2,0))))</f>
        <v>0</v>
      </c>
      <c r="P86" s="2214">
        <f>MIN(K86,M86)*time_tot+ABS(M86-K86)*IF(M86&gt;K86,time_cap+time*(VLOOKUP($I$79,list!$J$48:$K$50,2,0)),time*(1-(VLOOKUP($I$79,list!$J$48:$K$50,2,0))))</f>
        <v>0</v>
      </c>
      <c r="Q86" s="2219">
        <f t="shared" si="16"/>
        <v>0</v>
      </c>
    </row>
    <row r="87" spans="2:22" s="2188" customFormat="1" ht="13" x14ac:dyDescent="0.15"/>
    <row r="88" spans="2:22" s="2188" customFormat="1" ht="13" x14ac:dyDescent="0.15">
      <c r="O88" s="2211" t="s">
        <v>179</v>
      </c>
      <c r="P88" s="2212" t="s">
        <v>180</v>
      </c>
      <c r="Q88" s="2213" t="s">
        <v>376</v>
      </c>
    </row>
    <row r="89" spans="2:22" s="2188" customFormat="1" ht="13" x14ac:dyDescent="0.15">
      <c r="O89" s="2214">
        <f>SUM(O79:O86)</f>
        <v>0</v>
      </c>
      <c r="P89" s="2214">
        <f>SUM(P79:P86)</f>
        <v>0</v>
      </c>
      <c r="Q89" s="2219">
        <f>SUM(Q79:Q86)</f>
        <v>0</v>
      </c>
    </row>
    <row r="90" spans="2:22" s="2188" customFormat="1" ht="13" x14ac:dyDescent="0.15"/>
    <row r="91" spans="2:22" s="2188" customFormat="1" ht="13" x14ac:dyDescent="0.15">
      <c r="B91" s="2191" t="s">
        <v>2326</v>
      </c>
    </row>
    <row r="92" spans="2:22" s="2188" customFormat="1" ht="13" x14ac:dyDescent="0.15">
      <c r="B92" s="2188" t="s">
        <v>2322</v>
      </c>
      <c r="C92" s="2188" t="s">
        <v>2323</v>
      </c>
      <c r="F92" s="2188" t="s">
        <v>2327</v>
      </c>
      <c r="I92" s="2188" t="s">
        <v>2328</v>
      </c>
      <c r="K92" s="1607" t="s">
        <v>2310</v>
      </c>
      <c r="L92" s="1607"/>
      <c r="M92" s="1607"/>
      <c r="N92" s="1607"/>
      <c r="O92" s="1609" t="s">
        <v>2306</v>
      </c>
      <c r="P92" s="1607"/>
      <c r="Q92" s="1607"/>
      <c r="R92" s="4496"/>
      <c r="U92" s="2188" t="s">
        <v>2288</v>
      </c>
    </row>
    <row r="93" spans="2:22" s="2188" customFormat="1" ht="13" x14ac:dyDescent="0.15">
      <c r="C93" s="1661" t="s">
        <v>65</v>
      </c>
      <c r="D93" s="1661" t="s">
        <v>66</v>
      </c>
      <c r="F93" s="1661" t="str">
        <f>C93</f>
        <v>Default</v>
      </c>
      <c r="G93" s="1661" t="str">
        <f>D93</f>
        <v>Tier 2</v>
      </c>
      <c r="I93" s="2188" t="s">
        <v>2329</v>
      </c>
      <c r="K93" s="3111" t="s">
        <v>219</v>
      </c>
      <c r="L93" s="3668" t="s">
        <v>179</v>
      </c>
      <c r="M93" s="4497" t="s">
        <v>180</v>
      </c>
      <c r="N93" s="1607"/>
      <c r="O93" s="3668" t="s">
        <v>179</v>
      </c>
      <c r="P93" s="4497" t="s">
        <v>180</v>
      </c>
      <c r="Q93" s="4498" t="s">
        <v>376</v>
      </c>
      <c r="R93" s="4496"/>
      <c r="U93" s="2211" t="s">
        <v>179</v>
      </c>
      <c r="V93" s="2212" t="s">
        <v>180</v>
      </c>
    </row>
    <row r="94" spans="2:22" s="2188" customFormat="1" ht="13" x14ac:dyDescent="0.15">
      <c r="B94" s="2188" t="s">
        <v>2330</v>
      </c>
      <c r="C94" s="2254">
        <v>2.8</v>
      </c>
      <c r="D94" s="2256">
        <f>IF('8. Fisheries and aquaculture'!BV56="",'8. Fisheries and aquaculture'!BU56,'8. Fisheries and aquaculture'!BV56)</f>
        <v>2.8</v>
      </c>
      <c r="F94" s="2254">
        <v>60</v>
      </c>
      <c r="G94" s="2256">
        <f>IF('8. Fisheries and aquaculture'!CE56="",'8. Fisheries and aquaculture'!CC56,'8. Fisheries and aquaculture'!CE56)</f>
        <v>60</v>
      </c>
      <c r="I94" s="2258">
        <f>IFERROR(IF(C95="Please select",$D$39*$G$39*VLOOKUP(country_selected,Elec!$A$2:$F$252,6,)/1000,$D$39*$G$39*VLOOKUP($C$40,Elec!$A$2:$F$252,6)/1000),0)</f>
        <v>6.7490710425844688E-2</v>
      </c>
      <c r="K94" s="4499">
        <f>$I$94*'8. Fisheries and aquaculture'!X44*'8. Fisheries and aquaculture'!$H$57</f>
        <v>0</v>
      </c>
      <c r="L94" s="4499">
        <f>$I$94*'8. Fisheries and aquaculture'!Z44*'8. Fisheries and aquaculture'!$J$57</f>
        <v>0</v>
      </c>
      <c r="M94" s="4499">
        <f>$I$94*'8. Fisheries and aquaculture'!AB44*'8. Fisheries and aquaculture'!$L$57</f>
        <v>0</v>
      </c>
      <c r="N94" s="1607"/>
      <c r="O94" s="2204">
        <f>MIN(K94,L94)*time_tot+ABS(L94-K94)*IF(L94&gt;K94,time_cap+time*(VLOOKUP($I$79,list!$J$48:$K$50,2,0)),time*(1-(VLOOKUP($I$79,list!$J$48:$K$50,2,0))))</f>
        <v>0</v>
      </c>
      <c r="P94" s="2204">
        <f>MIN(K94,M94)*time_tot+ABS(M94-K94)*IF(M94&gt;K94,time_cap+time*(VLOOKUP($I$79,list!$J$48:$K$50,2,0)),time*(1-(VLOOKUP($I$79,list!$J$48:$K$50,2,0))))</f>
        <v>0</v>
      </c>
      <c r="Q94" s="4500">
        <f t="shared" ref="Q94:Q99" si="17">P94-O94</f>
        <v>0</v>
      </c>
      <c r="R94" s="4496"/>
      <c r="U94" s="2221">
        <f>MIN(L94,K94)*time+ABS(L94-K94)*IF(L94&gt;K94,time*(VLOOKUP(I79,list!$J$48:$K$50,2,0)),time*(1-(VLOOKUP(I79,list!$J$48:$K$50,2,0))))</f>
        <v>0</v>
      </c>
      <c r="V94" s="2221">
        <f>MIN(M94,K94)*time+ABS(M94-K94)*IF(M94&gt;K94,time*(VLOOKUP(I79,list!$J$48:$K$50,2,0)),time*(1-(VLOOKUP(I79,list!$J$48:$K$50,2,0))))</f>
        <v>0</v>
      </c>
    </row>
    <row r="95" spans="2:22" s="2188" customFormat="1" ht="13" x14ac:dyDescent="0.15">
      <c r="B95" s="2188" t="s">
        <v>2331</v>
      </c>
      <c r="C95" s="2188" t="str">
        <f>'8. Fisheries and aquaculture'!CC57</f>
        <v>Please select</v>
      </c>
      <c r="K95" s="4499">
        <f>$I$94*'8. Fisheries and aquaculture'!X45*'8. Fisheries and aquaculture'!$H$57</f>
        <v>0</v>
      </c>
      <c r="L95" s="4499">
        <f>$I$94*'8. Fisheries and aquaculture'!Z45*'8. Fisheries and aquaculture'!$J$57</f>
        <v>0</v>
      </c>
      <c r="M95" s="4499">
        <f>$I$94*'8. Fisheries and aquaculture'!AB45*'8. Fisheries and aquaculture'!$L$57</f>
        <v>0</v>
      </c>
      <c r="N95" s="1607"/>
      <c r="O95" s="2204">
        <f>MIN(K95,L95)*time_tot+ABS(L95-K95)*IF(L95&gt;K95,time_cap+time*(VLOOKUP($I$79,list!$J$48:$K$50,2,0)),time*(1-(VLOOKUP($I$79,list!$J$48:$K$50,2,0))))</f>
        <v>0</v>
      </c>
      <c r="P95" s="2204">
        <f>MIN(K95,M95)*time_tot+ABS(M95-K95)*IF(M95&gt;K95,time_cap+time*(VLOOKUP($I$79,list!$J$48:$K$50,2,0)),time*(1-(VLOOKUP($I$79,list!$J$48:$K$50,2,0))))</f>
        <v>0</v>
      </c>
      <c r="Q95" s="4500">
        <f t="shared" si="17"/>
        <v>0</v>
      </c>
      <c r="R95" s="4496"/>
    </row>
    <row r="96" spans="2:22" s="2188" customFormat="1" ht="13" x14ac:dyDescent="0.15">
      <c r="K96" s="4499">
        <f>$I$94*'8. Fisheries and aquaculture'!X46*'8. Fisheries and aquaculture'!$H$57</f>
        <v>0</v>
      </c>
      <c r="L96" s="4499">
        <f>$I$94*'8. Fisheries and aquaculture'!Z46*'8. Fisheries and aquaculture'!$J$57</f>
        <v>0</v>
      </c>
      <c r="M96" s="4499">
        <f>$I$94*'8. Fisheries and aquaculture'!AB46*'8. Fisheries and aquaculture'!$L$57</f>
        <v>0</v>
      </c>
      <c r="N96" s="1607"/>
      <c r="O96" s="2204">
        <f>MIN(K96,L96)*time_tot+ABS(L96-K96)*IF(L96&gt;K96,time_cap+time*(VLOOKUP($I$79,list!$J$48:$K$50,2,0)),time*(1-(VLOOKUP($I$79,list!$J$48:$K$50,2,0))))</f>
        <v>0</v>
      </c>
      <c r="P96" s="2204">
        <f>MIN(K96,M96)*time_tot+ABS(M96-K96)*IF(M96&gt;K96,time_cap+time*(VLOOKUP($I$79,list!$J$48:$K$50,2,0)),time*(1-(VLOOKUP($I$79,list!$J$48:$K$50,2,0))))</f>
        <v>0</v>
      </c>
      <c r="Q96" s="4500">
        <f t="shared" si="17"/>
        <v>0</v>
      </c>
      <c r="R96" s="4496"/>
    </row>
    <row r="97" spans="1:29" s="2188" customFormat="1" ht="13" x14ac:dyDescent="0.15">
      <c r="K97" s="4499">
        <f>$I$94*'8. Fisheries and aquaculture'!X47*'8. Fisheries and aquaculture'!$H$57</f>
        <v>0</v>
      </c>
      <c r="L97" s="4499">
        <f>$I$94*'8. Fisheries and aquaculture'!Z47*'8. Fisheries and aquaculture'!$J$57</f>
        <v>0</v>
      </c>
      <c r="M97" s="4499">
        <f>$I$94*'8. Fisheries and aquaculture'!AB47*'8. Fisheries and aquaculture'!$L$57</f>
        <v>0</v>
      </c>
      <c r="N97" s="1607"/>
      <c r="O97" s="2204">
        <f>MIN(K97,L97)*time_tot+ABS(L97-K97)*IF(L97&gt;K97,time_cap+time*(VLOOKUP($I$79,list!$J$48:$K$50,2,0)),time*(1-(VLOOKUP($I$79,list!$J$48:$K$50,2,0))))</f>
        <v>0</v>
      </c>
      <c r="P97" s="2204">
        <f>MIN(K97,M97)*time_tot+ABS(M97-K97)*IF(M97&gt;K97,time_cap+time*(VLOOKUP($I$79,list!$J$48:$K$50,2,0)),time*(1-(VLOOKUP($I$79,list!$J$48:$K$50,2,0))))</f>
        <v>0</v>
      </c>
      <c r="Q97" s="4500">
        <f t="shared" si="17"/>
        <v>0</v>
      </c>
      <c r="R97" s="4496"/>
    </row>
    <row r="98" spans="1:29" s="2188" customFormat="1" ht="13" x14ac:dyDescent="0.15">
      <c r="K98" s="4499">
        <f>$I$94*'8. Fisheries and aquaculture'!X48*'8. Fisheries and aquaculture'!$H$57</f>
        <v>0</v>
      </c>
      <c r="L98" s="4499">
        <f>$I$94*'8. Fisheries and aquaculture'!Z48*'8. Fisheries and aquaculture'!$J$57</f>
        <v>0</v>
      </c>
      <c r="M98" s="4499">
        <f>$I$94*'8. Fisheries and aquaculture'!AB48*'8. Fisheries and aquaculture'!$L$57</f>
        <v>0</v>
      </c>
      <c r="N98" s="1607"/>
      <c r="O98" s="2204">
        <f>MIN(K98,L98)*time_tot+ABS(L98-K98)*IF(L98&gt;K98,time_cap+time*(VLOOKUP($I$79,list!$J$48:$K$50,2,0)),time*(1-(VLOOKUP($I$79,list!$J$48:$K$50,2,0))))</f>
        <v>0</v>
      </c>
      <c r="P98" s="2204">
        <f>MIN(K98,M98)*time_tot+ABS(M98-K98)*IF(M98&gt;K98,time_cap+time*(VLOOKUP($I$79,list!$J$48:$K$50,2,0)),time*(1-(VLOOKUP($I$79,list!$J$48:$K$50,2,0))))</f>
        <v>0</v>
      </c>
      <c r="Q98" s="4500">
        <f t="shared" si="17"/>
        <v>0</v>
      </c>
      <c r="R98" s="4496"/>
    </row>
    <row r="99" spans="1:29" s="2188" customFormat="1" ht="13" x14ac:dyDescent="0.15">
      <c r="K99" s="4499">
        <f>$I$94*'8. Fisheries and aquaculture'!X49*'8. Fisheries and aquaculture'!$H$57</f>
        <v>0</v>
      </c>
      <c r="L99" s="4499">
        <f>$I$94*'8. Fisheries and aquaculture'!Z49*'8. Fisheries and aquaculture'!$J$57</f>
        <v>0</v>
      </c>
      <c r="M99" s="4499">
        <f>$I$94*'8. Fisheries and aquaculture'!AB49*'8. Fisheries and aquaculture'!$L$57</f>
        <v>0</v>
      </c>
      <c r="N99" s="1607"/>
      <c r="O99" s="2204">
        <f>MIN(K99,L99)*time_tot+ABS(L99-K99)*IF(L99&gt;K99,time_cap+time*(VLOOKUP($I$79,list!$J$48:$K$50,2,0)),time*(1-(VLOOKUP($I$79,list!$J$48:$K$50,2,0))))</f>
        <v>0</v>
      </c>
      <c r="P99" s="2204">
        <f>MIN(K99,M99)*time_tot+ABS(M99-K99)*IF(M99&gt;K99,time_cap+time*(VLOOKUP($I$79,list!$J$48:$K$50,2,0)),time*(1-(VLOOKUP($I$79,list!$J$48:$K$50,2,0))))</f>
        <v>0</v>
      </c>
      <c r="Q99" s="4500">
        <f t="shared" si="17"/>
        <v>0</v>
      </c>
      <c r="R99" s="4496"/>
    </row>
    <row r="100" spans="1:29" s="2188" customFormat="1" ht="13" x14ac:dyDescent="0.15">
      <c r="K100" s="1607"/>
      <c r="L100" s="1607"/>
      <c r="M100" s="1607"/>
      <c r="N100" s="1607"/>
      <c r="O100" s="1607"/>
      <c r="P100" s="1607"/>
      <c r="Q100" s="1607"/>
      <c r="R100" s="4496"/>
    </row>
    <row r="101" spans="1:29" s="2188" customFormat="1" ht="13" x14ac:dyDescent="0.15">
      <c r="O101" s="2211" t="s">
        <v>179</v>
      </c>
      <c r="P101" s="2212" t="s">
        <v>180</v>
      </c>
      <c r="Q101" s="2213" t="s">
        <v>376</v>
      </c>
    </row>
    <row r="102" spans="1:29" s="2188" customFormat="1" ht="13" x14ac:dyDescent="0.15">
      <c r="O102" s="2214">
        <f>SUM(O94:O99)</f>
        <v>0</v>
      </c>
      <c r="P102" s="2214">
        <f>SUM(P94:P99)</f>
        <v>0</v>
      </c>
      <c r="Q102" s="2219">
        <f>P102-O102</f>
        <v>0</v>
      </c>
    </row>
    <row r="103" spans="1:29" s="2188" customFormat="1" ht="13" x14ac:dyDescent="0.15"/>
    <row r="104" spans="1:29" s="2188" customFormat="1" ht="13" x14ac:dyDescent="0.15"/>
    <row r="105" spans="1:29" s="2188" customFormat="1" ht="13" x14ac:dyDescent="0.15">
      <c r="L105" s="2234"/>
      <c r="M105" s="2234"/>
      <c r="N105" s="2235" t="s">
        <v>2332</v>
      </c>
      <c r="O105" s="2236">
        <f>SUM(O68:O73,O89,O102)</f>
        <v>0</v>
      </c>
      <c r="P105" s="2236">
        <f>SUM(P68:P73,P89,P102)</f>
        <v>0</v>
      </c>
      <c r="Q105" s="2236">
        <f>SUM(Q68:Q73,Q89,Q102)</f>
        <v>0</v>
      </c>
    </row>
    <row r="106" spans="1:29" s="2188" customFormat="1" ht="13" x14ac:dyDescent="0.15"/>
    <row r="107" spans="1:29" s="2188" customFormat="1" ht="45" customHeight="1" x14ac:dyDescent="0.15">
      <c r="A107" s="2187"/>
      <c r="B107" s="2260" t="s">
        <v>2336</v>
      </c>
      <c r="C107" s="2187"/>
      <c r="D107" s="2187"/>
      <c r="E107" s="2187"/>
      <c r="F107" s="2187"/>
      <c r="G107" s="2187"/>
      <c r="H107" s="2187"/>
      <c r="I107" s="2187"/>
      <c r="J107" s="2187"/>
      <c r="K107" s="2187"/>
      <c r="L107" s="2187"/>
      <c r="M107" s="2187"/>
      <c r="N107" s="2187"/>
      <c r="O107" s="2187"/>
      <c r="P107" s="2187"/>
      <c r="Q107" s="2187"/>
      <c r="R107" s="2187"/>
      <c r="S107" s="2187"/>
      <c r="T107" s="2187"/>
      <c r="U107" s="2187"/>
      <c r="V107" s="2187"/>
      <c r="W107" s="2187"/>
      <c r="X107" s="2187"/>
      <c r="Y107" s="2187"/>
      <c r="Z107" s="2187"/>
      <c r="AA107" s="2187"/>
      <c r="AB107" s="2187"/>
      <c r="AC107" s="2187"/>
    </row>
    <row r="108" spans="1:29" s="2188" customFormat="1" ht="13" x14ac:dyDescent="0.15">
      <c r="D108" s="2189" t="s">
        <v>2337</v>
      </c>
      <c r="E108" s="2189"/>
    </row>
    <row r="109" spans="1:29" s="2188" customFormat="1" ht="13" x14ac:dyDescent="0.15">
      <c r="D109" s="2188" t="s">
        <v>2338</v>
      </c>
      <c r="G109" s="2189" t="s">
        <v>2339</v>
      </c>
      <c r="H109" s="2189"/>
      <c r="I109" s="2189"/>
      <c r="O109" s="2189" t="s">
        <v>1299</v>
      </c>
      <c r="P109" s="2190"/>
      <c r="Q109" s="2190"/>
      <c r="R109" s="2190"/>
      <c r="U109" s="2189" t="s">
        <v>860</v>
      </c>
      <c r="V109" s="2190"/>
      <c r="W109" s="2190"/>
      <c r="Z109" s="2189" t="s">
        <v>861</v>
      </c>
      <c r="AA109" s="2190"/>
      <c r="AB109" s="2190"/>
      <c r="AC109" s="2190"/>
    </row>
    <row r="110" spans="1:29" s="2188" customFormat="1" ht="13" x14ac:dyDescent="0.15">
      <c r="D110" s="1661" t="s">
        <v>65</v>
      </c>
      <c r="E110" s="1661" t="s">
        <v>66</v>
      </c>
      <c r="G110" s="1661" t="s">
        <v>65</v>
      </c>
      <c r="H110" s="1661" t="s">
        <v>66</v>
      </c>
      <c r="I110" s="2188" t="s">
        <v>2340</v>
      </c>
      <c r="O110" s="1661" t="s">
        <v>65</v>
      </c>
      <c r="P110" s="1661" t="s">
        <v>1303</v>
      </c>
      <c r="Q110" s="1661" t="s">
        <v>267</v>
      </c>
      <c r="R110" s="1661" t="s">
        <v>266</v>
      </c>
    </row>
    <row r="111" spans="1:29" s="2188" customFormat="1" ht="13" x14ac:dyDescent="0.15">
      <c r="D111" s="2380">
        <v>0</v>
      </c>
      <c r="E111" s="2216">
        <f>IF('8. Fisheries and aquaculture'!BS74="",'8. Fisheries and aquaculture'!BR74,'8. Fisheries and aquaculture'!BS74)</f>
        <v>1</v>
      </c>
      <c r="G111" s="2380">
        <v>1.6900000000000001E-3</v>
      </c>
      <c r="H111" s="2383">
        <f>IF('8. Fisheries and aquaculture'!BX74="",'8. Fisheries and aquaculture'!BW74,'8. Fisheries and aquaculture'!BX74)</f>
        <v>1.6900000000000001E-3</v>
      </c>
      <c r="I111" s="2389">
        <f t="shared" ref="I111:I116" si="18">H111*44/28*Nitrous</f>
        <v>0.70376428571428584</v>
      </c>
      <c r="O111" s="2386">
        <f>IF(Coastal!B115="Please select",0,INDEX(IPCC!$A$3204:$E$3215,MATCH(clim_moist,IPCC!$A$3204:$A$3215,0),MATCH(Coastal!$B115,IPCC!$A$3204:$E$3204,0)))</f>
        <v>30</v>
      </c>
      <c r="P111" s="2239">
        <f>IF('7.Coastal wetlands'!BU65="",'7.Coastal wetlands'!BT65,'7.Coastal wetlands'!BU65)</f>
        <v>30</v>
      </c>
      <c r="Q111" s="2215">
        <f>IF('7.Coastal wetlands'!BW65="",'7.Coastal wetlands'!BV65,'7.Coastal wetlands'!BW65)</f>
        <v>30</v>
      </c>
      <c r="R111" s="2216">
        <f>IF('7.Coastal wetlands'!BY65="",'7.Coastal wetlands'!BX65,'7.Coastal wetlands'!BY65)</f>
        <v>30</v>
      </c>
      <c r="U111" s="2192" t="s">
        <v>866</v>
      </c>
      <c r="V111" s="2193" t="s">
        <v>200</v>
      </c>
      <c r="W111" s="2193" t="s">
        <v>201</v>
      </c>
      <c r="Z111" s="2192" t="s">
        <v>866</v>
      </c>
      <c r="AA111" s="2193" t="s">
        <v>324</v>
      </c>
      <c r="AB111" s="2193" t="s">
        <v>867</v>
      </c>
      <c r="AC111" s="2194" t="s">
        <v>868</v>
      </c>
    </row>
    <row r="112" spans="1:29" s="2188" customFormat="1" ht="13" x14ac:dyDescent="0.15">
      <c r="D112" s="2381">
        <v>0</v>
      </c>
      <c r="E112" s="2224">
        <f>IF('8. Fisheries and aquaculture'!BS75="",'8. Fisheries and aquaculture'!BR75,'8. Fisheries and aquaculture'!BS75)</f>
        <v>1</v>
      </c>
      <c r="G112" s="2381">
        <v>1.6900000000000001E-3</v>
      </c>
      <c r="H112" s="2384">
        <f>IF('8. Fisheries and aquaculture'!BX75="",'8. Fisheries and aquaculture'!BW75,'8. Fisheries and aquaculture'!BX75)</f>
        <v>1.6900000000000001E-3</v>
      </c>
      <c r="I112" s="2390">
        <f t="shared" si="18"/>
        <v>0.70376428571428584</v>
      </c>
      <c r="O112" s="2387">
        <f>IF(Coastal!B116="Please select",0,INDEX(IPCC!$A$3204:$E$3215,MATCH(clim_moist,IPCC!$A$3204:$A$3215,0),MATCH(Coastal!$B116,IPCC!$A$3204:$E$3204,0)))</f>
        <v>30</v>
      </c>
      <c r="P112" s="2241">
        <f>IF('7.Coastal wetlands'!BU66="",'7.Coastal wetlands'!BT66,'7.Coastal wetlands'!BU66)</f>
        <v>30</v>
      </c>
      <c r="Q112" s="2223">
        <f>IF('7.Coastal wetlands'!BW66="",'7.Coastal wetlands'!BV66,'7.Coastal wetlands'!BW66)</f>
        <v>30</v>
      </c>
      <c r="R112" s="2224">
        <f>IF('7.Coastal wetlands'!BY66="",'7.Coastal wetlands'!BX66,'7.Coastal wetlands'!BY66)</f>
        <v>30</v>
      </c>
      <c r="U112" s="2203" t="s">
        <v>2341</v>
      </c>
      <c r="V112" s="2204">
        <f>SUM(O134:O139)</f>
        <v>0</v>
      </c>
      <c r="W112" s="2204">
        <f>SUM(P134:P139)</f>
        <v>0</v>
      </c>
      <c r="X112" s="2205">
        <f>W112-V112</f>
        <v>0</v>
      </c>
      <c r="Z112" s="2203" t="s">
        <v>2341</v>
      </c>
      <c r="AA112" s="2204">
        <f>SUM(Q134:Q139)</f>
        <v>0</v>
      </c>
      <c r="AB112" s="2204">
        <f>IF(time=0,0,SUM(V134:V139)-SUM(U134:U139))</f>
        <v>0</v>
      </c>
      <c r="AC112" s="2206">
        <f>AA112-AB112</f>
        <v>0</v>
      </c>
    </row>
    <row r="113" spans="1:29" s="2188" customFormat="1" ht="13" x14ac:dyDescent="0.15">
      <c r="D113" s="2381">
        <v>0</v>
      </c>
      <c r="E113" s="2224">
        <f>IF('8. Fisheries and aquaculture'!BS76="",'8. Fisheries and aquaculture'!BR76,'8. Fisheries and aquaculture'!BS76)</f>
        <v>1</v>
      </c>
      <c r="G113" s="2381">
        <v>1.6900000000000001E-3</v>
      </c>
      <c r="H113" s="2384">
        <f>IF('8. Fisheries and aquaculture'!BX76="",'8. Fisheries and aquaculture'!BW76,'8. Fisheries and aquaculture'!BX76)</f>
        <v>1.6900000000000001E-3</v>
      </c>
      <c r="I113" s="2390">
        <f t="shared" si="18"/>
        <v>0.70376428571428584</v>
      </c>
      <c r="O113" s="2387">
        <f>IF(Coastal!B117="Please select",0,INDEX(IPCC!$A$3204:$E$3215,MATCH(clim_moist,IPCC!$A$3204:$A$3215,0),MATCH(Coastal!$B117,IPCC!$A$3204:$E$3204,0)))</f>
        <v>30</v>
      </c>
      <c r="P113" s="2241">
        <f>IF('7.Coastal wetlands'!BU67="",'7.Coastal wetlands'!BT67,'7.Coastal wetlands'!BU67)</f>
        <v>30</v>
      </c>
      <c r="Q113" s="2223">
        <f>IF('7.Coastal wetlands'!BW67="",'7.Coastal wetlands'!BV67,'7.Coastal wetlands'!BW67)</f>
        <v>30</v>
      </c>
      <c r="R113" s="2224">
        <f>IF('7.Coastal wetlands'!BY67="",'7.Coastal wetlands'!BX67,'7.Coastal wetlands'!BY67)</f>
        <v>30</v>
      </c>
      <c r="U113" s="2203" t="s">
        <v>2342</v>
      </c>
      <c r="V113" s="2204">
        <f>SUM(O123:O128)</f>
        <v>241.03926785714287</v>
      </c>
      <c r="W113" s="2204">
        <f>SUM(P123:P128)</f>
        <v>434.57444642857155</v>
      </c>
      <c r="X113" s="2205"/>
      <c r="Z113" s="2203" t="s">
        <v>2342</v>
      </c>
      <c r="AA113" s="2204">
        <f>SUM(Q123:Q128)</f>
        <v>193.53517857142867</v>
      </c>
      <c r="AB113" s="2204">
        <f>IF(time=0,0,SUM(V123:V128)-SUM(U123:U128))</f>
        <v>38.707035714285738</v>
      </c>
      <c r="AC113" s="2206">
        <f>AA113-AB113</f>
        <v>154.82814285714295</v>
      </c>
    </row>
    <row r="114" spans="1:29" s="2188" customFormat="1" ht="13" x14ac:dyDescent="0.15">
      <c r="D114" s="2381">
        <v>0</v>
      </c>
      <c r="E114" s="2224">
        <f>IF('8. Fisheries and aquaculture'!BS77="",'8. Fisheries and aquaculture'!BR77,'8. Fisheries and aquaculture'!BS77)</f>
        <v>1</v>
      </c>
      <c r="G114" s="2381">
        <v>1.6900000000000001E-3</v>
      </c>
      <c r="H114" s="2384">
        <f>IF('8. Fisheries and aquaculture'!BX77="",'8. Fisheries and aquaculture'!BW77,'8. Fisheries and aquaculture'!BX77)</f>
        <v>1.6900000000000001E-3</v>
      </c>
      <c r="I114" s="2390">
        <f t="shared" si="18"/>
        <v>0.70376428571428584</v>
      </c>
      <c r="O114" s="2387">
        <f>IF(Coastal!B118="Please select",0,INDEX(IPCC!$A$3204:$E$3215,MATCH(clim_moist,IPCC!$A$3204:$A$3215,0),MATCH(Coastal!$B118,IPCC!$A$3204:$E$3204,0)))</f>
        <v>0</v>
      </c>
      <c r="P114" s="2241">
        <f>IF('7.Coastal wetlands'!BU68="",'7.Coastal wetlands'!BT68,'7.Coastal wetlands'!BU68)</f>
        <v>0</v>
      </c>
      <c r="Q114" s="2223">
        <f>IF('7.Coastal wetlands'!BW68="",'7.Coastal wetlands'!BV68,'7.Coastal wetlands'!BW68)</f>
        <v>0</v>
      </c>
      <c r="R114" s="2224">
        <f>IF('7.Coastal wetlands'!BY68="",'7.Coastal wetlands'!BX68,'7.Coastal wetlands'!BY68)</f>
        <v>0</v>
      </c>
      <c r="U114" s="2203"/>
      <c r="V114" s="2204">
        <v>0</v>
      </c>
      <c r="W114" s="2204">
        <v>0</v>
      </c>
      <c r="X114" s="2205"/>
      <c r="Z114" s="2203"/>
      <c r="AA114" s="2204"/>
      <c r="AB114" s="2204"/>
      <c r="AC114" s="2206"/>
    </row>
    <row r="115" spans="1:29" s="2188" customFormat="1" ht="13" x14ac:dyDescent="0.15">
      <c r="D115" s="2381">
        <v>0</v>
      </c>
      <c r="E115" s="2224">
        <f>IF('8. Fisheries and aquaculture'!BS78="",'8. Fisheries and aquaculture'!BR78,'8. Fisheries and aquaculture'!BS78)</f>
        <v>1</v>
      </c>
      <c r="G115" s="2381">
        <v>1.6900000000000001E-3</v>
      </c>
      <c r="H115" s="2384">
        <f>IF('8. Fisheries and aquaculture'!BX78="",'8. Fisheries and aquaculture'!BW78,'8. Fisheries and aquaculture'!BX78)</f>
        <v>1.6900000000000001E-3</v>
      </c>
      <c r="I115" s="2390">
        <f t="shared" si="18"/>
        <v>0.70376428571428584</v>
      </c>
      <c r="O115" s="2387">
        <f>IF(Coastal!B119="Please select",0,INDEX(IPCC!$A$3204:$E$3215,MATCH(clim_moist,IPCC!$A$3204:$A$3215,0),MATCH(Coastal!$B119,IPCC!$A$3204:$E$3204,0)))</f>
        <v>0</v>
      </c>
      <c r="P115" s="2241">
        <f>IF('7.Coastal wetlands'!BU69="",'7.Coastal wetlands'!BT69,'7.Coastal wetlands'!BU69)</f>
        <v>0</v>
      </c>
      <c r="Q115" s="2223">
        <f>IF('7.Coastal wetlands'!BW69="",'7.Coastal wetlands'!BV69,'7.Coastal wetlands'!BW69)</f>
        <v>0</v>
      </c>
      <c r="R115" s="2224">
        <f>IF('7.Coastal wetlands'!BY69="",'7.Coastal wetlands'!BX69,'7.Coastal wetlands'!BY69)</f>
        <v>0</v>
      </c>
      <c r="U115" s="2208" t="s">
        <v>871</v>
      </c>
      <c r="V115" s="2209">
        <f>SUM(V112:V114)</f>
        <v>241.03926785714287</v>
      </c>
      <c r="W115" s="2209">
        <f>SUM(W112:W114)</f>
        <v>434.57444642857155</v>
      </c>
      <c r="X115" s="2205">
        <f>W115-V115</f>
        <v>193.53517857142867</v>
      </c>
      <c r="Z115" s="2208" t="s">
        <v>871</v>
      </c>
      <c r="AA115" s="2210">
        <f>SUM(AA112:AA114)</f>
        <v>193.53517857142867</v>
      </c>
      <c r="AB115" s="2210">
        <f>SUM(AB112:AB114)</f>
        <v>38.707035714285738</v>
      </c>
      <c r="AC115" s="2210">
        <f>SUM(AC112:AC114)</f>
        <v>154.82814285714295</v>
      </c>
    </row>
    <row r="116" spans="1:29" s="2188" customFormat="1" ht="13" x14ac:dyDescent="0.15">
      <c r="D116" s="2382">
        <v>0</v>
      </c>
      <c r="E116" s="2230">
        <f>IF('8. Fisheries and aquaculture'!BS79="",'8. Fisheries and aquaculture'!BR79,'8. Fisheries and aquaculture'!BS79)</f>
        <v>1</v>
      </c>
      <c r="G116" s="2382">
        <v>1.6900000000000001E-3</v>
      </c>
      <c r="H116" s="2385">
        <f>IF('8. Fisheries and aquaculture'!BX79="",'8. Fisheries and aquaculture'!BW79,'8. Fisheries and aquaculture'!BX79)</f>
        <v>1.6900000000000001E-3</v>
      </c>
      <c r="I116" s="2391">
        <f t="shared" si="18"/>
        <v>0.70376428571428584</v>
      </c>
      <c r="O116" s="2388">
        <f>IF(Coastal!B120="Please select",0,INDEX(IPCC!$A$3204:$E$3215,MATCH(clim_moist,IPCC!$A$3204:$A$3215,0),MATCH(Coastal!$B120,IPCC!$A$3204:$E$3204,0)))</f>
        <v>0</v>
      </c>
      <c r="P116" s="2243">
        <f>IF('7.Coastal wetlands'!BU70="",'7.Coastal wetlands'!BT70,'7.Coastal wetlands'!BU70)</f>
        <v>0</v>
      </c>
      <c r="Q116" s="2229">
        <f>IF('7.Coastal wetlands'!BW70="",'7.Coastal wetlands'!BV70,'7.Coastal wetlands'!BW70)</f>
        <v>0</v>
      </c>
      <c r="R116" s="2230">
        <f>IF('7.Coastal wetlands'!BY70="",'7.Coastal wetlands'!BX70,'7.Coastal wetlands'!BY70)</f>
        <v>0</v>
      </c>
    </row>
    <row r="117" spans="1:29" s="2188" customFormat="1" ht="13" x14ac:dyDescent="0.15"/>
    <row r="118" spans="1:29" s="2188" customFormat="1" ht="26.75" customHeight="1" x14ac:dyDescent="0.15">
      <c r="A118" s="2373"/>
      <c r="B118" s="2373" t="s">
        <v>2343</v>
      </c>
      <c r="C118" s="2373"/>
      <c r="D118" s="2373"/>
      <c r="E118" s="2373"/>
      <c r="F118" s="2373"/>
      <c r="G118" s="2373"/>
      <c r="H118" s="2373"/>
      <c r="I118" s="2373"/>
      <c r="J118" s="2373"/>
      <c r="K118" s="2373"/>
      <c r="L118" s="2373"/>
      <c r="M118" s="2373"/>
      <c r="N118" s="2373"/>
      <c r="O118" s="2373"/>
      <c r="P118" s="2373"/>
      <c r="Q118" s="2373"/>
      <c r="R118" s="2373"/>
      <c r="S118" s="2373"/>
      <c r="T118" s="2373"/>
      <c r="U118" s="2373"/>
      <c r="V118" s="2373"/>
      <c r="W118" s="2373"/>
      <c r="X118" s="2373"/>
      <c r="Y118" s="2373"/>
      <c r="Z118" s="2373"/>
      <c r="AA118" s="2373"/>
      <c r="AB118" s="2373"/>
      <c r="AC118" s="2373"/>
    </row>
    <row r="119" spans="1:29" s="2188" customFormat="1" ht="13" x14ac:dyDescent="0.15"/>
    <row r="120" spans="1:29" s="2188" customFormat="1" ht="13" x14ac:dyDescent="0.15">
      <c r="K120" s="2189" t="s">
        <v>2343</v>
      </c>
      <c r="L120" s="2190"/>
      <c r="M120" s="2190"/>
      <c r="N120" s="2190"/>
      <c r="O120" s="2190"/>
      <c r="P120" s="2190"/>
      <c r="Q120" s="2190"/>
    </row>
    <row r="121" spans="1:29" s="2188" customFormat="1" ht="13" x14ac:dyDescent="0.15">
      <c r="D121" s="2190" t="s">
        <v>2344</v>
      </c>
      <c r="E121" s="2190"/>
      <c r="F121" s="2190"/>
      <c r="G121" s="2190"/>
      <c r="H121" s="2190"/>
      <c r="K121" s="2191" t="s">
        <v>2310</v>
      </c>
      <c r="O121" s="2191" t="s">
        <v>2306</v>
      </c>
      <c r="U121" s="2188" t="s">
        <v>2288</v>
      </c>
    </row>
    <row r="122" spans="1:29" s="2188" customFormat="1" ht="13" x14ac:dyDescent="0.15">
      <c r="B122" s="2191"/>
      <c r="C122" s="2191"/>
      <c r="D122" s="2188" t="s">
        <v>219</v>
      </c>
      <c r="E122" s="2188" t="s">
        <v>179</v>
      </c>
      <c r="F122" s="2188" t="s">
        <v>225</v>
      </c>
      <c r="G122" s="2188" t="s">
        <v>180</v>
      </c>
      <c r="H122" s="2188" t="s">
        <v>225</v>
      </c>
      <c r="K122" s="1661" t="s">
        <v>219</v>
      </c>
      <c r="L122" s="2211" t="s">
        <v>179</v>
      </c>
      <c r="M122" s="2212" t="s">
        <v>180</v>
      </c>
      <c r="O122" s="2211" t="s">
        <v>179</v>
      </c>
      <c r="P122" s="2212" t="s">
        <v>180</v>
      </c>
      <c r="Q122" s="2213" t="s">
        <v>376</v>
      </c>
      <c r="U122" s="2211" t="s">
        <v>179</v>
      </c>
      <c r="V122" s="2212" t="s">
        <v>180</v>
      </c>
    </row>
    <row r="123" spans="1:29" s="2188" customFormat="1" ht="13" x14ac:dyDescent="0.15">
      <c r="D123" s="2221">
        <f>'8. Fisheries and aquaculture'!X74</f>
        <v>22</v>
      </c>
      <c r="E123" s="2221">
        <f>'8. Fisheries and aquaculture'!Z74</f>
        <v>23</v>
      </c>
      <c r="F123" s="2221" t="str">
        <f>VLOOKUP('8. Fisheries and aquaculture'!AA74, list!$I$48:$J$50,2,FALSE )</f>
        <v>Linear</v>
      </c>
      <c r="G123" s="2221">
        <f>'8. Fisheries and aquaculture'!AB74</f>
        <v>45</v>
      </c>
      <c r="H123" s="2221" t="str">
        <f>VLOOKUP('8. Fisheries and aquaculture'!AC74, list!$I$48:$J$50,2,FALSE )</f>
        <v>Linear</v>
      </c>
      <c r="K123" s="2214">
        <f t="shared" ref="K123:L128" si="19">D123*$I111</f>
        <v>15.482814285714289</v>
      </c>
      <c r="L123" s="2214">
        <f t="shared" si="19"/>
        <v>16.186578571428573</v>
      </c>
      <c r="M123" s="2214">
        <f t="shared" ref="M123:M128" si="20">G123*$I111</f>
        <v>31.669392857142864</v>
      </c>
      <c r="O123" s="2214">
        <f>MIN(K123,L123)*time_tot+ABS(L123-K123)*IF(L123&gt;K123,time_cap+time*(VLOOKUP(F123,list!$J$48:$K$50,2,0)),time*(1-(VLOOKUP(F123,list!$J$48:$K$50,2,0))))</f>
        <v>241.03926785714287</v>
      </c>
      <c r="P123" s="2214">
        <f>MIN(K123,M123)*time_tot+ABS(M123-K123)*IF(M123&gt;K123,time_cap+time*(VLOOKUP(H123,list!$J$48:$K$50,2,0)),time*(1-(VLOOKUP(H123,list!$J$48:$K$50,2,0))))</f>
        <v>434.57444642857155</v>
      </c>
      <c r="Q123" s="2219">
        <f t="shared" ref="Q123:Q128" si="21">P123-O123</f>
        <v>193.53517857142867</v>
      </c>
      <c r="U123" s="2221">
        <f>IFERROR(MIN(L123,K123)*time+ABS(L123-K123)*IF(L123&gt;K123,time*(VLOOKUP(F123,list!$J$48:$K$50,2,0)),time*(1-(VLOOKUP(F123,list!$J$48:$K$50,2,0)))),0)</f>
        <v>79.173482142857154</v>
      </c>
      <c r="V123" s="2221">
        <f>IFERROR(MIN(M123,K123)*time+ABS(M123-K123)*IF(M123&gt;K123,time*(VLOOKUP(H123,list!$J$48:$K$50,2,0)),time*(1-(VLOOKUP(H123,list!$J$48:$K$50,2,0)))),0)</f>
        <v>117.88051785714289</v>
      </c>
    </row>
    <row r="124" spans="1:29" s="2188" customFormat="1" ht="13" x14ac:dyDescent="0.15">
      <c r="D124" s="2221">
        <f>'8. Fisheries and aquaculture'!X75</f>
        <v>0</v>
      </c>
      <c r="E124" s="2221">
        <f>'8. Fisheries and aquaculture'!Z75</f>
        <v>0</v>
      </c>
      <c r="F124" s="2221" t="str">
        <f>VLOOKUP('8. Fisheries and aquaculture'!AA75, list!$I$48:$J$50,2,FALSE )</f>
        <v>Linear</v>
      </c>
      <c r="G124" s="2221">
        <f>'8. Fisheries and aquaculture'!AB75</f>
        <v>0</v>
      </c>
      <c r="H124" s="2221" t="str">
        <f>VLOOKUP('8. Fisheries and aquaculture'!AC75, list!$I$48:$J$50,2,FALSE )</f>
        <v>Linear</v>
      </c>
      <c r="K124" s="2214">
        <f t="shared" si="19"/>
        <v>0</v>
      </c>
      <c r="L124" s="2214">
        <f t="shared" si="19"/>
        <v>0</v>
      </c>
      <c r="M124" s="2214">
        <f t="shared" si="20"/>
        <v>0</v>
      </c>
      <c r="O124" s="2214">
        <f>MIN(K124,L124)*time_tot+ABS(L124-K124)*IF(L124&gt;K124,time_cap+time*(VLOOKUP(F124,list!$J$48:$K$50,2,0)),time*(1-(VLOOKUP(F124,list!$J$48:$K$50,2,0))))</f>
        <v>0</v>
      </c>
      <c r="P124" s="2214">
        <f>MIN(K124,M124)*time_tot+ABS(M124-K124)*IF(M124&gt;K124,time_cap+time*(VLOOKUP(H124,list!$J$48:$K$50,2,0)),time*(1-(VLOOKUP(H124,list!$J$48:$K$50,2,0))))</f>
        <v>0</v>
      </c>
      <c r="Q124" s="2219">
        <f t="shared" si="21"/>
        <v>0</v>
      </c>
      <c r="U124" s="2221">
        <f>IFERROR(MIN(L124,K124)*time+ABS(L124-K124)*IF(L124&gt;K124,time*(VLOOKUP(F124,list!$J$48:$K$50,2,0)),time*(1-(VLOOKUP(F124,list!$J$48:$K$50,2,0)))),0)</f>
        <v>0</v>
      </c>
      <c r="V124" s="2221">
        <f>MIN(M124,K124)*time+ABS(M124-K124)*IF(M124&gt;K124,time*(VLOOKUP(H124,list!$J$48:$K$50,2,0)),time*(1-(VLOOKUP(H124,list!$J$48:$K$50,2,0))))</f>
        <v>0</v>
      </c>
    </row>
    <row r="125" spans="1:29" s="2188" customFormat="1" ht="13" x14ac:dyDescent="0.15">
      <c r="D125" s="2221">
        <f>'8. Fisheries and aquaculture'!X76</f>
        <v>0</v>
      </c>
      <c r="E125" s="2221">
        <f>'8. Fisheries and aquaculture'!Z76</f>
        <v>0</v>
      </c>
      <c r="F125" s="2221" t="str">
        <f>VLOOKUP('8. Fisheries and aquaculture'!AA76, list!$I$48:$J$50,2,FALSE )</f>
        <v>Linear</v>
      </c>
      <c r="G125" s="2221">
        <f>'8. Fisheries and aquaculture'!AB76</f>
        <v>0</v>
      </c>
      <c r="H125" s="2221" t="str">
        <f>VLOOKUP('8. Fisheries and aquaculture'!AC76, list!$I$48:$J$50,2,FALSE )</f>
        <v>Linear</v>
      </c>
      <c r="K125" s="2214">
        <f t="shared" si="19"/>
        <v>0</v>
      </c>
      <c r="L125" s="2214">
        <f t="shared" si="19"/>
        <v>0</v>
      </c>
      <c r="M125" s="2214">
        <f t="shared" si="20"/>
        <v>0</v>
      </c>
      <c r="O125" s="2214">
        <f>MIN(K125,L125)*time_tot+ABS(L125-K125)*IF(L125&gt;K125,time_cap+time*(VLOOKUP(F125,list!$J$48:$K$50,2,0)),time*(1-(VLOOKUP(F125,list!$J$48:$K$50,2,0))))</f>
        <v>0</v>
      </c>
      <c r="P125" s="2214">
        <f>MIN(K125,M125)*time_tot+ABS(M125-K125)*IF(M125&gt;K125,time_cap+time*(VLOOKUP(H125,list!$J$48:$K$50,2,0)),time*(1-(VLOOKUP(H125,list!$J$48:$K$50,2,0))))</f>
        <v>0</v>
      </c>
      <c r="Q125" s="2219">
        <f t="shared" si="21"/>
        <v>0</v>
      </c>
      <c r="U125" s="2221">
        <f>IFERROR(MIN(L125,K125)*time+ABS(L125-K125)*IF(L125&gt;K125,time*(VLOOKUP(F125,list!$J$48:$K$50,2,0)),time*(1-(VLOOKUP(F125,list!$J$48:$K$50,2,0)))),0)</f>
        <v>0</v>
      </c>
      <c r="V125" s="2221">
        <f>MIN(M125,K125)*time+ABS(M125-K125)*IF(M125&gt;K125,time*(VLOOKUP(H125,list!$J$48:$K$50,2,0)),time*(1-(VLOOKUP(H125,list!$J$48:$K$50,2,0))))</f>
        <v>0</v>
      </c>
    </row>
    <row r="126" spans="1:29" s="2188" customFormat="1" ht="13" x14ac:dyDescent="0.15">
      <c r="D126" s="2221">
        <f>'8. Fisheries and aquaculture'!X77</f>
        <v>0</v>
      </c>
      <c r="E126" s="2221">
        <f>'8. Fisheries and aquaculture'!Z77</f>
        <v>0</v>
      </c>
      <c r="F126" s="2221" t="str">
        <f>VLOOKUP('8. Fisheries and aquaculture'!AA77, list!$I$48:$J$50,2,FALSE )</f>
        <v>Linear</v>
      </c>
      <c r="G126" s="2221">
        <f>'8. Fisheries and aquaculture'!AB77</f>
        <v>0</v>
      </c>
      <c r="H126" s="2221" t="str">
        <f>VLOOKUP('8. Fisheries and aquaculture'!AC77, list!$I$48:$J$50,2,FALSE )</f>
        <v>Linear</v>
      </c>
      <c r="K126" s="2214">
        <f t="shared" si="19"/>
        <v>0</v>
      </c>
      <c r="L126" s="2214">
        <f t="shared" si="19"/>
        <v>0</v>
      </c>
      <c r="M126" s="2214">
        <f t="shared" si="20"/>
        <v>0</v>
      </c>
      <c r="O126" s="2214">
        <f>MIN(K126,L126)*time_tot+ABS(L126-K126)*IF(L126&gt;K126,time_cap+time*(VLOOKUP(F126,list!$J$48:$K$50,2,0)),time*(1-(VLOOKUP(F126,list!$J$48:$K$50,2,0))))</f>
        <v>0</v>
      </c>
      <c r="P126" s="2214">
        <f>MIN(K126,M126)*time_tot+ABS(M126-K126)*IF(M126&gt;K126,time_cap+time*(VLOOKUP(H126,list!$J$48:$K$50,2,0)),time*(1-(VLOOKUP(H126,list!$J$48:$K$50,2,0))))</f>
        <v>0</v>
      </c>
      <c r="Q126" s="2219">
        <f t="shared" si="21"/>
        <v>0</v>
      </c>
      <c r="U126" s="2221">
        <f>IFERROR(MIN(L126,K126)*time+ABS(L126-K126)*IF(L126&gt;K126,time*(VLOOKUP(F126,list!$J$48:$K$50,2,0)),time*(1-(VLOOKUP(F126,list!$J$48:$K$50,2,0)))),0)</f>
        <v>0</v>
      </c>
      <c r="V126" s="2221">
        <f>MIN(M126,K126)*time+ABS(M126-K126)*IF(M126&gt;K126,time*(VLOOKUP(H126,list!$J$48:$K$50,2,0)),time*(1-(VLOOKUP(H126,list!$J$48:$K$50,2,0))))</f>
        <v>0</v>
      </c>
    </row>
    <row r="127" spans="1:29" s="2188" customFormat="1" ht="13" x14ac:dyDescent="0.15">
      <c r="D127" s="2221">
        <f>'8. Fisheries and aquaculture'!X78</f>
        <v>0</v>
      </c>
      <c r="E127" s="2221">
        <f>'8. Fisheries and aquaculture'!Z78</f>
        <v>0</v>
      </c>
      <c r="F127" s="2221" t="str">
        <f>VLOOKUP('8. Fisheries and aquaculture'!AA78, list!$I$48:$J$50,2,FALSE )</f>
        <v>Linear</v>
      </c>
      <c r="G127" s="2221">
        <f>'8. Fisheries and aquaculture'!AB78</f>
        <v>0</v>
      </c>
      <c r="H127" s="2221" t="str">
        <f>VLOOKUP('8. Fisheries and aquaculture'!AC78, list!$I$48:$J$50,2,FALSE )</f>
        <v>Linear</v>
      </c>
      <c r="K127" s="2214">
        <f t="shared" si="19"/>
        <v>0</v>
      </c>
      <c r="L127" s="2214">
        <f t="shared" si="19"/>
        <v>0</v>
      </c>
      <c r="M127" s="2214">
        <f t="shared" si="20"/>
        <v>0</v>
      </c>
      <c r="O127" s="2214">
        <f>MIN(K127,L127)*time_tot+ABS(L127-K127)*IF(L127&gt;K127,time_cap+time*(VLOOKUP(F127,list!$J$48:$K$50,2,0)),time*(1-(VLOOKUP(F127,list!$J$48:$K$50,2,0))))</f>
        <v>0</v>
      </c>
      <c r="P127" s="2214">
        <f>MIN(K127,M127)*time_tot+ABS(M127-K127)*IF(M127&gt;K127,time_cap+time*(VLOOKUP(H127,list!$J$48:$K$50,2,0)),time*(1-(VLOOKUP(H127,list!$J$48:$K$50,2,0))))</f>
        <v>0</v>
      </c>
      <c r="Q127" s="2219">
        <f t="shared" si="21"/>
        <v>0</v>
      </c>
      <c r="U127" s="2221">
        <f>IFERROR(MIN(L127,K127)*time+ABS(L127-K127)*IF(L127&gt;K127,time*(VLOOKUP(F127,list!$J$48:$K$50,2,0)),time*(1-(VLOOKUP(F127,list!$J$48:$K$50,2,0)))),0)</f>
        <v>0</v>
      </c>
      <c r="V127" s="2221">
        <f>MIN(M127,K127)*time+ABS(M127-K127)*IF(M127&gt;K127,time*(VLOOKUP(H127,list!$J$48:$K$50,2,0)),time*(1-(VLOOKUP(H127,list!$J$48:$K$50,2,0))))</f>
        <v>0</v>
      </c>
    </row>
    <row r="128" spans="1:29" s="2188" customFormat="1" ht="13" x14ac:dyDescent="0.15">
      <c r="D128" s="2221">
        <f>'8. Fisheries and aquaculture'!X79</f>
        <v>0</v>
      </c>
      <c r="E128" s="2221">
        <f>'8. Fisheries and aquaculture'!Z79</f>
        <v>0</v>
      </c>
      <c r="F128" s="2221" t="str">
        <f>VLOOKUP('8. Fisheries and aquaculture'!AA79, list!$I$48:$J$50,2,FALSE )</f>
        <v>Linear</v>
      </c>
      <c r="G128" s="2221">
        <f>'8. Fisheries and aquaculture'!AB79</f>
        <v>0</v>
      </c>
      <c r="H128" s="2221" t="str">
        <f>VLOOKUP('8. Fisheries and aquaculture'!AC79, list!$I$48:$J$50,2,FALSE )</f>
        <v>Linear</v>
      </c>
      <c r="K128" s="2214">
        <f t="shared" si="19"/>
        <v>0</v>
      </c>
      <c r="L128" s="2214">
        <f t="shared" si="19"/>
        <v>0</v>
      </c>
      <c r="M128" s="2214">
        <f t="shared" si="20"/>
        <v>0</v>
      </c>
      <c r="O128" s="2214">
        <f>MIN(K128,L128)*time_tot+ABS(L128-K128)*IF(L128&gt;K128,time_cap+time*(VLOOKUP(F128,list!$J$48:$K$50,2,0)),time*(1-(VLOOKUP(F128,list!$J$48:$K$50,2,0))))</f>
        <v>0</v>
      </c>
      <c r="P128" s="2214">
        <f>MIN(K128,M128)*time_tot+ABS(M128-K128)*IF(M128&gt;K128,time_cap+time*(VLOOKUP(H128,list!$J$48:$K$50,2,0)),time*(1-(VLOOKUP(H128,list!$J$48:$K$50,2,0))))</f>
        <v>0</v>
      </c>
      <c r="Q128" s="2219">
        <f t="shared" si="21"/>
        <v>0</v>
      </c>
      <c r="U128" s="2221">
        <f>IFERROR(MIN(L128,K128)*time+ABS(L128-K128)*IF(L128&gt;K128,time*(VLOOKUP(F128,list!$J$48:$K$50,2,0)),time*(1-(VLOOKUP(F128,list!$J$48:$K$50,2,0)))),0)</f>
        <v>0</v>
      </c>
      <c r="V128" s="2221">
        <f>MIN(M128,K128)*time+ABS(M128-K128)*IF(M128&gt;K128,time*(VLOOKUP(H128,list!$J$48:$K$50,2,0)),time*(1-(VLOOKUP(H128,list!$J$48:$K$50,2,0))))</f>
        <v>0</v>
      </c>
    </row>
    <row r="129" spans="1:71" s="1087" customFormat="1" ht="18" customHeight="1" x14ac:dyDescent="0.2">
      <c r="J129" s="1058"/>
      <c r="K129" s="1058"/>
      <c r="L129" s="1058"/>
      <c r="M129" s="1058"/>
      <c r="N129" s="1058"/>
      <c r="AI129" s="1231"/>
      <c r="AJ129" s="973"/>
      <c r="AK129" s="973"/>
      <c r="AX129" s="973"/>
      <c r="AY129" s="973"/>
      <c r="AZ129" s="973"/>
      <c r="BA129" s="973"/>
      <c r="BB129" s="973"/>
      <c r="BC129" s="973"/>
      <c r="BD129" s="973"/>
      <c r="BE129" s="973"/>
      <c r="BF129" s="973"/>
      <c r="BG129" s="973"/>
      <c r="BJ129" s="1262"/>
      <c r="BK129" s="3464"/>
      <c r="BL129" s="3464"/>
      <c r="BM129" s="973"/>
      <c r="BN129" s="973"/>
      <c r="BO129" s="1262"/>
      <c r="BP129" s="3464"/>
      <c r="BQ129" s="3464"/>
      <c r="BR129" s="3464"/>
      <c r="BS129" s="973"/>
    </row>
    <row r="130" spans="1:71" s="973" customFormat="1" ht="21" x14ac:dyDescent="0.2">
      <c r="A130" s="2373"/>
      <c r="B130" s="2373" t="s">
        <v>2345</v>
      </c>
      <c r="C130" s="2373"/>
      <c r="D130" s="2373"/>
      <c r="E130" s="2373"/>
      <c r="F130" s="2373"/>
      <c r="G130" s="2373"/>
      <c r="H130" s="2373"/>
      <c r="I130" s="2373"/>
      <c r="J130" s="2373"/>
      <c r="K130" s="2373"/>
      <c r="L130" s="2373"/>
      <c r="M130" s="2373"/>
      <c r="N130" s="2373"/>
      <c r="O130" s="2373"/>
      <c r="P130" s="2373"/>
      <c r="Q130" s="2373"/>
      <c r="R130" s="2373"/>
      <c r="S130" s="2373"/>
      <c r="T130" s="2373"/>
      <c r="U130" s="2373"/>
      <c r="V130" s="2373"/>
      <c r="W130" s="2373"/>
      <c r="X130" s="2373"/>
      <c r="Y130" s="2373"/>
      <c r="Z130" s="2373"/>
      <c r="AA130" s="2373"/>
      <c r="AB130" s="2373"/>
      <c r="AC130" s="2373"/>
      <c r="AI130" s="1231"/>
    </row>
    <row r="131" spans="1:71" s="2188" customFormat="1" ht="13" x14ac:dyDescent="0.15"/>
    <row r="132" spans="1:71" s="2188" customFormat="1" ht="13" x14ac:dyDescent="0.15">
      <c r="D132" s="2189" t="s">
        <v>2346</v>
      </c>
      <c r="E132" s="2189"/>
      <c r="F132" s="2189"/>
      <c r="G132" s="2189"/>
      <c r="H132" s="2189"/>
      <c r="K132" s="2191" t="s">
        <v>2310</v>
      </c>
      <c r="O132" s="2191" t="s">
        <v>2306</v>
      </c>
      <c r="U132" s="2188" t="s">
        <v>2288</v>
      </c>
    </row>
    <row r="133" spans="1:71" s="2188" customFormat="1" ht="13" x14ac:dyDescent="0.15">
      <c r="B133" s="2191"/>
      <c r="C133" s="2191"/>
      <c r="D133" s="2188" t="str">
        <f>D122</f>
        <v>Start</v>
      </c>
      <c r="E133" s="2188" t="str">
        <f>E122</f>
        <v>Without</v>
      </c>
      <c r="F133" s="2188" t="str">
        <f>F122</f>
        <v>Rate</v>
      </c>
      <c r="G133" s="2188" t="str">
        <f>G122</f>
        <v>With</v>
      </c>
      <c r="H133" s="2188" t="str">
        <f>H122</f>
        <v>Rate</v>
      </c>
      <c r="K133" s="1661" t="s">
        <v>219</v>
      </c>
      <c r="L133" s="2211" t="s">
        <v>179</v>
      </c>
      <c r="M133" s="2212" t="s">
        <v>180</v>
      </c>
      <c r="O133" s="2211" t="s">
        <v>179</v>
      </c>
      <c r="P133" s="2212" t="s">
        <v>180</v>
      </c>
      <c r="Q133" s="2213" t="s">
        <v>376</v>
      </c>
      <c r="U133" s="2211" t="s">
        <v>179</v>
      </c>
      <c r="V133" s="2212" t="s">
        <v>180</v>
      </c>
    </row>
    <row r="134" spans="1:71" s="2188" customFormat="1" ht="13" x14ac:dyDescent="0.15">
      <c r="D134" s="2220">
        <f>'8. Fisheries and aquaculture'!O74</f>
        <v>0</v>
      </c>
      <c r="E134" s="2220">
        <f>'8. Fisheries and aquaculture'!P74</f>
        <v>0</v>
      </c>
      <c r="F134" s="2221" t="str">
        <f>VLOOKUP('8. Fisheries and aquaculture'!Q74, list!$I$48:$J$50,2,FALSE )</f>
        <v>Linear</v>
      </c>
      <c r="G134" s="2220">
        <f>'8. Fisheries and aquaculture'!R74</f>
        <v>0</v>
      </c>
      <c r="H134" s="2221" t="str">
        <f>VLOOKUP('8. Fisheries and aquaculture'!S74, list!$I$48:$J$50,2,FALSE )</f>
        <v>Linear</v>
      </c>
      <c r="K134" s="2214">
        <f t="shared" ref="K134:L139" si="22">D134*$E111</f>
        <v>0</v>
      </c>
      <c r="L134" s="2214">
        <f t="shared" si="22"/>
        <v>0</v>
      </c>
      <c r="M134" s="2214">
        <f t="shared" ref="M134:M139" si="23">G134*$E111</f>
        <v>0</v>
      </c>
      <c r="O134" s="2214">
        <f>MIN(K134,L134)*time_tot+ABS(L134-K134)*IF(L134&gt;K134,time_cap+time*(VLOOKUP(F134,list!$J$48:$K$50,2,0)),time*(1-(VLOOKUP(F134,list!$J$48:$K$50,2,0))))</f>
        <v>0</v>
      </c>
      <c r="P134" s="2214">
        <f>MIN(K134,M134)*time_tot+ABS(M134-K134)*IF(M134&gt;K134,time_cap+time*(VLOOKUP(H134,list!$J$48:$K$50,2,0)),time*(1-(VLOOKUP(H134,list!$J$48:$K$50,2,0))))</f>
        <v>0</v>
      </c>
      <c r="Q134" s="2219">
        <f t="shared" ref="Q134:Q139" si="24">P134-O134</f>
        <v>0</v>
      </c>
      <c r="U134" s="2221">
        <f>MIN(L134,K134)*time+ABS(L134-K134)*IF(L134&gt;K134,time*(VLOOKUP(F134,list!$J$48:$K$50,2,0)),time*(1-(VLOOKUP(F134,list!$J$48:$K$50,2,0))))</f>
        <v>0</v>
      </c>
      <c r="V134" s="2221">
        <f>MIN(M134,K134)*time+ABS(M134-K134)*IF(M134&gt;K134,time*(VLOOKUP(H134,list!$J$48:$K$50,2,0)),time*(1-(VLOOKUP(H134,list!$J$48:$K$50,2,0))))</f>
        <v>0</v>
      </c>
    </row>
    <row r="135" spans="1:71" s="2188" customFormat="1" ht="13" x14ac:dyDescent="0.15">
      <c r="D135" s="2220">
        <f>'8. Fisheries and aquaculture'!O75</f>
        <v>0</v>
      </c>
      <c r="E135" s="2220">
        <f>'8. Fisheries and aquaculture'!P75</f>
        <v>0</v>
      </c>
      <c r="F135" s="2221" t="str">
        <f>VLOOKUP('8. Fisheries and aquaculture'!Q75, list!$I$48:$J$50,2,FALSE )</f>
        <v>Linear</v>
      </c>
      <c r="G135" s="2220">
        <f>'8. Fisheries and aquaculture'!R75</f>
        <v>0</v>
      </c>
      <c r="H135" s="2221" t="str">
        <f>VLOOKUP('8. Fisheries and aquaculture'!S75, list!$I$48:$J$50,2,FALSE )</f>
        <v>Linear</v>
      </c>
      <c r="K135" s="2214">
        <f t="shared" si="22"/>
        <v>0</v>
      </c>
      <c r="L135" s="2214">
        <f t="shared" si="22"/>
        <v>0</v>
      </c>
      <c r="M135" s="2214">
        <f t="shared" si="23"/>
        <v>0</v>
      </c>
      <c r="O135" s="2214">
        <f>MIN(K135,L135)*time_tot+ABS(L135-K135)*IF(L135&gt;K135,time_cap+time*(VLOOKUP(F135,list!$J$48:$K$50,2,0)),time*(1-(VLOOKUP(F135,list!$J$48:$K$50,2,0))))</f>
        <v>0</v>
      </c>
      <c r="P135" s="2214">
        <f>MIN(K135,M135)*time_tot+ABS(M135-K135)*IF(M135&gt;K135,time_cap+time*(VLOOKUP(H135,list!$J$48:$K$50,2,0)),time*(1-(VLOOKUP(H135,list!$J$48:$K$50,2,0))))</f>
        <v>0</v>
      </c>
      <c r="Q135" s="2219">
        <f t="shared" si="24"/>
        <v>0</v>
      </c>
      <c r="U135" s="2221">
        <f>MIN(L135,K135)*time+ABS(L135-K135)*IF(L135&gt;K135,time*(VLOOKUP(F135,list!$J$48:$K$50,2,0)),time*(1-(VLOOKUP(F135,list!$J$48:$K$50,2,0))))</f>
        <v>0</v>
      </c>
      <c r="V135" s="2221">
        <f>MIN(M135,K135)*time+ABS(M135-K135)*IF(M135&gt;K135,time*(VLOOKUP(H135,list!$J$48:$K$50,2,0)),time*(1-(VLOOKUP(H135,list!$J$48:$K$50,2,0))))</f>
        <v>0</v>
      </c>
    </row>
    <row r="136" spans="1:71" s="2188" customFormat="1" ht="13" x14ac:dyDescent="0.15">
      <c r="D136" s="2220">
        <f>'8. Fisheries and aquaculture'!O76</f>
        <v>0</v>
      </c>
      <c r="E136" s="2220">
        <f>'8. Fisheries and aquaculture'!P76</f>
        <v>0</v>
      </c>
      <c r="F136" s="2221" t="str">
        <f>VLOOKUP('8. Fisheries and aquaculture'!Q76, list!$I$48:$J$50,2,FALSE )</f>
        <v>Linear</v>
      </c>
      <c r="G136" s="2220">
        <f>'8. Fisheries and aquaculture'!R76</f>
        <v>0</v>
      </c>
      <c r="H136" s="2221" t="str">
        <f>VLOOKUP('8. Fisheries and aquaculture'!S76, list!$I$48:$J$50,2,FALSE )</f>
        <v>Linear</v>
      </c>
      <c r="K136" s="2214">
        <f t="shared" si="22"/>
        <v>0</v>
      </c>
      <c r="L136" s="2214">
        <f t="shared" si="22"/>
        <v>0</v>
      </c>
      <c r="M136" s="2214">
        <f t="shared" si="23"/>
        <v>0</v>
      </c>
      <c r="O136" s="2214">
        <f>MIN(K136,L136)*time_tot+ABS(L136-K136)*IF(L136&gt;K136,time_cap+time*(VLOOKUP(F136,list!$J$48:$K$50,2,0)),time*(1-(VLOOKUP(F136,list!$J$48:$K$50,2,0))))</f>
        <v>0</v>
      </c>
      <c r="P136" s="2214">
        <f>MIN(K136,M136)*time_tot+ABS(M136-K136)*IF(M136&gt;K136,time_cap+time*(VLOOKUP(H136,list!$J$48:$K$50,2,0)),time*(1-(VLOOKUP(H136,list!$J$48:$K$50,2,0))))</f>
        <v>0</v>
      </c>
      <c r="Q136" s="2219">
        <f t="shared" si="24"/>
        <v>0</v>
      </c>
      <c r="U136" s="2221">
        <f>MIN(L136,K136)*time+ABS(L136-K136)*IF(L136&gt;K136,time*(VLOOKUP(F136,list!$J$48:$K$50,2,0)),time*(1-(VLOOKUP(F136,list!$J$48:$K$50,2,0))))</f>
        <v>0</v>
      </c>
      <c r="V136" s="2221">
        <f>MIN(M136,K136)*time+ABS(M136-K136)*IF(M136&gt;K136,time*(VLOOKUP(H136,list!$J$48:$K$50,2,0)),time*(1-(VLOOKUP(H136,list!$J$48:$K$50,2,0))))</f>
        <v>0</v>
      </c>
    </row>
    <row r="137" spans="1:71" s="2188" customFormat="1" ht="13" x14ac:dyDescent="0.15">
      <c r="D137" s="2220">
        <f>'8. Fisheries and aquaculture'!O77</f>
        <v>0</v>
      </c>
      <c r="E137" s="2220">
        <f>'8. Fisheries and aquaculture'!P77</f>
        <v>0</v>
      </c>
      <c r="F137" s="2221" t="str">
        <f>VLOOKUP('8. Fisheries and aquaculture'!Q77, list!$I$48:$J$50,2,FALSE )</f>
        <v>Linear</v>
      </c>
      <c r="G137" s="2220">
        <f>'8. Fisheries and aquaculture'!R77</f>
        <v>0</v>
      </c>
      <c r="H137" s="2221" t="str">
        <f>VLOOKUP('8. Fisheries and aquaculture'!S77, list!$I$48:$J$50,2,FALSE )</f>
        <v>Linear</v>
      </c>
      <c r="K137" s="2214">
        <f t="shared" si="22"/>
        <v>0</v>
      </c>
      <c r="L137" s="2214">
        <f t="shared" si="22"/>
        <v>0</v>
      </c>
      <c r="M137" s="2214">
        <f t="shared" si="23"/>
        <v>0</v>
      </c>
      <c r="O137" s="2214">
        <f>MIN(K137,L137)*time_tot+ABS(L137-K137)*IF(L137&gt;K137,time_cap+time*(VLOOKUP(F137,list!$J$48:$K$50,2,0)),time*(1-(VLOOKUP(F137,list!$J$48:$K$50,2,0))))</f>
        <v>0</v>
      </c>
      <c r="P137" s="2214">
        <f>MIN(K137,M137)*time_tot+ABS(M137-K137)*IF(M137&gt;K137,time_cap+time*(VLOOKUP(H137,list!$J$48:$K$50,2,0)),time*(1-(VLOOKUP(H137,list!$J$48:$K$50,2,0))))</f>
        <v>0</v>
      </c>
      <c r="Q137" s="2219">
        <f t="shared" si="24"/>
        <v>0</v>
      </c>
      <c r="U137" s="2221">
        <f>MIN(L137,K137)*time+ABS(L137-K137)*IF(L137&gt;K137,time*(VLOOKUP(F137,list!$J$48:$K$50,2,0)),time*(1-(VLOOKUP(F137,list!$J$48:$K$50,2,0))))</f>
        <v>0</v>
      </c>
      <c r="V137" s="2221">
        <f>MIN(M137,K137)*time+ABS(M137-K137)*IF(M137&gt;K137,time*(VLOOKUP(H137,list!$J$48:$K$50,2,0)),time*(1-(VLOOKUP(H137,list!$J$48:$K$50,2,0))))</f>
        <v>0</v>
      </c>
    </row>
    <row r="138" spans="1:71" s="2188" customFormat="1" ht="13" x14ac:dyDescent="0.15">
      <c r="D138" s="2220">
        <f>'8. Fisheries and aquaculture'!O78</f>
        <v>0</v>
      </c>
      <c r="E138" s="2220">
        <f>'8. Fisheries and aquaculture'!P78</f>
        <v>0</v>
      </c>
      <c r="F138" s="2221" t="str">
        <f>VLOOKUP('8. Fisheries and aquaculture'!Q78, list!$I$48:$J$50,2,FALSE )</f>
        <v>Linear</v>
      </c>
      <c r="G138" s="2220">
        <f>'8. Fisheries and aquaculture'!R78</f>
        <v>0</v>
      </c>
      <c r="H138" s="2221" t="str">
        <f>VLOOKUP('8. Fisheries and aquaculture'!S78, list!$I$48:$J$50,2,FALSE )</f>
        <v>Linear</v>
      </c>
      <c r="K138" s="2214">
        <f t="shared" si="22"/>
        <v>0</v>
      </c>
      <c r="L138" s="2214">
        <f t="shared" si="22"/>
        <v>0</v>
      </c>
      <c r="M138" s="2214">
        <f t="shared" si="23"/>
        <v>0</v>
      </c>
      <c r="O138" s="2214">
        <f>MIN(K138,L138)*time_tot+ABS(L138-K138)*IF(L138&gt;K138,time_cap+time*(VLOOKUP(F138,list!$J$48:$K$50,2,0)),time*(1-(VLOOKUP(F138,list!$J$48:$K$50,2,0))))</f>
        <v>0</v>
      </c>
      <c r="P138" s="2214">
        <f>MIN(K138,M138)*time_tot+ABS(M138-K138)*IF(M138&gt;K138,time_cap+time*(VLOOKUP(H138,list!$J$48:$K$50,2,0)),time*(1-(VLOOKUP(H138,list!$J$48:$K$50,2,0))))</f>
        <v>0</v>
      </c>
      <c r="Q138" s="2219">
        <f t="shared" si="24"/>
        <v>0</v>
      </c>
      <c r="U138" s="2221">
        <f>MIN(L138,K138)*time+ABS(L138-K138)*IF(L138&gt;K138,time*(VLOOKUP(F138,list!$J$48:$K$50,2,0)),time*(1-(VLOOKUP(F138,list!$J$48:$K$50,2,0))))</f>
        <v>0</v>
      </c>
      <c r="V138" s="2221">
        <f>MIN(M138,K138)*time+ABS(M138-K138)*IF(M138&gt;K138,time*(VLOOKUP(H138,list!$J$48:$K$50,2,0)),time*(1-(VLOOKUP(H138,list!$J$48:$K$50,2,0))))</f>
        <v>0</v>
      </c>
    </row>
    <row r="139" spans="1:71" s="2188" customFormat="1" ht="13" x14ac:dyDescent="0.15">
      <c r="D139" s="2220">
        <f>'8. Fisheries and aquaculture'!O79</f>
        <v>0</v>
      </c>
      <c r="E139" s="2220">
        <f>'8. Fisheries and aquaculture'!P79</f>
        <v>0</v>
      </c>
      <c r="F139" s="2221" t="str">
        <f>VLOOKUP('8. Fisheries and aquaculture'!Q79, list!$I$48:$J$50,2,FALSE )</f>
        <v>Linear</v>
      </c>
      <c r="G139" s="2220">
        <f>'8. Fisheries and aquaculture'!R79</f>
        <v>0</v>
      </c>
      <c r="H139" s="2221" t="str">
        <f>VLOOKUP('8. Fisheries and aquaculture'!S79, list!$I$48:$J$50,2,FALSE )</f>
        <v>Linear</v>
      </c>
      <c r="K139" s="2214">
        <f t="shared" si="22"/>
        <v>0</v>
      </c>
      <c r="L139" s="2214">
        <f t="shared" si="22"/>
        <v>0</v>
      </c>
      <c r="M139" s="2214">
        <f t="shared" si="23"/>
        <v>0</v>
      </c>
      <c r="O139" s="2214">
        <f>MIN(K139,L139)*time_tot+ABS(L139-K139)*IF(L139&gt;K139,time_cap+time*(VLOOKUP(F139,list!$J$48:$K$50,2,0)),time*(1-(VLOOKUP(F139,list!$J$48:$K$50,2,0))))</f>
        <v>0</v>
      </c>
      <c r="P139" s="2214">
        <f>MIN(K139,M139)*time_tot+ABS(M139-K139)*IF(M139&gt;K139,time_cap+time*(VLOOKUP(H139,list!$J$48:$K$50,2,0)),time*(1-(VLOOKUP(H139,list!$J$48:$K$50,2,0))))</f>
        <v>0</v>
      </c>
      <c r="Q139" s="2219">
        <f t="shared" si="24"/>
        <v>0</v>
      </c>
      <c r="U139" s="2221">
        <f>MIN(L139,K139)*time+ABS(L139-K139)*IF(L139&gt;K139,time*(VLOOKUP(F139,list!$J$48:$K$50,2,0)),time*(1-(VLOOKUP(F139,list!$J$48:$K$50,2,0))))</f>
        <v>0</v>
      </c>
      <c r="V139" s="2221">
        <f>MIN(M139,K139)*time+ABS(M139-K139)*IF(M139&gt;K139,time*(VLOOKUP(H139,list!$J$48:$K$50,2,0)),time*(1-(VLOOKUP(H139,list!$J$48:$K$50,2,0))))</f>
        <v>0</v>
      </c>
    </row>
    <row r="140" spans="1:71" s="2188" customFormat="1" ht="13" x14ac:dyDescent="0.15"/>
    <row r="141" spans="1:71" s="2188" customFormat="1" ht="13" x14ac:dyDescent="0.15"/>
    <row r="142" spans="1:71" s="2188" customFormat="1" ht="13" x14ac:dyDescent="0.15">
      <c r="L142" s="2234"/>
      <c r="M142" s="2234"/>
      <c r="N142" s="2235" t="s">
        <v>2347</v>
      </c>
      <c r="O142" s="2236">
        <f>SUM(O123:O128,Coastal!O115:O120,O134:O139)</f>
        <v>1889.5392678571429</v>
      </c>
      <c r="P142" s="2236">
        <f>SUM(P123:P128,Coastal!P115:P120,P134:P139)</f>
        <v>5705.5744464285717</v>
      </c>
      <c r="Q142" s="2236">
        <f>SUM(Q123:Q128,Coastal!Q115:Q120,Q134:Q139)</f>
        <v>3816.0351785714288</v>
      </c>
    </row>
  </sheetData>
  <pageMargins left="0.7" right="0.7" top="0.75" bottom="0.75" header="0.3" footer="0.3"/>
</worksheet>
</file>

<file path=xl/worksheets/sheet2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AQ43"/>
  <sheetViews>
    <sheetView zoomScale="70" zoomScaleNormal="70" workbookViewId="0">
      <selection activeCell="O27" sqref="O27"/>
    </sheetView>
  </sheetViews>
  <sheetFormatPr baseColWidth="10" defaultColWidth="9.33203125" defaultRowHeight="15" x14ac:dyDescent="0.2"/>
  <cols>
    <col min="1" max="1" width="31.5" style="284" customWidth="1"/>
    <col min="2" max="16384" width="9.33203125" style="284"/>
  </cols>
  <sheetData>
    <row r="1" spans="1:43" x14ac:dyDescent="0.2">
      <c r="A1" s="875" t="s">
        <v>2383</v>
      </c>
      <c r="D1" s="875" t="s">
        <v>2384</v>
      </c>
    </row>
    <row r="2" spans="1:43" x14ac:dyDescent="0.2">
      <c r="A2" s="875"/>
      <c r="P2" s="3272"/>
      <c r="Q2" s="3272"/>
      <c r="R2" s="3272"/>
      <c r="S2" s="3272"/>
    </row>
    <row r="3" spans="1:43" x14ac:dyDescent="0.2">
      <c r="A3" s="875" t="s">
        <v>2385</v>
      </c>
      <c r="C3" s="2805" t="s">
        <v>2386</v>
      </c>
      <c r="P3" s="3272"/>
      <c r="Q3" s="3272"/>
      <c r="R3" s="3272"/>
      <c r="S3" s="3272"/>
    </row>
    <row r="4" spans="1:43" x14ac:dyDescent="0.2">
      <c r="A4" s="875" t="s">
        <v>2387</v>
      </c>
      <c r="W4" s="875" t="s">
        <v>2387</v>
      </c>
      <c r="AP4" s="4578" t="s">
        <v>2388</v>
      </c>
      <c r="AQ4" s="4578"/>
    </row>
    <row r="5" spans="1:43" ht="33" customHeight="1" x14ac:dyDescent="0.2">
      <c r="W5" s="2184" t="s">
        <v>57</v>
      </c>
      <c r="X5" s="4579" t="s">
        <v>1688</v>
      </c>
      <c r="Y5" s="4579"/>
      <c r="Z5" s="4580" t="s">
        <v>2389</v>
      </c>
      <c r="AA5" s="4580"/>
      <c r="AB5" s="4579" t="s">
        <v>1695</v>
      </c>
      <c r="AC5" s="4579"/>
      <c r="AD5" s="4579" t="s">
        <v>2390</v>
      </c>
      <c r="AE5" s="4579"/>
      <c r="AF5" s="4579" t="s">
        <v>2391</v>
      </c>
      <c r="AG5" s="4579"/>
      <c r="AH5" s="4579" t="s">
        <v>1702</v>
      </c>
      <c r="AI5" s="4579"/>
      <c r="AJ5" s="4579" t="s">
        <v>1705</v>
      </c>
      <c r="AK5" s="4579"/>
      <c r="AL5" s="4579" t="s">
        <v>2392</v>
      </c>
      <c r="AM5" s="4579"/>
      <c r="AN5" s="4579" t="s">
        <v>2393</v>
      </c>
      <c r="AO5" s="4579"/>
      <c r="AP5" s="4579" t="s">
        <v>1706</v>
      </c>
      <c r="AQ5" s="4579"/>
    </row>
    <row r="6" spans="1:43" ht="29" x14ac:dyDescent="0.2">
      <c r="A6" s="4328" t="s">
        <v>57</v>
      </c>
      <c r="B6" s="4329" t="s">
        <v>1688</v>
      </c>
      <c r="C6" s="4328" t="s">
        <v>2389</v>
      </c>
      <c r="D6" s="4328" t="s">
        <v>1695</v>
      </c>
      <c r="E6" s="4328" t="s">
        <v>2390</v>
      </c>
      <c r="F6" s="4328" t="s">
        <v>2391</v>
      </c>
      <c r="G6" s="4328" t="s">
        <v>1702</v>
      </c>
      <c r="H6" s="4328" t="s">
        <v>1705</v>
      </c>
      <c r="I6" s="4328" t="s">
        <v>2392</v>
      </c>
      <c r="J6" s="4328" t="s">
        <v>2393</v>
      </c>
      <c r="K6" s="4331" t="s">
        <v>1706</v>
      </c>
      <c r="W6" s="2183" t="s">
        <v>57</v>
      </c>
      <c r="X6" s="2179" t="s">
        <v>2394</v>
      </c>
      <c r="Y6" s="2179" t="s">
        <v>2395</v>
      </c>
      <c r="Z6" s="2179" t="s">
        <v>2394</v>
      </c>
      <c r="AA6" s="2179" t="s">
        <v>2395</v>
      </c>
      <c r="AB6" s="2179" t="s">
        <v>2394</v>
      </c>
      <c r="AC6" s="2179" t="s">
        <v>2395</v>
      </c>
      <c r="AD6" s="2179" t="s">
        <v>2394</v>
      </c>
      <c r="AE6" s="2179" t="s">
        <v>2395</v>
      </c>
      <c r="AF6" s="2179" t="s">
        <v>2394</v>
      </c>
      <c r="AG6" s="2179" t="s">
        <v>2395</v>
      </c>
      <c r="AH6" s="2179" t="s">
        <v>2394</v>
      </c>
      <c r="AI6" s="2179" t="s">
        <v>2395</v>
      </c>
      <c r="AJ6" s="2179" t="s">
        <v>2394</v>
      </c>
      <c r="AK6" s="2179" t="s">
        <v>2395</v>
      </c>
      <c r="AL6" s="2179" t="s">
        <v>2396</v>
      </c>
      <c r="AM6" s="2179" t="s">
        <v>2395</v>
      </c>
      <c r="AN6" s="2179" t="s">
        <v>2394</v>
      </c>
      <c r="AO6" s="2179" t="s">
        <v>2395</v>
      </c>
      <c r="AP6" s="2179" t="s">
        <v>2394</v>
      </c>
      <c r="AQ6" s="2179" t="s">
        <v>2397</v>
      </c>
    </row>
    <row r="7" spans="1:43" x14ac:dyDescent="0.2">
      <c r="A7" s="2176" t="s">
        <v>2398</v>
      </c>
      <c r="B7" s="2927">
        <f t="shared" ref="B7:B30" si="0">Y7</f>
        <v>0</v>
      </c>
      <c r="C7" s="2927">
        <f t="shared" ref="C7:C29" si="1">AA7</f>
        <v>2162</v>
      </c>
      <c r="D7" s="2927">
        <f t="shared" ref="D7:D29" si="2">AC7</f>
        <v>0</v>
      </c>
      <c r="E7" s="2927">
        <f t="shared" ref="E7:E29" si="3">AE7</f>
        <v>0</v>
      </c>
      <c r="F7" s="2927">
        <f t="shared" ref="F7:F29" si="4">AG7</f>
        <v>484</v>
      </c>
      <c r="G7" s="2927">
        <f t="shared" ref="G7:G29" si="5">AI7</f>
        <v>0</v>
      </c>
      <c r="H7" s="2927">
        <f t="shared" ref="H7:H29" si="6">AK7</f>
        <v>0</v>
      </c>
      <c r="I7" s="2927">
        <f t="shared" ref="I7:I29" si="7">AM7</f>
        <v>839</v>
      </c>
      <c r="J7" s="2927">
        <f t="shared" ref="J7:J29" si="8">AO7</f>
        <v>0</v>
      </c>
      <c r="K7" s="4330">
        <f t="shared" ref="K7:K29" si="9">AQ7</f>
        <v>790.58333333333337</v>
      </c>
      <c r="W7" s="2176" t="s">
        <v>2398</v>
      </c>
      <c r="X7" s="682"/>
      <c r="Y7" s="2177"/>
      <c r="Z7" s="682">
        <v>1</v>
      </c>
      <c r="AA7" s="2177">
        <v>2162</v>
      </c>
      <c r="AB7" s="682"/>
      <c r="AC7" s="2177"/>
      <c r="AD7" s="682"/>
      <c r="AE7" s="2177"/>
      <c r="AF7" s="682">
        <v>7</v>
      </c>
      <c r="AG7" s="2177">
        <v>484</v>
      </c>
      <c r="AH7" s="682"/>
      <c r="AI7" s="2177"/>
      <c r="AJ7" s="682"/>
      <c r="AK7" s="2177"/>
      <c r="AL7" s="682">
        <v>16</v>
      </c>
      <c r="AM7" s="2177">
        <v>839</v>
      </c>
      <c r="AN7" s="2177"/>
      <c r="AO7" s="2177"/>
      <c r="AP7" s="2178">
        <f>X7+Z7+AB7+AD7+AF7+AH7+AJ7+AL7+AN7</f>
        <v>24</v>
      </c>
      <c r="AQ7" s="2178">
        <f>(Y7*X7+AA7*Z7+AC7*AB7+AE7*AD7+AG7*AF7+AI7*AH7+AK7*AJ7+AM7*AL7+AO7*AN7)/AP7</f>
        <v>790.58333333333337</v>
      </c>
    </row>
    <row r="8" spans="1:43" x14ac:dyDescent="0.2">
      <c r="A8" s="2176" t="s">
        <v>2399</v>
      </c>
      <c r="B8" s="2927">
        <f t="shared" si="0"/>
        <v>0</v>
      </c>
      <c r="C8" s="2927">
        <f t="shared" si="1"/>
        <v>0</v>
      </c>
      <c r="D8" s="2927">
        <f t="shared" si="2"/>
        <v>0</v>
      </c>
      <c r="E8" s="2927">
        <f t="shared" si="3"/>
        <v>0</v>
      </c>
      <c r="F8" s="2927">
        <f t="shared" si="4"/>
        <v>1430</v>
      </c>
      <c r="G8" s="2927">
        <f t="shared" si="5"/>
        <v>0</v>
      </c>
      <c r="H8" s="2927">
        <f t="shared" si="6"/>
        <v>835</v>
      </c>
      <c r="I8" s="2927">
        <f t="shared" si="7"/>
        <v>430</v>
      </c>
      <c r="J8" s="2927">
        <f t="shared" si="8"/>
        <v>0</v>
      </c>
      <c r="K8" s="4330">
        <f t="shared" si="9"/>
        <v>787.30769230769226</v>
      </c>
      <c r="W8" s="2176" t="s">
        <v>2399</v>
      </c>
      <c r="X8" s="682"/>
      <c r="Y8" s="2177"/>
      <c r="Z8" s="682"/>
      <c r="AA8" s="2177"/>
      <c r="AB8" s="682"/>
      <c r="AC8" s="2177"/>
      <c r="AD8" s="682"/>
      <c r="AE8" s="2177"/>
      <c r="AF8" s="682">
        <v>1</v>
      </c>
      <c r="AG8" s="2177">
        <v>1430</v>
      </c>
      <c r="AH8" s="2177"/>
      <c r="AI8" s="2177"/>
      <c r="AJ8" s="682">
        <v>9</v>
      </c>
      <c r="AK8" s="2177">
        <v>835</v>
      </c>
      <c r="AL8" s="682">
        <v>3</v>
      </c>
      <c r="AM8" s="2177">
        <v>430</v>
      </c>
      <c r="AN8" s="2177"/>
      <c r="AO8" s="2177"/>
      <c r="AP8" s="2178">
        <f t="shared" ref="AP8:AP29" si="10">X8+Z8+AB8+AD8+AF8+AH8+AJ8+AL8+AN8</f>
        <v>13</v>
      </c>
      <c r="AQ8" s="2178">
        <f t="shared" ref="AQ8:AQ29" si="11">(Y8*X8+AA8*Z8+AC8*AB8+AE8*AD8+AG8*AF8+AI8*AH8+AK8*AJ8+AM8*AL8+AO8*AN8)/AP8</f>
        <v>787.30769230769226</v>
      </c>
    </row>
    <row r="9" spans="1:43" x14ac:dyDescent="0.2">
      <c r="A9" s="2176" t="s">
        <v>2400</v>
      </c>
      <c r="B9" s="2927">
        <f t="shared" si="0"/>
        <v>490</v>
      </c>
      <c r="C9" s="2927">
        <f t="shared" si="1"/>
        <v>511</v>
      </c>
      <c r="D9" s="2927">
        <f t="shared" si="2"/>
        <v>702</v>
      </c>
      <c r="E9" s="2927">
        <f t="shared" si="3"/>
        <v>138</v>
      </c>
      <c r="F9" s="2927">
        <f t="shared" si="4"/>
        <v>0</v>
      </c>
      <c r="G9" s="2927">
        <f t="shared" si="5"/>
        <v>512</v>
      </c>
      <c r="H9" s="2927">
        <f t="shared" si="6"/>
        <v>0</v>
      </c>
      <c r="I9" s="2927">
        <f t="shared" si="7"/>
        <v>436</v>
      </c>
      <c r="J9" s="2927">
        <f t="shared" si="8"/>
        <v>0</v>
      </c>
      <c r="K9" s="4330">
        <f t="shared" si="9"/>
        <v>463.4153846153846</v>
      </c>
      <c r="W9" s="2176" t="s">
        <v>2400</v>
      </c>
      <c r="X9" s="682">
        <v>75</v>
      </c>
      <c r="Y9" s="2177">
        <v>490</v>
      </c>
      <c r="Z9" s="682">
        <v>38</v>
      </c>
      <c r="AA9" s="2177">
        <v>511</v>
      </c>
      <c r="AB9" s="682">
        <v>40</v>
      </c>
      <c r="AC9" s="2177">
        <v>702</v>
      </c>
      <c r="AD9" s="682">
        <v>38</v>
      </c>
      <c r="AE9" s="2177">
        <v>138</v>
      </c>
      <c r="AF9" s="682"/>
      <c r="AG9" s="2177"/>
      <c r="AH9" s="2177">
        <v>12</v>
      </c>
      <c r="AI9" s="2177">
        <v>512</v>
      </c>
      <c r="AJ9" s="682"/>
      <c r="AK9" s="2177"/>
      <c r="AL9" s="682">
        <v>57</v>
      </c>
      <c r="AM9" s="2177">
        <v>436</v>
      </c>
      <c r="AN9" s="2177"/>
      <c r="AO9" s="2177"/>
      <c r="AP9" s="2178">
        <f t="shared" si="10"/>
        <v>260</v>
      </c>
      <c r="AQ9" s="2178">
        <f>(Y9*X9+AA9*Z9+AC9*AB9+AE9*AD9+AG9*AF9+AI9*AH9+AK9*AJ9+AM9*AL9+AO9*AN9)/AP9</f>
        <v>463.4153846153846</v>
      </c>
    </row>
    <row r="10" spans="1:43" x14ac:dyDescent="0.2">
      <c r="A10" s="2176" t="s">
        <v>2401</v>
      </c>
      <c r="B10" s="2927">
        <f t="shared" si="0"/>
        <v>2903</v>
      </c>
      <c r="C10" s="2927">
        <f t="shared" si="1"/>
        <v>502</v>
      </c>
      <c r="D10" s="2927">
        <f t="shared" si="2"/>
        <v>570</v>
      </c>
      <c r="E10" s="2927">
        <f t="shared" si="3"/>
        <v>982</v>
      </c>
      <c r="F10" s="2927">
        <f t="shared" si="4"/>
        <v>0</v>
      </c>
      <c r="G10" s="2927">
        <f t="shared" si="5"/>
        <v>694</v>
      </c>
      <c r="H10" s="2927">
        <f t="shared" si="6"/>
        <v>0</v>
      </c>
      <c r="I10" s="2927">
        <f t="shared" si="7"/>
        <v>1094</v>
      </c>
      <c r="J10" s="2927">
        <f t="shared" si="8"/>
        <v>0</v>
      </c>
      <c r="K10" s="4330">
        <f t="shared" si="9"/>
        <v>1822.3552631578948</v>
      </c>
      <c r="W10" s="2176" t="s">
        <v>2401</v>
      </c>
      <c r="X10" s="682">
        <v>35</v>
      </c>
      <c r="Y10" s="2177">
        <v>2903</v>
      </c>
      <c r="Z10" s="682">
        <v>6</v>
      </c>
      <c r="AA10" s="2177">
        <v>502</v>
      </c>
      <c r="AB10" s="682">
        <v>2</v>
      </c>
      <c r="AC10" s="2177">
        <v>570</v>
      </c>
      <c r="AD10" s="682">
        <v>5</v>
      </c>
      <c r="AE10" s="2177">
        <v>982</v>
      </c>
      <c r="AF10" s="682"/>
      <c r="AG10" s="2177"/>
      <c r="AH10" s="2177">
        <v>7</v>
      </c>
      <c r="AI10" s="2177">
        <v>694</v>
      </c>
      <c r="AJ10" s="682"/>
      <c r="AK10" s="2177"/>
      <c r="AL10" s="682">
        <v>21</v>
      </c>
      <c r="AM10" s="2177">
        <v>1094</v>
      </c>
      <c r="AN10" s="2177"/>
      <c r="AO10" s="2177"/>
      <c r="AP10" s="2178">
        <f t="shared" si="10"/>
        <v>76</v>
      </c>
      <c r="AQ10" s="2178">
        <f t="shared" si="11"/>
        <v>1822.3552631578948</v>
      </c>
    </row>
    <row r="11" spans="1:43" x14ac:dyDescent="0.2">
      <c r="A11" s="2176" t="s">
        <v>2402</v>
      </c>
      <c r="B11" s="2927">
        <f t="shared" si="0"/>
        <v>91</v>
      </c>
      <c r="C11" s="2927">
        <f t="shared" si="1"/>
        <v>602</v>
      </c>
      <c r="D11" s="2927">
        <f t="shared" si="2"/>
        <v>0</v>
      </c>
      <c r="E11" s="2927">
        <f t="shared" si="3"/>
        <v>118</v>
      </c>
      <c r="F11" s="2927">
        <f t="shared" si="4"/>
        <v>559</v>
      </c>
      <c r="G11" s="2927">
        <f t="shared" si="5"/>
        <v>68</v>
      </c>
      <c r="H11" s="2927">
        <f t="shared" si="6"/>
        <v>0</v>
      </c>
      <c r="I11" s="2927">
        <f t="shared" si="7"/>
        <v>287</v>
      </c>
      <c r="J11" s="2927">
        <f t="shared" si="8"/>
        <v>146</v>
      </c>
      <c r="K11" s="4330">
        <f t="shared" si="9"/>
        <v>145.27745664739885</v>
      </c>
      <c r="W11" s="2176" t="s">
        <v>2402</v>
      </c>
      <c r="X11" s="682">
        <v>3</v>
      </c>
      <c r="Y11" s="2177">
        <v>91</v>
      </c>
      <c r="Z11" s="682">
        <v>1</v>
      </c>
      <c r="AA11" s="2177">
        <v>602</v>
      </c>
      <c r="AB11" s="682"/>
      <c r="AC11" s="2177"/>
      <c r="AD11" s="682">
        <v>19</v>
      </c>
      <c r="AE11" s="2177">
        <v>118</v>
      </c>
      <c r="AF11" s="682">
        <v>1</v>
      </c>
      <c r="AG11" s="2177">
        <v>559</v>
      </c>
      <c r="AH11" s="682">
        <v>96</v>
      </c>
      <c r="AI11" s="2177">
        <v>68</v>
      </c>
      <c r="AJ11" s="682"/>
      <c r="AK11" s="2177"/>
      <c r="AL11" s="682">
        <v>51</v>
      </c>
      <c r="AM11" s="2177">
        <v>287</v>
      </c>
      <c r="AN11" s="2177">
        <v>2</v>
      </c>
      <c r="AO11" s="2177">
        <v>146</v>
      </c>
      <c r="AP11" s="2178">
        <f t="shared" si="10"/>
        <v>173</v>
      </c>
      <c r="AQ11" s="2178">
        <f t="shared" si="11"/>
        <v>145.27745664739885</v>
      </c>
    </row>
    <row r="12" spans="1:43" x14ac:dyDescent="0.2">
      <c r="A12" s="2176" t="s">
        <v>2403</v>
      </c>
      <c r="B12" s="2927">
        <f t="shared" si="0"/>
        <v>492</v>
      </c>
      <c r="C12" s="2927">
        <f t="shared" si="1"/>
        <v>496</v>
      </c>
      <c r="D12" s="2927">
        <f t="shared" si="2"/>
        <v>1836</v>
      </c>
      <c r="E12" s="2927">
        <f t="shared" si="3"/>
        <v>489</v>
      </c>
      <c r="F12" s="2927">
        <f t="shared" si="4"/>
        <v>0</v>
      </c>
      <c r="G12" s="2927">
        <f t="shared" si="5"/>
        <v>434</v>
      </c>
      <c r="H12" s="2927">
        <f t="shared" si="6"/>
        <v>445</v>
      </c>
      <c r="I12" s="2927">
        <f t="shared" si="7"/>
        <v>497</v>
      </c>
      <c r="J12" s="2927">
        <f t="shared" si="8"/>
        <v>0</v>
      </c>
      <c r="K12" s="4330">
        <f t="shared" si="9"/>
        <v>641.46987951807228</v>
      </c>
      <c r="W12" s="2176" t="s">
        <v>2403</v>
      </c>
      <c r="X12" s="682">
        <v>18</v>
      </c>
      <c r="Y12" s="2177">
        <v>492</v>
      </c>
      <c r="Z12" s="682">
        <v>2</v>
      </c>
      <c r="AA12" s="2177">
        <v>496</v>
      </c>
      <c r="AB12" s="682">
        <v>10</v>
      </c>
      <c r="AC12" s="2177">
        <v>1836</v>
      </c>
      <c r="AD12" s="682">
        <v>23</v>
      </c>
      <c r="AE12" s="2177">
        <v>489</v>
      </c>
      <c r="AF12" s="682"/>
      <c r="AG12" s="2177"/>
      <c r="AH12" s="2177">
        <v>17</v>
      </c>
      <c r="AI12" s="2177">
        <v>434</v>
      </c>
      <c r="AJ12" s="682">
        <v>1</v>
      </c>
      <c r="AK12" s="2177">
        <v>445</v>
      </c>
      <c r="AL12" s="682">
        <v>12</v>
      </c>
      <c r="AM12" s="2177">
        <v>497</v>
      </c>
      <c r="AN12" s="2177"/>
      <c r="AO12" s="2177"/>
      <c r="AP12" s="2178">
        <f t="shared" si="10"/>
        <v>83</v>
      </c>
      <c r="AQ12" s="2178">
        <f t="shared" si="11"/>
        <v>641.46987951807228</v>
      </c>
    </row>
    <row r="13" spans="1:43" x14ac:dyDescent="0.2">
      <c r="A13" s="2176" t="s">
        <v>2404</v>
      </c>
      <c r="B13" s="2927">
        <f t="shared" si="0"/>
        <v>0</v>
      </c>
      <c r="C13" s="2927">
        <f t="shared" si="1"/>
        <v>0</v>
      </c>
      <c r="D13" s="2927">
        <f t="shared" si="2"/>
        <v>0</v>
      </c>
      <c r="E13" s="2927">
        <f t="shared" si="3"/>
        <v>121</v>
      </c>
      <c r="F13" s="2927">
        <f t="shared" si="4"/>
        <v>0</v>
      </c>
      <c r="G13" s="2927">
        <f t="shared" si="5"/>
        <v>0</v>
      </c>
      <c r="H13" s="2927">
        <f t="shared" si="6"/>
        <v>0</v>
      </c>
      <c r="I13" s="2927">
        <f t="shared" si="7"/>
        <v>0</v>
      </c>
      <c r="J13" s="2927">
        <f t="shared" si="8"/>
        <v>0</v>
      </c>
      <c r="K13" s="4330">
        <f t="shared" si="9"/>
        <v>121</v>
      </c>
      <c r="W13" s="2176" t="s">
        <v>2404</v>
      </c>
      <c r="X13" s="682"/>
      <c r="Y13" s="2177"/>
      <c r="Z13" s="682"/>
      <c r="AA13" s="2177"/>
      <c r="AB13" s="682"/>
      <c r="AC13" s="2177"/>
      <c r="AD13" s="682">
        <v>7</v>
      </c>
      <c r="AE13" s="2177">
        <v>121</v>
      </c>
      <c r="AF13" s="682"/>
      <c r="AG13" s="2177"/>
      <c r="AH13" s="2177"/>
      <c r="AI13" s="2177"/>
      <c r="AJ13" s="682"/>
      <c r="AK13" s="2177"/>
      <c r="AL13" s="682"/>
      <c r="AM13" s="2177"/>
      <c r="AN13" s="2177"/>
      <c r="AO13" s="2177"/>
      <c r="AP13" s="2178">
        <f t="shared" si="10"/>
        <v>7</v>
      </c>
      <c r="AQ13" s="2178">
        <f t="shared" si="11"/>
        <v>121</v>
      </c>
    </row>
    <row r="14" spans="1:43" x14ac:dyDescent="0.2">
      <c r="A14" s="2176" t="s">
        <v>2405</v>
      </c>
      <c r="B14" s="2927">
        <f t="shared" si="0"/>
        <v>5200</v>
      </c>
      <c r="C14" s="2927">
        <f t="shared" si="1"/>
        <v>0</v>
      </c>
      <c r="D14" s="2927">
        <f t="shared" si="2"/>
        <v>0</v>
      </c>
      <c r="E14" s="2927">
        <f t="shared" si="3"/>
        <v>1667</v>
      </c>
      <c r="F14" s="2927">
        <f t="shared" si="4"/>
        <v>3564</v>
      </c>
      <c r="G14" s="2927">
        <f t="shared" si="5"/>
        <v>0</v>
      </c>
      <c r="H14" s="2927">
        <f t="shared" si="6"/>
        <v>0</v>
      </c>
      <c r="I14" s="2927">
        <f t="shared" si="7"/>
        <v>1028</v>
      </c>
      <c r="J14" s="2927">
        <f t="shared" si="8"/>
        <v>0</v>
      </c>
      <c r="K14" s="4330">
        <f t="shared" si="9"/>
        <v>3937.2592592592591</v>
      </c>
      <c r="W14" s="2176" t="s">
        <v>2405</v>
      </c>
      <c r="X14" s="682">
        <v>27</v>
      </c>
      <c r="Y14" s="2177">
        <v>5200</v>
      </c>
      <c r="Z14" s="682"/>
      <c r="AA14" s="2177"/>
      <c r="AB14" s="682"/>
      <c r="AC14" s="2177"/>
      <c r="AD14" s="682">
        <v>2</v>
      </c>
      <c r="AE14" s="2177">
        <v>1667</v>
      </c>
      <c r="AF14" s="682">
        <v>48</v>
      </c>
      <c r="AG14" s="2177">
        <v>3564</v>
      </c>
      <c r="AH14" s="2177"/>
      <c r="AI14" s="2177"/>
      <c r="AJ14" s="682"/>
      <c r="AK14" s="2177"/>
      <c r="AL14" s="682">
        <v>4</v>
      </c>
      <c r="AM14" s="2177">
        <v>1028</v>
      </c>
      <c r="AN14" s="2177"/>
      <c r="AO14" s="2177"/>
      <c r="AP14" s="2178">
        <f t="shared" si="10"/>
        <v>81</v>
      </c>
      <c r="AQ14" s="2178">
        <f t="shared" si="11"/>
        <v>3937.2592592592591</v>
      </c>
    </row>
    <row r="15" spans="1:43" x14ac:dyDescent="0.2">
      <c r="A15" s="2176" t="s">
        <v>2406</v>
      </c>
      <c r="B15" s="2927">
        <f t="shared" si="0"/>
        <v>922</v>
      </c>
      <c r="C15" s="2927">
        <f t="shared" si="1"/>
        <v>0</v>
      </c>
      <c r="D15" s="2927">
        <f t="shared" si="2"/>
        <v>322</v>
      </c>
      <c r="E15" s="2927">
        <f t="shared" si="3"/>
        <v>167</v>
      </c>
      <c r="F15" s="2927">
        <f t="shared" si="4"/>
        <v>0</v>
      </c>
      <c r="G15" s="2927">
        <f t="shared" si="5"/>
        <v>39</v>
      </c>
      <c r="H15" s="2927">
        <f t="shared" si="6"/>
        <v>0</v>
      </c>
      <c r="I15" s="2927">
        <f t="shared" si="7"/>
        <v>106</v>
      </c>
      <c r="J15" s="2927">
        <f t="shared" si="8"/>
        <v>0</v>
      </c>
      <c r="K15" s="4330">
        <f t="shared" si="9"/>
        <v>207.97435897435898</v>
      </c>
      <c r="W15" s="2176" t="s">
        <v>2406</v>
      </c>
      <c r="X15" s="682">
        <v>5</v>
      </c>
      <c r="Y15" s="2177">
        <v>922</v>
      </c>
      <c r="Z15" s="682"/>
      <c r="AA15" s="2177"/>
      <c r="AB15" s="682">
        <v>2</v>
      </c>
      <c r="AC15" s="2177">
        <v>322</v>
      </c>
      <c r="AD15" s="682">
        <v>11</v>
      </c>
      <c r="AE15" s="2177">
        <v>167</v>
      </c>
      <c r="AF15" s="682"/>
      <c r="AG15" s="2177"/>
      <c r="AH15" s="2177">
        <v>18</v>
      </c>
      <c r="AI15" s="2177">
        <v>39</v>
      </c>
      <c r="AJ15" s="682"/>
      <c r="AK15" s="2177"/>
      <c r="AL15" s="682">
        <v>3</v>
      </c>
      <c r="AM15" s="2177">
        <v>106</v>
      </c>
      <c r="AN15" s="2177"/>
      <c r="AO15" s="2177"/>
      <c r="AP15" s="2178">
        <f t="shared" si="10"/>
        <v>39</v>
      </c>
      <c r="AQ15" s="2178">
        <f t="shared" si="11"/>
        <v>207.97435897435898</v>
      </c>
    </row>
    <row r="16" spans="1:43" x14ac:dyDescent="0.2">
      <c r="A16" s="2176" t="s">
        <v>2407</v>
      </c>
      <c r="B16" s="2927">
        <f t="shared" si="0"/>
        <v>0</v>
      </c>
      <c r="C16" s="2927">
        <f t="shared" si="1"/>
        <v>0</v>
      </c>
      <c r="D16" s="2927">
        <f t="shared" si="2"/>
        <v>0</v>
      </c>
      <c r="E16" s="2927">
        <f t="shared" si="3"/>
        <v>0</v>
      </c>
      <c r="F16" s="2927">
        <f t="shared" si="4"/>
        <v>0</v>
      </c>
      <c r="G16" s="2927">
        <f t="shared" si="5"/>
        <v>0</v>
      </c>
      <c r="H16" s="2927">
        <f t="shared" si="6"/>
        <v>0</v>
      </c>
      <c r="I16" s="2927">
        <f t="shared" si="7"/>
        <v>2230</v>
      </c>
      <c r="J16" s="2927">
        <f t="shared" si="8"/>
        <v>0</v>
      </c>
      <c r="K16" s="4330">
        <f t="shared" si="9"/>
        <v>2230</v>
      </c>
      <c r="W16" s="2176" t="s">
        <v>2407</v>
      </c>
      <c r="X16" s="682"/>
      <c r="Y16" s="2177"/>
      <c r="Z16" s="682"/>
      <c r="AA16" s="2177"/>
      <c r="AB16" s="682"/>
      <c r="AC16" s="2177"/>
      <c r="AD16" s="682"/>
      <c r="AE16" s="2177"/>
      <c r="AF16" s="682"/>
      <c r="AG16" s="2177"/>
      <c r="AH16" s="2177"/>
      <c r="AI16" s="2177"/>
      <c r="AJ16" s="682"/>
      <c r="AK16" s="2177"/>
      <c r="AL16" s="682">
        <v>3</v>
      </c>
      <c r="AM16" s="2177">
        <v>2230</v>
      </c>
      <c r="AN16" s="2177"/>
      <c r="AO16" s="2177"/>
      <c r="AP16" s="2178">
        <f t="shared" si="10"/>
        <v>3</v>
      </c>
      <c r="AQ16" s="2178">
        <f t="shared" si="11"/>
        <v>2230</v>
      </c>
    </row>
    <row r="17" spans="1:43" x14ac:dyDescent="0.2">
      <c r="A17" s="2176" t="s">
        <v>2408</v>
      </c>
      <c r="B17" s="2927">
        <f t="shared" si="0"/>
        <v>171</v>
      </c>
      <c r="C17" s="2927">
        <f t="shared" si="1"/>
        <v>0</v>
      </c>
      <c r="D17" s="2927">
        <f t="shared" si="2"/>
        <v>0</v>
      </c>
      <c r="E17" s="2927">
        <f t="shared" si="3"/>
        <v>350</v>
      </c>
      <c r="F17" s="2927">
        <f t="shared" si="4"/>
        <v>0</v>
      </c>
      <c r="G17" s="2927">
        <f t="shared" si="5"/>
        <v>0</v>
      </c>
      <c r="H17" s="2927">
        <f t="shared" si="6"/>
        <v>0</v>
      </c>
      <c r="I17" s="2927">
        <f t="shared" si="7"/>
        <v>1903</v>
      </c>
      <c r="J17" s="2927">
        <f t="shared" si="8"/>
        <v>0</v>
      </c>
      <c r="K17" s="4330">
        <f t="shared" si="9"/>
        <v>636.73333333333335</v>
      </c>
      <c r="W17" s="2176" t="s">
        <v>2408</v>
      </c>
      <c r="X17" s="682">
        <v>2</v>
      </c>
      <c r="Y17" s="2177">
        <v>171</v>
      </c>
      <c r="Z17" s="682"/>
      <c r="AA17" s="2177"/>
      <c r="AB17" s="682"/>
      <c r="AC17" s="2177"/>
      <c r="AD17" s="682">
        <v>10</v>
      </c>
      <c r="AE17" s="2177">
        <v>350</v>
      </c>
      <c r="AF17" s="682"/>
      <c r="AG17" s="2177"/>
      <c r="AH17" s="2177"/>
      <c r="AI17" s="2177"/>
      <c r="AJ17" s="682"/>
      <c r="AK17" s="2177"/>
      <c r="AL17" s="682">
        <v>3</v>
      </c>
      <c r="AM17" s="2177">
        <v>1903</v>
      </c>
      <c r="AN17" s="2177"/>
      <c r="AO17" s="2177"/>
      <c r="AP17" s="2178">
        <f t="shared" si="10"/>
        <v>15</v>
      </c>
      <c r="AQ17" s="2178">
        <f t="shared" si="11"/>
        <v>636.73333333333335</v>
      </c>
    </row>
    <row r="18" spans="1:43" x14ac:dyDescent="0.2">
      <c r="A18" s="2176" t="s">
        <v>2409</v>
      </c>
      <c r="B18" s="2927">
        <f t="shared" si="0"/>
        <v>2904</v>
      </c>
      <c r="C18" s="2927">
        <f t="shared" si="1"/>
        <v>0</v>
      </c>
      <c r="D18" s="2927">
        <f t="shared" si="2"/>
        <v>0</v>
      </c>
      <c r="E18" s="2927">
        <f t="shared" si="3"/>
        <v>0</v>
      </c>
      <c r="F18" s="2927">
        <f t="shared" si="4"/>
        <v>0</v>
      </c>
      <c r="G18" s="2927">
        <f t="shared" si="5"/>
        <v>0</v>
      </c>
      <c r="H18" s="2927">
        <f t="shared" si="6"/>
        <v>0</v>
      </c>
      <c r="I18" s="2927">
        <f t="shared" si="7"/>
        <v>0</v>
      </c>
      <c r="J18" s="2927">
        <f t="shared" si="8"/>
        <v>0</v>
      </c>
      <c r="K18" s="4330">
        <f t="shared" si="9"/>
        <v>2904</v>
      </c>
      <c r="W18" s="2176" t="s">
        <v>2409</v>
      </c>
      <c r="X18" s="682">
        <v>4</v>
      </c>
      <c r="Y18" s="2177">
        <v>2904</v>
      </c>
      <c r="Z18" s="682"/>
      <c r="AA18" s="2177"/>
      <c r="AB18" s="682"/>
      <c r="AC18" s="2177"/>
      <c r="AD18" s="682"/>
      <c r="AE18" s="2177"/>
      <c r="AF18" s="682"/>
      <c r="AG18" s="2177"/>
      <c r="AH18" s="2177"/>
      <c r="AI18" s="2177"/>
      <c r="AJ18" s="682"/>
      <c r="AK18" s="2177"/>
      <c r="AL18" s="682"/>
      <c r="AM18" s="2177"/>
      <c r="AN18" s="2177"/>
      <c r="AO18" s="2177"/>
      <c r="AP18" s="2178">
        <f t="shared" si="10"/>
        <v>4</v>
      </c>
      <c r="AQ18" s="2178">
        <f t="shared" si="11"/>
        <v>2904</v>
      </c>
    </row>
    <row r="19" spans="1:43" x14ac:dyDescent="0.2">
      <c r="A19" s="2176" t="s">
        <v>2410</v>
      </c>
      <c r="B19" s="2927">
        <f t="shared" si="0"/>
        <v>0</v>
      </c>
      <c r="C19" s="2927">
        <f t="shared" si="1"/>
        <v>0</v>
      </c>
      <c r="D19" s="2927">
        <f t="shared" si="2"/>
        <v>0</v>
      </c>
      <c r="E19" s="2927">
        <f t="shared" si="3"/>
        <v>0</v>
      </c>
      <c r="F19" s="2927">
        <f t="shared" si="4"/>
        <v>0</v>
      </c>
      <c r="G19" s="2927">
        <f t="shared" si="5"/>
        <v>0</v>
      </c>
      <c r="H19" s="2927">
        <f t="shared" si="6"/>
        <v>20</v>
      </c>
      <c r="I19" s="2927">
        <f t="shared" si="7"/>
        <v>13</v>
      </c>
      <c r="J19" s="2927">
        <f t="shared" si="8"/>
        <v>0</v>
      </c>
      <c r="K19" s="4330">
        <f t="shared" si="9"/>
        <v>19.533333333333335</v>
      </c>
      <c r="W19" s="2176" t="s">
        <v>2410</v>
      </c>
      <c r="X19" s="682"/>
      <c r="Y19" s="2177"/>
      <c r="Z19" s="682"/>
      <c r="AA19" s="2177"/>
      <c r="AB19" s="682"/>
      <c r="AC19" s="2177"/>
      <c r="AD19" s="682"/>
      <c r="AE19" s="2177"/>
      <c r="AF19" s="682"/>
      <c r="AG19" s="2177"/>
      <c r="AH19" s="2177"/>
      <c r="AI19" s="2177"/>
      <c r="AJ19" s="682">
        <v>14</v>
      </c>
      <c r="AK19" s="2177">
        <v>20</v>
      </c>
      <c r="AL19" s="682">
        <v>1</v>
      </c>
      <c r="AM19" s="2177">
        <v>13</v>
      </c>
      <c r="AN19" s="2177"/>
      <c r="AO19" s="2177"/>
      <c r="AP19" s="2178">
        <f t="shared" si="10"/>
        <v>15</v>
      </c>
      <c r="AQ19" s="2178">
        <f t="shared" si="11"/>
        <v>19.533333333333335</v>
      </c>
    </row>
    <row r="20" spans="1:43" x14ac:dyDescent="0.2">
      <c r="A20" s="2176" t="s">
        <v>2411</v>
      </c>
      <c r="B20" s="2927">
        <f t="shared" si="0"/>
        <v>754</v>
      </c>
      <c r="C20" s="2927">
        <f t="shared" si="1"/>
        <v>304</v>
      </c>
      <c r="D20" s="2927">
        <f t="shared" si="2"/>
        <v>472</v>
      </c>
      <c r="E20" s="2927">
        <f t="shared" si="3"/>
        <v>232</v>
      </c>
      <c r="F20" s="2927">
        <f t="shared" si="4"/>
        <v>921</v>
      </c>
      <c r="G20" s="2927">
        <f t="shared" si="5"/>
        <v>254</v>
      </c>
      <c r="H20" s="2927">
        <f t="shared" si="6"/>
        <v>0</v>
      </c>
      <c r="I20" s="2927">
        <f t="shared" si="7"/>
        <v>912</v>
      </c>
      <c r="J20" s="2927">
        <f t="shared" si="8"/>
        <v>0</v>
      </c>
      <c r="K20" s="4330">
        <f t="shared" si="9"/>
        <v>466.9736842105263</v>
      </c>
      <c r="W20" s="2176" t="s">
        <v>2411</v>
      </c>
      <c r="X20" s="682">
        <v>9</v>
      </c>
      <c r="Y20" s="2177">
        <v>754</v>
      </c>
      <c r="Z20" s="682">
        <v>2</v>
      </c>
      <c r="AA20" s="2177">
        <v>304</v>
      </c>
      <c r="AB20" s="682">
        <v>2</v>
      </c>
      <c r="AC20" s="2177">
        <v>472</v>
      </c>
      <c r="AD20" s="682">
        <v>11</v>
      </c>
      <c r="AE20" s="2177">
        <v>232</v>
      </c>
      <c r="AF20" s="682">
        <v>1</v>
      </c>
      <c r="AG20" s="2177">
        <v>921</v>
      </c>
      <c r="AH20" s="2177">
        <v>9</v>
      </c>
      <c r="AI20" s="2177">
        <v>254</v>
      </c>
      <c r="AJ20" s="682"/>
      <c r="AK20" s="2177"/>
      <c r="AL20" s="682">
        <v>4</v>
      </c>
      <c r="AM20" s="2177">
        <v>912</v>
      </c>
      <c r="AN20" s="2177"/>
      <c r="AO20" s="2177"/>
      <c r="AP20" s="2178">
        <f t="shared" si="10"/>
        <v>38</v>
      </c>
      <c r="AQ20" s="2178">
        <f t="shared" si="11"/>
        <v>466.9736842105263</v>
      </c>
    </row>
    <row r="21" spans="1:43" x14ac:dyDescent="0.2">
      <c r="A21" s="2176" t="s">
        <v>2412</v>
      </c>
      <c r="B21" s="2927">
        <f t="shared" si="0"/>
        <v>0</v>
      </c>
      <c r="C21" s="2927">
        <f t="shared" si="1"/>
        <v>886</v>
      </c>
      <c r="D21" s="2927">
        <f t="shared" si="2"/>
        <v>835</v>
      </c>
      <c r="E21" s="2927">
        <f t="shared" si="3"/>
        <v>0</v>
      </c>
      <c r="F21" s="2927">
        <f t="shared" si="4"/>
        <v>0</v>
      </c>
      <c r="G21" s="2927">
        <f t="shared" si="5"/>
        <v>304</v>
      </c>
      <c r="H21" s="2927">
        <f t="shared" si="6"/>
        <v>0</v>
      </c>
      <c r="I21" s="2927">
        <f t="shared" si="7"/>
        <v>0</v>
      </c>
      <c r="J21" s="2927">
        <f t="shared" si="8"/>
        <v>0</v>
      </c>
      <c r="K21" s="4330">
        <f t="shared" si="9"/>
        <v>622</v>
      </c>
      <c r="W21" s="2176" t="s">
        <v>2412</v>
      </c>
      <c r="X21" s="682"/>
      <c r="Y21" s="2177"/>
      <c r="Z21" s="682">
        <v>2</v>
      </c>
      <c r="AA21" s="2177">
        <v>886</v>
      </c>
      <c r="AB21" s="682">
        <v>2</v>
      </c>
      <c r="AC21" s="2177">
        <v>835</v>
      </c>
      <c r="AD21" s="682"/>
      <c r="AE21" s="2177"/>
      <c r="AF21" s="682"/>
      <c r="AG21" s="2177"/>
      <c r="AH21" s="2177">
        <v>3</v>
      </c>
      <c r="AI21" s="2177">
        <v>304</v>
      </c>
      <c r="AJ21" s="682"/>
      <c r="AK21" s="2177"/>
      <c r="AL21" s="682"/>
      <c r="AM21" s="2177"/>
      <c r="AN21" s="2177"/>
      <c r="AO21" s="2177"/>
      <c r="AP21" s="2178">
        <f t="shared" si="10"/>
        <v>7</v>
      </c>
      <c r="AQ21" s="2178">
        <f t="shared" si="11"/>
        <v>622</v>
      </c>
    </row>
    <row r="22" spans="1:43" x14ac:dyDescent="0.2">
      <c r="A22" s="2176" t="s">
        <v>2413</v>
      </c>
      <c r="B22" s="2927">
        <f t="shared" si="0"/>
        <v>1405</v>
      </c>
      <c r="C22" s="2927">
        <f t="shared" si="1"/>
        <v>0</v>
      </c>
      <c r="D22" s="2927">
        <f t="shared" si="2"/>
        <v>0</v>
      </c>
      <c r="E22" s="2927">
        <f t="shared" si="3"/>
        <v>1787</v>
      </c>
      <c r="F22" s="2927">
        <f t="shared" si="4"/>
        <v>0</v>
      </c>
      <c r="G22" s="2927">
        <f t="shared" si="5"/>
        <v>0</v>
      </c>
      <c r="H22" s="2927">
        <f t="shared" si="6"/>
        <v>577</v>
      </c>
      <c r="I22" s="2927">
        <f t="shared" si="7"/>
        <v>834</v>
      </c>
      <c r="J22" s="2927">
        <f t="shared" si="8"/>
        <v>0</v>
      </c>
      <c r="K22" s="4330">
        <f t="shared" si="9"/>
        <v>697.41176470588232</v>
      </c>
      <c r="W22" s="2176" t="s">
        <v>2413</v>
      </c>
      <c r="X22" s="682">
        <v>1</v>
      </c>
      <c r="Y22" s="2177">
        <v>1405</v>
      </c>
      <c r="Z22" s="682"/>
      <c r="AA22" s="2177"/>
      <c r="AB22" s="682"/>
      <c r="AC22" s="2177"/>
      <c r="AD22" s="682">
        <v>1</v>
      </c>
      <c r="AE22" s="2177">
        <v>1787</v>
      </c>
      <c r="AF22" s="682"/>
      <c r="AG22" s="2177"/>
      <c r="AH22" s="2177"/>
      <c r="AI22" s="2177"/>
      <c r="AJ22" s="682">
        <v>24</v>
      </c>
      <c r="AK22" s="2177">
        <v>577</v>
      </c>
      <c r="AL22" s="682">
        <v>8</v>
      </c>
      <c r="AM22" s="2177">
        <v>834</v>
      </c>
      <c r="AN22" s="2177"/>
      <c r="AO22" s="2177"/>
      <c r="AP22" s="2178">
        <f t="shared" si="10"/>
        <v>34</v>
      </c>
      <c r="AQ22" s="2178">
        <f t="shared" si="11"/>
        <v>697.41176470588232</v>
      </c>
    </row>
    <row r="23" spans="1:43" x14ac:dyDescent="0.2">
      <c r="A23" s="2176" t="s">
        <v>2414</v>
      </c>
      <c r="B23" s="2927">
        <f t="shared" si="0"/>
        <v>0</v>
      </c>
      <c r="C23" s="2927">
        <f t="shared" si="1"/>
        <v>0</v>
      </c>
      <c r="D23" s="2927">
        <f t="shared" si="2"/>
        <v>1031</v>
      </c>
      <c r="E23" s="2927">
        <f t="shared" si="3"/>
        <v>0</v>
      </c>
      <c r="F23" s="2927">
        <f t="shared" si="4"/>
        <v>1074</v>
      </c>
      <c r="G23" s="2927">
        <f t="shared" si="5"/>
        <v>0</v>
      </c>
      <c r="H23" s="2927">
        <f t="shared" si="6"/>
        <v>0</v>
      </c>
      <c r="I23" s="2927">
        <f t="shared" si="7"/>
        <v>1062</v>
      </c>
      <c r="J23" s="2927">
        <f t="shared" si="8"/>
        <v>0</v>
      </c>
      <c r="K23" s="4330">
        <f t="shared" si="9"/>
        <v>1069.2142857142858</v>
      </c>
      <c r="W23" s="2176" t="s">
        <v>2414</v>
      </c>
      <c r="X23" s="682"/>
      <c r="Y23" s="2177"/>
      <c r="Z23" s="682"/>
      <c r="AA23" s="2177"/>
      <c r="AB23" s="682">
        <v>2</v>
      </c>
      <c r="AC23" s="2177">
        <v>1031</v>
      </c>
      <c r="AD23" s="682"/>
      <c r="AE23" s="2177"/>
      <c r="AF23" s="682">
        <v>22</v>
      </c>
      <c r="AG23" s="2177">
        <v>1074</v>
      </c>
      <c r="AH23" s="2177"/>
      <c r="AI23" s="2177"/>
      <c r="AJ23" s="682"/>
      <c r="AK23" s="2177"/>
      <c r="AL23" s="682">
        <v>4</v>
      </c>
      <c r="AM23" s="2177">
        <v>1062</v>
      </c>
      <c r="AN23" s="2177"/>
      <c r="AO23" s="2177"/>
      <c r="AP23" s="2178">
        <f t="shared" si="10"/>
        <v>28</v>
      </c>
      <c r="AQ23" s="2178">
        <f t="shared" si="11"/>
        <v>1069.2142857142858</v>
      </c>
    </row>
    <row r="24" spans="1:43" x14ac:dyDescent="0.2">
      <c r="A24" s="2176" t="s">
        <v>2415</v>
      </c>
      <c r="B24" s="2927">
        <f t="shared" si="0"/>
        <v>0</v>
      </c>
      <c r="C24" s="2927">
        <f t="shared" si="1"/>
        <v>0</v>
      </c>
      <c r="D24" s="2927">
        <f t="shared" si="2"/>
        <v>0</v>
      </c>
      <c r="E24" s="2927">
        <f t="shared" si="3"/>
        <v>16</v>
      </c>
      <c r="F24" s="2927">
        <f t="shared" si="4"/>
        <v>0</v>
      </c>
      <c r="G24" s="2927">
        <f t="shared" si="5"/>
        <v>0</v>
      </c>
      <c r="H24" s="2927">
        <f t="shared" si="6"/>
        <v>0</v>
      </c>
      <c r="I24" s="2927">
        <f t="shared" si="7"/>
        <v>0</v>
      </c>
      <c r="J24" s="2927">
        <f t="shared" si="8"/>
        <v>0</v>
      </c>
      <c r="K24" s="4330">
        <f t="shared" si="9"/>
        <v>16</v>
      </c>
      <c r="W24" s="2176" t="s">
        <v>2415</v>
      </c>
      <c r="X24" s="682"/>
      <c r="Y24" s="2177"/>
      <c r="Z24" s="682"/>
      <c r="AA24" s="2177"/>
      <c r="AB24" s="682"/>
      <c r="AC24" s="2177"/>
      <c r="AD24" s="682">
        <v>1</v>
      </c>
      <c r="AE24" s="2177">
        <v>16</v>
      </c>
      <c r="AF24" s="682"/>
      <c r="AG24" s="2177"/>
      <c r="AH24" s="2177"/>
      <c r="AI24" s="2177"/>
      <c r="AJ24" s="682"/>
      <c r="AK24" s="2177"/>
      <c r="AL24" s="682"/>
      <c r="AM24" s="2177"/>
      <c r="AN24" s="2177"/>
      <c r="AO24" s="2177"/>
      <c r="AP24" s="2178">
        <f t="shared" si="10"/>
        <v>1</v>
      </c>
      <c r="AQ24" s="2178">
        <f t="shared" si="11"/>
        <v>16</v>
      </c>
    </row>
    <row r="25" spans="1:43" x14ac:dyDescent="0.2">
      <c r="A25" s="2176" t="s">
        <v>2416</v>
      </c>
      <c r="B25" s="2927">
        <f t="shared" si="0"/>
        <v>982</v>
      </c>
      <c r="C25" s="2927">
        <f t="shared" si="1"/>
        <v>661</v>
      </c>
      <c r="D25" s="2927">
        <f t="shared" si="2"/>
        <v>365</v>
      </c>
      <c r="E25" s="2927">
        <f t="shared" si="3"/>
        <v>494</v>
      </c>
      <c r="F25" s="2927">
        <f t="shared" si="4"/>
        <v>153</v>
      </c>
      <c r="G25" s="2927">
        <f t="shared" si="5"/>
        <v>118</v>
      </c>
      <c r="H25" s="2927">
        <f t="shared" si="6"/>
        <v>0</v>
      </c>
      <c r="I25" s="2927">
        <f t="shared" si="7"/>
        <v>253</v>
      </c>
      <c r="J25" s="2927">
        <f t="shared" si="8"/>
        <v>0</v>
      </c>
      <c r="K25" s="4330">
        <f t="shared" si="9"/>
        <v>605.70588235294122</v>
      </c>
      <c r="W25" s="2176" t="s">
        <v>2416</v>
      </c>
      <c r="X25" s="682">
        <v>14</v>
      </c>
      <c r="Y25" s="2177">
        <v>982</v>
      </c>
      <c r="Z25" s="682">
        <v>11</v>
      </c>
      <c r="AA25" s="2177">
        <v>661</v>
      </c>
      <c r="AB25" s="682">
        <v>5</v>
      </c>
      <c r="AC25" s="2177">
        <v>365</v>
      </c>
      <c r="AD25" s="682">
        <v>14</v>
      </c>
      <c r="AE25" s="2177">
        <v>494</v>
      </c>
      <c r="AF25" s="682">
        <v>1</v>
      </c>
      <c r="AG25" s="2177">
        <v>153</v>
      </c>
      <c r="AH25" s="2177">
        <v>4</v>
      </c>
      <c r="AI25" s="2177">
        <v>118</v>
      </c>
      <c r="AJ25" s="682"/>
      <c r="AK25" s="2177"/>
      <c r="AL25" s="682">
        <v>2</v>
      </c>
      <c r="AM25" s="2177">
        <v>253</v>
      </c>
      <c r="AN25" s="2177"/>
      <c r="AO25" s="2177"/>
      <c r="AP25" s="2178">
        <f t="shared" si="10"/>
        <v>51</v>
      </c>
      <c r="AQ25" s="2178">
        <f t="shared" si="11"/>
        <v>605.70588235294122</v>
      </c>
    </row>
    <row r="26" spans="1:43" x14ac:dyDescent="0.2">
      <c r="A26" s="2176" t="s">
        <v>2417</v>
      </c>
      <c r="B26" s="2927">
        <f t="shared" si="0"/>
        <v>2550</v>
      </c>
      <c r="C26" s="2927">
        <f t="shared" si="1"/>
        <v>630</v>
      </c>
      <c r="D26" s="2927">
        <f t="shared" si="2"/>
        <v>0</v>
      </c>
      <c r="E26" s="2927">
        <f t="shared" si="3"/>
        <v>3074</v>
      </c>
      <c r="F26" s="2927">
        <f t="shared" si="4"/>
        <v>0</v>
      </c>
      <c r="G26" s="2927">
        <f t="shared" si="5"/>
        <v>0</v>
      </c>
      <c r="H26" s="2927">
        <f t="shared" si="6"/>
        <v>0</v>
      </c>
      <c r="I26" s="2927">
        <f t="shared" si="7"/>
        <v>1224</v>
      </c>
      <c r="J26" s="2927">
        <f t="shared" si="8"/>
        <v>0</v>
      </c>
      <c r="K26" s="4330">
        <f t="shared" si="9"/>
        <v>2569.4863387978144</v>
      </c>
      <c r="W26" s="2176" t="s">
        <v>2417</v>
      </c>
      <c r="X26" s="682">
        <v>168</v>
      </c>
      <c r="Y26" s="2177">
        <v>2550</v>
      </c>
      <c r="Z26" s="682">
        <v>1</v>
      </c>
      <c r="AA26" s="2177">
        <v>630</v>
      </c>
      <c r="AB26" s="682"/>
      <c r="AC26" s="2177"/>
      <c r="AD26" s="682">
        <v>13</v>
      </c>
      <c r="AE26" s="2177">
        <v>3074</v>
      </c>
      <c r="AF26" s="682"/>
      <c r="AG26" s="2177"/>
      <c r="AH26" s="2177"/>
      <c r="AI26" s="2177"/>
      <c r="AJ26" s="682"/>
      <c r="AK26" s="2177"/>
      <c r="AL26" s="682">
        <v>1</v>
      </c>
      <c r="AM26" s="2177">
        <v>1224</v>
      </c>
      <c r="AN26" s="2177"/>
      <c r="AO26" s="2177"/>
      <c r="AP26" s="2178">
        <f t="shared" si="10"/>
        <v>183</v>
      </c>
      <c r="AQ26" s="2178">
        <f t="shared" si="11"/>
        <v>2569.4863387978144</v>
      </c>
    </row>
    <row r="27" spans="1:43" x14ac:dyDescent="0.2">
      <c r="A27" s="2176" t="s">
        <v>2418</v>
      </c>
      <c r="B27" s="2927">
        <f t="shared" si="0"/>
        <v>0</v>
      </c>
      <c r="C27" s="2927">
        <f t="shared" si="1"/>
        <v>0</v>
      </c>
      <c r="D27" s="2927">
        <f t="shared" si="2"/>
        <v>0</v>
      </c>
      <c r="E27" s="2927">
        <f t="shared" si="3"/>
        <v>0</v>
      </c>
      <c r="F27" s="2927">
        <f t="shared" si="4"/>
        <v>0</v>
      </c>
      <c r="G27" s="2927">
        <f t="shared" si="5"/>
        <v>0</v>
      </c>
      <c r="H27" s="2927">
        <f t="shared" si="6"/>
        <v>0</v>
      </c>
      <c r="I27" s="2927">
        <f t="shared" si="7"/>
        <v>165</v>
      </c>
      <c r="J27" s="2927">
        <f t="shared" si="8"/>
        <v>0</v>
      </c>
      <c r="K27" s="4330">
        <f t="shared" si="9"/>
        <v>165</v>
      </c>
      <c r="W27" s="2176" t="s">
        <v>2418</v>
      </c>
      <c r="X27" s="682"/>
      <c r="Y27" s="2177"/>
      <c r="Z27" s="682"/>
      <c r="AA27" s="2177"/>
      <c r="AB27" s="682"/>
      <c r="AC27" s="2177"/>
      <c r="AD27" s="682"/>
      <c r="AE27" s="2177"/>
      <c r="AF27" s="682"/>
      <c r="AG27" s="2177"/>
      <c r="AH27" s="2177"/>
      <c r="AI27" s="2177"/>
      <c r="AJ27" s="682"/>
      <c r="AK27" s="2177"/>
      <c r="AL27" s="682">
        <v>1</v>
      </c>
      <c r="AM27" s="2177">
        <v>165</v>
      </c>
      <c r="AN27" s="2177"/>
      <c r="AO27" s="2177"/>
      <c r="AP27" s="2178">
        <f t="shared" si="10"/>
        <v>1</v>
      </c>
      <c r="AQ27" s="2178">
        <f t="shared" si="11"/>
        <v>165</v>
      </c>
    </row>
    <row r="28" spans="1:43" x14ac:dyDescent="0.2">
      <c r="A28" s="2176" t="s">
        <v>2419</v>
      </c>
      <c r="B28" s="2927">
        <f t="shared" si="0"/>
        <v>313</v>
      </c>
      <c r="C28" s="2927">
        <f t="shared" si="1"/>
        <v>0</v>
      </c>
      <c r="D28" s="2927">
        <f t="shared" si="2"/>
        <v>0</v>
      </c>
      <c r="E28" s="2927">
        <f t="shared" si="3"/>
        <v>406</v>
      </c>
      <c r="F28" s="2927">
        <f t="shared" si="4"/>
        <v>0</v>
      </c>
      <c r="G28" s="2927">
        <f t="shared" si="5"/>
        <v>0</v>
      </c>
      <c r="H28" s="2927">
        <f t="shared" si="6"/>
        <v>0</v>
      </c>
      <c r="I28" s="2927">
        <f t="shared" si="7"/>
        <v>0</v>
      </c>
      <c r="J28" s="2927">
        <f t="shared" si="8"/>
        <v>0</v>
      </c>
      <c r="K28" s="4330">
        <f t="shared" si="9"/>
        <v>324.625</v>
      </c>
      <c r="W28" s="2176" t="s">
        <v>2419</v>
      </c>
      <c r="X28" s="682">
        <v>7</v>
      </c>
      <c r="Y28" s="2177">
        <v>313</v>
      </c>
      <c r="Z28" s="682"/>
      <c r="AA28" s="2177"/>
      <c r="AB28" s="682"/>
      <c r="AC28" s="2177"/>
      <c r="AD28" s="682">
        <v>1</v>
      </c>
      <c r="AE28" s="2177">
        <v>406</v>
      </c>
      <c r="AF28" s="682"/>
      <c r="AG28" s="2177"/>
      <c r="AH28" s="2177"/>
      <c r="AI28" s="2177"/>
      <c r="AJ28" s="682"/>
      <c r="AK28" s="2177"/>
      <c r="AL28" s="682"/>
      <c r="AM28" s="2177"/>
      <c r="AN28" s="2177"/>
      <c r="AO28" s="2177"/>
      <c r="AP28" s="2178">
        <f t="shared" si="10"/>
        <v>8</v>
      </c>
      <c r="AQ28" s="2178">
        <f t="shared" si="11"/>
        <v>324.625</v>
      </c>
    </row>
    <row r="29" spans="1:43" x14ac:dyDescent="0.2">
      <c r="A29" s="2176" t="s">
        <v>2420</v>
      </c>
      <c r="B29" s="2927">
        <f t="shared" si="0"/>
        <v>0</v>
      </c>
      <c r="C29" s="2927">
        <f t="shared" si="1"/>
        <v>683</v>
      </c>
      <c r="D29" s="2927">
        <f t="shared" si="2"/>
        <v>1554</v>
      </c>
      <c r="E29" s="2927">
        <f t="shared" si="3"/>
        <v>1649</v>
      </c>
      <c r="F29" s="2927">
        <f t="shared" si="4"/>
        <v>0</v>
      </c>
      <c r="G29" s="2927">
        <f t="shared" si="5"/>
        <v>433</v>
      </c>
      <c r="H29" s="2927">
        <f t="shared" si="6"/>
        <v>0</v>
      </c>
      <c r="I29" s="2927">
        <f t="shared" si="7"/>
        <v>915</v>
      </c>
      <c r="J29" s="2927">
        <f t="shared" si="8"/>
        <v>0</v>
      </c>
      <c r="K29" s="4330">
        <f t="shared" si="9"/>
        <v>1294.9655172413793</v>
      </c>
      <c r="W29" s="2176" t="s">
        <v>2420</v>
      </c>
      <c r="X29" s="682"/>
      <c r="Y29" s="2177"/>
      <c r="Z29" s="682">
        <v>1</v>
      </c>
      <c r="AA29" s="2177">
        <v>683</v>
      </c>
      <c r="AB29" s="682">
        <v>42</v>
      </c>
      <c r="AC29" s="2177">
        <v>1554</v>
      </c>
      <c r="AD29" s="682">
        <v>1</v>
      </c>
      <c r="AE29" s="2177">
        <v>1649</v>
      </c>
      <c r="AF29" s="682"/>
      <c r="AG29" s="2177"/>
      <c r="AH29" s="2177">
        <v>11</v>
      </c>
      <c r="AI29" s="2177">
        <v>433</v>
      </c>
      <c r="AJ29" s="682"/>
      <c r="AK29" s="2177"/>
      <c r="AL29" s="682">
        <v>3</v>
      </c>
      <c r="AM29" s="2177">
        <v>915</v>
      </c>
      <c r="AN29" s="2177"/>
      <c r="AO29" s="2177"/>
      <c r="AP29" s="2178">
        <f t="shared" si="10"/>
        <v>58</v>
      </c>
      <c r="AQ29" s="2178">
        <f t="shared" si="11"/>
        <v>1294.9655172413793</v>
      </c>
    </row>
    <row r="30" spans="1:43" x14ac:dyDescent="0.2">
      <c r="A30" s="2180" t="s">
        <v>2421</v>
      </c>
      <c r="B30" s="4332">
        <f t="shared" si="0"/>
        <v>1475.1538461538462</v>
      </c>
      <c r="C30" s="4332">
        <f t="shared" ref="C30:K30" si="12">AA30</f>
        <v>743.7</v>
      </c>
      <c r="D30" s="4332">
        <f t="shared" si="12"/>
        <v>0</v>
      </c>
      <c r="E30" s="4332">
        <f t="shared" si="12"/>
        <v>854.11111111111109</v>
      </c>
      <c r="F30" s="4332">
        <f t="shared" si="12"/>
        <v>0</v>
      </c>
      <c r="G30" s="4332">
        <f t="shared" si="12"/>
        <v>779.33333333333337</v>
      </c>
      <c r="H30" s="4332">
        <f t="shared" si="12"/>
        <v>0</v>
      </c>
      <c r="I30" s="4332">
        <f t="shared" si="12"/>
        <v>1169.2857142857142</v>
      </c>
      <c r="J30" s="4332">
        <f t="shared" si="12"/>
        <v>0</v>
      </c>
      <c r="K30" s="4332">
        <f t="shared" si="12"/>
        <v>317.33333333333331</v>
      </c>
      <c r="W30" s="2180" t="s">
        <v>2421</v>
      </c>
      <c r="X30" s="2181"/>
      <c r="Y30" s="2181">
        <f>AVERAGE(Y7:Y29)</f>
        <v>1475.1538461538462</v>
      </c>
      <c r="Z30" s="2181"/>
      <c r="AA30" s="2181">
        <f>AVERAGE(AA7:AA29)</f>
        <v>743.7</v>
      </c>
      <c r="AB30" s="2181"/>
      <c r="AC30" s="2181">
        <f>AVERAGE(AC7:AC29)</f>
        <v>854.11111111111109</v>
      </c>
      <c r="AD30" s="2181"/>
      <c r="AE30" s="2181">
        <f>AVERAGE(AE7:AE29)</f>
        <v>779.33333333333337</v>
      </c>
      <c r="AF30" s="2181"/>
      <c r="AG30" s="2181">
        <f>AVERAGE(AG7:AG29)</f>
        <v>1169.2857142857142</v>
      </c>
      <c r="AH30" s="2181"/>
      <c r="AI30" s="2181">
        <f>AVERAGE(AI7:AI29)</f>
        <v>317.33333333333331</v>
      </c>
      <c r="AJ30" s="2181"/>
      <c r="AK30" s="2181">
        <f>AVERAGE(AK7:AK29)</f>
        <v>469.25</v>
      </c>
      <c r="AL30" s="2181"/>
      <c r="AM30" s="2181">
        <f>AVERAGE(AM7:AM29)</f>
        <v>790.44444444444446</v>
      </c>
      <c r="AN30" s="2181"/>
      <c r="AO30" s="2181"/>
      <c r="AP30" s="2182"/>
      <c r="AQ30" s="2181">
        <f>AVERAGE(AQ7:AQ29)</f>
        <v>979.92572902186487</v>
      </c>
    </row>
    <row r="31" spans="1:43" x14ac:dyDescent="0.2">
      <c r="A31" s="4326"/>
      <c r="B31" s="4327"/>
      <c r="C31" s="4327"/>
      <c r="D31" s="4327"/>
      <c r="E31" s="4327"/>
      <c r="F31" s="4327"/>
      <c r="G31" s="4327"/>
      <c r="H31" s="4327"/>
      <c r="I31" s="4327"/>
      <c r="J31" s="4327"/>
      <c r="K31" s="4327"/>
      <c r="L31" s="4327"/>
      <c r="M31" s="4327"/>
      <c r="N31" s="4327"/>
      <c r="O31" s="4327"/>
      <c r="P31" s="4018"/>
      <c r="Q31" s="4327"/>
      <c r="R31" s="4327"/>
      <c r="S31" s="4327"/>
    </row>
    <row r="32" spans="1:43" x14ac:dyDescent="0.2">
      <c r="A32" s="4326"/>
      <c r="B32" s="4327"/>
      <c r="C32" s="4327"/>
      <c r="D32" s="4327"/>
      <c r="E32" s="4327"/>
      <c r="F32" s="4327"/>
      <c r="G32" s="4327"/>
      <c r="H32" s="4327"/>
      <c r="I32" s="4327"/>
      <c r="J32" s="4327"/>
      <c r="K32" s="4327"/>
      <c r="L32" s="4327"/>
      <c r="M32" s="4327"/>
      <c r="N32" s="4327"/>
      <c r="O32" s="4327"/>
      <c r="P32" s="4018"/>
      <c r="Q32" s="4327"/>
      <c r="R32" s="4327"/>
      <c r="S32" s="4327"/>
    </row>
    <row r="33" spans="1:19" x14ac:dyDescent="0.2">
      <c r="A33" s="875" t="s">
        <v>2422</v>
      </c>
      <c r="B33" s="4327"/>
      <c r="C33" s="4327"/>
      <c r="D33" s="4327"/>
      <c r="E33" s="4327"/>
      <c r="F33" s="4327"/>
      <c r="G33" s="4327"/>
      <c r="H33" s="4327"/>
      <c r="I33" s="4327"/>
      <c r="J33" s="4327"/>
      <c r="K33" s="4327"/>
      <c r="L33" s="4327"/>
      <c r="M33" s="4327"/>
      <c r="N33" s="4327"/>
      <c r="O33" s="4327"/>
      <c r="P33" s="4018"/>
      <c r="Q33" s="4327"/>
      <c r="R33" s="4327"/>
      <c r="S33" s="4327"/>
    </row>
    <row r="34" spans="1:19" x14ac:dyDescent="0.2">
      <c r="A34" s="4326"/>
      <c r="B34" s="4327"/>
      <c r="C34" s="4327"/>
      <c r="D34" s="4327"/>
      <c r="E34" s="4327"/>
      <c r="F34" s="4327"/>
      <c r="G34" s="4327"/>
      <c r="H34" s="4327"/>
      <c r="I34" s="4327"/>
      <c r="J34" s="4327"/>
      <c r="K34" s="4327"/>
      <c r="L34" s="4327"/>
      <c r="M34" s="4327"/>
      <c r="N34" s="4327"/>
      <c r="O34" s="4327"/>
      <c r="P34" s="4018"/>
      <c r="Q34" s="4327"/>
      <c r="R34" s="4327"/>
      <c r="S34" s="4327"/>
    </row>
    <row r="35" spans="1:19" x14ac:dyDescent="0.2">
      <c r="A35" s="284" t="s">
        <v>2423</v>
      </c>
      <c r="I35" s="4578" t="s">
        <v>2388</v>
      </c>
      <c r="J35" s="4578"/>
    </row>
    <row r="36" spans="1:19" x14ac:dyDescent="0.2">
      <c r="A36" s="2186" t="s">
        <v>57</v>
      </c>
      <c r="B36" s="2186" t="s">
        <v>2424</v>
      </c>
      <c r="C36" s="2186" t="s">
        <v>2389</v>
      </c>
      <c r="D36" s="2186" t="s">
        <v>1695</v>
      </c>
      <c r="E36" s="2186" t="s">
        <v>2425</v>
      </c>
      <c r="F36" s="2186" t="s">
        <v>1700</v>
      </c>
      <c r="G36" s="2186" t="s">
        <v>1702</v>
      </c>
      <c r="H36" s="2186" t="s">
        <v>1705</v>
      </c>
      <c r="I36" s="2186" t="s">
        <v>1706</v>
      </c>
    </row>
    <row r="37" spans="1:19" x14ac:dyDescent="0.2">
      <c r="A37" s="1202" t="s">
        <v>2426</v>
      </c>
      <c r="B37" s="3493">
        <v>671</v>
      </c>
      <c r="C37" s="3493">
        <v>336</v>
      </c>
      <c r="D37" s="3493">
        <v>607</v>
      </c>
      <c r="E37" s="3493">
        <v>1415</v>
      </c>
      <c r="F37" s="3493">
        <v>884</v>
      </c>
      <c r="G37" s="3493">
        <v>73</v>
      </c>
      <c r="H37" s="3493">
        <v>880</v>
      </c>
      <c r="I37" s="3493">
        <f>AVERAGE(B37:H37)</f>
        <v>695.14285714285711</v>
      </c>
    </row>
    <row r="38" spans="1:19" x14ac:dyDescent="0.2">
      <c r="A38" s="1202" t="s">
        <v>2427</v>
      </c>
      <c r="B38" s="3493"/>
      <c r="C38" s="3493">
        <v>247</v>
      </c>
      <c r="D38" s="3493"/>
      <c r="E38" s="3493">
        <v>465</v>
      </c>
      <c r="F38" s="3493"/>
      <c r="G38" s="3493"/>
      <c r="H38" s="3493"/>
      <c r="I38" s="3493">
        <f>AVERAGE(B38:H38)</f>
        <v>356</v>
      </c>
    </row>
    <row r="39" spans="1:19" x14ac:dyDescent="0.2">
      <c r="A39" s="2169" t="s">
        <v>2428</v>
      </c>
      <c r="B39" s="2185">
        <v>0</v>
      </c>
      <c r="C39" s="2185">
        <v>0</v>
      </c>
      <c r="D39" s="2185">
        <v>0</v>
      </c>
      <c r="E39" s="2185">
        <v>0</v>
      </c>
      <c r="F39" s="2185">
        <v>0</v>
      </c>
      <c r="G39" s="2185">
        <v>0</v>
      </c>
      <c r="H39" s="2185">
        <v>0</v>
      </c>
      <c r="I39" s="2185">
        <v>0</v>
      </c>
    </row>
    <row r="42" spans="1:19" x14ac:dyDescent="0.2">
      <c r="A42" s="1202"/>
      <c r="B42" s="3493"/>
      <c r="C42" s="3493"/>
      <c r="D42" s="3493"/>
      <c r="E42" s="3493"/>
      <c r="F42" s="3493"/>
      <c r="G42" s="3493"/>
      <c r="H42" s="3493"/>
      <c r="I42" s="3493"/>
    </row>
    <row r="43" spans="1:19" x14ac:dyDescent="0.2">
      <c r="A43" s="1202"/>
      <c r="B43" s="3493"/>
      <c r="C43" s="3493"/>
      <c r="D43" s="3493"/>
      <c r="E43" s="3493"/>
      <c r="F43" s="3493"/>
      <c r="G43" s="3493"/>
      <c r="H43" s="3493"/>
      <c r="I43" s="3493"/>
    </row>
  </sheetData>
  <mergeCells count="12">
    <mergeCell ref="I35:J35"/>
    <mergeCell ref="AL5:AM5"/>
    <mergeCell ref="AN5:AO5"/>
    <mergeCell ref="X5:Y5"/>
    <mergeCell ref="AP4:AQ4"/>
    <mergeCell ref="Z5:AA5"/>
    <mergeCell ref="AB5:AC5"/>
    <mergeCell ref="AD5:AE5"/>
    <mergeCell ref="AF5:AG5"/>
    <mergeCell ref="AH5:AI5"/>
    <mergeCell ref="AJ5:AK5"/>
    <mergeCell ref="AP5:AQ5"/>
  </mergeCells>
  <pageMargins left="0.7" right="0.7" top="0.75" bottom="0.75" header="0.3" footer="0.3"/>
  <pageSetup paperSize="9" orientation="portrait" r:id="rId1"/>
</worksheet>
</file>

<file path=xl/worksheets/sheet2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J116"/>
  <sheetViews>
    <sheetView topLeftCell="A73" workbookViewId="0">
      <selection activeCell="E3" sqref="E3"/>
    </sheetView>
  </sheetViews>
  <sheetFormatPr baseColWidth="10" defaultColWidth="9.33203125" defaultRowHeight="15" x14ac:dyDescent="0.2"/>
  <cols>
    <col min="1" max="1" width="49.5" style="284" bestFit="1" customWidth="1"/>
    <col min="2" max="2" width="26.5" style="284" bestFit="1" customWidth="1"/>
    <col min="3" max="3" width="9.33203125" style="284"/>
    <col min="4" max="4" width="19.5" style="2399" bestFit="1" customWidth="1"/>
    <col min="5" max="5" width="14.5" style="284" bestFit="1" customWidth="1"/>
    <col min="6" max="6" width="14.5" style="284" customWidth="1"/>
    <col min="7" max="7" width="15.5" style="284" bestFit="1" customWidth="1"/>
    <col min="8" max="9" width="9.33203125" style="284"/>
    <col min="10" max="10" width="149.5" style="284" customWidth="1"/>
    <col min="11" max="16384" width="9.33203125" style="284"/>
  </cols>
  <sheetData>
    <row r="1" spans="1:10" ht="60.75" customHeight="1" x14ac:dyDescent="0.2">
      <c r="A1" s="2406"/>
      <c r="B1" s="2406"/>
      <c r="C1" s="2406"/>
      <c r="D1" s="2407" t="s">
        <v>2429</v>
      </c>
      <c r="E1" s="4581" t="s">
        <v>2430</v>
      </c>
      <c r="F1" s="4581"/>
      <c r="G1" s="2406" t="s">
        <v>2431</v>
      </c>
      <c r="J1" s="2398" t="s">
        <v>2432</v>
      </c>
    </row>
    <row r="2" spans="1:10" x14ac:dyDescent="0.2">
      <c r="A2" s="2408" t="s">
        <v>2433</v>
      </c>
      <c r="B2" s="2408" t="s">
        <v>2434</v>
      </c>
      <c r="C2" s="2409" t="s">
        <v>2435</v>
      </c>
      <c r="D2" s="2410" t="s">
        <v>2436</v>
      </c>
      <c r="E2" s="2409" t="s">
        <v>2437</v>
      </c>
      <c r="F2" s="2409" t="s">
        <v>2438</v>
      </c>
      <c r="G2" s="2411" t="s">
        <v>2439</v>
      </c>
      <c r="J2" s="2398" t="s">
        <v>2440</v>
      </c>
    </row>
    <row r="3" spans="1:10" x14ac:dyDescent="0.2">
      <c r="A3" s="2400" t="s">
        <v>2441</v>
      </c>
      <c r="B3" s="2400" t="s">
        <v>2442</v>
      </c>
      <c r="C3" s="2401">
        <v>0</v>
      </c>
      <c r="D3" s="3495">
        <v>213.27</v>
      </c>
      <c r="E3" s="2401">
        <v>283</v>
      </c>
      <c r="F3" s="2401"/>
      <c r="G3" s="2402"/>
    </row>
    <row r="4" spans="1:10" x14ac:dyDescent="0.2">
      <c r="A4" s="2400" t="s">
        <v>2443</v>
      </c>
      <c r="B4" s="2400" t="s">
        <v>2444</v>
      </c>
      <c r="C4" s="2401">
        <v>0</v>
      </c>
      <c r="D4" s="3495">
        <v>1.67</v>
      </c>
      <c r="E4" s="2401">
        <v>283</v>
      </c>
      <c r="F4" s="2401"/>
      <c r="G4" s="2402"/>
    </row>
    <row r="5" spans="1:10" x14ac:dyDescent="0.2">
      <c r="A5" s="2400" t="s">
        <v>2445</v>
      </c>
      <c r="B5" s="2400" t="s">
        <v>2446</v>
      </c>
      <c r="C5" s="2401">
        <v>269</v>
      </c>
      <c r="D5" s="3495">
        <v>3314.68</v>
      </c>
      <c r="E5" s="2401">
        <v>249.4</v>
      </c>
      <c r="F5" s="2401">
        <v>154.02000000000001</v>
      </c>
      <c r="G5" s="2402">
        <v>15.8</v>
      </c>
    </row>
    <row r="6" spans="1:10" x14ac:dyDescent="0.2">
      <c r="A6" s="2400" t="s">
        <v>2447</v>
      </c>
      <c r="B6" s="2400" t="s">
        <v>2448</v>
      </c>
      <c r="C6" s="2401">
        <v>2</v>
      </c>
      <c r="D6" s="3495">
        <v>36.770000000000003</v>
      </c>
      <c r="E6" s="2401">
        <v>80.7</v>
      </c>
      <c r="F6" s="2401">
        <v>14.57</v>
      </c>
      <c r="G6" s="2402">
        <v>14</v>
      </c>
    </row>
    <row r="7" spans="1:10" x14ac:dyDescent="0.2">
      <c r="A7" s="2400" t="s">
        <v>2449</v>
      </c>
      <c r="B7" s="2400" t="s">
        <v>2450</v>
      </c>
      <c r="C7" s="2401">
        <v>11</v>
      </c>
      <c r="D7" s="3495">
        <v>1772.67</v>
      </c>
      <c r="E7" s="2401">
        <v>118.01</v>
      </c>
      <c r="F7" s="2401">
        <v>28.83</v>
      </c>
      <c r="G7" s="2402">
        <v>18.2</v>
      </c>
    </row>
    <row r="8" spans="1:10" x14ac:dyDescent="0.2">
      <c r="A8" s="2400" t="s">
        <v>2451</v>
      </c>
      <c r="B8" s="2400" t="s">
        <v>2452</v>
      </c>
      <c r="C8" s="2401">
        <v>0</v>
      </c>
      <c r="D8" s="3495">
        <v>0.06</v>
      </c>
      <c r="E8" s="2401">
        <v>283</v>
      </c>
      <c r="F8" s="2401"/>
      <c r="G8" s="2402"/>
    </row>
    <row r="9" spans="1:10" x14ac:dyDescent="0.2">
      <c r="A9" s="2400" t="s">
        <v>2453</v>
      </c>
      <c r="B9" s="2400" t="s">
        <v>2454</v>
      </c>
      <c r="C9" s="2401">
        <v>13</v>
      </c>
      <c r="D9" s="3495">
        <v>302.02</v>
      </c>
      <c r="E9" s="2401">
        <v>647.04999999999995</v>
      </c>
      <c r="F9" s="2401">
        <v>69.849999999999994</v>
      </c>
      <c r="G9" s="2402">
        <v>15.2</v>
      </c>
    </row>
    <row r="10" spans="1:10" x14ac:dyDescent="0.2">
      <c r="A10" s="2400" t="s">
        <v>2455</v>
      </c>
      <c r="B10" s="2400" t="s">
        <v>2456</v>
      </c>
      <c r="C10" s="2401">
        <v>3</v>
      </c>
      <c r="D10" s="3495">
        <v>6.97</v>
      </c>
      <c r="E10" s="2401">
        <v>234.68</v>
      </c>
      <c r="F10" s="2401">
        <v>52.29</v>
      </c>
      <c r="G10" s="2402">
        <v>18</v>
      </c>
    </row>
    <row r="11" spans="1:10" x14ac:dyDescent="0.2">
      <c r="A11" s="2400" t="s">
        <v>2457</v>
      </c>
      <c r="B11" s="2400" t="s">
        <v>2458</v>
      </c>
      <c r="C11" s="2401">
        <v>0</v>
      </c>
      <c r="D11" s="3495">
        <v>0.02</v>
      </c>
      <c r="E11" s="2401">
        <v>283</v>
      </c>
      <c r="F11" s="2401"/>
      <c r="G11" s="2402"/>
    </row>
    <row r="12" spans="1:10" x14ac:dyDescent="0.2">
      <c r="A12" s="2400" t="s">
        <v>2459</v>
      </c>
      <c r="B12" s="2400" t="s">
        <v>2460</v>
      </c>
      <c r="C12" s="2401">
        <v>41</v>
      </c>
      <c r="D12" s="3495">
        <v>7662.74</v>
      </c>
      <c r="E12" s="2401">
        <v>307.79000000000002</v>
      </c>
      <c r="F12" s="2401">
        <v>130.56</v>
      </c>
      <c r="G12" s="2402">
        <v>15.2</v>
      </c>
    </row>
    <row r="13" spans="1:10" x14ac:dyDescent="0.2">
      <c r="A13" s="2400" t="s">
        <v>2461</v>
      </c>
      <c r="B13" s="2400" t="s">
        <v>2462</v>
      </c>
      <c r="C13" s="2401">
        <v>0</v>
      </c>
      <c r="D13" s="3495">
        <v>103.27</v>
      </c>
      <c r="E13" s="2401">
        <v>283</v>
      </c>
      <c r="F13" s="2401"/>
      <c r="G13" s="2402"/>
    </row>
    <row r="14" spans="1:10" x14ac:dyDescent="0.2">
      <c r="A14" s="2400" t="s">
        <v>2463</v>
      </c>
      <c r="B14" s="2400" t="s">
        <v>2464</v>
      </c>
      <c r="C14" s="2401">
        <v>0</v>
      </c>
      <c r="D14" s="3495">
        <v>320.04000000000002</v>
      </c>
      <c r="E14" s="2401">
        <v>283</v>
      </c>
      <c r="F14" s="2401"/>
      <c r="G14" s="2402"/>
    </row>
    <row r="15" spans="1:10" x14ac:dyDescent="0.2">
      <c r="A15" s="2400" t="s">
        <v>2465</v>
      </c>
      <c r="B15" s="2400" t="s">
        <v>2466</v>
      </c>
      <c r="C15" s="2401">
        <v>6</v>
      </c>
      <c r="D15" s="3495">
        <v>1112.53</v>
      </c>
      <c r="E15" s="2401">
        <v>596.64</v>
      </c>
      <c r="F15" s="2401">
        <v>347.69</v>
      </c>
      <c r="G15" s="2402">
        <v>15.5</v>
      </c>
    </row>
    <row r="16" spans="1:10" x14ac:dyDescent="0.2">
      <c r="A16" s="2400" t="s">
        <v>2467</v>
      </c>
      <c r="B16" s="2400" t="s">
        <v>2468</v>
      </c>
      <c r="C16" s="2401">
        <v>34</v>
      </c>
      <c r="D16" s="3495">
        <v>30.68</v>
      </c>
      <c r="E16" s="2401">
        <v>186.18</v>
      </c>
      <c r="F16" s="2401">
        <v>67.290000000000006</v>
      </c>
      <c r="G16" s="2402">
        <v>13.6</v>
      </c>
    </row>
    <row r="17" spans="1:7" x14ac:dyDescent="0.2">
      <c r="A17" s="2400" t="s">
        <v>2469</v>
      </c>
      <c r="B17" s="2400" t="s">
        <v>2470</v>
      </c>
      <c r="C17" s="2401">
        <v>4</v>
      </c>
      <c r="D17" s="3495">
        <v>1671.68</v>
      </c>
      <c r="E17" s="2401">
        <v>448.93</v>
      </c>
      <c r="F17" s="2401">
        <v>164.23</v>
      </c>
      <c r="G17" s="2402">
        <v>13</v>
      </c>
    </row>
    <row r="18" spans="1:7" x14ac:dyDescent="0.2">
      <c r="A18" s="2400" t="s">
        <v>2471</v>
      </c>
      <c r="B18" s="2400" t="s">
        <v>2472</v>
      </c>
      <c r="C18" s="2401">
        <v>0</v>
      </c>
      <c r="D18" s="3495">
        <v>0.72</v>
      </c>
      <c r="E18" s="2401">
        <v>283</v>
      </c>
      <c r="F18" s="2401"/>
      <c r="G18" s="2402"/>
    </row>
    <row r="19" spans="1:7" x14ac:dyDescent="0.2">
      <c r="A19" s="2400" t="s">
        <v>2473</v>
      </c>
      <c r="B19" s="2400" t="s">
        <v>2474</v>
      </c>
      <c r="C19" s="2401">
        <v>3</v>
      </c>
      <c r="D19" s="3495">
        <v>70.400000000000006</v>
      </c>
      <c r="E19" s="2401">
        <v>470.1</v>
      </c>
      <c r="F19" s="2401">
        <v>384.74</v>
      </c>
      <c r="G19" s="2402">
        <v>16.3</v>
      </c>
    </row>
    <row r="20" spans="1:7" x14ac:dyDescent="0.2">
      <c r="A20" s="2400" t="s">
        <v>2475</v>
      </c>
      <c r="B20" s="2400" t="s">
        <v>2476</v>
      </c>
      <c r="C20" s="2401">
        <v>0</v>
      </c>
      <c r="D20" s="3495">
        <v>334.99</v>
      </c>
      <c r="E20" s="2401">
        <v>283</v>
      </c>
      <c r="F20" s="2401"/>
      <c r="G20" s="2402"/>
    </row>
    <row r="21" spans="1:7" x14ac:dyDescent="0.2">
      <c r="A21" s="2400" t="s">
        <v>2477</v>
      </c>
      <c r="B21" s="2400" t="s">
        <v>2478</v>
      </c>
      <c r="C21" s="2401">
        <v>0</v>
      </c>
      <c r="D21" s="3495">
        <v>22.52</v>
      </c>
      <c r="E21" s="2401">
        <v>283</v>
      </c>
      <c r="F21" s="2401"/>
      <c r="G21" s="2402">
        <v>0</v>
      </c>
    </row>
    <row r="22" spans="1:7" x14ac:dyDescent="0.2">
      <c r="A22" s="2400" t="s">
        <v>2479</v>
      </c>
      <c r="B22" s="2400" t="s">
        <v>2480</v>
      </c>
      <c r="C22" s="2401">
        <v>0</v>
      </c>
      <c r="D22" s="3495">
        <v>1624.23</v>
      </c>
      <c r="E22" s="2401">
        <v>283</v>
      </c>
      <c r="F22" s="2401"/>
      <c r="G22" s="2402"/>
    </row>
    <row r="23" spans="1:7" x14ac:dyDescent="0.2">
      <c r="A23" s="2400" t="s">
        <v>2481</v>
      </c>
      <c r="B23" s="2400" t="s">
        <v>2482</v>
      </c>
      <c r="C23" s="2401">
        <v>3</v>
      </c>
      <c r="D23" s="3495">
        <v>146.09</v>
      </c>
      <c r="E23" s="2401">
        <v>935.67</v>
      </c>
      <c r="F23" s="2401">
        <v>84.72</v>
      </c>
      <c r="G23" s="2402"/>
    </row>
    <row r="24" spans="1:7" x14ac:dyDescent="0.2">
      <c r="A24" s="2400" t="s">
        <v>2483</v>
      </c>
      <c r="B24" s="2400" t="s">
        <v>2484</v>
      </c>
      <c r="C24" s="2401">
        <v>0</v>
      </c>
      <c r="D24" s="3495">
        <v>0.17</v>
      </c>
      <c r="E24" s="2401">
        <v>283</v>
      </c>
      <c r="F24" s="2401"/>
      <c r="G24" s="2402"/>
    </row>
    <row r="25" spans="1:7" x14ac:dyDescent="0.2">
      <c r="A25" s="2400" t="s">
        <v>2485</v>
      </c>
      <c r="B25" s="2400" t="s">
        <v>2486</v>
      </c>
      <c r="C25" s="2401">
        <v>9</v>
      </c>
      <c r="D25" s="3495">
        <v>100.63</v>
      </c>
      <c r="E25" s="2401">
        <v>419.08</v>
      </c>
      <c r="F25" s="2401">
        <v>88.3</v>
      </c>
      <c r="G25" s="2402">
        <v>19</v>
      </c>
    </row>
    <row r="26" spans="1:7" x14ac:dyDescent="0.2">
      <c r="A26" s="2400" t="s">
        <v>2487</v>
      </c>
      <c r="B26" s="2400" t="s">
        <v>2488</v>
      </c>
      <c r="C26" s="2401">
        <v>12</v>
      </c>
      <c r="D26" s="3495">
        <v>935.4</v>
      </c>
      <c r="E26" s="2401">
        <v>327.02999999999997</v>
      </c>
      <c r="F26" s="2401">
        <v>60.58</v>
      </c>
      <c r="G26" s="2402">
        <v>13.5</v>
      </c>
    </row>
    <row r="27" spans="1:7" x14ac:dyDescent="0.2">
      <c r="A27" s="2400" t="s">
        <v>2489</v>
      </c>
      <c r="B27" s="2400" t="s">
        <v>2490</v>
      </c>
      <c r="C27" s="2401">
        <v>43</v>
      </c>
      <c r="D27" s="3495">
        <v>0.01</v>
      </c>
      <c r="E27" s="2401">
        <v>184.75</v>
      </c>
      <c r="F27" s="2401">
        <v>54.79</v>
      </c>
      <c r="G27" s="2402">
        <v>12.2</v>
      </c>
    </row>
    <row r="28" spans="1:7" x14ac:dyDescent="0.2">
      <c r="A28" s="2400" t="s">
        <v>2491</v>
      </c>
      <c r="B28" s="2400" t="s">
        <v>2492</v>
      </c>
      <c r="C28" s="2401">
        <v>0</v>
      </c>
      <c r="D28" s="3495">
        <v>236.01</v>
      </c>
      <c r="E28" s="2401">
        <v>283</v>
      </c>
      <c r="F28" s="2401"/>
      <c r="G28" s="2402">
        <v>0</v>
      </c>
    </row>
    <row r="29" spans="1:7" x14ac:dyDescent="0.2">
      <c r="A29" s="2400" t="s">
        <v>2493</v>
      </c>
      <c r="B29" s="2400" t="s">
        <v>2494</v>
      </c>
      <c r="C29" s="2401">
        <v>0</v>
      </c>
      <c r="D29" s="3495">
        <v>155</v>
      </c>
      <c r="E29" s="2401">
        <v>283</v>
      </c>
      <c r="F29" s="2401"/>
      <c r="G29" s="2402">
        <v>0</v>
      </c>
    </row>
    <row r="30" spans="1:7" x14ac:dyDescent="0.2">
      <c r="A30" s="2400" t="s">
        <v>2495</v>
      </c>
      <c r="B30" s="2400" t="s">
        <v>2496</v>
      </c>
      <c r="C30" s="2401">
        <v>0</v>
      </c>
      <c r="D30" s="3495">
        <v>1.28</v>
      </c>
      <c r="E30" s="2401">
        <v>283</v>
      </c>
      <c r="F30" s="2401"/>
      <c r="G30" s="2402">
        <v>0</v>
      </c>
    </row>
    <row r="31" spans="1:7" x14ac:dyDescent="0.2">
      <c r="A31" s="2400" t="s">
        <v>2497</v>
      </c>
      <c r="B31" s="2400" t="s">
        <v>2498</v>
      </c>
      <c r="C31" s="2401">
        <v>0</v>
      </c>
      <c r="D31" s="3495">
        <v>400.77</v>
      </c>
      <c r="E31" s="2401">
        <v>283</v>
      </c>
      <c r="F31" s="2401"/>
      <c r="G31" s="2402">
        <v>0</v>
      </c>
    </row>
    <row r="32" spans="1:7" x14ac:dyDescent="0.2">
      <c r="A32" s="2400" t="s">
        <v>2499</v>
      </c>
      <c r="B32" s="2400" t="s">
        <v>2500</v>
      </c>
      <c r="C32" s="2401">
        <v>31</v>
      </c>
      <c r="D32" s="3495">
        <v>697.78</v>
      </c>
      <c r="E32" s="2401">
        <v>185.35</v>
      </c>
      <c r="F32" s="2401">
        <v>129.05000000000001</v>
      </c>
      <c r="G32" s="2402">
        <v>15.9</v>
      </c>
    </row>
    <row r="33" spans="1:7" x14ac:dyDescent="0.2">
      <c r="A33" s="2400" t="s">
        <v>2501</v>
      </c>
      <c r="B33" s="2400" t="s">
        <v>2502</v>
      </c>
      <c r="C33" s="2401">
        <v>3</v>
      </c>
      <c r="D33" s="3495">
        <v>1081.23</v>
      </c>
      <c r="E33" s="2401">
        <v>736.07</v>
      </c>
      <c r="F33" s="2401">
        <v>192.43</v>
      </c>
      <c r="G33" s="2402">
        <v>17</v>
      </c>
    </row>
    <row r="34" spans="1:7" x14ac:dyDescent="0.2">
      <c r="A34" s="2400" t="s">
        <v>2503</v>
      </c>
      <c r="B34" s="2400" t="s">
        <v>2504</v>
      </c>
      <c r="C34" s="2401">
        <v>0</v>
      </c>
      <c r="D34" s="3495">
        <v>48.05</v>
      </c>
      <c r="E34" s="2401">
        <v>283</v>
      </c>
      <c r="F34" s="2401"/>
      <c r="G34" s="2402">
        <v>0</v>
      </c>
    </row>
    <row r="35" spans="1:7" x14ac:dyDescent="0.2">
      <c r="A35" s="2400" t="s">
        <v>2505</v>
      </c>
      <c r="B35" s="2400" t="s">
        <v>2506</v>
      </c>
      <c r="C35" s="2401">
        <v>3</v>
      </c>
      <c r="D35" s="3495">
        <v>23.36</v>
      </c>
      <c r="E35" s="2401">
        <v>245.36</v>
      </c>
      <c r="F35" s="2401">
        <v>39.76</v>
      </c>
      <c r="G35" s="2402">
        <v>13</v>
      </c>
    </row>
    <row r="36" spans="1:7" x14ac:dyDescent="0.2">
      <c r="A36" s="2400" t="s">
        <v>2507</v>
      </c>
      <c r="B36" s="2400" t="s">
        <v>2508</v>
      </c>
      <c r="C36" s="2401">
        <v>0</v>
      </c>
      <c r="D36" s="3495">
        <v>1.0900000000000001</v>
      </c>
      <c r="E36" s="2401">
        <v>283</v>
      </c>
      <c r="F36" s="2401"/>
      <c r="G36" s="2402">
        <v>0</v>
      </c>
    </row>
    <row r="37" spans="1:7" x14ac:dyDescent="0.2">
      <c r="A37" s="2400" t="s">
        <v>2509</v>
      </c>
      <c r="B37" s="2400" t="s">
        <v>2500</v>
      </c>
      <c r="C37" s="2401">
        <v>31</v>
      </c>
      <c r="D37" s="3495">
        <v>697.78</v>
      </c>
      <c r="E37" s="2401">
        <v>185.35</v>
      </c>
      <c r="F37" s="2401">
        <v>129.05000000000001</v>
      </c>
      <c r="G37" s="2402">
        <v>15.9</v>
      </c>
    </row>
    <row r="38" spans="1:7" x14ac:dyDescent="0.2">
      <c r="A38" s="2400" t="s">
        <v>2510</v>
      </c>
      <c r="B38" s="2400" t="s">
        <v>2511</v>
      </c>
      <c r="C38" s="2401">
        <v>0</v>
      </c>
      <c r="D38" s="3495">
        <v>253.01</v>
      </c>
      <c r="E38" s="2401">
        <v>283</v>
      </c>
      <c r="F38" s="2401"/>
      <c r="G38" s="2402">
        <v>0</v>
      </c>
    </row>
    <row r="39" spans="1:7" x14ac:dyDescent="0.2">
      <c r="A39" s="2400" t="s">
        <v>2512</v>
      </c>
      <c r="B39" s="2400" t="s">
        <v>2513</v>
      </c>
      <c r="C39" s="2401">
        <v>0</v>
      </c>
      <c r="D39" s="3495">
        <v>819.86</v>
      </c>
      <c r="E39" s="2401">
        <v>283</v>
      </c>
      <c r="F39" s="2401"/>
      <c r="G39" s="2402">
        <v>0</v>
      </c>
    </row>
    <row r="40" spans="1:7" x14ac:dyDescent="0.2">
      <c r="A40" s="2400" t="s">
        <v>2514</v>
      </c>
      <c r="B40" s="2400" t="s">
        <v>2515</v>
      </c>
      <c r="C40" s="2401">
        <v>2</v>
      </c>
      <c r="D40" s="3495">
        <v>744.71</v>
      </c>
      <c r="E40" s="2401">
        <v>125.55</v>
      </c>
      <c r="F40" s="2401">
        <v>56.36</v>
      </c>
      <c r="G40" s="2402">
        <v>18</v>
      </c>
    </row>
    <row r="41" spans="1:7" x14ac:dyDescent="0.2">
      <c r="A41" s="2400" t="s">
        <v>2516</v>
      </c>
      <c r="B41" s="2400" t="s">
        <v>2517</v>
      </c>
      <c r="C41" s="2401">
        <v>0</v>
      </c>
      <c r="D41" s="3495">
        <v>187.7</v>
      </c>
      <c r="E41" s="2401">
        <v>283</v>
      </c>
      <c r="F41" s="2401"/>
      <c r="G41" s="2402">
        <v>0</v>
      </c>
    </row>
    <row r="42" spans="1:7" x14ac:dyDescent="0.2">
      <c r="A42" s="2400" t="s">
        <v>2518</v>
      </c>
      <c r="B42" s="2400" t="s">
        <v>2519</v>
      </c>
      <c r="C42" s="2401">
        <v>0</v>
      </c>
      <c r="D42" s="3495">
        <v>42.31</v>
      </c>
      <c r="E42" s="2401">
        <v>283</v>
      </c>
      <c r="F42" s="2401"/>
      <c r="G42" s="2402">
        <v>0</v>
      </c>
    </row>
    <row r="43" spans="1:7" x14ac:dyDescent="0.2">
      <c r="A43" s="2400" t="s">
        <v>2520</v>
      </c>
      <c r="B43" s="2400" t="s">
        <v>2521</v>
      </c>
      <c r="C43" s="2401">
        <v>18</v>
      </c>
      <c r="D43" s="3495">
        <v>523.61</v>
      </c>
      <c r="E43" s="2401">
        <v>397.34</v>
      </c>
      <c r="F43" s="2401">
        <v>141.93</v>
      </c>
      <c r="G43" s="2402">
        <v>17</v>
      </c>
    </row>
    <row r="44" spans="1:7" x14ac:dyDescent="0.2">
      <c r="A44" s="2400" t="s">
        <v>2522</v>
      </c>
      <c r="B44" s="2400" t="s">
        <v>2523</v>
      </c>
      <c r="C44" s="2401">
        <v>160</v>
      </c>
      <c r="D44" s="3495">
        <v>791.4</v>
      </c>
      <c r="E44" s="2401">
        <v>252.58</v>
      </c>
      <c r="F44" s="2401">
        <v>90.51</v>
      </c>
      <c r="G44" s="2402">
        <v>13.4</v>
      </c>
    </row>
    <row r="45" spans="1:7" x14ac:dyDescent="0.2">
      <c r="A45" s="2400" t="s">
        <v>2524</v>
      </c>
      <c r="B45" s="2400" t="s">
        <v>2525</v>
      </c>
      <c r="C45" s="2401">
        <v>40</v>
      </c>
      <c r="D45" s="3495">
        <v>23142.77</v>
      </c>
      <c r="E45" s="2401">
        <v>359.19</v>
      </c>
      <c r="F45" s="2401">
        <v>180.68</v>
      </c>
      <c r="G45" s="2402">
        <v>14.1</v>
      </c>
    </row>
    <row r="46" spans="1:7" x14ac:dyDescent="0.2">
      <c r="A46" s="2400" t="s">
        <v>2526</v>
      </c>
      <c r="B46" s="2400" t="s">
        <v>2527</v>
      </c>
      <c r="C46" s="2401">
        <v>0</v>
      </c>
      <c r="D46" s="3495">
        <v>0.04</v>
      </c>
      <c r="E46" s="2401">
        <v>283</v>
      </c>
      <c r="F46" s="2401"/>
      <c r="G46" s="2402">
        <v>0</v>
      </c>
    </row>
    <row r="47" spans="1:7" x14ac:dyDescent="0.2">
      <c r="A47" s="2400" t="s">
        <v>2528</v>
      </c>
      <c r="B47" s="2400" t="s">
        <v>2529</v>
      </c>
      <c r="C47" s="2401">
        <v>0</v>
      </c>
      <c r="D47" s="3495">
        <v>43.74</v>
      </c>
      <c r="E47" s="2401">
        <v>283</v>
      </c>
      <c r="F47" s="2401"/>
      <c r="G47" s="2402">
        <v>0</v>
      </c>
    </row>
    <row r="48" spans="1:7" x14ac:dyDescent="0.2">
      <c r="A48" s="2400" t="s">
        <v>2530</v>
      </c>
      <c r="B48" s="2400" t="s">
        <v>2531</v>
      </c>
      <c r="C48" s="2401">
        <v>47</v>
      </c>
      <c r="D48" s="3495">
        <v>7.84</v>
      </c>
      <c r="E48" s="2401">
        <v>273.99</v>
      </c>
      <c r="F48" s="2401">
        <v>135.51</v>
      </c>
      <c r="G48" s="2402">
        <v>12.8</v>
      </c>
    </row>
    <row r="49" spans="1:8" x14ac:dyDescent="0.2">
      <c r="A49" s="2400" t="s">
        <v>2532</v>
      </c>
      <c r="B49" s="2400" t="s">
        <v>2533</v>
      </c>
      <c r="C49" s="2401">
        <v>48</v>
      </c>
      <c r="D49" s="3495">
        <v>230.01</v>
      </c>
      <c r="E49" s="2401">
        <v>445.92</v>
      </c>
      <c r="F49" s="2401">
        <v>422.41</v>
      </c>
      <c r="G49" s="2402">
        <v>16.100000000000001</v>
      </c>
    </row>
    <row r="50" spans="1:8" x14ac:dyDescent="0.2">
      <c r="A50" s="2400" t="s">
        <v>2534</v>
      </c>
      <c r="B50" s="2400" t="s">
        <v>2535</v>
      </c>
      <c r="C50" s="2401">
        <v>0</v>
      </c>
      <c r="D50" s="3495">
        <v>46.97</v>
      </c>
      <c r="E50" s="2401">
        <v>283</v>
      </c>
      <c r="F50" s="2401"/>
      <c r="G50" s="2402">
        <v>0</v>
      </c>
    </row>
    <row r="51" spans="1:8" x14ac:dyDescent="0.2">
      <c r="A51" s="2400" t="s">
        <v>2536</v>
      </c>
      <c r="B51" s="2400" t="s">
        <v>2537</v>
      </c>
      <c r="C51" s="2401">
        <v>7</v>
      </c>
      <c r="D51" s="3495">
        <v>849.56</v>
      </c>
      <c r="E51" s="2401">
        <v>166.58</v>
      </c>
      <c r="F51" s="2401">
        <v>74.510000000000005</v>
      </c>
      <c r="G51" s="2402">
        <v>16.7</v>
      </c>
    </row>
    <row r="52" spans="1:8" x14ac:dyDescent="0.2">
      <c r="A52" s="2400" t="s">
        <v>2538</v>
      </c>
      <c r="B52" s="2400" t="s">
        <v>2539</v>
      </c>
      <c r="C52" s="2401">
        <v>35</v>
      </c>
      <c r="D52" s="3495">
        <v>4691.5</v>
      </c>
      <c r="E52" s="2401">
        <v>424.37</v>
      </c>
      <c r="F52" s="2401">
        <v>399.78</v>
      </c>
      <c r="G52" s="2402">
        <v>13.8</v>
      </c>
    </row>
    <row r="53" spans="1:8" x14ac:dyDescent="0.2">
      <c r="A53" s="2400" t="s">
        <v>2540</v>
      </c>
      <c r="B53" s="2400" t="s">
        <v>2541</v>
      </c>
      <c r="C53" s="2401">
        <v>0</v>
      </c>
      <c r="D53" s="3495">
        <v>0.3</v>
      </c>
      <c r="E53" s="2401">
        <v>283</v>
      </c>
      <c r="F53" s="2401"/>
      <c r="G53" s="2402">
        <v>0</v>
      </c>
    </row>
    <row r="54" spans="1:8" x14ac:dyDescent="0.2">
      <c r="A54" s="2400" t="s">
        <v>2542</v>
      </c>
      <c r="B54" s="2400" t="s">
        <v>2543</v>
      </c>
      <c r="C54" s="2401">
        <v>38</v>
      </c>
      <c r="D54" s="3495">
        <v>2985.02</v>
      </c>
      <c r="E54" s="2401">
        <v>370.35</v>
      </c>
      <c r="F54" s="2401">
        <v>176.16</v>
      </c>
      <c r="G54" s="2402">
        <v>16.2</v>
      </c>
    </row>
    <row r="55" spans="1:8" x14ac:dyDescent="0.2">
      <c r="A55" s="2400" t="s">
        <v>2544</v>
      </c>
      <c r="B55" s="2400" t="s">
        <v>2545</v>
      </c>
      <c r="C55" s="2401">
        <v>27</v>
      </c>
      <c r="D55" s="3495">
        <v>6.92</v>
      </c>
      <c r="E55" s="2401">
        <v>453.28</v>
      </c>
      <c r="F55" s="2401">
        <v>243.65</v>
      </c>
      <c r="G55" s="2402">
        <v>15.3</v>
      </c>
    </row>
    <row r="56" spans="1:8" x14ac:dyDescent="0.2">
      <c r="A56" s="2400" t="s">
        <v>2546</v>
      </c>
      <c r="B56" s="2403" t="s">
        <v>2547</v>
      </c>
      <c r="C56" s="2404">
        <v>0</v>
      </c>
      <c r="D56" s="3496">
        <v>0.28999999999999998</v>
      </c>
      <c r="E56" s="2404">
        <v>283</v>
      </c>
      <c r="F56" s="2404"/>
      <c r="G56" s="2405">
        <v>0</v>
      </c>
    </row>
    <row r="57" spans="1:8" x14ac:dyDescent="0.2">
      <c r="A57" s="2400" t="s">
        <v>2548</v>
      </c>
      <c r="B57" s="2403" t="s">
        <v>2549</v>
      </c>
      <c r="C57" s="2404">
        <v>6</v>
      </c>
      <c r="D57" s="3496">
        <v>1223.1600000000001</v>
      </c>
      <c r="E57" s="2404">
        <v>153.07</v>
      </c>
      <c r="F57" s="2404">
        <v>7.45</v>
      </c>
      <c r="G57" s="2405">
        <v>17</v>
      </c>
      <c r="H57" s="681"/>
    </row>
    <row r="58" spans="1:8" x14ac:dyDescent="0.2">
      <c r="A58" s="2400" t="s">
        <v>2550</v>
      </c>
      <c r="B58" s="2403" t="s">
        <v>2551</v>
      </c>
      <c r="C58" s="2404">
        <v>0</v>
      </c>
      <c r="D58" s="3496">
        <v>2508.25</v>
      </c>
      <c r="E58" s="2404">
        <v>283</v>
      </c>
      <c r="F58" s="2404"/>
      <c r="G58" s="2405">
        <v>0</v>
      </c>
    </row>
    <row r="59" spans="1:8" x14ac:dyDescent="0.2">
      <c r="A59" s="2400" t="s">
        <v>2552</v>
      </c>
      <c r="B59" s="2403" t="s">
        <v>2553</v>
      </c>
      <c r="C59" s="2404">
        <v>7</v>
      </c>
      <c r="D59" s="3496">
        <v>97.87</v>
      </c>
      <c r="E59" s="2404">
        <v>400.65</v>
      </c>
      <c r="F59" s="2404">
        <v>75.72</v>
      </c>
      <c r="G59" s="2405">
        <v>14.4</v>
      </c>
    </row>
    <row r="60" spans="1:8" x14ac:dyDescent="0.2">
      <c r="A60" s="2400" t="s">
        <v>2554</v>
      </c>
      <c r="B60" s="2403" t="s">
        <v>2555</v>
      </c>
      <c r="C60" s="2404">
        <v>92</v>
      </c>
      <c r="D60" s="3496">
        <v>77.349999999999994</v>
      </c>
      <c r="E60" s="2404">
        <v>208.94</v>
      </c>
      <c r="F60" s="2404">
        <v>52.34</v>
      </c>
      <c r="G60" s="2405">
        <v>14.4</v>
      </c>
    </row>
    <row r="61" spans="1:8" x14ac:dyDescent="0.2">
      <c r="A61" s="2400" t="s">
        <v>2556</v>
      </c>
      <c r="B61" s="2403" t="s">
        <v>2557</v>
      </c>
      <c r="C61" s="2404">
        <v>0</v>
      </c>
      <c r="D61" s="3496">
        <v>552.22</v>
      </c>
      <c r="E61" s="2404">
        <v>283</v>
      </c>
      <c r="F61" s="2404"/>
      <c r="G61" s="2405">
        <v>0</v>
      </c>
    </row>
    <row r="62" spans="1:8" x14ac:dyDescent="0.2">
      <c r="A62" s="2400" t="s">
        <v>2558</v>
      </c>
      <c r="B62" s="2403" t="s">
        <v>2559</v>
      </c>
      <c r="C62" s="2404">
        <v>11</v>
      </c>
      <c r="D62" s="3496">
        <v>2653.32</v>
      </c>
      <c r="E62" s="2404">
        <v>234.74</v>
      </c>
      <c r="F62" s="2404">
        <v>44.07</v>
      </c>
      <c r="G62" s="2405">
        <v>15</v>
      </c>
    </row>
    <row r="63" spans="1:8" x14ac:dyDescent="0.2">
      <c r="A63" s="2400" t="s">
        <v>2560</v>
      </c>
      <c r="B63" s="2403" t="s">
        <v>2561</v>
      </c>
      <c r="C63" s="2404">
        <v>0</v>
      </c>
      <c r="D63" s="3496">
        <v>0.02</v>
      </c>
      <c r="E63" s="2404">
        <v>283</v>
      </c>
      <c r="F63" s="2404"/>
      <c r="G63" s="2405">
        <v>0</v>
      </c>
    </row>
    <row r="64" spans="1:8" x14ac:dyDescent="0.2">
      <c r="A64" s="2400" t="s">
        <v>2562</v>
      </c>
      <c r="B64" s="2403" t="s">
        <v>2563</v>
      </c>
      <c r="C64" s="2404">
        <v>3</v>
      </c>
      <c r="D64" s="3496">
        <v>11.66</v>
      </c>
      <c r="E64" s="2404">
        <v>180.53</v>
      </c>
      <c r="F64" s="2404">
        <v>6.86</v>
      </c>
      <c r="G64" s="2405">
        <v>11</v>
      </c>
    </row>
    <row r="65" spans="1:8" x14ac:dyDescent="0.2">
      <c r="A65" s="2400" t="s">
        <v>2564</v>
      </c>
      <c r="B65" s="2403" t="s">
        <v>2565</v>
      </c>
      <c r="C65" s="2404">
        <v>7</v>
      </c>
      <c r="D65" s="3496">
        <v>47.87</v>
      </c>
      <c r="E65" s="2404">
        <v>481.92</v>
      </c>
      <c r="F65" s="2404">
        <v>84.12</v>
      </c>
      <c r="G65" s="2405">
        <v>15.7</v>
      </c>
    </row>
    <row r="66" spans="1:8" x14ac:dyDescent="0.2">
      <c r="A66" s="2400" t="s">
        <v>2566</v>
      </c>
      <c r="B66" s="2403" t="s">
        <v>2567</v>
      </c>
      <c r="C66" s="2404">
        <v>10</v>
      </c>
      <c r="D66" s="3496">
        <v>1323.06</v>
      </c>
      <c r="E66" s="2404">
        <v>298.95</v>
      </c>
      <c r="F66" s="2404">
        <v>46.43</v>
      </c>
      <c r="G66" s="2405">
        <v>12</v>
      </c>
    </row>
    <row r="67" spans="1:8" x14ac:dyDescent="0.2">
      <c r="A67" s="2400" t="s">
        <v>2568</v>
      </c>
      <c r="B67" s="2403" t="s">
        <v>2569</v>
      </c>
      <c r="C67" s="2404">
        <v>6</v>
      </c>
      <c r="D67" s="3496">
        <v>4169.04</v>
      </c>
      <c r="E67" s="2404">
        <v>140.38</v>
      </c>
      <c r="F67" s="2404">
        <v>25.04</v>
      </c>
      <c r="G67" s="2405">
        <v>11</v>
      </c>
    </row>
    <row r="68" spans="1:8" x14ac:dyDescent="0.2">
      <c r="A68" s="2400" t="s">
        <v>2570</v>
      </c>
      <c r="B68" s="2403" t="s">
        <v>2571</v>
      </c>
      <c r="C68" s="2404">
        <v>0</v>
      </c>
      <c r="D68" s="3496">
        <v>14.33</v>
      </c>
      <c r="E68" s="2404">
        <v>283</v>
      </c>
      <c r="F68" s="2404"/>
      <c r="G68" s="2405">
        <v>0</v>
      </c>
    </row>
    <row r="69" spans="1:8" x14ac:dyDescent="0.2">
      <c r="A69" s="2400" t="s">
        <v>2572</v>
      </c>
      <c r="B69" s="2403" t="s">
        <v>2573</v>
      </c>
      <c r="C69" s="2404">
        <v>8</v>
      </c>
      <c r="D69" s="3496">
        <v>2059.75</v>
      </c>
      <c r="E69" s="2404">
        <v>227.23</v>
      </c>
      <c r="F69" s="2404">
        <v>162.13999999999999</v>
      </c>
      <c r="G69" s="2405">
        <v>15</v>
      </c>
      <c r="H69" s="681"/>
    </row>
    <row r="70" spans="1:8" x14ac:dyDescent="0.2">
      <c r="A70" s="2400" t="s">
        <v>2574</v>
      </c>
      <c r="B70" s="2403" t="s">
        <v>2575</v>
      </c>
      <c r="C70" s="2404">
        <v>0</v>
      </c>
      <c r="D70" s="3496">
        <v>45.94</v>
      </c>
      <c r="E70" s="2404">
        <v>283</v>
      </c>
      <c r="F70" s="2404"/>
      <c r="G70" s="2405">
        <v>0</v>
      </c>
    </row>
    <row r="71" spans="1:8" x14ac:dyDescent="0.2">
      <c r="A71" s="2400" t="s">
        <v>2576</v>
      </c>
      <c r="B71" s="2403" t="s">
        <v>2577</v>
      </c>
      <c r="C71" s="2404">
        <v>31</v>
      </c>
      <c r="D71" s="3496">
        <v>0.33</v>
      </c>
      <c r="E71" s="2404">
        <v>71.47</v>
      </c>
      <c r="F71" s="2404">
        <v>52.74</v>
      </c>
      <c r="G71" s="2405">
        <v>12</v>
      </c>
    </row>
    <row r="72" spans="1:8" x14ac:dyDescent="0.2">
      <c r="A72" s="2400" t="s">
        <v>2578</v>
      </c>
      <c r="B72" s="2403" t="s">
        <v>2579</v>
      </c>
      <c r="C72" s="2404">
        <v>2</v>
      </c>
      <c r="D72" s="3496">
        <v>155.32</v>
      </c>
      <c r="E72" s="2404">
        <v>138.91999999999999</v>
      </c>
      <c r="F72" s="2404">
        <v>70.650000000000006</v>
      </c>
      <c r="G72" s="2405">
        <v>14</v>
      </c>
    </row>
    <row r="73" spans="1:8" x14ac:dyDescent="0.2">
      <c r="A73" s="2400" t="s">
        <v>2580</v>
      </c>
      <c r="B73" s="2403" t="s">
        <v>2581</v>
      </c>
      <c r="C73" s="2404">
        <v>0</v>
      </c>
      <c r="D73" s="3496">
        <v>5.41</v>
      </c>
      <c r="E73" s="2404">
        <v>283</v>
      </c>
      <c r="F73" s="2404"/>
      <c r="G73" s="2405">
        <v>0</v>
      </c>
    </row>
    <row r="74" spans="1:8" x14ac:dyDescent="0.2">
      <c r="A74" s="2400" t="s">
        <v>2582</v>
      </c>
      <c r="B74" s="2403" t="s">
        <v>2583</v>
      </c>
      <c r="C74" s="2404">
        <v>0</v>
      </c>
      <c r="D74" s="3496">
        <v>655.32000000000005</v>
      </c>
      <c r="E74" s="2404">
        <v>283</v>
      </c>
      <c r="F74" s="2404"/>
      <c r="G74" s="2405">
        <v>0</v>
      </c>
    </row>
    <row r="75" spans="1:8" x14ac:dyDescent="0.2">
      <c r="A75" s="2400" t="s">
        <v>2584</v>
      </c>
      <c r="B75" s="2403" t="s">
        <v>2585</v>
      </c>
      <c r="C75" s="2404">
        <v>1</v>
      </c>
      <c r="D75" s="3496">
        <v>1.67</v>
      </c>
      <c r="E75" s="2404">
        <v>329.66</v>
      </c>
      <c r="F75" s="2404"/>
      <c r="G75" s="2405">
        <v>18</v>
      </c>
    </row>
    <row r="76" spans="1:8" x14ac:dyDescent="0.2">
      <c r="A76" s="2400" t="s">
        <v>2586</v>
      </c>
      <c r="B76" s="2403" t="s">
        <v>2587</v>
      </c>
      <c r="C76" s="2404">
        <v>0</v>
      </c>
      <c r="D76" s="3496">
        <v>392.6</v>
      </c>
      <c r="E76" s="2404">
        <v>283</v>
      </c>
      <c r="F76" s="2404"/>
      <c r="G76" s="2405">
        <v>0</v>
      </c>
    </row>
    <row r="77" spans="1:8" x14ac:dyDescent="0.2">
      <c r="A77" s="2400" t="s">
        <v>2588</v>
      </c>
      <c r="B77" s="2403" t="s">
        <v>2589</v>
      </c>
      <c r="C77" s="2404">
        <v>0</v>
      </c>
      <c r="D77" s="3496">
        <v>7.83</v>
      </c>
      <c r="E77" s="2404">
        <v>283</v>
      </c>
      <c r="F77" s="2404"/>
      <c r="G77" s="2405">
        <v>0</v>
      </c>
    </row>
    <row r="78" spans="1:8" x14ac:dyDescent="0.2">
      <c r="A78" s="2400" t="s">
        <v>2590</v>
      </c>
      <c r="B78" s="2403" t="s">
        <v>2591</v>
      </c>
      <c r="C78" s="2404">
        <v>7</v>
      </c>
      <c r="D78" s="3496">
        <v>7.04</v>
      </c>
      <c r="E78" s="2404">
        <v>234.59</v>
      </c>
      <c r="F78" s="2404">
        <v>47.29</v>
      </c>
      <c r="G78" s="2405">
        <v>13</v>
      </c>
      <c r="H78" s="681"/>
    </row>
    <row r="79" spans="1:8" x14ac:dyDescent="0.2">
      <c r="A79" s="2400" t="s">
        <v>2592</v>
      </c>
      <c r="B79" s="2403" t="s">
        <v>2593</v>
      </c>
      <c r="C79" s="2404">
        <v>6</v>
      </c>
      <c r="D79" s="3496">
        <v>35.22</v>
      </c>
      <c r="E79" s="2404">
        <v>502.6</v>
      </c>
      <c r="F79" s="2404">
        <v>163.1</v>
      </c>
      <c r="G79" s="2405">
        <v>13</v>
      </c>
    </row>
    <row r="80" spans="1:8" x14ac:dyDescent="0.2">
      <c r="A80" s="2400" t="s">
        <v>2594</v>
      </c>
      <c r="B80" s="2403" t="s">
        <v>2595</v>
      </c>
      <c r="C80" s="2404">
        <v>0</v>
      </c>
      <c r="D80" s="3496">
        <v>0.19</v>
      </c>
      <c r="E80" s="2404">
        <v>283</v>
      </c>
      <c r="F80" s="2404"/>
      <c r="G80" s="2405">
        <v>0</v>
      </c>
    </row>
    <row r="81" spans="1:8" x14ac:dyDescent="0.2">
      <c r="A81" s="2400" t="s">
        <v>2596</v>
      </c>
      <c r="B81" s="2403" t="s">
        <v>2597</v>
      </c>
      <c r="C81" s="2404">
        <v>0</v>
      </c>
      <c r="D81" s="3496">
        <v>0.01</v>
      </c>
      <c r="E81" s="2404">
        <v>283</v>
      </c>
      <c r="F81" s="2404"/>
      <c r="G81" s="2405">
        <v>0</v>
      </c>
    </row>
    <row r="82" spans="1:8" x14ac:dyDescent="0.2">
      <c r="A82" s="2400" t="s">
        <v>2598</v>
      </c>
      <c r="B82" s="2403" t="s">
        <v>2599</v>
      </c>
      <c r="C82" s="2404">
        <v>0</v>
      </c>
      <c r="D82" s="3496">
        <v>509.77</v>
      </c>
      <c r="E82" s="2404">
        <v>283</v>
      </c>
      <c r="F82" s="2404"/>
      <c r="G82" s="2405">
        <v>0</v>
      </c>
    </row>
    <row r="83" spans="1:8" x14ac:dyDescent="0.2">
      <c r="A83" s="2400" t="s">
        <v>2600</v>
      </c>
      <c r="B83" s="2403" t="s">
        <v>2600</v>
      </c>
      <c r="C83" s="2404">
        <v>3</v>
      </c>
      <c r="D83" s="3496">
        <v>0.81</v>
      </c>
      <c r="E83" s="2404">
        <v>122.21</v>
      </c>
      <c r="F83" s="2404">
        <v>30.81</v>
      </c>
      <c r="G83" s="2405">
        <v>11</v>
      </c>
      <c r="H83" s="681"/>
    </row>
    <row r="84" spans="1:8" x14ac:dyDescent="0.2">
      <c r="A84" s="2400" t="s">
        <v>2601</v>
      </c>
      <c r="B84" s="2403" t="s">
        <v>2602</v>
      </c>
      <c r="C84" s="2404">
        <v>30</v>
      </c>
      <c r="D84" s="3496">
        <v>478.23</v>
      </c>
      <c r="E84" s="2404">
        <v>243.48</v>
      </c>
      <c r="F84" s="2404">
        <v>82.73</v>
      </c>
      <c r="G84" s="2405">
        <v>15.2</v>
      </c>
    </row>
    <row r="85" spans="1:8" x14ac:dyDescent="0.2">
      <c r="A85" s="2400" t="s">
        <v>2603</v>
      </c>
      <c r="B85" s="2403" t="s">
        <v>2604</v>
      </c>
      <c r="C85" s="2404">
        <v>14</v>
      </c>
      <c r="D85" s="3496">
        <v>1875.62</v>
      </c>
      <c r="E85" s="2404">
        <v>245.87</v>
      </c>
      <c r="F85" s="2404">
        <v>81.819999999999993</v>
      </c>
      <c r="G85" s="2405">
        <v>12.6</v>
      </c>
    </row>
    <row r="86" spans="1:8" x14ac:dyDescent="0.2">
      <c r="A86" s="682"/>
    </row>
    <row r="87" spans="1:8" x14ac:dyDescent="0.2">
      <c r="A87" s="682"/>
    </row>
    <row r="88" spans="1:8" x14ac:dyDescent="0.2">
      <c r="A88" s="682"/>
    </row>
    <row r="89" spans="1:8" x14ac:dyDescent="0.2">
      <c r="A89" s="682"/>
    </row>
    <row r="90" spans="1:8" x14ac:dyDescent="0.2">
      <c r="A90" s="682"/>
    </row>
    <row r="91" spans="1:8" x14ac:dyDescent="0.2">
      <c r="A91" s="682"/>
    </row>
    <row r="92" spans="1:8" x14ac:dyDescent="0.2">
      <c r="A92" s="682"/>
    </row>
    <row r="93" spans="1:8" x14ac:dyDescent="0.2">
      <c r="A93" s="682"/>
    </row>
    <row r="94" spans="1:8" x14ac:dyDescent="0.2">
      <c r="A94" s="682"/>
    </row>
    <row r="95" spans="1:8" x14ac:dyDescent="0.2">
      <c r="A95" s="682"/>
    </row>
    <row r="96" spans="1:8" x14ac:dyDescent="0.2">
      <c r="A96" s="682"/>
    </row>
    <row r="97" spans="1:1" x14ac:dyDescent="0.2">
      <c r="A97" s="682"/>
    </row>
    <row r="98" spans="1:1" x14ac:dyDescent="0.2">
      <c r="A98" s="682"/>
    </row>
    <row r="99" spans="1:1" x14ac:dyDescent="0.2">
      <c r="A99" s="682"/>
    </row>
    <row r="100" spans="1:1" x14ac:dyDescent="0.2">
      <c r="A100" s="682"/>
    </row>
    <row r="101" spans="1:1" x14ac:dyDescent="0.2">
      <c r="A101" s="682"/>
    </row>
    <row r="102" spans="1:1" x14ac:dyDescent="0.2">
      <c r="A102" s="682"/>
    </row>
    <row r="103" spans="1:1" x14ac:dyDescent="0.2">
      <c r="A103" s="682"/>
    </row>
    <row r="104" spans="1:1" x14ac:dyDescent="0.2">
      <c r="A104" s="682"/>
    </row>
    <row r="105" spans="1:1" x14ac:dyDescent="0.2">
      <c r="A105" s="682"/>
    </row>
    <row r="106" spans="1:1" x14ac:dyDescent="0.2">
      <c r="A106" s="682"/>
    </row>
    <row r="107" spans="1:1" x14ac:dyDescent="0.2">
      <c r="A107" s="682"/>
    </row>
    <row r="108" spans="1:1" x14ac:dyDescent="0.2">
      <c r="A108" s="682"/>
    </row>
    <row r="109" spans="1:1" x14ac:dyDescent="0.2">
      <c r="A109" s="682"/>
    </row>
    <row r="110" spans="1:1" x14ac:dyDescent="0.2">
      <c r="A110" s="682"/>
    </row>
    <row r="111" spans="1:1" x14ac:dyDescent="0.2">
      <c r="A111" s="682"/>
    </row>
    <row r="112" spans="1:1" x14ac:dyDescent="0.2">
      <c r="A112" s="682"/>
    </row>
    <row r="113" spans="1:1" x14ac:dyDescent="0.2">
      <c r="A113" s="682"/>
    </row>
    <row r="114" spans="1:1" x14ac:dyDescent="0.2">
      <c r="A114" s="682"/>
    </row>
    <row r="115" spans="1:1" x14ac:dyDescent="0.2">
      <c r="A115" s="682"/>
    </row>
    <row r="116" spans="1:1" x14ac:dyDescent="0.2">
      <c r="A116" s="2412"/>
    </row>
  </sheetData>
  <sortState xmlns:xlrd2="http://schemas.microsoft.com/office/spreadsheetml/2017/richdata2" ref="A3:G56">
    <sortCondition ref="A3:A56"/>
  </sortState>
  <mergeCells count="1">
    <mergeCell ref="E1:F1"/>
  </mergeCells>
  <pageMargins left="0.7" right="0.7" top="0.75" bottom="0.75" header="0.3" footer="0.3"/>
</worksheet>
</file>

<file path=xl/worksheets/sheet2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249"/>
  <sheetViews>
    <sheetView topLeftCell="A229" workbookViewId="0">
      <selection activeCell="U14" sqref="U14"/>
    </sheetView>
  </sheetViews>
  <sheetFormatPr baseColWidth="10" defaultColWidth="9.33203125" defaultRowHeight="15" x14ac:dyDescent="0.2"/>
  <cols>
    <col min="1" max="1" width="49.5" style="674" bestFit="1" customWidth="1"/>
    <col min="2" max="2" width="37.5" style="682" bestFit="1" customWidth="1"/>
    <col min="3" max="3" width="20" style="682" customWidth="1"/>
    <col min="4" max="4" width="31" style="682" customWidth="1"/>
    <col min="5" max="5" width="9.33203125" style="284"/>
    <col min="6" max="7" width="30.5" style="284" bestFit="1" customWidth="1"/>
    <col min="8" max="16384" width="9.33203125" style="284"/>
  </cols>
  <sheetData>
    <row r="1" spans="1:11" x14ac:dyDescent="0.2">
      <c r="A1" s="1621" t="s">
        <v>2605</v>
      </c>
      <c r="B1" s="3459" t="s">
        <v>2606</v>
      </c>
      <c r="C1" s="3459" t="s">
        <v>2607</v>
      </c>
      <c r="D1" s="3459" t="s">
        <v>864</v>
      </c>
      <c r="F1" s="284" t="s">
        <v>2608</v>
      </c>
      <c r="G1" s="284" t="s">
        <v>2609</v>
      </c>
      <c r="H1" s="284" t="s">
        <v>2610</v>
      </c>
    </row>
    <row r="2" spans="1:11" x14ac:dyDescent="0.2">
      <c r="A2" s="682" t="s">
        <v>2611</v>
      </c>
      <c r="B2" s="682" t="s">
        <v>2156</v>
      </c>
      <c r="C2" s="682" t="s">
        <v>1346</v>
      </c>
      <c r="D2" s="682" t="str">
        <f>IF(Regional_eq_livestock[[#This Row],[GLEAM]]="NENA",CONCATENATE("NENA","/Middle East"),Regional_eq_livestock[[#This Row],[GLEAM]])</f>
        <v>East Asia and South-East Asia</v>
      </c>
      <c r="F2" s="284" t="str">
        <f>INDEX(Regional_eq_livestock[GLEAM],MATCH(0,INDEX(COUNTIF($F$1:F1,Regional_eq_livestock[GLEAM]),),0))</f>
        <v>East Asia and South-East Asia</v>
      </c>
      <c r="G2" s="284" t="str">
        <f>INDEX(Regional_eq_livestock[EX-ACT],MATCH(0,INDEX(COUNTIF($F$1:G1,Regional_eq_livestock[EX-ACT]),),0))</f>
        <v>Oceania</v>
      </c>
      <c r="H2" s="284" t="s">
        <v>2612</v>
      </c>
      <c r="K2" s="284" t="s">
        <v>2613</v>
      </c>
    </row>
    <row r="3" spans="1:11" x14ac:dyDescent="0.2">
      <c r="A3" s="682" t="s">
        <v>2461</v>
      </c>
      <c r="B3" s="682" t="s">
        <v>2156</v>
      </c>
      <c r="C3" s="682" t="s">
        <v>1563</v>
      </c>
      <c r="D3" s="682" t="str">
        <f>IF(Regional_eq_livestock[[#This Row],[GLEAM]]="NENA",CONCATENATE("NENA","/Middle East"),Regional_eq_livestock[[#This Row],[GLEAM]])</f>
        <v>East Asia and South-East Asia</v>
      </c>
      <c r="F3" s="284" t="str">
        <f>INDEX(Regional_eq_livestock[GLEAM],MATCH(0,INDEX(COUNTIF($F$1:F2,Regional_eq_livestock[GLEAM]),),0))</f>
        <v>Eastern Europe</v>
      </c>
      <c r="G3" s="284" t="str">
        <f>INDEX(Regional_eq_livestock[EX-ACT],MATCH(0,INDEX(COUNTIF($F$1:G2,Regional_eq_livestock[EX-ACT]),),0))</f>
        <v>South-eastern Asia</v>
      </c>
      <c r="H3" s="284" t="str">
        <f>INDEX(Regional_eq_livestock[IPCC],MATCH(0,INDEX(COUNTIF($F$1:H1,Regional_eq_livestock[IPCC]),),0))</f>
        <v>East Asia and South-East Asia</v>
      </c>
      <c r="K3" s="284" t="s">
        <v>2614</v>
      </c>
    </row>
    <row r="4" spans="1:11" x14ac:dyDescent="0.2">
      <c r="A4" s="682" t="s">
        <v>2463</v>
      </c>
      <c r="B4" s="682" t="s">
        <v>2156</v>
      </c>
      <c r="C4" s="682" t="s">
        <v>1563</v>
      </c>
      <c r="D4" s="682" t="str">
        <f>IF(Regional_eq_livestock[[#This Row],[GLEAM]]="NENA",CONCATENATE("NENA","/Middle East"),Regional_eq_livestock[[#This Row],[GLEAM]])</f>
        <v>East Asia and South-East Asia</v>
      </c>
      <c r="F4" s="284" t="str">
        <f>INDEX(Regional_eq_livestock[GLEAM],MATCH(0,INDEX(COUNTIF($F$1:F3,Regional_eq_livestock[GLEAM]),),0))</f>
        <v>Latin America and the Caribbean</v>
      </c>
      <c r="G4" s="284" t="str">
        <f>INDEX(Regional_eq_livestock[EX-ACT],MATCH(0,INDEX(COUNTIF($F$1:G3,Regional_eq_livestock[EX-ACT]),),0))</f>
        <v>Eastern Asia</v>
      </c>
      <c r="H4" s="284" t="str">
        <f>INDEX(Regional_eq_livestock[IPCC],MATCH(0,INDEX(COUNTIF($F$1:H2,Regional_eq_livestock[IPCC]),),0))</f>
        <v>Eastern Europe</v>
      </c>
    </row>
    <row r="5" spans="1:11" x14ac:dyDescent="0.2">
      <c r="A5" s="682" t="s">
        <v>2467</v>
      </c>
      <c r="B5" s="682" t="s">
        <v>2156</v>
      </c>
      <c r="C5" s="1623" t="s">
        <v>1554</v>
      </c>
      <c r="D5" s="682" t="str">
        <f>IF(Regional_eq_livestock[[#This Row],[GLEAM]]="NENA",CONCATENATE("NENA","/Middle East"),Regional_eq_livestock[[#This Row],[GLEAM]])</f>
        <v>East Asia and South-East Asia</v>
      </c>
      <c r="F5" s="284" t="str">
        <f>INDEX(Regional_eq_livestock[GLEAM],MATCH(0,INDEX(COUNTIF($F$1:F4,Regional_eq_livestock[GLEAM]),),0))</f>
        <v>NENA</v>
      </c>
      <c r="G5" s="284" t="str">
        <f>INDEX(Regional_eq_livestock[EX-ACT],MATCH(0,INDEX(COUNTIF($F$1:G4,Regional_eq_livestock[EX-ACT]),),0))</f>
        <v>Europe</v>
      </c>
      <c r="H5" s="284" t="str">
        <f>INDEX(Regional_eq_livestock[IPCC],MATCH(0,INDEX(COUNTIF($F$1:H3,Regional_eq_livestock[IPCC]),),0))</f>
        <v>Latin America and the Caribbean</v>
      </c>
    </row>
    <row r="6" spans="1:11" x14ac:dyDescent="0.2">
      <c r="A6" s="682" t="s">
        <v>2615</v>
      </c>
      <c r="B6" s="682" t="s">
        <v>2156</v>
      </c>
      <c r="C6" s="1623" t="s">
        <v>1554</v>
      </c>
      <c r="D6" s="682" t="str">
        <f>IF(Regional_eq_livestock[[#This Row],[GLEAM]]="NENA",CONCATENATE("NENA","/Middle East"),Regional_eq_livestock[[#This Row],[GLEAM]])</f>
        <v>East Asia and South-East Asia</v>
      </c>
      <c r="F6" s="284" t="str">
        <f>INDEX(Regional_eq_livestock[GLEAM],MATCH(0,INDEX(COUNTIF($F$1:F5,Regional_eq_livestock[GLEAM]),),0))</f>
        <v>North America</v>
      </c>
      <c r="G6" s="284" t="str">
        <f>INDEX(Regional_eq_livestock[EX-ACT],MATCH(0,INDEX(COUNTIF($F$1:G5,Regional_eq_livestock[EX-ACT]),),0))</f>
        <v>Caribbean</v>
      </c>
      <c r="H6" s="284" t="str">
        <f>INDEX(Regional_eq_livestock[IPCC],MATCH(0,INDEX(COUNTIF($F$1:H4,Regional_eq_livestock[IPCC]),),0))</f>
        <v>NENA/Middle East</v>
      </c>
    </row>
    <row r="7" spans="1:11" x14ac:dyDescent="0.2">
      <c r="A7" s="682" t="s">
        <v>2616</v>
      </c>
      <c r="B7" s="682" t="s">
        <v>2156</v>
      </c>
      <c r="C7" s="1623" t="s">
        <v>1554</v>
      </c>
      <c r="D7" s="682" t="str">
        <f>IF(Regional_eq_livestock[[#This Row],[GLEAM]]="NENA",CONCATENATE("NENA","/Middle East"),Regional_eq_livestock[[#This Row],[GLEAM]])</f>
        <v>East Asia and South-East Asia</v>
      </c>
      <c r="F7" s="284" t="str">
        <f>INDEX(Regional_eq_livestock[GLEAM],MATCH(0,INDEX(COUNTIF($F$1:F6,Regional_eq_livestock[GLEAM]),),0))</f>
        <v>Oceania</v>
      </c>
      <c r="G7" s="284" t="str">
        <f>INDEX(Regional_eq_livestock[EX-ACT],MATCH(0,INDEX(COUNTIF($F$1:G6,Regional_eq_livestock[EX-ACT]),),0))</f>
        <v>Central America</v>
      </c>
      <c r="H7" s="284" t="str">
        <f>INDEX(Regional_eq_livestock[IPCC],MATCH(0,INDEX(COUNTIF($F$1:H5,Regional_eq_livestock[IPCC]),),0))</f>
        <v>NENA/Middle East</v>
      </c>
    </row>
    <row r="8" spans="1:11" x14ac:dyDescent="0.2">
      <c r="A8" s="682" t="s">
        <v>2617</v>
      </c>
      <c r="B8" s="682" t="s">
        <v>2156</v>
      </c>
      <c r="C8" s="682" t="s">
        <v>1346</v>
      </c>
      <c r="D8" s="682" t="str">
        <f>IF(Regional_eq_livestock[[#This Row],[GLEAM]]="NENA",CONCATENATE("NENA","/Middle East"),Regional_eq_livestock[[#This Row],[GLEAM]])</f>
        <v>East Asia and South-East Asia</v>
      </c>
      <c r="F8" s="284" t="str">
        <f>INDEX(Regional_eq_livestock[GLEAM],MATCH(0,INDEX(COUNTIF($F$1:F7,Regional_eq_livestock[GLEAM]),),0))</f>
        <v>Russian Federation</v>
      </c>
      <c r="G8" s="284" t="str">
        <f>INDEX(Regional_eq_livestock[EX-ACT],MATCH(0,INDEX(COUNTIF($F$1:G7,Regional_eq_livestock[EX-ACT]),),0))</f>
        <v>South America</v>
      </c>
      <c r="H8" s="284" t="str">
        <f>INDEX(Regional_eq_livestock[IPCC],MATCH(0,INDEX(COUNTIF($F$1:H6,Regional_eq_livestock[IPCC]),),0))</f>
        <v>Russian Federation</v>
      </c>
    </row>
    <row r="9" spans="1:11" x14ac:dyDescent="0.2">
      <c r="A9" s="682" t="s">
        <v>2618</v>
      </c>
      <c r="B9" s="682" t="s">
        <v>2156</v>
      </c>
      <c r="C9" s="682" t="s">
        <v>1346</v>
      </c>
      <c r="D9" s="682" t="str">
        <f>IF(Regional_eq_livestock[[#This Row],[GLEAM]]="NENA",CONCATENATE("NENA","/Middle East"),Regional_eq_livestock[[#This Row],[GLEAM]])</f>
        <v>East Asia and South-East Asia</v>
      </c>
      <c r="F9" s="284" t="str">
        <f>INDEX(Regional_eq_livestock[GLEAM],MATCH(0,INDEX(COUNTIF($F$1:F8,Regional_eq_livestock[GLEAM]),),0))</f>
        <v>South Asia</v>
      </c>
      <c r="G9" s="284" t="str">
        <f>INDEX(Regional_eq_livestock[EX-ACT],MATCH(0,INDEX(COUNTIF($F$1:G8,Regional_eq_livestock[EX-ACT]),),0))</f>
        <v>Northern Africa</v>
      </c>
      <c r="H9" s="284" t="str">
        <f>INDEX(Regional_eq_livestock[IPCC],MATCH(0,INDEX(COUNTIF($F$1:H7,Regional_eq_livestock[IPCC]),),0))</f>
        <v>Russian Federation</v>
      </c>
    </row>
    <row r="10" spans="1:11" x14ac:dyDescent="0.2">
      <c r="A10" s="682" t="s">
        <v>2619</v>
      </c>
      <c r="B10" s="682" t="s">
        <v>2156</v>
      </c>
      <c r="C10" s="682" t="s">
        <v>1346</v>
      </c>
      <c r="D10" s="682" t="str">
        <f>IF(Regional_eq_livestock[[#This Row],[GLEAM]]="NENA",CONCATENATE("NENA","/Middle East"),Regional_eq_livestock[[#This Row],[GLEAM]])</f>
        <v>East Asia and South-East Asia</v>
      </c>
      <c r="F10" s="284" t="str">
        <f>INDEX(Regional_eq_livestock[GLEAM],MATCH(0,INDEX(COUNTIF($F$1:F9,Regional_eq_livestock[GLEAM]),),0))</f>
        <v>Sub-Saharan Africa</v>
      </c>
      <c r="G10" s="284" t="str">
        <f>INDEX(Regional_eq_livestock[EX-ACT],MATCH(0,INDEX(COUNTIF($F$1:G9,Regional_eq_livestock[EX-ACT]),),0))</f>
        <v>Western Asia</v>
      </c>
      <c r="H10" s="284" t="str">
        <f>INDEX(Regional_eq_livestock[IPCC],MATCH(0,INDEX(COUNTIF($F$1:H8,Regional_eq_livestock[IPCC]),),0))</f>
        <v>South Asia</v>
      </c>
    </row>
    <row r="11" spans="1:11" x14ac:dyDescent="0.2">
      <c r="A11" s="682" t="s">
        <v>2620</v>
      </c>
      <c r="B11" s="682" t="s">
        <v>2156</v>
      </c>
      <c r="C11" s="1623" t="s">
        <v>1554</v>
      </c>
      <c r="D11" s="682" t="str">
        <f>IF(Regional_eq_livestock[[#This Row],[GLEAM]]="NENA",CONCATENATE("NENA","/Middle East"),Regional_eq_livestock[[#This Row],[GLEAM]])</f>
        <v>East Asia and South-East Asia</v>
      </c>
      <c r="F11" s="284" t="str">
        <f>INDEX(Regional_eq_livestock[GLEAM],MATCH(0,INDEX(COUNTIF($F$1:F10,Regional_eq_livestock[GLEAM]),),0))</f>
        <v>Western Europe</v>
      </c>
      <c r="G11" s="284" t="str">
        <f>INDEX(Regional_eq_livestock[EX-ACT],MATCH(0,INDEX(COUNTIF($F$1:G10,Regional_eq_livestock[EX-ACT]),),0))</f>
        <v>Central Asia</v>
      </c>
      <c r="H11" s="284" t="str">
        <f>INDEX(Regional_eq_livestock[IPCC],MATCH(0,INDEX(COUNTIF($F$1:H9,Regional_eq_livestock[IPCC]),),0))</f>
        <v>Sub-Saharan Africa</v>
      </c>
    </row>
    <row r="12" spans="1:11" x14ac:dyDescent="0.2">
      <c r="A12" s="682" t="s">
        <v>2497</v>
      </c>
      <c r="B12" s="682" t="s">
        <v>2156</v>
      </c>
      <c r="C12" s="682" t="s">
        <v>1346</v>
      </c>
      <c r="D12" s="682" t="str">
        <f>IF(Regional_eq_livestock[[#This Row],[GLEAM]]="NENA",CONCATENATE("NENA","/Middle East"),Regional_eq_livestock[[#This Row],[GLEAM]])</f>
        <v>East Asia and South-East Asia</v>
      </c>
      <c r="G12" s="284" t="str">
        <f>INDEX(Regional_eq_livestock[EX-ACT],MATCH(0,INDEX(COUNTIF($F$1:G11,Regional_eq_livestock[EX-ACT]),),0))</f>
        <v>Southern Asia</v>
      </c>
    </row>
    <row r="13" spans="1:11" x14ac:dyDescent="0.2">
      <c r="A13" s="682" t="s">
        <v>2621</v>
      </c>
      <c r="B13" s="682" t="s">
        <v>2156</v>
      </c>
      <c r="C13" s="682" t="s">
        <v>1346</v>
      </c>
      <c r="D13" s="682" t="str">
        <f>IF(Regional_eq_livestock[[#This Row],[GLEAM]]="NENA",CONCATENATE("NENA","/Middle East"),Regional_eq_livestock[[#This Row],[GLEAM]])</f>
        <v>East Asia and South-East Asia</v>
      </c>
      <c r="G13" s="284" t="str">
        <f>INDEX(Regional_eq_livestock[EX-ACT],MATCH(0,INDEX(COUNTIF($F$1:G12,Regional_eq_livestock[EX-ACT]),),0))</f>
        <v>Eastern Africa</v>
      </c>
    </row>
    <row r="14" spans="1:11" x14ac:dyDescent="0.2">
      <c r="A14" s="682" t="s">
        <v>2622</v>
      </c>
      <c r="B14" s="682" t="s">
        <v>2156</v>
      </c>
      <c r="C14" s="682" t="s">
        <v>1346</v>
      </c>
      <c r="D14" s="682" t="str">
        <f>IF(Regional_eq_livestock[[#This Row],[GLEAM]]="NENA",CONCATENATE("NENA","/Middle East"),Regional_eq_livestock[[#This Row],[GLEAM]])</f>
        <v>East Asia and South-East Asia</v>
      </c>
      <c r="G14" s="284" t="str">
        <f>INDEX(Regional_eq_livestock[EX-ACT],MATCH(0,INDEX(COUNTIF($F$1:G13,Regional_eq_livestock[EX-ACT]),),0))</f>
        <v>Central Africa</v>
      </c>
    </row>
    <row r="15" spans="1:11" x14ac:dyDescent="0.2">
      <c r="A15" s="682" t="s">
        <v>2623</v>
      </c>
      <c r="B15" s="682" t="s">
        <v>2156</v>
      </c>
      <c r="C15" s="682" t="s">
        <v>1346</v>
      </c>
      <c r="D15" s="682" t="str">
        <f>IF(Regional_eq_livestock[[#This Row],[GLEAM]]="NENA",CONCATENATE("NENA","/Middle East"),Regional_eq_livestock[[#This Row],[GLEAM]])</f>
        <v>East Asia and South-East Asia</v>
      </c>
      <c r="G15" s="284" t="str">
        <f>INDEX(Regional_eq_livestock[EX-ACT],MATCH(0,INDEX(COUNTIF($F$1:G14,Regional_eq_livestock[EX-ACT]),),0))</f>
        <v>Western Africa</v>
      </c>
    </row>
    <row r="16" spans="1:11" x14ac:dyDescent="0.2">
      <c r="A16" s="682" t="s">
        <v>2524</v>
      </c>
      <c r="B16" s="682" t="s">
        <v>2156</v>
      </c>
      <c r="C16" s="682" t="s">
        <v>1563</v>
      </c>
      <c r="D16" s="682" t="str">
        <f>IF(Regional_eq_livestock[[#This Row],[GLEAM]]="NENA",CONCATENATE("NENA","/Middle East"),Regional_eq_livestock[[#This Row],[GLEAM]])</f>
        <v>East Asia and South-East Asia</v>
      </c>
      <c r="G16" s="284" t="str">
        <f>INDEX(Regional_eq_livestock[EX-ACT],MATCH(0,INDEX(COUNTIF($F$1:G15,Regional_eq_livestock[EX-ACT]),),0))</f>
        <v>South Africa</v>
      </c>
    </row>
    <row r="17" spans="1:4" x14ac:dyDescent="0.2">
      <c r="A17" s="682" t="s">
        <v>2530</v>
      </c>
      <c r="B17" s="682" t="s">
        <v>2156</v>
      </c>
      <c r="C17" s="1623" t="s">
        <v>1554</v>
      </c>
      <c r="D17" s="682" t="str">
        <f>IF(Regional_eq_livestock[[#This Row],[GLEAM]]="NENA",CONCATENATE("NENA","/Middle East"),Regional_eq_livestock[[#This Row],[GLEAM]])</f>
        <v>East Asia and South-East Asia</v>
      </c>
    </row>
    <row r="18" spans="1:4" x14ac:dyDescent="0.2">
      <c r="A18" s="682" t="s">
        <v>2624</v>
      </c>
      <c r="B18" s="682" t="s">
        <v>2156</v>
      </c>
      <c r="C18" s="682" t="s">
        <v>1346</v>
      </c>
      <c r="D18" s="682" t="str">
        <f>IF(Regional_eq_livestock[[#This Row],[GLEAM]]="NENA",CONCATENATE("NENA","/Middle East"),Regional_eq_livestock[[#This Row],[GLEAM]])</f>
        <v>East Asia and South-East Asia</v>
      </c>
    </row>
    <row r="19" spans="1:4" x14ac:dyDescent="0.2">
      <c r="A19" s="682" t="s">
        <v>2625</v>
      </c>
      <c r="B19" s="682" t="s">
        <v>2156</v>
      </c>
      <c r="C19" s="682" t="s">
        <v>1563</v>
      </c>
      <c r="D19" s="682" t="str">
        <f>IF(Regional_eq_livestock[[#This Row],[GLEAM]]="NENA",CONCATENATE("NENA","/Middle East"),Regional_eq_livestock[[#This Row],[GLEAM]])</f>
        <v>East Asia and South-East Asia</v>
      </c>
    </row>
    <row r="20" spans="1:4" x14ac:dyDescent="0.2">
      <c r="A20" s="682" t="s">
        <v>2538</v>
      </c>
      <c r="B20" s="682" t="s">
        <v>2156</v>
      </c>
      <c r="C20" s="682" t="s">
        <v>1563</v>
      </c>
      <c r="D20" s="682" t="str">
        <f>IF(Regional_eq_livestock[[#This Row],[GLEAM]]="NENA",CONCATENATE("NENA","/Middle East"),Regional_eq_livestock[[#This Row],[GLEAM]])</f>
        <v>East Asia and South-East Asia</v>
      </c>
    </row>
    <row r="21" spans="1:4" x14ac:dyDescent="0.2">
      <c r="A21" s="682" t="s">
        <v>2626</v>
      </c>
      <c r="B21" s="682" t="s">
        <v>2156</v>
      </c>
      <c r="C21" s="682" t="s">
        <v>1346</v>
      </c>
      <c r="D21" s="682" t="str">
        <f>IF(Regional_eq_livestock[[#This Row],[GLEAM]]="NENA",CONCATENATE("NENA","/Middle East"),Regional_eq_livestock[[#This Row],[GLEAM]])</f>
        <v>East Asia and South-East Asia</v>
      </c>
    </row>
    <row r="22" spans="1:4" x14ac:dyDescent="0.2">
      <c r="A22" s="682" t="s">
        <v>2544</v>
      </c>
      <c r="B22" s="682" t="s">
        <v>2156</v>
      </c>
      <c r="C22" s="682" t="s">
        <v>1346</v>
      </c>
      <c r="D22" s="682" t="str">
        <f>IF(Regional_eq_livestock[[#This Row],[GLEAM]]="NENA",CONCATENATE("NENA","/Middle East"),Regional_eq_livestock[[#This Row],[GLEAM]])</f>
        <v>East Asia and South-East Asia</v>
      </c>
    </row>
    <row r="23" spans="1:4" x14ac:dyDescent="0.2">
      <c r="A23" s="682" t="s">
        <v>2627</v>
      </c>
      <c r="B23" s="682" t="s">
        <v>2156</v>
      </c>
      <c r="C23" s="1623" t="s">
        <v>1554</v>
      </c>
      <c r="D23" s="682" t="str">
        <f>IF(Regional_eq_livestock[[#This Row],[GLEAM]]="NENA",CONCATENATE("NENA","/Middle East"),Regional_eq_livestock[[#This Row],[GLEAM]])</f>
        <v>East Asia and South-East Asia</v>
      </c>
    </row>
    <row r="24" spans="1:4" x14ac:dyDescent="0.2">
      <c r="A24" s="682" t="s">
        <v>2550</v>
      </c>
      <c r="B24" s="682" t="s">
        <v>2156</v>
      </c>
      <c r="C24" s="682" t="s">
        <v>1563</v>
      </c>
      <c r="D24" s="682" t="str">
        <f>IF(Regional_eq_livestock[[#This Row],[GLEAM]]="NENA",CONCATENATE("NENA","/Middle East"),Regional_eq_livestock[[#This Row],[GLEAM]])</f>
        <v>East Asia and South-East Asia</v>
      </c>
    </row>
    <row r="25" spans="1:4" x14ac:dyDescent="0.2">
      <c r="A25" s="682" t="s">
        <v>2628</v>
      </c>
      <c r="B25" s="682" t="s">
        <v>2156</v>
      </c>
      <c r="C25" s="682" t="s">
        <v>1346</v>
      </c>
      <c r="D25" s="682" t="str">
        <f>IF(Regional_eq_livestock[[#This Row],[GLEAM]]="NENA",CONCATENATE("NENA","/Middle East"),Regional_eq_livestock[[#This Row],[GLEAM]])</f>
        <v>East Asia and South-East Asia</v>
      </c>
    </row>
    <row r="26" spans="1:4" x14ac:dyDescent="0.2">
      <c r="A26" s="682" t="s">
        <v>2552</v>
      </c>
      <c r="B26" s="682" t="s">
        <v>2156</v>
      </c>
      <c r="C26" s="682" t="s">
        <v>1346</v>
      </c>
      <c r="D26" s="682" t="str">
        <f>IF(Regional_eq_livestock[[#This Row],[GLEAM]]="NENA",CONCATENATE("NENA","/Middle East"),Regional_eq_livestock[[#This Row],[GLEAM]])</f>
        <v>East Asia and South-East Asia</v>
      </c>
    </row>
    <row r="27" spans="1:4" x14ac:dyDescent="0.2">
      <c r="A27" s="682" t="s">
        <v>2629</v>
      </c>
      <c r="B27" s="682" t="s">
        <v>2156</v>
      </c>
      <c r="C27" s="682" t="s">
        <v>1346</v>
      </c>
      <c r="D27" s="682" t="str">
        <f>IF(Regional_eq_livestock[[#This Row],[GLEAM]]="NENA",CONCATENATE("NENA","/Middle East"),Regional_eq_livestock[[#This Row],[GLEAM]])</f>
        <v>East Asia and South-East Asia</v>
      </c>
    </row>
    <row r="28" spans="1:4" x14ac:dyDescent="0.2">
      <c r="A28" s="682" t="s">
        <v>2630</v>
      </c>
      <c r="B28" s="682" t="s">
        <v>2156</v>
      </c>
      <c r="C28" s="682" t="s">
        <v>1346</v>
      </c>
      <c r="D28" s="682" t="str">
        <f>IF(Regional_eq_livestock[[#This Row],[GLEAM]]="NENA",CONCATENATE("NENA","/Middle East"),Regional_eq_livestock[[#This Row],[GLEAM]])</f>
        <v>East Asia and South-East Asia</v>
      </c>
    </row>
    <row r="29" spans="1:4" x14ac:dyDescent="0.2">
      <c r="A29" s="682" t="s">
        <v>2631</v>
      </c>
      <c r="B29" s="682" t="s">
        <v>2156</v>
      </c>
      <c r="C29" s="682" t="s">
        <v>1346</v>
      </c>
      <c r="D29" s="682" t="str">
        <f>IF(Regional_eq_livestock[[#This Row],[GLEAM]]="NENA",CONCATENATE("NENA","/Middle East"),Regional_eq_livestock[[#This Row],[GLEAM]])</f>
        <v>East Asia and South-East Asia</v>
      </c>
    </row>
    <row r="30" spans="1:4" x14ac:dyDescent="0.2">
      <c r="A30" s="682" t="s">
        <v>2564</v>
      </c>
      <c r="B30" s="682" t="s">
        <v>2156</v>
      </c>
      <c r="C30" s="682" t="s">
        <v>1346</v>
      </c>
      <c r="D30" s="682" t="str">
        <f>IF(Regional_eq_livestock[[#This Row],[GLEAM]]="NENA",CONCATENATE("NENA","/Middle East"),Regional_eq_livestock[[#This Row],[GLEAM]])</f>
        <v>East Asia and South-East Asia</v>
      </c>
    </row>
    <row r="31" spans="1:4" x14ac:dyDescent="0.2">
      <c r="A31" s="682" t="s">
        <v>2568</v>
      </c>
      <c r="B31" s="682" t="s">
        <v>2156</v>
      </c>
      <c r="C31" s="682" t="s">
        <v>1346</v>
      </c>
      <c r="D31" s="682" t="str">
        <f>IF(Regional_eq_livestock[[#This Row],[GLEAM]]="NENA",CONCATENATE("NENA","/Middle East"),Regional_eq_livestock[[#This Row],[GLEAM]])</f>
        <v>East Asia and South-East Asia</v>
      </c>
    </row>
    <row r="32" spans="1:4" x14ac:dyDescent="0.2">
      <c r="A32" s="682" t="s">
        <v>2572</v>
      </c>
      <c r="B32" s="682" t="s">
        <v>2156</v>
      </c>
      <c r="C32" s="682" t="s">
        <v>1563</v>
      </c>
      <c r="D32" s="682" t="str">
        <f>IF(Regional_eq_livestock[[#This Row],[GLEAM]]="NENA",CONCATENATE("NENA","/Middle East"),Regional_eq_livestock[[#This Row],[GLEAM]])</f>
        <v>East Asia and South-East Asia</v>
      </c>
    </row>
    <row r="33" spans="1:4" x14ac:dyDescent="0.2">
      <c r="A33" s="682" t="s">
        <v>2632</v>
      </c>
      <c r="B33" s="682" t="s">
        <v>2156</v>
      </c>
      <c r="C33" s="1623" t="s">
        <v>1554</v>
      </c>
      <c r="D33" s="682" t="str">
        <f>IF(Regional_eq_livestock[[#This Row],[GLEAM]]="NENA",CONCATENATE("NENA","/Middle East"),Regional_eq_livestock[[#This Row],[GLEAM]])</f>
        <v>East Asia and South-East Asia</v>
      </c>
    </row>
    <row r="34" spans="1:4" x14ac:dyDescent="0.2">
      <c r="A34" s="682" t="s">
        <v>2633</v>
      </c>
      <c r="B34" s="682" t="s">
        <v>2156</v>
      </c>
      <c r="C34" s="682" t="s">
        <v>1346</v>
      </c>
      <c r="D34" s="682" t="str">
        <f>IF(Regional_eq_livestock[[#This Row],[GLEAM]]="NENA",CONCATENATE("NENA","/Middle East"),Regional_eq_livestock[[#This Row],[GLEAM]])</f>
        <v>East Asia and South-East Asia</v>
      </c>
    </row>
    <row r="35" spans="1:4" x14ac:dyDescent="0.2">
      <c r="A35" s="682" t="s">
        <v>2584</v>
      </c>
      <c r="B35" s="682" t="s">
        <v>2156</v>
      </c>
      <c r="C35" s="682" t="s">
        <v>1563</v>
      </c>
      <c r="D35" s="682" t="str">
        <f>IF(Regional_eq_livestock[[#This Row],[GLEAM]]="NENA",CONCATENATE("NENA","/Middle East"),Regional_eq_livestock[[#This Row],[GLEAM]])</f>
        <v>East Asia and South-East Asia</v>
      </c>
    </row>
    <row r="36" spans="1:4" x14ac:dyDescent="0.2">
      <c r="A36" s="682" t="s">
        <v>2586</v>
      </c>
      <c r="B36" s="682" t="s">
        <v>2156</v>
      </c>
      <c r="C36" s="682" t="s">
        <v>1346</v>
      </c>
      <c r="D36" s="682" t="str">
        <f>IF(Regional_eq_livestock[[#This Row],[GLEAM]]="NENA",CONCATENATE("NENA","/Middle East"),Regional_eq_livestock[[#This Row],[GLEAM]])</f>
        <v>East Asia and South-East Asia</v>
      </c>
    </row>
    <row r="37" spans="1:4" x14ac:dyDescent="0.2">
      <c r="A37" s="682" t="s">
        <v>2603</v>
      </c>
      <c r="B37" s="682" t="s">
        <v>2156</v>
      </c>
      <c r="C37" s="682" t="s">
        <v>1563</v>
      </c>
      <c r="D37" s="682" t="str">
        <f>IF(Regional_eq_livestock[[#This Row],[GLEAM]]="NENA",CONCATENATE("NENA","/Middle East"),Regional_eq_livestock[[#This Row],[GLEAM]])</f>
        <v>East Asia and South-East Asia</v>
      </c>
    </row>
    <row r="38" spans="1:4" x14ac:dyDescent="0.2">
      <c r="A38" s="682" t="s">
        <v>2634</v>
      </c>
      <c r="B38" s="682" t="s">
        <v>2156</v>
      </c>
      <c r="C38" s="682" t="s">
        <v>1563</v>
      </c>
      <c r="D38" s="682" t="str">
        <f>IF(Regional_eq_livestock[[#This Row],[GLEAM]]="NENA",CONCATENATE("NENA","/Middle East"),Regional_eq_livestock[[#This Row],[GLEAM]])</f>
        <v>East Asia and South-East Asia</v>
      </c>
    </row>
    <row r="39" spans="1:4" x14ac:dyDescent="0.2">
      <c r="A39" s="682" t="s">
        <v>2635</v>
      </c>
      <c r="B39" s="682" t="s">
        <v>2156</v>
      </c>
      <c r="C39" s="682" t="s">
        <v>1346</v>
      </c>
      <c r="D39" s="682" t="str">
        <f>IF(Regional_eq_livestock[[#This Row],[GLEAM]]="NENA",CONCATENATE("NENA","/Middle East"),Regional_eq_livestock[[#This Row],[GLEAM]])</f>
        <v>East Asia and South-East Asia</v>
      </c>
    </row>
    <row r="40" spans="1:4" x14ac:dyDescent="0.2">
      <c r="A40" s="682" t="s">
        <v>2636</v>
      </c>
      <c r="B40" s="682" t="s">
        <v>2156</v>
      </c>
      <c r="C40" s="682" t="s">
        <v>1346</v>
      </c>
      <c r="D40" s="682" t="str">
        <f>IF(Regional_eq_livestock[[#This Row],[GLEAM]]="NENA",CONCATENATE("NENA","/Middle East"),Regional_eq_livestock[[#This Row],[GLEAM]])</f>
        <v>East Asia and South-East Asia</v>
      </c>
    </row>
    <row r="41" spans="1:4" x14ac:dyDescent="0.2">
      <c r="A41" s="682" t="s">
        <v>2637</v>
      </c>
      <c r="B41" s="682" t="s">
        <v>2156</v>
      </c>
      <c r="C41" s="682" t="s">
        <v>1346</v>
      </c>
      <c r="D41" s="682" t="str">
        <f>IF(Regional_eq_livestock[[#This Row],[GLEAM]]="NENA",CONCATENATE("NENA","/Middle East"),Regional_eq_livestock[[#This Row],[GLEAM]])</f>
        <v>East Asia and South-East Asia</v>
      </c>
    </row>
    <row r="42" spans="1:4" x14ac:dyDescent="0.2">
      <c r="A42" s="682" t="s">
        <v>2638</v>
      </c>
      <c r="B42" s="682" t="s">
        <v>2156</v>
      </c>
      <c r="C42" s="682" t="s">
        <v>1346</v>
      </c>
      <c r="D42" s="682" t="str">
        <f>IF(Regional_eq_livestock[[#This Row],[GLEAM]]="NENA",CONCATENATE("NENA","/Middle East"),Regional_eq_livestock[[#This Row],[GLEAM]])</f>
        <v>East Asia and South-East Asia</v>
      </c>
    </row>
    <row r="43" spans="1:4" x14ac:dyDescent="0.2">
      <c r="A43" s="682" t="s">
        <v>2639</v>
      </c>
      <c r="B43" s="682" t="s">
        <v>2156</v>
      </c>
      <c r="C43" s="682" t="s">
        <v>1346</v>
      </c>
      <c r="D43" s="682" t="str">
        <f>IF(Regional_eq_livestock[[#This Row],[GLEAM]]="NENA",CONCATENATE("NENA","/Middle East"),Regional_eq_livestock[[#This Row],[GLEAM]])</f>
        <v>East Asia and South-East Asia</v>
      </c>
    </row>
    <row r="44" spans="1:4" x14ac:dyDescent="0.2">
      <c r="A44" s="682" t="s">
        <v>2640</v>
      </c>
      <c r="B44" s="682" t="s">
        <v>2156</v>
      </c>
      <c r="C44" s="682" t="s">
        <v>1563</v>
      </c>
      <c r="D44" s="682" t="str">
        <f>IF(Regional_eq_livestock[[#This Row],[GLEAM]]="NENA",CONCATENATE("NENA","/Middle East"),Regional_eq_livestock[[#This Row],[GLEAM]])</f>
        <v>East Asia and South-East Asia</v>
      </c>
    </row>
    <row r="45" spans="1:4" x14ac:dyDescent="0.2">
      <c r="A45" s="682" t="s">
        <v>2641</v>
      </c>
      <c r="B45" s="682" t="s">
        <v>2156</v>
      </c>
      <c r="C45" s="682" t="s">
        <v>1346</v>
      </c>
      <c r="D45" s="682" t="str">
        <f>IF(Regional_eq_livestock[[#This Row],[GLEAM]]="NENA",CONCATENATE("NENA","/Middle East"),Regional_eq_livestock[[#This Row],[GLEAM]])</f>
        <v>East Asia and South-East Asia</v>
      </c>
    </row>
    <row r="46" spans="1:4" x14ac:dyDescent="0.2">
      <c r="A46" s="682" t="s">
        <v>2642</v>
      </c>
      <c r="B46" s="682" t="s">
        <v>1337</v>
      </c>
      <c r="C46" s="682" t="s">
        <v>1555</v>
      </c>
      <c r="D46" s="682" t="str">
        <f>IF(Regional_eq_livestock[[#This Row],[GLEAM]]="NENA",CONCATENATE("NENA","/Middle East"),Regional_eq_livestock[[#This Row],[GLEAM]])</f>
        <v>Eastern Europe</v>
      </c>
    </row>
    <row r="47" spans="1:4" x14ac:dyDescent="0.2">
      <c r="A47" s="682" t="s">
        <v>2643</v>
      </c>
      <c r="B47" s="682" t="s">
        <v>1337</v>
      </c>
      <c r="C47" s="682" t="s">
        <v>1555</v>
      </c>
      <c r="D47" s="682" t="str">
        <f>IF(Regional_eq_livestock[[#This Row],[GLEAM]]="NENA",CONCATENATE("NENA","/Middle East"),Regional_eq_livestock[[#This Row],[GLEAM]])</f>
        <v>Eastern Europe</v>
      </c>
    </row>
    <row r="48" spans="1:4" x14ac:dyDescent="0.2">
      <c r="A48" s="682" t="s">
        <v>2644</v>
      </c>
      <c r="B48" s="682" t="s">
        <v>1337</v>
      </c>
      <c r="C48" s="682" t="s">
        <v>1555</v>
      </c>
      <c r="D48" s="682" t="str">
        <f>IF(Regional_eq_livestock[[#This Row],[GLEAM]]="NENA",CONCATENATE("NENA","/Middle East"),Regional_eq_livestock[[#This Row],[GLEAM]])</f>
        <v>Eastern Europe</v>
      </c>
    </row>
    <row r="49" spans="1:4" x14ac:dyDescent="0.2">
      <c r="A49" s="682" t="s">
        <v>2645</v>
      </c>
      <c r="B49" s="682" t="s">
        <v>1337</v>
      </c>
      <c r="C49" s="682" t="s">
        <v>1555</v>
      </c>
      <c r="D49" s="682" t="str">
        <f>IF(Regional_eq_livestock[[#This Row],[GLEAM]]="NENA",CONCATENATE("NENA","/Middle East"),Regional_eq_livestock[[#This Row],[GLEAM]])</f>
        <v>Eastern Europe</v>
      </c>
    </row>
    <row r="50" spans="1:4" x14ac:dyDescent="0.2">
      <c r="A50" s="682" t="s">
        <v>2646</v>
      </c>
      <c r="B50" s="682" t="s">
        <v>1337</v>
      </c>
      <c r="C50" s="682" t="s">
        <v>1555</v>
      </c>
      <c r="D50" s="682" t="str">
        <f>IF(Regional_eq_livestock[[#This Row],[GLEAM]]="NENA",CONCATENATE("NENA","/Middle East"),Regional_eq_livestock[[#This Row],[GLEAM]])</f>
        <v>Eastern Europe</v>
      </c>
    </row>
    <row r="51" spans="1:4" x14ac:dyDescent="0.2">
      <c r="A51" s="682" t="s">
        <v>2647</v>
      </c>
      <c r="B51" s="682" t="s">
        <v>1337</v>
      </c>
      <c r="C51" s="682" t="s">
        <v>1555</v>
      </c>
      <c r="D51" s="682" t="str">
        <f>IF(Regional_eq_livestock[[#This Row],[GLEAM]]="NENA",CONCATENATE("NENA","/Middle East"),Regional_eq_livestock[[#This Row],[GLEAM]])</f>
        <v>Eastern Europe</v>
      </c>
    </row>
    <row r="52" spans="1:4" x14ac:dyDescent="0.2">
      <c r="A52" s="682" t="s">
        <v>2648</v>
      </c>
      <c r="B52" s="682" t="s">
        <v>1337</v>
      </c>
      <c r="C52" s="682" t="s">
        <v>1555</v>
      </c>
      <c r="D52" s="682" t="str">
        <f>IF(Regional_eq_livestock[[#This Row],[GLEAM]]="NENA",CONCATENATE("NENA","/Middle East"),Regional_eq_livestock[[#This Row],[GLEAM]])</f>
        <v>Eastern Europe</v>
      </c>
    </row>
    <row r="53" spans="1:4" x14ac:dyDescent="0.2">
      <c r="A53" s="682" t="s">
        <v>2649</v>
      </c>
      <c r="B53" s="682" t="s">
        <v>1337</v>
      </c>
      <c r="C53" s="682" t="s">
        <v>1555</v>
      </c>
      <c r="D53" s="682" t="str">
        <f>IF(Regional_eq_livestock[[#This Row],[GLEAM]]="NENA",CONCATENATE("NENA","/Middle East"),Regional_eq_livestock[[#This Row],[GLEAM]])</f>
        <v>Eastern Europe</v>
      </c>
    </row>
    <row r="54" spans="1:4" x14ac:dyDescent="0.2">
      <c r="A54" s="682" t="s">
        <v>2650</v>
      </c>
      <c r="B54" s="682" t="s">
        <v>1337</v>
      </c>
      <c r="C54" s="682" t="s">
        <v>1555</v>
      </c>
      <c r="D54" s="682" t="str">
        <f>IF(Regional_eq_livestock[[#This Row],[GLEAM]]="NENA",CONCATENATE("NENA","/Middle East"),Regional_eq_livestock[[#This Row],[GLEAM]])</f>
        <v>Eastern Europe</v>
      </c>
    </row>
    <row r="55" spans="1:4" x14ac:dyDescent="0.2">
      <c r="A55" s="682" t="s">
        <v>2651</v>
      </c>
      <c r="B55" s="682" t="s">
        <v>2157</v>
      </c>
      <c r="C55" s="682" t="s">
        <v>1547</v>
      </c>
      <c r="D55" s="682" t="str">
        <f>IF(Regional_eq_livestock[[#This Row],[GLEAM]]="NENA",CONCATENATE("NENA","/Middle East"),Regional_eq_livestock[[#This Row],[GLEAM]])</f>
        <v>Latin America and the Caribbean</v>
      </c>
    </row>
    <row r="56" spans="1:4" x14ac:dyDescent="0.2">
      <c r="A56" s="682" t="s">
        <v>2443</v>
      </c>
      <c r="B56" s="682" t="s">
        <v>2157</v>
      </c>
      <c r="C56" s="682" t="s">
        <v>1547</v>
      </c>
      <c r="D56" s="682" t="str">
        <f>IF(Regional_eq_livestock[[#This Row],[GLEAM]]="NENA",CONCATENATE("NENA","/Middle East"),Regional_eq_livestock[[#This Row],[GLEAM]])</f>
        <v>Latin America and the Caribbean</v>
      </c>
    </row>
    <row r="57" spans="1:4" x14ac:dyDescent="0.2">
      <c r="A57" s="682" t="s">
        <v>2652</v>
      </c>
      <c r="B57" s="682" t="s">
        <v>2157</v>
      </c>
      <c r="C57" s="682" t="s">
        <v>1333</v>
      </c>
      <c r="D57" s="682" t="str">
        <f>IF(Regional_eq_livestock[[#This Row],[GLEAM]]="NENA",CONCATENATE("NENA","/Middle East"),Regional_eq_livestock[[#This Row],[GLEAM]])</f>
        <v>Latin America and the Caribbean</v>
      </c>
    </row>
    <row r="58" spans="1:4" x14ac:dyDescent="0.2">
      <c r="A58" s="682" t="s">
        <v>2653</v>
      </c>
      <c r="B58" s="682" t="s">
        <v>2157</v>
      </c>
      <c r="C58" s="682" t="s">
        <v>1547</v>
      </c>
      <c r="D58" s="682" t="str">
        <f>IF(Regional_eq_livestock[[#This Row],[GLEAM]]="NENA",CONCATENATE("NENA","/Middle East"),Regional_eq_livestock[[#This Row],[GLEAM]])</f>
        <v>Latin America and the Caribbean</v>
      </c>
    </row>
    <row r="59" spans="1:4" x14ac:dyDescent="0.2">
      <c r="A59" s="682" t="s">
        <v>2447</v>
      </c>
      <c r="B59" s="682" t="s">
        <v>2157</v>
      </c>
      <c r="C59" s="682" t="s">
        <v>1547</v>
      </c>
      <c r="D59" s="682" t="str">
        <f>IF(Regional_eq_livestock[[#This Row],[GLEAM]]="NENA",CONCATENATE("NENA","/Middle East"),Regional_eq_livestock[[#This Row],[GLEAM]])</f>
        <v>Latin America and the Caribbean</v>
      </c>
    </row>
    <row r="60" spans="1:4" x14ac:dyDescent="0.2">
      <c r="A60" s="682" t="s">
        <v>2451</v>
      </c>
      <c r="B60" s="682" t="s">
        <v>2157</v>
      </c>
      <c r="C60" s="682" t="s">
        <v>1547</v>
      </c>
      <c r="D60" s="682" t="str">
        <f>IF(Regional_eq_livestock[[#This Row],[GLEAM]]="NENA",CONCATENATE("NENA","/Middle East"),Regional_eq_livestock[[#This Row],[GLEAM]])</f>
        <v>Latin America and the Caribbean</v>
      </c>
    </row>
    <row r="61" spans="1:4" x14ac:dyDescent="0.2">
      <c r="A61" s="682" t="s">
        <v>2453</v>
      </c>
      <c r="B61" s="682" t="s">
        <v>2157</v>
      </c>
      <c r="C61" s="682" t="s">
        <v>1333</v>
      </c>
      <c r="D61" s="682" t="str">
        <f>IF(Regional_eq_livestock[[#This Row],[GLEAM]]="NENA",CONCATENATE("NENA","/Middle East"),Regional_eq_livestock[[#This Row],[GLEAM]])</f>
        <v>Latin America and the Caribbean</v>
      </c>
    </row>
    <row r="62" spans="1:4" x14ac:dyDescent="0.2">
      <c r="A62" s="682" t="s">
        <v>2654</v>
      </c>
      <c r="B62" s="682" t="s">
        <v>2157</v>
      </c>
      <c r="C62" s="682" t="s">
        <v>1333</v>
      </c>
      <c r="D62" s="682" t="str">
        <f>IF(Regional_eq_livestock[[#This Row],[GLEAM]]="NENA",CONCATENATE("NENA","/Middle East"),Regional_eq_livestock[[#This Row],[GLEAM]])</f>
        <v>Latin America and the Caribbean</v>
      </c>
    </row>
    <row r="63" spans="1:4" x14ac:dyDescent="0.2">
      <c r="A63" s="682" t="s">
        <v>2655</v>
      </c>
      <c r="B63" s="682" t="s">
        <v>2157</v>
      </c>
      <c r="C63" s="682" t="s">
        <v>1547</v>
      </c>
      <c r="D63" s="682" t="str">
        <f>IF(Regional_eq_livestock[[#This Row],[GLEAM]]="NENA",CONCATENATE("NENA","/Middle East"),Regional_eq_livestock[[#This Row],[GLEAM]])</f>
        <v>Latin America and the Caribbean</v>
      </c>
    </row>
    <row r="64" spans="1:4" x14ac:dyDescent="0.2">
      <c r="A64" s="682" t="s">
        <v>2656</v>
      </c>
      <c r="B64" s="682" t="s">
        <v>2157</v>
      </c>
      <c r="C64" s="682" t="s">
        <v>1333</v>
      </c>
      <c r="D64" s="682" t="str">
        <f>IF(Regional_eq_livestock[[#This Row],[GLEAM]]="NENA",CONCATENATE("NENA","/Middle East"),Regional_eq_livestock[[#This Row],[GLEAM]])</f>
        <v>Latin America and the Caribbean</v>
      </c>
    </row>
    <row r="65" spans="1:4" x14ac:dyDescent="0.2">
      <c r="A65" s="682" t="s">
        <v>2459</v>
      </c>
      <c r="B65" s="682" t="s">
        <v>2157</v>
      </c>
      <c r="C65" s="682" t="s">
        <v>1349</v>
      </c>
      <c r="D65" s="682" t="str">
        <f>IF(Regional_eq_livestock[[#This Row],[GLEAM]]="NENA",CONCATENATE("NENA","/Middle East"),Regional_eq_livestock[[#This Row],[GLEAM]])</f>
        <v>Latin America and the Caribbean</v>
      </c>
    </row>
    <row r="66" spans="1:4" x14ac:dyDescent="0.2">
      <c r="A66" s="682" t="s">
        <v>2657</v>
      </c>
      <c r="B66" s="682" t="s">
        <v>2157</v>
      </c>
      <c r="C66" s="682" t="s">
        <v>1547</v>
      </c>
      <c r="D66" s="682" t="str">
        <f>IF(Regional_eq_livestock[[#This Row],[GLEAM]]="NENA",CONCATENATE("NENA","/Middle East"),Regional_eq_livestock[[#This Row],[GLEAM]])</f>
        <v>Latin America and the Caribbean</v>
      </c>
    </row>
    <row r="67" spans="1:4" x14ac:dyDescent="0.2">
      <c r="A67" s="682" t="s">
        <v>2658</v>
      </c>
      <c r="B67" s="682" t="s">
        <v>2157</v>
      </c>
      <c r="C67" s="682" t="s">
        <v>1547</v>
      </c>
      <c r="D67" s="682" t="str">
        <f>IF(Regional_eq_livestock[[#This Row],[GLEAM]]="NENA",CONCATENATE("NENA","/Middle East"),Regional_eq_livestock[[#This Row],[GLEAM]])</f>
        <v>Latin America and the Caribbean</v>
      </c>
    </row>
    <row r="68" spans="1:4" x14ac:dyDescent="0.2">
      <c r="A68" s="682" t="s">
        <v>2659</v>
      </c>
      <c r="B68" s="682" t="s">
        <v>2157</v>
      </c>
      <c r="C68" s="682" t="s">
        <v>1349</v>
      </c>
      <c r="D68" s="682" t="str">
        <f>IF(Regional_eq_livestock[[#This Row],[GLEAM]]="NENA",CONCATENATE("NENA","/Middle East"),Regional_eq_livestock[[#This Row],[GLEAM]])</f>
        <v>Latin America and the Caribbean</v>
      </c>
    </row>
    <row r="69" spans="1:4" x14ac:dyDescent="0.2">
      <c r="A69" s="682" t="s">
        <v>2469</v>
      </c>
      <c r="B69" s="682" t="s">
        <v>2157</v>
      </c>
      <c r="C69" s="682" t="s">
        <v>1349</v>
      </c>
      <c r="D69" s="682" t="str">
        <f>IF(Regional_eq_livestock[[#This Row],[GLEAM]]="NENA",CONCATENATE("NENA","/Middle East"),Regional_eq_livestock[[#This Row],[GLEAM]])</f>
        <v>Latin America and the Caribbean</v>
      </c>
    </row>
    <row r="70" spans="1:4" x14ac:dyDescent="0.2">
      <c r="A70" s="682" t="s">
        <v>2475</v>
      </c>
      <c r="B70" s="682" t="s">
        <v>2157</v>
      </c>
      <c r="C70" s="682" t="s">
        <v>1333</v>
      </c>
      <c r="D70" s="682" t="str">
        <f>IF(Regional_eq_livestock[[#This Row],[GLEAM]]="NENA",CONCATENATE("NENA","/Middle East"),Regional_eq_livestock[[#This Row],[GLEAM]])</f>
        <v>Latin America and the Caribbean</v>
      </c>
    </row>
    <row r="71" spans="1:4" x14ac:dyDescent="0.2">
      <c r="A71" s="682" t="s">
        <v>2479</v>
      </c>
      <c r="B71" s="682" t="s">
        <v>2157</v>
      </c>
      <c r="C71" s="682" t="s">
        <v>1547</v>
      </c>
      <c r="D71" s="682" t="str">
        <f>IF(Regional_eq_livestock[[#This Row],[GLEAM]]="NENA",CONCATENATE("NENA","/Middle East"),Regional_eq_livestock[[#This Row],[GLEAM]])</f>
        <v>Latin America and the Caribbean</v>
      </c>
    </row>
    <row r="72" spans="1:4" x14ac:dyDescent="0.2">
      <c r="A72" s="682" t="s">
        <v>2660</v>
      </c>
      <c r="B72" s="682" t="s">
        <v>2157</v>
      </c>
      <c r="C72" s="682" t="s">
        <v>1547</v>
      </c>
      <c r="D72" s="682" t="str">
        <f>IF(Regional_eq_livestock[[#This Row],[GLEAM]]="NENA",CONCATENATE("NENA","/Middle East"),Regional_eq_livestock[[#This Row],[GLEAM]])</f>
        <v>Latin America and the Caribbean</v>
      </c>
    </row>
    <row r="73" spans="1:4" x14ac:dyDescent="0.2">
      <c r="A73" s="682" t="s">
        <v>2661</v>
      </c>
      <c r="B73" s="682" t="s">
        <v>2157</v>
      </c>
      <c r="C73" s="682" t="s">
        <v>1547</v>
      </c>
      <c r="D73" s="682" t="str">
        <f>IF(Regional_eq_livestock[[#This Row],[GLEAM]]="NENA",CONCATENATE("NENA","/Middle East"),Regional_eq_livestock[[#This Row],[GLEAM]])</f>
        <v>Latin America and the Caribbean</v>
      </c>
    </row>
    <row r="74" spans="1:4" x14ac:dyDescent="0.2">
      <c r="A74" s="682" t="s">
        <v>2485</v>
      </c>
      <c r="B74" s="682" t="s">
        <v>2157</v>
      </c>
      <c r="C74" s="682" t="s">
        <v>1547</v>
      </c>
      <c r="D74" s="682" t="str">
        <f>IF(Regional_eq_livestock[[#This Row],[GLEAM]]="NENA",CONCATENATE("NENA","/Middle East"),Regional_eq_livestock[[#This Row],[GLEAM]])</f>
        <v>Latin America and the Caribbean</v>
      </c>
    </row>
    <row r="75" spans="1:4" x14ac:dyDescent="0.2">
      <c r="A75" s="682" t="s">
        <v>2487</v>
      </c>
      <c r="B75" s="682" t="s">
        <v>2157</v>
      </c>
      <c r="C75" s="682" t="s">
        <v>1349</v>
      </c>
      <c r="D75" s="682" t="str">
        <f>IF(Regional_eq_livestock[[#This Row],[GLEAM]]="NENA",CONCATENATE("NENA","/Middle East"),Regional_eq_livestock[[#This Row],[GLEAM]])</f>
        <v>Latin America and the Caribbean</v>
      </c>
    </row>
    <row r="76" spans="1:4" x14ac:dyDescent="0.2">
      <c r="A76" s="682" t="s">
        <v>2491</v>
      </c>
      <c r="B76" s="682" t="s">
        <v>2157</v>
      </c>
      <c r="C76" s="682" t="s">
        <v>1333</v>
      </c>
      <c r="D76" s="682" t="str">
        <f>IF(Regional_eq_livestock[[#This Row],[GLEAM]]="NENA",CONCATENATE("NENA","/Middle East"),Regional_eq_livestock[[#This Row],[GLEAM]])</f>
        <v>Latin America and the Caribbean</v>
      </c>
    </row>
    <row r="77" spans="1:4" x14ac:dyDescent="0.2">
      <c r="A77" s="682" t="s">
        <v>2662</v>
      </c>
      <c r="B77" s="682" t="s">
        <v>2157</v>
      </c>
      <c r="C77" s="682" t="s">
        <v>1349</v>
      </c>
      <c r="D77" s="682" t="str">
        <f>IF(Regional_eq_livestock[[#This Row],[GLEAM]]="NENA",CONCATENATE("NENA","/Middle East"),Regional_eq_livestock[[#This Row],[GLEAM]])</f>
        <v>Latin America and the Caribbean</v>
      </c>
    </row>
    <row r="78" spans="1:4" x14ac:dyDescent="0.2">
      <c r="A78" s="682" t="s">
        <v>2499</v>
      </c>
      <c r="B78" s="682" t="s">
        <v>2157</v>
      </c>
      <c r="C78" s="682" t="s">
        <v>1349</v>
      </c>
      <c r="D78" s="682" t="str">
        <f>IF(Regional_eq_livestock[[#This Row],[GLEAM]]="NENA",CONCATENATE("NENA","/Middle East"),Regional_eq_livestock[[#This Row],[GLEAM]])</f>
        <v>Latin America and the Caribbean</v>
      </c>
    </row>
    <row r="79" spans="1:4" x14ac:dyDescent="0.2">
      <c r="A79" s="682" t="s">
        <v>2507</v>
      </c>
      <c r="B79" s="682" t="s">
        <v>2157</v>
      </c>
      <c r="C79" s="682" t="s">
        <v>1547</v>
      </c>
      <c r="D79" s="682" t="str">
        <f>IF(Regional_eq_livestock[[#This Row],[GLEAM]]="NENA",CONCATENATE("NENA","/Middle East"),Regional_eq_livestock[[#This Row],[GLEAM]])</f>
        <v>Latin America and the Caribbean</v>
      </c>
    </row>
    <row r="80" spans="1:4" x14ac:dyDescent="0.2">
      <c r="A80" s="682" t="s">
        <v>2509</v>
      </c>
      <c r="B80" s="682" t="s">
        <v>2157</v>
      </c>
      <c r="C80" s="682" t="s">
        <v>1547</v>
      </c>
      <c r="D80" s="682" t="str">
        <f>IF(Regional_eq_livestock[[#This Row],[GLEAM]]="NENA",CONCATENATE("NENA","/Middle East"),Regional_eq_livestock[[#This Row],[GLEAM]])</f>
        <v>Latin America and the Caribbean</v>
      </c>
    </row>
    <row r="81" spans="1:4" x14ac:dyDescent="0.2">
      <c r="A81" s="682" t="s">
        <v>2510</v>
      </c>
      <c r="B81" s="682" t="s">
        <v>2157</v>
      </c>
      <c r="C81" s="682" t="s">
        <v>1333</v>
      </c>
      <c r="D81" s="682" t="str">
        <f>IF(Regional_eq_livestock[[#This Row],[GLEAM]]="NENA",CONCATENATE("NENA","/Middle East"),Regional_eq_livestock[[#This Row],[GLEAM]])</f>
        <v>Latin America and the Caribbean</v>
      </c>
    </row>
    <row r="82" spans="1:4" x14ac:dyDescent="0.2">
      <c r="A82" s="682" t="s">
        <v>2516</v>
      </c>
      <c r="B82" s="682" t="s">
        <v>2157</v>
      </c>
      <c r="C82" s="682" t="s">
        <v>1349</v>
      </c>
      <c r="D82" s="682" t="str">
        <f>IF(Regional_eq_livestock[[#This Row],[GLEAM]]="NENA",CONCATENATE("NENA","/Middle East"),Regional_eq_livestock[[#This Row],[GLEAM]])</f>
        <v>Latin America and the Caribbean</v>
      </c>
    </row>
    <row r="83" spans="1:4" x14ac:dyDescent="0.2">
      <c r="A83" s="682" t="s">
        <v>2518</v>
      </c>
      <c r="B83" s="682" t="s">
        <v>2157</v>
      </c>
      <c r="C83" s="682" t="s">
        <v>1547</v>
      </c>
      <c r="D83" s="682" t="str">
        <f>IF(Regional_eq_livestock[[#This Row],[GLEAM]]="NENA",CONCATENATE("NENA","/Middle East"),Regional_eq_livestock[[#This Row],[GLEAM]])</f>
        <v>Latin America and the Caribbean</v>
      </c>
    </row>
    <row r="84" spans="1:4" x14ac:dyDescent="0.2">
      <c r="A84" s="682" t="s">
        <v>2520</v>
      </c>
      <c r="B84" s="682" t="s">
        <v>2157</v>
      </c>
      <c r="C84" s="682" t="s">
        <v>1333</v>
      </c>
      <c r="D84" s="682" t="str">
        <f>IF(Regional_eq_livestock[[#This Row],[GLEAM]]="NENA",CONCATENATE("NENA","/Middle East"),Regional_eq_livestock[[#This Row],[GLEAM]])</f>
        <v>Latin America and the Caribbean</v>
      </c>
    </row>
    <row r="85" spans="1:4" x14ac:dyDescent="0.2">
      <c r="A85" s="682" t="s">
        <v>2528</v>
      </c>
      <c r="B85" s="682" t="s">
        <v>2157</v>
      </c>
      <c r="C85" s="682" t="s">
        <v>1547</v>
      </c>
      <c r="D85" s="682" t="str">
        <f>IF(Regional_eq_livestock[[#This Row],[GLEAM]]="NENA",CONCATENATE("NENA","/Middle East"),Regional_eq_livestock[[#This Row],[GLEAM]])</f>
        <v>Latin America and the Caribbean</v>
      </c>
    </row>
    <row r="86" spans="1:4" x14ac:dyDescent="0.2">
      <c r="A86" s="682" t="s">
        <v>2663</v>
      </c>
      <c r="B86" s="682" t="s">
        <v>2157</v>
      </c>
      <c r="C86" s="682" t="s">
        <v>1547</v>
      </c>
      <c r="D86" s="682" t="str">
        <f>IF(Regional_eq_livestock[[#This Row],[GLEAM]]="NENA",CONCATENATE("NENA","/Middle East"),Regional_eq_livestock[[#This Row],[GLEAM]])</f>
        <v>Latin America and the Caribbean</v>
      </c>
    </row>
    <row r="87" spans="1:4" x14ac:dyDescent="0.2">
      <c r="A87" s="682" t="s">
        <v>2542</v>
      </c>
      <c r="B87" s="682" t="s">
        <v>2157</v>
      </c>
      <c r="C87" s="682" t="s">
        <v>1333</v>
      </c>
      <c r="D87" s="682" t="str">
        <f>IF(Regional_eq_livestock[[#This Row],[GLEAM]]="NENA",CONCATENATE("NENA","/Middle East"),Regional_eq_livestock[[#This Row],[GLEAM]])</f>
        <v>Latin America and the Caribbean</v>
      </c>
    </row>
    <row r="88" spans="1:4" x14ac:dyDescent="0.2">
      <c r="A88" s="682" t="s">
        <v>2664</v>
      </c>
      <c r="B88" s="682" t="s">
        <v>2157</v>
      </c>
      <c r="C88" s="682" t="s">
        <v>1547</v>
      </c>
      <c r="D88" s="682" t="str">
        <f>IF(Regional_eq_livestock[[#This Row],[GLEAM]]="NENA",CONCATENATE("NENA","/Middle East"),Regional_eq_livestock[[#This Row],[GLEAM]])</f>
        <v>Latin America and the Caribbean</v>
      </c>
    </row>
    <row r="89" spans="1:4" x14ac:dyDescent="0.2">
      <c r="A89" s="682" t="s">
        <v>2556</v>
      </c>
      <c r="B89" s="682" t="s">
        <v>2157</v>
      </c>
      <c r="C89" s="682" t="s">
        <v>1333</v>
      </c>
      <c r="D89" s="682" t="str">
        <f>IF(Regional_eq_livestock[[#This Row],[GLEAM]]="NENA",CONCATENATE("NENA","/Middle East"),Regional_eq_livestock[[#This Row],[GLEAM]])</f>
        <v>Latin America and the Caribbean</v>
      </c>
    </row>
    <row r="90" spans="1:4" x14ac:dyDescent="0.2">
      <c r="A90" s="682" t="s">
        <v>2566</v>
      </c>
      <c r="B90" s="682" t="s">
        <v>2157</v>
      </c>
      <c r="C90" s="682" t="s">
        <v>1333</v>
      </c>
      <c r="D90" s="682" t="str">
        <f>IF(Regional_eq_livestock[[#This Row],[GLEAM]]="NENA",CONCATENATE("NENA","/Middle East"),Regional_eq_livestock[[#This Row],[GLEAM]])</f>
        <v>Latin America and the Caribbean</v>
      </c>
    </row>
    <row r="91" spans="1:4" x14ac:dyDescent="0.2">
      <c r="A91" s="682" t="s">
        <v>2665</v>
      </c>
      <c r="B91" s="682" t="s">
        <v>2157</v>
      </c>
      <c r="C91" s="682" t="s">
        <v>1349</v>
      </c>
      <c r="D91" s="682" t="str">
        <f>IF(Regional_eq_livestock[[#This Row],[GLEAM]]="NENA",CONCATENATE("NENA","/Middle East"),Regional_eq_livestock[[#This Row],[GLEAM]])</f>
        <v>Latin America and the Caribbean</v>
      </c>
    </row>
    <row r="92" spans="1:4" x14ac:dyDescent="0.2">
      <c r="A92" s="682" t="s">
        <v>2570</v>
      </c>
      <c r="B92" s="682" t="s">
        <v>2157</v>
      </c>
      <c r="C92" s="682" t="s">
        <v>1349</v>
      </c>
      <c r="D92" s="682" t="str">
        <f>IF(Regional_eq_livestock[[#This Row],[GLEAM]]="NENA",CONCATENATE("NENA","/Middle East"),Regional_eq_livestock[[#This Row],[GLEAM]])</f>
        <v>Latin America and the Caribbean</v>
      </c>
    </row>
    <row r="93" spans="1:4" x14ac:dyDescent="0.2">
      <c r="A93" s="682" t="s">
        <v>2574</v>
      </c>
      <c r="B93" s="682" t="s">
        <v>2157</v>
      </c>
      <c r="C93" s="682" t="s">
        <v>1547</v>
      </c>
      <c r="D93" s="682" t="str">
        <f>IF(Regional_eq_livestock[[#This Row],[GLEAM]]="NENA",CONCATENATE("NENA","/Middle East"),Regional_eq_livestock[[#This Row],[GLEAM]])</f>
        <v>Latin America and the Caribbean</v>
      </c>
    </row>
    <row r="94" spans="1:4" x14ac:dyDescent="0.2">
      <c r="A94" s="682" t="s">
        <v>2666</v>
      </c>
      <c r="B94" s="682" t="s">
        <v>2157</v>
      </c>
      <c r="C94" s="682" t="s">
        <v>1547</v>
      </c>
      <c r="D94" s="682" t="str">
        <f>IF(Regional_eq_livestock[[#This Row],[GLEAM]]="NENA",CONCATENATE("NENA","/Middle East"),Regional_eq_livestock[[#This Row],[GLEAM]])</f>
        <v>Latin America and the Caribbean</v>
      </c>
    </row>
    <row r="95" spans="1:4" x14ac:dyDescent="0.2">
      <c r="A95" s="682" t="s">
        <v>2667</v>
      </c>
      <c r="B95" s="682" t="s">
        <v>2157</v>
      </c>
      <c r="C95" s="682" t="s">
        <v>1547</v>
      </c>
      <c r="D95" s="682" t="str">
        <f>IF(Regional_eq_livestock[[#This Row],[GLEAM]]="NENA",CONCATENATE("NENA","/Middle East"),Regional_eq_livestock[[#This Row],[GLEAM]])</f>
        <v>Latin America and the Caribbean</v>
      </c>
    </row>
    <row r="96" spans="1:4" x14ac:dyDescent="0.2">
      <c r="A96" s="682" t="s">
        <v>2668</v>
      </c>
      <c r="B96" s="682" t="s">
        <v>2157</v>
      </c>
      <c r="C96" s="682" t="s">
        <v>1547</v>
      </c>
      <c r="D96" s="682" t="str">
        <f>IF(Regional_eq_livestock[[#This Row],[GLEAM]]="NENA",CONCATENATE("NENA","/Middle East"),Regional_eq_livestock[[#This Row],[GLEAM]])</f>
        <v>Latin America and the Caribbean</v>
      </c>
    </row>
    <row r="97" spans="1:4" x14ac:dyDescent="0.2">
      <c r="A97" s="682" t="s">
        <v>2669</v>
      </c>
      <c r="B97" s="682" t="s">
        <v>2157</v>
      </c>
      <c r="C97" s="682" t="s">
        <v>1547</v>
      </c>
      <c r="D97" s="682" t="str">
        <f>IF(Regional_eq_livestock[[#This Row],[GLEAM]]="NENA",CONCATENATE("NENA","/Middle East"),Regional_eq_livestock[[#This Row],[GLEAM]])</f>
        <v>Latin America and the Caribbean</v>
      </c>
    </row>
    <row r="98" spans="1:4" x14ac:dyDescent="0.2">
      <c r="A98" s="682" t="s">
        <v>2594</v>
      </c>
      <c r="B98" s="682" t="s">
        <v>2157</v>
      </c>
      <c r="C98" s="682" t="s">
        <v>1547</v>
      </c>
      <c r="D98" s="682" t="str">
        <f>IF(Regional_eq_livestock[[#This Row],[GLEAM]]="NENA",CONCATENATE("NENA","/Middle East"),Regional_eq_livestock[[#This Row],[GLEAM]])</f>
        <v>Latin America and the Caribbean</v>
      </c>
    </row>
    <row r="99" spans="1:4" x14ac:dyDescent="0.2">
      <c r="A99" s="682" t="s">
        <v>2670</v>
      </c>
      <c r="B99" s="682" t="s">
        <v>2157</v>
      </c>
      <c r="C99" s="682" t="s">
        <v>1547</v>
      </c>
      <c r="D99" s="682" t="str">
        <f>IF(Regional_eq_livestock[[#This Row],[GLEAM]]="NENA",CONCATENATE("NENA","/Middle East"),Regional_eq_livestock[[#This Row],[GLEAM]])</f>
        <v>Latin America and the Caribbean</v>
      </c>
    </row>
    <row r="100" spans="1:4" x14ac:dyDescent="0.2">
      <c r="A100" s="682" t="s">
        <v>2671</v>
      </c>
      <c r="B100" s="682" t="s">
        <v>2157</v>
      </c>
      <c r="C100" s="682" t="s">
        <v>1349</v>
      </c>
      <c r="D100" s="682" t="str">
        <f>IF(Regional_eq_livestock[[#This Row],[GLEAM]]="NENA",CONCATENATE("NENA","/Middle East"),Regional_eq_livestock[[#This Row],[GLEAM]])</f>
        <v>Latin America and the Caribbean</v>
      </c>
    </row>
    <row r="101" spans="1:4" x14ac:dyDescent="0.2">
      <c r="A101" s="682" t="s">
        <v>2598</v>
      </c>
      <c r="B101" s="682" t="s">
        <v>2157</v>
      </c>
      <c r="C101" s="682" t="s">
        <v>1349</v>
      </c>
      <c r="D101" s="682" t="str">
        <f>IF(Regional_eq_livestock[[#This Row],[GLEAM]]="NENA",CONCATENATE("NENA","/Middle East"),Regional_eq_livestock[[#This Row],[GLEAM]])</f>
        <v>Latin America and the Caribbean</v>
      </c>
    </row>
    <row r="102" spans="1:4" x14ac:dyDescent="0.2">
      <c r="A102" s="682" t="s">
        <v>2672</v>
      </c>
      <c r="B102" s="682" t="s">
        <v>2157</v>
      </c>
      <c r="C102" s="682" t="s">
        <v>1547</v>
      </c>
      <c r="D102" s="682" t="str">
        <f>IF(Regional_eq_livestock[[#This Row],[GLEAM]]="NENA",CONCATENATE("NENA","/Middle East"),Regional_eq_livestock[[#This Row],[GLEAM]])</f>
        <v>Latin America and the Caribbean</v>
      </c>
    </row>
    <row r="103" spans="1:4" x14ac:dyDescent="0.2">
      <c r="A103" s="682" t="s">
        <v>2673</v>
      </c>
      <c r="B103" s="682" t="s">
        <v>2157</v>
      </c>
      <c r="C103" s="682" t="s">
        <v>1547</v>
      </c>
      <c r="D103" s="682" t="str">
        <f>IF(Regional_eq_livestock[[#This Row],[GLEAM]]="NENA",CONCATENATE("NENA","/Middle East"),Regional_eq_livestock[[#This Row],[GLEAM]])</f>
        <v>Latin America and the Caribbean</v>
      </c>
    </row>
    <row r="104" spans="1:4" x14ac:dyDescent="0.2">
      <c r="A104" s="682" t="s">
        <v>2674</v>
      </c>
      <c r="B104" s="682" t="s">
        <v>2157</v>
      </c>
      <c r="C104" s="682" t="s">
        <v>1547</v>
      </c>
      <c r="D104" s="682" t="str">
        <f>IF(Regional_eq_livestock[[#This Row],[GLEAM]]="NENA",CONCATENATE("NENA","/Middle East"),Regional_eq_livestock[[#This Row],[GLEAM]])</f>
        <v>Latin America and the Caribbean</v>
      </c>
    </row>
    <row r="105" spans="1:4" x14ac:dyDescent="0.2">
      <c r="A105" s="682" t="s">
        <v>2675</v>
      </c>
      <c r="B105" s="682" t="s">
        <v>2157</v>
      </c>
      <c r="C105" s="682" t="s">
        <v>1349</v>
      </c>
      <c r="D105" s="682" t="str">
        <f>IF(Regional_eq_livestock[[#This Row],[GLEAM]]="NENA",CONCATENATE("NENA","/Middle East"),Regional_eq_livestock[[#This Row],[GLEAM]])</f>
        <v>Latin America and the Caribbean</v>
      </c>
    </row>
    <row r="106" spans="1:4" x14ac:dyDescent="0.2">
      <c r="A106" s="682" t="s">
        <v>2676</v>
      </c>
      <c r="B106" s="682" t="s">
        <v>2157</v>
      </c>
      <c r="C106" s="682" t="s">
        <v>1349</v>
      </c>
      <c r="D106" s="682" t="str">
        <f>IF(Regional_eq_livestock[[#This Row],[GLEAM]]="NENA",CONCATENATE("NENA","/Middle East"),Regional_eq_livestock[[#This Row],[GLEAM]])</f>
        <v>Latin America and the Caribbean</v>
      </c>
    </row>
    <row r="107" spans="1:4" x14ac:dyDescent="0.2">
      <c r="A107" s="1622" t="s">
        <v>2677</v>
      </c>
      <c r="B107" s="1622" t="s">
        <v>2678</v>
      </c>
      <c r="C107" s="1622" t="s">
        <v>1559</v>
      </c>
      <c r="D107" s="453" t="str">
        <f>IF(Regional_eq_livestock[[#This Row],[GLEAM]]="NENA",CONCATENATE("NENA","/Middle East"),Regional_eq_livestock[[#This Row],[GLEAM]])</f>
        <v>NENA/Middle East</v>
      </c>
    </row>
    <row r="108" spans="1:4" x14ac:dyDescent="0.2">
      <c r="A108" s="682" t="s">
        <v>2679</v>
      </c>
      <c r="B108" s="682" t="s">
        <v>2678</v>
      </c>
      <c r="C108" s="682" t="s">
        <v>1571</v>
      </c>
      <c r="D108" s="682" t="str">
        <f>IF(Regional_eq_livestock[[#This Row],[GLEAM]]="NENA",CONCATENATE("NENA","/Middle East"),Regional_eq_livestock[[#This Row],[GLEAM]])</f>
        <v>NENA/Middle East</v>
      </c>
    </row>
    <row r="109" spans="1:4" x14ac:dyDescent="0.2">
      <c r="A109" s="682" t="s">
        <v>2680</v>
      </c>
      <c r="B109" s="682" t="s">
        <v>2678</v>
      </c>
      <c r="C109" s="682" t="s">
        <v>1571</v>
      </c>
      <c r="D109" s="682" t="str">
        <f>IF(Regional_eq_livestock[[#This Row],[GLEAM]]="NENA",CONCATENATE("NENA","/Middle East"),Regional_eq_livestock[[#This Row],[GLEAM]])</f>
        <v>NENA/Middle East</v>
      </c>
    </row>
    <row r="110" spans="1:4" x14ac:dyDescent="0.2">
      <c r="A110" s="682" t="s">
        <v>2681</v>
      </c>
      <c r="B110" s="682" t="s">
        <v>2678</v>
      </c>
      <c r="C110" s="682" t="s">
        <v>1571</v>
      </c>
      <c r="D110" s="682" t="str">
        <f>IF(Regional_eq_livestock[[#This Row],[GLEAM]]="NENA",CONCATENATE("NENA","/Middle East"),Regional_eq_livestock[[#This Row],[GLEAM]])</f>
        <v>NENA/Middle East</v>
      </c>
    </row>
    <row r="111" spans="1:4" x14ac:dyDescent="0.2">
      <c r="A111" s="682" t="s">
        <v>2682</v>
      </c>
      <c r="B111" s="682" t="s">
        <v>2678</v>
      </c>
      <c r="C111" s="682" t="s">
        <v>1571</v>
      </c>
      <c r="D111" s="682" t="str">
        <f>IF(Regional_eq_livestock[[#This Row],[GLEAM]]="NENA",CONCATENATE("NENA","/Middle East"),Regional_eq_livestock[[#This Row],[GLEAM]])</f>
        <v>NENA/Middle East</v>
      </c>
    </row>
    <row r="112" spans="1:4" x14ac:dyDescent="0.2">
      <c r="A112" s="1622" t="s">
        <v>2489</v>
      </c>
      <c r="B112" s="1622" t="s">
        <v>2678</v>
      </c>
      <c r="C112" s="1622" t="s">
        <v>1559</v>
      </c>
      <c r="D112" s="682" t="str">
        <f>IF(Regional_eq_livestock[[#This Row],[GLEAM]]="NENA",CONCATENATE("NENA","/Middle East"),Regional_eq_livestock[[#This Row],[GLEAM]])</f>
        <v>NENA/Middle East</v>
      </c>
    </row>
    <row r="113" spans="1:4" x14ac:dyDescent="0.2">
      <c r="A113" s="682" t="s">
        <v>2683</v>
      </c>
      <c r="B113" s="682" t="s">
        <v>2678</v>
      </c>
      <c r="C113" s="682" t="s">
        <v>1571</v>
      </c>
      <c r="D113" s="682" t="str">
        <f>IF(Regional_eq_livestock[[#This Row],[GLEAM]]="NENA",CONCATENATE("NENA","/Middle East"),Regional_eq_livestock[[#This Row],[GLEAM]])</f>
        <v>NENA/Middle East</v>
      </c>
    </row>
    <row r="114" spans="1:4" x14ac:dyDescent="0.2">
      <c r="A114" s="682" t="s">
        <v>2684</v>
      </c>
      <c r="B114" s="682" t="s">
        <v>2678</v>
      </c>
      <c r="C114" s="682" t="s">
        <v>1571</v>
      </c>
      <c r="D114" s="682" t="str">
        <f>IF(Regional_eq_livestock[[#This Row],[GLEAM]]="NENA",CONCATENATE("NENA","/Middle East"),Regional_eq_livestock[[#This Row],[GLEAM]])</f>
        <v>NENA/Middle East</v>
      </c>
    </row>
    <row r="115" spans="1:4" x14ac:dyDescent="0.2">
      <c r="A115" s="682" t="s">
        <v>2685</v>
      </c>
      <c r="B115" s="682" t="s">
        <v>2678</v>
      </c>
      <c r="C115" s="682" t="s">
        <v>1571</v>
      </c>
      <c r="D115" s="682" t="str">
        <f>IF(Regional_eq_livestock[[#This Row],[GLEAM]]="NENA",CONCATENATE("NENA","/Middle East"),Regional_eq_livestock[[#This Row],[GLEAM]])</f>
        <v>NENA/Middle East</v>
      </c>
    </row>
    <row r="116" spans="1:4" x14ac:dyDescent="0.2">
      <c r="A116" s="682" t="s">
        <v>2686</v>
      </c>
      <c r="B116" s="682" t="s">
        <v>2678</v>
      </c>
      <c r="C116" s="682" t="s">
        <v>1571</v>
      </c>
      <c r="D116" s="682" t="str">
        <f>IF(Regional_eq_livestock[[#This Row],[GLEAM]]="NENA",CONCATENATE("NENA","/Middle East"),Regional_eq_livestock[[#This Row],[GLEAM]])</f>
        <v>NENA/Middle East</v>
      </c>
    </row>
    <row r="117" spans="1:4" x14ac:dyDescent="0.2">
      <c r="A117" s="682" t="s">
        <v>2687</v>
      </c>
      <c r="B117" s="682" t="s">
        <v>2678</v>
      </c>
      <c r="C117" s="682" t="s">
        <v>1550</v>
      </c>
      <c r="D117" s="682" t="str">
        <f>IF(Regional_eq_livestock[[#This Row],[GLEAM]]="NENA",CONCATENATE("NENA","/Middle East"),Regional_eq_livestock[[#This Row],[GLEAM]])</f>
        <v>NENA/Middle East</v>
      </c>
    </row>
    <row r="118" spans="1:4" x14ac:dyDescent="0.2">
      <c r="A118" s="682" t="s">
        <v>2688</v>
      </c>
      <c r="B118" s="682" t="s">
        <v>2678</v>
      </c>
      <c r="C118" s="682" t="s">
        <v>1571</v>
      </c>
      <c r="D118" s="682" t="str">
        <f>IF(Regional_eq_livestock[[#This Row],[GLEAM]]="NENA",CONCATENATE("NENA","/Middle East"),Regional_eq_livestock[[#This Row],[GLEAM]])</f>
        <v>NENA/Middle East</v>
      </c>
    </row>
    <row r="119" spans="1:4" x14ac:dyDescent="0.2">
      <c r="A119" s="682" t="s">
        <v>2689</v>
      </c>
      <c r="B119" s="682" t="s">
        <v>2678</v>
      </c>
      <c r="C119" s="682" t="s">
        <v>1550</v>
      </c>
      <c r="D119" s="682" t="str">
        <f>IF(Regional_eq_livestock[[#This Row],[GLEAM]]="NENA",CONCATENATE("NENA","/Middle East"),Regional_eq_livestock[[#This Row],[GLEAM]])</f>
        <v>NENA/Middle East</v>
      </c>
    </row>
    <row r="120" spans="1:4" x14ac:dyDescent="0.2">
      <c r="A120" s="682" t="s">
        <v>2690</v>
      </c>
      <c r="B120" s="682" t="s">
        <v>2678</v>
      </c>
      <c r="C120" s="682" t="s">
        <v>1571</v>
      </c>
      <c r="D120" s="682" t="str">
        <f>IF(Regional_eq_livestock[[#This Row],[GLEAM]]="NENA",CONCATENATE("NENA","/Middle East"),Regional_eq_livestock[[#This Row],[GLEAM]])</f>
        <v>NENA/Middle East</v>
      </c>
    </row>
    <row r="121" spans="1:4" x14ac:dyDescent="0.2">
      <c r="A121" s="1622" t="s">
        <v>2691</v>
      </c>
      <c r="B121" s="1622" t="s">
        <v>2678</v>
      </c>
      <c r="C121" s="1622" t="s">
        <v>1559</v>
      </c>
      <c r="D121" s="682" t="str">
        <f>IF(Regional_eq_livestock[[#This Row],[GLEAM]]="NENA",CONCATENATE("NENA","/Middle East"),Regional_eq_livestock[[#This Row],[GLEAM]])</f>
        <v>NENA/Middle East</v>
      </c>
    </row>
    <row r="122" spans="1:4" x14ac:dyDescent="0.2">
      <c r="A122" s="1622" t="s">
        <v>2546</v>
      </c>
      <c r="B122" s="1622" t="s">
        <v>2678</v>
      </c>
      <c r="C122" s="1622" t="s">
        <v>1559</v>
      </c>
      <c r="D122" s="682" t="str">
        <f>IF(Regional_eq_livestock[[#This Row],[GLEAM]]="NENA",CONCATENATE("NENA","/Middle East"),Regional_eq_livestock[[#This Row],[GLEAM]])</f>
        <v>NENA/Middle East</v>
      </c>
    </row>
    <row r="123" spans="1:4" x14ac:dyDescent="0.2">
      <c r="A123" s="682" t="s">
        <v>2560</v>
      </c>
      <c r="B123" s="682" t="s">
        <v>2678</v>
      </c>
      <c r="C123" s="682" t="s">
        <v>1571</v>
      </c>
      <c r="D123" s="682" t="str">
        <f>IF(Regional_eq_livestock[[#This Row],[GLEAM]]="NENA",CONCATENATE("NENA","/Middle East"),Regional_eq_livestock[[#This Row],[GLEAM]])</f>
        <v>NENA/Middle East</v>
      </c>
    </row>
    <row r="124" spans="1:4" x14ac:dyDescent="0.2">
      <c r="A124" s="682" t="s">
        <v>2692</v>
      </c>
      <c r="B124" s="682" t="s">
        <v>2678</v>
      </c>
      <c r="C124" s="682" t="s">
        <v>1571</v>
      </c>
      <c r="D124" s="682" t="str">
        <f>IF(Regional_eq_livestock[[#This Row],[GLEAM]]="NENA",CONCATENATE("NENA","/Middle East"),Regional_eq_livestock[[#This Row],[GLEAM]])</f>
        <v>NENA/Middle East</v>
      </c>
    </row>
    <row r="125" spans="1:4" x14ac:dyDescent="0.2">
      <c r="A125" s="682" t="s">
        <v>2576</v>
      </c>
      <c r="B125" s="682" t="s">
        <v>2678</v>
      </c>
      <c r="C125" s="682" t="s">
        <v>1571</v>
      </c>
      <c r="D125" s="682" t="str">
        <f>IF(Regional_eq_livestock[[#This Row],[GLEAM]]="NENA",CONCATENATE("NENA","/Middle East"),Regional_eq_livestock[[#This Row],[GLEAM]])</f>
        <v>NENA/Middle East</v>
      </c>
    </row>
    <row r="126" spans="1:4" x14ac:dyDescent="0.2">
      <c r="A126" s="1622" t="s">
        <v>2693</v>
      </c>
      <c r="B126" s="1622" t="s">
        <v>2678</v>
      </c>
      <c r="C126" s="1622" t="s">
        <v>1559</v>
      </c>
      <c r="D126" s="682" t="str">
        <f>IF(Regional_eq_livestock[[#This Row],[GLEAM]]="NENA",CONCATENATE("NENA","/Middle East"),Regional_eq_livestock[[#This Row],[GLEAM]])</f>
        <v>NENA/Middle East</v>
      </c>
    </row>
    <row r="127" spans="1:4" x14ac:dyDescent="0.2">
      <c r="A127" s="682" t="s">
        <v>2694</v>
      </c>
      <c r="B127" s="682" t="s">
        <v>2678</v>
      </c>
      <c r="C127" s="682" t="s">
        <v>1571</v>
      </c>
      <c r="D127" s="682" t="str">
        <f>IF(Regional_eq_livestock[[#This Row],[GLEAM]]="NENA",CONCATENATE("NENA","/Middle East"),Regional_eq_livestock[[#This Row],[GLEAM]])</f>
        <v>NENA/Middle East</v>
      </c>
    </row>
    <row r="128" spans="1:4" x14ac:dyDescent="0.2">
      <c r="A128" s="1622" t="s">
        <v>2596</v>
      </c>
      <c r="B128" s="1622" t="s">
        <v>2678</v>
      </c>
      <c r="C128" s="1622" t="s">
        <v>1559</v>
      </c>
      <c r="D128" s="682" t="str">
        <f>IF(Regional_eq_livestock[[#This Row],[GLEAM]]="NENA",CONCATENATE("NENA","/Middle East"),Regional_eq_livestock[[#This Row],[GLEAM]])</f>
        <v>NENA/Middle East</v>
      </c>
    </row>
    <row r="129" spans="1:4" x14ac:dyDescent="0.2">
      <c r="A129" s="682" t="s">
        <v>2695</v>
      </c>
      <c r="B129" s="682" t="s">
        <v>2678</v>
      </c>
      <c r="C129" s="682" t="s">
        <v>1571</v>
      </c>
      <c r="D129" s="682" t="str">
        <f>IF(Regional_eq_livestock[[#This Row],[GLEAM]]="NENA",CONCATENATE("NENA","/Middle East"),Regional_eq_livestock[[#This Row],[GLEAM]])</f>
        <v>NENA/Middle East</v>
      </c>
    </row>
    <row r="130" spans="1:4" x14ac:dyDescent="0.2">
      <c r="A130" s="682" t="s">
        <v>2696</v>
      </c>
      <c r="B130" s="682" t="s">
        <v>2678</v>
      </c>
      <c r="C130" s="682" t="s">
        <v>1550</v>
      </c>
      <c r="D130" s="682" t="str">
        <f>IF(Regional_eq_livestock[[#This Row],[GLEAM]]="NENA",CONCATENATE("NENA","/Middle East"),Regional_eq_livestock[[#This Row],[GLEAM]])</f>
        <v>NENA/Middle East</v>
      </c>
    </row>
    <row r="131" spans="1:4" ht="15.75" customHeight="1" x14ac:dyDescent="0.2">
      <c r="A131" s="1622" t="s">
        <v>2697</v>
      </c>
      <c r="B131" s="1622" t="s">
        <v>2678</v>
      </c>
      <c r="C131" s="1622" t="s">
        <v>1559</v>
      </c>
      <c r="D131" s="682" t="str">
        <f>IF(Regional_eq_livestock[[#This Row],[GLEAM]]="NENA",CONCATENATE("NENA","/Middle East"),Regional_eq_livestock[[#This Row],[GLEAM]])</f>
        <v>NENA/Middle East</v>
      </c>
    </row>
    <row r="132" spans="1:4" x14ac:dyDescent="0.2">
      <c r="A132" s="682" t="s">
        <v>2698</v>
      </c>
      <c r="B132" s="682" t="s">
        <v>2678</v>
      </c>
      <c r="C132" s="682" t="s">
        <v>1571</v>
      </c>
      <c r="D132" s="682" t="str">
        <f>IF(Regional_eq_livestock[[#This Row],[GLEAM]]="NENA",CONCATENATE("NENA","/Middle East"),Regional_eq_livestock[[#This Row],[GLEAM]])</f>
        <v>NENA/Middle East</v>
      </c>
    </row>
    <row r="133" spans="1:4" x14ac:dyDescent="0.2">
      <c r="A133" s="682" t="s">
        <v>2699</v>
      </c>
      <c r="B133" s="682" t="s">
        <v>2678</v>
      </c>
      <c r="C133" s="682" t="s">
        <v>1550</v>
      </c>
      <c r="D133" s="682" t="str">
        <f>IF(Regional_eq_livestock[[#This Row],[GLEAM]]="NENA",CONCATENATE("NENA","/Middle East"),Regional_eq_livestock[[#This Row],[GLEAM]])</f>
        <v>NENA/Middle East</v>
      </c>
    </row>
    <row r="134" spans="1:4" x14ac:dyDescent="0.2">
      <c r="A134" s="682" t="s">
        <v>2700</v>
      </c>
      <c r="B134" s="682" t="s">
        <v>2678</v>
      </c>
      <c r="C134" s="682" t="s">
        <v>1571</v>
      </c>
      <c r="D134" s="682" t="str">
        <f>IF(Regional_eq_livestock[[#This Row],[GLEAM]]="NENA",CONCATENATE("NENA","/Middle East"),Regional_eq_livestock[[#This Row],[GLEAM]])</f>
        <v>NENA/Middle East</v>
      </c>
    </row>
    <row r="135" spans="1:4" x14ac:dyDescent="0.2">
      <c r="A135" s="682" t="s">
        <v>2701</v>
      </c>
      <c r="B135" s="682" t="s">
        <v>2678</v>
      </c>
      <c r="C135" s="682" t="s">
        <v>1550</v>
      </c>
      <c r="D135" s="682" t="str">
        <f>IF(Regional_eq_livestock[[#This Row],[GLEAM]]="NENA",CONCATENATE("NENA","/Middle East"),Regional_eq_livestock[[#This Row],[GLEAM]])</f>
        <v>NENA/Middle East</v>
      </c>
    </row>
    <row r="136" spans="1:4" x14ac:dyDescent="0.2">
      <c r="A136" s="1622" t="s">
        <v>2702</v>
      </c>
      <c r="B136" s="1622" t="s">
        <v>2678</v>
      </c>
      <c r="C136" s="1622" t="s">
        <v>1559</v>
      </c>
      <c r="D136" s="682" t="str">
        <f>IF(Regional_eq_livestock[[#This Row],[GLEAM]]="NENA",CONCATENATE("NENA","/Middle East"),Regional_eq_livestock[[#This Row],[GLEAM]])</f>
        <v>NENA/Middle East</v>
      </c>
    </row>
    <row r="137" spans="1:4" x14ac:dyDescent="0.2">
      <c r="A137" s="682" t="s">
        <v>2703</v>
      </c>
      <c r="B137" s="682" t="s">
        <v>2678</v>
      </c>
      <c r="C137" s="682" t="s">
        <v>1571</v>
      </c>
      <c r="D137" s="682" t="str">
        <f>IF(Regional_eq_livestock[[#This Row],[GLEAM]]="NENA",CONCATENATE("NENA","/Middle East"),Regional_eq_livestock[[#This Row],[GLEAM]])</f>
        <v>NENA/Middle East</v>
      </c>
    </row>
    <row r="138" spans="1:4" x14ac:dyDescent="0.2">
      <c r="A138" s="682" t="s">
        <v>2457</v>
      </c>
      <c r="B138" s="682" t="s">
        <v>1343</v>
      </c>
      <c r="C138" s="682" t="s">
        <v>1343</v>
      </c>
      <c r="D138" s="682" t="str">
        <f>IF(Regional_eq_livestock[[#This Row],[GLEAM]]="NENA",CONCATENATE("NENA","/Middle East"),Regional_eq_livestock[[#This Row],[GLEAM]])</f>
        <v>North America</v>
      </c>
    </row>
    <row r="139" spans="1:4" x14ac:dyDescent="0.2">
      <c r="A139" s="682" t="s">
        <v>2704</v>
      </c>
      <c r="B139" s="682" t="s">
        <v>1343</v>
      </c>
      <c r="C139" s="682" t="s">
        <v>1343</v>
      </c>
      <c r="D139" s="682" t="str">
        <f>IF(Regional_eq_livestock[[#This Row],[GLEAM]]="NENA",CONCATENATE("NENA","/Middle East"),Regional_eq_livestock[[#This Row],[GLEAM]])</f>
        <v>North America</v>
      </c>
    </row>
    <row r="140" spans="1:4" x14ac:dyDescent="0.2">
      <c r="A140" s="682" t="s">
        <v>2705</v>
      </c>
      <c r="B140" s="682" t="s">
        <v>1343</v>
      </c>
      <c r="C140" s="682" t="s">
        <v>1343</v>
      </c>
      <c r="D140" s="682" t="str">
        <f>IF(Regional_eq_livestock[[#This Row],[GLEAM]]="NENA",CONCATENATE("NENA","/Middle East"),Regional_eq_livestock[[#This Row],[GLEAM]])</f>
        <v>North America</v>
      </c>
    </row>
    <row r="141" spans="1:4" x14ac:dyDescent="0.2">
      <c r="A141" s="682" t="s">
        <v>2706</v>
      </c>
      <c r="B141" s="682" t="s">
        <v>1343</v>
      </c>
      <c r="C141" s="682" t="s">
        <v>1343</v>
      </c>
      <c r="D141" s="682" t="str">
        <f>IF(Regional_eq_livestock[[#This Row],[GLEAM]]="NENA",CONCATENATE("NENA","/Middle East"),Regional_eq_livestock[[#This Row],[GLEAM]])</f>
        <v>North America</v>
      </c>
    </row>
    <row r="142" spans="1:4" x14ac:dyDescent="0.2">
      <c r="A142" s="682" t="s">
        <v>2707</v>
      </c>
      <c r="B142" s="682" t="s">
        <v>1343</v>
      </c>
      <c r="C142" s="682" t="s">
        <v>1343</v>
      </c>
      <c r="D142" s="682" t="str">
        <f>IF(Regional_eq_livestock[[#This Row],[GLEAM]]="NENA",CONCATENATE("NENA","/Middle East"),Regional_eq_livestock[[#This Row],[GLEAM]])</f>
        <v>North America</v>
      </c>
    </row>
    <row r="143" spans="1:4" x14ac:dyDescent="0.2">
      <c r="A143" s="682" t="s">
        <v>2445</v>
      </c>
      <c r="B143" s="682" t="s">
        <v>1346</v>
      </c>
      <c r="C143" s="682" t="s">
        <v>1346</v>
      </c>
      <c r="D143" s="682" t="str">
        <f>IF(Regional_eq_livestock[[#This Row],[GLEAM]]="NENA",CONCATENATE("NENA","/Middle East"),Regional_eq_livestock[[#This Row],[GLEAM]])</f>
        <v>Oceania</v>
      </c>
    </row>
    <row r="144" spans="1:4" x14ac:dyDescent="0.2">
      <c r="A144" s="682" t="s">
        <v>2554</v>
      </c>
      <c r="B144" s="682" t="s">
        <v>1346</v>
      </c>
      <c r="C144" s="682" t="s">
        <v>1346</v>
      </c>
      <c r="D144" s="682" t="str">
        <f>IF(Regional_eq_livestock[[#This Row],[GLEAM]]="NENA",CONCATENATE("NENA","/Middle East"),Regional_eq_livestock[[#This Row],[GLEAM]])</f>
        <v>Oceania</v>
      </c>
    </row>
    <row r="145" spans="1:4" x14ac:dyDescent="0.2">
      <c r="A145" s="682" t="s">
        <v>2158</v>
      </c>
      <c r="B145" s="682" t="s">
        <v>2158</v>
      </c>
      <c r="C145" s="682" t="s">
        <v>1555</v>
      </c>
      <c r="D145" s="682" t="str">
        <f>IF(Regional_eq_livestock[[#This Row],[GLEAM]]="NENA",CONCATENATE("NENA","/Middle East"),Regional_eq_livestock[[#This Row],[GLEAM]])</f>
        <v>Russian Federation</v>
      </c>
    </row>
    <row r="146" spans="1:4" x14ac:dyDescent="0.2">
      <c r="A146" s="682" t="s">
        <v>2708</v>
      </c>
      <c r="B146" s="682" t="s">
        <v>2160</v>
      </c>
      <c r="C146" s="682" t="s">
        <v>1567</v>
      </c>
      <c r="D146" s="682" t="str">
        <f>IF(Regional_eq_livestock[[#This Row],[GLEAM]]="NENA",CONCATENATE("NENA","/Middle East"),Regional_eq_livestock[[#This Row],[GLEAM]])</f>
        <v>South Asia</v>
      </c>
    </row>
    <row r="147" spans="1:4" x14ac:dyDescent="0.2">
      <c r="A147" s="682" t="s">
        <v>2449</v>
      </c>
      <c r="B147" s="682" t="s">
        <v>2160</v>
      </c>
      <c r="C147" s="682" t="s">
        <v>1567</v>
      </c>
      <c r="D147" s="682" t="str">
        <f>IF(Regional_eq_livestock[[#This Row],[GLEAM]]="NENA",CONCATENATE("NENA","/Middle East"),Regional_eq_livestock[[#This Row],[GLEAM]])</f>
        <v>South Asia</v>
      </c>
    </row>
    <row r="148" spans="1:4" x14ac:dyDescent="0.2">
      <c r="A148" s="682" t="s">
        <v>2709</v>
      </c>
      <c r="B148" s="682" t="s">
        <v>2160</v>
      </c>
      <c r="C148" s="682" t="s">
        <v>1567</v>
      </c>
      <c r="D148" s="682" t="str">
        <f>IF(Regional_eq_livestock[[#This Row],[GLEAM]]="NENA",CONCATENATE("NENA","/Middle East"),Regional_eq_livestock[[#This Row],[GLEAM]])</f>
        <v>South Asia</v>
      </c>
    </row>
    <row r="149" spans="1:4" x14ac:dyDescent="0.2">
      <c r="A149" s="682" t="s">
        <v>2710</v>
      </c>
      <c r="B149" s="682" t="s">
        <v>2160</v>
      </c>
      <c r="C149" s="682" t="s">
        <v>1552</v>
      </c>
      <c r="D149" s="453" t="str">
        <f>IF(Regional_eq_livestock[[#This Row],[GLEAM]]="NENA",CONCATENATE("NENA","/Middle East"),Regional_eq_livestock[[#This Row],[GLEAM]])</f>
        <v>South Asia</v>
      </c>
    </row>
    <row r="150" spans="1:4" x14ac:dyDescent="0.2">
      <c r="A150" s="682" t="s">
        <v>2522</v>
      </c>
      <c r="B150" s="682" t="s">
        <v>2160</v>
      </c>
      <c r="C150" s="682" t="s">
        <v>1567</v>
      </c>
      <c r="D150" s="682" t="str">
        <f>IF(Regional_eq_livestock[[#This Row],[GLEAM]]="NENA",CONCATENATE("NENA","/Middle East"),Regional_eq_livestock[[#This Row],[GLEAM]])</f>
        <v>South Asia</v>
      </c>
    </row>
    <row r="151" spans="1:4" x14ac:dyDescent="0.2">
      <c r="A151" s="1622" t="s">
        <v>2526</v>
      </c>
      <c r="B151" s="1622" t="s">
        <v>2160</v>
      </c>
      <c r="C151" s="1622" t="s">
        <v>1567</v>
      </c>
      <c r="D151" s="682" t="str">
        <f>IF(Regional_eq_livestock[[#This Row],[GLEAM]]="NENA",CONCATENATE("NENA","/Middle East"),Regional_eq_livestock[[#This Row],[GLEAM]])</f>
        <v>South Asia</v>
      </c>
    </row>
    <row r="152" spans="1:4" x14ac:dyDescent="0.2">
      <c r="A152" s="682" t="s">
        <v>2540</v>
      </c>
      <c r="B152" s="682" t="s">
        <v>2160</v>
      </c>
      <c r="C152" s="682" t="s">
        <v>1567</v>
      </c>
      <c r="D152" s="682" t="str">
        <f>IF(Regional_eq_livestock[[#This Row],[GLEAM]]="NENA",CONCATENATE("NENA","/Middle East"),Regional_eq_livestock[[#This Row],[GLEAM]])</f>
        <v>South Asia</v>
      </c>
    </row>
    <row r="153" spans="1:4" x14ac:dyDescent="0.2">
      <c r="A153" s="682" t="s">
        <v>2711</v>
      </c>
      <c r="B153" s="682" t="s">
        <v>2160</v>
      </c>
      <c r="C153" s="682" t="s">
        <v>1567</v>
      </c>
      <c r="D153" s="682" t="str">
        <f>IF(Regional_eq_livestock[[#This Row],[GLEAM]]="NENA",CONCATENATE("NENA","/Middle East"),Regional_eq_livestock[[#This Row],[GLEAM]])</f>
        <v>South Asia</v>
      </c>
    </row>
    <row r="154" spans="1:4" x14ac:dyDescent="0.2">
      <c r="A154" s="682" t="s">
        <v>2562</v>
      </c>
      <c r="B154" s="682" t="s">
        <v>2160</v>
      </c>
      <c r="C154" s="682" t="s">
        <v>1567</v>
      </c>
      <c r="D154" s="682" t="str">
        <f>IF(Regional_eq_livestock[[#This Row],[GLEAM]]="NENA",CONCATENATE("NENA","/Middle East"),Regional_eq_livestock[[#This Row],[GLEAM]])</f>
        <v>South Asia</v>
      </c>
    </row>
    <row r="155" spans="1:4" x14ac:dyDescent="0.2">
      <c r="A155" s="682" t="s">
        <v>2712</v>
      </c>
      <c r="B155" s="682" t="s">
        <v>2160</v>
      </c>
      <c r="C155" s="1620" t="s">
        <v>1346</v>
      </c>
      <c r="D155" s="682" t="str">
        <f>IF(Regional_eq_livestock[[#This Row],[GLEAM]]="NENA",CONCATENATE("NENA","/Middle East"),Regional_eq_livestock[[#This Row],[GLEAM]])</f>
        <v>South Asia</v>
      </c>
    </row>
    <row r="156" spans="1:4" x14ac:dyDescent="0.2">
      <c r="A156" s="682" t="s">
        <v>2592</v>
      </c>
      <c r="B156" s="682" t="s">
        <v>2160</v>
      </c>
      <c r="C156" s="682" t="s">
        <v>1567</v>
      </c>
      <c r="D156" s="682" t="str">
        <f>IF(Regional_eq_livestock[[#This Row],[GLEAM]]="NENA",CONCATENATE("NENA","/Middle East"),Regional_eq_livestock[[#This Row],[GLEAM]])</f>
        <v>South Asia</v>
      </c>
    </row>
    <row r="157" spans="1:4" x14ac:dyDescent="0.2">
      <c r="A157" s="682" t="s">
        <v>2441</v>
      </c>
      <c r="B157" s="682" t="s">
        <v>2155</v>
      </c>
      <c r="C157" s="682" t="s">
        <v>1557</v>
      </c>
      <c r="D157" s="682" t="str">
        <f>IF(Regional_eq_livestock[[#This Row],[GLEAM]]="NENA",CONCATENATE("NENA","/Middle East"),Regional_eq_livestock[[#This Row],[GLEAM]])</f>
        <v>Sub-Saharan Africa</v>
      </c>
    </row>
    <row r="158" spans="1:4" x14ac:dyDescent="0.2">
      <c r="A158" s="682" t="s">
        <v>2455</v>
      </c>
      <c r="B158" s="682" t="s">
        <v>2155</v>
      </c>
      <c r="C158" s="682" t="s">
        <v>1569</v>
      </c>
      <c r="D158" s="682" t="str">
        <f>IF(Regional_eq_livestock[[#This Row],[GLEAM]]="NENA",CONCATENATE("NENA","/Middle East"),Regional_eq_livestock[[#This Row],[GLEAM]])</f>
        <v>Sub-Saharan Africa</v>
      </c>
    </row>
    <row r="159" spans="1:4" x14ac:dyDescent="0.2">
      <c r="A159" s="682" t="s">
        <v>2713</v>
      </c>
      <c r="B159" s="682" t="s">
        <v>2155</v>
      </c>
      <c r="C159" s="682" t="s">
        <v>2590</v>
      </c>
      <c r="D159" s="682" t="str">
        <f>IF(Regional_eq_livestock[[#This Row],[GLEAM]]="NENA",CONCATENATE("NENA","/Middle East"),Regional_eq_livestock[[#This Row],[GLEAM]])</f>
        <v>Sub-Saharan Africa</v>
      </c>
    </row>
    <row r="160" spans="1:4" x14ac:dyDescent="0.2">
      <c r="A160" s="682" t="s">
        <v>2714</v>
      </c>
      <c r="B160" s="682" t="s">
        <v>2155</v>
      </c>
      <c r="C160" s="682" t="s">
        <v>1569</v>
      </c>
      <c r="D160" s="682" t="str">
        <f>IF(Regional_eq_livestock[[#This Row],[GLEAM]]="NENA",CONCATENATE("NENA","/Middle East"),Regional_eq_livestock[[#This Row],[GLEAM]])</f>
        <v>Sub-Saharan Africa</v>
      </c>
    </row>
    <row r="161" spans="1:4" x14ac:dyDescent="0.2">
      <c r="A161" s="682" t="s">
        <v>2715</v>
      </c>
      <c r="B161" s="682" t="s">
        <v>2155</v>
      </c>
      <c r="C161" s="682" t="s">
        <v>1569</v>
      </c>
      <c r="D161" s="682" t="str">
        <f>IF(Regional_eq_livestock[[#This Row],[GLEAM]]="NENA",CONCATENATE("NENA","/Middle East"),Regional_eq_livestock[[#This Row],[GLEAM]])</f>
        <v>Sub-Saharan Africa</v>
      </c>
    </row>
    <row r="162" spans="1:4" x14ac:dyDescent="0.2">
      <c r="A162" s="682" t="s">
        <v>2716</v>
      </c>
      <c r="B162" s="682" t="s">
        <v>2155</v>
      </c>
      <c r="C162" s="682" t="s">
        <v>1569</v>
      </c>
      <c r="D162" s="682" t="str">
        <f>IF(Regional_eq_livestock[[#This Row],[GLEAM]]="NENA",CONCATENATE("NENA","/Middle East"),Regional_eq_livestock[[#This Row],[GLEAM]])</f>
        <v>Sub-Saharan Africa</v>
      </c>
    </row>
    <row r="163" spans="1:4" x14ac:dyDescent="0.2">
      <c r="A163" s="682" t="s">
        <v>2465</v>
      </c>
      <c r="B163" s="682" t="s">
        <v>2155</v>
      </c>
      <c r="C163" s="682" t="s">
        <v>1557</v>
      </c>
      <c r="D163" s="682" t="str">
        <f>IF(Regional_eq_livestock[[#This Row],[GLEAM]]="NENA",CONCATENATE("NENA","/Middle East"),Regional_eq_livestock[[#This Row],[GLEAM]])</f>
        <v>Sub-Saharan Africa</v>
      </c>
    </row>
    <row r="164" spans="1:4" x14ac:dyDescent="0.2">
      <c r="A164" s="682" t="s">
        <v>2717</v>
      </c>
      <c r="B164" s="682" t="s">
        <v>2155</v>
      </c>
      <c r="C164" s="682" t="s">
        <v>1557</v>
      </c>
      <c r="D164" s="682" t="str">
        <f>IF(Regional_eq_livestock[[#This Row],[GLEAM]]="NENA",CONCATENATE("NENA","/Middle East"),Regional_eq_livestock[[#This Row],[GLEAM]])</f>
        <v>Sub-Saharan Africa</v>
      </c>
    </row>
    <row r="165" spans="1:4" x14ac:dyDescent="0.2">
      <c r="A165" s="682" t="s">
        <v>2718</v>
      </c>
      <c r="B165" s="682" t="s">
        <v>2155</v>
      </c>
      <c r="C165" s="682" t="s">
        <v>1557</v>
      </c>
      <c r="D165" s="682" t="str">
        <f>IF(Regional_eq_livestock[[#This Row],[GLEAM]]="NENA",CONCATENATE("NENA","/Middle East"),Regional_eq_livestock[[#This Row],[GLEAM]])</f>
        <v>Sub-Saharan Africa</v>
      </c>
    </row>
    <row r="166" spans="1:4" x14ac:dyDescent="0.2">
      <c r="A166" s="682" t="s">
        <v>2471</v>
      </c>
      <c r="B166" s="682" t="s">
        <v>2155</v>
      </c>
      <c r="C166" s="682" t="s">
        <v>1552</v>
      </c>
      <c r="D166" s="682" t="str">
        <f>IF(Regional_eq_livestock[[#This Row],[GLEAM]]="NENA",CONCATENATE("NENA","/Middle East"),Regional_eq_livestock[[#This Row],[GLEAM]])</f>
        <v>Sub-Saharan Africa</v>
      </c>
    </row>
    <row r="167" spans="1:4" x14ac:dyDescent="0.2">
      <c r="A167" s="682" t="s">
        <v>2473</v>
      </c>
      <c r="B167" s="682" t="s">
        <v>2155</v>
      </c>
      <c r="C167" s="682" t="s">
        <v>1557</v>
      </c>
      <c r="D167" s="682" t="str">
        <f>IF(Regional_eq_livestock[[#This Row],[GLEAM]]="NENA",CONCATENATE("NENA","/Middle East"),Regional_eq_livestock[[#This Row],[GLEAM]])</f>
        <v>Sub-Saharan Africa</v>
      </c>
    </row>
    <row r="168" spans="1:4" x14ac:dyDescent="0.2">
      <c r="A168" s="682" t="s">
        <v>2477</v>
      </c>
      <c r="B168" s="682" t="s">
        <v>2155</v>
      </c>
      <c r="C168" s="682" t="s">
        <v>1569</v>
      </c>
      <c r="D168" s="682" t="str">
        <f>IF(Regional_eq_livestock[[#This Row],[GLEAM]]="NENA",CONCATENATE("NENA","/Middle East"),Regional_eq_livestock[[#This Row],[GLEAM]])</f>
        <v>Sub-Saharan Africa</v>
      </c>
    </row>
    <row r="169" spans="1:4" x14ac:dyDescent="0.2">
      <c r="A169" s="682" t="s">
        <v>2481</v>
      </c>
      <c r="B169" s="682" t="s">
        <v>2155</v>
      </c>
      <c r="C169" s="682" t="s">
        <v>1557</v>
      </c>
      <c r="D169" s="682" t="str">
        <f>IF(Regional_eq_livestock[[#This Row],[GLEAM]]="NENA",CONCATENATE("NENA","/Middle East"),Regional_eq_livestock[[#This Row],[GLEAM]])</f>
        <v>Sub-Saharan Africa</v>
      </c>
    </row>
    <row r="170" spans="1:4" x14ac:dyDescent="0.2">
      <c r="A170" s="682" t="s">
        <v>2483</v>
      </c>
      <c r="B170" s="682" t="s">
        <v>2155</v>
      </c>
      <c r="C170" s="682" t="s">
        <v>1552</v>
      </c>
      <c r="D170" s="682" t="str">
        <f>IF(Regional_eq_livestock[[#This Row],[GLEAM]]="NENA",CONCATENATE("NENA","/Middle East"),Regional_eq_livestock[[#This Row],[GLEAM]])</f>
        <v>Sub-Saharan Africa</v>
      </c>
    </row>
    <row r="171" spans="1:4" x14ac:dyDescent="0.2">
      <c r="A171" s="682" t="s">
        <v>2493</v>
      </c>
      <c r="B171" s="682" t="s">
        <v>2155</v>
      </c>
      <c r="C171" s="682" t="s">
        <v>1557</v>
      </c>
      <c r="D171" s="682" t="str">
        <f>IF(Regional_eq_livestock[[#This Row],[GLEAM]]="NENA",CONCATENATE("NENA","/Middle East"),Regional_eq_livestock[[#This Row],[GLEAM]])</f>
        <v>Sub-Saharan Africa</v>
      </c>
    </row>
    <row r="172" spans="1:4" x14ac:dyDescent="0.2">
      <c r="A172" s="682" t="s">
        <v>2495</v>
      </c>
      <c r="B172" s="682" t="s">
        <v>2155</v>
      </c>
      <c r="C172" s="682" t="s">
        <v>1552</v>
      </c>
      <c r="D172" s="682" t="str">
        <f>IF(Regional_eq_livestock[[#This Row],[GLEAM]]="NENA",CONCATENATE("NENA","/Middle East"),Regional_eq_livestock[[#This Row],[GLEAM]])</f>
        <v>Sub-Saharan Africa</v>
      </c>
    </row>
    <row r="173" spans="1:4" x14ac:dyDescent="0.2">
      <c r="A173" s="682" t="s">
        <v>2719</v>
      </c>
      <c r="B173" s="682" t="s">
        <v>2155</v>
      </c>
      <c r="C173" s="682" t="s">
        <v>2590</v>
      </c>
      <c r="D173" s="682" t="str">
        <f>IF(Regional_eq_livestock[[#This Row],[GLEAM]]="NENA",CONCATENATE("NENA","/Middle East"),Regional_eq_livestock[[#This Row],[GLEAM]])</f>
        <v>Sub-Saharan Africa</v>
      </c>
    </row>
    <row r="174" spans="1:4" x14ac:dyDescent="0.2">
      <c r="A174" s="682" t="s">
        <v>2720</v>
      </c>
      <c r="B174" s="682" t="s">
        <v>2155</v>
      </c>
      <c r="C174" s="682" t="s">
        <v>1552</v>
      </c>
      <c r="D174" s="682" t="str">
        <f>IF(Regional_eq_livestock[[#This Row],[GLEAM]]="NENA",CONCATENATE("NENA","/Middle East"),Regional_eq_livestock[[#This Row],[GLEAM]])</f>
        <v>Sub-Saharan Africa</v>
      </c>
    </row>
    <row r="175" spans="1:4" x14ac:dyDescent="0.2">
      <c r="A175" s="682" t="s">
        <v>2721</v>
      </c>
      <c r="B175" s="682" t="s">
        <v>2155</v>
      </c>
      <c r="C175" s="682" t="s">
        <v>1552</v>
      </c>
      <c r="D175" s="682" t="str">
        <f>IF(Regional_eq_livestock[[#This Row],[GLEAM]]="NENA",CONCATENATE("NENA","/Middle East"),Regional_eq_livestock[[#This Row],[GLEAM]])</f>
        <v>Sub-Saharan Africa</v>
      </c>
    </row>
    <row r="176" spans="1:4" x14ac:dyDescent="0.2">
      <c r="A176" s="682" t="s">
        <v>2501</v>
      </c>
      <c r="B176" s="682" t="s">
        <v>2155</v>
      </c>
      <c r="C176" s="682" t="s">
        <v>1557</v>
      </c>
      <c r="D176" s="682" t="str">
        <f>IF(Regional_eq_livestock[[#This Row],[GLEAM]]="NENA",CONCATENATE("NENA","/Middle East"),Regional_eq_livestock[[#This Row],[GLEAM]])</f>
        <v>Sub-Saharan Africa</v>
      </c>
    </row>
    <row r="177" spans="1:4" x14ac:dyDescent="0.2">
      <c r="A177" s="682" t="s">
        <v>2503</v>
      </c>
      <c r="B177" s="682" t="s">
        <v>2155</v>
      </c>
      <c r="C177" s="682" t="s">
        <v>1569</v>
      </c>
      <c r="D177" s="682" t="str">
        <f>IF(Regional_eq_livestock[[#This Row],[GLEAM]]="NENA",CONCATENATE("NENA","/Middle East"),Regional_eq_livestock[[#This Row],[GLEAM]])</f>
        <v>Sub-Saharan Africa</v>
      </c>
    </row>
    <row r="178" spans="1:4" x14ac:dyDescent="0.2">
      <c r="A178" s="682" t="s">
        <v>2505</v>
      </c>
      <c r="B178" s="682" t="s">
        <v>2155</v>
      </c>
      <c r="C178" s="682" t="s">
        <v>1569</v>
      </c>
      <c r="D178" s="682" t="str">
        <f>IF(Regional_eq_livestock[[#This Row],[GLEAM]]="NENA",CONCATENATE("NENA","/Middle East"),Regional_eq_livestock[[#This Row],[GLEAM]])</f>
        <v>Sub-Saharan Africa</v>
      </c>
    </row>
    <row r="179" spans="1:4" x14ac:dyDescent="0.2">
      <c r="A179" s="682" t="s">
        <v>2512</v>
      </c>
      <c r="B179" s="682" t="s">
        <v>2155</v>
      </c>
      <c r="C179" s="682" t="s">
        <v>1569</v>
      </c>
      <c r="D179" s="682" t="str">
        <f>IF(Regional_eq_livestock[[#This Row],[GLEAM]]="NENA",CONCATENATE("NENA","/Middle East"),Regional_eq_livestock[[#This Row],[GLEAM]])</f>
        <v>Sub-Saharan Africa</v>
      </c>
    </row>
    <row r="180" spans="1:4" x14ac:dyDescent="0.2">
      <c r="A180" s="682" t="s">
        <v>2514</v>
      </c>
      <c r="B180" s="682" t="s">
        <v>2155</v>
      </c>
      <c r="C180" s="682" t="s">
        <v>1569</v>
      </c>
      <c r="D180" s="682" t="str">
        <f>IF(Regional_eq_livestock[[#This Row],[GLEAM]]="NENA",CONCATENATE("NENA","/Middle East"),Regional_eq_livestock[[#This Row],[GLEAM]])</f>
        <v>Sub-Saharan Africa</v>
      </c>
    </row>
    <row r="181" spans="1:4" x14ac:dyDescent="0.2">
      <c r="A181" s="682" t="s">
        <v>2532</v>
      </c>
      <c r="B181" s="682" t="s">
        <v>2155</v>
      </c>
      <c r="C181" s="682" t="s">
        <v>1552</v>
      </c>
      <c r="D181" s="682" t="str">
        <f>IF(Regional_eq_livestock[[#This Row],[GLEAM]]="NENA",CONCATENATE("NENA","/Middle East"),Regional_eq_livestock[[#This Row],[GLEAM]])</f>
        <v>Sub-Saharan Africa</v>
      </c>
    </row>
    <row r="182" spans="1:4" x14ac:dyDescent="0.2">
      <c r="A182" s="682" t="s">
        <v>2722</v>
      </c>
      <c r="B182" s="682" t="s">
        <v>2155</v>
      </c>
      <c r="C182" s="682" t="s">
        <v>2590</v>
      </c>
      <c r="D182" s="682" t="str">
        <f>IF(Regional_eq_livestock[[#This Row],[GLEAM]]="NENA",CONCATENATE("NENA","/Middle East"),Regional_eq_livestock[[#This Row],[GLEAM]])</f>
        <v>Sub-Saharan Africa</v>
      </c>
    </row>
    <row r="183" spans="1:4" x14ac:dyDescent="0.2">
      <c r="A183" s="682" t="s">
        <v>2534</v>
      </c>
      <c r="B183" s="682" t="s">
        <v>2155</v>
      </c>
      <c r="C183" s="682" t="s">
        <v>1569</v>
      </c>
      <c r="D183" s="682" t="str">
        <f>IF(Regional_eq_livestock[[#This Row],[GLEAM]]="NENA",CONCATENATE("NENA","/Middle East"),Regional_eq_livestock[[#This Row],[GLEAM]])</f>
        <v>Sub-Saharan Africa</v>
      </c>
    </row>
    <row r="184" spans="1:4" x14ac:dyDescent="0.2">
      <c r="A184" s="682" t="s">
        <v>2536</v>
      </c>
      <c r="B184" s="682" t="s">
        <v>2155</v>
      </c>
      <c r="C184" s="682" t="s">
        <v>1552</v>
      </c>
      <c r="D184" s="682" t="str">
        <f>IF(Regional_eq_livestock[[#This Row],[GLEAM]]="NENA",CONCATENATE("NENA","/Middle East"),Regional_eq_livestock[[#This Row],[GLEAM]])</f>
        <v>Sub-Saharan Africa</v>
      </c>
    </row>
    <row r="185" spans="1:4" x14ac:dyDescent="0.2">
      <c r="A185" s="682" t="s">
        <v>2723</v>
      </c>
      <c r="B185" s="682" t="s">
        <v>2155</v>
      </c>
      <c r="C185" s="682" t="s">
        <v>1552</v>
      </c>
      <c r="D185" s="682" t="str">
        <f>IF(Regional_eq_livestock[[#This Row],[GLEAM]]="NENA",CONCATENATE("NENA","/Middle East"),Regional_eq_livestock[[#This Row],[GLEAM]])</f>
        <v>Sub-Saharan Africa</v>
      </c>
    </row>
    <row r="186" spans="1:4" x14ac:dyDescent="0.2">
      <c r="A186" s="682" t="s">
        <v>2724</v>
      </c>
      <c r="B186" s="682" t="s">
        <v>2155</v>
      </c>
      <c r="C186" s="682" t="s">
        <v>1569</v>
      </c>
      <c r="D186" s="682" t="str">
        <f>IF(Regional_eq_livestock[[#This Row],[GLEAM]]="NENA",CONCATENATE("NENA","/Middle East"),Regional_eq_livestock[[#This Row],[GLEAM]])</f>
        <v>Sub-Saharan Africa</v>
      </c>
    </row>
    <row r="187" spans="1:4" x14ac:dyDescent="0.2">
      <c r="A187" s="682" t="s">
        <v>2725</v>
      </c>
      <c r="B187" s="682" t="s">
        <v>2155</v>
      </c>
      <c r="C187" s="682" t="s">
        <v>1569</v>
      </c>
      <c r="D187" s="682" t="str">
        <f>IF(Regional_eq_livestock[[#This Row],[GLEAM]]="NENA",CONCATENATE("NENA","/Middle East"),Regional_eq_livestock[[#This Row],[GLEAM]])</f>
        <v>Sub-Saharan Africa</v>
      </c>
    </row>
    <row r="188" spans="1:4" x14ac:dyDescent="0.2">
      <c r="A188" s="682" t="s">
        <v>2726</v>
      </c>
      <c r="B188" s="682" t="s">
        <v>2155</v>
      </c>
      <c r="C188" s="682" t="s">
        <v>1552</v>
      </c>
      <c r="D188" s="682" t="str">
        <f>IF(Regional_eq_livestock[[#This Row],[GLEAM]]="NENA",CONCATENATE("NENA","/Middle East"),Regional_eq_livestock[[#This Row],[GLEAM]])</f>
        <v>Sub-Saharan Africa</v>
      </c>
    </row>
    <row r="189" spans="1:4" x14ac:dyDescent="0.2">
      <c r="A189" s="682" t="s">
        <v>2727</v>
      </c>
      <c r="B189" s="682" t="s">
        <v>2155</v>
      </c>
      <c r="C189" s="682" t="s">
        <v>1552</v>
      </c>
      <c r="D189" s="682" t="str">
        <f>IF(Regional_eq_livestock[[#This Row],[GLEAM]]="NENA",CONCATENATE("NENA","/Middle East"),Regional_eq_livestock[[#This Row],[GLEAM]])</f>
        <v>Sub-Saharan Africa</v>
      </c>
    </row>
    <row r="190" spans="1:4" x14ac:dyDescent="0.2">
      <c r="A190" s="682" t="s">
        <v>2548</v>
      </c>
      <c r="B190" s="682" t="s">
        <v>2155</v>
      </c>
      <c r="C190" s="682" t="s">
        <v>1552</v>
      </c>
      <c r="D190" s="682" t="str">
        <f>IF(Regional_eq_livestock[[#This Row],[GLEAM]]="NENA",CONCATENATE("NENA","/Middle East"),Regional_eq_livestock[[#This Row],[GLEAM]])</f>
        <v>Sub-Saharan Africa</v>
      </c>
    </row>
    <row r="191" spans="1:4" x14ac:dyDescent="0.2">
      <c r="A191" s="682" t="s">
        <v>2728</v>
      </c>
      <c r="B191" s="682" t="s">
        <v>2155</v>
      </c>
      <c r="C191" s="682" t="s">
        <v>2590</v>
      </c>
      <c r="D191" s="682" t="str">
        <f>IF(Regional_eq_livestock[[#This Row],[GLEAM]]="NENA",CONCATENATE("NENA","/Middle East"),Regional_eq_livestock[[#This Row],[GLEAM]])</f>
        <v>Sub-Saharan Africa</v>
      </c>
    </row>
    <row r="192" spans="1:4" x14ac:dyDescent="0.2">
      <c r="A192" s="682" t="s">
        <v>2729</v>
      </c>
      <c r="B192" s="682" t="s">
        <v>2155</v>
      </c>
      <c r="C192" s="682" t="s">
        <v>1569</v>
      </c>
      <c r="D192" s="682" t="str">
        <f>IF(Regional_eq_livestock[[#This Row],[GLEAM]]="NENA",CONCATENATE("NENA","/Middle East"),Regional_eq_livestock[[#This Row],[GLEAM]])</f>
        <v>Sub-Saharan Africa</v>
      </c>
    </row>
    <row r="193" spans="1:4" x14ac:dyDescent="0.2">
      <c r="A193" s="682" t="s">
        <v>2558</v>
      </c>
      <c r="B193" s="682" t="s">
        <v>2155</v>
      </c>
      <c r="C193" s="682" t="s">
        <v>1569</v>
      </c>
      <c r="D193" s="682" t="str">
        <f>IF(Regional_eq_livestock[[#This Row],[GLEAM]]="NENA",CONCATENATE("NENA","/Middle East"),Regional_eq_livestock[[#This Row],[GLEAM]])</f>
        <v>Sub-Saharan Africa</v>
      </c>
    </row>
    <row r="194" spans="1:4" x14ac:dyDescent="0.2">
      <c r="A194" s="682" t="s">
        <v>2730</v>
      </c>
      <c r="B194" s="682" t="s">
        <v>2155</v>
      </c>
      <c r="C194" s="682" t="s">
        <v>1552</v>
      </c>
      <c r="D194" s="682" t="str">
        <f>IF(Regional_eq_livestock[[#This Row],[GLEAM]]="NENA",CONCATENATE("NENA","/Middle East"),Regional_eq_livestock[[#This Row],[GLEAM]])</f>
        <v>Sub-Saharan Africa</v>
      </c>
    </row>
    <row r="195" spans="1:4" x14ac:dyDescent="0.2">
      <c r="A195" s="682" t="s">
        <v>2731</v>
      </c>
      <c r="B195" s="682" t="s">
        <v>2155</v>
      </c>
      <c r="C195" s="682" t="s">
        <v>1552</v>
      </c>
      <c r="D195" s="682" t="str">
        <f>IF(Regional_eq_livestock[[#This Row],[GLEAM]]="NENA",CONCATENATE("NENA","/Middle East"),Regional_eq_livestock[[#This Row],[GLEAM]])</f>
        <v>Sub-Saharan Africa</v>
      </c>
    </row>
    <row r="196" spans="1:4" x14ac:dyDescent="0.2">
      <c r="A196" s="682" t="s">
        <v>2732</v>
      </c>
      <c r="B196" s="682" t="s">
        <v>2155</v>
      </c>
      <c r="C196" s="682" t="s">
        <v>1569</v>
      </c>
      <c r="D196" s="682" t="str">
        <f>IF(Regional_eq_livestock[[#This Row],[GLEAM]]="NENA",CONCATENATE("NENA","/Middle East"),Regional_eq_livestock[[#This Row],[GLEAM]])</f>
        <v>Sub-Saharan Africa</v>
      </c>
    </row>
    <row r="197" spans="1:4" x14ac:dyDescent="0.2">
      <c r="A197" s="682" t="s">
        <v>2733</v>
      </c>
      <c r="B197" s="682" t="s">
        <v>2155</v>
      </c>
      <c r="C197" s="682" t="s">
        <v>1557</v>
      </c>
      <c r="D197" s="682" t="str">
        <f>IF(Regional_eq_livestock[[#This Row],[GLEAM]]="NENA",CONCATENATE("NENA","/Middle East"),Regional_eq_livestock[[#This Row],[GLEAM]])</f>
        <v>Sub-Saharan Africa</v>
      </c>
    </row>
    <row r="198" spans="1:4" x14ac:dyDescent="0.2">
      <c r="A198" s="682" t="s">
        <v>2578</v>
      </c>
      <c r="B198" s="682" t="s">
        <v>2155</v>
      </c>
      <c r="C198" s="682" t="s">
        <v>1569</v>
      </c>
      <c r="D198" s="682" t="str">
        <f>IF(Regional_eq_livestock[[#This Row],[GLEAM]]="NENA",CONCATENATE("NENA","/Middle East"),Regional_eq_livestock[[#This Row],[GLEAM]])</f>
        <v>Sub-Saharan Africa</v>
      </c>
    </row>
    <row r="199" spans="1:4" x14ac:dyDescent="0.2">
      <c r="A199" s="682" t="s">
        <v>2580</v>
      </c>
      <c r="B199" s="682" t="s">
        <v>2155</v>
      </c>
      <c r="C199" s="682" t="s">
        <v>1552</v>
      </c>
      <c r="D199" s="682" t="str">
        <f>IF(Regional_eq_livestock[[#This Row],[GLEAM]]="NENA",CONCATENATE("NENA","/Middle East"),Regional_eq_livestock[[#This Row],[GLEAM]])</f>
        <v>Sub-Saharan Africa</v>
      </c>
    </row>
    <row r="200" spans="1:4" x14ac:dyDescent="0.2">
      <c r="A200" s="682" t="s">
        <v>2582</v>
      </c>
      <c r="B200" s="682" t="s">
        <v>2155</v>
      </c>
      <c r="C200" s="682" t="s">
        <v>1569</v>
      </c>
      <c r="D200" s="682" t="str">
        <f>IF(Regional_eq_livestock[[#This Row],[GLEAM]]="NENA",CONCATENATE("NENA","/Middle East"),Regional_eq_livestock[[#This Row],[GLEAM]])</f>
        <v>Sub-Saharan Africa</v>
      </c>
    </row>
    <row r="201" spans="1:4" x14ac:dyDescent="0.2">
      <c r="A201" s="682" t="s">
        <v>2588</v>
      </c>
      <c r="B201" s="682" t="s">
        <v>2155</v>
      </c>
      <c r="C201" s="682" t="s">
        <v>1552</v>
      </c>
      <c r="D201" s="682" t="str">
        <f>IF(Regional_eq_livestock[[#This Row],[GLEAM]]="NENA",CONCATENATE("NENA","/Middle East"),Regional_eq_livestock[[#This Row],[GLEAM]])</f>
        <v>Sub-Saharan Africa</v>
      </c>
    </row>
    <row r="202" spans="1:4" x14ac:dyDescent="0.2">
      <c r="A202" s="682" t="s">
        <v>2590</v>
      </c>
      <c r="B202" s="682" t="s">
        <v>2155</v>
      </c>
      <c r="C202" s="682" t="s">
        <v>2590</v>
      </c>
      <c r="D202" s="682" t="str">
        <f>IF(Regional_eq_livestock[[#This Row],[GLEAM]]="NENA",CONCATENATE("NENA","/Middle East"),Regional_eq_livestock[[#This Row],[GLEAM]])</f>
        <v>Sub-Saharan Africa</v>
      </c>
    </row>
    <row r="203" spans="1:4" x14ac:dyDescent="0.2">
      <c r="A203" s="682" t="s">
        <v>2734</v>
      </c>
      <c r="B203" s="682" t="s">
        <v>2155</v>
      </c>
      <c r="C203" s="682" t="s">
        <v>1569</v>
      </c>
      <c r="D203" s="682" t="str">
        <f>IF(Regional_eq_livestock[[#This Row],[GLEAM]]="NENA",CONCATENATE("NENA","/Middle East"),Regional_eq_livestock[[#This Row],[GLEAM]])</f>
        <v>Sub-Saharan Africa</v>
      </c>
    </row>
    <row r="204" spans="1:4" x14ac:dyDescent="0.2">
      <c r="A204" s="682" t="s">
        <v>2735</v>
      </c>
      <c r="B204" s="682" t="s">
        <v>2155</v>
      </c>
      <c r="C204" s="682" t="s">
        <v>1552</v>
      </c>
      <c r="D204" s="682" t="str">
        <f>IF(Regional_eq_livestock[[#This Row],[GLEAM]]="NENA",CONCATENATE("NENA","/Middle East"),Regional_eq_livestock[[#This Row],[GLEAM]])</f>
        <v>Sub-Saharan Africa</v>
      </c>
    </row>
    <row r="205" spans="1:4" x14ac:dyDescent="0.2">
      <c r="A205" s="682" t="s">
        <v>2601</v>
      </c>
      <c r="B205" s="682" t="s">
        <v>2155</v>
      </c>
      <c r="C205" s="682" t="s">
        <v>1552</v>
      </c>
      <c r="D205" s="682" t="str">
        <f>IF(Regional_eq_livestock[[#This Row],[GLEAM]]="NENA",CONCATENATE("NENA","/Middle East"),Regional_eq_livestock[[#This Row],[GLEAM]])</f>
        <v>Sub-Saharan Africa</v>
      </c>
    </row>
    <row r="206" spans="1:4" x14ac:dyDescent="0.2">
      <c r="A206" s="682" t="s">
        <v>2736</v>
      </c>
      <c r="B206" s="682" t="s">
        <v>2155</v>
      </c>
      <c r="C206" s="682" t="s">
        <v>1552</v>
      </c>
      <c r="D206" s="682" t="str">
        <f>IF(Regional_eq_livestock[[#This Row],[GLEAM]]="NENA",CONCATENATE("NENA","/Middle East"),Regional_eq_livestock[[#This Row],[GLEAM]])</f>
        <v>Sub-Saharan Africa</v>
      </c>
    </row>
    <row r="207" spans="1:4" x14ac:dyDescent="0.2">
      <c r="A207" s="682" t="s">
        <v>2737</v>
      </c>
      <c r="B207" s="682" t="s">
        <v>2155</v>
      </c>
      <c r="C207" s="682" t="s">
        <v>1552</v>
      </c>
      <c r="D207" s="682" t="str">
        <f>IF(Regional_eq_livestock[[#This Row],[GLEAM]]="NENA",CONCATENATE("NENA","/Middle East"),Regional_eq_livestock[[#This Row],[GLEAM]])</f>
        <v>Sub-Saharan Africa</v>
      </c>
    </row>
    <row r="208" spans="1:4" x14ac:dyDescent="0.2">
      <c r="A208" s="682" t="s">
        <v>2738</v>
      </c>
      <c r="B208" s="682" t="s">
        <v>1351</v>
      </c>
      <c r="C208" s="682" t="s">
        <v>1555</v>
      </c>
      <c r="D208" s="682" t="str">
        <f>IF(Regional_eq_livestock[[#This Row],[GLEAM]]="NENA",CONCATENATE("NENA","/Middle East"),Regional_eq_livestock[[#This Row],[GLEAM]])</f>
        <v>Western Europe</v>
      </c>
    </row>
    <row r="209" spans="1:4" x14ac:dyDescent="0.2">
      <c r="A209" s="682" t="s">
        <v>2739</v>
      </c>
      <c r="B209" s="682" t="s">
        <v>1351</v>
      </c>
      <c r="C209" s="682" t="s">
        <v>1555</v>
      </c>
      <c r="D209" s="682" t="str">
        <f>IF(Regional_eq_livestock[[#This Row],[GLEAM]]="NENA",CONCATENATE("NENA","/Middle East"),Regional_eq_livestock[[#This Row],[GLEAM]])</f>
        <v>Western Europe</v>
      </c>
    </row>
    <row r="210" spans="1:4" x14ac:dyDescent="0.2">
      <c r="A210" s="682" t="s">
        <v>2740</v>
      </c>
      <c r="B210" s="682" t="s">
        <v>1351</v>
      </c>
      <c r="C210" s="682" t="s">
        <v>1555</v>
      </c>
      <c r="D210" s="682" t="str">
        <f>IF(Regional_eq_livestock[[#This Row],[GLEAM]]="NENA",CONCATENATE("NENA","/Middle East"),Regional_eq_livestock[[#This Row],[GLEAM]])</f>
        <v>Western Europe</v>
      </c>
    </row>
    <row r="211" spans="1:4" x14ac:dyDescent="0.2">
      <c r="A211" s="682" t="s">
        <v>2741</v>
      </c>
      <c r="B211" s="682" t="s">
        <v>1351</v>
      </c>
      <c r="C211" s="682" t="s">
        <v>1555</v>
      </c>
      <c r="D211" s="682" t="str">
        <f>IF(Regional_eq_livestock[[#This Row],[GLEAM]]="NENA",CONCATENATE("NENA","/Middle East"),Regional_eq_livestock[[#This Row],[GLEAM]])</f>
        <v>Western Europe</v>
      </c>
    </row>
    <row r="212" spans="1:4" x14ac:dyDescent="0.2">
      <c r="A212" s="682" t="s">
        <v>2742</v>
      </c>
      <c r="B212" s="682" t="s">
        <v>1351</v>
      </c>
      <c r="C212" s="682" t="s">
        <v>1555</v>
      </c>
      <c r="D212" s="682" t="str">
        <f>IF(Regional_eq_livestock[[#This Row],[GLEAM]]="NENA",CONCATENATE("NENA","/Middle East"),Regional_eq_livestock[[#This Row],[GLEAM]])</f>
        <v>Western Europe</v>
      </c>
    </row>
    <row r="213" spans="1:4" x14ac:dyDescent="0.2">
      <c r="A213" s="682" t="s">
        <v>2743</v>
      </c>
      <c r="B213" s="682" t="s">
        <v>1351</v>
      </c>
      <c r="C213" s="682" t="s">
        <v>1555</v>
      </c>
      <c r="D213" s="682" t="str">
        <f>IF(Regional_eq_livestock[[#This Row],[GLEAM]]="NENA",CONCATENATE("NENA","/Middle East"),Regional_eq_livestock[[#This Row],[GLEAM]])</f>
        <v>Western Europe</v>
      </c>
    </row>
    <row r="214" spans="1:4" x14ac:dyDescent="0.2">
      <c r="A214" s="682" t="s">
        <v>2744</v>
      </c>
      <c r="B214" s="682" t="s">
        <v>1351</v>
      </c>
      <c r="C214" s="682" t="s">
        <v>1555</v>
      </c>
      <c r="D214" s="682" t="str">
        <f>IF(Regional_eq_livestock[[#This Row],[GLEAM]]="NENA",CONCATENATE("NENA","/Middle East"),Regional_eq_livestock[[#This Row],[GLEAM]])</f>
        <v>Western Europe</v>
      </c>
    </row>
    <row r="215" spans="1:4" x14ac:dyDescent="0.2">
      <c r="A215" s="682" t="s">
        <v>2745</v>
      </c>
      <c r="B215" s="682" t="s">
        <v>1351</v>
      </c>
      <c r="C215" s="682" t="s">
        <v>1555</v>
      </c>
      <c r="D215" s="682" t="str">
        <f>IF(Regional_eq_livestock[[#This Row],[GLEAM]]="NENA",CONCATENATE("NENA","/Middle East"),Regional_eq_livestock[[#This Row],[GLEAM]])</f>
        <v>Western Europe</v>
      </c>
    </row>
    <row r="216" spans="1:4" x14ac:dyDescent="0.2">
      <c r="A216" s="682" t="s">
        <v>2746</v>
      </c>
      <c r="B216" s="682" t="s">
        <v>1351</v>
      </c>
      <c r="C216" s="682" t="s">
        <v>1555</v>
      </c>
      <c r="D216" s="682" t="str">
        <f>IF(Regional_eq_livestock[[#This Row],[GLEAM]]="NENA",CONCATENATE("NENA","/Middle East"),Regional_eq_livestock[[#This Row],[GLEAM]])</f>
        <v>Western Europe</v>
      </c>
    </row>
    <row r="217" spans="1:4" x14ac:dyDescent="0.2">
      <c r="A217" s="682" t="s">
        <v>2747</v>
      </c>
      <c r="B217" s="682" t="s">
        <v>1351</v>
      </c>
      <c r="C217" s="682" t="s">
        <v>1555</v>
      </c>
      <c r="D217" s="682" t="str">
        <f>IF(Regional_eq_livestock[[#This Row],[GLEAM]]="NENA",CONCATENATE("NENA","/Middle East"),Regional_eq_livestock[[#This Row],[GLEAM]])</f>
        <v>Western Europe</v>
      </c>
    </row>
    <row r="218" spans="1:4" x14ac:dyDescent="0.2">
      <c r="A218" s="682" t="s">
        <v>2748</v>
      </c>
      <c r="B218" s="682" t="s">
        <v>1351</v>
      </c>
      <c r="C218" s="682" t="s">
        <v>1555</v>
      </c>
      <c r="D218" s="682" t="str">
        <f>IF(Regional_eq_livestock[[#This Row],[GLEAM]]="NENA",CONCATENATE("NENA","/Middle East"),Regional_eq_livestock[[#This Row],[GLEAM]])</f>
        <v>Western Europe</v>
      </c>
    </row>
    <row r="219" spans="1:4" x14ac:dyDescent="0.2">
      <c r="A219" s="682" t="s">
        <v>2749</v>
      </c>
      <c r="B219" s="682" t="s">
        <v>1351</v>
      </c>
      <c r="C219" s="682" t="s">
        <v>1555</v>
      </c>
      <c r="D219" s="682" t="str">
        <f>IF(Regional_eq_livestock[[#This Row],[GLEAM]]="NENA",CONCATENATE("NENA","/Middle East"),Regional_eq_livestock[[#This Row],[GLEAM]])</f>
        <v>Western Europe</v>
      </c>
    </row>
    <row r="220" spans="1:4" x14ac:dyDescent="0.2">
      <c r="A220" s="682" t="s">
        <v>2750</v>
      </c>
      <c r="B220" s="682" t="s">
        <v>1351</v>
      </c>
      <c r="C220" s="682" t="s">
        <v>1555</v>
      </c>
      <c r="D220" s="682" t="str">
        <f>IF(Regional_eq_livestock[[#This Row],[GLEAM]]="NENA",CONCATENATE("NENA","/Middle East"),Regional_eq_livestock[[#This Row],[GLEAM]])</f>
        <v>Western Europe</v>
      </c>
    </row>
    <row r="221" spans="1:4" x14ac:dyDescent="0.2">
      <c r="A221" s="682" t="s">
        <v>2751</v>
      </c>
      <c r="B221" s="682" t="s">
        <v>1351</v>
      </c>
      <c r="C221" s="682" t="s">
        <v>1555</v>
      </c>
      <c r="D221" s="682" t="str">
        <f>IF(Regional_eq_livestock[[#This Row],[GLEAM]]="NENA",CONCATENATE("NENA","/Middle East"),Regional_eq_livestock[[#This Row],[GLEAM]])</f>
        <v>Western Europe</v>
      </c>
    </row>
    <row r="222" spans="1:4" x14ac:dyDescent="0.2">
      <c r="A222" s="682" t="s">
        <v>2752</v>
      </c>
      <c r="B222" s="682" t="s">
        <v>1351</v>
      </c>
      <c r="C222" s="682" t="s">
        <v>1555</v>
      </c>
      <c r="D222" s="682" t="str">
        <f>IF(Regional_eq_livestock[[#This Row],[GLEAM]]="NENA",CONCATENATE("NENA","/Middle East"),Regional_eq_livestock[[#This Row],[GLEAM]])</f>
        <v>Western Europe</v>
      </c>
    </row>
    <row r="223" spans="1:4" x14ac:dyDescent="0.2">
      <c r="A223" s="682" t="s">
        <v>2753</v>
      </c>
      <c r="B223" s="682" t="s">
        <v>1351</v>
      </c>
      <c r="C223" s="682" t="s">
        <v>1555</v>
      </c>
      <c r="D223" s="682" t="str">
        <f>IF(Regional_eq_livestock[[#This Row],[GLEAM]]="NENA",CONCATENATE("NENA","/Middle East"),Regional_eq_livestock[[#This Row],[GLEAM]])</f>
        <v>Western Europe</v>
      </c>
    </row>
    <row r="224" spans="1:4" x14ac:dyDescent="0.2">
      <c r="A224" s="682" t="s">
        <v>2754</v>
      </c>
      <c r="B224" s="682" t="s">
        <v>1351</v>
      </c>
      <c r="C224" s="682" t="s">
        <v>1555</v>
      </c>
      <c r="D224" s="682" t="str">
        <f>IF(Regional_eq_livestock[[#This Row],[GLEAM]]="NENA",CONCATENATE("NENA","/Middle East"),Regional_eq_livestock[[#This Row],[GLEAM]])</f>
        <v>Western Europe</v>
      </c>
    </row>
    <row r="225" spans="1:4" x14ac:dyDescent="0.2">
      <c r="A225" s="682" t="s">
        <v>2755</v>
      </c>
      <c r="B225" s="682" t="s">
        <v>1351</v>
      </c>
      <c r="C225" s="682" t="s">
        <v>1555</v>
      </c>
      <c r="D225" s="682" t="str">
        <f>IF(Regional_eq_livestock[[#This Row],[GLEAM]]="NENA",CONCATENATE("NENA","/Middle East"),Regional_eq_livestock[[#This Row],[GLEAM]])</f>
        <v>Western Europe</v>
      </c>
    </row>
    <row r="226" spans="1:4" x14ac:dyDescent="0.2">
      <c r="A226" s="682" t="s">
        <v>2756</v>
      </c>
      <c r="B226" s="682" t="s">
        <v>1351</v>
      </c>
      <c r="C226" s="682" t="s">
        <v>1555</v>
      </c>
      <c r="D226" s="682" t="str">
        <f>IF(Regional_eq_livestock[[#This Row],[GLEAM]]="NENA",CONCATENATE("NENA","/Middle East"),Regional_eq_livestock[[#This Row],[GLEAM]])</f>
        <v>Western Europe</v>
      </c>
    </row>
    <row r="227" spans="1:4" x14ac:dyDescent="0.2">
      <c r="A227" s="682" t="s">
        <v>2757</v>
      </c>
      <c r="B227" s="682" t="s">
        <v>1351</v>
      </c>
      <c r="C227" s="682" t="s">
        <v>1555</v>
      </c>
      <c r="D227" s="682" t="str">
        <f>IF(Regional_eq_livestock[[#This Row],[GLEAM]]="NENA",CONCATENATE("NENA","/Middle East"),Regional_eq_livestock[[#This Row],[GLEAM]])</f>
        <v>Western Europe</v>
      </c>
    </row>
    <row r="228" spans="1:4" x14ac:dyDescent="0.2">
      <c r="A228" s="682" t="s">
        <v>2758</v>
      </c>
      <c r="B228" s="682" t="s">
        <v>1351</v>
      </c>
      <c r="C228" s="682" t="s">
        <v>1555</v>
      </c>
      <c r="D228" s="682" t="str">
        <f>IF(Regional_eq_livestock[[#This Row],[GLEAM]]="NENA",CONCATENATE("NENA","/Middle East"),Regional_eq_livestock[[#This Row],[GLEAM]])</f>
        <v>Western Europe</v>
      </c>
    </row>
    <row r="229" spans="1:4" x14ac:dyDescent="0.2">
      <c r="A229" s="682" t="s">
        <v>2759</v>
      </c>
      <c r="B229" s="682" t="s">
        <v>1351</v>
      </c>
      <c r="C229" s="682" t="s">
        <v>1555</v>
      </c>
      <c r="D229" s="682" t="str">
        <f>IF(Regional_eq_livestock[[#This Row],[GLEAM]]="NENA",CONCATENATE("NENA","/Middle East"),Regional_eq_livestock[[#This Row],[GLEAM]])</f>
        <v>Western Europe</v>
      </c>
    </row>
    <row r="230" spans="1:4" x14ac:dyDescent="0.2">
      <c r="A230" s="682" t="s">
        <v>2760</v>
      </c>
      <c r="B230" s="682" t="s">
        <v>1351</v>
      </c>
      <c r="C230" s="682" t="s">
        <v>1555</v>
      </c>
      <c r="D230" s="682" t="str">
        <f>IF(Regional_eq_livestock[[#This Row],[GLEAM]]="NENA",CONCATENATE("NENA","/Middle East"),Regional_eq_livestock[[#This Row],[GLEAM]])</f>
        <v>Western Europe</v>
      </c>
    </row>
    <row r="231" spans="1:4" x14ac:dyDescent="0.2">
      <c r="A231" s="682" t="s">
        <v>2761</v>
      </c>
      <c r="B231" s="682" t="s">
        <v>1351</v>
      </c>
      <c r="C231" s="682" t="s">
        <v>1555</v>
      </c>
      <c r="D231" s="682" t="str">
        <f>IF(Regional_eq_livestock[[#This Row],[GLEAM]]="NENA",CONCATENATE("NENA","/Middle East"),Regional_eq_livestock[[#This Row],[GLEAM]])</f>
        <v>Western Europe</v>
      </c>
    </row>
    <row r="232" spans="1:4" x14ac:dyDescent="0.2">
      <c r="A232" s="682" t="s">
        <v>2762</v>
      </c>
      <c r="B232" s="682" t="s">
        <v>1351</v>
      </c>
      <c r="C232" s="682" t="s">
        <v>1555</v>
      </c>
      <c r="D232" s="682" t="str">
        <f>IF(Regional_eq_livestock[[#This Row],[GLEAM]]="NENA",CONCATENATE("NENA","/Middle East"),Regional_eq_livestock[[#This Row],[GLEAM]])</f>
        <v>Western Europe</v>
      </c>
    </row>
    <row r="233" spans="1:4" x14ac:dyDescent="0.2">
      <c r="A233" s="682" t="s">
        <v>2763</v>
      </c>
      <c r="B233" s="682" t="s">
        <v>1351</v>
      </c>
      <c r="C233" s="682" t="s">
        <v>1555</v>
      </c>
      <c r="D233" s="682" t="str">
        <f>IF(Regional_eq_livestock[[#This Row],[GLEAM]]="NENA",CONCATENATE("NENA","/Middle East"),Regional_eq_livestock[[#This Row],[GLEAM]])</f>
        <v>Western Europe</v>
      </c>
    </row>
    <row r="234" spans="1:4" x14ac:dyDescent="0.2">
      <c r="A234" s="682" t="s">
        <v>2764</v>
      </c>
      <c r="B234" s="682" t="s">
        <v>1351</v>
      </c>
      <c r="C234" s="682" t="s">
        <v>1555</v>
      </c>
      <c r="D234" s="682" t="str">
        <f>IF(Regional_eq_livestock[[#This Row],[GLEAM]]="NENA",CONCATENATE("NENA","/Middle East"),Regional_eq_livestock[[#This Row],[GLEAM]])</f>
        <v>Western Europe</v>
      </c>
    </row>
    <row r="235" spans="1:4" x14ac:dyDescent="0.2">
      <c r="A235" s="682" t="s">
        <v>2765</v>
      </c>
      <c r="B235" s="682" t="s">
        <v>1351</v>
      </c>
      <c r="C235" s="682" t="s">
        <v>1555</v>
      </c>
      <c r="D235" s="682" t="str">
        <f>IF(Regional_eq_livestock[[#This Row],[GLEAM]]="NENA",CONCATENATE("NENA","/Middle East"),Regional_eq_livestock[[#This Row],[GLEAM]])</f>
        <v>Western Europe</v>
      </c>
    </row>
    <row r="236" spans="1:4" x14ac:dyDescent="0.2">
      <c r="A236" s="682" t="s">
        <v>2766</v>
      </c>
      <c r="B236" s="682" t="s">
        <v>1351</v>
      </c>
      <c r="C236" s="682" t="s">
        <v>1555</v>
      </c>
      <c r="D236" s="682" t="str">
        <f>IF(Regional_eq_livestock[[#This Row],[GLEAM]]="NENA",CONCATENATE("NENA","/Middle East"),Regional_eq_livestock[[#This Row],[GLEAM]])</f>
        <v>Western Europe</v>
      </c>
    </row>
    <row r="237" spans="1:4" x14ac:dyDescent="0.2">
      <c r="A237" s="682" t="s">
        <v>2767</v>
      </c>
      <c r="B237" s="682" t="s">
        <v>1351</v>
      </c>
      <c r="C237" s="682" t="s">
        <v>1555</v>
      </c>
      <c r="D237" s="682" t="str">
        <f>IF(Regional_eq_livestock[[#This Row],[GLEAM]]="NENA",CONCATENATE("NENA","/Middle East"),Regional_eq_livestock[[#This Row],[GLEAM]])</f>
        <v>Western Europe</v>
      </c>
    </row>
    <row r="238" spans="1:4" x14ac:dyDescent="0.2">
      <c r="A238" s="682" t="s">
        <v>2768</v>
      </c>
      <c r="B238" s="682" t="s">
        <v>1351</v>
      </c>
      <c r="C238" s="682" t="s">
        <v>1555</v>
      </c>
      <c r="D238" s="682" t="str">
        <f>IF(Regional_eq_livestock[[#This Row],[GLEAM]]="NENA",CONCATENATE("NENA","/Middle East"),Regional_eq_livestock[[#This Row],[GLEAM]])</f>
        <v>Western Europe</v>
      </c>
    </row>
    <row r="239" spans="1:4" x14ac:dyDescent="0.2">
      <c r="A239" s="682" t="s">
        <v>2769</v>
      </c>
      <c r="B239" s="682" t="s">
        <v>1351</v>
      </c>
      <c r="C239" s="682" t="s">
        <v>1555</v>
      </c>
      <c r="D239" s="682" t="str">
        <f>IF(Regional_eq_livestock[[#This Row],[GLEAM]]="NENA",CONCATENATE("NENA","/Middle East"),Regional_eq_livestock[[#This Row],[GLEAM]])</f>
        <v>Western Europe</v>
      </c>
    </row>
    <row r="240" spans="1:4" x14ac:dyDescent="0.2">
      <c r="A240" s="682" t="s">
        <v>2770</v>
      </c>
      <c r="B240" s="682" t="s">
        <v>1351</v>
      </c>
      <c r="C240" s="682" t="s">
        <v>1555</v>
      </c>
      <c r="D240" s="682" t="str">
        <f>IF(Regional_eq_livestock[[#This Row],[GLEAM]]="NENA",CONCATENATE("NENA","/Middle East"),Regional_eq_livestock[[#This Row],[GLEAM]])</f>
        <v>Western Europe</v>
      </c>
    </row>
    <row r="241" spans="1:4" x14ac:dyDescent="0.2">
      <c r="A241" s="682" t="s">
        <v>2771</v>
      </c>
      <c r="B241" s="682" t="s">
        <v>1351</v>
      </c>
      <c r="C241" s="682" t="s">
        <v>1555</v>
      </c>
      <c r="D241" s="682" t="str">
        <f>IF(Regional_eq_livestock[[#This Row],[GLEAM]]="NENA",CONCATENATE("NENA","/Middle East"),Regional_eq_livestock[[#This Row],[GLEAM]])</f>
        <v>Western Europe</v>
      </c>
    </row>
    <row r="242" spans="1:4" x14ac:dyDescent="0.2">
      <c r="A242" s="682" t="s">
        <v>2772</v>
      </c>
      <c r="B242" s="682" t="s">
        <v>1351</v>
      </c>
      <c r="C242" s="682" t="s">
        <v>1555</v>
      </c>
      <c r="D242" s="682" t="str">
        <f>IF(Regional_eq_livestock[[#This Row],[GLEAM]]="NENA",CONCATENATE("NENA","/Middle East"),Regional_eq_livestock[[#This Row],[GLEAM]])</f>
        <v>Western Europe</v>
      </c>
    </row>
    <row r="243" spans="1:4" x14ac:dyDescent="0.2">
      <c r="A243" s="682" t="s">
        <v>2773</v>
      </c>
      <c r="B243" s="682" t="s">
        <v>1351</v>
      </c>
      <c r="C243" s="682" t="s">
        <v>1555</v>
      </c>
      <c r="D243" s="682" t="str">
        <f>IF(Regional_eq_livestock[[#This Row],[GLEAM]]="NENA",CONCATENATE("NENA","/Middle East"),Regional_eq_livestock[[#This Row],[GLEAM]])</f>
        <v>Western Europe</v>
      </c>
    </row>
    <row r="244" spans="1:4" x14ac:dyDescent="0.2">
      <c r="A244" s="682" t="s">
        <v>2774</v>
      </c>
      <c r="B244" s="682" t="s">
        <v>1351</v>
      </c>
      <c r="C244" s="682" t="s">
        <v>1555</v>
      </c>
      <c r="D244" s="682" t="str">
        <f>IF(Regional_eq_livestock[[#This Row],[GLEAM]]="NENA",CONCATENATE("NENA","/Middle East"),Regional_eq_livestock[[#This Row],[GLEAM]])</f>
        <v>Western Europe</v>
      </c>
    </row>
    <row r="245" spans="1:4" x14ac:dyDescent="0.2">
      <c r="A245" s="682" t="s">
        <v>2775</v>
      </c>
      <c r="B245" s="682" t="s">
        <v>1351</v>
      </c>
      <c r="C245" s="682" t="s">
        <v>1555</v>
      </c>
      <c r="D245" s="682" t="str">
        <f>IF(Regional_eq_livestock[[#This Row],[GLEAM]]="NENA",CONCATENATE("NENA","/Middle East"),Regional_eq_livestock[[#This Row],[GLEAM]])</f>
        <v>Western Europe</v>
      </c>
    </row>
    <row r="246" spans="1:4" x14ac:dyDescent="0.2">
      <c r="A246" s="682" t="s">
        <v>2776</v>
      </c>
      <c r="B246" s="682" t="s">
        <v>1351</v>
      </c>
      <c r="C246" s="682" t="s">
        <v>1555</v>
      </c>
      <c r="D246" s="682" t="str">
        <f>IF(Regional_eq_livestock[[#This Row],[GLEAM]]="NENA",CONCATENATE("NENA","/Middle East"),Regional_eq_livestock[[#This Row],[GLEAM]])</f>
        <v>Western Europe</v>
      </c>
    </row>
    <row r="247" spans="1:4" x14ac:dyDescent="0.2">
      <c r="A247" s="682" t="s">
        <v>2777</v>
      </c>
      <c r="B247" s="682" t="s">
        <v>1351</v>
      </c>
      <c r="C247" s="682" t="s">
        <v>1555</v>
      </c>
      <c r="D247" s="682" t="str">
        <f>IF(Regional_eq_livestock[[#This Row],[GLEAM]]="NENA",CONCATENATE("NENA","/Middle East"),Regional_eq_livestock[[#This Row],[GLEAM]])</f>
        <v>Western Europe</v>
      </c>
    </row>
    <row r="248" spans="1:4" x14ac:dyDescent="0.2">
      <c r="A248" s="682" t="s">
        <v>2778</v>
      </c>
      <c r="B248" s="682" t="s">
        <v>1351</v>
      </c>
      <c r="C248" s="682" t="s">
        <v>1555</v>
      </c>
      <c r="D248" s="682" t="str">
        <f>IF(Regional_eq_livestock[[#This Row],[GLEAM]]="NENA",CONCATENATE("NENA","/Middle East"),Regional_eq_livestock[[#This Row],[GLEAM]])</f>
        <v>Western Europe</v>
      </c>
    </row>
    <row r="249" spans="1:4" x14ac:dyDescent="0.2">
      <c r="A249" s="682" t="s">
        <v>2779</v>
      </c>
      <c r="B249" s="682" t="s">
        <v>1351</v>
      </c>
      <c r="C249" s="682" t="s">
        <v>1555</v>
      </c>
      <c r="D249" s="682" t="str">
        <f>IF(Regional_eq_livestock[[#This Row],[GLEAM]]="NENA",CONCATENATE("NENA","/Middle East"),Regional_eq_livestock[[#This Row],[GLEAM]])</f>
        <v>Western Europe</v>
      </c>
    </row>
  </sheetData>
  <sortState xmlns:xlrd2="http://schemas.microsoft.com/office/spreadsheetml/2017/richdata2" ref="A2:D249">
    <sortCondition ref="B2:B249"/>
  </sortState>
  <pageMargins left="0.7" right="0.7" top="0.75" bottom="0.75" header="0.3" footer="0.3"/>
  <pageSetup orientation="portrait" r:id="rId1"/>
  <tableParts count="1">
    <tablePart r:id="rId2"/>
  </tableParts>
</worksheet>
</file>

<file path=xl/worksheets/sheet2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172735"/>
  </sheetPr>
  <dimension ref="A1:BJ125"/>
  <sheetViews>
    <sheetView topLeftCell="N95" zoomScale="123" zoomScaleNormal="80" workbookViewId="0">
      <selection activeCell="AM109" sqref="AM109"/>
    </sheetView>
  </sheetViews>
  <sheetFormatPr baseColWidth="10" defaultColWidth="9.33203125" defaultRowHeight="14" x14ac:dyDescent="0.2"/>
  <cols>
    <col min="1" max="1" width="7.33203125" style="1813" customWidth="1"/>
    <col min="2" max="2" width="1.5" style="1813" customWidth="1"/>
    <col min="3" max="3" width="66.5" style="1813" customWidth="1"/>
    <col min="4" max="4" width="13" style="1813" bestFit="1" customWidth="1"/>
    <col min="5" max="5" width="12.5" style="1813" bestFit="1" customWidth="1"/>
    <col min="6" max="6" width="3.5" style="1813" customWidth="1"/>
    <col min="7" max="7" width="11.33203125" style="1813" bestFit="1" customWidth="1"/>
    <col min="8" max="8" width="3.5" style="1813" customWidth="1"/>
    <col min="9" max="10" width="9.33203125" style="1813"/>
    <col min="11" max="11" width="17.6640625" style="1813" customWidth="1"/>
    <col min="12" max="12" width="14.6640625" style="1813" customWidth="1"/>
    <col min="13" max="13" width="12" style="1813" customWidth="1"/>
    <col min="14" max="14" width="12.33203125" style="1813" customWidth="1"/>
    <col min="15" max="15" width="9.33203125" style="1813"/>
    <col min="16" max="16" width="17.33203125" style="1813" customWidth="1"/>
    <col min="17" max="17" width="13.33203125" style="1813" customWidth="1"/>
    <col min="18" max="18" width="35.5" style="1813" customWidth="1"/>
    <col min="19" max="19" width="14" style="1813" customWidth="1"/>
    <col min="20" max="20" width="14.33203125" style="1813" customWidth="1"/>
    <col min="21" max="21" width="4.5" style="1813" customWidth="1"/>
    <col min="22" max="22" width="16.6640625" style="1813" customWidth="1"/>
    <col min="23" max="36" width="9.33203125" style="1813"/>
    <col min="37" max="37" width="48.6640625" style="1813" customWidth="1"/>
    <col min="38" max="38" width="20.6640625" style="1813" customWidth="1"/>
    <col min="39" max="41" width="9.33203125" style="1813"/>
    <col min="42" max="42" width="17.5" style="1813" customWidth="1"/>
    <col min="43" max="45" width="9.33203125" style="1813"/>
    <col min="46" max="46" width="13.5" style="1813" customWidth="1"/>
    <col min="47" max="50" width="9.33203125" style="1813"/>
    <col min="51" max="51" width="12.5" style="1813" customWidth="1"/>
    <col min="52" max="54" width="9.33203125" style="1813"/>
    <col min="55" max="55" width="17.5" style="1813" customWidth="1"/>
    <col min="56" max="58" width="9.33203125" style="1813"/>
    <col min="59" max="59" width="24.5" style="1813" customWidth="1"/>
    <col min="60" max="60" width="14.5" style="1813" customWidth="1"/>
    <col min="61" max="16384" width="9.33203125" style="1813"/>
  </cols>
  <sheetData>
    <row r="1" spans="2:58" s="2076" customFormat="1" ht="100.5" customHeight="1" x14ac:dyDescent="0.2"/>
    <row r="2" spans="2:58" ht="27" customHeight="1" x14ac:dyDescent="0.2"/>
    <row r="3" spans="2:58" ht="52.5" customHeight="1" x14ac:dyDescent="0.2"/>
    <row r="4" spans="2:58" ht="45" customHeight="1" x14ac:dyDescent="0.2">
      <c r="B4" s="1769"/>
      <c r="C4" s="2038" t="str">
        <f>Languages!B424</f>
        <v>9.1 INPUTS (liming, fertilizers, pesticides)</v>
      </c>
      <c r="D4" s="1769"/>
      <c r="E4" s="1769"/>
      <c r="F4" s="1769"/>
      <c r="G4" s="1769"/>
      <c r="H4" s="1769"/>
      <c r="I4" s="1769"/>
      <c r="J4" s="1769"/>
      <c r="K4" s="1769"/>
      <c r="L4" s="1769"/>
      <c r="M4" s="1769"/>
      <c r="N4" s="1769"/>
      <c r="O4" s="1769"/>
      <c r="P4" s="1769"/>
      <c r="Q4" s="1769"/>
      <c r="R4" s="1769"/>
      <c r="S4" s="1769"/>
      <c r="T4" s="1770" t="str">
        <f>Languages!B22</f>
        <v>If country-specific data are available, please go to Tier 2:</v>
      </c>
      <c r="U4" s="1769"/>
      <c r="V4" s="1769"/>
      <c r="W4" s="1769"/>
      <c r="AK4" s="2073" t="str">
        <f>C4</f>
        <v>9.1 INPUTS (liming, fertilizers, pesticides)</v>
      </c>
      <c r="AL4" s="1976"/>
      <c r="AM4" s="1976"/>
      <c r="AN4" s="1976"/>
      <c r="AO4" s="1976"/>
      <c r="AP4" s="1976"/>
      <c r="AQ4" s="1976"/>
      <c r="AR4" s="1976"/>
      <c r="AS4" s="1976"/>
      <c r="AT4" s="1976"/>
      <c r="AU4" s="1976"/>
      <c r="AV4" s="1976"/>
      <c r="AW4" s="1976"/>
      <c r="AX4" s="1976"/>
      <c r="AY4" s="1976"/>
      <c r="AZ4" s="1976"/>
      <c r="BA4" s="1976"/>
      <c r="BB4" s="1976"/>
      <c r="BD4" s="4366" t="s">
        <v>71</v>
      </c>
      <c r="BE4" s="4366"/>
      <c r="BF4" s="4366"/>
    </row>
    <row r="5" spans="2:58" ht="5.25" customHeight="1" x14ac:dyDescent="0.2">
      <c r="B5" s="1771"/>
      <c r="C5" s="1771"/>
      <c r="D5" s="1771"/>
      <c r="E5" s="1771"/>
      <c r="F5" s="1771"/>
      <c r="G5" s="1771"/>
      <c r="H5" s="1771"/>
      <c r="I5" s="1771"/>
      <c r="J5" s="1771"/>
      <c r="K5" s="1771"/>
      <c r="L5" s="1771"/>
      <c r="M5" s="1771"/>
      <c r="N5" s="1771"/>
      <c r="O5" s="1771"/>
      <c r="P5" s="1771"/>
      <c r="Q5" s="1771"/>
      <c r="R5" s="1771"/>
      <c r="S5" s="1771"/>
      <c r="T5" s="1771"/>
      <c r="U5" s="1771"/>
      <c r="V5" s="1771"/>
      <c r="W5" s="1771"/>
      <c r="AK5" s="1771"/>
      <c r="AL5" s="1771"/>
      <c r="AM5" s="1771"/>
      <c r="AN5" s="1771"/>
      <c r="AO5" s="1771"/>
      <c r="AP5" s="1771"/>
      <c r="AQ5" s="1771"/>
      <c r="AR5" s="1771"/>
      <c r="AS5" s="1771"/>
      <c r="AT5" s="1771"/>
      <c r="AU5" s="1771"/>
      <c r="AV5" s="1771"/>
      <c r="AW5" s="1771"/>
      <c r="AX5" s="1771"/>
      <c r="AY5" s="1771"/>
      <c r="AZ5" s="1771"/>
      <c r="BA5" s="1771"/>
      <c r="BB5" s="1771"/>
      <c r="BD5" s="1915"/>
      <c r="BE5" s="1915"/>
    </row>
    <row r="6" spans="2:58" ht="22" x14ac:dyDescent="0.25">
      <c r="B6" s="2077"/>
      <c r="C6" s="2078"/>
      <c r="D6" s="2077"/>
      <c r="E6" s="2079"/>
      <c r="F6" s="2080"/>
      <c r="G6" s="2080"/>
      <c r="H6" s="2080"/>
      <c r="I6" s="2081"/>
      <c r="J6" s="2078"/>
      <c r="K6" s="2081"/>
      <c r="L6" s="2081"/>
      <c r="M6" s="2081"/>
      <c r="N6" s="2082"/>
      <c r="O6" s="2082"/>
      <c r="P6" s="2083"/>
      <c r="Q6" s="2084"/>
      <c r="R6" s="2084"/>
      <c r="S6" s="2085"/>
      <c r="T6" s="2086"/>
      <c r="U6" s="2085"/>
      <c r="V6" s="2086"/>
      <c r="W6" s="2085"/>
      <c r="AK6" s="2614" t="str">
        <f>Languages!B14</f>
        <v>Emissions factors</v>
      </c>
      <c r="AL6" s="1782"/>
      <c r="AM6" s="1782"/>
      <c r="AN6" s="1782"/>
      <c r="AO6" s="1782"/>
      <c r="AP6" s="1782"/>
      <c r="AQ6" s="1782"/>
      <c r="AR6" s="1782"/>
      <c r="AS6" s="1782"/>
      <c r="AT6" s="1782"/>
      <c r="AU6" s="1782"/>
      <c r="AV6" s="1782"/>
      <c r="AW6" s="1782"/>
      <c r="AX6" s="1782"/>
      <c r="AY6" s="1782"/>
      <c r="AZ6" s="1782"/>
      <c r="BA6" s="1782"/>
      <c r="BB6" s="1782"/>
      <c r="BD6" s="1889" t="s">
        <v>74</v>
      </c>
      <c r="BE6" s="1889"/>
      <c r="BF6" s="1996"/>
    </row>
    <row r="7" spans="2:58" ht="16" x14ac:dyDescent="0.2">
      <c r="B7" s="2077"/>
      <c r="C7" s="2078"/>
      <c r="D7" s="2087"/>
      <c r="E7" s="2079"/>
      <c r="F7" s="2080"/>
      <c r="G7" s="2080"/>
      <c r="H7" s="2080"/>
      <c r="I7" s="2081"/>
      <c r="J7" s="2078"/>
      <c r="K7" s="2081"/>
      <c r="L7" s="2081"/>
      <c r="M7" s="2081"/>
      <c r="N7" s="2082"/>
      <c r="O7" s="2082"/>
      <c r="P7" s="2083"/>
      <c r="Q7" s="2084"/>
      <c r="R7" s="2084"/>
      <c r="S7" s="2085"/>
      <c r="T7" s="2086"/>
      <c r="U7" s="2085"/>
      <c r="V7" s="2086"/>
      <c r="W7" s="2085"/>
      <c r="AK7" s="1782"/>
      <c r="AL7" s="1783"/>
      <c r="AM7" s="1783"/>
      <c r="AN7" s="2333" t="str">
        <f>Languages!B457</f>
        <v>Emissions at field level</v>
      </c>
      <c r="AO7" s="2287"/>
      <c r="AP7" s="2615"/>
      <c r="AQ7" s="1847"/>
      <c r="AR7" s="1847"/>
      <c r="AS7" s="1847"/>
      <c r="AT7" s="2333" t="str">
        <f>Languages!B461</f>
        <v>Emissions from production, transportation, storage and transfer</v>
      </c>
      <c r="AU7" s="1847"/>
      <c r="AV7" s="2616"/>
      <c r="AW7" s="2617"/>
      <c r="AX7" s="2317"/>
      <c r="AY7" s="2026"/>
      <c r="AZ7" s="2025"/>
      <c r="BA7" s="2317"/>
      <c r="BB7" s="1782"/>
      <c r="BD7" s="2014" t="s">
        <v>82</v>
      </c>
      <c r="BE7" s="2014"/>
      <c r="BF7" s="1996"/>
    </row>
    <row r="8" spans="2:58" ht="21" x14ac:dyDescent="0.25">
      <c r="B8" s="2077"/>
      <c r="C8" s="2088" t="str">
        <f>Languages!B431</f>
        <v xml:space="preserve">Fertilizers </v>
      </c>
      <c r="D8" s="2089" t="str">
        <f>Languages!B425</f>
        <v>Amount applied per year (in tonne)</v>
      </c>
      <c r="E8" s="2090"/>
      <c r="F8" s="2091"/>
      <c r="G8" s="2092"/>
      <c r="H8" s="2093"/>
      <c r="I8" s="2085"/>
      <c r="J8" s="2094" t="str">
        <f>Languages!B428</f>
        <v>Total emissions at field level (tCO2-e)</v>
      </c>
      <c r="K8" s="2095"/>
      <c r="L8" s="2095"/>
      <c r="M8" s="2095"/>
      <c r="N8" s="2092"/>
      <c r="O8" s="1928"/>
      <c r="P8" s="2096" t="str">
        <f>Languages!B429</f>
        <v xml:space="preserve">Emissions from production, </v>
      </c>
      <c r="Q8" s="2077"/>
      <c r="R8" s="1928"/>
      <c r="S8" s="2289" t="str">
        <f>Languages!B9</f>
        <v>Total emissions (tCO2-e)</v>
      </c>
      <c r="T8" s="2090"/>
      <c r="U8" s="2093"/>
      <c r="V8" s="2097"/>
      <c r="W8" s="2078"/>
      <c r="AK8" s="2618" t="str">
        <f>C8</f>
        <v xml:space="preserve">Fertilizers </v>
      </c>
      <c r="AL8" s="1782"/>
      <c r="AM8" s="1782"/>
      <c r="AN8" s="1782"/>
      <c r="AO8" s="1782"/>
      <c r="AP8" s="1782"/>
      <c r="AQ8" s="1782"/>
      <c r="AR8" s="1782"/>
      <c r="AS8" s="1847"/>
      <c r="AT8" s="2619"/>
      <c r="AU8" s="1847"/>
      <c r="AV8" s="1886"/>
      <c r="AW8" s="1886"/>
      <c r="AX8" s="1886"/>
      <c r="AY8" s="2024"/>
      <c r="AZ8" s="1886"/>
      <c r="BA8" s="1886"/>
      <c r="BB8" s="1782"/>
      <c r="BD8" s="1996"/>
      <c r="BE8" s="1996"/>
      <c r="BF8" s="1996"/>
    </row>
    <row r="9" spans="2:58" ht="16" x14ac:dyDescent="0.2">
      <c r="B9" s="2077"/>
      <c r="C9" s="2098"/>
      <c r="D9" s="2099"/>
      <c r="E9" s="2099"/>
      <c r="F9" s="2099"/>
      <c r="G9" s="2099"/>
      <c r="H9" s="2085"/>
      <c r="I9" s="2085"/>
      <c r="J9" s="2100" t="s">
        <v>2780</v>
      </c>
      <c r="K9" s="2101"/>
      <c r="L9" s="2101"/>
      <c r="M9" s="2100" t="s">
        <v>2343</v>
      </c>
      <c r="N9" s="1928"/>
      <c r="O9" s="1928"/>
      <c r="P9" s="2096" t="str">
        <f>Languages!B430</f>
        <v>transportation, storage and transfer (tCO2-e)</v>
      </c>
      <c r="Q9" s="1928"/>
      <c r="R9" s="1928"/>
      <c r="S9" s="2086"/>
      <c r="T9" s="2086"/>
      <c r="U9" s="2086"/>
      <c r="V9" s="2086"/>
      <c r="W9" s="2085"/>
      <c r="AK9" s="2315"/>
      <c r="AL9" s="2620" t="str">
        <f>Languages!B458</f>
        <v>CO2 emissions</v>
      </c>
      <c r="AM9" s="1785"/>
      <c r="AN9" s="1785"/>
      <c r="AO9" s="2287"/>
      <c r="AP9" s="2621" t="str">
        <f>Languages!B459</f>
        <v>N2O emissions</v>
      </c>
      <c r="AQ9" s="2622"/>
      <c r="AR9" s="2622"/>
      <c r="AS9" s="1847"/>
      <c r="AT9" s="2623" t="str">
        <f>Languages!B460</f>
        <v>CO2-e emissions</v>
      </c>
      <c r="AU9" s="2622"/>
      <c r="AV9" s="2624"/>
      <c r="AW9" s="2024"/>
      <c r="AX9" s="2024"/>
      <c r="AY9" s="2625"/>
      <c r="AZ9" s="2024"/>
      <c r="BA9" s="2626"/>
      <c r="BB9" s="1782"/>
      <c r="BD9" s="1996"/>
      <c r="BE9" s="1996"/>
      <c r="BF9" s="1996"/>
    </row>
    <row r="10" spans="2:58" ht="16" x14ac:dyDescent="0.2">
      <c r="B10" s="2077"/>
      <c r="C10" s="1779"/>
      <c r="D10" s="1928" t="str">
        <f>Languages!B11</f>
        <v>Start</v>
      </c>
      <c r="E10" s="1928" t="str">
        <f>Languages!B12</f>
        <v>Without</v>
      </c>
      <c r="F10" s="1928"/>
      <c r="G10" s="1928" t="str">
        <f>Languages!B13</f>
        <v>With</v>
      </c>
      <c r="H10" s="1928"/>
      <c r="I10" s="2086"/>
      <c r="J10" s="1928" t="str">
        <f>E10</f>
        <v>Without</v>
      </c>
      <c r="K10" s="1928" t="str">
        <f>G10</f>
        <v>With</v>
      </c>
      <c r="L10" s="1928"/>
      <c r="M10" s="1928" t="str">
        <f>J10</f>
        <v>Without</v>
      </c>
      <c r="N10" s="1928" t="str">
        <f>K10</f>
        <v>With</v>
      </c>
      <c r="O10" s="1928"/>
      <c r="P10" s="1928" t="str">
        <f>M10</f>
        <v>Without</v>
      </c>
      <c r="Q10" s="1928" t="str">
        <f>N10</f>
        <v>With</v>
      </c>
      <c r="R10" s="1806"/>
      <c r="S10" s="1928" t="str">
        <f>P10</f>
        <v>Without</v>
      </c>
      <c r="T10" s="1928" t="str">
        <f>Q10</f>
        <v>With</v>
      </c>
      <c r="U10" s="1928"/>
      <c r="V10" s="2077" t="str">
        <f>Languages!B10</f>
        <v>Balance</v>
      </c>
      <c r="W10" s="2085"/>
      <c r="AK10" s="2315"/>
      <c r="AL10" s="2584" t="str">
        <f>Languages!B15</f>
        <v>Unit</v>
      </c>
      <c r="AM10" s="2151" t="str">
        <f>Languages!B16</f>
        <v>Default</v>
      </c>
      <c r="AN10" s="2151" t="str">
        <f>Languages!B17</f>
        <v>Tier 2</v>
      </c>
      <c r="AO10" s="2317"/>
      <c r="AP10" s="2151" t="str">
        <f>AL10</f>
        <v>Unit</v>
      </c>
      <c r="AQ10" s="2151" t="str">
        <f>AM10</f>
        <v>Default</v>
      </c>
      <c r="AR10" s="2151" t="str">
        <f>AN10</f>
        <v>Tier 2</v>
      </c>
      <c r="AS10" s="1847"/>
      <c r="AT10" s="2151" t="str">
        <f>AP10</f>
        <v>Unit</v>
      </c>
      <c r="AU10" s="2151" t="str">
        <f>AQ10</f>
        <v>Default</v>
      </c>
      <c r="AV10" s="2151" t="str">
        <f>AR10</f>
        <v>Tier 2</v>
      </c>
      <c r="AW10" s="1886"/>
      <c r="AX10" s="1886"/>
      <c r="AY10" s="1886"/>
      <c r="AZ10" s="1886"/>
      <c r="BA10" s="1886"/>
      <c r="BB10" s="1782"/>
      <c r="BD10" s="1996"/>
      <c r="BE10" s="1996"/>
      <c r="BF10" s="1996"/>
    </row>
    <row r="11" spans="2:58" ht="16" x14ac:dyDescent="0.2">
      <c r="B11" s="2077"/>
      <c r="C11" s="1779" t="str">
        <f>Languages!B432</f>
        <v>Lime application</v>
      </c>
      <c r="D11" s="1806"/>
      <c r="E11" s="1806"/>
      <c r="F11" s="1928" t="s">
        <v>83</v>
      </c>
      <c r="G11" s="2099"/>
      <c r="H11" s="1928" t="s">
        <v>83</v>
      </c>
      <c r="I11" s="2086"/>
      <c r="J11" s="1806"/>
      <c r="K11" s="1928"/>
      <c r="L11" s="1928"/>
      <c r="M11" s="1928"/>
      <c r="N11" s="1928"/>
      <c r="O11" s="1928"/>
      <c r="P11" s="1928"/>
      <c r="Q11" s="1928"/>
      <c r="R11" s="1806"/>
      <c r="S11" s="1928"/>
      <c r="T11" s="1928"/>
      <c r="U11" s="1928"/>
      <c r="V11" s="2086"/>
      <c r="W11" s="2085"/>
      <c r="AK11" s="2315"/>
      <c r="AL11" s="1782"/>
      <c r="AM11" s="1782"/>
      <c r="AN11" s="1782"/>
      <c r="AO11" s="2287"/>
      <c r="AP11" s="1885"/>
      <c r="AQ11" s="1847"/>
      <c r="AR11" s="1847"/>
      <c r="AS11" s="1847"/>
      <c r="AT11" s="1782"/>
      <c r="AU11" s="2151"/>
      <c r="AV11" s="1886"/>
      <c r="AW11" s="1886"/>
      <c r="AX11" s="1886"/>
      <c r="AY11" s="1886"/>
      <c r="AZ11" s="1886"/>
      <c r="BA11" s="1886"/>
      <c r="BB11" s="1782"/>
      <c r="BD11" s="4363"/>
      <c r="BE11" s="4363"/>
      <c r="BF11" s="1996"/>
    </row>
    <row r="12" spans="2:58" ht="16" x14ac:dyDescent="0.2">
      <c r="B12" s="2077"/>
      <c r="C12" s="1781" t="str">
        <f>Languages!B433</f>
        <v>Limestone (tonnes per year)</v>
      </c>
      <c r="D12" s="4310">
        <v>0</v>
      </c>
      <c r="E12" s="4311">
        <v>0</v>
      </c>
      <c r="F12" s="2104" t="s">
        <v>86</v>
      </c>
      <c r="G12" s="4311">
        <v>0</v>
      </c>
      <c r="H12" s="2104" t="s">
        <v>86</v>
      </c>
      <c r="I12" s="2086"/>
      <c r="J12" s="1841">
        <f>Inputs!O8</f>
        <v>0</v>
      </c>
      <c r="K12" s="1841">
        <f>Inputs!P8</f>
        <v>0</v>
      </c>
      <c r="L12" s="1928"/>
      <c r="M12" s="1928" t="s">
        <v>2781</v>
      </c>
      <c r="N12" s="1928" t="s">
        <v>2781</v>
      </c>
      <c r="O12" s="1928"/>
      <c r="P12" s="2105">
        <f>Inputs!O47</f>
        <v>0</v>
      </c>
      <c r="Q12" s="2105">
        <f>Inputs!P47</f>
        <v>0</v>
      </c>
      <c r="R12" s="1806"/>
      <c r="S12" s="2105">
        <f t="shared" ref="S12:T14" si="0">J12+P12</f>
        <v>0</v>
      </c>
      <c r="T12" s="2105">
        <f t="shared" si="0"/>
        <v>0</v>
      </c>
      <c r="U12" s="2105"/>
      <c r="V12" s="1928">
        <f>T12-S12</f>
        <v>0</v>
      </c>
      <c r="W12" s="2085"/>
      <c r="AK12" s="2315" t="str">
        <f>C12</f>
        <v>Limestone (tonnes per year)</v>
      </c>
      <c r="AL12" s="1782" t="s">
        <v>2782</v>
      </c>
      <c r="AM12" s="2601">
        <f>Inputs!C8</f>
        <v>0.12</v>
      </c>
      <c r="AN12" s="4232"/>
      <c r="AO12" s="2287"/>
      <c r="AP12" s="1885"/>
      <c r="AQ12" s="1847"/>
      <c r="AR12" s="1847"/>
      <c r="AS12" s="1847"/>
      <c r="AT12" s="1782" t="s">
        <v>2783</v>
      </c>
      <c r="AU12" s="2601">
        <f>Inputs!C47</f>
        <v>0.58666666666666667</v>
      </c>
      <c r="AV12" s="2127"/>
      <c r="AW12" s="1886"/>
      <c r="AX12" s="1886"/>
      <c r="AY12" s="1886"/>
      <c r="AZ12" s="1886"/>
      <c r="BA12" s="1886"/>
      <c r="BB12" s="1782"/>
      <c r="BD12" s="4363">
        <v>1</v>
      </c>
      <c r="BE12" s="4364"/>
      <c r="BF12" s="1996"/>
    </row>
    <row r="13" spans="2:58" ht="16" x14ac:dyDescent="0.2">
      <c r="B13" s="2077"/>
      <c r="C13" s="1781" t="str">
        <f>Languages!B434</f>
        <v>Dolomite (tonne per year)</v>
      </c>
      <c r="D13" s="4310">
        <v>0</v>
      </c>
      <c r="E13" s="4311">
        <v>0</v>
      </c>
      <c r="F13" s="2104" t="s">
        <v>86</v>
      </c>
      <c r="G13" s="4311">
        <v>0</v>
      </c>
      <c r="H13" s="2104" t="s">
        <v>86</v>
      </c>
      <c r="I13" s="2086"/>
      <c r="J13" s="1841">
        <f>Inputs!O9</f>
        <v>0</v>
      </c>
      <c r="K13" s="1841">
        <f>Inputs!P9</f>
        <v>0</v>
      </c>
      <c r="L13" s="1928"/>
      <c r="M13" s="1928" t="s">
        <v>2781</v>
      </c>
      <c r="N13" s="1928" t="s">
        <v>2781</v>
      </c>
      <c r="O13" s="1928"/>
      <c r="P13" s="2105">
        <f>Inputs!O48</f>
        <v>0</v>
      </c>
      <c r="Q13" s="2105">
        <f>Inputs!P48</f>
        <v>0</v>
      </c>
      <c r="R13" s="1806"/>
      <c r="S13" s="2105">
        <f t="shared" si="0"/>
        <v>0</v>
      </c>
      <c r="T13" s="2105">
        <f t="shared" si="0"/>
        <v>0</v>
      </c>
      <c r="U13" s="2105"/>
      <c r="V13" s="1928">
        <f>T13-S13</f>
        <v>0</v>
      </c>
      <c r="W13" s="2085"/>
      <c r="AK13" s="2315" t="str">
        <f>C13</f>
        <v>Dolomite (tonne per year)</v>
      </c>
      <c r="AL13" s="1782" t="str">
        <f>AL12</f>
        <v>tC/t lime</v>
      </c>
      <c r="AM13" s="2601">
        <f>Inputs!C9</f>
        <v>0.13</v>
      </c>
      <c r="AN13" s="4232"/>
      <c r="AO13" s="2287"/>
      <c r="AP13" s="1885"/>
      <c r="AQ13" s="1847"/>
      <c r="AR13" s="1847"/>
      <c r="AS13" s="1847"/>
      <c r="AT13" s="1782" t="str">
        <f>AT12</f>
        <v>tCO2/t lime</v>
      </c>
      <c r="AU13" s="2601">
        <f>Inputs!C48</f>
        <v>0.58666666666666667</v>
      </c>
      <c r="AV13" s="2127"/>
      <c r="AW13" s="1886"/>
      <c r="AX13" s="1886"/>
      <c r="AY13" s="1886"/>
      <c r="AZ13" s="1886"/>
      <c r="BA13" s="1886"/>
      <c r="BB13" s="1782"/>
      <c r="BD13" s="4363">
        <v>1</v>
      </c>
      <c r="BE13" s="4364"/>
      <c r="BF13" s="1996"/>
    </row>
    <row r="14" spans="2:58" ht="16" x14ac:dyDescent="0.2">
      <c r="B14" s="2077"/>
      <c r="C14" s="1781" t="str">
        <f>Languages!B435</f>
        <v>Not-specified (tonnes per year)</v>
      </c>
      <c r="D14" s="4310">
        <v>0</v>
      </c>
      <c r="E14" s="4311">
        <v>0</v>
      </c>
      <c r="F14" s="2104" t="s">
        <v>86</v>
      </c>
      <c r="G14" s="4311">
        <v>0</v>
      </c>
      <c r="H14" s="2104" t="s">
        <v>86</v>
      </c>
      <c r="I14" s="2086"/>
      <c r="J14" s="1841">
        <f>Inputs!O10</f>
        <v>0</v>
      </c>
      <c r="K14" s="1841">
        <f>Inputs!P10</f>
        <v>0</v>
      </c>
      <c r="L14" s="1928"/>
      <c r="M14" s="1928" t="s">
        <v>2781</v>
      </c>
      <c r="N14" s="1928" t="s">
        <v>2781</v>
      </c>
      <c r="O14" s="1928"/>
      <c r="P14" s="2105">
        <f>Inputs!O49</f>
        <v>0</v>
      </c>
      <c r="Q14" s="2105">
        <f>Inputs!P49</f>
        <v>0</v>
      </c>
      <c r="R14" s="1806"/>
      <c r="S14" s="2105">
        <f t="shared" si="0"/>
        <v>0</v>
      </c>
      <c r="T14" s="2105">
        <f t="shared" si="0"/>
        <v>0</v>
      </c>
      <c r="U14" s="2105"/>
      <c r="V14" s="1928">
        <f>T14-S14</f>
        <v>0</v>
      </c>
      <c r="W14" s="2085"/>
      <c r="AK14" s="2315" t="str">
        <f>C14</f>
        <v>Not-specified (tonnes per year)</v>
      </c>
      <c r="AL14" s="1782" t="str">
        <f>AL13</f>
        <v>tC/t lime</v>
      </c>
      <c r="AM14" s="2601">
        <f>Inputs!C10</f>
        <v>0.125</v>
      </c>
      <c r="AN14" s="4232"/>
      <c r="AO14" s="2287"/>
      <c r="AP14" s="1885"/>
      <c r="AQ14" s="1847"/>
      <c r="AR14" s="1847"/>
      <c r="AS14" s="1847"/>
      <c r="AT14" s="1782" t="str">
        <f>AT12</f>
        <v>tCO2/t lime</v>
      </c>
      <c r="AU14" s="2601">
        <f>Inputs!C49</f>
        <v>0.58666666666666667</v>
      </c>
      <c r="AV14" s="2127"/>
      <c r="AW14" s="1886"/>
      <c r="AX14" s="1886"/>
      <c r="AY14" s="1886"/>
      <c r="AZ14" s="1886"/>
      <c r="BA14" s="1886"/>
      <c r="BB14" s="1782"/>
      <c r="BD14" s="4363">
        <v>1</v>
      </c>
      <c r="BE14" s="4364"/>
      <c r="BF14" s="1996"/>
    </row>
    <row r="15" spans="2:58" ht="16" x14ac:dyDescent="0.2">
      <c r="B15" s="2077"/>
      <c r="C15" s="1779" t="str">
        <f>Languages!B436</f>
        <v xml:space="preserve">Synthetic fertilizers </v>
      </c>
      <c r="D15" s="2099"/>
      <c r="E15" s="2099"/>
      <c r="F15" s="1781"/>
      <c r="G15" s="1781"/>
      <c r="H15" s="1781"/>
      <c r="I15" s="2085"/>
      <c r="J15" s="2077"/>
      <c r="K15" s="2101"/>
      <c r="L15" s="2101"/>
      <c r="M15" s="2101"/>
      <c r="N15" s="2101"/>
      <c r="O15" s="1928"/>
      <c r="P15" s="2105"/>
      <c r="Q15" s="2105"/>
      <c r="R15" s="1928"/>
      <c r="S15" s="2105"/>
      <c r="T15" s="2105"/>
      <c r="U15" s="2106"/>
      <c r="V15" s="1928"/>
      <c r="W15" s="2085"/>
      <c r="AK15" s="2315"/>
      <c r="AL15" s="1782"/>
      <c r="AM15" s="1782"/>
      <c r="AN15" s="1782"/>
      <c r="AO15" s="2287"/>
      <c r="AP15" s="1795"/>
      <c r="AQ15" s="1847"/>
      <c r="AR15" s="1847"/>
      <c r="AS15" s="1847"/>
      <c r="AT15" s="1782"/>
      <c r="AU15" s="2601"/>
      <c r="AV15" s="2000"/>
      <c r="AW15" s="2632"/>
      <c r="AX15" s="2024"/>
      <c r="AY15" s="2000"/>
      <c r="AZ15" s="2029"/>
      <c r="BA15" s="2287"/>
      <c r="BB15" s="1782"/>
      <c r="BD15" s="4363"/>
      <c r="BE15" s="4363"/>
      <c r="BF15" s="1996"/>
    </row>
    <row r="16" spans="2:58" ht="16" x14ac:dyDescent="0.2">
      <c r="B16" s="2077"/>
      <c r="C16" s="1781" t="str">
        <f>Languages!B437</f>
        <v>Urea (tonnes of Urea per year)</v>
      </c>
      <c r="D16" s="4310">
        <v>0</v>
      </c>
      <c r="E16" s="4311">
        <v>0</v>
      </c>
      <c r="F16" s="2104" t="s">
        <v>86</v>
      </c>
      <c r="G16" s="4311">
        <v>0</v>
      </c>
      <c r="H16" s="2104" t="s">
        <v>86</v>
      </c>
      <c r="I16" s="2085"/>
      <c r="J16" s="1841">
        <f>Inputs!O21</f>
        <v>0</v>
      </c>
      <c r="K16" s="1841">
        <f>Inputs!P21</f>
        <v>0</v>
      </c>
      <c r="L16" s="1838"/>
      <c r="M16" s="2107">
        <f>Inputs!O28</f>
        <v>0</v>
      </c>
      <c r="N16" s="2107">
        <f>Inputs!P28</f>
        <v>0</v>
      </c>
      <c r="O16" s="1838"/>
      <c r="P16" s="2105">
        <f>Inputs!O51</f>
        <v>0</v>
      </c>
      <c r="Q16" s="2105">
        <f>Inputs!P51</f>
        <v>0</v>
      </c>
      <c r="R16" s="2108" t="s">
        <v>2784</v>
      </c>
      <c r="S16" s="2105">
        <f>J16+M16+P16</f>
        <v>0</v>
      </c>
      <c r="T16" s="2105">
        <f>K16+N16+Q16</f>
        <v>0</v>
      </c>
      <c r="U16" s="1843"/>
      <c r="V16" s="1928">
        <f>T16-S16</f>
        <v>0</v>
      </c>
      <c r="W16" s="2085"/>
      <c r="AK16" s="2315" t="str">
        <f>C16</f>
        <v>Urea (tonnes of Urea per year)</v>
      </c>
      <c r="AL16" s="1782" t="s">
        <v>2785</v>
      </c>
      <c r="AM16" s="2601">
        <f>Inputs!C19</f>
        <v>0.2</v>
      </c>
      <c r="AN16" s="4232"/>
      <c r="AO16" s="2287"/>
      <c r="AP16" s="1795" t="s">
        <v>2786</v>
      </c>
      <c r="AQ16" s="2601">
        <f>Inputs!C28</f>
        <v>5.0000000000000001E-3</v>
      </c>
      <c r="AR16" s="4233"/>
      <c r="AS16" s="1847"/>
      <c r="AT16" s="1782" t="s">
        <v>2787</v>
      </c>
      <c r="AU16" s="2601">
        <f>Inputs!C51</f>
        <v>4.7666666666666666</v>
      </c>
      <c r="AV16" s="2127"/>
      <c r="AW16" s="2632"/>
      <c r="AX16" s="2024"/>
      <c r="AY16" s="2000"/>
      <c r="AZ16" s="2029"/>
      <c r="BA16" s="2287"/>
      <c r="BB16" s="1782"/>
      <c r="BD16" s="4363">
        <v>1</v>
      </c>
      <c r="BE16" s="4364"/>
      <c r="BF16" s="1996"/>
    </row>
    <row r="17" spans="2:58" ht="16" x14ac:dyDescent="0.2">
      <c r="B17" s="2077"/>
      <c r="C17" s="1781" t="str">
        <f>Languages!B438</f>
        <v>Synthetic N-fertilizers other than Urea (tonnes of N per year)</v>
      </c>
      <c r="D17" s="4310">
        <v>0</v>
      </c>
      <c r="E17" s="4311">
        <v>0</v>
      </c>
      <c r="F17" s="2104" t="s">
        <v>86</v>
      </c>
      <c r="G17" s="4311">
        <v>0</v>
      </c>
      <c r="H17" s="2104" t="s">
        <v>86</v>
      </c>
      <c r="I17" s="2085"/>
      <c r="J17" s="1928" t="s">
        <v>2781</v>
      </c>
      <c r="K17" s="1928" t="s">
        <v>2781</v>
      </c>
      <c r="L17" s="1838"/>
      <c r="M17" s="2107">
        <f>Inputs!O29</f>
        <v>0</v>
      </c>
      <c r="N17" s="2107">
        <f>Inputs!P29</f>
        <v>0</v>
      </c>
      <c r="O17" s="1838"/>
      <c r="P17" s="2105">
        <f>Inputs!O52</f>
        <v>0</v>
      </c>
      <c r="Q17" s="2105">
        <f>Inputs!P52</f>
        <v>0</v>
      </c>
      <c r="R17" s="1806"/>
      <c r="S17" s="2105">
        <f>M17+P17</f>
        <v>0</v>
      </c>
      <c r="T17" s="2105">
        <f>N17+Q17</f>
        <v>0</v>
      </c>
      <c r="U17" s="1843"/>
      <c r="V17" s="1928">
        <f>T17-S17</f>
        <v>0</v>
      </c>
      <c r="W17" s="2085"/>
      <c r="AK17" s="2315" t="str">
        <f t="shared" ref="AK17:AK26" si="1">C17</f>
        <v>Synthetic N-fertilizers other than Urea (tonnes of N per year)</v>
      </c>
      <c r="AL17" s="1782"/>
      <c r="AM17" s="1782"/>
      <c r="AN17" s="1782"/>
      <c r="AO17" s="2287"/>
      <c r="AP17" s="1795" t="str">
        <f>AP16</f>
        <v>kg N-N2O/kg N</v>
      </c>
      <c r="AQ17" s="2601">
        <f>Inputs!C29</f>
        <v>5.0000000000000001E-3</v>
      </c>
      <c r="AR17" s="4233"/>
      <c r="AS17" s="1847"/>
      <c r="AT17" s="1782" t="str">
        <f>AT16</f>
        <v>tCO2/t N</v>
      </c>
      <c r="AU17" s="2601">
        <f>Inputs!C52</f>
        <v>4.7666666666666666</v>
      </c>
      <c r="AV17" s="2127"/>
      <c r="AW17" s="2632"/>
      <c r="AX17" s="2024"/>
      <c r="AY17" s="2030"/>
      <c r="AZ17" s="2029"/>
      <c r="BA17" s="2287"/>
      <c r="BB17" s="1782"/>
      <c r="BD17" s="4363">
        <v>1</v>
      </c>
      <c r="BE17" s="4364"/>
      <c r="BF17" s="1996"/>
    </row>
    <row r="18" spans="2:58" ht="16" x14ac:dyDescent="0.2">
      <c r="B18" s="2077"/>
      <c r="C18" s="1781" t="str">
        <f>Languages!B439</f>
        <v>Phosphorus (tonnes of P2O5 per year)</v>
      </c>
      <c r="D18" s="4310">
        <v>0</v>
      </c>
      <c r="E18" s="4311">
        <v>0</v>
      </c>
      <c r="F18" s="2104" t="s">
        <v>86</v>
      </c>
      <c r="G18" s="4311">
        <v>0</v>
      </c>
      <c r="H18" s="2104" t="s">
        <v>86</v>
      </c>
      <c r="I18" s="2085"/>
      <c r="J18" s="1928" t="s">
        <v>2781</v>
      </c>
      <c r="K18" s="1928" t="s">
        <v>2781</v>
      </c>
      <c r="L18" s="1838"/>
      <c r="M18" s="1928" t="s">
        <v>2781</v>
      </c>
      <c r="N18" s="1928" t="s">
        <v>2781</v>
      </c>
      <c r="O18" s="1838"/>
      <c r="P18" s="2105">
        <f>Inputs!O53</f>
        <v>0</v>
      </c>
      <c r="Q18" s="2105">
        <f>Inputs!P53</f>
        <v>0</v>
      </c>
      <c r="R18" s="1806"/>
      <c r="S18" s="2105">
        <f>P18</f>
        <v>0</v>
      </c>
      <c r="T18" s="2105">
        <f>Q18</f>
        <v>0</v>
      </c>
      <c r="U18" s="1843"/>
      <c r="V18" s="1928">
        <f>T18-S18</f>
        <v>0</v>
      </c>
      <c r="W18" s="2085"/>
      <c r="AK18" s="2315" t="str">
        <f t="shared" si="1"/>
        <v>Phosphorus (tonnes of P2O5 per year)</v>
      </c>
      <c r="AL18" s="1782"/>
      <c r="AM18" s="1782"/>
      <c r="AN18" s="1782"/>
      <c r="AO18" s="2287"/>
      <c r="AP18" s="1795"/>
      <c r="AQ18" s="2601"/>
      <c r="AR18" s="2631"/>
      <c r="AS18" s="1847"/>
      <c r="AT18" s="1782" t="s">
        <v>2788</v>
      </c>
      <c r="AU18" s="2601">
        <f>Inputs!C53</f>
        <v>0.73333333333333339</v>
      </c>
      <c r="AV18" s="2127"/>
      <c r="AW18" s="2632"/>
      <c r="AX18" s="2024"/>
      <c r="AY18" s="2030"/>
      <c r="AZ18" s="2029"/>
      <c r="BA18" s="2287"/>
      <c r="BB18" s="1782"/>
      <c r="BD18" s="4363">
        <v>1</v>
      </c>
      <c r="BE18" s="4364"/>
      <c r="BF18" s="1996"/>
    </row>
    <row r="19" spans="2:58" ht="16" x14ac:dyDescent="0.2">
      <c r="B19" s="2077"/>
      <c r="C19" s="1781" t="str">
        <f>Languages!B440</f>
        <v>Potassium (tonnes of K2O per year)</v>
      </c>
      <c r="D19" s="4310">
        <v>0</v>
      </c>
      <c r="E19" s="4311">
        <v>0</v>
      </c>
      <c r="F19" s="2104" t="s">
        <v>86</v>
      </c>
      <c r="G19" s="4311">
        <v>0</v>
      </c>
      <c r="H19" s="2104" t="s">
        <v>86</v>
      </c>
      <c r="I19" s="2085"/>
      <c r="J19" s="1928" t="s">
        <v>2781</v>
      </c>
      <c r="K19" s="1928" t="s">
        <v>2781</v>
      </c>
      <c r="L19" s="1838"/>
      <c r="M19" s="1928" t="s">
        <v>2781</v>
      </c>
      <c r="N19" s="1928" t="s">
        <v>2781</v>
      </c>
      <c r="O19" s="1838"/>
      <c r="P19" s="2105">
        <f>Inputs!O54</f>
        <v>0</v>
      </c>
      <c r="Q19" s="2105">
        <f>Inputs!P54</f>
        <v>0</v>
      </c>
      <c r="R19" s="1806"/>
      <c r="S19" s="2105">
        <f>P19</f>
        <v>0</v>
      </c>
      <c r="T19" s="2105">
        <f>Q19</f>
        <v>0</v>
      </c>
      <c r="U19" s="1843"/>
      <c r="V19" s="1928">
        <f>T19-S19</f>
        <v>0</v>
      </c>
      <c r="W19" s="2085"/>
      <c r="AK19" s="2315" t="str">
        <f t="shared" si="1"/>
        <v>Potassium (tonnes of K2O per year)</v>
      </c>
      <c r="AL19" s="1782"/>
      <c r="AM19" s="1782"/>
      <c r="AN19" s="1782"/>
      <c r="AO19" s="2287"/>
      <c r="AP19" s="1795"/>
      <c r="AQ19" s="2601"/>
      <c r="AR19" s="2631"/>
      <c r="AS19" s="1847"/>
      <c r="AT19" s="1782" t="s">
        <v>2789</v>
      </c>
      <c r="AU19" s="2601">
        <f>Inputs!C54</f>
        <v>0.54999999999999993</v>
      </c>
      <c r="AV19" s="2127"/>
      <c r="AW19" s="2287"/>
      <c r="AX19" s="2287"/>
      <c r="AY19" s="2307"/>
      <c r="AZ19" s="2287"/>
      <c r="BA19" s="2287"/>
      <c r="BB19" s="1782"/>
      <c r="BD19" s="4363">
        <v>1</v>
      </c>
      <c r="BE19" s="4364"/>
      <c r="BF19" s="1996"/>
    </row>
    <row r="20" spans="2:58" ht="16" x14ac:dyDescent="0.2">
      <c r="B20" s="2077"/>
      <c r="C20" s="1779" t="str">
        <f>Languages!B441</f>
        <v>N-fertilizers on irrigated rice</v>
      </c>
      <c r="D20" s="1806"/>
      <c r="E20" s="1806"/>
      <c r="F20" s="2109"/>
      <c r="G20" s="1806"/>
      <c r="H20" s="2109"/>
      <c r="I20" s="2085"/>
      <c r="J20" s="1838"/>
      <c r="K20" s="1838"/>
      <c r="L20" s="1838"/>
      <c r="M20" s="2101"/>
      <c r="N20" s="1838"/>
      <c r="O20" s="1838"/>
      <c r="P20" s="2105"/>
      <c r="Q20" s="2105"/>
      <c r="R20" s="1806"/>
      <c r="S20" s="2105"/>
      <c r="T20" s="2105"/>
      <c r="U20" s="1843"/>
      <c r="V20" s="1928"/>
      <c r="W20" s="2085"/>
      <c r="AK20" s="2315"/>
      <c r="AL20" s="1782"/>
      <c r="AM20" s="1782"/>
      <c r="AN20" s="1782"/>
      <c r="AO20" s="2287"/>
      <c r="AP20" s="1795"/>
      <c r="AQ20" s="2601"/>
      <c r="AR20" s="2631"/>
      <c r="AS20" s="1847"/>
      <c r="AT20" s="1782"/>
      <c r="AU20" s="2601"/>
      <c r="AV20" s="2307"/>
      <c r="AW20" s="2287"/>
      <c r="AX20" s="2287"/>
      <c r="AY20" s="2307"/>
      <c r="AZ20" s="2287"/>
      <c r="BA20" s="2287"/>
      <c r="BB20" s="1782"/>
      <c r="BD20" s="4363"/>
      <c r="BE20" s="4363"/>
      <c r="BF20" s="1996"/>
    </row>
    <row r="21" spans="2:58" ht="16" x14ac:dyDescent="0.2">
      <c r="B21" s="2077"/>
      <c r="C21" s="1781" t="str">
        <f>Languages!B442</f>
        <v>N-fertilizer in continuously irrigated rice (tonnes of N per year)</v>
      </c>
      <c r="D21" s="4310">
        <v>0</v>
      </c>
      <c r="E21" s="4311">
        <v>0</v>
      </c>
      <c r="F21" s="2104" t="s">
        <v>86</v>
      </c>
      <c r="G21" s="4311">
        <v>0</v>
      </c>
      <c r="H21" s="2104" t="s">
        <v>86</v>
      </c>
      <c r="I21" s="2085"/>
      <c r="J21" s="1928" t="s">
        <v>2781</v>
      </c>
      <c r="K21" s="1928" t="s">
        <v>2781</v>
      </c>
      <c r="L21" s="1838"/>
      <c r="M21" s="2107">
        <f>Inputs!O33</f>
        <v>0</v>
      </c>
      <c r="N21" s="2107">
        <f>Inputs!P33</f>
        <v>0</v>
      </c>
      <c r="O21" s="1838"/>
      <c r="P21" s="2105">
        <f>Inputs!O56</f>
        <v>0</v>
      </c>
      <c r="Q21" s="2105">
        <f>Inputs!P56</f>
        <v>0</v>
      </c>
      <c r="R21" s="1806"/>
      <c r="S21" s="2105">
        <f>M21+P21</f>
        <v>0</v>
      </c>
      <c r="T21" s="2105">
        <f>N21+Q21</f>
        <v>0</v>
      </c>
      <c r="U21" s="1843"/>
      <c r="V21" s="1928">
        <f>T21-S21</f>
        <v>0</v>
      </c>
      <c r="W21" s="2085"/>
      <c r="AK21" s="2315" t="str">
        <f t="shared" si="1"/>
        <v>N-fertilizer in continuously irrigated rice (tonnes of N per year)</v>
      </c>
      <c r="AL21" s="1782"/>
      <c r="AM21" s="1782"/>
      <c r="AN21" s="1782"/>
      <c r="AO21" s="2287"/>
      <c r="AP21" s="1795" t="str">
        <f>AP16</f>
        <v>kg N-N2O/kg N</v>
      </c>
      <c r="AQ21" s="2601">
        <f>Inputs!C33</f>
        <v>3.0000000000000001E-3</v>
      </c>
      <c r="AR21" s="4233"/>
      <c r="AS21" s="1847"/>
      <c r="AT21" s="1782" t="str">
        <f>AT16</f>
        <v>tCO2/t N</v>
      </c>
      <c r="AU21" s="2601">
        <f>Inputs!C56</f>
        <v>4.7666666666666666</v>
      </c>
      <c r="AV21" s="2127"/>
      <c r="AW21" s="2287"/>
      <c r="AX21" s="2287"/>
      <c r="AY21" s="2307"/>
      <c r="AZ21" s="2287"/>
      <c r="BA21" s="2287"/>
      <c r="BB21" s="1782"/>
      <c r="BD21" s="4363">
        <v>1</v>
      </c>
      <c r="BE21" s="4364"/>
      <c r="BF21" s="1996"/>
    </row>
    <row r="22" spans="2:58" ht="16" x14ac:dyDescent="0.2">
      <c r="B22" s="2077"/>
      <c r="C22" s="1781" t="str">
        <f>Languages!B443</f>
        <v>N-fertilizer in wet and dry irrigated rice (tonnes of N per year)</v>
      </c>
      <c r="D22" s="4310">
        <v>0</v>
      </c>
      <c r="E22" s="4311">
        <v>0</v>
      </c>
      <c r="F22" s="2104" t="s">
        <v>86</v>
      </c>
      <c r="G22" s="4311">
        <v>0</v>
      </c>
      <c r="H22" s="2104" t="s">
        <v>86</v>
      </c>
      <c r="I22" s="2085"/>
      <c r="J22" s="1928" t="s">
        <v>2781</v>
      </c>
      <c r="K22" s="1928" t="s">
        <v>2781</v>
      </c>
      <c r="L22" s="1838"/>
      <c r="M22" s="2107">
        <f>Inputs!O34</f>
        <v>0</v>
      </c>
      <c r="N22" s="2107">
        <f>Inputs!P34</f>
        <v>0</v>
      </c>
      <c r="O22" s="1838"/>
      <c r="P22" s="2105">
        <f>Inputs!O57</f>
        <v>0</v>
      </c>
      <c r="Q22" s="2105">
        <f>Inputs!P57</f>
        <v>0</v>
      </c>
      <c r="R22" s="1806"/>
      <c r="S22" s="2105">
        <f>M22+P22</f>
        <v>0</v>
      </c>
      <c r="T22" s="2105">
        <f>N22+Q22</f>
        <v>0</v>
      </c>
      <c r="U22" s="1843"/>
      <c r="V22" s="1928">
        <f>T22-S22</f>
        <v>0</v>
      </c>
      <c r="W22" s="2085"/>
      <c r="AK22" s="2315" t="str">
        <f t="shared" si="1"/>
        <v>N-fertilizer in wet and dry irrigated rice (tonnes of N per year)</v>
      </c>
      <c r="AL22" s="1782"/>
      <c r="AM22" s="1782"/>
      <c r="AN22" s="1782"/>
      <c r="AO22" s="2287"/>
      <c r="AP22" s="1795" t="str">
        <f>AP16</f>
        <v>kg N-N2O/kg N</v>
      </c>
      <c r="AQ22" s="2601">
        <f>Inputs!C34</f>
        <v>5.0000000000000001E-3</v>
      </c>
      <c r="AR22" s="4233"/>
      <c r="AS22" s="1847"/>
      <c r="AT22" s="1782" t="str">
        <f>AT16</f>
        <v>tCO2/t N</v>
      </c>
      <c r="AU22" s="2601">
        <f>Inputs!C57</f>
        <v>4.7666666666666666</v>
      </c>
      <c r="AV22" s="2127"/>
      <c r="AW22" s="2287"/>
      <c r="AX22" s="2287"/>
      <c r="AY22" s="2307"/>
      <c r="AZ22" s="2287"/>
      <c r="BA22" s="2287"/>
      <c r="BB22" s="1782"/>
      <c r="BD22" s="4363">
        <v>1</v>
      </c>
      <c r="BE22" s="4364"/>
      <c r="BF22" s="1996"/>
    </row>
    <row r="23" spans="2:58" ht="16" x14ac:dyDescent="0.2">
      <c r="B23" s="2077"/>
      <c r="C23" s="1779" t="str">
        <f>Languages!B444</f>
        <v xml:space="preserve">Organic N-fertilizers </v>
      </c>
      <c r="D23" s="1806"/>
      <c r="E23" s="1806"/>
      <c r="F23" s="2110"/>
      <c r="G23" s="1806"/>
      <c r="H23" s="2110"/>
      <c r="I23" s="2085"/>
      <c r="J23" s="1806"/>
      <c r="K23" s="1806"/>
      <c r="L23" s="1838"/>
      <c r="M23" s="1838"/>
      <c r="N23" s="1838"/>
      <c r="O23" s="1838"/>
      <c r="P23" s="2105"/>
      <c r="Q23" s="2105"/>
      <c r="R23" s="1806"/>
      <c r="S23" s="2105"/>
      <c r="T23" s="2105"/>
      <c r="U23" s="1843"/>
      <c r="V23" s="1928"/>
      <c r="W23" s="2085"/>
      <c r="AK23" s="2315"/>
      <c r="AL23" s="1782"/>
      <c r="AM23" s="1782"/>
      <c r="AN23" s="1782"/>
      <c r="AO23" s="2287"/>
      <c r="AP23" s="1795"/>
      <c r="AQ23" s="2601"/>
      <c r="AR23" s="2631"/>
      <c r="AS23" s="1847"/>
      <c r="AT23" s="1782"/>
      <c r="AU23" s="2601"/>
      <c r="AV23" s="4075"/>
      <c r="AW23" s="2287"/>
      <c r="AX23" s="2287"/>
      <c r="AY23" s="2307"/>
      <c r="AZ23" s="2287"/>
      <c r="BA23" s="2287"/>
      <c r="BB23" s="1782"/>
      <c r="BD23" s="4363"/>
      <c r="BE23" s="4363"/>
      <c r="BF23" s="1996"/>
    </row>
    <row r="24" spans="2:58" ht="16" x14ac:dyDescent="0.2">
      <c r="B24" s="2077"/>
      <c r="C24" s="1781" t="str">
        <f>Languages!B445</f>
        <v>Sewage (tonnes of N per year)</v>
      </c>
      <c r="D24" s="4310">
        <v>0</v>
      </c>
      <c r="E24" s="4311">
        <v>0</v>
      </c>
      <c r="F24" s="2104" t="s">
        <v>86</v>
      </c>
      <c r="G24" s="4311">
        <v>0</v>
      </c>
      <c r="H24" s="2104" t="s">
        <v>86</v>
      </c>
      <c r="I24" s="2085"/>
      <c r="J24" s="1928" t="s">
        <v>2781</v>
      </c>
      <c r="K24" s="1928" t="s">
        <v>2781</v>
      </c>
      <c r="L24" s="1838"/>
      <c r="M24" s="2107">
        <f>Inputs!O36</f>
        <v>0</v>
      </c>
      <c r="N24" s="2107">
        <f>Inputs!P36</f>
        <v>0</v>
      </c>
      <c r="O24" s="1838"/>
      <c r="P24" s="2105" t="s">
        <v>2781</v>
      </c>
      <c r="Q24" s="2105" t="s">
        <v>2781</v>
      </c>
      <c r="R24" s="1806"/>
      <c r="S24" s="2105">
        <f t="shared" ref="S24:T26" si="2">M24</f>
        <v>0</v>
      </c>
      <c r="T24" s="2105">
        <f t="shared" si="2"/>
        <v>0</v>
      </c>
      <c r="U24" s="1843"/>
      <c r="V24" s="1928">
        <f>T24-S24</f>
        <v>0</v>
      </c>
      <c r="W24" s="2085"/>
      <c r="AK24" s="2315" t="str">
        <f t="shared" si="1"/>
        <v>Sewage (tonnes of N per year)</v>
      </c>
      <c r="AL24" s="1782"/>
      <c r="AM24" s="1782"/>
      <c r="AN24" s="1782"/>
      <c r="AO24" s="2287"/>
      <c r="AP24" s="1795" t="str">
        <f>AP16</f>
        <v>kg N-N2O/kg N</v>
      </c>
      <c r="AQ24" s="2601">
        <f>Inputs!C36</f>
        <v>5.0000000000000001E-3</v>
      </c>
      <c r="AR24" s="4233"/>
      <c r="AS24" s="1847"/>
      <c r="AT24" s="1782"/>
      <c r="AU24" s="2601"/>
      <c r="AV24" s="2030"/>
      <c r="AW24" s="2632"/>
      <c r="AX24" s="2024"/>
      <c r="AY24" s="2030"/>
      <c r="AZ24" s="2029"/>
      <c r="BA24" s="2287"/>
      <c r="BB24" s="1782"/>
      <c r="BD24" s="4363">
        <v>1</v>
      </c>
      <c r="BE24" s="4364"/>
      <c r="BF24" s="1996"/>
    </row>
    <row r="25" spans="2:58" ht="16" x14ac:dyDescent="0.2">
      <c r="B25" s="2077"/>
      <c r="C25" s="1781" t="str">
        <f>Languages!B446</f>
        <v>Compost (tonnes of N per year)</v>
      </c>
      <c r="D25" s="4310">
        <v>0</v>
      </c>
      <c r="E25" s="4311">
        <v>0</v>
      </c>
      <c r="F25" s="2104" t="s">
        <v>86</v>
      </c>
      <c r="G25" s="4311">
        <v>0</v>
      </c>
      <c r="H25" s="2104" t="s">
        <v>86</v>
      </c>
      <c r="I25" s="2085"/>
      <c r="J25" s="1928" t="s">
        <v>2781</v>
      </c>
      <c r="K25" s="1928" t="s">
        <v>2781</v>
      </c>
      <c r="L25" s="1838"/>
      <c r="M25" s="2107">
        <f>Inputs!O37</f>
        <v>0</v>
      </c>
      <c r="N25" s="2107">
        <f>Inputs!P37</f>
        <v>0</v>
      </c>
      <c r="O25" s="1838"/>
      <c r="P25" s="2105" t="s">
        <v>2781</v>
      </c>
      <c r="Q25" s="2105" t="s">
        <v>2781</v>
      </c>
      <c r="R25" s="1806"/>
      <c r="S25" s="2105">
        <f t="shared" si="2"/>
        <v>0</v>
      </c>
      <c r="T25" s="2105">
        <f t="shared" si="2"/>
        <v>0</v>
      </c>
      <c r="U25" s="1843"/>
      <c r="V25" s="1928">
        <f>T25-S25</f>
        <v>0</v>
      </c>
      <c r="W25" s="2085"/>
      <c r="AK25" s="2315" t="str">
        <f t="shared" si="1"/>
        <v>Compost (tonnes of N per year)</v>
      </c>
      <c r="AL25" s="1782"/>
      <c r="AM25" s="1782"/>
      <c r="AN25" s="1782"/>
      <c r="AO25" s="2287"/>
      <c r="AP25" s="1795" t="str">
        <f>AP16</f>
        <v>kg N-N2O/kg N</v>
      </c>
      <c r="AQ25" s="2601">
        <f>Inputs!C37</f>
        <v>5.0000000000000001E-3</v>
      </c>
      <c r="AR25" s="4233"/>
      <c r="AS25" s="2316"/>
      <c r="AT25" s="1782"/>
      <c r="AU25" s="2601"/>
      <c r="AV25" s="2030"/>
      <c r="AW25" s="2029"/>
      <c r="AX25" s="2287"/>
      <c r="AY25" s="2030"/>
      <c r="AZ25" s="2029"/>
      <c r="BA25" s="2287"/>
      <c r="BB25" s="1782"/>
      <c r="BD25" s="4363">
        <v>1</v>
      </c>
      <c r="BE25" s="4364"/>
      <c r="BF25" s="1996"/>
    </row>
    <row r="26" spans="2:58" ht="16" x14ac:dyDescent="0.2">
      <c r="B26" s="2077"/>
      <c r="C26" s="1781" t="str">
        <f>Languages!B447</f>
        <v>Rendering waste, brewery waste, guano (tonnes of N per year)</v>
      </c>
      <c r="D26" s="4310">
        <v>0</v>
      </c>
      <c r="E26" s="4311">
        <v>0</v>
      </c>
      <c r="F26" s="2104" t="s">
        <v>86</v>
      </c>
      <c r="G26" s="4311">
        <v>0</v>
      </c>
      <c r="H26" s="2104" t="s">
        <v>86</v>
      </c>
      <c r="I26" s="2085"/>
      <c r="J26" s="1928" t="s">
        <v>2781</v>
      </c>
      <c r="K26" s="1928" t="s">
        <v>2781</v>
      </c>
      <c r="L26" s="1838"/>
      <c r="M26" s="2107">
        <f>Inputs!O38</f>
        <v>0</v>
      </c>
      <c r="N26" s="2107">
        <f>Inputs!P38</f>
        <v>0</v>
      </c>
      <c r="O26" s="1838"/>
      <c r="P26" s="2105" t="s">
        <v>2781</v>
      </c>
      <c r="Q26" s="2105" t="s">
        <v>2781</v>
      </c>
      <c r="R26" s="1806"/>
      <c r="S26" s="2105">
        <f t="shared" si="2"/>
        <v>0</v>
      </c>
      <c r="T26" s="2105">
        <f t="shared" si="2"/>
        <v>0</v>
      </c>
      <c r="U26" s="1843"/>
      <c r="V26" s="1928">
        <f>T26-S26</f>
        <v>0</v>
      </c>
      <c r="W26" s="2085"/>
      <c r="AK26" s="2315" t="str">
        <f t="shared" si="1"/>
        <v>Rendering waste, brewery waste, guano (tonnes of N per year)</v>
      </c>
      <c r="AL26" s="1782"/>
      <c r="AM26" s="1782"/>
      <c r="AN26" s="1782"/>
      <c r="AO26" s="2287"/>
      <c r="AP26" s="1795" t="str">
        <f>AP16</f>
        <v>kg N-N2O/kg N</v>
      </c>
      <c r="AQ26" s="2601">
        <f>Inputs!C38</f>
        <v>5.0000000000000001E-3</v>
      </c>
      <c r="AR26" s="4233"/>
      <c r="AS26" s="2316"/>
      <c r="AT26" s="1782"/>
      <c r="AU26" s="2601"/>
      <c r="AV26" s="2030"/>
      <c r="AW26" s="2029"/>
      <c r="AX26" s="2287"/>
      <c r="AY26" s="2030"/>
      <c r="AZ26" s="2029"/>
      <c r="BA26" s="2287"/>
      <c r="BB26" s="1782"/>
      <c r="BD26" s="4363">
        <v>1</v>
      </c>
      <c r="BE26" s="4364"/>
      <c r="BF26" s="1996"/>
    </row>
    <row r="27" spans="2:58" ht="16" x14ac:dyDescent="0.2">
      <c r="B27" s="2077"/>
      <c r="C27" s="1779"/>
      <c r="D27" s="1806"/>
      <c r="E27" s="1806"/>
      <c r="F27" s="2109"/>
      <c r="G27" s="1806"/>
      <c r="H27" s="2109"/>
      <c r="I27" s="2085"/>
      <c r="J27" s="1838"/>
      <c r="K27" s="1838"/>
      <c r="L27" s="1838"/>
      <c r="M27" s="2101"/>
      <c r="N27" s="1838"/>
      <c r="O27" s="1838"/>
      <c r="P27" s="2105"/>
      <c r="Q27" s="2105"/>
      <c r="R27" s="1806"/>
      <c r="S27" s="2105"/>
      <c r="T27" s="2105"/>
      <c r="U27" s="2106"/>
      <c r="V27" s="1928"/>
      <c r="W27" s="2085"/>
      <c r="AK27" s="2315"/>
      <c r="AL27" s="1782"/>
      <c r="AM27" s="1782"/>
      <c r="AN27" s="1782"/>
      <c r="AO27" s="2287"/>
      <c r="AP27" s="2316"/>
      <c r="AQ27" s="2316"/>
      <c r="AR27" s="2316"/>
      <c r="AS27" s="2316"/>
      <c r="AT27" s="1782"/>
      <c r="AU27" s="2601"/>
      <c r="AV27" s="2030"/>
      <c r="AW27" s="2029"/>
      <c r="AX27" s="2287"/>
      <c r="AY27" s="2030"/>
      <c r="AZ27" s="2029"/>
      <c r="BA27" s="2287"/>
      <c r="BB27" s="1782"/>
      <c r="BD27" s="4363"/>
      <c r="BE27" s="4363"/>
      <c r="BF27" s="1996"/>
    </row>
    <row r="28" spans="2:58" ht="16" x14ac:dyDescent="0.2">
      <c r="B28" s="2077"/>
      <c r="C28" s="1779" t="str">
        <f>Languages!B448</f>
        <v>Pesticides</v>
      </c>
      <c r="D28" s="1806"/>
      <c r="E28" s="1806"/>
      <c r="F28" s="2109"/>
      <c r="G28" s="1806"/>
      <c r="H28" s="2109"/>
      <c r="I28" s="2085"/>
      <c r="J28" s="1838"/>
      <c r="K28" s="1838"/>
      <c r="L28" s="1838"/>
      <c r="M28" s="2101"/>
      <c r="N28" s="1838"/>
      <c r="O28" s="1838"/>
      <c r="P28" s="2105"/>
      <c r="Q28" s="2105"/>
      <c r="R28" s="1806"/>
      <c r="S28" s="2105"/>
      <c r="T28" s="2105"/>
      <c r="U28" s="2106"/>
      <c r="V28" s="1928"/>
      <c r="W28" s="2085"/>
      <c r="AK28" s="2315"/>
      <c r="AL28" s="1782"/>
      <c r="AM28" s="1782"/>
      <c r="AN28" s="1782"/>
      <c r="AO28" s="2287"/>
      <c r="AP28" s="2316"/>
      <c r="AQ28" s="2316"/>
      <c r="AR28" s="2316"/>
      <c r="AS28" s="2316"/>
      <c r="AT28" s="1782"/>
      <c r="AU28" s="2601"/>
      <c r="AV28" s="2030"/>
      <c r="AW28" s="2029"/>
      <c r="AX28" s="2287"/>
      <c r="AY28" s="2030"/>
      <c r="AZ28" s="2029"/>
      <c r="BA28" s="2287"/>
      <c r="BB28" s="1782"/>
      <c r="BD28" s="4363"/>
      <c r="BE28" s="4363"/>
      <c r="BF28" s="1996"/>
    </row>
    <row r="29" spans="2:58" ht="16" x14ac:dyDescent="0.2">
      <c r="B29" s="2077"/>
      <c r="C29" s="1781" t="str">
        <f>Languages!B449</f>
        <v>Fungicides (tonnes of active ingredient)</v>
      </c>
      <c r="D29" s="4310">
        <v>0</v>
      </c>
      <c r="E29" s="4311">
        <v>0</v>
      </c>
      <c r="F29" s="2104" t="s">
        <v>86</v>
      </c>
      <c r="G29" s="4311">
        <v>0</v>
      </c>
      <c r="H29" s="2104" t="s">
        <v>86</v>
      </c>
      <c r="I29" s="2085"/>
      <c r="J29" s="1928" t="s">
        <v>2781</v>
      </c>
      <c r="K29" s="1928" t="s">
        <v>2781</v>
      </c>
      <c r="L29" s="1838"/>
      <c r="M29" s="1928" t="s">
        <v>2781</v>
      </c>
      <c r="N29" s="1928" t="s">
        <v>2781</v>
      </c>
      <c r="O29" s="1838"/>
      <c r="P29" s="2105">
        <f>Inputs!O65</f>
        <v>0</v>
      </c>
      <c r="Q29" s="2105">
        <f>Inputs!P65</f>
        <v>0</v>
      </c>
      <c r="R29" s="1806"/>
      <c r="S29" s="2105">
        <f t="shared" ref="S29:T31" si="3">P29</f>
        <v>0</v>
      </c>
      <c r="T29" s="2105">
        <f t="shared" si="3"/>
        <v>0</v>
      </c>
      <c r="U29" s="2106"/>
      <c r="V29" s="1928">
        <f>T29-S29</f>
        <v>0</v>
      </c>
      <c r="W29" s="2085"/>
      <c r="AK29" s="2315" t="str">
        <f>C29</f>
        <v>Fungicides (tonnes of active ingredient)</v>
      </c>
      <c r="AL29" s="1782"/>
      <c r="AM29" s="1782"/>
      <c r="AN29" s="1782"/>
      <c r="AO29" s="2287"/>
      <c r="AP29" s="2316"/>
      <c r="AQ29" s="2316"/>
      <c r="AR29" s="2316"/>
      <c r="AS29" s="2316"/>
      <c r="AT29" s="2602" t="s">
        <v>2790</v>
      </c>
      <c r="AU29" s="2011">
        <f>Inputs!C65</f>
        <v>14.299999999999999</v>
      </c>
      <c r="AV29" s="2127"/>
      <c r="AW29" s="2029"/>
      <c r="AX29" s="2287"/>
      <c r="AY29" s="2030"/>
      <c r="AZ29" s="2029"/>
      <c r="BA29" s="2287"/>
      <c r="BB29" s="1782"/>
      <c r="BD29" s="4363">
        <v>1</v>
      </c>
      <c r="BE29" s="4364"/>
      <c r="BF29" s="1996"/>
    </row>
    <row r="30" spans="2:58" ht="16" x14ac:dyDescent="0.2">
      <c r="B30" s="2077"/>
      <c r="C30" s="1781" t="str">
        <f>Languages!B450</f>
        <v>Herbicides (tonnes of active ingredient)</v>
      </c>
      <c r="D30" s="4310">
        <v>0</v>
      </c>
      <c r="E30" s="4311">
        <v>0</v>
      </c>
      <c r="F30" s="2104" t="s">
        <v>86</v>
      </c>
      <c r="G30" s="4311">
        <v>0</v>
      </c>
      <c r="H30" s="2104" t="s">
        <v>86</v>
      </c>
      <c r="I30" s="2085"/>
      <c r="J30" s="1928" t="s">
        <v>2781</v>
      </c>
      <c r="K30" s="1928" t="s">
        <v>2781</v>
      </c>
      <c r="L30" s="1838"/>
      <c r="M30" s="1928" t="s">
        <v>2781</v>
      </c>
      <c r="N30" s="1928" t="s">
        <v>2781</v>
      </c>
      <c r="O30" s="1838"/>
      <c r="P30" s="2105">
        <f>Inputs!O66</f>
        <v>0</v>
      </c>
      <c r="Q30" s="2105">
        <f>Inputs!P66</f>
        <v>0</v>
      </c>
      <c r="R30" s="1806"/>
      <c r="S30" s="2105">
        <f t="shared" si="3"/>
        <v>0</v>
      </c>
      <c r="T30" s="2105">
        <f t="shared" si="3"/>
        <v>0</v>
      </c>
      <c r="U30" s="2106"/>
      <c r="V30" s="1928">
        <f>T30-S30</f>
        <v>0</v>
      </c>
      <c r="W30" s="2085"/>
      <c r="AK30" s="2315" t="str">
        <f>C30</f>
        <v>Herbicides (tonnes of active ingredient)</v>
      </c>
      <c r="AL30" s="1782"/>
      <c r="AM30" s="1782"/>
      <c r="AN30" s="1782"/>
      <c r="AO30" s="2287"/>
      <c r="AP30" s="2316"/>
      <c r="AQ30" s="2316"/>
      <c r="AR30" s="2316"/>
      <c r="AS30" s="2316"/>
      <c r="AT30" s="2602" t="str">
        <f>AT29</f>
        <v>tCO2-e/t active ingredient</v>
      </c>
      <c r="AU30" s="2011">
        <f>Inputs!C66</f>
        <v>23.099999999999998</v>
      </c>
      <c r="AV30" s="2127"/>
      <c r="AW30" s="2029"/>
      <c r="AX30" s="2287"/>
      <c r="AY30" s="2030"/>
      <c r="AZ30" s="2029"/>
      <c r="BA30" s="2287"/>
      <c r="BB30" s="1782"/>
      <c r="BD30" s="4363">
        <v>1</v>
      </c>
      <c r="BE30" s="4364"/>
      <c r="BF30" s="1996"/>
    </row>
    <row r="31" spans="2:58" ht="16" x14ac:dyDescent="0.2">
      <c r="B31" s="2077"/>
      <c r="C31" s="1781" t="str">
        <f>Languages!B451</f>
        <v>Insecticides (tonnes of active ingredient)</v>
      </c>
      <c r="D31" s="4310">
        <v>0</v>
      </c>
      <c r="E31" s="4311">
        <v>0</v>
      </c>
      <c r="F31" s="2104" t="s">
        <v>86</v>
      </c>
      <c r="G31" s="4311">
        <v>0</v>
      </c>
      <c r="H31" s="2104" t="s">
        <v>86</v>
      </c>
      <c r="I31" s="2085"/>
      <c r="J31" s="1928" t="s">
        <v>2781</v>
      </c>
      <c r="K31" s="1928" t="s">
        <v>2781</v>
      </c>
      <c r="L31" s="1838"/>
      <c r="M31" s="1928" t="s">
        <v>2781</v>
      </c>
      <c r="N31" s="1928" t="s">
        <v>2781</v>
      </c>
      <c r="O31" s="1838"/>
      <c r="P31" s="2105">
        <f>Inputs!O67</f>
        <v>0</v>
      </c>
      <c r="Q31" s="2105">
        <f>Inputs!P67</f>
        <v>0</v>
      </c>
      <c r="R31" s="1806"/>
      <c r="S31" s="2105">
        <f t="shared" si="3"/>
        <v>0</v>
      </c>
      <c r="T31" s="2105">
        <f t="shared" si="3"/>
        <v>0</v>
      </c>
      <c r="U31" s="2106"/>
      <c r="V31" s="1928">
        <f>T31-S31</f>
        <v>0</v>
      </c>
      <c r="W31" s="2085"/>
      <c r="AK31" s="2315" t="str">
        <f>C31</f>
        <v>Insecticides (tonnes of active ingredient)</v>
      </c>
      <c r="AL31" s="1782"/>
      <c r="AM31" s="1782"/>
      <c r="AN31" s="1782"/>
      <c r="AO31" s="2287"/>
      <c r="AP31" s="2316"/>
      <c r="AQ31" s="2316"/>
      <c r="AR31" s="2316"/>
      <c r="AS31" s="2316"/>
      <c r="AT31" s="2602" t="str">
        <f>AT30</f>
        <v>tCO2-e/t active ingredient</v>
      </c>
      <c r="AU31" s="2011">
        <f>Inputs!C67</f>
        <v>18.7</v>
      </c>
      <c r="AV31" s="2127"/>
      <c r="AW31" s="2029"/>
      <c r="AX31" s="2287"/>
      <c r="AY31" s="2030"/>
      <c r="AZ31" s="2029"/>
      <c r="BA31" s="2287"/>
      <c r="BB31" s="1782"/>
      <c r="BD31" s="4363">
        <v>1</v>
      </c>
      <c r="BE31" s="4364"/>
      <c r="BF31" s="1996"/>
    </row>
    <row r="32" spans="2:58" ht="16" x14ac:dyDescent="0.2">
      <c r="B32" s="2077"/>
      <c r="C32" s="1781"/>
      <c r="D32" s="1806"/>
      <c r="E32" s="1806"/>
      <c r="F32" s="2109"/>
      <c r="G32" s="1806"/>
      <c r="H32" s="2109"/>
      <c r="I32" s="2085"/>
      <c r="J32" s="1838"/>
      <c r="K32" s="1838"/>
      <c r="L32" s="1838"/>
      <c r="M32" s="2081"/>
      <c r="N32" s="1838"/>
      <c r="O32" s="1838"/>
      <c r="P32" s="2083"/>
      <c r="Q32" s="1806"/>
      <c r="R32" s="1806"/>
      <c r="S32" s="2106"/>
      <c r="T32" s="2106"/>
      <c r="U32" s="2106"/>
      <c r="V32" s="2106"/>
      <c r="W32" s="2085"/>
      <c r="AK32" s="2597"/>
      <c r="AL32" s="1782"/>
      <c r="AM32" s="1782"/>
      <c r="AN32" s="1782"/>
      <c r="AO32" s="2287"/>
      <c r="AP32" s="2316"/>
      <c r="AQ32" s="2316"/>
      <c r="AR32" s="2316"/>
      <c r="AS32" s="2316"/>
      <c r="AT32" s="1782"/>
      <c r="AU32" s="2629"/>
      <c r="AV32" s="2030"/>
      <c r="AW32" s="2029"/>
      <c r="AX32" s="2287"/>
      <c r="AY32" s="2030"/>
      <c r="AZ32" s="2029"/>
      <c r="BA32" s="2287"/>
      <c r="BB32" s="1782"/>
      <c r="BD32" s="4363"/>
      <c r="BE32" s="4363"/>
      <c r="BF32" s="1996"/>
    </row>
    <row r="33" spans="2:58" ht="16" x14ac:dyDescent="0.2">
      <c r="B33" s="2077"/>
      <c r="C33" s="1779" t="str">
        <f>Languages!B513</f>
        <v>Animal feed (in tonnes per year)</v>
      </c>
      <c r="D33" s="1806"/>
      <c r="E33" s="1806"/>
      <c r="F33" s="2109"/>
      <c r="G33" s="1806"/>
      <c r="H33" s="2109"/>
      <c r="I33" s="2085"/>
      <c r="J33" s="1838"/>
      <c r="K33" s="1838"/>
      <c r="L33" s="1838"/>
      <c r="M33" s="2081"/>
      <c r="N33" s="1838"/>
      <c r="O33" s="1838"/>
      <c r="P33" s="2083"/>
      <c r="Q33" s="1806"/>
      <c r="R33" s="1806"/>
      <c r="S33" s="2106"/>
      <c r="T33" s="2106"/>
      <c r="U33" s="2106"/>
      <c r="V33" s="2106"/>
      <c r="W33" s="2085"/>
      <c r="AK33" s="2597"/>
      <c r="AL33" s="1782"/>
      <c r="AM33" s="1782"/>
      <c r="AN33" s="1782"/>
      <c r="AO33" s="2287"/>
      <c r="AP33" s="2316"/>
      <c r="AQ33" s="2316"/>
      <c r="AR33" s="2316"/>
      <c r="AS33" s="2316"/>
      <c r="AT33" s="1782"/>
      <c r="AU33" s="2629"/>
      <c r="AV33" s="2030"/>
      <c r="AW33" s="2029"/>
      <c r="AX33" s="2287"/>
      <c r="AY33" s="2030"/>
      <c r="AZ33" s="2029"/>
      <c r="BA33" s="2287"/>
      <c r="BB33" s="1782"/>
      <c r="BD33" s="4363"/>
      <c r="BE33" s="4363"/>
      <c r="BF33" s="1996"/>
    </row>
    <row r="34" spans="2:58" ht="16" x14ac:dyDescent="0.2">
      <c r="B34" s="2077"/>
      <c r="C34" s="1781" t="str">
        <f>CONCATENATE(Languages!B467,A57,AL57)</f>
        <v xml:space="preserve">User defined (Tier 2) </v>
      </c>
      <c r="D34" s="4312">
        <v>0</v>
      </c>
      <c r="E34" s="4313">
        <v>0</v>
      </c>
      <c r="F34" s="2104" t="s">
        <v>86</v>
      </c>
      <c r="G34" s="4313">
        <v>0</v>
      </c>
      <c r="H34" s="2104" t="s">
        <v>86</v>
      </c>
      <c r="I34" s="2085"/>
      <c r="J34" s="1806"/>
      <c r="K34" s="1806"/>
      <c r="L34" s="1838"/>
      <c r="M34" s="1838"/>
      <c r="N34" s="1838"/>
      <c r="O34" s="1838"/>
      <c r="P34" s="2105"/>
      <c r="Q34" s="2105"/>
      <c r="R34" s="1806"/>
      <c r="S34" s="2105">
        <f>Inputs!O71</f>
        <v>0</v>
      </c>
      <c r="T34" s="2105">
        <f>Inputs!P71</f>
        <v>0</v>
      </c>
      <c r="U34" s="1843"/>
      <c r="V34" s="1928">
        <f>Inputs!Q71</f>
        <v>0</v>
      </c>
      <c r="W34" s="2085"/>
      <c r="AK34" s="2572" t="str">
        <f>C34</f>
        <v xml:space="preserve">User defined (Tier 2) </v>
      </c>
      <c r="AL34" s="2628" t="str">
        <f>Languages!B515</f>
        <v>Please make sure that feed does not derive from land-based activities that are already included within the project</v>
      </c>
      <c r="AM34" s="2151"/>
      <c r="AN34" s="2560"/>
      <c r="AO34" s="2593"/>
      <c r="AP34" s="2596"/>
      <c r="AQ34" s="2596"/>
      <c r="AR34" s="2596"/>
      <c r="AS34" s="2316"/>
      <c r="AT34" s="1782" t="s">
        <v>2792</v>
      </c>
      <c r="AU34" s="2629"/>
      <c r="AV34" s="2127"/>
      <c r="AW34" s="2029"/>
      <c r="AX34" s="2287"/>
      <c r="AY34" s="2030"/>
      <c r="AZ34" s="2029"/>
      <c r="BA34" s="2287"/>
      <c r="BB34" s="1782"/>
      <c r="BD34" s="4363">
        <v>1</v>
      </c>
      <c r="BE34" s="4364"/>
      <c r="BF34" s="1996"/>
    </row>
    <row r="35" spans="2:58" ht="16" x14ac:dyDescent="0.2">
      <c r="B35" s="2077"/>
      <c r="C35" s="1781"/>
      <c r="D35" s="1806"/>
      <c r="E35" s="1806"/>
      <c r="F35" s="2109"/>
      <c r="G35" s="1806"/>
      <c r="H35" s="2109"/>
      <c r="I35" s="2085"/>
      <c r="J35" s="1838"/>
      <c r="K35" s="1838"/>
      <c r="L35" s="1838"/>
      <c r="M35" s="2081"/>
      <c r="N35" s="1838"/>
      <c r="O35" s="1838"/>
      <c r="P35" s="2083"/>
      <c r="Q35" s="1806"/>
      <c r="R35" s="1806"/>
      <c r="S35" s="2106"/>
      <c r="T35" s="2106"/>
      <c r="U35" s="2106"/>
      <c r="V35" s="2106"/>
      <c r="W35" s="2085"/>
      <c r="AK35" s="2628"/>
      <c r="AL35" s="1782"/>
      <c r="AM35" s="1782"/>
      <c r="AN35" s="1782"/>
      <c r="AO35" s="2287"/>
      <c r="AP35" s="2316"/>
      <c r="AQ35" s="2316"/>
      <c r="AR35" s="2316"/>
      <c r="AS35" s="2316"/>
      <c r="AT35" s="1782"/>
      <c r="AU35" s="2629"/>
      <c r="AV35" s="2030"/>
      <c r="AW35" s="2029"/>
      <c r="AX35" s="2287"/>
      <c r="AY35" s="2030"/>
      <c r="AZ35" s="2029"/>
      <c r="BA35" s="2287"/>
      <c r="BB35" s="1782"/>
      <c r="BD35" s="4363"/>
      <c r="BE35" s="4363"/>
      <c r="BF35" s="1996"/>
    </row>
    <row r="36" spans="2:58" ht="16" x14ac:dyDescent="0.2">
      <c r="B36" s="2077"/>
      <c r="C36" s="1781"/>
      <c r="D36" s="1781"/>
      <c r="E36" s="1781"/>
      <c r="F36" s="1781"/>
      <c r="G36" s="1781"/>
      <c r="H36" s="1781"/>
      <c r="I36" s="1781"/>
      <c r="J36" s="1781"/>
      <c r="K36" s="1781"/>
      <c r="L36" s="1781"/>
      <c r="M36" s="1781"/>
      <c r="N36" s="1781"/>
      <c r="O36" s="1781"/>
      <c r="P36" s="1781"/>
      <c r="Q36" s="1781"/>
      <c r="R36" s="1806"/>
      <c r="S36" s="2106"/>
      <c r="T36" s="2106"/>
      <c r="U36" s="2106"/>
      <c r="V36" s="2106"/>
      <c r="W36" s="2085"/>
      <c r="AK36" s="1782"/>
      <c r="AL36" s="2627" t="str">
        <f>Languages!B453</f>
        <v xml:space="preserve">Urea </v>
      </c>
      <c r="AM36" s="2628" t="str">
        <f>Languages!B454</f>
        <v>CO2 removal from the atmosphere during urea manufacturing is estimated in the Industrial Processes and Product Use Sector by the country where urea was produced.</v>
      </c>
      <c r="AN36" s="2151"/>
      <c r="AO36" s="2151"/>
      <c r="AP36" s="2592"/>
      <c r="AQ36" s="2151"/>
      <c r="AR36" s="2592"/>
      <c r="AS36" s="2558"/>
      <c r="AT36" s="2560"/>
      <c r="AU36" s="2560"/>
      <c r="AV36" s="2560"/>
      <c r="AW36" s="2565"/>
      <c r="AX36" s="2560"/>
      <c r="AY36" s="2560"/>
      <c r="AZ36" s="2567"/>
      <c r="BA36" s="2151"/>
      <c r="BB36" s="1782"/>
      <c r="BD36" s="4548" t="s">
        <v>87</v>
      </c>
      <c r="BE36" s="4548"/>
      <c r="BF36" s="4548"/>
    </row>
    <row r="37" spans="2:58" ht="16" x14ac:dyDescent="0.2">
      <c r="B37" s="2077"/>
      <c r="C37" s="1781"/>
      <c r="D37" s="1781"/>
      <c r="E37" s="1781"/>
      <c r="F37" s="1781"/>
      <c r="G37" s="1781"/>
      <c r="H37" s="1781"/>
      <c r="I37" s="1781"/>
      <c r="J37" s="1781"/>
      <c r="K37" s="1781"/>
      <c r="L37" s="1781"/>
      <c r="M37" s="1781"/>
      <c r="N37" s="1781"/>
      <c r="O37" s="1781"/>
      <c r="P37" s="1781"/>
      <c r="Q37" s="1853"/>
      <c r="R37" s="2279" t="str">
        <f>Languages!B510</f>
        <v>Total inputs (tCO2-e)</v>
      </c>
      <c r="S37" s="2111">
        <f>SUM(S12:S34)</f>
        <v>0</v>
      </c>
      <c r="T37" s="2111">
        <f>SUM(T12:T34)</f>
        <v>0</v>
      </c>
      <c r="U37" s="2035"/>
      <c r="V37" s="2112">
        <f>SUM(V12:V34)</f>
        <v>0</v>
      </c>
      <c r="W37" s="2082"/>
      <c r="AK37" s="1782"/>
      <c r="AL37" s="1782"/>
      <c r="AM37" s="2628" t="str">
        <f>Languages!B455</f>
        <v>By default EX-ACT considers that urea is imported and do not account for this sink, but you can force the calculation to do so:</v>
      </c>
      <c r="AN37" s="2566"/>
      <c r="AO37" s="2566"/>
      <c r="AP37" s="2566"/>
      <c r="AQ37" s="2566"/>
      <c r="AR37" s="2566"/>
      <c r="AS37" s="2566"/>
      <c r="AT37" s="2566"/>
      <c r="AU37" s="2566"/>
      <c r="AV37" s="2566"/>
      <c r="AW37" s="2567"/>
      <c r="AX37" s="2630"/>
      <c r="AY37" s="2566"/>
      <c r="AZ37" s="2627" t="str">
        <f>Languages!B456</f>
        <v>Account the manufacturing sink?</v>
      </c>
      <c r="BA37" s="4085" t="s">
        <v>85</v>
      </c>
      <c r="BB37" s="1782"/>
      <c r="BD37" s="4548"/>
      <c r="BE37" s="4548"/>
      <c r="BF37" s="4548"/>
    </row>
    <row r="38" spans="2:58" x14ac:dyDescent="0.2">
      <c r="B38" s="1781"/>
      <c r="C38" s="1781"/>
      <c r="D38" s="1781"/>
      <c r="E38" s="1781"/>
      <c r="F38" s="1781"/>
      <c r="G38" s="1781"/>
      <c r="H38" s="1781"/>
      <c r="I38" s="1781"/>
      <c r="J38" s="1781"/>
      <c r="K38" s="1781"/>
      <c r="L38" s="1781"/>
      <c r="M38" s="1781"/>
      <c r="N38" s="1781"/>
      <c r="O38" s="1781"/>
      <c r="P38" s="1781"/>
      <c r="Q38" s="1781"/>
      <c r="R38" s="1781"/>
      <c r="S38" s="1781"/>
      <c r="T38" s="1781"/>
      <c r="U38" s="1781"/>
      <c r="V38" s="1781"/>
      <c r="W38" s="1781"/>
      <c r="AK38" s="1782"/>
      <c r="AL38" s="1782"/>
      <c r="AM38" s="1782"/>
      <c r="AN38" s="1782"/>
      <c r="AO38" s="1782"/>
      <c r="AP38" s="1782"/>
      <c r="AQ38" s="1782"/>
      <c r="AR38" s="1782"/>
      <c r="AS38" s="1782"/>
      <c r="AT38" s="1782"/>
      <c r="AU38" s="1782"/>
      <c r="AV38" s="1782"/>
      <c r="AW38" s="1782"/>
      <c r="AX38" s="1782"/>
      <c r="AY38" s="1782"/>
      <c r="AZ38" s="1782"/>
      <c r="BA38" s="1782"/>
      <c r="BB38" s="1782"/>
      <c r="BD38" s="4548"/>
      <c r="BE38" s="4548"/>
      <c r="BF38" s="4548"/>
    </row>
    <row r="40" spans="2:58" ht="61.25" customHeight="1" x14ac:dyDescent="0.2"/>
    <row r="41" spans="2:58" ht="45" customHeight="1" x14ac:dyDescent="0.2">
      <c r="B41" s="1769"/>
      <c r="C41" s="2038" t="str">
        <f>Languages!B462</f>
        <v>9.2. ENERGY CONSUMPTION (electricity, fuel…) except for irrigation, i.e. see next section</v>
      </c>
      <c r="D41" s="1769"/>
      <c r="E41" s="1769"/>
      <c r="F41" s="1769"/>
      <c r="G41" s="1769"/>
      <c r="H41" s="1769"/>
      <c r="I41" s="1769"/>
      <c r="J41" s="1769"/>
      <c r="K41" s="1769"/>
      <c r="L41" s="1769"/>
      <c r="M41" s="1769"/>
      <c r="N41" s="1769"/>
      <c r="O41" s="1769"/>
      <c r="P41" s="1769"/>
      <c r="Q41" s="1769"/>
      <c r="R41" s="1769"/>
      <c r="S41" s="1769"/>
      <c r="T41" s="1770" t="str">
        <f>T4</f>
        <v>If country-specific data are available, please go to Tier 2:</v>
      </c>
      <c r="U41" s="1769"/>
      <c r="V41" s="1769"/>
      <c r="W41" s="1769"/>
      <c r="AK41" s="2038" t="str">
        <f>C41</f>
        <v>9.2. ENERGY CONSUMPTION (electricity, fuel…) except for irrigation, i.e. see next section</v>
      </c>
      <c r="AL41" s="1769"/>
      <c r="AM41" s="1769"/>
      <c r="AN41" s="1769"/>
      <c r="AO41" s="1769"/>
      <c r="AP41" s="1769"/>
      <c r="AQ41" s="1769"/>
      <c r="AR41" s="1769"/>
      <c r="AS41" s="1769"/>
      <c r="AT41" s="1769"/>
      <c r="AU41" s="1769"/>
      <c r="AV41" s="1769"/>
      <c r="AW41" s="1769"/>
      <c r="AX41" s="1769"/>
      <c r="AY41" s="1769"/>
      <c r="AZ41" s="1769"/>
      <c r="BA41" s="1769"/>
      <c r="BB41" s="1769"/>
      <c r="BD41" s="4366" t="s">
        <v>71</v>
      </c>
      <c r="BE41" s="4366"/>
      <c r="BF41" s="4366"/>
    </row>
    <row r="42" spans="2:58" ht="5.25" customHeight="1" x14ac:dyDescent="0.2">
      <c r="B42" s="1771"/>
      <c r="C42" s="1771"/>
      <c r="D42" s="1771"/>
      <c r="E42" s="1771"/>
      <c r="F42" s="1771"/>
      <c r="G42" s="1771"/>
      <c r="H42" s="1771"/>
      <c r="I42" s="1771"/>
      <c r="J42" s="1771"/>
      <c r="K42" s="1771"/>
      <c r="L42" s="1771"/>
      <c r="M42" s="1771"/>
      <c r="N42" s="1771"/>
      <c r="O42" s="1771"/>
      <c r="P42" s="1771"/>
      <c r="Q42" s="1771"/>
      <c r="R42" s="1771"/>
      <c r="S42" s="1771"/>
      <c r="T42" s="1771"/>
      <c r="U42" s="1771"/>
      <c r="V42" s="1771"/>
      <c r="W42" s="1771"/>
      <c r="AK42" s="1771"/>
      <c r="AL42" s="1771"/>
      <c r="AM42" s="1771"/>
      <c r="AN42" s="1771"/>
      <c r="AO42" s="1771"/>
      <c r="AP42" s="1771"/>
      <c r="AQ42" s="1771"/>
      <c r="AR42" s="1771"/>
      <c r="AS42" s="1771"/>
      <c r="AT42" s="1771"/>
      <c r="AU42" s="1771"/>
      <c r="AV42" s="1771"/>
      <c r="AW42" s="1771"/>
      <c r="AX42" s="1771"/>
      <c r="AY42" s="1771"/>
      <c r="AZ42" s="1771"/>
      <c r="BA42" s="1771"/>
      <c r="BB42" s="1771"/>
      <c r="BD42" s="1915"/>
      <c r="BE42" s="1915"/>
    </row>
    <row r="43" spans="2:58" ht="16" x14ac:dyDescent="0.2">
      <c r="B43" s="2077"/>
      <c r="C43" s="2078"/>
      <c r="D43" s="2077"/>
      <c r="E43" s="2079"/>
      <c r="F43" s="2080"/>
      <c r="G43" s="2080"/>
      <c r="H43" s="2080"/>
      <c r="I43" s="2081"/>
      <c r="J43" s="2078"/>
      <c r="K43" s="2081"/>
      <c r="L43" s="2081"/>
      <c r="M43" s="2081"/>
      <c r="N43" s="2082"/>
      <c r="O43" s="2082"/>
      <c r="P43" s="2083"/>
      <c r="Q43" s="2084"/>
      <c r="R43" s="2084"/>
      <c r="S43" s="2085"/>
      <c r="T43" s="2086"/>
      <c r="U43" s="2085"/>
      <c r="V43" s="2086"/>
      <c r="W43" s="2085"/>
      <c r="AK43" s="2561"/>
      <c r="AL43" s="2562"/>
      <c r="AM43" s="2561"/>
      <c r="AN43" s="2563"/>
      <c r="AO43" s="2564"/>
      <c r="AP43" s="2564"/>
      <c r="AQ43" s="2564"/>
      <c r="AR43" s="2565"/>
      <c r="AS43" s="2562"/>
      <c r="AT43" s="2565"/>
      <c r="AU43" s="2565"/>
      <c r="AV43" s="2565"/>
      <c r="AW43" s="2566"/>
      <c r="AX43" s="2566"/>
      <c r="AY43" s="2567"/>
      <c r="AZ43" s="2568"/>
      <c r="BA43" s="2568"/>
      <c r="BB43" s="2558"/>
      <c r="BD43" s="1889" t="s">
        <v>74</v>
      </c>
      <c r="BE43" s="1889"/>
      <c r="BF43" s="1996"/>
    </row>
    <row r="44" spans="2:58" ht="16" x14ac:dyDescent="0.2">
      <c r="B44" s="2077"/>
      <c r="C44" s="2113" t="str">
        <f>Languages!B463</f>
        <v>Description and unit to report</v>
      </c>
      <c r="D44" s="2087"/>
      <c r="E44" s="2079"/>
      <c r="F44" s="2080"/>
      <c r="G44" s="2080"/>
      <c r="H44" s="2080"/>
      <c r="I44" s="2081"/>
      <c r="J44" s="2078"/>
      <c r="K44" s="2081"/>
      <c r="L44" s="2081"/>
      <c r="M44" s="2081"/>
      <c r="N44" s="2082"/>
      <c r="O44" s="2082"/>
      <c r="P44" s="2083"/>
      <c r="Q44" s="2084"/>
      <c r="R44" s="2084"/>
      <c r="S44" s="2085"/>
      <c r="T44" s="2086"/>
      <c r="U44" s="2085"/>
      <c r="V44" s="2086"/>
      <c r="W44" s="2085"/>
      <c r="AK44" s="2569" t="str">
        <f>C44</f>
        <v>Description and unit to report</v>
      </c>
      <c r="AL44" s="2569"/>
      <c r="AM44" s="2570"/>
      <c r="AN44" s="2563"/>
      <c r="AO44" s="2564"/>
      <c r="AP44" s="2564"/>
      <c r="AQ44" s="2564"/>
      <c r="AR44" s="2565"/>
      <c r="AS44" s="2562"/>
      <c r="AT44" s="2565"/>
      <c r="AU44" s="2565"/>
      <c r="AV44" s="2565"/>
      <c r="AW44" s="2566"/>
      <c r="AX44" s="2566"/>
      <c r="AY44" s="2567"/>
      <c r="AZ44" s="2568"/>
      <c r="BA44" s="2568"/>
      <c r="BB44" s="2558"/>
      <c r="BD44" s="2014" t="s">
        <v>82</v>
      </c>
      <c r="BE44" s="2014"/>
      <c r="BF44" s="1996"/>
    </row>
    <row r="45" spans="2:58" ht="21" x14ac:dyDescent="0.25">
      <c r="B45" s="2077"/>
      <c r="C45" s="2088"/>
      <c r="D45" s="2089" t="str">
        <f>Languages!B464</f>
        <v>Quantity consumed per year</v>
      </c>
      <c r="E45" s="2090"/>
      <c r="F45" s="2091"/>
      <c r="G45" s="2092"/>
      <c r="H45" s="2093"/>
      <c r="I45" s="2085"/>
      <c r="J45" s="2098"/>
      <c r="K45" s="2101"/>
      <c r="L45" s="2101"/>
      <c r="M45" s="2101"/>
      <c r="N45" s="1928"/>
      <c r="O45" s="1928"/>
      <c r="P45" s="2113"/>
      <c r="Q45" s="2077"/>
      <c r="R45" s="1928"/>
      <c r="S45" s="2114" t="str">
        <f>S8</f>
        <v>Total emissions (tCO2-e)</v>
      </c>
      <c r="T45" s="2086"/>
      <c r="U45" s="2086"/>
      <c r="V45" s="2077" t="str">
        <f>V10</f>
        <v>Balance</v>
      </c>
      <c r="W45" s="2078"/>
      <c r="AK45" s="1782"/>
      <c r="AL45" s="2571"/>
      <c r="AM45" s="2572"/>
      <c r="AN45" s="2561"/>
      <c r="AO45" s="2151"/>
      <c r="AP45" s="2573"/>
      <c r="AQ45" s="2574"/>
      <c r="AR45" s="2558"/>
      <c r="AS45" s="2575"/>
      <c r="AT45" s="2573" t="str">
        <f>Languages!B516</f>
        <v>Source of Emission Factor</v>
      </c>
      <c r="AU45" s="2576"/>
      <c r="AV45" s="2576"/>
      <c r="AW45" s="2573"/>
      <c r="AX45" s="2573"/>
      <c r="AY45" s="2569"/>
      <c r="AZ45" s="2561"/>
      <c r="BA45" s="2573"/>
      <c r="BB45" s="2577"/>
      <c r="BD45" s="1996"/>
      <c r="BE45" s="1996"/>
      <c r="BF45" s="1996"/>
    </row>
    <row r="46" spans="2:58" ht="16" x14ac:dyDescent="0.2">
      <c r="B46" s="2077"/>
      <c r="C46" s="2098"/>
      <c r="D46" s="2099"/>
      <c r="E46" s="2099"/>
      <c r="F46" s="2099"/>
      <c r="G46" s="2099"/>
      <c r="H46" s="2085"/>
      <c r="I46" s="2085"/>
      <c r="J46" s="2100"/>
      <c r="K46" s="2101"/>
      <c r="L46" s="2101"/>
      <c r="M46" s="2100"/>
      <c r="N46" s="1928"/>
      <c r="O46" s="1928"/>
      <c r="P46" s="2113"/>
      <c r="Q46" s="1928"/>
      <c r="R46" s="1928"/>
      <c r="S46" s="2086"/>
      <c r="T46" s="2086"/>
      <c r="U46" s="2086"/>
      <c r="V46" s="2086"/>
      <c r="W46" s="2085"/>
      <c r="AK46" s="2569" t="str">
        <f>Languages!B475</f>
        <v>Electricity</v>
      </c>
      <c r="AL46" s="2575"/>
      <c r="AM46" s="2587"/>
      <c r="AN46" s="2572" t="str">
        <f>AL10</f>
        <v>Unit</v>
      </c>
      <c r="AO46" s="1782"/>
      <c r="AP46" s="2573" t="str">
        <f>AM10</f>
        <v>Default</v>
      </c>
      <c r="AQ46" s="2573" t="str">
        <f>AN10</f>
        <v>Tier 2</v>
      </c>
      <c r="AR46" s="2558"/>
      <c r="AS46" s="2580"/>
      <c r="AT46" s="2576"/>
      <c r="AU46" s="2576"/>
      <c r="AV46" s="2580"/>
      <c r="AW46" s="2573"/>
      <c r="AX46" s="2573"/>
      <c r="AY46" s="2569"/>
      <c r="AZ46" s="2573"/>
      <c r="BA46" s="2573"/>
      <c r="BB46" s="2574"/>
      <c r="BD46" s="1996"/>
      <c r="BE46" s="1996"/>
      <c r="BF46" s="1996"/>
    </row>
    <row r="47" spans="2:58" ht="16" x14ac:dyDescent="0.2">
      <c r="B47" s="2077"/>
      <c r="C47" s="1779" t="str">
        <f>Languages!B466</f>
        <v>Electricity (MWh per year)</v>
      </c>
      <c r="D47" s="1928" t="str">
        <f>D10</f>
        <v>Start</v>
      </c>
      <c r="E47" s="1928" t="str">
        <f>E10</f>
        <v>Without</v>
      </c>
      <c r="F47" s="1928"/>
      <c r="G47" s="1928" t="str">
        <f>G10</f>
        <v>With</v>
      </c>
      <c r="H47" s="1806"/>
      <c r="I47" s="2086"/>
      <c r="J47" s="1806"/>
      <c r="K47" s="1928"/>
      <c r="L47" s="1928"/>
      <c r="M47" s="1928"/>
      <c r="N47" s="1928"/>
      <c r="O47" s="1928"/>
      <c r="P47" s="1928"/>
      <c r="Q47" s="1928"/>
      <c r="R47" s="1806"/>
      <c r="S47" s="1928" t="str">
        <f>S10</f>
        <v>Without</v>
      </c>
      <c r="T47" s="1928" t="str">
        <f>T10</f>
        <v>With</v>
      </c>
      <c r="U47" s="1928"/>
      <c r="V47" s="2086"/>
      <c r="W47" s="2085"/>
      <c r="AK47" s="2572" t="str">
        <f>Languages!B476</f>
        <v>Emission factor for the selected country</v>
      </c>
      <c r="AL47" s="2588"/>
      <c r="AM47" s="2151"/>
      <c r="AN47" s="2560" t="s">
        <v>3718</v>
      </c>
      <c r="AO47" s="2560"/>
      <c r="AP47" s="4389">
        <f>Inputs!C82</f>
        <v>0</v>
      </c>
      <c r="AQ47" s="4234"/>
      <c r="AR47" s="2574"/>
      <c r="AS47" s="2151"/>
      <c r="AT47" s="2125" t="s">
        <v>3707</v>
      </c>
      <c r="AU47" s="2573"/>
      <c r="AV47" s="2573"/>
      <c r="AW47" s="2573"/>
      <c r="AX47" s="2573"/>
      <c r="AY47" s="2573"/>
      <c r="AZ47" s="2573"/>
      <c r="BA47" s="2151"/>
      <c r="BB47" s="2573"/>
      <c r="BD47" s="4363">
        <v>1</v>
      </c>
      <c r="BE47" s="4364"/>
      <c r="BF47" s="1996"/>
    </row>
    <row r="48" spans="2:58" ht="16" x14ac:dyDescent="0.2">
      <c r="B48" s="2077"/>
      <c r="C48" s="1849" t="str">
        <f>Languages!B465</f>
        <v>Country of origin of electricity</v>
      </c>
      <c r="D48" s="1806"/>
      <c r="E48" s="1806"/>
      <c r="F48" s="1928" t="s">
        <v>83</v>
      </c>
      <c r="G48" s="2099"/>
      <c r="H48" s="1928" t="s">
        <v>83</v>
      </c>
      <c r="I48" s="2086"/>
      <c r="J48" s="1806"/>
      <c r="K48" s="1928"/>
      <c r="L48" s="1928"/>
      <c r="M48" s="1928"/>
      <c r="N48" s="1928"/>
      <c r="O48" s="1928"/>
      <c r="P48" s="1928"/>
      <c r="Q48" s="1928"/>
      <c r="R48" s="1806"/>
      <c r="S48" s="1928"/>
      <c r="T48" s="1928"/>
      <c r="U48" s="1928"/>
      <c r="V48" s="2086"/>
      <c r="W48" s="2085"/>
      <c r="AK48" s="2572" t="str">
        <f>Languages!B477</f>
        <v>Losses of electricity during transportation</v>
      </c>
      <c r="AL48" s="2588"/>
      <c r="AM48" s="2151"/>
      <c r="AN48" s="2560" t="s">
        <v>309</v>
      </c>
      <c r="AO48" s="2589"/>
      <c r="AP48" s="2590">
        <f>Inputs!C83</f>
        <v>0.1</v>
      </c>
      <c r="AQ48" s="4235"/>
      <c r="AR48" s="2581"/>
      <c r="AS48" s="2151"/>
      <c r="AT48" s="2573"/>
      <c r="AU48" s="2573"/>
      <c r="AV48" s="2573"/>
      <c r="AW48" s="2573"/>
      <c r="AX48" s="2573"/>
      <c r="AY48" s="2573"/>
      <c r="AZ48" s="2573"/>
      <c r="BA48" s="2151"/>
      <c r="BB48" s="2573"/>
      <c r="BD48" s="4363"/>
      <c r="BE48" s="4363"/>
      <c r="BF48" s="1996"/>
    </row>
    <row r="49" spans="1:58" ht="16" x14ac:dyDescent="0.2">
      <c r="B49" s="2077"/>
      <c r="C49" s="2115" t="s">
        <v>57</v>
      </c>
      <c r="D49" s="4312">
        <v>0</v>
      </c>
      <c r="E49" s="4313">
        <v>0</v>
      </c>
      <c r="F49" s="2104" t="s">
        <v>86</v>
      </c>
      <c r="G49" s="4313">
        <v>0</v>
      </c>
      <c r="H49" s="2104" t="s">
        <v>86</v>
      </c>
      <c r="I49" s="2086"/>
      <c r="J49" s="4375" t="str">
        <f>IFERROR(IF(AP47= AVERAGEIF(Elec!$B$5:$B$252,VLOOKUP(C49, Elec!A5:B252, 2, FALSE),Elec!$I$5:$I$252), "Please note that the Emission Factor provided is an average of EFs for the region of the selected country", IF(AP47=0, "No Operating Margin Emission Factor is available for the selected country. Please go to tier 2 to refine the analysis", "")), "")</f>
        <v/>
      </c>
      <c r="K49" s="1841"/>
      <c r="L49" s="1928"/>
      <c r="M49" s="1928"/>
      <c r="N49" s="1928"/>
      <c r="O49" s="1928"/>
      <c r="P49" s="2105"/>
      <c r="Q49" s="2105"/>
      <c r="R49" s="1806"/>
      <c r="S49" s="2105">
        <f>Inputs!O82</f>
        <v>0</v>
      </c>
      <c r="T49" s="2105">
        <f>Inputs!P82</f>
        <v>0</v>
      </c>
      <c r="U49" s="2105"/>
      <c r="V49" s="1928">
        <f>Inputs!Q82</f>
        <v>0</v>
      </c>
      <c r="W49" s="2085"/>
      <c r="AK49" s="2572" t="str">
        <f>Languages!B467</f>
        <v>User defined (Tier 2)</v>
      </c>
      <c r="AL49" s="2257"/>
      <c r="AM49" s="2151"/>
      <c r="AN49" s="2560" t="str">
        <f>AN47</f>
        <v>tCO2/MWh</v>
      </c>
      <c r="AO49" s="2593"/>
      <c r="AP49" s="2560"/>
      <c r="AQ49" s="4234"/>
      <c r="AR49" s="2574"/>
      <c r="AS49" s="2582"/>
      <c r="AT49" s="2573"/>
      <c r="AU49" s="2573"/>
      <c r="AV49" s="2573"/>
      <c r="AW49" s="2573"/>
      <c r="AX49" s="2573"/>
      <c r="AY49" s="2583"/>
      <c r="AZ49" s="2583"/>
      <c r="BA49" s="2151"/>
      <c r="BB49" s="2583"/>
      <c r="BD49" s="4363">
        <v>1</v>
      </c>
      <c r="BE49" s="4364"/>
      <c r="BF49" s="1996"/>
    </row>
    <row r="50" spans="1:58" ht="16" x14ac:dyDescent="0.2">
      <c r="A50" s="1813" t="s">
        <v>282</v>
      </c>
      <c r="B50" s="2077"/>
      <c r="C50" s="2082" t="str">
        <f>CONCATENATE(Languages!B467,A50,AL50)</f>
        <v xml:space="preserve">User defined (Tier 2) </v>
      </c>
      <c r="D50" s="4312">
        <v>0</v>
      </c>
      <c r="E50" s="4313">
        <v>0</v>
      </c>
      <c r="F50" s="2104" t="s">
        <v>86</v>
      </c>
      <c r="G50" s="4313">
        <v>0</v>
      </c>
      <c r="H50" s="2104" t="s">
        <v>86</v>
      </c>
      <c r="I50" s="2086"/>
      <c r="J50" s="1841"/>
      <c r="K50" s="1841"/>
      <c r="L50" s="1928"/>
      <c r="M50" s="1928"/>
      <c r="N50" s="1928"/>
      <c r="O50" s="1928"/>
      <c r="P50" s="2105"/>
      <c r="Q50" s="2105"/>
      <c r="R50" s="1806"/>
      <c r="S50" s="2105">
        <f>Inputs!O84</f>
        <v>0</v>
      </c>
      <c r="T50" s="2105">
        <f>Inputs!P84</f>
        <v>0</v>
      </c>
      <c r="U50" s="2105"/>
      <c r="V50" s="1928">
        <f>Inputs!Q84</f>
        <v>0</v>
      </c>
      <c r="W50" s="2085"/>
      <c r="AK50" s="2572" t="str">
        <f>AK48</f>
        <v>Losses of electricity during transportation</v>
      </c>
      <c r="AL50" s="2584"/>
      <c r="AM50" s="2151"/>
      <c r="AN50" s="2560" t="str">
        <f>AN48</f>
        <v>%</v>
      </c>
      <c r="AO50" s="2593"/>
      <c r="AP50" s="2594">
        <f>Inputs!C85</f>
        <v>0.1</v>
      </c>
      <c r="AQ50" s="4236"/>
      <c r="AR50" s="2574"/>
      <c r="AS50" s="2582"/>
      <c r="AT50" s="2573"/>
      <c r="AU50" s="2573"/>
      <c r="AV50" s="2573"/>
      <c r="AW50" s="2573"/>
      <c r="AX50" s="2573"/>
      <c r="AY50" s="2583"/>
      <c r="AZ50" s="2583"/>
      <c r="BA50" s="2151"/>
      <c r="BB50" s="2583"/>
      <c r="BD50" s="4363"/>
      <c r="BE50" s="4363"/>
      <c r="BF50" s="1996"/>
    </row>
    <row r="51" spans="1:58" ht="16" x14ac:dyDescent="0.2">
      <c r="B51" s="2077"/>
      <c r="C51" s="2096"/>
      <c r="D51" s="2096"/>
      <c r="E51" s="2096"/>
      <c r="F51" s="2096"/>
      <c r="G51" s="2096"/>
      <c r="H51" s="2096"/>
      <c r="I51" s="1849"/>
      <c r="J51" s="1841"/>
      <c r="K51" s="1841"/>
      <c r="L51" s="1928"/>
      <c r="M51" s="1928"/>
      <c r="N51" s="1928"/>
      <c r="O51" s="1928"/>
      <c r="P51" s="2105"/>
      <c r="Q51" s="2105"/>
      <c r="R51" s="1806"/>
      <c r="S51" s="2105"/>
      <c r="T51" s="2105"/>
      <c r="U51" s="2105"/>
      <c r="V51" s="1928"/>
      <c r="W51" s="2085"/>
      <c r="AK51" s="2561"/>
      <c r="AL51" s="2584"/>
      <c r="AM51" s="2584"/>
      <c r="AN51" s="2319"/>
      <c r="AO51" s="2319"/>
      <c r="AP51" s="2319"/>
      <c r="AQ51" s="2319"/>
      <c r="AR51" s="2584"/>
      <c r="AS51" s="2582"/>
      <c r="AT51" s="2582"/>
      <c r="AU51" s="2573"/>
      <c r="AV51" s="2573"/>
      <c r="AW51" s="2573"/>
      <c r="AX51" s="2573"/>
      <c r="AY51" s="2583"/>
      <c r="AZ51" s="2583"/>
      <c r="BA51" s="2151"/>
      <c r="BB51" s="2583"/>
      <c r="BD51" s="4363"/>
      <c r="BE51" s="4363"/>
      <c r="BF51" s="1996"/>
    </row>
    <row r="52" spans="1:58" ht="16" x14ac:dyDescent="0.2">
      <c r="B52" s="2077"/>
      <c r="C52" s="2113" t="str">
        <f>Languages!B468</f>
        <v>Liquid or gaseous (in m3 per year)</v>
      </c>
      <c r="D52" s="2099"/>
      <c r="E52" s="2099"/>
      <c r="F52" s="2082"/>
      <c r="G52" s="2082"/>
      <c r="H52" s="2082"/>
      <c r="I52" s="2085"/>
      <c r="J52" s="2077"/>
      <c r="K52" s="2101"/>
      <c r="L52" s="2101"/>
      <c r="M52" s="2101"/>
      <c r="N52" s="2101"/>
      <c r="O52" s="1928"/>
      <c r="P52" s="2105"/>
      <c r="Q52" s="2105"/>
      <c r="R52" s="1928"/>
      <c r="S52" s="2105"/>
      <c r="T52" s="2105"/>
      <c r="U52" s="2106"/>
      <c r="V52" s="1928"/>
      <c r="W52" s="2085"/>
      <c r="AK52" s="2569" t="str">
        <f>Languages!B469</f>
        <v>Liquid or gaseous</v>
      </c>
      <c r="AL52" s="2588"/>
      <c r="AM52" s="2587"/>
      <c r="AN52" s="2595"/>
      <c r="AO52" s="2591"/>
      <c r="AP52" s="2591"/>
      <c r="AQ52" s="2591"/>
      <c r="AR52" s="2558"/>
      <c r="AS52" s="2561"/>
      <c r="AT52" s="2576"/>
      <c r="AU52" s="2576"/>
      <c r="AV52" s="2576"/>
      <c r="AW52" s="2576"/>
      <c r="AX52" s="2573"/>
      <c r="AY52" s="2583"/>
      <c r="AZ52" s="2583"/>
      <c r="BA52" s="2573"/>
      <c r="BB52" s="2583"/>
      <c r="BD52" s="4363"/>
      <c r="BE52" s="4363"/>
      <c r="BF52" s="1996"/>
    </row>
    <row r="53" spans="1:58" ht="16" x14ac:dyDescent="0.2">
      <c r="B53" s="2077"/>
      <c r="C53" s="2115" t="s">
        <v>57</v>
      </c>
      <c r="D53" s="4312">
        <v>0</v>
      </c>
      <c r="E53" s="4313">
        <v>0</v>
      </c>
      <c r="F53" s="2104" t="s">
        <v>86</v>
      </c>
      <c r="G53" s="4313">
        <v>0</v>
      </c>
      <c r="H53" s="2104" t="s">
        <v>86</v>
      </c>
      <c r="I53" s="2085"/>
      <c r="J53" s="1841"/>
      <c r="K53" s="1841"/>
      <c r="L53" s="1838"/>
      <c r="M53" s="2107"/>
      <c r="N53" s="2107"/>
      <c r="O53" s="1838"/>
      <c r="P53" s="2105"/>
      <c r="Q53" s="2105"/>
      <c r="R53" s="2108" t="s">
        <v>2784</v>
      </c>
      <c r="S53" s="2105">
        <f>Inputs!O88</f>
        <v>0</v>
      </c>
      <c r="T53" s="2105">
        <f>Inputs!P88</f>
        <v>0</v>
      </c>
      <c r="U53" s="2105"/>
      <c r="V53" s="1928">
        <f>Inputs!Q88</f>
        <v>0</v>
      </c>
      <c r="W53" s="2085"/>
      <c r="AK53" s="2572" t="str">
        <f>C53</f>
        <v>Please select</v>
      </c>
      <c r="AL53" s="2584"/>
      <c r="AM53" s="2151"/>
      <c r="AN53" s="2560" t="s">
        <v>2794</v>
      </c>
      <c r="AO53" s="2593"/>
      <c r="AP53" s="2596">
        <f>Inputs!C88</f>
        <v>0</v>
      </c>
      <c r="AQ53" s="4105"/>
      <c r="AR53" s="2558"/>
      <c r="AS53" s="2582"/>
      <c r="AT53" s="2582"/>
      <c r="AU53" s="2560"/>
      <c r="AV53" s="2585"/>
      <c r="AW53" s="2585"/>
      <c r="AX53" s="2560"/>
      <c r="AY53" s="2583"/>
      <c r="AZ53" s="2583"/>
      <c r="BA53" s="2586"/>
      <c r="BB53" s="2583"/>
      <c r="BD53" s="4363">
        <v>1</v>
      </c>
      <c r="BE53" s="4364"/>
      <c r="BF53" s="1996"/>
    </row>
    <row r="54" spans="1:58" ht="16" x14ac:dyDescent="0.2">
      <c r="B54" s="2077"/>
      <c r="C54" s="2115" t="s">
        <v>57</v>
      </c>
      <c r="D54" s="4312">
        <v>0</v>
      </c>
      <c r="E54" s="4313">
        <v>0</v>
      </c>
      <c r="F54" s="2104" t="s">
        <v>86</v>
      </c>
      <c r="G54" s="4313">
        <v>0</v>
      </c>
      <c r="H54" s="2104" t="s">
        <v>86</v>
      </c>
      <c r="I54" s="2085"/>
      <c r="J54" s="1928"/>
      <c r="K54" s="1928"/>
      <c r="L54" s="1838"/>
      <c r="M54" s="2107"/>
      <c r="N54" s="2107"/>
      <c r="O54" s="1838"/>
      <c r="P54" s="2105"/>
      <c r="Q54" s="2105"/>
      <c r="R54" s="1806"/>
      <c r="S54" s="2105">
        <f>Inputs!O89</f>
        <v>0</v>
      </c>
      <c r="T54" s="2105">
        <f>Inputs!P89</f>
        <v>0</v>
      </c>
      <c r="U54" s="2105"/>
      <c r="V54" s="1928">
        <f>Inputs!Q89</f>
        <v>0</v>
      </c>
      <c r="W54" s="2085"/>
      <c r="AK54" s="2572" t="str">
        <f>C54</f>
        <v>Please select</v>
      </c>
      <c r="AL54" s="2584"/>
      <c r="AM54" s="2151"/>
      <c r="AN54" s="2560" t="str">
        <f>AN53</f>
        <v>tCO2-e/m3</v>
      </c>
      <c r="AO54" s="2593"/>
      <c r="AP54" s="2596">
        <f>Inputs!C89</f>
        <v>0</v>
      </c>
      <c r="AQ54" s="4105"/>
      <c r="AR54" s="2558"/>
      <c r="AS54" s="2573"/>
      <c r="AT54" s="2573"/>
      <c r="AU54" s="2560"/>
      <c r="AV54" s="2585"/>
      <c r="AW54" s="2585"/>
      <c r="AX54" s="2560"/>
      <c r="AY54" s="2583"/>
      <c r="AZ54" s="2583"/>
      <c r="BA54" s="2151"/>
      <c r="BB54" s="2583"/>
      <c r="BD54" s="4363">
        <v>1</v>
      </c>
      <c r="BE54" s="4364"/>
      <c r="BF54" s="1996"/>
    </row>
    <row r="55" spans="1:58" ht="16" x14ac:dyDescent="0.2">
      <c r="B55" s="2077"/>
      <c r="C55" s="2115" t="s">
        <v>57</v>
      </c>
      <c r="D55" s="4312">
        <v>0</v>
      </c>
      <c r="E55" s="4313">
        <v>0</v>
      </c>
      <c r="F55" s="2104" t="s">
        <v>86</v>
      </c>
      <c r="G55" s="4313">
        <v>0</v>
      </c>
      <c r="H55" s="2104" t="s">
        <v>86</v>
      </c>
      <c r="I55" s="2085"/>
      <c r="J55" s="1928"/>
      <c r="K55" s="1928"/>
      <c r="L55" s="1838"/>
      <c r="M55" s="1928"/>
      <c r="N55" s="1928"/>
      <c r="O55" s="1838"/>
      <c r="P55" s="2105"/>
      <c r="Q55" s="2105"/>
      <c r="R55" s="1806"/>
      <c r="S55" s="2105">
        <f>Inputs!O90</f>
        <v>0</v>
      </c>
      <c r="T55" s="2105">
        <f>Inputs!P90</f>
        <v>0</v>
      </c>
      <c r="U55" s="2105"/>
      <c r="V55" s="1928">
        <f>Inputs!Q90</f>
        <v>0</v>
      </c>
      <c r="W55" s="2085"/>
      <c r="AK55" s="2572" t="str">
        <f>C55</f>
        <v>Please select</v>
      </c>
      <c r="AL55" s="2584"/>
      <c r="AM55" s="2151"/>
      <c r="AN55" s="2560" t="str">
        <f>AN53</f>
        <v>tCO2-e/m3</v>
      </c>
      <c r="AO55" s="2593"/>
      <c r="AP55" s="2596">
        <f>Inputs!C90</f>
        <v>0</v>
      </c>
      <c r="AQ55" s="4105"/>
      <c r="AR55" s="2558"/>
      <c r="AS55" s="2573"/>
      <c r="AT55" s="2573"/>
      <c r="AU55" s="2560"/>
      <c r="AV55" s="2573"/>
      <c r="AW55" s="2573"/>
      <c r="AX55" s="2560"/>
      <c r="AY55" s="2583"/>
      <c r="AZ55" s="2583"/>
      <c r="BA55" s="2151"/>
      <c r="BB55" s="2583"/>
      <c r="BD55" s="4363">
        <v>1</v>
      </c>
      <c r="BE55" s="4364"/>
      <c r="BF55" s="1996"/>
    </row>
    <row r="56" spans="1:58" ht="16" x14ac:dyDescent="0.2">
      <c r="B56" s="2077"/>
      <c r="C56" s="2115" t="s">
        <v>57</v>
      </c>
      <c r="D56" s="4312">
        <v>0</v>
      </c>
      <c r="E56" s="4313">
        <v>0</v>
      </c>
      <c r="F56" s="2104" t="s">
        <v>86</v>
      </c>
      <c r="G56" s="4313">
        <v>0</v>
      </c>
      <c r="H56" s="2104" t="s">
        <v>86</v>
      </c>
      <c r="I56" s="2085"/>
      <c r="J56" s="1928"/>
      <c r="K56" s="1928"/>
      <c r="L56" s="1838"/>
      <c r="M56" s="1928"/>
      <c r="N56" s="1928"/>
      <c r="O56" s="1838"/>
      <c r="P56" s="2105"/>
      <c r="Q56" s="2105"/>
      <c r="R56" s="1806"/>
      <c r="S56" s="2105">
        <f>Inputs!O91</f>
        <v>0</v>
      </c>
      <c r="T56" s="2105">
        <f>Inputs!P91</f>
        <v>0</v>
      </c>
      <c r="U56" s="2105"/>
      <c r="V56" s="1928">
        <f>Inputs!Q91</f>
        <v>0</v>
      </c>
      <c r="W56" s="2085"/>
      <c r="AK56" s="2572" t="str">
        <f>C56</f>
        <v>Please select</v>
      </c>
      <c r="AL56" s="2584"/>
      <c r="AM56" s="2151"/>
      <c r="AN56" s="2560" t="str">
        <f>AN53</f>
        <v>tCO2-e/m3</v>
      </c>
      <c r="AO56" s="2593"/>
      <c r="AP56" s="2596">
        <f>Inputs!C91</f>
        <v>0</v>
      </c>
      <c r="AQ56" s="4105"/>
      <c r="AR56" s="2558"/>
      <c r="AS56" s="2573"/>
      <c r="AT56" s="2573"/>
      <c r="AU56" s="2560"/>
      <c r="AV56" s="2573"/>
      <c r="AW56" s="2573"/>
      <c r="AX56" s="2560"/>
      <c r="AY56" s="2583"/>
      <c r="AZ56" s="2583"/>
      <c r="BA56" s="2151"/>
      <c r="BB56" s="2583"/>
      <c r="BD56" s="4363">
        <v>1</v>
      </c>
      <c r="BE56" s="4364"/>
      <c r="BF56" s="1996"/>
    </row>
    <row r="57" spans="1:58" ht="16" x14ac:dyDescent="0.2">
      <c r="A57" s="1813" t="s">
        <v>282</v>
      </c>
      <c r="B57" s="2077"/>
      <c r="C57" s="2082" t="str">
        <f>CONCATENATE(Languages!B467,A57,AL57)</f>
        <v xml:space="preserve">User defined (Tier 2) </v>
      </c>
      <c r="D57" s="4312">
        <v>0</v>
      </c>
      <c r="E57" s="4313">
        <v>0</v>
      </c>
      <c r="F57" s="2104" t="s">
        <v>86</v>
      </c>
      <c r="G57" s="4313">
        <v>0</v>
      </c>
      <c r="H57" s="2104" t="s">
        <v>86</v>
      </c>
      <c r="I57" s="2085"/>
      <c r="J57" s="1838"/>
      <c r="K57" s="1838"/>
      <c r="L57" s="1838"/>
      <c r="M57" s="2101"/>
      <c r="N57" s="1838"/>
      <c r="O57" s="1838"/>
      <c r="P57" s="2105"/>
      <c r="Q57" s="2105"/>
      <c r="R57" s="1806"/>
      <c r="S57" s="2105">
        <f>Inputs!O92</f>
        <v>0</v>
      </c>
      <c r="T57" s="2105">
        <f>Inputs!P92</f>
        <v>0</v>
      </c>
      <c r="U57" s="2105"/>
      <c r="V57" s="1928">
        <f>Inputs!Q92</f>
        <v>0</v>
      </c>
      <c r="W57" s="2085"/>
      <c r="AK57" s="2572" t="str">
        <f>C57</f>
        <v xml:space="preserve">User defined (Tier 2) </v>
      </c>
      <c r="AL57" s="1783"/>
      <c r="AM57" s="2151"/>
      <c r="AN57" s="2560" t="str">
        <f>AN53</f>
        <v>tCO2-e/m3</v>
      </c>
      <c r="AO57" s="2592"/>
      <c r="AP57" s="2560"/>
      <c r="AQ57" s="4105"/>
      <c r="AR57" s="2558"/>
      <c r="AS57" s="2560"/>
      <c r="AT57" s="2560"/>
      <c r="AU57" s="2560"/>
      <c r="AV57" s="2576"/>
      <c r="AW57" s="2560"/>
      <c r="AX57" s="2560"/>
      <c r="AY57" s="2583"/>
      <c r="AZ57" s="2583"/>
      <c r="BA57" s="2151"/>
      <c r="BB57" s="2583"/>
      <c r="BD57" s="4363">
        <v>1</v>
      </c>
      <c r="BE57" s="4364"/>
      <c r="BF57" s="1996"/>
    </row>
    <row r="58" spans="1:58" ht="16" x14ac:dyDescent="0.2">
      <c r="B58" s="2077"/>
      <c r="C58" s="2117"/>
      <c r="D58" s="1928"/>
      <c r="E58" s="1928"/>
      <c r="F58" s="2118"/>
      <c r="G58" s="1928"/>
      <c r="H58" s="2118"/>
      <c r="I58" s="2085"/>
      <c r="J58" s="1838"/>
      <c r="K58" s="1838"/>
      <c r="L58" s="1838"/>
      <c r="M58" s="2101"/>
      <c r="N58" s="1838"/>
      <c r="O58" s="1838"/>
      <c r="P58" s="2105"/>
      <c r="Q58" s="2105"/>
      <c r="R58" s="1806"/>
      <c r="S58" s="2105"/>
      <c r="T58" s="2105"/>
      <c r="U58" s="1843"/>
      <c r="V58" s="1928"/>
      <c r="W58" s="2085"/>
      <c r="AK58" s="2561"/>
      <c r="AL58" s="1783"/>
      <c r="AM58" s="2151"/>
      <c r="AN58" s="2560"/>
      <c r="AO58" s="2592"/>
      <c r="AP58" s="2560"/>
      <c r="AQ58" s="2592"/>
      <c r="AR58" s="2558"/>
      <c r="AS58" s="2560"/>
      <c r="AT58" s="2560"/>
      <c r="AU58" s="2560"/>
      <c r="AV58" s="2576"/>
      <c r="AW58" s="2560"/>
      <c r="AX58" s="2560"/>
      <c r="AY58" s="2583"/>
      <c r="AZ58" s="2583"/>
      <c r="BA58" s="2151"/>
      <c r="BB58" s="2583"/>
      <c r="BD58" s="4363"/>
      <c r="BE58" s="4363"/>
      <c r="BF58" s="1996"/>
    </row>
    <row r="59" spans="1:58" ht="16" x14ac:dyDescent="0.2">
      <c r="B59" s="2077"/>
      <c r="C59" s="2113" t="str">
        <f>Languages!B470</f>
        <v>Solid (in tonnes of dry matter per year)</v>
      </c>
      <c r="D59" s="2082"/>
      <c r="E59" s="2082"/>
      <c r="F59" s="2082"/>
      <c r="G59" s="2082"/>
      <c r="H59" s="2082"/>
      <c r="I59" s="2085"/>
      <c r="J59" s="1928"/>
      <c r="K59" s="1928"/>
      <c r="L59" s="1838"/>
      <c r="M59" s="2107"/>
      <c r="N59" s="2107"/>
      <c r="O59" s="1838"/>
      <c r="P59" s="2105"/>
      <c r="Q59" s="2105"/>
      <c r="R59" s="1806"/>
      <c r="S59" s="1781"/>
      <c r="T59" s="1781"/>
      <c r="U59" s="1781"/>
      <c r="V59" s="1781"/>
      <c r="W59" s="2085"/>
      <c r="AK59" s="2569" t="str">
        <f>Languages!B471</f>
        <v>Solid</v>
      </c>
      <c r="AL59" s="2588"/>
      <c r="AM59" s="1782"/>
      <c r="AN59" s="2591"/>
      <c r="AO59" s="2591"/>
      <c r="AP59" s="2591"/>
      <c r="AQ59" s="2591"/>
      <c r="AR59" s="2558"/>
      <c r="AS59" s="2573"/>
      <c r="AT59" s="2573"/>
      <c r="AU59" s="2560"/>
      <c r="AV59" s="2585"/>
      <c r="AW59" s="2585"/>
      <c r="AX59" s="2560"/>
      <c r="AY59" s="2583"/>
      <c r="AZ59" s="2583"/>
      <c r="BA59" s="2151"/>
      <c r="BB59" s="1782"/>
      <c r="BD59" s="4363"/>
      <c r="BE59" s="4363"/>
      <c r="BF59" s="1996"/>
    </row>
    <row r="60" spans="1:58" ht="16" x14ac:dyDescent="0.2">
      <c r="B60" s="2077"/>
      <c r="C60" s="2096" t="str">
        <f>Languages!B472</f>
        <v>Wood</v>
      </c>
      <c r="D60" s="4312">
        <v>0</v>
      </c>
      <c r="E60" s="4313">
        <v>0</v>
      </c>
      <c r="F60" s="2104" t="s">
        <v>86</v>
      </c>
      <c r="G60" s="4313">
        <v>0</v>
      </c>
      <c r="H60" s="2104" t="s">
        <v>86</v>
      </c>
      <c r="I60" s="2085"/>
      <c r="J60" s="1928"/>
      <c r="K60" s="1928"/>
      <c r="L60" s="1838"/>
      <c r="M60" s="2107"/>
      <c r="N60" s="2107"/>
      <c r="O60" s="1838"/>
      <c r="P60" s="2105"/>
      <c r="Q60" s="2105"/>
      <c r="R60" s="1806"/>
      <c r="S60" s="2105">
        <f>Inputs!O95</f>
        <v>0</v>
      </c>
      <c r="T60" s="2105">
        <f>Inputs!P95</f>
        <v>0</v>
      </c>
      <c r="U60" s="1843"/>
      <c r="V60" s="1928">
        <f>Inputs!Q95</f>
        <v>0</v>
      </c>
      <c r="W60" s="2085"/>
      <c r="AK60" s="2572" t="str">
        <f>C60</f>
        <v>Wood</v>
      </c>
      <c r="AL60" s="2584"/>
      <c r="AM60" s="2151"/>
      <c r="AN60" s="2560" t="str">
        <f>CONCATENATE("tCO2-e/t d.m. ",AK60)</f>
        <v>tCO2-e/t d.m. Wood</v>
      </c>
      <c r="AO60" s="2593"/>
      <c r="AP60" s="2596">
        <f>Inputs!C95</f>
        <v>0.14757600000000001</v>
      </c>
      <c r="AQ60" s="2127"/>
      <c r="AR60" s="2558"/>
      <c r="AS60" s="2573"/>
      <c r="AT60" s="2559" t="str">
        <f>Languages!B517</f>
        <v>Account for CO2 emissions?</v>
      </c>
      <c r="AU60" s="4237" t="s">
        <v>99</v>
      </c>
      <c r="AV60" s="2585"/>
      <c r="AW60" s="2585"/>
      <c r="AX60" s="2560"/>
      <c r="AY60" s="2583"/>
      <c r="AZ60" s="2583"/>
      <c r="BA60" s="2151"/>
      <c r="BB60" s="2583"/>
      <c r="BD60" s="4363">
        <v>1</v>
      </c>
      <c r="BE60" s="4364"/>
      <c r="BF60" s="1996"/>
    </row>
    <row r="61" spans="1:58" ht="16" x14ac:dyDescent="0.2">
      <c r="B61" s="2077"/>
      <c r="C61" s="2096" t="str">
        <f>Languages!B474</f>
        <v xml:space="preserve">Peat </v>
      </c>
      <c r="D61" s="4312">
        <v>0</v>
      </c>
      <c r="E61" s="4313">
        <v>0</v>
      </c>
      <c r="F61" s="2104" t="s">
        <v>86</v>
      </c>
      <c r="G61" s="4313">
        <v>0</v>
      </c>
      <c r="H61" s="2104" t="s">
        <v>86</v>
      </c>
      <c r="I61" s="2085"/>
      <c r="J61" s="1928"/>
      <c r="K61" s="1928"/>
      <c r="L61" s="1838"/>
      <c r="M61" s="2107"/>
      <c r="N61" s="2107"/>
      <c r="O61" s="1838"/>
      <c r="P61" s="2105"/>
      <c r="Q61" s="2105"/>
      <c r="R61" s="1806"/>
      <c r="S61" s="2105">
        <f>Inputs!O96</f>
        <v>0</v>
      </c>
      <c r="T61" s="2105">
        <f>Inputs!P96</f>
        <v>0</v>
      </c>
      <c r="U61" s="1843"/>
      <c r="V61" s="1928">
        <f>Inputs!Q96</f>
        <v>0</v>
      </c>
      <c r="W61" s="2085"/>
      <c r="AK61" s="2572" t="str">
        <f>C61</f>
        <v xml:space="preserve">Peat </v>
      </c>
      <c r="AL61" s="2584"/>
      <c r="AM61" s="2151"/>
      <c r="AN61" s="2560" t="str">
        <f>CONCATENATE("tCO2-e/t d.m. ",AK61)</f>
        <v xml:space="preserve">tCO2-e/t d.m. Peat </v>
      </c>
      <c r="AO61" s="2593"/>
      <c r="AP61" s="2596">
        <f>Inputs!C96</f>
        <v>8.5604959999999994E-2</v>
      </c>
      <c r="AQ61" s="2127"/>
      <c r="AR61" s="2558"/>
      <c r="AS61" s="2573"/>
      <c r="AT61" s="2559" t="str">
        <f>AT60</f>
        <v>Account for CO2 emissions?</v>
      </c>
      <c r="AU61" s="4237" t="s">
        <v>99</v>
      </c>
      <c r="AV61" s="2585"/>
      <c r="AW61" s="2585"/>
      <c r="AX61" s="2560"/>
      <c r="AY61" s="2583"/>
      <c r="AZ61" s="2583"/>
      <c r="BA61" s="2151"/>
      <c r="BB61" s="2583"/>
      <c r="BD61" s="4363">
        <v>1</v>
      </c>
      <c r="BE61" s="4364"/>
      <c r="BF61" s="1996"/>
    </row>
    <row r="62" spans="1:58" ht="16" x14ac:dyDescent="0.2">
      <c r="B62" s="2077"/>
      <c r="C62" s="2096" t="str">
        <f>Languages!B479</f>
        <v>Charcoal</v>
      </c>
      <c r="D62" s="4312">
        <v>0</v>
      </c>
      <c r="E62" s="4313">
        <v>0</v>
      </c>
      <c r="F62" s="2104" t="s">
        <v>86</v>
      </c>
      <c r="G62" s="4313">
        <v>0</v>
      </c>
      <c r="H62" s="2104" t="s">
        <v>86</v>
      </c>
      <c r="I62" s="2085"/>
      <c r="J62" s="1928"/>
      <c r="K62" s="1928"/>
      <c r="L62" s="1838"/>
      <c r="M62" s="2107"/>
      <c r="N62" s="2107"/>
      <c r="O62" s="1838"/>
      <c r="P62" s="1928"/>
      <c r="Q62" s="1928"/>
      <c r="R62" s="1806"/>
      <c r="S62" s="2105">
        <f>Inputs!O97</f>
        <v>0</v>
      </c>
      <c r="T62" s="2105">
        <f>Inputs!P97</f>
        <v>0</v>
      </c>
      <c r="U62" s="1843"/>
      <c r="V62" s="1928">
        <f>Inputs!Q97</f>
        <v>0</v>
      </c>
      <c r="W62" s="2085"/>
      <c r="AK62" s="2572" t="str">
        <f>C62</f>
        <v>Charcoal</v>
      </c>
      <c r="AL62" s="2584"/>
      <c r="AM62" s="2151"/>
      <c r="AN62" s="2560" t="str">
        <f>CONCATENATE("tCO2-e/t d.m. ",AK62)</f>
        <v>tCO2-e/t d.m. Charcoal</v>
      </c>
      <c r="AO62" s="2593"/>
      <c r="AP62" s="2596">
        <f>Inputs!C97</f>
        <v>0.17301749999999999</v>
      </c>
      <c r="AQ62" s="2127"/>
      <c r="AR62" s="2558"/>
      <c r="AS62" s="2573"/>
      <c r="AT62" s="2559" t="str">
        <f>AT61</f>
        <v>Account for CO2 emissions?</v>
      </c>
      <c r="AU62" s="4237" t="s">
        <v>99</v>
      </c>
      <c r="AV62" s="2585"/>
      <c r="AW62" s="2585"/>
      <c r="AX62" s="2560"/>
      <c r="AY62" s="2573"/>
      <c r="AZ62" s="2573"/>
      <c r="BA62" s="2151"/>
      <c r="BB62" s="2583"/>
      <c r="BD62" s="4363">
        <v>1</v>
      </c>
      <c r="BE62" s="4364"/>
      <c r="BF62" s="1996"/>
    </row>
    <row r="63" spans="1:58" ht="16" x14ac:dyDescent="0.2">
      <c r="B63" s="2077"/>
      <c r="C63" s="2096" t="str">
        <f>Languages!B473</f>
        <v>Peat (from peatlands)</v>
      </c>
      <c r="D63" s="4314">
        <f>IF('6.Inland wetlands'!$CU175="Yes",'6.Inland wetlands'!AA176,0)+IF('6.Inland wetlands'!$CU176="Yes", '6.Inland wetlands'!AA177,0)+IF('6.Inland wetlands'!$CU177="Yes", '6.Inland wetlands'!AA178,0)+IF('6.Inland wetlands'!$CU178="Yes", '6.Inland wetlands'!AA179,0)</f>
        <v>1500000</v>
      </c>
      <c r="E63" s="4314">
        <f>IF('6.Inland wetlands'!$CU175="Yes",'6.Inland wetlands'!AB176,0)+IF('6.Inland wetlands'!$CU176="Yes", '6.Inland wetlands'!AB177,0)+IF('6.Inland wetlands'!$CU177="Yes", '6.Inland wetlands'!AB178,0)+IF('6.Inland wetlands'!$CU178="Yes", '6.Inland wetlands'!AB179,0)</f>
        <v>90000</v>
      </c>
      <c r="F63" s="4133" t="s">
        <v>86</v>
      </c>
      <c r="G63" s="4314">
        <f>IF('6.Inland wetlands'!$CU175="Yes",'6.Inland wetlands'!AC176,0)+IF('6.Inland wetlands'!$CU176="Yes", '6.Inland wetlands'!AC177,0)+IF('6.Inland wetlands'!$CU177="Yes", '6.Inland wetlands'!AC178,0)+IF('6.Inland wetlands'!$CU178="Yes", '6.Inland wetlands'!AC179,0)</f>
        <v>96000</v>
      </c>
      <c r="H63" s="4133" t="s">
        <v>86</v>
      </c>
      <c r="I63" s="2085"/>
      <c r="J63" s="1806"/>
      <c r="K63" s="1806"/>
      <c r="L63" s="1838"/>
      <c r="M63" s="1838"/>
      <c r="N63" s="1838"/>
      <c r="O63" s="1838"/>
      <c r="P63" s="2105"/>
      <c r="Q63" s="2105"/>
      <c r="R63" s="1806"/>
      <c r="S63" s="2105">
        <f>Inputs!O98</f>
        <v>417324.17999999993</v>
      </c>
      <c r="T63" s="2105">
        <f>Inputs!P98</f>
        <v>423744.55199999991</v>
      </c>
      <c r="U63" s="1843"/>
      <c r="V63" s="1928">
        <f>Inputs!Q98</f>
        <v>6420.3719999999739</v>
      </c>
      <c r="W63" s="2085"/>
      <c r="AK63" s="2572" t="str">
        <f>C63</f>
        <v>Peat (from peatlands)</v>
      </c>
      <c r="AL63" s="2584"/>
      <c r="AM63" s="2151"/>
      <c r="AN63" s="2560" t="str">
        <f>CONCATENATE("tCO2-e/t d.m. ",AK61)</f>
        <v xml:space="preserve">tCO2-e/t d.m. Peat </v>
      </c>
      <c r="AO63" s="2593"/>
      <c r="AP63" s="2596">
        <f>Inputs!C98</f>
        <v>8.5604959999999994E-2</v>
      </c>
      <c r="AQ63" s="2127"/>
      <c r="AR63" s="2558"/>
      <c r="AS63" s="2151"/>
      <c r="AT63" s="2559"/>
      <c r="AU63" s="2560"/>
      <c r="AV63" s="2560"/>
      <c r="AW63" s="2560"/>
      <c r="AX63" s="2560"/>
      <c r="AY63" s="2583"/>
      <c r="AZ63" s="2583"/>
      <c r="BA63" s="2151"/>
      <c r="BB63" s="2583"/>
      <c r="BD63" s="4363">
        <v>1</v>
      </c>
      <c r="BE63" s="4364"/>
      <c r="BF63" s="1996"/>
    </row>
    <row r="64" spans="1:58" ht="16" x14ac:dyDescent="0.2">
      <c r="B64" s="2077"/>
      <c r="C64" s="2082" t="str">
        <f>CONCATENATE(Languages!B467,A57,AL57)</f>
        <v xml:space="preserve">User defined (Tier 2) </v>
      </c>
      <c r="D64" s="4312">
        <v>0</v>
      </c>
      <c r="E64" s="4313">
        <v>0</v>
      </c>
      <c r="F64" s="2104" t="s">
        <v>86</v>
      </c>
      <c r="G64" s="4313">
        <v>0</v>
      </c>
      <c r="H64" s="2104" t="s">
        <v>86</v>
      </c>
      <c r="I64" s="2085"/>
      <c r="J64" s="1806"/>
      <c r="K64" s="1806"/>
      <c r="L64" s="1838"/>
      <c r="M64" s="1838"/>
      <c r="N64" s="1838"/>
      <c r="O64" s="1838"/>
      <c r="P64" s="2105"/>
      <c r="Q64" s="2105"/>
      <c r="R64" s="1806"/>
      <c r="S64" s="2105">
        <f>Inputs!O99</f>
        <v>0</v>
      </c>
      <c r="T64" s="2105">
        <f>Inputs!P99</f>
        <v>0</v>
      </c>
      <c r="U64" s="1843"/>
      <c r="V64" s="1928">
        <f>Inputs!Q99</f>
        <v>0</v>
      </c>
      <c r="W64" s="2085"/>
      <c r="AK64" s="2572" t="str">
        <f>C64</f>
        <v xml:space="preserve">User defined (Tier 2) </v>
      </c>
      <c r="AL64" s="2584"/>
      <c r="AM64" s="2151"/>
      <c r="AN64" s="2560" t="s">
        <v>2796</v>
      </c>
      <c r="AO64" s="2593"/>
      <c r="AP64" s="2596"/>
      <c r="AQ64" s="2127"/>
      <c r="AR64" s="2558"/>
      <c r="AS64" s="2151"/>
      <c r="AT64" s="2559"/>
      <c r="AU64" s="2560"/>
      <c r="AV64" s="2560"/>
      <c r="AW64" s="2560"/>
      <c r="AX64" s="2560"/>
      <c r="AY64" s="2583"/>
      <c r="AZ64" s="2583"/>
      <c r="BA64" s="2151"/>
      <c r="BB64" s="2583"/>
      <c r="BD64" s="4363">
        <v>1</v>
      </c>
      <c r="BE64" s="4364"/>
      <c r="BF64" s="1996"/>
    </row>
    <row r="65" spans="2:58" ht="16" x14ac:dyDescent="0.2">
      <c r="B65" s="2077"/>
      <c r="C65" s="1781"/>
      <c r="D65" s="1781"/>
      <c r="E65" s="1781"/>
      <c r="F65" s="1781"/>
      <c r="G65" s="1781"/>
      <c r="H65" s="1781"/>
      <c r="I65" s="1781"/>
      <c r="J65" s="1781"/>
      <c r="K65" s="1781"/>
      <c r="L65" s="1781"/>
      <c r="M65" s="1781"/>
      <c r="N65" s="1781"/>
      <c r="O65" s="1781"/>
      <c r="P65" s="1781"/>
      <c r="Q65" s="1781"/>
      <c r="R65" s="1806"/>
      <c r="S65" s="2106"/>
      <c r="T65" s="2106"/>
      <c r="U65" s="2106"/>
      <c r="V65" s="2086"/>
      <c r="W65" s="2085"/>
      <c r="AK65" s="2561"/>
      <c r="AL65" s="1782"/>
      <c r="AM65" s="1782"/>
      <c r="AN65" s="1782"/>
      <c r="AO65" s="1782"/>
      <c r="AP65" s="1782"/>
      <c r="AQ65" s="1782"/>
      <c r="AR65" s="1782"/>
      <c r="AS65" s="1782"/>
      <c r="AT65" s="1782"/>
      <c r="AU65" s="1782"/>
      <c r="AV65" s="1782"/>
      <c r="AW65" s="1782"/>
      <c r="AX65" s="1782"/>
      <c r="AY65" s="1782"/>
      <c r="AZ65" s="1782"/>
      <c r="BA65" s="2151"/>
      <c r="BB65" s="2578"/>
      <c r="BD65" s="4363"/>
      <c r="BE65" s="4363"/>
      <c r="BF65" s="1996"/>
    </row>
    <row r="66" spans="2:58" ht="16" x14ac:dyDescent="0.2">
      <c r="B66" s="2077"/>
      <c r="C66" s="1781"/>
      <c r="D66" s="1781"/>
      <c r="E66" s="1781"/>
      <c r="F66" s="1781"/>
      <c r="G66" s="1781"/>
      <c r="H66" s="1781"/>
      <c r="I66" s="1781"/>
      <c r="J66" s="1781"/>
      <c r="K66" s="1781"/>
      <c r="L66" s="1781"/>
      <c r="M66" s="1781"/>
      <c r="N66" s="1781"/>
      <c r="O66" s="1781"/>
      <c r="P66" s="1781"/>
      <c r="Q66" s="1853"/>
      <c r="R66" s="2279" t="str">
        <f>Languages!B509</f>
        <v>Total energy (tCO2-e)</v>
      </c>
      <c r="S66" s="2111">
        <f>SUM(S49:S64)</f>
        <v>417324.17999999993</v>
      </c>
      <c r="T66" s="2111">
        <f>SUM(T49:T64)</f>
        <v>423744.55199999991</v>
      </c>
      <c r="U66" s="2035"/>
      <c r="V66" s="2112">
        <f>SUM(V49:V64)</f>
        <v>6420.3719999999739</v>
      </c>
      <c r="W66" s="2082"/>
      <c r="AK66" s="2561"/>
      <c r="AL66" s="1782"/>
      <c r="AM66" s="1782"/>
      <c r="AN66" s="1782"/>
      <c r="AO66" s="1782"/>
      <c r="AP66" s="1782"/>
      <c r="AQ66" s="1782"/>
      <c r="AR66" s="1782"/>
      <c r="AS66" s="1782"/>
      <c r="AT66" s="1782"/>
      <c r="AU66" s="1782"/>
      <c r="AV66" s="1782"/>
      <c r="AW66" s="1782"/>
      <c r="AX66" s="1782"/>
      <c r="AY66" s="1782"/>
      <c r="AZ66" s="1782"/>
      <c r="BA66" s="2561"/>
      <c r="BB66" s="2579"/>
      <c r="BD66" s="4548" t="s">
        <v>87</v>
      </c>
      <c r="BE66" s="4548"/>
      <c r="BF66" s="4548"/>
    </row>
    <row r="67" spans="2:58" x14ac:dyDescent="0.2">
      <c r="B67" s="1781"/>
      <c r="C67" s="1781"/>
      <c r="D67" s="1781"/>
      <c r="E67" s="1781"/>
      <c r="F67" s="1781"/>
      <c r="G67" s="1781"/>
      <c r="H67" s="1781"/>
      <c r="I67" s="1781"/>
      <c r="J67" s="1781"/>
      <c r="K67" s="1781"/>
      <c r="L67" s="1781"/>
      <c r="M67" s="1781"/>
      <c r="N67" s="1781"/>
      <c r="O67" s="1781"/>
      <c r="P67" s="1781"/>
      <c r="Q67" s="1781"/>
      <c r="R67" s="1781"/>
      <c r="S67" s="1781"/>
      <c r="T67" s="1781"/>
      <c r="U67" s="1781"/>
      <c r="V67" s="1781"/>
      <c r="W67" s="1781"/>
      <c r="AK67" s="1782"/>
      <c r="AL67" s="1782"/>
      <c r="AM67" s="1782"/>
      <c r="AN67" s="1782"/>
      <c r="AO67" s="1782"/>
      <c r="AP67" s="1782"/>
      <c r="AQ67" s="1782"/>
      <c r="AR67" s="1782"/>
      <c r="AS67" s="1782"/>
      <c r="AT67" s="1782"/>
      <c r="AU67" s="1782"/>
      <c r="AV67" s="1782"/>
      <c r="AW67" s="1782"/>
      <c r="AX67" s="1782"/>
      <c r="AY67" s="1782"/>
      <c r="AZ67" s="1782"/>
      <c r="BA67" s="1782"/>
      <c r="BB67" s="1782"/>
      <c r="BD67" s="4548"/>
      <c r="BE67" s="4548"/>
      <c r="BF67" s="4548"/>
    </row>
    <row r="68" spans="2:58" ht="39.5" customHeight="1" x14ac:dyDescent="0.2">
      <c r="BD68" s="4548"/>
      <c r="BE68" s="4548"/>
      <c r="BF68" s="4548"/>
    </row>
    <row r="69" spans="2:58" ht="56.25" customHeight="1" x14ac:dyDescent="0.2"/>
    <row r="70" spans="2:58" ht="45" customHeight="1" x14ac:dyDescent="0.2">
      <c r="B70" s="1769"/>
      <c r="C70" s="2038" t="str">
        <f>Languages!B480</f>
        <v>9.3 IRRIGATION</v>
      </c>
      <c r="D70" s="1769"/>
      <c r="E70" s="1769"/>
      <c r="F70" s="1769"/>
      <c r="G70" s="1769"/>
      <c r="H70" s="1769"/>
      <c r="I70" s="1769"/>
      <c r="J70" s="1769"/>
      <c r="K70" s="1769"/>
      <c r="L70" s="1769"/>
      <c r="M70" s="1769"/>
      <c r="N70" s="1769"/>
      <c r="O70" s="1769"/>
      <c r="P70" s="1769"/>
      <c r="Q70" s="1769"/>
      <c r="R70" s="1769"/>
      <c r="S70" s="1769"/>
      <c r="T70" s="1770" t="str">
        <f>T41</f>
        <v>If country-specific data are available, please go to Tier 2:</v>
      </c>
      <c r="U70" s="1769"/>
      <c r="V70" s="1769"/>
      <c r="W70" s="1769"/>
      <c r="AK70" s="2038" t="str">
        <f>C70</f>
        <v>9.3 IRRIGATION</v>
      </c>
      <c r="AL70" s="1769"/>
      <c r="AM70" s="1769"/>
      <c r="AN70" s="1769"/>
      <c r="AO70" s="1769"/>
      <c r="AP70" s="1769"/>
      <c r="AQ70" s="1769"/>
      <c r="AR70" s="1769"/>
      <c r="AS70" s="1769"/>
      <c r="AT70" s="1769"/>
      <c r="AU70" s="1769"/>
      <c r="AV70" s="1769"/>
      <c r="AW70" s="1769"/>
      <c r="AX70" s="1769"/>
      <c r="AY70" s="1769"/>
      <c r="AZ70" s="1769"/>
      <c r="BA70" s="1769"/>
      <c r="BB70" s="1769"/>
      <c r="BD70" s="4366" t="s">
        <v>71</v>
      </c>
      <c r="BE70" s="4366"/>
      <c r="BF70" s="4366"/>
    </row>
    <row r="71" spans="2:58" ht="5.25" customHeight="1" x14ac:dyDescent="0.2">
      <c r="B71" s="1771"/>
      <c r="C71" s="1771"/>
      <c r="D71" s="1771"/>
      <c r="E71" s="1771"/>
      <c r="F71" s="1771"/>
      <c r="G71" s="1771"/>
      <c r="H71" s="1771"/>
      <c r="I71" s="1771"/>
      <c r="J71" s="1771"/>
      <c r="K71" s="1771"/>
      <c r="L71" s="1771"/>
      <c r="M71" s="1771"/>
      <c r="N71" s="1771"/>
      <c r="O71" s="1771"/>
      <c r="P71" s="1771"/>
      <c r="Q71" s="1771"/>
      <c r="R71" s="1771"/>
      <c r="S71" s="1771"/>
      <c r="T71" s="1771"/>
      <c r="U71" s="1771"/>
      <c r="V71" s="1771"/>
      <c r="W71" s="1771"/>
      <c r="AK71" s="1771"/>
      <c r="AL71" s="1771"/>
      <c r="AM71" s="1771"/>
      <c r="AN71" s="1771"/>
      <c r="AO71" s="1771"/>
      <c r="AP71" s="1771"/>
      <c r="AQ71" s="1771"/>
      <c r="AR71" s="1771"/>
      <c r="AS71" s="1771"/>
      <c r="AT71" s="1771"/>
      <c r="AU71" s="1771"/>
      <c r="AV71" s="1771"/>
      <c r="AW71" s="1771"/>
      <c r="AX71" s="1771"/>
      <c r="AY71" s="1771"/>
      <c r="AZ71" s="1771"/>
      <c r="BA71" s="1771"/>
      <c r="BB71" s="1771"/>
      <c r="BD71" s="1915"/>
      <c r="BE71" s="1915"/>
    </row>
    <row r="72" spans="2:58" ht="16" x14ac:dyDescent="0.2">
      <c r="B72" s="2077"/>
      <c r="C72" s="2078"/>
      <c r="D72" s="2077"/>
      <c r="E72" s="2079"/>
      <c r="F72" s="2080"/>
      <c r="G72" s="2080"/>
      <c r="H72" s="2080"/>
      <c r="I72" s="2081"/>
      <c r="J72" s="2078"/>
      <c r="K72" s="2081"/>
      <c r="L72" s="2081"/>
      <c r="M72" s="2081"/>
      <c r="N72" s="2082"/>
      <c r="O72" s="2082"/>
      <c r="P72" s="2083"/>
      <c r="Q72" s="2084"/>
      <c r="R72" s="2084"/>
      <c r="S72" s="2085"/>
      <c r="T72" s="2086"/>
      <c r="U72" s="2085"/>
      <c r="V72" s="2086"/>
      <c r="W72" s="2085"/>
      <c r="AK72" s="2561"/>
      <c r="AL72" s="2562"/>
      <c r="AM72" s="2561"/>
      <c r="AN72" s="2563"/>
      <c r="AO72" s="2564"/>
      <c r="AP72" s="2564"/>
      <c r="AQ72" s="2564"/>
      <c r="AR72" s="2565"/>
      <c r="AS72" s="2562"/>
      <c r="AT72" s="2565"/>
      <c r="AU72" s="2565"/>
      <c r="AV72" s="2565"/>
      <c r="AW72" s="2566"/>
      <c r="AX72" s="2566"/>
      <c r="AY72" s="2567"/>
      <c r="AZ72" s="2568"/>
      <c r="BA72" s="2568"/>
      <c r="BB72" s="2558"/>
      <c r="BD72" s="1889" t="s">
        <v>74</v>
      </c>
      <c r="BE72" s="1889"/>
      <c r="BF72" s="1996"/>
    </row>
    <row r="73" spans="2:58" ht="16" x14ac:dyDescent="0.2">
      <c r="B73" s="2077"/>
      <c r="C73" s="2113" t="str">
        <f>C44</f>
        <v>Description and unit to report</v>
      </c>
      <c r="D73" s="2087"/>
      <c r="E73" s="2079"/>
      <c r="F73" s="2080"/>
      <c r="G73" s="2080"/>
      <c r="H73" s="2080"/>
      <c r="I73" s="2081"/>
      <c r="J73" s="2078"/>
      <c r="K73" s="2081"/>
      <c r="L73" s="2081"/>
      <c r="M73" s="2081"/>
      <c r="N73" s="2082"/>
      <c r="O73" s="2082"/>
      <c r="P73" s="2083"/>
      <c r="Q73" s="2084"/>
      <c r="R73" s="2084"/>
      <c r="S73" s="2085"/>
      <c r="T73" s="2086"/>
      <c r="U73" s="2085"/>
      <c r="V73" s="2086"/>
      <c r="W73" s="2085"/>
      <c r="AK73" s="2561" t="str">
        <f>C73</f>
        <v>Description and unit to report</v>
      </c>
      <c r="AL73" s="2569"/>
      <c r="AM73" s="2570"/>
      <c r="AN73" s="2563"/>
      <c r="AO73" s="2564"/>
      <c r="AP73" s="2564"/>
      <c r="AQ73" s="2564"/>
      <c r="AR73" s="2565"/>
      <c r="AS73" s="2562"/>
      <c r="AT73" s="2565"/>
      <c r="AU73" s="2565"/>
      <c r="AV73" s="2565"/>
      <c r="AW73" s="2566"/>
      <c r="AX73" s="2566"/>
      <c r="AY73" s="2567"/>
      <c r="AZ73" s="2568"/>
      <c r="BA73" s="2568"/>
      <c r="BB73" s="2558"/>
      <c r="BD73" s="2014" t="s">
        <v>82</v>
      </c>
      <c r="BE73" s="2014"/>
      <c r="BF73" s="1996"/>
    </row>
    <row r="74" spans="2:58" ht="21" x14ac:dyDescent="0.25">
      <c r="B74" s="2077"/>
      <c r="C74" s="2088"/>
      <c r="D74" s="1781"/>
      <c r="E74" s="2089" t="str">
        <f>Languages!B484</f>
        <v>Surfaces (in ha)</v>
      </c>
      <c r="F74" s="2091"/>
      <c r="G74" s="2092"/>
      <c r="H74" s="2093"/>
      <c r="I74" s="2085"/>
      <c r="J74" s="2098"/>
      <c r="K74" s="2101"/>
      <c r="L74" s="2101"/>
      <c r="M74" s="2101"/>
      <c r="N74" s="1928"/>
      <c r="O74" s="1928"/>
      <c r="P74" s="2113"/>
      <c r="Q74" s="2077"/>
      <c r="R74" s="1928"/>
      <c r="S74" s="2114" t="str">
        <f>S45</f>
        <v>Total emissions (tCO2-e)</v>
      </c>
      <c r="T74" s="2086"/>
      <c r="U74" s="2086"/>
      <c r="V74" s="2077" t="str">
        <f>V45</f>
        <v>Balance</v>
      </c>
      <c r="W74" s="2078"/>
      <c r="AK74" s="1782"/>
      <c r="AL74" s="2571"/>
      <c r="AM74" s="2572"/>
      <c r="AN74" s="2561"/>
      <c r="AO74" s="2151"/>
      <c r="AP74" s="2573"/>
      <c r="AQ74" s="2574"/>
      <c r="AR74" s="2558"/>
      <c r="AS74" s="2575"/>
      <c r="AT74" s="2576"/>
      <c r="AU74" s="2576"/>
      <c r="AV74" s="2576"/>
      <c r="AW74" s="2573"/>
      <c r="AX74" s="2573"/>
      <c r="AY74" s="2569"/>
      <c r="AZ74" s="2561"/>
      <c r="BA74" s="2573"/>
      <c r="BB74" s="2577"/>
      <c r="BD74" s="1996"/>
      <c r="BE74" s="1996"/>
      <c r="BF74" s="1996"/>
    </row>
    <row r="75" spans="2:58" ht="16" x14ac:dyDescent="0.2">
      <c r="B75" s="2077"/>
      <c r="C75" s="2098"/>
      <c r="D75" s="2099"/>
      <c r="E75" s="2099"/>
      <c r="F75" s="2099"/>
      <c r="G75" s="2099"/>
      <c r="H75" s="2085"/>
      <c r="I75" s="2085"/>
      <c r="J75" s="2100"/>
      <c r="K75" s="2101"/>
      <c r="L75" s="2101"/>
      <c r="M75" s="2100"/>
      <c r="N75" s="1928"/>
      <c r="O75" s="1928"/>
      <c r="P75" s="2113"/>
      <c r="Q75" s="1928"/>
      <c r="R75" s="1928"/>
      <c r="S75" s="2086"/>
      <c r="T75" s="2086"/>
      <c r="U75" s="2086"/>
      <c r="V75" s="2086"/>
      <c r="W75" s="2085"/>
      <c r="AK75" s="1782"/>
      <c r="AL75" s="2575"/>
      <c r="AM75" s="2587"/>
      <c r="AN75" s="2597"/>
      <c r="AO75" s="2597"/>
      <c r="AP75" s="2597"/>
      <c r="AQ75" s="2597"/>
      <c r="AR75" s="2558"/>
      <c r="AS75" s="2580"/>
      <c r="AT75" s="2576"/>
      <c r="AU75" s="2576"/>
      <c r="AV75" s="2580"/>
      <c r="AW75" s="2573"/>
      <c r="AX75" s="2573"/>
      <c r="AY75" s="2569"/>
      <c r="AZ75" s="2573"/>
      <c r="BA75" s="2573"/>
      <c r="BB75" s="2574"/>
      <c r="BD75" s="1996"/>
      <c r="BE75" s="1996"/>
      <c r="BF75" s="1996"/>
    </row>
    <row r="76" spans="2:58" ht="16" x14ac:dyDescent="0.2">
      <c r="B76" s="2077"/>
      <c r="C76" s="2113" t="str">
        <f>Languages!B481</f>
        <v>Implementation of new irrigation systems</v>
      </c>
      <c r="D76" s="1806"/>
      <c r="E76" s="1806" t="str">
        <f>E47</f>
        <v>Without</v>
      </c>
      <c r="F76" s="1806"/>
      <c r="G76" s="1806" t="str">
        <f>G47</f>
        <v>With</v>
      </c>
      <c r="H76" s="1806"/>
      <c r="I76" s="2086"/>
      <c r="J76" s="1806"/>
      <c r="K76" s="1928"/>
      <c r="L76" s="1928"/>
      <c r="M76" s="1928"/>
      <c r="N76" s="1928"/>
      <c r="O76" s="1928"/>
      <c r="P76" s="1928"/>
      <c r="Q76" s="1928"/>
      <c r="R76" s="1806"/>
      <c r="S76" s="1928" t="str">
        <f>E76</f>
        <v>Without</v>
      </c>
      <c r="T76" s="1928" t="str">
        <f>G76</f>
        <v>With</v>
      </c>
      <c r="U76" s="1928"/>
      <c r="V76" s="2086"/>
      <c r="W76" s="2085"/>
      <c r="AK76" s="2569" t="str">
        <f t="shared" ref="AK76:AK81" si="4">C76</f>
        <v>Implementation of new irrigation systems</v>
      </c>
      <c r="AL76" s="2588"/>
      <c r="AM76" s="2151"/>
      <c r="AN76" s="2151"/>
      <c r="AO76" s="2151"/>
      <c r="AP76" s="2598"/>
      <c r="AQ76" s="2599"/>
      <c r="AR76" s="2574"/>
      <c r="AS76" s="2151"/>
      <c r="AT76" s="2573"/>
      <c r="AU76" s="2573"/>
      <c r="AV76" s="2573"/>
      <c r="AW76" s="2573"/>
      <c r="AX76" s="2573"/>
      <c r="AY76" s="2573"/>
      <c r="AZ76" s="2573"/>
      <c r="BA76" s="2151"/>
      <c r="BB76" s="2573"/>
      <c r="BD76" s="1996"/>
      <c r="BE76" s="1996"/>
      <c r="BF76" s="1996"/>
    </row>
    <row r="77" spans="2:58" ht="30.5" customHeight="1" x14ac:dyDescent="0.2">
      <c r="B77" s="2077"/>
      <c r="C77" s="2096" t="str">
        <f>Languages!B492</f>
        <v>Irrigation systems</v>
      </c>
      <c r="D77" s="1806"/>
      <c r="E77" s="1806"/>
      <c r="F77" s="1928"/>
      <c r="G77" s="2099"/>
      <c r="H77" s="1928"/>
      <c r="I77" s="2086"/>
      <c r="J77" s="1806"/>
      <c r="K77" s="1928"/>
      <c r="L77" s="1928"/>
      <c r="M77" s="1928"/>
      <c r="N77" s="1928"/>
      <c r="O77" s="1928"/>
      <c r="P77" s="1928"/>
      <c r="Q77" s="1928"/>
      <c r="R77" s="1806"/>
      <c r="S77" s="1928"/>
      <c r="T77" s="1928"/>
      <c r="U77" s="1928"/>
      <c r="V77" s="2086"/>
      <c r="W77" s="2085"/>
      <c r="AK77" s="2572" t="str">
        <f t="shared" si="4"/>
        <v>Irrigation systems</v>
      </c>
      <c r="AL77" s="2588"/>
      <c r="AM77" s="2151"/>
      <c r="AN77" s="2584" t="str">
        <f>AN46</f>
        <v>Unit</v>
      </c>
      <c r="AO77" s="1782"/>
      <c r="AP77" s="2151" t="str">
        <f>AP46</f>
        <v>Default</v>
      </c>
      <c r="AQ77" s="2151" t="str">
        <f>AQ46</f>
        <v>Tier 2</v>
      </c>
      <c r="AR77" s="2574"/>
      <c r="AS77" s="2151"/>
      <c r="AT77" s="2573"/>
      <c r="AU77" s="2573"/>
      <c r="AV77" s="2573"/>
      <c r="AW77" s="2573"/>
      <c r="AX77" s="2573"/>
      <c r="AY77" s="2573"/>
      <c r="AZ77" s="2573"/>
      <c r="BA77" s="2151"/>
      <c r="BB77" s="2573"/>
      <c r="BD77" s="4363"/>
      <c r="BE77" s="1996"/>
      <c r="BF77" s="1996"/>
    </row>
    <row r="78" spans="2:58" ht="16" x14ac:dyDescent="0.2">
      <c r="B78" s="2077"/>
      <c r="C78" s="2119" t="s">
        <v>57</v>
      </c>
      <c r="D78" s="1928"/>
      <c r="E78" s="2116">
        <v>0</v>
      </c>
      <c r="F78" s="2120"/>
      <c r="G78" s="2116">
        <v>0</v>
      </c>
      <c r="H78" s="2110"/>
      <c r="I78" s="2085"/>
      <c r="J78" s="1841"/>
      <c r="K78" s="1841"/>
      <c r="L78" s="1838"/>
      <c r="M78" s="2107"/>
      <c r="N78" s="2107"/>
      <c r="O78" s="1838"/>
      <c r="P78" s="2105"/>
      <c r="Q78" s="2105"/>
      <c r="R78" s="2108" t="s">
        <v>2784</v>
      </c>
      <c r="S78" s="2105">
        <f>Inputs!O110</f>
        <v>0</v>
      </c>
      <c r="T78" s="2105">
        <f>Inputs!P110</f>
        <v>0</v>
      </c>
      <c r="U78" s="2105"/>
      <c r="V78" s="1928">
        <f>Inputs!Q110</f>
        <v>0</v>
      </c>
      <c r="W78" s="2085"/>
      <c r="AK78" s="2572" t="str">
        <f t="shared" si="4"/>
        <v>Please select</v>
      </c>
      <c r="AL78" s="2584"/>
      <c r="AM78" s="2151"/>
      <c r="AN78" s="2151" t="s">
        <v>2797</v>
      </c>
      <c r="AO78" s="2593"/>
      <c r="AP78" s="2340">
        <f>Inputs!C110</f>
        <v>0</v>
      </c>
      <c r="AQ78" s="2121"/>
      <c r="AR78" s="2558"/>
      <c r="AS78" s="2582"/>
      <c r="AT78" s="2582"/>
      <c r="AU78" s="2560"/>
      <c r="AV78" s="2585"/>
      <c r="AW78" s="2585"/>
      <c r="AX78" s="2560"/>
      <c r="AY78" s="2583"/>
      <c r="AZ78" s="2583"/>
      <c r="BA78" s="2586"/>
      <c r="BB78" s="2583"/>
      <c r="BD78" s="4363">
        <v>1</v>
      </c>
      <c r="BE78" s="4364"/>
      <c r="BF78" s="1996"/>
    </row>
    <row r="79" spans="2:58" ht="16" x14ac:dyDescent="0.2">
      <c r="B79" s="2077"/>
      <c r="C79" s="2119" t="s">
        <v>57</v>
      </c>
      <c r="D79" s="1928"/>
      <c r="E79" s="2116">
        <v>0</v>
      </c>
      <c r="F79" s="2120"/>
      <c r="G79" s="2116">
        <v>0</v>
      </c>
      <c r="H79" s="2110"/>
      <c r="I79" s="2085"/>
      <c r="J79" s="1928"/>
      <c r="K79" s="1928"/>
      <c r="L79" s="1838"/>
      <c r="M79" s="2107"/>
      <c r="N79" s="2107"/>
      <c r="O79" s="1838"/>
      <c r="P79" s="2105"/>
      <c r="Q79" s="2105"/>
      <c r="R79" s="1806"/>
      <c r="S79" s="2105">
        <f>Inputs!O111</f>
        <v>0</v>
      </c>
      <c r="T79" s="2105">
        <f>Inputs!P111</f>
        <v>0</v>
      </c>
      <c r="U79" s="2105"/>
      <c r="V79" s="1928">
        <f>Inputs!Q111</f>
        <v>0</v>
      </c>
      <c r="W79" s="2085"/>
      <c r="AK79" s="2572" t="str">
        <f t="shared" si="4"/>
        <v>Please select</v>
      </c>
      <c r="AL79" s="2584"/>
      <c r="AM79" s="2151"/>
      <c r="AN79" s="2151" t="str">
        <f>AN78</f>
        <v>kg CO2-e/ha</v>
      </c>
      <c r="AO79" s="2593"/>
      <c r="AP79" s="2340">
        <f>Inputs!C111</f>
        <v>0</v>
      </c>
      <c r="AQ79" s="2121"/>
      <c r="AR79" s="2558"/>
      <c r="AS79" s="2573"/>
      <c r="AT79" s="2573"/>
      <c r="AU79" s="2560"/>
      <c r="AV79" s="2585"/>
      <c r="AW79" s="2585"/>
      <c r="AX79" s="2560"/>
      <c r="AY79" s="2583"/>
      <c r="AZ79" s="2583"/>
      <c r="BA79" s="2151"/>
      <c r="BB79" s="2583"/>
      <c r="BD79" s="4363">
        <v>1</v>
      </c>
      <c r="BE79" s="4364"/>
      <c r="BF79" s="1996"/>
    </row>
    <row r="80" spans="2:58" ht="16" x14ac:dyDescent="0.2">
      <c r="B80" s="2077"/>
      <c r="C80" s="2119" t="s">
        <v>57</v>
      </c>
      <c r="D80" s="1928"/>
      <c r="E80" s="2116">
        <v>0</v>
      </c>
      <c r="F80" s="2120"/>
      <c r="G80" s="2116">
        <v>0</v>
      </c>
      <c r="H80" s="2110"/>
      <c r="I80" s="2085"/>
      <c r="J80" s="1928"/>
      <c r="K80" s="1928"/>
      <c r="L80" s="1838"/>
      <c r="M80" s="1928"/>
      <c r="N80" s="1928"/>
      <c r="O80" s="1838"/>
      <c r="P80" s="2105"/>
      <c r="Q80" s="2105"/>
      <c r="R80" s="1806"/>
      <c r="S80" s="2105">
        <f>Inputs!O112</f>
        <v>0</v>
      </c>
      <c r="T80" s="2105">
        <f>Inputs!P112</f>
        <v>0</v>
      </c>
      <c r="U80" s="2105"/>
      <c r="V80" s="1928">
        <f>Inputs!Q112</f>
        <v>0</v>
      </c>
      <c r="W80" s="2085"/>
      <c r="AK80" s="2572" t="str">
        <f t="shared" si="4"/>
        <v>Please select</v>
      </c>
      <c r="AL80" s="2584"/>
      <c r="AM80" s="2151"/>
      <c r="AN80" s="2151" t="str">
        <f>AN78</f>
        <v>kg CO2-e/ha</v>
      </c>
      <c r="AO80" s="2593"/>
      <c r="AP80" s="2340">
        <f>Inputs!C112</f>
        <v>0</v>
      </c>
      <c r="AQ80" s="2121"/>
      <c r="AR80" s="2558"/>
      <c r="AS80" s="2573"/>
      <c r="AT80" s="2573"/>
      <c r="AU80" s="2560"/>
      <c r="AV80" s="2573"/>
      <c r="AW80" s="2573"/>
      <c r="AX80" s="2560"/>
      <c r="AY80" s="2583"/>
      <c r="AZ80" s="2583"/>
      <c r="BA80" s="2151"/>
      <c r="BB80" s="2583"/>
      <c r="BD80" s="4363">
        <v>1</v>
      </c>
      <c r="BE80" s="4364"/>
      <c r="BF80" s="1996"/>
    </row>
    <row r="81" spans="2:62" ht="16.25" customHeight="1" x14ac:dyDescent="0.2">
      <c r="B81" s="2077"/>
      <c r="C81" s="2119" t="s">
        <v>57</v>
      </c>
      <c r="D81" s="1928"/>
      <c r="E81" s="2116">
        <v>0</v>
      </c>
      <c r="F81" s="2120"/>
      <c r="G81" s="2116">
        <v>0</v>
      </c>
      <c r="H81" s="2110"/>
      <c r="I81" s="2085"/>
      <c r="J81" s="1928"/>
      <c r="K81" s="1928"/>
      <c r="L81" s="1838"/>
      <c r="M81" s="1928"/>
      <c r="N81" s="1928"/>
      <c r="O81" s="1838"/>
      <c r="P81" s="2105"/>
      <c r="Q81" s="2105"/>
      <c r="R81" s="1806"/>
      <c r="S81" s="2105">
        <f>Inputs!O113</f>
        <v>0</v>
      </c>
      <c r="T81" s="2105">
        <f>Inputs!P113</f>
        <v>0</v>
      </c>
      <c r="U81" s="2105"/>
      <c r="V81" s="1928">
        <f>Inputs!Q113</f>
        <v>0</v>
      </c>
      <c r="W81" s="2085"/>
      <c r="AK81" s="2572" t="str">
        <f t="shared" si="4"/>
        <v>Please select</v>
      </c>
      <c r="AL81" s="2584"/>
      <c r="AM81" s="2151"/>
      <c r="AN81" s="2151" t="str">
        <f>AN78</f>
        <v>kg CO2-e/ha</v>
      </c>
      <c r="AO81" s="2593"/>
      <c r="AP81" s="2340">
        <f>Inputs!C113</f>
        <v>0</v>
      </c>
      <c r="AQ81" s="2121"/>
      <c r="AR81" s="2558"/>
      <c r="AS81" s="2573"/>
      <c r="AT81" s="2573"/>
      <c r="AU81" s="2560"/>
      <c r="AV81" s="2573"/>
      <c r="AW81" s="2573"/>
      <c r="AX81" s="2560"/>
      <c r="AY81" s="2583"/>
      <c r="AZ81" s="2583"/>
      <c r="BA81" s="2151"/>
      <c r="BB81" s="2583"/>
      <c r="BD81" s="4363">
        <v>1</v>
      </c>
      <c r="BE81" s="4364"/>
      <c r="BF81" s="1996"/>
    </row>
    <row r="82" spans="2:62" ht="16.25" customHeight="1" x14ac:dyDescent="0.2">
      <c r="B82" s="2077"/>
      <c r="C82" s="2117"/>
      <c r="D82" s="1928"/>
      <c r="E82" s="1928"/>
      <c r="F82" s="2118"/>
      <c r="G82" s="1928"/>
      <c r="H82" s="2109"/>
      <c r="I82" s="2085"/>
      <c r="J82" s="1838"/>
      <c r="K82" s="1838"/>
      <c r="L82" s="1838"/>
      <c r="M82" s="2101"/>
      <c r="N82" s="1838"/>
      <c r="O82" s="1838"/>
      <c r="P82" s="2105"/>
      <c r="Q82" s="2105"/>
      <c r="R82" s="1806"/>
      <c r="S82" s="2105"/>
      <c r="T82" s="2105"/>
      <c r="U82" s="1843"/>
      <c r="V82" s="1928"/>
      <c r="W82" s="2085"/>
      <c r="AK82" s="2561"/>
      <c r="AL82" s="1783"/>
      <c r="AM82" s="2151"/>
      <c r="AN82" s="2151"/>
      <c r="AO82" s="2592"/>
      <c r="AP82" s="2151"/>
      <c r="AQ82" s="2592"/>
      <c r="AR82" s="2558"/>
      <c r="AS82" s="2560"/>
      <c r="AT82" s="2560"/>
      <c r="AU82" s="2560"/>
      <c r="AV82" s="2576"/>
      <c r="AW82" s="2560"/>
      <c r="AX82" s="2560"/>
      <c r="AY82" s="2583"/>
      <c r="AZ82" s="2583"/>
      <c r="BA82" s="2151"/>
      <c r="BB82" s="2583"/>
      <c r="BD82" s="4363"/>
      <c r="BE82" s="1996"/>
      <c r="BF82" s="1996"/>
    </row>
    <row r="83" spans="2:62" ht="25.5" customHeight="1" x14ac:dyDescent="0.25">
      <c r="B83" s="2077"/>
      <c r="C83" s="2113" t="str">
        <f>Languages!B483</f>
        <v>Operational phase of groundwater irrigated systems</v>
      </c>
      <c r="D83" s="2122" t="str">
        <f>E74</f>
        <v>Surfaces (in ha)</v>
      </c>
      <c r="E83" s="2123"/>
      <c r="F83" s="2123"/>
      <c r="G83" s="2123"/>
      <c r="H83" s="1789"/>
      <c r="I83" s="2085"/>
      <c r="J83" s="1928"/>
      <c r="K83" s="1928"/>
      <c r="L83" s="1838"/>
      <c r="M83" s="1928"/>
      <c r="N83" s="1928"/>
      <c r="O83" s="1928"/>
      <c r="P83" s="4273" t="str">
        <f>Languages!B497</f>
        <v>Over the main crop season</v>
      </c>
      <c r="Q83" s="2124"/>
      <c r="R83" s="1806"/>
      <c r="S83" s="2082"/>
      <c r="T83" s="2082"/>
      <c r="U83" s="1781"/>
      <c r="V83" s="1781"/>
      <c r="W83" s="2085"/>
      <c r="AK83" s="2569" t="str">
        <f>C83</f>
        <v>Operational phase of groundwater irrigated systems</v>
      </c>
      <c r="AL83" s="1782"/>
      <c r="AM83" s="1782"/>
      <c r="AN83" s="1782"/>
      <c r="AO83" s="1782"/>
      <c r="AP83" s="1782"/>
      <c r="AQ83" s="2604"/>
      <c r="AR83" s="2604"/>
      <c r="AS83" s="2573"/>
      <c r="AT83" s="2605" t="str">
        <f>Languages!B518</f>
        <v>Pump Characteristics</v>
      </c>
      <c r="AU83" s="2560"/>
      <c r="AV83" s="2585"/>
      <c r="AW83" s="2585"/>
      <c r="AX83" s="2560"/>
      <c r="AY83" s="2583"/>
      <c r="AZ83" s="2583"/>
      <c r="BA83" s="2151"/>
      <c r="BB83" s="1782"/>
      <c r="BC83" s="1813" t="str">
        <f>Languages!B497</f>
        <v>Over the main crop season</v>
      </c>
      <c r="BD83" s="4548"/>
      <c r="BE83" s="4548"/>
      <c r="BF83" s="4548"/>
      <c r="BG83" s="1813" t="str">
        <f>Languages!B500</f>
        <v>Minor crop season</v>
      </c>
    </row>
    <row r="84" spans="2:62" ht="42" customHeight="1" x14ac:dyDescent="0.2">
      <c r="B84" s="2077"/>
      <c r="C84" s="2113"/>
      <c r="D84" s="1928" t="str">
        <f>D47</f>
        <v>Start</v>
      </c>
      <c r="E84" s="1928" t="str">
        <f>E47</f>
        <v>Without</v>
      </c>
      <c r="F84" s="1928"/>
      <c r="G84" s="1928" t="str">
        <f>G47</f>
        <v>With</v>
      </c>
      <c r="H84" s="1781"/>
      <c r="I84" s="2085"/>
      <c r="J84" s="1781"/>
      <c r="K84" s="1781" t="str">
        <f>Languages!B485</f>
        <v>Source of energy</v>
      </c>
      <c r="L84" s="1781"/>
      <c r="M84" s="1781"/>
      <c r="N84" s="1781"/>
      <c r="O84" s="1838"/>
      <c r="P84" s="1842" t="str">
        <f>Languages!B487</f>
        <v>Gross Irrigation Water Requirement</v>
      </c>
      <c r="Q84" s="1841" t="str">
        <f>Languages!B489</f>
        <v xml:space="preserve">Depth H2O </v>
      </c>
      <c r="R84" s="1806"/>
      <c r="S84" s="2082"/>
      <c r="T84" s="2082"/>
      <c r="U84" s="1781"/>
      <c r="V84" s="1781"/>
      <c r="W84" s="2085"/>
      <c r="AK84" s="2569"/>
      <c r="AL84" s="2588"/>
      <c r="AM84" s="1782"/>
      <c r="AN84" s="2600" t="str">
        <f>Languages!B494</f>
        <v>Emission factors source of energy</v>
      </c>
      <c r="AO84" s="1785"/>
      <c r="AP84" s="1785"/>
      <c r="AQ84" s="1785"/>
      <c r="AR84" s="2558"/>
      <c r="AS84" s="2606" t="str">
        <f>Languages!B493</f>
        <v>Average pressure (in bar)</v>
      </c>
      <c r="AT84" s="2607"/>
      <c r="AU84" s="2560"/>
      <c r="AV84" s="2606" t="str">
        <f>Languages!B495</f>
        <v>Total dynamic head (in meters head)</v>
      </c>
      <c r="AW84" s="2608"/>
      <c r="AX84" s="2608"/>
      <c r="AY84" s="2583"/>
      <c r="AZ84" s="2609" t="str">
        <f>Languages!B496</f>
        <v>Pumping efficiency (in %)</v>
      </c>
      <c r="BA84" s="2610"/>
      <c r="BB84" s="1782"/>
      <c r="BD84" s="4548"/>
      <c r="BE84" s="4548"/>
      <c r="BF84" s="4548"/>
      <c r="BG84" s="1813">
        <f>N84</f>
        <v>0</v>
      </c>
      <c r="BI84" s="1813" t="str">
        <f>P84</f>
        <v>Gross Irrigation Water Requirement</v>
      </c>
    </row>
    <row r="85" spans="2:62" ht="17.75" customHeight="1" x14ac:dyDescent="0.2">
      <c r="B85" s="2077"/>
      <c r="C85" s="2096" t="str">
        <f>C77</f>
        <v>Irrigation systems</v>
      </c>
      <c r="D85" s="2082"/>
      <c r="E85" s="2082"/>
      <c r="F85" s="1928" t="s">
        <v>83</v>
      </c>
      <c r="G85" s="2082"/>
      <c r="H85" s="1928" t="s">
        <v>83</v>
      </c>
      <c r="I85" s="2085"/>
      <c r="J85" s="2082"/>
      <c r="K85" s="1806" t="str">
        <f>Languages!B503</f>
        <v>Pump</v>
      </c>
      <c r="L85" s="1781"/>
      <c r="M85" s="1781"/>
      <c r="N85" s="1781"/>
      <c r="O85" s="1838"/>
      <c r="P85" s="1841" t="str">
        <f>Languages!B488</f>
        <v>(in mm/year)</v>
      </c>
      <c r="Q85" s="1841" t="str">
        <f>Languages!B490</f>
        <v>(in m)</v>
      </c>
      <c r="R85" s="1806"/>
      <c r="S85" s="2082"/>
      <c r="T85" s="2082"/>
      <c r="U85" s="1781"/>
      <c r="V85" s="1781"/>
      <c r="W85" s="2085"/>
      <c r="AK85" s="2569" t="str">
        <f>AK77</f>
        <v>Irrigation systems</v>
      </c>
      <c r="AL85" s="2569" t="str">
        <f>K84</f>
        <v>Source of energy</v>
      </c>
      <c r="AM85" s="1782"/>
      <c r="AN85" s="2151" t="str">
        <f>AN77</f>
        <v>Unit</v>
      </c>
      <c r="AO85" s="2151"/>
      <c r="AP85" s="2151" t="str">
        <f>AP77</f>
        <v>Default</v>
      </c>
      <c r="AQ85" s="2151" t="str">
        <f>AQ77</f>
        <v>Tier 2</v>
      </c>
      <c r="AR85" s="2558"/>
      <c r="AS85" s="2151" t="str">
        <f>AP85</f>
        <v>Default</v>
      </c>
      <c r="AT85" s="2151" t="str">
        <f>AQ85</f>
        <v>Tier 2</v>
      </c>
      <c r="AU85" s="1782"/>
      <c r="AV85" s="2560" t="str">
        <f>AS85</f>
        <v>Default</v>
      </c>
      <c r="AW85" s="2560" t="str">
        <f>AT85</f>
        <v>Tier 2</v>
      </c>
      <c r="AX85" s="2560"/>
      <c r="AY85" s="2583"/>
      <c r="AZ85" s="2583" t="str">
        <f>AV85</f>
        <v>Default</v>
      </c>
      <c r="BA85" s="2151" t="str">
        <f>AW85</f>
        <v>Tier 2</v>
      </c>
      <c r="BB85" s="1782"/>
      <c r="BD85" s="4548"/>
      <c r="BE85" s="4548"/>
      <c r="BF85" s="4548"/>
      <c r="BI85" s="1813" t="str">
        <f>P85</f>
        <v>(in mm/year)</v>
      </c>
    </row>
    <row r="86" spans="2:62" ht="16.25" customHeight="1" x14ac:dyDescent="0.2">
      <c r="B86" s="2077"/>
      <c r="C86" s="2119" t="s">
        <v>2896</v>
      </c>
      <c r="D86" s="4192">
        <v>100</v>
      </c>
      <c r="E86" s="4193">
        <v>0</v>
      </c>
      <c r="F86" s="4133" t="s">
        <v>86</v>
      </c>
      <c r="G86" s="2116">
        <v>0</v>
      </c>
      <c r="H86" s="4133" t="s">
        <v>86</v>
      </c>
      <c r="I86" s="2085"/>
      <c r="J86" s="1771"/>
      <c r="K86" s="2133" t="s">
        <v>2890</v>
      </c>
      <c r="L86" s="4316" t="str">
        <f>IF(AND(OR(K86="Electricity", K87="Electricity", K88="Electricity", K89="Electricity"), K91="Please select"), "Please select country of origin of electricity", "")</f>
        <v/>
      </c>
      <c r="M86" s="1781"/>
      <c r="N86" s="1781"/>
      <c r="O86" s="4317" t="s">
        <v>471</v>
      </c>
      <c r="P86" s="4192">
        <v>10</v>
      </c>
      <c r="Q86" s="4193">
        <v>25</v>
      </c>
      <c r="R86" s="1806"/>
      <c r="S86" s="2105">
        <f>Inputs!O117+Inputs!O123</f>
        <v>1.2987629961049998</v>
      </c>
      <c r="T86" s="2105">
        <f>Inputs!P117+Inputs!P123</f>
        <v>1.2987629961049998</v>
      </c>
      <c r="U86" s="1843"/>
      <c r="V86" s="1928">
        <f>Inputs!Q117+Inputs!Q123</f>
        <v>0</v>
      </c>
      <c r="W86" s="2085"/>
      <c r="AK86" s="2572" t="str">
        <f>C86</f>
        <v>Trickle</v>
      </c>
      <c r="AL86" s="2584" t="str">
        <f>K86</f>
        <v>Motor Gasoline</v>
      </c>
      <c r="AM86" s="2151"/>
      <c r="AN86" s="2151" t="str">
        <f>IF(AL86="Electricity","tCO2-eq/MWh",IF(F258="solar","-","tCO2-eq/m3"))</f>
        <v>tCO2-eq/m3</v>
      </c>
      <c r="AO86" s="2593"/>
      <c r="AP86" s="2601">
        <f>IF(AL86="Please select",0,VLOOKUP(AL86,'Energy DB'!$G$7:$H$13,2,))</f>
        <v>2.2892733356999995</v>
      </c>
      <c r="AQ86" s="2121"/>
      <c r="AR86" s="2558"/>
      <c r="AS86" s="2611">
        <f>IF(AK86="Please select",0,VLOOKUP(AK86,'Energy DB'!$O$7:$S$12,4,))</f>
        <v>0.9</v>
      </c>
      <c r="AT86" s="2121"/>
      <c r="AU86" s="2560"/>
      <c r="AV86" s="2612">
        <f>IF(AT86="",AS86*10.19,AT86*10.19)</f>
        <v>9.1709999999999994</v>
      </c>
      <c r="AW86" s="2121"/>
      <c r="AX86" s="2560"/>
      <c r="AY86" s="2583"/>
      <c r="AZ86" s="2613">
        <v>0.45</v>
      </c>
      <c r="BA86" s="2121"/>
      <c r="BB86" s="2583"/>
      <c r="BC86" s="1813" t="str">
        <f>O86</f>
        <v>Barley/Oats/Wheat</v>
      </c>
      <c r="BD86" s="4363">
        <v>1</v>
      </c>
      <c r="BE86" s="4364"/>
      <c r="BF86" s="1996"/>
      <c r="BH86" s="1813" t="s">
        <v>471</v>
      </c>
      <c r="BI86" s="1813">
        <v>0</v>
      </c>
    </row>
    <row r="87" spans="2:62" ht="16.25" customHeight="1" x14ac:dyDescent="0.2">
      <c r="B87" s="2077"/>
      <c r="C87" s="2119" t="s">
        <v>2896</v>
      </c>
      <c r="D87" s="4192">
        <v>0</v>
      </c>
      <c r="E87" s="4193">
        <v>85</v>
      </c>
      <c r="F87" s="4133" t="s">
        <v>86</v>
      </c>
      <c r="G87" s="2116">
        <v>0</v>
      </c>
      <c r="H87" s="4133" t="s">
        <v>86</v>
      </c>
      <c r="I87" s="2085"/>
      <c r="J87" s="1771"/>
      <c r="K87" s="2133" t="s">
        <v>2890</v>
      </c>
      <c r="L87" s="1781"/>
      <c r="M87" s="1781"/>
      <c r="N87" s="1781"/>
      <c r="O87" s="4317" t="s">
        <v>459</v>
      </c>
      <c r="P87" s="4192">
        <v>10</v>
      </c>
      <c r="Q87" s="4193">
        <v>25</v>
      </c>
      <c r="R87" s="1806"/>
      <c r="S87" s="2105">
        <f>Inputs!O118+Inputs!O124</f>
        <v>5.5197427334462494</v>
      </c>
      <c r="T87" s="2105">
        <f>Inputs!P118+Inputs!P124</f>
        <v>0</v>
      </c>
      <c r="U87" s="1843"/>
      <c r="V87" s="1928">
        <f>Inputs!Q118+Inputs!Q124</f>
        <v>-5.5197427334462494</v>
      </c>
      <c r="W87" s="2085"/>
      <c r="AK87" s="2572" t="str">
        <f>C87</f>
        <v>Trickle</v>
      </c>
      <c r="AL87" s="2584" t="str">
        <f>K87</f>
        <v>Motor Gasoline</v>
      </c>
      <c r="AM87" s="2151"/>
      <c r="AN87" s="2151" t="str">
        <f>IF(AL87="Electricity","tCO2-eq/MWh",IF(F259="solar","-","tCO2-eq/m3"))</f>
        <v>tCO2-eq/m3</v>
      </c>
      <c r="AO87" s="2593"/>
      <c r="AP87" s="2601">
        <f>IF(AL87="Please select",0,VLOOKUP(AL87,'Energy DB'!$G$7:$H$13,2,))</f>
        <v>2.2892733356999995</v>
      </c>
      <c r="AQ87" s="2121"/>
      <c r="AR87" s="2558"/>
      <c r="AS87" s="2611">
        <f>IF(AK87="Please select",0,VLOOKUP(AK87,'Energy DB'!$O$7:$S$12,4,))</f>
        <v>0.9</v>
      </c>
      <c r="AT87" s="2121"/>
      <c r="AU87" s="2560"/>
      <c r="AV87" s="2612">
        <f>IF(AT87="",AS87*10.19,AT87*10.19)</f>
        <v>9.1709999999999994</v>
      </c>
      <c r="AW87" s="2121"/>
      <c r="AX87" s="2560"/>
      <c r="AY87" s="2583"/>
      <c r="AZ87" s="2613">
        <v>0.45</v>
      </c>
      <c r="BA87" s="2121"/>
      <c r="BB87" s="2583"/>
      <c r="BC87" s="1813" t="str">
        <f>O87</f>
        <v>Alfalfa</v>
      </c>
      <c r="BD87" s="4363">
        <v>1</v>
      </c>
      <c r="BE87" s="4364"/>
      <c r="BF87" s="1996"/>
      <c r="BG87" s="1813" t="s">
        <v>471</v>
      </c>
      <c r="BH87" s="1813" t="s">
        <v>471</v>
      </c>
      <c r="BI87" s="1813">
        <v>0</v>
      </c>
    </row>
    <row r="88" spans="2:62" ht="16.25" customHeight="1" x14ac:dyDescent="0.2">
      <c r="B88" s="2077"/>
      <c r="C88" s="2119" t="s">
        <v>2896</v>
      </c>
      <c r="D88" s="4192">
        <v>0</v>
      </c>
      <c r="E88" s="4193">
        <v>0</v>
      </c>
      <c r="F88" s="4133" t="s">
        <v>86</v>
      </c>
      <c r="G88" s="2116">
        <v>123</v>
      </c>
      <c r="H88" s="4133" t="s">
        <v>86</v>
      </c>
      <c r="I88" s="2085"/>
      <c r="J88" s="1771"/>
      <c r="K88" s="2133" t="s">
        <v>2890</v>
      </c>
      <c r="L88" s="1781"/>
      <c r="M88" s="1781"/>
      <c r="N88" s="1781"/>
      <c r="O88" s="4317" t="s">
        <v>491</v>
      </c>
      <c r="P88" s="4192">
        <v>10</v>
      </c>
      <c r="Q88" s="4193">
        <v>25</v>
      </c>
      <c r="R88" s="1806"/>
      <c r="S88" s="2105">
        <f>Inputs!O119+Inputs!O125</f>
        <v>0</v>
      </c>
      <c r="T88" s="2105">
        <f>Inputs!P119+Inputs!P125</f>
        <v>7.9873924260457487</v>
      </c>
      <c r="U88" s="1843"/>
      <c r="V88" s="1928">
        <f>Inputs!Q119+Inputs!Q125</f>
        <v>7.9873924260457487</v>
      </c>
      <c r="W88" s="2085"/>
      <c r="AK88" s="2572" t="str">
        <f>C88</f>
        <v>Trickle</v>
      </c>
      <c r="AL88" s="2584" t="str">
        <f>K88</f>
        <v>Motor Gasoline</v>
      </c>
      <c r="AM88" s="2151"/>
      <c r="AN88" s="2151" t="str">
        <f>IF(AL88="Electricity","tCO2-eq/MWh",IF(F260="solar","-","tCO2-eq/m3"))</f>
        <v>tCO2-eq/m3</v>
      </c>
      <c r="AO88" s="2593"/>
      <c r="AP88" s="2601">
        <f>IF(AL88="Please select",0,VLOOKUP(AL88,'Energy DB'!$G$7:$H$13,2,))</f>
        <v>2.2892733356999995</v>
      </c>
      <c r="AQ88" s="2121"/>
      <c r="AR88" s="2558"/>
      <c r="AS88" s="2611">
        <f>IF(AK88="Please select",0,VLOOKUP(AK88,'Energy DB'!$O$7:$S$12,4,))</f>
        <v>0.9</v>
      </c>
      <c r="AT88" s="2121"/>
      <c r="AU88" s="2560"/>
      <c r="AV88" s="2612">
        <f>IF(AT88="",AS88*10.19,AT88*10.19)</f>
        <v>9.1709999999999994</v>
      </c>
      <c r="AW88" s="2121"/>
      <c r="AX88" s="2560"/>
      <c r="AY88" s="2573"/>
      <c r="AZ88" s="2613">
        <v>0.45</v>
      </c>
      <c r="BA88" s="2121"/>
      <c r="BB88" s="2583"/>
      <c r="BC88" s="1813" t="str">
        <f>O88</f>
        <v>Maize</v>
      </c>
      <c r="BD88" s="4363">
        <v>1</v>
      </c>
      <c r="BE88" s="4364"/>
      <c r="BF88" s="1996"/>
      <c r="BG88" s="1813" t="s">
        <v>471</v>
      </c>
      <c r="BH88" s="1813" t="s">
        <v>471</v>
      </c>
      <c r="BI88" s="1813">
        <v>0</v>
      </c>
    </row>
    <row r="89" spans="2:62" ht="16.25" customHeight="1" x14ac:dyDescent="0.2">
      <c r="B89" s="2077"/>
      <c r="C89" s="2119" t="s">
        <v>57</v>
      </c>
      <c r="D89" s="4192">
        <v>0</v>
      </c>
      <c r="E89" s="4193">
        <v>0</v>
      </c>
      <c r="F89" s="4133" t="s">
        <v>86</v>
      </c>
      <c r="G89" s="2116">
        <v>0</v>
      </c>
      <c r="H89" s="4133" t="s">
        <v>86</v>
      </c>
      <c r="I89" s="2085"/>
      <c r="J89" s="1771"/>
      <c r="K89" s="2133" t="s">
        <v>57</v>
      </c>
      <c r="L89" s="1781"/>
      <c r="M89" s="1781"/>
      <c r="N89" s="1781"/>
      <c r="O89" s="4317" t="s">
        <v>494</v>
      </c>
      <c r="P89" s="4192"/>
      <c r="Q89" s="4193"/>
      <c r="R89" s="1806"/>
      <c r="S89" s="2105">
        <f>Inputs!O120+Inputs!O126</f>
        <v>0</v>
      </c>
      <c r="T89" s="2105">
        <f>Inputs!P120+Inputs!P126</f>
        <v>0</v>
      </c>
      <c r="U89" s="1843"/>
      <c r="V89" s="1928">
        <f>Inputs!Q120+Inputs!Q126</f>
        <v>0</v>
      </c>
      <c r="W89" s="2085"/>
      <c r="AK89" s="2572" t="str">
        <f>C89</f>
        <v>Please select</v>
      </c>
      <c r="AL89" s="2584" t="str">
        <f>K89</f>
        <v>Please select</v>
      </c>
      <c r="AM89" s="2151"/>
      <c r="AN89" s="2151" t="str">
        <f>IF(AL89="Electricity","tCO2-eq/MWh",IF(F261="solar","-","tCO2-eq/m3"))</f>
        <v>tCO2-eq/m3</v>
      </c>
      <c r="AO89" s="2593"/>
      <c r="AP89" s="2601">
        <f>IF(AL89="Please select",0,VLOOKUP(AL89,'Energy DB'!$G$7:$H$13,2,))</f>
        <v>0</v>
      </c>
      <c r="AQ89" s="2121"/>
      <c r="AR89" s="2558"/>
      <c r="AS89" s="2611">
        <f>IF(AK89="Please select",0,VLOOKUP(AK89,'Energy DB'!$O$7:$S$12,4,))</f>
        <v>0</v>
      </c>
      <c r="AT89" s="2121"/>
      <c r="AU89" s="2560"/>
      <c r="AV89" s="2612">
        <f>IF(AT89="",AS89*10.19,AT89*10.19)</f>
        <v>0</v>
      </c>
      <c r="AW89" s="2121"/>
      <c r="AX89" s="2560"/>
      <c r="AY89" s="2583"/>
      <c r="AZ89" s="2613">
        <v>0.45</v>
      </c>
      <c r="BA89" s="2121"/>
      <c r="BB89" s="2583"/>
      <c r="BC89" s="1813" t="str">
        <f>O89</f>
        <v>Melon</v>
      </c>
      <c r="BD89" s="4363">
        <v>1</v>
      </c>
      <c r="BE89" s="4364"/>
      <c r="BF89" s="1996"/>
      <c r="BG89" s="1813" t="s">
        <v>471</v>
      </c>
      <c r="BH89" s="1813" t="s">
        <v>471</v>
      </c>
      <c r="BI89" s="1813">
        <v>0</v>
      </c>
    </row>
    <row r="90" spans="2:62" ht="16.25" customHeight="1" x14ac:dyDescent="0.2">
      <c r="B90" s="2077"/>
      <c r="C90" s="1781"/>
      <c r="D90" s="1781"/>
      <c r="E90" s="1781"/>
      <c r="F90" s="1781"/>
      <c r="G90" s="2130"/>
      <c r="H90" s="1781"/>
      <c r="I90" s="1781"/>
      <c r="J90" s="1781"/>
      <c r="K90" s="1781"/>
      <c r="L90" s="1781"/>
      <c r="M90" s="1781"/>
      <c r="N90" s="1781"/>
      <c r="O90" s="1781"/>
      <c r="P90" s="1781"/>
      <c r="Q90" s="1781"/>
      <c r="R90" s="1806"/>
      <c r="S90" s="2106"/>
      <c r="T90" s="2106"/>
      <c r="U90" s="2106"/>
      <c r="V90" s="2086"/>
      <c r="W90" s="2085"/>
      <c r="AK90" s="2561"/>
      <c r="AL90" s="1782"/>
      <c r="AM90" s="1782"/>
      <c r="AN90" s="1782"/>
      <c r="AO90" s="1782"/>
      <c r="AP90" s="1782"/>
      <c r="AQ90" s="1782"/>
      <c r="AR90" s="1782"/>
      <c r="AS90" s="1782"/>
      <c r="AT90" s="1782"/>
      <c r="AU90" s="1782"/>
      <c r="AV90" s="1782"/>
      <c r="AW90" s="1782"/>
      <c r="AX90" s="1782"/>
      <c r="AY90" s="1782"/>
      <c r="AZ90" s="1782"/>
      <c r="BA90" s="2151"/>
      <c r="BB90" s="2578"/>
      <c r="BD90" s="1996"/>
      <c r="BE90" s="1996"/>
      <c r="BF90" s="1996"/>
    </row>
    <row r="91" spans="2:62" ht="16.25" customHeight="1" x14ac:dyDescent="0.2">
      <c r="B91" s="2077"/>
      <c r="C91" s="1850"/>
      <c r="D91" s="1781"/>
      <c r="E91" s="1781"/>
      <c r="F91" s="1781"/>
      <c r="G91" s="1781"/>
      <c r="H91" s="1781"/>
      <c r="I91" s="1781"/>
      <c r="J91" s="1850" t="str">
        <f>Languages!B465</f>
        <v>Country of origin of electricity</v>
      </c>
      <c r="K91" s="2133" t="s">
        <v>57</v>
      </c>
      <c r="L91" s="1781"/>
      <c r="M91" s="1781"/>
      <c r="N91" s="1781"/>
      <c r="O91" s="1781"/>
      <c r="P91" s="1781"/>
      <c r="Q91" s="1781"/>
      <c r="R91" s="2132"/>
      <c r="S91" s="2132"/>
      <c r="T91" s="2132"/>
      <c r="U91" s="2132"/>
      <c r="V91" s="2132"/>
      <c r="W91" s="2082"/>
      <c r="AK91" s="2561"/>
      <c r="AL91" s="1782"/>
      <c r="AM91" s="1782"/>
      <c r="AN91" s="2602"/>
      <c r="AO91" s="2602" t="str">
        <f>Languages!B477</f>
        <v>Losses of electricity during transportation</v>
      </c>
      <c r="AP91" s="2603">
        <v>0.1</v>
      </c>
      <c r="AQ91" s="2121"/>
      <c r="AR91" s="1782"/>
      <c r="AS91" s="1782"/>
      <c r="AT91" s="1782"/>
      <c r="AU91" s="1782"/>
      <c r="AV91" s="1782"/>
      <c r="AW91" s="1782"/>
      <c r="AX91" s="1782"/>
      <c r="AY91" s="1782"/>
      <c r="AZ91" s="1782"/>
      <c r="BA91" s="2561"/>
      <c r="BB91" s="2579"/>
      <c r="BD91" s="4548" t="s">
        <v>87</v>
      </c>
      <c r="BE91" s="4548"/>
      <c r="BF91" s="4548"/>
    </row>
    <row r="92" spans="2:62" ht="16.25" customHeight="1" x14ac:dyDescent="0.2">
      <c r="B92" s="2077"/>
      <c r="C92" s="1850"/>
      <c r="D92" s="1781"/>
      <c r="E92" s="1781"/>
      <c r="F92" s="1781"/>
      <c r="G92" s="1781"/>
      <c r="H92" s="1781"/>
      <c r="I92" s="1781"/>
      <c r="J92" s="1850"/>
      <c r="K92" s="1806"/>
      <c r="L92" s="1781"/>
      <c r="M92" s="1781"/>
      <c r="N92" s="1781"/>
      <c r="O92" s="1781"/>
      <c r="P92" s="1781"/>
      <c r="Q92" s="1853"/>
      <c r="R92" s="2279" t="str">
        <f>Languages!B511</f>
        <v>Total irrigation (tCO2-e)</v>
      </c>
      <c r="S92" s="2111">
        <f>SUM(S78:S89)</f>
        <v>6.8185057295512497</v>
      </c>
      <c r="T92" s="2111">
        <f>SUM(T78:T89)</f>
        <v>9.286155422150749</v>
      </c>
      <c r="U92" s="2035"/>
      <c r="V92" s="2112">
        <f>SUM(V78:V89)</f>
        <v>2.4676496925994993</v>
      </c>
      <c r="W92" s="2082"/>
      <c r="AK92" s="2561"/>
      <c r="AL92" s="1782"/>
      <c r="AM92" s="1782"/>
      <c r="AN92" s="2602"/>
      <c r="AO92" s="2602"/>
      <c r="AP92" s="2603"/>
      <c r="AQ92" s="4231"/>
      <c r="AR92" s="1782"/>
      <c r="AS92" s="1782"/>
      <c r="AT92" s="1782"/>
      <c r="AU92" s="1782"/>
      <c r="AV92" s="1782"/>
      <c r="AW92" s="1782"/>
      <c r="AX92" s="1782"/>
      <c r="AY92" s="1782"/>
      <c r="AZ92" s="1782"/>
      <c r="BA92" s="2561"/>
      <c r="BB92" s="2579"/>
      <c r="BD92" s="4548"/>
      <c r="BE92" s="4548"/>
      <c r="BF92" s="4548"/>
    </row>
    <row r="93" spans="2:62" ht="16.25" customHeight="1" x14ac:dyDescent="0.2">
      <c r="B93" s="2082" t="str">
        <f>Languages!B514</f>
        <v xml:space="preserve">For guidance on the calculation of the Gross Irrigation Water Requirement, users can refer to the </v>
      </c>
      <c r="C93" s="2082"/>
      <c r="D93" s="1781"/>
      <c r="E93" s="1781"/>
      <c r="F93" s="4429" t="s">
        <v>3768</v>
      </c>
      <c r="G93" s="1781"/>
      <c r="H93" s="1781"/>
      <c r="I93" s="1781"/>
      <c r="J93" s="1781"/>
      <c r="K93" s="1781"/>
      <c r="L93" s="1781"/>
      <c r="M93" s="1781"/>
      <c r="N93" s="1781"/>
      <c r="O93" s="1781"/>
      <c r="P93" s="1781"/>
      <c r="Q93" s="1781"/>
      <c r="R93" s="1781"/>
      <c r="S93" s="1781"/>
      <c r="T93" s="1781"/>
      <c r="U93" s="1781"/>
      <c r="V93" s="1781"/>
      <c r="W93" s="1781"/>
      <c r="AK93" s="1782"/>
      <c r="AL93" s="1782"/>
      <c r="AM93" s="1782"/>
      <c r="AN93" s="1782"/>
      <c r="AO93" s="1782"/>
      <c r="AP93" s="1782"/>
      <c r="AQ93" s="1782"/>
      <c r="AR93" s="1782"/>
      <c r="AS93" s="1782"/>
      <c r="AT93" s="1782"/>
      <c r="AU93" s="1782"/>
      <c r="AV93" s="1782"/>
      <c r="AW93" s="1782"/>
      <c r="AX93" s="1782"/>
      <c r="AY93" s="1782"/>
      <c r="AZ93" s="1782"/>
      <c r="BA93" s="1782"/>
      <c r="BB93" s="1782"/>
      <c r="BD93" s="4548"/>
      <c r="BE93" s="4548"/>
      <c r="BF93" s="4548"/>
    </row>
    <row r="94" spans="2:62" ht="16.25" customHeight="1" x14ac:dyDescent="0.2">
      <c r="B94" s="1771"/>
      <c r="C94" s="1771"/>
      <c r="D94" s="1771"/>
      <c r="E94" s="1771"/>
      <c r="F94" s="1771"/>
      <c r="G94" s="1771"/>
      <c r="H94" s="1771"/>
      <c r="I94" s="1771"/>
      <c r="J94" s="1771"/>
      <c r="K94" s="1771"/>
      <c r="L94" s="1771"/>
      <c r="M94" s="1771"/>
      <c r="N94" s="1771"/>
      <c r="O94" s="1771"/>
      <c r="P94" s="1771"/>
      <c r="Q94" s="1771"/>
      <c r="R94" s="1771"/>
      <c r="S94" s="1771"/>
      <c r="T94" s="1771"/>
      <c r="U94" s="1771"/>
      <c r="V94" s="1771"/>
      <c r="W94" s="1771"/>
      <c r="AK94" s="1771"/>
      <c r="AL94" s="1771"/>
      <c r="AM94" s="1771"/>
      <c r="AN94" s="1771"/>
      <c r="AO94" s="1771"/>
      <c r="AP94" s="1771"/>
      <c r="AQ94" s="1771"/>
      <c r="AR94" s="1771"/>
      <c r="AS94" s="1771"/>
      <c r="AT94" s="1771"/>
      <c r="AU94" s="1771"/>
      <c r="AV94" s="1771"/>
      <c r="AW94" s="1771"/>
      <c r="AX94" s="1771"/>
      <c r="AY94" s="1771"/>
      <c r="AZ94" s="1771"/>
      <c r="BA94" s="1771"/>
      <c r="BB94" s="1771"/>
      <c r="BC94" s="1771"/>
      <c r="BD94" s="1771"/>
      <c r="BE94" s="1771"/>
      <c r="BF94" s="1771"/>
      <c r="BG94" s="1771"/>
      <c r="BH94" s="1771"/>
      <c r="BI94" s="1771"/>
      <c r="BJ94" s="1771"/>
    </row>
    <row r="95" spans="2:62" ht="16.25" customHeight="1" x14ac:dyDescent="0.2">
      <c r="B95" s="1771"/>
      <c r="C95" s="1771"/>
      <c r="D95" s="1771"/>
      <c r="E95" s="1771"/>
      <c r="F95" s="1771"/>
      <c r="G95" s="1771"/>
      <c r="H95" s="1771"/>
      <c r="I95" s="1771"/>
      <c r="J95" s="1771"/>
      <c r="K95" s="1771"/>
      <c r="L95" s="1771"/>
      <c r="M95" s="1771"/>
      <c r="N95" s="1771"/>
      <c r="O95" s="1771"/>
      <c r="P95" s="1771"/>
      <c r="Q95" s="1771"/>
      <c r="R95" s="1771"/>
      <c r="S95" s="1771"/>
      <c r="T95" s="1771"/>
      <c r="U95" s="1771"/>
      <c r="V95" s="1771"/>
      <c r="W95" s="1771"/>
      <c r="AK95" s="1771"/>
      <c r="AL95" s="1771"/>
      <c r="AM95" s="1771"/>
      <c r="AN95" s="1771"/>
      <c r="AO95" s="1771"/>
      <c r="AP95" s="1771"/>
      <c r="AQ95" s="1771"/>
      <c r="AR95" s="1771"/>
      <c r="AS95" s="1771"/>
      <c r="AT95" s="1771"/>
      <c r="AU95" s="1771"/>
      <c r="AV95" s="1771"/>
      <c r="AW95" s="1771"/>
      <c r="AX95" s="1771"/>
      <c r="AY95" s="1771"/>
      <c r="AZ95" s="1771"/>
      <c r="BA95" s="1771"/>
      <c r="BB95" s="1771"/>
      <c r="BC95" s="1771"/>
      <c r="BD95" s="1771"/>
      <c r="BE95" s="1771"/>
      <c r="BF95" s="1771"/>
      <c r="BG95" s="1771"/>
      <c r="BH95" s="1771"/>
      <c r="BI95" s="1771"/>
      <c r="BJ95" s="1771"/>
    </row>
    <row r="96" spans="2:62" ht="16.25" customHeight="1" x14ac:dyDescent="0.2">
      <c r="B96" s="1771"/>
      <c r="C96" s="1771"/>
      <c r="D96" s="1771"/>
      <c r="E96" s="1771"/>
      <c r="F96" s="1771"/>
      <c r="G96" s="1771"/>
      <c r="H96" s="1771"/>
      <c r="I96" s="1771"/>
      <c r="J96" s="1771"/>
      <c r="K96" s="1771"/>
      <c r="L96" s="1771"/>
      <c r="M96" s="1771"/>
      <c r="N96" s="1771"/>
      <c r="O96" s="1771"/>
      <c r="P96" s="1771"/>
      <c r="Q96" s="1771"/>
      <c r="R96" s="1771"/>
      <c r="S96" s="1771"/>
      <c r="T96" s="1771"/>
      <c r="U96" s="1771"/>
      <c r="V96" s="1771"/>
      <c r="W96" s="1771"/>
      <c r="AK96" s="1771"/>
      <c r="AL96" s="1771"/>
      <c r="AM96" s="1771"/>
      <c r="AN96" s="1771"/>
      <c r="AO96" s="1771"/>
      <c r="AP96" s="1771"/>
      <c r="AQ96" s="1771"/>
      <c r="AR96" s="1771"/>
      <c r="AS96" s="1771"/>
      <c r="AT96" s="1771"/>
      <c r="AU96" s="1771"/>
      <c r="AV96" s="1771"/>
      <c r="AW96" s="1771"/>
      <c r="AX96" s="1771"/>
      <c r="AY96" s="1771"/>
      <c r="AZ96" s="1771"/>
      <c r="BA96" s="1771"/>
      <c r="BB96" s="1771"/>
      <c r="BC96" s="1771"/>
      <c r="BD96" s="1771"/>
      <c r="BE96" s="1771"/>
      <c r="BF96" s="1771"/>
      <c r="BG96" s="1771"/>
      <c r="BH96" s="1771"/>
      <c r="BI96" s="1771"/>
      <c r="BJ96" s="1771"/>
    </row>
    <row r="97" spans="2:62" x14ac:dyDescent="0.2">
      <c r="B97" s="1771"/>
      <c r="C97" s="1771"/>
      <c r="D97" s="1771"/>
      <c r="E97" s="1771"/>
      <c r="F97" s="1771"/>
      <c r="G97" s="1771"/>
      <c r="H97" s="1771"/>
      <c r="I97" s="1771"/>
      <c r="J97" s="1771"/>
      <c r="K97" s="1771"/>
      <c r="L97" s="1771"/>
      <c r="M97" s="1771"/>
      <c r="N97" s="1771"/>
      <c r="O97" s="1771"/>
      <c r="P97" s="1771"/>
      <c r="Q97" s="1771"/>
      <c r="R97" s="1771"/>
      <c r="S97" s="1771"/>
      <c r="T97" s="1771"/>
      <c r="U97" s="1771"/>
      <c r="V97" s="1771"/>
      <c r="W97" s="1771"/>
      <c r="AK97" s="1771"/>
      <c r="AL97" s="1771"/>
      <c r="AM97" s="1771"/>
      <c r="AN97" s="1771"/>
      <c r="AO97" s="1771"/>
      <c r="AP97" s="1771"/>
      <c r="AQ97" s="1771"/>
      <c r="AR97" s="1771"/>
      <c r="AS97" s="1771"/>
      <c r="AT97" s="1771"/>
      <c r="AU97" s="1771"/>
      <c r="AV97" s="1771"/>
      <c r="AW97" s="1771"/>
      <c r="AX97" s="1771"/>
      <c r="AY97" s="1771"/>
      <c r="AZ97" s="1771"/>
      <c r="BA97" s="1771"/>
      <c r="BB97" s="1771"/>
      <c r="BC97" s="1771"/>
      <c r="BD97" s="1771"/>
      <c r="BE97" s="1771"/>
      <c r="BF97" s="1771"/>
      <c r="BG97" s="1771"/>
      <c r="BH97" s="1771"/>
      <c r="BI97" s="1771"/>
      <c r="BJ97" s="1771"/>
    </row>
    <row r="98" spans="2:62" x14ac:dyDescent="0.2">
      <c r="B98" s="1771"/>
      <c r="C98" s="1771"/>
      <c r="D98" s="1771"/>
      <c r="E98" s="1771"/>
      <c r="F98" s="1771"/>
      <c r="G98" s="1771"/>
      <c r="H98" s="1771"/>
      <c r="I98" s="1771"/>
      <c r="J98" s="1771"/>
      <c r="K98" s="1771"/>
      <c r="L98" s="1771"/>
      <c r="M98" s="1771"/>
      <c r="N98" s="1771"/>
      <c r="O98" s="1771"/>
      <c r="P98" s="1771"/>
      <c r="Q98" s="1771"/>
      <c r="R98" s="1771"/>
      <c r="S98" s="1771"/>
      <c r="T98" s="1771"/>
      <c r="U98" s="1771"/>
      <c r="V98" s="1771"/>
      <c r="W98" s="1771"/>
      <c r="AK98" s="1771"/>
      <c r="AL98" s="1771"/>
      <c r="AM98" s="1771"/>
      <c r="AN98" s="1771"/>
      <c r="AO98" s="1771"/>
      <c r="AP98" s="1771"/>
      <c r="AQ98" s="1771"/>
      <c r="AR98" s="1771"/>
      <c r="AS98" s="1771"/>
      <c r="AT98" s="1771"/>
      <c r="AU98" s="1771"/>
      <c r="AV98" s="1771"/>
      <c r="AW98" s="1771"/>
      <c r="AX98" s="1771"/>
      <c r="AY98" s="1771"/>
      <c r="AZ98" s="1771"/>
      <c r="BA98" s="1771"/>
      <c r="BB98" s="1771"/>
      <c r="BC98" s="1771"/>
      <c r="BD98" s="1771"/>
      <c r="BE98" s="1771"/>
      <c r="BF98" s="1771"/>
      <c r="BG98" s="1771"/>
      <c r="BH98" s="1771"/>
      <c r="BI98" s="1771"/>
      <c r="BJ98" s="1771"/>
    </row>
    <row r="99" spans="2:62" x14ac:dyDescent="0.2">
      <c r="B99" s="1771"/>
      <c r="C99" s="1771"/>
      <c r="D99" s="1771"/>
      <c r="E99" s="1771"/>
      <c r="F99" s="1771"/>
      <c r="G99" s="1771"/>
      <c r="H99" s="1771"/>
      <c r="I99" s="1771"/>
      <c r="J99" s="1771"/>
      <c r="K99" s="1771"/>
      <c r="L99" s="1771"/>
      <c r="M99" s="1771"/>
      <c r="N99" s="1771"/>
      <c r="O99" s="1771"/>
      <c r="P99" s="1771"/>
      <c r="Q99" s="1771"/>
      <c r="R99" s="1771"/>
      <c r="S99" s="1771"/>
      <c r="T99" s="1771"/>
      <c r="U99" s="1771"/>
      <c r="V99" s="1771"/>
      <c r="W99" s="1771"/>
      <c r="AK99" s="1771"/>
      <c r="AL99" s="1771"/>
      <c r="AM99" s="1771"/>
      <c r="AN99" s="1771"/>
      <c r="AO99" s="1771"/>
      <c r="AP99" s="1771"/>
      <c r="AQ99" s="1771"/>
      <c r="AR99" s="1771"/>
      <c r="AS99" s="1771"/>
      <c r="AT99" s="1771"/>
      <c r="AU99" s="1771"/>
      <c r="AV99" s="1771"/>
      <c r="AW99" s="1771"/>
      <c r="AX99" s="1771"/>
      <c r="AY99" s="1771"/>
      <c r="AZ99" s="1771"/>
      <c r="BA99" s="1771"/>
      <c r="BB99" s="1771"/>
      <c r="BC99" s="1771"/>
      <c r="BD99" s="1771"/>
      <c r="BE99" s="1771"/>
      <c r="BF99" s="1771"/>
      <c r="BG99" s="1771"/>
      <c r="BH99" s="1771"/>
      <c r="BI99" s="1771"/>
      <c r="BJ99" s="1771"/>
    </row>
    <row r="101" spans="2:62" ht="15.5" customHeight="1" x14ac:dyDescent="0.2"/>
    <row r="102" spans="2:62" ht="45" customHeight="1" x14ac:dyDescent="0.2">
      <c r="B102" s="1769"/>
      <c r="C102" s="2038" t="str">
        <f>Languages!B505</f>
        <v>9.4 BUILDINGS &amp; ROADS</v>
      </c>
      <c r="D102" s="1769"/>
      <c r="E102" s="1769"/>
      <c r="F102" s="1769"/>
      <c r="G102" s="1769"/>
      <c r="H102" s="1769"/>
      <c r="I102" s="1769"/>
      <c r="J102" s="1769"/>
      <c r="K102" s="1769"/>
      <c r="L102" s="1769"/>
      <c r="M102" s="1769"/>
      <c r="N102" s="1769"/>
      <c r="O102" s="1769"/>
      <c r="P102" s="1769"/>
      <c r="Q102" s="1769"/>
      <c r="R102" s="1769"/>
      <c r="S102" s="1769"/>
      <c r="T102" s="1770" t="str">
        <f>T70</f>
        <v>If country-specific data are available, please go to Tier 2:</v>
      </c>
      <c r="U102" s="1769"/>
      <c r="V102" s="1769"/>
      <c r="W102" s="1769"/>
      <c r="AK102" s="2038" t="str">
        <f>C102</f>
        <v>9.4 BUILDINGS &amp; ROADS</v>
      </c>
      <c r="AL102" s="1769"/>
      <c r="AM102" s="1769"/>
      <c r="AN102" s="1769"/>
      <c r="AO102" s="1769"/>
      <c r="AP102" s="1769"/>
      <c r="AQ102" s="1769"/>
      <c r="AR102" s="1769"/>
      <c r="AS102" s="1769"/>
      <c r="AT102" s="1769"/>
      <c r="AV102" s="4366" t="s">
        <v>71</v>
      </c>
      <c r="AW102" s="4366"/>
      <c r="AX102" s="4366"/>
    </row>
    <row r="103" spans="2:62" ht="5.25" customHeight="1" x14ac:dyDescent="0.2">
      <c r="B103" s="1771"/>
      <c r="C103" s="1771"/>
      <c r="D103" s="1771"/>
      <c r="E103" s="1771"/>
      <c r="F103" s="1771"/>
      <c r="G103" s="1771"/>
      <c r="H103" s="1771"/>
      <c r="I103" s="1771"/>
      <c r="J103" s="1771"/>
      <c r="K103" s="1771"/>
      <c r="L103" s="1771"/>
      <c r="M103" s="1771"/>
      <c r="N103" s="1771"/>
      <c r="O103" s="1771"/>
      <c r="P103" s="1771"/>
      <c r="Q103" s="1771"/>
      <c r="R103" s="1771"/>
      <c r="S103" s="1771"/>
      <c r="T103" s="1771"/>
      <c r="U103" s="1771"/>
      <c r="V103" s="1771"/>
      <c r="W103" s="1771"/>
      <c r="AK103" s="1771"/>
      <c r="AL103" s="1771"/>
      <c r="AM103" s="1771"/>
      <c r="AN103" s="1771"/>
      <c r="AO103" s="1771"/>
      <c r="AP103" s="1771"/>
      <c r="AQ103" s="1771"/>
      <c r="AR103" s="1771"/>
      <c r="AS103" s="1771"/>
      <c r="AT103" s="1771"/>
      <c r="AV103" s="1915"/>
      <c r="AW103" s="1915"/>
    </row>
    <row r="104" spans="2:62" x14ac:dyDescent="0.2">
      <c r="B104" s="1781"/>
      <c r="C104" s="1781"/>
      <c r="D104" s="1781"/>
      <c r="E104" s="1781"/>
      <c r="F104" s="1781"/>
      <c r="G104" s="1781"/>
      <c r="H104" s="1781"/>
      <c r="I104" s="1781"/>
      <c r="J104" s="1781"/>
      <c r="K104" s="1781"/>
      <c r="L104" s="1781"/>
      <c r="M104" s="1781"/>
      <c r="N104" s="1781"/>
      <c r="O104" s="1781"/>
      <c r="P104" s="1781"/>
      <c r="Q104" s="1781"/>
      <c r="R104" s="1781"/>
      <c r="S104" s="1781"/>
      <c r="T104" s="1781"/>
      <c r="U104" s="1781"/>
      <c r="V104" s="1781"/>
      <c r="W104" s="1781"/>
      <c r="AK104" s="1782"/>
      <c r="AL104" s="1782"/>
      <c r="AM104" s="1782"/>
      <c r="AN104" s="1782"/>
      <c r="AO104" s="1782"/>
      <c r="AP104" s="1782"/>
      <c r="AQ104" s="1782"/>
      <c r="AR104" s="1782"/>
      <c r="AS104" s="1782"/>
      <c r="AT104" s="1782"/>
      <c r="AV104" s="1889" t="s">
        <v>74</v>
      </c>
      <c r="AW104" s="1889"/>
      <c r="AX104" s="1996"/>
    </row>
    <row r="105" spans="2:62" ht="16" x14ac:dyDescent="0.2">
      <c r="B105" s="1781"/>
      <c r="C105" s="2113" t="str">
        <f>C73</f>
        <v>Description and unit to report</v>
      </c>
      <c r="D105" s="1781"/>
      <c r="E105" s="2089" t="str">
        <f>Languages!B507</f>
        <v>Surfaces (in m2)</v>
      </c>
      <c r="F105" s="1789"/>
      <c r="G105" s="1789"/>
      <c r="H105" s="1781"/>
      <c r="I105" s="1781"/>
      <c r="J105" s="1781"/>
      <c r="K105" s="1781"/>
      <c r="L105" s="1781"/>
      <c r="M105" s="1781"/>
      <c r="N105" s="1781"/>
      <c r="O105" s="1781"/>
      <c r="P105" s="1781"/>
      <c r="Q105" s="1781"/>
      <c r="R105" s="1781"/>
      <c r="S105" s="2114" t="str">
        <f>S74</f>
        <v>Total emissions (tCO2-e)</v>
      </c>
      <c r="T105" s="2086"/>
      <c r="U105" s="2086"/>
      <c r="V105" s="2077" t="str">
        <f>V74</f>
        <v>Balance</v>
      </c>
      <c r="W105" s="1781"/>
      <c r="AK105" s="1783" t="str">
        <f>C105</f>
        <v>Description and unit to report</v>
      </c>
      <c r="AL105" s="1782"/>
      <c r="AM105" s="1782"/>
      <c r="AN105" s="1782"/>
      <c r="AO105" s="1782"/>
      <c r="AP105" s="1782"/>
      <c r="AQ105" s="1782"/>
      <c r="AR105" s="1782"/>
      <c r="AS105" s="1782"/>
      <c r="AT105" s="1782"/>
      <c r="AV105" s="2014" t="s">
        <v>82</v>
      </c>
      <c r="AW105" s="2014"/>
      <c r="AX105" s="1996"/>
    </row>
    <row r="106" spans="2:62" x14ac:dyDescent="0.2">
      <c r="B106" s="1781"/>
      <c r="C106" s="1781"/>
      <c r="D106" s="1781"/>
      <c r="E106" s="1781"/>
      <c r="F106" s="1781"/>
      <c r="G106" s="1781"/>
      <c r="H106" s="1781"/>
      <c r="I106" s="1781"/>
      <c r="J106" s="1781"/>
      <c r="K106" s="1781"/>
      <c r="L106" s="1781"/>
      <c r="M106" s="1781"/>
      <c r="N106" s="1781"/>
      <c r="O106" s="1781"/>
      <c r="P106" s="1781"/>
      <c r="Q106" s="1781"/>
      <c r="R106" s="1781"/>
      <c r="S106" s="1781"/>
      <c r="T106" s="1781"/>
      <c r="U106" s="1781"/>
      <c r="V106" s="1781"/>
      <c r="W106" s="1781"/>
      <c r="AK106" s="1782"/>
      <c r="AL106" s="1782"/>
      <c r="AM106" s="1782"/>
      <c r="AN106" s="1782"/>
      <c r="AO106" s="1782"/>
      <c r="AP106" s="1782"/>
      <c r="AQ106" s="1782"/>
      <c r="AR106" s="1782"/>
      <c r="AS106" s="1782"/>
      <c r="AT106" s="1782"/>
      <c r="AV106" s="1996"/>
      <c r="AW106" s="1996"/>
      <c r="AX106" s="1996"/>
    </row>
    <row r="107" spans="2:62" ht="16" x14ac:dyDescent="0.2">
      <c r="B107" s="1781"/>
      <c r="C107" s="2117" t="str">
        <f>Languages!B506</f>
        <v>Buildings and roads (in m2)</v>
      </c>
      <c r="D107" s="1781"/>
      <c r="E107" s="1806" t="str">
        <f>E76</f>
        <v>Without</v>
      </c>
      <c r="F107" s="1806"/>
      <c r="G107" s="1806" t="str">
        <f>G76</f>
        <v>With</v>
      </c>
      <c r="H107" s="1781"/>
      <c r="I107" s="1781"/>
      <c r="J107" s="1781"/>
      <c r="K107" s="1781"/>
      <c r="L107" s="1781"/>
      <c r="M107" s="1781"/>
      <c r="N107" s="1781"/>
      <c r="O107" s="1781"/>
      <c r="P107" s="1781"/>
      <c r="Q107" s="1781"/>
      <c r="R107" s="1781"/>
      <c r="S107" s="1928" t="str">
        <f>S76</f>
        <v>Without</v>
      </c>
      <c r="T107" s="1928" t="str">
        <f>T76</f>
        <v>With</v>
      </c>
      <c r="U107" s="2086"/>
      <c r="V107" s="2086"/>
      <c r="W107" s="1781"/>
      <c r="AK107" s="1783" t="str">
        <f t="shared" ref="AK107:AK118" si="5">C107</f>
        <v>Buildings and roads (in m2)</v>
      </c>
      <c r="AL107" s="2151" t="str">
        <f>AN46</f>
        <v>Unit</v>
      </c>
      <c r="AM107" s="2151" t="str">
        <f>AP77</f>
        <v>Default</v>
      </c>
      <c r="AN107" s="2151" t="str">
        <f>AQ77</f>
        <v>Tier 2</v>
      </c>
      <c r="AO107" s="1782"/>
      <c r="AP107" s="1782"/>
      <c r="AQ107" s="1782"/>
      <c r="AR107" s="1782"/>
      <c r="AS107" s="1782"/>
      <c r="AT107" s="1782"/>
      <c r="AV107" s="1996"/>
      <c r="AW107" s="1996"/>
      <c r="AX107" s="1996"/>
    </row>
    <row r="108" spans="2:62" ht="16" x14ac:dyDescent="0.2">
      <c r="B108" s="1781"/>
      <c r="C108" s="1781"/>
      <c r="D108" s="1781"/>
      <c r="E108" s="1781"/>
      <c r="F108" s="1781"/>
      <c r="G108" s="1781"/>
      <c r="H108" s="1781"/>
      <c r="I108" s="1781"/>
      <c r="J108" s="1781"/>
      <c r="K108" s="1781"/>
      <c r="L108" s="1781"/>
      <c r="M108" s="1781"/>
      <c r="N108" s="1781"/>
      <c r="O108" s="1781"/>
      <c r="P108" s="1781"/>
      <c r="Q108" s="1781"/>
      <c r="R108" s="1781"/>
      <c r="S108" s="1781"/>
      <c r="T108" s="1781"/>
      <c r="U108" s="1928"/>
      <c r="V108" s="2086"/>
      <c r="W108" s="1781"/>
      <c r="AK108" s="1782"/>
      <c r="AL108" s="2151"/>
      <c r="AM108" s="2151"/>
      <c r="AN108" s="2151"/>
      <c r="AO108" s="1782"/>
      <c r="AP108" s="1782"/>
      <c r="AQ108" s="1782"/>
      <c r="AR108" s="1782"/>
      <c r="AS108" s="1782"/>
      <c r="AT108" s="1782"/>
      <c r="AV108" s="1996"/>
      <c r="AW108" s="1996"/>
      <c r="AX108" s="1996"/>
    </row>
    <row r="109" spans="2:62" ht="16" x14ac:dyDescent="0.2">
      <c r="B109" s="1781"/>
      <c r="C109" s="2133" t="s">
        <v>2928</v>
      </c>
      <c r="D109" s="2082"/>
      <c r="E109" s="2134">
        <v>2</v>
      </c>
      <c r="F109" s="2082"/>
      <c r="G109" s="2134">
        <v>10</v>
      </c>
      <c r="H109" s="1781"/>
      <c r="I109" s="1781"/>
      <c r="J109" s="1781"/>
      <c r="K109" s="1781"/>
      <c r="L109" s="1781"/>
      <c r="M109" s="1781"/>
      <c r="N109" s="1781"/>
      <c r="O109" s="1781"/>
      <c r="P109" s="1781"/>
      <c r="Q109" s="1781"/>
      <c r="R109" s="1781"/>
      <c r="S109" s="2105">
        <f>Inputs!O140</f>
        <v>1.3120000000000001</v>
      </c>
      <c r="T109" s="2105">
        <f>Inputs!P140</f>
        <v>6.5600000000000005</v>
      </c>
      <c r="U109" s="1806"/>
      <c r="V109" s="1928">
        <f>T109-S109</f>
        <v>5.2480000000000002</v>
      </c>
      <c r="W109" s="1781"/>
      <c r="AK109" s="1782" t="str">
        <f t="shared" si="5"/>
        <v>Garage (concrete)</v>
      </c>
      <c r="AL109" s="2151" t="s">
        <v>2799</v>
      </c>
      <c r="AM109" s="2601">
        <f>Inputs!C140</f>
        <v>0.65600000000000003</v>
      </c>
      <c r="AN109" s="2103"/>
      <c r="AO109" s="1782"/>
      <c r="AP109" s="1782"/>
      <c r="AQ109" s="1782"/>
      <c r="AR109" s="1782"/>
      <c r="AS109" s="1782"/>
      <c r="AT109" s="1782"/>
      <c r="AV109" s="4363">
        <v>1</v>
      </c>
      <c r="AW109" s="4364"/>
      <c r="AX109" s="1996"/>
    </row>
    <row r="110" spans="2:62" ht="16" x14ac:dyDescent="0.2">
      <c r="B110" s="1781"/>
      <c r="C110" s="2133" t="s">
        <v>57</v>
      </c>
      <c r="D110" s="2082"/>
      <c r="E110" s="2134">
        <v>0</v>
      </c>
      <c r="F110" s="2082"/>
      <c r="G110" s="2134">
        <v>0</v>
      </c>
      <c r="H110" s="1781"/>
      <c r="I110" s="1781"/>
      <c r="J110" s="1781"/>
      <c r="K110" s="1781"/>
      <c r="L110" s="1781"/>
      <c r="M110" s="1781"/>
      <c r="N110" s="1781"/>
      <c r="O110" s="1781"/>
      <c r="P110" s="1781"/>
      <c r="Q110" s="1781"/>
      <c r="R110" s="1781"/>
      <c r="S110" s="2105">
        <f>Inputs!O141</f>
        <v>0</v>
      </c>
      <c r="T110" s="2105">
        <f>Inputs!P141</f>
        <v>0</v>
      </c>
      <c r="U110" s="1806"/>
      <c r="V110" s="1928">
        <f>T110-S110</f>
        <v>0</v>
      </c>
      <c r="W110" s="1781"/>
      <c r="AK110" s="1782" t="str">
        <f t="shared" si="5"/>
        <v>Please select</v>
      </c>
      <c r="AL110" s="2151" t="s">
        <v>2799</v>
      </c>
      <c r="AM110" s="2601">
        <f>Inputs!C141</f>
        <v>0</v>
      </c>
      <c r="AN110" s="2103"/>
      <c r="AO110" s="1782"/>
      <c r="AP110" s="1782"/>
      <c r="AQ110" s="1782"/>
      <c r="AR110" s="1782"/>
      <c r="AS110" s="1782"/>
      <c r="AT110" s="1782"/>
      <c r="AV110" s="4363">
        <v>1</v>
      </c>
      <c r="AW110" s="4364"/>
      <c r="AX110" s="1996"/>
    </row>
    <row r="111" spans="2:62" ht="16" x14ac:dyDescent="0.2">
      <c r="B111" s="1781"/>
      <c r="C111" s="2133" t="s">
        <v>57</v>
      </c>
      <c r="D111" s="2082"/>
      <c r="E111" s="2134">
        <v>0</v>
      </c>
      <c r="F111" s="2082"/>
      <c r="G111" s="2134">
        <v>0</v>
      </c>
      <c r="H111" s="1781"/>
      <c r="I111" s="1781"/>
      <c r="J111" s="1781"/>
      <c r="K111" s="1781"/>
      <c r="L111" s="1781"/>
      <c r="M111" s="1781"/>
      <c r="N111" s="1781"/>
      <c r="O111" s="1781"/>
      <c r="P111" s="1781"/>
      <c r="Q111" s="1781"/>
      <c r="R111" s="1781"/>
      <c r="S111" s="2105">
        <f>Inputs!O142</f>
        <v>0</v>
      </c>
      <c r="T111" s="2105">
        <f>Inputs!P142</f>
        <v>0</v>
      </c>
      <c r="U111" s="1806"/>
      <c r="V111" s="1928">
        <f>T111-S111</f>
        <v>0</v>
      </c>
      <c r="W111" s="1781"/>
      <c r="AK111" s="1782" t="str">
        <f t="shared" si="5"/>
        <v>Please select</v>
      </c>
      <c r="AL111" s="2151" t="s">
        <v>2799</v>
      </c>
      <c r="AM111" s="2601">
        <f>Inputs!C142</f>
        <v>0</v>
      </c>
      <c r="AN111" s="2103"/>
      <c r="AO111" s="1782"/>
      <c r="AP111" s="1782"/>
      <c r="AQ111" s="1782"/>
      <c r="AR111" s="1782"/>
      <c r="AS111" s="1782"/>
      <c r="AT111" s="1782"/>
      <c r="AV111" s="4363">
        <v>1</v>
      </c>
      <c r="AW111" s="4364"/>
      <c r="AX111" s="1996"/>
    </row>
    <row r="112" spans="2:62" ht="16" x14ac:dyDescent="0.2">
      <c r="B112" s="1781"/>
      <c r="C112" s="2133" t="s">
        <v>57</v>
      </c>
      <c r="D112" s="2082"/>
      <c r="E112" s="2134">
        <v>0</v>
      </c>
      <c r="F112" s="2082"/>
      <c r="G112" s="2134">
        <v>0</v>
      </c>
      <c r="H112" s="1781"/>
      <c r="I112" s="1781"/>
      <c r="J112" s="1781"/>
      <c r="K112" s="1781"/>
      <c r="L112" s="1781"/>
      <c r="M112" s="1781"/>
      <c r="N112" s="1781"/>
      <c r="O112" s="1781"/>
      <c r="P112" s="1781"/>
      <c r="Q112" s="1781"/>
      <c r="R112" s="1781"/>
      <c r="S112" s="2105">
        <f>Inputs!O143</f>
        <v>0</v>
      </c>
      <c r="T112" s="2105">
        <f>Inputs!P143</f>
        <v>0</v>
      </c>
      <c r="U112" s="1806"/>
      <c r="V112" s="1928">
        <f>T112-S112</f>
        <v>0</v>
      </c>
      <c r="W112" s="1781"/>
      <c r="AK112" s="1782" t="str">
        <f t="shared" si="5"/>
        <v>Please select</v>
      </c>
      <c r="AL112" s="2151" t="s">
        <v>2799</v>
      </c>
      <c r="AM112" s="2601">
        <f>Inputs!C143</f>
        <v>0</v>
      </c>
      <c r="AN112" s="2103"/>
      <c r="AO112" s="1782"/>
      <c r="AP112" s="1782"/>
      <c r="AQ112" s="1782"/>
      <c r="AR112" s="1782"/>
      <c r="AS112" s="1782"/>
      <c r="AT112" s="1782"/>
      <c r="AV112" s="4363">
        <v>1</v>
      </c>
      <c r="AW112" s="4364"/>
      <c r="AX112" s="1996"/>
    </row>
    <row r="113" spans="2:50" ht="16" x14ac:dyDescent="0.2">
      <c r="B113" s="1781"/>
      <c r="C113" s="2133" t="s">
        <v>57</v>
      </c>
      <c r="D113" s="1781"/>
      <c r="E113" s="2134">
        <v>0</v>
      </c>
      <c r="F113" s="1781"/>
      <c r="G113" s="2134">
        <v>0</v>
      </c>
      <c r="H113" s="1781"/>
      <c r="I113" s="1781"/>
      <c r="J113" s="1781"/>
      <c r="K113" s="1781"/>
      <c r="L113" s="1781"/>
      <c r="M113" s="1781"/>
      <c r="N113" s="1781"/>
      <c r="O113" s="1781"/>
      <c r="P113" s="1781"/>
      <c r="Q113" s="1781"/>
      <c r="R113" s="1781"/>
      <c r="S113" s="2105">
        <f>Inputs!O144</f>
        <v>0</v>
      </c>
      <c r="T113" s="2105">
        <f>Inputs!P144</f>
        <v>0</v>
      </c>
      <c r="U113" s="1781"/>
      <c r="V113" s="1928">
        <f t="shared" ref="V113:V118" si="6">T113-S113</f>
        <v>0</v>
      </c>
      <c r="W113" s="2082"/>
      <c r="AK113" s="1782" t="str">
        <f t="shared" si="5"/>
        <v>Please select</v>
      </c>
      <c r="AL113" s="2151" t="s">
        <v>2799</v>
      </c>
      <c r="AM113" s="2601">
        <f>Inputs!C144</f>
        <v>0</v>
      </c>
      <c r="AN113" s="2103"/>
      <c r="AO113" s="1782"/>
      <c r="AP113" s="1782"/>
      <c r="AQ113" s="1782"/>
      <c r="AR113" s="1782"/>
      <c r="AS113" s="1782"/>
      <c r="AT113" s="1782"/>
      <c r="AV113" s="4363">
        <v>1</v>
      </c>
      <c r="AW113" s="4364"/>
      <c r="AX113" s="1996"/>
    </row>
    <row r="114" spans="2:50" ht="15.5" customHeight="1" x14ac:dyDescent="0.2">
      <c r="B114" s="1781"/>
      <c r="C114" s="2133" t="s">
        <v>57</v>
      </c>
      <c r="D114" s="1781"/>
      <c r="E114" s="2134">
        <v>0</v>
      </c>
      <c r="F114" s="1781"/>
      <c r="G114" s="2134">
        <v>0</v>
      </c>
      <c r="H114" s="1781"/>
      <c r="I114" s="1781"/>
      <c r="J114" s="1781"/>
      <c r="K114" s="1781"/>
      <c r="L114" s="1781"/>
      <c r="M114" s="1781"/>
      <c r="N114" s="1781"/>
      <c r="O114" s="1781"/>
      <c r="P114" s="1781"/>
      <c r="Q114" s="1781"/>
      <c r="R114" s="1781"/>
      <c r="S114" s="2105">
        <f>Inputs!O145</f>
        <v>0</v>
      </c>
      <c r="T114" s="2105">
        <f>Inputs!P145</f>
        <v>0</v>
      </c>
      <c r="U114" s="1781"/>
      <c r="V114" s="1928">
        <f t="shared" si="6"/>
        <v>0</v>
      </c>
      <c r="W114" s="1781"/>
      <c r="AK114" s="1782" t="str">
        <f t="shared" si="5"/>
        <v>Please select</v>
      </c>
      <c r="AL114" s="2151" t="s">
        <v>2799</v>
      </c>
      <c r="AM114" s="2601">
        <f>Inputs!C145</f>
        <v>0</v>
      </c>
      <c r="AN114" s="2103"/>
      <c r="AO114" s="1782"/>
      <c r="AP114" s="1782"/>
      <c r="AQ114" s="1782"/>
      <c r="AR114" s="1782"/>
      <c r="AS114" s="1782"/>
      <c r="AT114" s="1782"/>
      <c r="AV114" s="4363">
        <v>1</v>
      </c>
      <c r="AW114" s="4364"/>
      <c r="AX114" s="4363"/>
    </row>
    <row r="115" spans="2:50" ht="16" x14ac:dyDescent="0.2">
      <c r="B115" s="1781"/>
      <c r="C115" s="2133" t="s">
        <v>57</v>
      </c>
      <c r="D115" s="1781"/>
      <c r="E115" s="2134">
        <v>0</v>
      </c>
      <c r="F115" s="1781"/>
      <c r="G115" s="2134">
        <v>0</v>
      </c>
      <c r="H115" s="1781"/>
      <c r="I115" s="1781"/>
      <c r="J115" s="1781"/>
      <c r="K115" s="1781"/>
      <c r="L115" s="1781"/>
      <c r="M115" s="1781"/>
      <c r="N115" s="1781"/>
      <c r="O115" s="1781"/>
      <c r="P115" s="1781"/>
      <c r="Q115" s="1781"/>
      <c r="R115" s="1781"/>
      <c r="S115" s="2105">
        <f>Inputs!O146</f>
        <v>0</v>
      </c>
      <c r="T115" s="2105">
        <f>Inputs!P146</f>
        <v>0</v>
      </c>
      <c r="U115" s="1781"/>
      <c r="V115" s="1928">
        <f t="shared" si="6"/>
        <v>0</v>
      </c>
      <c r="W115" s="1781"/>
      <c r="AK115" s="1782" t="str">
        <f t="shared" si="5"/>
        <v>Please select</v>
      </c>
      <c r="AL115" s="2151" t="s">
        <v>2799</v>
      </c>
      <c r="AM115" s="2601">
        <f>Inputs!C146</f>
        <v>0</v>
      </c>
      <c r="AN115" s="2103"/>
      <c r="AO115" s="1782"/>
      <c r="AP115" s="1782"/>
      <c r="AQ115" s="1782"/>
      <c r="AR115" s="1782"/>
      <c r="AS115" s="1782"/>
      <c r="AT115" s="1782"/>
      <c r="AV115" s="4363">
        <v>1</v>
      </c>
      <c r="AW115" s="4364"/>
      <c r="AX115" s="4363"/>
    </row>
    <row r="116" spans="2:50" ht="16" x14ac:dyDescent="0.2">
      <c r="B116" s="1781"/>
      <c r="C116" s="2133" t="s">
        <v>57</v>
      </c>
      <c r="D116" s="1781"/>
      <c r="E116" s="2134">
        <v>0</v>
      </c>
      <c r="F116" s="1781"/>
      <c r="G116" s="2134">
        <v>0</v>
      </c>
      <c r="H116" s="1781"/>
      <c r="I116" s="1781"/>
      <c r="J116" s="1781"/>
      <c r="K116" s="1781"/>
      <c r="L116" s="1781"/>
      <c r="M116" s="1781"/>
      <c r="N116" s="1781"/>
      <c r="O116" s="1781"/>
      <c r="P116" s="1781"/>
      <c r="Q116" s="1781"/>
      <c r="R116" s="1781"/>
      <c r="S116" s="2105">
        <f>Inputs!O147</f>
        <v>0</v>
      </c>
      <c r="T116" s="2105">
        <f>Inputs!P147</f>
        <v>0</v>
      </c>
      <c r="U116" s="1781"/>
      <c r="V116" s="1928">
        <f t="shared" si="6"/>
        <v>0</v>
      </c>
      <c r="W116" s="1781"/>
      <c r="AK116" s="1782" t="str">
        <f t="shared" si="5"/>
        <v>Please select</v>
      </c>
      <c r="AL116" s="2151" t="s">
        <v>2799</v>
      </c>
      <c r="AM116" s="2601">
        <f>Inputs!C147</f>
        <v>0</v>
      </c>
      <c r="AN116" s="2103"/>
      <c r="AO116" s="1782"/>
      <c r="AP116" s="1782"/>
      <c r="AQ116" s="1782"/>
      <c r="AR116" s="1782"/>
      <c r="AS116" s="1782"/>
      <c r="AT116" s="1782"/>
      <c r="AV116" s="4363">
        <v>1</v>
      </c>
      <c r="AW116" s="4364"/>
      <c r="AX116" s="4363"/>
    </row>
    <row r="117" spans="2:50" ht="16" x14ac:dyDescent="0.2">
      <c r="B117" s="1781"/>
      <c r="C117" s="2133" t="s">
        <v>57</v>
      </c>
      <c r="D117" s="1781"/>
      <c r="E117" s="2134">
        <v>0</v>
      </c>
      <c r="F117" s="1781"/>
      <c r="G117" s="2134">
        <v>0</v>
      </c>
      <c r="H117" s="1781"/>
      <c r="I117" s="1781"/>
      <c r="J117" s="1781"/>
      <c r="K117" s="1781"/>
      <c r="L117" s="1781"/>
      <c r="M117" s="1781"/>
      <c r="N117" s="1781"/>
      <c r="O117" s="1781"/>
      <c r="P117" s="1781"/>
      <c r="Q117" s="1781"/>
      <c r="R117" s="1781"/>
      <c r="S117" s="2105">
        <f>Inputs!O148</f>
        <v>0</v>
      </c>
      <c r="T117" s="2105">
        <f>Inputs!P148</f>
        <v>0</v>
      </c>
      <c r="U117" s="1781"/>
      <c r="V117" s="1928">
        <f t="shared" si="6"/>
        <v>0</v>
      </c>
      <c r="W117" s="1781"/>
      <c r="AK117" s="1782" t="str">
        <f t="shared" si="5"/>
        <v>Please select</v>
      </c>
      <c r="AL117" s="2151" t="s">
        <v>2799</v>
      </c>
      <c r="AM117" s="2601">
        <f>Inputs!C148</f>
        <v>0</v>
      </c>
      <c r="AN117" s="2103"/>
      <c r="AO117" s="1782"/>
      <c r="AP117" s="1782"/>
      <c r="AQ117" s="1782"/>
      <c r="AR117" s="1782"/>
      <c r="AS117" s="1782"/>
      <c r="AT117" s="1782"/>
      <c r="AV117" s="4363">
        <v>1</v>
      </c>
      <c r="AW117" s="4364"/>
      <c r="AX117" s="4363"/>
    </row>
    <row r="118" spans="2:50" ht="16" x14ac:dyDescent="0.2">
      <c r="B118" s="1781"/>
      <c r="C118" s="2133" t="s">
        <v>57</v>
      </c>
      <c r="D118" s="1781"/>
      <c r="E118" s="2134">
        <v>0</v>
      </c>
      <c r="F118" s="1781"/>
      <c r="G118" s="2134">
        <v>0</v>
      </c>
      <c r="H118" s="1781"/>
      <c r="I118" s="1781"/>
      <c r="J118" s="1781"/>
      <c r="K118" s="1781"/>
      <c r="L118" s="1781"/>
      <c r="M118" s="1781"/>
      <c r="N118" s="1781"/>
      <c r="O118" s="1781"/>
      <c r="P118" s="1781"/>
      <c r="Q118" s="1781"/>
      <c r="R118" s="1781"/>
      <c r="S118" s="2105">
        <f>Inputs!O149</f>
        <v>0</v>
      </c>
      <c r="T118" s="2105">
        <f>Inputs!P149</f>
        <v>0</v>
      </c>
      <c r="U118" s="1781"/>
      <c r="V118" s="1928">
        <f t="shared" si="6"/>
        <v>0</v>
      </c>
      <c r="W118" s="1781"/>
      <c r="AK118" s="1782" t="str">
        <f t="shared" si="5"/>
        <v>Please select</v>
      </c>
      <c r="AL118" s="2151" t="s">
        <v>2799</v>
      </c>
      <c r="AM118" s="2601">
        <f>Inputs!C149</f>
        <v>0</v>
      </c>
      <c r="AN118" s="2103"/>
      <c r="AO118" s="1782"/>
      <c r="AP118" s="1782"/>
      <c r="AQ118" s="1782"/>
      <c r="AR118" s="1782"/>
      <c r="AS118" s="1782"/>
      <c r="AT118" s="1782"/>
      <c r="AV118" s="4363">
        <v>1</v>
      </c>
      <c r="AW118" s="4364"/>
      <c r="AX118" s="4363"/>
    </row>
    <row r="119" spans="2:50" ht="16" x14ac:dyDescent="0.2">
      <c r="B119" s="1781"/>
      <c r="C119" s="1781"/>
      <c r="D119" s="1781"/>
      <c r="E119" s="1781"/>
      <c r="F119" s="1781"/>
      <c r="G119" s="1781"/>
      <c r="H119" s="1781"/>
      <c r="I119" s="1781"/>
      <c r="J119" s="1781"/>
      <c r="K119" s="1781"/>
      <c r="L119" s="1781"/>
      <c r="M119" s="1781"/>
      <c r="N119" s="1781"/>
      <c r="O119" s="1781"/>
      <c r="P119" s="1781"/>
      <c r="Q119" s="1781"/>
      <c r="R119" s="1781"/>
      <c r="S119" s="2082"/>
      <c r="T119" s="2082"/>
      <c r="U119" s="1781"/>
      <c r="V119" s="1781"/>
      <c r="W119" s="1781"/>
      <c r="AK119" s="1782"/>
      <c r="AL119" s="1782"/>
      <c r="AM119" s="1782"/>
      <c r="AN119" s="1782"/>
      <c r="AO119" s="1782"/>
      <c r="AP119" s="1782"/>
      <c r="AQ119" s="1782"/>
      <c r="AR119" s="1782"/>
      <c r="AS119" s="1782"/>
      <c r="AT119" s="1782"/>
      <c r="AV119" s="4363">
        <v>1</v>
      </c>
      <c r="AW119" s="4364"/>
      <c r="AX119" s="4363"/>
    </row>
    <row r="120" spans="2:50" ht="16" x14ac:dyDescent="0.2">
      <c r="B120" s="1781"/>
      <c r="C120" s="1781"/>
      <c r="D120" s="1781"/>
      <c r="E120" s="1781"/>
      <c r="F120" s="1781"/>
      <c r="G120" s="1781"/>
      <c r="H120" s="1781"/>
      <c r="I120" s="1781"/>
      <c r="J120" s="1781"/>
      <c r="K120" s="1781"/>
      <c r="L120" s="1781"/>
      <c r="M120" s="1781"/>
      <c r="N120" s="1781"/>
      <c r="O120" s="1781"/>
      <c r="P120" s="1781"/>
      <c r="Q120" s="1853"/>
      <c r="R120" s="2279" t="str">
        <f>Languages!B512</f>
        <v>Total buildings and roads (tCO2-e)</v>
      </c>
      <c r="S120" s="2111">
        <f>SUM(S109:S118)</f>
        <v>1.3120000000000001</v>
      </c>
      <c r="T120" s="2111">
        <f>SUM(T109:T118)</f>
        <v>6.5600000000000005</v>
      </c>
      <c r="U120" s="2111"/>
      <c r="V120" s="2111">
        <f>SUM(V109:V118)</f>
        <v>5.2480000000000002</v>
      </c>
      <c r="W120" s="1781"/>
      <c r="AK120" s="1782"/>
      <c r="AL120" s="1782"/>
      <c r="AM120" s="1782"/>
      <c r="AN120" s="1782"/>
      <c r="AO120" s="1782"/>
      <c r="AP120" s="1782"/>
      <c r="AQ120" s="1782"/>
      <c r="AR120" s="1782"/>
      <c r="AS120" s="1782"/>
      <c r="AT120" s="1782"/>
      <c r="AV120" s="4363"/>
      <c r="AW120" s="4363"/>
      <c r="AX120" s="4363"/>
    </row>
    <row r="121" spans="2:50" x14ac:dyDescent="0.2">
      <c r="B121" s="1781"/>
      <c r="C121" s="1781"/>
      <c r="D121" s="1781"/>
      <c r="E121" s="1781"/>
      <c r="F121" s="1781"/>
      <c r="G121" s="1781"/>
      <c r="H121" s="1781"/>
      <c r="I121" s="1781"/>
      <c r="J121" s="1781"/>
      <c r="K121" s="1781"/>
      <c r="L121" s="1781"/>
      <c r="M121" s="1781"/>
      <c r="N121" s="1781"/>
      <c r="O121" s="1781"/>
      <c r="P121" s="1781"/>
      <c r="Q121" s="1781"/>
      <c r="R121" s="1781"/>
      <c r="S121" s="1781"/>
      <c r="T121" s="1781"/>
      <c r="U121" s="1781"/>
      <c r="V121" s="1781"/>
      <c r="W121" s="1781"/>
      <c r="AK121" s="1782"/>
      <c r="AL121" s="1782"/>
      <c r="AM121" s="1782"/>
      <c r="AN121" s="1782"/>
      <c r="AO121" s="1782"/>
      <c r="AP121" s="1782"/>
      <c r="AQ121" s="1782"/>
      <c r="AR121" s="1782"/>
      <c r="AS121" s="1782"/>
      <c r="AT121" s="1782"/>
      <c r="AV121" s="4363"/>
      <c r="AW121" s="4363"/>
      <c r="AX121" s="4363"/>
    </row>
    <row r="122" spans="2:50" x14ac:dyDescent="0.2">
      <c r="AK122" s="1782"/>
      <c r="AL122" s="1782"/>
      <c r="AM122" s="1782"/>
      <c r="AN122" s="1782"/>
      <c r="AO122" s="1782"/>
      <c r="AP122" s="1782"/>
      <c r="AQ122" s="1782"/>
      <c r="AR122" s="1782"/>
      <c r="AS122" s="1782"/>
      <c r="AT122" s="1782"/>
      <c r="AV122" s="4548" t="s">
        <v>87</v>
      </c>
      <c r="AW122" s="4548"/>
      <c r="AX122" s="4548"/>
    </row>
    <row r="123" spans="2:50" x14ac:dyDescent="0.2">
      <c r="AK123" s="1782"/>
      <c r="AL123" s="1782"/>
      <c r="AM123" s="1782"/>
      <c r="AN123" s="1782"/>
      <c r="AO123" s="1782"/>
      <c r="AP123" s="1782"/>
      <c r="AQ123" s="1782"/>
      <c r="AR123" s="1782"/>
      <c r="AS123" s="1782"/>
      <c r="AT123" s="1782"/>
      <c r="AV123" s="4548"/>
      <c r="AW123" s="4548"/>
      <c r="AX123" s="4548"/>
    </row>
    <row r="124" spans="2:50" ht="14.5" customHeight="1" x14ac:dyDescent="0.2">
      <c r="AK124" s="1782"/>
      <c r="AL124" s="1782"/>
      <c r="AM124" s="1782"/>
      <c r="AN124" s="1782"/>
      <c r="AO124" s="1782"/>
      <c r="AP124" s="1782"/>
      <c r="AQ124" s="1782"/>
      <c r="AR124" s="1782"/>
      <c r="AS124" s="1782"/>
      <c r="AT124" s="1782"/>
      <c r="AV124" s="4548"/>
      <c r="AW124" s="4548"/>
      <c r="AX124" s="4548"/>
    </row>
    <row r="125" spans="2:50" x14ac:dyDescent="0.2">
      <c r="AV125" s="1771"/>
      <c r="AW125" s="1771"/>
      <c r="AX125" s="1771"/>
    </row>
  </sheetData>
  <sheetProtection algorithmName="SHA-512" hashValue="qV8wKr960g850adAcVo26mSOyvnUARyPdQ5z1nYXJEp4H+v8ppcu7oj2lKc+KKJosaOStk1lJtIZac9eUzMKKw==" saltValue="ipAcrZwylR95YJs7pH1lVg==" spinCount="100000" sheet="1" formatColumns="0"/>
  <mergeCells count="5">
    <mergeCell ref="AV122:AX124"/>
    <mergeCell ref="BD91:BF93"/>
    <mergeCell ref="BD83:BF85"/>
    <mergeCell ref="BD66:BF68"/>
    <mergeCell ref="BD36:BF38"/>
  </mergeCells>
  <conditionalFormatting sqref="P16:Q16">
    <cfRule type="expression" dxfId="76" priority="1">
      <formula>$BA$37="Yes"</formula>
    </cfRule>
  </conditionalFormatting>
  <conditionalFormatting sqref="R16">
    <cfRule type="expression" dxfId="75" priority="6">
      <formula>$BA$37="Yes"</formula>
    </cfRule>
  </conditionalFormatting>
  <conditionalFormatting sqref="R53">
    <cfRule type="expression" dxfId="74" priority="5">
      <formula>$BA$40="Yes"</formula>
    </cfRule>
  </conditionalFormatting>
  <conditionalFormatting sqref="R78">
    <cfRule type="expression" dxfId="73" priority="3">
      <formula>$BA$40="Yes"</formula>
    </cfRule>
  </conditionalFormatting>
  <conditionalFormatting sqref="BA53">
    <cfRule type="expression" dxfId="72" priority="4">
      <formula>$BA$40="Yes"</formula>
    </cfRule>
  </conditionalFormatting>
  <conditionalFormatting sqref="BA78">
    <cfRule type="expression" dxfId="71" priority="2">
      <formula>$BA$39="Yes"</formula>
    </cfRule>
  </conditionalFormatting>
  <dataValidations count="2">
    <dataValidation type="custom" allowBlank="1" showInputMessage="1" showErrorMessage="1" sqref="K35:L35 K27:K28 AY36 AU36:AV36 K32:K33 L27:L33 O27:O33 O35" xr:uid="{00000000-0002-0000-1C00-000000000000}">
      <formula1>"&gt;=0"</formula1>
    </dataValidation>
    <dataValidation type="decimal" operator="greaterThanOrEqual" allowBlank="1" showInputMessage="1" showErrorMessage="1" sqref="R35:R36 AW24:AW35 AZ15:AZ18 AW15:AW18 BA36 R65 BA65 R90 BA90 AZ24:AZ35 R27:R33 Q32:Q33 Q35" xr:uid="{00000000-0002-0000-1C00-000001000000}">
      <formula1>0</formula1>
    </dataValidation>
  </dataValidations>
  <hyperlinks>
    <hyperlink ref="F93" location="HELP!A130" display="Help tab" xr:uid="{00000000-0004-0000-1C00-00000000000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1C00-000002000000}">
          <x14:formula1>
            <xm:f>'/5846BAA7/[ex-act_18022020.xlsx]list'!#REF!</xm:f>
          </x14:formula1>
          <xm:sqref>N35 J27:J28 N27:N28 H82 F82 AX36 AT36 H20 F58 F20 H58 N32:N33 J32:J33 J35</xm:sqref>
        </x14:dataValidation>
        <x14:dataValidation type="list" allowBlank="1" showInputMessage="1" showErrorMessage="1" xr:uid="{00000000-0002-0000-1C00-000003000000}">
          <x14:formula1>
            <xm:f>OFFSET(list_region_country!$G$3,1,MATCH(continent_selected, list_region_country!$G$3:$V$3,0)-1,COUNTA(OFFSET(list_region_country!$G$3,1,MATCH(continent_selected, list_region_country!$G$3:$V$3,0)-1,60,1)),1)</xm:f>
          </x14:formula1>
          <xm:sqref>C49 K91</xm:sqref>
        </x14:dataValidation>
        <x14:dataValidation type="list" allowBlank="1" showInputMessage="1" showErrorMessage="1" xr:uid="{00000000-0002-0000-1C00-000004000000}">
          <x14:formula1>
            <xm:f>IPCC!$A$1727:$A$1741</xm:f>
          </x14:formula1>
          <xm:sqref>C53:C56</xm:sqref>
        </x14:dataValidation>
        <x14:dataValidation type="list" allowBlank="1" showInputMessage="1" showErrorMessage="1" xr:uid="{00000000-0002-0000-1C00-000005000000}">
          <x14:formula1>
            <xm:f>'Energy DB'!$A$7:$A$16</xm:f>
          </x14:formula1>
          <xm:sqref>C78:C81</xm:sqref>
        </x14:dataValidation>
        <x14:dataValidation type="list" allowBlank="1" showInputMessage="1" showErrorMessage="1" xr:uid="{00000000-0002-0000-1C00-000006000000}">
          <x14:formula1>
            <xm:f>'Energy DB'!$O$6:$O$12</xm:f>
          </x14:formula1>
          <xm:sqref>C86:C89</xm:sqref>
        </x14:dataValidation>
        <x14:dataValidation type="list" allowBlank="1" showInputMessage="1" showErrorMessage="1" xr:uid="{00000000-0002-0000-1C00-000007000000}">
          <x14:formula1>
            <xm:f>'Energy DB'!$G$6:$G$13</xm:f>
          </x14:formula1>
          <xm:sqref>K86:K89</xm:sqref>
        </x14:dataValidation>
        <x14:dataValidation type="list" allowBlank="1" showInputMessage="1" showErrorMessage="1" xr:uid="{00000000-0002-0000-1C00-000008000000}">
          <x14:formula1>
            <xm:f>'/5846BAA7/[ex-act_18022020.xlsx]Crop H2O'!#REF!</xm:f>
          </x14:formula1>
          <xm:sqref>BH86:BH89</xm:sqref>
        </x14:dataValidation>
        <x14:dataValidation type="list" allowBlank="1" showInputMessage="1" showErrorMessage="1" xr:uid="{00000000-0002-0000-1C00-000009000000}">
          <x14:formula1>
            <xm:f>list!$J$41:$J$42</xm:f>
          </x14:formula1>
          <xm:sqref>BA37</xm:sqref>
        </x14:dataValidation>
        <x14:dataValidation type="list" allowBlank="1" showInputMessage="1" showErrorMessage="1" xr:uid="{00000000-0002-0000-1C00-00000A000000}">
          <x14:formula1>
            <xm:f>list!$I$48:$I$50</xm:f>
          </x14:formula1>
          <xm:sqref>F12:F14 H12:H14 F16:F19 H16:H19 F21:F22 H21:H22 F24:F26 H24:H26 F29:F31 H29:H31 F49:F50 H49:H50 F53:F57 H53:H57 F60:F64 H86:H89 F86:F89 H60:H64 F34 H34</xm:sqref>
        </x14:dataValidation>
        <x14:dataValidation type="list" allowBlank="1" showInputMessage="1" showErrorMessage="1" xr:uid="{00000000-0002-0000-1C00-00000B000000}">
          <x14:formula1>
            <xm:f>list!$E$223:$E$224</xm:f>
          </x14:formula1>
          <xm:sqref>AU60:AU62</xm:sqref>
        </x14:dataValidation>
        <x14:dataValidation type="list" allowBlank="1" showInputMessage="1" showErrorMessage="1" xr:uid="{00000000-0002-0000-1C00-00000C000000}">
          <x14:formula1>
            <xm:f>'Energy DB'!$A$27:$A$45</xm:f>
          </x14:formula1>
          <xm:sqref>C109:C118</xm:sqref>
        </x14:dataValidation>
        <x14:dataValidation type="list" allowBlank="1" showInputMessage="1" showErrorMessage="1" xr:uid="{00000000-0002-0000-1C00-00000D000000}">
          <x14:formula1>
            <xm:f>Elec!$J$2:$J$3</xm:f>
          </x14:formula1>
          <xm:sqref>AT47</xm:sqref>
        </x14:dataValidation>
        <x14:dataValidation type="whole" operator="lessThanOrEqual" allowBlank="1" showInputMessage="1" showErrorMessage="1" error="The start year of the activity cannot be after the end of the implementation period." xr:uid="{00000000-0002-0000-1C00-00000E000000}">
          <x14:formula1>
            <xm:f>'1.Description'!$T$13</xm:f>
          </x14:formula1>
          <xm:sqref>BE12:BE14 BE16:BE19 BE21:BE22 BE24:BE26 BE29:BE31 BE34 BE47 BE49 BE53:BE58 BE60:BE64 BE78:BE81 BE86:BE89 AW109:AW119</xm:sqref>
        </x14:dataValidation>
      </x14:dataValidations>
    </ext>
  </extLst>
</worksheet>
</file>

<file path=xl/worksheets/sheet2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Y153"/>
  <sheetViews>
    <sheetView topLeftCell="A99" zoomScale="70" zoomScaleNormal="70" workbookViewId="0">
      <selection activeCell="D140" sqref="D140"/>
    </sheetView>
  </sheetViews>
  <sheetFormatPr baseColWidth="10" defaultColWidth="9.33203125" defaultRowHeight="14" x14ac:dyDescent="0.15"/>
  <cols>
    <col min="1" max="1" width="9.33203125" style="973"/>
    <col min="2" max="2" width="63" style="973" customWidth="1"/>
    <col min="3" max="3" width="15.5" style="973" bestFit="1" customWidth="1"/>
    <col min="4" max="4" width="10.5" style="973" bestFit="1" customWidth="1"/>
    <col min="5" max="5" width="15.5" style="973" customWidth="1"/>
    <col min="6" max="7" width="12.33203125" style="973" customWidth="1"/>
    <col min="8" max="8" width="10.5" style="973" customWidth="1"/>
    <col min="9" max="9" width="11.6640625" style="973" customWidth="1"/>
    <col min="10" max="10" width="9.33203125" style="973"/>
    <col min="11" max="11" width="9.5" style="973" bestFit="1" customWidth="1"/>
    <col min="12" max="12" width="12.5" style="973" customWidth="1"/>
    <col min="13" max="13" width="10" style="973" bestFit="1" customWidth="1"/>
    <col min="14" max="14" width="9.33203125" style="973"/>
    <col min="15" max="15" width="15" style="973" customWidth="1"/>
    <col min="16" max="16" width="10.5" style="973" bestFit="1" customWidth="1"/>
    <col min="17" max="17" width="11.6640625" style="973" customWidth="1"/>
    <col min="18" max="20" width="9.33203125" style="973"/>
    <col min="21" max="23" width="9.33203125" style="992"/>
    <col min="24" max="16384" width="9.33203125" style="973"/>
  </cols>
  <sheetData>
    <row r="1" spans="1:25" ht="53.75" customHeight="1" x14ac:dyDescent="0.15">
      <c r="A1" s="973" t="s">
        <v>2800</v>
      </c>
      <c r="D1" s="1059" t="s">
        <v>2801</v>
      </c>
      <c r="X1" s="974"/>
      <c r="Y1" s="974"/>
    </row>
    <row r="2" spans="1:25" x14ac:dyDescent="0.15">
      <c r="X2" s="974"/>
      <c r="Y2" s="974"/>
    </row>
    <row r="3" spans="1:25" ht="47.25" customHeight="1" x14ac:dyDescent="0.15">
      <c r="A3" s="975"/>
      <c r="B3" s="975" t="s">
        <v>2802</v>
      </c>
      <c r="C3" s="975"/>
      <c r="D3" s="975"/>
      <c r="E3" s="975"/>
      <c r="F3" s="975"/>
      <c r="G3" s="975"/>
      <c r="H3" s="975"/>
      <c r="I3" s="975"/>
      <c r="J3" s="975"/>
      <c r="K3" s="975"/>
      <c r="L3" s="975"/>
      <c r="M3" s="975"/>
      <c r="N3" s="975"/>
      <c r="O3" s="975"/>
      <c r="P3" s="975"/>
      <c r="Q3" s="975"/>
      <c r="R3" s="975"/>
      <c r="X3" s="974"/>
      <c r="Y3" s="974"/>
    </row>
    <row r="4" spans="1:25" x14ac:dyDescent="0.15">
      <c r="B4" s="973" t="s">
        <v>2803</v>
      </c>
      <c r="E4" s="973" t="s">
        <v>2804</v>
      </c>
      <c r="K4" s="973" t="s">
        <v>2805</v>
      </c>
      <c r="O4" s="973" t="s">
        <v>2806</v>
      </c>
    </row>
    <row r="5" spans="1:25" x14ac:dyDescent="0.15">
      <c r="C5" s="1688" t="s">
        <v>864</v>
      </c>
      <c r="D5" s="1688" t="s">
        <v>2807</v>
      </c>
      <c r="E5" s="976" t="s">
        <v>2808</v>
      </c>
      <c r="F5" s="977" t="str">
        <f>E5</f>
        <v>Tonnes Lime</v>
      </c>
      <c r="G5" s="978"/>
      <c r="H5" s="977" t="str">
        <f>E5</f>
        <v>Tonnes Lime</v>
      </c>
      <c r="I5" s="978"/>
      <c r="K5" s="979"/>
      <c r="L5" s="979"/>
      <c r="M5" s="979"/>
      <c r="O5" s="979"/>
      <c r="P5" s="979"/>
      <c r="Q5" s="979"/>
    </row>
    <row r="6" spans="1:25" x14ac:dyDescent="0.15">
      <c r="C6" s="1688" t="s">
        <v>1911</v>
      </c>
      <c r="D6" s="1688" t="s">
        <v>1911</v>
      </c>
      <c r="E6" s="980" t="s">
        <v>615</v>
      </c>
      <c r="F6" s="1098" t="s">
        <v>616</v>
      </c>
      <c r="G6" s="981"/>
      <c r="H6" s="1099" t="s">
        <v>617</v>
      </c>
      <c r="I6" s="982"/>
      <c r="K6" s="980" t="s">
        <v>219</v>
      </c>
      <c r="L6" s="983" t="s">
        <v>179</v>
      </c>
      <c r="M6" s="984" t="s">
        <v>180</v>
      </c>
      <c r="O6" s="983" t="s">
        <v>179</v>
      </c>
      <c r="P6" s="984" t="s">
        <v>180</v>
      </c>
      <c r="Q6" s="985" t="s">
        <v>618</v>
      </c>
      <c r="U6" s="973" t="s">
        <v>859</v>
      </c>
      <c r="V6" s="973"/>
    </row>
    <row r="7" spans="1:25" ht="15" x14ac:dyDescent="0.15">
      <c r="C7" s="973" t="s">
        <v>2809</v>
      </c>
      <c r="E7" s="980"/>
      <c r="F7" s="986" t="s">
        <v>224</v>
      </c>
      <c r="G7" s="987" t="s">
        <v>225</v>
      </c>
      <c r="H7" s="988" t="s">
        <v>224</v>
      </c>
      <c r="I7" s="988" t="s">
        <v>225</v>
      </c>
      <c r="K7" s="989"/>
      <c r="L7" s="990"/>
      <c r="M7" s="991"/>
      <c r="O7" s="990"/>
      <c r="P7" s="991"/>
      <c r="Q7" s="979"/>
      <c r="U7" s="1102" t="s">
        <v>200</v>
      </c>
      <c r="V7" s="1103" t="s">
        <v>201</v>
      </c>
    </row>
    <row r="8" spans="1:25" x14ac:dyDescent="0.15">
      <c r="B8" s="973" t="str">
        <f>'9.Inputs'!C12</f>
        <v>Limestone (tonnes per year)</v>
      </c>
      <c r="C8" s="1002">
        <v>0.12</v>
      </c>
      <c r="D8" s="1104">
        <f>IF('9.Inputs'!AN12="",Inputs!C8,'9.Inputs'!#REF!)</f>
        <v>0.12</v>
      </c>
      <c r="E8" s="1688">
        <f>'9.Inputs'!D12</f>
        <v>0</v>
      </c>
      <c r="F8" s="1688">
        <f>'9.Inputs'!E12</f>
        <v>0</v>
      </c>
      <c r="G8" s="1688" t="str">
        <f>VLOOKUP('9.Inputs'!F12, list!$I$48:$J$50, 2, FALSE)</f>
        <v>Linear</v>
      </c>
      <c r="H8" s="1688">
        <f>'9.Inputs'!G12</f>
        <v>0</v>
      </c>
      <c r="I8" s="1688" t="str">
        <f>VLOOKUP('9.Inputs'!H12, list!$I$48:$J$50, 2, FALSE)</f>
        <v>Linear</v>
      </c>
      <c r="K8" s="992">
        <f t="shared" ref="K8:L10" si="0">E8*$D8*44/12</f>
        <v>0</v>
      </c>
      <c r="L8" s="992">
        <f t="shared" si="0"/>
        <v>0</v>
      </c>
      <c r="M8" s="992">
        <f>H8*$D8*44/12</f>
        <v>0</v>
      </c>
      <c r="N8" s="1246"/>
      <c r="O8" s="992">
        <f>MIN(K8,L8)*time_tot+ABS(L8-K8)*IF(L8&gt;K8,time_cap+time*(VLOOKUP(G8,list!$J$47:$K$50,2,FALSE)),time*(1-(VLOOKUP(G8,list!$J$47:$K$50,2,FALSE))))</f>
        <v>0</v>
      </c>
      <c r="P8" s="992">
        <f>MIN(K8,M8)*time_tot+ABS(M8-K8)*IF(M8&gt;K8,time_cap+time*(VLOOKUP(I8,list!$J$47:$K$50,2,FALSE)),time*(1-(VLOOKUP(I8,list!$J$47:$K$50,2,FALSE))))</f>
        <v>0</v>
      </c>
      <c r="Q8" s="992">
        <f>P8-O8</f>
        <v>0</v>
      </c>
      <c r="U8" s="992">
        <f>MIN(K8,L8)*time+ABS(L8-K8)*IF(L8&gt;K8,time*(VLOOKUP(G8,list!$J$48:$L$50,2,FALSE)),time*(1-(VLOOKUP(Inputs!G8,list!$J$48:$L$50,2,FALSE))))</f>
        <v>0</v>
      </c>
      <c r="V8" s="992">
        <f>MIN(L8,M8)*time+ABS(M8-L8)*IF(M8&gt;L8,time*(VLOOKUP(I8,list!$J$48:$L$50,2,FALSE)),time*(1-(VLOOKUP(Inputs!I8,list!$J$48:$L$50,2,FALSE))))</f>
        <v>0</v>
      </c>
    </row>
    <row r="9" spans="1:25" x14ac:dyDescent="0.15">
      <c r="B9" s="973" t="str">
        <f>'9.Inputs'!C13</f>
        <v>Dolomite (tonne per year)</v>
      </c>
      <c r="C9" s="1002">
        <v>0.13</v>
      </c>
      <c r="D9" s="1104">
        <f>IF('9.Inputs'!AN13="",Inputs!C9,'9.Inputs'!#REF!)</f>
        <v>0.13</v>
      </c>
      <c r="E9" s="1688">
        <f>'9.Inputs'!D13</f>
        <v>0</v>
      </c>
      <c r="F9" s="1688">
        <f>'9.Inputs'!E13</f>
        <v>0</v>
      </c>
      <c r="G9" s="1688" t="str">
        <f>VLOOKUP('9.Inputs'!F13, list!$I$48:$J$50, 2, FALSE)</f>
        <v>Linear</v>
      </c>
      <c r="H9" s="1688">
        <f>'9.Inputs'!G13</f>
        <v>0</v>
      </c>
      <c r="I9" s="1688" t="str">
        <f>VLOOKUP('9.Inputs'!H13, list!$I$48:$J$50, 2, FALSE)</f>
        <v>Linear</v>
      </c>
      <c r="K9" s="992">
        <f t="shared" si="0"/>
        <v>0</v>
      </c>
      <c r="L9" s="992">
        <f t="shared" si="0"/>
        <v>0</v>
      </c>
      <c r="M9" s="992">
        <f>H9*$D9*44/12</f>
        <v>0</v>
      </c>
      <c r="N9" s="1246"/>
      <c r="O9" s="992">
        <f>MIN(K9,L9)*time_tot+ABS(L9-K9)*IF(L9&gt;K9,time_cap+time*(VLOOKUP(G9,list!$J$47:$K$50,2,FALSE)),time*(1-(VLOOKUP(G9,list!$J$47:$K$50,2,FALSE))))</f>
        <v>0</v>
      </c>
      <c r="P9" s="992">
        <f>MIN(K9,M9)*time_tot+ABS(M9-K9)*IF(M9&gt;K9,time_cap+time*(VLOOKUP(I9,list!$J$47:$K$50,2,FALSE)),time*(1-(VLOOKUP(I9,list!$J$47:$K$50,2,FALSE))))</f>
        <v>0</v>
      </c>
      <c r="Q9" s="992">
        <f>P9-O9</f>
        <v>0</v>
      </c>
      <c r="U9" s="992">
        <f>MIN(K9,L9)*time+ABS(L9-K9)*IF(L9&gt;K9,time*(VLOOKUP(G9,list!$J$48:$L$50,2,FALSE)),time*(1-(VLOOKUP(Inputs!G9,list!$J$48:$L$50,2,FALSE))))</f>
        <v>0</v>
      </c>
      <c r="V9" s="992">
        <f>MIN(L9,M9)*time+ABS(M9-L9)*IF(M9&gt;L9,time*(VLOOKUP(I9,list!$J$48:$L$50,2,FALSE)),time*(1-(VLOOKUP(Inputs!I9,list!$J$48:$L$50,2,FALSE))))</f>
        <v>0</v>
      </c>
    </row>
    <row r="10" spans="1:25" x14ac:dyDescent="0.15">
      <c r="B10" s="973" t="str">
        <f>'9.Inputs'!C14</f>
        <v>Not-specified (tonnes per year)</v>
      </c>
      <c r="C10" s="1002">
        <f>AVERAGE(C8:C9)</f>
        <v>0.125</v>
      </c>
      <c r="D10" s="1104">
        <f>IF('9.Inputs'!AN14="",Inputs!C10,'9.Inputs'!#REF!)</f>
        <v>0.125</v>
      </c>
      <c r="E10" s="1688">
        <f>'9.Inputs'!D14</f>
        <v>0</v>
      </c>
      <c r="F10" s="1688">
        <f>'9.Inputs'!E14</f>
        <v>0</v>
      </c>
      <c r="G10" s="1688" t="str">
        <f>VLOOKUP('9.Inputs'!F14, list!$I$48:$J$50, 2, FALSE)</f>
        <v>Linear</v>
      </c>
      <c r="H10" s="1688">
        <f>'9.Inputs'!G14</f>
        <v>0</v>
      </c>
      <c r="I10" s="1688" t="str">
        <f>VLOOKUP('9.Inputs'!H14, list!$I$48:$J$50, 2, FALSE)</f>
        <v>Linear</v>
      </c>
      <c r="K10" s="992">
        <f t="shared" si="0"/>
        <v>0</v>
      </c>
      <c r="L10" s="992">
        <f t="shared" si="0"/>
        <v>0</v>
      </c>
      <c r="M10" s="992">
        <f>H10*$D10*44/12</f>
        <v>0</v>
      </c>
      <c r="N10" s="1246"/>
      <c r="O10" s="992">
        <f>MIN(K10,L10)*time_tot+ABS(L10-K10)*IF(L10&gt;K10,time_cap+time*(VLOOKUP(G10,list!$J$47:$K$50,2,FALSE)),time*(1-(VLOOKUP(G10,list!$J$47:$K$50,2,FALSE))))</f>
        <v>0</v>
      </c>
      <c r="P10" s="992">
        <f>MIN(K10,M10)*time_tot+ABS(M10-K10)*IF(M10&gt;K10,time_cap+time*(VLOOKUP(I10,list!$J$47:$K$50,2,FALSE)),time*(1-(VLOOKUP(I10,list!$J$47:$K$50,2,FALSE))))</f>
        <v>0</v>
      </c>
      <c r="Q10" s="992">
        <f>P10-O10</f>
        <v>0</v>
      </c>
      <c r="U10" s="992">
        <f>MIN(K10,L10)*time+ABS(L10-K10)*IF(L10&gt;K10,time*(VLOOKUP(G10,list!$J$48:$L$50,2,FALSE)),time*(1-(VLOOKUP(Inputs!G10,list!$J$48:$L$50,2,FALSE))))</f>
        <v>0</v>
      </c>
      <c r="V10" s="992">
        <f>MIN(L10,M10)*time+ABS(M10-L10)*IF(M10&gt;L10,time*(VLOOKUP(I10,list!$J$48:$L$50,2,FALSE)),time*(1-(VLOOKUP(Inputs!I10,list!$J$48:$L$50,2,FALSE))))</f>
        <v>0</v>
      </c>
    </row>
    <row r="11" spans="1:25" x14ac:dyDescent="0.15">
      <c r="W11" s="3145">
        <f>SUM(V8:V10)-SUM(U8:U10)</f>
        <v>0</v>
      </c>
    </row>
    <row r="12" spans="1:25" x14ac:dyDescent="0.15">
      <c r="I12" s="3464" t="s">
        <v>2810</v>
      </c>
      <c r="J12" s="3464"/>
      <c r="K12" s="3465">
        <f>SUM(K8:K10)</f>
        <v>0</v>
      </c>
      <c r="L12" s="3465">
        <f>SUM(L8:L10)</f>
        <v>0</v>
      </c>
      <c r="M12" s="3465">
        <f>SUM(M8:M10)</f>
        <v>0</v>
      </c>
      <c r="N12" s="3465"/>
      <c r="O12" s="3465">
        <f>SUM(O8:O10)</f>
        <v>0</v>
      </c>
      <c r="P12" s="3465">
        <f>SUM(P8:P10)</f>
        <v>0</v>
      </c>
      <c r="Q12" s="993">
        <f>SUM(Q8:Q10)</f>
        <v>0</v>
      </c>
    </row>
    <row r="14" spans="1:25" ht="47.25" customHeight="1" x14ac:dyDescent="0.15">
      <c r="A14" s="975"/>
      <c r="B14" s="975" t="s">
        <v>2811</v>
      </c>
      <c r="C14" s="975"/>
      <c r="D14" s="975"/>
      <c r="E14" s="975"/>
      <c r="F14" s="975"/>
      <c r="G14" s="975"/>
      <c r="H14" s="975"/>
      <c r="I14" s="975"/>
      <c r="J14" s="975"/>
      <c r="K14" s="975"/>
      <c r="L14" s="975"/>
      <c r="M14" s="975"/>
      <c r="N14" s="975"/>
      <c r="O14" s="975"/>
      <c r="P14" s="975"/>
      <c r="Q14" s="975"/>
      <c r="R14" s="975"/>
      <c r="X14" s="974"/>
      <c r="Y14" s="974"/>
    </row>
    <row r="15" spans="1:25" x14ac:dyDescent="0.15">
      <c r="A15" s="973" t="s">
        <v>2812</v>
      </c>
      <c r="E15" s="973" t="s">
        <v>2813</v>
      </c>
      <c r="K15" s="973" t="s">
        <v>2805</v>
      </c>
      <c r="O15" s="973" t="s">
        <v>2806</v>
      </c>
      <c r="X15" s="974"/>
      <c r="Y15" s="974"/>
    </row>
    <row r="16" spans="1:25" x14ac:dyDescent="0.15">
      <c r="C16" s="1688" t="s">
        <v>864</v>
      </c>
      <c r="D16" s="1688" t="s">
        <v>2807</v>
      </c>
      <c r="E16" s="976" t="s">
        <v>2814</v>
      </c>
      <c r="F16" s="977" t="str">
        <f>E16</f>
        <v>Tonnes Urea</v>
      </c>
      <c r="G16" s="978"/>
      <c r="H16" s="977" t="str">
        <f>E16</f>
        <v>Tonnes Urea</v>
      </c>
      <c r="I16" s="978"/>
      <c r="K16" s="979"/>
      <c r="L16" s="979"/>
      <c r="M16" s="979"/>
      <c r="O16" s="979"/>
      <c r="P16" s="979"/>
      <c r="Q16" s="979"/>
      <c r="X16" s="974"/>
      <c r="Y16" s="974"/>
    </row>
    <row r="17" spans="1:25" x14ac:dyDescent="0.15">
      <c r="C17" s="1688" t="s">
        <v>1911</v>
      </c>
      <c r="D17" s="1688" t="s">
        <v>1911</v>
      </c>
      <c r="E17" s="980" t="s">
        <v>615</v>
      </c>
      <c r="F17" s="994" t="s">
        <v>616</v>
      </c>
      <c r="G17" s="995"/>
      <c r="H17" s="996" t="s">
        <v>617</v>
      </c>
      <c r="I17" s="997"/>
      <c r="K17" s="980" t="s">
        <v>219</v>
      </c>
      <c r="L17" s="983" t="s">
        <v>179</v>
      </c>
      <c r="M17" s="984" t="s">
        <v>180</v>
      </c>
      <c r="O17" s="983" t="s">
        <v>179</v>
      </c>
      <c r="P17" s="984" t="s">
        <v>180</v>
      </c>
      <c r="Q17" s="985" t="s">
        <v>618</v>
      </c>
      <c r="U17" s="973" t="s">
        <v>859</v>
      </c>
      <c r="V17" s="973"/>
      <c r="X17" s="974"/>
      <c r="Y17" s="974"/>
    </row>
    <row r="18" spans="1:25" ht="15" x14ac:dyDescent="0.15">
      <c r="C18" s="973" t="s">
        <v>2785</v>
      </c>
      <c r="E18" s="980"/>
      <c r="F18" s="986" t="s">
        <v>224</v>
      </c>
      <c r="G18" s="987" t="s">
        <v>225</v>
      </c>
      <c r="H18" s="988" t="s">
        <v>224</v>
      </c>
      <c r="I18" s="988" t="s">
        <v>225</v>
      </c>
      <c r="K18" s="989"/>
      <c r="L18" s="990"/>
      <c r="M18" s="991"/>
      <c r="O18" s="990"/>
      <c r="P18" s="991"/>
      <c r="Q18" s="979"/>
      <c r="U18" s="1102" t="s">
        <v>200</v>
      </c>
      <c r="V18" s="1103" t="s">
        <v>201</v>
      </c>
      <c r="X18" s="974"/>
      <c r="Y18" s="974"/>
    </row>
    <row r="19" spans="1:25" x14ac:dyDescent="0.15">
      <c r="B19" s="973" t="s">
        <v>2815</v>
      </c>
      <c r="C19" s="1002">
        <v>0.2</v>
      </c>
      <c r="D19" s="1003">
        <f>IF('9.Inputs'!AN19="",Inputs!C19,'9.Inputs'!AN19)</f>
        <v>0.2</v>
      </c>
      <c r="E19" s="992">
        <f>'9.Inputs'!D16</f>
        <v>0</v>
      </c>
      <c r="F19" s="992">
        <f>'9.Inputs'!E16</f>
        <v>0</v>
      </c>
      <c r="G19" s="1688" t="str">
        <f>VLOOKUP('9.Inputs'!F16, list!$I$48:$J$50, 2, FALSE)</f>
        <v>Linear</v>
      </c>
      <c r="H19" s="992">
        <f>'9.Inputs'!G16</f>
        <v>0</v>
      </c>
      <c r="I19" s="1688" t="str">
        <f>VLOOKUP('9.Inputs'!H16, list!$I$48:$J$50, 2, FALSE)</f>
        <v>Linear</v>
      </c>
      <c r="K19" s="992">
        <f>IF('9.Inputs'!BA37="No",E19*D19*44/12,0)</f>
        <v>0</v>
      </c>
      <c r="L19" s="992">
        <f>IF('9.Inputs'!BA37="No",F19*D19*44/12,0)</f>
        <v>0</v>
      </c>
      <c r="M19" s="992">
        <f>IF('9.Inputs'!BA37="No",H19*D19*44/12,0)</f>
        <v>0</v>
      </c>
      <c r="O19" s="992">
        <f>MIN(K19,L19)*time_tot+ABS(L19-K19)*IF(L19&gt;K19,time_cap+time*(VLOOKUP(G19,list!$J$47:$K$50,2,FALSE)),time*(1-(VLOOKUP(G19,list!$J$47:$K$50,2,FALSE))))</f>
        <v>0</v>
      </c>
      <c r="P19" s="992">
        <f>MIN(K19,M19)*time_tot+ABS(M19-K19)*IF(M19&gt;K19,time_cap+time*(VLOOKUP(I19,list!$J$47:$K$50,2,FALSE)),time*(1-(VLOOKUP(I19,list!$J$47:$K$50,2,FALSE))))</f>
        <v>0</v>
      </c>
      <c r="Q19" s="992">
        <f>P19-O19</f>
        <v>0</v>
      </c>
      <c r="U19" s="992">
        <f>MIN(K19,L19)*time+ABS(L19-K19)*IF(L19&gt;K19,time*(VLOOKUP(G19,list!$J$48:$L$50,2,FALSE)),time*(1-(VLOOKUP(Inputs!G19,list!$J$48:$L$50,2,FALSE))))</f>
        <v>0</v>
      </c>
      <c r="V19" s="992">
        <f>MIN(L19,M19)*time+ABS(M19-L19)*IF(M19&gt;L19,time*(VLOOKUP(I19,list!$J$48:$L$50,2,FALSE)),time*(1-(VLOOKUP(Inputs!I19,list!$J$48:$L$50,2,FALSE))))</f>
        <v>0</v>
      </c>
      <c r="X19" s="974"/>
      <c r="Y19" s="974"/>
    </row>
    <row r="20" spans="1:25" x14ac:dyDescent="0.15">
      <c r="K20" s="1246"/>
      <c r="L20" s="1246"/>
      <c r="M20" s="1246"/>
      <c r="W20" s="3145">
        <f>V19-U19</f>
        <v>0</v>
      </c>
      <c r="X20" s="974"/>
      <c r="Y20" s="974"/>
    </row>
    <row r="21" spans="1:25" x14ac:dyDescent="0.15">
      <c r="I21" s="3464" t="s">
        <v>2810</v>
      </c>
      <c r="J21" s="3464"/>
      <c r="K21" s="3465">
        <f>K19</f>
        <v>0</v>
      </c>
      <c r="L21" s="3465">
        <f>L19</f>
        <v>0</v>
      </c>
      <c r="M21" s="3465">
        <f>M19</f>
        <v>0</v>
      </c>
      <c r="N21" s="3465"/>
      <c r="O21" s="3465">
        <f>O19</f>
        <v>0</v>
      </c>
      <c r="P21" s="3465">
        <f>P19</f>
        <v>0</v>
      </c>
      <c r="Q21" s="993">
        <f>Q19</f>
        <v>0</v>
      </c>
      <c r="X21" s="974"/>
      <c r="Y21" s="974"/>
    </row>
    <row r="23" spans="1:25" ht="47.25" customHeight="1" x14ac:dyDescent="0.15">
      <c r="A23" s="975"/>
      <c r="B23" s="975" t="s">
        <v>2816</v>
      </c>
      <c r="C23" s="975"/>
      <c r="D23" s="975"/>
      <c r="E23" s="975"/>
      <c r="F23" s="975"/>
      <c r="G23" s="975"/>
      <c r="H23" s="975"/>
      <c r="I23" s="975"/>
      <c r="J23" s="975"/>
      <c r="K23" s="975"/>
      <c r="L23" s="975"/>
      <c r="M23" s="975"/>
      <c r="N23" s="975"/>
      <c r="O23" s="975"/>
      <c r="P23" s="975"/>
      <c r="Q23" s="975"/>
      <c r="R23" s="975"/>
      <c r="X23" s="974"/>
      <c r="Y23" s="974"/>
    </row>
    <row r="24" spans="1:25" x14ac:dyDescent="0.15">
      <c r="E24" s="973" t="s">
        <v>2817</v>
      </c>
      <c r="K24" s="973" t="s">
        <v>2805</v>
      </c>
      <c r="O24" s="973" t="s">
        <v>2806</v>
      </c>
      <c r="X24" s="974"/>
      <c r="Y24" s="974"/>
    </row>
    <row r="25" spans="1:25" x14ac:dyDescent="0.15">
      <c r="B25" s="973" t="s">
        <v>2818</v>
      </c>
      <c r="C25" s="1688" t="s">
        <v>864</v>
      </c>
      <c r="D25" s="1688" t="s">
        <v>2807</v>
      </c>
      <c r="E25" s="976" t="s">
        <v>2819</v>
      </c>
      <c r="F25" s="977" t="str">
        <f>E25</f>
        <v>Tonnes N</v>
      </c>
      <c r="G25" s="978"/>
      <c r="H25" s="998" t="str">
        <f>F25</f>
        <v>Tonnes N</v>
      </c>
      <c r="I25" s="978"/>
      <c r="K25" s="979"/>
      <c r="L25" s="979"/>
      <c r="M25" s="979"/>
      <c r="O25" s="979"/>
      <c r="P25" s="979"/>
      <c r="Q25" s="979"/>
      <c r="X25" s="974"/>
      <c r="Y25" s="974"/>
    </row>
    <row r="26" spans="1:25" x14ac:dyDescent="0.15">
      <c r="C26" s="1688" t="s">
        <v>1911</v>
      </c>
      <c r="D26" s="1688" t="s">
        <v>1911</v>
      </c>
      <c r="E26" s="980" t="s">
        <v>615</v>
      </c>
      <c r="F26" s="994" t="s">
        <v>616</v>
      </c>
      <c r="G26" s="999"/>
      <c r="H26" s="1000" t="s">
        <v>617</v>
      </c>
      <c r="I26" s="982"/>
      <c r="K26" s="980" t="s">
        <v>219</v>
      </c>
      <c r="L26" s="994" t="s">
        <v>179</v>
      </c>
      <c r="M26" s="1000" t="s">
        <v>180</v>
      </c>
      <c r="O26" s="994" t="s">
        <v>179</v>
      </c>
      <c r="P26" s="1000" t="s">
        <v>180</v>
      </c>
      <c r="Q26" s="979" t="s">
        <v>618</v>
      </c>
      <c r="U26" s="973" t="s">
        <v>859</v>
      </c>
      <c r="V26" s="973"/>
      <c r="X26" s="974"/>
      <c r="Y26" s="974"/>
    </row>
    <row r="27" spans="1:25" ht="15" x14ac:dyDescent="0.15">
      <c r="C27" s="973" t="s">
        <v>2820</v>
      </c>
      <c r="E27" s="980"/>
      <c r="F27" s="986" t="s">
        <v>224</v>
      </c>
      <c r="G27" s="987" t="s">
        <v>225</v>
      </c>
      <c r="H27" s="988" t="s">
        <v>224</v>
      </c>
      <c r="I27" s="988" t="s">
        <v>225</v>
      </c>
      <c r="K27" s="989"/>
      <c r="L27" s="990"/>
      <c r="M27" s="991"/>
      <c r="O27" s="990"/>
      <c r="P27" s="991"/>
      <c r="Q27" s="979"/>
      <c r="U27" s="1102" t="s">
        <v>200</v>
      </c>
      <c r="V27" s="1103" t="s">
        <v>201</v>
      </c>
      <c r="X27" s="974"/>
      <c r="Y27" s="974"/>
    </row>
    <row r="28" spans="1:25" x14ac:dyDescent="0.15">
      <c r="B28" s="973" t="str">
        <f>'9.Inputs'!C16</f>
        <v>Urea (tonnes of Urea per year)</v>
      </c>
      <c r="C28" s="1007">
        <f>IF(country_selected="Please select",0,IF(climate="Tropical Montane",IPCC!$B$1709,INDEX(IPCC!$A$1705:$C$1709,MATCH(moist_type,IPCC!$A$1705:$A$1709,0),MATCH(IPCC!$B$1705,IPCC!$A$1705:$C$1705,0))))</f>
        <v>5.0000000000000001E-3</v>
      </c>
      <c r="D28" s="1003">
        <f>IF('9.Inputs'!AR16="",'9.Inputs'!AQ16,'9.Inputs'!AR16)</f>
        <v>5.0000000000000001E-3</v>
      </c>
      <c r="E28" s="1688">
        <f>'9.Inputs'!D16*0.467</f>
        <v>0</v>
      </c>
      <c r="F28" s="1688">
        <f>'9.Inputs'!E16*0.467</f>
        <v>0</v>
      </c>
      <c r="G28" s="1688" t="str">
        <f>VLOOKUP('9.Inputs'!F16, list!$I$48:$J$50, 2, FALSE)</f>
        <v>Linear</v>
      </c>
      <c r="H28" s="1688">
        <f>'9.Inputs'!G16*0.467</f>
        <v>0</v>
      </c>
      <c r="I28" s="1688" t="str">
        <f>VLOOKUP('9.Inputs'!H16, list!$I$48:$J$50, 2, FALSE)</f>
        <v>Linear</v>
      </c>
      <c r="K28" s="992">
        <f>$D28*E28*Nitrous*(44/28)</f>
        <v>0</v>
      </c>
      <c r="L28" s="992">
        <f>$D28*F28*Nitrous*(44/28)</f>
        <v>0</v>
      </c>
      <c r="M28" s="992">
        <f>$D28*H28*Nitrous*(44/28)</f>
        <v>0</v>
      </c>
      <c r="N28" s="1246"/>
      <c r="O28" s="992">
        <f>MIN(K28,L28)*time_tot+ABS(L28-K28)*IF(L28&gt;K28,time_cap+time*(VLOOKUP(G28,list!$J$47:$K$50,2,FALSE)),time*(1-(VLOOKUP(G28,list!$J$47:$K$50,2,FALSE))))</f>
        <v>0</v>
      </c>
      <c r="P28" s="992">
        <f>MIN(K28,M28)*time_tot+ABS(M28-K28)*IF(M28&gt;K28,time_cap+time*(VLOOKUP(I28,list!$J$47:$K$50,2,FALSE)),time*(1-(VLOOKUP(I28,list!$J$47:$K$50,2,FALSE))))</f>
        <v>0</v>
      </c>
      <c r="Q28" s="992">
        <f t="shared" ref="Q28:Q38" si="1">P28-O28</f>
        <v>0</v>
      </c>
      <c r="U28" s="992">
        <f>MIN(K28,L28)*time+ABS(L28-K28)*IF(L28&gt;K28,time*(VLOOKUP(G28,list!$J$48:$L$50,2,FALSE)),time*(1-(VLOOKUP(Inputs!G28,list!$J$48:$L$50,2,FALSE))))</f>
        <v>0</v>
      </c>
      <c r="V28" s="992">
        <f>MIN(L28,M28)*time+ABS(M28-L28)*IF(M28&gt;L28,time*(VLOOKUP(I28,list!$J$48:$L$50,2,FALSE)),time*(1-(VLOOKUP(Inputs!I28,list!$J$48:$L$50,2,FALSE))))</f>
        <v>0</v>
      </c>
    </row>
    <row r="29" spans="1:25" x14ac:dyDescent="0.15">
      <c r="B29" s="973" t="str">
        <f>'9.Inputs'!C17</f>
        <v>Synthetic N-fertilizers other than Urea (tonnes of N per year)</v>
      </c>
      <c r="C29" s="1007">
        <f>IF(country_selected="Please select",0,IF(climate="Tropical Montane",IPCC!B1706,INDEX(IPCC!$A$1705:$C$1709,MATCH(moist_type,IPCC!$A$1705:$A$1709,0),MATCH(IPCC!$B$1705,IPCC!$A$1705:$C$1705,0))))</f>
        <v>5.0000000000000001E-3</v>
      </c>
      <c r="D29" s="1003">
        <f>IF('9.Inputs'!AR17="",'9.Inputs'!AQ17,'9.Inputs'!AR17)</f>
        <v>5.0000000000000001E-3</v>
      </c>
      <c r="E29" s="1688">
        <f>'9.Inputs'!D17</f>
        <v>0</v>
      </c>
      <c r="F29" s="1688">
        <f>'9.Inputs'!E17</f>
        <v>0</v>
      </c>
      <c r="G29" s="1688" t="str">
        <f>VLOOKUP('9.Inputs'!F17, list!$I$48:$J$50, 2, FALSE)</f>
        <v>Linear</v>
      </c>
      <c r="H29" s="1688">
        <f>'9.Inputs'!G17</f>
        <v>0</v>
      </c>
      <c r="I29" s="1688" t="str">
        <f>VLOOKUP('9.Inputs'!H17, list!$I$48:$J$50, 2, FALSE)</f>
        <v>Linear</v>
      </c>
      <c r="K29" s="992">
        <f>$D29*E29*Nitrous*(44/28)</f>
        <v>0</v>
      </c>
      <c r="L29" s="992">
        <f>$D29*F29*Nitrous*(44/28)</f>
        <v>0</v>
      </c>
      <c r="M29" s="992">
        <f>$D29*H29*Nitrous*(44/28)</f>
        <v>0</v>
      </c>
      <c r="N29" s="1246"/>
      <c r="O29" s="992">
        <f>MIN(K29,L29)*time_tot+ABS(L29-K29)*IF(L29&gt;K29,time_cap+time*(VLOOKUP(G29,list!$J$47:$K$50,2,FALSE)),time*(1-(VLOOKUP(G29,list!$J$47:$K$50,2,FALSE))))</f>
        <v>0</v>
      </c>
      <c r="P29" s="992">
        <f>MIN(K29,M29)*time_tot+ABS(M29-K29)*IF(M29&gt;K29,time_cap+time*(VLOOKUP(I29,list!$J$47:$K$50,2,FALSE)),time*(1-(VLOOKUP(I29,list!$J$47:$K$50,2,FALSE))))</f>
        <v>0</v>
      </c>
      <c r="Q29" s="992">
        <f t="shared" si="1"/>
        <v>0</v>
      </c>
      <c r="U29" s="992">
        <f>MIN(K29,L29)*time+ABS(L29-K29)*IF(L29&gt;K29,time*(VLOOKUP(G29,list!$J$48:$L$50,2,FALSE)),time*(1-(VLOOKUP(Inputs!G29,list!$J$48:$L$50,2,FALSE))))</f>
        <v>0</v>
      </c>
      <c r="V29" s="992">
        <f>MIN(L29,M29)*time+ABS(M29-L29)*IF(M29&gt;L29,time*(VLOOKUP(I29,list!$J$48:$L$50,2,FALSE)),time*(1-(VLOOKUP(Inputs!I29,list!$J$48:$L$50,2,FALSE))))</f>
        <v>0</v>
      </c>
    </row>
    <row r="30" spans="1:25" x14ac:dyDescent="0.15">
      <c r="B30" s="973" t="str">
        <f>'9.Inputs'!C18</f>
        <v>Phosphorus (tonnes of P2O5 per year)</v>
      </c>
      <c r="D30" s="1039"/>
      <c r="E30" s="1688"/>
      <c r="F30" s="1688"/>
      <c r="G30" s="1688"/>
      <c r="H30" s="1688"/>
      <c r="I30" s="1688"/>
      <c r="K30" s="992"/>
      <c r="L30" s="992"/>
      <c r="M30" s="992"/>
      <c r="N30" s="1246"/>
      <c r="O30" s="992"/>
      <c r="P30" s="992"/>
      <c r="Q30" s="992"/>
    </row>
    <row r="31" spans="1:25" x14ac:dyDescent="0.15">
      <c r="B31" s="973" t="str">
        <f>'9.Inputs'!C19</f>
        <v>Potassium (tonnes of K2O per year)</v>
      </c>
      <c r="D31" s="1039"/>
      <c r="E31" s="1688"/>
      <c r="F31" s="1688"/>
      <c r="G31" s="1688"/>
      <c r="H31" s="1688"/>
      <c r="I31" s="1688"/>
      <c r="K31" s="992"/>
      <c r="L31" s="992"/>
      <c r="M31" s="992"/>
      <c r="N31" s="1246"/>
      <c r="O31" s="992"/>
      <c r="P31" s="992"/>
      <c r="Q31" s="992"/>
    </row>
    <row r="32" spans="1:25" x14ac:dyDescent="0.15">
      <c r="D32" s="1039"/>
      <c r="E32" s="1688"/>
      <c r="F32" s="1688"/>
      <c r="G32" s="1688"/>
      <c r="H32" s="1688"/>
      <c r="I32" s="1688"/>
      <c r="K32" s="992"/>
      <c r="L32" s="992"/>
      <c r="M32" s="992"/>
      <c r="N32" s="1246"/>
      <c r="O32" s="992"/>
      <c r="P32" s="992"/>
      <c r="Q32" s="992"/>
    </row>
    <row r="33" spans="1:25" x14ac:dyDescent="0.15">
      <c r="B33" s="973" t="str">
        <f>'9.Inputs'!C21</f>
        <v>N-fertilizer in continuously irrigated rice (tonnes of N per year)</v>
      </c>
      <c r="C33" s="1007">
        <f>IPCC!B1717</f>
        <v>3.0000000000000001E-3</v>
      </c>
      <c r="D33" s="1003">
        <f>IF('9.Inputs'!AR21="",'9.Inputs'!AQ21,'9.Inputs'!AR21)</f>
        <v>3.0000000000000001E-3</v>
      </c>
      <c r="E33" s="1688">
        <f>'9.Inputs'!D21</f>
        <v>0</v>
      </c>
      <c r="F33" s="1688">
        <f>'9.Inputs'!E21</f>
        <v>0</v>
      </c>
      <c r="G33" s="1688" t="str">
        <f>VLOOKUP('9.Inputs'!F21, list!$I$48:$J$50, 2, FALSE)</f>
        <v>Linear</v>
      </c>
      <c r="H33" s="1688">
        <f>'9.Inputs'!G21</f>
        <v>0</v>
      </c>
      <c r="I33" s="1688" t="str">
        <f>VLOOKUP('9.Inputs'!H21, list!$I$48:$J$50, 2, FALSE)</f>
        <v>Linear</v>
      </c>
      <c r="K33" s="992">
        <f>$D33*E33*Nitrous*(44/28)</f>
        <v>0</v>
      </c>
      <c r="L33" s="992">
        <f>$D33*F33*Nitrous*(44/28)</f>
        <v>0</v>
      </c>
      <c r="M33" s="992">
        <f>$D33*H33*Nitrous*(44/28)</f>
        <v>0</v>
      </c>
      <c r="N33" s="1246"/>
      <c r="O33" s="992">
        <f>MIN(K33,L33)*time_tot+ABS(L33-K33)*IF(L33&gt;K33,time_cap+time*(VLOOKUP(G33,list!$J$47:$K$50,2,FALSE)),time*(1-(VLOOKUP(G33,list!$J$47:$K$50,2,FALSE))))</f>
        <v>0</v>
      </c>
      <c r="P33" s="992">
        <f>MIN(K33,M33)*time_tot+ABS(M33-K33)*IF(M33&gt;K33,time_cap+time*(VLOOKUP(I33,list!$J$47:$K$50,2,FALSE)),time*(1-(VLOOKUP(I33,list!$J$47:$K$50,2,FALSE))))</f>
        <v>0</v>
      </c>
      <c r="Q33" s="992">
        <f t="shared" si="1"/>
        <v>0</v>
      </c>
      <c r="U33" s="992">
        <f>MIN(K33,L33)*time+ABS(L33-K33)*IF(L33&gt;K33,time*(VLOOKUP(G33,list!$J$48:$L$50,2,FALSE)),time*(1-(VLOOKUP(Inputs!G33,list!$J$48:$L$50,2,FALSE))))</f>
        <v>0</v>
      </c>
      <c r="V33" s="992">
        <f>MIN(L33,M33)*time+ABS(M33-L33)*IF(M33&gt;L33,time*(VLOOKUP(I33,list!$J$48:$L$50,2,FALSE)),time*(1-(VLOOKUP(Inputs!I33,list!$J$48:$L$50,2,FALSE))))</f>
        <v>0</v>
      </c>
    </row>
    <row r="34" spans="1:25" x14ac:dyDescent="0.15">
      <c r="B34" s="973" t="str">
        <f>'9.Inputs'!C22</f>
        <v>N-fertilizer in wet and dry irrigated rice (tonnes of N per year)</v>
      </c>
      <c r="C34" s="1007">
        <f>IPCC!B1718</f>
        <v>5.0000000000000001E-3</v>
      </c>
      <c r="D34" s="1003">
        <f>IF('9.Inputs'!AR22="",'9.Inputs'!AQ22,'9.Inputs'!AR22)</f>
        <v>5.0000000000000001E-3</v>
      </c>
      <c r="E34" s="1688">
        <f>'9.Inputs'!D22</f>
        <v>0</v>
      </c>
      <c r="F34" s="1688">
        <f>'9.Inputs'!E22</f>
        <v>0</v>
      </c>
      <c r="G34" s="1688" t="str">
        <f>VLOOKUP('9.Inputs'!F22, list!$I$48:$J$50, 2, FALSE)</f>
        <v>Linear</v>
      </c>
      <c r="H34" s="1688">
        <f>'9.Inputs'!G22</f>
        <v>0</v>
      </c>
      <c r="I34" s="1688" t="str">
        <f>VLOOKUP('9.Inputs'!H22, list!$I$48:$J$50, 2, FALSE)</f>
        <v>Linear</v>
      </c>
      <c r="K34" s="992">
        <f>$D34*E34*Nitrous*(44/28)</f>
        <v>0</v>
      </c>
      <c r="L34" s="992">
        <f>$D34*F34*Nitrous*(44/28)</f>
        <v>0</v>
      </c>
      <c r="M34" s="992">
        <f>$D34*H34*Nitrous*(44/28)</f>
        <v>0</v>
      </c>
      <c r="N34" s="1246"/>
      <c r="O34" s="992">
        <f>MIN(K34,L34)*time_tot+ABS(L34-K34)*IF(L34&gt;K34,time_cap+time*(VLOOKUP(G34,list!$J$47:$K$50,2,FALSE)),time*(1-(VLOOKUP(G34,list!$J$47:$K$50,2,FALSE))))</f>
        <v>0</v>
      </c>
      <c r="P34" s="992">
        <f>MIN(K34,M34)*time_tot+ABS(M34-K34)*IF(M34&gt;K34,time_cap+time*(VLOOKUP(I34,list!$J$47:$K$50,2,FALSE)),time*(1-(VLOOKUP(I34,list!$J$47:$K$50,2,FALSE))))</f>
        <v>0</v>
      </c>
      <c r="Q34" s="992">
        <f t="shared" si="1"/>
        <v>0</v>
      </c>
      <c r="U34" s="992">
        <f>MIN(K34,L34)*time+ABS(L34-K34)*IF(L34&gt;K34,time*(VLOOKUP(G34,list!$J$48:$L$50,2,FALSE)),time*(1-(VLOOKUP(Inputs!G34,list!$J$48:$L$50,2,FALSE))))</f>
        <v>0</v>
      </c>
      <c r="V34" s="992">
        <f>MIN(L34,M34)*time+ABS(M34-L34)*IF(M34&gt;L34,time*(VLOOKUP(I34,list!$J$48:$L$50,2,FALSE)),time*(1-(VLOOKUP(Inputs!I34,list!$J$48:$L$50,2,FALSE))))</f>
        <v>0</v>
      </c>
    </row>
    <row r="35" spans="1:25" x14ac:dyDescent="0.15">
      <c r="D35" s="1039"/>
      <c r="E35" s="1688"/>
      <c r="F35" s="1688"/>
      <c r="G35" s="1688"/>
      <c r="H35" s="1688"/>
      <c r="I35" s="1688"/>
      <c r="K35" s="992"/>
      <c r="L35" s="992"/>
      <c r="M35" s="992"/>
      <c r="N35" s="1246"/>
      <c r="O35" s="992"/>
      <c r="P35" s="992"/>
      <c r="Q35" s="992"/>
    </row>
    <row r="36" spans="1:25" x14ac:dyDescent="0.15">
      <c r="B36" s="973" t="str">
        <f>'9.Inputs'!C24</f>
        <v>Sewage (tonnes of N per year)</v>
      </c>
      <c r="C36" s="1007">
        <f>IF(country_selected="Please select",0,IF(climate="Tropical Montane",IPCC!C1706,INDEX(IPCC!$A$1705:$C$1709,MATCH(moist_type,IPCC!$A$1705:$A$1709,0),MATCH(IPCC!$C$1705,IPCC!$A$1705:$C$1705,0))))</f>
        <v>5.0000000000000001E-3</v>
      </c>
      <c r="D36" s="1003">
        <f>IF('9.Inputs'!AR24="",'9.Inputs'!AQ24,'9.Inputs'!AR24)</f>
        <v>5.0000000000000001E-3</v>
      </c>
      <c r="E36" s="1688">
        <f>'9.Inputs'!D24</f>
        <v>0</v>
      </c>
      <c r="F36" s="1688">
        <f>'9.Inputs'!E24</f>
        <v>0</v>
      </c>
      <c r="G36" s="1688" t="str">
        <f>VLOOKUP('9.Inputs'!F24, list!$I$48:$J$50, 2, FALSE)</f>
        <v>Linear</v>
      </c>
      <c r="H36" s="1688">
        <f>'9.Inputs'!G24</f>
        <v>0</v>
      </c>
      <c r="I36" s="1688" t="str">
        <f>VLOOKUP('9.Inputs'!H24, list!$I$48:$J$50, 2, FALSE)</f>
        <v>Linear</v>
      </c>
      <c r="K36" s="992">
        <f t="shared" ref="K36:L38" si="2">$D36*E36*Nitrous*(44/28)</f>
        <v>0</v>
      </c>
      <c r="L36" s="992">
        <f t="shared" si="2"/>
        <v>0</v>
      </c>
      <c r="M36" s="992">
        <f>$D36*H36*Nitrous*(44/28)</f>
        <v>0</v>
      </c>
      <c r="N36" s="1246"/>
      <c r="O36" s="992">
        <f>MIN(K36,L36)*time_tot+ABS(L36-K36)*IF(L36&gt;K36,time_cap+time*(VLOOKUP(G36,list!$J$47:$K$50,2,FALSE)),time*(1-(VLOOKUP(G36,list!$J$47:$K$50,2,FALSE))))</f>
        <v>0</v>
      </c>
      <c r="P36" s="992">
        <f>MIN(K36,M36)*time_tot+ABS(M36-K36)*IF(M36&gt;K36,time_cap+time*(VLOOKUP(I36,list!$J$47:$K$50,2,FALSE)),time*(1-(VLOOKUP(I36,list!$J$47:$K$50,2,FALSE))))</f>
        <v>0</v>
      </c>
      <c r="Q36" s="992">
        <f t="shared" si="1"/>
        <v>0</v>
      </c>
      <c r="U36" s="992">
        <f>MIN(K36,L36)*time+ABS(L36-K36)*IF(L36&gt;K36,time*(VLOOKUP(G36,list!$J$48:$L$50,2,FALSE)),time*(1-(VLOOKUP(Inputs!G36,list!$J$48:$L$50,2,FALSE))))</f>
        <v>0</v>
      </c>
      <c r="V36" s="992">
        <f>MIN(L36,M36)*time+ABS(M36-L36)*IF(M36&gt;L36,time*(VLOOKUP(I36,list!$J$48:$L$50,2,FALSE)),time*(1-(VLOOKUP(Inputs!I36,list!$J$48:$L$50,2,FALSE))))</f>
        <v>0</v>
      </c>
    </row>
    <row r="37" spans="1:25" x14ac:dyDescent="0.15">
      <c r="B37" s="973" t="str">
        <f>'9.Inputs'!C25</f>
        <v>Compost (tonnes of N per year)</v>
      </c>
      <c r="C37" s="1007">
        <f>IF(country_selected="Please select",0,IF(climate="Tropical Montane",IPCC!C1706,INDEX(IPCC!$A$1705:$C$1709,MATCH(moist_type,IPCC!$A$1705:$A$1709,0),MATCH(IPCC!$C$1705,IPCC!$A$1705:$C$1705,0))))</f>
        <v>5.0000000000000001E-3</v>
      </c>
      <c r="D37" s="1003">
        <f>IF('9.Inputs'!AR25="",'9.Inputs'!AQ25,'9.Inputs'!AR25)</f>
        <v>5.0000000000000001E-3</v>
      </c>
      <c r="E37" s="1688">
        <f>'9.Inputs'!D25</f>
        <v>0</v>
      </c>
      <c r="F37" s="1688">
        <f>'9.Inputs'!E25</f>
        <v>0</v>
      </c>
      <c r="G37" s="1688" t="str">
        <f>VLOOKUP('9.Inputs'!F25, list!$I$48:$J$50, 2, FALSE)</f>
        <v>Linear</v>
      </c>
      <c r="H37" s="1688">
        <f>'9.Inputs'!G25</f>
        <v>0</v>
      </c>
      <c r="I37" s="1688" t="str">
        <f>VLOOKUP('9.Inputs'!H25, list!$I$48:$J$50, 2, FALSE)</f>
        <v>Linear</v>
      </c>
      <c r="K37" s="992">
        <f t="shared" si="2"/>
        <v>0</v>
      </c>
      <c r="L37" s="992">
        <f t="shared" si="2"/>
        <v>0</v>
      </c>
      <c r="M37" s="992">
        <f>$D37*H37*Nitrous*(44/28)</f>
        <v>0</v>
      </c>
      <c r="N37" s="1246"/>
      <c r="O37" s="992">
        <f>MIN(K37,L37)*time_tot+ABS(L37-K37)*IF(L37&gt;K37,time_cap+time*(VLOOKUP(G37,list!$J$47:$K$50,2,FALSE)),time*(1-(VLOOKUP(G37,list!$J$47:$K$50,2,FALSE))))</f>
        <v>0</v>
      </c>
      <c r="P37" s="992">
        <f>MIN(K37,M37)*time_tot+ABS(M37-K37)*IF(M37&gt;K37,time_cap+time*(VLOOKUP(I37,list!$J$47:$K$50,2,FALSE)),time*(1-(VLOOKUP(I37,list!$J$47:$K$50,2,FALSE))))</f>
        <v>0</v>
      </c>
      <c r="Q37" s="992">
        <f t="shared" si="1"/>
        <v>0</v>
      </c>
      <c r="U37" s="992">
        <f>MIN(K37,L37)*time+ABS(L37-K37)*IF(L37&gt;K37,time*(VLOOKUP(G37,list!$J$48:$L$50,2,FALSE)),time*(1-(VLOOKUP(Inputs!G37,list!$J$48:$L$50,2,FALSE))))</f>
        <v>0</v>
      </c>
      <c r="V37" s="992">
        <f>MIN(L37,M37)*time+ABS(M37-L37)*IF(M37&gt;L37,time*(VLOOKUP(I37,list!$J$48:$L$50,2,FALSE)),time*(1-(VLOOKUP(Inputs!I37,list!$J$48:$L$50,2,FALSE))))</f>
        <v>0</v>
      </c>
    </row>
    <row r="38" spans="1:25" x14ac:dyDescent="0.15">
      <c r="B38" s="973" t="str">
        <f>'9.Inputs'!C26</f>
        <v>Rendering waste, brewery waste, guano (tonnes of N per year)</v>
      </c>
      <c r="C38" s="1007">
        <f>IF(country_selected="Please select",0,IF(climate="Tropical Montane",IPCC!C1706,INDEX(IPCC!$A$1705:$C$1709,MATCH(moist_type,IPCC!$A$1705:$A$1709,0),MATCH(IPCC!$C$1705,IPCC!$A$1705:$C$1705,0))))</f>
        <v>5.0000000000000001E-3</v>
      </c>
      <c r="D38" s="1003">
        <f>IF('9.Inputs'!AR26="",'9.Inputs'!AQ26,'9.Inputs'!AR26)</f>
        <v>5.0000000000000001E-3</v>
      </c>
      <c r="E38" s="1688">
        <f>'9.Inputs'!D26</f>
        <v>0</v>
      </c>
      <c r="F38" s="1688">
        <f>'9.Inputs'!E26</f>
        <v>0</v>
      </c>
      <c r="G38" s="1688" t="str">
        <f>VLOOKUP('9.Inputs'!F26, list!$I$48:$J$50, 2, FALSE)</f>
        <v>Linear</v>
      </c>
      <c r="H38" s="1688">
        <f>'9.Inputs'!G26</f>
        <v>0</v>
      </c>
      <c r="I38" s="1688" t="str">
        <f>VLOOKUP('9.Inputs'!H26, list!$I$48:$J$50, 2, FALSE)</f>
        <v>Linear</v>
      </c>
      <c r="K38" s="992">
        <f t="shared" si="2"/>
        <v>0</v>
      </c>
      <c r="L38" s="992">
        <f t="shared" si="2"/>
        <v>0</v>
      </c>
      <c r="M38" s="992">
        <f>$D38*H38*Nitrous*(44/28)</f>
        <v>0</v>
      </c>
      <c r="N38" s="1246"/>
      <c r="O38" s="992">
        <f>MIN(K38,L38)*time_tot+ABS(L38-K38)*IF(L38&gt;K38,time_cap+time*(VLOOKUP(G38,list!$J$47:$K$50,2,FALSE)),time*(1-(VLOOKUP(G38,list!$J$47:$K$50,2,FALSE))))</f>
        <v>0</v>
      </c>
      <c r="P38" s="992">
        <f>MIN(K38,M38)*time_tot+ABS(M38-K38)*IF(M38&gt;K38,time_cap+time*(VLOOKUP(I38,list!$J$47:$K$50,2,FALSE)),time*(1-(VLOOKUP(I38,list!$J$47:$K$50,2,FALSE))))</f>
        <v>0</v>
      </c>
      <c r="Q38" s="992">
        <f t="shared" si="1"/>
        <v>0</v>
      </c>
      <c r="U38" s="992">
        <f>MIN(K38,L38)*time+ABS(L38-K38)*IF(L38&gt;K38,time*(VLOOKUP(G38,list!$J$48:$L$50,2,FALSE)),time*(1-(VLOOKUP(Inputs!G38,list!$J$48:$L$50,2,FALSE))))</f>
        <v>0</v>
      </c>
      <c r="V38" s="992">
        <f>MIN(L38,M38)*time+ABS(M38-L38)*IF(M38&gt;L38,time*(VLOOKUP(I38,list!$J$48:$L$50,2,FALSE)),time*(1-(VLOOKUP(Inputs!I38,list!$J$48:$L$50,2,FALSE))))</f>
        <v>0</v>
      </c>
    </row>
    <row r="40" spans="1:25" x14ac:dyDescent="0.15">
      <c r="I40" s="3464" t="s">
        <v>2810</v>
      </c>
      <c r="J40" s="3464"/>
      <c r="K40" s="3465">
        <f>SUM(K28:K38)</f>
        <v>0</v>
      </c>
      <c r="L40" s="3465">
        <f t="shared" ref="L40:Q40" si="3">SUM(L28:L38)</f>
        <v>0</v>
      </c>
      <c r="M40" s="3465">
        <f t="shared" si="3"/>
        <v>0</v>
      </c>
      <c r="N40" s="3465"/>
      <c r="O40" s="3465">
        <f t="shared" si="3"/>
        <v>0</v>
      </c>
      <c r="P40" s="3465">
        <f t="shared" si="3"/>
        <v>0</v>
      </c>
      <c r="Q40" s="993">
        <f t="shared" si="3"/>
        <v>0</v>
      </c>
      <c r="W40" s="3145">
        <f>SUM(V28:V38)-SUM(U28:U38)</f>
        <v>0</v>
      </c>
    </row>
    <row r="42" spans="1:25" ht="47.25" customHeight="1" x14ac:dyDescent="0.15">
      <c r="A42" s="975"/>
      <c r="B42" s="975" t="s">
        <v>2821</v>
      </c>
      <c r="C42" s="975"/>
      <c r="D42" s="975"/>
      <c r="E42" s="975"/>
      <c r="F42" s="975"/>
      <c r="G42" s="975"/>
      <c r="H42" s="975"/>
      <c r="I42" s="975"/>
      <c r="J42" s="975"/>
      <c r="K42" s="975"/>
      <c r="L42" s="975"/>
      <c r="M42" s="975"/>
      <c r="N42" s="975"/>
      <c r="O42" s="975"/>
      <c r="P42" s="975"/>
      <c r="Q42" s="975"/>
      <c r="R42" s="975"/>
      <c r="X42" s="974"/>
      <c r="Y42" s="974"/>
    </row>
    <row r="43" spans="1:25" x14ac:dyDescent="0.15">
      <c r="E43" s="973" t="s">
        <v>2817</v>
      </c>
      <c r="K43" s="973" t="s">
        <v>2805</v>
      </c>
      <c r="O43" s="973" t="s">
        <v>2806</v>
      </c>
      <c r="X43" s="974"/>
      <c r="Y43" s="974"/>
    </row>
    <row r="44" spans="1:25" x14ac:dyDescent="0.15">
      <c r="B44" s="973" t="s">
        <v>2818</v>
      </c>
      <c r="C44" s="1688" t="s">
        <v>2822</v>
      </c>
      <c r="D44" s="1688" t="s">
        <v>2807</v>
      </c>
      <c r="E44" s="976" t="s">
        <v>2823</v>
      </c>
      <c r="F44" s="977" t="str">
        <f>E44</f>
        <v>Tonnes inputs</v>
      </c>
      <c r="G44" s="978"/>
      <c r="H44" s="998" t="str">
        <f>F44</f>
        <v>Tonnes inputs</v>
      </c>
      <c r="I44" s="978"/>
      <c r="K44" s="979"/>
      <c r="L44" s="979"/>
      <c r="M44" s="979"/>
      <c r="O44" s="979"/>
      <c r="P44" s="979"/>
      <c r="Q44" s="979"/>
      <c r="X44" s="974"/>
      <c r="Y44" s="974"/>
    </row>
    <row r="45" spans="1:25" x14ac:dyDescent="0.15">
      <c r="B45" s="974" t="s">
        <v>2824</v>
      </c>
      <c r="C45" s="1688" t="s">
        <v>1911</v>
      </c>
      <c r="D45" s="1688" t="s">
        <v>1911</v>
      </c>
      <c r="E45" s="980" t="s">
        <v>615</v>
      </c>
      <c r="F45" s="994" t="s">
        <v>616</v>
      </c>
      <c r="G45" s="999"/>
      <c r="H45" s="1000" t="s">
        <v>617</v>
      </c>
      <c r="I45" s="982"/>
      <c r="K45" s="980" t="s">
        <v>219</v>
      </c>
      <c r="L45" s="994" t="s">
        <v>179</v>
      </c>
      <c r="M45" s="1000" t="s">
        <v>180</v>
      </c>
      <c r="O45" s="994" t="s">
        <v>179</v>
      </c>
      <c r="P45" s="1000" t="s">
        <v>180</v>
      </c>
      <c r="Q45" s="979" t="s">
        <v>618</v>
      </c>
      <c r="X45" s="974"/>
      <c r="Y45" s="974"/>
    </row>
    <row r="46" spans="1:25" ht="15" x14ac:dyDescent="0.15">
      <c r="B46" s="1281" t="str">
        <f>'9.Inputs'!C11</f>
        <v>Lime application</v>
      </c>
      <c r="C46" s="973" t="s">
        <v>2825</v>
      </c>
      <c r="E46" s="980"/>
      <c r="F46" s="986" t="s">
        <v>224</v>
      </c>
      <c r="G46" s="987" t="s">
        <v>225</v>
      </c>
      <c r="H46" s="988" t="s">
        <v>224</v>
      </c>
      <c r="I46" s="988" t="s">
        <v>225</v>
      </c>
      <c r="K46" s="989"/>
      <c r="L46" s="990"/>
      <c r="M46" s="991"/>
      <c r="O46" s="990"/>
      <c r="P46" s="991"/>
      <c r="Q46" s="979"/>
      <c r="U46" s="973" t="s">
        <v>859</v>
      </c>
      <c r="V46" s="973"/>
      <c r="X46" s="974"/>
      <c r="Y46" s="974"/>
    </row>
    <row r="47" spans="1:25" x14ac:dyDescent="0.15">
      <c r="B47" s="973" t="str">
        <f>'9.Inputs'!C12</f>
        <v>Limestone (tonnes per year)</v>
      </c>
      <c r="C47" s="1002">
        <f>0.16*44/12</f>
        <v>0.58666666666666667</v>
      </c>
      <c r="D47" s="1008">
        <f>IF('9.Inputs'!AV12="",'9.Inputs'!AU12,'9.Inputs'!AV12)</f>
        <v>0.58666666666666667</v>
      </c>
      <c r="E47" s="1688">
        <f>'9.Inputs'!D12</f>
        <v>0</v>
      </c>
      <c r="F47" s="1688">
        <f>'9.Inputs'!E12</f>
        <v>0</v>
      </c>
      <c r="G47" s="1688" t="str">
        <f>VLOOKUP('9.Inputs'!F12, list!$I$48:$J$50, 2, FALSE)</f>
        <v>Linear</v>
      </c>
      <c r="H47" s="1688">
        <f>'9.Inputs'!G12</f>
        <v>0</v>
      </c>
      <c r="I47" s="1688" t="str">
        <f>VLOOKUP('9.Inputs'!H12, list!$I$48:$J$50, 2, FALSE)</f>
        <v>Linear</v>
      </c>
      <c r="K47" s="992">
        <f>E47*$D47</f>
        <v>0</v>
      </c>
      <c r="L47" s="992">
        <f>F47*$D47</f>
        <v>0</v>
      </c>
      <c r="M47" s="992">
        <f>H47*$D47</f>
        <v>0</v>
      </c>
      <c r="O47" s="992">
        <f>MIN(K47,L47)*time_tot+ABS(L47-K47)*IF(L47&gt;K47,time_cap+time*(VLOOKUP(G47,list!$J$47:$K$50,2,FALSE)),time*(1-(VLOOKUP(G47,list!$J$47:$K$50,2,FALSE))))</f>
        <v>0</v>
      </c>
      <c r="P47" s="992">
        <f>MIN(K47,M47)*time_tot+ABS(M47-K47)*IF(M47&gt;K47,time_cap+time*(VLOOKUP(I47,list!$J$47:$K$50,2,FALSE)),time*(1-(VLOOKUP(I47,list!$J$47:$K$50,2,FALSE))))</f>
        <v>0</v>
      </c>
      <c r="Q47" s="992">
        <f>P47-O47</f>
        <v>0</v>
      </c>
      <c r="U47" s="1102" t="s">
        <v>200</v>
      </c>
      <c r="V47" s="1103" t="s">
        <v>201</v>
      </c>
      <c r="X47" s="974"/>
      <c r="Y47" s="974"/>
    </row>
    <row r="48" spans="1:25" x14ac:dyDescent="0.15">
      <c r="B48" s="973" t="str">
        <f>'9.Inputs'!C13</f>
        <v>Dolomite (tonne per year)</v>
      </c>
      <c r="C48" s="1002">
        <f>0.16*44/12</f>
        <v>0.58666666666666667</v>
      </c>
      <c r="D48" s="1008">
        <f>IF('9.Inputs'!AV13="",'9.Inputs'!AU13,'9.Inputs'!AV13)</f>
        <v>0.58666666666666667</v>
      </c>
      <c r="E48" s="1688">
        <f>'9.Inputs'!D13</f>
        <v>0</v>
      </c>
      <c r="F48" s="1688">
        <f>'9.Inputs'!E13</f>
        <v>0</v>
      </c>
      <c r="G48" s="1688" t="str">
        <f>VLOOKUP('9.Inputs'!F13, list!$I$48:$J$50, 2, FALSE)</f>
        <v>Linear</v>
      </c>
      <c r="H48" s="1688">
        <f>'9.Inputs'!G13</f>
        <v>0</v>
      </c>
      <c r="I48" s="1688" t="str">
        <f>VLOOKUP('9.Inputs'!H13, list!$I$48:$J$50, 2, FALSE)</f>
        <v>Linear</v>
      </c>
      <c r="K48" s="992">
        <f t="shared" ref="K48:K67" si="4">E48*$D48</f>
        <v>0</v>
      </c>
      <c r="L48" s="992">
        <f t="shared" ref="L48:L67" si="5">F48*$D48</f>
        <v>0</v>
      </c>
      <c r="M48" s="992">
        <f t="shared" ref="M48:M67" si="6">H48*$D48</f>
        <v>0</v>
      </c>
      <c r="O48" s="992">
        <f>MIN(K48,L48)*time_tot+ABS(L48-K48)*IF(L48&gt;K48,time_cap+time*(VLOOKUP(G48,list!$J$47:$K$50,2,FALSE)),time*(1-(VLOOKUP(G48,list!$J$47:$K$50,2,FALSE))))</f>
        <v>0</v>
      </c>
      <c r="P48" s="992">
        <f>MIN(K48,M48)*time_tot+ABS(M48-K48)*IF(M48&gt;K48,time_cap+time*(VLOOKUP(I48,list!$J$47:$K$50,2,FALSE)),time*(1-(VLOOKUP(I48,list!$J$47:$K$50,2,FALSE))))</f>
        <v>0</v>
      </c>
      <c r="Q48" s="992">
        <f t="shared" ref="Q48:Q67" si="7">P48-O48</f>
        <v>0</v>
      </c>
      <c r="U48" s="992">
        <f>MIN(K48,L48)*time+ABS(L48-K48)*IF(L48&gt;K48,time*(VLOOKUP(G48,list!$J$48:$L$50,2,FALSE)),time*(1-(VLOOKUP(Inputs!G48,list!$J$48:$L$50,2,FALSE))))</f>
        <v>0</v>
      </c>
      <c r="V48" s="992">
        <f>MIN(L48,M48)*time+ABS(M48-L48)*IF(M48&gt;L48,time*(VLOOKUP(I48,list!$J$48:$L$50,2,FALSE)),time*(1-(VLOOKUP(Inputs!I48,list!$J$48:$L$50,2,FALSE))))</f>
        <v>0</v>
      </c>
    </row>
    <row r="49" spans="2:22" x14ac:dyDescent="0.15">
      <c r="B49" s="973" t="str">
        <f>'9.Inputs'!C14</f>
        <v>Not-specified (tonnes per year)</v>
      </c>
      <c r="C49" s="1002">
        <f>0.16*44/12</f>
        <v>0.58666666666666667</v>
      </c>
      <c r="D49" s="1008">
        <f>IF('9.Inputs'!AV14="",'9.Inputs'!AU14,'9.Inputs'!AV14)</f>
        <v>0.58666666666666667</v>
      </c>
      <c r="E49" s="1688">
        <f>'9.Inputs'!D14</f>
        <v>0</v>
      </c>
      <c r="F49" s="1688">
        <f>'9.Inputs'!E14</f>
        <v>0</v>
      </c>
      <c r="G49" s="1688" t="str">
        <f>VLOOKUP('9.Inputs'!F14, list!$I$48:$J$50, 2, FALSE)</f>
        <v>Linear</v>
      </c>
      <c r="H49" s="1688">
        <f>'9.Inputs'!G14</f>
        <v>0</v>
      </c>
      <c r="I49" s="1688" t="str">
        <f>VLOOKUP('9.Inputs'!H14, list!$I$48:$J$50, 2, FALSE)</f>
        <v>Linear</v>
      </c>
      <c r="K49" s="992">
        <f t="shared" si="4"/>
        <v>0</v>
      </c>
      <c r="L49" s="992">
        <f t="shared" si="5"/>
        <v>0</v>
      </c>
      <c r="M49" s="992">
        <f t="shared" si="6"/>
        <v>0</v>
      </c>
      <c r="O49" s="992">
        <f>MIN(K49,L49)*time_tot+ABS(L49-K49)*IF(L49&gt;K49,time_cap+time*(VLOOKUP(G49,list!$J$47:$K$50,2,FALSE)),time*(1-(VLOOKUP(G49,list!$J$47:$K$50,2,FALSE))))</f>
        <v>0</v>
      </c>
      <c r="P49" s="992">
        <f>MIN(K49,M49)*time_tot+ABS(M49-K49)*IF(M49&gt;K49,time_cap+time*(VLOOKUP(I49,list!$J$47:$K$50,2,FALSE)),time*(1-(VLOOKUP(I49,list!$J$47:$K$50,2,FALSE))))</f>
        <v>0</v>
      </c>
      <c r="Q49" s="992">
        <f t="shared" si="7"/>
        <v>0</v>
      </c>
      <c r="U49" s="992">
        <f>MIN(K49,L49)*time+ABS(L49-K49)*IF(L49&gt;K49,time*(VLOOKUP(G49,list!$J$48:$L$50,2,FALSE)),time*(1-(VLOOKUP(Inputs!G49,list!$J$48:$L$50,2,FALSE))))</f>
        <v>0</v>
      </c>
      <c r="V49" s="992">
        <f>MIN(L49,M49)*time+ABS(M49-L49)*IF(M49&gt;L49,time*(VLOOKUP(I49,list!$J$48:$L$50,2,FALSE)),time*(1-(VLOOKUP(Inputs!I49,list!$J$48:$L$50,2,FALSE))))</f>
        <v>0</v>
      </c>
    </row>
    <row r="50" spans="2:22" x14ac:dyDescent="0.15">
      <c r="B50" s="1281" t="str">
        <f>'9.Inputs'!C15</f>
        <v xml:space="preserve">Synthetic fertilizers </v>
      </c>
      <c r="C50" s="1058" t="s">
        <v>2826</v>
      </c>
      <c r="D50" s="1009"/>
      <c r="E50" s="1688">
        <f>'9.Inputs'!D15</f>
        <v>0</v>
      </c>
      <c r="F50" s="1688">
        <f>'9.Inputs'!E15</f>
        <v>0</v>
      </c>
      <c r="G50" s="1688"/>
      <c r="H50" s="1688"/>
      <c r="I50" s="1688"/>
      <c r="K50" s="992"/>
      <c r="L50" s="992"/>
      <c r="M50" s="992"/>
      <c r="O50" s="992"/>
      <c r="P50" s="992"/>
      <c r="Q50" s="992"/>
    </row>
    <row r="51" spans="2:22" x14ac:dyDescent="0.15">
      <c r="B51" s="973" t="str">
        <f>'9.Inputs'!C16</f>
        <v>Urea (tonnes of Urea per year)</v>
      </c>
      <c r="C51" s="1002">
        <f>44*1.3/12</f>
        <v>4.7666666666666666</v>
      </c>
      <c r="D51" s="1008">
        <f>IF('9.Inputs'!AV16="",'9.Inputs'!AU16,'9.Inputs'!AV16)</f>
        <v>4.7666666666666666</v>
      </c>
      <c r="E51" s="1688">
        <f>'9.Inputs'!D16*0.467</f>
        <v>0</v>
      </c>
      <c r="F51" s="1688">
        <f>'9.Inputs'!E16*0.467</f>
        <v>0</v>
      </c>
      <c r="G51" s="1688" t="str">
        <f>VLOOKUP('9.Inputs'!F16, list!$I$48:$J$50, 2, FALSE)</f>
        <v>Linear</v>
      </c>
      <c r="H51" s="1688">
        <f>'9.Inputs'!G16*0.467</f>
        <v>0</v>
      </c>
      <c r="I51" s="1688" t="str">
        <f>VLOOKUP('9.Inputs'!H16, list!$I$48:$J$50, 2, FALSE)</f>
        <v>Linear</v>
      </c>
      <c r="K51" s="992">
        <f t="shared" si="4"/>
        <v>0</v>
      </c>
      <c r="L51" s="992">
        <f t="shared" si="5"/>
        <v>0</v>
      </c>
      <c r="M51" s="992">
        <f t="shared" si="6"/>
        <v>0</v>
      </c>
      <c r="O51" s="992">
        <f>MIN(K51,L51)*time_tot+ABS(L51-K51)*IF(L51&gt;K51,time_cap+time*(VLOOKUP(G51,list!$J$47:$K$50,2,FALSE)),time*(1-(VLOOKUP(G51,list!$J$47:$K$50,2,FALSE))))</f>
        <v>0</v>
      </c>
      <c r="P51" s="992">
        <f>MIN(K51,M51)*time_tot+ABS(M51-K51)*IF(M51&gt;K51,time_cap+time*(VLOOKUP(I51,list!$J$47:$K$50,2,FALSE)),time*(1-(VLOOKUP(I51,list!$J$47:$K$50,2,FALSE))))</f>
        <v>0</v>
      </c>
      <c r="Q51" s="992">
        <f t="shared" si="7"/>
        <v>0</v>
      </c>
      <c r="U51" s="992">
        <f>MIN(K51,L51)*time+ABS(L51-K51)*IF(L51&gt;K51,time*(VLOOKUP(G51,list!$J$48:$L$50,2,FALSE)),time*(1-(VLOOKUP(Inputs!G51,list!$J$48:$L$50,2,FALSE))))</f>
        <v>0</v>
      </c>
      <c r="V51" s="992">
        <f>MIN(L51,M51)*time+ABS(M51-L51)*IF(M51&gt;L51,time*(VLOOKUP(I51,list!$J$48:$L$50,2,FALSE)),time*(1-(VLOOKUP(Inputs!I51,list!$J$48:$L$50,2,FALSE))))</f>
        <v>0</v>
      </c>
    </row>
    <row r="52" spans="2:22" x14ac:dyDescent="0.15">
      <c r="B52" s="973" t="str">
        <f>'9.Inputs'!C17</f>
        <v>Synthetic N-fertilizers other than Urea (tonnes of N per year)</v>
      </c>
      <c r="C52" s="1002">
        <f>44*1.3/12</f>
        <v>4.7666666666666666</v>
      </c>
      <c r="D52" s="1008">
        <f>IF('9.Inputs'!AV17="",'9.Inputs'!AU17,'9.Inputs'!AV17)</f>
        <v>4.7666666666666666</v>
      </c>
      <c r="E52" s="1688">
        <f>'9.Inputs'!D17</f>
        <v>0</v>
      </c>
      <c r="F52" s="1688">
        <f>'9.Inputs'!E17</f>
        <v>0</v>
      </c>
      <c r="G52" s="1688" t="str">
        <f>VLOOKUP('9.Inputs'!F17, list!$I$48:$J$50, 2, FALSE)</f>
        <v>Linear</v>
      </c>
      <c r="H52" s="1688">
        <f>'9.Inputs'!G17</f>
        <v>0</v>
      </c>
      <c r="I52" s="1688" t="str">
        <f>VLOOKUP('9.Inputs'!H17, list!$I$48:$J$50, 2, FALSE)</f>
        <v>Linear</v>
      </c>
      <c r="K52" s="992">
        <f t="shared" si="4"/>
        <v>0</v>
      </c>
      <c r="L52" s="992">
        <f t="shared" si="5"/>
        <v>0</v>
      </c>
      <c r="M52" s="992">
        <f t="shared" si="6"/>
        <v>0</v>
      </c>
      <c r="O52" s="992">
        <f>MIN(K52,L52)*time_tot+ABS(L52-K52)*IF(L52&gt;K52,time_cap+time*(VLOOKUP(G52,list!$J$47:$K$50,2,FALSE)),time*(1-(VLOOKUP(G52,list!$J$47:$K$50,2,FALSE))))</f>
        <v>0</v>
      </c>
      <c r="P52" s="992">
        <f>MIN(K52,M52)*time_tot+ABS(M52-K52)*IF(M52&gt;K52,time_cap+time*(VLOOKUP(I52,list!$J$47:$K$50,2,FALSE)),time*(1-(VLOOKUP(I52,list!$J$47:$K$50,2,FALSE))))</f>
        <v>0</v>
      </c>
      <c r="Q52" s="992">
        <f t="shared" si="7"/>
        <v>0</v>
      </c>
      <c r="U52" s="992">
        <f>MIN(K52,L52)*time+ABS(L52-K52)*IF(L52&gt;K52,time*(VLOOKUP(G52,list!$J$48:$L$50,2,FALSE)),time*(1-(VLOOKUP(Inputs!G52,list!$J$48:$L$50,2,FALSE))))</f>
        <v>0</v>
      </c>
      <c r="V52" s="992">
        <f>MIN(L52,M52)*time+ABS(M52-L52)*IF(M52&gt;L52,time*(VLOOKUP(I52,list!$J$48:$L$50,2,FALSE)),time*(1-(VLOOKUP(Inputs!I52,list!$J$48:$L$50,2,FALSE))))</f>
        <v>0</v>
      </c>
    </row>
    <row r="53" spans="2:22" x14ac:dyDescent="0.15">
      <c r="B53" s="973" t="str">
        <f>'9.Inputs'!C18</f>
        <v>Phosphorus (tonnes of P2O5 per year)</v>
      </c>
      <c r="C53" s="1002">
        <f>44*0.2/12</f>
        <v>0.73333333333333339</v>
      </c>
      <c r="D53" s="1008">
        <f>IF('9.Inputs'!AV18="",'9.Inputs'!AU18,'9.Inputs'!AV18)</f>
        <v>0.73333333333333339</v>
      </c>
      <c r="E53" s="1688">
        <f>'9.Inputs'!D18</f>
        <v>0</v>
      </c>
      <c r="F53" s="1688">
        <f>'9.Inputs'!E18</f>
        <v>0</v>
      </c>
      <c r="G53" s="1688" t="str">
        <f>VLOOKUP('9.Inputs'!F18, list!$I$48:$J$50, 2, FALSE)</f>
        <v>Linear</v>
      </c>
      <c r="H53" s="1688">
        <f>'9.Inputs'!G18</f>
        <v>0</v>
      </c>
      <c r="I53" s="1688" t="str">
        <f>VLOOKUP('9.Inputs'!H18, list!$I$48:$J$50, 2, FALSE)</f>
        <v>Linear</v>
      </c>
      <c r="K53" s="992">
        <f t="shared" si="4"/>
        <v>0</v>
      </c>
      <c r="L53" s="992">
        <f t="shared" si="5"/>
        <v>0</v>
      </c>
      <c r="M53" s="992">
        <f t="shared" si="6"/>
        <v>0</v>
      </c>
      <c r="O53" s="992">
        <f>MIN(K53,L53)*time_tot+ABS(L53-K53)*IF(L53&gt;K53,time_cap+time*(VLOOKUP(G53,list!$J$47:$K$50,2,FALSE)),time*(1-(VLOOKUP(G53,list!$J$47:$K$50,2,FALSE))))</f>
        <v>0</v>
      </c>
      <c r="P53" s="992">
        <f>MIN(K53,M53)*time_tot+ABS(M53-K53)*IF(M53&gt;K53,time_cap+time*(VLOOKUP(I53,list!$J$47:$K$50,2,FALSE)),time*(1-(VLOOKUP(I53,list!$J$47:$K$50,2,FALSE))))</f>
        <v>0</v>
      </c>
      <c r="Q53" s="992">
        <f t="shared" si="7"/>
        <v>0</v>
      </c>
      <c r="U53" s="992">
        <f>MIN(K53,L53)*time+ABS(L53-K53)*IF(L53&gt;K53,time*(VLOOKUP(G53,list!$J$48:$L$50,2,FALSE)),time*(1-(VLOOKUP(Inputs!G53,list!$J$48:$L$50,2,FALSE))))</f>
        <v>0</v>
      </c>
      <c r="V53" s="992">
        <f>MIN(L53,M53)*time+ABS(M53-L53)*IF(M53&gt;L53,time*(VLOOKUP(I53,list!$J$48:$L$50,2,FALSE)),time*(1-(VLOOKUP(Inputs!I53,list!$J$48:$L$50,2,FALSE))))</f>
        <v>0</v>
      </c>
    </row>
    <row r="54" spans="2:22" x14ac:dyDescent="0.15">
      <c r="B54" s="973" t="str">
        <f>'9.Inputs'!C19</f>
        <v>Potassium (tonnes of K2O per year)</v>
      </c>
      <c r="C54" s="1002">
        <f>0.15*44/12</f>
        <v>0.54999999999999993</v>
      </c>
      <c r="D54" s="1008">
        <f>IF('9.Inputs'!AV19="",'9.Inputs'!AU19,'9.Inputs'!AV19)</f>
        <v>0.54999999999999993</v>
      </c>
      <c r="E54" s="1688">
        <f>'9.Inputs'!D19</f>
        <v>0</v>
      </c>
      <c r="F54" s="1688">
        <f>'9.Inputs'!E19</f>
        <v>0</v>
      </c>
      <c r="G54" s="1688" t="str">
        <f>VLOOKUP('9.Inputs'!F19, list!$I$48:$J$50, 2, FALSE)</f>
        <v>Linear</v>
      </c>
      <c r="H54" s="1688">
        <f>'9.Inputs'!G19</f>
        <v>0</v>
      </c>
      <c r="I54" s="1688" t="str">
        <f>VLOOKUP('9.Inputs'!H19, list!$I$48:$J$50, 2, FALSE)</f>
        <v>Linear</v>
      </c>
      <c r="K54" s="992">
        <f t="shared" si="4"/>
        <v>0</v>
      </c>
      <c r="L54" s="992">
        <f t="shared" si="5"/>
        <v>0</v>
      </c>
      <c r="M54" s="992">
        <f t="shared" si="6"/>
        <v>0</v>
      </c>
      <c r="O54" s="992">
        <f>MIN(K54,L54)*time_tot+ABS(L54-K54)*IF(L54&gt;K54,time_cap+time*(VLOOKUP(G54,list!$J$47:$K$50,2,FALSE)),time*(1-(VLOOKUP(G54,list!$J$47:$K$50,2,FALSE))))</f>
        <v>0</v>
      </c>
      <c r="P54" s="992">
        <f>MIN(K54,M54)*time_tot+ABS(M54-K54)*IF(M54&gt;K54,time_cap+time*(VLOOKUP(I54,list!$J$47:$K$50,2,FALSE)),time*(1-(VLOOKUP(I54,list!$J$47:$K$50,2,FALSE))))</f>
        <v>0</v>
      </c>
      <c r="Q54" s="992">
        <f t="shared" si="7"/>
        <v>0</v>
      </c>
      <c r="U54" s="992">
        <f>MIN(K54,L54)*time+ABS(L54-K54)*IF(L54&gt;K54,time*(VLOOKUP(G54,list!$J$48:$L$50,2,FALSE)),time*(1-(VLOOKUP(Inputs!G54,list!$J$48:$L$50,2,FALSE))))</f>
        <v>0</v>
      </c>
      <c r="V54" s="992">
        <f>MIN(L54,M54)*time+ABS(M54-L54)*IF(M54&gt;L54,time*(VLOOKUP(I54,list!$J$48:$L$50,2,FALSE)),time*(1-(VLOOKUP(Inputs!I54,list!$J$48:$L$50,2,FALSE))))</f>
        <v>0</v>
      </c>
    </row>
    <row r="55" spans="2:22" x14ac:dyDescent="0.15">
      <c r="B55" s="1281" t="str">
        <f>'9.Inputs'!C20</f>
        <v>N-fertilizers on irrigated rice</v>
      </c>
      <c r="C55" s="973" t="s">
        <v>2827</v>
      </c>
      <c r="D55" s="1009"/>
      <c r="E55" s="1688">
        <f>'9.Inputs'!D20</f>
        <v>0</v>
      </c>
      <c r="F55" s="1688">
        <f>'9.Inputs'!E20</f>
        <v>0</v>
      </c>
      <c r="G55" s="1688"/>
      <c r="H55" s="1688"/>
      <c r="I55" s="1688"/>
      <c r="K55" s="992"/>
      <c r="L55" s="992"/>
      <c r="M55" s="992"/>
      <c r="O55" s="992"/>
      <c r="P55" s="992"/>
      <c r="Q55" s="992"/>
    </row>
    <row r="56" spans="2:22" x14ac:dyDescent="0.15">
      <c r="B56" s="973" t="str">
        <f>'9.Inputs'!C21</f>
        <v>N-fertilizer in continuously irrigated rice (tonnes of N per year)</v>
      </c>
      <c r="C56" s="1002">
        <f>44*1.3/12</f>
        <v>4.7666666666666666</v>
      </c>
      <c r="D56" s="1008">
        <f>IF('9.Inputs'!AV21="",'9.Inputs'!AU21,'9.Inputs'!AV21)</f>
        <v>4.7666666666666666</v>
      </c>
      <c r="E56" s="1688">
        <f>'9.Inputs'!D21</f>
        <v>0</v>
      </c>
      <c r="F56" s="1688">
        <f>'9.Inputs'!E21</f>
        <v>0</v>
      </c>
      <c r="G56" s="1688" t="str">
        <f>VLOOKUP('9.Inputs'!F21, list!$I$48:$J$50, 2, FALSE)</f>
        <v>Linear</v>
      </c>
      <c r="H56" s="1688">
        <f>'9.Inputs'!G21</f>
        <v>0</v>
      </c>
      <c r="I56" s="1688" t="str">
        <f>VLOOKUP('9.Inputs'!H21, list!$I$48:$J$50, 2, FALSE)</f>
        <v>Linear</v>
      </c>
      <c r="K56" s="992">
        <f t="shared" si="4"/>
        <v>0</v>
      </c>
      <c r="L56" s="992">
        <f t="shared" si="5"/>
        <v>0</v>
      </c>
      <c r="M56" s="992">
        <f t="shared" si="6"/>
        <v>0</v>
      </c>
      <c r="O56" s="992">
        <f>MIN(K56,L56)*time_tot+ABS(L56-K56)*IF(L56&gt;K56,time_cap+time*(VLOOKUP(G56,list!$J$47:$K$50,2,FALSE)),time*(1-(VLOOKUP(G56,list!$J$47:$K$50,2,FALSE))))</f>
        <v>0</v>
      </c>
      <c r="P56" s="992">
        <f>MIN(K56,M56)*time_tot+ABS(M56-K56)*IF(M56&gt;K56,time_cap+time*(VLOOKUP(I56,list!$J$47:$K$50,2,FALSE)),time*(1-(VLOOKUP(I56,list!$J$47:$K$50,2,FALSE))))</f>
        <v>0</v>
      </c>
      <c r="Q56" s="992">
        <f t="shared" si="7"/>
        <v>0</v>
      </c>
      <c r="U56" s="992">
        <f>MIN(K56,L56)*time+ABS(L56-K56)*IF(L56&gt;K56,time*(VLOOKUP(G56,list!$J$48:$L$50,2,FALSE)),time*(1-(VLOOKUP(Inputs!G56,list!$J$48:$L$50,2,FALSE))))</f>
        <v>0</v>
      </c>
      <c r="V56" s="992">
        <f>MIN(L56,M56)*time+ABS(M56-L56)*IF(M56&gt;L56,time*(VLOOKUP(I56,list!$J$48:$L$50,2,FALSE)),time*(1-(VLOOKUP(Inputs!I56,list!$J$48:$L$50,2,FALSE))))</f>
        <v>0</v>
      </c>
    </row>
    <row r="57" spans="2:22" x14ac:dyDescent="0.15">
      <c r="B57" s="973" t="str">
        <f>'9.Inputs'!C22</f>
        <v>N-fertilizer in wet and dry irrigated rice (tonnes of N per year)</v>
      </c>
      <c r="C57" s="1002">
        <f>44*1.3/12</f>
        <v>4.7666666666666666</v>
      </c>
      <c r="D57" s="1008">
        <f>IF('9.Inputs'!AV22="",'9.Inputs'!AU22,'9.Inputs'!AV22)</f>
        <v>4.7666666666666666</v>
      </c>
      <c r="E57" s="1688">
        <f>'9.Inputs'!D22</f>
        <v>0</v>
      </c>
      <c r="F57" s="1688">
        <f>'9.Inputs'!E22</f>
        <v>0</v>
      </c>
      <c r="G57" s="1688" t="str">
        <f>VLOOKUP('9.Inputs'!F22, list!$I$48:$J$50, 2, FALSE)</f>
        <v>Linear</v>
      </c>
      <c r="H57" s="1688">
        <f>'9.Inputs'!G22</f>
        <v>0</v>
      </c>
      <c r="I57" s="1688" t="str">
        <f>VLOOKUP('9.Inputs'!H22, list!$I$48:$J$50, 2, FALSE)</f>
        <v>Linear</v>
      </c>
      <c r="K57" s="992">
        <f t="shared" si="4"/>
        <v>0</v>
      </c>
      <c r="L57" s="992">
        <f t="shared" si="5"/>
        <v>0</v>
      </c>
      <c r="M57" s="992">
        <f t="shared" si="6"/>
        <v>0</v>
      </c>
      <c r="O57" s="992">
        <f>MIN(K57,L57)*time_tot+ABS(L57-K57)*IF(L57&gt;K57,time_cap+time*(VLOOKUP(G57,list!$J$47:$K$50,2,FALSE)),time*(1-(VLOOKUP(G57,list!$J$47:$K$50,2,FALSE))))</f>
        <v>0</v>
      </c>
      <c r="P57" s="992">
        <f>MIN(K57,M57)*time_tot+ABS(M57-K57)*IF(M57&gt;K57,time_cap+time*(VLOOKUP(I57,list!$J$47:$K$50,2,FALSE)),time*(1-(VLOOKUP(I57,list!$J$47:$K$50,2,FALSE))))</f>
        <v>0</v>
      </c>
      <c r="Q57" s="992">
        <f t="shared" si="7"/>
        <v>0</v>
      </c>
      <c r="U57" s="992">
        <f>MIN(K57,L57)*time+ABS(L57-K57)*IF(L57&gt;K57,time*(VLOOKUP(G57,list!$J$48:$L$50,2,FALSE)),time*(1-(VLOOKUP(Inputs!G57,list!$J$48:$L$50,2,FALSE))))</f>
        <v>0</v>
      </c>
      <c r="V57" s="992">
        <f>MIN(L57,M57)*time+ABS(M57-L57)*IF(M57&gt;L57,time*(VLOOKUP(I57,list!$J$48:$L$50,2,FALSE)),time*(1-(VLOOKUP(Inputs!I57,list!$J$48:$L$50,2,FALSE))))</f>
        <v>0</v>
      </c>
    </row>
    <row r="58" spans="2:22" x14ac:dyDescent="0.15">
      <c r="B58" s="1281" t="str">
        <f>'9.Inputs'!C23</f>
        <v xml:space="preserve">Organic N-fertilizers </v>
      </c>
      <c r="D58" s="1009"/>
      <c r="E58" s="1688"/>
      <c r="F58" s="1688"/>
      <c r="G58" s="1688"/>
      <c r="H58" s="1688"/>
      <c r="I58" s="1688"/>
      <c r="K58" s="992"/>
      <c r="L58" s="992"/>
      <c r="M58" s="992"/>
      <c r="O58" s="992"/>
      <c r="P58" s="992"/>
      <c r="Q58" s="992"/>
    </row>
    <row r="59" spans="2:22" x14ac:dyDescent="0.15">
      <c r="B59" s="973" t="str">
        <f>'9.Inputs'!C24</f>
        <v>Sewage (tonnes of N per year)</v>
      </c>
      <c r="D59" s="1009"/>
      <c r="E59" s="1688"/>
      <c r="F59" s="1688"/>
      <c r="G59" s="1688"/>
      <c r="H59" s="1688"/>
      <c r="I59" s="1688"/>
      <c r="K59" s="992"/>
      <c r="L59" s="992"/>
      <c r="M59" s="992"/>
      <c r="O59" s="992"/>
      <c r="P59" s="992"/>
      <c r="Q59" s="992"/>
    </row>
    <row r="60" spans="2:22" x14ac:dyDescent="0.15">
      <c r="B60" s="973" t="str">
        <f>'9.Inputs'!C25</f>
        <v>Compost (tonnes of N per year)</v>
      </c>
      <c r="D60" s="1009"/>
      <c r="E60" s="1688"/>
      <c r="F60" s="1688"/>
      <c r="G60" s="1688"/>
      <c r="H60" s="1688"/>
      <c r="I60" s="1688"/>
      <c r="K60" s="992"/>
      <c r="L60" s="992"/>
      <c r="M60" s="992"/>
      <c r="O60" s="992"/>
      <c r="P60" s="992"/>
      <c r="Q60" s="992"/>
    </row>
    <row r="61" spans="2:22" x14ac:dyDescent="0.15">
      <c r="B61" s="973" t="str">
        <f>'9.Inputs'!C26</f>
        <v>Rendering waste, brewery waste, guano (tonnes of N per year)</v>
      </c>
      <c r="D61" s="1009"/>
      <c r="E61" s="1688"/>
      <c r="F61" s="1688"/>
      <c r="G61" s="1688"/>
      <c r="H61" s="1688"/>
      <c r="I61" s="1688"/>
      <c r="K61" s="992"/>
      <c r="L61" s="992"/>
      <c r="M61" s="992"/>
      <c r="O61" s="992"/>
      <c r="P61" s="992"/>
      <c r="Q61" s="992"/>
    </row>
    <row r="62" spans="2:22" x14ac:dyDescent="0.15">
      <c r="D62" s="1009"/>
      <c r="E62" s="1688"/>
      <c r="F62" s="1688"/>
      <c r="G62" s="1688"/>
      <c r="H62" s="1688"/>
      <c r="I62" s="1688"/>
      <c r="K62" s="992"/>
      <c r="L62" s="992"/>
      <c r="M62" s="992"/>
      <c r="O62" s="992"/>
      <c r="P62" s="992"/>
      <c r="Q62" s="992"/>
    </row>
    <row r="63" spans="2:22" x14ac:dyDescent="0.15">
      <c r="D63" s="1009"/>
      <c r="E63" s="1688"/>
      <c r="F63" s="1688"/>
      <c r="G63" s="1688"/>
      <c r="H63" s="1688"/>
      <c r="I63" s="1688"/>
      <c r="K63" s="992"/>
      <c r="L63" s="992"/>
      <c r="M63" s="992"/>
      <c r="O63" s="992"/>
      <c r="P63" s="992"/>
      <c r="Q63" s="992"/>
    </row>
    <row r="64" spans="2:22" x14ac:dyDescent="0.15">
      <c r="B64" s="1281" t="str">
        <f>'9.Inputs'!C28</f>
        <v>Pesticides</v>
      </c>
      <c r="C64" s="1057" t="s">
        <v>2828</v>
      </c>
      <c r="D64" s="1009"/>
      <c r="E64" s="1688"/>
      <c r="F64" s="1688"/>
      <c r="G64" s="1688"/>
      <c r="H64" s="1688"/>
      <c r="I64" s="1688"/>
      <c r="K64" s="992"/>
      <c r="L64" s="992"/>
      <c r="M64" s="992"/>
      <c r="O64" s="992"/>
      <c r="P64" s="992"/>
      <c r="Q64" s="992"/>
    </row>
    <row r="65" spans="1:25" x14ac:dyDescent="0.15">
      <c r="B65" s="973" t="str">
        <f>'9.Inputs'!C29</f>
        <v>Fungicides (tonnes of active ingredient)</v>
      </c>
      <c r="C65" s="1004">
        <f>44*3.9/12</f>
        <v>14.299999999999999</v>
      </c>
      <c r="D65" s="1008">
        <f>IF('9.Inputs'!AV29="",'9.Inputs'!AU29,'9.Inputs'!AV29)</f>
        <v>14.299999999999999</v>
      </c>
      <c r="E65" s="1688">
        <f>'9.Inputs'!D29</f>
        <v>0</v>
      </c>
      <c r="F65" s="1688">
        <f>'9.Inputs'!E29</f>
        <v>0</v>
      </c>
      <c r="G65" s="1688" t="str">
        <f>VLOOKUP('9.Inputs'!F29, list!$I$48:$J$50, 2, FALSE)</f>
        <v>Linear</v>
      </c>
      <c r="H65" s="1688">
        <f>'9.Inputs'!G29</f>
        <v>0</v>
      </c>
      <c r="I65" s="1688" t="str">
        <f>VLOOKUP('9.Inputs'!H29, list!$I$48:$J$50, 2, FALSE)</f>
        <v>Linear</v>
      </c>
      <c r="K65" s="992">
        <f t="shared" si="4"/>
        <v>0</v>
      </c>
      <c r="L65" s="992">
        <f t="shared" si="5"/>
        <v>0</v>
      </c>
      <c r="M65" s="992">
        <f t="shared" si="6"/>
        <v>0</v>
      </c>
      <c r="O65" s="992">
        <f>MIN(K65,L65)*time_tot+ABS(L65-K65)*IF(L65&gt;K65,time_cap+time*(VLOOKUP(G65,list!$J$47:$K$50,2,FALSE)),time*(1-(VLOOKUP(G65,list!$J$47:$K$50,2,FALSE))))</f>
        <v>0</v>
      </c>
      <c r="P65" s="992">
        <f>MIN(K65,M65)*time_tot+ABS(M65-K65)*IF(M65&gt;K65,time_cap+time*(VLOOKUP(I65,list!$J$47:$K$50,2,FALSE)),time*(1-(VLOOKUP(I65,list!$J$47:$K$50,2,FALSE))))</f>
        <v>0</v>
      </c>
      <c r="Q65" s="992">
        <f t="shared" si="7"/>
        <v>0</v>
      </c>
      <c r="U65" s="992">
        <f>MIN(K65,L65)*time+ABS(L65-K65)*IF(L65&gt;K65,time*(VLOOKUP(G65,list!$J$48:$L$50,2,FALSE)),time*(1-(VLOOKUP(Inputs!G65,list!$J$48:$L$50,2,FALSE))))</f>
        <v>0</v>
      </c>
      <c r="V65" s="992">
        <f>MIN(L65,M65)*time+ABS(M65-L65)*IF(M65&gt;L65,time*(VLOOKUP(I65,list!$J$48:$L$50,2,FALSE)),time*(1-(VLOOKUP(Inputs!I65,list!$J$48:$L$50,2,FALSE))))</f>
        <v>0</v>
      </c>
    </row>
    <row r="66" spans="1:25" x14ac:dyDescent="0.15">
      <c r="B66" s="973" t="str">
        <f>'9.Inputs'!C30</f>
        <v>Herbicides (tonnes of active ingredient)</v>
      </c>
      <c r="C66" s="1004">
        <f>44*6.3/12</f>
        <v>23.099999999999998</v>
      </c>
      <c r="D66" s="1008">
        <f>IF('9.Inputs'!AV30="",'9.Inputs'!AU30,'9.Inputs'!AV30)</f>
        <v>23.099999999999998</v>
      </c>
      <c r="E66" s="1688">
        <f>'9.Inputs'!D30</f>
        <v>0</v>
      </c>
      <c r="F66" s="1688">
        <f>'9.Inputs'!E30</f>
        <v>0</v>
      </c>
      <c r="G66" s="1688" t="str">
        <f>VLOOKUP('9.Inputs'!F30, list!$I$48:$J$50, 2, FALSE)</f>
        <v>Linear</v>
      </c>
      <c r="H66" s="1688">
        <f>'9.Inputs'!G30</f>
        <v>0</v>
      </c>
      <c r="I66" s="1688" t="str">
        <f>VLOOKUP('9.Inputs'!H30, list!$I$48:$J$50, 2, FALSE)</f>
        <v>Linear</v>
      </c>
      <c r="K66" s="992">
        <f t="shared" si="4"/>
        <v>0</v>
      </c>
      <c r="L66" s="992">
        <f t="shared" si="5"/>
        <v>0</v>
      </c>
      <c r="M66" s="992">
        <f t="shared" si="6"/>
        <v>0</v>
      </c>
      <c r="O66" s="992">
        <f>MIN(K66,L66)*time_tot+ABS(L66-K66)*IF(L66&gt;K66,time_cap+time*(VLOOKUP(G66,list!$J$47:$K$50,2,FALSE)),time*(1-(VLOOKUP(G66,list!$J$47:$K$50,2,FALSE))))</f>
        <v>0</v>
      </c>
      <c r="P66" s="992">
        <f>MIN(K66,M66)*time_tot+ABS(M66-K66)*IF(M66&gt;K66,time_cap+time*(VLOOKUP(I66,list!$J$47:$K$50,2,FALSE)),time*(1-(VLOOKUP(I66,list!$J$47:$K$50,2,FALSE))))</f>
        <v>0</v>
      </c>
      <c r="Q66" s="992">
        <f t="shared" si="7"/>
        <v>0</v>
      </c>
      <c r="U66" s="992">
        <f>MIN(K66,L66)*time+ABS(L66-K66)*IF(L66&gt;K66,time*(VLOOKUP(G66,list!$J$48:$L$50,2,FALSE)),time*(1-(VLOOKUP(Inputs!G66,list!$J$48:$L$50,2,FALSE))))</f>
        <v>0</v>
      </c>
      <c r="V66" s="992">
        <f>MIN(L66,M66)*time+ABS(M66-L66)*IF(M66&gt;L66,time*(VLOOKUP(I66,list!$J$48:$L$50,2,FALSE)),time*(1-(VLOOKUP(Inputs!I66,list!$J$48:$L$50,2,FALSE))))</f>
        <v>0</v>
      </c>
    </row>
    <row r="67" spans="1:25" x14ac:dyDescent="0.15">
      <c r="B67" s="973" t="str">
        <f>'9.Inputs'!C31</f>
        <v>Insecticides (tonnes of active ingredient)</v>
      </c>
      <c r="C67" s="1004">
        <f>44*5.1/12</f>
        <v>18.7</v>
      </c>
      <c r="D67" s="1008">
        <f>IF('9.Inputs'!AV31="",'9.Inputs'!AU31,'9.Inputs'!AV31)</f>
        <v>18.7</v>
      </c>
      <c r="E67" s="1688">
        <f>'9.Inputs'!D31</f>
        <v>0</v>
      </c>
      <c r="F67" s="1688">
        <f>'9.Inputs'!E31</f>
        <v>0</v>
      </c>
      <c r="G67" s="1688" t="str">
        <f>VLOOKUP('9.Inputs'!F31, list!$I$48:$J$50, 2, FALSE)</f>
        <v>Linear</v>
      </c>
      <c r="H67" s="1688">
        <f>'9.Inputs'!G31</f>
        <v>0</v>
      </c>
      <c r="I67" s="1688" t="str">
        <f>VLOOKUP('9.Inputs'!H31, list!$I$48:$J$50, 2, FALSE)</f>
        <v>Linear</v>
      </c>
      <c r="K67" s="992">
        <f t="shared" si="4"/>
        <v>0</v>
      </c>
      <c r="L67" s="992">
        <f t="shared" si="5"/>
        <v>0</v>
      </c>
      <c r="M67" s="992">
        <f t="shared" si="6"/>
        <v>0</v>
      </c>
      <c r="O67" s="992">
        <f>MIN(K67,L67)*time_tot+ABS(L67-K67)*IF(L67&gt;K67,time_cap+time*(VLOOKUP(G67,list!$J$47:$K$50,2,FALSE)),time*(1-(VLOOKUP(G67,list!$J$47:$K$50,2,FALSE))))</f>
        <v>0</v>
      </c>
      <c r="P67" s="992">
        <f>MIN(K67,M67)*time_tot+ABS(M67-K67)*IF(M67&gt;K67,time_cap+time*(VLOOKUP(I67,list!$J$47:$K$50,2,FALSE)),time*(1-(VLOOKUP(I67,list!$J$47:$K$50,2,FALSE))))</f>
        <v>0</v>
      </c>
      <c r="Q67" s="992">
        <f t="shared" si="7"/>
        <v>0</v>
      </c>
      <c r="U67" s="992">
        <f>MIN(K67,L67)*time+ABS(L67-K67)*IF(L67&gt;K67,time*(VLOOKUP(G67,list!$J$48:$L$50,2,FALSE)),time*(1-(VLOOKUP(Inputs!G67,list!$J$48:$L$50,2,FALSE))))</f>
        <v>0</v>
      </c>
      <c r="V67" s="992">
        <f>MIN(L67,M67)*time+ABS(M67-L67)*IF(M67&gt;L67,time*(VLOOKUP(I67,list!$J$48:$L$50,2,FALSE)),time*(1-(VLOOKUP(Inputs!I67,list!$J$48:$L$50,2,FALSE))))</f>
        <v>0</v>
      </c>
    </row>
    <row r="68" spans="1:25" x14ac:dyDescent="0.15">
      <c r="W68" s="3145">
        <f>SUM(V48:V67)-SUM(U48:U67)</f>
        <v>0</v>
      </c>
    </row>
    <row r="69" spans="1:25" x14ac:dyDescent="0.15">
      <c r="I69" s="3464" t="s">
        <v>2810</v>
      </c>
      <c r="J69" s="3464"/>
      <c r="K69" s="3465">
        <f>SUM(K47:K67)</f>
        <v>0</v>
      </c>
      <c r="L69" s="3465">
        <f>SUM(L47:L67)</f>
        <v>0</v>
      </c>
      <c r="M69" s="3465">
        <f>SUM(M47:M67)</f>
        <v>0</v>
      </c>
      <c r="N69" s="3465"/>
      <c r="O69" s="3465">
        <f>SUM(O47:O67)</f>
        <v>0</v>
      </c>
      <c r="P69" s="3465">
        <f>SUM(P47:P67)</f>
        <v>0</v>
      </c>
      <c r="Q69" s="993">
        <f>SUM(Q47:Q67)</f>
        <v>0</v>
      </c>
    </row>
    <row r="70" spans="1:25" x14ac:dyDescent="0.15">
      <c r="B70" s="973" t="s">
        <v>2829</v>
      </c>
      <c r="K70" s="992"/>
      <c r="L70" s="992"/>
      <c r="M70" s="992"/>
      <c r="N70" s="992"/>
      <c r="O70" s="992"/>
      <c r="P70" s="992"/>
      <c r="Q70" s="3145"/>
    </row>
    <row r="71" spans="1:25" x14ac:dyDescent="0.15">
      <c r="B71" s="973" t="s">
        <v>2830</v>
      </c>
      <c r="D71" s="1008">
        <f>'9.Inputs'!AV34</f>
        <v>0</v>
      </c>
      <c r="E71" s="1581">
        <f>'9.Inputs'!D34</f>
        <v>0</v>
      </c>
      <c r="F71" s="1581">
        <f>'9.Inputs'!E34</f>
        <v>0</v>
      </c>
      <c r="G71" s="1688" t="str">
        <f>VLOOKUP('9.Inputs'!F34, list!$I$48:$J$50, 2, FALSE)</f>
        <v>Linear</v>
      </c>
      <c r="H71" s="1581">
        <f>'9.Inputs'!G34</f>
        <v>0</v>
      </c>
      <c r="I71" s="1688" t="str">
        <f>VLOOKUP('9.Inputs'!H34, list!$I$48:$J$50, 2, FALSE)</f>
        <v>Linear</v>
      </c>
      <c r="K71" s="992">
        <f>E71*$D71</f>
        <v>0</v>
      </c>
      <c r="L71" s="992">
        <f>F71*$D71</f>
        <v>0</v>
      </c>
      <c r="M71" s="992">
        <f>H71*$D71</f>
        <v>0</v>
      </c>
      <c r="N71" s="1246"/>
      <c r="O71" s="992">
        <f>MIN(K71,L71)*time_tot+ABS(L71-K71)*IF(L71&gt;K71,time_cap+time*(VLOOKUP(G71,list!$J$47:$K$50,2,FALSE)),time*(1-(VLOOKUP(G71,list!$J$47:$K$50,2,FALSE))))</f>
        <v>0</v>
      </c>
      <c r="P71" s="992">
        <f>MIN(K71,M71)*time_tot+ABS(M71-K71)*IF(M71&gt;K71,time_cap+time*(VLOOKUP(I71,list!$J$47:$K$50,2,FALSE)),time*(1-(VLOOKUP(I71,list!$J$47:$K$50,2,FALSE))))</f>
        <v>0</v>
      </c>
      <c r="Q71" s="992">
        <f>P71-O71</f>
        <v>0</v>
      </c>
    </row>
    <row r="72" spans="1:25" x14ac:dyDescent="0.15">
      <c r="K72" s="992"/>
      <c r="L72" s="992"/>
      <c r="M72" s="992"/>
      <c r="N72" s="992"/>
      <c r="O72" s="992"/>
      <c r="P72" s="992"/>
      <c r="Q72" s="3145"/>
    </row>
    <row r="75" spans="1:25" ht="18" x14ac:dyDescent="0.2">
      <c r="I75" s="1005" t="s">
        <v>2831</v>
      </c>
      <c r="J75" s="1005"/>
      <c r="K75" s="1005"/>
      <c r="L75" s="1005"/>
      <c r="M75" s="1005"/>
      <c r="N75" s="1005"/>
      <c r="O75" s="1006">
        <f>SUM(O69,O40,O21,O12,O71)</f>
        <v>0</v>
      </c>
      <c r="P75" s="1006">
        <f>SUM(P69,P40,P21,P12,P71)</f>
        <v>0</v>
      </c>
      <c r="Q75" s="1006">
        <f>SUM(Q69,Q40,Q21,Q12,Q71)</f>
        <v>0</v>
      </c>
    </row>
    <row r="77" spans="1:25" ht="47.25" customHeight="1" x14ac:dyDescent="0.15">
      <c r="A77" s="975"/>
      <c r="B77" s="975" t="s">
        <v>2832</v>
      </c>
      <c r="C77" s="975"/>
      <c r="D77" s="975"/>
      <c r="E77" s="975"/>
      <c r="F77" s="975"/>
      <c r="G77" s="975"/>
      <c r="H77" s="975"/>
      <c r="I77" s="975"/>
      <c r="J77" s="975"/>
      <c r="K77" s="975"/>
      <c r="L77" s="975"/>
      <c r="M77" s="975"/>
      <c r="N77" s="975"/>
      <c r="O77" s="975"/>
      <c r="P77" s="975"/>
      <c r="Q77" s="975"/>
      <c r="R77" s="975"/>
      <c r="X77" s="974"/>
      <c r="Y77" s="974"/>
    </row>
    <row r="78" spans="1:25" x14ac:dyDescent="0.15">
      <c r="E78" s="973" t="s">
        <v>2833</v>
      </c>
      <c r="K78" s="973" t="s">
        <v>2805</v>
      </c>
      <c r="O78" s="973" t="s">
        <v>2806</v>
      </c>
      <c r="X78" s="974"/>
      <c r="Y78" s="974"/>
    </row>
    <row r="79" spans="1:25" x14ac:dyDescent="0.15">
      <c r="B79" s="1281" t="s">
        <v>2834</v>
      </c>
      <c r="C79" s="973" t="s">
        <v>2835</v>
      </c>
      <c r="D79" s="973" t="str">
        <f>D44</f>
        <v xml:space="preserve">Specific </v>
      </c>
      <c r="E79" s="976" t="s">
        <v>2836</v>
      </c>
      <c r="F79" s="977" t="str">
        <f>E79</f>
        <v>MWh per year</v>
      </c>
      <c r="G79" s="978"/>
      <c r="H79" s="998" t="str">
        <f>F79</f>
        <v>MWh per year</v>
      </c>
      <c r="I79" s="978"/>
      <c r="K79" s="979"/>
      <c r="L79" s="979"/>
      <c r="M79" s="979"/>
      <c r="O79" s="979"/>
      <c r="P79" s="979"/>
      <c r="Q79" s="979"/>
      <c r="X79" s="974"/>
      <c r="Y79" s="974"/>
    </row>
    <row r="80" spans="1:25" x14ac:dyDescent="0.15">
      <c r="C80" s="973" t="s">
        <v>1911</v>
      </c>
      <c r="D80" s="973" t="str">
        <f>D45</f>
        <v>Factor</v>
      </c>
      <c r="E80" s="980" t="s">
        <v>615</v>
      </c>
      <c r="F80" s="994" t="s">
        <v>616</v>
      </c>
      <c r="G80" s="999"/>
      <c r="H80" s="1000" t="s">
        <v>617</v>
      </c>
      <c r="I80" s="982"/>
      <c r="K80" s="980" t="s">
        <v>219</v>
      </c>
      <c r="L80" s="994" t="s">
        <v>179</v>
      </c>
      <c r="M80" s="1000" t="s">
        <v>180</v>
      </c>
      <c r="O80" s="994" t="s">
        <v>179</v>
      </c>
      <c r="P80" s="1000" t="s">
        <v>180</v>
      </c>
      <c r="Q80" s="979" t="s">
        <v>618</v>
      </c>
      <c r="U80" s="973" t="s">
        <v>859</v>
      </c>
      <c r="V80" s="973"/>
      <c r="X80" s="974"/>
      <c r="Y80" s="974"/>
    </row>
    <row r="81" spans="2:25" ht="15" x14ac:dyDescent="0.15">
      <c r="E81" s="980"/>
      <c r="F81" s="986" t="s">
        <v>224</v>
      </c>
      <c r="G81" s="987" t="s">
        <v>225</v>
      </c>
      <c r="H81" s="988" t="s">
        <v>224</v>
      </c>
      <c r="I81" s="988" t="s">
        <v>225</v>
      </c>
      <c r="K81" s="989"/>
      <c r="L81" s="990"/>
      <c r="M81" s="991"/>
      <c r="O81" s="990"/>
      <c r="P81" s="991"/>
      <c r="Q81" s="979"/>
      <c r="U81" s="1102" t="s">
        <v>200</v>
      </c>
      <c r="V81" s="1103" t="s">
        <v>201</v>
      </c>
      <c r="X81" s="974"/>
      <c r="Y81" s="974"/>
    </row>
    <row r="82" spans="2:25" x14ac:dyDescent="0.15">
      <c r="B82" s="973" t="str">
        <f>'9.Inputs'!C49</f>
        <v>Please select</v>
      </c>
      <c r="C82" s="1002">
        <f>IF(B82="Please select",0, IF(OR('9.Inputs'!AT47 = "Please select", '9.Inputs'!AT47=Elec!J2), VLOOKUP(B82,Elec!$A$5:$G$252,6,FALSE),VLOOKUP(B82,Elec!$A$5:$G$252,7,FALSE)))</f>
        <v>0</v>
      </c>
      <c r="D82" s="1008">
        <f>IF('9.Inputs'!AQ47="",'9.Inputs'!AP47,'9.Inputs'!AQ47)</f>
        <v>0</v>
      </c>
      <c r="E82" s="1688">
        <f>'9.Inputs'!D49</f>
        <v>0</v>
      </c>
      <c r="F82" s="1688">
        <f>'9.Inputs'!E49</f>
        <v>0</v>
      </c>
      <c r="G82" s="1688" t="str">
        <f>VLOOKUP('9.Inputs'!F49, list!$I$48:$J$50, 2, FALSE)</f>
        <v>Linear</v>
      </c>
      <c r="H82" s="1688">
        <f>'9.Inputs'!G49</f>
        <v>0</v>
      </c>
      <c r="I82" s="1688" t="str">
        <f>VLOOKUP('9.Inputs'!H49, list!$I$48:$J$50, 2, FALSE)</f>
        <v>Linear</v>
      </c>
      <c r="K82" s="992">
        <f>E82*$D82</f>
        <v>0</v>
      </c>
      <c r="L82" s="992">
        <f>F82*$D82</f>
        <v>0</v>
      </c>
      <c r="M82" s="992">
        <f>H82*$D82</f>
        <v>0</v>
      </c>
      <c r="N82" s="1246"/>
      <c r="O82" s="992">
        <f>(MIN(K82,L82)*time_tot+ABS(L82-K82)*IF(L82&gt;K82,time_cap+time*(VLOOKUP(G82,list!$J$47:$K$50,2,FALSE)),time*(1-(VLOOKUP(G82,list!$J$47:$K$50,2,FALSE)))))*(1+$D$83)</f>
        <v>0</v>
      </c>
      <c r="P82" s="992">
        <f>(MIN(K82,M82)*time_tot+ABS(M82-K82)*IF(M82&gt;K82,time_cap+time*(VLOOKUP(I82,list!$J$47:$K$50,2,FALSE)),time*(1-(VLOOKUP(I82,list!$J$47:$K$50,2,FALSE)))))*(1+$D$83)</f>
        <v>0</v>
      </c>
      <c r="Q82" s="992">
        <f>P82-O82</f>
        <v>0</v>
      </c>
      <c r="U82" s="992">
        <f>MIN(K82,L82)*time+ABS(L82-K82)*IF(L82&gt;K82,time*(VLOOKUP(G82,list!$J$48:$L$50,2,FALSE)),time*(1-(VLOOKUP(Inputs!G82,list!$J$48:$L$50,2,FALSE))))</f>
        <v>0</v>
      </c>
      <c r="V82" s="992">
        <f>MIN(L82,M82)*time+ABS(M82-L82)*IF(M82&gt;L82,time*(VLOOKUP(I82,list!$J$48:$L$50,2,FALSE)),time*(1-(VLOOKUP(Inputs!I82,list!$J$48:$L$50,2,FALSE))))</f>
        <v>0</v>
      </c>
    </row>
    <row r="83" spans="2:25" x14ac:dyDescent="0.15">
      <c r="B83" s="973" t="str">
        <f>Languages!B477</f>
        <v>Losses of electricity during transportation</v>
      </c>
      <c r="C83" s="1043">
        <v>0.1</v>
      </c>
      <c r="D83" s="1008">
        <f>IF('9.Inputs'!AQ48="",'9.Inputs'!AP48,'9.Inputs'!AQ48)</f>
        <v>0.1</v>
      </c>
      <c r="E83" s="1688"/>
      <c r="F83" s="1688"/>
      <c r="G83" s="1688"/>
      <c r="H83" s="1688"/>
      <c r="I83" s="1688"/>
      <c r="K83" s="1246"/>
      <c r="L83" s="1246"/>
      <c r="M83" s="1246"/>
      <c r="N83" s="1246"/>
      <c r="O83" s="992"/>
      <c r="P83" s="992"/>
      <c r="Q83" s="992"/>
    </row>
    <row r="84" spans="2:25" x14ac:dyDescent="0.15">
      <c r="B84" s="973" t="str">
        <f>'9.Inputs'!C50</f>
        <v xml:space="preserve">User defined (Tier 2) </v>
      </c>
      <c r="C84" s="1042"/>
      <c r="D84" s="1008">
        <f>IF('9.Inputs'!AQ49="",'9.Inputs'!AP49,'9.Inputs'!AQ49)</f>
        <v>0</v>
      </c>
      <c r="E84" s="1688">
        <f>'9.Inputs'!D50</f>
        <v>0</v>
      </c>
      <c r="F84" s="1688">
        <f>'9.Inputs'!E50</f>
        <v>0</v>
      </c>
      <c r="G84" s="1688" t="str">
        <f>VLOOKUP('9.Inputs'!F50, list!$I$48:$J$50, 2, FALSE)</f>
        <v>Linear</v>
      </c>
      <c r="H84" s="1688">
        <f>'9.Inputs'!G50</f>
        <v>0</v>
      </c>
      <c r="I84" s="1688" t="str">
        <f>VLOOKUP('9.Inputs'!H50, list!$I$48:$J$50, 2, FALSE)</f>
        <v>Linear</v>
      </c>
      <c r="K84" s="992">
        <f>E84*$D84</f>
        <v>0</v>
      </c>
      <c r="L84" s="992">
        <f>F84*$D84</f>
        <v>0</v>
      </c>
      <c r="M84" s="992">
        <f>H84*$D84</f>
        <v>0</v>
      </c>
      <c r="N84" s="1246"/>
      <c r="O84" s="992">
        <f>(MIN(K84,L84)*time_tot+ABS(L84-K84)*IF(L84&gt;K84,time_cap+time*(VLOOKUP(G84,list!$J$47:$K$50,2,FALSE)),time*(1-(VLOOKUP(G84,list!$J$47:$K$50,2,FALSE)))))*(1+$D$85)</f>
        <v>0</v>
      </c>
      <c r="P84" s="992">
        <f>(MIN(K84,M84)*time_tot+ABS(M84-K84)*IF(M84&gt;K84,time_cap+time*(VLOOKUP(I84,list!$J$47:$K$50,2,FALSE)),time*(1-(VLOOKUP(I84,list!$J$47:$K$50,2,FALSE)))))*(1+$D$85)</f>
        <v>0</v>
      </c>
      <c r="Q84" s="992">
        <f>P84-O84</f>
        <v>0</v>
      </c>
      <c r="U84" s="992">
        <f>MIN(K84,L84)*time+ABS(L84-K84)*IF(L84&gt;K84,time*(VLOOKUP(G84,list!$J$48:$L$50,2,FALSE)),time*(1-(VLOOKUP(Inputs!G84,list!$J$48:$L$50,2,FALSE))))</f>
        <v>0</v>
      </c>
      <c r="V84" s="992">
        <f>MIN(L84,M84)*time+ABS(M84-L84)*IF(M84&gt;L84,time*(VLOOKUP(I84,list!$J$48:$L$50,2,FALSE)),time*(1-(VLOOKUP(Inputs!I84,list!$J$48:$L$50,2,FALSE))))</f>
        <v>0</v>
      </c>
    </row>
    <row r="85" spans="2:25" x14ac:dyDescent="0.15">
      <c r="B85" s="973" t="str">
        <f>B83</f>
        <v>Losses of electricity during transportation</v>
      </c>
      <c r="C85" s="1043">
        <v>0.1</v>
      </c>
      <c r="D85" s="1008">
        <f>IF('9.Inputs'!AQ50="",'9.Inputs'!AP50,'9.Inputs'!AQ50)</f>
        <v>0.1</v>
      </c>
      <c r="E85" s="1688"/>
      <c r="F85" s="1688"/>
      <c r="G85" s="1688"/>
      <c r="H85" s="1688"/>
      <c r="I85" s="1688"/>
      <c r="K85" s="1246"/>
      <c r="L85" s="1246"/>
      <c r="M85" s="1246"/>
      <c r="N85" s="1246"/>
      <c r="O85" s="992"/>
      <c r="P85" s="992"/>
      <c r="Q85" s="992"/>
    </row>
    <row r="86" spans="2:25" x14ac:dyDescent="0.15">
      <c r="C86" s="1688"/>
      <c r="D86" s="1688"/>
      <c r="E86" s="1688"/>
      <c r="F86" s="1688"/>
      <c r="G86" s="1688"/>
      <c r="H86" s="1688"/>
      <c r="I86" s="1688"/>
      <c r="K86" s="1246"/>
      <c r="L86" s="1246"/>
      <c r="M86" s="1246"/>
      <c r="N86" s="1246"/>
      <c r="O86" s="992"/>
      <c r="P86" s="992"/>
      <c r="Q86" s="992"/>
    </row>
    <row r="87" spans="2:25" x14ac:dyDescent="0.15">
      <c r="B87" s="1281" t="s">
        <v>2837</v>
      </c>
      <c r="C87" s="1688"/>
      <c r="D87" s="1688"/>
      <c r="E87" s="1688"/>
      <c r="F87" s="1688"/>
      <c r="G87" s="1688"/>
      <c r="H87" s="1688"/>
      <c r="I87" s="1688"/>
      <c r="K87" s="1246"/>
      <c r="L87" s="1246"/>
      <c r="M87" s="1246"/>
      <c r="N87" s="1246"/>
      <c r="O87" s="992"/>
      <c r="P87" s="992"/>
      <c r="Q87" s="992"/>
    </row>
    <row r="88" spans="2:25" x14ac:dyDescent="0.15">
      <c r="B88" s="973" t="str">
        <f>'9.Inputs'!C53</f>
        <v>Please select</v>
      </c>
      <c r="C88" s="1007">
        <f>IF(B88="Please select",0,VLOOKUP(B88,IPCC!$A$1727:$B$1741,2,))</f>
        <v>0</v>
      </c>
      <c r="D88" s="1008">
        <f>IF('9.Inputs'!AQ53="",'9.Inputs'!AP53,'9.Inputs'!AQ53)</f>
        <v>0</v>
      </c>
      <c r="E88" s="1688">
        <f>'9.Inputs'!D53</f>
        <v>0</v>
      </c>
      <c r="F88" s="1688">
        <f>'9.Inputs'!E53</f>
        <v>0</v>
      </c>
      <c r="G88" s="1688" t="str">
        <f>VLOOKUP('9.Inputs'!F53, list!$I$48:$J$50, 2, FALSE)</f>
        <v>Linear</v>
      </c>
      <c r="H88" s="1688">
        <f>'9.Inputs'!G53</f>
        <v>0</v>
      </c>
      <c r="I88" s="1688" t="str">
        <f>VLOOKUP('9.Inputs'!H53, list!$I$48:$J$50, 2, FALSE)</f>
        <v>Linear</v>
      </c>
      <c r="K88" s="992">
        <f t="shared" ref="K88:L92" si="8">E88*$D88</f>
        <v>0</v>
      </c>
      <c r="L88" s="992">
        <f t="shared" si="8"/>
        <v>0</v>
      </c>
      <c r="M88" s="992">
        <f>H88*$D88</f>
        <v>0</v>
      </c>
      <c r="N88" s="1246"/>
      <c r="O88" s="992">
        <f>MIN(K88,L88)*time_tot+ABS(L88-K88)*IF(L88&gt;K88,time_cap+time*(VLOOKUP(G88,list!$J$47:$K$50,2,FALSE)),time*(1-(VLOOKUP(G88,list!$J$47:$K$50,2,FALSE))))</f>
        <v>0</v>
      </c>
      <c r="P88" s="992">
        <f>MIN(K88,M88)*time_tot+ABS(M88-K88)*IF(M88&gt;K88,time_cap+time*(VLOOKUP(I88,list!$J$47:$K$50,2,FALSE)),time*(1-(VLOOKUP(I88,list!$J$47:$K$50,2,FALSE))))</f>
        <v>0</v>
      </c>
      <c r="Q88" s="992">
        <f>P88-O88</f>
        <v>0</v>
      </c>
      <c r="U88" s="992">
        <f>MIN(K88,L88)*time+ABS(L88-K88)*IF(L88&gt;K88,time*(VLOOKUP(G88,list!$J$48:$L$50,2,FALSE)),time*(1-(VLOOKUP(Inputs!G88,list!$J$48:$L$50,2,FALSE))))</f>
        <v>0</v>
      </c>
      <c r="V88" s="992">
        <f>MIN(L88,M88)*time+ABS(M88-L88)*IF(M88&gt;L88,time*(VLOOKUP(I88,list!$J$48:$L$50,2,FALSE)),time*(1-(VLOOKUP(Inputs!I88,list!$J$48:$L$50,2,FALSE))))</f>
        <v>0</v>
      </c>
    </row>
    <row r="89" spans="2:25" x14ac:dyDescent="0.15">
      <c r="B89" s="973" t="str">
        <f>'9.Inputs'!C54</f>
        <v>Please select</v>
      </c>
      <c r="C89" s="1007">
        <f>IF(B89="Please select",0,VLOOKUP(B89,IPCC!$A$1727:$B$1741,2,))</f>
        <v>0</v>
      </c>
      <c r="D89" s="1008">
        <f>IF('9.Inputs'!AQ54="",'9.Inputs'!AP54,'9.Inputs'!AQ54)</f>
        <v>0</v>
      </c>
      <c r="E89" s="1688">
        <f>'9.Inputs'!D54</f>
        <v>0</v>
      </c>
      <c r="F89" s="1688">
        <f>'9.Inputs'!E54</f>
        <v>0</v>
      </c>
      <c r="G89" s="1688" t="str">
        <f>VLOOKUP('9.Inputs'!F54, list!$I$48:$J$50, 2, FALSE)</f>
        <v>Linear</v>
      </c>
      <c r="H89" s="1688">
        <f>'9.Inputs'!G54</f>
        <v>0</v>
      </c>
      <c r="I89" s="1688" t="str">
        <f>VLOOKUP('9.Inputs'!H54, list!$I$48:$J$50, 2, FALSE)</f>
        <v>Linear</v>
      </c>
      <c r="K89" s="992">
        <f t="shared" si="8"/>
        <v>0</v>
      </c>
      <c r="L89" s="992">
        <f t="shared" si="8"/>
        <v>0</v>
      </c>
      <c r="M89" s="992">
        <f>H89*$D89</f>
        <v>0</v>
      </c>
      <c r="N89" s="1246"/>
      <c r="O89" s="992">
        <f>MIN(K89,L89)*time_tot+ABS(L89-K89)*IF(L89&gt;K89,time_cap+time*(VLOOKUP(G89,list!$J$47:$K$50,2,FALSE)),time*(1-(VLOOKUP(G89,list!$J$47:$K$50,2,FALSE))))</f>
        <v>0</v>
      </c>
      <c r="P89" s="992">
        <f>MIN(K89,M89)*time_tot+ABS(M89-K89)*IF(M89&gt;K89,time_cap+time*(VLOOKUP(I89,list!$J$47:$K$50,2,FALSE)),time*(1-(VLOOKUP(I89,list!$J$47:$K$50,2,FALSE))))</f>
        <v>0</v>
      </c>
      <c r="Q89" s="992">
        <f>P89-O89</f>
        <v>0</v>
      </c>
      <c r="U89" s="992">
        <f>MIN(K89,L89)*time+ABS(L89-K89)*IF(L89&gt;K89,time*(VLOOKUP(G89,list!$J$48:$L$50,2,FALSE)),time*(1-(VLOOKUP(Inputs!G89,list!$J$48:$L$50,2,FALSE))))</f>
        <v>0</v>
      </c>
      <c r="V89" s="992">
        <f>MIN(L89,M89)*time+ABS(M89-L89)*IF(M89&gt;L89,time*(VLOOKUP(I89,list!$J$48:$L$50,2,FALSE)),time*(1-(VLOOKUP(Inputs!I89,list!$J$48:$L$50,2,FALSE))))</f>
        <v>0</v>
      </c>
    </row>
    <row r="90" spans="2:25" x14ac:dyDescent="0.15">
      <c r="B90" s="973" t="str">
        <f>'9.Inputs'!C55</f>
        <v>Please select</v>
      </c>
      <c r="C90" s="1007">
        <f>IF(B90="Please select",0,VLOOKUP(B90,IPCC!$A$1727:$B$1741,2,))</f>
        <v>0</v>
      </c>
      <c r="D90" s="1008">
        <f>IF('9.Inputs'!AQ55="",'9.Inputs'!AP55,'9.Inputs'!AQ55)</f>
        <v>0</v>
      </c>
      <c r="E90" s="1688">
        <f>'9.Inputs'!D55</f>
        <v>0</v>
      </c>
      <c r="F90" s="1688">
        <f>'9.Inputs'!E55</f>
        <v>0</v>
      </c>
      <c r="G90" s="1688" t="str">
        <f>VLOOKUP('9.Inputs'!F55, list!$I$48:$J$50, 2, FALSE)</f>
        <v>Linear</v>
      </c>
      <c r="H90" s="1688">
        <f>'9.Inputs'!G55</f>
        <v>0</v>
      </c>
      <c r="I90" s="1688" t="str">
        <f>VLOOKUP('9.Inputs'!H55, list!$I$48:$J$50, 2, FALSE)</f>
        <v>Linear</v>
      </c>
      <c r="K90" s="992">
        <f t="shared" si="8"/>
        <v>0</v>
      </c>
      <c r="L90" s="992">
        <f t="shared" si="8"/>
        <v>0</v>
      </c>
      <c r="M90" s="992">
        <f>H90*$D90</f>
        <v>0</v>
      </c>
      <c r="N90" s="1246"/>
      <c r="O90" s="992">
        <f>MIN(K90,L90)*time_tot+ABS(L90-K90)*IF(L90&gt;K90,time_cap+time*(VLOOKUP(G90,list!$J$47:$K$50,2,FALSE)),time*(1-(VLOOKUP(G90,list!$J$47:$K$50,2,FALSE))))</f>
        <v>0</v>
      </c>
      <c r="P90" s="992">
        <f>MIN(K90,M90)*time_tot+ABS(M90-K90)*IF(M90&gt;K90,time_cap+time*(VLOOKUP(I90,list!$J$47:$K$50,2,FALSE)),time*(1-(VLOOKUP(I90,list!$J$47:$K$50,2,FALSE))))</f>
        <v>0</v>
      </c>
      <c r="Q90" s="992">
        <f>P90-O90</f>
        <v>0</v>
      </c>
      <c r="U90" s="992">
        <f>MIN(K90,L90)*time+ABS(L90-K90)*IF(L90&gt;K90,time*(VLOOKUP(G90,list!$J$48:$L$50,2,FALSE)),time*(1-(VLOOKUP(Inputs!G90,list!$J$48:$L$50,2,FALSE))))</f>
        <v>0</v>
      </c>
      <c r="V90" s="992">
        <f>MIN(L90,M90)*time+ABS(M90-L90)*IF(M90&gt;L90,time*(VLOOKUP(I90,list!$J$48:$L$50,2,FALSE)),time*(1-(VLOOKUP(Inputs!I90,list!$J$48:$L$50,2,FALSE))))</f>
        <v>0</v>
      </c>
    </row>
    <row r="91" spans="2:25" x14ac:dyDescent="0.15">
      <c r="B91" s="973" t="str">
        <f>'9.Inputs'!C56</f>
        <v>Please select</v>
      </c>
      <c r="C91" s="1007">
        <f>IF(B91="Please select",0,VLOOKUP(B91,IPCC!$A$1727:$B$1741,2,))</f>
        <v>0</v>
      </c>
      <c r="D91" s="1008">
        <f>IF('9.Inputs'!AQ56="",'9.Inputs'!AP56,'9.Inputs'!AQ56)</f>
        <v>0</v>
      </c>
      <c r="E91" s="1688">
        <f>'9.Inputs'!D56</f>
        <v>0</v>
      </c>
      <c r="F91" s="1688">
        <f>'9.Inputs'!E56</f>
        <v>0</v>
      </c>
      <c r="G91" s="1688" t="str">
        <f>VLOOKUP('9.Inputs'!F56, list!$I$48:$J$50, 2, FALSE)</f>
        <v>Linear</v>
      </c>
      <c r="H91" s="1688">
        <f>'9.Inputs'!G56</f>
        <v>0</v>
      </c>
      <c r="I91" s="1688" t="str">
        <f>VLOOKUP('9.Inputs'!H56, list!$I$48:$J$50, 2, FALSE)</f>
        <v>Linear</v>
      </c>
      <c r="K91" s="992">
        <f t="shared" si="8"/>
        <v>0</v>
      </c>
      <c r="L91" s="992">
        <f t="shared" si="8"/>
        <v>0</v>
      </c>
      <c r="M91" s="992">
        <f>H91*$D91</f>
        <v>0</v>
      </c>
      <c r="N91" s="1246"/>
      <c r="O91" s="992">
        <f>MIN(K91,L91)*time_tot+ABS(L91-K91)*IF(L91&gt;K91,time_cap+time*(VLOOKUP(G91,list!$J$47:$K$50,2,FALSE)),time*(1-(VLOOKUP(G91,list!$J$47:$K$50,2,FALSE))))</f>
        <v>0</v>
      </c>
      <c r="P91" s="992">
        <f>MIN(K91,M91)*time_tot+ABS(M91-K91)*IF(M91&gt;K91,time_cap+time*(VLOOKUP(I91,list!$J$47:$K$50,2,FALSE)),time*(1-(VLOOKUP(I91,list!$J$47:$K$50,2,FALSE))))</f>
        <v>0</v>
      </c>
      <c r="Q91" s="992">
        <f>P91-O91</f>
        <v>0</v>
      </c>
      <c r="U91" s="992">
        <f>MIN(K91,L91)*time+ABS(L91-K91)*IF(L91&gt;K91,time*(VLOOKUP(G91,list!$J$48:$L$50,2,FALSE)),time*(1-(VLOOKUP(Inputs!G91,list!$J$48:$L$50,2,FALSE))))</f>
        <v>0</v>
      </c>
      <c r="V91" s="992">
        <f>MIN(L91,M91)*time+ABS(M91-L91)*IF(M91&gt;L91,time*(VLOOKUP(I91,list!$J$48:$L$50,2,FALSE)),time*(1-(VLOOKUP(Inputs!I91,list!$J$48:$L$50,2,FALSE))))</f>
        <v>0</v>
      </c>
    </row>
    <row r="92" spans="2:25" x14ac:dyDescent="0.15">
      <c r="B92" s="973" t="str">
        <f>'9.Inputs'!C57</f>
        <v xml:space="preserve">User defined (Tier 2) </v>
      </c>
      <c r="C92" s="1041"/>
      <c r="D92" s="1008">
        <f>'9.Inputs'!AQ57</f>
        <v>0</v>
      </c>
      <c r="E92" s="1688">
        <f>'9.Inputs'!D57</f>
        <v>0</v>
      </c>
      <c r="F92" s="1688">
        <f>'9.Inputs'!E57</f>
        <v>0</v>
      </c>
      <c r="G92" s="1688" t="str">
        <f>VLOOKUP('9.Inputs'!F57, list!$I$48:$J$50, 2, FALSE)</f>
        <v>Linear</v>
      </c>
      <c r="H92" s="1688">
        <f>'9.Inputs'!G57</f>
        <v>0</v>
      </c>
      <c r="I92" s="1688" t="str">
        <f>VLOOKUP('9.Inputs'!H57, list!$I$48:$J$50, 2, FALSE)</f>
        <v>Linear</v>
      </c>
      <c r="K92" s="992">
        <f t="shared" si="8"/>
        <v>0</v>
      </c>
      <c r="L92" s="992">
        <f t="shared" si="8"/>
        <v>0</v>
      </c>
      <c r="M92" s="992">
        <f>H92*$D92</f>
        <v>0</v>
      </c>
      <c r="N92" s="1246"/>
      <c r="O92" s="992">
        <f>MIN(K92,L92)*time_tot+ABS(L92-K92)*IF(L92&gt;K92,time_cap+time*(VLOOKUP(G92,list!$J$47:$K$50,2,FALSE)),time*(1-(VLOOKUP(G92,list!$J$47:$K$50,2,FALSE))))</f>
        <v>0</v>
      </c>
      <c r="P92" s="992">
        <f>MIN(K92,M92)*time_tot+ABS(M92-K92)*IF(M92&gt;K92,time_cap+time*(VLOOKUP(I92,list!$J$47:$K$50,2,FALSE)),time*(1-(VLOOKUP(I92,list!$J$47:$K$50,2,FALSE))))</f>
        <v>0</v>
      </c>
      <c r="Q92" s="992">
        <f>P92-O92</f>
        <v>0</v>
      </c>
      <c r="U92" s="992">
        <f>MIN(K92,L92)*time+ABS(L92-K92)*IF(L92&gt;K92,time*(VLOOKUP(G92,list!$J$48:$L$50,2,FALSE)),time*(1-(VLOOKUP(Inputs!G92,list!$J$48:$L$50,2,FALSE))))</f>
        <v>0</v>
      </c>
      <c r="V92" s="992">
        <f>MIN(L92,M92)*time+ABS(M92-L92)*IF(M92&gt;L92,time*(VLOOKUP(I92,list!$J$48:$L$50,2,FALSE)),time*(1-(VLOOKUP(Inputs!I92,list!$J$48:$L$50,2,FALSE))))</f>
        <v>0</v>
      </c>
    </row>
    <row r="93" spans="2:25" x14ac:dyDescent="0.15">
      <c r="C93" s="1688"/>
      <c r="D93" s="1688"/>
      <c r="E93" s="1688"/>
      <c r="F93" s="1688"/>
      <c r="G93" s="1688"/>
      <c r="H93" s="1688"/>
      <c r="I93" s="1688"/>
      <c r="K93" s="1246"/>
      <c r="L93" s="1246"/>
      <c r="M93" s="1246"/>
      <c r="N93" s="1246"/>
      <c r="O93" s="992"/>
      <c r="P93" s="992"/>
      <c r="Q93" s="992"/>
    </row>
    <row r="94" spans="2:25" x14ac:dyDescent="0.15">
      <c r="B94" s="1281" t="s">
        <v>2838</v>
      </c>
      <c r="C94" s="1688"/>
      <c r="D94" s="1688"/>
      <c r="E94" s="1688"/>
      <c r="F94" s="1688"/>
      <c r="G94" s="1688"/>
      <c r="H94" s="1688"/>
      <c r="I94" s="1688"/>
      <c r="K94" s="1246"/>
      <c r="L94" s="1246"/>
      <c r="M94" s="1246"/>
      <c r="N94" s="1246"/>
      <c r="O94" s="992"/>
      <c r="P94" s="992"/>
      <c r="Q94" s="992"/>
    </row>
    <row r="95" spans="2:25" x14ac:dyDescent="0.15">
      <c r="B95" s="973" t="str">
        <f>'9.Inputs'!C60</f>
        <v>Wood</v>
      </c>
      <c r="C95" s="1007">
        <f>IF('9.Inputs'!AU60="Yes",IPCC!C1751*(IPCC!D1751+IPCC!E1751*methane+IPCC!F1751*Nitrous)/10^6,IPCC!C1751*(IPCC!E1751*methane+IPCC!F1751*Nitrous)/10^6)</f>
        <v>0.14757600000000001</v>
      </c>
      <c r="D95" s="1008">
        <f>IF('9.Inputs'!AQ60="",'9.Inputs'!AP60,'9.Inputs'!AQ60)</f>
        <v>0.14757600000000001</v>
      </c>
      <c r="E95" s="1688">
        <f>'9.Inputs'!D60</f>
        <v>0</v>
      </c>
      <c r="F95" s="1688">
        <f>'9.Inputs'!E60</f>
        <v>0</v>
      </c>
      <c r="G95" s="1688" t="str">
        <f>VLOOKUP('9.Inputs'!F60, list!$I$48:$J$50, 2, FALSE)</f>
        <v>Linear</v>
      </c>
      <c r="H95" s="1688">
        <f>'9.Inputs'!G60</f>
        <v>0</v>
      </c>
      <c r="I95" s="1688" t="str">
        <f>VLOOKUP('9.Inputs'!H60, list!$I$48:$J$50, 2, FALSE)</f>
        <v>Linear</v>
      </c>
      <c r="K95" s="992">
        <f t="shared" ref="K95:L99" si="9">E95*$D95</f>
        <v>0</v>
      </c>
      <c r="L95" s="992">
        <f t="shared" si="9"/>
        <v>0</v>
      </c>
      <c r="M95" s="992">
        <f>H95*$D95</f>
        <v>0</v>
      </c>
      <c r="N95" s="1246"/>
      <c r="O95" s="992">
        <f>MIN(K95,L95)*time_tot+ABS(L95-K95)*IF(L95&gt;K95,time_cap+time*(VLOOKUP(G95,list!$J$47:$K$50,2,FALSE)),time*(1-(VLOOKUP(G95,list!$J$47:$K$50,2,FALSE))))</f>
        <v>0</v>
      </c>
      <c r="P95" s="992">
        <f>MIN(K95,M95)*time_tot+ABS(M95-K95)*IF(M95&gt;K95,time_cap+time*(VLOOKUP(I95,list!$J$47:$K$50,2,FALSE)),time*(1-(VLOOKUP(I95,list!$J$47:$K$50,2,FALSE))))</f>
        <v>0</v>
      </c>
      <c r="Q95" s="992">
        <f>P95-O95</f>
        <v>0</v>
      </c>
      <c r="U95" s="992">
        <f>MIN(K95,L95)*time+ABS(L95-K95)*IF(L95&gt;K95,time*(VLOOKUP(G95,list!$J$48:$L$50,2,FALSE)),time*(1-(VLOOKUP(Inputs!G95,list!$J$48:$L$50,2,FALSE))))</f>
        <v>0</v>
      </c>
      <c r="V95" s="992">
        <f>MIN(L95,M95)*time+ABS(M95-L95)*IF(M95&gt;L95,time*(VLOOKUP(I95,list!$J$48:$L$50,2,FALSE)),time*(1-(VLOOKUP(Inputs!I95,list!$J$48:$L$50,2,FALSE))))</f>
        <v>0</v>
      </c>
    </row>
    <row r="96" spans="2:25" x14ac:dyDescent="0.15">
      <c r="B96" s="973" t="str">
        <f>'9.Inputs'!C61</f>
        <v xml:space="preserve">Peat </v>
      </c>
      <c r="C96" s="1007">
        <f>IF('9.Inputs'!AU61="Yes",IPCC!C1752*(IPCC!D1752+IPCC!E1752*methanefossil+IPCC!F1752*Nitrous)/10^6,IPCC!C1752*(IPCC!E1752*methanefossil+IPCC!F1752*Nitrous)/10^6)</f>
        <v>8.5604959999999994E-2</v>
      </c>
      <c r="D96" s="1008">
        <f>IF('9.Inputs'!AQ61="",'9.Inputs'!AP61,'9.Inputs'!AQ61)</f>
        <v>8.5604959999999994E-2</v>
      </c>
      <c r="E96" s="1688">
        <f>'9.Inputs'!D61</f>
        <v>0</v>
      </c>
      <c r="F96" s="1688">
        <f>'9.Inputs'!E61</f>
        <v>0</v>
      </c>
      <c r="G96" s="1688" t="str">
        <f>VLOOKUP('9.Inputs'!F61, list!$I$48:$J$50, 2, FALSE)</f>
        <v>Linear</v>
      </c>
      <c r="H96" s="1688">
        <f>'9.Inputs'!G61</f>
        <v>0</v>
      </c>
      <c r="I96" s="1688" t="str">
        <f>VLOOKUP('9.Inputs'!H61, list!$I$48:$J$50, 2, FALSE)</f>
        <v>Linear</v>
      </c>
      <c r="K96" s="992">
        <f t="shared" si="9"/>
        <v>0</v>
      </c>
      <c r="L96" s="992">
        <f t="shared" si="9"/>
        <v>0</v>
      </c>
      <c r="M96" s="992">
        <f>H96*$D96</f>
        <v>0</v>
      </c>
      <c r="N96" s="1246"/>
      <c r="O96" s="992">
        <f>MIN(K96,L96)*time_tot+ABS(L96-K96)*IF(L96&gt;K96,time_cap+time*(VLOOKUP(G96,list!$J$47:$K$50,2,FALSE)),time*(1-(VLOOKUP(G96,list!$J$47:$K$50,2,FALSE))))</f>
        <v>0</v>
      </c>
      <c r="P96" s="992">
        <f>MIN(K96,M96)*time_tot+ABS(M96-K96)*IF(M96&gt;K96,time_cap+time*(VLOOKUP(I96,list!$J$47:$K$50,2,FALSE)),time*(1-(VLOOKUP(I96,list!$J$47:$K$50,2,FALSE))))</f>
        <v>0</v>
      </c>
      <c r="Q96" s="992">
        <f>P96-O96</f>
        <v>0</v>
      </c>
      <c r="U96" s="992">
        <f>MIN(K96,L96)*time+ABS(L96-K96)*IF(L96&gt;K96,time*(VLOOKUP(G96,list!$J$48:$L$50,2,FALSE)),time*(1-(VLOOKUP(Inputs!G96,list!$J$48:$L$50,2,FALSE))))</f>
        <v>0</v>
      </c>
      <c r="V96" s="992">
        <f>MIN(L96,M96)*time+ABS(M96-L96)*IF(M96&gt;L96,time*(VLOOKUP(I96,list!$J$48:$L$50,2,FALSE)),time*(1-(VLOOKUP(Inputs!I96,list!$J$48:$L$50,2,FALSE))))</f>
        <v>0</v>
      </c>
    </row>
    <row r="97" spans="1:25" x14ac:dyDescent="0.15">
      <c r="B97" s="973" t="str">
        <f>'9.Inputs'!C62</f>
        <v>Charcoal</v>
      </c>
      <c r="C97" s="1007">
        <f>IF('9.Inputs'!AU62="Yes",IPCC!C1753*(IPCC!D1753+IPCC!E1753*methanefossil+IPCC!F1753*Nitrous)/10^6,IPCC!C1753*(IPCC!E1753*methanefossil+IPCC!F1753*Nitrous)/10^6)</f>
        <v>0.17301749999999999</v>
      </c>
      <c r="D97" s="1008">
        <f>IF('9.Inputs'!AQ62="",'9.Inputs'!AP62,'9.Inputs'!AQ62)</f>
        <v>0.17301749999999999</v>
      </c>
      <c r="E97" s="1688">
        <f>'9.Inputs'!D62</f>
        <v>0</v>
      </c>
      <c r="F97" s="1688">
        <f>'9.Inputs'!E62</f>
        <v>0</v>
      </c>
      <c r="G97" s="1688" t="str">
        <f>VLOOKUP('9.Inputs'!F62, list!$I$48:$J$50, 2, FALSE)</f>
        <v>Linear</v>
      </c>
      <c r="H97" s="1688">
        <f>'9.Inputs'!G62</f>
        <v>0</v>
      </c>
      <c r="I97" s="1688" t="str">
        <f>VLOOKUP('9.Inputs'!H62, list!$I$48:$J$50, 2, FALSE)</f>
        <v>Linear</v>
      </c>
      <c r="K97" s="992">
        <f t="shared" si="9"/>
        <v>0</v>
      </c>
      <c r="L97" s="992">
        <f t="shared" si="9"/>
        <v>0</v>
      </c>
      <c r="M97" s="992">
        <f>H97*$D97</f>
        <v>0</v>
      </c>
      <c r="N97" s="1246"/>
      <c r="O97" s="992">
        <f>MIN(K97,L97)*time_tot+ABS(L97-K97)*IF(L97&gt;K97,time_cap+time*(VLOOKUP(G97,list!$J$47:$K$50,2,FALSE)),time*(1-(VLOOKUP(G97,list!$J$47:$K$50,2,FALSE))))</f>
        <v>0</v>
      </c>
      <c r="P97" s="992">
        <f>MIN(K97,M97)*time_tot+ABS(M97-K97)*IF(M97&gt;K97,time_cap+time*(VLOOKUP(I97,list!$J$47:$K$50,2,FALSE)),time*(1-(VLOOKUP(I97,list!$J$47:$K$50,2,FALSE))))</f>
        <v>0</v>
      </c>
      <c r="Q97" s="992">
        <f>P97-O97</f>
        <v>0</v>
      </c>
      <c r="U97" s="992">
        <f>MIN(K97,L97)*time+ABS(L97-K97)*IF(L97&gt;K97,time*(VLOOKUP(G97,list!$J$48:$L$50,2,FALSE)),time*(1-(VLOOKUP(Inputs!G97,list!$J$48:$L$50,2,FALSE))))</f>
        <v>0</v>
      </c>
      <c r="V97" s="992">
        <f>MIN(L97,M97)*time+ABS(M97-L97)*IF(M97&gt;L97,time*(VLOOKUP(I97,list!$J$48:$L$50,2,FALSE)),time*(1-(VLOOKUP(Inputs!I97,list!$J$48:$L$50,2,FALSE))))</f>
        <v>0</v>
      </c>
    </row>
    <row r="98" spans="1:25" x14ac:dyDescent="0.15">
      <c r="B98" s="973" t="str">
        <f>'9.Inputs'!C63</f>
        <v>Peat (from peatlands)</v>
      </c>
      <c r="C98" s="1007">
        <f>IF('9.Inputs'!AU61="Yes",IPCC!C1752*(IPCC!D1752+IPCC!E1752*methane+IPCC!F1752*Nitrous)/10^6,IPCC!C1752*(IPCC!E1752*methane+IPCC!F1752*Nitrous)/10^6)</f>
        <v>8.5604959999999994E-2</v>
      </c>
      <c r="D98" s="1008">
        <f>IF('9.Inputs'!AQ63="",'9.Inputs'!AP63,'9.Inputs'!AQ63)</f>
        <v>8.5604959999999994E-2</v>
      </c>
      <c r="E98" s="992">
        <f>'9.Inputs'!D63</f>
        <v>1500000</v>
      </c>
      <c r="F98" s="992">
        <f>'9.Inputs'!E63</f>
        <v>90000</v>
      </c>
      <c r="G98" s="1688" t="str">
        <f>VLOOKUP('9.Inputs'!F63, list!$I$48:$J$50, 2, FALSE)</f>
        <v>Linear</v>
      </c>
      <c r="H98" s="992">
        <f>'9.Inputs'!G63</f>
        <v>96000</v>
      </c>
      <c r="I98" s="1688" t="str">
        <f>VLOOKUP('9.Inputs'!H63, list!$I$48:$J$50, 2, FALSE)</f>
        <v>Linear</v>
      </c>
      <c r="K98" s="992">
        <f t="shared" si="9"/>
        <v>128407.43999999999</v>
      </c>
      <c r="L98" s="992">
        <f t="shared" si="9"/>
        <v>7704.4463999999998</v>
      </c>
      <c r="M98" s="992">
        <f>H98*$D98</f>
        <v>8218.0761599999987</v>
      </c>
      <c r="N98" s="1246"/>
      <c r="O98" s="992">
        <f>MIN(K98,L98)*time_tot+ABS(L98-K98)*IF(L98&gt;K98,time_cap+time*(VLOOKUP(G98,list!$J$47:$K$50,2,FALSE)),time*(1-(VLOOKUP(G98,list!$J$47:$K$50,2,FALSE))))</f>
        <v>417324.17999999993</v>
      </c>
      <c r="P98" s="992">
        <f>MIN(K98,M98)*time_tot+ABS(M98-K98)*IF(M98&gt;K98,time_cap+time*(VLOOKUP(I98,list!$J$47:$K$50,2,FALSE)),time*(1-(VLOOKUP(I98,list!$J$47:$K$50,2,FALSE))))</f>
        <v>423744.55199999991</v>
      </c>
      <c r="Q98" s="992">
        <f>P98-O98</f>
        <v>6420.3719999999739</v>
      </c>
      <c r="W98" s="3145">
        <f>SUM(V82:V97)-SUM(U82:U97)</f>
        <v>0</v>
      </c>
    </row>
    <row r="99" spans="1:25" x14ac:dyDescent="0.15">
      <c r="B99" s="973" t="str">
        <f>'9.Inputs'!C64</f>
        <v xml:space="preserve">User defined (Tier 2) </v>
      </c>
      <c r="C99" s="1041"/>
      <c r="D99" s="1008">
        <f>'9.Inputs'!AQ64</f>
        <v>0</v>
      </c>
      <c r="E99" s="1688">
        <f>'9.Inputs'!D64</f>
        <v>0</v>
      </c>
      <c r="F99" s="1688">
        <f>'9.Inputs'!E64</f>
        <v>0</v>
      </c>
      <c r="G99" s="1688" t="str">
        <f>VLOOKUP('9.Inputs'!F64, list!$I$48:$J$50, 2, FALSE)</f>
        <v>Linear</v>
      </c>
      <c r="H99" s="1688">
        <f>'9.Inputs'!G64</f>
        <v>0</v>
      </c>
      <c r="I99" s="1688" t="str">
        <f>VLOOKUP('9.Inputs'!H64, list!$I$48:$J$50, 2, FALSE)</f>
        <v>Linear</v>
      </c>
      <c r="K99" s="992">
        <f t="shared" si="9"/>
        <v>0</v>
      </c>
      <c r="L99" s="992">
        <f t="shared" si="9"/>
        <v>0</v>
      </c>
      <c r="M99" s="992">
        <f>H99*$D99</f>
        <v>0</v>
      </c>
      <c r="N99" s="1246"/>
      <c r="O99" s="992">
        <f>MIN(K99,L99)*time_tot+ABS(L99-K99)*IF(L99&gt;K99,time_cap+time*(VLOOKUP(G99,list!$J$47:$K$50,2,FALSE)),time*(1-(VLOOKUP(G99,list!$J$47:$K$50,2,FALSE))))</f>
        <v>0</v>
      </c>
      <c r="P99" s="992">
        <f>MIN(K99,M99)*time_tot+ABS(M99-K99)*IF(M99&gt;K99,time_cap+time*(VLOOKUP(I99,list!$J$47:$K$50,2,FALSE)),time*(1-(VLOOKUP(I99,list!$J$47:$K$50,2,FALSE))))</f>
        <v>0</v>
      </c>
      <c r="Q99" s="992">
        <f>P99-O99</f>
        <v>0</v>
      </c>
      <c r="U99" s="992">
        <f>MIN(K99,L99)*time+ABS(L99-K99)*IF(L99&gt;K99,time*(VLOOKUP(G99,list!$J$48:$L$50,2,FALSE)),time*(1-(VLOOKUP(Inputs!G99,list!$J$48:$L$50,2,FALSE))))</f>
        <v>0</v>
      </c>
      <c r="V99" s="992">
        <f>MIN(L99,M99)*time+ABS(M99-L99)*IF(M99&gt;L99,time*(VLOOKUP(I99,list!$J$48:$L$50,2,FALSE)),time*(1-(VLOOKUP(Inputs!I99,list!$J$48:$L$50,2,FALSE))))</f>
        <v>0</v>
      </c>
    </row>
    <row r="101" spans="1:25" x14ac:dyDescent="0.15">
      <c r="C101" s="1246"/>
      <c r="D101" s="1246"/>
      <c r="E101" s="1246"/>
      <c r="I101" s="3464" t="s">
        <v>2810</v>
      </c>
      <c r="J101" s="3464"/>
      <c r="K101" s="3465">
        <f>SUM(K82:K99)</f>
        <v>128407.43999999999</v>
      </c>
      <c r="L101" s="3465">
        <f>SUM(L82:L99)</f>
        <v>7704.4463999999998</v>
      </c>
      <c r="M101" s="3465">
        <f>SUM(M82:M99)</f>
        <v>8218.0761599999987</v>
      </c>
      <c r="N101" s="3465"/>
      <c r="O101" s="3465">
        <f>SUM(O82:O99)</f>
        <v>417324.17999999993</v>
      </c>
      <c r="P101" s="3465">
        <f>SUM(P82:P99)</f>
        <v>423744.55199999991</v>
      </c>
      <c r="Q101" s="993">
        <f>SUM(Q82:Q99)</f>
        <v>6420.3719999999739</v>
      </c>
    </row>
    <row r="102" spans="1:25" x14ac:dyDescent="0.15">
      <c r="K102" s="992"/>
      <c r="L102" s="992"/>
      <c r="M102" s="992"/>
      <c r="N102" s="992"/>
      <c r="O102" s="992"/>
      <c r="P102" s="992"/>
      <c r="Q102" s="992"/>
    </row>
    <row r="103" spans="1:25" ht="18" x14ac:dyDescent="0.2">
      <c r="I103" s="1005" t="s">
        <v>2839</v>
      </c>
      <c r="J103" s="1005"/>
      <c r="K103" s="1005"/>
      <c r="L103" s="1005"/>
      <c r="M103" s="1005"/>
      <c r="N103" s="1005"/>
      <c r="O103" s="1006">
        <f>O101</f>
        <v>417324.17999999993</v>
      </c>
      <c r="P103" s="1006">
        <f>P101</f>
        <v>423744.55199999991</v>
      </c>
      <c r="Q103" s="1006">
        <f>Q101</f>
        <v>6420.3719999999739</v>
      </c>
    </row>
    <row r="105" spans="1:25" ht="47.25" customHeight="1" x14ac:dyDescent="0.15">
      <c r="A105" s="975"/>
      <c r="B105" s="975" t="s">
        <v>2840</v>
      </c>
      <c r="C105" s="975"/>
      <c r="D105" s="975"/>
      <c r="E105" s="975"/>
      <c r="F105" s="975"/>
      <c r="G105" s="975"/>
      <c r="H105" s="975"/>
      <c r="I105" s="975"/>
      <c r="J105" s="975"/>
      <c r="K105" s="975"/>
      <c r="L105" s="975"/>
      <c r="M105" s="975"/>
      <c r="N105" s="975"/>
      <c r="O105" s="975"/>
      <c r="P105" s="975"/>
      <c r="Q105" s="975"/>
      <c r="R105" s="975"/>
      <c r="X105" s="974"/>
      <c r="Y105" s="974"/>
    </row>
    <row r="106" spans="1:25" x14ac:dyDescent="0.15">
      <c r="E106" s="973" t="s">
        <v>2841</v>
      </c>
      <c r="K106" s="973" t="s">
        <v>2805</v>
      </c>
      <c r="O106" s="973" t="s">
        <v>2806</v>
      </c>
      <c r="X106" s="974"/>
      <c r="Y106" s="974"/>
    </row>
    <row r="107" spans="1:25" x14ac:dyDescent="0.15">
      <c r="C107" s="973" t="str">
        <f>C79</f>
        <v xml:space="preserve">Emission </v>
      </c>
      <c r="D107" s="973" t="str">
        <f>D79</f>
        <v xml:space="preserve">Specific </v>
      </c>
      <c r="E107" s="976" t="s">
        <v>2842</v>
      </c>
      <c r="F107" s="977" t="str">
        <f>E107</f>
        <v>Ha</v>
      </c>
      <c r="G107" s="978"/>
      <c r="H107" s="998" t="str">
        <f>F107</f>
        <v>Ha</v>
      </c>
      <c r="I107" s="978"/>
      <c r="K107" s="979"/>
      <c r="L107" s="979"/>
      <c r="M107" s="979"/>
      <c r="O107" s="979"/>
      <c r="P107" s="979"/>
      <c r="Q107" s="979"/>
      <c r="X107" s="974"/>
      <c r="Y107" s="974"/>
    </row>
    <row r="108" spans="1:25" x14ac:dyDescent="0.15">
      <c r="C108" s="973" t="str">
        <f>C80</f>
        <v>Factor</v>
      </c>
      <c r="D108" s="973" t="str">
        <f>D80</f>
        <v>Factor</v>
      </c>
      <c r="E108" s="980" t="s">
        <v>615</v>
      </c>
      <c r="F108" s="994" t="s">
        <v>616</v>
      </c>
      <c r="G108" s="999"/>
      <c r="H108" s="1000" t="s">
        <v>617</v>
      </c>
      <c r="I108" s="982"/>
      <c r="K108" s="980" t="s">
        <v>219</v>
      </c>
      <c r="L108" s="994" t="s">
        <v>179</v>
      </c>
      <c r="M108" s="1000" t="s">
        <v>180</v>
      </c>
      <c r="O108" s="994" t="s">
        <v>179</v>
      </c>
      <c r="P108" s="1000" t="s">
        <v>180</v>
      </c>
      <c r="Q108" s="979" t="s">
        <v>618</v>
      </c>
      <c r="U108" s="973" t="s">
        <v>859</v>
      </c>
      <c r="V108" s="973"/>
      <c r="X108" s="974"/>
      <c r="Y108" s="974"/>
    </row>
    <row r="109" spans="1:25" ht="15" x14ac:dyDescent="0.15">
      <c r="B109" s="1281" t="s">
        <v>2843</v>
      </c>
      <c r="C109" s="973" t="s">
        <v>1237</v>
      </c>
      <c r="E109" s="980"/>
      <c r="F109" s="986" t="s">
        <v>224</v>
      </c>
      <c r="G109" s="987" t="s">
        <v>225</v>
      </c>
      <c r="H109" s="988" t="s">
        <v>224</v>
      </c>
      <c r="I109" s="988" t="s">
        <v>225</v>
      </c>
      <c r="K109" s="989"/>
      <c r="L109" s="990"/>
      <c r="M109" s="991"/>
      <c r="O109" s="990"/>
      <c r="P109" s="991"/>
      <c r="Q109" s="979"/>
      <c r="U109" s="1102" t="s">
        <v>200</v>
      </c>
      <c r="V109" s="1103" t="s">
        <v>201</v>
      </c>
      <c r="X109" s="974"/>
      <c r="Y109" s="974"/>
    </row>
    <row r="110" spans="1:25" x14ac:dyDescent="0.15">
      <c r="B110" s="973" t="str">
        <f>'9.Inputs'!C78</f>
        <v>Please select</v>
      </c>
      <c r="C110" s="1044">
        <f>IF(B110="Please select",0,VLOOKUP(B110,'Energy DB'!$A$7:$B$16,2,))</f>
        <v>0</v>
      </c>
      <c r="D110" s="1045">
        <f>IF('9.Inputs'!AQ78="",'9.Inputs'!AP78,'9.Inputs'!AQ78)</f>
        <v>0</v>
      </c>
      <c r="F110" s="992">
        <f>'9.Inputs'!E78</f>
        <v>0</v>
      </c>
      <c r="G110" s="1688"/>
      <c r="H110" s="992">
        <f>'9.Inputs'!G78</f>
        <v>0</v>
      </c>
      <c r="L110" s="992">
        <f>F110*$D110/1000</f>
        <v>0</v>
      </c>
      <c r="M110" s="992">
        <f>H110*$D110/1000</f>
        <v>0</v>
      </c>
      <c r="O110" s="992">
        <f t="shared" ref="O110:P113" si="10">L110</f>
        <v>0</v>
      </c>
      <c r="P110" s="992">
        <f t="shared" si="10"/>
        <v>0</v>
      </c>
      <c r="Q110" s="992">
        <f>P110-O110</f>
        <v>0</v>
      </c>
      <c r="U110" s="992">
        <f t="shared" ref="U110:V113" si="11">O110</f>
        <v>0</v>
      </c>
      <c r="V110" s="992">
        <f t="shared" si="11"/>
        <v>0</v>
      </c>
    </row>
    <row r="111" spans="1:25" x14ac:dyDescent="0.15">
      <c r="B111" s="973" t="str">
        <f>'9.Inputs'!C79</f>
        <v>Please select</v>
      </c>
      <c r="C111" s="1044">
        <f>IF(B111="Please select",0,VLOOKUP(B111,'Energy DB'!$A$7:$B$16,2,))</f>
        <v>0</v>
      </c>
      <c r="D111" s="1045">
        <f>IF('9.Inputs'!AQ79="",'9.Inputs'!AP79,'9.Inputs'!AQ79)</f>
        <v>0</v>
      </c>
      <c r="F111" s="992">
        <f>'9.Inputs'!E79</f>
        <v>0</v>
      </c>
      <c r="G111" s="1688"/>
      <c r="H111" s="992">
        <f>'9.Inputs'!G79</f>
        <v>0</v>
      </c>
      <c r="L111" s="992">
        <f>F111*$D111/1000</f>
        <v>0</v>
      </c>
      <c r="M111" s="992">
        <f>H111*$D111/1000</f>
        <v>0</v>
      </c>
      <c r="O111" s="992">
        <f t="shared" si="10"/>
        <v>0</v>
      </c>
      <c r="P111" s="992">
        <f t="shared" si="10"/>
        <v>0</v>
      </c>
      <c r="Q111" s="992">
        <f>P111-O111</f>
        <v>0</v>
      </c>
      <c r="U111" s="992">
        <f t="shared" si="11"/>
        <v>0</v>
      </c>
      <c r="V111" s="992">
        <f t="shared" si="11"/>
        <v>0</v>
      </c>
    </row>
    <row r="112" spans="1:25" x14ac:dyDescent="0.15">
      <c r="B112" s="973" t="str">
        <f>'9.Inputs'!C80</f>
        <v>Please select</v>
      </c>
      <c r="C112" s="1044">
        <f>IF(B112="Please select",0,VLOOKUP(B112,'Energy DB'!$A$7:$B$16,2,))</f>
        <v>0</v>
      </c>
      <c r="D112" s="1045">
        <f>IF('9.Inputs'!AQ80="",'9.Inputs'!AP80,'9.Inputs'!AQ80)</f>
        <v>0</v>
      </c>
      <c r="F112" s="992">
        <f>'9.Inputs'!E80</f>
        <v>0</v>
      </c>
      <c r="G112" s="1688"/>
      <c r="H112" s="992">
        <f>'9.Inputs'!G80</f>
        <v>0</v>
      </c>
      <c r="L112" s="992">
        <f>F112*$D112/1000</f>
        <v>0</v>
      </c>
      <c r="M112" s="992">
        <f>H112*$D112/1000</f>
        <v>0</v>
      </c>
      <c r="O112" s="992">
        <f t="shared" si="10"/>
        <v>0</v>
      </c>
      <c r="P112" s="992">
        <f t="shared" si="10"/>
        <v>0</v>
      </c>
      <c r="Q112" s="992">
        <f>P112-O112</f>
        <v>0</v>
      </c>
      <c r="U112" s="992">
        <f t="shared" si="11"/>
        <v>0</v>
      </c>
      <c r="V112" s="992">
        <f t="shared" si="11"/>
        <v>0</v>
      </c>
    </row>
    <row r="113" spans="2:22" x14ac:dyDescent="0.15">
      <c r="B113" s="973" t="str">
        <f>'9.Inputs'!C81</f>
        <v>Please select</v>
      </c>
      <c r="C113" s="1044">
        <f>IF(B113="Please select",0,VLOOKUP(B113,'Energy DB'!$A$7:$B$16,2,))</f>
        <v>0</v>
      </c>
      <c r="D113" s="1045">
        <f>IF('9.Inputs'!AQ81="",'9.Inputs'!AP81,'9.Inputs'!AQ81)</f>
        <v>0</v>
      </c>
      <c r="F113" s="992">
        <f>'9.Inputs'!E81</f>
        <v>0</v>
      </c>
      <c r="G113" s="1688"/>
      <c r="H113" s="992">
        <f>'9.Inputs'!G81</f>
        <v>0</v>
      </c>
      <c r="L113" s="992">
        <f>F113*$D113/1000</f>
        <v>0</v>
      </c>
      <c r="M113" s="992">
        <f>H113*$D113/1000</f>
        <v>0</v>
      </c>
      <c r="O113" s="992">
        <f t="shared" si="10"/>
        <v>0</v>
      </c>
      <c r="P113" s="992">
        <f t="shared" si="10"/>
        <v>0</v>
      </c>
      <c r="Q113" s="992">
        <f>P113-O113</f>
        <v>0</v>
      </c>
      <c r="U113" s="992">
        <f t="shared" si="11"/>
        <v>0</v>
      </c>
      <c r="V113" s="992">
        <f t="shared" si="11"/>
        <v>0</v>
      </c>
    </row>
    <row r="115" spans="2:22" x14ac:dyDescent="0.15">
      <c r="B115" s="1120" t="str">
        <f>Languages!B483</f>
        <v>Operational phase of groundwater irrigated systems</v>
      </c>
      <c r="C115" s="1120" t="s">
        <v>5232</v>
      </c>
    </row>
    <row r="116" spans="2:22" x14ac:dyDescent="0.15">
      <c r="B116" s="1281" t="s">
        <v>379</v>
      </c>
    </row>
    <row r="117" spans="2:22" x14ac:dyDescent="0.15">
      <c r="B117" s="1246" t="str">
        <f>'9.Inputs'!BC86</f>
        <v>Barley/Oats/Wheat</v>
      </c>
      <c r="C117" s="1051"/>
      <c r="D117" s="1009">
        <f>'Energy DB'!AP7</f>
        <v>5.1950519844199995E-3</v>
      </c>
      <c r="E117" s="992">
        <f>'9.Inputs'!D86</f>
        <v>100</v>
      </c>
      <c r="F117" s="992">
        <f>'9.Inputs'!E86</f>
        <v>0</v>
      </c>
      <c r="G117" s="992" t="str">
        <f>VLOOKUP('9.Inputs'!F86, list!$I$48:$J$50, 2, FALSE)</f>
        <v>Linear</v>
      </c>
      <c r="H117" s="992">
        <f>'9.Inputs'!G86</f>
        <v>0</v>
      </c>
      <c r="I117" s="992" t="str">
        <f>VLOOKUP('9.Inputs'!H86, list!$I$48:$J$50, 2, FALSE)</f>
        <v>Linear</v>
      </c>
      <c r="K117" s="992">
        <f t="shared" ref="K117:L120" si="12">E117*$D117</f>
        <v>0.51950519844199994</v>
      </c>
      <c r="L117" s="992">
        <f t="shared" si="12"/>
        <v>0</v>
      </c>
      <c r="M117" s="992">
        <f>H117*D117</f>
        <v>0</v>
      </c>
      <c r="O117" s="992">
        <f>IF('9.Inputs'!AL86="Electricity",(MIN(K117,L117)*time_tot+ABS(L117-K117)*IF(L117&gt;K117,time_cap+time*(VLOOKUP(G117,list!$J$47:$K$50,2,FALSE)),time*(1-(VLOOKUP(G117,list!$J$47:$K$50,2,FALSE)))))*(1+Inputs!$D$128),MIN(K117,L117)*time_tot+ABS(L117-K117)*IF(L117&gt;K117,time_cap+time*(VLOOKUP(G117,list!$J$47:$K$50,2,FALSE)),time*(1-(VLOOKUP(G117,list!$J$47:$K$50,2,FALSE)))))</f>
        <v>1.2987629961049998</v>
      </c>
      <c r="P117" s="992">
        <f>IF('9.Inputs'!AL86="Electricity",(MIN(K117,M117)*time_tot+ABS(M117-K117)*IF(M117&gt;K117,time_cap+time*(VLOOKUP(I117,list!$J$47:$K$50,2,FALSE)),time*(1-(VLOOKUP(I117,list!$J$47:$K$50,2,FALSE)))))*(1+Inputs!$D$128),MIN(K117,M117)*time_tot+ABS(M117-K117)*IF(M117&gt;K117,time_cap+time*(VLOOKUP(I117,list!$J$47:$K$50,2,FALSE)),time*(1-(VLOOKUP(I117,list!$J$47:$K$50,2,FALSE)))))</f>
        <v>1.2987629961049998</v>
      </c>
      <c r="Q117" s="992">
        <f>P117-O117</f>
        <v>0</v>
      </c>
      <c r="U117" s="4084">
        <f>MIN(K117,L117)*time+ABS(L117-K117)*IF(L117&gt;K117,time*(VLOOKUP(G117,list!$J$48:$L$50,2,FALSE)),time*(1-(VLOOKUP(Inputs!G117,list!$J$48:$L$50,2,FALSE))))</f>
        <v>1.2987629961049998</v>
      </c>
      <c r="V117" s="4084">
        <f>MIN(L117,M117)*time+ABS(M117-L117)*IF(M117&gt;L117,time*(VLOOKUP(I117,list!$J$48:$L$50,2,FALSE)),time*(1-(VLOOKUP(Inputs!I117,list!$J$48:$L$50,2,FALSE))))</f>
        <v>0</v>
      </c>
    </row>
    <row r="118" spans="2:22" x14ac:dyDescent="0.15">
      <c r="B118" s="1246" t="str">
        <f>'9.Inputs'!BC87</f>
        <v>Alfalfa</v>
      </c>
      <c r="C118" s="1051"/>
      <c r="D118" s="1009">
        <f>'Energy DB'!AP8</f>
        <v>5.1950519844199995E-3</v>
      </c>
      <c r="E118" s="992">
        <f>'9.Inputs'!D87</f>
        <v>0</v>
      </c>
      <c r="F118" s="992">
        <f>'9.Inputs'!E87</f>
        <v>85</v>
      </c>
      <c r="G118" s="992" t="str">
        <f>VLOOKUP('9.Inputs'!F87, list!$I$48:$J$50, 2, FALSE)</f>
        <v>Linear</v>
      </c>
      <c r="H118" s="992">
        <f>'9.Inputs'!G87</f>
        <v>0</v>
      </c>
      <c r="I118" s="992" t="str">
        <f>VLOOKUP('9.Inputs'!H87, list!$I$48:$J$50, 2, FALSE)</f>
        <v>Linear</v>
      </c>
      <c r="K118" s="992">
        <f t="shared" si="12"/>
        <v>0</v>
      </c>
      <c r="L118" s="992">
        <f t="shared" si="12"/>
        <v>0.44157941867569994</v>
      </c>
      <c r="M118" s="992">
        <f>H118*D118</f>
        <v>0</v>
      </c>
      <c r="O118" s="992">
        <f>IF('9.Inputs'!AL87="Electricity",(MIN(K118,L118)*time_tot+ABS(L118-K118)*IF(L118&gt;K118,time_cap+time*(VLOOKUP(G118,list!$J$47:$K$50,2,FALSE)),time*(1-(VLOOKUP(G118,list!$J$47:$K$50,2,FALSE)))))*(1+Inputs!$D$128),MIN(K118,L118)*time_tot+ABS(L118-K118)*IF(L118&gt;K118,time_cap+time*(VLOOKUP(G118,list!$J$47:$K$50,2,FALSE)),time*(1-(VLOOKUP(G118,list!$J$47:$K$50,2,FALSE)))))</f>
        <v>5.5197427334462494</v>
      </c>
      <c r="P118" s="992">
        <f>IF('9.Inputs'!AL87="Electricity",(MIN(K118,M118)*time_tot+ABS(M118-K118)*IF(M118&gt;K118,time_cap+time*(VLOOKUP(I118,list!$J$47:$K$50,2,FALSE)),time*(1-(VLOOKUP(I118,list!$J$47:$K$50,2,FALSE)))))*(1+Inputs!$D$128),MIN(K118,M118)*time_tot+ABS(M118-K118)*IF(M118&gt;K118,time_cap+time*(VLOOKUP(I118,list!$J$47:$K$50,2,FALSE)),time*(1-(VLOOKUP(I118,list!$J$47:$K$50,2,FALSE)))))</f>
        <v>0</v>
      </c>
      <c r="Q118" s="992">
        <f>P118-O118</f>
        <v>-5.5197427334462494</v>
      </c>
      <c r="U118" s="4084">
        <f>MIN(K118,L118)*time+ABS(L118-K118)*IF(L118&gt;K118,time*(VLOOKUP(G118,list!$J$48:$L$50,2,FALSE)),time*(1-(VLOOKUP(Inputs!G118,list!$J$48:$L$50,2,FALSE))))</f>
        <v>1.1039485466892498</v>
      </c>
      <c r="V118" s="4084">
        <f>MIN(L118,M118)*time+ABS(M118-L118)*IF(M118&gt;L118,time*(VLOOKUP(I118,list!$J$48:$L$50,2,FALSE)),time*(1-(VLOOKUP(Inputs!I118,list!$J$48:$L$50,2,FALSE))))</f>
        <v>1.1039485466892498</v>
      </c>
    </row>
    <row r="119" spans="2:22" x14ac:dyDescent="0.15">
      <c r="B119" s="1246" t="str">
        <f>'9.Inputs'!BC88</f>
        <v>Maize</v>
      </c>
      <c r="C119" s="1051"/>
      <c r="D119" s="1009">
        <f>'Energy DB'!AP9</f>
        <v>5.1950519844199995E-3</v>
      </c>
      <c r="E119" s="992">
        <f>'9.Inputs'!D88</f>
        <v>0</v>
      </c>
      <c r="F119" s="992">
        <f>'9.Inputs'!E88</f>
        <v>0</v>
      </c>
      <c r="G119" s="992" t="str">
        <f>VLOOKUP('9.Inputs'!F88, list!$I$48:$J$50, 2, FALSE)</f>
        <v>Linear</v>
      </c>
      <c r="H119" s="992">
        <f>'9.Inputs'!G88</f>
        <v>123</v>
      </c>
      <c r="I119" s="992" t="str">
        <f>VLOOKUP('9.Inputs'!H88, list!$I$48:$J$50, 2, FALSE)</f>
        <v>Linear</v>
      </c>
      <c r="K119" s="992">
        <f t="shared" si="12"/>
        <v>0</v>
      </c>
      <c r="L119" s="992">
        <f t="shared" si="12"/>
        <v>0</v>
      </c>
      <c r="M119" s="992">
        <f>H119*D119</f>
        <v>0.6389913940836599</v>
      </c>
      <c r="O119" s="992">
        <f>IF('9.Inputs'!AL88="Electricity",(MIN(K119,L119)*time_tot+ABS(L119-K119)*IF(L119&gt;K119,time_cap+time*(VLOOKUP(G119,list!$J$47:$K$50,2,FALSE)),time*(1-(VLOOKUP(G119,list!$J$47:$K$50,2,FALSE)))))*(1+Inputs!$D$128),MIN(K119,L119)*time_tot+ABS(L119-K119)*IF(L119&gt;K119,time_cap+time*(VLOOKUP(G119,list!$J$47:$K$50,2,FALSE)),time*(1-(VLOOKUP(G119,list!$J$47:$K$50,2,FALSE)))))</f>
        <v>0</v>
      </c>
      <c r="P119" s="992">
        <f>IF('9.Inputs'!AL88="Electricity",(MIN(K119,M119)*time_tot+ABS(M119-K119)*IF(M119&gt;K119,time_cap+time*(VLOOKUP(I119,list!$J$47:$K$50,2,FALSE)),time*(1-(VLOOKUP(I119,list!$J$47:$K$50,2,FALSE)))))*(1+Inputs!$D$128),MIN(K119,M119)*time_tot+ABS(M119-K119)*IF(M119&gt;K119,time_cap+time*(VLOOKUP(I119,list!$J$47:$K$50,2,FALSE)),time*(1-(VLOOKUP(I119,list!$J$47:$K$50,2,FALSE)))))</f>
        <v>7.9873924260457487</v>
      </c>
      <c r="Q119" s="992">
        <f>P119-O119</f>
        <v>7.9873924260457487</v>
      </c>
      <c r="U119" s="4084">
        <f>MIN(K119,L119)*time+ABS(L119-K119)*IF(L119&gt;K119,time*(VLOOKUP(G119,list!$J$48:$L$50,2,FALSE)),time*(1-(VLOOKUP(Inputs!G119,list!$J$48:$L$50,2,FALSE))))</f>
        <v>0</v>
      </c>
      <c r="V119" s="4084">
        <f>MIN(L119,M119)*time+ABS(M119-L119)*IF(M119&gt;L119,time*(VLOOKUP(I119,list!$J$48:$L$50,2,FALSE)),time*(1-(VLOOKUP(Inputs!I119,list!$J$48:$L$50,2,FALSE))))</f>
        <v>1.5974784852091497</v>
      </c>
    </row>
    <row r="120" spans="2:22" x14ac:dyDescent="0.15">
      <c r="B120" s="1246" t="str">
        <f>'9.Inputs'!BC89</f>
        <v>Melon</v>
      </c>
      <c r="C120" s="1051"/>
      <c r="D120" s="1009">
        <f>'Energy DB'!AP10</f>
        <v>0</v>
      </c>
      <c r="E120" s="992">
        <f>'9.Inputs'!D89</f>
        <v>0</v>
      </c>
      <c r="F120" s="992">
        <f>'9.Inputs'!E89</f>
        <v>0</v>
      </c>
      <c r="G120" s="992" t="str">
        <f>VLOOKUP('9.Inputs'!F89, list!$I$48:$J$50, 2, FALSE)</f>
        <v>Linear</v>
      </c>
      <c r="H120" s="992">
        <f>'9.Inputs'!G89</f>
        <v>0</v>
      </c>
      <c r="I120" s="992" t="str">
        <f>VLOOKUP('9.Inputs'!H89, list!$I$48:$J$50, 2, FALSE)</f>
        <v>Linear</v>
      </c>
      <c r="K120" s="992">
        <f t="shared" si="12"/>
        <v>0</v>
      </c>
      <c r="L120" s="992">
        <f t="shared" si="12"/>
        <v>0</v>
      </c>
      <c r="M120" s="992">
        <f>H120*D120</f>
        <v>0</v>
      </c>
      <c r="O120" s="992">
        <f>IF('9.Inputs'!AL89="Electricity",(MIN(K120,L120)*time_tot+ABS(L120-K120)*IF(L120&gt;K120,time_cap+time*(VLOOKUP(G120,list!$J$47:$K$50,2,FALSE)),time*(1-(VLOOKUP(G120,list!$J$47:$K$50,2,FALSE)))))*(1+Inputs!$D$128),MIN(K120,L120)*time_tot+ABS(L120-K120)*IF(L120&gt;K120,time_cap+time*(VLOOKUP(G120,list!$J$47:$K$50,2,FALSE)),time*(1-(VLOOKUP(G120,list!$J$47:$K$50,2,FALSE)))))</f>
        <v>0</v>
      </c>
      <c r="P120" s="992">
        <f>IF('9.Inputs'!AL89="Electricity",(MIN(K120,M120)*time_tot+ABS(M120-K120)*IF(M120&gt;K120,time_cap+time*(VLOOKUP(I120,list!$J$47:$K$50,2,FALSE)),time*(1-(VLOOKUP(I120,list!$J$47:$K$50,2,FALSE)))))*(1+Inputs!$D$128),MIN(K120,M120)*time_tot+ABS(M120-K120)*IF(M120&gt;K120,time_cap+time*(VLOOKUP(I120,list!$J$47:$K$50,2,FALSE)),time*(1-(VLOOKUP(I120,list!$J$47:$K$50,2,FALSE)))))</f>
        <v>0</v>
      </c>
      <c r="Q120" s="992">
        <f>P120-O120</f>
        <v>0</v>
      </c>
      <c r="U120" s="4084">
        <f>MIN(K120,L120)*time+ABS(L120-K120)*IF(L120&gt;K120,time*(VLOOKUP(G120,list!$J$48:$L$50,2,FALSE)),time*(1-(VLOOKUP(Inputs!G120,list!$J$48:$L$50,2,FALSE))))</f>
        <v>0</v>
      </c>
      <c r="V120" s="4084">
        <f>MIN(L120,M120)*time+ABS(M120-L120)*IF(M120&gt;L120,time*(VLOOKUP(I120,list!$J$48:$L$50,2,FALSE)),time*(1-(VLOOKUP(Inputs!I120,list!$J$48:$L$50,2,FALSE))))</f>
        <v>0</v>
      </c>
    </row>
    <row r="121" spans="2:22" x14ac:dyDescent="0.15">
      <c r="U121" s="4084"/>
      <c r="V121" s="4084"/>
    </row>
    <row r="122" spans="2:22" x14ac:dyDescent="0.15">
      <c r="B122" s="1281" t="s">
        <v>380</v>
      </c>
      <c r="U122" s="4084"/>
      <c r="V122" s="4084"/>
    </row>
    <row r="123" spans="2:22" x14ac:dyDescent="0.15">
      <c r="B123" s="1246" t="str">
        <f>'9.Inputs'!BH86</f>
        <v>Barley/Oats/Wheat</v>
      </c>
      <c r="D123" s="1009">
        <f>'Energy DB'!AP14</f>
        <v>0</v>
      </c>
      <c r="E123" s="992">
        <f t="shared" ref="E123:I126" si="13">E117</f>
        <v>100</v>
      </c>
      <c r="F123" s="992">
        <f t="shared" si="13"/>
        <v>0</v>
      </c>
      <c r="G123" s="992" t="str">
        <f t="shared" si="13"/>
        <v>Linear</v>
      </c>
      <c r="H123" s="992">
        <f t="shared" si="13"/>
        <v>0</v>
      </c>
      <c r="I123" s="992" t="str">
        <f t="shared" si="13"/>
        <v>Linear</v>
      </c>
      <c r="K123" s="992">
        <f t="shared" ref="K123:L126" si="14">E123*$D123</f>
        <v>0</v>
      </c>
      <c r="L123" s="992">
        <f t="shared" si="14"/>
        <v>0</v>
      </c>
      <c r="M123" s="992">
        <f>H123*D123</f>
        <v>0</v>
      </c>
      <c r="O123" s="992">
        <f>IF('9.Inputs'!AL101="Electricity",(MIN(K123,L123)*time_tot+ABS(L123-K123)*IF(L123&gt;K123,time_cap+time*(VLOOKUP(G123,list!$J$47:$K$50,2,FALSE)),time*(1-(VLOOKUP(G123,list!$J$47:$K$50,2,FALSE)))))*(1+Inputs!$D$128),MIN(K123,L123)*time_tot+ABS(L123-K123)*IF(L123&gt;K123,time_cap+time*(VLOOKUP(G123,list!$J$47:$K$50,2,FALSE)),time*(1-(VLOOKUP(G123,list!$J$47:$K$50,2,FALSE)))))</f>
        <v>0</v>
      </c>
      <c r="P123" s="992">
        <f>IF('9.Inputs'!AL101="Electricity",(MIN(K123,M123)*time_tot+ABS(M123-K123)*IF(M123&gt;K123,time_cap+time*(VLOOKUP(I123,list!$J$47:$K$50,2,FALSE)),time*(1-(VLOOKUP(I123,list!$J$47:$K$50,2,FALSE)))))*(1+Inputs!$D$128),MIN(K123,M123)*time_tot+ABS(M123-K123)*IF(M123&gt;K123,time_cap+time*(VLOOKUP(I123,list!$J$47:$K$50,2,FALSE)),time*(1-(VLOOKUP(I123,list!$J$47:$K$50,2,FALSE)))))</f>
        <v>0</v>
      </c>
      <c r="Q123" s="992">
        <f>P123-O123</f>
        <v>0</v>
      </c>
      <c r="U123" s="4084">
        <f>MIN(K123,L123)*time+ABS(L123-K123)*IF(L123&gt;K123,time*(VLOOKUP(G123,list!$J$48:$L$50,2,FALSE)),time*(1-(VLOOKUP(Inputs!G123,list!$J$48:$L$50,2,FALSE))))</f>
        <v>0</v>
      </c>
      <c r="V123" s="4084">
        <f>MIN(L123,M123)*time+ABS(M123-L123)*IF(M123&gt;L123,time*(VLOOKUP(I123,list!$J$48:$L$50,2,FALSE)),time*(1-(VLOOKUP(Inputs!I123,list!$J$48:$L$50,2,FALSE))))</f>
        <v>0</v>
      </c>
    </row>
    <row r="124" spans="2:22" x14ac:dyDescent="0.15">
      <c r="B124" s="1246" t="str">
        <f>'9.Inputs'!BH87</f>
        <v>Barley/Oats/Wheat</v>
      </c>
      <c r="D124" s="1009">
        <f>'Energy DB'!AP15</f>
        <v>0</v>
      </c>
      <c r="E124" s="992">
        <f t="shared" si="13"/>
        <v>0</v>
      </c>
      <c r="F124" s="992">
        <f t="shared" si="13"/>
        <v>85</v>
      </c>
      <c r="G124" s="992" t="str">
        <f t="shared" si="13"/>
        <v>Linear</v>
      </c>
      <c r="H124" s="992">
        <f t="shared" si="13"/>
        <v>0</v>
      </c>
      <c r="I124" s="992" t="str">
        <f t="shared" si="13"/>
        <v>Linear</v>
      </c>
      <c r="K124" s="992">
        <f t="shared" si="14"/>
        <v>0</v>
      </c>
      <c r="L124" s="992">
        <f t="shared" si="14"/>
        <v>0</v>
      </c>
      <c r="M124" s="992">
        <f>H124*D124</f>
        <v>0</v>
      </c>
      <c r="O124" s="992">
        <f>IF('9.Inputs'!AL102="Electricity",(MIN(K124,L124)*time_tot+ABS(L124-K124)*IF(L124&gt;K124,time_cap+time*(VLOOKUP(G124,list!$J$47:$K$50,2,FALSE)),time*(1-(VLOOKUP(G124,list!$J$47:$K$50,2,FALSE)))))*(1+Inputs!$D$128),MIN(K124,L124)*time_tot+ABS(L124-K124)*IF(L124&gt;K124,time_cap+time*(VLOOKUP(G124,list!$J$47:$K$50,2,FALSE)),time*(1-(VLOOKUP(G124,list!$J$47:$K$50,2,FALSE)))))</f>
        <v>0</v>
      </c>
      <c r="P124" s="992">
        <f>IF('9.Inputs'!AL102="Electricity",(MIN(K124,M124)*time_tot+ABS(M124-K124)*IF(M124&gt;K124,time_cap+time*(VLOOKUP(I124,list!$J$47:$K$50,2,FALSE)),time*(1-(VLOOKUP(I124,list!$J$47:$K$50,2,FALSE)))))*(1+Inputs!$D$128),MIN(K124,M124)*time_tot+ABS(M124-K124)*IF(M124&gt;K124,time_cap+time*(VLOOKUP(I124,list!$J$47:$K$50,2,FALSE)),time*(1-(VLOOKUP(I124,list!$J$47:$K$50,2,FALSE)))))</f>
        <v>0</v>
      </c>
      <c r="Q124" s="992">
        <f>P124-O124</f>
        <v>0</v>
      </c>
      <c r="U124" s="4084">
        <f>MIN(K124,L124)*time+ABS(L124-K124)*IF(L124&gt;K124,time*(VLOOKUP(G124,list!$J$48:$L$50,2,FALSE)),time*(1-(VLOOKUP(Inputs!G124,list!$J$48:$L$50,2,FALSE))))</f>
        <v>0</v>
      </c>
      <c r="V124" s="4084">
        <f>MIN(L124,M124)*time+ABS(M124-L124)*IF(M124&gt;L124,time*(VLOOKUP(I124,list!$J$48:$L$50,2,FALSE)),time*(1-(VLOOKUP(Inputs!I124,list!$J$48:$L$50,2,FALSE))))</f>
        <v>0</v>
      </c>
    </row>
    <row r="125" spans="2:22" x14ac:dyDescent="0.15">
      <c r="B125" s="1246" t="str">
        <f>'9.Inputs'!BH88</f>
        <v>Barley/Oats/Wheat</v>
      </c>
      <c r="D125" s="1009">
        <f>'Energy DB'!AP16</f>
        <v>0</v>
      </c>
      <c r="E125" s="992">
        <f t="shared" si="13"/>
        <v>0</v>
      </c>
      <c r="F125" s="992">
        <f t="shared" si="13"/>
        <v>0</v>
      </c>
      <c r="G125" s="992" t="str">
        <f t="shared" si="13"/>
        <v>Linear</v>
      </c>
      <c r="H125" s="992">
        <f t="shared" si="13"/>
        <v>123</v>
      </c>
      <c r="I125" s="992" t="str">
        <f t="shared" si="13"/>
        <v>Linear</v>
      </c>
      <c r="K125" s="992">
        <f t="shared" si="14"/>
        <v>0</v>
      </c>
      <c r="L125" s="992">
        <f t="shared" si="14"/>
        <v>0</v>
      </c>
      <c r="M125" s="992">
        <f>H125*D125</f>
        <v>0</v>
      </c>
      <c r="O125" s="992">
        <f>IF('9.Inputs'!AL103="Electricity",(MIN(K125,L125)*time_tot+ABS(L125-K125)*IF(L125&gt;K125,time_cap+time*(VLOOKUP(G125,list!$J$47:$K$50,2,FALSE)),time*(1-(VLOOKUP(G125,list!$J$47:$K$50,2,FALSE)))))*(1+Inputs!$D$128),MIN(K125,L125)*time_tot+ABS(L125-K125)*IF(L125&gt;K125,time_cap+time*(VLOOKUP(G125,list!$J$47:$K$50,2,FALSE)),time*(1-(VLOOKUP(G125,list!$J$47:$K$50,2,FALSE)))))</f>
        <v>0</v>
      </c>
      <c r="P125" s="992">
        <f>IF('9.Inputs'!AL103="Electricity",(MIN(K125,M125)*time_tot+ABS(M125-K125)*IF(M125&gt;K125,time_cap+time*(VLOOKUP(I125,list!$J$47:$K$50,2,FALSE)),time*(1-(VLOOKUP(I125,list!$J$47:$K$50,2,FALSE)))))*(1+Inputs!$D$128),MIN(K125,M125)*time_tot+ABS(M125-K125)*IF(M125&gt;K125,time_cap+time*(VLOOKUP(I125,list!$J$47:$K$50,2,FALSE)),time*(1-(VLOOKUP(I125,list!$J$47:$K$50,2,FALSE)))))</f>
        <v>0</v>
      </c>
      <c r="Q125" s="992">
        <f>P125-O125</f>
        <v>0</v>
      </c>
      <c r="U125" s="4084">
        <f>MIN(K125,L125)*time+ABS(L125-K125)*IF(L125&gt;K125,time*(VLOOKUP(G125,list!$J$48:$L$50,2,FALSE)),time*(1-(VLOOKUP(Inputs!G125,list!$J$48:$L$50,2,FALSE))))</f>
        <v>0</v>
      </c>
      <c r="V125" s="4084">
        <f>MIN(L125,M125)*time+ABS(M125-L125)*IF(M125&gt;L125,time*(VLOOKUP(I125,list!$J$48:$L$50,2,FALSE)),time*(1-(VLOOKUP(Inputs!I125,list!$J$48:$L$50,2,FALSE))))</f>
        <v>0</v>
      </c>
    </row>
    <row r="126" spans="2:22" x14ac:dyDescent="0.15">
      <c r="B126" s="1246" t="str">
        <f>'9.Inputs'!BH89</f>
        <v>Barley/Oats/Wheat</v>
      </c>
      <c r="D126" s="1009">
        <f>'Energy DB'!AP17</f>
        <v>0</v>
      </c>
      <c r="E126" s="992">
        <f t="shared" si="13"/>
        <v>0</v>
      </c>
      <c r="F126" s="992">
        <f t="shared" si="13"/>
        <v>0</v>
      </c>
      <c r="G126" s="992" t="str">
        <f t="shared" si="13"/>
        <v>Linear</v>
      </c>
      <c r="H126" s="992">
        <f t="shared" si="13"/>
        <v>0</v>
      </c>
      <c r="I126" s="992" t="str">
        <f t="shared" si="13"/>
        <v>Linear</v>
      </c>
      <c r="K126" s="992">
        <f t="shared" si="14"/>
        <v>0</v>
      </c>
      <c r="L126" s="992">
        <f t="shared" si="14"/>
        <v>0</v>
      </c>
      <c r="M126" s="992">
        <f>H126*D126</f>
        <v>0</v>
      </c>
      <c r="O126" s="992">
        <f>IF('9.Inputs'!AL104="Electricity",(MIN(K126,L126)*time_tot+ABS(L126-K126)*IF(L126&gt;K126,time_cap+time*(VLOOKUP(G126,list!$J$47:$K$50,2,FALSE)),time*(1-(VLOOKUP(G126,list!$J$47:$K$50,2,FALSE)))))*(1+Inputs!$D$128),MIN(K126,L126)*time_tot+ABS(L126-K126)*IF(L126&gt;K126,time_cap+time*(VLOOKUP(G126,list!$J$47:$K$50,2,FALSE)),time*(1-(VLOOKUP(G126,list!$J$47:$K$50,2,FALSE)))))</f>
        <v>0</v>
      </c>
      <c r="P126" s="992">
        <f>IF('9.Inputs'!AL104="Electricity",(MIN(K126,M126)*time_tot+ABS(M126-K126)*IF(M126&gt;K126,time_cap+time*(VLOOKUP(I126,list!$J$47:$K$50,2,FALSE)),time*(1-(VLOOKUP(I126,list!$J$47:$K$50,2,FALSE)))))*(1+Inputs!$D$128),MIN(K126,M126)*time_tot+ABS(M126-K126)*IF(M126&gt;K126,time_cap+time*(VLOOKUP(I126,list!$J$47:$K$50,2,FALSE)),time*(1-(VLOOKUP(I126,list!$J$47:$K$50,2,FALSE)))))</f>
        <v>0</v>
      </c>
      <c r="Q126" s="992">
        <f>P126-O126</f>
        <v>0</v>
      </c>
      <c r="U126" s="4084">
        <f>MIN(K126,L126)*time+ABS(L126-K126)*IF(L126&gt;K126,time*(VLOOKUP(G126,list!$J$48:$L$50,2,FALSE)),time*(1-(VLOOKUP(Inputs!G126,list!$J$48:$L$50,2,FALSE))))</f>
        <v>0</v>
      </c>
      <c r="V126" s="4084">
        <f>MIN(L126,M126)*time+ABS(M126-L126)*IF(M126&gt;L126,time*(VLOOKUP(I126,list!$J$48:$L$50,2,FALSE)),time*(1-(VLOOKUP(Inputs!I126,list!$J$48:$L$50,2,FALSE))))</f>
        <v>0</v>
      </c>
    </row>
    <row r="127" spans="2:22" x14ac:dyDescent="0.15">
      <c r="B127" s="1246"/>
      <c r="D127" s="1009"/>
      <c r="E127" s="992"/>
      <c r="F127" s="992"/>
      <c r="G127" s="992"/>
      <c r="H127" s="992"/>
      <c r="I127" s="992"/>
      <c r="K127" s="992"/>
      <c r="L127" s="992"/>
      <c r="M127" s="992"/>
      <c r="O127" s="992"/>
      <c r="P127" s="992"/>
      <c r="Q127" s="992"/>
    </row>
    <row r="128" spans="2:22" x14ac:dyDescent="0.15">
      <c r="B128" s="1246" t="str">
        <f>Languages!B477</f>
        <v>Losses of electricity during transportation</v>
      </c>
      <c r="C128" s="1070">
        <f>'9.Inputs'!AP91</f>
        <v>0.1</v>
      </c>
      <c r="D128" s="1071">
        <f>IF('9.Inputs'!AQ91="",'9.Inputs'!AP91,'9.Inputs'!AQ91)</f>
        <v>0.1</v>
      </c>
      <c r="E128" s="992"/>
      <c r="F128" s="992"/>
      <c r="G128" s="992"/>
      <c r="H128" s="992"/>
      <c r="I128" s="992"/>
      <c r="K128" s="992"/>
      <c r="L128" s="992"/>
      <c r="M128" s="992"/>
      <c r="O128" s="992"/>
      <c r="P128" s="992"/>
      <c r="Q128" s="992"/>
    </row>
    <row r="129" spans="1:25" x14ac:dyDescent="0.15">
      <c r="W129" s="3145">
        <f>SUM(V110:V126)-SUM(U110:U126)</f>
        <v>0.29871548910414969</v>
      </c>
    </row>
    <row r="130" spans="1:25" x14ac:dyDescent="0.15">
      <c r="I130" s="3464" t="s">
        <v>2810</v>
      </c>
      <c r="J130" s="3464"/>
      <c r="K130" s="3465">
        <f>SUM(K110:K126)</f>
        <v>0.51950519844199994</v>
      </c>
      <c r="L130" s="3465">
        <f>SUM(L110:L126)</f>
        <v>0.44157941867569994</v>
      </c>
      <c r="M130" s="3465">
        <f>SUM(M110:M126)</f>
        <v>0.6389913940836599</v>
      </c>
      <c r="N130" s="3465"/>
      <c r="O130" s="3465">
        <f>SUM(O110:O126)</f>
        <v>6.8185057295512497</v>
      </c>
      <c r="P130" s="3465">
        <f>SUM(P110:P126)</f>
        <v>9.286155422150749</v>
      </c>
      <c r="Q130" s="993">
        <f>SUM(Q110:Q126)</f>
        <v>2.4676496925994993</v>
      </c>
    </row>
    <row r="133" spans="1:25" ht="18" x14ac:dyDescent="0.2">
      <c r="I133" s="1005" t="s">
        <v>2844</v>
      </c>
      <c r="J133" s="1005"/>
      <c r="K133" s="1005"/>
      <c r="L133" s="1005"/>
      <c r="M133" s="1005"/>
      <c r="N133" s="1005"/>
      <c r="O133" s="1006">
        <f>O130</f>
        <v>6.8185057295512497</v>
      </c>
      <c r="P133" s="1006">
        <f>P130</f>
        <v>9.286155422150749</v>
      </c>
      <c r="Q133" s="1006">
        <f>Q130</f>
        <v>2.4676496925994993</v>
      </c>
    </row>
    <row r="135" spans="1:25" ht="47.25" customHeight="1" x14ac:dyDescent="0.15">
      <c r="A135" s="975"/>
      <c r="B135" s="975" t="s">
        <v>2845</v>
      </c>
      <c r="C135" s="975"/>
      <c r="D135" s="975"/>
      <c r="E135" s="975"/>
      <c r="F135" s="975"/>
      <c r="G135" s="975"/>
      <c r="H135" s="975"/>
      <c r="I135" s="975"/>
      <c r="J135" s="975"/>
      <c r="K135" s="975"/>
      <c r="L135" s="975"/>
      <c r="M135" s="975"/>
      <c r="N135" s="975"/>
      <c r="O135" s="975"/>
      <c r="P135" s="975"/>
      <c r="Q135" s="975"/>
      <c r="R135" s="975"/>
      <c r="X135" s="974"/>
      <c r="Y135" s="974"/>
    </row>
    <row r="136" spans="1:25" x14ac:dyDescent="0.15">
      <c r="E136" s="973" t="s">
        <v>2846</v>
      </c>
      <c r="K136" s="973" t="s">
        <v>2805</v>
      </c>
      <c r="O136" s="973" t="s">
        <v>2806</v>
      </c>
      <c r="X136" s="974"/>
      <c r="Y136" s="974"/>
    </row>
    <row r="137" spans="1:25" x14ac:dyDescent="0.15">
      <c r="C137" s="973" t="str">
        <f>C107</f>
        <v xml:space="preserve">Emission </v>
      </c>
      <c r="D137" s="973" t="str">
        <f>D107</f>
        <v xml:space="preserve">Specific </v>
      </c>
      <c r="E137" s="976" t="s">
        <v>2842</v>
      </c>
      <c r="F137" s="977" t="str">
        <f>E137</f>
        <v>Ha</v>
      </c>
      <c r="G137" s="978"/>
      <c r="H137" s="998" t="str">
        <f>F137</f>
        <v>Ha</v>
      </c>
      <c r="I137" s="978"/>
      <c r="K137" s="979"/>
      <c r="L137" s="979"/>
      <c r="M137" s="979"/>
      <c r="O137" s="979"/>
      <c r="P137" s="979"/>
      <c r="Q137" s="979"/>
      <c r="X137" s="974"/>
      <c r="Y137" s="974"/>
    </row>
    <row r="138" spans="1:25" x14ac:dyDescent="0.15">
      <c r="C138" s="973" t="str">
        <f>C108</f>
        <v>Factor</v>
      </c>
      <c r="D138" s="973" t="str">
        <f>D108</f>
        <v>Factor</v>
      </c>
      <c r="E138" s="980" t="s">
        <v>615</v>
      </c>
      <c r="F138" s="994" t="s">
        <v>616</v>
      </c>
      <c r="G138" s="999"/>
      <c r="H138" s="1000" t="s">
        <v>617</v>
      </c>
      <c r="I138" s="982"/>
      <c r="K138" s="980" t="s">
        <v>219</v>
      </c>
      <c r="L138" s="994" t="s">
        <v>179</v>
      </c>
      <c r="M138" s="1000" t="s">
        <v>180</v>
      </c>
      <c r="O138" s="994" t="s">
        <v>179</v>
      </c>
      <c r="P138" s="1000" t="s">
        <v>180</v>
      </c>
      <c r="Q138" s="979" t="s">
        <v>618</v>
      </c>
      <c r="U138" s="973" t="s">
        <v>859</v>
      </c>
      <c r="V138" s="973"/>
      <c r="X138" s="974"/>
      <c r="Y138" s="974"/>
    </row>
    <row r="139" spans="1:25" ht="15" x14ac:dyDescent="0.15">
      <c r="B139" s="973" t="s">
        <v>2847</v>
      </c>
      <c r="C139" s="973" t="s">
        <v>2848</v>
      </c>
      <c r="E139" s="980"/>
      <c r="F139" s="986" t="s">
        <v>224</v>
      </c>
      <c r="G139" s="987" t="s">
        <v>225</v>
      </c>
      <c r="H139" s="988" t="s">
        <v>224</v>
      </c>
      <c r="I139" s="988" t="s">
        <v>225</v>
      </c>
      <c r="K139" s="989"/>
      <c r="L139" s="990"/>
      <c r="M139" s="991"/>
      <c r="O139" s="990"/>
      <c r="P139" s="991"/>
      <c r="Q139" s="979"/>
      <c r="U139" s="1102" t="s">
        <v>200</v>
      </c>
      <c r="V139" s="1103" t="s">
        <v>201</v>
      </c>
      <c r="X139" s="974"/>
      <c r="Y139" s="974"/>
    </row>
    <row r="140" spans="1:25" x14ac:dyDescent="0.15">
      <c r="B140" s="973" t="str">
        <f>'9.Inputs'!C109</f>
        <v>Garage (concrete)</v>
      </c>
      <c r="C140" s="1007">
        <f>IF(B140="Please select",0,VLOOKUP(Inputs!B140,'Energy DB'!$A$26:$B$45,2,)/1000)</f>
        <v>0.65600000000000003</v>
      </c>
      <c r="D140" s="1008">
        <f>IF('9.Inputs'!AN109="",'9.Inputs'!AM109,'9.Inputs'!AN109)</f>
        <v>0.65600000000000003</v>
      </c>
      <c r="F140" s="992">
        <f>'9.Inputs'!E109</f>
        <v>2</v>
      </c>
      <c r="G140" s="1688"/>
      <c r="H140" s="992">
        <f>'9.Inputs'!G109</f>
        <v>10</v>
      </c>
      <c r="L140" s="992">
        <f>F140*$D140</f>
        <v>1.3120000000000001</v>
      </c>
      <c r="M140" s="992">
        <f>H140*$D140</f>
        <v>6.5600000000000005</v>
      </c>
      <c r="O140" s="992">
        <f>L140</f>
        <v>1.3120000000000001</v>
      </c>
      <c r="P140" s="992">
        <f t="shared" ref="O140:P149" si="15">M140</f>
        <v>6.5600000000000005</v>
      </c>
      <c r="Q140" s="992">
        <f>P140-O140</f>
        <v>5.2480000000000002</v>
      </c>
      <c r="U140" s="992">
        <f t="shared" ref="U140:V143" si="16">O140</f>
        <v>1.3120000000000001</v>
      </c>
      <c r="V140" s="992">
        <f t="shared" si="16"/>
        <v>6.5600000000000005</v>
      </c>
    </row>
    <row r="141" spans="1:25" x14ac:dyDescent="0.15">
      <c r="B141" s="973" t="str">
        <f>'9.Inputs'!C110</f>
        <v>Please select</v>
      </c>
      <c r="C141" s="1007">
        <f>IF(B141="Please select",0,VLOOKUP(Inputs!B141,'Energy DB'!$A$26:$B$45,2,)/1000)</f>
        <v>0</v>
      </c>
      <c r="D141" s="1008">
        <f>IF('9.Inputs'!AN110="",'9.Inputs'!AM110,'9.Inputs'!AN110)</f>
        <v>0</v>
      </c>
      <c r="F141" s="992">
        <f>'9.Inputs'!E110</f>
        <v>0</v>
      </c>
      <c r="G141" s="1688"/>
      <c r="H141" s="992">
        <f>'9.Inputs'!G110</f>
        <v>0</v>
      </c>
      <c r="L141" s="992">
        <f>F141*$D141</f>
        <v>0</v>
      </c>
      <c r="M141" s="992">
        <f>H141*$D141</f>
        <v>0</v>
      </c>
      <c r="O141" s="992">
        <f t="shared" si="15"/>
        <v>0</v>
      </c>
      <c r="P141" s="992">
        <f t="shared" si="15"/>
        <v>0</v>
      </c>
      <c r="Q141" s="992">
        <f>P141-O141</f>
        <v>0</v>
      </c>
      <c r="U141" s="992">
        <f t="shared" si="16"/>
        <v>0</v>
      </c>
      <c r="V141" s="992">
        <f t="shared" si="16"/>
        <v>0</v>
      </c>
    </row>
    <row r="142" spans="1:25" x14ac:dyDescent="0.15">
      <c r="B142" s="973" t="str">
        <f>'9.Inputs'!C111</f>
        <v>Please select</v>
      </c>
      <c r="C142" s="1007">
        <f>IF(B142="Please select",0,VLOOKUP(Inputs!B142,'Energy DB'!$A$26:$B$45,2,)/1000)</f>
        <v>0</v>
      </c>
      <c r="D142" s="1008">
        <f>IF('9.Inputs'!AN111="",'9.Inputs'!AM111,'9.Inputs'!AN111)</f>
        <v>0</v>
      </c>
      <c r="F142" s="992">
        <f>'9.Inputs'!E111</f>
        <v>0</v>
      </c>
      <c r="G142" s="1688"/>
      <c r="H142" s="992">
        <f>'9.Inputs'!G111</f>
        <v>0</v>
      </c>
      <c r="L142" s="992">
        <f>F142*$D142</f>
        <v>0</v>
      </c>
      <c r="M142" s="992">
        <f>H142*$D142</f>
        <v>0</v>
      </c>
      <c r="O142" s="992">
        <f t="shared" si="15"/>
        <v>0</v>
      </c>
      <c r="P142" s="992">
        <f t="shared" si="15"/>
        <v>0</v>
      </c>
      <c r="Q142" s="992">
        <f>P142-O142</f>
        <v>0</v>
      </c>
      <c r="U142" s="992">
        <f t="shared" si="16"/>
        <v>0</v>
      </c>
      <c r="V142" s="992">
        <f t="shared" si="16"/>
        <v>0</v>
      </c>
    </row>
    <row r="143" spans="1:25" x14ac:dyDescent="0.15">
      <c r="B143" s="973" t="str">
        <f>'9.Inputs'!C112</f>
        <v>Please select</v>
      </c>
      <c r="C143" s="1007">
        <f>IF(B143="Please select",0,VLOOKUP(Inputs!B143,'Energy DB'!$A$26:$B$45,2,)/1000)</f>
        <v>0</v>
      </c>
      <c r="D143" s="1008">
        <f>IF('9.Inputs'!AN112="",'9.Inputs'!AM112,'9.Inputs'!AN112)</f>
        <v>0</v>
      </c>
      <c r="F143" s="992">
        <f>'9.Inputs'!E112</f>
        <v>0</v>
      </c>
      <c r="G143" s="1688"/>
      <c r="H143" s="992">
        <f>'9.Inputs'!G112</f>
        <v>0</v>
      </c>
      <c r="L143" s="992">
        <f>F143*$D143</f>
        <v>0</v>
      </c>
      <c r="M143" s="992">
        <f>H143*$D143</f>
        <v>0</v>
      </c>
      <c r="O143" s="992">
        <f t="shared" si="15"/>
        <v>0</v>
      </c>
      <c r="P143" s="992">
        <f t="shared" si="15"/>
        <v>0</v>
      </c>
      <c r="Q143" s="992">
        <f>P143-O143</f>
        <v>0</v>
      </c>
      <c r="U143" s="992">
        <f t="shared" si="16"/>
        <v>0</v>
      </c>
      <c r="V143" s="992">
        <f t="shared" si="16"/>
        <v>0</v>
      </c>
    </row>
    <row r="144" spans="1:25" x14ac:dyDescent="0.15">
      <c r="B144" s="973" t="str">
        <f>'9.Inputs'!C113</f>
        <v>Please select</v>
      </c>
      <c r="C144" s="1007">
        <f>IF(B144="Please select",0,VLOOKUP(Inputs!B144,'Energy DB'!$A$26:$B$45,2,)/1000)</f>
        <v>0</v>
      </c>
      <c r="D144" s="1008">
        <f>IF('9.Inputs'!AN113="",'9.Inputs'!AM113,'9.Inputs'!AN113)</f>
        <v>0</v>
      </c>
      <c r="F144" s="992">
        <f>'9.Inputs'!E113</f>
        <v>0</v>
      </c>
      <c r="H144" s="992">
        <f>'9.Inputs'!G113</f>
        <v>0</v>
      </c>
      <c r="L144" s="992">
        <f t="shared" ref="L144:L149" si="17">F144*$D144</f>
        <v>0</v>
      </c>
      <c r="M144" s="992">
        <f t="shared" ref="M144:M149" si="18">H144*$D144</f>
        <v>0</v>
      </c>
      <c r="O144" s="992">
        <f t="shared" si="15"/>
        <v>0</v>
      </c>
      <c r="P144" s="992">
        <f t="shared" si="15"/>
        <v>0</v>
      </c>
      <c r="Q144" s="992">
        <f t="shared" ref="Q144:Q149" si="19">P144-O144</f>
        <v>0</v>
      </c>
      <c r="W144" s="3145">
        <f>SUM(V140:V143)-SUM(U140:U143)</f>
        <v>5.2480000000000002</v>
      </c>
    </row>
    <row r="145" spans="2:17" x14ac:dyDescent="0.15">
      <c r="B145" s="973" t="str">
        <f>'9.Inputs'!C114</f>
        <v>Please select</v>
      </c>
      <c r="C145" s="1007">
        <f>IF(B145="Please select",0,VLOOKUP(Inputs!B145,'Energy DB'!$A$26:$B$45,2,)/1000)</f>
        <v>0</v>
      </c>
      <c r="D145" s="1008">
        <f>IF('9.Inputs'!AN114="",'9.Inputs'!AM114,'9.Inputs'!AN114)</f>
        <v>0</v>
      </c>
      <c r="F145" s="992">
        <f>'9.Inputs'!E114</f>
        <v>0</v>
      </c>
      <c r="H145" s="992">
        <f>'9.Inputs'!G114</f>
        <v>0</v>
      </c>
      <c r="L145" s="992">
        <f t="shared" si="17"/>
        <v>0</v>
      </c>
      <c r="M145" s="992">
        <f t="shared" si="18"/>
        <v>0</v>
      </c>
      <c r="O145" s="992">
        <f t="shared" si="15"/>
        <v>0</v>
      </c>
      <c r="P145" s="992">
        <f t="shared" si="15"/>
        <v>0</v>
      </c>
      <c r="Q145" s="992">
        <f t="shared" si="19"/>
        <v>0</v>
      </c>
    </row>
    <row r="146" spans="2:17" x14ac:dyDescent="0.15">
      <c r="B146" s="973" t="str">
        <f>'9.Inputs'!C115</f>
        <v>Please select</v>
      </c>
      <c r="C146" s="1007">
        <f>IF(B146="Please select",0,VLOOKUP(Inputs!B146,'Energy DB'!$A$26:$B$45,2,)/1000)</f>
        <v>0</v>
      </c>
      <c r="D146" s="1008">
        <f>IF('9.Inputs'!AN115="",'9.Inputs'!AM115,'9.Inputs'!AN115)</f>
        <v>0</v>
      </c>
      <c r="F146" s="992">
        <f>'9.Inputs'!E115</f>
        <v>0</v>
      </c>
      <c r="H146" s="992">
        <f>'9.Inputs'!G115</f>
        <v>0</v>
      </c>
      <c r="L146" s="992">
        <f t="shared" si="17"/>
        <v>0</v>
      </c>
      <c r="M146" s="992">
        <f t="shared" si="18"/>
        <v>0</v>
      </c>
      <c r="O146" s="992">
        <f t="shared" si="15"/>
        <v>0</v>
      </c>
      <c r="P146" s="992">
        <f t="shared" si="15"/>
        <v>0</v>
      </c>
      <c r="Q146" s="992">
        <f t="shared" si="19"/>
        <v>0</v>
      </c>
    </row>
    <row r="147" spans="2:17" x14ac:dyDescent="0.15">
      <c r="B147" s="973" t="str">
        <f>'9.Inputs'!C116</f>
        <v>Please select</v>
      </c>
      <c r="C147" s="1007">
        <f>IF(B147="Please select",0,VLOOKUP(Inputs!B147,'Energy DB'!$A$26:$B$45,2,)/1000)</f>
        <v>0</v>
      </c>
      <c r="D147" s="1008">
        <f>IF('9.Inputs'!AN116="",'9.Inputs'!AM116,'9.Inputs'!AN116)</f>
        <v>0</v>
      </c>
      <c r="F147" s="992">
        <f>'9.Inputs'!E116</f>
        <v>0</v>
      </c>
      <c r="H147" s="992">
        <f>'9.Inputs'!G116</f>
        <v>0</v>
      </c>
      <c r="L147" s="992">
        <f>F147*$D147</f>
        <v>0</v>
      </c>
      <c r="M147" s="992">
        <f t="shared" si="18"/>
        <v>0</v>
      </c>
      <c r="O147" s="992">
        <f t="shared" si="15"/>
        <v>0</v>
      </c>
      <c r="P147" s="992">
        <f t="shared" si="15"/>
        <v>0</v>
      </c>
      <c r="Q147" s="992">
        <f t="shared" si="19"/>
        <v>0</v>
      </c>
    </row>
    <row r="148" spans="2:17" x14ac:dyDescent="0.15">
      <c r="B148" s="973" t="str">
        <f>'9.Inputs'!C117</f>
        <v>Please select</v>
      </c>
      <c r="C148" s="1007">
        <f>IF(B148="Please select",0,VLOOKUP(Inputs!B148,'Energy DB'!$A$26:$B$45,2,)/1000)</f>
        <v>0</v>
      </c>
      <c r="D148" s="1008">
        <f>IF('9.Inputs'!AN117="",'9.Inputs'!AM117,'9.Inputs'!AN117)</f>
        <v>0</v>
      </c>
      <c r="F148" s="992">
        <f>'9.Inputs'!E117</f>
        <v>0</v>
      </c>
      <c r="H148" s="992">
        <f>'9.Inputs'!G117</f>
        <v>0</v>
      </c>
      <c r="L148" s="992">
        <f>F148*$D148</f>
        <v>0</v>
      </c>
      <c r="M148" s="992">
        <f t="shared" si="18"/>
        <v>0</v>
      </c>
      <c r="O148" s="992">
        <f t="shared" si="15"/>
        <v>0</v>
      </c>
      <c r="P148" s="992">
        <f t="shared" si="15"/>
        <v>0</v>
      </c>
      <c r="Q148" s="992">
        <f t="shared" si="19"/>
        <v>0</v>
      </c>
    </row>
    <row r="149" spans="2:17" x14ac:dyDescent="0.15">
      <c r="B149" s="973" t="str">
        <f>'9.Inputs'!C118</f>
        <v>Please select</v>
      </c>
      <c r="C149" s="1007">
        <f>IF(B149="Please select",0,VLOOKUP(Inputs!B149,'Energy DB'!$A$26:$B$45,2,)/1000)</f>
        <v>0</v>
      </c>
      <c r="D149" s="1008">
        <f>IF('9.Inputs'!AN118="",'9.Inputs'!AM118,'9.Inputs'!AN118)</f>
        <v>0</v>
      </c>
      <c r="F149" s="992">
        <f>'9.Inputs'!E118</f>
        <v>0</v>
      </c>
      <c r="H149" s="992">
        <f>'9.Inputs'!G118</f>
        <v>0</v>
      </c>
      <c r="L149" s="992">
        <f t="shared" si="17"/>
        <v>0</v>
      </c>
      <c r="M149" s="992">
        <f t="shared" si="18"/>
        <v>0</v>
      </c>
      <c r="O149" s="992">
        <f t="shared" si="15"/>
        <v>0</v>
      </c>
      <c r="P149" s="992">
        <f>M149</f>
        <v>0</v>
      </c>
      <c r="Q149" s="992">
        <f t="shared" si="19"/>
        <v>0</v>
      </c>
    </row>
    <row r="151" spans="2:17" x14ac:dyDescent="0.15">
      <c r="I151" s="3464" t="s">
        <v>2810</v>
      </c>
      <c r="J151" s="3464"/>
      <c r="K151" s="3465"/>
      <c r="L151" s="3465">
        <f>SUM(L140:L143)</f>
        <v>1.3120000000000001</v>
      </c>
      <c r="M151" s="3465">
        <f>SUM(M140:M143)</f>
        <v>6.5600000000000005</v>
      </c>
      <c r="N151" s="3465"/>
      <c r="O151" s="3465">
        <f>SUM(O140:O149)</f>
        <v>1.3120000000000001</v>
      </c>
      <c r="P151" s="3465">
        <f>SUM(P140:P149)</f>
        <v>6.5600000000000005</v>
      </c>
      <c r="Q151" s="993">
        <f>SUM(Q140:Q149)</f>
        <v>5.2480000000000002</v>
      </c>
    </row>
    <row r="153" spans="2:17" ht="18" x14ac:dyDescent="0.2">
      <c r="I153" s="1005" t="s">
        <v>2849</v>
      </c>
      <c r="J153" s="1005"/>
      <c r="K153" s="1005"/>
      <c r="L153" s="1005"/>
      <c r="M153" s="1005"/>
      <c r="N153" s="1005"/>
      <c r="O153" s="1006">
        <f>O151</f>
        <v>1.3120000000000001</v>
      </c>
      <c r="P153" s="1006">
        <f>P151</f>
        <v>6.5600000000000005</v>
      </c>
      <c r="Q153" s="1006">
        <f>Q151</f>
        <v>5.2480000000000002</v>
      </c>
    </row>
  </sheetData>
  <dataValidations count="1">
    <dataValidation allowBlank="1" showInputMessage="1" showErrorMessage="1" prompt="tCO2 eq/MWh" sqref="C79" xr:uid="{00000000-0002-0000-1D00-000000000000}"/>
  </dataValidations>
  <hyperlinks>
    <hyperlink ref="D1" location="Inputs!E83" display="Emissions from electricity" xr:uid="{00000000-0004-0000-1D00-000000000000}"/>
  </hyperlinks>
  <pageMargins left="0.7" right="0.7" top="0.75" bottom="0.75" header="0.3" footer="0.3"/>
  <pageSetup orientation="portrait" r:id="rId1"/>
</worksheet>
</file>

<file path=xl/worksheets/sheet3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dimension ref="A2:AS45"/>
  <sheetViews>
    <sheetView topLeftCell="C1" zoomScale="130" zoomScaleNormal="130" workbookViewId="0">
      <selection activeCell="O18" sqref="O18"/>
    </sheetView>
  </sheetViews>
  <sheetFormatPr baseColWidth="10" defaultColWidth="9.33203125" defaultRowHeight="15" x14ac:dyDescent="0.2"/>
  <cols>
    <col min="1" max="1" width="30.5" style="284" bestFit="1" customWidth="1"/>
    <col min="2" max="2" width="25.6640625" style="284" bestFit="1" customWidth="1"/>
    <col min="3" max="4" width="9.33203125" style="284"/>
    <col min="5" max="5" width="11.5" style="284" customWidth="1"/>
    <col min="6" max="6" width="9.33203125" style="284"/>
    <col min="7" max="7" width="13.33203125" style="284" customWidth="1"/>
    <col min="8" max="8" width="12.5" style="284" customWidth="1"/>
    <col min="9" max="9" width="9.33203125" style="284"/>
    <col min="10" max="10" width="11.5" style="284" customWidth="1"/>
    <col min="11" max="11" width="12.5" style="284" customWidth="1"/>
    <col min="12" max="12" width="12.33203125" style="284" customWidth="1"/>
    <col min="13" max="14" width="9.33203125" style="284"/>
    <col min="15" max="15" width="24.5" style="284" customWidth="1"/>
    <col min="16" max="16" width="18.5" style="284" customWidth="1"/>
    <col min="17" max="21" width="9.33203125" style="284"/>
    <col min="22" max="22" width="16.5" style="284" customWidth="1"/>
    <col min="23" max="23" width="13.5" style="284" customWidth="1"/>
    <col min="24" max="24" width="11.5" style="284" customWidth="1"/>
    <col min="25" max="25" width="15.5" style="284" customWidth="1"/>
    <col min="26" max="26" width="18.33203125" style="284" customWidth="1"/>
    <col min="27" max="27" width="18" style="284" customWidth="1"/>
    <col min="28" max="28" width="27.6640625" style="284" customWidth="1"/>
    <col min="29" max="35" width="9.33203125" style="284"/>
    <col min="36" max="36" width="15.33203125" style="284" customWidth="1"/>
    <col min="37" max="37" width="14.5" style="284" customWidth="1"/>
    <col min="38" max="38" width="9.33203125" style="284"/>
    <col min="39" max="39" width="16.6640625" style="284" customWidth="1"/>
    <col min="40" max="40" width="17.6640625" style="284" customWidth="1"/>
    <col min="41" max="41" width="24.5" style="284" customWidth="1"/>
    <col min="42" max="42" width="13" style="284" customWidth="1"/>
    <col min="43" max="43" width="16.5" style="284" customWidth="1"/>
    <col min="44" max="44" width="14.33203125" style="284" customWidth="1"/>
    <col min="45" max="16384" width="9.33203125" style="284"/>
  </cols>
  <sheetData>
    <row r="2" spans="1:45" s="876" customFormat="1" ht="29.25" customHeight="1" x14ac:dyDescent="0.15">
      <c r="A2" s="4590" t="s">
        <v>2850</v>
      </c>
      <c r="B2" s="4591"/>
      <c r="C2" s="4591"/>
      <c r="D2" s="4591"/>
      <c r="E2" s="4592"/>
      <c r="G2" s="877" t="s">
        <v>2851</v>
      </c>
      <c r="H2" s="878"/>
      <c r="I2" s="878"/>
      <c r="J2" s="879"/>
      <c r="K2" s="879"/>
      <c r="L2" s="879"/>
      <c r="O2" s="880"/>
      <c r="P2" s="881"/>
      <c r="Q2" s="881"/>
      <c r="R2" s="881"/>
      <c r="S2" s="882"/>
      <c r="V2" s="4599"/>
      <c r="W2" s="4599"/>
      <c r="Y2" s="879"/>
      <c r="AI2" s="883"/>
      <c r="AJ2" s="884" t="s">
        <v>2852</v>
      </c>
      <c r="AK2" s="885" t="s">
        <v>2853</v>
      </c>
    </row>
    <row r="3" spans="1:45" s="876" customFormat="1" ht="23" customHeight="1" x14ac:dyDescent="0.3">
      <c r="A3" s="926" t="s">
        <v>2854</v>
      </c>
      <c r="B3" s="886"/>
      <c r="C3" s="886"/>
      <c r="D3" s="886"/>
      <c r="E3" s="887"/>
      <c r="G3" s="888"/>
      <c r="H3" s="4593" t="s">
        <v>2855</v>
      </c>
      <c r="I3" s="4593"/>
      <c r="J3" s="4593"/>
      <c r="K3" s="4593"/>
      <c r="L3" s="4593"/>
      <c r="M3" s="4594"/>
      <c r="N3" s="886"/>
      <c r="O3" s="889"/>
      <c r="Q3" s="890" t="s">
        <v>2856</v>
      </c>
      <c r="R3" s="876">
        <v>10.19</v>
      </c>
      <c r="S3" s="887"/>
      <c r="V3" s="891"/>
      <c r="X3" s="4426" t="s">
        <v>3753</v>
      </c>
      <c r="Y3" s="3743"/>
      <c r="AI3" s="883" t="s">
        <v>2857</v>
      </c>
      <c r="AJ3" s="885">
        <f>9.81/(3.6*10^6)*1000</f>
        <v>2.725E-3</v>
      </c>
      <c r="AK3" s="887"/>
      <c r="AM3" s="4600" t="s">
        <v>2858</v>
      </c>
      <c r="AN3" s="4600"/>
      <c r="AO3" s="4600"/>
      <c r="AP3" s="4600"/>
      <c r="AQ3" s="4600"/>
      <c r="AR3" s="4600"/>
    </row>
    <row r="4" spans="1:45" s="876" customFormat="1" ht="16" x14ac:dyDescent="0.2">
      <c r="A4" s="889"/>
      <c r="E4" s="887"/>
      <c r="F4" s="892"/>
      <c r="G4" s="893" t="s">
        <v>2859</v>
      </c>
      <c r="H4" s="894"/>
      <c r="I4" s="895" t="s">
        <v>2030</v>
      </c>
      <c r="J4" s="895" t="s">
        <v>2031</v>
      </c>
      <c r="K4" s="895" t="s">
        <v>2031</v>
      </c>
      <c r="L4" s="895" t="s">
        <v>2031</v>
      </c>
      <c r="M4" s="896"/>
      <c r="O4" s="897" t="s">
        <v>2860</v>
      </c>
      <c r="S4" s="887"/>
      <c r="U4" s="892"/>
      <c r="V4" s="898"/>
      <c r="W4" s="892"/>
      <c r="X4" s="899"/>
      <c r="AI4" s="900" t="s">
        <v>2861</v>
      </c>
      <c r="AJ4" s="901">
        <f>AJ3/10^3</f>
        <v>2.7250000000000002E-6</v>
      </c>
      <c r="AK4" s="902">
        <f>IF('9.Inputs'!K91="Please select", 0,VLOOKUP('9.Inputs'!K91,Elec!A2:E252,5,FALSE))</f>
        <v>0</v>
      </c>
      <c r="AN4" s="879"/>
      <c r="AO4" s="879"/>
      <c r="AP4" s="879"/>
      <c r="AQ4" s="4595" t="s">
        <v>2862</v>
      </c>
      <c r="AR4" s="4595"/>
    </row>
    <row r="5" spans="1:45" s="876" customFormat="1" ht="28" x14ac:dyDescent="0.15">
      <c r="A5" s="927"/>
      <c r="B5" s="903"/>
      <c r="C5" s="886"/>
      <c r="D5" s="886"/>
      <c r="E5" s="887"/>
      <c r="F5" s="892"/>
      <c r="G5" s="889" t="s">
        <v>2034</v>
      </c>
      <c r="H5" s="904" t="s">
        <v>2328</v>
      </c>
      <c r="I5" s="905" t="s">
        <v>2035</v>
      </c>
      <c r="J5" s="906" t="s">
        <v>2036</v>
      </c>
      <c r="K5" s="907" t="s">
        <v>2037</v>
      </c>
      <c r="L5" s="907" t="s">
        <v>2038</v>
      </c>
      <c r="M5" s="896" t="s">
        <v>2039</v>
      </c>
      <c r="O5" s="908" t="s">
        <v>2863</v>
      </c>
      <c r="P5" s="886"/>
      <c r="S5" s="887"/>
      <c r="T5" s="3743"/>
      <c r="U5" s="4596" t="s">
        <v>2864</v>
      </c>
      <c r="V5" s="4597"/>
      <c r="W5" s="4597"/>
      <c r="X5" s="4597"/>
      <c r="Y5" s="4597"/>
      <c r="Z5" s="4597"/>
      <c r="AA5" s="4597"/>
      <c r="AB5" s="879"/>
      <c r="AC5" s="4598" t="s">
        <v>2865</v>
      </c>
      <c r="AD5" s="4598"/>
      <c r="AE5" s="4598"/>
      <c r="AF5" s="4598"/>
      <c r="AG5" s="4598"/>
      <c r="AM5" s="892" t="s">
        <v>2866</v>
      </c>
      <c r="AN5" s="892" t="s">
        <v>2867</v>
      </c>
      <c r="AO5" s="892" t="s">
        <v>2868</v>
      </c>
      <c r="AP5" s="895" t="s">
        <v>86</v>
      </c>
      <c r="AQ5" s="886" t="s">
        <v>2869</v>
      </c>
      <c r="AR5" s="909" t="s">
        <v>2870</v>
      </c>
    </row>
    <row r="6" spans="1:45" s="876" customFormat="1" ht="99" x14ac:dyDescent="0.2">
      <c r="A6" s="928" t="s">
        <v>2871</v>
      </c>
      <c r="B6" s="895" t="s">
        <v>2872</v>
      </c>
      <c r="C6" s="886"/>
      <c r="D6" s="886" t="s">
        <v>2873</v>
      </c>
      <c r="E6" s="887"/>
      <c r="F6" s="892"/>
      <c r="G6" s="900" t="s">
        <v>57</v>
      </c>
      <c r="H6" s="910" t="s">
        <v>2040</v>
      </c>
      <c r="I6" s="911" t="s">
        <v>2041</v>
      </c>
      <c r="J6" s="912" t="s">
        <v>2042</v>
      </c>
      <c r="K6" s="912" t="s">
        <v>2043</v>
      </c>
      <c r="L6" s="912" t="s">
        <v>2044</v>
      </c>
      <c r="M6" s="913" t="s">
        <v>2045</v>
      </c>
      <c r="O6" s="889" t="s">
        <v>57</v>
      </c>
      <c r="P6" s="876" t="s">
        <v>2874</v>
      </c>
      <c r="Q6" s="895" t="s">
        <v>2875</v>
      </c>
      <c r="R6" s="899" t="s">
        <v>2876</v>
      </c>
      <c r="S6" s="914" t="s">
        <v>2877</v>
      </c>
      <c r="T6" s="3743"/>
      <c r="U6" s="3186" t="s">
        <v>2878</v>
      </c>
      <c r="V6" s="4422" t="s">
        <v>2879</v>
      </c>
      <c r="W6" s="4422" t="s">
        <v>455</v>
      </c>
      <c r="X6" s="4422" t="s">
        <v>2880</v>
      </c>
      <c r="Y6" s="4422" t="s">
        <v>2881</v>
      </c>
      <c r="Z6" s="4422" t="s">
        <v>2882</v>
      </c>
      <c r="AA6" s="4422" t="s">
        <v>2883</v>
      </c>
      <c r="AB6" s="4427" t="s">
        <v>3754</v>
      </c>
      <c r="AC6" s="886" t="s">
        <v>219</v>
      </c>
      <c r="AD6" s="886" t="s">
        <v>179</v>
      </c>
      <c r="AE6" s="886" t="s">
        <v>86</v>
      </c>
      <c r="AF6" s="886" t="s">
        <v>180</v>
      </c>
      <c r="AG6" s="886" t="s">
        <v>86</v>
      </c>
      <c r="AK6" s="915" t="s">
        <v>2884</v>
      </c>
      <c r="AM6" s="909" t="s">
        <v>2885</v>
      </c>
      <c r="AN6" s="909" t="s">
        <v>2886</v>
      </c>
      <c r="AO6" s="909" t="s">
        <v>2887</v>
      </c>
      <c r="AP6" s="909" t="s">
        <v>2888</v>
      </c>
      <c r="AQ6" s="892" t="s">
        <v>2889</v>
      </c>
      <c r="AR6" s="892" t="s">
        <v>2889</v>
      </c>
    </row>
    <row r="7" spans="1:45" s="921" customFormat="1" x14ac:dyDescent="0.2">
      <c r="A7" s="923" t="s">
        <v>57</v>
      </c>
      <c r="B7" s="917"/>
      <c r="E7" s="929"/>
      <c r="G7" s="920" t="s">
        <v>2890</v>
      </c>
      <c r="H7" s="922">
        <f>(M7/10^9)*I7*(J7+K7*methane+L7*Nitrous)</f>
        <v>2.2892733356999995</v>
      </c>
      <c r="I7" s="918">
        <v>44.3</v>
      </c>
      <c r="J7" s="918">
        <v>69300</v>
      </c>
      <c r="K7" s="918">
        <v>10</v>
      </c>
      <c r="L7" s="918">
        <v>0.6</v>
      </c>
      <c r="M7" s="918">
        <v>741</v>
      </c>
      <c r="O7" s="923" t="s">
        <v>2891</v>
      </c>
      <c r="P7" s="916" t="s">
        <v>2892</v>
      </c>
      <c r="Q7" s="924" t="s">
        <v>2893</v>
      </c>
      <c r="R7" s="918">
        <f>AVERAGE(1,3)</f>
        <v>2</v>
      </c>
      <c r="S7" s="925">
        <f t="shared" ref="S7:S12" si="0">R7*$R$3*(1+0.05)</f>
        <v>21.399000000000001</v>
      </c>
      <c r="T7" s="455"/>
      <c r="U7" s="4423" t="str">
        <f>'9.Inputs'!O86</f>
        <v>Barley/Oats/Wheat</v>
      </c>
      <c r="V7" s="3691">
        <f>INDEX('crop H2O'!$A$3:$J$25,MATCH(U7,'crop H2O'!$A$3:$A$25,0),MATCH('crop H2O'!$D$3,'crop H2O'!$A$3:$J$3,0))</f>
        <v>550</v>
      </c>
      <c r="W7" s="3691">
        <f>IF(U7="Please select",0,INDEX('crop H2O'!$A$3:$J$25,MATCH(U7,'crop H2O'!$A$3:$A$25,0),MATCH('crop H2O'!$E$3,'crop H2O'!$A$3:$J$3,0)))</f>
        <v>135</v>
      </c>
      <c r="X7" s="4424">
        <f>V7*10000</f>
        <v>5500000</v>
      </c>
      <c r="Y7" s="4424">
        <f>'9.Inputs'!P86*10000</f>
        <v>100000</v>
      </c>
      <c r="Z7" s="4424">
        <f>0.7*Y7</f>
        <v>70000</v>
      </c>
      <c r="AA7" s="4424">
        <f>IF('9.Inputs'!BE86="",(X7-Z7)/1000,'9.Inputs'!BE86)</f>
        <v>5430</v>
      </c>
      <c r="AB7" s="1046">
        <f>'9.Inputs'!P86*10</f>
        <v>100</v>
      </c>
      <c r="AC7" s="1048">
        <f>Inputs!E117</f>
        <v>100</v>
      </c>
      <c r="AD7" s="1048">
        <f>Inputs!F117</f>
        <v>0</v>
      </c>
      <c r="AE7" s="1048" t="str">
        <f>Inputs!G117</f>
        <v>Linear</v>
      </c>
      <c r="AF7" s="1048">
        <f>Inputs!H117</f>
        <v>0</v>
      </c>
      <c r="AG7" s="1048" t="str">
        <f>Inputs!I117</f>
        <v>Linear</v>
      </c>
      <c r="AJ7" s="1049" t="str">
        <f>'9.Inputs'!K86</f>
        <v>Motor Gasoline</v>
      </c>
      <c r="AK7" s="1050">
        <f>IFERROR(IF(AJ7="Electricity",$AJ$4,9.81/(((IF(AJ7="Please select",0,INDEX($G$6:$M$13,MATCH(AJ7,$G$6:$G$13,0),MATCH($I$6,$G$6:$M$6,0))))*IF(AJ7="Please select",0,INDEX($G$6:$M$13,MATCH(AJ7,$G$6:$G$13,0),MATCH($M$6,$G$6:$M$6,0)))))/10^6*1000),0)</f>
        <v>2.9884574259054482E-7</v>
      </c>
      <c r="AM7" s="4274">
        <f>AK7*AB7</f>
        <v>2.9884574259054484E-5</v>
      </c>
      <c r="AN7" s="1052">
        <f>AM7/IF('9.Inputs'!BA86="",'9.Inputs'!AZ86,'9.Inputs'!BA86)</f>
        <v>6.6410165020121072E-5</v>
      </c>
      <c r="AO7" s="1052">
        <f>AN7*('9.Inputs'!Q86+IF('9.Inputs'!AW86="",'9.Inputs'!AV86,'9.Inputs'!AW86))</f>
        <v>2.2693017489025572E-3</v>
      </c>
      <c r="AP7" s="1052">
        <f>IFERROR(AO7*(IF('9.Inputs'!AQ86="",'9.Inputs'!AP86,'9.Inputs'!AQ86)),0)</f>
        <v>5.1950519844199995E-3</v>
      </c>
      <c r="AQ7" s="1048">
        <f>Inputs!O117</f>
        <v>1.2987629961049998</v>
      </c>
      <c r="AR7" s="1048">
        <f>Inputs!P117</f>
        <v>1.2987629961049998</v>
      </c>
      <c r="AS7" s="1048"/>
    </row>
    <row r="8" spans="1:45" s="921" customFormat="1" x14ac:dyDescent="0.2">
      <c r="A8" s="934" t="s">
        <v>2894</v>
      </c>
      <c r="B8" s="935">
        <v>34.466666666666669</v>
      </c>
      <c r="E8" s="929"/>
      <c r="G8" s="920" t="s">
        <v>2895</v>
      </c>
      <c r="H8" s="922">
        <f>(M8/10^9)*I8*(J8+K8*methane+L8*Nitrous)</f>
        <v>2.6827331490000002</v>
      </c>
      <c r="I8" s="919">
        <v>43</v>
      </c>
      <c r="J8" s="918">
        <v>74100</v>
      </c>
      <c r="K8" s="918">
        <v>10</v>
      </c>
      <c r="L8" s="918">
        <v>0.6</v>
      </c>
      <c r="M8" s="918">
        <v>837</v>
      </c>
      <c r="O8" s="923" t="s">
        <v>2896</v>
      </c>
      <c r="P8" s="916" t="s">
        <v>2897</v>
      </c>
      <c r="Q8" s="924" t="s">
        <v>2898</v>
      </c>
      <c r="R8" s="4519">
        <f>AVERAGE(0.5,1.3)</f>
        <v>0.9</v>
      </c>
      <c r="S8" s="925">
        <f t="shared" si="0"/>
        <v>9.6295500000000001</v>
      </c>
      <c r="T8" s="455"/>
      <c r="U8" s="4423" t="str">
        <f>'9.Inputs'!O87</f>
        <v>Alfalfa</v>
      </c>
      <c r="V8" s="3691">
        <f>INDEX('crop H2O'!$A$3:$J$25,MATCH(U8,'crop H2O'!$A$3:$A$25,0),MATCH('crop H2O'!$D$3,'crop H2O'!$A$3:$J$3,0))</f>
        <v>1200</v>
      </c>
      <c r="W8" s="3691">
        <f>IF(U8="Please select",0,INDEX('crop H2O'!$A$3:$J$25,MATCH(U8,'crop H2O'!$A$3:$A$25,0),MATCH('crop H2O'!$E$3,'crop H2O'!$A$3:$J$3,0)))</f>
        <v>232.5</v>
      </c>
      <c r="X8" s="4424">
        <f>V8*10000</f>
        <v>12000000</v>
      </c>
      <c r="Y8" s="4424">
        <f>'9.Inputs'!P87*10000</f>
        <v>100000</v>
      </c>
      <c r="Z8" s="4424">
        <f>0.7*Y8</f>
        <v>70000</v>
      </c>
      <c r="AA8" s="4424">
        <f>IF('9.Inputs'!BE87="",(X8-Z8)/1000,'9.Inputs'!BE87)</f>
        <v>11930</v>
      </c>
      <c r="AB8" s="1046">
        <f>'9.Inputs'!P87*10</f>
        <v>100</v>
      </c>
      <c r="AC8" s="1048">
        <f>Inputs!E118</f>
        <v>0</v>
      </c>
      <c r="AD8" s="1048">
        <f>Inputs!F118</f>
        <v>85</v>
      </c>
      <c r="AE8" s="1048" t="str">
        <f>Inputs!G118</f>
        <v>Linear</v>
      </c>
      <c r="AF8" s="1048">
        <f>Inputs!H118</f>
        <v>0</v>
      </c>
      <c r="AG8" s="1048" t="str">
        <f>Inputs!I118</f>
        <v>Linear</v>
      </c>
      <c r="AJ8" s="1049" t="str">
        <f>'9.Inputs'!K87</f>
        <v>Motor Gasoline</v>
      </c>
      <c r="AK8" s="1050">
        <f>IFERROR(IF(AJ8="Electricity",$AJ$4,9.81/(((IF(AJ8="Please select",0,INDEX($G$6:$M$13,MATCH(AJ8,$G$6:$G$13,0),MATCH($I$6,$G$6:$M$6,0))))*IF(AJ8="Please select",0,INDEX($G$6:$M$13,MATCH(AJ8,$G$6:$G$13,0),MATCH($M$6,$G$6:$M$6,0)))))/10^6*1000),0)</f>
        <v>2.9884574259054482E-7</v>
      </c>
      <c r="AM8" s="4274">
        <f>AK8*AB8</f>
        <v>2.9884574259054484E-5</v>
      </c>
      <c r="AN8" s="1052">
        <f>AM8/IF('9.Inputs'!BA87="",'9.Inputs'!AZ87,'9.Inputs'!BA87)</f>
        <v>6.6410165020121072E-5</v>
      </c>
      <c r="AO8" s="1052">
        <f>AN8*('9.Inputs'!Q87+IF('9.Inputs'!AW87="",'9.Inputs'!AV87,'9.Inputs'!AW87))</f>
        <v>2.2693017489025572E-3</v>
      </c>
      <c r="AP8" s="1052">
        <f>IFERROR(AO8*(IF('9.Inputs'!AQ87="",'9.Inputs'!AP87,'9.Inputs'!AQ87)),0)</f>
        <v>5.1950519844199995E-3</v>
      </c>
      <c r="AQ8" s="1048">
        <f>Inputs!O118</f>
        <v>5.5197427334462494</v>
      </c>
      <c r="AR8" s="1048">
        <f>Inputs!P118</f>
        <v>0</v>
      </c>
      <c r="AS8" s="1048"/>
    </row>
    <row r="9" spans="1:45" s="921" customFormat="1" x14ac:dyDescent="0.2">
      <c r="A9" s="934" t="s">
        <v>2899</v>
      </c>
      <c r="B9" s="935">
        <v>90.2</v>
      </c>
      <c r="E9" s="929"/>
      <c r="G9" s="920" t="s">
        <v>2900</v>
      </c>
      <c r="H9" s="922">
        <f>(M9/10^9)*I9*(J9+K9*methane+L9*Nitrous)</f>
        <v>2.8160924100000004</v>
      </c>
      <c r="I9" s="919">
        <v>40.200000000000003</v>
      </c>
      <c r="J9" s="918">
        <v>73300</v>
      </c>
      <c r="K9" s="918">
        <v>10</v>
      </c>
      <c r="L9" s="918">
        <v>0.6</v>
      </c>
      <c r="M9" s="918">
        <v>950</v>
      </c>
      <c r="O9" s="923" t="s">
        <v>2901</v>
      </c>
      <c r="P9" s="916"/>
      <c r="Q9" s="924" t="s">
        <v>2902</v>
      </c>
      <c r="R9" s="918">
        <f>AVERAGE(0.5,2)</f>
        <v>1.25</v>
      </c>
      <c r="S9" s="925">
        <f t="shared" si="0"/>
        <v>13.374374999999999</v>
      </c>
      <c r="T9" s="455"/>
      <c r="U9" s="4423" t="str">
        <f>'9.Inputs'!O88</f>
        <v>Maize</v>
      </c>
      <c r="V9" s="3691">
        <f>INDEX('crop H2O'!$A$3:$J$25,MATCH(U9,'crop H2O'!$A$3:$A$25,0),MATCH('crop H2O'!$D$3,'crop H2O'!$A$3:$J$3,0))</f>
        <v>650</v>
      </c>
      <c r="W9" s="3691">
        <f>IF(U9="Please select",0,INDEX('crop H2O'!$A$3:$J$25,MATCH(U9,'crop H2O'!$A$3:$A$25,0),MATCH('crop H2O'!$E$3,'crop H2O'!$A$3:$J$3,0)))</f>
        <v>123.75</v>
      </c>
      <c r="X9" s="4424">
        <f>V9*10000</f>
        <v>6500000</v>
      </c>
      <c r="Y9" s="4424">
        <f>'9.Inputs'!P88*10000</f>
        <v>100000</v>
      </c>
      <c r="Z9" s="4424">
        <f>0.7*Y9</f>
        <v>70000</v>
      </c>
      <c r="AA9" s="4424">
        <f>IF('9.Inputs'!BE88="",(X9-Z9)/1000,'9.Inputs'!BE88)</f>
        <v>6430</v>
      </c>
      <c r="AB9" s="1046">
        <f>'9.Inputs'!P88*10</f>
        <v>100</v>
      </c>
      <c r="AC9" s="1048">
        <f>Inputs!E119</f>
        <v>0</v>
      </c>
      <c r="AD9" s="1048">
        <f>Inputs!F119</f>
        <v>0</v>
      </c>
      <c r="AE9" s="1048" t="str">
        <f>Inputs!G119</f>
        <v>Linear</v>
      </c>
      <c r="AF9" s="1048">
        <f>Inputs!H119</f>
        <v>123</v>
      </c>
      <c r="AG9" s="1048" t="str">
        <f>Inputs!I119</f>
        <v>Linear</v>
      </c>
      <c r="AJ9" s="1049" t="str">
        <f>'9.Inputs'!K88</f>
        <v>Motor Gasoline</v>
      </c>
      <c r="AK9" s="1050">
        <f>IFERROR(IF(AJ9="Electricity",$AJ$4,9.81/(((IF(AJ9="Please select",0,INDEX($G$6:$M$13,MATCH(AJ9,$G$6:$G$13,0),MATCH($I$6,$G$6:$M$6,0))))*IF(AJ9="Please select",0,INDEX($G$6:$M$13,MATCH(AJ9,$G$6:$G$13,0),MATCH($M$6,$G$6:$M$6,0)))))/10^6*1000),0)</f>
        <v>2.9884574259054482E-7</v>
      </c>
      <c r="AM9" s="4274">
        <f>AK9*AB9</f>
        <v>2.9884574259054484E-5</v>
      </c>
      <c r="AN9" s="1052">
        <f>AM9/IF('9.Inputs'!BA88="",'9.Inputs'!AZ88,'9.Inputs'!BA88)</f>
        <v>6.6410165020121072E-5</v>
      </c>
      <c r="AO9" s="1052">
        <f>AN9*('9.Inputs'!Q88+IF('9.Inputs'!AW88="",'9.Inputs'!AV88,'9.Inputs'!AW88))</f>
        <v>2.2693017489025572E-3</v>
      </c>
      <c r="AP9" s="1052">
        <f>IFERROR(AO9*(IF('9.Inputs'!AQ88="",'9.Inputs'!AP88,'9.Inputs'!AQ88)),0)</f>
        <v>5.1950519844199995E-3</v>
      </c>
      <c r="AQ9" s="1048">
        <f>Inputs!O119</f>
        <v>0</v>
      </c>
      <c r="AR9" s="1048">
        <f>Inputs!P119</f>
        <v>7.9873924260457487</v>
      </c>
      <c r="AS9" s="1048"/>
    </row>
    <row r="10" spans="1:45" s="921" customFormat="1" x14ac:dyDescent="0.2">
      <c r="A10" s="934" t="s">
        <v>2903</v>
      </c>
      <c r="B10" s="935">
        <v>444.76666666666665</v>
      </c>
      <c r="E10" s="929"/>
      <c r="G10" s="920" t="s">
        <v>2904</v>
      </c>
      <c r="H10" s="922">
        <f>(M10/10^9)*I10*(J10+K10*methane+L10*Nitrous)</f>
        <v>1.59500540485</v>
      </c>
      <c r="I10" s="919">
        <v>47.3</v>
      </c>
      <c r="J10" s="918">
        <v>63100</v>
      </c>
      <c r="K10" s="918">
        <v>5</v>
      </c>
      <c r="L10" s="918">
        <v>0.1</v>
      </c>
      <c r="M10" s="918">
        <v>533</v>
      </c>
      <c r="O10" s="923" t="s">
        <v>2905</v>
      </c>
      <c r="P10" s="916"/>
      <c r="Q10" s="924" t="s">
        <v>2906</v>
      </c>
      <c r="R10" s="918">
        <f>AVERAGE(2,5)</f>
        <v>3.5</v>
      </c>
      <c r="S10" s="925">
        <f t="shared" si="0"/>
        <v>37.448250000000002</v>
      </c>
      <c r="T10" s="455"/>
      <c r="U10" s="4423" t="str">
        <f>'9.Inputs'!O89</f>
        <v>Melon</v>
      </c>
      <c r="V10" s="3691">
        <f>INDEX('crop H2O'!$A$3:$J$25,MATCH(U10,'crop H2O'!$A$3:$A$25,0),MATCH('crop H2O'!$D$3,'crop H2O'!$A$3:$J$3,0))</f>
        <v>500</v>
      </c>
      <c r="W10" s="3691">
        <f>IF(U10="Please select",0,INDEX('crop H2O'!$A$3:$J$25,MATCH(U10,'crop H2O'!$A$3:$A$25,0),MATCH('crop H2O'!$E$3,'crop H2O'!$A$3:$J$3,0)))</f>
        <v>140</v>
      </c>
      <c r="X10" s="4424">
        <f>V10*10000</f>
        <v>5000000</v>
      </c>
      <c r="Y10" s="4424">
        <f>'9.Inputs'!P89*10000</f>
        <v>0</v>
      </c>
      <c r="Z10" s="4424">
        <f>0.7*Y10</f>
        <v>0</v>
      </c>
      <c r="AA10" s="4424">
        <f>IF('9.Inputs'!BE89="",(X10-Z10)/1000,'9.Inputs'!BE89)</f>
        <v>5000</v>
      </c>
      <c r="AB10" s="1046">
        <f>'9.Inputs'!P89*10</f>
        <v>0</v>
      </c>
      <c r="AC10" s="1048">
        <f>Inputs!E120</f>
        <v>0</v>
      </c>
      <c r="AD10" s="1048">
        <f>Inputs!F120</f>
        <v>0</v>
      </c>
      <c r="AE10" s="1048" t="str">
        <f>Inputs!G120</f>
        <v>Linear</v>
      </c>
      <c r="AF10" s="1048">
        <f>Inputs!H120</f>
        <v>0</v>
      </c>
      <c r="AG10" s="1048" t="str">
        <f>Inputs!I120</f>
        <v>Linear</v>
      </c>
      <c r="AJ10" s="1049" t="str">
        <f>'9.Inputs'!K89</f>
        <v>Please select</v>
      </c>
      <c r="AK10" s="1050">
        <f>IFERROR(IF(AJ10="Electricity",$AJ$4,9.81/(((IF(AJ10="Please select",0,INDEX($G$6:$M$13,MATCH(AJ10,$G$6:$G$13,0),MATCH($I$6,$G$6:$M$6,0))))*IF(AJ10="Please select",0,INDEX($G$6:$M$13,MATCH(AJ10,$G$6:$G$13,0),MATCH($M$6,$G$6:$M$6,0)))))/10^6*1000),0)</f>
        <v>0</v>
      </c>
      <c r="AM10" s="4274">
        <f>AK10*AB10</f>
        <v>0</v>
      </c>
      <c r="AN10" s="1052">
        <f>AM10/IF('9.Inputs'!BA89="",'9.Inputs'!AZ89,'9.Inputs'!BA89)</f>
        <v>0</v>
      </c>
      <c r="AO10" s="1052">
        <f>AN10*('9.Inputs'!Q89+IF('9.Inputs'!AW89="",'9.Inputs'!AV89,'9.Inputs'!AW89))</f>
        <v>0</v>
      </c>
      <c r="AP10" s="1052">
        <f>IFERROR(AO10*(IF('9.Inputs'!AQ89="",'9.Inputs'!AP89,'9.Inputs'!AQ89)),0)</f>
        <v>0</v>
      </c>
      <c r="AQ10" s="1048">
        <f>Inputs!O120</f>
        <v>0</v>
      </c>
      <c r="AR10" s="1048">
        <f>Inputs!P120</f>
        <v>0</v>
      </c>
      <c r="AS10" s="1048"/>
    </row>
    <row r="11" spans="1:45" s="921" customFormat="1" x14ac:dyDescent="0.2">
      <c r="A11" s="934" t="s">
        <v>2907</v>
      </c>
      <c r="B11" s="935">
        <v>130.16666666666666</v>
      </c>
      <c r="E11" s="929"/>
      <c r="G11" s="920" t="s">
        <v>2908</v>
      </c>
      <c r="H11" s="4518">
        <f>(M11/10^9)*I11*(J11+K11*methane+L11*Nitrous)</f>
        <v>2.0742082560000004E-3</v>
      </c>
      <c r="I11" s="918">
        <v>48</v>
      </c>
      <c r="J11" s="918">
        <v>56100</v>
      </c>
      <c r="K11" s="918">
        <v>5</v>
      </c>
      <c r="L11" s="918">
        <v>0.1</v>
      </c>
      <c r="M11" s="918">
        <v>0.76800000000000002</v>
      </c>
      <c r="O11" s="923" t="s">
        <v>2909</v>
      </c>
      <c r="P11" s="916" t="s">
        <v>2910</v>
      </c>
      <c r="Q11" s="924" t="s">
        <v>2911</v>
      </c>
      <c r="R11" s="918">
        <f>AVERAGE(2,8)</f>
        <v>5</v>
      </c>
      <c r="S11" s="925">
        <f t="shared" si="0"/>
        <v>53.497499999999995</v>
      </c>
      <c r="T11" s="455"/>
      <c r="U11" s="4425"/>
      <c r="V11" s="455"/>
      <c r="W11" s="455"/>
      <c r="X11" s="455"/>
      <c r="Y11" s="455"/>
      <c r="Z11" s="455"/>
      <c r="AA11" s="455"/>
      <c r="AM11" s="1053"/>
      <c r="AN11" s="1053"/>
      <c r="AO11" s="1053"/>
      <c r="AP11" s="1053"/>
    </row>
    <row r="12" spans="1:45" s="921" customFormat="1" x14ac:dyDescent="0.2">
      <c r="A12" s="934" t="s">
        <v>2912</v>
      </c>
      <c r="B12" s="935">
        <v>59.766666666666673</v>
      </c>
      <c r="E12" s="929"/>
      <c r="G12" s="916" t="s">
        <v>2913</v>
      </c>
      <c r="H12" s="1047">
        <f>IF('9.Inputs'!$K$91="Please select",0,VLOOKUP('9.Inputs'!$K$91,Elec!$A$2:$F$252,6,FALSE))</f>
        <v>0</v>
      </c>
      <c r="O12" s="923" t="s">
        <v>2914</v>
      </c>
      <c r="P12" s="916"/>
      <c r="Q12" s="918"/>
      <c r="R12" s="918">
        <f>AVERAGE(R7:R11)</f>
        <v>2.5300000000000002</v>
      </c>
      <c r="S12" s="925">
        <f t="shared" si="0"/>
        <v>27.069735000000001</v>
      </c>
      <c r="T12" s="455"/>
      <c r="U12" s="455"/>
      <c r="V12" s="455"/>
      <c r="W12" s="455"/>
      <c r="X12" s="455"/>
      <c r="Y12" s="455"/>
      <c r="Z12" s="455"/>
      <c r="AA12" s="455"/>
      <c r="AM12" s="1053"/>
      <c r="AN12" s="1053"/>
      <c r="AO12" s="1053"/>
      <c r="AP12" s="1053"/>
    </row>
    <row r="13" spans="1:45" s="921" customFormat="1" x14ac:dyDescent="0.2">
      <c r="A13" s="934" t="s">
        <v>2915</v>
      </c>
      <c r="B13" s="935">
        <v>85.433333333333337</v>
      </c>
      <c r="E13" s="929"/>
      <c r="G13" s="916" t="s">
        <v>2916</v>
      </c>
      <c r="H13" s="922">
        <v>0</v>
      </c>
      <c r="T13" s="455"/>
      <c r="U13" s="455"/>
      <c r="V13" s="455"/>
      <c r="W13" s="455"/>
      <c r="X13" s="455"/>
      <c r="Y13" s="455"/>
      <c r="Z13" s="455"/>
      <c r="AA13" s="455"/>
      <c r="AM13" s="1053"/>
      <c r="AN13" s="1053"/>
      <c r="AO13" s="1053"/>
      <c r="AP13" s="1053"/>
    </row>
    <row r="14" spans="1:45" s="921" customFormat="1" x14ac:dyDescent="0.2">
      <c r="A14" s="934" t="s">
        <v>2891</v>
      </c>
      <c r="B14" s="935">
        <v>79.2</v>
      </c>
      <c r="E14" s="929"/>
      <c r="T14" s="455"/>
      <c r="U14" s="4423" t="str">
        <f>'9.Inputs'!BH86</f>
        <v>Barley/Oats/Wheat</v>
      </c>
      <c r="V14" s="3691">
        <f>INDEX('crop H2O'!$A$3:$J$25,MATCH(U14,'crop H2O'!$A$3:$A$25,0),MATCH('crop H2O'!$D$3,'crop H2O'!$A$3:$J$3,0))</f>
        <v>550</v>
      </c>
      <c r="W14" s="3691">
        <f>IF(U14="Please select",0,INDEX('crop H2O'!$A$3:$J$25,MATCH(U14,'crop H2O'!$A$3:$A$25,0),MATCH('crop H2O'!$E$3,'crop H2O'!$A$3:$J$3,0)))</f>
        <v>135</v>
      </c>
      <c r="X14" s="4424">
        <f>V14*10000</f>
        <v>5500000</v>
      </c>
      <c r="Y14" s="4424">
        <f>'9.Inputs'!BI86*10000</f>
        <v>0</v>
      </c>
      <c r="Z14" s="4424">
        <f>0.7*Y14</f>
        <v>0</v>
      </c>
      <c r="AA14" s="3691">
        <f>IF('9.Inputs'!BE89="",(X14-Z14)/1000,'9.Inputs'!BE89)</f>
        <v>5500</v>
      </c>
      <c r="AC14" s="1048">
        <f t="shared" ref="AC14:AG17" si="1">AC7</f>
        <v>100</v>
      </c>
      <c r="AD14" s="1048">
        <f t="shared" si="1"/>
        <v>0</v>
      </c>
      <c r="AE14" s="1048" t="str">
        <f t="shared" si="1"/>
        <v>Linear</v>
      </c>
      <c r="AF14" s="1048">
        <f t="shared" si="1"/>
        <v>0</v>
      </c>
      <c r="AG14" s="1048" t="str">
        <f t="shared" si="1"/>
        <v>Linear</v>
      </c>
      <c r="AJ14" s="1049" t="str">
        <f>AJ7</f>
        <v>Motor Gasoline</v>
      </c>
      <c r="AK14" s="1050">
        <f>IFERROR(IF(AJ14="Electricity",$AJ$4,9.81/(((IF(AJ14="Please select",0,INDEX($G$6:$M$13,MATCH(AJ14,$G$6:$G$13,0),MATCH($I$6,$G$6:$M$6,0))))*IF(AJ14="Please select",0,INDEX($G$6:$M$13,MATCH(AJ14,$G$6:$G$13,0),MATCH($M$6,$G$6:$M$6,0)))))/10^6*1000),0)</f>
        <v>2.9884574259054482E-7</v>
      </c>
      <c r="AM14" s="1052">
        <f>AK14*AA14</f>
        <v>1.6436515842479964E-3</v>
      </c>
      <c r="AN14" s="1052">
        <f>AM14/IF('9.Inputs'!BA86="",'9.Inputs'!AZ86,'9.Inputs'!BA86)</f>
        <v>3.6525590761066588E-3</v>
      </c>
      <c r="AO14" s="1052">
        <f>AN14*('9.Inputs'!Q100+IF('9.Inputs'!AW100="",'9.Inputs'!AV100,'9.Inputs'!AW100))</f>
        <v>0</v>
      </c>
      <c r="AP14" s="1052">
        <f>IFERROR(AO14*(IF('9.Inputs'!AQ88="",'9.Inputs'!AP88,'9.Inputs'!AQ88)),0)</f>
        <v>0</v>
      </c>
      <c r="AQ14" s="1048">
        <f>Inputs!O123</f>
        <v>0</v>
      </c>
      <c r="AR14" s="1048">
        <f>Inputs!P123</f>
        <v>0</v>
      </c>
    </row>
    <row r="15" spans="1:45" s="921" customFormat="1" x14ac:dyDescent="0.2">
      <c r="A15" s="934" t="s">
        <v>2917</v>
      </c>
      <c r="B15" s="935">
        <v>61.966666666666661</v>
      </c>
      <c r="E15" s="929"/>
      <c r="T15" s="455"/>
      <c r="U15" s="4423" t="str">
        <f>'9.Inputs'!BH87</f>
        <v>Barley/Oats/Wheat</v>
      </c>
      <c r="V15" s="3691">
        <f>INDEX('crop H2O'!$A$3:$J$25,MATCH(U15,'crop H2O'!$A$3:$A$25,0),MATCH('crop H2O'!$D$3,'crop H2O'!$A$3:$J$3,0))</f>
        <v>550</v>
      </c>
      <c r="W15" s="3691">
        <f>IF(U15="Please select",0,INDEX('crop H2O'!$A$3:$J$25,MATCH(U15,'crop H2O'!$A$3:$A$25,0),MATCH('crop H2O'!$E$3,'crop H2O'!$A$3:$J$3,0)))</f>
        <v>135</v>
      </c>
      <c r="X15" s="4424">
        <f>V15*10000</f>
        <v>5500000</v>
      </c>
      <c r="Y15" s="4424">
        <f>'9.Inputs'!BI87*10000</f>
        <v>0</v>
      </c>
      <c r="Z15" s="4424">
        <f>0.7*Y15</f>
        <v>0</v>
      </c>
      <c r="AA15" s="3691">
        <f>IF('9.Inputs'!BE90="",(X15-Z15)/1000,'9.Inputs'!BE90)</f>
        <v>5500</v>
      </c>
      <c r="AC15" s="1048">
        <f t="shared" si="1"/>
        <v>0</v>
      </c>
      <c r="AD15" s="1048">
        <f t="shared" si="1"/>
        <v>85</v>
      </c>
      <c r="AE15" s="1048" t="str">
        <f t="shared" si="1"/>
        <v>Linear</v>
      </c>
      <c r="AF15" s="1048">
        <f t="shared" si="1"/>
        <v>0</v>
      </c>
      <c r="AG15" s="1048" t="str">
        <f t="shared" si="1"/>
        <v>Linear</v>
      </c>
      <c r="AJ15" s="1049" t="str">
        <f>AJ8</f>
        <v>Motor Gasoline</v>
      </c>
      <c r="AK15" s="1050">
        <f>IFERROR(IF(AJ15="Electricity",$AJ$4,9.81/(((IF(AJ15="Please select",0,INDEX($G$6:$M$13,MATCH(AJ15,$G$6:$G$13,0),MATCH($I$6,$G$6:$M$6,0))))*IF(AJ15="Please select",0,INDEX($G$6:$M$13,MATCH(AJ15,$G$6:$G$13,0),MATCH($M$6,$G$6:$M$6,0)))))/10^6*1000),0)</f>
        <v>2.9884574259054482E-7</v>
      </c>
      <c r="AM15" s="1052">
        <f>AK15*AA15</f>
        <v>1.6436515842479964E-3</v>
      </c>
      <c r="AN15" s="1052">
        <f>AM15/IF('9.Inputs'!BA87="",'9.Inputs'!AZ87,'9.Inputs'!BA87)</f>
        <v>3.6525590761066588E-3</v>
      </c>
      <c r="AO15" s="1052">
        <f>AN15*('9.Inputs'!Q101+IF('9.Inputs'!AW101="",'9.Inputs'!AV101,'9.Inputs'!AW101))</f>
        <v>0</v>
      </c>
      <c r="AP15" s="1052">
        <f>IFERROR(AO15*(IF('9.Inputs'!AQ89="",'9.Inputs'!AP89,'9.Inputs'!AQ89)),0)</f>
        <v>0</v>
      </c>
      <c r="AQ15" s="1048">
        <f>Inputs!O124</f>
        <v>0</v>
      </c>
      <c r="AR15" s="1048">
        <f>Inputs!P124</f>
        <v>0</v>
      </c>
    </row>
    <row r="16" spans="1:45" s="921" customFormat="1" x14ac:dyDescent="0.2">
      <c r="A16" s="934" t="s">
        <v>2896</v>
      </c>
      <c r="B16" s="935">
        <v>311.3</v>
      </c>
      <c r="E16" s="929"/>
      <c r="T16" s="455"/>
      <c r="U16" s="4423" t="str">
        <f>'9.Inputs'!BH88</f>
        <v>Barley/Oats/Wheat</v>
      </c>
      <c r="V16" s="3691">
        <f>INDEX('crop H2O'!$A$3:$J$25,MATCH(U16,'crop H2O'!$A$3:$A$25,0),MATCH('crop H2O'!$D$3,'crop H2O'!$A$3:$J$3,0))</f>
        <v>550</v>
      </c>
      <c r="W16" s="3691">
        <f>IF(U16="Please select",0,INDEX('crop H2O'!$A$3:$J$25,MATCH(U16,'crop H2O'!$A$3:$A$25,0),MATCH('crop H2O'!$E$3,'crop H2O'!$A$3:$J$3,0)))</f>
        <v>135</v>
      </c>
      <c r="X16" s="4424">
        <f>V16*10000</f>
        <v>5500000</v>
      </c>
      <c r="Y16" s="4424">
        <f>'9.Inputs'!BI88*10000</f>
        <v>0</v>
      </c>
      <c r="Z16" s="4424">
        <f>0.7*Y16</f>
        <v>0</v>
      </c>
      <c r="AA16" s="3691">
        <f>IF('9.Inputs'!BE91="",(X16-Z16)/1000,'9.Inputs'!BE91)</f>
        <v>5500</v>
      </c>
      <c r="AC16" s="1048">
        <f t="shared" si="1"/>
        <v>0</v>
      </c>
      <c r="AD16" s="1048">
        <f t="shared" si="1"/>
        <v>0</v>
      </c>
      <c r="AE16" s="1048" t="str">
        <f t="shared" si="1"/>
        <v>Linear</v>
      </c>
      <c r="AF16" s="1048">
        <f t="shared" si="1"/>
        <v>123</v>
      </c>
      <c r="AG16" s="1048" t="str">
        <f t="shared" si="1"/>
        <v>Linear</v>
      </c>
      <c r="AJ16" s="1049" t="str">
        <f>AJ9</f>
        <v>Motor Gasoline</v>
      </c>
      <c r="AK16" s="1050">
        <f>IFERROR(IF(AJ16="Electricity",$AJ$4,9.81/(((IF(AJ16="Please select",0,INDEX($G$6:$M$13,MATCH(AJ16,$G$6:$G$13,0),MATCH($I$6,$G$6:$M$6,0))))*IF(AJ16="Please select",0,INDEX($G$6:$M$13,MATCH(AJ16,$G$6:$G$13,0),MATCH($M$6,$G$6:$M$6,0)))))/10^6*1000),0)</f>
        <v>2.9884574259054482E-7</v>
      </c>
      <c r="AM16" s="1052">
        <f>AK16*AA16</f>
        <v>1.6436515842479964E-3</v>
      </c>
      <c r="AN16" s="1052">
        <f>AM16/IF('9.Inputs'!BA88="",'9.Inputs'!AZ88,'9.Inputs'!BA88)</f>
        <v>3.6525590761066588E-3</v>
      </c>
      <c r="AO16" s="1052" t="e">
        <f>AN16*('9.Inputs'!Q102+IF('9.Inputs'!AW102="",'9.Inputs'!AV102,'9.Inputs'!AW102))</f>
        <v>#VALUE!</v>
      </c>
      <c r="AP16" s="1052">
        <f>IFERROR(AO16*(IF('9.Inputs'!AQ90="",'9.Inputs'!AP90,'9.Inputs'!AQ90)),0)</f>
        <v>0</v>
      </c>
      <c r="AQ16" s="1048">
        <f>Inputs!O125</f>
        <v>0</v>
      </c>
      <c r="AR16" s="1048">
        <f>Inputs!P125</f>
        <v>0</v>
      </c>
    </row>
    <row r="17" spans="1:44" s="921" customFormat="1" x14ac:dyDescent="0.2">
      <c r="A17" s="930"/>
      <c r="E17" s="929"/>
      <c r="T17" s="455"/>
      <c r="U17" s="4423" t="str">
        <f>'9.Inputs'!BH89</f>
        <v>Barley/Oats/Wheat</v>
      </c>
      <c r="V17" s="3691">
        <f>INDEX('crop H2O'!$A$3:$J$25,MATCH(U17,'crop H2O'!$A$3:$A$25,0),MATCH('crop H2O'!$D$3,'crop H2O'!$A$3:$J$3,0))</f>
        <v>550</v>
      </c>
      <c r="W17" s="3691">
        <f>IF(U17="Please select",0,INDEX('crop H2O'!$A$3:$J$25,MATCH(U17,'crop H2O'!$A$3:$A$25,0),MATCH('crop H2O'!$E$3,'crop H2O'!$A$3:$J$3,0)))</f>
        <v>135</v>
      </c>
      <c r="X17" s="4424">
        <f>V17*10000</f>
        <v>5500000</v>
      </c>
      <c r="Y17" s="4424">
        <f>'9.Inputs'!BI89*10000</f>
        <v>0</v>
      </c>
      <c r="Z17" s="4424">
        <f>0.7*Y17</f>
        <v>0</v>
      </c>
      <c r="AA17" s="3691">
        <f>IF('9.Inputs'!BE93="",(X17-Z17)/1000,'9.Inputs'!BE93)</f>
        <v>5500</v>
      </c>
      <c r="AC17" s="1048">
        <f t="shared" si="1"/>
        <v>0</v>
      </c>
      <c r="AD17" s="1048">
        <f t="shared" si="1"/>
        <v>0</v>
      </c>
      <c r="AE17" s="1048" t="str">
        <f t="shared" si="1"/>
        <v>Linear</v>
      </c>
      <c r="AF17" s="1048">
        <f t="shared" si="1"/>
        <v>0</v>
      </c>
      <c r="AG17" s="1048" t="str">
        <f t="shared" si="1"/>
        <v>Linear</v>
      </c>
      <c r="AJ17" s="1049" t="str">
        <f>AJ10</f>
        <v>Please select</v>
      </c>
      <c r="AK17" s="1050">
        <f>IFERROR(IF(AJ17="Electricity",$AJ$4,9.81/(((IF(AJ17="Please select",0,INDEX($G$6:$M$13,MATCH(AJ17,$G$6:$G$13,0),MATCH($I$6,$G$6:$M$6,0))))*IF(AJ17="Please select",0,INDEX($G$6:$M$13,MATCH(AJ17,$G$6:$G$13,0),MATCH($M$6,$G$6:$M$6,0)))))/10^6*1000),0)</f>
        <v>0</v>
      </c>
      <c r="AM17" s="1052">
        <f>AK17*AA17</f>
        <v>0</v>
      </c>
      <c r="AN17" s="1052">
        <f>AM17/IF('9.Inputs'!BA89="",'9.Inputs'!AZ89,'9.Inputs'!BA89)</f>
        <v>0</v>
      </c>
      <c r="AO17" s="1052">
        <f>AN17*('9.Inputs'!Q103+IF('9.Inputs'!AW103="",'9.Inputs'!AV103,'9.Inputs'!AW103))</f>
        <v>0</v>
      </c>
      <c r="AP17" s="1052">
        <f>IFERROR(AO17*(IF('9.Inputs'!AQ91="",'9.Inputs'!AP91,'9.Inputs'!AQ91)),0)</f>
        <v>0</v>
      </c>
      <c r="AQ17" s="1048">
        <f>Inputs!O126</f>
        <v>0</v>
      </c>
      <c r="AR17" s="1048">
        <f>Inputs!P126</f>
        <v>0</v>
      </c>
    </row>
    <row r="18" spans="1:44" s="921" customFormat="1" x14ac:dyDescent="0.2">
      <c r="A18" s="930"/>
      <c r="E18" s="929"/>
      <c r="T18" s="455"/>
      <c r="U18" s="455"/>
      <c r="V18" s="455"/>
      <c r="W18" s="455"/>
      <c r="X18" s="455"/>
      <c r="Y18" s="455"/>
      <c r="Z18" s="455"/>
      <c r="AA18" s="455"/>
    </row>
    <row r="19" spans="1:44" s="921" customFormat="1" x14ac:dyDescent="0.2">
      <c r="A19" s="930"/>
      <c r="E19" s="929"/>
    </row>
    <row r="20" spans="1:44" s="921" customFormat="1" x14ac:dyDescent="0.2">
      <c r="A20" s="931"/>
      <c r="B20" s="932"/>
      <c r="C20" s="932"/>
      <c r="D20" s="932"/>
      <c r="E20" s="933"/>
    </row>
    <row r="22" spans="1:44" s="961" customFormat="1" ht="23.25" customHeight="1" thickBot="1" x14ac:dyDescent="0.25">
      <c r="A22" s="959" t="s">
        <v>2918</v>
      </c>
      <c r="B22" s="960"/>
      <c r="C22" s="960"/>
      <c r="D22" s="960"/>
      <c r="O22" s="959"/>
      <c r="P22" s="960"/>
      <c r="Q22" s="960"/>
      <c r="R22" s="960"/>
    </row>
    <row r="23" spans="1:44" s="962" customFormat="1" x14ac:dyDescent="0.2">
      <c r="A23" s="4582" t="s">
        <v>2919</v>
      </c>
      <c r="B23" s="4583"/>
      <c r="C23" s="4583"/>
      <c r="D23" s="4584"/>
      <c r="O23" s="4586"/>
      <c r="P23" s="4586"/>
      <c r="Q23" s="4586"/>
      <c r="R23" s="4586"/>
    </row>
    <row r="24" spans="1:44" s="962" customFormat="1" x14ac:dyDescent="0.2">
      <c r="A24" s="4585"/>
      <c r="B24" s="4586"/>
      <c r="C24" s="4586"/>
      <c r="D24" s="4587"/>
      <c r="J24" s="963"/>
      <c r="O24" s="4586"/>
      <c r="P24" s="4586"/>
      <c r="Q24" s="4586"/>
      <c r="R24" s="4586"/>
    </row>
    <row r="25" spans="1:44" s="962" customFormat="1" ht="16" thickBot="1" x14ac:dyDescent="0.25">
      <c r="A25" s="4585"/>
      <c r="B25" s="4586"/>
      <c r="C25" s="4588"/>
      <c r="D25" s="4589"/>
      <c r="J25" s="963"/>
      <c r="O25" s="4586"/>
      <c r="P25" s="4586"/>
      <c r="Q25" s="4586"/>
      <c r="R25" s="4586"/>
    </row>
    <row r="26" spans="1:44" s="962" customFormat="1" x14ac:dyDescent="0.2">
      <c r="A26" s="966" t="s">
        <v>622</v>
      </c>
      <c r="B26" s="967" t="s">
        <v>2920</v>
      </c>
      <c r="C26" s="964" t="s">
        <v>2921</v>
      </c>
      <c r="D26" s="965"/>
      <c r="J26" s="963"/>
      <c r="P26" s="1054"/>
      <c r="Q26" s="964"/>
      <c r="R26" s="965"/>
    </row>
    <row r="27" spans="1:44" s="954" customFormat="1" x14ac:dyDescent="0.2">
      <c r="A27" s="968" t="s">
        <v>57</v>
      </c>
      <c r="B27" s="969">
        <v>0</v>
      </c>
      <c r="C27" s="955"/>
      <c r="D27" s="955"/>
      <c r="G27" s="955"/>
      <c r="H27" s="955"/>
      <c r="J27" s="956"/>
      <c r="P27" s="1055"/>
      <c r="Q27" s="955"/>
      <c r="R27" s="955"/>
    </row>
    <row r="28" spans="1:44" s="954" customFormat="1" x14ac:dyDescent="0.2">
      <c r="A28" s="968" t="s">
        <v>2922</v>
      </c>
      <c r="B28" s="969">
        <v>436</v>
      </c>
      <c r="C28" s="957" t="s">
        <v>2923</v>
      </c>
      <c r="D28" s="955"/>
      <c r="G28" s="955"/>
      <c r="H28" s="955"/>
      <c r="J28" s="956"/>
      <c r="P28" s="1055"/>
      <c r="Q28" s="957"/>
      <c r="R28" s="955"/>
    </row>
    <row r="29" spans="1:44" s="954" customFormat="1" x14ac:dyDescent="0.2">
      <c r="A29" s="968" t="s">
        <v>2924</v>
      </c>
      <c r="B29" s="969">
        <v>656</v>
      </c>
      <c r="C29" s="957" t="s">
        <v>2923</v>
      </c>
      <c r="D29" s="955"/>
      <c r="G29" s="955"/>
      <c r="H29" s="955"/>
      <c r="J29" s="956"/>
      <c r="P29" s="1055"/>
      <c r="Q29" s="957"/>
      <c r="R29" s="955"/>
    </row>
    <row r="30" spans="1:44" s="954" customFormat="1" x14ac:dyDescent="0.2">
      <c r="A30" s="968" t="s">
        <v>2925</v>
      </c>
      <c r="B30" s="969">
        <v>220</v>
      </c>
      <c r="C30" s="957" t="s">
        <v>2923</v>
      </c>
      <c r="D30" s="955"/>
      <c r="G30" s="955"/>
      <c r="H30" s="955"/>
      <c r="J30" s="956"/>
      <c r="P30" s="1055"/>
      <c r="Q30" s="957"/>
      <c r="R30" s="955"/>
    </row>
    <row r="31" spans="1:44" s="954" customFormat="1" x14ac:dyDescent="0.2">
      <c r="A31" s="968" t="s">
        <v>2926</v>
      </c>
      <c r="B31" s="969">
        <v>825</v>
      </c>
      <c r="C31" s="957" t="s">
        <v>2923</v>
      </c>
      <c r="D31" s="955"/>
      <c r="G31" s="955"/>
      <c r="H31" s="955"/>
      <c r="J31" s="956"/>
      <c r="P31" s="1055"/>
      <c r="Q31" s="957"/>
      <c r="R31" s="955"/>
    </row>
    <row r="32" spans="1:44" s="954" customFormat="1" x14ac:dyDescent="0.2">
      <c r="A32" s="968" t="s">
        <v>2927</v>
      </c>
      <c r="B32" s="969">
        <v>275</v>
      </c>
      <c r="C32" s="957" t="s">
        <v>2923</v>
      </c>
      <c r="D32" s="955"/>
      <c r="G32" s="955"/>
      <c r="H32" s="955"/>
      <c r="J32" s="956"/>
      <c r="P32" s="1055"/>
      <c r="Q32" s="957"/>
      <c r="R32" s="955"/>
    </row>
    <row r="33" spans="1:18" s="954" customFormat="1" x14ac:dyDescent="0.2">
      <c r="A33" s="968" t="s">
        <v>2928</v>
      </c>
      <c r="B33" s="969">
        <v>656</v>
      </c>
      <c r="C33" s="957" t="s">
        <v>2923</v>
      </c>
      <c r="D33" s="955"/>
      <c r="G33" s="955"/>
      <c r="H33" s="955"/>
      <c r="J33" s="956"/>
      <c r="P33" s="1055"/>
      <c r="Q33" s="957"/>
      <c r="R33" s="955"/>
    </row>
    <row r="34" spans="1:18" s="954" customFormat="1" x14ac:dyDescent="0.2">
      <c r="A34" s="968" t="s">
        <v>2929</v>
      </c>
      <c r="B34" s="969">
        <v>220</v>
      </c>
      <c r="C34" s="957" t="s">
        <v>2923</v>
      </c>
      <c r="D34" s="955"/>
      <c r="G34" s="955"/>
      <c r="H34" s="955"/>
      <c r="J34" s="956"/>
      <c r="P34" s="1055"/>
      <c r="Q34" s="957"/>
      <c r="R34" s="955"/>
    </row>
    <row r="35" spans="1:18" s="954" customFormat="1" x14ac:dyDescent="0.2">
      <c r="A35" s="968" t="s">
        <v>2930</v>
      </c>
      <c r="B35" s="969">
        <v>650</v>
      </c>
      <c r="C35" s="957" t="s">
        <v>2923</v>
      </c>
      <c r="D35" s="955" t="s">
        <v>2931</v>
      </c>
      <c r="E35" s="954" t="s">
        <v>2932</v>
      </c>
      <c r="G35" s="955"/>
      <c r="H35" s="955"/>
      <c r="J35" s="956"/>
      <c r="P35" s="1055"/>
      <c r="Q35" s="955"/>
      <c r="R35" s="955"/>
    </row>
    <row r="36" spans="1:18" s="954" customFormat="1" x14ac:dyDescent="0.2">
      <c r="A36" s="968" t="s">
        <v>2933</v>
      </c>
      <c r="B36" s="969">
        <v>158</v>
      </c>
      <c r="C36" s="957" t="s">
        <v>2923</v>
      </c>
      <c r="D36" s="955"/>
      <c r="G36" s="955"/>
      <c r="H36" s="955"/>
      <c r="J36" s="956"/>
      <c r="P36" s="1055"/>
      <c r="Q36" s="955"/>
      <c r="R36" s="955"/>
    </row>
    <row r="37" spans="1:18" s="954" customFormat="1" x14ac:dyDescent="0.2">
      <c r="A37" s="968" t="s">
        <v>2934</v>
      </c>
      <c r="B37" s="969">
        <f>AVERAGE(15,20)</f>
        <v>17.5</v>
      </c>
      <c r="C37" s="957" t="s">
        <v>2923</v>
      </c>
      <c r="D37" s="955"/>
      <c r="G37" s="955"/>
      <c r="H37" s="955"/>
      <c r="J37" s="956"/>
      <c r="P37" s="1055"/>
      <c r="Q37" s="955"/>
      <c r="R37" s="955"/>
    </row>
    <row r="38" spans="1:18" s="954" customFormat="1" x14ac:dyDescent="0.2">
      <c r="A38" s="968" t="s">
        <v>2935</v>
      </c>
      <c r="B38" s="969">
        <f>20/12*44</f>
        <v>73.333333333333343</v>
      </c>
      <c r="C38" s="957" t="s">
        <v>995</v>
      </c>
      <c r="D38" s="955"/>
      <c r="G38" s="955"/>
      <c r="H38" s="955"/>
      <c r="J38" s="956"/>
      <c r="P38" s="1055"/>
      <c r="Q38" s="955"/>
      <c r="R38" s="955"/>
    </row>
    <row r="39" spans="1:18" s="954" customFormat="1" x14ac:dyDescent="0.2">
      <c r="A39" s="968" t="s">
        <v>2936</v>
      </c>
      <c r="B39" s="969">
        <f>AVERAGE(85,87)</f>
        <v>86</v>
      </c>
      <c r="C39" s="957" t="s">
        <v>2923</v>
      </c>
      <c r="D39" s="955"/>
      <c r="G39" s="955"/>
      <c r="H39" s="955"/>
      <c r="J39" s="956"/>
      <c r="P39" s="1055"/>
      <c r="Q39" s="955"/>
      <c r="R39" s="955"/>
    </row>
    <row r="40" spans="1:18" s="954" customFormat="1" x14ac:dyDescent="0.2">
      <c r="A40" s="968" t="s">
        <v>2937</v>
      </c>
      <c r="B40" s="969">
        <v>8.8800000000000008</v>
      </c>
      <c r="C40" s="958" t="s">
        <v>2938</v>
      </c>
      <c r="D40" s="955"/>
      <c r="G40" s="955"/>
      <c r="H40" s="955"/>
      <c r="J40" s="956"/>
      <c r="P40" s="1055"/>
      <c r="Q40" s="958"/>
      <c r="R40" s="955"/>
    </row>
    <row r="41" spans="1:18" s="954" customFormat="1" x14ac:dyDescent="0.2">
      <c r="A41" s="970" t="s">
        <v>2939</v>
      </c>
      <c r="B41" s="971">
        <v>515.9</v>
      </c>
      <c r="C41" s="956" t="s">
        <v>2938</v>
      </c>
      <c r="O41" s="956"/>
      <c r="P41" s="955"/>
      <c r="Q41" s="956"/>
    </row>
    <row r="42" spans="1:18" s="954" customFormat="1" x14ac:dyDescent="0.2">
      <c r="A42" s="968" t="s">
        <v>2940</v>
      </c>
      <c r="B42" s="971">
        <v>517.4</v>
      </c>
      <c r="C42" s="956" t="s">
        <v>2938</v>
      </c>
      <c r="P42" s="955"/>
      <c r="Q42" s="956"/>
    </row>
    <row r="43" spans="1:18" s="954" customFormat="1" x14ac:dyDescent="0.2">
      <c r="A43" s="968" t="s">
        <v>2941</v>
      </c>
      <c r="B43" s="972">
        <v>1568.3</v>
      </c>
      <c r="C43" s="954" t="s">
        <v>2938</v>
      </c>
      <c r="P43" s="1056"/>
    </row>
    <row r="44" spans="1:18" s="954" customFormat="1" x14ac:dyDescent="0.2">
      <c r="A44" s="968" t="s">
        <v>2942</v>
      </c>
      <c r="B44" s="971">
        <v>440</v>
      </c>
      <c r="C44" s="956" t="s">
        <v>2923</v>
      </c>
      <c r="P44" s="955"/>
      <c r="Q44" s="956"/>
    </row>
    <row r="45" spans="1:18" s="954" customFormat="1" x14ac:dyDescent="0.2">
      <c r="A45" s="968" t="s">
        <v>2943</v>
      </c>
      <c r="B45" s="971">
        <v>440</v>
      </c>
      <c r="C45" s="956" t="s">
        <v>2923</v>
      </c>
      <c r="P45" s="955"/>
      <c r="Q45" s="956"/>
    </row>
  </sheetData>
  <sortState xmlns:xlrd2="http://schemas.microsoft.com/office/spreadsheetml/2017/richdata2" ref="O7:Q160">
    <sortCondition ref="O7:O160"/>
  </sortState>
  <mergeCells count="9">
    <mergeCell ref="A23:D25"/>
    <mergeCell ref="O23:R25"/>
    <mergeCell ref="A2:E2"/>
    <mergeCell ref="H3:M3"/>
    <mergeCell ref="AQ4:AR4"/>
    <mergeCell ref="U5:AA5"/>
    <mergeCell ref="AC5:AG5"/>
    <mergeCell ref="V2:W2"/>
    <mergeCell ref="AM3:AR3"/>
  </mergeCells>
  <dataValidations count="2">
    <dataValidation allowBlank="1" showInputMessage="1" showErrorMessage="1" prompt="Assuming a perfect pumping system, i.e. with no loss of energy from the pump, it would require 9.81 MJ  of energy to lift 1 000 m3 of water of 1 m height" sqref="AJ3" xr:uid="{00000000-0002-0000-1E00-000000000000}"/>
    <dataValidation allowBlank="1" showInputMessage="1" showErrorMessage="1" prompt="one growing season_x000a_" sqref="AM5 AN6:AP6" xr:uid="{00000000-0002-0000-1E00-000001000000}"/>
  </dataValidations>
  <hyperlinks>
    <hyperlink ref="O4" r:id="rId1" xr:uid="{00000000-0004-0000-1E00-000000000000}"/>
  </hyperlinks>
  <pageMargins left="0.7" right="0.7" top="0.75" bottom="0.75" header="0.3" footer="0.3"/>
  <pageSetup paperSize="9" orientation="portrait" r:id="rId2"/>
  <drawing r:id="rId3"/>
</worksheet>
</file>

<file path=xl/worksheets/sheet3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W165"/>
  <sheetViews>
    <sheetView zoomScale="85" zoomScaleNormal="85" workbookViewId="0">
      <selection activeCell="G27" sqref="G27"/>
    </sheetView>
  </sheetViews>
  <sheetFormatPr baseColWidth="10" defaultColWidth="9.33203125" defaultRowHeight="14" x14ac:dyDescent="0.15"/>
  <cols>
    <col min="1" max="1" width="9.33203125" style="973"/>
    <col min="2" max="2" width="28.6640625" style="973" bestFit="1" customWidth="1"/>
    <col min="3" max="3" width="10.5" style="973" bestFit="1" customWidth="1"/>
    <col min="4" max="4" width="31.5" style="973" bestFit="1" customWidth="1"/>
    <col min="5" max="9" width="15.5" style="973" customWidth="1"/>
    <col min="10" max="10" width="12.5" style="973" customWidth="1"/>
    <col min="11" max="15" width="15.5" style="973" customWidth="1"/>
    <col min="16" max="16" width="9.33203125" style="973"/>
    <col min="17" max="21" width="15.5" style="973" customWidth="1"/>
    <col min="22" max="22" width="10.5" style="973" bestFit="1" customWidth="1"/>
    <col min="23" max="23" width="13.5" style="973" bestFit="1" customWidth="1"/>
    <col min="24" max="24" width="12.5" style="973" bestFit="1" customWidth="1"/>
    <col min="25" max="16384" width="9.33203125" style="973"/>
  </cols>
  <sheetData>
    <row r="1" spans="2:22" s="1398" customFormat="1" ht="46.5" customHeight="1" x14ac:dyDescent="0.15"/>
    <row r="2" spans="2:22" x14ac:dyDescent="0.15">
      <c r="B2" s="3513" t="s">
        <v>2944</v>
      </c>
      <c r="C2" s="3513"/>
      <c r="D2" s="3513"/>
      <c r="F2" s="3513" t="s">
        <v>2945</v>
      </c>
      <c r="G2" s="3513"/>
      <c r="H2" s="3513"/>
      <c r="I2" s="3513"/>
      <c r="J2" s="3513"/>
      <c r="K2" s="3513"/>
      <c r="M2" s="3513" t="s">
        <v>2946</v>
      </c>
      <c r="N2" s="3513"/>
      <c r="O2" s="3513"/>
      <c r="Q2" s="3513" t="s">
        <v>2947</v>
      </c>
      <c r="R2" s="3513"/>
      <c r="S2" s="3513"/>
    </row>
    <row r="3" spans="2:22" x14ac:dyDescent="0.15">
      <c r="B3" s="1281" t="s">
        <v>164</v>
      </c>
      <c r="C3" s="973">
        <f>'1.Description'!G10</f>
        <v>0</v>
      </c>
      <c r="F3" s="1281" t="s">
        <v>2948</v>
      </c>
      <c r="H3" s="3505"/>
      <c r="K3" s="992">
        <f>Matrix!P7</f>
        <v>0</v>
      </c>
      <c r="M3" s="1281" t="s">
        <v>229</v>
      </c>
      <c r="O3" s="973">
        <f>time</f>
        <v>5</v>
      </c>
      <c r="Q3" s="1281" t="s">
        <v>361</v>
      </c>
      <c r="S3" s="992">
        <f>SUM(Matrix!P24:P30)-S5</f>
        <v>723</v>
      </c>
    </row>
    <row r="4" spans="2:22" x14ac:dyDescent="0.15">
      <c r="B4" s="1281" t="s">
        <v>1988</v>
      </c>
      <c r="C4" s="973" t="str">
        <f>continent</f>
        <v>Europe</v>
      </c>
      <c r="F4" s="1281" t="s">
        <v>2949</v>
      </c>
      <c r="H4" s="3506" t="s">
        <v>2071</v>
      </c>
      <c r="K4" s="992">
        <f>Matrix!P8</f>
        <v>150</v>
      </c>
      <c r="M4" s="1281" t="s">
        <v>2950</v>
      </c>
      <c r="O4" s="973">
        <f>time_cap</f>
        <v>10</v>
      </c>
      <c r="Q4" s="1281" t="s">
        <v>2138</v>
      </c>
      <c r="S4" s="992">
        <f>SUM(Matrix!P50:P56)</f>
        <v>600</v>
      </c>
    </row>
    <row r="5" spans="2:22" x14ac:dyDescent="0.15">
      <c r="B5" s="1281" t="s">
        <v>1623</v>
      </c>
      <c r="C5" s="973" t="str">
        <f>clim_moist</f>
        <v>Warm Temperate Dry</v>
      </c>
      <c r="F5" s="1281"/>
      <c r="H5" s="3506" t="s">
        <v>2072</v>
      </c>
      <c r="K5" s="992">
        <f>Matrix!P9</f>
        <v>88</v>
      </c>
      <c r="M5" s="2163" t="s">
        <v>218</v>
      </c>
      <c r="N5" s="3464"/>
      <c r="O5" s="2163">
        <f>time_tot</f>
        <v>15</v>
      </c>
      <c r="Q5" s="1281" t="s">
        <v>2951</v>
      </c>
      <c r="S5" s="992">
        <f>MAX('Inl. wetlands'!C513,'Inl. wetlands'!D513,'Inl. wetlands'!F513)+MAX(SUM(Coastal!D115:D120),SUM(Coastal!E115:E120),SUM(Coastal!G115:G120))</f>
        <v>93</v>
      </c>
    </row>
    <row r="6" spans="2:22" x14ac:dyDescent="0.15">
      <c r="B6" s="2163" t="s">
        <v>2952</v>
      </c>
      <c r="C6" s="3464" t="str">
        <f>soil_full</f>
        <v xml:space="preserve">High activity clay soils </v>
      </c>
      <c r="D6" s="3464"/>
      <c r="F6" s="1281"/>
      <c r="H6" s="3506" t="s">
        <v>546</v>
      </c>
      <c r="K6" s="992">
        <f>Matrix!P10</f>
        <v>0</v>
      </c>
      <c r="Q6" s="3475" t="s">
        <v>2953</v>
      </c>
      <c r="R6" s="3466"/>
      <c r="S6" s="3490">
        <f>S3+S4+S5</f>
        <v>1416</v>
      </c>
    </row>
    <row r="7" spans="2:22" x14ac:dyDescent="0.15">
      <c r="F7" s="1281" t="s">
        <v>1396</v>
      </c>
      <c r="H7" s="3506"/>
      <c r="K7" s="992">
        <f>Matrix!P11</f>
        <v>450</v>
      </c>
    </row>
    <row r="8" spans="2:22" x14ac:dyDescent="0.15">
      <c r="F8" s="1281" t="s">
        <v>2074</v>
      </c>
      <c r="H8" s="3506" t="s">
        <v>2954</v>
      </c>
      <c r="K8" s="992">
        <f>Matrix!P12</f>
        <v>0</v>
      </c>
    </row>
    <row r="9" spans="2:22" x14ac:dyDescent="0.15">
      <c r="F9" s="1281"/>
      <c r="H9" s="3506" t="s">
        <v>2955</v>
      </c>
      <c r="K9" s="992">
        <f>Matrix!P13</f>
        <v>128</v>
      </c>
    </row>
    <row r="10" spans="2:22" x14ac:dyDescent="0.15">
      <c r="F10" s="2163" t="s">
        <v>2138</v>
      </c>
      <c r="G10" s="3464"/>
      <c r="H10" s="3507"/>
      <c r="I10" s="3464"/>
      <c r="J10" s="3464"/>
      <c r="K10" s="3465">
        <f>SUM(Matrix!P50:P56)</f>
        <v>600</v>
      </c>
    </row>
    <row r="12" spans="2:22" x14ac:dyDescent="0.15">
      <c r="B12" s="2163" t="s">
        <v>2956</v>
      </c>
      <c r="C12" s="2163"/>
      <c r="D12" s="2163"/>
      <c r="E12" s="2163"/>
      <c r="F12" s="2163"/>
      <c r="G12" s="2163"/>
      <c r="H12" s="2163"/>
      <c r="I12" s="2163"/>
      <c r="J12" s="2163"/>
      <c r="K12" s="2163"/>
      <c r="L12" s="2163"/>
      <c r="M12" s="2163"/>
      <c r="N12" s="2163"/>
      <c r="O12" s="2163"/>
      <c r="P12" s="2163"/>
      <c r="Q12" s="1281"/>
      <c r="R12" s="1281"/>
      <c r="S12" s="1281"/>
      <c r="T12" s="1281"/>
    </row>
    <row r="14" spans="2:22" x14ac:dyDescent="0.15">
      <c r="B14" s="1281" t="str">
        <f>B41</f>
        <v>COMPONENTS OF THE PROJECT</v>
      </c>
      <c r="C14" s="1281"/>
      <c r="D14" s="4286" t="str">
        <f>D41</f>
        <v>BALANCE (Project-baseline)</v>
      </c>
      <c r="E14" s="1576"/>
      <c r="F14" s="3561" t="str">
        <f>F41</f>
        <v>CO2</v>
      </c>
      <c r="G14" s="3558"/>
      <c r="H14" s="1688"/>
      <c r="I14" s="1595" t="s">
        <v>177</v>
      </c>
      <c r="J14" s="3569"/>
      <c r="K14" s="3569"/>
      <c r="L14" s="3603" t="str">
        <f>L41</f>
        <v xml:space="preserve">CH4 </v>
      </c>
      <c r="M14" s="3560"/>
      <c r="N14" s="3560"/>
      <c r="O14" s="3605" t="s">
        <v>2957</v>
      </c>
      <c r="P14" s="3477"/>
      <c r="Q14" s="4286" t="str">
        <f>Q41</f>
        <v>Per phase of the project</v>
      </c>
      <c r="R14" s="4286"/>
      <c r="S14" s="1576"/>
      <c r="T14" s="4286" t="str">
        <f>T41</f>
        <v>Mean per year</v>
      </c>
      <c r="U14" s="4286"/>
      <c r="V14" s="4286"/>
    </row>
    <row r="15" spans="2:22" ht="15" x14ac:dyDescent="0.15">
      <c r="D15" s="1688" t="str">
        <f>D42</f>
        <v>All GHG are in tCO2-e</v>
      </c>
      <c r="E15" s="1688"/>
      <c r="F15" s="3558" t="str">
        <f>F42</f>
        <v>Biomass</v>
      </c>
      <c r="G15" s="3558" t="str">
        <f>G42</f>
        <v>Soil</v>
      </c>
      <c r="H15" s="1688"/>
      <c r="I15" s="3569" t="s">
        <v>157</v>
      </c>
      <c r="J15" s="3569" t="str">
        <f>J42</f>
        <v>Fire</v>
      </c>
      <c r="K15" s="3569" t="s">
        <v>2958</v>
      </c>
      <c r="L15" s="3604" t="str">
        <f>L42</f>
        <v>Soil</v>
      </c>
      <c r="M15" s="3560" t="str">
        <f>M42</f>
        <v>Fire</v>
      </c>
      <c r="N15" s="3598" t="s">
        <v>2958</v>
      </c>
      <c r="P15" s="1688"/>
      <c r="Q15" s="1688" t="str">
        <f>Q42</f>
        <v>Implem.</v>
      </c>
      <c r="R15" s="1688" t="str">
        <f>R42</f>
        <v>Capital.</v>
      </c>
      <c r="S15" s="1688"/>
      <c r="T15" s="1688" t="str">
        <f>T42</f>
        <v>Total</v>
      </c>
      <c r="U15" s="1688" t="str">
        <f>U42</f>
        <v>Implem.</v>
      </c>
      <c r="V15" s="1688" t="str">
        <f>V42</f>
        <v>Capital.</v>
      </c>
    </row>
    <row r="16" spans="2:22" x14ac:dyDescent="0.15">
      <c r="B16" s="1281" t="s">
        <v>2959</v>
      </c>
    </row>
    <row r="17" spans="2:22" x14ac:dyDescent="0.15">
      <c r="B17" s="1469" t="s">
        <v>222</v>
      </c>
      <c r="D17" s="3511">
        <f>defo!$Y$41</f>
        <v>0</v>
      </c>
      <c r="E17" s="992"/>
      <c r="F17" s="3562">
        <f>defo!$Y$35+defo!$Y$36</f>
        <v>0</v>
      </c>
      <c r="G17" s="3563">
        <f>defo!$Y$37</f>
        <v>0</v>
      </c>
      <c r="H17" s="992"/>
      <c r="I17" s="3570">
        <f>(SUMPRODUCT(defo!$W$23:$W$30,defo!$H$35:$H$42)-SUMPRODUCT(defo!$W$23:$W$30,defo!$G$35:$G$42))/1000*Nitrous</f>
        <v>0</v>
      </c>
      <c r="J17" s="3571">
        <f>defo!Y39</f>
        <v>0</v>
      </c>
      <c r="K17" s="3533"/>
      <c r="L17" s="3476"/>
      <c r="M17" s="3586">
        <f>defo!Y38</f>
        <v>0</v>
      </c>
      <c r="N17" s="3533"/>
      <c r="O17" s="992"/>
      <c r="P17" s="992"/>
      <c r="Q17" s="3472">
        <f>defo!$Z$41</f>
        <v>0</v>
      </c>
      <c r="R17" s="3512">
        <f>defo!$AA$41</f>
        <v>0</v>
      </c>
      <c r="S17" s="992"/>
      <c r="T17" s="3491">
        <f>IFERROR($D$17/$O$5,0)</f>
        <v>0</v>
      </c>
      <c r="U17" s="3478">
        <f t="shared" ref="U17:V20" si="0">IFERROR(Q17/$O$5,0)</f>
        <v>0</v>
      </c>
      <c r="V17" s="3473">
        <f t="shared" si="0"/>
        <v>0</v>
      </c>
    </row>
    <row r="18" spans="2:22" x14ac:dyDescent="0.15">
      <c r="B18" s="1469" t="s">
        <v>2960</v>
      </c>
      <c r="D18" s="3508">
        <f>degradation!$AV$61</f>
        <v>0</v>
      </c>
      <c r="E18" s="992"/>
      <c r="F18" s="3564">
        <f>degradation!$AV$56+degradation!$AV$57</f>
        <v>0</v>
      </c>
      <c r="G18" s="3565">
        <f>degradation!$AV$58</f>
        <v>0</v>
      </c>
      <c r="H18" s="992"/>
      <c r="I18" s="3573"/>
      <c r="J18" s="3574">
        <f>degradation!AV60</f>
        <v>0</v>
      </c>
      <c r="K18" s="3484"/>
      <c r="L18" s="3483"/>
      <c r="M18" s="3587">
        <f>degradation!AV59</f>
        <v>0</v>
      </c>
      <c r="N18" s="3484"/>
      <c r="O18" s="992"/>
      <c r="P18" s="992"/>
      <c r="Q18" s="3472">
        <f>degradation!AW61</f>
        <v>0</v>
      </c>
      <c r="R18" s="3512">
        <f>degradation!AX61</f>
        <v>0</v>
      </c>
      <c r="S18" s="992"/>
      <c r="T18" s="3491">
        <f>IFERROR($D$17/$O$5,0)</f>
        <v>0</v>
      </c>
      <c r="U18" s="3478">
        <f t="shared" si="0"/>
        <v>0</v>
      </c>
      <c r="V18" s="3473">
        <f t="shared" si="0"/>
        <v>0</v>
      </c>
    </row>
    <row r="19" spans="2:22" x14ac:dyDescent="0.15">
      <c r="B19" s="1469" t="s">
        <v>2961</v>
      </c>
      <c r="D19" s="3509">
        <f>affo!$AO$40</f>
        <v>0</v>
      </c>
      <c r="E19" s="992"/>
      <c r="F19" s="3564">
        <f>affo!$AO$35+affo!$AO$36</f>
        <v>0</v>
      </c>
      <c r="G19" s="3565">
        <f>affo!AO37</f>
        <v>0</v>
      </c>
      <c r="H19" s="992"/>
      <c r="I19" s="3573"/>
      <c r="J19" s="3574">
        <f>affo!AO39</f>
        <v>0</v>
      </c>
      <c r="K19" s="3484"/>
      <c r="L19" s="3483"/>
      <c r="M19" s="3587">
        <f>affo!AO38</f>
        <v>0</v>
      </c>
      <c r="N19" s="3484"/>
      <c r="O19" s="992"/>
      <c r="P19" s="992"/>
      <c r="Q19" s="3468">
        <f>affo!$AP$40</f>
        <v>0</v>
      </c>
      <c r="R19" s="3469">
        <f>affo!$AQ$40</f>
        <v>0</v>
      </c>
      <c r="S19" s="992"/>
      <c r="T19" s="3491">
        <f>IFERROR($D$17/$O$5,0)</f>
        <v>0</v>
      </c>
      <c r="U19" s="3478">
        <f t="shared" si="0"/>
        <v>0</v>
      </c>
      <c r="V19" s="3473">
        <f t="shared" si="0"/>
        <v>0</v>
      </c>
    </row>
    <row r="20" spans="2:22" x14ac:dyDescent="0.15">
      <c r="B20" s="1281" t="s">
        <v>2962</v>
      </c>
      <c r="D20" s="3508">
        <f>luc!$W$10</f>
        <v>0</v>
      </c>
      <c r="E20" s="992"/>
      <c r="F20" s="3566">
        <f>luc!$W$5</f>
        <v>0</v>
      </c>
      <c r="G20" s="3567">
        <f>luc!$W$6</f>
        <v>0</v>
      </c>
      <c r="H20" s="992"/>
      <c r="I20" s="3576">
        <f>luc!$W$7</f>
        <v>0</v>
      </c>
      <c r="J20" s="3577">
        <f>luc!$W$9</f>
        <v>0</v>
      </c>
      <c r="K20" s="3485"/>
      <c r="L20" s="3534"/>
      <c r="M20" s="3588">
        <f>luc!$W$8</f>
        <v>0</v>
      </c>
      <c r="N20" s="3485"/>
      <c r="O20" s="992"/>
      <c r="P20" s="992"/>
      <c r="Q20" s="3471">
        <f>luc!$X$10</f>
        <v>0</v>
      </c>
      <c r="R20" s="3480">
        <f>luc!$Y$10</f>
        <v>0</v>
      </c>
      <c r="S20" s="992"/>
      <c r="T20" s="3491">
        <f>IFERROR($D$17/$O$5,0)</f>
        <v>0</v>
      </c>
      <c r="U20" s="3478">
        <f t="shared" si="0"/>
        <v>0</v>
      </c>
      <c r="V20" s="3473">
        <f t="shared" si="0"/>
        <v>0</v>
      </c>
    </row>
    <row r="21" spans="2:22" x14ac:dyDescent="0.15">
      <c r="B21" s="1281" t="s">
        <v>2949</v>
      </c>
      <c r="D21" s="992"/>
      <c r="E21" s="992"/>
      <c r="F21" s="992"/>
      <c r="G21" s="992"/>
      <c r="H21" s="992"/>
      <c r="I21" s="992"/>
      <c r="J21" s="992"/>
      <c r="K21" s="992"/>
      <c r="L21" s="992"/>
      <c r="M21" s="992"/>
      <c r="N21" s="992"/>
      <c r="O21" s="992"/>
      <c r="P21" s="992"/>
      <c r="Q21" s="992"/>
      <c r="R21" s="992"/>
      <c r="S21" s="992"/>
      <c r="T21" s="992"/>
      <c r="U21" s="992"/>
      <c r="V21" s="992"/>
    </row>
    <row r="22" spans="2:22" x14ac:dyDescent="0.15">
      <c r="B22" s="973" t="s">
        <v>2963</v>
      </c>
      <c r="D22" s="3511">
        <f>annual!$X$36</f>
        <v>0</v>
      </c>
      <c r="E22" s="992"/>
      <c r="F22" s="3562">
        <f>annual!X31</f>
        <v>0</v>
      </c>
      <c r="G22" s="3563">
        <f>annual!X32</f>
        <v>0</v>
      </c>
      <c r="H22" s="992"/>
      <c r="I22" s="3570">
        <f>annual!X33</f>
        <v>0</v>
      </c>
      <c r="J22" s="3571">
        <f>annual!X35</f>
        <v>0</v>
      </c>
      <c r="K22" s="3533"/>
      <c r="L22" s="3476"/>
      <c r="M22" s="3586">
        <f>annual!X34</f>
        <v>0</v>
      </c>
      <c r="N22" s="3533"/>
      <c r="O22" s="992"/>
      <c r="P22" s="992"/>
      <c r="Q22" s="3468">
        <f>annual!$Y$36</f>
        <v>0</v>
      </c>
      <c r="R22" s="3469">
        <f>annual!$Z$36</f>
        <v>0</v>
      </c>
      <c r="S22" s="992"/>
      <c r="T22" s="3492">
        <f>IFERROR(D22/$O$5,0)</f>
        <v>0</v>
      </c>
      <c r="U22" s="3510">
        <f>IFERROR(Q22/$O$5,0)</f>
        <v>0</v>
      </c>
      <c r="V22" s="3474">
        <f>IFERROR(R22/$O$5,0)</f>
        <v>0</v>
      </c>
    </row>
    <row r="23" spans="2:22" x14ac:dyDescent="0.15">
      <c r="B23" s="973" t="s">
        <v>1588</v>
      </c>
      <c r="D23" s="3508">
        <f>perennial!$AB$44</f>
        <v>-672.42442666666716</v>
      </c>
      <c r="E23" s="992"/>
      <c r="F23" s="3564">
        <f>perennial!AB39</f>
        <v>-1774.666666666667</v>
      </c>
      <c r="G23" s="3565">
        <f>perennial!AB40</f>
        <v>1102.2422399999998</v>
      </c>
      <c r="H23" s="992"/>
      <c r="I23" s="3573">
        <f>perennial!AB41</f>
        <v>0</v>
      </c>
      <c r="J23" s="3574">
        <f>perennial!AB43</f>
        <v>0</v>
      </c>
      <c r="K23" s="3484"/>
      <c r="L23" s="3483"/>
      <c r="M23" s="3587">
        <f>perennial!AB42</f>
        <v>0</v>
      </c>
      <c r="N23" s="3484"/>
      <c r="O23" s="992"/>
      <c r="P23" s="992"/>
      <c r="Q23" s="3470">
        <f>perennial!$AC$44</f>
        <v>779.75342719999992</v>
      </c>
      <c r="R23" s="3479">
        <f>perennial!$AD$44</f>
        <v>-1452.1778538666672</v>
      </c>
      <c r="S23" s="992"/>
      <c r="T23" s="3492">
        <f t="shared" ref="T23:T29" si="1">IFERROR(D23/$O$5,0)</f>
        <v>-44.828295111111146</v>
      </c>
      <c r="U23" s="3510">
        <f t="shared" ref="U23:U29" si="2">IFERROR(Q23/$O$5,0)</f>
        <v>51.983561813333331</v>
      </c>
      <c r="V23" s="3474">
        <f t="shared" ref="V23:V29" si="3">IFERROR(R23/$O$5,0)</f>
        <v>-96.811856924444484</v>
      </c>
    </row>
    <row r="24" spans="2:22" x14ac:dyDescent="0.15">
      <c r="B24" s="973" t="s">
        <v>2964</v>
      </c>
      <c r="D24" s="3508">
        <f>rice!$W$11</f>
        <v>0</v>
      </c>
      <c r="E24" s="992"/>
      <c r="F24" s="3564">
        <f>rice!W6</f>
        <v>0</v>
      </c>
      <c r="G24" s="3565">
        <f>rice!W7</f>
        <v>0</v>
      </c>
      <c r="H24" s="992"/>
      <c r="I24" s="3483"/>
      <c r="J24" s="3574">
        <f>rice!W10</f>
        <v>0</v>
      </c>
      <c r="K24" s="3484"/>
      <c r="L24" s="3587">
        <f>rice!W8</f>
        <v>0</v>
      </c>
      <c r="M24" s="3587">
        <f>rice!W9</f>
        <v>0</v>
      </c>
      <c r="N24" s="3484"/>
      <c r="O24" s="992"/>
      <c r="P24" s="992"/>
      <c r="Q24" s="3470">
        <f>rice!$X$11</f>
        <v>0</v>
      </c>
      <c r="R24" s="3479">
        <f>rice!$Y$11</f>
        <v>0</v>
      </c>
      <c r="S24" s="992"/>
      <c r="T24" s="3492">
        <f t="shared" si="1"/>
        <v>0</v>
      </c>
      <c r="U24" s="3510">
        <f t="shared" si="2"/>
        <v>0</v>
      </c>
      <c r="V24" s="3474">
        <f t="shared" si="3"/>
        <v>0</v>
      </c>
    </row>
    <row r="25" spans="2:22" x14ac:dyDescent="0.15">
      <c r="B25" s="1281" t="s">
        <v>1396</v>
      </c>
      <c r="D25" s="3508">
        <f>grass!$X$41</f>
        <v>-2475.0000000000009</v>
      </c>
      <c r="E25" s="992"/>
      <c r="F25" s="3564">
        <f>grass!$X$36</f>
        <v>0</v>
      </c>
      <c r="G25" s="3565">
        <f>grass!$X$37</f>
        <v>-2475.0000000000009</v>
      </c>
      <c r="H25" s="992"/>
      <c r="I25" s="3483"/>
      <c r="J25" s="3574">
        <f>grass!$X$39</f>
        <v>0</v>
      </c>
      <c r="K25" s="3484"/>
      <c r="L25" s="3483"/>
      <c r="M25" s="3587">
        <f>grass!$X$40</f>
        <v>0</v>
      </c>
      <c r="N25" s="3484"/>
      <c r="O25" s="992"/>
      <c r="P25" s="992"/>
      <c r="Q25" s="3470">
        <f>grass!$Y$41</f>
        <v>-495.00000000000017</v>
      </c>
      <c r="R25" s="3479">
        <f>grass!$Z$41</f>
        <v>-1980.0000000000007</v>
      </c>
      <c r="S25" s="992"/>
      <c r="T25" s="3492">
        <f t="shared" si="1"/>
        <v>-165.00000000000006</v>
      </c>
      <c r="U25" s="3510">
        <f t="shared" si="2"/>
        <v>-33.000000000000014</v>
      </c>
      <c r="V25" s="3474">
        <f t="shared" si="3"/>
        <v>-132.00000000000006</v>
      </c>
    </row>
    <row r="26" spans="2:22" x14ac:dyDescent="0.15">
      <c r="B26" s="1281" t="s">
        <v>2958</v>
      </c>
      <c r="D26" s="3509">
        <f ca="1">Livestock!$AR$11</f>
        <v>-795.33956250000028</v>
      </c>
      <c r="E26" s="992"/>
      <c r="F26" s="3534"/>
      <c r="G26" s="3485"/>
      <c r="H26" s="992"/>
      <c r="I26" s="3534"/>
      <c r="J26" s="3535"/>
      <c r="K26" s="3578">
        <f ca="1">Livestock!$AR$10</f>
        <v>0</v>
      </c>
      <c r="L26" s="3534"/>
      <c r="M26" s="3535"/>
      <c r="N26" s="3594">
        <f ca="1">Livestock!$AR$9</f>
        <v>-795.33956250000028</v>
      </c>
      <c r="O26" s="992"/>
      <c r="P26" s="992"/>
      <c r="Q26" s="3471">
        <f ca="1">Livestock!$AS$11</f>
        <v>-159.06791249999969</v>
      </c>
      <c r="R26" s="3480">
        <f ca="1">Livestock!$AT$11</f>
        <v>-636.27165000000059</v>
      </c>
      <c r="S26" s="992"/>
      <c r="T26" s="3492">
        <f t="shared" ca="1" si="1"/>
        <v>-53.022637500000016</v>
      </c>
      <c r="U26" s="3510">
        <f t="shared" ca="1" si="2"/>
        <v>-10.60452749999998</v>
      </c>
      <c r="V26" s="3474">
        <f t="shared" ca="1" si="3"/>
        <v>-42.418110000000041</v>
      </c>
    </row>
    <row r="27" spans="2:22" x14ac:dyDescent="0.15">
      <c r="B27" s="1281" t="s">
        <v>2965</v>
      </c>
      <c r="D27" s="3508">
        <f>Coastal!$AA$10+Coastal!$AA$33+Coastal!$AA$69+Coastal!X118</f>
        <v>3622.5</v>
      </c>
      <c r="E27" s="992"/>
      <c r="F27" s="3564">
        <f>Coastal!$AA$8+Coastal!$AA$31+Coastal!$AA$66</f>
        <v>0</v>
      </c>
      <c r="G27" s="3565">
        <f>Coastal!$AA$9+Coastal!$AA$32+Coastal!$AA$67</f>
        <v>0</v>
      </c>
      <c r="I27" s="3573">
        <v>0</v>
      </c>
      <c r="J27" s="3553"/>
      <c r="K27" s="3484"/>
      <c r="L27" s="3589">
        <f>Coastal!$AA$68+Coastal!X118</f>
        <v>3622.5</v>
      </c>
      <c r="M27" s="3553"/>
      <c r="O27" s="3484"/>
      <c r="P27" s="992"/>
      <c r="Q27" s="3470">
        <f>Coastal!$AB$10+Coastal!$AB$33+Coastal!$AB$69</f>
        <v>0</v>
      </c>
      <c r="R27" s="3479">
        <f>Coastal!$AC$10+Coastal!$AC$33+Coastal!$AC$69</f>
        <v>0</v>
      </c>
      <c r="S27" s="992"/>
      <c r="T27" s="3492">
        <f t="shared" si="1"/>
        <v>241.5</v>
      </c>
      <c r="U27" s="3510">
        <f t="shared" si="2"/>
        <v>0</v>
      </c>
      <c r="V27" s="3474">
        <f t="shared" si="3"/>
        <v>0</v>
      </c>
    </row>
    <row r="28" spans="2:22" x14ac:dyDescent="0.15">
      <c r="B28" s="1281" t="s">
        <v>2966</v>
      </c>
      <c r="D28" s="3509">
        <f>+'Fish and aqua'!AA113</f>
        <v>193.53517857142867</v>
      </c>
      <c r="E28" s="992"/>
      <c r="F28" s="3566">
        <v>0</v>
      </c>
      <c r="G28" s="3568">
        <v>0</v>
      </c>
      <c r="I28" s="3576">
        <f>'Fish and aqua'!$AA$113</f>
        <v>193.53517857142867</v>
      </c>
      <c r="J28" s="3485"/>
      <c r="K28" s="992"/>
      <c r="L28" s="3593">
        <v>0</v>
      </c>
      <c r="M28" s="3485"/>
      <c r="O28" s="992"/>
      <c r="P28" s="992"/>
      <c r="Q28" s="3471">
        <f>+'Fish and aqua'!AB113+'Fish and aqua'!AB114</f>
        <v>38.707035714285738</v>
      </c>
      <c r="R28" s="3480">
        <f>+'Fish and aqua'!AC113+'Fish and aqua'!AC114</f>
        <v>154.82814285714295</v>
      </c>
      <c r="S28" s="992"/>
      <c r="T28" s="3492"/>
      <c r="U28" s="3510"/>
      <c r="V28" s="3474"/>
    </row>
    <row r="29" spans="2:22" x14ac:dyDescent="0.15">
      <c r="B29" s="1281" t="s">
        <v>2967</v>
      </c>
      <c r="D29" s="3509">
        <f>'Inl. wetlands'!$BP$503</f>
        <v>0</v>
      </c>
      <c r="E29" s="1688"/>
      <c r="F29" s="3531"/>
      <c r="H29" s="1688"/>
      <c r="I29" s="3531"/>
      <c r="J29" s="3532"/>
      <c r="K29" s="1688"/>
      <c r="L29" s="3593">
        <f>'Inl. wetlands'!$BP$503</f>
        <v>0</v>
      </c>
      <c r="M29" s="3532"/>
      <c r="O29" s="1688"/>
      <c r="P29" s="1688"/>
      <c r="Q29" s="3471">
        <f>'Inl. wetlands'!$BQ$503</f>
        <v>0</v>
      </c>
      <c r="R29" s="3480">
        <f>'Inl. wetlands'!$BR$503</f>
        <v>0</v>
      </c>
      <c r="S29" s="1688"/>
      <c r="T29" s="3492">
        <f t="shared" si="1"/>
        <v>0</v>
      </c>
      <c r="U29" s="3510">
        <f t="shared" si="2"/>
        <v>0</v>
      </c>
      <c r="V29" s="3474">
        <f t="shared" si="3"/>
        <v>0</v>
      </c>
    </row>
    <row r="30" spans="2:22" x14ac:dyDescent="0.15">
      <c r="D30" s="992"/>
      <c r="E30" s="992"/>
      <c r="F30" s="992"/>
      <c r="G30" s="992"/>
      <c r="H30" s="992"/>
      <c r="I30" s="992"/>
      <c r="J30" s="992"/>
      <c r="K30" s="992"/>
      <c r="L30" s="992"/>
      <c r="M30" s="992"/>
      <c r="N30" s="992"/>
      <c r="O30" s="992"/>
      <c r="P30" s="992"/>
      <c r="Q30" s="992"/>
      <c r="R30" s="992"/>
      <c r="S30" s="992"/>
      <c r="T30" s="992"/>
      <c r="U30" s="992"/>
      <c r="V30" s="992"/>
    </row>
    <row r="31" spans="2:22" x14ac:dyDescent="0.15">
      <c r="B31" s="1281" t="s">
        <v>2968</v>
      </c>
      <c r="D31" s="3467">
        <f ca="1">SUM(D17:D29)</f>
        <v>-126.72881059523991</v>
      </c>
      <c r="E31" s="992"/>
      <c r="F31" s="3568">
        <f>SUM(F17:F29)</f>
        <v>-1774.666666666667</v>
      </c>
      <c r="G31" s="3568">
        <f>SUM(G17:G29)</f>
        <v>-1372.7577600000011</v>
      </c>
      <c r="H31" s="992"/>
      <c r="I31" s="3579">
        <f t="shared" ref="I31:N31" si="4">SUM(I17:I29)</f>
        <v>193.53517857142867</v>
      </c>
      <c r="J31" s="3580">
        <f t="shared" si="4"/>
        <v>0</v>
      </c>
      <c r="K31" s="3581">
        <f t="shared" ca="1" si="4"/>
        <v>0</v>
      </c>
      <c r="L31" s="3590">
        <f t="shared" si="4"/>
        <v>3622.5</v>
      </c>
      <c r="M31" s="3591">
        <f t="shared" si="4"/>
        <v>0</v>
      </c>
      <c r="N31" s="3592">
        <f t="shared" ca="1" si="4"/>
        <v>-795.33956250000028</v>
      </c>
      <c r="O31" s="3602"/>
      <c r="P31" s="992"/>
      <c r="Q31" s="3467">
        <f ca="1">SUM($Q$17:$Q$29)</f>
        <v>164.39255041428578</v>
      </c>
      <c r="R31" s="3467">
        <f ca="1">SUM($R$17:$R$29)</f>
        <v>-3913.6213610095251</v>
      </c>
      <c r="S31" s="992"/>
      <c r="T31" s="3145">
        <f ca="1">SUM(T17:T27)</f>
        <v>-21.350932611111205</v>
      </c>
      <c r="U31" s="3145">
        <f ca="1">SUM(U17:U27)</f>
        <v>8.3790343133333369</v>
      </c>
      <c r="V31" s="3145">
        <f ca="1">SUM(V17:V27)</f>
        <v>-271.22996692444462</v>
      </c>
    </row>
    <row r="32" spans="2:22" x14ac:dyDescent="0.15">
      <c r="D32" s="1688"/>
      <c r="E32" s="1688"/>
      <c r="F32" s="1688"/>
      <c r="G32" s="1688"/>
      <c r="H32" s="1688"/>
      <c r="I32" s="1688"/>
      <c r="J32" s="1688"/>
      <c r="K32" s="1688"/>
      <c r="L32" s="1688"/>
      <c r="M32" s="1688"/>
      <c r="N32" s="1688"/>
    </row>
    <row r="34" spans="2:22" x14ac:dyDescent="0.15">
      <c r="B34" s="2166" t="s">
        <v>217</v>
      </c>
      <c r="C34" s="1576"/>
      <c r="D34" s="2272">
        <f ca="1">D31+D53+D65</f>
        <v>120411.01869594974</v>
      </c>
      <c r="E34" s="3504"/>
      <c r="F34" s="3879">
        <f>F31+F53+F65</f>
        <v>-1774.666666666667</v>
      </c>
      <c r="G34" s="3880">
        <f>G31+G53+G65</f>
        <v>111579.82557333302</v>
      </c>
      <c r="H34" s="3504"/>
      <c r="I34" s="3879">
        <f t="shared" ref="I34:O34" si="5">I31+I53+I65</f>
        <v>488.1583928571431</v>
      </c>
      <c r="J34" s="3881">
        <f t="shared" si="5"/>
        <v>0</v>
      </c>
      <c r="K34" s="3881">
        <f t="shared" ca="1" si="5"/>
        <v>0</v>
      </c>
      <c r="L34" s="3881">
        <f t="shared" si="5"/>
        <v>6850.0833333333321</v>
      </c>
      <c r="M34" s="3881">
        <f t="shared" si="5"/>
        <v>0</v>
      </c>
      <c r="N34" s="3881">
        <f t="shared" ca="1" si="5"/>
        <v>-795.33956250000028</v>
      </c>
      <c r="O34" s="3880">
        <f t="shared" si="5"/>
        <v>3880.2892922595743</v>
      </c>
      <c r="T34" s="3879">
        <f ca="1">IFERROR(T31+T53+T65,0)</f>
        <v>8014.4989011585531</v>
      </c>
      <c r="U34" s="3879">
        <f ca="1">IFERROR(U31+U53+U65,0)</f>
        <v>1527.6115039134959</v>
      </c>
      <c r="V34" s="3879">
        <f ca="1">IFERROR(V31+V53+V65,0)</f>
        <v>6232.3901829593433</v>
      </c>
    </row>
    <row r="39" spans="2:22" x14ac:dyDescent="0.15">
      <c r="B39" s="2163" t="s">
        <v>2969</v>
      </c>
      <c r="C39" s="2163"/>
      <c r="D39" s="2163"/>
      <c r="E39" s="2163"/>
      <c r="F39" s="2163"/>
      <c r="G39" s="2163"/>
      <c r="H39" s="2163"/>
      <c r="I39" s="2163"/>
      <c r="J39" s="2163"/>
      <c r="K39" s="2163"/>
      <c r="L39" s="2163"/>
      <c r="M39" s="2163"/>
      <c r="N39" s="2163"/>
      <c r="O39" s="2163"/>
      <c r="P39" s="2163"/>
    </row>
    <row r="41" spans="2:22" x14ac:dyDescent="0.15">
      <c r="B41" s="1281" t="s">
        <v>2970</v>
      </c>
      <c r="C41" s="1281"/>
      <c r="D41" s="4286" t="s">
        <v>2971</v>
      </c>
      <c r="E41" s="1576"/>
      <c r="F41" s="3561" t="s">
        <v>1036</v>
      </c>
      <c r="G41" s="3558"/>
      <c r="H41" s="1688"/>
      <c r="I41" s="1595" t="s">
        <v>177</v>
      </c>
      <c r="J41" s="3569"/>
      <c r="K41" s="3569"/>
      <c r="L41" s="3603" t="s">
        <v>2972</v>
      </c>
      <c r="M41" s="3560"/>
      <c r="N41" s="3560"/>
      <c r="O41" s="3605" t="s">
        <v>2957</v>
      </c>
      <c r="P41" s="3477"/>
      <c r="Q41" s="4286" t="s">
        <v>2973</v>
      </c>
      <c r="R41" s="4286"/>
      <c r="S41" s="1576"/>
      <c r="T41" s="4286" t="s">
        <v>2974</v>
      </c>
      <c r="U41" s="4286"/>
      <c r="V41" s="4286"/>
    </row>
    <row r="42" spans="2:22" x14ac:dyDescent="0.15">
      <c r="D42" s="1688" t="s">
        <v>2975</v>
      </c>
      <c r="E42" s="1688"/>
      <c r="F42" s="3558" t="s">
        <v>96</v>
      </c>
      <c r="G42" s="3558" t="s">
        <v>157</v>
      </c>
      <c r="H42" s="1688"/>
      <c r="I42" s="3569" t="s">
        <v>157</v>
      </c>
      <c r="J42" s="3569" t="s">
        <v>158</v>
      </c>
      <c r="K42" s="3569"/>
      <c r="L42" s="3604" t="s">
        <v>157</v>
      </c>
      <c r="M42" s="3560" t="s">
        <v>158</v>
      </c>
      <c r="N42" s="3560"/>
      <c r="O42" s="1688"/>
      <c r="P42" s="1688"/>
      <c r="Q42" s="1688" t="s">
        <v>2976</v>
      </c>
      <c r="R42" s="1688" t="s">
        <v>2977</v>
      </c>
      <c r="S42" s="1688"/>
      <c r="T42" s="1688" t="s">
        <v>218</v>
      </c>
      <c r="U42" s="1688" t="s">
        <v>2976</v>
      </c>
      <c r="V42" s="1688" t="s">
        <v>2977</v>
      </c>
    </row>
    <row r="43" spans="2:22" x14ac:dyDescent="0.15">
      <c r="D43" s="1688"/>
      <c r="E43" s="1688"/>
      <c r="F43" s="1688"/>
      <c r="G43" s="1688"/>
      <c r="H43" s="1688"/>
      <c r="I43" s="1688"/>
      <c r="J43" s="1688"/>
      <c r="K43" s="1688"/>
      <c r="L43" s="1688"/>
      <c r="M43" s="1688"/>
      <c r="N43" s="1688"/>
      <c r="O43" s="1688"/>
      <c r="P43" s="1688"/>
      <c r="Q43" s="1688"/>
      <c r="R43" s="1688"/>
      <c r="S43" s="1688"/>
      <c r="T43" s="1688"/>
      <c r="U43" s="1688"/>
      <c r="V43" s="1688"/>
    </row>
    <row r="44" spans="2:22" x14ac:dyDescent="0.15">
      <c r="B44" s="1281" t="s">
        <v>2959</v>
      </c>
      <c r="D44" s="1688"/>
      <c r="E44" s="1688"/>
      <c r="F44" s="1576"/>
      <c r="G44" s="1576"/>
      <c r="H44" s="1688"/>
      <c r="I44" s="1688"/>
      <c r="J44" s="1688"/>
      <c r="K44" s="1688"/>
      <c r="L44" s="1576"/>
      <c r="M44" s="1688"/>
      <c r="N44" s="1688"/>
      <c r="O44" s="1688"/>
      <c r="P44" s="1688"/>
      <c r="Q44" s="1688"/>
      <c r="R44" s="1688"/>
      <c r="S44" s="1688"/>
      <c r="T44" s="1688"/>
      <c r="U44" s="1688"/>
      <c r="V44" s="1688"/>
    </row>
    <row r="45" spans="2:22" x14ac:dyDescent="0.15">
      <c r="B45" s="1469" t="s">
        <v>222</v>
      </c>
      <c r="D45" s="3511">
        <f>'Inl. wetlands'!$BQ$45</f>
        <v>6177.4166666666661</v>
      </c>
      <c r="E45" s="992"/>
      <c r="F45" s="3562">
        <f>'Inl. wetlands'!$BQ$35</f>
        <v>0</v>
      </c>
      <c r="G45" s="3563">
        <f>'Inl. wetlands'!$BQ$36</f>
        <v>2667.5000000000009</v>
      </c>
      <c r="H45" s="992"/>
      <c r="I45" s="3570">
        <f>'Inl. wetlands'!$BQ$38+'Inl. wetlands'!$BQ$41</f>
        <v>291.50000000000011</v>
      </c>
      <c r="J45" s="3572">
        <f>'Inl. wetlands'!$BQ$44</f>
        <v>0</v>
      </c>
      <c r="K45" s="992"/>
      <c r="L45" s="3595">
        <f>'Inl. wetlands'!$BQ$37+'Inl. wetlands'!$BQ$40</f>
        <v>3227.5833333333317</v>
      </c>
      <c r="M45" s="3596">
        <f>'Inl. wetlands'!$BQ$43</f>
        <v>0</v>
      </c>
      <c r="N45" s="992"/>
      <c r="O45" s="992"/>
      <c r="P45" s="992"/>
      <c r="Q45" s="3468">
        <f>'Inl. wetlands'!$BR$45</f>
        <v>1235.4833333333336</v>
      </c>
      <c r="R45" s="3469">
        <f>'Inl. wetlands'!$BS$45</f>
        <v>4941.9333333333325</v>
      </c>
      <c r="S45" s="992"/>
      <c r="T45" s="3491">
        <f t="shared" ref="T45:T50" si="6">IFERROR(D45/time_tot,0)</f>
        <v>411.82777777777773</v>
      </c>
      <c r="U45" s="3478">
        <f t="shared" ref="U45:V50" si="7">IFERROR(Q45/time_tot,0)</f>
        <v>82.365555555555574</v>
      </c>
      <c r="V45" s="3473">
        <f t="shared" si="7"/>
        <v>329.46222222222218</v>
      </c>
    </row>
    <row r="46" spans="2:22" x14ac:dyDescent="0.15">
      <c r="B46" s="1469" t="s">
        <v>2960</v>
      </c>
      <c r="D46" s="3508">
        <f>'Inl. wetlands'!$BQ$349</f>
        <v>0</v>
      </c>
      <c r="E46" s="992"/>
      <c r="F46" s="3564">
        <f>'Inl. wetlands'!$BQ$339</f>
        <v>0</v>
      </c>
      <c r="G46" s="3565">
        <f>'Inl. wetlands'!$BQ$340+'Inl. wetlands'!$BQ$343</f>
        <v>0</v>
      </c>
      <c r="H46" s="992"/>
      <c r="I46" s="3573">
        <f>'Inl. wetlands'!$BQ$342+'Inl. wetlands'!$BQ$345</f>
        <v>0</v>
      </c>
      <c r="J46" s="3575">
        <f>'Inl. wetlands'!$BQ$348</f>
        <v>0</v>
      </c>
      <c r="K46" s="992"/>
      <c r="L46" s="3589">
        <f>'Inl. wetlands'!$BQ$341+'Inl. wetlands'!$BQ$344</f>
        <v>0</v>
      </c>
      <c r="M46" s="3597">
        <f>'Inl. wetlands'!$BQ$347</f>
        <v>0</v>
      </c>
      <c r="N46" s="992"/>
      <c r="O46" s="992"/>
      <c r="P46" s="992"/>
      <c r="Q46" s="3470" t="e">
        <f>'Inl. wetlands'!$BR$349</f>
        <v>#REF!</v>
      </c>
      <c r="R46" s="3479" t="e">
        <f>'Inl. wetlands'!$BS$349</f>
        <v>#REF!</v>
      </c>
      <c r="S46" s="992"/>
      <c r="T46" s="3491">
        <f t="shared" si="6"/>
        <v>0</v>
      </c>
      <c r="U46" s="3478">
        <f t="shared" si="7"/>
        <v>0</v>
      </c>
      <c r="V46" s="3473">
        <f t="shared" si="7"/>
        <v>0</v>
      </c>
    </row>
    <row r="47" spans="2:22" x14ac:dyDescent="0.15">
      <c r="B47" s="1469" t="s">
        <v>2961</v>
      </c>
      <c r="D47" s="3508">
        <f>'Inl. wetlands'!$BQ$144</f>
        <v>0</v>
      </c>
      <c r="E47" s="992"/>
      <c r="F47" s="3564">
        <f>'Inl. wetlands'!$BQ$134</f>
        <v>0</v>
      </c>
      <c r="G47" s="3565">
        <f>'Inl. wetlands'!$BQ$135+'Inl. wetlands'!$BQ$138</f>
        <v>0</v>
      </c>
      <c r="H47" s="992"/>
      <c r="I47" s="3573">
        <f>'Inl. wetlands'!$BQ$137+'Inl. wetlands'!$BQ$140</f>
        <v>0</v>
      </c>
      <c r="J47" s="3575">
        <f>'Inl. wetlands'!$BQ$143</f>
        <v>0</v>
      </c>
      <c r="K47" s="992"/>
      <c r="L47" s="3589">
        <f>'Inl. wetlands'!$BQ$136+'Inl. wetlands'!$BQ$139</f>
        <v>0</v>
      </c>
      <c r="M47" s="3597">
        <f>'Inl. wetlands'!$BQ$142</f>
        <v>0</v>
      </c>
      <c r="N47" s="992"/>
      <c r="O47" s="992"/>
      <c r="P47" s="992"/>
      <c r="Q47" s="3470">
        <f>'Inl. wetlands'!$BR$144</f>
        <v>0</v>
      </c>
      <c r="R47" s="3479">
        <f>'Inl. wetlands'!$BS$144</f>
        <v>0</v>
      </c>
      <c r="S47" s="992"/>
      <c r="T47" s="3491">
        <f t="shared" si="6"/>
        <v>0</v>
      </c>
      <c r="U47" s="3478">
        <f t="shared" si="7"/>
        <v>0</v>
      </c>
      <c r="V47" s="3473">
        <f t="shared" si="7"/>
        <v>0</v>
      </c>
    </row>
    <row r="48" spans="2:22" x14ac:dyDescent="0.15">
      <c r="B48" s="1281" t="s">
        <v>2962</v>
      </c>
      <c r="D48" s="3508">
        <f>'Inl. wetlands'!$BQ$234</f>
        <v>0</v>
      </c>
      <c r="E48" s="992"/>
      <c r="F48" s="3564">
        <f>'Inl. wetlands'!$BQ$224</f>
        <v>0</v>
      </c>
      <c r="G48" s="3565">
        <f>'Inl. wetlands'!$BQ$225+'Inl. wetlands'!$BQ$228</f>
        <v>0</v>
      </c>
      <c r="H48" s="992"/>
      <c r="I48" s="3573">
        <f>'Inl. wetlands'!$BQ$227+'Inl. wetlands'!$BQ$230</f>
        <v>0</v>
      </c>
      <c r="J48" s="3575">
        <f>'Inl. wetlands'!$BQ$233</f>
        <v>0</v>
      </c>
      <c r="K48" s="992"/>
      <c r="L48" s="3589">
        <f>'Inl. wetlands'!$BQ$226+'Inl. wetlands'!$BQ$229</f>
        <v>0</v>
      </c>
      <c r="M48" s="3597">
        <f>'Inl. wetlands'!$BQ$232</f>
        <v>0</v>
      </c>
      <c r="N48" s="992"/>
      <c r="O48" s="992"/>
      <c r="P48" s="992"/>
      <c r="Q48" s="3470">
        <f>'Inl. wetlands'!$BR$234</f>
        <v>0</v>
      </c>
      <c r="R48" s="3479">
        <f>'Inl. wetlands'!$BS$234</f>
        <v>0</v>
      </c>
      <c r="S48" s="992"/>
      <c r="T48" s="3491">
        <f t="shared" si="6"/>
        <v>0</v>
      </c>
      <c r="U48" s="3478">
        <f t="shared" si="7"/>
        <v>0</v>
      </c>
      <c r="V48" s="3473">
        <f t="shared" si="7"/>
        <v>0</v>
      </c>
    </row>
    <row r="49" spans="2:22" x14ac:dyDescent="0.15">
      <c r="B49" s="1281" t="s">
        <v>2978</v>
      </c>
      <c r="D49" s="3508">
        <f>'Inl. wetlands'!$BQ$425</f>
        <v>0</v>
      </c>
      <c r="E49" s="992"/>
      <c r="F49" s="3564">
        <f>'Inl. wetlands'!$BQ$415</f>
        <v>0</v>
      </c>
      <c r="G49" s="3565">
        <f>'Inl. wetlands'!$BQ$416+'Inl. wetlands'!$BQ$419</f>
        <v>0</v>
      </c>
      <c r="H49" s="992"/>
      <c r="I49" s="3573">
        <f>'Inl. wetlands'!$BQ$418+'Inl. wetlands'!$BQ$421</f>
        <v>0</v>
      </c>
      <c r="J49" s="3575">
        <f>'Inl. wetlands'!$BQ$424</f>
        <v>0</v>
      </c>
      <c r="K49" s="992"/>
      <c r="L49" s="3589">
        <f>'Inl. wetlands'!$BQ$417+'Inl. wetlands'!$BQ$420</f>
        <v>0</v>
      </c>
      <c r="M49" s="3597">
        <f>'Inl. wetlands'!$BQ$423</f>
        <v>0</v>
      </c>
      <c r="N49" s="992"/>
      <c r="O49" s="992"/>
      <c r="P49" s="992"/>
      <c r="Q49" s="3470">
        <f>'Inl. wetlands'!$BR$425</f>
        <v>0</v>
      </c>
      <c r="R49" s="3479">
        <f>'Inl. wetlands'!$BS$425</f>
        <v>0</v>
      </c>
      <c r="S49" s="992"/>
      <c r="T49" s="3491">
        <f t="shared" si="6"/>
        <v>0</v>
      </c>
      <c r="U49" s="3478">
        <f t="shared" si="7"/>
        <v>0</v>
      </c>
      <c r="V49" s="3473">
        <f t="shared" si="7"/>
        <v>0</v>
      </c>
    </row>
    <row r="50" spans="2:22" x14ac:dyDescent="0.15">
      <c r="B50" s="1281" t="s">
        <v>2075</v>
      </c>
      <c r="D50" s="3508">
        <f>'Inl. wetlands'!$BQ$483</f>
        <v>110480.04154761873</v>
      </c>
      <c r="E50" s="992"/>
      <c r="F50" s="3483"/>
      <c r="G50" s="3565">
        <f>'Inl. wetlands'!$BQ$474</f>
        <v>110285.08333333302</v>
      </c>
      <c r="H50" s="992"/>
      <c r="I50" s="3573">
        <f>'Inl. wetlands'!$BQ$476</f>
        <v>3.1232142857143117</v>
      </c>
      <c r="J50" s="3484"/>
      <c r="K50" s="992"/>
      <c r="L50" s="3589">
        <v>0</v>
      </c>
      <c r="M50" s="3484"/>
      <c r="N50" s="992"/>
      <c r="O50" s="992"/>
      <c r="P50" s="992"/>
      <c r="Q50" s="3470">
        <f>'Inl. wetlands'!$BR$474</f>
        <v>22057.016666666605</v>
      </c>
      <c r="R50" s="3479">
        <f>'Inl. wetlands'!$BS$474</f>
        <v>88228.066666666418</v>
      </c>
      <c r="S50" s="992"/>
      <c r="T50" s="3491">
        <f t="shared" si="6"/>
        <v>7365.3361031745826</v>
      </c>
      <c r="U50" s="3478">
        <f t="shared" si="7"/>
        <v>1470.4677777777736</v>
      </c>
      <c r="V50" s="3473">
        <f t="shared" si="7"/>
        <v>5881.8711111110943</v>
      </c>
    </row>
    <row r="52" spans="2:22" x14ac:dyDescent="0.15">
      <c r="D52" s="1688"/>
      <c r="E52" s="1688"/>
      <c r="F52" s="1688"/>
      <c r="G52" s="1688"/>
      <c r="H52" s="1688"/>
      <c r="I52" s="1688"/>
      <c r="J52" s="1688"/>
      <c r="K52" s="1688"/>
      <c r="M52" s="1688"/>
      <c r="N52" s="1688"/>
      <c r="O52" s="1688"/>
      <c r="P52" s="1688"/>
      <c r="Q52" s="1688"/>
      <c r="R52" s="1688"/>
      <c r="S52" s="1688"/>
      <c r="T52" s="1688"/>
      <c r="U52" s="1688"/>
      <c r="V52" s="1688"/>
    </row>
    <row r="53" spans="2:22" x14ac:dyDescent="0.15">
      <c r="B53" s="1281" t="s">
        <v>2968</v>
      </c>
      <c r="D53" s="992">
        <f>SUM(D45:D50)</f>
        <v>116657.45821428541</v>
      </c>
      <c r="E53" s="992"/>
      <c r="F53" s="3481">
        <f>SUM(F45:F50)</f>
        <v>0</v>
      </c>
      <c r="G53" s="3481">
        <f>SUM(G45:G50)</f>
        <v>112952.58333333302</v>
      </c>
      <c r="H53" s="3481"/>
      <c r="I53" s="3481">
        <f>SUM(I45:I50)</f>
        <v>294.62321428571443</v>
      </c>
      <c r="J53" s="3481">
        <f>SUM(J45:J50)</f>
        <v>0</v>
      </c>
      <c r="K53" s="3481"/>
      <c r="L53" s="3481">
        <f>SUM(L45:L50)</f>
        <v>3227.5833333333317</v>
      </c>
      <c r="M53" s="3481">
        <f>SUM(M45:M50)</f>
        <v>0</v>
      </c>
      <c r="N53" s="1688"/>
      <c r="O53" s="3481"/>
      <c r="P53" s="3481"/>
      <c r="Q53" s="3481" t="e">
        <f>SUM(Q45:Q50)</f>
        <v>#REF!</v>
      </c>
      <c r="R53" s="3481" t="e">
        <f>SUM(R45:R50)</f>
        <v>#REF!</v>
      </c>
      <c r="S53" s="992"/>
      <c r="T53" s="3481">
        <f>SUM(T45:T51)</f>
        <v>7777.1638809523602</v>
      </c>
      <c r="U53" s="3482">
        <f>SUM(U45:U51)</f>
        <v>1552.8333333333292</v>
      </c>
      <c r="V53" s="3494">
        <f>SUM(V45:V51)</f>
        <v>6211.3333333333167</v>
      </c>
    </row>
    <row r="54" spans="2:22" x14ac:dyDescent="0.15">
      <c r="D54" s="1688"/>
      <c r="E54" s="1688"/>
      <c r="F54" s="1688"/>
      <c r="G54" s="1688"/>
      <c r="H54" s="1688"/>
      <c r="I54" s="1688"/>
      <c r="J54" s="1688"/>
      <c r="K54" s="1688"/>
      <c r="L54" s="1688"/>
      <c r="M54" s="1688"/>
      <c r="N54" s="1688"/>
      <c r="O54" s="1688"/>
      <c r="P54" s="1688"/>
      <c r="Q54" s="1688"/>
      <c r="R54" s="1688"/>
      <c r="S54" s="1688"/>
      <c r="T54" s="1688"/>
      <c r="U54" s="1688"/>
      <c r="V54" s="1688"/>
    </row>
    <row r="55" spans="2:22" x14ac:dyDescent="0.15">
      <c r="B55" s="2163" t="s">
        <v>2979</v>
      </c>
      <c r="C55" s="2163"/>
      <c r="D55" s="2163"/>
      <c r="E55" s="2163"/>
      <c r="F55" s="2163"/>
      <c r="G55" s="2163"/>
      <c r="H55" s="2163"/>
      <c r="I55" s="2163"/>
      <c r="J55" s="2163"/>
      <c r="K55" s="2163"/>
      <c r="L55" s="2163"/>
      <c r="M55" s="2163"/>
      <c r="N55" s="2163"/>
      <c r="O55" s="2163"/>
      <c r="P55" s="2163"/>
    </row>
    <row r="57" spans="2:22" x14ac:dyDescent="0.15">
      <c r="B57" s="1281" t="s">
        <v>2970</v>
      </c>
      <c r="C57" s="1281"/>
      <c r="D57" s="4286" t="s">
        <v>2971</v>
      </c>
      <c r="E57" s="1576"/>
      <c r="F57" s="3561" t="s">
        <v>1036</v>
      </c>
      <c r="G57" s="3558"/>
      <c r="H57" s="1688"/>
      <c r="I57" s="1595" t="s">
        <v>177</v>
      </c>
      <c r="J57" s="3569"/>
      <c r="K57" s="3569"/>
      <c r="L57" s="3603" t="s">
        <v>2972</v>
      </c>
      <c r="M57" s="3560"/>
      <c r="N57" s="3560"/>
      <c r="O57" s="3605" t="s">
        <v>2957</v>
      </c>
      <c r="P57" s="3477"/>
      <c r="Q57" s="4286" t="s">
        <v>2973</v>
      </c>
      <c r="R57" s="4286"/>
      <c r="S57" s="1576"/>
      <c r="T57" s="4286" t="s">
        <v>2974</v>
      </c>
      <c r="U57" s="4286"/>
      <c r="V57" s="4286"/>
    </row>
    <row r="58" spans="2:22" x14ac:dyDescent="0.15">
      <c r="D58" s="1688" t="s">
        <v>2975</v>
      </c>
      <c r="E58" s="1688"/>
      <c r="F58" s="3558" t="s">
        <v>96</v>
      </c>
      <c r="G58" s="3558" t="s">
        <v>157</v>
      </c>
      <c r="H58" s="1688"/>
      <c r="I58" s="3569" t="s">
        <v>157</v>
      </c>
      <c r="J58" s="3569" t="s">
        <v>158</v>
      </c>
      <c r="K58" s="3569"/>
      <c r="L58" s="3604" t="s">
        <v>157</v>
      </c>
      <c r="M58" s="3560" t="s">
        <v>158</v>
      </c>
      <c r="N58" s="3560"/>
      <c r="O58" s="3582"/>
      <c r="P58" s="1688"/>
      <c r="Q58" s="1688" t="s">
        <v>2976</v>
      </c>
      <c r="R58" s="1688" t="s">
        <v>2977</v>
      </c>
      <c r="S58" s="1688"/>
      <c r="T58" s="1688" t="s">
        <v>218</v>
      </c>
      <c r="U58" s="1688" t="s">
        <v>2976</v>
      </c>
      <c r="V58" s="1688" t="s">
        <v>2977</v>
      </c>
    </row>
    <row r="59" spans="2:22" x14ac:dyDescent="0.15">
      <c r="B59" s="973" t="s">
        <v>2980</v>
      </c>
      <c r="D59" s="3511">
        <f>Inputs!$Q$75</f>
        <v>0</v>
      </c>
      <c r="E59" s="1688"/>
      <c r="F59" s="1688"/>
      <c r="G59" s="3565">
        <f>Inputs!Q12</f>
        <v>0</v>
      </c>
      <c r="H59" s="992"/>
      <c r="I59" s="3573">
        <f>Inputs!Q40</f>
        <v>0</v>
      </c>
      <c r="J59" s="1688"/>
      <c r="K59" s="1688"/>
      <c r="L59" s="1688"/>
      <c r="M59" s="1688"/>
      <c r="O59" s="3599">
        <f>Inputs!Q21+Inputs!Q69</f>
        <v>0</v>
      </c>
      <c r="P59" s="1688"/>
      <c r="Q59" s="992">
        <f>Inputs!$W$11+Inputs!$W$20+Inputs!$W$40+Inputs!$W$68</f>
        <v>0</v>
      </c>
      <c r="R59" s="992">
        <f>D59-Q59</f>
        <v>0</v>
      </c>
      <c r="S59" s="1688"/>
      <c r="T59" s="3491">
        <f>IFERROR(D59/time_tot,0)</f>
        <v>0</v>
      </c>
      <c r="U59" s="3478">
        <f t="shared" ref="U59:V63" si="8">IFERROR(Q59/time_tot,0)</f>
        <v>0</v>
      </c>
      <c r="V59" s="3473">
        <f t="shared" si="8"/>
        <v>0</v>
      </c>
    </row>
    <row r="60" spans="2:22" x14ac:dyDescent="0.15">
      <c r="B60" s="973" t="s">
        <v>2981</v>
      </c>
      <c r="D60" s="3511">
        <f>'Fish and aqua'!$AG$58+'Fish and aqua'!$AA$112</f>
        <v>-2547.7983574329992</v>
      </c>
      <c r="E60" s="1688"/>
      <c r="F60" s="1688"/>
      <c r="G60" s="1688"/>
      <c r="H60" s="1688"/>
      <c r="I60" s="1688"/>
      <c r="J60" s="1688"/>
      <c r="K60" s="1688"/>
      <c r="L60" s="1688"/>
      <c r="M60" s="1688"/>
      <c r="O60" s="3600">
        <f>D60</f>
        <v>-2547.7983574329992</v>
      </c>
      <c r="P60" s="1688"/>
      <c r="Q60" s="992">
        <f>'Fish and aqua'!AB112+'Fish and aqua'!AH55</f>
        <v>-509.55967148660056</v>
      </c>
      <c r="R60" s="992">
        <f>D60-Q60</f>
        <v>-2038.2386859463986</v>
      </c>
      <c r="S60" s="1688"/>
      <c r="T60" s="3491">
        <f>IFERROR(D60/time_tot,0)</f>
        <v>-169.85322382886662</v>
      </c>
      <c r="U60" s="3478">
        <f t="shared" si="8"/>
        <v>-33.970644765773372</v>
      </c>
      <c r="V60" s="3473">
        <f t="shared" si="8"/>
        <v>-135.88257906309323</v>
      </c>
    </row>
    <row r="61" spans="2:22" x14ac:dyDescent="0.15">
      <c r="B61" s="973" t="s">
        <v>2982</v>
      </c>
      <c r="D61" s="3511">
        <f>Inputs!$Q$103</f>
        <v>6420.3719999999739</v>
      </c>
      <c r="E61" s="1688"/>
      <c r="F61" s="1688"/>
      <c r="G61" s="1688"/>
      <c r="H61" s="1688"/>
      <c r="I61" s="1688"/>
      <c r="J61" s="1688"/>
      <c r="K61" s="1688"/>
      <c r="L61" s="1688"/>
      <c r="M61" s="1688"/>
      <c r="O61" s="3600">
        <f>D61</f>
        <v>6420.3719999999739</v>
      </c>
      <c r="P61" s="1688"/>
      <c r="Q61" s="992">
        <f>Inputs!$W$98</f>
        <v>0</v>
      </c>
      <c r="R61" s="992">
        <f>D61-Q61</f>
        <v>6420.3719999999739</v>
      </c>
      <c r="S61" s="1688"/>
      <c r="T61" s="3491">
        <f>IFERROR(D61/time_tot,0)</f>
        <v>428.02479999999827</v>
      </c>
      <c r="U61" s="3478">
        <f t="shared" si="8"/>
        <v>0</v>
      </c>
      <c r="V61" s="3473">
        <f t="shared" si="8"/>
        <v>428.02479999999827</v>
      </c>
    </row>
    <row r="62" spans="2:22" x14ac:dyDescent="0.15">
      <c r="B62" s="973" t="s">
        <v>2983</v>
      </c>
      <c r="D62" s="3511">
        <f>Inputs!$Q$133</f>
        <v>2.4676496925994993</v>
      </c>
      <c r="E62" s="1688"/>
      <c r="F62" s="1688"/>
      <c r="G62" s="1688"/>
      <c r="H62" s="1688"/>
      <c r="I62" s="1688"/>
      <c r="J62" s="1688"/>
      <c r="K62" s="1688"/>
      <c r="L62" s="1688"/>
      <c r="M62" s="1688"/>
      <c r="O62" s="3600">
        <f>D62</f>
        <v>2.4676496925994993</v>
      </c>
      <c r="P62" s="1688"/>
      <c r="Q62" s="992">
        <f>Inputs!$W$129</f>
        <v>0.29871548910414969</v>
      </c>
      <c r="R62" s="992">
        <f>D62-Q62</f>
        <v>2.1689342034953496</v>
      </c>
      <c r="S62" s="1688"/>
      <c r="T62" s="3491">
        <f>IFERROR(D62/time_tot,0)</f>
        <v>0.16450997950663329</v>
      </c>
      <c r="U62" s="3478">
        <f t="shared" si="8"/>
        <v>1.9914365940276645E-2</v>
      </c>
      <c r="V62" s="3473">
        <f t="shared" si="8"/>
        <v>0.14459561356635664</v>
      </c>
    </row>
    <row r="63" spans="2:22" x14ac:dyDescent="0.15">
      <c r="B63" s="973" t="s">
        <v>2984</v>
      </c>
      <c r="D63" s="3511">
        <f>Inputs!$Q$153</f>
        <v>5.2480000000000002</v>
      </c>
      <c r="F63" s="1688"/>
      <c r="G63" s="1688"/>
      <c r="H63" s="1688"/>
      <c r="I63" s="1688"/>
      <c r="J63" s="1688"/>
      <c r="K63" s="1688"/>
      <c r="L63" s="1688"/>
      <c r="M63" s="1688"/>
      <c r="O63" s="3601">
        <f>D63</f>
        <v>5.2480000000000002</v>
      </c>
      <c r="Q63" s="992">
        <f>Inputs!$W$144</f>
        <v>5.2480000000000002</v>
      </c>
      <c r="R63" s="992">
        <f>D63-Q63</f>
        <v>0</v>
      </c>
      <c r="T63" s="3491">
        <f>IFERROR(D63/time_tot,0)</f>
        <v>0.34986666666666666</v>
      </c>
      <c r="U63" s="3478">
        <f t="shared" si="8"/>
        <v>0.34986666666666666</v>
      </c>
      <c r="V63" s="3473">
        <f t="shared" si="8"/>
        <v>0</v>
      </c>
    </row>
    <row r="65" spans="2:22" x14ac:dyDescent="0.15">
      <c r="B65" s="973" t="s">
        <v>2985</v>
      </c>
      <c r="D65" s="992">
        <f>SUM(D59:D63)</f>
        <v>3880.2892922595743</v>
      </c>
      <c r="E65" s="992">
        <f t="shared" ref="E65:N65" si="9">SUM(E59:E63)</f>
        <v>0</v>
      </c>
      <c r="F65" s="992">
        <f t="shared" si="9"/>
        <v>0</v>
      </c>
      <c r="G65" s="992">
        <f t="shared" si="9"/>
        <v>0</v>
      </c>
      <c r="H65" s="992">
        <f t="shared" si="9"/>
        <v>0</v>
      </c>
      <c r="I65" s="992">
        <f t="shared" si="9"/>
        <v>0</v>
      </c>
      <c r="J65" s="992">
        <f t="shared" si="9"/>
        <v>0</v>
      </c>
      <c r="K65" s="992">
        <f t="shared" si="9"/>
        <v>0</v>
      </c>
      <c r="L65" s="992">
        <f t="shared" si="9"/>
        <v>0</v>
      </c>
      <c r="M65" s="992">
        <f t="shared" si="9"/>
        <v>0</v>
      </c>
      <c r="N65" s="992">
        <f t="shared" si="9"/>
        <v>0</v>
      </c>
      <c r="O65" s="992">
        <f>SUM(O59:O63)</f>
        <v>3880.2892922595743</v>
      </c>
      <c r="P65" s="3481"/>
      <c r="Q65" s="3481">
        <f>SUM(Q57:Q62)</f>
        <v>-509.26095599749641</v>
      </c>
      <c r="R65" s="3481">
        <f>SUM(R57:R62)</f>
        <v>4384.3022482570705</v>
      </c>
      <c r="S65" s="992"/>
      <c r="T65" s="3481">
        <f>SUM(T57:T63)</f>
        <v>258.68595281730495</v>
      </c>
      <c r="U65" s="3482">
        <f>SUM(U57:U63)</f>
        <v>-33.600863733166435</v>
      </c>
      <c r="V65" s="3494">
        <f>SUM(V57:V63)</f>
        <v>292.28681655047137</v>
      </c>
    </row>
    <row r="67" spans="2:22" x14ac:dyDescent="0.15">
      <c r="B67" s="2163" t="s">
        <v>2986</v>
      </c>
      <c r="C67" s="3464"/>
      <c r="D67" s="3464"/>
      <c r="E67" s="3464"/>
      <c r="F67" s="3464"/>
      <c r="G67" s="3464"/>
      <c r="H67" s="3464"/>
      <c r="I67" s="3464"/>
      <c r="J67" s="3464"/>
      <c r="K67" s="3464"/>
      <c r="L67" s="3464"/>
      <c r="M67" s="3464"/>
      <c r="N67" s="3464"/>
      <c r="O67" s="3464"/>
      <c r="P67" s="3464"/>
      <c r="Q67" s="3464"/>
      <c r="R67" s="3464"/>
      <c r="S67" s="3464"/>
      <c r="T67" s="3464"/>
      <c r="U67" s="3464"/>
      <c r="V67" s="3464"/>
    </row>
    <row r="68" spans="2:22" x14ac:dyDescent="0.15">
      <c r="B68" s="3874" t="s">
        <v>2987</v>
      </c>
      <c r="C68" s="3864"/>
      <c r="D68" s="3864"/>
      <c r="E68" s="4601" t="s">
        <v>2988</v>
      </c>
      <c r="F68" s="4601"/>
      <c r="G68" s="4601"/>
      <c r="H68" s="4601"/>
      <c r="I68" s="4601"/>
      <c r="J68" s="4601"/>
      <c r="K68" s="4601"/>
      <c r="L68" s="4601"/>
      <c r="M68" s="4601"/>
      <c r="N68" s="4601"/>
      <c r="O68" s="4601"/>
      <c r="P68" s="4601"/>
      <c r="Q68" s="4601"/>
      <c r="R68" s="4601"/>
    </row>
    <row r="69" spans="2:22" x14ac:dyDescent="0.15">
      <c r="B69" s="3874"/>
      <c r="C69" s="3864"/>
      <c r="D69" s="3864"/>
      <c r="E69" s="4601"/>
      <c r="F69" s="4601"/>
      <c r="G69" s="4601"/>
      <c r="H69" s="4601"/>
      <c r="I69" s="4601"/>
      <c r="J69" s="4601"/>
      <c r="K69" s="4601"/>
      <c r="L69" s="4601"/>
      <c r="M69" s="4601"/>
      <c r="N69" s="4601"/>
      <c r="O69" s="4601"/>
      <c r="P69" s="4601"/>
      <c r="Q69" s="4601"/>
      <c r="R69" s="4601"/>
    </row>
    <row r="70" spans="2:22" x14ac:dyDescent="0.15">
      <c r="B70" s="3874"/>
      <c r="C70" s="3864"/>
      <c r="D70" s="3864"/>
      <c r="E70" s="4601"/>
      <c r="F70" s="4601"/>
      <c r="G70" s="4601"/>
      <c r="H70" s="4601"/>
      <c r="I70" s="4601"/>
      <c r="J70" s="4601"/>
      <c r="K70" s="4601"/>
      <c r="L70" s="4601"/>
      <c r="M70" s="4601"/>
      <c r="N70" s="4601"/>
      <c r="O70" s="4601"/>
      <c r="P70" s="4601"/>
      <c r="Q70" s="4601"/>
      <c r="R70" s="4601"/>
    </row>
    <row r="71" spans="2:22" x14ac:dyDescent="0.15">
      <c r="B71" s="3864"/>
      <c r="C71" s="3865"/>
      <c r="D71" s="3865"/>
      <c r="E71" s="4601"/>
      <c r="F71" s="4601"/>
      <c r="G71" s="4601"/>
      <c r="H71" s="4601"/>
      <c r="I71" s="4601"/>
      <c r="J71" s="4601"/>
      <c r="K71" s="4601"/>
      <c r="L71" s="4601"/>
      <c r="M71" s="4601"/>
      <c r="N71" s="4601"/>
      <c r="O71" s="4601"/>
      <c r="P71" s="4601"/>
      <c r="Q71" s="4601"/>
      <c r="R71" s="4601"/>
    </row>
    <row r="72" spans="2:22" x14ac:dyDescent="0.15">
      <c r="B72" s="3864"/>
      <c r="C72" s="3865"/>
      <c r="D72" s="3865"/>
      <c r="E72" s="4601"/>
      <c r="F72" s="4601"/>
      <c r="G72" s="4601"/>
      <c r="H72" s="4601"/>
      <c r="I72" s="4601"/>
      <c r="J72" s="4601"/>
      <c r="K72" s="4601"/>
      <c r="L72" s="4601"/>
      <c r="M72" s="4601"/>
      <c r="N72" s="4601"/>
      <c r="O72" s="4601"/>
      <c r="P72" s="4601"/>
      <c r="Q72" s="4601"/>
      <c r="R72" s="4601"/>
    </row>
    <row r="73" spans="2:22" x14ac:dyDescent="0.15">
      <c r="F73" s="4294"/>
      <c r="G73" s="4294"/>
      <c r="H73" s="4294"/>
      <c r="I73" s="4294"/>
      <c r="J73" s="4294"/>
      <c r="K73" s="3866" t="s">
        <v>309</v>
      </c>
      <c r="N73" s="1281"/>
      <c r="O73" s="1281"/>
      <c r="P73" s="1281"/>
      <c r="Q73" s="1281"/>
      <c r="R73" s="1281"/>
    </row>
    <row r="74" spans="2:22" ht="15" x14ac:dyDescent="0.15">
      <c r="F74" s="3875" t="s">
        <v>83</v>
      </c>
      <c r="G74" s="3867" t="s">
        <v>2989</v>
      </c>
      <c r="H74" s="3868"/>
      <c r="I74" s="4294"/>
      <c r="J74" s="4294"/>
      <c r="K74" s="3869">
        <v>10</v>
      </c>
    </row>
    <row r="75" spans="2:22" ht="15" x14ac:dyDescent="0.15">
      <c r="F75" s="3875" t="s">
        <v>2990</v>
      </c>
      <c r="G75" s="3867" t="s">
        <v>2991</v>
      </c>
      <c r="H75" s="3868"/>
      <c r="I75" s="4294"/>
      <c r="J75" s="4294"/>
      <c r="K75" s="3869">
        <v>20</v>
      </c>
    </row>
    <row r="76" spans="2:22" ht="15" x14ac:dyDescent="0.15">
      <c r="F76" s="3875" t="s">
        <v>2992</v>
      </c>
      <c r="G76" s="3867" t="s">
        <v>2993</v>
      </c>
      <c r="H76" s="3868"/>
      <c r="I76" s="4294"/>
      <c r="J76" s="4294"/>
      <c r="K76" s="3869">
        <v>33</v>
      </c>
    </row>
    <row r="77" spans="2:22" ht="15" x14ac:dyDescent="0.15">
      <c r="F77" s="3875" t="s">
        <v>2994</v>
      </c>
      <c r="G77" s="3867" t="s">
        <v>2995</v>
      </c>
      <c r="H77" s="3868"/>
      <c r="I77" s="4294"/>
      <c r="J77" s="4294"/>
      <c r="K77" s="3869">
        <v>50</v>
      </c>
    </row>
    <row r="80" spans="2:22" x14ac:dyDescent="0.15">
      <c r="B80" s="1281" t="s">
        <v>2996</v>
      </c>
      <c r="E80" s="1281" t="s">
        <v>2997</v>
      </c>
    </row>
    <row r="81" spans="2:21" ht="33" customHeight="1" x14ac:dyDescent="0.15">
      <c r="E81" s="3559" t="s">
        <v>1253</v>
      </c>
      <c r="F81" s="3559" t="s">
        <v>2998</v>
      </c>
      <c r="G81" s="3559" t="s">
        <v>177</v>
      </c>
      <c r="H81" s="3559" t="s">
        <v>176</v>
      </c>
      <c r="I81" s="3559" t="s">
        <v>2957</v>
      </c>
      <c r="K81" s="3559" t="s">
        <v>1253</v>
      </c>
      <c r="L81" s="3559" t="s">
        <v>2998</v>
      </c>
      <c r="M81" s="3559" t="s">
        <v>177</v>
      </c>
      <c r="N81" s="3559" t="s">
        <v>176</v>
      </c>
      <c r="O81" s="3559" t="s">
        <v>2957</v>
      </c>
      <c r="Q81" s="3559" t="s">
        <v>1253</v>
      </c>
      <c r="R81" s="3559" t="s">
        <v>2998</v>
      </c>
      <c r="S81" s="3559" t="s">
        <v>177</v>
      </c>
      <c r="T81" s="3559" t="s">
        <v>176</v>
      </c>
      <c r="U81" s="3559" t="s">
        <v>2957</v>
      </c>
    </row>
    <row r="82" spans="2:21" x14ac:dyDescent="0.15">
      <c r="B82" s="973" t="s">
        <v>222</v>
      </c>
      <c r="D82" s="1688"/>
      <c r="E82" s="3606" t="str">
        <f>IF(IF(SUM('2.LUC'!AT11:AT18,'2.LUC'!AW11:AW18,'2.LUC'!AZ11:AZ18,'2.LUC'!BC11:BC18)&gt;0,"Tier 2","Tier 1")="Tier 1","***","**")</f>
        <v>***</v>
      </c>
      <c r="F82" s="3583" t="str">
        <f>IF(IF(SUM('2.LUC'!BF11:BF18)&gt;0,"Tier 2","Tier 1")="Tier 1","****","***")</f>
        <v>****</v>
      </c>
      <c r="G82" s="3584" t="s">
        <v>2990</v>
      </c>
      <c r="H82" s="3585" t="s">
        <v>2990</v>
      </c>
      <c r="I82" s="3607"/>
      <c r="K82" s="3564">
        <f t="shared" ref="K82:L85" si="10">ABS(IF(E82="*",$K$74,IF(E82="**",$K$75,IF(E82="***",$K$76,$K$77)))*F17/100)</f>
        <v>0</v>
      </c>
      <c r="L82" s="3615">
        <f t="shared" si="10"/>
        <v>0</v>
      </c>
      <c r="M82" s="3574">
        <f>ABS(IF(G82="*",$K$74,IF(G82="**",$K$75,IF(G82="***",$K$76,$K$77)))*SUM(I17,J17)/100)</f>
        <v>0</v>
      </c>
      <c r="N82" s="3587">
        <f>ABS(IF(H82="*",$K$74,IF(H82="**",$K$75,IF(H82="***",$K$76,$K$77)))*SUM(L17,M17)/100)</f>
        <v>0</v>
      </c>
      <c r="O82" s="3484"/>
      <c r="Q82" s="3564">
        <f t="shared" ref="Q82:R85" si="11">IF(F17=0,0,100*ABS(K82/F17))</f>
        <v>0</v>
      </c>
      <c r="R82" s="3615">
        <f t="shared" si="11"/>
        <v>0</v>
      </c>
      <c r="S82" s="3574">
        <f>IF(SUM(I17:J17)=0,0,100*ABS(M82/SUM(I17:J17)))</f>
        <v>0</v>
      </c>
      <c r="T82" s="3587">
        <f>IF(SUM(M17)=0,0,100*ABS(N82/SUM(M17)))</f>
        <v>0</v>
      </c>
    </row>
    <row r="83" spans="2:21" x14ac:dyDescent="0.15">
      <c r="B83" s="973" t="s">
        <v>2960</v>
      </c>
      <c r="D83" s="1688"/>
      <c r="E83" s="3606" t="str">
        <f>IF(IF(SUM('5.Management'!AZ13:AZ20,'5.Management'!BB13:BB20,'5.Management'!BD13:BD20,'5.Management'!BF13:BF20)&gt;0,"Tier 2","Tier 1")="Tier 1","***","**")</f>
        <v>***</v>
      </c>
      <c r="F83" s="3583" t="str">
        <f>IF(IF(SUM('5.Management'!BI13:BI20)&gt;0,"Tier 2","Tier 1")="Tier 1","****","***")</f>
        <v>****</v>
      </c>
      <c r="G83" s="3584" t="s">
        <v>2990</v>
      </c>
      <c r="H83" s="3585" t="s">
        <v>2990</v>
      </c>
      <c r="I83" s="3607"/>
      <c r="K83" s="3564">
        <f t="shared" si="10"/>
        <v>0</v>
      </c>
      <c r="L83" s="3615">
        <f t="shared" si="10"/>
        <v>0</v>
      </c>
      <c r="M83" s="3574">
        <f>ABS(IF(G83="*",$K$74,IF(G83="**",$K$75,IF(G83="***",$K$76,$K$77)))*SUM(I18,J18)/100)</f>
        <v>0</v>
      </c>
      <c r="N83" s="3587">
        <f>ABS(IF(H83="*",$K$74,IF(H83="**",$K$75,IF(H83="***",$K$76,$K$77)))*SUM(L18,M18)/100)</f>
        <v>0</v>
      </c>
      <c r="O83" s="3484"/>
      <c r="Q83" s="3564">
        <f t="shared" si="11"/>
        <v>0</v>
      </c>
      <c r="R83" s="3615">
        <f t="shared" si="11"/>
        <v>0</v>
      </c>
      <c r="S83" s="3574">
        <f>IF(SUM(I18:J18)=0,0,100*ABS(M83/SUM(I18:J18)))</f>
        <v>0</v>
      </c>
      <c r="T83" s="3587">
        <f>IF(SUM(M18)=0,0,100*ABS(N83/SUM(M18)))</f>
        <v>0</v>
      </c>
    </row>
    <row r="84" spans="2:21" x14ac:dyDescent="0.15">
      <c r="B84" s="973" t="s">
        <v>2999</v>
      </c>
      <c r="D84" s="1688"/>
      <c r="E84" s="3606" t="str">
        <f>IF(IF(SUM('2.LUC'!BF36:BF43,'2.LUC'!BI36:BI43,'2.LUC'!BL36:BL43,'2.LUC'!BN36:BN43,'2.LUC'!BT36:BT43,'2.LUC'!BW36:BW43)&gt;0,"Tier 2","Tier 1")="Tier 1","***","**")</f>
        <v>***</v>
      </c>
      <c r="F84" s="3583" t="str">
        <f>IF(IF(SUM('2.LUC'!BZ36:BZ43)&gt;0,"Tier 2","Tier 1")="Tier 1","****","***")</f>
        <v>****</v>
      </c>
      <c r="G84" s="3584" t="s">
        <v>2990</v>
      </c>
      <c r="H84" s="3585" t="s">
        <v>2990</v>
      </c>
      <c r="I84" s="3607"/>
      <c r="K84" s="3564">
        <f t="shared" si="10"/>
        <v>0</v>
      </c>
      <c r="L84" s="3615">
        <f t="shared" si="10"/>
        <v>0</v>
      </c>
      <c r="M84" s="3574">
        <f>ABS(IF(G84="*",$K$74,IF(G84="**",$K$75,IF(G84="***",$K$76,$K$77)))*SUM(I19,J19)/100)</f>
        <v>0</v>
      </c>
      <c r="N84" s="3587">
        <f>ABS(IF(H84="*",$K$74,IF(H84="**",$K$75,IF(H84="***",$K$76,$K$77)))*SUM(L19,M19)/100)</f>
        <v>0</v>
      </c>
      <c r="O84" s="3484"/>
      <c r="Q84" s="3564">
        <f t="shared" si="11"/>
        <v>0</v>
      </c>
      <c r="R84" s="3615">
        <f t="shared" si="11"/>
        <v>0</v>
      </c>
      <c r="S84" s="3574">
        <f>IF(SUM(I19:J19)=0,0,100*ABS(M84/SUM(I19:J19)))</f>
        <v>0</v>
      </c>
      <c r="T84" s="3587">
        <f>IF(SUM(M19)=0,0,100*ABS(N84/SUM(M19)))</f>
        <v>0</v>
      </c>
    </row>
    <row r="85" spans="2:21" x14ac:dyDescent="0.15">
      <c r="B85" s="973" t="s">
        <v>3000</v>
      </c>
      <c r="D85" s="1688"/>
      <c r="E85" s="3606" t="str">
        <f>IF(IF(SUM('2.LUC'!AW61:AW70,'2.LUC'!BI61:BI70)&gt;0,"Tier 2","Tier 1")="Tier 1","***","**")</f>
        <v>***</v>
      </c>
      <c r="F85" s="3583" t="str">
        <f>IF(IF(SUM('2.LUC'!AZ61:AZ70,'2.LUC'!BL61:BL70)&gt;0,"Tier 2","Tier 1")="Tier 1","****","***")</f>
        <v>****</v>
      </c>
      <c r="G85" s="3584" t="s">
        <v>2990</v>
      </c>
      <c r="H85" s="3585" t="s">
        <v>2990</v>
      </c>
      <c r="I85" s="3607"/>
      <c r="K85" s="3564">
        <f t="shared" si="10"/>
        <v>0</v>
      </c>
      <c r="L85" s="3615">
        <f t="shared" si="10"/>
        <v>0</v>
      </c>
      <c r="M85" s="3574">
        <f>ABS(IF(G85="*",$K$74,IF(G85="**",$K$75,IF(G85="***",$K$76,$K$77)))*SUM(I20,J20)/100)</f>
        <v>0</v>
      </c>
      <c r="N85" s="3587">
        <f>ABS(IF(H85="*",$K$74,IF(H85="**",$K$75,IF(H85="***",$K$76,$K$77)))*SUM(L20,M20)/100)</f>
        <v>0</v>
      </c>
      <c r="O85" s="3484"/>
      <c r="Q85" s="3564">
        <f t="shared" si="11"/>
        <v>0</v>
      </c>
      <c r="R85" s="3615">
        <f t="shared" si="11"/>
        <v>0</v>
      </c>
      <c r="S85" s="3574">
        <f>IF(SUM(I20:J20)=0,0,100*ABS(M85/SUM(I20:J20)))</f>
        <v>0</v>
      </c>
      <c r="T85" s="3587">
        <f>IF(SUM(M20)=0,0,100*ABS(N85/SUM(M20)))</f>
        <v>0</v>
      </c>
    </row>
    <row r="86" spans="2:21" x14ac:dyDescent="0.15">
      <c r="B86" s="1281" t="s">
        <v>3001</v>
      </c>
      <c r="E86" s="3608"/>
      <c r="F86" s="3609"/>
      <c r="G86" s="3609"/>
      <c r="H86" s="3609"/>
      <c r="I86" s="3607"/>
      <c r="K86" s="3483"/>
      <c r="L86" s="3553"/>
      <c r="M86" s="3553"/>
      <c r="N86" s="3553"/>
      <c r="O86" s="3484"/>
    </row>
    <row r="87" spans="2:21" x14ac:dyDescent="0.15">
      <c r="B87" s="973" t="s">
        <v>2071</v>
      </c>
      <c r="D87" s="1688"/>
      <c r="E87" s="3606" t="str">
        <f>IF(IF(SUM('3.Cropland'!BB14:BB17,'3.Cropland'!BL14:BL17,'3.Cropland'!BB25:BB34,'3.Cropland'!BL25:BL34)&gt;0,"Tier 2","Tier 1")="Tier 1","**","*")</f>
        <v>**</v>
      </c>
      <c r="F87" s="3583" t="str">
        <f>IF(IF(SUM('3.Cropland'!AT16:AT17,'3.Cropland'!AV14:AV17,'3.Cropland'!AX14:AX17,'3.Cropland'!AZ14:AZ17,'3.Cropland'!AT25:AT34,'3.Cropland'!AV25:AV34,'3.Cropland'!AX25:AX34,'3.Cropland'!AZ25:AZ34)&gt;0,"Tier 2","Tier 1")="Tier 1","****","***")</f>
        <v>****</v>
      </c>
      <c r="G87" s="3584" t="s">
        <v>2990</v>
      </c>
      <c r="H87" s="3585" t="s">
        <v>2990</v>
      </c>
      <c r="I87" s="3607"/>
      <c r="K87" s="3564">
        <f t="shared" ref="K87:L90" si="12">ABS(IF(E87="*",$K$74,IF(E87="**",$K$75,IF(E87="***",$K$76,$K$77)))*F22/100)</f>
        <v>0</v>
      </c>
      <c r="L87" s="3615">
        <f t="shared" si="12"/>
        <v>0</v>
      </c>
      <c r="M87" s="3574">
        <f>ABS(IF(G87="*",$K$74,IF(G87="**",$K$75,IF(G87="***",$K$76,$K$77)))*SUM(I22,J22)/100)</f>
        <v>0</v>
      </c>
      <c r="N87" s="3587">
        <f>ABS(IF(H87="*",$K$74,IF(H87="**",$K$75,IF(H87="***",$K$76,$K$77)))*SUM(L22,M22)/100)</f>
        <v>0</v>
      </c>
      <c r="O87" s="3484"/>
      <c r="Q87" s="3564">
        <f t="shared" ref="Q87:R90" si="13">IF(F22=0,0,100*ABS(K87/F22))</f>
        <v>0</v>
      </c>
      <c r="R87" s="3615">
        <f t="shared" si="13"/>
        <v>0</v>
      </c>
      <c r="S87" s="3574">
        <f>IF(SUM(I22:J22)=0,0,100*ABS(M87/SUM(I22:J22)))</f>
        <v>0</v>
      </c>
      <c r="T87" s="3587">
        <f>IF(SUM(M22)=0,0,100*ABS(N87/SUM(M22)))</f>
        <v>0</v>
      </c>
    </row>
    <row r="88" spans="2:21" x14ac:dyDescent="0.15">
      <c r="B88" s="973" t="s">
        <v>2072</v>
      </c>
      <c r="D88" s="1688"/>
      <c r="E88" s="3606" t="str">
        <f>IF(IF(SUM('3.Cropland'!AT56:AT59,'3.Cropland'!AV56:AV59,'3.Cropland'!AT67:AT88,'3.Cropland'!AV67:AV88,'3.Cropland'!BI56:BI59,'3.Cropland'!BI67:BI88)&gt;0,"Tier 2","Tier 1")="Tier 1","***","**")</f>
        <v>***</v>
      </c>
      <c r="F88" s="3583" t="str">
        <f>IF(IF(SUM('3.Cropland'!AZ58:AZ59,'3.Cropland'!BC56:BE59,'3.Cropland'!BE56:BE59,'3.Cropland'!BG56:BG59,'3.Cropland'!AZ67:AZ88,'3.Cropland'!BC67:BC88,'3.Cropland'!BE67:BE88,'3.Cropland'!BG67:BG88)&gt;0,"Tier 2","Tier 1")="Tier 1","****","***")</f>
        <v>****</v>
      </c>
      <c r="G88" s="3584" t="s">
        <v>2990</v>
      </c>
      <c r="H88" s="3585" t="s">
        <v>2990</v>
      </c>
      <c r="I88" s="3607"/>
      <c r="K88" s="3564">
        <f t="shared" si="12"/>
        <v>585.6400000000001</v>
      </c>
      <c r="L88" s="3615">
        <f t="shared" si="12"/>
        <v>551.12111999999991</v>
      </c>
      <c r="M88" s="3574">
        <f>ABS(IF(G88="*",$K$74,IF(G88="**",$K$75,IF(G88="***",$K$76,$K$77)))*SUM(I23,J23)/100)</f>
        <v>0</v>
      </c>
      <c r="N88" s="3587">
        <f>ABS(IF(H88="*",$K$74,IF(H88="**",$K$75,IF(H88="***",$K$76,$K$77)))*SUM(L23,M23)/100)</f>
        <v>0</v>
      </c>
      <c r="O88" s="3484"/>
      <c r="Q88" s="3564">
        <f t="shared" si="13"/>
        <v>33</v>
      </c>
      <c r="R88" s="3615">
        <f t="shared" si="13"/>
        <v>50</v>
      </c>
      <c r="S88" s="3574">
        <f>IF(SUM(I23:J23)=0,0,100*ABS(M88/SUM(I23:J23)))</f>
        <v>0</v>
      </c>
      <c r="T88" s="3587">
        <f>IF(SUM(M23)=0,0,100*ABS(N88/SUM(M23)))</f>
        <v>0</v>
      </c>
    </row>
    <row r="89" spans="2:21" x14ac:dyDescent="0.15">
      <c r="B89" s="973" t="s">
        <v>546</v>
      </c>
      <c r="D89" s="1688"/>
      <c r="E89" s="3606" t="str">
        <f>IF(IF(SUM('3.Cropland'!BI116:BI119,'3.Cropland'!BI127:BI136)&gt;0,"Tier 2","Tier 1")="Tier 1","**","*")</f>
        <v>**</v>
      </c>
      <c r="F89" s="3583" t="str">
        <f>IF(IF(SUM('3.Cropland'!AU127:AU136,'3.Cropland'!AW127:AW136)&gt;0,"Tier 2","Tier 1")="Tier 1","****","***")</f>
        <v>****</v>
      </c>
      <c r="G89" s="3584" t="s">
        <v>2990</v>
      </c>
      <c r="H89" s="3585" t="str">
        <f>IF(IF(SUM('3.Cropland'!AW127:AW136,'3.Cropland'!AY127:AY136,'3.Cropland'!BA127:BA136,'3.Cropland'!BC127:BC136,'3.Cropland'!BE127:BE136,'3.Cropland'!BG127:BG136)&gt;0,"Tier 2","Tier 1")="Tier 1","**","*")</f>
        <v>**</v>
      </c>
      <c r="I89" s="3607"/>
      <c r="K89" s="3564">
        <f t="shared" si="12"/>
        <v>0</v>
      </c>
      <c r="L89" s="3615">
        <f t="shared" si="12"/>
        <v>0</v>
      </c>
      <c r="M89" s="3574">
        <f>ABS(IF(G89="*",$K$74,IF(G89="**",$K$75,IF(G89="***",$K$76,$K$77)))*SUM(I24,J24)/100)</f>
        <v>0</v>
      </c>
      <c r="N89" s="3587">
        <f>ABS(IF(H89="*",$K$74,IF(H89="**",$K$75,IF(H89="***",$K$76,$K$77)))*SUM(L24,M24)/100)</f>
        <v>0</v>
      </c>
      <c r="O89" s="3484"/>
      <c r="Q89" s="3564">
        <f t="shared" si="13"/>
        <v>0</v>
      </c>
      <c r="R89" s="3615">
        <f t="shared" si="13"/>
        <v>0</v>
      </c>
      <c r="S89" s="3574">
        <f>IF(SUM(J24)=0,0,100*ABS(M89/SUM(J24)))</f>
        <v>0</v>
      </c>
      <c r="T89" s="3587">
        <f>IF(SUM(L24:M24)=0,0,100*ABS(N89/SUM(L24:M24)))</f>
        <v>0</v>
      </c>
    </row>
    <row r="90" spans="2:21" x14ac:dyDescent="0.15">
      <c r="B90" s="973" t="s">
        <v>3002</v>
      </c>
      <c r="D90" s="1688"/>
      <c r="E90" s="3606" t="str">
        <f>IF(IF(SUM('4.Grassland'!BJ13:BJ16,'4.Grassland'!BJ26:BJ35)&gt;0,"Tier 2","Tier 1")="Tier 1","**","*")</f>
        <v>**</v>
      </c>
      <c r="F90" s="3583" t="str">
        <f>IF(IF(SUM('4.Grassland'!BD14,'4.Grassland'!BD16,'4.Grassland'!BF13:BF16,'4.Grassland'!BH13:BH16,'4.Grassland'!BD26:BD35,'4.Grassland'!BF26:BF35,'4.Grassland'!BH26:BH35)&gt;0,"Tier 2","Tier 1")="Tier 1","****","***")</f>
        <v>****</v>
      </c>
      <c r="G90" s="3584" t="s">
        <v>2990</v>
      </c>
      <c r="H90" s="3585" t="s">
        <v>2990</v>
      </c>
      <c r="I90" s="3607"/>
      <c r="K90" s="3564">
        <f t="shared" si="12"/>
        <v>0</v>
      </c>
      <c r="L90" s="3615">
        <f t="shared" si="12"/>
        <v>1237.5000000000005</v>
      </c>
      <c r="M90" s="3574">
        <f>ABS(IF(G90="*",$K$74,IF(G90="**",$K$75,IF(G90="***",$K$76,$K$77)))*SUM(I25,J25)/100)</f>
        <v>0</v>
      </c>
      <c r="N90" s="3587">
        <f>ABS(IF(H90="*",$K$74,IF(H90="**",$K$75,IF(H90="***",$K$76,$K$77)))*SUM(L25,M25)/100)</f>
        <v>0</v>
      </c>
      <c r="O90" s="3484"/>
      <c r="Q90" s="3564">
        <f t="shared" si="13"/>
        <v>0</v>
      </c>
      <c r="R90" s="3615">
        <f t="shared" si="13"/>
        <v>50</v>
      </c>
      <c r="S90" s="3574">
        <f>IF(SUM(J25)=0,0,100*ABS(M90/SUM(J25)))</f>
        <v>0</v>
      </c>
      <c r="T90" s="3587">
        <f>IF(M25=0,0,100*ABS(N90/M25))</f>
        <v>0</v>
      </c>
    </row>
    <row r="91" spans="2:21" x14ac:dyDescent="0.15">
      <c r="B91" s="973" t="s">
        <v>2958</v>
      </c>
      <c r="D91" s="1688"/>
      <c r="E91" s="3608"/>
      <c r="F91" s="3609"/>
      <c r="G91" s="3584" t="str">
        <f>IF(IF(SUM('4.Grassland'!BS56:BU66,'4.Grassland'!CC56:CC66)&gt;0,"Tier 2","Tier 1")="Tier 1","***","**")</f>
        <v>***</v>
      </c>
      <c r="H91" s="3585" t="str">
        <f>IF(IF(SUM('4.Grassland'!BD56:BF66,'4.Grassland'!BN56:BP66,'4.Grassland'!BZ56:BZ66)&gt;0,"Tier 2","Tier 1")="Tier 1","***","**")</f>
        <v>***</v>
      </c>
      <c r="I91" s="3607"/>
      <c r="K91" s="3483"/>
      <c r="L91" s="3553"/>
      <c r="M91" s="3574">
        <f ca="1">ABS(IF(G91="*",$K$74,IF(G91="**",$K$75,IF(G91="***",$K$76,$K$77)))*K26/100)</f>
        <v>0</v>
      </c>
      <c r="N91" s="3587">
        <f ca="1">ABS(IF(H91="*",$K$74,IF(H91="**",$K$75,IF(H91="***",$K$76,$K$77)))*N26/100)</f>
        <v>262.46205562500012</v>
      </c>
      <c r="O91" s="3484"/>
      <c r="S91" s="3574">
        <f ca="1">IF(SUM(K26)=0,0,100*ABS(M91/SUM(K26)))</f>
        <v>0</v>
      </c>
      <c r="T91" s="3587">
        <f ca="1">IF(N26=0,0,100*ABS(N91/N26))</f>
        <v>33</v>
      </c>
    </row>
    <row r="92" spans="2:21" x14ac:dyDescent="0.15">
      <c r="B92" s="1281" t="s">
        <v>3003</v>
      </c>
      <c r="D92" s="1688"/>
      <c r="E92" s="3606" t="str">
        <f>IF(IF(SUM('7.Coastal wetlands'!BU11:BU16,'7.Coastal wetlands'!BW11:BW16,'7.Coastal wetlands'!BY11:BY16,'7.Coastal wetlands'!CA11:CA16,'7.Coastal wetlands'!BU29:BU34,'7.Coastal wetlands'!BW29:BW34,'7.Coastal wetlands'!BY29:BY34,'7.Coastal wetlands'!CA29:CA34,'7.Coastal wetlands'!BU46:BU51,'7.Coastal wetlands'!BW46:BW51,'7.Coastal wetlands'!BY46:BY51,'7.Coastal wetlands'!CA46:CA51)&gt;0,"Tier 2","Tier 1")="Tier 1","***","**")</f>
        <v>***</v>
      </c>
      <c r="F92" s="3583" t="str">
        <f>IF(IF(SUM('7.Coastal wetlands'!CG11:CG16,'7.Coastal wetlands'!CJ11:CJ16,'7.Coastal wetlands'!CG29:CG34,'7.Coastal wetlands'!CJ29:CJ34,'7.Coastal wetlands'!CF46:CF51)&gt;0,"Tier 2","Tier 1")="Tier 1","****","***")</f>
        <v>****</v>
      </c>
      <c r="G92" s="3584" t="str">
        <f>IF(IF(SUM('8. Fisheries and aquaculture'!BX74:BX79)&gt;0,"Tier 2","Tier 1")="Tier 1","****","***")</f>
        <v>****</v>
      </c>
      <c r="H92" s="3585" t="str">
        <f>IF(IF(SUM('7.Coastal wetlands'!BU65:BU70,'7.Coastal wetlands'!BW65:BW70,'7.Coastal wetlands'!BY65:BY70,'7.Coastal wetlands'!CC65:CC70,'7.Coastal wetlands'!CE65:CE70)&gt;0,"Tier ","Tier 1")="Tier 1","****","***")</f>
        <v>****</v>
      </c>
      <c r="I92" s="3607"/>
      <c r="K92" s="3564">
        <f>ABS(IF(E92="*",$K$74,IF(E92="**",$K$75,IF(E92="***",$K$76,$K$77)))*F27/100)</f>
        <v>0</v>
      </c>
      <c r="L92" s="3615">
        <f>ABS(IF(F92="*",$K$74,IF(F92="**",$K$75,IF(F92="***",$K$76,$K$77)))*G27/100)</f>
        <v>0</v>
      </c>
      <c r="M92" s="3574">
        <f>ABS(IF(G92="*",$K$74,IF(G92="**",$K$75,IF(G92="***",$K$76,$K$77)))*SUM(I27,J27)/100)</f>
        <v>0</v>
      </c>
      <c r="N92" s="3587">
        <f>ABS(IF(H92="*",$K$74,IF(H92="**",$K$75,IF(H92="***",$K$76,$K$77)))*SUM(L27,M27)/100)</f>
        <v>1811.25</v>
      </c>
      <c r="O92" s="3484"/>
      <c r="Q92" s="3564">
        <f>IF(F27=0,0,100*ABS(K92/F27))</f>
        <v>0</v>
      </c>
      <c r="R92" s="3564">
        <f>IF(G27=0,0,100*ABS(L92/G27))</f>
        <v>0</v>
      </c>
      <c r="S92" s="3574">
        <f>IF(SUM(I27)=0,0,100*ABS(M92/SUM(I27)))</f>
        <v>0</v>
      </c>
      <c r="T92" s="3587">
        <f>IF(L27=0,0,100*ABS(N92/L27))</f>
        <v>50</v>
      </c>
      <c r="U92" s="3553"/>
    </row>
    <row r="93" spans="2:21" x14ac:dyDescent="0.15">
      <c r="B93" s="1281" t="s">
        <v>2951</v>
      </c>
      <c r="D93" s="1688"/>
      <c r="E93" s="3608"/>
      <c r="F93" s="3611"/>
      <c r="G93" s="3611"/>
      <c r="H93" s="3585" t="str">
        <f>IF(IF(SUM('6.Inland wetlands'!CG197:CG204,'6.Inland wetlands'!CI197:CI204,'6.Inland wetlands'!CK197:CK204,'6.Inland wetlands'!CN197:CN204,'6.Inland wetlands'!CP197:CP204)&gt;0,"Tier 2","Tier 1")="Tier 1","****","***")</f>
        <v>****</v>
      </c>
      <c r="I93" s="3607"/>
      <c r="K93" s="3483"/>
      <c r="L93" s="3553"/>
      <c r="M93" s="3553"/>
      <c r="N93" s="3587">
        <f>ABS(IF(H93="*",$K$74,IF(H93="**",$K$75,IF(H93="***",$K$76,$K$77)))*L29/100)</f>
        <v>0</v>
      </c>
      <c r="O93" s="3484"/>
      <c r="Q93" s="3483"/>
      <c r="R93" s="3483"/>
      <c r="S93" s="3553"/>
      <c r="T93" s="3587">
        <f>IF(L29=0,0,100*ABS(N93/L29))</f>
        <v>0</v>
      </c>
      <c r="U93" s="3553"/>
    </row>
    <row r="94" spans="2:21" x14ac:dyDescent="0.15">
      <c r="B94" s="1281" t="s">
        <v>3004</v>
      </c>
      <c r="D94" s="1688"/>
      <c r="E94" s="3608"/>
      <c r="F94" s="3609"/>
      <c r="G94" s="3609"/>
      <c r="H94" s="3609"/>
      <c r="I94" s="3607"/>
      <c r="K94" s="3483"/>
      <c r="L94" s="3553"/>
      <c r="M94" s="3553"/>
      <c r="N94" s="3553"/>
      <c r="O94" s="3484"/>
    </row>
    <row r="95" spans="2:21" x14ac:dyDescent="0.15">
      <c r="B95" s="973" t="s">
        <v>222</v>
      </c>
      <c r="D95" s="1688"/>
      <c r="E95" s="3606" t="str">
        <f>IF(IF(SUM('6.Inland wetlands'!AZ13:AZ18,'6.Inland wetlands'!BB13:BB18,'6.Inland wetlands'!BD13:BD17,'6.Inland wetlands'!BF13:BF18)&gt;0,"Tier 2","Tier 1")="Tier 1","***","**")</f>
        <v>***</v>
      </c>
      <c r="F95" s="3583" t="str">
        <f>IF(IF(SUM('6.Inland wetlands'!CG13:CG18,'6.Inland wetlands'!CN13:CN18,'6.Inland wetlands'!DY12:DY17,'6.Inland wetlands'!EF12:EF17)&gt;0,"Tier 2","Tier 1")="Tier 1","****","***")</f>
        <v>****</v>
      </c>
      <c r="G95" s="3584" t="str">
        <f>IF(IF(SUM('6.Inland wetlands'!CK13:CK18,'6.Inland wetlands'!EC12:EC17)&gt;0,"Tier 2","Tier 1")="Tier 1","****","***")</f>
        <v>****</v>
      </c>
      <c r="H95" s="3585" t="str">
        <f>IF(IF(SUM('6.Inland wetlands'!CI13:CI18,'6.Inland wetlands'!CP13:CP18,'6.Inland wetlands'!EA12:EA17)&gt;0,"Tier 2","Tier 1")="Tier 1","****","***")</f>
        <v>****</v>
      </c>
      <c r="I95" s="3610" t="str">
        <f>IF(IF(SUM('6.Inland wetlands'!DI13:DI18,'6.Inland wetlands'!DK13:DK18,'6.Inland wetlands'!DM13:DM18,'6.Inland wetlands'!DO13:DO18)&gt;0,"Tier 2","Tier 1")="Tier 1","****","***")</f>
        <v>****</v>
      </c>
      <c r="K95" s="3564">
        <f t="shared" ref="K95:L98" si="14">ABS(IF(E95="*",$K$74,IF(E95="**",$K$75,IF(E95="***",$K$76,$K$77)))*F45/100)</f>
        <v>0</v>
      </c>
      <c r="L95" s="3615">
        <f t="shared" si="14"/>
        <v>1333.7500000000007</v>
      </c>
      <c r="M95" s="3574">
        <f t="shared" ref="M95:M100" si="15">ABS(IF(G95="*",$K$74,IF(G95="**",$K$75,IF(G95="***",$K$76,$K$77)))*SUM(I45,J45)/100)</f>
        <v>145.75000000000006</v>
      </c>
      <c r="N95" s="3587">
        <f t="shared" ref="N95:N100" si="16">ABS(IF(H95="*",$K$74,IF(H95="**",$K$75,IF(H95="***",$K$76,$K$77)))*L45/100)</f>
        <v>1613.7916666666656</v>
      </c>
      <c r="O95" s="3616">
        <f>ABS(IF(H95="*",$K$74,IF(H95="**",$K$75,IF(H95="***",$K$76,$K$77)))*M45/100)</f>
        <v>0</v>
      </c>
      <c r="Q95" s="3564">
        <f t="shared" ref="Q95:R98" si="17">IF(F45=0,0,100*ABS(K95/F45))</f>
        <v>0</v>
      </c>
      <c r="R95" s="3564">
        <f t="shared" si="17"/>
        <v>50.000000000000014</v>
      </c>
      <c r="S95" s="3574">
        <f t="shared" ref="S95:S100" si="18">IF(SUM(I45:J45)=0,0,100*ABS(M95/SUM(I45:J45)))</f>
        <v>50</v>
      </c>
      <c r="T95" s="3587">
        <f t="shared" ref="T95:U99" si="19">IF(L45=0,0,100*ABS(N95/L45))</f>
        <v>49.999999999999993</v>
      </c>
      <c r="U95" s="3600">
        <f t="shared" si="19"/>
        <v>0</v>
      </c>
    </row>
    <row r="96" spans="2:21" x14ac:dyDescent="0.15">
      <c r="B96" s="973" t="s">
        <v>3005</v>
      </c>
      <c r="D96" s="1688"/>
      <c r="E96" s="3606" t="str">
        <f>IF(IF(SUM('6.Inland wetlands'!BD118:BD123,'6.Inland wetlands'!BF118:BF123,'6.Inland wetlands'!BH118:BH123,'6.Inland wetlands'!BJ118:BJ123)&gt;0,"Tier 2","Tier 1")="Tier 1","***","**")</f>
        <v>***</v>
      </c>
      <c r="F96" s="3583" t="str">
        <f>IF(IF(SUM('6.Inland wetlands'!CG118:CG123,'6.Inland wetlands'!CN118:CN123,'6.Inland wetlands'!DY118:DY123,'6.Inland wetlands'!EF118:EF123)&gt;0,"Tier 2","Tier 1")="Tier 1","****","***")</f>
        <v>****</v>
      </c>
      <c r="G96" s="3584" t="str">
        <f>IF(IF(SUM('6.Inland wetlands'!CK118:CK123,'6.Inland wetlands'!EC118:EC123)&gt;0,"Tier 2","Tier 1")="Tier 1","****","***")</f>
        <v>****</v>
      </c>
      <c r="H96" s="3585" t="str">
        <f>IF(IF(SUM('6.Inland wetlands'!CI118:CI123,'6.Inland wetlands'!EA118:EA123)&gt;0,"Tier 2","Tier 1")="Tier 1","****","***")</f>
        <v>****</v>
      </c>
      <c r="I96" s="3610" t="str">
        <f>IF(IF(SUM('6.Inland wetlands'!DI118:DI123,'6.Inland wetlands'!DK118:DK123,'6.Inland wetlands'!DM118:DM123,'6.Inland wetlands'!DO118:DO123)&gt;0,"Tier 2","Tier 1")="Tier 1","****","***")</f>
        <v>****</v>
      </c>
      <c r="K96" s="3564">
        <f t="shared" si="14"/>
        <v>0</v>
      </c>
      <c r="L96" s="3615">
        <f t="shared" si="14"/>
        <v>0</v>
      </c>
      <c r="M96" s="3574">
        <f t="shared" si="15"/>
        <v>0</v>
      </c>
      <c r="N96" s="3587">
        <f t="shared" si="16"/>
        <v>0</v>
      </c>
      <c r="O96" s="3616">
        <f>ABS(IF(H96="*",$K$74,IF(H96="**",$K$75,IF(H96="***",$K$76,$K$77)))*M46/100)</f>
        <v>0</v>
      </c>
      <c r="Q96" s="3564">
        <f t="shared" si="17"/>
        <v>0</v>
      </c>
      <c r="R96" s="3564">
        <f t="shared" si="17"/>
        <v>0</v>
      </c>
      <c r="S96" s="3574">
        <f t="shared" si="18"/>
        <v>0</v>
      </c>
      <c r="T96" s="3587">
        <f t="shared" si="19"/>
        <v>0</v>
      </c>
      <c r="U96" s="3600">
        <f t="shared" si="19"/>
        <v>0</v>
      </c>
    </row>
    <row r="97" spans="2:21" x14ac:dyDescent="0.15">
      <c r="B97" s="973" t="s">
        <v>2961</v>
      </c>
      <c r="D97" s="1688"/>
      <c r="E97" s="3606" t="str">
        <f>IF(IF(SUM('6.Inland wetlands'!AX58:AX63,'6.Inland wetlands'!AZ58:AZ63,'6.Inland wetlands'!BC58:BC63,'6.Inland wetlands'!BE58:BE63,'6.Inland wetlands'!BL58:BL63,'6.Inland wetlands'!BO58:BO63)&gt;0,"Tier 2","Tier 1")="Tier 1","***","**")</f>
        <v>***</v>
      </c>
      <c r="F97" s="3583" t="str">
        <f>IF(IF(SUM('6.Inland wetlands'!CG58:CG63,'6.Inland wetlands'!CN58:CN63,'6.Inland wetlands'!DY58:DY63,'6.Inland wetlands'!EF58:EF63)&gt;0,"Tier 2","Tier 1")="Tier 1","****","***")</f>
        <v>****</v>
      </c>
      <c r="G97" s="3584" t="str">
        <f>IF(IF(SUM('6.Inland wetlands'!CK58:CK63,'6.Inland wetlands'!EC58:EC63)&gt;0,"Tier 2","Tier 1")="Tier 1","****","***")</f>
        <v>****</v>
      </c>
      <c r="H97" s="3585" t="str">
        <f>IF(IF(SUM('6.Inland wetlands'!CI58:CI63,'6.Inland wetlands'!CP58:CP63,'6.Inland wetlands'!EA58:EA63)&gt;0,"Tier 2","Tier 1")="Tier 1","****","***")</f>
        <v>****</v>
      </c>
      <c r="I97" s="3610" t="str">
        <f>IF(IF(SUM('6.Inland wetlands'!DI46:DI51,'6.Inland wetlands'!DK46:DK51,'6.Inland wetlands'!DM46:DM51,'6.Inland wetlands'!DO46:DO51)&gt;0,"Tier 2","Tier 1")="Tier 1","****","***")</f>
        <v>****</v>
      </c>
      <c r="K97" s="3564">
        <f t="shared" si="14"/>
        <v>0</v>
      </c>
      <c r="L97" s="3615">
        <f t="shared" si="14"/>
        <v>0</v>
      </c>
      <c r="M97" s="3574">
        <f t="shared" si="15"/>
        <v>0</v>
      </c>
      <c r="N97" s="3587">
        <f t="shared" si="16"/>
        <v>0</v>
      </c>
      <c r="O97" s="3616">
        <f>ABS(IF(H97="*",$K$74,IF(H97="**",$K$75,IF(H97="***",$K$76,$K$77)))*M47/100)</f>
        <v>0</v>
      </c>
      <c r="Q97" s="3564">
        <f t="shared" si="17"/>
        <v>0</v>
      </c>
      <c r="R97" s="3564">
        <f t="shared" si="17"/>
        <v>0</v>
      </c>
      <c r="S97" s="3574">
        <f t="shared" si="18"/>
        <v>0</v>
      </c>
      <c r="T97" s="3587">
        <f t="shared" si="19"/>
        <v>0</v>
      </c>
      <c r="U97" s="3600">
        <f t="shared" si="19"/>
        <v>0</v>
      </c>
    </row>
    <row r="98" spans="2:21" x14ac:dyDescent="0.15">
      <c r="B98" s="973" t="s">
        <v>3006</v>
      </c>
      <c r="D98" s="1688"/>
      <c r="E98" s="3606" t="str">
        <f>IF(IF(SUM('6.Inland wetlands'!AX80:AX85,'6.Inland wetlands'!AX92:AX97)&gt;0,"Tier 2","Tier 1")="Tier 1","***","**")</f>
        <v>***</v>
      </c>
      <c r="F98" s="3583" t="str">
        <f>IF(IF(SUM('6.Inland wetlands'!CG80:CG85,'6.Inland wetlands'!CN80:CN85,'6.Inland wetlands'!DY91:DY96,'6.Inland wetlands'!EF91:EF96)&gt;0,"Tier 2","Tier 1")="Tier 1","****","***")</f>
        <v>****</v>
      </c>
      <c r="G98" s="3584" t="str">
        <f>IF(IF(SUM('6.Inland wetlands'!CK80:CK85,'6.Inland wetlands'!EC91:EC96)&gt;0,"Tier 2","Tier 1")="Tier 1","****","***")</f>
        <v>****</v>
      </c>
      <c r="H98" s="3585" t="str">
        <f>IF(IF(SUM('6.Inland wetlands'!CI80:CI85,'6.Inland wetlands'!EA91:EA96)&gt;0,"Tier 2","Tier 1")="Tier 1","****","***")</f>
        <v>****</v>
      </c>
      <c r="I98" s="3610" t="str">
        <f>IF(IF(SUM('6.Inland wetlands'!DI80:DI85,'6.Inland wetlands'!DK80:DK85,'6.Inland wetlands'!DM80:DM85,'6.Inland wetlands'!DO80:DO85)&gt;0,"Tier 2","Tier 1")="Tier 1","****","***")</f>
        <v>****</v>
      </c>
      <c r="K98" s="3564">
        <f t="shared" si="14"/>
        <v>0</v>
      </c>
      <c r="L98" s="3615">
        <f t="shared" si="14"/>
        <v>0</v>
      </c>
      <c r="M98" s="3574">
        <f t="shared" si="15"/>
        <v>0</v>
      </c>
      <c r="N98" s="3587">
        <f t="shared" si="16"/>
        <v>0</v>
      </c>
      <c r="O98" s="3616">
        <f>ABS(IF(H98="*",$K$74,IF(H98="**",$K$75,IF(H98="***",$K$76,$K$77)))*M48/100)</f>
        <v>0</v>
      </c>
      <c r="Q98" s="3564">
        <f t="shared" si="17"/>
        <v>0</v>
      </c>
      <c r="R98" s="3564">
        <f t="shared" si="17"/>
        <v>0</v>
      </c>
      <c r="S98" s="3574">
        <f t="shared" si="18"/>
        <v>0</v>
      </c>
      <c r="T98" s="3587">
        <f t="shared" si="19"/>
        <v>0</v>
      </c>
      <c r="U98" s="3600">
        <f t="shared" si="19"/>
        <v>0</v>
      </c>
    </row>
    <row r="99" spans="2:21" x14ac:dyDescent="0.15">
      <c r="B99" s="973" t="s">
        <v>3007</v>
      </c>
      <c r="D99" s="1688"/>
      <c r="E99" s="3608"/>
      <c r="F99" s="3583" t="str">
        <f>IF(IF(SUM('6.Inland wetlands'!CG150:CG155,'6.Inland wetlands'!DY151:DY156,'6.Inland wetlands'!EF151:EF156,'6.Inland wetlands'!CN150:CN155)&gt;0,"Tier 2","Tier 1")="Tier 1","****","***")</f>
        <v>****</v>
      </c>
      <c r="G99" s="3584" t="str">
        <f>IF(IF(SUM('6.Inland wetlands'!CK150:CK155,'6.Inland wetlands'!EC151:EC156)&gt;0,"Tier 2","Tier 1")="Tier 1","****","***")</f>
        <v>****</v>
      </c>
      <c r="H99" s="3585" t="str">
        <f>IF(IF(SUM('6.Inland wetlands'!CI150:CI155,'6.Inland wetlands'!EA151:EA156)&gt;0,"Tier 2","Tier 1")="Tier 1","****","***")</f>
        <v>****</v>
      </c>
      <c r="I99" s="3610" t="str">
        <f>IF(IF(SUM('6.Inland wetlands'!DI151:DI156,'6.Inland wetlands'!DK151:DK156,'6.Inland wetlands'!DM151:DM156,'6.Inland wetlands'!DO151:DO156)&gt;0,"Tier 2","Tier 1")="Tier 1","****","***")</f>
        <v>****</v>
      </c>
      <c r="K99" s="3483"/>
      <c r="L99" s="3615">
        <f>ABS(IF(F99="*",$K$74,IF(F99="**",$K$75,IF(F99="***",$K$76,$K$77)))*G49/100)</f>
        <v>0</v>
      </c>
      <c r="M99" s="3574">
        <f t="shared" si="15"/>
        <v>0</v>
      </c>
      <c r="N99" s="3587">
        <f t="shared" si="16"/>
        <v>0</v>
      </c>
      <c r="O99" s="3616">
        <f>ABS(IF(H99="*",$K$74,IF(H99="**",$K$75,IF(H99="***",$K$76,$K$77)))*M49/100)</f>
        <v>0</v>
      </c>
      <c r="Q99" s="3483"/>
      <c r="R99" s="3564">
        <f>IF(G49=0,0,100*ABS(L99/G49))</f>
        <v>0</v>
      </c>
      <c r="S99" s="3574">
        <f t="shared" si="18"/>
        <v>0</v>
      </c>
      <c r="T99" s="3587">
        <f t="shared" si="19"/>
        <v>0</v>
      </c>
      <c r="U99" s="3600">
        <f t="shared" si="19"/>
        <v>0</v>
      </c>
    </row>
    <row r="100" spans="2:21" x14ac:dyDescent="0.15">
      <c r="B100" s="973" t="s">
        <v>2075</v>
      </c>
      <c r="D100" s="1688"/>
      <c r="E100" s="3608"/>
      <c r="F100" s="3583" t="str">
        <f>IF(IF(SUM('6.Inland wetlands'!CG175:CG178,'6.Inland wetlands'!CN175:CN178,'6.Inland wetlands'!CS175:CS178)&gt;0,"Tier 2","Tier 1")="Tier 1","****","***")</f>
        <v>****</v>
      </c>
      <c r="G100" s="3584" t="str">
        <f>IF(IF(SUM('6.Inland wetlands'!CK175:CK178)&gt;0,"Tier 2","Tier 1")="Tier 1","****","***")</f>
        <v>****</v>
      </c>
      <c r="H100" s="3585" t="str">
        <f>IF(IF(SUM('6.Inland wetlands'!CI175:CI178,'6.Inland wetlands'!CP175:CP178)&gt;0,"Tier 2","Tier 1")="Tier 1","****","***")</f>
        <v>****</v>
      </c>
      <c r="I100" s="3607"/>
      <c r="K100" s="3483"/>
      <c r="L100" s="3615">
        <f>ABS(IF(F100="*",$K$74,IF(F100="**",$K$75,IF(F100="***",$K$76,$K$77)))*G50/100)</f>
        <v>55142.541666666511</v>
      </c>
      <c r="M100" s="3574">
        <f t="shared" si="15"/>
        <v>1.5616071428571558</v>
      </c>
      <c r="N100" s="3587">
        <f t="shared" si="16"/>
        <v>0</v>
      </c>
      <c r="O100" s="3484"/>
      <c r="Q100" s="3483"/>
      <c r="R100" s="3564">
        <f>IF(G50=0,0,100*ABS(L100/G50))</f>
        <v>50</v>
      </c>
      <c r="S100" s="3574">
        <f t="shared" si="18"/>
        <v>50</v>
      </c>
      <c r="T100" s="3587">
        <f>IF(L50=0,0,100*ABS(N100/L50))</f>
        <v>0</v>
      </c>
      <c r="U100" s="3553"/>
    </row>
    <row r="101" spans="2:21" x14ac:dyDescent="0.15">
      <c r="B101" s="1281" t="s">
        <v>3008</v>
      </c>
      <c r="D101" s="1688"/>
      <c r="E101" s="3608"/>
      <c r="F101" s="3609"/>
      <c r="G101" s="3609"/>
      <c r="H101" s="3609"/>
      <c r="I101" s="3607"/>
      <c r="K101" s="3483"/>
      <c r="L101" s="3553"/>
      <c r="M101" s="3553"/>
      <c r="N101" s="3553"/>
      <c r="O101" s="3484"/>
    </row>
    <row r="102" spans="2:21" x14ac:dyDescent="0.15">
      <c r="B102" s="973" t="s">
        <v>2980</v>
      </c>
      <c r="D102" s="1688"/>
      <c r="E102" s="3608"/>
      <c r="F102" s="3583" t="str">
        <f>IF(IF(SUM('9.Inputs'!AN12:AN14,'9.Inputs'!AN16)&gt;0,"Tier 2","Tier 1")="Tier 1","***","**")</f>
        <v>***</v>
      </c>
      <c r="G102" s="3584" t="str">
        <f>IF(IF(SUM('9.Inputs'!AR16:AR17,'9.Inputs'!AR21:AR22,'9.Inputs'!AR24:AR26)&gt;0,"Tier 2","Tier 1")="Tier 1","***","**")</f>
        <v>***</v>
      </c>
      <c r="H102" s="3609"/>
      <c r="I102" s="3610" t="str">
        <f>IF(IF(SUM('9.Inputs'!AV12:AV14,'9.Inputs'!AV16:AV19,'9.Inputs'!AV21:AV22,'9.Inputs'!AV29:AV31)&gt;0,"Tier 2","Tier 1")="Tier 1","***","**")</f>
        <v>***</v>
      </c>
      <c r="K102" s="3483"/>
      <c r="L102" s="3615">
        <f>ABS(IF(F102="*",$K$74,IF(F102="**",$K$75,IF(F102="***",$K$76,$K$77)))*G59/100)</f>
        <v>0</v>
      </c>
      <c r="M102" s="3574">
        <f>ABS(IF(G102="*",$K$74,IF(G102="**",$K$75,IF(G102="***",$K$76,$K$77)))*I59/100)</f>
        <v>0</v>
      </c>
      <c r="N102" s="3553"/>
      <c r="O102" s="3616">
        <f>ABS(IF(I102="*",$K$74,IF(I102="**",$K$75,IF(I102="***",$K$76,$K$77)))*O59/100)</f>
        <v>0</v>
      </c>
      <c r="R102" s="3564">
        <f>IF(L59=0,0,100*ABS(L102/L59))</f>
        <v>0</v>
      </c>
      <c r="S102" s="3574">
        <f>IF(M59=0,0,100*ABS(M102/M59))</f>
        <v>0</v>
      </c>
      <c r="U102" s="3600">
        <f>IF(O59=0,0,100*ABS(O102/O59))</f>
        <v>0</v>
      </c>
    </row>
    <row r="103" spans="2:21" x14ac:dyDescent="0.15">
      <c r="B103" s="973" t="s">
        <v>2981</v>
      </c>
      <c r="D103" s="1688"/>
      <c r="E103" s="3612"/>
      <c r="F103" s="3613"/>
      <c r="G103" s="3609"/>
      <c r="H103" s="3609"/>
      <c r="I103" s="3610" t="str">
        <f>IF(IF(SUM('8. Fisheries and aquaculture'!BS74:BS79,'8. Fisheries and aquaculture'!R13:U18,'8. Fisheries and aquaculture'!CI11,'8. Fisheries and aquaculture'!CF17,'8. Fisheries and aquaculture'!BV25,'8. Fisheries and aquaculture'!CE25,'8. Fisheries and aquaculture'!BZ9)&gt;0,"Tier 2","Tier 1")="Tier 1","***","**")</f>
        <v>**</v>
      </c>
      <c r="K103" s="3483"/>
      <c r="L103" s="3553"/>
      <c r="M103" s="3553"/>
      <c r="N103" s="3553"/>
      <c r="O103" s="3616">
        <f>ABS(IF(I103="*",$K$74,IF(I103="**",$K$75,IF(I103="***",$K$76,$K$77)))*O60/100)</f>
        <v>509.55967148659983</v>
      </c>
      <c r="U103" s="3600">
        <f>IF(O60=0,0,100*ABS(O103/O60))</f>
        <v>20</v>
      </c>
    </row>
    <row r="104" spans="2:21" x14ac:dyDescent="0.15">
      <c r="B104" s="973" t="s">
        <v>2982</v>
      </c>
      <c r="D104" s="1688"/>
      <c r="E104" s="3608"/>
      <c r="F104" s="3609"/>
      <c r="G104" s="3609"/>
      <c r="H104" s="3609"/>
      <c r="I104" s="3610" t="str">
        <f>IF(IF(SUM('9.Inputs'!AQ47,'9.Inputs'!AQ49,'9.Inputs'!AQ53:AQ57,'9.Inputs'!AQ60:AQ63)&gt;0,"Tier 2","Tier 1")="Tier 1","***","**")</f>
        <v>***</v>
      </c>
      <c r="K104" s="3483"/>
      <c r="L104" s="3553"/>
      <c r="M104" s="3553"/>
      <c r="N104" s="3553"/>
      <c r="O104" s="3616">
        <f>ABS(IF(I104="*",$K$74,IF(I104="**",$K$75,IF(I104="***",$K$76,$K$77)))*O61/100)</f>
        <v>2118.7227599999915</v>
      </c>
      <c r="U104" s="3600">
        <f>IF(O61=0,0,100*ABS(O104/O61))</f>
        <v>33</v>
      </c>
    </row>
    <row r="105" spans="2:21" x14ac:dyDescent="0.15">
      <c r="B105" s="973" t="s">
        <v>2983</v>
      </c>
      <c r="E105" s="3614"/>
      <c r="F105" s="3613"/>
      <c r="G105" s="3613"/>
      <c r="H105" s="3613"/>
      <c r="I105" s="3610" t="str">
        <f>IF(IF(SUM('9.Inputs'!AQ79:AQ82,'9.Inputs'!AQ87:AQ90)&gt;0,"Tier 2","Tier 1")="Tier 1","***","**")</f>
        <v>***</v>
      </c>
      <c r="K105" s="3483"/>
      <c r="L105" s="3553"/>
      <c r="M105" s="3553"/>
      <c r="N105" s="3553"/>
      <c r="O105" s="3616">
        <f>ABS(IF(I105="*",$K$74,IF(I105="**",$K$75,IF(I105="***",$K$76,$K$77)))*O62/100)</f>
        <v>0.81432439855783467</v>
      </c>
      <c r="U105" s="3600">
        <f>IF(O62=0,0,100*ABS(O105/O62))</f>
        <v>32.999999999999993</v>
      </c>
    </row>
    <row r="106" spans="2:21" x14ac:dyDescent="0.15">
      <c r="B106" s="973" t="s">
        <v>2984</v>
      </c>
      <c r="E106" s="3870"/>
      <c r="F106" s="3871"/>
      <c r="G106" s="3871"/>
      <c r="H106" s="3871"/>
      <c r="I106" s="3610" t="str">
        <f>IF(IF(SUM('9.Inputs'!AN111:AN114)&gt;0,"Tier 2","Tier 1")="Tier 1","***","**")</f>
        <v>***</v>
      </c>
      <c r="K106" s="3870"/>
      <c r="L106" s="3871"/>
      <c r="M106" s="3871"/>
      <c r="N106" s="3871"/>
      <c r="O106" s="3617">
        <f>ABS(IF(I106="*",$K$74,IF(I106="**",$K$75,IF(I106="***",$K$76,$K$77)))*O63/100)</f>
        <v>1.73184</v>
      </c>
      <c r="U106" s="3600">
        <f>IF(O63=0,0,100*ABS(O106/O63))</f>
        <v>33</v>
      </c>
    </row>
    <row r="107" spans="2:21" x14ac:dyDescent="0.15">
      <c r="B107" s="1469"/>
      <c r="K107" s="1281" t="s">
        <v>3009</v>
      </c>
      <c r="L107" s="1281"/>
      <c r="M107" s="1281"/>
      <c r="N107" s="1281"/>
      <c r="O107" s="3504">
        <f ca="1">SUM(K82:O106)</f>
        <v>65316.196711986187</v>
      </c>
      <c r="Q107" s="1281" t="s">
        <v>3010</v>
      </c>
      <c r="R107" s="1281"/>
      <c r="S107" s="1281"/>
      <c r="T107" s="1281"/>
      <c r="U107" s="3876">
        <f ca="1">IFERROR(IF(O107=0,"",SUMPRODUCT(K82:O106,Q82:U106)/O107)/100,0)</f>
        <v>0.48993111967388486</v>
      </c>
    </row>
    <row r="108" spans="2:21" x14ac:dyDescent="0.15">
      <c r="B108" s="1281" t="s">
        <v>2996</v>
      </c>
      <c r="E108" s="1281" t="s">
        <v>2997</v>
      </c>
    </row>
    <row r="109" spans="2:21" ht="38.25" customHeight="1" x14ac:dyDescent="0.15">
      <c r="B109" s="3877" t="s">
        <v>200</v>
      </c>
      <c r="E109" s="3559" t="s">
        <v>1253</v>
      </c>
      <c r="F109" s="3559" t="s">
        <v>2998</v>
      </c>
      <c r="G109" s="3559" t="s">
        <v>177</v>
      </c>
      <c r="H109" s="3559" t="s">
        <v>176</v>
      </c>
      <c r="I109" s="3559" t="s">
        <v>2957</v>
      </c>
      <c r="K109" s="3559" t="s">
        <v>1253</v>
      </c>
      <c r="L109" s="3559" t="s">
        <v>2998</v>
      </c>
      <c r="M109" s="3559" t="s">
        <v>177</v>
      </c>
      <c r="N109" s="3559" t="s">
        <v>176</v>
      </c>
      <c r="O109" s="3559" t="s">
        <v>2957</v>
      </c>
      <c r="Q109" s="3559" t="s">
        <v>1253</v>
      </c>
      <c r="R109" s="3559" t="s">
        <v>2998</v>
      </c>
      <c r="S109" s="3559" t="s">
        <v>177</v>
      </c>
      <c r="T109" s="3559" t="s">
        <v>176</v>
      </c>
      <c r="U109" s="3559" t="s">
        <v>2957</v>
      </c>
    </row>
    <row r="110" spans="2:21" x14ac:dyDescent="0.15">
      <c r="B110" s="973" t="str">
        <f>'10.Results'!C117</f>
        <v>Deforestation</v>
      </c>
      <c r="E110" s="3564">
        <f>SUM(defo!I35:I42,defo!K35:K42,defo!M35:M42)</f>
        <v>0</v>
      </c>
      <c r="F110" s="3615">
        <f>SUM(defo!O35:O42)</f>
        <v>0</v>
      </c>
      <c r="G110" s="3574">
        <f>SUM(defo!AB23:AB30,defo!AD23:AD30)</f>
        <v>0</v>
      </c>
      <c r="H110" s="3587">
        <f>SUM(defo!Z23:Z30)</f>
        <v>0</v>
      </c>
      <c r="I110" s="3484"/>
      <c r="K110" s="3564">
        <f t="shared" ref="K110:N113" si="20">ABS(IF(E82="*",$K$74,IF(E82="**",$K$75,IF(E82="***",$K$76,$K$77)))*E110/100)</f>
        <v>0</v>
      </c>
      <c r="L110" s="3615">
        <f t="shared" si="20"/>
        <v>0</v>
      </c>
      <c r="M110" s="3574">
        <f t="shared" si="20"/>
        <v>0</v>
      </c>
      <c r="N110" s="3587">
        <f t="shared" si="20"/>
        <v>0</v>
      </c>
      <c r="O110" s="3484"/>
      <c r="Q110" s="3564">
        <f>IF(E110=0,0,100*ABS(K110/E110))</f>
        <v>0</v>
      </c>
      <c r="R110" s="3615">
        <f t="shared" ref="R110:R128" si="21">IF(F110=0,0,100*ABS(L110/F110))</f>
        <v>0</v>
      </c>
      <c r="S110" s="3574">
        <f t="shared" ref="S110:S128" si="22">IF(G110=0,0,100*ABS(M110/G110))</f>
        <v>0</v>
      </c>
      <c r="T110" s="3587">
        <f t="shared" ref="T110:T128" si="23">IF(H110=0,0,100*ABS(N110/H110))</f>
        <v>0</v>
      </c>
      <c r="U110" s="3484"/>
    </row>
    <row r="111" spans="2:21" x14ac:dyDescent="0.15">
      <c r="B111" s="973" t="str">
        <f>'10.Results'!C125</f>
        <v>Forest mngt.</v>
      </c>
      <c r="E111" s="3564">
        <f>SUM(degradation!I55:I62,degradation!K55:K62)</f>
        <v>0</v>
      </c>
      <c r="F111" s="3615">
        <f>SUM(degradation!M55:M62)</f>
        <v>0</v>
      </c>
      <c r="G111" s="3574">
        <f>degradation!BB60</f>
        <v>0</v>
      </c>
      <c r="H111" s="3587">
        <f>degradation!BB59</f>
        <v>0</v>
      </c>
      <c r="I111" s="3484"/>
      <c r="K111" s="3564">
        <f t="shared" si="20"/>
        <v>0</v>
      </c>
      <c r="L111" s="3615">
        <f t="shared" si="20"/>
        <v>0</v>
      </c>
      <c r="M111" s="3574">
        <f t="shared" si="20"/>
        <v>0</v>
      </c>
      <c r="N111" s="3587">
        <f t="shared" si="20"/>
        <v>0</v>
      </c>
      <c r="O111" s="3484"/>
      <c r="Q111" s="3564">
        <f t="shared" ref="Q111:Q126" si="24">IF(E111=0,0,100*ABS(K111/E111))</f>
        <v>0</v>
      </c>
      <c r="R111" s="3615">
        <f t="shared" si="21"/>
        <v>0</v>
      </c>
      <c r="S111" s="3574">
        <f t="shared" si="22"/>
        <v>0</v>
      </c>
      <c r="T111" s="3587">
        <f t="shared" si="23"/>
        <v>0</v>
      </c>
      <c r="U111" s="3484"/>
    </row>
    <row r="112" spans="2:21" x14ac:dyDescent="0.15">
      <c r="B112" s="973" t="str">
        <f>'10.Results'!C118</f>
        <v>Afforestation</v>
      </c>
      <c r="E112" s="3564">
        <f>SUM(affo!H37:H44,affo!J37:J44,affo!L37:L44)</f>
        <v>0</v>
      </c>
      <c r="F112" s="3615">
        <f>SUM(affo!N37:N44)</f>
        <v>0</v>
      </c>
      <c r="G112" s="3574">
        <f>SUM(affo!AK8:AK15)</f>
        <v>0</v>
      </c>
      <c r="H112" s="3587">
        <f>SUM(affo!AI8:AI15)</f>
        <v>0</v>
      </c>
      <c r="I112" s="3484"/>
      <c r="K112" s="3564">
        <f t="shared" si="20"/>
        <v>0</v>
      </c>
      <c r="L112" s="3615">
        <f t="shared" si="20"/>
        <v>0</v>
      </c>
      <c r="M112" s="3574">
        <f t="shared" si="20"/>
        <v>0</v>
      </c>
      <c r="N112" s="3587">
        <f t="shared" si="20"/>
        <v>0</v>
      </c>
      <c r="O112" s="3484"/>
      <c r="Q112" s="3564">
        <f t="shared" si="24"/>
        <v>0</v>
      </c>
      <c r="R112" s="3615">
        <f t="shared" si="21"/>
        <v>0</v>
      </c>
      <c r="S112" s="3574">
        <f t="shared" si="22"/>
        <v>0</v>
      </c>
      <c r="T112" s="3587">
        <f t="shared" si="23"/>
        <v>0</v>
      </c>
      <c r="U112" s="3484"/>
    </row>
    <row r="113" spans="2:21" x14ac:dyDescent="0.15">
      <c r="B113" s="973" t="str">
        <f>'10.Results'!C119</f>
        <v>Other land-use</v>
      </c>
      <c r="E113" s="3564">
        <f>SUM(luc!G41:G50)</f>
        <v>-1008.1500000000003</v>
      </c>
      <c r="F113" s="3615">
        <f>SUM(luc!I41:I50)</f>
        <v>1979.9999999999993</v>
      </c>
      <c r="G113" s="3574">
        <f>SUM(luc!S24:S33,luc!U24:U33)</f>
        <v>0</v>
      </c>
      <c r="H113" s="3587">
        <f>SUM(luc!Q24:Q33)</f>
        <v>0</v>
      </c>
      <c r="I113" s="3484"/>
      <c r="K113" s="3564">
        <f t="shared" si="20"/>
        <v>332.68950000000012</v>
      </c>
      <c r="L113" s="3615">
        <f t="shared" si="20"/>
        <v>989.99999999999966</v>
      </c>
      <c r="M113" s="3574">
        <f t="shared" si="20"/>
        <v>0</v>
      </c>
      <c r="N113" s="3587">
        <f t="shared" si="20"/>
        <v>0</v>
      </c>
      <c r="O113" s="3484"/>
      <c r="Q113" s="3564">
        <f t="shared" si="24"/>
        <v>33</v>
      </c>
      <c r="R113" s="3615">
        <f t="shared" si="21"/>
        <v>50</v>
      </c>
      <c r="S113" s="3574">
        <f t="shared" si="22"/>
        <v>0</v>
      </c>
      <c r="T113" s="3587">
        <f t="shared" si="23"/>
        <v>0</v>
      </c>
      <c r="U113" s="3484"/>
    </row>
    <row r="114" spans="2:21" x14ac:dyDescent="0.15">
      <c r="B114" s="1281" t="s">
        <v>3001</v>
      </c>
      <c r="E114" s="3483"/>
      <c r="F114" s="3553"/>
      <c r="G114" s="3553"/>
      <c r="H114" s="3553"/>
      <c r="I114" s="3484"/>
      <c r="K114" s="3483"/>
      <c r="L114" s="3553"/>
      <c r="M114" s="3553"/>
      <c r="N114" s="3553"/>
      <c r="O114" s="3484"/>
      <c r="Q114" s="3483"/>
      <c r="R114" s="3553"/>
      <c r="S114" s="3553"/>
      <c r="T114" s="3553"/>
      <c r="U114" s="3484"/>
    </row>
    <row r="115" spans="2:21" x14ac:dyDescent="0.15">
      <c r="B115" s="973" t="s">
        <v>2071</v>
      </c>
      <c r="E115" s="3564">
        <f>annual!X31</f>
        <v>0</v>
      </c>
      <c r="F115" s="3615">
        <f>SUM(annual!I34:I47)</f>
        <v>-3034.6800000000021</v>
      </c>
      <c r="G115" s="3574">
        <f>SUM(annual!M34:M47)+annual!X44</f>
        <v>484.95384599421436</v>
      </c>
      <c r="H115" s="3587">
        <f>annual!X43</f>
        <v>961.10930764799991</v>
      </c>
      <c r="I115" s="3484"/>
      <c r="K115" s="3564">
        <f t="shared" ref="K115:N118" si="25">ABS(IF(E87="*",$K$74,IF(E87="**",$K$75,IF(E87="***",$K$76,$K$77)))*E115/100)</f>
        <v>0</v>
      </c>
      <c r="L115" s="3615">
        <f t="shared" si="25"/>
        <v>1517.3400000000011</v>
      </c>
      <c r="M115" s="3574">
        <f t="shared" si="25"/>
        <v>96.99076919884287</v>
      </c>
      <c r="N115" s="3587">
        <f t="shared" si="25"/>
        <v>192.22186152960001</v>
      </c>
      <c r="O115" s="3484"/>
      <c r="Q115" s="3564">
        <f t="shared" si="24"/>
        <v>0</v>
      </c>
      <c r="R115" s="3615">
        <f t="shared" si="21"/>
        <v>50</v>
      </c>
      <c r="S115" s="3574">
        <f t="shared" si="22"/>
        <v>20</v>
      </c>
      <c r="T115" s="3587">
        <f t="shared" si="23"/>
        <v>20</v>
      </c>
      <c r="U115" s="3484"/>
    </row>
    <row r="116" spans="2:21" x14ac:dyDescent="0.15">
      <c r="B116" s="973" t="s">
        <v>2072</v>
      </c>
      <c r="E116" s="3564">
        <f>perennial!AB49</f>
        <v>-3549.333333333333</v>
      </c>
      <c r="F116" s="3615">
        <f>perennial!AB50</f>
        <v>-1269.5126400000004</v>
      </c>
      <c r="G116" s="3574">
        <f>perennial!AB52+perennial!AB55</f>
        <v>0</v>
      </c>
      <c r="H116" s="3587">
        <f>perennial!AB53</f>
        <v>0</v>
      </c>
      <c r="I116" s="3484"/>
      <c r="K116" s="3564">
        <f t="shared" si="25"/>
        <v>1171.2799999999997</v>
      </c>
      <c r="L116" s="3615">
        <f t="shared" si="25"/>
        <v>634.75632000000019</v>
      </c>
      <c r="M116" s="3574">
        <f t="shared" si="25"/>
        <v>0</v>
      </c>
      <c r="N116" s="3587">
        <f t="shared" si="25"/>
        <v>0</v>
      </c>
      <c r="O116" s="3484"/>
      <c r="Q116" s="3564">
        <f t="shared" si="24"/>
        <v>32.999999999999993</v>
      </c>
      <c r="R116" s="3615">
        <f t="shared" si="21"/>
        <v>50</v>
      </c>
      <c r="S116" s="3574">
        <f t="shared" si="22"/>
        <v>0</v>
      </c>
      <c r="T116" s="3587">
        <f t="shared" si="23"/>
        <v>0</v>
      </c>
      <c r="U116" s="3484"/>
    </row>
    <row r="117" spans="2:21" x14ac:dyDescent="0.15">
      <c r="B117" s="973" t="s">
        <v>546</v>
      </c>
      <c r="E117" s="3564">
        <f>rice!W14</f>
        <v>0</v>
      </c>
      <c r="F117" s="3615">
        <f>rice!W15</f>
        <v>0</v>
      </c>
      <c r="G117" s="3574">
        <f>rice!W18</f>
        <v>133.45315199999999</v>
      </c>
      <c r="H117" s="3587">
        <f>rice!W16+rice!W17</f>
        <v>1404.5814720000001</v>
      </c>
      <c r="I117" s="3484"/>
      <c r="K117" s="3564">
        <f t="shared" si="25"/>
        <v>0</v>
      </c>
      <c r="L117" s="3615">
        <f t="shared" si="25"/>
        <v>0</v>
      </c>
      <c r="M117" s="3574">
        <f t="shared" si="25"/>
        <v>26.6906304</v>
      </c>
      <c r="N117" s="3587">
        <f t="shared" si="25"/>
        <v>280.91629440000003</v>
      </c>
      <c r="O117" s="3484"/>
      <c r="Q117" s="3564">
        <f t="shared" si="24"/>
        <v>0</v>
      </c>
      <c r="R117" s="3615">
        <f t="shared" si="21"/>
        <v>0</v>
      </c>
      <c r="S117" s="3574">
        <f t="shared" si="22"/>
        <v>20</v>
      </c>
      <c r="T117" s="3587">
        <f t="shared" si="23"/>
        <v>20</v>
      </c>
      <c r="U117" s="3484"/>
    </row>
    <row r="118" spans="2:21" x14ac:dyDescent="0.15">
      <c r="B118" s="973" t="s">
        <v>3002</v>
      </c>
      <c r="E118" s="3564">
        <f>grass!X44</f>
        <v>0</v>
      </c>
      <c r="F118" s="3615">
        <f>grass!X45</f>
        <v>1650.0000000000014</v>
      </c>
      <c r="G118" s="3574">
        <f>grass!X46+grass!X47</f>
        <v>0</v>
      </c>
      <c r="H118" s="3587">
        <f>grass!X48</f>
        <v>0</v>
      </c>
      <c r="I118" s="3484"/>
      <c r="K118" s="3564">
        <f t="shared" si="25"/>
        <v>0</v>
      </c>
      <c r="L118" s="3615">
        <f t="shared" si="25"/>
        <v>825.00000000000068</v>
      </c>
      <c r="M118" s="3574">
        <f t="shared" si="25"/>
        <v>0</v>
      </c>
      <c r="N118" s="3587">
        <f t="shared" si="25"/>
        <v>0</v>
      </c>
      <c r="O118" s="3484"/>
      <c r="Q118" s="3564">
        <f t="shared" si="24"/>
        <v>0</v>
      </c>
      <c r="R118" s="3615">
        <f t="shared" si="21"/>
        <v>50</v>
      </c>
      <c r="S118" s="3574">
        <f t="shared" si="22"/>
        <v>0</v>
      </c>
      <c r="T118" s="3587">
        <f t="shared" si="23"/>
        <v>0</v>
      </c>
      <c r="U118" s="3484"/>
    </row>
    <row r="119" spans="2:21" x14ac:dyDescent="0.15">
      <c r="B119" s="973" t="s">
        <v>2958</v>
      </c>
      <c r="E119" s="3483"/>
      <c r="F119" s="3553"/>
      <c r="G119" s="3574">
        <f ca="1">Livestock!AM10</f>
        <v>370.99117289732152</v>
      </c>
      <c r="H119" s="3587">
        <f ca="1">Livestock!AM9</f>
        <v>7386.7295249999997</v>
      </c>
      <c r="I119" s="3484"/>
      <c r="K119" s="3483"/>
      <c r="L119" s="3553"/>
      <c r="M119" s="3574">
        <f ca="1">ABS(IF(G91="*",$K$74,IF(G91="**",$K$75,IF(G91="***",$K$76,$K$77)))*G119/100)</f>
        <v>122.42708705611611</v>
      </c>
      <c r="N119" s="3587">
        <f ca="1">ABS(IF(H91="*",$K$74,IF(H91="**",$K$75,IF(H91="***",$K$76,$K$77)))*H119/100)</f>
        <v>2437.62074325</v>
      </c>
      <c r="O119" s="3484"/>
      <c r="Q119" s="3483"/>
      <c r="R119" s="3553"/>
      <c r="S119" s="3574">
        <f t="shared" ca="1" si="22"/>
        <v>33</v>
      </c>
      <c r="T119" s="3587">
        <f t="shared" ca="1" si="23"/>
        <v>33</v>
      </c>
      <c r="U119" s="3484"/>
    </row>
    <row r="120" spans="2:21" x14ac:dyDescent="0.15">
      <c r="B120" s="1281" t="s">
        <v>3003</v>
      </c>
      <c r="E120" s="3564">
        <f>Coastal!V8+Coastal!V31+Coastal!V66</f>
        <v>0</v>
      </c>
      <c r="F120" s="3615">
        <f>Coastal!V9+Coastal!V32+Coastal!V67</f>
        <v>23996.958333333336</v>
      </c>
      <c r="G120" s="3574">
        <v>0</v>
      </c>
      <c r="H120" s="3587">
        <f>'Fish and aqua'!V114+Coastal!V68+Coastal!V118</f>
        <v>2326.4499999999998</v>
      </c>
      <c r="I120" s="3484"/>
      <c r="K120" s="3564">
        <f>ABS(IF(E92="*",$K$74,IF(E92="**",$K$75,IF(E92="***",$K$76,$K$77)))*E120/100)</f>
        <v>0</v>
      </c>
      <c r="L120" s="3615">
        <f>ABS(IF(F92="*",$K$74,IF(F92="**",$K$75,IF(F92="***",$K$76,$K$77)))*F120/100)</f>
        <v>11998.479166666668</v>
      </c>
      <c r="M120" s="3574">
        <f>ABS(IF(G92="*",$K$74,IF(G92="**",$K$75,IF(G92="***",$K$76,$K$77)))*G120/100)</f>
        <v>0</v>
      </c>
      <c r="N120" s="3587">
        <f>ABS(IF(H92="*",$K$74,IF(H92="**",$K$75,IF(H92="***",$K$76,$K$77)))*H120/100)</f>
        <v>1163.2249999999999</v>
      </c>
      <c r="O120" s="3484"/>
      <c r="Q120" s="3564">
        <f t="shared" si="24"/>
        <v>0</v>
      </c>
      <c r="R120" s="3615">
        <f t="shared" si="21"/>
        <v>50</v>
      </c>
      <c r="S120" s="3574">
        <f>IF(G120=0,0,100*ABS(M120/G120))</f>
        <v>0</v>
      </c>
      <c r="T120" s="3587">
        <f t="shared" si="23"/>
        <v>50</v>
      </c>
      <c r="U120" s="3484"/>
    </row>
    <row r="121" spans="2:21" x14ac:dyDescent="0.15">
      <c r="B121" s="1281" t="s">
        <v>2951</v>
      </c>
      <c r="E121" s="3483"/>
      <c r="F121" s="3762"/>
      <c r="G121" s="3762"/>
      <c r="H121" s="3587">
        <f>'Inl. wetlands'!BK503</f>
        <v>9914.94</v>
      </c>
      <c r="I121" s="3484"/>
      <c r="K121" s="3483"/>
      <c r="L121" s="3762"/>
      <c r="M121" s="3762"/>
      <c r="N121" s="3587">
        <f>ABS(IF(H93="*",$K$74,IF(H93="**",$K$75,IF(H93="***",$K$76,$K$77)))*H121/100)</f>
        <v>4957.47</v>
      </c>
      <c r="O121" s="3484"/>
      <c r="Q121" s="3483"/>
      <c r="R121" s="3762"/>
      <c r="S121" s="3762"/>
      <c r="T121" s="3587">
        <f t="shared" si="23"/>
        <v>50</v>
      </c>
      <c r="U121" s="3484"/>
    </row>
    <row r="122" spans="2:21" x14ac:dyDescent="0.15">
      <c r="B122" s="1281" t="s">
        <v>3004</v>
      </c>
      <c r="E122" s="3483"/>
      <c r="F122" s="3553"/>
      <c r="G122" s="3553"/>
      <c r="H122" s="3553"/>
      <c r="I122" s="3484"/>
      <c r="K122" s="3483"/>
      <c r="L122" s="3553"/>
      <c r="M122" s="3553"/>
      <c r="N122" s="3553"/>
      <c r="O122" s="3484"/>
      <c r="Q122" s="3483"/>
      <c r="R122" s="3553"/>
      <c r="S122" s="3553"/>
      <c r="T122" s="3553"/>
      <c r="U122" s="3484"/>
    </row>
    <row r="123" spans="2:21" x14ac:dyDescent="0.15">
      <c r="B123" s="973" t="s">
        <v>222</v>
      </c>
      <c r="E123" s="3564">
        <f>'Inl. wetlands'!BL35</f>
        <v>0</v>
      </c>
      <c r="F123" s="3615">
        <f>'Inl. wetlands'!BL36+'Inl. wetlands'!BL39</f>
        <v>6167.3333333333321</v>
      </c>
      <c r="G123" s="3574">
        <f>'Inl. wetlands'!BL38+'Inl. wetlands'!BL41</f>
        <v>670.44999999999993</v>
      </c>
      <c r="H123" s="3587">
        <f>'Inl. wetlands'!BL40+'Inl. wetlands'!BL37</f>
        <v>12403.708333333332</v>
      </c>
      <c r="I123" s="3616">
        <f>SUM('Inl. wetlands'!BL42:BL44)</f>
        <v>0</v>
      </c>
      <c r="K123" s="3564">
        <f t="shared" ref="K123:O126" si="26">ABS(IF(E95="*",$K$74,IF(E95="**",$K$75,IF(E95="***",$K$76,$K$77)))*E123/100)</f>
        <v>0</v>
      </c>
      <c r="L123" s="3615">
        <f t="shared" si="26"/>
        <v>3083.6666666666661</v>
      </c>
      <c r="M123" s="3574">
        <f t="shared" si="26"/>
        <v>335.22500000000002</v>
      </c>
      <c r="N123" s="3587">
        <f t="shared" si="26"/>
        <v>6201.8541666666661</v>
      </c>
      <c r="O123" s="3616">
        <f t="shared" si="26"/>
        <v>0</v>
      </c>
      <c r="Q123" s="3564">
        <f t="shared" si="24"/>
        <v>0</v>
      </c>
      <c r="R123" s="3615">
        <f t="shared" si="21"/>
        <v>50</v>
      </c>
      <c r="S123" s="3574">
        <f t="shared" si="22"/>
        <v>50.000000000000014</v>
      </c>
      <c r="T123" s="3587">
        <f t="shared" si="23"/>
        <v>50</v>
      </c>
      <c r="U123" s="3616">
        <f t="shared" ref="U123:U134" si="27">IF(I123=0,0,100*ABS(O123/I123))</f>
        <v>0</v>
      </c>
    </row>
    <row r="124" spans="2:21" x14ac:dyDescent="0.15">
      <c r="B124" s="973" t="s">
        <v>3005</v>
      </c>
      <c r="E124" s="3564">
        <f>'Inl. wetlands'!BL339</f>
        <v>0</v>
      </c>
      <c r="F124" s="3615">
        <f>'Inl. wetlands'!BL340+'Inl. wetlands'!BL343</f>
        <v>0</v>
      </c>
      <c r="G124" s="3574">
        <f>'Inl. wetlands'!BL342+'Inl. wetlands'!BL345</f>
        <v>0</v>
      </c>
      <c r="H124" s="3587">
        <f>'Inl. wetlands'!BL341+'Inl. wetlands'!BL344</f>
        <v>0</v>
      </c>
      <c r="I124" s="3616">
        <f>SUM('Inl. wetlands'!BL346:BL348)</f>
        <v>0</v>
      </c>
      <c r="K124" s="3564">
        <f t="shared" si="26"/>
        <v>0</v>
      </c>
      <c r="L124" s="3615">
        <f t="shared" si="26"/>
        <v>0</v>
      </c>
      <c r="M124" s="3574">
        <f t="shared" si="26"/>
        <v>0</v>
      </c>
      <c r="N124" s="3587">
        <f t="shared" si="26"/>
        <v>0</v>
      </c>
      <c r="O124" s="3616">
        <f t="shared" si="26"/>
        <v>0</v>
      </c>
      <c r="Q124" s="3564">
        <f t="shared" si="24"/>
        <v>0</v>
      </c>
      <c r="R124" s="3615">
        <f t="shared" si="21"/>
        <v>0</v>
      </c>
      <c r="S124" s="3574">
        <f t="shared" si="22"/>
        <v>0</v>
      </c>
      <c r="T124" s="3587">
        <f t="shared" si="23"/>
        <v>0</v>
      </c>
      <c r="U124" s="3616">
        <f t="shared" si="27"/>
        <v>0</v>
      </c>
    </row>
    <row r="125" spans="2:21" x14ac:dyDescent="0.15">
      <c r="B125" s="973" t="s">
        <v>2961</v>
      </c>
      <c r="E125" s="3564">
        <f>'Inl. wetlands'!BL134</f>
        <v>0</v>
      </c>
      <c r="F125" s="3615">
        <f>'Inl. wetlands'!BL135+'Inl. wetlands'!BL138</f>
        <v>0</v>
      </c>
      <c r="G125" s="3574">
        <f>'Inl. wetlands'!BL137+'Inl. wetlands'!BL140</f>
        <v>0</v>
      </c>
      <c r="H125" s="3587">
        <f>'Inl. wetlands'!BL136+'Inl. wetlands'!BL139</f>
        <v>0</v>
      </c>
      <c r="I125" s="3616">
        <f>SUM('Inl. wetlands'!BL141:BL143)</f>
        <v>0</v>
      </c>
      <c r="K125" s="3564">
        <f t="shared" si="26"/>
        <v>0</v>
      </c>
      <c r="L125" s="3615">
        <f t="shared" si="26"/>
        <v>0</v>
      </c>
      <c r="M125" s="3574">
        <f t="shared" si="26"/>
        <v>0</v>
      </c>
      <c r="N125" s="3587">
        <f t="shared" si="26"/>
        <v>0</v>
      </c>
      <c r="O125" s="3616">
        <f t="shared" si="26"/>
        <v>0</v>
      </c>
      <c r="Q125" s="3564">
        <f t="shared" si="24"/>
        <v>0</v>
      </c>
      <c r="R125" s="3615">
        <f t="shared" si="21"/>
        <v>0</v>
      </c>
      <c r="S125" s="3574">
        <f t="shared" si="22"/>
        <v>0</v>
      </c>
      <c r="T125" s="3587">
        <f t="shared" si="23"/>
        <v>0</v>
      </c>
      <c r="U125" s="3616">
        <f t="shared" si="27"/>
        <v>0</v>
      </c>
    </row>
    <row r="126" spans="2:21" x14ac:dyDescent="0.15">
      <c r="B126" s="973" t="s">
        <v>3006</v>
      </c>
      <c r="E126" s="3564">
        <f>'Inl. wetlands'!BL224</f>
        <v>0</v>
      </c>
      <c r="F126" s="3615">
        <f>'Inl. wetlands'!BL225+'Inl. wetlands'!BL228</f>
        <v>0</v>
      </c>
      <c r="G126" s="3574">
        <f>'Inl. wetlands'!BL227+'Inl. wetlands'!BL230</f>
        <v>0</v>
      </c>
      <c r="H126" s="3587">
        <f>'Inl. wetlands'!BL226+'Inl. wetlands'!BL229</f>
        <v>0</v>
      </c>
      <c r="I126" s="3616">
        <f>SUM('Inl. wetlands'!BL231:BL233)</f>
        <v>0</v>
      </c>
      <c r="K126" s="3564">
        <f t="shared" si="26"/>
        <v>0</v>
      </c>
      <c r="L126" s="3615">
        <f t="shared" si="26"/>
        <v>0</v>
      </c>
      <c r="M126" s="3574">
        <f t="shared" si="26"/>
        <v>0</v>
      </c>
      <c r="N126" s="3587">
        <f t="shared" si="26"/>
        <v>0</v>
      </c>
      <c r="O126" s="3616">
        <f t="shared" si="26"/>
        <v>0</v>
      </c>
      <c r="Q126" s="3564">
        <f t="shared" si="24"/>
        <v>0</v>
      </c>
      <c r="R126" s="3615">
        <f t="shared" si="21"/>
        <v>0</v>
      </c>
      <c r="S126" s="3574">
        <f t="shared" si="22"/>
        <v>0</v>
      </c>
      <c r="T126" s="3587">
        <f t="shared" si="23"/>
        <v>0</v>
      </c>
      <c r="U126" s="3616">
        <f t="shared" si="27"/>
        <v>0</v>
      </c>
    </row>
    <row r="127" spans="2:21" x14ac:dyDescent="0.15">
      <c r="B127" s="973" t="s">
        <v>3007</v>
      </c>
      <c r="E127" s="3483">
        <f>'Inl. wetlands'!BL415</f>
        <v>0</v>
      </c>
      <c r="F127" s="3615">
        <f>'Inl. wetlands'!BL416+'Inl. wetlands'!BL419</f>
        <v>0</v>
      </c>
      <c r="G127" s="3574">
        <f>'Inl. wetlands'!BL418+'Inl. wetlands'!BL421</f>
        <v>0</v>
      </c>
      <c r="H127" s="3587">
        <f>'Inl. wetlands'!BL417+'Inl. wetlands'!BL420</f>
        <v>0</v>
      </c>
      <c r="I127" s="3616">
        <f>SUM('Inl. wetlands'!BL422:BL424)</f>
        <v>0</v>
      </c>
      <c r="K127" s="3483"/>
      <c r="L127" s="3615">
        <f t="shared" ref="L127:O128" si="28">ABS(IF(F99="*",$K$74,IF(F99="**",$K$75,IF(F99="***",$K$76,$K$77)))*F127/100)</f>
        <v>0</v>
      </c>
      <c r="M127" s="3574">
        <f t="shared" si="28"/>
        <v>0</v>
      </c>
      <c r="N127" s="3587">
        <f t="shared" si="28"/>
        <v>0</v>
      </c>
      <c r="O127" s="3616">
        <f t="shared" si="28"/>
        <v>0</v>
      </c>
      <c r="Q127" s="3483"/>
      <c r="R127" s="3615">
        <f t="shared" si="21"/>
        <v>0</v>
      </c>
      <c r="S127" s="3574">
        <f t="shared" si="22"/>
        <v>0</v>
      </c>
      <c r="T127" s="3587">
        <f t="shared" si="23"/>
        <v>0</v>
      </c>
      <c r="U127" s="3616">
        <f t="shared" si="27"/>
        <v>0</v>
      </c>
    </row>
    <row r="128" spans="2:21" x14ac:dyDescent="0.15">
      <c r="B128" s="973" t="s">
        <v>2075</v>
      </c>
      <c r="E128" s="3483"/>
      <c r="F128" s="3615">
        <f>'Inl. wetlands'!BL474+'Inl. wetlands'!BL477</f>
        <v>7168530.416666667</v>
      </c>
      <c r="G128" s="3574">
        <f>'Inl. wetlands'!BL476+'Inl. wetlands'!BL479</f>
        <v>203.00892857142856</v>
      </c>
      <c r="H128" s="3587">
        <f>'Inl. wetlands'!BL475+'Inl. wetlands'!BL478</f>
        <v>12469.275</v>
      </c>
      <c r="I128" s="3616">
        <f>SUM('Inl. wetlands'!BL480:BL482)</f>
        <v>0</v>
      </c>
      <c r="K128" s="3483"/>
      <c r="L128" s="3615">
        <f>ABS(IF(F100="*",$K$74,IF(F100="**",$K$75,IF(F100="***",$K$76,$K$77)))*F128/100)</f>
        <v>3584265.208333334</v>
      </c>
      <c r="M128" s="3574">
        <f>ABS(IF(G100="*",$K$74,IF(G100="**",$K$75,IF(G100="***",$K$76,$K$77)))*G128/100)</f>
        <v>101.50446428571428</v>
      </c>
      <c r="N128" s="3587">
        <f>ABS(IF(H100="*",$K$74,IF(H100="**",$K$75,IF(H100="***",$K$76,$K$77)))*H128/100)</f>
        <v>6234.6374999999998</v>
      </c>
      <c r="O128" s="3616">
        <f t="shared" si="28"/>
        <v>0</v>
      </c>
      <c r="Q128" s="3483"/>
      <c r="R128" s="3615">
        <f t="shared" si="21"/>
        <v>50.000000000000014</v>
      </c>
      <c r="S128" s="3574">
        <f t="shared" si="22"/>
        <v>50</v>
      </c>
      <c r="T128" s="3587">
        <f t="shared" si="23"/>
        <v>50</v>
      </c>
      <c r="U128" s="3616">
        <f t="shared" si="27"/>
        <v>0</v>
      </c>
    </row>
    <row r="129" spans="2:21" x14ac:dyDescent="0.15">
      <c r="B129" s="1281" t="s">
        <v>3008</v>
      </c>
      <c r="E129" s="3483"/>
      <c r="F129" s="3553"/>
      <c r="G129" s="3553"/>
      <c r="H129" s="3553"/>
      <c r="I129" s="3484"/>
      <c r="K129" s="3483"/>
      <c r="L129" s="3553"/>
      <c r="M129" s="3553"/>
      <c r="N129" s="3553"/>
      <c r="O129" s="3484"/>
      <c r="Q129" s="3483"/>
      <c r="R129" s="3553"/>
      <c r="S129" s="3553"/>
      <c r="T129" s="3553"/>
      <c r="U129" s="3484"/>
    </row>
    <row r="130" spans="2:21" x14ac:dyDescent="0.15">
      <c r="B130" s="973" t="s">
        <v>2980</v>
      </c>
      <c r="E130" s="3483"/>
      <c r="F130" s="3615">
        <f>Inputs!O12</f>
        <v>0</v>
      </c>
      <c r="G130" s="3574">
        <f>Inputs!O40</f>
        <v>0</v>
      </c>
      <c r="H130" s="3553"/>
      <c r="I130" s="3616">
        <f>Inputs!O21+Inputs!O69</f>
        <v>0</v>
      </c>
      <c r="K130" s="3483"/>
      <c r="L130" s="3615">
        <f>ABS(IF(F102="*",$K$74,IF(F102="**",$K$75,IF(F102="***",$K$76,$K$77)))*F130/100)</f>
        <v>0</v>
      </c>
      <c r="M130" s="3574">
        <f>ABS(IF(G102="*",$K$74,IF(G102="**",$K$75,IF(G102="***",$K$76,$K$77)))*G130/100)</f>
        <v>0</v>
      </c>
      <c r="N130" s="3553"/>
      <c r="O130" s="3616">
        <f>ABS(IF(I102="*",$K$74,IF(I102="**",$K$75,IF(I102="***",$K$76,$K$77)))*I130/100)</f>
        <v>0</v>
      </c>
      <c r="Q130" s="3483"/>
      <c r="R130" s="3616">
        <f>IF(F130=0,0,100*ABS(L130/F130))</f>
        <v>0</v>
      </c>
      <c r="S130" s="3616">
        <f>IF(G130=0,0,100*ABS(M130/G130))</f>
        <v>0</v>
      </c>
      <c r="T130" s="3553"/>
      <c r="U130" s="3616">
        <f t="shared" si="27"/>
        <v>0</v>
      </c>
    </row>
    <row r="131" spans="2:21" x14ac:dyDescent="0.15">
      <c r="B131" s="973" t="s">
        <v>2981</v>
      </c>
      <c r="E131" s="3763"/>
      <c r="F131" s="3764"/>
      <c r="G131" s="3574">
        <f>'Fish and aqua'!V113</f>
        <v>241.03926785714287</v>
      </c>
      <c r="H131" s="3553"/>
      <c r="I131" s="3616">
        <f>'Fish and aqua'!AB55+'Fish and aqua'!V112</f>
        <v>46733.901299199584</v>
      </c>
      <c r="K131" s="3763"/>
      <c r="L131" s="3764"/>
      <c r="M131" s="3553"/>
      <c r="N131" s="3553"/>
      <c r="O131" s="3616">
        <f>ABS(IF(I103="*",$K$74,IF(I103="**",$K$75,IF(I103="***",$K$76,$K$77)))*I131/100)</f>
        <v>9346.7802598399176</v>
      </c>
      <c r="Q131" s="3763"/>
      <c r="R131" s="3764"/>
      <c r="S131" s="3553"/>
      <c r="T131" s="3553"/>
      <c r="U131" s="3616">
        <f t="shared" si="27"/>
        <v>20</v>
      </c>
    </row>
    <row r="132" spans="2:21" x14ac:dyDescent="0.15">
      <c r="B132" s="973" t="s">
        <v>2982</v>
      </c>
      <c r="E132" s="3483"/>
      <c r="F132" s="3553"/>
      <c r="G132" s="3553"/>
      <c r="H132" s="3553"/>
      <c r="I132" s="3616">
        <f>Inputs!O103</f>
        <v>417324.17999999993</v>
      </c>
      <c r="K132" s="3483"/>
      <c r="L132" s="3553"/>
      <c r="M132" s="3553"/>
      <c r="N132" s="3553"/>
      <c r="O132" s="3616">
        <f>ABS(IF(I104="*",$K$74,IF(I104="**",$K$75,IF(I104="***",$K$76,$K$77)))*I132/100)</f>
        <v>137716.97939999998</v>
      </c>
      <c r="Q132" s="3483"/>
      <c r="R132" s="3553"/>
      <c r="S132" s="3553"/>
      <c r="T132" s="3553"/>
      <c r="U132" s="3616">
        <f t="shared" si="27"/>
        <v>33</v>
      </c>
    </row>
    <row r="133" spans="2:21" x14ac:dyDescent="0.15">
      <c r="B133" s="973" t="s">
        <v>2983</v>
      </c>
      <c r="E133" s="3765"/>
      <c r="F133" s="3764"/>
      <c r="G133" s="3764"/>
      <c r="H133" s="3764"/>
      <c r="I133" s="3616">
        <f>Inputs!O133</f>
        <v>6.8185057295512497</v>
      </c>
      <c r="K133" s="3765"/>
      <c r="L133" s="3764"/>
      <c r="M133" s="3764"/>
      <c r="N133" s="3764"/>
      <c r="O133" s="3616">
        <f>ABS(IF(I105="*",$K$74,IF(I105="**",$K$75,IF(I105="***",$K$76,$K$77)))*I133/100)</f>
        <v>2.2501068907519124</v>
      </c>
      <c r="Q133" s="3765"/>
      <c r="R133" s="3764"/>
      <c r="S133" s="3764"/>
      <c r="T133" s="3764"/>
      <c r="U133" s="3616">
        <f t="shared" si="27"/>
        <v>33</v>
      </c>
    </row>
    <row r="134" spans="2:21" x14ac:dyDescent="0.15">
      <c r="B134" s="973" t="s">
        <v>2984</v>
      </c>
      <c r="E134" s="3872"/>
      <c r="F134" s="3873"/>
      <c r="G134" s="3873"/>
      <c r="H134" s="3873"/>
      <c r="I134" s="3617">
        <f>Inputs!O153</f>
        <v>1.3120000000000001</v>
      </c>
      <c r="K134" s="3872"/>
      <c r="L134" s="3873"/>
      <c r="M134" s="3873"/>
      <c r="N134" s="3873"/>
      <c r="O134" s="3616">
        <f>ABS(IF(I106="*",$K$74,IF(I106="**",$K$75,IF(I106="***",$K$76,$K$77)))*I134/100)</f>
        <v>0.43296000000000001</v>
      </c>
      <c r="Q134" s="3872"/>
      <c r="R134" s="3873"/>
      <c r="S134" s="3873"/>
      <c r="T134" s="3873"/>
      <c r="U134" s="3616">
        <f t="shared" si="27"/>
        <v>33</v>
      </c>
    </row>
    <row r="135" spans="2:21" x14ac:dyDescent="0.15">
      <c r="E135" s="3878" t="s">
        <v>3011</v>
      </c>
      <c r="F135" s="3878"/>
      <c r="G135" s="3878"/>
      <c r="H135" s="3878"/>
      <c r="I135" s="3504">
        <f ca="1">SUM(E110:I134)</f>
        <v>7706499.9341702322</v>
      </c>
      <c r="K135" s="3878" t="s">
        <v>3012</v>
      </c>
      <c r="L135" s="3878"/>
      <c r="M135" s="3878"/>
      <c r="N135" s="3878"/>
      <c r="O135" s="3504">
        <f ca="1">SUM(K110:O134)</f>
        <v>3774035.6462301849</v>
      </c>
      <c r="Q135" s="1281" t="s">
        <v>3010</v>
      </c>
      <c r="R135" s="1281"/>
      <c r="S135" s="1281"/>
      <c r="T135" s="1281"/>
      <c r="U135" s="3876">
        <f ca="1">IFERROR(IF(O135=0,"",SUMPRODUCT(K110:O134,Q110:U134)/O135)/100,0)</f>
        <v>0.49282298630719368</v>
      </c>
    </row>
    <row r="137" spans="2:21" x14ac:dyDescent="0.15">
      <c r="B137" s="1281" t="s">
        <v>2996</v>
      </c>
      <c r="E137" s="1281" t="s">
        <v>2997</v>
      </c>
    </row>
    <row r="138" spans="2:21" ht="38.25" customHeight="1" x14ac:dyDescent="0.15">
      <c r="B138" s="3877" t="s">
        <v>201</v>
      </c>
      <c r="E138" s="3559" t="s">
        <v>1253</v>
      </c>
      <c r="F138" s="3559" t="s">
        <v>2998</v>
      </c>
      <c r="G138" s="3559" t="s">
        <v>177</v>
      </c>
      <c r="H138" s="3559" t="s">
        <v>176</v>
      </c>
      <c r="I138" s="3559" t="s">
        <v>2957</v>
      </c>
      <c r="K138" s="3559" t="s">
        <v>1253</v>
      </c>
      <c r="L138" s="3559" t="s">
        <v>2998</v>
      </c>
      <c r="M138" s="3559" t="s">
        <v>177</v>
      </c>
      <c r="N138" s="3559" t="s">
        <v>176</v>
      </c>
      <c r="O138" s="3559" t="s">
        <v>2957</v>
      </c>
      <c r="Q138" s="3559" t="s">
        <v>1253</v>
      </c>
      <c r="R138" s="3559" t="s">
        <v>2998</v>
      </c>
      <c r="S138" s="3559" t="s">
        <v>177</v>
      </c>
      <c r="T138" s="3559" t="s">
        <v>176</v>
      </c>
      <c r="U138" s="3559" t="s">
        <v>2957</v>
      </c>
    </row>
    <row r="139" spans="2:21" x14ac:dyDescent="0.15">
      <c r="B139" s="973" t="s">
        <v>222</v>
      </c>
      <c r="E139" s="3564">
        <f>SUM(defo!J35:J42,defo!N35:N42,defo!L35:L42)</f>
        <v>0</v>
      </c>
      <c r="F139" s="3615">
        <f>SUM(defo!P35:P42)</f>
        <v>0</v>
      </c>
      <c r="G139" s="3574">
        <f>SUM(defo!AC23:AC30,defo!AE23:AE30)</f>
        <v>0</v>
      </c>
      <c r="H139" s="3587">
        <f>SUM(defo!AA23:AA30)</f>
        <v>0</v>
      </c>
      <c r="I139" s="3484"/>
      <c r="K139" s="3564">
        <f t="shared" ref="K139:N142" si="29">ABS(IF(E82="*",$K$74,IF(E82="**",$K$75,IF(E82="***",$K$76,$K$77)))*E139/100)</f>
        <v>0</v>
      </c>
      <c r="L139" s="3615">
        <f t="shared" si="29"/>
        <v>0</v>
      </c>
      <c r="M139" s="3574">
        <f t="shared" si="29"/>
        <v>0</v>
      </c>
      <c r="N139" s="3587">
        <f t="shared" si="29"/>
        <v>0</v>
      </c>
      <c r="O139" s="3484"/>
      <c r="Q139" s="3564">
        <f t="shared" ref="Q139:T142" si="30">IF(E139=0,0,100*ABS(K139/E139))</f>
        <v>0</v>
      </c>
      <c r="R139" s="3615">
        <f t="shared" si="30"/>
        <v>0</v>
      </c>
      <c r="S139" s="3574">
        <f t="shared" si="30"/>
        <v>0</v>
      </c>
      <c r="T139" s="3587">
        <f t="shared" si="30"/>
        <v>0</v>
      </c>
      <c r="U139" s="3484"/>
    </row>
    <row r="140" spans="2:21" x14ac:dyDescent="0.15">
      <c r="B140" s="973" t="s">
        <v>2960</v>
      </c>
      <c r="E140" s="3564">
        <f>degradation!BC56+degradation!BC57</f>
        <v>0</v>
      </c>
      <c r="F140" s="3615">
        <f>degradation!BC58</f>
        <v>0</v>
      </c>
      <c r="G140" s="3574">
        <f>degradation!BC60</f>
        <v>0</v>
      </c>
      <c r="H140" s="3587">
        <f>degradation!BC59</f>
        <v>0</v>
      </c>
      <c r="I140" s="3484"/>
      <c r="K140" s="3564">
        <f t="shared" si="29"/>
        <v>0</v>
      </c>
      <c r="L140" s="3615">
        <f t="shared" si="29"/>
        <v>0</v>
      </c>
      <c r="M140" s="3574">
        <f t="shared" si="29"/>
        <v>0</v>
      </c>
      <c r="N140" s="3587">
        <f t="shared" si="29"/>
        <v>0</v>
      </c>
      <c r="O140" s="3484"/>
      <c r="Q140" s="3564">
        <f t="shared" si="30"/>
        <v>0</v>
      </c>
      <c r="R140" s="3615">
        <f t="shared" si="30"/>
        <v>0</v>
      </c>
      <c r="S140" s="3574">
        <f t="shared" si="30"/>
        <v>0</v>
      </c>
      <c r="T140" s="3587">
        <f t="shared" si="30"/>
        <v>0</v>
      </c>
      <c r="U140" s="3484"/>
    </row>
    <row r="141" spans="2:21" x14ac:dyDescent="0.15">
      <c r="B141" s="973" t="s">
        <v>2999</v>
      </c>
      <c r="E141" s="3564">
        <f>affo!AP26+affo!AP27</f>
        <v>0</v>
      </c>
      <c r="F141" s="3615">
        <f>affo!AP28</f>
        <v>0</v>
      </c>
      <c r="G141" s="3574">
        <f>affo!AP29</f>
        <v>0</v>
      </c>
      <c r="H141" s="3587">
        <f>affo!AP29</f>
        <v>0</v>
      </c>
      <c r="I141" s="3484"/>
      <c r="K141" s="3564">
        <f t="shared" si="29"/>
        <v>0</v>
      </c>
      <c r="L141" s="3615">
        <f t="shared" si="29"/>
        <v>0</v>
      </c>
      <c r="M141" s="3574">
        <f t="shared" si="29"/>
        <v>0</v>
      </c>
      <c r="N141" s="3587">
        <f t="shared" si="29"/>
        <v>0</v>
      </c>
      <c r="O141" s="3484"/>
      <c r="Q141" s="3564">
        <f t="shared" si="30"/>
        <v>0</v>
      </c>
      <c r="R141" s="3615">
        <f t="shared" si="30"/>
        <v>0</v>
      </c>
      <c r="S141" s="3574">
        <f t="shared" si="30"/>
        <v>0</v>
      </c>
      <c r="T141" s="3587">
        <f t="shared" si="30"/>
        <v>0</v>
      </c>
      <c r="U141" s="3484"/>
    </row>
    <row r="142" spans="2:21" x14ac:dyDescent="0.15">
      <c r="B142" s="973" t="s">
        <v>3000</v>
      </c>
      <c r="E142" s="3564">
        <f>luc!X14</f>
        <v>-1008.1500000000003</v>
      </c>
      <c r="F142" s="3615">
        <f>luc!X15</f>
        <v>1979.9999999999993</v>
      </c>
      <c r="G142" s="3574">
        <f>luc!X16+luc!X18</f>
        <v>0</v>
      </c>
      <c r="H142" s="3587">
        <f>luc!X17</f>
        <v>0</v>
      </c>
      <c r="I142" s="3484"/>
      <c r="K142" s="3564">
        <f t="shared" si="29"/>
        <v>332.68950000000012</v>
      </c>
      <c r="L142" s="3615">
        <f t="shared" si="29"/>
        <v>989.99999999999966</v>
      </c>
      <c r="M142" s="3574">
        <f t="shared" si="29"/>
        <v>0</v>
      </c>
      <c r="N142" s="3587">
        <f t="shared" si="29"/>
        <v>0</v>
      </c>
      <c r="O142" s="3484"/>
      <c r="Q142" s="3564">
        <f t="shared" si="30"/>
        <v>33</v>
      </c>
      <c r="R142" s="3615">
        <f t="shared" si="30"/>
        <v>50</v>
      </c>
      <c r="S142" s="3574">
        <f t="shared" si="30"/>
        <v>0</v>
      </c>
      <c r="T142" s="3587">
        <f t="shared" si="30"/>
        <v>0</v>
      </c>
      <c r="U142" s="3484"/>
    </row>
    <row r="143" spans="2:21" x14ac:dyDescent="0.15">
      <c r="B143" s="1281" t="s">
        <v>3001</v>
      </c>
      <c r="E143" s="3483"/>
      <c r="F143" s="3553"/>
      <c r="G143" s="3553"/>
      <c r="H143" s="3553"/>
      <c r="I143" s="3484"/>
      <c r="K143" s="3483"/>
      <c r="L143" s="3553"/>
      <c r="M143" s="3553"/>
      <c r="N143" s="3553"/>
      <c r="O143" s="3484"/>
      <c r="Q143" s="3483"/>
      <c r="R143" s="3553"/>
      <c r="S143" s="3553"/>
      <c r="T143" s="3553"/>
      <c r="U143" s="3484"/>
    </row>
    <row r="144" spans="2:21" x14ac:dyDescent="0.15">
      <c r="B144" s="973" t="s">
        <v>2071</v>
      </c>
      <c r="E144" s="3564">
        <f>annual!Y40</f>
        <v>0</v>
      </c>
      <c r="F144" s="3615">
        <f>annual!Y41</f>
        <v>-3034.6800000000021</v>
      </c>
      <c r="G144" s="3574">
        <f>annual!Y42+annual!Y44</f>
        <v>484.95384599421436</v>
      </c>
      <c r="H144" s="3587">
        <f>annual!Y43</f>
        <v>961.10930764799991</v>
      </c>
      <c r="I144" s="3484"/>
      <c r="K144" s="3564">
        <f t="shared" ref="K144:N147" si="31">ABS(IF(E87="*",$K$74,IF(E87="**",$K$75,IF(E87="***",$K$76,$K$77)))*E144/100)</f>
        <v>0</v>
      </c>
      <c r="L144" s="3615">
        <f t="shared" si="31"/>
        <v>1517.3400000000011</v>
      </c>
      <c r="M144" s="3574">
        <f t="shared" si="31"/>
        <v>96.99076919884287</v>
      </c>
      <c r="N144" s="3587">
        <f t="shared" si="31"/>
        <v>192.22186152960001</v>
      </c>
      <c r="O144" s="3484"/>
      <c r="Q144" s="3564">
        <f t="shared" ref="Q144:R147" si="32">IF(E144=0,0,100*ABS(K144/E144))</f>
        <v>0</v>
      </c>
      <c r="R144" s="3615">
        <f t="shared" si="32"/>
        <v>50</v>
      </c>
      <c r="S144" s="3574">
        <f t="shared" ref="S144:S149" si="33">IF(G144=0,0,100*ABS(M144/G144))</f>
        <v>20</v>
      </c>
      <c r="T144" s="3587">
        <f t="shared" ref="T144:T150" si="34">IF(H144=0,0,100*ABS(N144/H144))</f>
        <v>20</v>
      </c>
      <c r="U144" s="3484"/>
    </row>
    <row r="145" spans="2:21" x14ac:dyDescent="0.15">
      <c r="B145" s="973" t="s">
        <v>2072</v>
      </c>
      <c r="E145" s="3564">
        <f>perennial!AC49</f>
        <v>-5324</v>
      </c>
      <c r="F145" s="3615">
        <f>perennial!AC50</f>
        <v>-167.27040000000048</v>
      </c>
      <c r="G145" s="3574">
        <f>perennial!AC52+perennial!AC55</f>
        <v>0</v>
      </c>
      <c r="H145" s="3587">
        <f>perennial!AC53</f>
        <v>0</v>
      </c>
      <c r="I145" s="3484"/>
      <c r="K145" s="3564">
        <f t="shared" si="31"/>
        <v>1756.92</v>
      </c>
      <c r="L145" s="3615">
        <f t="shared" si="31"/>
        <v>83.635200000000239</v>
      </c>
      <c r="M145" s="3574">
        <f t="shared" si="31"/>
        <v>0</v>
      </c>
      <c r="N145" s="3587">
        <f t="shared" si="31"/>
        <v>0</v>
      </c>
      <c r="O145" s="3484"/>
      <c r="Q145" s="3564">
        <f t="shared" si="32"/>
        <v>33</v>
      </c>
      <c r="R145" s="3615">
        <f t="shared" si="32"/>
        <v>50</v>
      </c>
      <c r="S145" s="3574">
        <f t="shared" si="33"/>
        <v>0</v>
      </c>
      <c r="T145" s="3587">
        <f t="shared" si="34"/>
        <v>0</v>
      </c>
      <c r="U145" s="3484"/>
    </row>
    <row r="146" spans="2:21" x14ac:dyDescent="0.15">
      <c r="B146" s="973" t="s">
        <v>546</v>
      </c>
      <c r="E146" s="3564">
        <f>rice!X14</f>
        <v>0</v>
      </c>
      <c r="F146" s="3615">
        <f>rice!X15</f>
        <v>0</v>
      </c>
      <c r="G146" s="3574">
        <f>rice!X18</f>
        <v>133.45315199999999</v>
      </c>
      <c r="H146" s="3587">
        <f>rice!X16+rice!X17</f>
        <v>1404.5814720000001</v>
      </c>
      <c r="I146" s="3484"/>
      <c r="K146" s="3564">
        <f t="shared" si="31"/>
        <v>0</v>
      </c>
      <c r="L146" s="3615">
        <f t="shared" si="31"/>
        <v>0</v>
      </c>
      <c r="M146" s="3574">
        <f t="shared" si="31"/>
        <v>26.6906304</v>
      </c>
      <c r="N146" s="3587">
        <f t="shared" si="31"/>
        <v>280.91629440000003</v>
      </c>
      <c r="O146" s="3484"/>
      <c r="Q146" s="3564">
        <f t="shared" si="32"/>
        <v>0</v>
      </c>
      <c r="R146" s="3615">
        <f t="shared" si="32"/>
        <v>0</v>
      </c>
      <c r="S146" s="3574">
        <f t="shared" si="33"/>
        <v>20</v>
      </c>
      <c r="T146" s="3587">
        <f t="shared" si="34"/>
        <v>20</v>
      </c>
      <c r="U146" s="3484"/>
    </row>
    <row r="147" spans="2:21" x14ac:dyDescent="0.15">
      <c r="B147" s="973" t="s">
        <v>3002</v>
      </c>
      <c r="E147" s="3564">
        <f>grass!Y44</f>
        <v>0</v>
      </c>
      <c r="F147" s="3615">
        <f>grass!Y45</f>
        <v>-824.99999999999943</v>
      </c>
      <c r="G147" s="3574">
        <f>grass!Y46+grass!Y47</f>
        <v>0</v>
      </c>
      <c r="H147" s="3587">
        <f>grass!Y48</f>
        <v>0</v>
      </c>
      <c r="I147" s="3484"/>
      <c r="K147" s="3564">
        <f t="shared" si="31"/>
        <v>0</v>
      </c>
      <c r="L147" s="3615">
        <f t="shared" si="31"/>
        <v>412.49999999999972</v>
      </c>
      <c r="M147" s="3574">
        <f t="shared" si="31"/>
        <v>0</v>
      </c>
      <c r="N147" s="3587">
        <f t="shared" si="31"/>
        <v>0</v>
      </c>
      <c r="O147" s="3484"/>
      <c r="Q147" s="3564">
        <f t="shared" si="32"/>
        <v>0</v>
      </c>
      <c r="R147" s="3615">
        <f t="shared" si="32"/>
        <v>50</v>
      </c>
      <c r="S147" s="3574">
        <f t="shared" si="33"/>
        <v>0</v>
      </c>
      <c r="T147" s="3587">
        <f t="shared" si="34"/>
        <v>0</v>
      </c>
      <c r="U147" s="3484"/>
    </row>
    <row r="148" spans="2:21" x14ac:dyDescent="0.15">
      <c r="B148" s="973" t="s">
        <v>2958</v>
      </c>
      <c r="E148" s="3483"/>
      <c r="F148" s="3553"/>
      <c r="G148" s="3574">
        <f ca="1">Livestock!AN10</f>
        <v>370.99117289732152</v>
      </c>
      <c r="H148" s="3587">
        <f ca="1">Livestock!AN9</f>
        <v>6591.3899625000004</v>
      </c>
      <c r="I148" s="3484"/>
      <c r="K148" s="3483"/>
      <c r="L148" s="3553"/>
      <c r="M148" s="3574">
        <f ca="1">ABS(IF(G91="*",$K$74,IF(G91="**",$K$75,IF(G91="***",$K$76,$K$77)))*G148/100)</f>
        <v>122.42708705611611</v>
      </c>
      <c r="N148" s="3587">
        <f ca="1">ABS(IF(H91="*",$K$74,IF(H91="**",$K$75,IF(H91="***",$K$76,$K$77)))*H148/100)</f>
        <v>2175.1586876249999</v>
      </c>
      <c r="O148" s="3484"/>
      <c r="Q148" s="3483"/>
      <c r="R148" s="3553"/>
      <c r="S148" s="3574">
        <f t="shared" ca="1" si="33"/>
        <v>33</v>
      </c>
      <c r="T148" s="3587">
        <f t="shared" ca="1" si="34"/>
        <v>32.999999999999993</v>
      </c>
      <c r="U148" s="3484"/>
    </row>
    <row r="149" spans="2:21" x14ac:dyDescent="0.15">
      <c r="B149" s="1281" t="s">
        <v>3003</v>
      </c>
      <c r="E149" s="3564">
        <f>Coastal!W8+Coastal!W31+Coastal!W66</f>
        <v>0</v>
      </c>
      <c r="F149" s="3615">
        <f>Coastal!W9+Coastal!W32+Coastal!W67</f>
        <v>23996.958333333336</v>
      </c>
      <c r="G149" s="3574">
        <v>0</v>
      </c>
      <c r="H149" s="3587">
        <f>Coastal!W68+'Fish and aqua'!W114+Coastal!W118</f>
        <v>5948.95</v>
      </c>
      <c r="I149" s="3484"/>
      <c r="K149" s="3564">
        <f>ABS(IF(E92="*",$K$74,IF(E92="**",$K$75,IF(E92="***",$K$76,$K$77)))*E149/100)</f>
        <v>0</v>
      </c>
      <c r="L149" s="3615">
        <f>ABS(IF(F92="*",$K$74,IF(F92="**",$K$75,IF(F92="***",$K$76,$K$77)))*F149/100)</f>
        <v>11998.479166666668</v>
      </c>
      <c r="M149" s="3574">
        <f>ABS(IF(G92="*",$K$74,IF(G92="**",$K$75,IF(G92="***",$K$76,$K$77)))*G149/100)</f>
        <v>0</v>
      </c>
      <c r="N149" s="3587">
        <f>ABS(IF(H92="*",$K$74,IF(H92="**",$K$75,IF(H92="***",$K$76,$K$77)))*H149/100)</f>
        <v>2974.4749999999999</v>
      </c>
      <c r="O149" s="3484"/>
      <c r="Q149" s="3564">
        <f>IF(E149=0,0,100*ABS(K149/E149))</f>
        <v>0</v>
      </c>
      <c r="R149" s="3615">
        <f>IF(F149=0,0,100*ABS(L149/F149))</f>
        <v>50</v>
      </c>
      <c r="S149" s="3574">
        <f t="shared" si="33"/>
        <v>0</v>
      </c>
      <c r="T149" s="3587">
        <f t="shared" si="34"/>
        <v>50</v>
      </c>
      <c r="U149" s="3484"/>
    </row>
    <row r="150" spans="2:21" x14ac:dyDescent="0.15">
      <c r="B150" s="1281" t="s">
        <v>2951</v>
      </c>
      <c r="E150" s="3483"/>
      <c r="F150" s="3762"/>
      <c r="G150" s="3762"/>
      <c r="H150" s="3587">
        <f>'Inl. wetlands'!BL503</f>
        <v>9914.94</v>
      </c>
      <c r="I150" s="3484"/>
      <c r="K150" s="3483"/>
      <c r="L150" s="3762"/>
      <c r="M150" s="3762"/>
      <c r="N150" s="3587">
        <f>ABS(IF(H93="*",$K$74,IF(H93="**",$K$75,IF(H93="***",$K$76,$K$77)))*H150/100)</f>
        <v>4957.47</v>
      </c>
      <c r="O150" s="3484"/>
      <c r="Q150" s="3483"/>
      <c r="R150" s="3762"/>
      <c r="S150" s="3762"/>
      <c r="T150" s="3587">
        <f t="shared" si="34"/>
        <v>50</v>
      </c>
      <c r="U150" s="3484"/>
    </row>
    <row r="151" spans="2:21" x14ac:dyDescent="0.15">
      <c r="B151" s="1281" t="s">
        <v>3004</v>
      </c>
      <c r="E151" s="3483"/>
      <c r="F151" s="3553"/>
      <c r="G151" s="3553"/>
      <c r="H151" s="3553"/>
      <c r="I151" s="3484"/>
      <c r="K151" s="3483"/>
      <c r="L151" s="3553"/>
      <c r="M151" s="3553"/>
      <c r="N151" s="3553"/>
      <c r="O151" s="3484"/>
      <c r="Q151" s="3483"/>
      <c r="R151" s="3553"/>
      <c r="S151" s="3553"/>
      <c r="T151" s="3553"/>
      <c r="U151" s="3484"/>
    </row>
    <row r="152" spans="2:21" x14ac:dyDescent="0.15">
      <c r="B152" s="973" t="s">
        <v>222</v>
      </c>
      <c r="E152" s="3564">
        <f>'Inl. wetlands'!BM35</f>
        <v>0</v>
      </c>
      <c r="F152" s="3615">
        <f>'Inl. wetlands'!BM36+'Inl. wetlands'!BM39</f>
        <v>8825.6666666666661</v>
      </c>
      <c r="G152" s="3574">
        <f>'Inl. wetlands'!BM38+'Inl. wetlands'!BM41</f>
        <v>961.95</v>
      </c>
      <c r="H152" s="3587">
        <f>'Inl. wetlands'!BM37+'Inl. wetlands'!BM40</f>
        <v>15631.291666666664</v>
      </c>
      <c r="I152" s="3616">
        <f>SUM('Inl. wetlands'!BM42:BM44)</f>
        <v>0</v>
      </c>
      <c r="K152" s="3564">
        <f t="shared" ref="K152:O155" si="35">ABS(IF(E95="*",$K$74,IF(E95="**",$K$75,IF(E95="***",$K$76,$K$77)))*E152/100)</f>
        <v>0</v>
      </c>
      <c r="L152" s="3615">
        <f t="shared" si="35"/>
        <v>4412.833333333333</v>
      </c>
      <c r="M152" s="3574">
        <f t="shared" si="35"/>
        <v>480.97500000000002</v>
      </c>
      <c r="N152" s="3587">
        <f t="shared" si="35"/>
        <v>7815.6458333333321</v>
      </c>
      <c r="O152" s="3616">
        <f t="shared" si="35"/>
        <v>0</v>
      </c>
      <c r="Q152" s="3564">
        <f>IF(E152=0,0,100*ABS(K152/E152))</f>
        <v>0</v>
      </c>
      <c r="R152" s="3615">
        <f t="shared" ref="R152:R157" si="36">IF(F152=0,0,100*ABS(L152/F152))</f>
        <v>50</v>
      </c>
      <c r="S152" s="3574">
        <f t="shared" ref="S152:S157" si="37">IF(G152=0,0,100*ABS(M152/G152))</f>
        <v>50</v>
      </c>
      <c r="T152" s="3587">
        <f t="shared" ref="T152:T157" si="38">IF(H152=0,0,100*ABS(N152/H152))</f>
        <v>50</v>
      </c>
      <c r="U152" s="3616">
        <f t="shared" ref="U152:U157" si="39">IF(I152=0,0,100*ABS(O152/I152))</f>
        <v>0</v>
      </c>
    </row>
    <row r="153" spans="2:21" x14ac:dyDescent="0.15">
      <c r="B153" s="973" t="s">
        <v>3005</v>
      </c>
      <c r="E153" s="3564">
        <f>'Inl. wetlands'!BM339</f>
        <v>0</v>
      </c>
      <c r="F153" s="3615">
        <f>'Inl. wetlands'!BM340</f>
        <v>0</v>
      </c>
      <c r="G153" s="3574">
        <f>'Inl. wetlands'!BM342+'Inl. wetlands'!BM345</f>
        <v>0</v>
      </c>
      <c r="H153" s="3587">
        <f>'Inl. wetlands'!BM341+'Inl. wetlands'!BM344</f>
        <v>0</v>
      </c>
      <c r="I153" s="3616">
        <f>SUM('Inl. wetlands'!BM346:BM348)</f>
        <v>0</v>
      </c>
      <c r="K153" s="3564">
        <f t="shared" si="35"/>
        <v>0</v>
      </c>
      <c r="L153" s="3615">
        <f t="shared" si="35"/>
        <v>0</v>
      </c>
      <c r="M153" s="3574">
        <f t="shared" si="35"/>
        <v>0</v>
      </c>
      <c r="N153" s="3587">
        <f t="shared" si="35"/>
        <v>0</v>
      </c>
      <c r="O153" s="3616">
        <f t="shared" si="35"/>
        <v>0</v>
      </c>
      <c r="Q153" s="3564">
        <f>IF(E153=0,0,100*ABS(K153/E153))</f>
        <v>0</v>
      </c>
      <c r="R153" s="3615">
        <f t="shared" si="36"/>
        <v>0</v>
      </c>
      <c r="S153" s="3574">
        <f t="shared" si="37"/>
        <v>0</v>
      </c>
      <c r="T153" s="3587">
        <f t="shared" si="38"/>
        <v>0</v>
      </c>
      <c r="U153" s="3616">
        <f t="shared" si="39"/>
        <v>0</v>
      </c>
    </row>
    <row r="154" spans="2:21" x14ac:dyDescent="0.15">
      <c r="B154" s="973" t="s">
        <v>2961</v>
      </c>
      <c r="E154" s="3564">
        <f>'Inl. wetlands'!BM134</f>
        <v>0</v>
      </c>
      <c r="F154" s="3615">
        <f>'Inl. wetlands'!BM135</f>
        <v>0</v>
      </c>
      <c r="G154" s="3574">
        <f>'Inl. wetlands'!BM137+'Inl. wetlands'!BM140</f>
        <v>0</v>
      </c>
      <c r="H154" s="3587">
        <f>'Inl. wetlands'!BM136+'Inl. wetlands'!BM139</f>
        <v>0</v>
      </c>
      <c r="I154" s="3616">
        <f>SUM('Inl. wetlands'!BM141:BM143)</f>
        <v>0</v>
      </c>
      <c r="K154" s="3564">
        <f t="shared" si="35"/>
        <v>0</v>
      </c>
      <c r="L154" s="3615">
        <f t="shared" si="35"/>
        <v>0</v>
      </c>
      <c r="M154" s="3574">
        <f t="shared" si="35"/>
        <v>0</v>
      </c>
      <c r="N154" s="3587">
        <f t="shared" si="35"/>
        <v>0</v>
      </c>
      <c r="O154" s="3616">
        <f t="shared" si="35"/>
        <v>0</v>
      </c>
      <c r="Q154" s="3564">
        <f>IF(E154=0,0,100*ABS(K154/E154))</f>
        <v>0</v>
      </c>
      <c r="R154" s="3615">
        <f t="shared" si="36"/>
        <v>0</v>
      </c>
      <c r="S154" s="3574">
        <f t="shared" si="37"/>
        <v>0</v>
      </c>
      <c r="T154" s="3587">
        <f t="shared" si="38"/>
        <v>0</v>
      </c>
      <c r="U154" s="3616">
        <f t="shared" si="39"/>
        <v>0</v>
      </c>
    </row>
    <row r="155" spans="2:21" x14ac:dyDescent="0.15">
      <c r="B155" s="973" t="s">
        <v>3006</v>
      </c>
      <c r="E155" s="3564">
        <f>'Inl. wetlands'!BM224</f>
        <v>0</v>
      </c>
      <c r="F155" s="3615">
        <f>'Inl. wetlands'!BM225</f>
        <v>0</v>
      </c>
      <c r="G155" s="3574">
        <f>'Inl. wetlands'!BM227+'Inl. wetlands'!BM230</f>
        <v>0</v>
      </c>
      <c r="H155" s="3587">
        <f>'Inl. wetlands'!BM226+'Inl. wetlands'!BM229</f>
        <v>0</v>
      </c>
      <c r="I155" s="3616">
        <f>SUM('Inl. wetlands'!BM231:BM233)</f>
        <v>0</v>
      </c>
      <c r="K155" s="3564">
        <f t="shared" si="35"/>
        <v>0</v>
      </c>
      <c r="L155" s="3615">
        <f t="shared" si="35"/>
        <v>0</v>
      </c>
      <c r="M155" s="3574">
        <f t="shared" si="35"/>
        <v>0</v>
      </c>
      <c r="N155" s="3587">
        <f t="shared" si="35"/>
        <v>0</v>
      </c>
      <c r="O155" s="3616">
        <f t="shared" si="35"/>
        <v>0</v>
      </c>
      <c r="Q155" s="3564">
        <f>IF(E155=0,0,100*ABS(K155/E155))</f>
        <v>0</v>
      </c>
      <c r="R155" s="3615">
        <f t="shared" si="36"/>
        <v>0</v>
      </c>
      <c r="S155" s="3574">
        <f t="shared" si="37"/>
        <v>0</v>
      </c>
      <c r="T155" s="3587">
        <f t="shared" si="38"/>
        <v>0</v>
      </c>
      <c r="U155" s="3616">
        <f t="shared" si="39"/>
        <v>0</v>
      </c>
    </row>
    <row r="156" spans="2:21" x14ac:dyDescent="0.15">
      <c r="B156" s="973" t="s">
        <v>3007</v>
      </c>
      <c r="E156" s="3483">
        <f>'Inl. wetlands'!BM415</f>
        <v>0</v>
      </c>
      <c r="F156" s="3615">
        <f>'Inl. wetlands'!BM416</f>
        <v>0</v>
      </c>
      <c r="G156" s="3574">
        <f>'Inl. wetlands'!BM418+'Inl. wetlands'!BM421</f>
        <v>0</v>
      </c>
      <c r="H156" s="3587">
        <f>'Inl. wetlands'!BM417+'Inl. wetlands'!BM420</f>
        <v>0</v>
      </c>
      <c r="I156" s="3616">
        <f>SUM('Inl. wetlands'!BM422:BM424)</f>
        <v>0</v>
      </c>
      <c r="K156" s="3483"/>
      <c r="L156" s="3615">
        <f t="shared" ref="L156:O157" si="40">ABS(IF(F99="*",$K$74,IF(F99="**",$K$75,IF(F99="***",$K$76,$K$77)))*F156/100)</f>
        <v>0</v>
      </c>
      <c r="M156" s="3574">
        <f t="shared" si="40"/>
        <v>0</v>
      </c>
      <c r="N156" s="3587">
        <f t="shared" si="40"/>
        <v>0</v>
      </c>
      <c r="O156" s="3616">
        <f t="shared" si="40"/>
        <v>0</v>
      </c>
      <c r="Q156" s="3483"/>
      <c r="R156" s="3615">
        <f t="shared" si="36"/>
        <v>0</v>
      </c>
      <c r="S156" s="3574">
        <f t="shared" si="37"/>
        <v>0</v>
      </c>
      <c r="T156" s="3587">
        <f t="shared" si="38"/>
        <v>0</v>
      </c>
      <c r="U156" s="3616">
        <f t="shared" si="39"/>
        <v>0</v>
      </c>
    </row>
    <row r="157" spans="2:21" x14ac:dyDescent="0.15">
      <c r="B157" s="973" t="s">
        <v>2075</v>
      </c>
      <c r="E157" s="3483"/>
      <c r="F157" s="3615">
        <f>'Inl. wetlands'!BM474</f>
        <v>7278815.5</v>
      </c>
      <c r="G157" s="3574">
        <f>'Inl. wetlands'!BM476+'Inl. wetlands'!BM479</f>
        <v>206.13214285714287</v>
      </c>
      <c r="H157" s="3587">
        <f>'Inl. wetlands'!BM475+'Inl. wetlands'!BM478</f>
        <v>12661.109999999999</v>
      </c>
      <c r="I157" s="3616">
        <f>SUM('Inl. wetlands'!BM480:BM482)</f>
        <v>0</v>
      </c>
      <c r="K157" s="3483"/>
      <c r="L157" s="3615">
        <f t="shared" si="40"/>
        <v>3639407.75</v>
      </c>
      <c r="M157" s="3574">
        <f t="shared" si="40"/>
        <v>103.06607142857143</v>
      </c>
      <c r="N157" s="3587">
        <f t="shared" si="40"/>
        <v>6330.5549999999985</v>
      </c>
      <c r="O157" s="3616">
        <f t="shared" si="40"/>
        <v>0</v>
      </c>
      <c r="Q157" s="3483"/>
      <c r="R157" s="3615">
        <f t="shared" si="36"/>
        <v>50</v>
      </c>
      <c r="S157" s="3574">
        <f t="shared" si="37"/>
        <v>50</v>
      </c>
      <c r="T157" s="3587">
        <f t="shared" si="38"/>
        <v>49.999999999999993</v>
      </c>
      <c r="U157" s="3616">
        <f t="shared" si="39"/>
        <v>0</v>
      </c>
    </row>
    <row r="158" spans="2:21" x14ac:dyDescent="0.15">
      <c r="B158" s="1281" t="s">
        <v>3008</v>
      </c>
      <c r="E158" s="3483"/>
      <c r="F158" s="3553"/>
      <c r="G158" s="3553"/>
      <c r="H158" s="3553"/>
      <c r="I158" s="3484"/>
      <c r="K158" s="3483"/>
      <c r="L158" s="3553"/>
      <c r="M158" s="3553"/>
      <c r="N158" s="3553"/>
      <c r="O158" s="3484"/>
      <c r="Q158" s="3483"/>
      <c r="R158" s="3553"/>
      <c r="S158" s="3553"/>
      <c r="T158" s="3553"/>
      <c r="U158" s="3484"/>
    </row>
    <row r="159" spans="2:21" x14ac:dyDescent="0.15">
      <c r="B159" s="973" t="s">
        <v>2980</v>
      </c>
      <c r="E159" s="3483"/>
      <c r="F159" s="3615">
        <f>Inputs!P12</f>
        <v>0</v>
      </c>
      <c r="G159" s="3574">
        <f>Inputs!P40</f>
        <v>0</v>
      </c>
      <c r="H159" s="3553"/>
      <c r="I159" s="3616">
        <f>Inputs!P21+Inputs!P69</f>
        <v>0</v>
      </c>
      <c r="K159" s="3483"/>
      <c r="L159" s="3616">
        <f>ABS(IF(F102="*",$K$74,IF(F102="**",$K$75,IF(F102="***",$K$76,$K$77)))*F159/100)</f>
        <v>0</v>
      </c>
      <c r="M159" s="3616">
        <f>ABS(IF(G102="*",$K$74,IF(G102="**",$K$75,IF(G102="***",$K$76,$K$77)))*G159/100)</f>
        <v>0</v>
      </c>
      <c r="N159" s="3484"/>
      <c r="O159" s="3616">
        <f>ABS(IF(I102="*",$K$74,IF(I102="**",$K$75,IF(I102="***",$K$76,$K$77)))*I159/100)</f>
        <v>0</v>
      </c>
      <c r="Q159" s="3483"/>
      <c r="R159" s="3616">
        <f>IF(F159=0,0,100*ABS(L159/F159))</f>
        <v>0</v>
      </c>
      <c r="S159" s="3616">
        <f>IF(G159=0,0,100*ABS(M159/G159))</f>
        <v>0</v>
      </c>
      <c r="T159" s="3484"/>
      <c r="U159" s="3616">
        <f>IF(I159=0,0,100*ABS(O159/I159))</f>
        <v>0</v>
      </c>
    </row>
    <row r="160" spans="2:21" x14ac:dyDescent="0.15">
      <c r="B160" s="973" t="s">
        <v>2981</v>
      </c>
      <c r="E160" s="3763"/>
      <c r="F160" s="3764"/>
      <c r="G160" s="3574">
        <f>'Fish and aqua'!W113</f>
        <v>434.57444642857155</v>
      </c>
      <c r="H160" s="3553"/>
      <c r="I160" s="3616">
        <f>'Fish and aqua'!AC55+'Fish and aqua'!W112</f>
        <v>44186.102941766585</v>
      </c>
      <c r="K160" s="3763"/>
      <c r="L160" s="3764"/>
      <c r="M160" s="3553"/>
      <c r="N160" s="3553"/>
      <c r="O160" s="3616">
        <f>ABS(IF(I103="*",$K$74,IF(I103="**",$K$75,IF(I103="***",$K$76,$K$77)))*I160/100)</f>
        <v>8837.220588353317</v>
      </c>
      <c r="Q160" s="3763"/>
      <c r="R160" s="3764"/>
      <c r="S160" s="3553"/>
      <c r="T160" s="3553"/>
      <c r="U160" s="3616">
        <f>IF(I160=0,0,100*ABS(O160/I160))</f>
        <v>20</v>
      </c>
    </row>
    <row r="161" spans="1:23" x14ac:dyDescent="0.15">
      <c r="B161" s="973" t="s">
        <v>2982</v>
      </c>
      <c r="E161" s="3483"/>
      <c r="F161" s="3553"/>
      <c r="G161" s="3553"/>
      <c r="H161" s="3553"/>
      <c r="I161" s="3616">
        <f>Inputs!P103</f>
        <v>423744.55199999991</v>
      </c>
      <c r="K161" s="3483"/>
      <c r="L161" s="3553"/>
      <c r="M161" s="3553"/>
      <c r="N161" s="3553"/>
      <c r="O161" s="3616">
        <f>ABS(IF(I104="*",$K$74,IF(I104="**",$K$75,IF(I104="***",$K$76,$K$77)))*I161/100)</f>
        <v>139835.70215999996</v>
      </c>
      <c r="Q161" s="3483"/>
      <c r="R161" s="3553"/>
      <c r="S161" s="3553"/>
      <c r="T161" s="3553"/>
      <c r="U161" s="3616">
        <f>IF(I161=0,0,100*ABS(O161/I161))</f>
        <v>32.999999999999993</v>
      </c>
    </row>
    <row r="162" spans="1:23" x14ac:dyDescent="0.15">
      <c r="B162" s="973" t="s">
        <v>2983</v>
      </c>
      <c r="E162" s="3765"/>
      <c r="F162" s="3764"/>
      <c r="G162" s="3764"/>
      <c r="H162" s="3764"/>
      <c r="I162" s="3616">
        <f>Inputs!P133</f>
        <v>9.286155422150749</v>
      </c>
      <c r="K162" s="3765"/>
      <c r="L162" s="3764"/>
      <c r="M162" s="3764"/>
      <c r="N162" s="3764"/>
      <c r="O162" s="3616">
        <f>ABS(IF(I105="*",$K$74,IF(I105="**",$K$75,IF(I105="***",$K$76,$K$77)))*I162/100)</f>
        <v>3.0644312893097467</v>
      </c>
      <c r="Q162" s="3765"/>
      <c r="R162" s="3764"/>
      <c r="S162" s="3764"/>
      <c r="T162" s="3764"/>
      <c r="U162" s="3616">
        <f>IF(I162=0,0,100*ABS(O162/I162))</f>
        <v>32.999999999999993</v>
      </c>
    </row>
    <row r="163" spans="1:23" x14ac:dyDescent="0.15">
      <c r="B163" s="973" t="s">
        <v>2984</v>
      </c>
      <c r="E163" s="3872"/>
      <c r="F163" s="3873"/>
      <c r="G163" s="3873"/>
      <c r="H163" s="3873"/>
      <c r="I163" s="3616">
        <f>Inputs!P153</f>
        <v>6.5600000000000005</v>
      </c>
      <c r="K163" s="3872"/>
      <c r="L163" s="3873"/>
      <c r="M163" s="3873"/>
      <c r="N163" s="3873"/>
      <c r="O163" s="3616">
        <f>ABS(IF(I106="*",$K$74,IF(I106="**",$K$75,IF(I106="***",$K$76,$K$77)))*I163/100)</f>
        <v>2.1648000000000001</v>
      </c>
      <c r="Q163" s="3872"/>
      <c r="R163" s="3873"/>
      <c r="S163" s="3873"/>
      <c r="T163" s="3873"/>
      <c r="U163" s="3616">
        <f>IF(I163=0,0,100*ABS(O163/I163))</f>
        <v>32.999999999999993</v>
      </c>
    </row>
    <row r="164" spans="1:23" x14ac:dyDescent="0.15">
      <c r="E164" s="3878" t="s">
        <v>3013</v>
      </c>
      <c r="F164" s="3878"/>
      <c r="G164" s="3878"/>
      <c r="H164" s="3878"/>
      <c r="I164" s="3504">
        <f ca="1">SUM(E139:I163)</f>
        <v>7826910.9528661799</v>
      </c>
      <c r="K164" s="3878" t="s">
        <v>3014</v>
      </c>
      <c r="L164" s="3878"/>
      <c r="M164" s="3878"/>
      <c r="N164" s="3878"/>
      <c r="O164" s="3504">
        <f ca="1">SUM(K139:O163)</f>
        <v>3835146.8914146139</v>
      </c>
      <c r="Q164" s="1281" t="s">
        <v>3010</v>
      </c>
      <c r="R164" s="1281"/>
      <c r="S164" s="1281"/>
      <c r="T164" s="1281"/>
      <c r="U164" s="3876">
        <f ca="1">IFERROR(IF(O164=0,"",SUMPRODUCT(K139:O163,Q139:U163)/O164)/100,0)</f>
        <v>0.49286885369694622</v>
      </c>
    </row>
    <row r="165" spans="1:23" x14ac:dyDescent="0.15">
      <c r="A165" s="3464"/>
      <c r="B165" s="3464"/>
      <c r="C165" s="3464"/>
      <c r="D165" s="3464"/>
      <c r="E165" s="3464"/>
      <c r="F165" s="3464"/>
      <c r="G165" s="3464"/>
      <c r="H165" s="3464"/>
      <c r="I165" s="3464"/>
      <c r="J165" s="3464"/>
      <c r="K165" s="3464"/>
      <c r="L165" s="3464"/>
      <c r="M165" s="3464"/>
      <c r="N165" s="3464"/>
      <c r="O165" s="3464"/>
      <c r="P165" s="3464"/>
      <c r="Q165" s="3464"/>
      <c r="R165" s="3464"/>
      <c r="S165" s="3464"/>
      <c r="T165" s="3464"/>
      <c r="U165" s="3464"/>
      <c r="V165" s="3464"/>
      <c r="W165" s="3464"/>
    </row>
  </sheetData>
  <mergeCells count="1">
    <mergeCell ref="E68:R72"/>
  </mergeCells>
  <conditionalFormatting sqref="D82:D104">
    <cfRule type="expression" dxfId="70" priority="1">
      <formula>$D82="Tier 2"</formula>
    </cfRule>
    <cfRule type="expression" dxfId="69" priority="2">
      <formula>$D82="Tier 1"</formula>
    </cfRule>
  </conditionalFormatting>
  <pageMargins left="0.7" right="0.7" top="0.75" bottom="0.75" header="0.3" footer="0.3"/>
  <pageSetup orientation="portrait" r:id="rId1"/>
  <ignoredErrors>
    <ignoredError sqref="M91:N91" formula="1"/>
  </ignoredErrors>
  <drawing r:id="rId2"/>
  <mc:AlternateContent xmlns:mc="http://schemas.openxmlformats.org/markup-compatibility/2006">
    <mc:Choice Requires="v">
      <legacyDrawing r:id="rId3"/>
    </mc:Choice>
  </mc:AlternateContent>
</worksheet>
</file>

<file path=xl/worksheets/sheet3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tabColor rgb="FF172735"/>
  </sheetPr>
  <dimension ref="B1:CG307"/>
  <sheetViews>
    <sheetView zoomScale="70" zoomScaleNormal="70" workbookViewId="0">
      <pane ySplit="1" topLeftCell="A103" activePane="bottomLeft" state="frozen"/>
      <selection pane="bottomLeft"/>
    </sheetView>
  </sheetViews>
  <sheetFormatPr baseColWidth="10" defaultColWidth="9.33203125" defaultRowHeight="14" x14ac:dyDescent="0.2"/>
  <cols>
    <col min="1" max="1" width="9.33203125" style="1771"/>
    <col min="2" max="2" width="18" style="1771" customWidth="1"/>
    <col min="3" max="3" width="21.33203125" style="1771" customWidth="1"/>
    <col min="4" max="6" width="19.5" style="1771" customWidth="1"/>
    <col min="7" max="7" width="16.5" style="1771" customWidth="1"/>
    <col min="8" max="9" width="19.5" style="1771" customWidth="1"/>
    <col min="10" max="10" width="20.6640625" style="1771" customWidth="1"/>
    <col min="11" max="12" width="19.5" style="1771" customWidth="1"/>
    <col min="13" max="13" width="17.33203125" style="1771" customWidth="1"/>
    <col min="14" max="14" width="20.5" style="1771" customWidth="1"/>
    <col min="15" max="16" width="19.5" style="1771" customWidth="1"/>
    <col min="17" max="17" width="19.6640625" style="1771" customWidth="1"/>
    <col min="18" max="18" width="14.6640625" style="1771" customWidth="1"/>
    <col min="19" max="19" width="14.5" style="1771" customWidth="1"/>
    <col min="20" max="20" width="15.6640625" style="1771" customWidth="1"/>
    <col min="21" max="21" width="13.6640625" style="1771" customWidth="1"/>
    <col min="22" max="22" width="14.6640625" style="1771" customWidth="1"/>
    <col min="23" max="23" width="19.6640625" style="1771" bestFit="1" customWidth="1"/>
    <col min="24" max="24" width="21" style="1771" customWidth="1"/>
    <col min="25" max="25" width="20.5" style="1771" customWidth="1"/>
    <col min="26" max="26" width="20.83203125" style="1771" customWidth="1"/>
    <col min="27" max="27" width="21.1640625" style="1771" customWidth="1"/>
    <col min="28" max="31" width="19.5" style="1771" bestFit="1" customWidth="1"/>
    <col min="32" max="34" width="20.83203125" style="1771" customWidth="1"/>
    <col min="35" max="35" width="21.1640625" style="1771" customWidth="1"/>
    <col min="36" max="36" width="20.5" style="1771" customWidth="1"/>
    <col min="37" max="37" width="20.83203125" style="1771" customWidth="1"/>
    <col min="38" max="38" width="20.5" style="1771" customWidth="1"/>
    <col min="39" max="39" width="21" style="1771" customWidth="1"/>
    <col min="40" max="44" width="19.5" style="1771" bestFit="1" customWidth="1"/>
    <col min="45" max="74" width="18.5" style="1771" bestFit="1" customWidth="1"/>
    <col min="75" max="16384" width="9.33203125" style="1771"/>
  </cols>
  <sheetData>
    <row r="1" spans="2:17" s="2076" customFormat="1" ht="100.5" customHeight="1" x14ac:dyDescent="0.2"/>
    <row r="4" spans="2:17" ht="57.75" customHeight="1" x14ac:dyDescent="0.2">
      <c r="B4" s="4602" t="str">
        <f>Languages!B629</f>
        <v>Summary GHG analysis</v>
      </c>
      <c r="C4" s="4602"/>
      <c r="D4" s="4602"/>
      <c r="E4" s="4602"/>
      <c r="F4" s="4602"/>
      <c r="G4" s="4602"/>
      <c r="H4" s="4602"/>
      <c r="I4" s="4602"/>
      <c r="J4" s="4603" t="str">
        <f>Languages!B630</f>
        <v>Net fluxes, in tCO2-e</v>
      </c>
      <c r="K4" s="4602"/>
      <c r="L4" s="4602"/>
      <c r="M4" s="4602"/>
      <c r="N4" s="4602"/>
      <c r="O4" s="4602"/>
      <c r="P4" s="4602"/>
      <c r="Q4" s="4602"/>
    </row>
    <row r="7" spans="2:17" ht="22" x14ac:dyDescent="0.25">
      <c r="B7" s="3899" t="str">
        <f>IF(C106="","",C106)</f>
        <v/>
      </c>
      <c r="C7" s="3896"/>
      <c r="D7" s="3896"/>
    </row>
    <row r="8" spans="2:17" ht="17" x14ac:dyDescent="0.2">
      <c r="D8" s="3885"/>
    </row>
    <row r="9" spans="2:17" ht="17" x14ac:dyDescent="0.2">
      <c r="B9" s="3897" t="str">
        <f t="shared" ref="B9:C12" si="0">B107</f>
        <v xml:space="preserve">Continent </v>
      </c>
      <c r="C9" s="3885" t="str">
        <f t="shared" si="0"/>
        <v>Europe</v>
      </c>
      <c r="D9" s="3885"/>
    </row>
    <row r="10" spans="2:17" ht="17" x14ac:dyDescent="0.2">
      <c r="B10" s="3897" t="str">
        <f t="shared" si="0"/>
        <v>Country</v>
      </c>
      <c r="C10" s="3885" t="str">
        <f t="shared" si="0"/>
        <v>Spain</v>
      </c>
      <c r="D10" s="3885"/>
    </row>
    <row r="11" spans="2:17" ht="17" x14ac:dyDescent="0.2">
      <c r="B11" s="3897" t="str">
        <f t="shared" si="0"/>
        <v xml:space="preserve">Climate </v>
      </c>
      <c r="C11" s="3885" t="str">
        <f t="shared" si="0"/>
        <v>Warm Temperate</v>
      </c>
      <c r="D11" s="3885"/>
    </row>
    <row r="12" spans="2:17" ht="17" x14ac:dyDescent="0.2">
      <c r="B12" s="3897" t="str">
        <f t="shared" si="0"/>
        <v xml:space="preserve">Moisture </v>
      </c>
      <c r="C12" s="3885" t="str">
        <f t="shared" si="0"/>
        <v>Dry</v>
      </c>
      <c r="D12" s="3885"/>
    </row>
    <row r="13" spans="2:17" ht="17" x14ac:dyDescent="0.2">
      <c r="B13" s="3885"/>
      <c r="C13" s="3885"/>
      <c r="D13" s="3885"/>
    </row>
    <row r="14" spans="2:17" ht="17" x14ac:dyDescent="0.2">
      <c r="B14" s="3885"/>
      <c r="C14" s="3885"/>
      <c r="D14" s="3885"/>
    </row>
    <row r="15" spans="2:17" ht="17" x14ac:dyDescent="0.2">
      <c r="B15" s="3897" t="str">
        <f>Languages!B638</f>
        <v>Total area (ha)</v>
      </c>
      <c r="C15" s="3885"/>
      <c r="D15" s="3947">
        <f>K107</f>
        <v>1416</v>
      </c>
    </row>
    <row r="16" spans="2:17" ht="17" x14ac:dyDescent="0.2">
      <c r="B16" s="3885"/>
      <c r="C16" s="3885"/>
      <c r="D16" s="3885"/>
    </row>
    <row r="18" spans="2:17" ht="22" x14ac:dyDescent="0.25">
      <c r="B18" s="3898" t="str">
        <f>F107</f>
        <v>Project duration (in years)</v>
      </c>
      <c r="C18" s="3896"/>
      <c r="D18" s="3896"/>
    </row>
    <row r="19" spans="2:17" ht="17" x14ac:dyDescent="0.2">
      <c r="B19" s="3897" t="str">
        <f>F108</f>
        <v xml:space="preserve">Implementation Phase </v>
      </c>
      <c r="C19" s="3885"/>
      <c r="D19" s="3885">
        <f>H108</f>
        <v>5</v>
      </c>
    </row>
    <row r="20" spans="2:17" ht="17" x14ac:dyDescent="0.2">
      <c r="B20" s="3897" t="str">
        <f>F109</f>
        <v xml:space="preserve">Capitalization Phase </v>
      </c>
      <c r="C20" s="3885"/>
      <c r="D20" s="3885">
        <f>H109</f>
        <v>10</v>
      </c>
    </row>
    <row r="21" spans="2:17" ht="17" x14ac:dyDescent="0.2">
      <c r="B21" s="3897" t="str">
        <f>F110</f>
        <v>Total Duration of Accounting</v>
      </c>
      <c r="C21" s="3885"/>
      <c r="D21" s="3885">
        <f>H110</f>
        <v>15</v>
      </c>
    </row>
    <row r="22" spans="2:17" ht="16" x14ac:dyDescent="0.2">
      <c r="I22" s="3949" t="s">
        <v>3065</v>
      </c>
    </row>
    <row r="24" spans="2:17" x14ac:dyDescent="0.2">
      <c r="B24" s="3489" t="s">
        <v>3066</v>
      </c>
    </row>
    <row r="25" spans="2:17" x14ac:dyDescent="0.2">
      <c r="B25" s="3489" t="s">
        <v>3067</v>
      </c>
    </row>
    <row r="26" spans="2:17" ht="57.75" customHeight="1" x14ac:dyDescent="0.2">
      <c r="B26" s="4602" t="str">
        <f>Languages!B672</f>
        <v>Carbon-balance, in tCO2-e</v>
      </c>
      <c r="C26" s="4602"/>
      <c r="D26" s="4602"/>
      <c r="E26" s="4602"/>
      <c r="F26" s="4602"/>
      <c r="G26" s="4602"/>
      <c r="H26" s="4602"/>
      <c r="I26" s="4602"/>
      <c r="J26" s="4603" t="str">
        <f>Languages!B673</f>
        <v>Share of the balance per GHG, in tCO2-e</v>
      </c>
      <c r="K26" s="4602"/>
      <c r="L26" s="4602"/>
      <c r="M26" s="4602"/>
      <c r="N26" s="4602"/>
      <c r="O26" s="4602"/>
      <c r="P26" s="4602"/>
      <c r="Q26" s="4602"/>
    </row>
    <row r="59" spans="2:17" ht="21" x14ac:dyDescent="0.25">
      <c r="I59" s="3946"/>
      <c r="Q59" s="3946"/>
    </row>
    <row r="62" spans="2:17" ht="57.75" customHeight="1" x14ac:dyDescent="0.2">
      <c r="B62" s="4602" t="str">
        <f>Languages!B674</f>
        <v>Annual carbon balance, in tCO2-e (20 years)</v>
      </c>
      <c r="C62" s="4602"/>
      <c r="D62" s="4602"/>
      <c r="E62" s="4602"/>
      <c r="F62" s="4602"/>
      <c r="G62" s="4602"/>
      <c r="H62" s="4602"/>
      <c r="I62" s="4602"/>
      <c r="J62" s="4603" t="str">
        <f>Languages!B675</f>
        <v>Cumulative carbon balance per year, in tCO2-e (20 years)</v>
      </c>
      <c r="K62" s="4602"/>
      <c r="L62" s="4602"/>
      <c r="M62" s="4602"/>
      <c r="N62" s="4602"/>
      <c r="O62" s="4602"/>
      <c r="P62" s="4602"/>
      <c r="Q62" s="4602"/>
    </row>
    <row r="66" spans="23:74" ht="17" x14ac:dyDescent="0.2">
      <c r="W66" s="4604" t="str">
        <f>Languages!B676</f>
        <v>Annual carbon balance</v>
      </c>
      <c r="X66" s="4605"/>
      <c r="Y66" s="4367" t="s">
        <v>3069</v>
      </c>
      <c r="Z66" s="4367" t="s">
        <v>3070</v>
      </c>
      <c r="AA66" s="4367" t="s">
        <v>3071</v>
      </c>
      <c r="AB66" s="4367" t="s">
        <v>3072</v>
      </c>
      <c r="AC66" s="4367" t="s">
        <v>3073</v>
      </c>
      <c r="AD66" s="4367" t="s">
        <v>3074</v>
      </c>
      <c r="AE66" s="4367" t="s">
        <v>3075</v>
      </c>
      <c r="AF66" s="4367" t="s">
        <v>3076</v>
      </c>
      <c r="AG66" s="4367" t="s">
        <v>3077</v>
      </c>
      <c r="AH66" s="4367" t="s">
        <v>3078</v>
      </c>
      <c r="AI66" s="4367" t="s">
        <v>3079</v>
      </c>
      <c r="AJ66" s="4367" t="s">
        <v>3080</v>
      </c>
      <c r="AK66" s="4367" t="s">
        <v>3081</v>
      </c>
      <c r="AL66" s="4367" t="s">
        <v>3082</v>
      </c>
      <c r="AM66" s="4367" t="s">
        <v>3083</v>
      </c>
      <c r="AN66" s="4367" t="s">
        <v>3084</v>
      </c>
      <c r="AO66" s="4367" t="s">
        <v>3085</v>
      </c>
      <c r="AP66" s="4367" t="s">
        <v>3086</v>
      </c>
      <c r="AQ66" s="4367" t="s">
        <v>3087</v>
      </c>
      <c r="AR66" s="4367" t="s">
        <v>3088</v>
      </c>
      <c r="AS66" s="4367" t="s">
        <v>3089</v>
      </c>
      <c r="AT66" s="4367" t="s">
        <v>3090</v>
      </c>
      <c r="AU66" s="4367" t="s">
        <v>3091</v>
      </c>
      <c r="AV66" s="4367" t="s">
        <v>3092</v>
      </c>
      <c r="AW66" s="4367" t="s">
        <v>3093</v>
      </c>
      <c r="AX66" s="4367" t="s">
        <v>3094</v>
      </c>
      <c r="AY66" s="4367" t="s">
        <v>3095</v>
      </c>
      <c r="AZ66" s="4367" t="s">
        <v>3096</v>
      </c>
      <c r="BA66" s="4367" t="s">
        <v>3097</v>
      </c>
      <c r="BB66" s="4367" t="s">
        <v>3098</v>
      </c>
      <c r="BC66" s="4367" t="s">
        <v>3099</v>
      </c>
      <c r="BD66" s="4367" t="s">
        <v>3100</v>
      </c>
      <c r="BE66" s="4367" t="s">
        <v>3101</v>
      </c>
      <c r="BF66" s="4367" t="s">
        <v>3102</v>
      </c>
      <c r="BG66" s="4367" t="s">
        <v>3103</v>
      </c>
      <c r="BH66" s="4367" t="s">
        <v>3104</v>
      </c>
      <c r="BI66" s="4367" t="s">
        <v>3105</v>
      </c>
      <c r="BJ66" s="4367" t="s">
        <v>3106</v>
      </c>
      <c r="BK66" s="4367" t="s">
        <v>3107</v>
      </c>
      <c r="BL66" s="4367" t="s">
        <v>3108</v>
      </c>
      <c r="BM66" s="4367" t="s">
        <v>3109</v>
      </c>
      <c r="BN66" s="4367" t="s">
        <v>3110</v>
      </c>
      <c r="BO66" s="4367" t="s">
        <v>3111</v>
      </c>
      <c r="BP66" s="4367" t="s">
        <v>3112</v>
      </c>
      <c r="BQ66" s="4367" t="s">
        <v>3113</v>
      </c>
      <c r="BR66" s="4367" t="s">
        <v>3114</v>
      </c>
      <c r="BS66" s="4367" t="s">
        <v>3115</v>
      </c>
      <c r="BT66" s="4367" t="s">
        <v>3116</v>
      </c>
      <c r="BU66" s="4367" t="s">
        <v>3117</v>
      </c>
      <c r="BV66" s="4367" t="s">
        <v>3118</v>
      </c>
    </row>
    <row r="68" spans="23:74" ht="17" x14ac:dyDescent="0.2">
      <c r="W68" s="3885" t="str">
        <f>Languages!B677</f>
        <v>Yearly carbon balance</v>
      </c>
      <c r="X68" s="3885"/>
      <c r="Y68" s="4371">
        <f ca="1">YEARLY!AK7</f>
        <v>1605.4802492793337</v>
      </c>
      <c r="Z68" s="4371">
        <f ca="1">YEARLY!AL7</f>
        <v>3210.9604985586675</v>
      </c>
      <c r="AA68" s="4371">
        <f ca="1">YEARLY!AM7</f>
        <v>4816.4407478380017</v>
      </c>
      <c r="AB68" s="4371">
        <f ca="1">YEARLY!AN7</f>
        <v>6421.920997117335</v>
      </c>
      <c r="AC68" s="4371">
        <f ca="1">YEARLY!AO7</f>
        <v>8027.4012463966692</v>
      </c>
      <c r="AD68" s="4371">
        <f ca="1">YEARLY!AP7</f>
        <v>9632.8814956760052</v>
      </c>
      <c r="AE68" s="4371">
        <f ca="1">YEARLY!AQ7</f>
        <v>9632.8814956760052</v>
      </c>
      <c r="AF68" s="4371">
        <f ca="1">YEARLY!AR7</f>
        <v>9632.8814956760052</v>
      </c>
      <c r="AG68" s="4371">
        <f ca="1">YEARLY!AS7</f>
        <v>9632.8814956760052</v>
      </c>
      <c r="AH68" s="4371">
        <f ca="1">YEARLY!AT7</f>
        <v>9632.8814956760052</v>
      </c>
      <c r="AI68" s="4371">
        <f ca="1">YEARLY!AU7</f>
        <v>9632.8814956760052</v>
      </c>
      <c r="AJ68" s="4371">
        <f ca="1">YEARLY!AV7</f>
        <v>9632.8814956760052</v>
      </c>
      <c r="AK68" s="4371">
        <f ca="1">YEARLY!AW7</f>
        <v>9632.8814956760052</v>
      </c>
      <c r="AL68" s="4371">
        <f ca="1">YEARLY!AX7</f>
        <v>9632.8814956760052</v>
      </c>
      <c r="AM68" s="4371">
        <f ca="1">YEARLY!AY7</f>
        <v>9632.8814956760052</v>
      </c>
      <c r="AN68" s="4371">
        <f>YEARLY!AZ7</f>
        <v>0</v>
      </c>
      <c r="AO68" s="4371">
        <f>YEARLY!BA7</f>
        <v>0</v>
      </c>
      <c r="AP68" s="4371">
        <f>YEARLY!BB7</f>
        <v>0</v>
      </c>
      <c r="AQ68" s="4371">
        <f>YEARLY!BC7</f>
        <v>0</v>
      </c>
      <c r="AR68" s="4371">
        <f>YEARLY!BD7</f>
        <v>0</v>
      </c>
      <c r="AS68" s="4371">
        <f>YEARLY!BE7</f>
        <v>0</v>
      </c>
      <c r="AT68" s="4371">
        <f>YEARLY!BF7</f>
        <v>0</v>
      </c>
      <c r="AU68" s="4371">
        <f>YEARLY!BG7</f>
        <v>0</v>
      </c>
      <c r="AV68" s="4371">
        <f>YEARLY!BH7</f>
        <v>0</v>
      </c>
      <c r="AW68" s="4371">
        <f>YEARLY!BI7</f>
        <v>0</v>
      </c>
      <c r="AX68" s="4371">
        <f>YEARLY!BJ7</f>
        <v>0</v>
      </c>
      <c r="AY68" s="4371">
        <f>YEARLY!BK7</f>
        <v>0</v>
      </c>
      <c r="AZ68" s="4371">
        <f>YEARLY!BL7</f>
        <v>0</v>
      </c>
      <c r="BA68" s="4371">
        <f>YEARLY!BM7</f>
        <v>0</v>
      </c>
      <c r="BB68" s="4371">
        <f>YEARLY!BN7</f>
        <v>0</v>
      </c>
      <c r="BC68" s="4371">
        <f>YEARLY!BO7</f>
        <v>0</v>
      </c>
      <c r="BD68" s="4371">
        <f>YEARLY!BP7</f>
        <v>0</v>
      </c>
      <c r="BE68" s="4371">
        <f>YEARLY!BQ7</f>
        <v>0</v>
      </c>
      <c r="BF68" s="4371">
        <f>YEARLY!BR7</f>
        <v>0</v>
      </c>
      <c r="BG68" s="4371">
        <f>YEARLY!BS7</f>
        <v>0</v>
      </c>
      <c r="BH68" s="4371">
        <f>YEARLY!BT7</f>
        <v>0</v>
      </c>
      <c r="BI68" s="4371">
        <f>YEARLY!BU7</f>
        <v>0</v>
      </c>
      <c r="BJ68" s="4371">
        <f>YEARLY!BV7</f>
        <v>0</v>
      </c>
      <c r="BK68" s="4371">
        <f>YEARLY!BW7</f>
        <v>0</v>
      </c>
      <c r="BL68" s="4371">
        <f>YEARLY!BX7</f>
        <v>0</v>
      </c>
      <c r="BM68" s="4371">
        <f>YEARLY!BY7</f>
        <v>0</v>
      </c>
      <c r="BN68" s="4371">
        <f>YEARLY!BZ7</f>
        <v>0</v>
      </c>
      <c r="BO68" s="4371">
        <f>YEARLY!CA7</f>
        <v>0</v>
      </c>
      <c r="BP68" s="4371">
        <f>YEARLY!CB7</f>
        <v>0</v>
      </c>
      <c r="BQ68" s="4371">
        <f>YEARLY!CC7</f>
        <v>0</v>
      </c>
      <c r="BR68" s="4371">
        <f>YEARLY!CD7</f>
        <v>0</v>
      </c>
      <c r="BS68" s="4371">
        <f>YEARLY!CE7</f>
        <v>0</v>
      </c>
      <c r="BT68" s="4371">
        <f>YEARLY!CF7</f>
        <v>0</v>
      </c>
      <c r="BU68" s="4371">
        <f>YEARLY!CG7</f>
        <v>0</v>
      </c>
      <c r="BV68" s="4371">
        <f>YEARLY!CH7</f>
        <v>0</v>
      </c>
    </row>
    <row r="69" spans="23:74" ht="17" x14ac:dyDescent="0.2">
      <c r="W69" s="3885"/>
      <c r="X69" s="3885"/>
      <c r="Y69" s="4370"/>
      <c r="Z69" s="4370"/>
      <c r="AA69" s="4370"/>
      <c r="AB69" s="4370"/>
      <c r="AC69" s="4370"/>
      <c r="AD69" s="4370"/>
      <c r="AE69" s="4370"/>
      <c r="AF69" s="4370"/>
      <c r="AG69" s="4370"/>
      <c r="AH69" s="4370"/>
      <c r="AI69" s="4370"/>
      <c r="AJ69" s="4370"/>
      <c r="AK69" s="4370"/>
      <c r="AL69" s="4370"/>
      <c r="AM69" s="4370"/>
      <c r="AN69" s="4370"/>
      <c r="AO69" s="4370"/>
      <c r="AP69" s="4370"/>
      <c r="AQ69" s="4370"/>
      <c r="AR69" s="4370"/>
      <c r="AS69" s="4370"/>
      <c r="AT69" s="4370"/>
      <c r="AU69" s="4370"/>
      <c r="AV69" s="4370"/>
      <c r="AW69" s="4370"/>
      <c r="AX69" s="4370"/>
      <c r="AY69" s="4370"/>
      <c r="AZ69" s="4370"/>
      <c r="BA69" s="4370"/>
      <c r="BB69" s="4370"/>
      <c r="BC69" s="4370"/>
      <c r="BD69" s="4370"/>
      <c r="BE69" s="4370"/>
      <c r="BF69" s="4370"/>
      <c r="BG69" s="4370"/>
      <c r="BH69" s="4370"/>
      <c r="BI69" s="4370"/>
      <c r="BJ69" s="4370"/>
      <c r="BK69" s="4370"/>
      <c r="BL69" s="4370"/>
      <c r="BM69" s="4370"/>
      <c r="BN69" s="4370"/>
      <c r="BO69" s="4370"/>
      <c r="BP69" s="4370"/>
      <c r="BQ69" s="4370"/>
      <c r="BR69" s="4370"/>
      <c r="BS69" s="4370"/>
      <c r="BT69" s="4370"/>
      <c r="BU69" s="4370"/>
      <c r="BV69" s="4370"/>
    </row>
    <row r="70" spans="23:74" ht="17" x14ac:dyDescent="0.2">
      <c r="W70" s="3885" t="str">
        <f>Languages!B678</f>
        <v>Cumulative carbon balance</v>
      </c>
      <c r="X70" s="3885"/>
      <c r="Y70" s="4371">
        <f ca="1">YEARLY!AK8</f>
        <v>1605.4802492793337</v>
      </c>
      <c r="Z70" s="4371">
        <f ca="1">YEARLY!AL8</f>
        <v>4816.4407478380017</v>
      </c>
      <c r="AA70" s="4371">
        <f ca="1">YEARLY!AM8</f>
        <v>9632.8814956760034</v>
      </c>
      <c r="AB70" s="4371">
        <f ca="1">YEARLY!AN8</f>
        <v>16054.802492793338</v>
      </c>
      <c r="AC70" s="4371">
        <f ca="1">YEARLY!AO8</f>
        <v>24082.203739190008</v>
      </c>
      <c r="AD70" s="4371">
        <f ca="1">YEARLY!AP8</f>
        <v>33715.085234866012</v>
      </c>
      <c r="AE70" s="4371">
        <f ca="1">YEARLY!AQ8</f>
        <v>43347.966730542015</v>
      </c>
      <c r="AF70" s="4371">
        <f ca="1">YEARLY!AR8</f>
        <v>52980.848226218019</v>
      </c>
      <c r="AG70" s="4371">
        <f ca="1">YEARLY!AS8</f>
        <v>62613.729721894022</v>
      </c>
      <c r="AH70" s="4371">
        <f ca="1">YEARLY!AT8</f>
        <v>72246.611217570025</v>
      </c>
      <c r="AI70" s="4371">
        <f ca="1">YEARLY!AU8</f>
        <v>81879.492713246029</v>
      </c>
      <c r="AJ70" s="4371">
        <f ca="1">YEARLY!AV8</f>
        <v>91512.374208922032</v>
      </c>
      <c r="AK70" s="4371">
        <f ca="1">YEARLY!AW8</f>
        <v>101145.25570459804</v>
      </c>
      <c r="AL70" s="4371">
        <f ca="1">YEARLY!AX8</f>
        <v>110778.13720027404</v>
      </c>
      <c r="AM70" s="4371">
        <f ca="1">YEARLY!AY8</f>
        <v>120411.01869595004</v>
      </c>
      <c r="AN70" s="4371">
        <f ca="1">YEARLY!AZ8</f>
        <v>120411.01869595004</v>
      </c>
      <c r="AO70" s="4371">
        <f ca="1">YEARLY!BA8</f>
        <v>120411.01869595004</v>
      </c>
      <c r="AP70" s="4371">
        <f ca="1">YEARLY!BB8</f>
        <v>120411.01869595004</v>
      </c>
      <c r="AQ70" s="4371">
        <f ca="1">YEARLY!BC8</f>
        <v>120411.01869595004</v>
      </c>
      <c r="AR70" s="4371">
        <f ca="1">YEARLY!BD8</f>
        <v>120411.01869595004</v>
      </c>
      <c r="AS70" s="4371">
        <f ca="1">YEARLY!BE8</f>
        <v>120411.01869595004</v>
      </c>
      <c r="AT70" s="4371">
        <f ca="1">YEARLY!BF8</f>
        <v>120411.01869595004</v>
      </c>
      <c r="AU70" s="4371">
        <f ca="1">YEARLY!BG8</f>
        <v>120411.01869595004</v>
      </c>
      <c r="AV70" s="4371">
        <f ca="1">YEARLY!BH8</f>
        <v>120411.01869595004</v>
      </c>
      <c r="AW70" s="4371">
        <f ca="1">YEARLY!BI8</f>
        <v>120411.01869595004</v>
      </c>
      <c r="AX70" s="4371">
        <f ca="1">YEARLY!BJ8</f>
        <v>120411.01869595004</v>
      </c>
      <c r="AY70" s="4371">
        <f ca="1">YEARLY!BK8</f>
        <v>120411.01869595004</v>
      </c>
      <c r="AZ70" s="4371">
        <f ca="1">YEARLY!BL8</f>
        <v>120411.01869595004</v>
      </c>
      <c r="BA70" s="4371">
        <f ca="1">YEARLY!BM8</f>
        <v>120411.01869595004</v>
      </c>
      <c r="BB70" s="4371">
        <f ca="1">YEARLY!BN8</f>
        <v>120411.01869595004</v>
      </c>
      <c r="BC70" s="4371">
        <f ca="1">YEARLY!BO8</f>
        <v>120411.01869595004</v>
      </c>
      <c r="BD70" s="4371">
        <f ca="1">YEARLY!BP8</f>
        <v>120411.01869595004</v>
      </c>
      <c r="BE70" s="4371">
        <f ca="1">YEARLY!BQ8</f>
        <v>120411.01869595004</v>
      </c>
      <c r="BF70" s="4371">
        <f ca="1">YEARLY!BR8</f>
        <v>120411.01869595004</v>
      </c>
      <c r="BG70" s="4371">
        <f ca="1">YEARLY!BS8</f>
        <v>120411.01869595004</v>
      </c>
      <c r="BH70" s="4371">
        <f ca="1">YEARLY!BT8</f>
        <v>120411.01869595004</v>
      </c>
      <c r="BI70" s="4371">
        <f ca="1">YEARLY!BU8</f>
        <v>120411.01869595004</v>
      </c>
      <c r="BJ70" s="4371">
        <f ca="1">YEARLY!BV8</f>
        <v>120411.01869595004</v>
      </c>
      <c r="BK70" s="4371">
        <f ca="1">YEARLY!BW8</f>
        <v>120411.01869595004</v>
      </c>
      <c r="BL70" s="4371">
        <f ca="1">YEARLY!BX8</f>
        <v>120411.01869595004</v>
      </c>
      <c r="BM70" s="4371">
        <f ca="1">YEARLY!BY8</f>
        <v>120411.01869595004</v>
      </c>
      <c r="BN70" s="4371">
        <f ca="1">YEARLY!BZ8</f>
        <v>120411.01869595004</v>
      </c>
      <c r="BO70" s="4371">
        <f ca="1">YEARLY!CA8</f>
        <v>120411.01869595004</v>
      </c>
      <c r="BP70" s="4371">
        <f ca="1">YEARLY!CB8</f>
        <v>120411.01869595004</v>
      </c>
      <c r="BQ70" s="4371">
        <f ca="1">YEARLY!CC8</f>
        <v>120411.01869595004</v>
      </c>
      <c r="BR70" s="4371">
        <f ca="1">YEARLY!CD8</f>
        <v>120411.01869595004</v>
      </c>
      <c r="BS70" s="4371">
        <f ca="1">YEARLY!CE8</f>
        <v>120411.01869595004</v>
      </c>
      <c r="BT70" s="4371">
        <f ca="1">YEARLY!CF8</f>
        <v>120411.01869595004</v>
      </c>
      <c r="BU70" s="4371">
        <f ca="1">YEARLY!CG8</f>
        <v>120411.01869595004</v>
      </c>
      <c r="BV70" s="4371">
        <f ca="1">YEARLY!CH8</f>
        <v>120411.01869595004</v>
      </c>
    </row>
    <row r="74" spans="23:74" x14ac:dyDescent="0.2">
      <c r="W74" s="1771" t="str">
        <f>Languages!B679</f>
        <v>* Please note the provided annual values are an approximation of the actual annual fluxes</v>
      </c>
    </row>
    <row r="78" spans="23:74" ht="17" x14ac:dyDescent="0.2">
      <c r="W78" s="4604" t="str">
        <f>B116</f>
        <v>PROJECT COMPONENTS</v>
      </c>
      <c r="X78" s="4605"/>
      <c r="Y78" s="4367" t="s">
        <v>3069</v>
      </c>
      <c r="Z78" s="4367" t="s">
        <v>3070</v>
      </c>
      <c r="AA78" s="4367" t="s">
        <v>3071</v>
      </c>
      <c r="AB78" s="4367" t="s">
        <v>3072</v>
      </c>
      <c r="AC78" s="4367" t="s">
        <v>3073</v>
      </c>
      <c r="AD78" s="4367" t="s">
        <v>3074</v>
      </c>
      <c r="AE78" s="4367" t="s">
        <v>3075</v>
      </c>
      <c r="AF78" s="4367" t="s">
        <v>3076</v>
      </c>
      <c r="AG78" s="4367" t="s">
        <v>3077</v>
      </c>
      <c r="AH78" s="4367" t="s">
        <v>3078</v>
      </c>
      <c r="AI78" s="4367" t="s">
        <v>3079</v>
      </c>
      <c r="AJ78" s="4367" t="s">
        <v>3080</v>
      </c>
      <c r="AK78" s="4367" t="s">
        <v>3081</v>
      </c>
      <c r="AL78" s="4367" t="s">
        <v>3082</v>
      </c>
      <c r="AM78" s="4367" t="s">
        <v>3083</v>
      </c>
      <c r="AN78" s="4367" t="s">
        <v>3084</v>
      </c>
      <c r="AO78" s="4367" t="s">
        <v>3085</v>
      </c>
      <c r="AP78" s="4367" t="s">
        <v>3086</v>
      </c>
      <c r="AQ78" s="4367" t="s">
        <v>3087</v>
      </c>
      <c r="AR78" s="4367" t="s">
        <v>3088</v>
      </c>
      <c r="AS78" s="4367" t="s">
        <v>3089</v>
      </c>
      <c r="AT78" s="4367" t="s">
        <v>3090</v>
      </c>
      <c r="AU78" s="4367" t="s">
        <v>3091</v>
      </c>
      <c r="AV78" s="4367" t="s">
        <v>3092</v>
      </c>
      <c r="AW78" s="4367" t="s">
        <v>3093</v>
      </c>
      <c r="AX78" s="4367" t="s">
        <v>3094</v>
      </c>
      <c r="AY78" s="4367" t="s">
        <v>3095</v>
      </c>
      <c r="AZ78" s="4367" t="s">
        <v>3096</v>
      </c>
      <c r="BA78" s="4367" t="s">
        <v>3097</v>
      </c>
      <c r="BB78" s="4367" t="s">
        <v>3098</v>
      </c>
      <c r="BC78" s="4367" t="s">
        <v>3099</v>
      </c>
      <c r="BD78" s="4367" t="s">
        <v>3100</v>
      </c>
      <c r="BE78" s="4367" t="s">
        <v>3101</v>
      </c>
      <c r="BF78" s="4367" t="s">
        <v>3102</v>
      </c>
      <c r="BG78" s="4367" t="s">
        <v>3103</v>
      </c>
      <c r="BH78" s="4367" t="s">
        <v>3104</v>
      </c>
      <c r="BI78" s="4367" t="s">
        <v>3105</v>
      </c>
      <c r="BJ78" s="4367" t="s">
        <v>3106</v>
      </c>
      <c r="BK78" s="4367" t="s">
        <v>3107</v>
      </c>
      <c r="BL78" s="4367" t="s">
        <v>3108</v>
      </c>
      <c r="BM78" s="4367" t="s">
        <v>3109</v>
      </c>
      <c r="BN78" s="4367" t="s">
        <v>3110</v>
      </c>
      <c r="BO78" s="4367" t="s">
        <v>3111</v>
      </c>
      <c r="BP78" s="4367" t="s">
        <v>3112</v>
      </c>
      <c r="BQ78" s="4367" t="s">
        <v>3113</v>
      </c>
      <c r="BR78" s="4367" t="s">
        <v>3114</v>
      </c>
      <c r="BS78" s="4367" t="s">
        <v>3115</v>
      </c>
      <c r="BT78" s="4367" t="s">
        <v>3116</v>
      </c>
      <c r="BU78" s="4367" t="s">
        <v>3117</v>
      </c>
      <c r="BV78" s="4367" t="s">
        <v>3118</v>
      </c>
    </row>
    <row r="79" spans="23:74" ht="17" x14ac:dyDescent="0.2">
      <c r="W79" s="4606" t="str">
        <f>B117</f>
        <v>Land use changes</v>
      </c>
      <c r="X79" s="3906" t="str">
        <f>C117</f>
        <v>Deforestation</v>
      </c>
      <c r="Y79" s="3885">
        <f>SUM(YEARLY!AK11:AK18)</f>
        <v>0</v>
      </c>
      <c r="Z79" s="3885">
        <f>SUM(YEARLY!AL11:AL18)</f>
        <v>0</v>
      </c>
      <c r="AA79" s="3885">
        <f>SUM(YEARLY!AM11:AM18)</f>
        <v>0</v>
      </c>
      <c r="AB79" s="3885">
        <f>SUM(YEARLY!AN11:AN18)</f>
        <v>0</v>
      </c>
      <c r="AC79" s="3885">
        <f>SUM(YEARLY!AO11:AO18)</f>
        <v>0</v>
      </c>
      <c r="AD79" s="3885">
        <f>SUM(YEARLY!AP11:AP18)</f>
        <v>0</v>
      </c>
      <c r="AE79" s="3885">
        <f>SUM(YEARLY!AQ11:AQ18)</f>
        <v>0</v>
      </c>
      <c r="AF79" s="3885">
        <f>SUM(YEARLY!AR11:AR18)</f>
        <v>0</v>
      </c>
      <c r="AG79" s="3885">
        <f>SUM(YEARLY!AS11:AS18)</f>
        <v>0</v>
      </c>
      <c r="AH79" s="3885">
        <f>SUM(YEARLY!AT11:AT18)</f>
        <v>0</v>
      </c>
      <c r="AI79" s="3885">
        <f>SUM(YEARLY!AU11:AU18)</f>
        <v>0</v>
      </c>
      <c r="AJ79" s="3885">
        <f>SUM(YEARLY!AV11:AV18)</f>
        <v>0</v>
      </c>
      <c r="AK79" s="3885">
        <f>SUM(YEARLY!AW11:AW18)</f>
        <v>0</v>
      </c>
      <c r="AL79" s="3885">
        <f>SUM(YEARLY!AX11:AX18)</f>
        <v>0</v>
      </c>
      <c r="AM79" s="3885">
        <f>SUM(YEARLY!AY11:AY18)</f>
        <v>0</v>
      </c>
      <c r="AN79" s="3885">
        <f>SUM(YEARLY!AZ11:AZ18)</f>
        <v>0</v>
      </c>
      <c r="AO79" s="3885">
        <f>SUM(YEARLY!BA11:BA18)</f>
        <v>0</v>
      </c>
      <c r="AP79" s="3885">
        <f>SUM(YEARLY!BB11:BB18)</f>
        <v>0</v>
      </c>
      <c r="AQ79" s="3885">
        <f>SUM(YEARLY!BC11:BC18)</f>
        <v>0</v>
      </c>
      <c r="AR79" s="3885">
        <f>SUM(YEARLY!BD11:BD18)</f>
        <v>0</v>
      </c>
      <c r="AS79" s="3885">
        <f>SUM(YEARLY!BE11:BE18)</f>
        <v>0</v>
      </c>
      <c r="AT79" s="3885">
        <f>SUM(YEARLY!BF11:BF18)</f>
        <v>0</v>
      </c>
      <c r="AU79" s="3885">
        <f>SUM(YEARLY!BG11:BG18)</f>
        <v>0</v>
      </c>
      <c r="AV79" s="3885">
        <f>SUM(YEARLY!BH11:BH18)</f>
        <v>0</v>
      </c>
      <c r="AW79" s="3885">
        <f>SUM(YEARLY!BI11:BI18)</f>
        <v>0</v>
      </c>
      <c r="AX79" s="3885">
        <f>SUM(YEARLY!BJ11:BJ18)</f>
        <v>0</v>
      </c>
      <c r="AY79" s="3885">
        <f>SUM(YEARLY!BK11:BK18)</f>
        <v>0</v>
      </c>
      <c r="AZ79" s="3885">
        <f>SUM(YEARLY!BL11:BL18)</f>
        <v>0</v>
      </c>
      <c r="BA79" s="3885">
        <f>SUM(YEARLY!BM11:BM18)</f>
        <v>0</v>
      </c>
      <c r="BB79" s="3885">
        <f>SUM(YEARLY!BN11:BN18)</f>
        <v>0</v>
      </c>
      <c r="BC79" s="3885">
        <f>SUM(YEARLY!BO11:BO18)</f>
        <v>0</v>
      </c>
      <c r="BD79" s="3885">
        <f>SUM(YEARLY!BP11:BP18)</f>
        <v>0</v>
      </c>
      <c r="BE79" s="3885">
        <f>SUM(YEARLY!BQ11:BQ18)</f>
        <v>0</v>
      </c>
      <c r="BF79" s="3885">
        <f>SUM(YEARLY!BR11:BR18)</f>
        <v>0</v>
      </c>
      <c r="BG79" s="3885">
        <f>SUM(YEARLY!BS11:BS18)</f>
        <v>0</v>
      </c>
      <c r="BH79" s="3885">
        <f>SUM(YEARLY!BT11:BT18)</f>
        <v>0</v>
      </c>
      <c r="BI79" s="3885">
        <f>SUM(YEARLY!BU11:BU18)</f>
        <v>0</v>
      </c>
      <c r="BJ79" s="3885">
        <f>SUM(YEARLY!BV11:BV18)</f>
        <v>0</v>
      </c>
      <c r="BK79" s="3885">
        <f>SUM(YEARLY!BW11:BW18)</f>
        <v>0</v>
      </c>
      <c r="BL79" s="3885">
        <f>SUM(YEARLY!BX11:BX18)</f>
        <v>0</v>
      </c>
      <c r="BM79" s="3885">
        <f>SUM(YEARLY!BY11:BY18)</f>
        <v>0</v>
      </c>
      <c r="BN79" s="3885">
        <f>SUM(YEARLY!BZ11:BZ18)</f>
        <v>0</v>
      </c>
      <c r="BO79" s="3885">
        <f>SUM(YEARLY!CA11:CA18)</f>
        <v>0</v>
      </c>
      <c r="BP79" s="3885">
        <f>SUM(YEARLY!CB11:CB18)</f>
        <v>0</v>
      </c>
      <c r="BQ79" s="3885">
        <f>SUM(YEARLY!CC11:CC18)</f>
        <v>0</v>
      </c>
      <c r="BR79" s="3885">
        <f>SUM(YEARLY!CD11:CD18)</f>
        <v>0</v>
      </c>
      <c r="BS79" s="3885">
        <f>SUM(YEARLY!CE11:CE18)</f>
        <v>0</v>
      </c>
      <c r="BT79" s="3885">
        <f>SUM(YEARLY!CF11:CF18)</f>
        <v>0</v>
      </c>
      <c r="BU79" s="3885">
        <f>SUM(YEARLY!CG11:CG18)</f>
        <v>0</v>
      </c>
      <c r="BV79" s="3885">
        <f>SUM(YEARLY!CH11:CH18)</f>
        <v>0</v>
      </c>
    </row>
    <row r="80" spans="23:74" ht="17" x14ac:dyDescent="0.2">
      <c r="W80" s="4606"/>
      <c r="X80" s="3906" t="str">
        <f t="shared" ref="X80:X91" si="1">C118</f>
        <v>Afforestation</v>
      </c>
      <c r="Y80" s="3885">
        <f>SUM(YEARLY!AK19:AK26)</f>
        <v>0</v>
      </c>
      <c r="Z80" s="3885">
        <f>SUM(YEARLY!AL19:AL26)</f>
        <v>0</v>
      </c>
      <c r="AA80" s="3885">
        <f>SUM(YEARLY!AM19:AM26)</f>
        <v>0</v>
      </c>
      <c r="AB80" s="3885">
        <f>SUM(YEARLY!AN19:AN26)</f>
        <v>0</v>
      </c>
      <c r="AC80" s="3885">
        <f>SUM(YEARLY!AO19:AO26)</f>
        <v>0</v>
      </c>
      <c r="AD80" s="3885">
        <f>SUM(YEARLY!AP19:AP26)</f>
        <v>0</v>
      </c>
      <c r="AE80" s="3885">
        <f>SUM(YEARLY!AQ19:AQ26)</f>
        <v>0</v>
      </c>
      <c r="AF80" s="3885">
        <f>SUM(YEARLY!AR19:AR26)</f>
        <v>0</v>
      </c>
      <c r="AG80" s="3885">
        <f>SUM(YEARLY!AS19:AS26)</f>
        <v>0</v>
      </c>
      <c r="AH80" s="3885">
        <f>SUM(YEARLY!AT19:AT26)</f>
        <v>0</v>
      </c>
      <c r="AI80" s="3885">
        <f>SUM(YEARLY!AU19:AU26)</f>
        <v>0</v>
      </c>
      <c r="AJ80" s="3885">
        <f>SUM(YEARLY!AV19:AV26)</f>
        <v>0</v>
      </c>
      <c r="AK80" s="3885">
        <f>SUM(YEARLY!AW19:AW26)</f>
        <v>0</v>
      </c>
      <c r="AL80" s="3885">
        <f>SUM(YEARLY!AX19:AX26)</f>
        <v>0</v>
      </c>
      <c r="AM80" s="3885">
        <f>SUM(YEARLY!AY19:AY26)</f>
        <v>0</v>
      </c>
      <c r="AN80" s="3885">
        <f>SUM(YEARLY!AZ19:AZ26)</f>
        <v>0</v>
      </c>
      <c r="AO80" s="3885">
        <f>SUM(YEARLY!BA19:BA26)</f>
        <v>0</v>
      </c>
      <c r="AP80" s="3885">
        <f>SUM(YEARLY!BB19:BB26)</f>
        <v>0</v>
      </c>
      <c r="AQ80" s="3885">
        <f>SUM(YEARLY!BC19:BC26)</f>
        <v>0</v>
      </c>
      <c r="AR80" s="3885">
        <f>SUM(YEARLY!BD19:BD26)</f>
        <v>0</v>
      </c>
      <c r="AS80" s="3885">
        <f>SUM(YEARLY!BE19:BE26)</f>
        <v>0</v>
      </c>
      <c r="AT80" s="3885">
        <f>SUM(YEARLY!BF19:BF26)</f>
        <v>0</v>
      </c>
      <c r="AU80" s="3885">
        <f>SUM(YEARLY!BG19:BG26)</f>
        <v>0</v>
      </c>
      <c r="AV80" s="3885">
        <f>SUM(YEARLY!BH19:BH26)</f>
        <v>0</v>
      </c>
      <c r="AW80" s="3885">
        <f>SUM(YEARLY!BI19:BI26)</f>
        <v>0</v>
      </c>
      <c r="AX80" s="3885">
        <f>SUM(YEARLY!BJ19:BJ26)</f>
        <v>0</v>
      </c>
      <c r="AY80" s="3885">
        <f>SUM(YEARLY!BK19:BK26)</f>
        <v>0</v>
      </c>
      <c r="AZ80" s="3885">
        <f>SUM(YEARLY!BL19:BL26)</f>
        <v>0</v>
      </c>
      <c r="BA80" s="3885">
        <f>SUM(YEARLY!BM19:BM26)</f>
        <v>0</v>
      </c>
      <c r="BB80" s="3885">
        <f>SUM(YEARLY!BN19:BN26)</f>
        <v>0</v>
      </c>
      <c r="BC80" s="3885">
        <f>SUM(YEARLY!BO19:BO26)</f>
        <v>0</v>
      </c>
      <c r="BD80" s="3885">
        <f>SUM(YEARLY!BP19:BP26)</f>
        <v>0</v>
      </c>
      <c r="BE80" s="3885">
        <f>SUM(YEARLY!BQ19:BQ26)</f>
        <v>0</v>
      </c>
      <c r="BF80" s="3885">
        <f>SUM(YEARLY!BR19:BR26)</f>
        <v>0</v>
      </c>
      <c r="BG80" s="3885">
        <f>SUM(YEARLY!BS19:BS26)</f>
        <v>0</v>
      </c>
      <c r="BH80" s="3885">
        <f>SUM(YEARLY!BT19:BT26)</f>
        <v>0</v>
      </c>
      <c r="BI80" s="3885">
        <f>SUM(YEARLY!BU19:BU26)</f>
        <v>0</v>
      </c>
      <c r="BJ80" s="3885">
        <f>SUM(YEARLY!BV19:BV26)</f>
        <v>0</v>
      </c>
      <c r="BK80" s="3885">
        <f>SUM(YEARLY!BW19:BW26)</f>
        <v>0</v>
      </c>
      <c r="BL80" s="3885">
        <f>SUM(YEARLY!BX19:BX26)</f>
        <v>0</v>
      </c>
      <c r="BM80" s="3885">
        <f>SUM(YEARLY!BY19:BY26)</f>
        <v>0</v>
      </c>
      <c r="BN80" s="3885">
        <f>SUM(YEARLY!BZ19:BZ26)</f>
        <v>0</v>
      </c>
      <c r="BO80" s="3885">
        <f>SUM(YEARLY!CA19:CA26)</f>
        <v>0</v>
      </c>
      <c r="BP80" s="3885">
        <f>SUM(YEARLY!CB19:CB26)</f>
        <v>0</v>
      </c>
      <c r="BQ80" s="3885">
        <f>SUM(YEARLY!CC19:CC26)</f>
        <v>0</v>
      </c>
      <c r="BR80" s="3885">
        <f>SUM(YEARLY!CD19:CD26)</f>
        <v>0</v>
      </c>
      <c r="BS80" s="3885">
        <f>SUM(YEARLY!CE19:CE26)</f>
        <v>0</v>
      </c>
      <c r="BT80" s="3885">
        <f>SUM(YEARLY!CF19:CF26)</f>
        <v>0</v>
      </c>
      <c r="BU80" s="3885">
        <f>SUM(YEARLY!CG19:CG26)</f>
        <v>0</v>
      </c>
      <c r="BV80" s="3885">
        <f>SUM(YEARLY!CH19:CH26)</f>
        <v>0</v>
      </c>
    </row>
    <row r="81" spans="23:74" ht="17" x14ac:dyDescent="0.2">
      <c r="W81" s="4606"/>
      <c r="X81" s="3906" t="str">
        <f t="shared" si="1"/>
        <v>Other land-use</v>
      </c>
      <c r="Y81" s="3885">
        <f>SUM(YEARLY!AK27:AK36)</f>
        <v>0</v>
      </c>
      <c r="Z81" s="3885">
        <f>SUM(YEARLY!AL27:AL36)</f>
        <v>0</v>
      </c>
      <c r="AA81" s="3885">
        <f>SUM(YEARLY!AM27:AM36)</f>
        <v>0</v>
      </c>
      <c r="AB81" s="3885">
        <f>SUM(YEARLY!AN27:AN36)</f>
        <v>0</v>
      </c>
      <c r="AC81" s="3885">
        <f>SUM(YEARLY!AO27:AO36)</f>
        <v>0</v>
      </c>
      <c r="AD81" s="3885">
        <f>SUM(YEARLY!AP27:AP36)</f>
        <v>0</v>
      </c>
      <c r="AE81" s="3885">
        <f>SUM(YEARLY!AQ27:AQ36)</f>
        <v>0</v>
      </c>
      <c r="AF81" s="3885">
        <f>SUM(YEARLY!AR27:AR36)</f>
        <v>0</v>
      </c>
      <c r="AG81" s="3885">
        <f>SUM(YEARLY!AS27:AS36)</f>
        <v>0</v>
      </c>
      <c r="AH81" s="3885">
        <f>SUM(YEARLY!AT27:AT36)</f>
        <v>0</v>
      </c>
      <c r="AI81" s="3885">
        <f>SUM(YEARLY!AU27:AU36)</f>
        <v>0</v>
      </c>
      <c r="AJ81" s="3885">
        <f>SUM(YEARLY!AV27:AV36)</f>
        <v>0</v>
      </c>
      <c r="AK81" s="3885">
        <f>SUM(YEARLY!AW27:AW36)</f>
        <v>0</v>
      </c>
      <c r="AL81" s="3885">
        <f>SUM(YEARLY!AX27:AX36)</f>
        <v>0</v>
      </c>
      <c r="AM81" s="3885">
        <f>SUM(YEARLY!AY27:AY36)</f>
        <v>0</v>
      </c>
      <c r="AN81" s="3885">
        <f>SUM(YEARLY!AZ27:AZ36)</f>
        <v>0</v>
      </c>
      <c r="AO81" s="3885">
        <f>SUM(YEARLY!BA27:BA36)</f>
        <v>0</v>
      </c>
      <c r="AP81" s="3885">
        <f>SUM(YEARLY!BB27:BB36)</f>
        <v>0</v>
      </c>
      <c r="AQ81" s="3885">
        <f>SUM(YEARLY!BC27:BC36)</f>
        <v>0</v>
      </c>
      <c r="AR81" s="3885">
        <f>SUM(YEARLY!BD27:BD36)</f>
        <v>0</v>
      </c>
      <c r="AS81" s="3885">
        <f>SUM(YEARLY!BE27:BE36)</f>
        <v>0</v>
      </c>
      <c r="AT81" s="3885">
        <f>SUM(YEARLY!BF27:BF36)</f>
        <v>0</v>
      </c>
      <c r="AU81" s="3885">
        <f>SUM(YEARLY!BG27:BG36)</f>
        <v>0</v>
      </c>
      <c r="AV81" s="3885">
        <f>SUM(YEARLY!BH27:BH36)</f>
        <v>0</v>
      </c>
      <c r="AW81" s="3885">
        <f>SUM(YEARLY!BI27:BI36)</f>
        <v>0</v>
      </c>
      <c r="AX81" s="3885">
        <f>SUM(YEARLY!BJ27:BJ36)</f>
        <v>0</v>
      </c>
      <c r="AY81" s="3885">
        <f>SUM(YEARLY!BK27:BK36)</f>
        <v>0</v>
      </c>
      <c r="AZ81" s="3885">
        <f>SUM(YEARLY!BL27:BL36)</f>
        <v>0</v>
      </c>
      <c r="BA81" s="3885">
        <f>SUM(YEARLY!BM27:BM36)</f>
        <v>0</v>
      </c>
      <c r="BB81" s="3885">
        <f>SUM(YEARLY!BN27:BN36)</f>
        <v>0</v>
      </c>
      <c r="BC81" s="3885">
        <f>SUM(YEARLY!BO27:BO36)</f>
        <v>0</v>
      </c>
      <c r="BD81" s="3885">
        <f>SUM(YEARLY!BP27:BP36)</f>
        <v>0</v>
      </c>
      <c r="BE81" s="3885">
        <f>SUM(YEARLY!BQ27:BQ36)</f>
        <v>0</v>
      </c>
      <c r="BF81" s="3885">
        <f>SUM(YEARLY!BR27:BR36)</f>
        <v>0</v>
      </c>
      <c r="BG81" s="3885">
        <f>SUM(YEARLY!BS27:BS36)</f>
        <v>0</v>
      </c>
      <c r="BH81" s="3885">
        <f>SUM(YEARLY!BT27:BT36)</f>
        <v>0</v>
      </c>
      <c r="BI81" s="3885">
        <f>SUM(YEARLY!BU27:BU36)</f>
        <v>0</v>
      </c>
      <c r="BJ81" s="3885">
        <f>SUM(YEARLY!BV27:BV36)</f>
        <v>0</v>
      </c>
      <c r="BK81" s="3885">
        <f>SUM(YEARLY!BW27:BW36)</f>
        <v>0</v>
      </c>
      <c r="BL81" s="3885">
        <f>SUM(YEARLY!BX27:BX36)</f>
        <v>0</v>
      </c>
      <c r="BM81" s="3885">
        <f>SUM(YEARLY!BY27:BY36)</f>
        <v>0</v>
      </c>
      <c r="BN81" s="3885">
        <f>SUM(YEARLY!BZ27:BZ36)</f>
        <v>0</v>
      </c>
      <c r="BO81" s="3885">
        <f>SUM(YEARLY!CA27:CA36)</f>
        <v>0</v>
      </c>
      <c r="BP81" s="3885">
        <f>SUM(YEARLY!CB27:CB36)</f>
        <v>0</v>
      </c>
      <c r="BQ81" s="3885">
        <f>SUM(YEARLY!CC27:CC36)</f>
        <v>0</v>
      </c>
      <c r="BR81" s="3885">
        <f>SUM(YEARLY!CD27:CD36)</f>
        <v>0</v>
      </c>
      <c r="BS81" s="3885">
        <f>SUM(YEARLY!CE27:CE36)</f>
        <v>0</v>
      </c>
      <c r="BT81" s="3885">
        <f>SUM(YEARLY!CF27:CF36)</f>
        <v>0</v>
      </c>
      <c r="BU81" s="3885">
        <f>SUM(YEARLY!CG27:CG36)</f>
        <v>0</v>
      </c>
      <c r="BV81" s="3885">
        <f>SUM(YEARLY!CH27:CH36)</f>
        <v>0</v>
      </c>
    </row>
    <row r="82" spans="23:74" ht="17" x14ac:dyDescent="0.2">
      <c r="W82" s="4606" t="str">
        <f>B120</f>
        <v>Cropland</v>
      </c>
      <c r="X82" s="3906" t="str">
        <f t="shared" si="1"/>
        <v>Annual</v>
      </c>
      <c r="Y82" s="3885">
        <f>SUM(YEARLY!AK37:AK50)</f>
        <v>0</v>
      </c>
      <c r="Z82" s="3885">
        <f>SUM(YEARLY!AL37:AL50)</f>
        <v>0</v>
      </c>
      <c r="AA82" s="3885">
        <f>SUM(YEARLY!AM37:AM50)</f>
        <v>0</v>
      </c>
      <c r="AB82" s="3885">
        <f>SUM(YEARLY!AN37:AN50)</f>
        <v>0</v>
      </c>
      <c r="AC82" s="3885">
        <f>SUM(YEARLY!AO37:AO50)</f>
        <v>0</v>
      </c>
      <c r="AD82" s="3885">
        <f>SUM(YEARLY!AP37:AP50)</f>
        <v>0</v>
      </c>
      <c r="AE82" s="3885">
        <f>SUM(YEARLY!AQ37:AQ50)</f>
        <v>0</v>
      </c>
      <c r="AF82" s="3885">
        <f>SUM(YEARLY!AR37:AR50)</f>
        <v>0</v>
      </c>
      <c r="AG82" s="3885">
        <f>SUM(YEARLY!AS37:AS50)</f>
        <v>0</v>
      </c>
      <c r="AH82" s="3885">
        <f>SUM(YEARLY!AT37:AT50)</f>
        <v>0</v>
      </c>
      <c r="AI82" s="3885">
        <f>SUM(YEARLY!AU37:AU50)</f>
        <v>0</v>
      </c>
      <c r="AJ82" s="3885">
        <f>SUM(YEARLY!AV37:AV50)</f>
        <v>0</v>
      </c>
      <c r="AK82" s="3885">
        <f>SUM(YEARLY!AW37:AW50)</f>
        <v>0</v>
      </c>
      <c r="AL82" s="3885">
        <f>SUM(YEARLY!AX37:AX50)</f>
        <v>0</v>
      </c>
      <c r="AM82" s="3885">
        <f>SUM(YEARLY!AY37:AY50)</f>
        <v>0</v>
      </c>
      <c r="AN82" s="3885">
        <f>SUM(YEARLY!AZ37:AZ50)</f>
        <v>0</v>
      </c>
      <c r="AO82" s="3885">
        <f>SUM(YEARLY!BA37:BA50)</f>
        <v>0</v>
      </c>
      <c r="AP82" s="3885">
        <f>SUM(YEARLY!BB37:BB50)</f>
        <v>0</v>
      </c>
      <c r="AQ82" s="3885">
        <f>SUM(YEARLY!BC37:BC50)</f>
        <v>0</v>
      </c>
      <c r="AR82" s="3885">
        <f>SUM(YEARLY!BD37:BD50)</f>
        <v>0</v>
      </c>
      <c r="AS82" s="3885">
        <f>SUM(YEARLY!BE37:BE50)</f>
        <v>0</v>
      </c>
      <c r="AT82" s="3885">
        <f>SUM(YEARLY!BF37:BF50)</f>
        <v>0</v>
      </c>
      <c r="AU82" s="3885">
        <f>SUM(YEARLY!BG37:BG50)</f>
        <v>0</v>
      </c>
      <c r="AV82" s="3885">
        <f>SUM(YEARLY!BH37:BH50)</f>
        <v>0</v>
      </c>
      <c r="AW82" s="3885">
        <f>SUM(YEARLY!BI37:BI50)</f>
        <v>0</v>
      </c>
      <c r="AX82" s="3885">
        <f>SUM(YEARLY!BJ37:BJ50)</f>
        <v>0</v>
      </c>
      <c r="AY82" s="3885">
        <f>SUM(YEARLY!BK37:BK50)</f>
        <v>0</v>
      </c>
      <c r="AZ82" s="3885">
        <f>SUM(YEARLY!BL37:BL50)</f>
        <v>0</v>
      </c>
      <c r="BA82" s="3885">
        <f>SUM(YEARLY!BM37:BM50)</f>
        <v>0</v>
      </c>
      <c r="BB82" s="3885">
        <f>SUM(YEARLY!BN37:BN50)</f>
        <v>0</v>
      </c>
      <c r="BC82" s="3885">
        <f>SUM(YEARLY!BO37:BO50)</f>
        <v>0</v>
      </c>
      <c r="BD82" s="3885">
        <f>SUM(YEARLY!BP37:BP50)</f>
        <v>0</v>
      </c>
      <c r="BE82" s="3885">
        <f>SUM(YEARLY!BQ37:BQ50)</f>
        <v>0</v>
      </c>
      <c r="BF82" s="3885">
        <f>SUM(YEARLY!BR37:BR50)</f>
        <v>0</v>
      </c>
      <c r="BG82" s="3885">
        <f>SUM(YEARLY!BS37:BS50)</f>
        <v>0</v>
      </c>
      <c r="BH82" s="3885">
        <f>SUM(YEARLY!BT37:BT50)</f>
        <v>0</v>
      </c>
      <c r="BI82" s="3885">
        <f>SUM(YEARLY!BU37:BU50)</f>
        <v>0</v>
      </c>
      <c r="BJ82" s="3885">
        <f>SUM(YEARLY!BV37:BV50)</f>
        <v>0</v>
      </c>
      <c r="BK82" s="3885">
        <f>SUM(YEARLY!BW37:BW50)</f>
        <v>0</v>
      </c>
      <c r="BL82" s="3885">
        <f>SUM(YEARLY!BX37:BX50)</f>
        <v>0</v>
      </c>
      <c r="BM82" s="3885">
        <f>SUM(YEARLY!BY37:BY50)</f>
        <v>0</v>
      </c>
      <c r="BN82" s="3885">
        <f>SUM(YEARLY!BZ37:BZ50)</f>
        <v>0</v>
      </c>
      <c r="BO82" s="3885">
        <f>SUM(YEARLY!CA37:CA50)</f>
        <v>0</v>
      </c>
      <c r="BP82" s="3885">
        <f>SUM(YEARLY!CB37:CB50)</f>
        <v>0</v>
      </c>
      <c r="BQ82" s="3885">
        <f>SUM(YEARLY!CC37:CC50)</f>
        <v>0</v>
      </c>
      <c r="BR82" s="3885">
        <f>SUM(YEARLY!CD37:CD50)</f>
        <v>0</v>
      </c>
      <c r="BS82" s="3885">
        <f>SUM(YEARLY!CE37:CE50)</f>
        <v>0</v>
      </c>
      <c r="BT82" s="3885">
        <f>SUM(YEARLY!CF37:CF50)</f>
        <v>0</v>
      </c>
      <c r="BU82" s="3885">
        <f>SUM(YEARLY!CG37:CG50)</f>
        <v>0</v>
      </c>
      <c r="BV82" s="3885">
        <f>SUM(YEARLY!CH37:CH50)</f>
        <v>0</v>
      </c>
    </row>
    <row r="83" spans="23:74" ht="17" x14ac:dyDescent="0.2">
      <c r="W83" s="4606"/>
      <c r="X83" s="3906" t="str">
        <f t="shared" si="1"/>
        <v>Perennial</v>
      </c>
      <c r="Y83" s="3885">
        <f>SUM(YEARLY!AK51:AK64)</f>
        <v>0</v>
      </c>
      <c r="Z83" s="3885">
        <f>SUM(YEARLY!AL51:AL64)</f>
        <v>0</v>
      </c>
      <c r="AA83" s="3885">
        <f>SUM(YEARLY!AM51:AM64)</f>
        <v>0</v>
      </c>
      <c r="AB83" s="3885">
        <f>SUM(YEARLY!AN51:AN64)</f>
        <v>0</v>
      </c>
      <c r="AC83" s="3885">
        <f>SUM(YEARLY!AO51:AO64)</f>
        <v>0</v>
      </c>
      <c r="AD83" s="3885">
        <f>SUM(YEARLY!AP51:AP64)</f>
        <v>0</v>
      </c>
      <c r="AE83" s="3885">
        <f>SUM(YEARLY!AQ51:AQ64)</f>
        <v>0</v>
      </c>
      <c r="AF83" s="3885">
        <f>SUM(YEARLY!AR51:AR64)</f>
        <v>0</v>
      </c>
      <c r="AG83" s="3885">
        <f>SUM(YEARLY!AS51:AS64)</f>
        <v>0</v>
      </c>
      <c r="AH83" s="3885">
        <f>SUM(YEARLY!AT51:AT64)</f>
        <v>0</v>
      </c>
      <c r="AI83" s="3885">
        <f>SUM(YEARLY!AU51:AU64)</f>
        <v>0</v>
      </c>
      <c r="AJ83" s="3885">
        <f>SUM(YEARLY!AV51:AV64)</f>
        <v>0</v>
      </c>
      <c r="AK83" s="3885">
        <f>SUM(YEARLY!AW51:AW64)</f>
        <v>0</v>
      </c>
      <c r="AL83" s="3885">
        <f>SUM(YEARLY!AX51:AX64)</f>
        <v>0</v>
      </c>
      <c r="AM83" s="3885">
        <f>SUM(YEARLY!AY51:AY64)</f>
        <v>0</v>
      </c>
      <c r="AN83" s="3885">
        <f>SUM(YEARLY!AZ51:AZ64)</f>
        <v>0</v>
      </c>
      <c r="AO83" s="3885">
        <f>SUM(YEARLY!BA51:BA64)</f>
        <v>0</v>
      </c>
      <c r="AP83" s="3885">
        <f>SUM(YEARLY!BB51:BB64)</f>
        <v>0</v>
      </c>
      <c r="AQ83" s="3885">
        <f>SUM(YEARLY!BC51:BC64)</f>
        <v>0</v>
      </c>
      <c r="AR83" s="3885">
        <f>SUM(YEARLY!BD51:BD64)</f>
        <v>0</v>
      </c>
      <c r="AS83" s="3885">
        <f>SUM(YEARLY!BE51:BE64)</f>
        <v>0</v>
      </c>
      <c r="AT83" s="3885">
        <f>SUM(YEARLY!BF51:BF64)</f>
        <v>0</v>
      </c>
      <c r="AU83" s="3885">
        <f>SUM(YEARLY!BG51:BG64)</f>
        <v>0</v>
      </c>
      <c r="AV83" s="3885">
        <f>SUM(YEARLY!BH51:BH64)</f>
        <v>0</v>
      </c>
      <c r="AW83" s="3885">
        <f>SUM(YEARLY!BI51:BI64)</f>
        <v>0</v>
      </c>
      <c r="AX83" s="3885">
        <f>SUM(YEARLY!BJ51:BJ64)</f>
        <v>0</v>
      </c>
      <c r="AY83" s="3885">
        <f>SUM(YEARLY!BK51:BK64)</f>
        <v>0</v>
      </c>
      <c r="AZ83" s="3885">
        <f>SUM(YEARLY!BL51:BL64)</f>
        <v>0</v>
      </c>
      <c r="BA83" s="3885">
        <f>SUM(YEARLY!BM51:BM64)</f>
        <v>0</v>
      </c>
      <c r="BB83" s="3885">
        <f>SUM(YEARLY!BN51:BN64)</f>
        <v>0</v>
      </c>
      <c r="BC83" s="3885">
        <f>SUM(YEARLY!BO51:BO64)</f>
        <v>0</v>
      </c>
      <c r="BD83" s="3885">
        <f>SUM(YEARLY!BP51:BP64)</f>
        <v>0</v>
      </c>
      <c r="BE83" s="3885">
        <f>SUM(YEARLY!BQ51:BQ64)</f>
        <v>0</v>
      </c>
      <c r="BF83" s="3885">
        <f>SUM(YEARLY!BR51:BR64)</f>
        <v>0</v>
      </c>
      <c r="BG83" s="3885">
        <f>SUM(YEARLY!BS51:BS64)</f>
        <v>0</v>
      </c>
      <c r="BH83" s="3885">
        <f>SUM(YEARLY!BT51:BT64)</f>
        <v>0</v>
      </c>
      <c r="BI83" s="3885">
        <f>SUM(YEARLY!BU51:BU64)</f>
        <v>0</v>
      </c>
      <c r="BJ83" s="3885">
        <f>SUM(YEARLY!BV51:BV64)</f>
        <v>0</v>
      </c>
      <c r="BK83" s="3885">
        <f>SUM(YEARLY!BW51:BW64)</f>
        <v>0</v>
      </c>
      <c r="BL83" s="3885">
        <f>SUM(YEARLY!BX51:BX64)</f>
        <v>0</v>
      </c>
      <c r="BM83" s="3885">
        <f>SUM(YEARLY!BY51:BY64)</f>
        <v>0</v>
      </c>
      <c r="BN83" s="3885">
        <f>SUM(YEARLY!BZ51:BZ64)</f>
        <v>0</v>
      </c>
      <c r="BO83" s="3885">
        <f>SUM(YEARLY!CA51:CA64)</f>
        <v>0</v>
      </c>
      <c r="BP83" s="3885">
        <f>SUM(YEARLY!CB51:CB64)</f>
        <v>0</v>
      </c>
      <c r="BQ83" s="3885">
        <f>SUM(YEARLY!CC51:CC64)</f>
        <v>0</v>
      </c>
      <c r="BR83" s="3885">
        <f>SUM(YEARLY!CD51:CD64)</f>
        <v>0</v>
      </c>
      <c r="BS83" s="3885">
        <f>SUM(YEARLY!CE51:CE64)</f>
        <v>0</v>
      </c>
      <c r="BT83" s="3885">
        <f>SUM(YEARLY!CF51:CF64)</f>
        <v>0</v>
      </c>
      <c r="BU83" s="3885">
        <f>SUM(YEARLY!CG51:CG64)</f>
        <v>0</v>
      </c>
      <c r="BV83" s="3885">
        <f>SUM(YEARLY!CH51:CH64)</f>
        <v>0</v>
      </c>
    </row>
    <row r="84" spans="23:74" ht="17" x14ac:dyDescent="0.2">
      <c r="W84" s="4606"/>
      <c r="X84" s="3906" t="str">
        <f t="shared" si="1"/>
        <v>Flooded rice</v>
      </c>
      <c r="Y84" s="3885">
        <f>SUM(YEARLY!AK75:AK88)</f>
        <v>0</v>
      </c>
      <c r="Z84" s="3885">
        <f>SUM(YEARLY!AL75:AL88)</f>
        <v>0</v>
      </c>
      <c r="AA84" s="3885">
        <f>SUM(YEARLY!AM75:AM88)</f>
        <v>0</v>
      </c>
      <c r="AB84" s="3885">
        <f>SUM(YEARLY!AN75:AN88)</f>
        <v>0</v>
      </c>
      <c r="AC84" s="3885">
        <f>SUM(YEARLY!AO75:AO88)</f>
        <v>0</v>
      </c>
      <c r="AD84" s="3885">
        <f>SUM(YEARLY!AP75:AP88)</f>
        <v>0</v>
      </c>
      <c r="AE84" s="3885">
        <f>SUM(YEARLY!AQ75:AQ88)</f>
        <v>0</v>
      </c>
      <c r="AF84" s="3885">
        <f>SUM(YEARLY!AR75:AR88)</f>
        <v>0</v>
      </c>
      <c r="AG84" s="3885">
        <f>SUM(YEARLY!AS75:AS88)</f>
        <v>0</v>
      </c>
      <c r="AH84" s="3885">
        <f>SUM(YEARLY!AT75:AT88)</f>
        <v>0</v>
      </c>
      <c r="AI84" s="3885">
        <f>SUM(YEARLY!AU75:AU88)</f>
        <v>0</v>
      </c>
      <c r="AJ84" s="3885">
        <f>SUM(YEARLY!AV75:AV88)</f>
        <v>0</v>
      </c>
      <c r="AK84" s="3885">
        <f>SUM(YEARLY!AW75:AW88)</f>
        <v>0</v>
      </c>
      <c r="AL84" s="3885">
        <f>SUM(YEARLY!AX75:AX88)</f>
        <v>0</v>
      </c>
      <c r="AM84" s="3885">
        <f>SUM(YEARLY!AY75:AY88)</f>
        <v>0</v>
      </c>
      <c r="AN84" s="3885">
        <f>SUM(YEARLY!AZ75:AZ88)</f>
        <v>0</v>
      </c>
      <c r="AO84" s="3885">
        <f>SUM(YEARLY!BA75:BA88)</f>
        <v>0</v>
      </c>
      <c r="AP84" s="3885">
        <f>SUM(YEARLY!BB75:BB88)</f>
        <v>0</v>
      </c>
      <c r="AQ84" s="3885">
        <f>SUM(YEARLY!BC75:BC88)</f>
        <v>0</v>
      </c>
      <c r="AR84" s="3885">
        <f>SUM(YEARLY!BD75:BD88)</f>
        <v>0</v>
      </c>
      <c r="AS84" s="3885">
        <f>SUM(YEARLY!BE75:BE88)</f>
        <v>0</v>
      </c>
      <c r="AT84" s="3885">
        <f>SUM(YEARLY!BF75:BF88)</f>
        <v>0</v>
      </c>
      <c r="AU84" s="3885">
        <f>SUM(YEARLY!BG75:BG88)</f>
        <v>0</v>
      </c>
      <c r="AV84" s="3885">
        <f>SUM(YEARLY!BH75:BH88)</f>
        <v>0</v>
      </c>
      <c r="AW84" s="3885">
        <f>SUM(YEARLY!BI75:BI88)</f>
        <v>0</v>
      </c>
      <c r="AX84" s="3885">
        <f>SUM(YEARLY!BJ75:BJ88)</f>
        <v>0</v>
      </c>
      <c r="AY84" s="3885">
        <f>SUM(YEARLY!BK75:BK88)</f>
        <v>0</v>
      </c>
      <c r="AZ84" s="3885">
        <f>SUM(YEARLY!BL75:BL88)</f>
        <v>0</v>
      </c>
      <c r="BA84" s="3885">
        <f>SUM(YEARLY!BM75:BM88)</f>
        <v>0</v>
      </c>
      <c r="BB84" s="3885">
        <f>SUM(YEARLY!BN75:BN88)</f>
        <v>0</v>
      </c>
      <c r="BC84" s="3885">
        <f>SUM(YEARLY!BO75:BO88)</f>
        <v>0</v>
      </c>
      <c r="BD84" s="3885">
        <f>SUM(YEARLY!BP75:BP88)</f>
        <v>0</v>
      </c>
      <c r="BE84" s="3885">
        <f>SUM(YEARLY!BQ75:BQ88)</f>
        <v>0</v>
      </c>
      <c r="BF84" s="3885">
        <f>SUM(YEARLY!BR75:BR88)</f>
        <v>0</v>
      </c>
      <c r="BG84" s="3885">
        <f>SUM(YEARLY!BS75:BS88)</f>
        <v>0</v>
      </c>
      <c r="BH84" s="3885">
        <f>SUM(YEARLY!BT75:BT88)</f>
        <v>0</v>
      </c>
      <c r="BI84" s="3885">
        <f>SUM(YEARLY!BU75:BU88)</f>
        <v>0</v>
      </c>
      <c r="BJ84" s="3885">
        <f>SUM(YEARLY!BV75:BV88)</f>
        <v>0</v>
      </c>
      <c r="BK84" s="3885">
        <f>SUM(YEARLY!BW75:BW88)</f>
        <v>0</v>
      </c>
      <c r="BL84" s="3885">
        <f>SUM(YEARLY!BX75:BX88)</f>
        <v>0</v>
      </c>
      <c r="BM84" s="3885">
        <f>SUM(YEARLY!BY75:BY88)</f>
        <v>0</v>
      </c>
      <c r="BN84" s="3885">
        <f>SUM(YEARLY!BZ75:BZ88)</f>
        <v>0</v>
      </c>
      <c r="BO84" s="3885">
        <f>SUM(YEARLY!CA75:CA88)</f>
        <v>0</v>
      </c>
      <c r="BP84" s="3885">
        <f>SUM(YEARLY!CB75:CB88)</f>
        <v>0</v>
      </c>
      <c r="BQ84" s="3885">
        <f>SUM(YEARLY!CC75:CC88)</f>
        <v>0</v>
      </c>
      <c r="BR84" s="3885">
        <f>SUM(YEARLY!CD75:CD88)</f>
        <v>0</v>
      </c>
      <c r="BS84" s="3885">
        <f>SUM(YEARLY!CE75:CE88)</f>
        <v>0</v>
      </c>
      <c r="BT84" s="3885">
        <f>SUM(YEARLY!CF75:CF88)</f>
        <v>0</v>
      </c>
      <c r="BU84" s="3885">
        <f>SUM(YEARLY!CG75:CG88)</f>
        <v>0</v>
      </c>
      <c r="BV84" s="3885">
        <f>SUM(YEARLY!CH75:CH88)</f>
        <v>0</v>
      </c>
    </row>
    <row r="85" spans="23:74" ht="17" x14ac:dyDescent="0.2">
      <c r="W85" s="4606" t="str">
        <f>B123</f>
        <v>Grasslands &amp; Livestock</v>
      </c>
      <c r="X85" s="3906" t="str">
        <f t="shared" si="1"/>
        <v xml:space="preserve">Grasslands </v>
      </c>
      <c r="Y85" s="3885">
        <f>SUM(YEARLY!AK89:AK102)</f>
        <v>-33.000000000000014</v>
      </c>
      <c r="Z85" s="3885">
        <f>SUM(YEARLY!AL89:AL102)</f>
        <v>-66.000000000000028</v>
      </c>
      <c r="AA85" s="3885">
        <f>SUM(YEARLY!AM89:AM102)</f>
        <v>-99.000000000000043</v>
      </c>
      <c r="AB85" s="3885">
        <f>SUM(YEARLY!AN89:AN102)</f>
        <v>-132.00000000000006</v>
      </c>
      <c r="AC85" s="3885">
        <f>SUM(YEARLY!AO89:AO102)</f>
        <v>-165.00000000000006</v>
      </c>
      <c r="AD85" s="3885">
        <f>SUM(YEARLY!AP89:AP102)</f>
        <v>-198.00000000000009</v>
      </c>
      <c r="AE85" s="3885">
        <f>SUM(YEARLY!AQ89:AQ102)</f>
        <v>-198.00000000000009</v>
      </c>
      <c r="AF85" s="3885">
        <f>SUM(YEARLY!AR89:AR102)</f>
        <v>-198.00000000000009</v>
      </c>
      <c r="AG85" s="3885">
        <f>SUM(YEARLY!AS89:AS102)</f>
        <v>-198.00000000000009</v>
      </c>
      <c r="AH85" s="3885">
        <f>SUM(YEARLY!AT89:AT102)</f>
        <v>-198.00000000000009</v>
      </c>
      <c r="AI85" s="3885">
        <f>SUM(YEARLY!AU89:AU102)</f>
        <v>-198.00000000000009</v>
      </c>
      <c r="AJ85" s="3885">
        <f>SUM(YEARLY!AV89:AV102)</f>
        <v>-198.00000000000009</v>
      </c>
      <c r="AK85" s="3885">
        <f>SUM(YEARLY!AW89:AW102)</f>
        <v>-198.00000000000009</v>
      </c>
      <c r="AL85" s="3885">
        <f>SUM(YEARLY!AX89:AX102)</f>
        <v>-198.00000000000009</v>
      </c>
      <c r="AM85" s="3885">
        <f>SUM(YEARLY!AY89:AY102)</f>
        <v>-198.00000000000009</v>
      </c>
      <c r="AN85" s="3885">
        <f>SUM(YEARLY!AZ89:AZ102)</f>
        <v>0</v>
      </c>
      <c r="AO85" s="3885">
        <f>SUM(YEARLY!BA89:BA102)</f>
        <v>0</v>
      </c>
      <c r="AP85" s="3885">
        <f>SUM(YEARLY!BB89:BB102)</f>
        <v>0</v>
      </c>
      <c r="AQ85" s="3885">
        <f>SUM(YEARLY!BC89:BC102)</f>
        <v>0</v>
      </c>
      <c r="AR85" s="3885">
        <f>SUM(YEARLY!BD89:BD102)</f>
        <v>0</v>
      </c>
      <c r="AS85" s="3885">
        <f>SUM(YEARLY!BE89:BE102)</f>
        <v>0</v>
      </c>
      <c r="AT85" s="3885">
        <f>SUM(YEARLY!BF89:BF102)</f>
        <v>0</v>
      </c>
      <c r="AU85" s="3885">
        <f>SUM(YEARLY!BG89:BG102)</f>
        <v>0</v>
      </c>
      <c r="AV85" s="3885">
        <f>SUM(YEARLY!BH89:BH102)</f>
        <v>0</v>
      </c>
      <c r="AW85" s="3885">
        <f>SUM(YEARLY!BI89:BI102)</f>
        <v>0</v>
      </c>
      <c r="AX85" s="3885">
        <f>SUM(YEARLY!BJ89:BJ102)</f>
        <v>0</v>
      </c>
      <c r="AY85" s="3885">
        <f>SUM(YEARLY!BK89:BK102)</f>
        <v>0</v>
      </c>
      <c r="AZ85" s="3885">
        <f>SUM(YEARLY!BL89:BL102)</f>
        <v>0</v>
      </c>
      <c r="BA85" s="3885">
        <f>SUM(YEARLY!BM89:BM102)</f>
        <v>0</v>
      </c>
      <c r="BB85" s="3885">
        <f>SUM(YEARLY!BN89:BN102)</f>
        <v>0</v>
      </c>
      <c r="BC85" s="3885">
        <f>SUM(YEARLY!BO89:BO102)</f>
        <v>0</v>
      </c>
      <c r="BD85" s="3885">
        <f>SUM(YEARLY!BP89:BP102)</f>
        <v>0</v>
      </c>
      <c r="BE85" s="3885">
        <f>SUM(YEARLY!BQ89:BQ102)</f>
        <v>0</v>
      </c>
      <c r="BF85" s="3885">
        <f>SUM(YEARLY!BR89:BR102)</f>
        <v>0</v>
      </c>
      <c r="BG85" s="3885">
        <f>SUM(YEARLY!BS89:BS102)</f>
        <v>0</v>
      </c>
      <c r="BH85" s="3885">
        <f>SUM(YEARLY!BT89:BT102)</f>
        <v>0</v>
      </c>
      <c r="BI85" s="3885">
        <f>SUM(YEARLY!BU89:BU102)</f>
        <v>0</v>
      </c>
      <c r="BJ85" s="3885">
        <f>SUM(YEARLY!BV89:BV102)</f>
        <v>0</v>
      </c>
      <c r="BK85" s="3885">
        <f>SUM(YEARLY!BW89:BW102)</f>
        <v>0</v>
      </c>
      <c r="BL85" s="3885">
        <f>SUM(YEARLY!BX89:BX102)</f>
        <v>0</v>
      </c>
      <c r="BM85" s="3885">
        <f>SUM(YEARLY!BY89:BY102)</f>
        <v>0</v>
      </c>
      <c r="BN85" s="3885">
        <f>SUM(YEARLY!BZ89:BZ102)</f>
        <v>0</v>
      </c>
      <c r="BO85" s="3885">
        <f>SUM(YEARLY!CA89:CA102)</f>
        <v>0</v>
      </c>
      <c r="BP85" s="3885">
        <f>SUM(YEARLY!CB89:CB102)</f>
        <v>0</v>
      </c>
      <c r="BQ85" s="3885">
        <f>SUM(YEARLY!CC89:CC102)</f>
        <v>0</v>
      </c>
      <c r="BR85" s="3885">
        <f>SUM(YEARLY!CD89:CD102)</f>
        <v>0</v>
      </c>
      <c r="BS85" s="3885">
        <f>SUM(YEARLY!CE89:CE102)</f>
        <v>0</v>
      </c>
      <c r="BT85" s="3885">
        <f>SUM(YEARLY!CF89:CF102)</f>
        <v>0</v>
      </c>
      <c r="BU85" s="3885">
        <f>SUM(YEARLY!CG89:CG102)</f>
        <v>0</v>
      </c>
      <c r="BV85" s="3885">
        <f>SUM(YEARLY!CH89:CH102)</f>
        <v>0</v>
      </c>
    </row>
    <row r="86" spans="23:74" ht="17" x14ac:dyDescent="0.2">
      <c r="W86" s="4606"/>
      <c r="X86" s="3906" t="str">
        <f t="shared" si="1"/>
        <v>Livestock</v>
      </c>
      <c r="Y86" s="3885">
        <f ca="1">SUM(YEARLY!AK103:AK119)</f>
        <v>-10.604527500000003</v>
      </c>
      <c r="Z86" s="3885">
        <f ca="1">SUM(YEARLY!AL103:AL119)</f>
        <v>-21.209055000000006</v>
      </c>
      <c r="AA86" s="3885">
        <f ca="1">SUM(YEARLY!AM103:AM119)</f>
        <v>-31.813582500000024</v>
      </c>
      <c r="AB86" s="3885">
        <f ca="1">SUM(YEARLY!AN103:AN119)</f>
        <v>-42.418110000000013</v>
      </c>
      <c r="AC86" s="3885">
        <f ca="1">SUM(YEARLY!AO103:AO119)</f>
        <v>-53.022637499999973</v>
      </c>
      <c r="AD86" s="3885">
        <f ca="1">SUM(YEARLY!AP103:AP119)</f>
        <v>-63.627165000000048</v>
      </c>
      <c r="AE86" s="3885">
        <f ca="1">SUM(YEARLY!AQ103:AQ119)</f>
        <v>-63.627165000000048</v>
      </c>
      <c r="AF86" s="3885">
        <f ca="1">SUM(YEARLY!AR103:AR119)</f>
        <v>-63.627165000000048</v>
      </c>
      <c r="AG86" s="3885">
        <f ca="1">SUM(YEARLY!AS103:AS119)</f>
        <v>-63.627165000000048</v>
      </c>
      <c r="AH86" s="3885">
        <f ca="1">SUM(YEARLY!AT103:AT119)</f>
        <v>-63.627165000000048</v>
      </c>
      <c r="AI86" s="3885">
        <f ca="1">SUM(YEARLY!AU103:AU119)</f>
        <v>-63.627165000000048</v>
      </c>
      <c r="AJ86" s="3885">
        <f ca="1">SUM(YEARLY!AV103:AV119)</f>
        <v>-63.627165000000048</v>
      </c>
      <c r="AK86" s="3885">
        <f ca="1">SUM(YEARLY!AW103:AW119)</f>
        <v>-63.627165000000048</v>
      </c>
      <c r="AL86" s="3885">
        <f ca="1">SUM(YEARLY!AX103:AX119)</f>
        <v>-63.627165000000048</v>
      </c>
      <c r="AM86" s="3885">
        <f ca="1">SUM(YEARLY!AY103:AY119)</f>
        <v>-63.627165000000048</v>
      </c>
      <c r="AN86" s="3885">
        <f>SUM(YEARLY!AZ103:AZ119)</f>
        <v>0</v>
      </c>
      <c r="AO86" s="3885">
        <f>SUM(YEARLY!BA103:BA119)</f>
        <v>0</v>
      </c>
      <c r="AP86" s="3885">
        <f>SUM(YEARLY!BB103:BB119)</f>
        <v>0</v>
      </c>
      <c r="AQ86" s="3885">
        <f>SUM(YEARLY!BC103:BC119)</f>
        <v>0</v>
      </c>
      <c r="AR86" s="3885">
        <f>SUM(YEARLY!BD103:BD119)</f>
        <v>0</v>
      </c>
      <c r="AS86" s="3885">
        <f>SUM(YEARLY!BE103:BE119)</f>
        <v>0</v>
      </c>
      <c r="AT86" s="3885">
        <f>SUM(YEARLY!BF103:BF119)</f>
        <v>0</v>
      </c>
      <c r="AU86" s="3885">
        <f>SUM(YEARLY!BG103:BG119)</f>
        <v>0</v>
      </c>
      <c r="AV86" s="3885">
        <f>SUM(YEARLY!BH103:BH119)</f>
        <v>0</v>
      </c>
      <c r="AW86" s="3885">
        <f>SUM(YEARLY!BI103:BI119)</f>
        <v>0</v>
      </c>
      <c r="AX86" s="3885">
        <f>SUM(YEARLY!BJ103:BJ119)</f>
        <v>0</v>
      </c>
      <c r="AY86" s="3885">
        <f>SUM(YEARLY!BK103:BK119)</f>
        <v>0</v>
      </c>
      <c r="AZ86" s="3885">
        <f>SUM(YEARLY!BL103:BL119)</f>
        <v>0</v>
      </c>
      <c r="BA86" s="3885">
        <f>SUM(YEARLY!BM103:BM119)</f>
        <v>0</v>
      </c>
      <c r="BB86" s="3885">
        <f>SUM(YEARLY!BN103:BN119)</f>
        <v>0</v>
      </c>
      <c r="BC86" s="3885">
        <f>SUM(YEARLY!BO103:BO119)</f>
        <v>0</v>
      </c>
      <c r="BD86" s="3885">
        <f>SUM(YEARLY!BP103:BP119)</f>
        <v>0</v>
      </c>
      <c r="BE86" s="3885">
        <f>SUM(YEARLY!BQ103:BQ119)</f>
        <v>0</v>
      </c>
      <c r="BF86" s="3885">
        <f>SUM(YEARLY!BR103:BR119)</f>
        <v>0</v>
      </c>
      <c r="BG86" s="3885">
        <f>SUM(YEARLY!BS103:BS119)</f>
        <v>0</v>
      </c>
      <c r="BH86" s="3885">
        <f>SUM(YEARLY!BT103:BT119)</f>
        <v>0</v>
      </c>
      <c r="BI86" s="3885">
        <f>SUM(YEARLY!BU103:BU119)</f>
        <v>0</v>
      </c>
      <c r="BJ86" s="3885">
        <f>SUM(YEARLY!BV103:BV119)</f>
        <v>0</v>
      </c>
      <c r="BK86" s="3885">
        <f>SUM(YEARLY!BW103:BW119)</f>
        <v>0</v>
      </c>
      <c r="BL86" s="3885">
        <f>SUM(YEARLY!BX103:BX119)</f>
        <v>0</v>
      </c>
      <c r="BM86" s="3885">
        <f>SUM(YEARLY!BY103:BY119)</f>
        <v>0</v>
      </c>
      <c r="BN86" s="3885">
        <f>SUM(YEARLY!BZ103:BZ119)</f>
        <v>0</v>
      </c>
      <c r="BO86" s="3885">
        <f>SUM(YEARLY!CA103:CA119)</f>
        <v>0</v>
      </c>
      <c r="BP86" s="3885">
        <f>SUM(YEARLY!CB103:CB119)</f>
        <v>0</v>
      </c>
      <c r="BQ86" s="3885">
        <f>SUM(YEARLY!CC103:CC119)</f>
        <v>0</v>
      </c>
      <c r="BR86" s="3885">
        <f>SUM(YEARLY!CD103:CD119)</f>
        <v>0</v>
      </c>
      <c r="BS86" s="3885">
        <f>SUM(YEARLY!CE103:CE119)</f>
        <v>0</v>
      </c>
      <c r="BT86" s="3885">
        <f>SUM(YEARLY!CF103:CF119)</f>
        <v>0</v>
      </c>
      <c r="BU86" s="3885">
        <f>SUM(YEARLY!CG103:CG119)</f>
        <v>0</v>
      </c>
      <c r="BV86" s="3885">
        <f>SUM(YEARLY!CH103:CH119)</f>
        <v>0</v>
      </c>
    </row>
    <row r="87" spans="23:74" ht="17" x14ac:dyDescent="0.2">
      <c r="W87" s="3910"/>
      <c r="X87" s="3906" t="str">
        <f t="shared" si="1"/>
        <v>Forest mngt.</v>
      </c>
      <c r="Y87" s="3885">
        <f>SUM(YEARLY!AK120:AK127)</f>
        <v>0</v>
      </c>
      <c r="Z87" s="3885">
        <f>SUM(YEARLY!AL120:AL127)</f>
        <v>0</v>
      </c>
      <c r="AA87" s="3885">
        <f>SUM(YEARLY!AM120:AM127)</f>
        <v>0</v>
      </c>
      <c r="AB87" s="3885">
        <f>SUM(YEARLY!AN120:AN127)</f>
        <v>0</v>
      </c>
      <c r="AC87" s="3885">
        <f>SUM(YEARLY!AO120:AO127)</f>
        <v>0</v>
      </c>
      <c r="AD87" s="3885">
        <f>SUM(YEARLY!AP120:AP127)</f>
        <v>0</v>
      </c>
      <c r="AE87" s="3885">
        <f>SUM(YEARLY!AQ120:AQ127)</f>
        <v>0</v>
      </c>
      <c r="AF87" s="3885">
        <f>SUM(YEARLY!AR120:AR127)</f>
        <v>0</v>
      </c>
      <c r="AG87" s="3885">
        <f>SUM(YEARLY!AS120:AS127)</f>
        <v>0</v>
      </c>
      <c r="AH87" s="3885">
        <f>SUM(YEARLY!AT120:AT127)</f>
        <v>0</v>
      </c>
      <c r="AI87" s="3885">
        <f>SUM(YEARLY!AU120:AU127)</f>
        <v>0</v>
      </c>
      <c r="AJ87" s="3885">
        <f>SUM(YEARLY!AV120:AV127)</f>
        <v>0</v>
      </c>
      <c r="AK87" s="3885">
        <f>SUM(YEARLY!AW120:AW127)</f>
        <v>0</v>
      </c>
      <c r="AL87" s="3885">
        <f>SUM(YEARLY!AX120:AX127)</f>
        <v>0</v>
      </c>
      <c r="AM87" s="3885">
        <f>SUM(YEARLY!AY120:AY127)</f>
        <v>0</v>
      </c>
      <c r="AN87" s="3885">
        <f>SUM(YEARLY!AZ120:AZ127)</f>
        <v>0</v>
      </c>
      <c r="AO87" s="3885">
        <f>SUM(YEARLY!BA120:BA127)</f>
        <v>0</v>
      </c>
      <c r="AP87" s="3885">
        <f>SUM(YEARLY!BB120:BB127)</f>
        <v>0</v>
      </c>
      <c r="AQ87" s="3885">
        <f>SUM(YEARLY!BC120:BC127)</f>
        <v>0</v>
      </c>
      <c r="AR87" s="3885">
        <f>SUM(YEARLY!BD120:BD127)</f>
        <v>0</v>
      </c>
      <c r="AS87" s="3885">
        <f>SUM(YEARLY!BE120:BE127)</f>
        <v>0</v>
      </c>
      <c r="AT87" s="3885">
        <f>SUM(YEARLY!BF120:BF127)</f>
        <v>0</v>
      </c>
      <c r="AU87" s="3885">
        <f>SUM(YEARLY!BG120:BG127)</f>
        <v>0</v>
      </c>
      <c r="AV87" s="3885">
        <f>SUM(YEARLY!BH120:BH127)</f>
        <v>0</v>
      </c>
      <c r="AW87" s="3885">
        <f>SUM(YEARLY!BI120:BI127)</f>
        <v>0</v>
      </c>
      <c r="AX87" s="3885">
        <f>SUM(YEARLY!BJ120:BJ127)</f>
        <v>0</v>
      </c>
      <c r="AY87" s="3885">
        <f>SUM(YEARLY!BK120:BK127)</f>
        <v>0</v>
      </c>
      <c r="AZ87" s="3885">
        <f>SUM(YEARLY!BL120:BL127)</f>
        <v>0</v>
      </c>
      <c r="BA87" s="3885">
        <f>SUM(YEARLY!BM120:BM127)</f>
        <v>0</v>
      </c>
      <c r="BB87" s="3885">
        <f>SUM(YEARLY!BN120:BN127)</f>
        <v>0</v>
      </c>
      <c r="BC87" s="3885">
        <f>SUM(YEARLY!BO120:BO127)</f>
        <v>0</v>
      </c>
      <c r="BD87" s="3885">
        <f>SUM(YEARLY!BP120:BP127)</f>
        <v>0</v>
      </c>
      <c r="BE87" s="3885">
        <f>SUM(YEARLY!BQ120:BQ127)</f>
        <v>0</v>
      </c>
      <c r="BF87" s="3885">
        <f>SUM(YEARLY!BR120:BR127)</f>
        <v>0</v>
      </c>
      <c r="BG87" s="3885">
        <f>SUM(YEARLY!BS120:BS127)</f>
        <v>0</v>
      </c>
      <c r="BH87" s="3885">
        <f>SUM(YEARLY!BT120:BT127)</f>
        <v>0</v>
      </c>
      <c r="BI87" s="3885">
        <f>SUM(YEARLY!BU120:BU127)</f>
        <v>0</v>
      </c>
      <c r="BJ87" s="3885">
        <f>SUM(YEARLY!BV120:BV127)</f>
        <v>0</v>
      </c>
      <c r="BK87" s="3885">
        <f>SUM(YEARLY!BW120:BW127)</f>
        <v>0</v>
      </c>
      <c r="BL87" s="3885">
        <f>SUM(YEARLY!BX120:BX127)</f>
        <v>0</v>
      </c>
      <c r="BM87" s="3885">
        <f>SUM(YEARLY!BY120:BY127)</f>
        <v>0</v>
      </c>
      <c r="BN87" s="3885">
        <f>SUM(YEARLY!BZ120:BZ127)</f>
        <v>0</v>
      </c>
      <c r="BO87" s="3885">
        <f>SUM(YEARLY!CA120:CA127)</f>
        <v>0</v>
      </c>
      <c r="BP87" s="3885">
        <f>SUM(YEARLY!CB120:CB127)</f>
        <v>0</v>
      </c>
      <c r="BQ87" s="3885">
        <f>SUM(YEARLY!CC120:CC127)</f>
        <v>0</v>
      </c>
      <c r="BR87" s="3885">
        <f>SUM(YEARLY!CD120:CD127)</f>
        <v>0</v>
      </c>
      <c r="BS87" s="3885">
        <f>SUM(YEARLY!CE120:CE127)</f>
        <v>0</v>
      </c>
      <c r="BT87" s="3885">
        <f>SUM(YEARLY!CF120:CF127)</f>
        <v>0</v>
      </c>
      <c r="BU87" s="3885">
        <f>SUM(YEARLY!CG120:CG127)</f>
        <v>0</v>
      </c>
      <c r="BV87" s="3885">
        <f>SUM(YEARLY!CH120:CH127)</f>
        <v>0</v>
      </c>
    </row>
    <row r="88" spans="23:74" ht="17" x14ac:dyDescent="0.2">
      <c r="W88" s="3907"/>
      <c r="X88" s="3906" t="str">
        <f t="shared" si="1"/>
        <v>Inland wetlands</v>
      </c>
      <c r="Y88" s="3885">
        <f>SUM(YEARLY!AK128:AK169)</f>
        <v>1555.432776190476</v>
      </c>
      <c r="Z88" s="3885">
        <f>SUM(YEARLY!AL128:AL169)</f>
        <v>3110.8655523809521</v>
      </c>
      <c r="AA88" s="3885">
        <f>SUM(YEARLY!AM128:AM169)</f>
        <v>4666.2983285714272</v>
      </c>
      <c r="AB88" s="3885">
        <f>SUM(YEARLY!AN128:AN169)</f>
        <v>6221.7311047619041</v>
      </c>
      <c r="AC88" s="3885">
        <f>SUM(YEARLY!AO128:AO169)</f>
        <v>7777.1638809523802</v>
      </c>
      <c r="AD88" s="3885">
        <f>SUM(YEARLY!AP128:AP169)</f>
        <v>9332.5966571428562</v>
      </c>
      <c r="AE88" s="3885">
        <f>SUM(YEARLY!AQ128:AQ169)</f>
        <v>9332.5966571428562</v>
      </c>
      <c r="AF88" s="3885">
        <f>SUM(YEARLY!AR128:AR169)</f>
        <v>9332.5966571428562</v>
      </c>
      <c r="AG88" s="3885">
        <f>SUM(YEARLY!AS128:AS169)</f>
        <v>9332.5966571428562</v>
      </c>
      <c r="AH88" s="3885">
        <f>SUM(YEARLY!AT128:AT169)</f>
        <v>9332.5966571428562</v>
      </c>
      <c r="AI88" s="3885">
        <f>SUM(YEARLY!AU128:AU169)</f>
        <v>9332.5966571428562</v>
      </c>
      <c r="AJ88" s="3885">
        <f>SUM(YEARLY!AV128:AV169)</f>
        <v>9332.5966571428562</v>
      </c>
      <c r="AK88" s="3885">
        <f>SUM(YEARLY!AW128:AW169)</f>
        <v>9332.5966571428562</v>
      </c>
      <c r="AL88" s="3885">
        <f>SUM(YEARLY!AX128:AX169)</f>
        <v>9332.5966571428562</v>
      </c>
      <c r="AM88" s="3885">
        <f>SUM(YEARLY!AY128:AY169)</f>
        <v>9332.5966571428562</v>
      </c>
      <c r="AN88" s="3885">
        <f>SUM(YEARLY!AZ128:AZ169)</f>
        <v>0</v>
      </c>
      <c r="AO88" s="3885">
        <f>SUM(YEARLY!BA128:BA169)</f>
        <v>0</v>
      </c>
      <c r="AP88" s="3885">
        <f>SUM(YEARLY!BB128:BB169)</f>
        <v>0</v>
      </c>
      <c r="AQ88" s="3885">
        <f>SUM(YEARLY!BC128:BC169)</f>
        <v>0</v>
      </c>
      <c r="AR88" s="3885">
        <f>SUM(YEARLY!BD128:BD169)</f>
        <v>0</v>
      </c>
      <c r="AS88" s="3885">
        <f>SUM(YEARLY!BE128:BE169)</f>
        <v>0</v>
      </c>
      <c r="AT88" s="3885">
        <f>SUM(YEARLY!BF128:BF169)</f>
        <v>0</v>
      </c>
      <c r="AU88" s="3885">
        <f>SUM(YEARLY!BG128:BG169)</f>
        <v>0</v>
      </c>
      <c r="AV88" s="3885">
        <f>SUM(YEARLY!BH128:BH169)</f>
        <v>0</v>
      </c>
      <c r="AW88" s="3885">
        <f>SUM(YEARLY!BI128:BI169)</f>
        <v>0</v>
      </c>
      <c r="AX88" s="3885">
        <f>SUM(YEARLY!BJ128:BJ169)</f>
        <v>0</v>
      </c>
      <c r="AY88" s="3885">
        <f>SUM(YEARLY!BK128:BK169)</f>
        <v>0</v>
      </c>
      <c r="AZ88" s="3885">
        <f>SUM(YEARLY!BL128:BL169)</f>
        <v>0</v>
      </c>
      <c r="BA88" s="3885">
        <f>SUM(YEARLY!BM128:BM169)</f>
        <v>0</v>
      </c>
      <c r="BB88" s="3885">
        <f>SUM(YEARLY!BN128:BN169)</f>
        <v>0</v>
      </c>
      <c r="BC88" s="3885">
        <f>SUM(YEARLY!BO128:BO169)</f>
        <v>0</v>
      </c>
      <c r="BD88" s="3885">
        <f>SUM(YEARLY!BP128:BP169)</f>
        <v>0</v>
      </c>
      <c r="BE88" s="3885">
        <f>SUM(YEARLY!BQ128:BQ169)</f>
        <v>0</v>
      </c>
      <c r="BF88" s="3885">
        <f>SUM(YEARLY!BR128:BR169)</f>
        <v>0</v>
      </c>
      <c r="BG88" s="3885">
        <f>SUM(YEARLY!BS128:BS169)</f>
        <v>0</v>
      </c>
      <c r="BH88" s="3885">
        <f>SUM(YEARLY!BT128:BT169)</f>
        <v>0</v>
      </c>
      <c r="BI88" s="3885">
        <f>SUM(YEARLY!BU128:BU169)</f>
        <v>0</v>
      </c>
      <c r="BJ88" s="3885">
        <f>SUM(YEARLY!BV128:BV169)</f>
        <v>0</v>
      </c>
      <c r="BK88" s="3885">
        <f>SUM(YEARLY!BW128:BW169)</f>
        <v>0</v>
      </c>
      <c r="BL88" s="3885">
        <f>SUM(YEARLY!BX128:BX169)</f>
        <v>0</v>
      </c>
      <c r="BM88" s="3885">
        <f>SUM(YEARLY!BY128:BY169)</f>
        <v>0</v>
      </c>
      <c r="BN88" s="3885">
        <f>SUM(YEARLY!BZ128:BZ169)</f>
        <v>0</v>
      </c>
      <c r="BO88" s="3885">
        <f>SUM(YEARLY!CA128:CA169)</f>
        <v>0</v>
      </c>
      <c r="BP88" s="3885">
        <f>SUM(YEARLY!CB128:CB169)</f>
        <v>0</v>
      </c>
      <c r="BQ88" s="3885">
        <f>SUM(YEARLY!CC128:CC169)</f>
        <v>0</v>
      </c>
      <c r="BR88" s="3885">
        <f>SUM(YEARLY!CD128:CD169)</f>
        <v>0</v>
      </c>
      <c r="BS88" s="3885">
        <f>SUM(YEARLY!CE128:CE169)</f>
        <v>0</v>
      </c>
      <c r="BT88" s="3885">
        <f>SUM(YEARLY!CF128:CF169)</f>
        <v>0</v>
      </c>
      <c r="BU88" s="3885">
        <f>SUM(YEARLY!CG128:CG169)</f>
        <v>0</v>
      </c>
      <c r="BV88" s="3885">
        <f>SUM(YEARLY!CH128:CH169)</f>
        <v>0</v>
      </c>
    </row>
    <row r="89" spans="23:74" ht="17" x14ac:dyDescent="0.2">
      <c r="W89" s="3910"/>
      <c r="X89" s="3906" t="str">
        <f t="shared" si="1"/>
        <v>Coastal wetlands</v>
      </c>
      <c r="Y89" s="3885">
        <f>SUM(YEARLY!AK170:AK193)</f>
        <v>48.3</v>
      </c>
      <c r="Z89" s="3885">
        <f>SUM(YEARLY!AL170:AL193)</f>
        <v>96.6</v>
      </c>
      <c r="AA89" s="3885">
        <f>SUM(YEARLY!AM170:AM193)</f>
        <v>144.89999999999998</v>
      </c>
      <c r="AB89" s="3885">
        <f>SUM(YEARLY!AN170:AN193)</f>
        <v>193.2</v>
      </c>
      <c r="AC89" s="3885">
        <f>SUM(YEARLY!AO170:AO193)</f>
        <v>241.5</v>
      </c>
      <c r="AD89" s="3885">
        <f>SUM(YEARLY!AP170:AP193)</f>
        <v>289.8</v>
      </c>
      <c r="AE89" s="3885">
        <f>SUM(YEARLY!AQ170:AQ193)</f>
        <v>289.8</v>
      </c>
      <c r="AF89" s="3885">
        <f>SUM(YEARLY!AR170:AR193)</f>
        <v>289.8</v>
      </c>
      <c r="AG89" s="3885">
        <f>SUM(YEARLY!AS170:AS193)</f>
        <v>289.8</v>
      </c>
      <c r="AH89" s="3885">
        <f>SUM(YEARLY!AT170:AT193)</f>
        <v>289.8</v>
      </c>
      <c r="AI89" s="3885">
        <f>SUM(YEARLY!AU170:AU193)</f>
        <v>289.8</v>
      </c>
      <c r="AJ89" s="3885">
        <f>SUM(YEARLY!AV170:AV193)</f>
        <v>289.8</v>
      </c>
      <c r="AK89" s="3885">
        <f>SUM(YEARLY!AW170:AW193)</f>
        <v>289.8</v>
      </c>
      <c r="AL89" s="3885">
        <f>SUM(YEARLY!AX170:AX193)</f>
        <v>289.8</v>
      </c>
      <c r="AM89" s="3885">
        <f>SUM(YEARLY!AY170:AY193)</f>
        <v>289.8</v>
      </c>
      <c r="AN89" s="3885">
        <f>SUM(YEARLY!AZ170:AZ193)</f>
        <v>0</v>
      </c>
      <c r="AO89" s="3885">
        <f>SUM(YEARLY!BA170:BA193)</f>
        <v>0</v>
      </c>
      <c r="AP89" s="3885">
        <f>SUM(YEARLY!BB170:BB193)</f>
        <v>0</v>
      </c>
      <c r="AQ89" s="3885">
        <f>SUM(YEARLY!BC170:BC193)</f>
        <v>0</v>
      </c>
      <c r="AR89" s="3885">
        <f>SUM(YEARLY!BD170:BD193)</f>
        <v>0</v>
      </c>
      <c r="AS89" s="3885">
        <f>SUM(YEARLY!BE170:BE193)</f>
        <v>0</v>
      </c>
      <c r="AT89" s="3885">
        <f>SUM(YEARLY!BF170:BF193)</f>
        <v>0</v>
      </c>
      <c r="AU89" s="3885">
        <f>SUM(YEARLY!BG170:BG193)</f>
        <v>0</v>
      </c>
      <c r="AV89" s="3885">
        <f>SUM(YEARLY!BH170:BH193)</f>
        <v>0</v>
      </c>
      <c r="AW89" s="3885">
        <f>SUM(YEARLY!BI170:BI193)</f>
        <v>0</v>
      </c>
      <c r="AX89" s="3885">
        <f>SUM(YEARLY!BJ170:BJ193)</f>
        <v>0</v>
      </c>
      <c r="AY89" s="3885">
        <f>SUM(YEARLY!BK170:BK193)</f>
        <v>0</v>
      </c>
      <c r="AZ89" s="3885">
        <f>SUM(YEARLY!BL170:BL193)</f>
        <v>0</v>
      </c>
      <c r="BA89" s="3885">
        <f>SUM(YEARLY!BM170:BM193)</f>
        <v>0</v>
      </c>
      <c r="BB89" s="3885">
        <f>SUM(YEARLY!BN170:BN193)</f>
        <v>0</v>
      </c>
      <c r="BC89" s="3885">
        <f>SUM(YEARLY!BO170:BO193)</f>
        <v>0</v>
      </c>
      <c r="BD89" s="3885">
        <f>SUM(YEARLY!BP170:BP193)</f>
        <v>0</v>
      </c>
      <c r="BE89" s="3885">
        <f>SUM(YEARLY!BQ170:BQ193)</f>
        <v>0</v>
      </c>
      <c r="BF89" s="3885">
        <f>SUM(YEARLY!BR170:BR193)</f>
        <v>0</v>
      </c>
      <c r="BG89" s="3885">
        <f>SUM(YEARLY!BS170:BS193)</f>
        <v>0</v>
      </c>
      <c r="BH89" s="3885">
        <f>SUM(YEARLY!BT170:BT193)</f>
        <v>0</v>
      </c>
      <c r="BI89" s="3885">
        <f>SUM(YEARLY!BU170:BU193)</f>
        <v>0</v>
      </c>
      <c r="BJ89" s="3885">
        <f>SUM(YEARLY!BV170:BV193)</f>
        <v>0</v>
      </c>
      <c r="BK89" s="3885">
        <f>SUM(YEARLY!BW170:BW193)</f>
        <v>0</v>
      </c>
      <c r="BL89" s="3885">
        <f>SUM(YEARLY!BX170:BX193)</f>
        <v>0</v>
      </c>
      <c r="BM89" s="3885">
        <f>SUM(YEARLY!BY170:BY193)</f>
        <v>0</v>
      </c>
      <c r="BN89" s="3885">
        <f>SUM(YEARLY!BZ170:BZ193)</f>
        <v>0</v>
      </c>
      <c r="BO89" s="3885">
        <f>SUM(YEARLY!CA170:CA193)</f>
        <v>0</v>
      </c>
      <c r="BP89" s="3885">
        <f>SUM(YEARLY!CB170:CB193)</f>
        <v>0</v>
      </c>
      <c r="BQ89" s="3885">
        <f>SUM(YEARLY!CC170:CC193)</f>
        <v>0</v>
      </c>
      <c r="BR89" s="3885">
        <f>SUM(YEARLY!CD170:CD193)</f>
        <v>0</v>
      </c>
      <c r="BS89" s="3885">
        <f>SUM(YEARLY!CE170:CE193)</f>
        <v>0</v>
      </c>
      <c r="BT89" s="3885">
        <f>SUM(YEARLY!CF170:CF193)</f>
        <v>0</v>
      </c>
      <c r="BU89" s="3885">
        <f>SUM(YEARLY!CG170:CG193)</f>
        <v>0</v>
      </c>
      <c r="BV89" s="3885">
        <f>SUM(YEARLY!CH170:CH193)</f>
        <v>0</v>
      </c>
    </row>
    <row r="90" spans="23:74" ht="17" x14ac:dyDescent="0.2">
      <c r="W90" s="3910"/>
      <c r="X90" s="3906" t="str">
        <f t="shared" si="1"/>
        <v>Fisheries and aquaculture</v>
      </c>
      <c r="Y90" s="3885">
        <f>SUM(YEARLY!AK194:AK211)</f>
        <v>-31.390175718154275</v>
      </c>
      <c r="Z90" s="3885">
        <f>SUM(YEARLY!AL194:AL211)</f>
        <v>-62.78035143630855</v>
      </c>
      <c r="AA90" s="3885">
        <f>SUM(YEARLY!AM194:AM211)</f>
        <v>-94.170527154462818</v>
      </c>
      <c r="AB90" s="3885">
        <f>SUM(YEARLY!AN194:AN211)</f>
        <v>-125.5607028726171</v>
      </c>
      <c r="AC90" s="3885">
        <f>SUM(YEARLY!AO194:AO211)</f>
        <v>-156.95087859077137</v>
      </c>
      <c r="AD90" s="3885">
        <f>SUM(YEARLY!AP194:AP211)</f>
        <v>-188.34105430892566</v>
      </c>
      <c r="AE90" s="3885">
        <f>SUM(YEARLY!AQ194:AQ211)</f>
        <v>-188.34105430892566</v>
      </c>
      <c r="AF90" s="3885">
        <f>SUM(YEARLY!AR194:AR211)</f>
        <v>-188.34105430892566</v>
      </c>
      <c r="AG90" s="3885">
        <f>SUM(YEARLY!AS194:AS211)</f>
        <v>-188.34105430892566</v>
      </c>
      <c r="AH90" s="3885">
        <f>SUM(YEARLY!AT194:AT211)</f>
        <v>-188.34105430892566</v>
      </c>
      <c r="AI90" s="3885">
        <f>SUM(YEARLY!AU194:AU211)</f>
        <v>-188.34105430892566</v>
      </c>
      <c r="AJ90" s="3885">
        <f>SUM(YEARLY!AV194:AV211)</f>
        <v>-188.34105430892566</v>
      </c>
      <c r="AK90" s="3885">
        <f>SUM(YEARLY!AW194:AW211)</f>
        <v>-188.34105430892566</v>
      </c>
      <c r="AL90" s="3885">
        <f>SUM(YEARLY!AX194:AX211)</f>
        <v>-188.34105430892566</v>
      </c>
      <c r="AM90" s="3885">
        <f>SUM(YEARLY!AY194:AY211)</f>
        <v>-188.34105430892566</v>
      </c>
      <c r="AN90" s="3885">
        <f>SUM(YEARLY!AZ194:AZ211)</f>
        <v>0</v>
      </c>
      <c r="AO90" s="3885">
        <f>SUM(YEARLY!BA194:BA211)</f>
        <v>0</v>
      </c>
      <c r="AP90" s="3885">
        <f>SUM(YEARLY!BB194:BB211)</f>
        <v>0</v>
      </c>
      <c r="AQ90" s="3885">
        <f>SUM(YEARLY!BC194:BC211)</f>
        <v>0</v>
      </c>
      <c r="AR90" s="3885">
        <f>SUM(YEARLY!BD194:BD211)</f>
        <v>0</v>
      </c>
      <c r="AS90" s="3885">
        <f>SUM(YEARLY!BE194:BE211)</f>
        <v>0</v>
      </c>
      <c r="AT90" s="3885">
        <f>SUM(YEARLY!BF194:BF211)</f>
        <v>0</v>
      </c>
      <c r="AU90" s="3885">
        <f>SUM(YEARLY!BG194:BG211)</f>
        <v>0</v>
      </c>
      <c r="AV90" s="3885">
        <f>SUM(YEARLY!BH194:BH211)</f>
        <v>0</v>
      </c>
      <c r="AW90" s="3885">
        <f>SUM(YEARLY!BI194:BI211)</f>
        <v>0</v>
      </c>
      <c r="AX90" s="3885">
        <f>SUM(YEARLY!BJ194:BJ211)</f>
        <v>0</v>
      </c>
      <c r="AY90" s="3885">
        <f>SUM(YEARLY!BK194:BK211)</f>
        <v>0</v>
      </c>
      <c r="AZ90" s="3885">
        <f>SUM(YEARLY!BL194:BL211)</f>
        <v>0</v>
      </c>
      <c r="BA90" s="3885">
        <f>SUM(YEARLY!BM194:BM211)</f>
        <v>0</v>
      </c>
      <c r="BB90" s="3885">
        <f>SUM(YEARLY!BN194:BN211)</f>
        <v>0</v>
      </c>
      <c r="BC90" s="3885">
        <f>SUM(YEARLY!BO194:BO211)</f>
        <v>0</v>
      </c>
      <c r="BD90" s="3885">
        <f>SUM(YEARLY!BP194:BP211)</f>
        <v>0</v>
      </c>
      <c r="BE90" s="3885">
        <f>SUM(YEARLY!BQ194:BQ211)</f>
        <v>0</v>
      </c>
      <c r="BF90" s="3885">
        <f>SUM(YEARLY!BR194:BR211)</f>
        <v>0</v>
      </c>
      <c r="BG90" s="3885">
        <f>SUM(YEARLY!BS194:BS211)</f>
        <v>0</v>
      </c>
      <c r="BH90" s="3885">
        <f>SUM(YEARLY!BT194:BT211)</f>
        <v>0</v>
      </c>
      <c r="BI90" s="3885">
        <f>SUM(YEARLY!BU194:BU211)</f>
        <v>0</v>
      </c>
      <c r="BJ90" s="3885">
        <f>SUM(YEARLY!BV194:BV211)</f>
        <v>0</v>
      </c>
      <c r="BK90" s="3885">
        <f>SUM(YEARLY!BW194:BW211)</f>
        <v>0</v>
      </c>
      <c r="BL90" s="3885">
        <f>SUM(YEARLY!BX194:BX211)</f>
        <v>0</v>
      </c>
      <c r="BM90" s="3885">
        <f>SUM(YEARLY!BY194:BY211)</f>
        <v>0</v>
      </c>
      <c r="BN90" s="3885">
        <f>SUM(YEARLY!BZ194:BZ211)</f>
        <v>0</v>
      </c>
      <c r="BO90" s="3885">
        <f>SUM(YEARLY!CA194:CA211)</f>
        <v>0</v>
      </c>
      <c r="BP90" s="3885">
        <f>SUM(YEARLY!CB194:CB211)</f>
        <v>0</v>
      </c>
      <c r="BQ90" s="3885">
        <f>SUM(YEARLY!CC194:CC211)</f>
        <v>0</v>
      </c>
      <c r="BR90" s="3885">
        <f>SUM(YEARLY!CD194:CD211)</f>
        <v>0</v>
      </c>
      <c r="BS90" s="3885">
        <f>SUM(YEARLY!CE194:CE211)</f>
        <v>0</v>
      </c>
      <c r="BT90" s="3885">
        <f>SUM(YEARLY!CF194:CF211)</f>
        <v>0</v>
      </c>
      <c r="BU90" s="3885">
        <f>SUM(YEARLY!CG194:CG211)</f>
        <v>0</v>
      </c>
      <c r="BV90" s="3885">
        <f>SUM(YEARLY!CH194:CH211)</f>
        <v>0</v>
      </c>
    </row>
    <row r="91" spans="23:74" ht="17" x14ac:dyDescent="0.2">
      <c r="W91" s="3919"/>
      <c r="X91" s="3906" t="str">
        <f t="shared" si="1"/>
        <v>Inputs &amp; Invest.</v>
      </c>
      <c r="Y91" s="3885">
        <f>SUM(YEARLY!AK212:AK257)</f>
        <v>85.707835329234314</v>
      </c>
      <c r="Z91" s="3885">
        <f>SUM(YEARLY!AL212:AL257)</f>
        <v>171.41567065846863</v>
      </c>
      <c r="AA91" s="3885">
        <f>SUM(YEARLY!AM212:AM257)</f>
        <v>257.12350598770291</v>
      </c>
      <c r="AB91" s="3885">
        <f>SUM(YEARLY!AN212:AN257)</f>
        <v>342.83134131693726</v>
      </c>
      <c r="AC91" s="3885">
        <f>SUM(YEARLY!AO212:AO257)</f>
        <v>428.5391766461716</v>
      </c>
      <c r="AD91" s="3885">
        <f>SUM(YEARLY!AP212:AP257)</f>
        <v>514.24701197540583</v>
      </c>
      <c r="AE91" s="3885">
        <f>SUM(YEARLY!AQ212:AQ257)</f>
        <v>514.24701197540583</v>
      </c>
      <c r="AF91" s="3885">
        <f>SUM(YEARLY!AR212:AR257)</f>
        <v>514.24701197540583</v>
      </c>
      <c r="AG91" s="3885">
        <f>SUM(YEARLY!AS212:AS257)</f>
        <v>514.24701197540583</v>
      </c>
      <c r="AH91" s="3885">
        <f>SUM(YEARLY!AT212:AT257)</f>
        <v>514.24701197540583</v>
      </c>
      <c r="AI91" s="3885">
        <f>SUM(YEARLY!AU212:AU257)</f>
        <v>514.24701197540583</v>
      </c>
      <c r="AJ91" s="3885">
        <f>SUM(YEARLY!AV212:AV257)</f>
        <v>514.24701197540583</v>
      </c>
      <c r="AK91" s="3885">
        <f>SUM(YEARLY!AW212:AW257)</f>
        <v>514.24701197540583</v>
      </c>
      <c r="AL91" s="3885">
        <f>SUM(YEARLY!AX212:AX257)</f>
        <v>514.24701197540583</v>
      </c>
      <c r="AM91" s="3885">
        <f>SUM(YEARLY!AY212:AY257)</f>
        <v>514.24701197540583</v>
      </c>
      <c r="AN91" s="3885">
        <f>SUM(YEARLY!AZ212:AZ257)</f>
        <v>0</v>
      </c>
      <c r="AO91" s="3885">
        <f>SUM(YEARLY!BA212:BA257)</f>
        <v>0</v>
      </c>
      <c r="AP91" s="3885">
        <f>SUM(YEARLY!BB212:BB257)</f>
        <v>0</v>
      </c>
      <c r="AQ91" s="3885">
        <f>SUM(YEARLY!BC212:BC257)</f>
        <v>0</v>
      </c>
      <c r="AR91" s="3885">
        <f>SUM(YEARLY!BD212:BD257)</f>
        <v>0</v>
      </c>
      <c r="AS91" s="3885">
        <f>SUM(YEARLY!BE212:BE257)</f>
        <v>0</v>
      </c>
      <c r="AT91" s="3885">
        <f>SUM(YEARLY!BF212:BF257)</f>
        <v>0</v>
      </c>
      <c r="AU91" s="3885">
        <f>SUM(YEARLY!BG212:BG257)</f>
        <v>0</v>
      </c>
      <c r="AV91" s="3885">
        <f>SUM(YEARLY!BH212:BH257)</f>
        <v>0</v>
      </c>
      <c r="AW91" s="3885">
        <f>SUM(YEARLY!BI212:BI257)</f>
        <v>0</v>
      </c>
      <c r="AX91" s="3885">
        <f>SUM(YEARLY!BJ212:BJ257)</f>
        <v>0</v>
      </c>
      <c r="AY91" s="3885">
        <f>SUM(YEARLY!BK212:BK257)</f>
        <v>0</v>
      </c>
      <c r="AZ91" s="3885">
        <f>SUM(YEARLY!BL212:BL257)</f>
        <v>0</v>
      </c>
      <c r="BA91" s="3885">
        <f>SUM(YEARLY!BM212:BM257)</f>
        <v>0</v>
      </c>
      <c r="BB91" s="3885">
        <f>SUM(YEARLY!BN212:BN257)</f>
        <v>0</v>
      </c>
      <c r="BC91" s="3885">
        <f>SUM(YEARLY!BO212:BO257)</f>
        <v>0</v>
      </c>
      <c r="BD91" s="3885">
        <f>SUM(YEARLY!BP212:BP257)</f>
        <v>0</v>
      </c>
      <c r="BE91" s="3885">
        <f>SUM(YEARLY!BQ212:BQ257)</f>
        <v>0</v>
      </c>
      <c r="BF91" s="3885">
        <f>SUM(YEARLY!BR212:BR257)</f>
        <v>0</v>
      </c>
      <c r="BG91" s="3885">
        <f>SUM(YEARLY!BS212:BS257)</f>
        <v>0</v>
      </c>
      <c r="BH91" s="3885">
        <f>SUM(YEARLY!BT212:BT257)</f>
        <v>0</v>
      </c>
      <c r="BI91" s="3885">
        <f>SUM(YEARLY!BU212:BU257)</f>
        <v>0</v>
      </c>
      <c r="BJ91" s="3885">
        <f>SUM(YEARLY!BV212:BV257)</f>
        <v>0</v>
      </c>
      <c r="BK91" s="3885">
        <f>SUM(YEARLY!BW212:BW257)</f>
        <v>0</v>
      </c>
      <c r="BL91" s="3885">
        <f>SUM(YEARLY!BX212:BX257)</f>
        <v>0</v>
      </c>
      <c r="BM91" s="3885">
        <f>SUM(YEARLY!BY212:BY257)</f>
        <v>0</v>
      </c>
      <c r="BN91" s="3885">
        <f>SUM(YEARLY!BZ212:BZ257)</f>
        <v>0</v>
      </c>
      <c r="BO91" s="3885">
        <f>SUM(YEARLY!CA212:CA257)</f>
        <v>0</v>
      </c>
      <c r="BP91" s="3885">
        <f>SUM(YEARLY!CB212:CB257)</f>
        <v>0</v>
      </c>
      <c r="BQ91" s="3885">
        <f>SUM(YEARLY!CC212:CC257)</f>
        <v>0</v>
      </c>
      <c r="BR91" s="3885">
        <f>SUM(YEARLY!CD212:CD257)</f>
        <v>0</v>
      </c>
      <c r="BS91" s="3885">
        <f>SUM(YEARLY!CE212:CE257)</f>
        <v>0</v>
      </c>
      <c r="BT91" s="3885">
        <f>SUM(YEARLY!CF212:CF257)</f>
        <v>0</v>
      </c>
      <c r="BU91" s="3885">
        <f>SUM(YEARLY!CG212:CG257)</f>
        <v>0</v>
      </c>
      <c r="BV91" s="3885">
        <f>SUM(YEARLY!CH212:CH257)</f>
        <v>0</v>
      </c>
    </row>
    <row r="94" spans="23:74" x14ac:dyDescent="0.2">
      <c r="W94" s="1771" t="str">
        <f>W74</f>
        <v>* Please note the provided annual values are an approximation of the actual annual fluxes</v>
      </c>
    </row>
    <row r="98" spans="2:85" x14ac:dyDescent="0.2">
      <c r="E98" s="3945"/>
      <c r="F98" s="1897"/>
    </row>
    <row r="102" spans="2:85" ht="57.75" customHeight="1" x14ac:dyDescent="0.2">
      <c r="B102" s="4609" t="str">
        <f>Languages!B631</f>
        <v>DETAILED RESULTS</v>
      </c>
      <c r="C102" s="4609"/>
      <c r="D102" s="4609"/>
      <c r="E102" s="4609"/>
      <c r="F102" s="4609"/>
      <c r="G102" s="4609"/>
      <c r="H102" s="4609"/>
      <c r="I102" s="4609"/>
      <c r="J102" s="4609"/>
      <c r="K102" s="4609"/>
      <c r="L102" s="4609"/>
      <c r="M102" s="4609"/>
      <c r="N102" s="4609"/>
      <c r="O102" s="4609"/>
      <c r="P102" s="4609"/>
      <c r="Q102" s="4609"/>
    </row>
    <row r="105" spans="2:85" x14ac:dyDescent="0.2">
      <c r="B105" s="3903"/>
      <c r="C105" s="3903"/>
      <c r="D105" s="3903"/>
      <c r="E105" s="3903"/>
      <c r="F105" s="3903"/>
      <c r="G105" s="3903"/>
      <c r="H105" s="3903"/>
      <c r="I105" s="3903"/>
      <c r="J105" s="3903"/>
      <c r="K105" s="3903"/>
      <c r="L105" s="3903"/>
      <c r="M105" s="3903"/>
      <c r="N105" s="3903"/>
      <c r="O105" s="3903"/>
      <c r="P105" s="3903"/>
      <c r="Q105" s="3536"/>
    </row>
    <row r="106" spans="2:85" s="1965" customFormat="1" ht="17" x14ac:dyDescent="0.2">
      <c r="B106" s="3933" t="str">
        <f>'1.Description'!D10</f>
        <v xml:space="preserve">Project name </v>
      </c>
      <c r="C106" s="3934" t="str">
        <f>IF('1.Description'!$G$10="","",'1.Description'!$G$10)</f>
        <v/>
      </c>
      <c r="D106" s="3556"/>
      <c r="E106" s="3935"/>
      <c r="F106" s="3935"/>
      <c r="G106" s="3935"/>
      <c r="H106" s="3935"/>
      <c r="I106" s="3935"/>
      <c r="J106" s="3935"/>
      <c r="K106" s="3935"/>
      <c r="L106" s="3936"/>
      <c r="M106" s="3935"/>
      <c r="N106" s="3935"/>
      <c r="O106" s="3935"/>
      <c r="P106" s="3904"/>
      <c r="Q106" s="3555"/>
      <c r="R106" s="2045"/>
      <c r="S106" s="2045"/>
      <c r="W106" s="1771"/>
      <c r="X106" s="1771"/>
      <c r="Y106" s="1771"/>
      <c r="Z106" s="1771"/>
      <c r="AA106" s="1771"/>
      <c r="AB106" s="1771"/>
      <c r="AC106" s="1771"/>
      <c r="AD106" s="1771"/>
      <c r="AE106" s="1771"/>
      <c r="AF106" s="1771"/>
      <c r="AG106" s="1771"/>
      <c r="AH106" s="1771"/>
      <c r="AI106" s="1771"/>
      <c r="AJ106" s="1771"/>
      <c r="AK106" s="1771"/>
      <c r="AL106" s="1771"/>
      <c r="AM106" s="1771"/>
      <c r="AN106" s="1771"/>
      <c r="AO106" s="1771"/>
      <c r="AP106" s="1771"/>
      <c r="AQ106" s="1771"/>
      <c r="AR106" s="1771"/>
      <c r="AS106" s="1771"/>
      <c r="AT106" s="1771"/>
      <c r="AU106" s="1771"/>
      <c r="AV106" s="1771"/>
      <c r="AW106" s="1771"/>
      <c r="AX106" s="1771"/>
      <c r="AY106" s="1771"/>
      <c r="AZ106" s="1771"/>
      <c r="BA106" s="1771"/>
      <c r="BB106" s="1771"/>
      <c r="BC106" s="1771"/>
      <c r="BD106" s="1771"/>
      <c r="BE106" s="1771"/>
      <c r="BF106" s="1771"/>
      <c r="BG106" s="1771"/>
      <c r="BH106" s="1771"/>
      <c r="BI106" s="1771"/>
      <c r="BJ106" s="1771"/>
      <c r="BK106" s="1771"/>
      <c r="BL106" s="1771"/>
      <c r="BM106" s="1771"/>
      <c r="BN106" s="1771"/>
      <c r="BO106" s="1771"/>
      <c r="BP106" s="1771"/>
      <c r="BQ106" s="1771"/>
      <c r="BR106" s="1771"/>
      <c r="BS106" s="1771"/>
      <c r="BT106" s="1771"/>
      <c r="BU106" s="1771"/>
      <c r="BV106" s="1771"/>
      <c r="BW106" s="1771"/>
      <c r="BX106" s="1771"/>
      <c r="BY106" s="1771"/>
      <c r="BZ106" s="1771"/>
      <c r="CA106" s="1771"/>
      <c r="CB106" s="1771"/>
      <c r="CC106" s="1771"/>
      <c r="CD106" s="1771"/>
      <c r="CE106" s="1771"/>
      <c r="CF106" s="1771"/>
      <c r="CG106" s="1771"/>
    </row>
    <row r="107" spans="2:85" s="1965" customFormat="1" ht="17" x14ac:dyDescent="0.2">
      <c r="B107" s="3933" t="str">
        <f>'1.Description'!N8</f>
        <v xml:space="preserve">Continent </v>
      </c>
      <c r="C107" s="3935" t="str">
        <f>continent</f>
        <v>Europe</v>
      </c>
      <c r="D107" s="3556"/>
      <c r="E107" s="3936"/>
      <c r="F107" s="3937" t="str">
        <f>'1.Description'!N13</f>
        <v>Project duration (in years)</v>
      </c>
      <c r="G107" s="3937"/>
      <c r="H107" s="3938"/>
      <c r="I107" s="3936"/>
      <c r="J107" s="3939" t="str">
        <f>Languages!B638</f>
        <v>Total area (ha)</v>
      </c>
      <c r="K107" s="3940">
        <f>BALANCE!S6</f>
        <v>1416</v>
      </c>
      <c r="L107" s="3936"/>
      <c r="M107" s="3936"/>
      <c r="N107" s="3937" t="str">
        <f>Languages!B637</f>
        <v>Global warming potential</v>
      </c>
      <c r="O107" s="3938"/>
      <c r="P107" s="3904"/>
      <c r="Q107" s="3556"/>
      <c r="W107" s="1771"/>
      <c r="X107" s="1771"/>
      <c r="Y107" s="1771"/>
      <c r="Z107" s="1771"/>
      <c r="AA107" s="1771"/>
      <c r="AB107" s="1771"/>
      <c r="AC107" s="1771"/>
      <c r="AD107" s="1771"/>
      <c r="AE107" s="1771"/>
      <c r="AF107" s="1771"/>
      <c r="AG107" s="1771"/>
      <c r="AH107" s="1771"/>
      <c r="AI107" s="1771"/>
      <c r="AJ107" s="1771"/>
      <c r="AK107" s="1771"/>
      <c r="AL107" s="1771"/>
      <c r="AM107" s="1771"/>
      <c r="AN107" s="1771"/>
      <c r="AO107" s="1771"/>
      <c r="AP107" s="1771"/>
      <c r="AQ107" s="1771"/>
      <c r="AR107" s="1771"/>
      <c r="AS107" s="1771"/>
      <c r="AT107" s="1771"/>
      <c r="AU107" s="1771"/>
      <c r="AV107" s="1771"/>
      <c r="AW107" s="1771"/>
      <c r="AX107" s="1771"/>
      <c r="AY107" s="1771"/>
      <c r="AZ107" s="1771"/>
      <c r="BA107" s="1771"/>
      <c r="BB107" s="1771"/>
      <c r="BC107" s="1771"/>
      <c r="BD107" s="1771"/>
      <c r="BE107" s="1771"/>
      <c r="BF107" s="1771"/>
      <c r="BG107" s="1771"/>
      <c r="BH107" s="1771"/>
      <c r="BI107" s="1771"/>
      <c r="BJ107" s="1771"/>
      <c r="BK107" s="1771"/>
      <c r="BL107" s="1771"/>
      <c r="BM107" s="1771"/>
      <c r="BN107" s="1771"/>
      <c r="BO107" s="1771"/>
      <c r="BP107" s="1771"/>
      <c r="BQ107" s="1771"/>
      <c r="BR107" s="1771"/>
      <c r="BS107" s="1771"/>
      <c r="BT107" s="1771"/>
      <c r="BU107" s="1771"/>
      <c r="BV107" s="1771"/>
      <c r="BW107" s="1771"/>
      <c r="BX107" s="1771"/>
      <c r="BY107" s="1771"/>
      <c r="BZ107" s="1771"/>
      <c r="CA107" s="1771"/>
      <c r="CB107" s="1771"/>
      <c r="CC107" s="1771"/>
      <c r="CD107" s="1771"/>
      <c r="CE107" s="1771"/>
      <c r="CF107" s="1771"/>
      <c r="CG107" s="1771"/>
    </row>
    <row r="108" spans="2:85" s="1965" customFormat="1" ht="17" x14ac:dyDescent="0.2">
      <c r="B108" s="3933" t="str">
        <f>'1.Description'!N9</f>
        <v>Country</v>
      </c>
      <c r="C108" s="3935" t="str">
        <f>country_selected</f>
        <v>Spain</v>
      </c>
      <c r="D108" s="3556"/>
      <c r="E108" s="3935"/>
      <c r="F108" s="3941" t="str">
        <f>'1.Description'!S13</f>
        <v xml:space="preserve">Implementation Phase </v>
      </c>
      <c r="G108" s="3936"/>
      <c r="H108" s="3935">
        <f>time</f>
        <v>5</v>
      </c>
      <c r="I108" s="3936"/>
      <c r="J108" s="3935" t="str">
        <f>Languages!B639</f>
        <v>Mineral soil</v>
      </c>
      <c r="K108" s="3942">
        <f>BALANCE!S3</f>
        <v>723</v>
      </c>
      <c r="L108" s="3936"/>
      <c r="M108" s="3936"/>
      <c r="N108" s="3943" t="s">
        <v>3126</v>
      </c>
      <c r="O108" s="3943">
        <v>1</v>
      </c>
      <c r="P108" s="3904"/>
      <c r="Q108" s="3556"/>
      <c r="W108" s="1771"/>
      <c r="X108" s="1771"/>
      <c r="Y108" s="1771"/>
      <c r="Z108" s="1771"/>
      <c r="AA108" s="1771"/>
      <c r="AB108" s="1771"/>
      <c r="AC108" s="1771"/>
      <c r="AD108" s="1771"/>
      <c r="AE108" s="1771"/>
      <c r="AF108" s="1771"/>
      <c r="AG108" s="1771"/>
      <c r="AH108" s="1771"/>
      <c r="AI108" s="1771"/>
      <c r="AJ108" s="1771"/>
      <c r="AK108" s="1771"/>
      <c r="AL108" s="1771"/>
      <c r="AM108" s="1771"/>
      <c r="AN108" s="1771"/>
      <c r="AO108" s="1771"/>
      <c r="AP108" s="1771"/>
      <c r="AQ108" s="1771"/>
      <c r="AR108" s="1771"/>
      <c r="AS108" s="1771"/>
      <c r="AT108" s="1771"/>
      <c r="AU108" s="1771"/>
      <c r="AV108" s="1771"/>
      <c r="AW108" s="1771"/>
      <c r="AX108" s="1771"/>
      <c r="AY108" s="1771"/>
      <c r="AZ108" s="1771"/>
      <c r="BA108" s="1771"/>
      <c r="BB108" s="1771"/>
      <c r="BC108" s="1771"/>
      <c r="BD108" s="1771"/>
      <c r="BE108" s="1771"/>
      <c r="BF108" s="1771"/>
      <c r="BG108" s="1771"/>
      <c r="BH108" s="1771"/>
      <c r="BI108" s="1771"/>
      <c r="BJ108" s="1771"/>
      <c r="BK108" s="1771"/>
      <c r="BL108" s="1771"/>
      <c r="BM108" s="1771"/>
      <c r="BN108" s="1771"/>
      <c r="BO108" s="1771"/>
      <c r="BP108" s="1771"/>
      <c r="BQ108" s="1771"/>
      <c r="BR108" s="1771"/>
      <c r="BS108" s="1771"/>
      <c r="BT108" s="1771"/>
      <c r="BU108" s="1771"/>
      <c r="BV108" s="1771"/>
      <c r="BW108" s="1771"/>
      <c r="BX108" s="1771"/>
      <c r="BY108" s="1771"/>
      <c r="BZ108" s="1771"/>
      <c r="CA108" s="1771"/>
      <c r="CB108" s="1771"/>
      <c r="CC108" s="1771"/>
      <c r="CD108" s="1771"/>
      <c r="CE108" s="1771"/>
      <c r="CF108" s="1771"/>
      <c r="CG108" s="1771"/>
    </row>
    <row r="109" spans="2:85" s="1965" customFormat="1" ht="17" x14ac:dyDescent="0.2">
      <c r="B109" s="3933" t="str">
        <f>'1.Description'!N10</f>
        <v xml:space="preserve">Climate </v>
      </c>
      <c r="C109" s="3935" t="str">
        <f>climate</f>
        <v>Warm Temperate</v>
      </c>
      <c r="D109" s="3556"/>
      <c r="E109" s="3935"/>
      <c r="F109" s="3941" t="str">
        <f>'1.Description'!S14</f>
        <v xml:space="preserve">Capitalization Phase </v>
      </c>
      <c r="G109" s="3936"/>
      <c r="H109" s="3935">
        <f>time_cap</f>
        <v>10</v>
      </c>
      <c r="I109" s="3936"/>
      <c r="J109" s="3935" t="str">
        <f>Languages!B640</f>
        <v>Organic soil</v>
      </c>
      <c r="K109" s="3942">
        <f>BALANCE!S4</f>
        <v>600</v>
      </c>
      <c r="L109" s="3936"/>
      <c r="M109" s="3936"/>
      <c r="N109" s="3943" t="s">
        <v>3127</v>
      </c>
      <c r="O109" s="3943">
        <f>methane</f>
        <v>28</v>
      </c>
      <c r="P109" s="3904"/>
      <c r="Q109" s="3556"/>
      <c r="W109" s="1771"/>
      <c r="X109" s="1771"/>
      <c r="Y109" s="1771"/>
      <c r="Z109" s="1771"/>
      <c r="AA109" s="1771"/>
      <c r="AB109" s="1771"/>
      <c r="AC109" s="1771"/>
      <c r="AD109" s="1771"/>
      <c r="AE109" s="1771"/>
      <c r="AF109" s="1771"/>
      <c r="AG109" s="1771"/>
      <c r="AH109" s="1771"/>
      <c r="AI109" s="1771"/>
      <c r="AJ109" s="1771"/>
      <c r="AK109" s="1771"/>
      <c r="AL109" s="1771"/>
      <c r="AM109" s="1771"/>
      <c r="AN109" s="1771"/>
      <c r="AO109" s="1771"/>
      <c r="AP109" s="1771"/>
      <c r="AQ109" s="1771"/>
      <c r="AR109" s="1771"/>
      <c r="AS109" s="1771"/>
      <c r="AT109" s="1771"/>
      <c r="AU109" s="1771"/>
      <c r="AV109" s="1771"/>
      <c r="AW109" s="1771"/>
      <c r="AX109" s="1771"/>
      <c r="AY109" s="1771"/>
      <c r="AZ109" s="1771"/>
      <c r="BA109" s="1771"/>
      <c r="BB109" s="1771"/>
      <c r="BC109" s="1771"/>
      <c r="BD109" s="1771"/>
      <c r="BE109" s="1771"/>
      <c r="BF109" s="1771"/>
      <c r="BG109" s="1771"/>
      <c r="BH109" s="1771"/>
      <c r="BI109" s="1771"/>
      <c r="BJ109" s="1771"/>
      <c r="BK109" s="1771"/>
      <c r="BL109" s="1771"/>
      <c r="BM109" s="1771"/>
      <c r="BN109" s="1771"/>
      <c r="BO109" s="1771"/>
      <c r="BP109" s="1771"/>
      <c r="BQ109" s="1771"/>
      <c r="BR109" s="1771"/>
      <c r="BS109" s="1771"/>
      <c r="BT109" s="1771"/>
      <c r="BU109" s="1771"/>
      <c r="BV109" s="1771"/>
      <c r="BW109" s="1771"/>
      <c r="BX109" s="1771"/>
      <c r="BY109" s="1771"/>
      <c r="BZ109" s="1771"/>
      <c r="CA109" s="1771"/>
      <c r="CB109" s="1771"/>
      <c r="CC109" s="1771"/>
      <c r="CD109" s="1771"/>
      <c r="CE109" s="1771"/>
      <c r="CF109" s="1771"/>
      <c r="CG109" s="1771"/>
    </row>
    <row r="110" spans="2:85" s="1965" customFormat="1" ht="17" x14ac:dyDescent="0.2">
      <c r="B110" s="3933" t="str">
        <f>'1.Description'!N11</f>
        <v xml:space="preserve">Moisture </v>
      </c>
      <c r="C110" s="3935" t="str">
        <f>moist_type</f>
        <v>Dry</v>
      </c>
      <c r="D110" s="3556"/>
      <c r="E110" s="3935"/>
      <c r="F110" s="3941" t="str">
        <f>'1.Description'!S15</f>
        <v>Total Duration of Accounting</v>
      </c>
      <c r="G110" s="3936"/>
      <c r="H110" s="3935">
        <f>time_tot</f>
        <v>15</v>
      </c>
      <c r="I110" s="3936"/>
      <c r="J110" s="3935" t="str">
        <f>Languages!B641</f>
        <v>Waterbodies</v>
      </c>
      <c r="K110" s="3942">
        <f>(BALANCE!S5)</f>
        <v>93</v>
      </c>
      <c r="L110" s="3936"/>
      <c r="M110" s="3936"/>
      <c r="N110" s="3943" t="s">
        <v>3128</v>
      </c>
      <c r="O110" s="3943">
        <f>Nitrous</f>
        <v>265</v>
      </c>
      <c r="P110" s="3904"/>
      <c r="Q110" s="3556"/>
      <c r="W110" s="1771"/>
      <c r="X110" s="1771"/>
      <c r="Y110" s="1771"/>
      <c r="Z110" s="1771"/>
      <c r="AA110" s="1771"/>
      <c r="AB110" s="1771"/>
      <c r="AC110" s="1771"/>
      <c r="AD110" s="1771"/>
      <c r="AE110" s="1771"/>
      <c r="AF110" s="1771"/>
      <c r="AG110" s="1771"/>
      <c r="AH110" s="1771"/>
      <c r="AI110" s="1771"/>
      <c r="AJ110" s="1771"/>
      <c r="AK110" s="1771"/>
      <c r="AL110" s="1771"/>
      <c r="AM110" s="1771"/>
      <c r="AN110" s="1771"/>
      <c r="AO110" s="1771"/>
      <c r="AP110" s="1771"/>
      <c r="AQ110" s="1771"/>
      <c r="AR110" s="1771"/>
      <c r="AS110" s="1771"/>
      <c r="AT110" s="1771"/>
      <c r="AU110" s="1771"/>
      <c r="AV110" s="1771"/>
      <c r="AW110" s="1771"/>
      <c r="AX110" s="1771"/>
      <c r="AY110" s="1771"/>
      <c r="AZ110" s="1771"/>
      <c r="BA110" s="1771"/>
      <c r="BB110" s="1771"/>
      <c r="BC110" s="1771"/>
      <c r="BD110" s="1771"/>
      <c r="BE110" s="1771"/>
      <c r="BF110" s="1771"/>
      <c r="BG110" s="1771"/>
      <c r="BH110" s="1771"/>
      <c r="BI110" s="1771"/>
      <c r="BJ110" s="1771"/>
      <c r="BK110" s="1771"/>
      <c r="BL110" s="1771"/>
      <c r="BM110" s="1771"/>
      <c r="BN110" s="1771"/>
      <c r="BO110" s="1771"/>
      <c r="BP110" s="1771"/>
      <c r="BQ110" s="1771"/>
      <c r="BR110" s="1771"/>
      <c r="BS110" s="1771"/>
      <c r="BT110" s="1771"/>
      <c r="BU110" s="1771"/>
      <c r="BV110" s="1771"/>
      <c r="BW110" s="1771"/>
      <c r="BX110" s="1771"/>
      <c r="BY110" s="1771"/>
      <c r="BZ110" s="1771"/>
      <c r="CA110" s="1771"/>
      <c r="CB110" s="1771"/>
      <c r="CC110" s="1771"/>
      <c r="CD110" s="1771"/>
      <c r="CE110" s="1771"/>
      <c r="CF110" s="1771"/>
      <c r="CG110" s="1771"/>
    </row>
    <row r="111" spans="2:85" s="1965" customFormat="1" ht="15" customHeight="1" x14ac:dyDescent="0.2">
      <c r="B111" s="3905"/>
      <c r="C111" s="3905"/>
      <c r="D111" s="3904"/>
      <c r="E111" s="3904"/>
      <c r="F111" s="3904"/>
      <c r="G111" s="3904"/>
      <c r="H111" s="3904"/>
      <c r="I111" s="3904"/>
      <c r="J111" s="3904"/>
      <c r="K111" s="3904"/>
      <c r="L111" s="3904"/>
      <c r="M111" s="3904"/>
      <c r="N111" s="3904"/>
      <c r="O111" s="3904"/>
      <c r="P111" s="3904"/>
      <c r="Q111" s="3555"/>
      <c r="R111" s="2045"/>
      <c r="S111" s="2045"/>
      <c r="W111" s="1771"/>
      <c r="X111" s="1771"/>
      <c r="Y111" s="1771"/>
      <c r="Z111" s="1771"/>
      <c r="AA111" s="1771"/>
      <c r="AB111" s="1771"/>
      <c r="AC111" s="1771"/>
      <c r="AD111" s="1771"/>
      <c r="AE111" s="1771"/>
      <c r="AF111" s="1771"/>
      <c r="AG111" s="1771"/>
      <c r="AH111" s="1771"/>
      <c r="AI111" s="1771"/>
      <c r="AJ111" s="1771"/>
      <c r="AK111" s="1771"/>
      <c r="AL111" s="1771"/>
      <c r="AM111" s="1771"/>
      <c r="AN111" s="1771"/>
      <c r="AO111" s="1771"/>
      <c r="AP111" s="1771"/>
      <c r="AQ111" s="1771"/>
      <c r="AR111" s="1771"/>
      <c r="AS111" s="1771"/>
      <c r="AT111" s="1771"/>
      <c r="AU111" s="1771"/>
      <c r="AV111" s="1771"/>
      <c r="AW111" s="1771"/>
      <c r="AX111" s="1771"/>
      <c r="AY111" s="1771"/>
      <c r="AZ111" s="1771"/>
      <c r="BA111" s="1771"/>
      <c r="BB111" s="1771"/>
      <c r="BC111" s="1771"/>
      <c r="BD111" s="1771"/>
      <c r="BE111" s="1771"/>
      <c r="BF111" s="1771"/>
      <c r="BG111" s="1771"/>
      <c r="BH111" s="1771"/>
      <c r="BI111" s="1771"/>
      <c r="BJ111" s="1771"/>
      <c r="BK111" s="1771"/>
      <c r="BL111" s="1771"/>
      <c r="BM111" s="1771"/>
      <c r="BN111" s="1771"/>
      <c r="BO111" s="1771"/>
      <c r="BP111" s="1771"/>
      <c r="BQ111" s="1771"/>
      <c r="BR111" s="1771"/>
      <c r="BS111" s="1771"/>
      <c r="BT111" s="1771"/>
      <c r="BU111" s="1771"/>
      <c r="BV111" s="1771"/>
      <c r="BW111" s="1771"/>
      <c r="BX111" s="1771"/>
      <c r="BY111" s="1771"/>
      <c r="BZ111" s="1771"/>
      <c r="CA111" s="1771"/>
      <c r="CB111" s="1771"/>
      <c r="CC111" s="1771"/>
      <c r="CD111" s="1771"/>
      <c r="CE111" s="1771"/>
      <c r="CF111" s="1771"/>
      <c r="CG111" s="1771"/>
    </row>
    <row r="112" spans="2:85" s="1965" customFormat="1" ht="15" customHeight="1" x14ac:dyDescent="0.2">
      <c r="D112" s="2045"/>
      <c r="E112" s="2045"/>
      <c r="F112" s="2045"/>
      <c r="G112" s="2045"/>
      <c r="H112" s="2045"/>
      <c r="I112" s="2045"/>
      <c r="J112" s="2045"/>
      <c r="K112" s="2045"/>
      <c r="L112" s="2045"/>
      <c r="M112" s="2045"/>
      <c r="N112" s="2045"/>
      <c r="O112" s="2045"/>
      <c r="P112" s="2045"/>
      <c r="Q112" s="2045"/>
      <c r="R112" s="2045"/>
      <c r="S112" s="2045"/>
      <c r="W112" s="1771"/>
      <c r="X112" s="1771"/>
      <c r="Y112" s="1771"/>
      <c r="Z112" s="1771"/>
      <c r="AA112" s="1771"/>
      <c r="AB112" s="1771"/>
      <c r="AC112" s="1771"/>
      <c r="AD112" s="1771"/>
      <c r="AE112" s="1771"/>
      <c r="AF112" s="1771"/>
      <c r="AG112" s="1771"/>
      <c r="AH112" s="1771"/>
      <c r="AI112" s="1771"/>
      <c r="AJ112" s="1771"/>
      <c r="AK112" s="1771"/>
      <c r="AL112" s="1771"/>
      <c r="AM112" s="1771"/>
      <c r="AN112" s="1771"/>
      <c r="AO112" s="4504"/>
      <c r="AP112" s="4504"/>
      <c r="AQ112" s="4504"/>
      <c r="AR112" s="4504"/>
      <c r="AS112" s="1771"/>
      <c r="AT112" s="1771"/>
      <c r="AU112" s="1771"/>
      <c r="AV112" s="1771"/>
      <c r="AW112" s="1771"/>
      <c r="AX112" s="1771"/>
      <c r="AY112" s="1771"/>
      <c r="AZ112" s="1771"/>
      <c r="BA112" s="1771"/>
      <c r="BB112" s="1771"/>
      <c r="BC112" s="1771"/>
      <c r="BD112" s="1771"/>
      <c r="BE112" s="1771"/>
      <c r="BF112" s="1771"/>
      <c r="BG112" s="1771"/>
      <c r="BH112" s="1771"/>
      <c r="BI112" s="1771"/>
      <c r="BJ112" s="1771"/>
      <c r="BK112" s="1771"/>
      <c r="BL112" s="1771"/>
      <c r="BM112" s="1771"/>
      <c r="BN112" s="1771"/>
      <c r="BO112" s="1771"/>
      <c r="BP112" s="1771"/>
      <c r="BQ112" s="1771"/>
      <c r="BR112" s="1771"/>
      <c r="BS112" s="1771"/>
      <c r="BT112" s="1771"/>
      <c r="BU112" s="1771"/>
      <c r="BV112" s="1771"/>
      <c r="BW112" s="1771"/>
      <c r="BX112" s="1771"/>
      <c r="BY112" s="1771"/>
      <c r="BZ112" s="1771"/>
      <c r="CA112" s="1771"/>
      <c r="CB112" s="1771"/>
      <c r="CC112" s="1771"/>
      <c r="CD112" s="1771"/>
      <c r="CE112" s="1771"/>
      <c r="CF112" s="1771"/>
      <c r="CG112" s="1771"/>
    </row>
    <row r="113" spans="2:85" ht="14.25" customHeight="1" x14ac:dyDescent="0.2">
      <c r="AR113" s="4504"/>
    </row>
    <row r="114" spans="2:85" ht="34.5" customHeight="1" x14ac:dyDescent="0.25">
      <c r="D114" s="3900" t="str">
        <f>Languages!B632</f>
        <v>GROSS FLUXES</v>
      </c>
      <c r="E114" s="3901"/>
      <c r="F114" s="3901"/>
      <c r="G114" s="3901"/>
      <c r="H114" s="3900" t="str">
        <f>Languages!B635</f>
        <v>SHARE PER GHG OF THE BALANCE</v>
      </c>
      <c r="I114" s="3901"/>
      <c r="J114" s="3901"/>
      <c r="K114" s="3901"/>
      <c r="L114" s="3901"/>
      <c r="M114" s="3901"/>
      <c r="N114" s="3900" t="str">
        <f>Languages!B636</f>
        <v>AVERAGE ANNUAL EMISSIONS</v>
      </c>
      <c r="O114" s="3901"/>
      <c r="P114" s="3902"/>
      <c r="AB114" s="3900"/>
      <c r="AC114" s="4625" t="str">
        <f>B148</f>
        <v>WITHOUT PROJECT</v>
      </c>
      <c r="AD114" s="4626"/>
      <c r="AE114" s="4626"/>
      <c r="AF114" s="4626"/>
      <c r="AG114" s="4627"/>
      <c r="AH114" s="4625" t="str">
        <f>B159</f>
        <v>WITH PROJECT</v>
      </c>
      <c r="AI114" s="4626"/>
      <c r="AJ114" s="4626"/>
      <c r="AK114" s="4626"/>
      <c r="AL114" s="4627"/>
      <c r="AM114" s="4625" t="str">
        <f>F116</f>
        <v>BALANCE</v>
      </c>
      <c r="AN114" s="4626"/>
      <c r="AO114" s="4626"/>
      <c r="AP114" s="4626"/>
      <c r="AQ114" s="4627"/>
      <c r="AR114" s="4504"/>
    </row>
    <row r="115" spans="2:85" s="1969" customFormat="1" ht="14.25" customHeight="1" x14ac:dyDescent="0.2">
      <c r="D115" s="3889" t="str">
        <f>Languages!B633</f>
        <v>In tCO2-e over the whole period analysis</v>
      </c>
      <c r="E115" s="3889"/>
      <c r="F115" s="3889"/>
      <c r="G115" s="3889"/>
      <c r="H115" s="3889" t="str">
        <f>D115</f>
        <v>In tCO2-e over the whole period analysis</v>
      </c>
      <c r="I115" s="3889"/>
      <c r="J115" s="3889"/>
      <c r="K115" s="3889"/>
      <c r="L115" s="3889"/>
      <c r="M115" s="3889"/>
      <c r="N115" s="3889" t="str">
        <f>Languages!B634</f>
        <v>In tCO2-e/yr</v>
      </c>
      <c r="O115" s="3889"/>
      <c r="P115" s="3889"/>
      <c r="AB115" s="3889"/>
      <c r="AC115" s="4625"/>
      <c r="AD115" s="4626"/>
      <c r="AE115" s="4626"/>
      <c r="AF115" s="4626"/>
      <c r="AG115" s="4627"/>
      <c r="AH115" s="4625"/>
      <c r="AI115" s="4626"/>
      <c r="AJ115" s="4626"/>
      <c r="AK115" s="4626"/>
      <c r="AL115" s="4627"/>
      <c r="AM115" s="4625"/>
      <c r="AN115" s="4626"/>
      <c r="AO115" s="4626"/>
      <c r="AP115" s="4626"/>
      <c r="AQ115" s="4627"/>
      <c r="AR115" s="4504"/>
      <c r="AY115" s="1771"/>
      <c r="AZ115" s="1771"/>
      <c r="BA115" s="1771"/>
      <c r="BB115" s="1771"/>
      <c r="BC115" s="1771"/>
      <c r="BD115" s="1771"/>
      <c r="BE115" s="1771"/>
      <c r="BF115" s="1771"/>
      <c r="BG115" s="1771"/>
      <c r="BH115" s="1771"/>
      <c r="BI115" s="1771"/>
      <c r="BJ115" s="1771"/>
      <c r="BK115" s="1771"/>
      <c r="BL115" s="1771"/>
      <c r="BM115" s="1771"/>
      <c r="BN115" s="1771"/>
      <c r="BO115" s="1771"/>
      <c r="BP115" s="1771"/>
      <c r="BQ115" s="1771"/>
      <c r="BR115" s="1771"/>
      <c r="BS115" s="1771"/>
      <c r="BT115" s="1771"/>
      <c r="BU115" s="1771"/>
      <c r="BV115" s="1771"/>
      <c r="BW115" s="1771"/>
      <c r="BX115" s="1771"/>
      <c r="BY115" s="1771"/>
      <c r="BZ115" s="1771"/>
      <c r="CA115" s="1771"/>
      <c r="CB115" s="1771"/>
      <c r="CC115" s="1771"/>
      <c r="CD115" s="1771"/>
      <c r="CE115" s="1771"/>
      <c r="CF115" s="1771"/>
      <c r="CG115" s="1771"/>
    </row>
    <row r="116" spans="2:85" ht="66.5" customHeight="1" x14ac:dyDescent="0.2">
      <c r="B116" s="4604" t="str">
        <f>Languages!B642</f>
        <v>PROJECT COMPONENTS</v>
      </c>
      <c r="C116" s="4605"/>
      <c r="D116" s="3884" t="str">
        <f>Languages!B669</f>
        <v>WITHOUT</v>
      </c>
      <c r="E116" s="3884" t="str">
        <f>Languages!B670</f>
        <v>WITH</v>
      </c>
      <c r="F116" s="3884" t="str">
        <f>Languages!B671</f>
        <v>BALANCE</v>
      </c>
      <c r="G116" s="3885"/>
      <c r="H116" s="3884" t="str">
        <f>Languages!B666</f>
        <v>CO2 BIOMASS</v>
      </c>
      <c r="I116" s="3884" t="str">
        <f>Languages!B667</f>
        <v>CO2 SOIL</v>
      </c>
      <c r="J116" s="3884" t="s">
        <v>3129</v>
      </c>
      <c r="K116" s="3884" t="s">
        <v>3130</v>
      </c>
      <c r="L116" s="4296" t="str">
        <f>Languages!B668</f>
        <v>ALL NON-AFOLU EMISSIONS*</v>
      </c>
      <c r="M116" s="3885"/>
      <c r="N116" s="3884" t="str">
        <f>D116</f>
        <v>WITHOUT</v>
      </c>
      <c r="O116" s="3884" t="str">
        <f>E116</f>
        <v>WITH</v>
      </c>
      <c r="P116" s="3884" t="str">
        <f>F116</f>
        <v>BALANCE</v>
      </c>
      <c r="Z116" s="4604" t="str">
        <f>B116</f>
        <v>PROJECT COMPONENTS</v>
      </c>
      <c r="AA116" s="4605"/>
      <c r="AB116" s="4296" t="s">
        <v>5268</v>
      </c>
      <c r="AC116" s="4501" t="s">
        <v>5236</v>
      </c>
      <c r="AD116" s="4501" t="s">
        <v>5265</v>
      </c>
      <c r="AE116" s="4501" t="s">
        <v>5267</v>
      </c>
      <c r="AF116" s="4502" t="s">
        <v>5237</v>
      </c>
      <c r="AG116" s="4296" t="str">
        <f>B131</f>
        <v>Total emissions, tCO2-e</v>
      </c>
      <c r="AH116" s="4501" t="s">
        <v>5236</v>
      </c>
      <c r="AI116" s="4501" t="s">
        <v>5265</v>
      </c>
      <c r="AJ116" s="4501" t="s">
        <v>5267</v>
      </c>
      <c r="AK116" s="4502" t="s">
        <v>5237</v>
      </c>
      <c r="AL116" s="4296" t="str">
        <f>AG116</f>
        <v>Total emissions, tCO2-e</v>
      </c>
      <c r="AM116" s="4501" t="s">
        <v>5236</v>
      </c>
      <c r="AN116" s="4501" t="s">
        <v>5265</v>
      </c>
      <c r="AO116" s="4501" t="s">
        <v>5267</v>
      </c>
      <c r="AP116" s="4502" t="s">
        <v>5237</v>
      </c>
      <c r="AQ116" s="4296" t="str">
        <f>AL116</f>
        <v>Total emissions, tCO2-e</v>
      </c>
      <c r="AR116" s="4504"/>
    </row>
    <row r="117" spans="2:85" s="3142" customFormat="1" ht="20" customHeight="1" x14ac:dyDescent="0.2">
      <c r="B117" s="4606" t="str">
        <f>Languages!B656</f>
        <v>Land use changes</v>
      </c>
      <c r="C117" s="3906" t="str">
        <f>Languages!B643</f>
        <v>Deforestation</v>
      </c>
      <c r="D117" s="3907">
        <f>'Gross results'!D18</f>
        <v>0</v>
      </c>
      <c r="E117" s="3907">
        <f>'Gross results'!E18</f>
        <v>0</v>
      </c>
      <c r="F117" s="4490">
        <f>IF(OR(D117="Missing data",E117="Missing data"),0,E117-D117)</f>
        <v>0</v>
      </c>
      <c r="G117" s="3908">
        <f>IF(AND(D117=0,E117=0),0,1)</f>
        <v>0</v>
      </c>
      <c r="H117" s="3907">
        <f>BALANCE!$F$17</f>
        <v>0</v>
      </c>
      <c r="I117" s="3907">
        <f>BALANCE!$G$17</f>
        <v>0</v>
      </c>
      <c r="J117" s="3907">
        <f>BALANCE!$I$17+BALANCE!J17</f>
        <v>0</v>
      </c>
      <c r="K117" s="3907">
        <f>BALANCE!$M$17</f>
        <v>0</v>
      </c>
      <c r="L117" s="3909"/>
      <c r="M117" s="4506"/>
      <c r="N117" s="3907">
        <f>'Gross results'!H18</f>
        <v>0</v>
      </c>
      <c r="O117" s="3907">
        <f>'Gross results'!I18</f>
        <v>0</v>
      </c>
      <c r="P117" s="3907">
        <f>O117-N117</f>
        <v>0</v>
      </c>
      <c r="Q117" s="4505"/>
      <c r="R117" s="4505"/>
      <c r="Z117" s="4606" t="str">
        <f>B117</f>
        <v>Land use changes</v>
      </c>
      <c r="AA117" s="3906" t="str">
        <f t="shared" ref="AA117:AA129" si="2">C117</f>
        <v>Deforestation</v>
      </c>
      <c r="AB117" s="3907">
        <f>$H$110</f>
        <v>15</v>
      </c>
      <c r="AC117" s="3907">
        <f>BALANCE!E110+BALANCE!F110</f>
        <v>0</v>
      </c>
      <c r="AD117" s="3907">
        <f>BALANCE!G110</f>
        <v>0</v>
      </c>
      <c r="AE117" s="3907">
        <f>BALANCE!H110</f>
        <v>0</v>
      </c>
      <c r="AF117" s="3907"/>
      <c r="AG117" s="3907">
        <f t="shared" ref="AG117:AG129" si="3">SUM(AC117:AF117)</f>
        <v>0</v>
      </c>
      <c r="AH117" s="3907">
        <f>BALANCE!E139+BALANCE!F139</f>
        <v>0</v>
      </c>
      <c r="AI117" s="3907">
        <f>BALANCE!G139</f>
        <v>0</v>
      </c>
      <c r="AJ117" s="3907">
        <f>BALANCE!H139</f>
        <v>0</v>
      </c>
      <c r="AK117" s="3907"/>
      <c r="AL117" s="3907">
        <f t="shared" ref="AL117:AL129" si="4">SUM(AH117:AK117)</f>
        <v>0</v>
      </c>
      <c r="AM117" s="3907">
        <f>SUMPRODUCT((YEARLY!$F$11:$L$257)*(YEARLY!$A$11:$A$257='10.Results'!AA117))</f>
        <v>0</v>
      </c>
      <c r="AN117" s="3907">
        <f ca="1">SUMPRODUCT((YEARLY!$M$11:$T$257)*(YEARLY!$A$11:$A$257='10.Results'!AA117))</f>
        <v>0</v>
      </c>
      <c r="AO117" s="3907">
        <f ca="1">SUMPRODUCT((YEARLY!$U$11:$AA$257)*(YEARLY!$A$11:$A$257='10.Results'!AA117))</f>
        <v>0</v>
      </c>
      <c r="AP117" s="3907"/>
      <c r="AQ117" s="3907">
        <f t="shared" ref="AQ117:AQ129" ca="1" si="5">SUM(AM117:AP117)</f>
        <v>0</v>
      </c>
      <c r="AR117" s="4504"/>
      <c r="AS117" s="4504"/>
      <c r="AT117" s="4504"/>
      <c r="AV117" s="4505"/>
      <c r="AW117" s="4505"/>
      <c r="AX117" s="4505"/>
      <c r="AY117" s="1771"/>
      <c r="AZ117" s="1771"/>
      <c r="BA117" s="1771"/>
      <c r="BB117" s="1771"/>
      <c r="BC117" s="1771"/>
      <c r="BD117" s="1771"/>
      <c r="BE117" s="1771"/>
      <c r="BF117" s="1771"/>
      <c r="BG117" s="1771"/>
      <c r="BH117" s="1771"/>
      <c r="BI117" s="1771"/>
      <c r="BJ117" s="1771"/>
      <c r="BK117" s="1771"/>
      <c r="BL117" s="1771"/>
      <c r="BM117" s="1771"/>
      <c r="BN117" s="1771"/>
      <c r="BO117" s="1771"/>
      <c r="BP117" s="1771"/>
      <c r="BQ117" s="1771"/>
      <c r="BR117" s="1771"/>
      <c r="BS117" s="1771"/>
      <c r="BT117" s="1771"/>
      <c r="BU117" s="1771"/>
      <c r="BV117" s="1771"/>
      <c r="BW117" s="1771"/>
      <c r="BX117" s="1771"/>
      <c r="BY117" s="1771"/>
      <c r="BZ117" s="1771"/>
      <c r="CA117" s="1771"/>
      <c r="CB117" s="1771"/>
      <c r="CC117" s="1771"/>
      <c r="CD117" s="1771"/>
      <c r="CE117" s="1771"/>
      <c r="CF117" s="1771"/>
      <c r="CG117" s="1771"/>
    </row>
    <row r="118" spans="2:85" s="3142" customFormat="1" ht="20" customHeight="1" x14ac:dyDescent="0.2">
      <c r="B118" s="4606"/>
      <c r="C118" s="3906" t="str">
        <f>Languages!B644</f>
        <v>Afforestation</v>
      </c>
      <c r="D118" s="3911">
        <f>'Gross results'!D19</f>
        <v>0</v>
      </c>
      <c r="E118" s="3907">
        <f>'Gross results'!E19</f>
        <v>0</v>
      </c>
      <c r="F118" s="4490">
        <f t="shared" ref="F118:F129" si="6">IF(OR(D118="Missing data",E118="Missing data"),0,E118-D118)</f>
        <v>0</v>
      </c>
      <c r="G118" s="3908">
        <f t="shared" ref="G118:G127" si="7">IF(AND(D118=0,E118=0),0,1)</f>
        <v>0</v>
      </c>
      <c r="H118" s="3907">
        <f>BALANCE!$F$19</f>
        <v>0</v>
      </c>
      <c r="I118" s="3907">
        <f>BALANCE!$G$19</f>
        <v>0</v>
      </c>
      <c r="J118" s="3907">
        <f>BALANCE!$J$19</f>
        <v>0</v>
      </c>
      <c r="K118" s="3912">
        <f>BALANCE!$M$19</f>
        <v>0</v>
      </c>
      <c r="L118" s="3913"/>
      <c r="M118" s="4506"/>
      <c r="N118" s="3911">
        <f>'Gross results'!H19</f>
        <v>0</v>
      </c>
      <c r="O118" s="3907">
        <f>'Gross results'!I19</f>
        <v>0</v>
      </c>
      <c r="P118" s="3907">
        <f t="shared" ref="P118:P128" si="8">O118-N118</f>
        <v>0</v>
      </c>
      <c r="Q118" s="4505"/>
      <c r="R118" s="4505"/>
      <c r="Z118" s="4606"/>
      <c r="AA118" s="3906" t="str">
        <f t="shared" si="2"/>
        <v>Afforestation</v>
      </c>
      <c r="AB118" s="3907">
        <f t="shared" ref="AB118:AB129" si="9">$H$110</f>
        <v>15</v>
      </c>
      <c r="AC118" s="3907">
        <f>BALANCE!E112+BALANCE!F112</f>
        <v>0</v>
      </c>
      <c r="AD118" s="3907">
        <f>BALANCE!G112</f>
        <v>0</v>
      </c>
      <c r="AE118" s="3907">
        <f>BALANCE!H112</f>
        <v>0</v>
      </c>
      <c r="AF118" s="3907"/>
      <c r="AG118" s="3907">
        <f t="shared" si="3"/>
        <v>0</v>
      </c>
      <c r="AH118" s="3907">
        <f>BALANCE!E141+BALANCE!F141</f>
        <v>0</v>
      </c>
      <c r="AI118" s="3907">
        <f>BALANCE!G141</f>
        <v>0</v>
      </c>
      <c r="AJ118" s="3907">
        <f>BALANCE!H141</f>
        <v>0</v>
      </c>
      <c r="AK118" s="3907"/>
      <c r="AL118" s="3907">
        <f t="shared" si="4"/>
        <v>0</v>
      </c>
      <c r="AM118" s="3907">
        <f>SUMPRODUCT((YEARLY!$F$11:$L$257)*(YEARLY!$A$11:$A$257='10.Results'!AA118))</f>
        <v>0</v>
      </c>
      <c r="AN118" s="3907">
        <f ca="1">SUMPRODUCT((YEARLY!$M$11:$T$257)*(YEARLY!$A$11:$A$257='10.Results'!AA118))</f>
        <v>0</v>
      </c>
      <c r="AO118" s="3907">
        <f ca="1">SUMPRODUCT((YEARLY!$U$11:$AA$257)*(YEARLY!$A$11:$A$257='10.Results'!AA118))</f>
        <v>0</v>
      </c>
      <c r="AP118" s="3907"/>
      <c r="AQ118" s="3907">
        <f t="shared" ca="1" si="5"/>
        <v>0</v>
      </c>
      <c r="AR118" s="4504"/>
      <c r="AS118" s="4504"/>
      <c r="AT118" s="4504"/>
      <c r="AV118" s="4505"/>
      <c r="AW118" s="4505"/>
      <c r="AX118" s="4505"/>
      <c r="AY118" s="1771"/>
      <c r="AZ118" s="1771"/>
      <c r="BA118" s="1771"/>
      <c r="BB118" s="1771"/>
      <c r="BC118" s="1771"/>
      <c r="BD118" s="1771"/>
      <c r="BE118" s="1771"/>
      <c r="BF118" s="1771"/>
      <c r="BG118" s="1771"/>
      <c r="BH118" s="1771"/>
      <c r="BI118" s="1771"/>
      <c r="BJ118" s="1771"/>
      <c r="BK118" s="1771"/>
      <c r="BL118" s="1771"/>
      <c r="BM118" s="1771"/>
      <c r="BN118" s="1771"/>
      <c r="BO118" s="1771"/>
      <c r="BP118" s="1771"/>
      <c r="BQ118" s="1771"/>
      <c r="BR118" s="1771"/>
      <c r="BS118" s="1771"/>
      <c r="BT118" s="1771"/>
      <c r="BU118" s="1771"/>
      <c r="BV118" s="1771"/>
      <c r="BW118" s="1771"/>
      <c r="BX118" s="1771"/>
      <c r="BY118" s="1771"/>
      <c r="BZ118" s="1771"/>
      <c r="CA118" s="1771"/>
      <c r="CB118" s="1771"/>
      <c r="CC118" s="1771"/>
      <c r="CD118" s="1771"/>
      <c r="CE118" s="1771"/>
      <c r="CF118" s="1771"/>
      <c r="CG118" s="1771"/>
    </row>
    <row r="119" spans="2:85" s="3142" customFormat="1" ht="20" customHeight="1" x14ac:dyDescent="0.2">
      <c r="B119" s="4606"/>
      <c r="C119" s="3906" t="str">
        <f>Languages!B645</f>
        <v>Other land-use</v>
      </c>
      <c r="D119" s="3907">
        <f>'Gross results'!D20</f>
        <v>971.849999999999</v>
      </c>
      <c r="E119" s="3907">
        <f>'Gross results'!E20</f>
        <v>971.849999999999</v>
      </c>
      <c r="F119" s="4490">
        <f t="shared" si="6"/>
        <v>0</v>
      </c>
      <c r="G119" s="3908">
        <f>IF(AND(D119=0,E119=0),0,1)</f>
        <v>1</v>
      </c>
      <c r="H119" s="3907">
        <f>BALANCE!$F$20</f>
        <v>0</v>
      </c>
      <c r="I119" s="3907">
        <f>BALANCE!$G$20</f>
        <v>0</v>
      </c>
      <c r="J119" s="3907">
        <f>BALANCE!$I$20+BALANCE!$J$20</f>
        <v>0</v>
      </c>
      <c r="K119" s="3907">
        <f>BALANCE!$M$20</f>
        <v>0</v>
      </c>
      <c r="L119" s="3914"/>
      <c r="M119" s="4506"/>
      <c r="N119" s="3907">
        <f>'Gross results'!H20</f>
        <v>64.789999999999935</v>
      </c>
      <c r="O119" s="3907">
        <f>'Gross results'!I20</f>
        <v>64.789999999999935</v>
      </c>
      <c r="P119" s="3907">
        <f t="shared" si="8"/>
        <v>0</v>
      </c>
      <c r="Q119" s="4505"/>
      <c r="R119" s="4505"/>
      <c r="Z119" s="4606"/>
      <c r="AA119" s="3906" t="str">
        <f t="shared" si="2"/>
        <v>Other land-use</v>
      </c>
      <c r="AB119" s="3907">
        <f t="shared" si="9"/>
        <v>15</v>
      </c>
      <c r="AC119" s="3907">
        <f>BALANCE!E113+BALANCE!F113</f>
        <v>971.849999999999</v>
      </c>
      <c r="AD119" s="3907">
        <f>BALANCE!G113</f>
        <v>0</v>
      </c>
      <c r="AE119" s="3907">
        <f>BALANCE!H113</f>
        <v>0</v>
      </c>
      <c r="AF119" s="3907"/>
      <c r="AG119" s="3907">
        <f t="shared" si="3"/>
        <v>971.849999999999</v>
      </c>
      <c r="AH119" s="3907">
        <f>BALANCE!E142+BALANCE!F142</f>
        <v>971.849999999999</v>
      </c>
      <c r="AI119" s="3907">
        <f>BALANCE!G142</f>
        <v>0</v>
      </c>
      <c r="AJ119" s="3907">
        <f>BALANCE!H142</f>
        <v>0</v>
      </c>
      <c r="AK119" s="3907"/>
      <c r="AL119" s="3907">
        <f t="shared" si="4"/>
        <v>971.849999999999</v>
      </c>
      <c r="AM119" s="3907">
        <f>SUMPRODUCT((YEARLY!$F$11:$L$257)*(YEARLY!$A$11:$A$257='10.Results'!AA119))</f>
        <v>0</v>
      </c>
      <c r="AN119" s="3907">
        <f ca="1">SUMPRODUCT((YEARLY!$M$11:$T$257)*(YEARLY!$A$11:$A$257='10.Results'!AA119))</f>
        <v>0</v>
      </c>
      <c r="AO119" s="3907">
        <f ca="1">SUMPRODUCT((YEARLY!$U$11:$AA$257)*(YEARLY!$A$11:$A$257='10.Results'!AA119))</f>
        <v>0</v>
      </c>
      <c r="AP119" s="3907"/>
      <c r="AQ119" s="3907">
        <f t="shared" ca="1" si="5"/>
        <v>0</v>
      </c>
      <c r="AR119" s="4504"/>
      <c r="AS119" s="4504"/>
      <c r="AT119" s="4504"/>
      <c r="AV119" s="4505"/>
      <c r="AW119" s="4505"/>
      <c r="AX119" s="4505"/>
      <c r="AY119" s="1771"/>
      <c r="AZ119" s="1771"/>
      <c r="BA119" s="1771"/>
      <c r="BB119" s="1771"/>
      <c r="BC119" s="1771"/>
      <c r="BD119" s="1771"/>
      <c r="BE119" s="1771"/>
      <c r="BF119" s="1771"/>
      <c r="BG119" s="1771"/>
      <c r="BH119" s="1771"/>
      <c r="BI119" s="1771"/>
      <c r="BJ119" s="1771"/>
      <c r="BK119" s="1771"/>
      <c r="BL119" s="1771"/>
      <c r="BM119" s="1771"/>
      <c r="BN119" s="1771"/>
      <c r="BO119" s="1771"/>
      <c r="BP119" s="1771"/>
      <c r="BQ119" s="1771"/>
      <c r="BR119" s="1771"/>
      <c r="BS119" s="1771"/>
      <c r="BT119" s="1771"/>
      <c r="BU119" s="1771"/>
      <c r="BV119" s="1771"/>
      <c r="BW119" s="1771"/>
      <c r="BX119" s="1771"/>
      <c r="BY119" s="1771"/>
      <c r="BZ119" s="1771"/>
      <c r="CA119" s="1771"/>
      <c r="CB119" s="1771"/>
      <c r="CC119" s="1771"/>
      <c r="CD119" s="1771"/>
      <c r="CE119" s="1771"/>
      <c r="CF119" s="1771"/>
      <c r="CG119" s="1771"/>
    </row>
    <row r="120" spans="2:85" s="3142" customFormat="1" ht="20" customHeight="1" x14ac:dyDescent="0.2">
      <c r="B120" s="4606" t="str">
        <f>Languages!B657</f>
        <v>Cropland</v>
      </c>
      <c r="C120" s="3906" t="str">
        <f>Languages!B646</f>
        <v>Annual</v>
      </c>
      <c r="D120" s="3907">
        <f>'Gross results'!D22</f>
        <v>-1588.6168463577876</v>
      </c>
      <c r="E120" s="3907">
        <f>'Gross results'!E22</f>
        <v>-1588.6168463577876</v>
      </c>
      <c r="F120" s="4490">
        <f>IF(OR(D120="Missing data",E120="Missing data"),0,E120-D120)</f>
        <v>0</v>
      </c>
      <c r="G120" s="3908">
        <f>IF(AND(D120=0,E120=0),0,1)</f>
        <v>1</v>
      </c>
      <c r="H120" s="3907">
        <f>BALANCE!$F$22</f>
        <v>0</v>
      </c>
      <c r="I120" s="3907">
        <f>BALANCE!$G$22</f>
        <v>0</v>
      </c>
      <c r="J120" s="3907">
        <f>BALANCE!$I$22+BALANCE!$J$22</f>
        <v>0</v>
      </c>
      <c r="K120" s="3907">
        <f>BALANCE!$M$22</f>
        <v>0</v>
      </c>
      <c r="L120" s="3914"/>
      <c r="M120" s="4506"/>
      <c r="N120" s="3907">
        <f>IFERROR('Gross results'!H22, 0)</f>
        <v>-105.90778975718584</v>
      </c>
      <c r="O120" s="3907">
        <f>IFERROR('Gross results'!I22, 0)</f>
        <v>-105.90778975718584</v>
      </c>
      <c r="P120" s="3907">
        <f t="shared" si="8"/>
        <v>0</v>
      </c>
      <c r="Q120" s="4505"/>
      <c r="R120" s="4505"/>
      <c r="Z120" s="4606" t="str">
        <f>B120</f>
        <v>Cropland</v>
      </c>
      <c r="AA120" s="3906" t="str">
        <f t="shared" si="2"/>
        <v>Annual</v>
      </c>
      <c r="AB120" s="3907">
        <f t="shared" si="9"/>
        <v>15</v>
      </c>
      <c r="AC120" s="3907">
        <f>BALANCE!E115+BALANCE!F115</f>
        <v>-3034.6800000000021</v>
      </c>
      <c r="AD120" s="3907">
        <f>BALANCE!G115</f>
        <v>484.95384599421436</v>
      </c>
      <c r="AE120" s="3907">
        <f>BALANCE!H115</f>
        <v>961.10930764799991</v>
      </c>
      <c r="AF120" s="3907"/>
      <c r="AG120" s="3907">
        <f t="shared" si="3"/>
        <v>-1588.6168463577881</v>
      </c>
      <c r="AH120" s="3907">
        <f>BALANCE!E144+BALANCE!F144</f>
        <v>-3034.6800000000021</v>
      </c>
      <c r="AI120" s="3907">
        <f>BALANCE!G144</f>
        <v>484.95384599421436</v>
      </c>
      <c r="AJ120" s="3907">
        <f>BALANCE!H144</f>
        <v>961.10930764799991</v>
      </c>
      <c r="AK120" s="3907"/>
      <c r="AL120" s="3907">
        <f t="shared" si="4"/>
        <v>-1588.6168463577881</v>
      </c>
      <c r="AM120" s="3907">
        <f>SUMPRODUCT((YEARLY!$F$11:$L$257)*(YEARLY!$A$11:$A$257='10.Results'!AA120))</f>
        <v>0</v>
      </c>
      <c r="AN120" s="3907">
        <f ca="1">SUMPRODUCT((YEARLY!$M$11:$T$257)*(YEARLY!$A$11:$A$257='10.Results'!AA120))</f>
        <v>0</v>
      </c>
      <c r="AO120" s="3907">
        <f ca="1">SUMPRODUCT((YEARLY!$U$11:$AA$257)*(YEARLY!$A$11:$A$257='10.Results'!AA120))</f>
        <v>0</v>
      </c>
      <c r="AP120" s="3907"/>
      <c r="AQ120" s="3907">
        <f t="shared" ca="1" si="5"/>
        <v>0</v>
      </c>
      <c r="AR120" s="4504"/>
      <c r="AS120" s="4504"/>
      <c r="AT120" s="4504"/>
      <c r="AV120" s="4505"/>
      <c r="AW120" s="4505"/>
      <c r="AX120" s="4505"/>
      <c r="AY120" s="1771"/>
      <c r="AZ120" s="1771"/>
      <c r="BA120" s="1771"/>
      <c r="BB120" s="1771"/>
      <c r="BC120" s="1771"/>
      <c r="BD120" s="1771"/>
      <c r="BE120" s="1771"/>
      <c r="BF120" s="1771"/>
      <c r="BG120" s="1771"/>
      <c r="BH120" s="1771"/>
      <c r="BI120" s="1771"/>
      <c r="BJ120" s="1771"/>
      <c r="BK120" s="1771"/>
      <c r="BL120" s="1771"/>
      <c r="BM120" s="1771"/>
      <c r="BN120" s="1771"/>
      <c r="BO120" s="1771"/>
      <c r="BP120" s="1771"/>
      <c r="BQ120" s="1771"/>
      <c r="BR120" s="1771"/>
      <c r="BS120" s="1771"/>
      <c r="BT120" s="1771"/>
      <c r="BU120" s="1771"/>
      <c r="BV120" s="1771"/>
      <c r="BW120" s="1771"/>
      <c r="BX120" s="1771"/>
      <c r="BY120" s="1771"/>
      <c r="BZ120" s="1771"/>
      <c r="CA120" s="1771"/>
      <c r="CB120" s="1771"/>
      <c r="CC120" s="1771"/>
      <c r="CD120" s="1771"/>
      <c r="CE120" s="1771"/>
      <c r="CF120" s="1771"/>
      <c r="CG120" s="1771"/>
    </row>
    <row r="121" spans="2:85" s="3142" customFormat="1" ht="20" customHeight="1" x14ac:dyDescent="0.2">
      <c r="B121" s="4606"/>
      <c r="C121" s="3906" t="str">
        <f>Languages!B647</f>
        <v>Perennial</v>
      </c>
      <c r="D121" s="3907">
        <f>'Gross results'!D23</f>
        <v>-4818.8459733333339</v>
      </c>
      <c r="E121" s="3907">
        <f>'Gross results'!E23</f>
        <v>-5491.2704000000012</v>
      </c>
      <c r="F121" s="4490">
        <f t="shared" si="6"/>
        <v>-672.42442666666739</v>
      </c>
      <c r="G121" s="3908">
        <f t="shared" si="7"/>
        <v>1</v>
      </c>
      <c r="H121" s="3907">
        <f>BALANCE!$F$23</f>
        <v>-1774.666666666667</v>
      </c>
      <c r="I121" s="3907">
        <f>BALANCE!$G$23</f>
        <v>1102.2422399999998</v>
      </c>
      <c r="J121" s="3907">
        <f>BALANCE!$I$23+BALANCE!$J$23</f>
        <v>0</v>
      </c>
      <c r="K121" s="3907">
        <f>BALANCE!$M$23</f>
        <v>0</v>
      </c>
      <c r="L121" s="3914"/>
      <c r="M121" s="4506"/>
      <c r="N121" s="3907">
        <f>IFERROR('Gross results'!H23,0)</f>
        <v>-321.25639822222223</v>
      </c>
      <c r="O121" s="3907">
        <f>IFERROR('Gross results'!I23,0)</f>
        <v>-366.08469333333341</v>
      </c>
      <c r="P121" s="3907">
        <f t="shared" si="8"/>
        <v>-44.828295111111174</v>
      </c>
      <c r="Q121" s="4505"/>
      <c r="R121" s="4505"/>
      <c r="Z121" s="4606"/>
      <c r="AA121" s="3906" t="str">
        <f t="shared" si="2"/>
        <v>Perennial</v>
      </c>
      <c r="AB121" s="3907">
        <f t="shared" si="9"/>
        <v>15</v>
      </c>
      <c r="AC121" s="3907">
        <f>BALANCE!E116+BALANCE!F116</f>
        <v>-4818.8459733333329</v>
      </c>
      <c r="AD121" s="3907">
        <f>BALANCE!G116</f>
        <v>0</v>
      </c>
      <c r="AE121" s="3907">
        <f>BALANCE!H116</f>
        <v>0</v>
      </c>
      <c r="AF121" s="3907"/>
      <c r="AG121" s="3907">
        <f t="shared" si="3"/>
        <v>-4818.8459733333329</v>
      </c>
      <c r="AH121" s="3907">
        <f>BALANCE!E145+BALANCE!F145</f>
        <v>-5491.2704000000003</v>
      </c>
      <c r="AI121" s="3907">
        <f>BALANCE!G145</f>
        <v>0</v>
      </c>
      <c r="AJ121" s="3907">
        <f>BALANCE!H145</f>
        <v>0</v>
      </c>
      <c r="AK121" s="3907"/>
      <c r="AL121" s="3907">
        <f t="shared" si="4"/>
        <v>-5491.2704000000003</v>
      </c>
      <c r="AM121" s="3907">
        <f>SUMPRODUCT((YEARLY!$F$11:$L$257)*(YEARLY!$A$11:$A$257='10.Results'!AA121))</f>
        <v>-672.42442666666705</v>
      </c>
      <c r="AN121" s="3907">
        <f ca="1">SUMPRODUCT((YEARLY!$M$11:$T$257)*(YEARLY!$A$11:$A$257='10.Results'!AA121))</f>
        <v>0</v>
      </c>
      <c r="AO121" s="3907">
        <f ca="1">SUMPRODUCT((YEARLY!$U$11:$AA$257)*(YEARLY!$A$11:$A$257='10.Results'!AA121))</f>
        <v>0</v>
      </c>
      <c r="AP121" s="3907"/>
      <c r="AQ121" s="3907">
        <f t="shared" ca="1" si="5"/>
        <v>-672.42442666666705</v>
      </c>
      <c r="AR121" s="4504"/>
      <c r="AS121" s="4504"/>
      <c r="AT121" s="4504"/>
      <c r="AV121" s="4505"/>
      <c r="AW121" s="4505"/>
      <c r="AX121" s="4505"/>
      <c r="AY121" s="1771"/>
      <c r="AZ121" s="1771"/>
      <c r="BA121" s="1771"/>
      <c r="BB121" s="1771"/>
      <c r="BC121" s="1771"/>
      <c r="BD121" s="1771"/>
      <c r="BE121" s="1771"/>
      <c r="BF121" s="1771"/>
      <c r="BG121" s="1771"/>
      <c r="BH121" s="1771"/>
      <c r="BI121" s="1771"/>
      <c r="BJ121" s="1771"/>
      <c r="BK121" s="1771"/>
      <c r="BL121" s="1771"/>
      <c r="BM121" s="1771"/>
      <c r="BN121" s="1771"/>
      <c r="BO121" s="1771"/>
      <c r="BP121" s="1771"/>
      <c r="BQ121" s="1771"/>
      <c r="BR121" s="1771"/>
      <c r="BS121" s="1771"/>
      <c r="BT121" s="1771"/>
      <c r="BU121" s="1771"/>
      <c r="BV121" s="1771"/>
      <c r="BW121" s="1771"/>
      <c r="BX121" s="1771"/>
      <c r="BY121" s="1771"/>
      <c r="BZ121" s="1771"/>
      <c r="CA121" s="1771"/>
      <c r="CB121" s="1771"/>
      <c r="CC121" s="1771"/>
      <c r="CD121" s="1771"/>
      <c r="CE121" s="1771"/>
      <c r="CF121" s="1771"/>
      <c r="CG121" s="1771"/>
    </row>
    <row r="122" spans="2:85" s="3142" customFormat="1" ht="20" customHeight="1" x14ac:dyDescent="0.2">
      <c r="B122" s="4606"/>
      <c r="C122" s="3906" t="str">
        <f>Languages!B648</f>
        <v>Flooded rice</v>
      </c>
      <c r="D122" s="3909">
        <f>'Gross results'!D24</f>
        <v>1538.0346240000003</v>
      </c>
      <c r="E122" s="3909">
        <f>'Gross results'!E24</f>
        <v>1538.0346240000003</v>
      </c>
      <c r="F122" s="4490">
        <f t="shared" si="6"/>
        <v>0</v>
      </c>
      <c r="G122" s="3908">
        <f t="shared" si="7"/>
        <v>1</v>
      </c>
      <c r="H122" s="3907">
        <f>BALANCE!$F$24</f>
        <v>0</v>
      </c>
      <c r="I122" s="3907">
        <f>BALANCE!$G$24</f>
        <v>0</v>
      </c>
      <c r="J122" s="3907">
        <f>BALANCE!$J$24</f>
        <v>0</v>
      </c>
      <c r="K122" s="3907">
        <f>BALANCE!$L$24+BALANCE!$M$24</f>
        <v>0</v>
      </c>
      <c r="L122" s="3914"/>
      <c r="M122" s="4506"/>
      <c r="N122" s="3907">
        <f>IFERROR('Gross results'!H24,0)</f>
        <v>102.53564160000002</v>
      </c>
      <c r="O122" s="3907">
        <f>IFERROR('Gross results'!I24,0)</f>
        <v>102.53564160000002</v>
      </c>
      <c r="P122" s="3907">
        <f t="shared" si="8"/>
        <v>0</v>
      </c>
      <c r="Q122" s="4505"/>
      <c r="R122" s="4505"/>
      <c r="Z122" s="4606"/>
      <c r="AA122" s="3906" t="str">
        <f t="shared" si="2"/>
        <v>Flooded rice</v>
      </c>
      <c r="AB122" s="3907">
        <f t="shared" si="9"/>
        <v>15</v>
      </c>
      <c r="AC122" s="3907">
        <f>BALANCE!E117+BALANCE!F117</f>
        <v>0</v>
      </c>
      <c r="AD122" s="3907">
        <f>BALANCE!G117</f>
        <v>133.45315199999999</v>
      </c>
      <c r="AE122" s="3907">
        <f>BALANCE!H117</f>
        <v>1404.5814720000001</v>
      </c>
      <c r="AF122" s="3907"/>
      <c r="AG122" s="3907">
        <f t="shared" si="3"/>
        <v>1538.0346240000001</v>
      </c>
      <c r="AH122" s="3907">
        <f>BALANCE!E146+BALANCE!F146</f>
        <v>0</v>
      </c>
      <c r="AI122" s="3907">
        <f>BALANCE!G146</f>
        <v>133.45315199999999</v>
      </c>
      <c r="AJ122" s="3907">
        <f>BALANCE!H146</f>
        <v>1404.5814720000001</v>
      </c>
      <c r="AK122" s="3907"/>
      <c r="AL122" s="3907">
        <f t="shared" si="4"/>
        <v>1538.0346240000001</v>
      </c>
      <c r="AM122" s="3907">
        <f>SUMPRODUCT((YEARLY!$F$11:$L$257)*(YEARLY!$A$11:$A$257='10.Results'!AA122))</f>
        <v>0</v>
      </c>
      <c r="AN122" s="3907">
        <f ca="1">SUMPRODUCT((YEARLY!$M$11:$T$257)*(YEARLY!$A$11:$A$257='10.Results'!AA122))</f>
        <v>0</v>
      </c>
      <c r="AO122" s="3907">
        <f ca="1">SUMPRODUCT((YEARLY!$U$11:$AA$257)*(YEARLY!$A$11:$A$257='10.Results'!AA122))</f>
        <v>0</v>
      </c>
      <c r="AP122" s="3907"/>
      <c r="AQ122" s="3907">
        <f t="shared" ca="1" si="5"/>
        <v>0</v>
      </c>
      <c r="AR122" s="4504"/>
      <c r="AS122" s="4504"/>
      <c r="AT122" s="4504"/>
      <c r="AV122" s="4505"/>
      <c r="AW122" s="4505"/>
      <c r="AX122" s="4505"/>
      <c r="AY122" s="1771"/>
      <c r="AZ122" s="1771"/>
      <c r="BA122" s="1771"/>
      <c r="BB122" s="1771"/>
      <c r="BC122" s="1771"/>
      <c r="BD122" s="1771"/>
      <c r="BE122" s="1771"/>
      <c r="BF122" s="1771"/>
      <c r="BG122" s="1771"/>
      <c r="BH122" s="1771"/>
      <c r="BI122" s="1771"/>
      <c r="BJ122" s="1771"/>
      <c r="BK122" s="1771"/>
      <c r="BL122" s="1771"/>
      <c r="BM122" s="1771"/>
      <c r="BN122" s="1771"/>
      <c r="BO122" s="1771"/>
      <c r="BP122" s="1771"/>
      <c r="BQ122" s="1771"/>
      <c r="BR122" s="1771"/>
      <c r="BS122" s="1771"/>
      <c r="BT122" s="1771"/>
      <c r="BU122" s="1771"/>
      <c r="BV122" s="1771"/>
      <c r="BW122" s="1771"/>
      <c r="BX122" s="1771"/>
      <c r="BY122" s="1771"/>
      <c r="BZ122" s="1771"/>
      <c r="CA122" s="1771"/>
      <c r="CB122" s="1771"/>
      <c r="CC122" s="1771"/>
      <c r="CD122" s="1771"/>
      <c r="CE122" s="1771"/>
      <c r="CF122" s="1771"/>
      <c r="CG122" s="1771"/>
    </row>
    <row r="123" spans="2:85" s="3142" customFormat="1" ht="20" customHeight="1" x14ac:dyDescent="0.2">
      <c r="B123" s="4606" t="str">
        <f>Languages!B658</f>
        <v>Grasslands &amp; Livestock</v>
      </c>
      <c r="C123" s="3906" t="str">
        <f>Languages!B649</f>
        <v xml:space="preserve">Grasslands </v>
      </c>
      <c r="D123" s="3915">
        <f>'Gross results'!D26</f>
        <v>1650.0000000000014</v>
      </c>
      <c r="E123" s="3915">
        <f>'Gross results'!E26</f>
        <v>-824.99999999999943</v>
      </c>
      <c r="F123" s="4490">
        <f t="shared" si="6"/>
        <v>-2475.0000000000009</v>
      </c>
      <c r="G123" s="3908">
        <f t="shared" si="7"/>
        <v>1</v>
      </c>
      <c r="H123" s="3909">
        <f>BALANCE!$F$25</f>
        <v>0</v>
      </c>
      <c r="I123" s="3909">
        <f>BALANCE!$G$25</f>
        <v>-2475.0000000000009</v>
      </c>
      <c r="J123" s="3907">
        <f>BALANCE!$J$25</f>
        <v>0</v>
      </c>
      <c r="K123" s="3907">
        <f>BALANCE!$M$25</f>
        <v>0</v>
      </c>
      <c r="L123" s="3914"/>
      <c r="M123" s="4506"/>
      <c r="N123" s="3907">
        <f>IFERROR('Gross results'!H26,0)</f>
        <v>110.00000000000009</v>
      </c>
      <c r="O123" s="3907">
        <f>IFERROR('Gross results'!I26,0)</f>
        <v>-54.999999999999964</v>
      </c>
      <c r="P123" s="3907">
        <f t="shared" si="8"/>
        <v>-165.00000000000006</v>
      </c>
      <c r="Q123" s="4505"/>
      <c r="R123" s="4505"/>
      <c r="Z123" s="4606" t="str">
        <f>B123</f>
        <v>Grasslands &amp; Livestock</v>
      </c>
      <c r="AA123" s="3906" t="str">
        <f t="shared" si="2"/>
        <v xml:space="preserve">Grasslands </v>
      </c>
      <c r="AB123" s="3907">
        <f t="shared" si="9"/>
        <v>15</v>
      </c>
      <c r="AC123" s="3907">
        <f>BALANCE!E118+BALANCE!F118</f>
        <v>1650.0000000000014</v>
      </c>
      <c r="AD123" s="3907">
        <f>BALANCE!G118</f>
        <v>0</v>
      </c>
      <c r="AE123" s="3907">
        <f>BALANCE!H118</f>
        <v>0</v>
      </c>
      <c r="AF123" s="3907"/>
      <c r="AG123" s="3907">
        <f t="shared" si="3"/>
        <v>1650.0000000000014</v>
      </c>
      <c r="AH123" s="3907">
        <f>BALANCE!E147+BALANCE!F147</f>
        <v>-824.99999999999943</v>
      </c>
      <c r="AI123" s="3907">
        <f>BALANCE!G147</f>
        <v>0</v>
      </c>
      <c r="AJ123" s="3907">
        <f>BALANCE!H147</f>
        <v>0</v>
      </c>
      <c r="AK123" s="3907"/>
      <c r="AL123" s="3907">
        <f t="shared" si="4"/>
        <v>-824.99999999999943</v>
      </c>
      <c r="AM123" s="3907">
        <f>SUMPRODUCT((YEARLY!$F$11:$L$257)*(YEARLY!$A$11:$A$257='10.Results'!AA123))</f>
        <v>-2475.0000000000009</v>
      </c>
      <c r="AN123" s="3907">
        <f ca="1">SUMPRODUCT((YEARLY!$M$11:$T$257)*(YEARLY!$A$11:$A$257='10.Results'!AA123))</f>
        <v>0</v>
      </c>
      <c r="AO123" s="3907">
        <f ca="1">SUMPRODUCT((YEARLY!$U$11:$AA$257)*(YEARLY!$A$11:$A$257='10.Results'!AA123))</f>
        <v>0</v>
      </c>
      <c r="AP123" s="3907"/>
      <c r="AQ123" s="3907">
        <f t="shared" ca="1" si="5"/>
        <v>-2475.0000000000009</v>
      </c>
      <c r="AR123" s="4504"/>
      <c r="AS123" s="4504"/>
      <c r="AT123" s="4504"/>
      <c r="AV123" s="4505"/>
      <c r="AW123" s="4505"/>
      <c r="AX123" s="4505"/>
      <c r="AY123" s="1771"/>
      <c r="AZ123" s="1771"/>
      <c r="BA123" s="1771"/>
      <c r="BB123" s="1771"/>
      <c r="BC123" s="1771"/>
      <c r="BD123" s="1771"/>
      <c r="BE123" s="1771"/>
      <c r="BF123" s="1771"/>
      <c r="BG123" s="1771"/>
      <c r="BH123" s="1771"/>
      <c r="BI123" s="1771"/>
      <c r="BJ123" s="1771"/>
      <c r="BK123" s="1771"/>
      <c r="BL123" s="1771"/>
      <c r="BM123" s="1771"/>
      <c r="BN123" s="1771"/>
      <c r="BO123" s="1771"/>
      <c r="BP123" s="1771"/>
      <c r="BQ123" s="1771"/>
      <c r="BR123" s="1771"/>
      <c r="BS123" s="1771"/>
      <c r="BT123" s="1771"/>
      <c r="BU123" s="1771"/>
      <c r="BV123" s="1771"/>
      <c r="BW123" s="1771"/>
      <c r="BX123" s="1771"/>
      <c r="BY123" s="1771"/>
      <c r="BZ123" s="1771"/>
      <c r="CA123" s="1771"/>
      <c r="CB123" s="1771"/>
      <c r="CC123" s="1771"/>
      <c r="CD123" s="1771"/>
      <c r="CE123" s="1771"/>
      <c r="CF123" s="1771"/>
      <c r="CG123" s="1771"/>
    </row>
    <row r="124" spans="2:85" s="3142" customFormat="1" ht="20" customHeight="1" x14ac:dyDescent="0.2">
      <c r="B124" s="4606"/>
      <c r="C124" s="3906" t="str">
        <f>Languages!B650</f>
        <v>Livestock</v>
      </c>
      <c r="D124" s="3911">
        <f ca="1">'Gross results'!D27</f>
        <v>7757.7206978973209</v>
      </c>
      <c r="E124" s="3907">
        <f ca="1">'Gross results'!E27</f>
        <v>6962.3811353973215</v>
      </c>
      <c r="F124" s="4490">
        <f t="shared" ca="1" si="6"/>
        <v>-795.33956249999937</v>
      </c>
      <c r="G124" s="3908">
        <f ca="1">IF(AND(D124=0,E124=0),0,1)</f>
        <v>1</v>
      </c>
      <c r="H124" s="3916"/>
      <c r="I124" s="3917"/>
      <c r="J124" s="3907">
        <f ca="1">BALANCE!$K$26</f>
        <v>0</v>
      </c>
      <c r="K124" s="3907">
        <f ca="1">BALANCE!$N$26</f>
        <v>-795.33956250000028</v>
      </c>
      <c r="L124" s="3913"/>
      <c r="M124" s="4506"/>
      <c r="N124" s="3911">
        <f ca="1">'Gross results'!H27</f>
        <v>517.18137985982139</v>
      </c>
      <c r="O124" s="3907">
        <f ca="1">'Gross results'!I27</f>
        <v>464.15874235982142</v>
      </c>
      <c r="P124" s="3907">
        <f ca="1">O124-N124</f>
        <v>-53.022637499999973</v>
      </c>
      <c r="Q124" s="4505"/>
      <c r="R124" s="4505"/>
      <c r="Z124" s="4606"/>
      <c r="AA124" s="3906" t="str">
        <f t="shared" si="2"/>
        <v>Livestock</v>
      </c>
      <c r="AB124" s="3907">
        <f t="shared" si="9"/>
        <v>15</v>
      </c>
      <c r="AC124" s="3907">
        <f>BALANCE!E119+BALANCE!F119</f>
        <v>0</v>
      </c>
      <c r="AD124" s="3907">
        <f ca="1">BALANCE!G119</f>
        <v>370.99117289732152</v>
      </c>
      <c r="AE124" s="3907">
        <f ca="1">BALANCE!H119</f>
        <v>7386.7295249999997</v>
      </c>
      <c r="AF124" s="3907"/>
      <c r="AG124" s="3907">
        <f t="shared" ca="1" si="3"/>
        <v>7757.7206978973209</v>
      </c>
      <c r="AH124" s="3907">
        <f>BALANCE!E148+BALANCE!F148</f>
        <v>0</v>
      </c>
      <c r="AI124" s="3907">
        <f ca="1">BALANCE!G148</f>
        <v>370.99117289732152</v>
      </c>
      <c r="AJ124" s="3907">
        <f ca="1">BALANCE!H148</f>
        <v>6591.3899625000004</v>
      </c>
      <c r="AK124" s="3907"/>
      <c r="AL124" s="3907">
        <f t="shared" ca="1" si="4"/>
        <v>6962.3811353973215</v>
      </c>
      <c r="AM124" s="3907">
        <f>SUMPRODUCT((YEARLY!$F$11:$L$257)*(YEARLY!$A$11:$A$257='10.Results'!AA124))</f>
        <v>0</v>
      </c>
      <c r="AN124" s="3907">
        <f ca="1">SUMPRODUCT((YEARLY!$M$11:$T$257)*(YEARLY!$A$11:$A$257='10.Results'!AA124))</f>
        <v>-1.6431300764452317E-14</v>
      </c>
      <c r="AO124" s="3907">
        <f ca="1">SUMPRODUCT((YEARLY!$U$11:$AA$257)*(YEARLY!$A$11:$A$257='10.Results'!AA124))</f>
        <v>-795.33956249999983</v>
      </c>
      <c r="AP124" s="3907"/>
      <c r="AQ124" s="3907">
        <f t="shared" ca="1" si="5"/>
        <v>-795.33956249999983</v>
      </c>
      <c r="AR124" s="4504"/>
      <c r="AS124" s="4504"/>
      <c r="AT124" s="4504"/>
      <c r="AV124" s="4505"/>
      <c r="AW124" s="4505"/>
      <c r="AX124" s="4505"/>
      <c r="AY124" s="1771"/>
      <c r="AZ124" s="1771"/>
      <c r="BA124" s="1771"/>
      <c r="BB124" s="1771"/>
      <c r="BC124" s="1771"/>
      <c r="BD124" s="1771"/>
      <c r="BE124" s="1771"/>
      <c r="BF124" s="1771"/>
      <c r="BG124" s="1771"/>
      <c r="BH124" s="1771"/>
      <c r="BI124" s="1771"/>
      <c r="BJ124" s="1771"/>
      <c r="BK124" s="1771"/>
      <c r="BL124" s="1771"/>
      <c r="BM124" s="1771"/>
      <c r="BN124" s="1771"/>
      <c r="BO124" s="1771"/>
      <c r="BP124" s="1771"/>
      <c r="BQ124" s="1771"/>
      <c r="BR124" s="1771"/>
      <c r="BS124" s="1771"/>
      <c r="BT124" s="1771"/>
      <c r="BU124" s="1771"/>
      <c r="BV124" s="1771"/>
      <c r="BW124" s="1771"/>
      <c r="BX124" s="1771"/>
      <c r="BY124" s="1771"/>
      <c r="BZ124" s="1771"/>
      <c r="CA124" s="1771"/>
      <c r="CB124" s="1771"/>
      <c r="CC124" s="1771"/>
      <c r="CD124" s="1771"/>
      <c r="CE124" s="1771"/>
      <c r="CF124" s="1771"/>
      <c r="CG124" s="1771"/>
    </row>
    <row r="125" spans="2:85" s="3142" customFormat="1" ht="20" customHeight="1" x14ac:dyDescent="0.2">
      <c r="B125" s="3910"/>
      <c r="C125" s="4433" t="str">
        <f>Languages!B651</f>
        <v>Forest mngt.</v>
      </c>
      <c r="D125" s="3907">
        <f>'Gross results'!D28</f>
        <v>0</v>
      </c>
      <c r="E125" s="3907">
        <f>'Gross results'!E28</f>
        <v>0</v>
      </c>
      <c r="F125" s="4490">
        <f t="shared" si="6"/>
        <v>0</v>
      </c>
      <c r="G125" s="3908">
        <f t="shared" si="7"/>
        <v>0</v>
      </c>
      <c r="H125" s="3915">
        <f>BALANCE!$F$18</f>
        <v>0</v>
      </c>
      <c r="I125" s="3915">
        <f>BALANCE!$G$18</f>
        <v>0</v>
      </c>
      <c r="J125" s="3907">
        <f>BALANCE!$J$18</f>
        <v>0</v>
      </c>
      <c r="K125" s="3907">
        <f>BALANCE!$M$18</f>
        <v>0</v>
      </c>
      <c r="L125" s="3914"/>
      <c r="M125" s="4506"/>
      <c r="N125" s="3907">
        <f>'Gross results'!H28</f>
        <v>0</v>
      </c>
      <c r="O125" s="3907">
        <f>'Gross results'!I28</f>
        <v>0</v>
      </c>
      <c r="P125" s="3907">
        <f t="shared" si="8"/>
        <v>0</v>
      </c>
      <c r="Q125" s="4505"/>
      <c r="R125" s="4505"/>
      <c r="Z125" s="3910"/>
      <c r="AA125" s="3906" t="str">
        <f t="shared" si="2"/>
        <v>Forest mngt.</v>
      </c>
      <c r="AB125" s="3907">
        <f t="shared" si="9"/>
        <v>15</v>
      </c>
      <c r="AC125" s="3907">
        <f>BALANCE!E111+BALANCE!F111</f>
        <v>0</v>
      </c>
      <c r="AD125" s="3907">
        <f>BALANCE!G111</f>
        <v>0</v>
      </c>
      <c r="AE125" s="3907">
        <f>BALANCE!H111</f>
        <v>0</v>
      </c>
      <c r="AF125" s="3907"/>
      <c r="AG125" s="3907">
        <f t="shared" si="3"/>
        <v>0</v>
      </c>
      <c r="AH125" s="3907">
        <f>BALANCE!E140+BALANCE!F140</f>
        <v>0</v>
      </c>
      <c r="AI125" s="3907">
        <f>BALANCE!G140</f>
        <v>0</v>
      </c>
      <c r="AJ125" s="3907">
        <f>BALANCE!H140</f>
        <v>0</v>
      </c>
      <c r="AK125" s="3907"/>
      <c r="AL125" s="3907">
        <f t="shared" si="4"/>
        <v>0</v>
      </c>
      <c r="AM125" s="3907">
        <f>SUMPRODUCT((YEARLY!$F$11:$L$257)*(YEARLY!$A$11:$A$257='10.Results'!AA125))</f>
        <v>0</v>
      </c>
      <c r="AN125" s="3907">
        <f ca="1">SUMPRODUCT((YEARLY!$M$11:$T$257)*(YEARLY!$A$11:$A$257='10.Results'!AA125))</f>
        <v>0</v>
      </c>
      <c r="AO125" s="3907">
        <f ca="1">SUMPRODUCT((YEARLY!$U$11:$AA$257)*(YEARLY!$A$11:$A$257='10.Results'!AA125))</f>
        <v>0</v>
      </c>
      <c r="AP125" s="3907"/>
      <c r="AQ125" s="3907">
        <f t="shared" ca="1" si="5"/>
        <v>0</v>
      </c>
      <c r="AR125" s="4504"/>
      <c r="AS125" s="4504"/>
      <c r="AT125" s="4504"/>
      <c r="AV125" s="4505"/>
      <c r="AW125" s="4505"/>
      <c r="AX125" s="4505"/>
      <c r="AY125" s="1771"/>
      <c r="AZ125" s="1771"/>
      <c r="BA125" s="1771"/>
      <c r="BB125" s="1771"/>
      <c r="BC125" s="1771"/>
      <c r="BD125" s="1771"/>
      <c r="BE125" s="1771"/>
      <c r="BF125" s="1771"/>
      <c r="BG125" s="1771"/>
      <c r="BH125" s="1771"/>
      <c r="BI125" s="1771"/>
      <c r="BJ125" s="1771"/>
      <c r="BK125" s="1771"/>
      <c r="BL125" s="1771"/>
      <c r="BM125" s="1771"/>
      <c r="BN125" s="1771"/>
      <c r="BO125" s="1771"/>
      <c r="BP125" s="1771"/>
      <c r="BQ125" s="1771"/>
      <c r="BR125" s="1771"/>
      <c r="BS125" s="1771"/>
      <c r="BT125" s="1771"/>
      <c r="BU125" s="1771"/>
      <c r="BV125" s="1771"/>
      <c r="BW125" s="1771"/>
      <c r="BX125" s="1771"/>
      <c r="BY125" s="1771"/>
      <c r="BZ125" s="1771"/>
      <c r="CA125" s="1771"/>
      <c r="CB125" s="1771"/>
      <c r="CC125" s="1771"/>
      <c r="CD125" s="1771"/>
      <c r="CE125" s="1771"/>
      <c r="CF125" s="1771"/>
      <c r="CG125" s="1771"/>
    </row>
    <row r="126" spans="2:85" s="3142" customFormat="1" ht="20" customHeight="1" x14ac:dyDescent="0.2">
      <c r="B126" s="3907"/>
      <c r="C126" s="4433" t="str">
        <f>Languages!B652</f>
        <v>Inland wetlands</v>
      </c>
      <c r="D126" s="3911">
        <f>'Gross results'!D29</f>
        <v>7210359.1322619058</v>
      </c>
      <c r="E126" s="3907">
        <f>'Gross results'!E29</f>
        <v>7327016.5904761907</v>
      </c>
      <c r="F126" s="4490">
        <f t="shared" si="6"/>
        <v>116657.45821428485</v>
      </c>
      <c r="G126" s="3908">
        <f t="shared" si="7"/>
        <v>1</v>
      </c>
      <c r="H126" s="3907">
        <f>BALANCE!$F$53</f>
        <v>0</v>
      </c>
      <c r="I126" s="3912">
        <f>BALANCE!$G$53</f>
        <v>112952.58333333302</v>
      </c>
      <c r="J126" s="3907">
        <f>BALANCE!$I$53+BALANCE!$J$53</f>
        <v>294.62321428571443</v>
      </c>
      <c r="K126" s="3907">
        <f>BALANCE!$L$53+BALANCE!$M$53+BALANCE!$L$29</f>
        <v>3227.5833333333317</v>
      </c>
      <c r="L126" s="3913"/>
      <c r="M126" s="4506"/>
      <c r="N126" s="3911">
        <f>'Gross results'!H29</f>
        <v>480690.60881746036</v>
      </c>
      <c r="O126" s="3907">
        <f>'Gross results'!I29</f>
        <v>488467.77269841271</v>
      </c>
      <c r="P126" s="3912">
        <f t="shared" si="8"/>
        <v>7777.1638809523429</v>
      </c>
      <c r="Q126" s="4505"/>
      <c r="R126" s="4505"/>
      <c r="Z126" s="3907"/>
      <c r="AA126" s="3906" t="str">
        <f t="shared" si="2"/>
        <v>Inland wetlands</v>
      </c>
      <c r="AB126" s="3907">
        <f t="shared" si="9"/>
        <v>15</v>
      </c>
      <c r="AC126" s="3907">
        <f>SUM(BALANCE!E123:F128)</f>
        <v>7174697.75</v>
      </c>
      <c r="AD126" s="3907">
        <f>SUM(BALANCE!G123:G128)</f>
        <v>873.45892857142849</v>
      </c>
      <c r="AE126" s="3907">
        <f>SUM(BALANCE!H123:H128)</f>
        <v>24872.98333333333</v>
      </c>
      <c r="AF126" s="3907"/>
      <c r="AG126" s="3907">
        <f t="shared" si="3"/>
        <v>7200444.1922619045</v>
      </c>
      <c r="AH126" s="3907">
        <f>SUM(BALANCE!E152:F157)</f>
        <v>7287641.166666667</v>
      </c>
      <c r="AI126" s="3907">
        <f>SUM(BALANCE!G152:G157)</f>
        <v>1168.082142857143</v>
      </c>
      <c r="AJ126" s="3907">
        <f>SUM(BALANCE!H152:H157)</f>
        <v>28292.401666666665</v>
      </c>
      <c r="AK126" s="3907"/>
      <c r="AL126" s="3907">
        <f t="shared" si="4"/>
        <v>7317101.6504761903</v>
      </c>
      <c r="AM126" s="3907">
        <f>SUMPRODUCT((YEARLY!$F$11:$L$257)*(YEARLY!$A$11:$A$257='10.Results'!AA126))</f>
        <v>112943.41666666667</v>
      </c>
      <c r="AN126" s="3907">
        <f ca="1">SUMPRODUCT((YEARLY!$M$11:$T$257)*(YEARLY!$A$11:$A$257='10.Results'!AA126))</f>
        <v>294.62321428571443</v>
      </c>
      <c r="AO126" s="3907">
        <f ca="1">SUMPRODUCT((YEARLY!$U$11:$AA$257)*(YEARLY!$A$11:$A$257='10.Results'!AA126))</f>
        <v>3419.4183333333308</v>
      </c>
      <c r="AP126" s="3907"/>
      <c r="AQ126" s="3907">
        <f t="shared" ca="1" si="5"/>
        <v>116657.45821428573</v>
      </c>
      <c r="AR126" s="4504"/>
      <c r="AS126" s="4504"/>
      <c r="AT126" s="4504"/>
      <c r="AV126" s="4505"/>
      <c r="AW126" s="4505"/>
      <c r="AX126" s="4505"/>
      <c r="AY126" s="1771"/>
      <c r="AZ126" s="1771"/>
      <c r="BA126" s="1771"/>
      <c r="BB126" s="1771"/>
      <c r="BC126" s="1771"/>
      <c r="BD126" s="1771"/>
      <c r="BE126" s="1771"/>
      <c r="BF126" s="1771"/>
      <c r="BG126" s="1771"/>
      <c r="BH126" s="1771"/>
      <c r="BI126" s="1771"/>
      <c r="BJ126" s="1771"/>
      <c r="BK126" s="1771"/>
      <c r="BL126" s="1771"/>
      <c r="BM126" s="1771"/>
      <c r="BN126" s="1771"/>
      <c r="BO126" s="1771"/>
      <c r="BP126" s="1771"/>
      <c r="BQ126" s="1771"/>
      <c r="BR126" s="1771"/>
      <c r="BS126" s="1771"/>
      <c r="BT126" s="1771"/>
      <c r="BU126" s="1771"/>
      <c r="BV126" s="1771"/>
      <c r="BW126" s="1771"/>
      <c r="BX126" s="1771"/>
      <c r="BY126" s="1771"/>
      <c r="BZ126" s="1771"/>
      <c r="CA126" s="1771"/>
      <c r="CB126" s="1771"/>
      <c r="CC126" s="1771"/>
      <c r="CD126" s="1771"/>
      <c r="CE126" s="1771"/>
      <c r="CF126" s="1771"/>
      <c r="CG126" s="1771"/>
    </row>
    <row r="127" spans="2:85" s="3142" customFormat="1" ht="20" customHeight="1" x14ac:dyDescent="0.2">
      <c r="B127" s="3910"/>
      <c r="C127" s="4433" t="str">
        <f>Languages!B653</f>
        <v>Coastal wetlands</v>
      </c>
      <c r="D127" s="3907">
        <f>'Gross results'!D30</f>
        <v>26323.408333333333</v>
      </c>
      <c r="E127" s="3907">
        <f>'Gross results'!E30</f>
        <v>29945.908333333333</v>
      </c>
      <c r="F127" s="4490">
        <f t="shared" si="6"/>
        <v>3622.5</v>
      </c>
      <c r="G127" s="3908">
        <f t="shared" si="7"/>
        <v>1</v>
      </c>
      <c r="H127" s="3907">
        <f>BALANCE!$F$27</f>
        <v>0</v>
      </c>
      <c r="I127" s="3907">
        <f>BALANCE!$G$27</f>
        <v>0</v>
      </c>
      <c r="J127" s="3915">
        <f>BALANCE!I27</f>
        <v>0</v>
      </c>
      <c r="K127" s="3907">
        <f>BALANCE!L27</f>
        <v>3622.5</v>
      </c>
      <c r="L127" s="3915"/>
      <c r="M127" s="4506"/>
      <c r="N127" s="3907">
        <f>'Gross results'!H30</f>
        <v>1754.8938888888888</v>
      </c>
      <c r="O127" s="3907">
        <f>'Gross results'!I30</f>
        <v>1996.3938888888888</v>
      </c>
      <c r="P127" s="3907">
        <f t="shared" si="8"/>
        <v>241.5</v>
      </c>
      <c r="Q127" s="4505"/>
      <c r="R127" s="4505"/>
      <c r="Z127" s="3910"/>
      <c r="AA127" s="3906" t="str">
        <f t="shared" si="2"/>
        <v>Coastal wetlands</v>
      </c>
      <c r="AB127" s="3907">
        <f t="shared" si="9"/>
        <v>15</v>
      </c>
      <c r="AC127" s="3907">
        <f>BALANCE!E120+BALANCE!F120</f>
        <v>23996.958333333336</v>
      </c>
      <c r="AD127" s="3907">
        <f>BALANCE!G120</f>
        <v>0</v>
      </c>
      <c r="AE127" s="3907">
        <f>BALANCE!H120</f>
        <v>2326.4499999999998</v>
      </c>
      <c r="AF127" s="3907"/>
      <c r="AG127" s="3907">
        <f t="shared" si="3"/>
        <v>26323.408333333336</v>
      </c>
      <c r="AH127" s="3907">
        <f>BALANCE!E149+BALANCE!F149</f>
        <v>23996.958333333336</v>
      </c>
      <c r="AI127" s="3907">
        <f>BALANCE!G149</f>
        <v>0</v>
      </c>
      <c r="AJ127" s="3907">
        <f>BALANCE!H149</f>
        <v>5948.95</v>
      </c>
      <c r="AK127" s="3907"/>
      <c r="AL127" s="3907">
        <f t="shared" si="4"/>
        <v>29945.908333333336</v>
      </c>
      <c r="AM127" s="3907">
        <f>SUMPRODUCT((YEARLY!$F$11:$L$257)*(YEARLY!$A$11:$A$257='10.Results'!AA127))</f>
        <v>0</v>
      </c>
      <c r="AN127" s="3907">
        <f ca="1">SUMPRODUCT((YEARLY!$M$11:$T$257)*(YEARLY!$A$11:$A$257='10.Results'!AA127))</f>
        <v>0</v>
      </c>
      <c r="AO127" s="3907">
        <f ca="1">SUMPRODUCT((YEARLY!$U$11:$AA$257)*(YEARLY!$A$11:$A$257='10.Results'!AA127))</f>
        <v>3622.5</v>
      </c>
      <c r="AP127" s="3907"/>
      <c r="AQ127" s="3907">
        <f t="shared" ca="1" si="5"/>
        <v>3622.5</v>
      </c>
      <c r="AR127" s="4504"/>
      <c r="AS127" s="4504"/>
      <c r="AT127" s="4504"/>
      <c r="AV127" s="4505"/>
      <c r="AW127" s="4505"/>
      <c r="AX127" s="4505"/>
      <c r="AY127" s="1771"/>
      <c r="AZ127" s="1771"/>
      <c r="BA127" s="1771"/>
      <c r="BB127" s="1771"/>
      <c r="BC127" s="1771"/>
      <c r="BD127" s="1771"/>
      <c r="BE127" s="1771"/>
      <c r="BF127" s="1771"/>
      <c r="BG127" s="1771"/>
      <c r="BH127" s="1771"/>
      <c r="BI127" s="1771"/>
      <c r="BJ127" s="1771"/>
      <c r="BK127" s="1771"/>
      <c r="BL127" s="1771"/>
      <c r="BM127" s="1771"/>
      <c r="BN127" s="1771"/>
      <c r="BO127" s="1771"/>
      <c r="BP127" s="1771"/>
      <c r="BQ127" s="1771"/>
      <c r="BR127" s="1771"/>
      <c r="BS127" s="1771"/>
      <c r="BT127" s="1771"/>
      <c r="BU127" s="1771"/>
      <c r="BV127" s="1771"/>
      <c r="BW127" s="1771"/>
      <c r="BX127" s="1771"/>
      <c r="BY127" s="1771"/>
      <c r="BZ127" s="1771"/>
      <c r="CA127" s="1771"/>
      <c r="CB127" s="1771"/>
      <c r="CC127" s="1771"/>
      <c r="CD127" s="1771"/>
      <c r="CE127" s="1771"/>
      <c r="CF127" s="1771"/>
      <c r="CG127" s="1771"/>
    </row>
    <row r="128" spans="2:85" s="3142" customFormat="1" ht="20" customHeight="1" x14ac:dyDescent="0.2">
      <c r="B128" s="3910"/>
      <c r="C128" s="3906" t="str">
        <f>Languages!B654</f>
        <v>Fisheries and aquaculture</v>
      </c>
      <c r="D128" s="3907">
        <f>'Gross results'!D31</f>
        <v>46974.940567056728</v>
      </c>
      <c r="E128" s="3907">
        <f>'Gross results'!E31</f>
        <v>44620.677388195159</v>
      </c>
      <c r="F128" s="4490">
        <f t="shared" si="6"/>
        <v>-2354.263178861569</v>
      </c>
      <c r="G128" s="3908"/>
      <c r="H128" s="3913">
        <f>BALANCE!F28</f>
        <v>0</v>
      </c>
      <c r="I128" s="3914">
        <f>BALANCE!G28</f>
        <v>0</v>
      </c>
      <c r="J128" s="3914">
        <f>BALANCE!I28</f>
        <v>193.53517857142867</v>
      </c>
      <c r="K128" s="3914">
        <f>BALANCE!L28</f>
        <v>0</v>
      </c>
      <c r="L128" s="3916">
        <f>BALANCE!L28+BALANCE!O28+BALANCE!O60</f>
        <v>-2547.7983574329992</v>
      </c>
      <c r="M128" s="4507"/>
      <c r="N128" s="3907">
        <f>'Gross results'!H31</f>
        <v>3131.6627044704487</v>
      </c>
      <c r="O128" s="3907">
        <f>'Gross results'!I31</f>
        <v>2974.7118258796772</v>
      </c>
      <c r="P128" s="3907">
        <f t="shared" si="8"/>
        <v>-156.95087859077148</v>
      </c>
      <c r="Q128" s="4505"/>
      <c r="R128" s="4505"/>
      <c r="Z128" s="3910"/>
      <c r="AA128" s="3906" t="str">
        <f t="shared" si="2"/>
        <v>Fisheries and aquaculture</v>
      </c>
      <c r="AB128" s="3907">
        <f t="shared" si="9"/>
        <v>15</v>
      </c>
      <c r="AC128" s="3907">
        <f>BALANCE!E131+BALANCE!F131</f>
        <v>0</v>
      </c>
      <c r="AD128" s="3907">
        <f>BALANCE!G131</f>
        <v>241.03926785714287</v>
      </c>
      <c r="AE128" s="3907">
        <f>BALANCE!H131</f>
        <v>0</v>
      </c>
      <c r="AF128" s="3907">
        <f>BALANCE!I131</f>
        <v>46733.901299199584</v>
      </c>
      <c r="AG128" s="3907">
        <f t="shared" si="3"/>
        <v>46974.940567056728</v>
      </c>
      <c r="AH128" s="3907">
        <f>BALANCE!E160+BALANCE!F160</f>
        <v>0</v>
      </c>
      <c r="AI128" s="3907">
        <f>BALANCE!G160</f>
        <v>434.57444642857155</v>
      </c>
      <c r="AJ128" s="3907">
        <f>BALANCE!H160</f>
        <v>0</v>
      </c>
      <c r="AK128" s="3907">
        <f>BALANCE!I160</f>
        <v>44186.102941766585</v>
      </c>
      <c r="AL128" s="3907">
        <f t="shared" si="4"/>
        <v>44620.677388195159</v>
      </c>
      <c r="AM128" s="3907">
        <f>AH128-AC128</f>
        <v>0</v>
      </c>
      <c r="AN128" s="3907">
        <f ca="1">SUMPRODUCT((YEARLY!$M$11:$T$257)*(YEARLY!$A$11:$A$257='10.Results'!AA128))</f>
        <v>193.53517857142867</v>
      </c>
      <c r="AO128" s="3907">
        <f ca="1">SUMPRODUCT((YEARLY!$U$11:$AA$257)*(YEARLY!$A$11:$A$257='10.Results'!AA128))</f>
        <v>0</v>
      </c>
      <c r="AP128" s="3907">
        <f>SUMPRODUCT((YEARLY!$F$11:$L$257)*(YEARLY!$A$11:$A$257='10.Results'!AA128))</f>
        <v>-2547.7983574329992</v>
      </c>
      <c r="AQ128" s="3907">
        <f t="shared" ca="1" si="5"/>
        <v>-2354.2631788615704</v>
      </c>
      <c r="AR128" s="4504"/>
      <c r="AS128" s="4504"/>
      <c r="AT128" s="4504"/>
      <c r="AV128" s="4505"/>
      <c r="AW128" s="4505"/>
      <c r="AX128" s="4505"/>
      <c r="AY128" s="1771"/>
      <c r="AZ128" s="1771"/>
      <c r="BA128" s="1771"/>
      <c r="BB128" s="1771"/>
      <c r="BC128" s="1771"/>
      <c r="BD128" s="1771"/>
      <c r="BE128" s="1771"/>
      <c r="BF128" s="1771"/>
      <c r="BG128" s="1771"/>
      <c r="BH128" s="1771"/>
      <c r="BI128" s="1771"/>
      <c r="BJ128" s="1771"/>
      <c r="BK128" s="1771"/>
      <c r="BL128" s="1771"/>
      <c r="BM128" s="1771"/>
      <c r="BN128" s="1771"/>
      <c r="BO128" s="1771"/>
      <c r="BP128" s="1771"/>
      <c r="BQ128" s="1771"/>
      <c r="BR128" s="1771"/>
      <c r="BS128" s="1771"/>
      <c r="BT128" s="1771"/>
      <c r="BU128" s="1771"/>
      <c r="BV128" s="1771"/>
      <c r="BW128" s="1771"/>
      <c r="BX128" s="1771"/>
      <c r="BY128" s="1771"/>
      <c r="BZ128" s="1771"/>
      <c r="CA128" s="1771"/>
      <c r="CB128" s="1771"/>
      <c r="CC128" s="1771"/>
      <c r="CD128" s="1771"/>
      <c r="CE128" s="1771"/>
      <c r="CF128" s="1771"/>
      <c r="CG128" s="1771"/>
    </row>
    <row r="129" spans="2:85" s="3142" customFormat="1" ht="20" customHeight="1" x14ac:dyDescent="0.2">
      <c r="B129" s="3919"/>
      <c r="C129" s="4433" t="str">
        <f>Languages!B655</f>
        <v>Inputs &amp; Invest.</v>
      </c>
      <c r="D129" s="3927">
        <f>'Gross results'!D32</f>
        <v>417332.31050572946</v>
      </c>
      <c r="E129" s="3928">
        <f>'Gross results'!E32</f>
        <v>423760.39815542207</v>
      </c>
      <c r="F129" s="4490">
        <f t="shared" si="6"/>
        <v>6428.0876496926066</v>
      </c>
      <c r="G129" s="3908">
        <f>IF(AND(D129=0,E129=0),0,1)</f>
        <v>1</v>
      </c>
      <c r="H129" s="3930"/>
      <c r="I129" s="3931">
        <f>BALANCE!G59</f>
        <v>0</v>
      </c>
      <c r="J129" s="3931">
        <f>BALANCE!I59</f>
        <v>0</v>
      </c>
      <c r="K129" s="3931"/>
      <c r="L129" s="3929">
        <f>BALANCE!$O$59+BALANCE!$O$61+BALANCE!$O$62+BALANCE!$O$63</f>
        <v>6428.087649692573</v>
      </c>
      <c r="M129" s="4506"/>
      <c r="N129" s="3927">
        <f>'Gross results'!H32</f>
        <v>27822.154033715298</v>
      </c>
      <c r="O129" s="3928">
        <f>'Gross results'!I32</f>
        <v>28250.693210361471</v>
      </c>
      <c r="P129" s="3929">
        <f>O129-N129</f>
        <v>428.53917664617256</v>
      </c>
      <c r="Q129" s="4505"/>
      <c r="R129" s="4505"/>
      <c r="Z129" s="3919"/>
      <c r="AA129" s="3906" t="str">
        <f t="shared" si="2"/>
        <v>Inputs &amp; Invest.</v>
      </c>
      <c r="AB129" s="3907">
        <f t="shared" si="9"/>
        <v>15</v>
      </c>
      <c r="AC129" s="3907">
        <f>BALANCE!E130+BALANCE!F130+BALANCE!E132+BALANCE!F132+BALANCE!E133+BALANCE!F133+BALANCE!E134+BALANCE!F134</f>
        <v>0</v>
      </c>
      <c r="AD129" s="3907">
        <f>BALANCE!G130+BALANCE!G132+BALANCE!G133+BALANCE!G134</f>
        <v>0</v>
      </c>
      <c r="AE129" s="3907">
        <f>BALANCE!H130+BALANCE!H132+BALANCE!H133+BALANCE!H134</f>
        <v>0</v>
      </c>
      <c r="AF129" s="3907">
        <f>BALANCE!I130+BALANCE!I132+BALANCE!I133+BALANCE!I134</f>
        <v>417332.31050572946</v>
      </c>
      <c r="AG129" s="3907">
        <f t="shared" si="3"/>
        <v>417332.31050572946</v>
      </c>
      <c r="AH129" s="3907">
        <f>BALANCE!E159+BALANCE!F159+BALANCE!E161+BALANCE!F161+BALANCE!E162+BALANCE!F162+BALANCE!E163+BALANCE!F163</f>
        <v>0</v>
      </c>
      <c r="AI129" s="3907">
        <f>BALANCE!G159+BALANCE!G161+BALANCE!G162+BALANCE!G163</f>
        <v>0</v>
      </c>
      <c r="AJ129" s="3907">
        <f>BALANCE!H159+BALANCE!H161+BALANCE!H162+BALANCE!H163</f>
        <v>0</v>
      </c>
      <c r="AK129" s="3907">
        <f>SUM(BALANCE!I159+BALANCE!I161+BALANCE!I162+BALANCE!I163)</f>
        <v>423760.39815542207</v>
      </c>
      <c r="AL129" s="3907">
        <f t="shared" si="4"/>
        <v>423760.39815542207</v>
      </c>
      <c r="AM129" s="3907">
        <f>AH129-AC129</f>
        <v>0</v>
      </c>
      <c r="AN129" s="3907">
        <f ca="1">SUMPRODUCT((YEARLY!$M$11:$T$257)*(YEARLY!$A$11:$A$257='10.Results'!AA129))</f>
        <v>0</v>
      </c>
      <c r="AO129" s="3907">
        <f ca="1">SUMPRODUCT((YEARLY!$U$11:$AA$257)*(YEARLY!$A$11:$A$257='10.Results'!AA129))</f>
        <v>0</v>
      </c>
      <c r="AP129" s="3907">
        <f>SUMPRODUCT((YEARLY!$F$11:$L$257)*(YEARLY!$A$11:$A$257='10.Results'!AA129))-AM129</f>
        <v>6428.087649692573</v>
      </c>
      <c r="AQ129" s="3907">
        <f t="shared" ca="1" si="5"/>
        <v>6428.087649692573</v>
      </c>
      <c r="AR129" s="4504"/>
      <c r="AS129" s="4504"/>
      <c r="AT129" s="4504"/>
      <c r="AV129" s="4505"/>
      <c r="AW129" s="4505"/>
      <c r="AX129" s="4505"/>
      <c r="AY129" s="1771"/>
      <c r="AZ129" s="1771"/>
      <c r="BA129" s="1771"/>
      <c r="BB129" s="1771"/>
      <c r="BC129" s="1771"/>
      <c r="BD129" s="1771"/>
      <c r="BE129" s="1771"/>
      <c r="BF129" s="1771"/>
      <c r="BG129" s="1771"/>
      <c r="BH129" s="1771"/>
      <c r="BI129" s="1771"/>
      <c r="BJ129" s="1771"/>
      <c r="BK129" s="1771"/>
      <c r="BL129" s="1771"/>
      <c r="BM129" s="1771"/>
      <c r="BN129" s="1771"/>
      <c r="BO129" s="1771"/>
      <c r="BP129" s="1771"/>
      <c r="BQ129" s="1771"/>
      <c r="BR129" s="1771"/>
      <c r="BS129" s="1771"/>
      <c r="BT129" s="1771"/>
      <c r="BU129" s="1771"/>
      <c r="BV129" s="1771"/>
      <c r="BW129" s="1771"/>
      <c r="BX129" s="1771"/>
      <c r="BY129" s="1771"/>
      <c r="BZ129" s="1771"/>
      <c r="CA129" s="1771"/>
      <c r="CB129" s="1771"/>
      <c r="CC129" s="1771"/>
      <c r="CD129" s="1771"/>
      <c r="CE129" s="1771"/>
      <c r="CF129" s="1771"/>
      <c r="CG129" s="1771"/>
    </row>
    <row r="130" spans="2:85" s="1969" customFormat="1" ht="18" customHeight="1" x14ac:dyDescent="0.2">
      <c r="B130" s="3918"/>
      <c r="C130" s="3918"/>
      <c r="D130" s="3918"/>
      <c r="E130" s="3918"/>
      <c r="F130" s="3918"/>
      <c r="G130" s="3919"/>
      <c r="H130" s="3918"/>
      <c r="I130" s="3918"/>
      <c r="J130" s="3918"/>
      <c r="K130" s="3918"/>
      <c r="L130" s="3918"/>
      <c r="M130" s="3919"/>
      <c r="N130" s="3918"/>
      <c r="O130" s="3918"/>
      <c r="P130" s="3918"/>
      <c r="Q130" s="4505"/>
      <c r="R130" s="4505"/>
      <c r="Z130" s="3918"/>
      <c r="AA130" s="4503"/>
      <c r="AB130" s="3918"/>
      <c r="AC130" s="3918"/>
      <c r="AD130" s="3918"/>
      <c r="AE130" s="3918"/>
      <c r="AF130" s="3918"/>
      <c r="AG130" s="3918"/>
      <c r="AH130" s="3918"/>
      <c r="AI130" s="3918"/>
      <c r="AJ130" s="3918"/>
      <c r="AK130" s="3918"/>
      <c r="AL130" s="3918"/>
      <c r="AM130" s="3918"/>
      <c r="AN130" s="3918"/>
      <c r="AO130" s="3918"/>
      <c r="AP130" s="3918"/>
      <c r="AQ130" s="3918"/>
      <c r="AR130" s="4504"/>
      <c r="AY130" s="1771"/>
      <c r="AZ130" s="1771"/>
      <c r="BA130" s="1771"/>
      <c r="BB130" s="1771"/>
      <c r="BC130" s="1771"/>
      <c r="BD130" s="1771"/>
      <c r="BE130" s="1771"/>
      <c r="BF130" s="1771"/>
      <c r="BG130" s="1771"/>
      <c r="BH130" s="1771"/>
      <c r="BI130" s="1771"/>
      <c r="BJ130" s="1771"/>
      <c r="BK130" s="1771"/>
      <c r="BL130" s="1771"/>
      <c r="BM130" s="1771"/>
      <c r="BN130" s="1771"/>
      <c r="BO130" s="1771"/>
      <c r="BP130" s="1771"/>
      <c r="BQ130" s="1771"/>
      <c r="BR130" s="1771"/>
      <c r="BS130" s="1771"/>
      <c r="BT130" s="1771"/>
      <c r="BU130" s="1771"/>
      <c r="BV130" s="1771"/>
      <c r="BW130" s="1771"/>
      <c r="BX130" s="1771"/>
      <c r="BY130" s="1771"/>
      <c r="BZ130" s="1771"/>
      <c r="CA130" s="1771"/>
      <c r="CB130" s="1771"/>
      <c r="CC130" s="1771"/>
      <c r="CD130" s="1771"/>
      <c r="CE130" s="1771"/>
      <c r="CF130" s="1771"/>
      <c r="CG130" s="1771"/>
    </row>
    <row r="131" spans="2:85" s="3142" customFormat="1" ht="20" customHeight="1" x14ac:dyDescent="0.2">
      <c r="B131" s="3920" t="str">
        <f>Languages!B659</f>
        <v>Total emissions, tCO2-e</v>
      </c>
      <c r="C131" s="3920"/>
      <c r="D131" s="3921">
        <f ca="1">SUM(D117:D129)</f>
        <v>7706499.9341702312</v>
      </c>
      <c r="E131" s="3921">
        <f ca="1">SUM(E117:E129)</f>
        <v>7826910.9528661799</v>
      </c>
      <c r="F131" s="3921">
        <f ca="1">SUM(F117:F129)</f>
        <v>120411.01869594923</v>
      </c>
      <c r="G131" s="4491" t="s">
        <v>5205</v>
      </c>
      <c r="H131" s="3921">
        <f>SUM(H117:H129)</f>
        <v>-1774.666666666667</v>
      </c>
      <c r="I131" s="3921">
        <f>SUM(I117:I129)</f>
        <v>111579.82557333302</v>
      </c>
      <c r="J131" s="3921">
        <f ca="1">SUM(J117:J129)</f>
        <v>488.1583928571431</v>
      </c>
      <c r="K131" s="3921">
        <f ca="1">SUM(K117:K129)</f>
        <v>6054.7437708333309</v>
      </c>
      <c r="L131" s="3921">
        <f>SUM(L117:L129)</f>
        <v>3880.2892922595738</v>
      </c>
      <c r="M131" s="3919"/>
      <c r="N131" s="3922">
        <f ca="1">SUM(N117:N129)</f>
        <v>513766.6622780154</v>
      </c>
      <c r="O131" s="3922">
        <f ca="1">SUM(O117:O129)</f>
        <v>521794.06352441205</v>
      </c>
      <c r="P131" s="3922">
        <f ca="1">SUM(P117:P129)</f>
        <v>8027.4012463966319</v>
      </c>
      <c r="Z131" s="3920" t="str">
        <f>B131</f>
        <v>Total emissions, tCO2-e</v>
      </c>
      <c r="AA131" s="3920"/>
      <c r="AB131" s="3921"/>
      <c r="AC131" s="3921">
        <f t="shared" ref="AC131:AQ131" si="10">SUM(AC117:AC129)</f>
        <v>7193463.0323599996</v>
      </c>
      <c r="AD131" s="3921">
        <f t="shared" ca="1" si="10"/>
        <v>2103.8963673201074</v>
      </c>
      <c r="AE131" s="3921">
        <f t="shared" ca="1" si="10"/>
        <v>36951.85363798133</v>
      </c>
      <c r="AF131" s="3921">
        <f t="shared" si="10"/>
        <v>464066.21180492907</v>
      </c>
      <c r="AG131" s="3921">
        <f t="shared" ca="1" si="10"/>
        <v>7696584.9941702299</v>
      </c>
      <c r="AH131" s="3921">
        <f t="shared" si="10"/>
        <v>7303259.0246000001</v>
      </c>
      <c r="AI131" s="3921">
        <f t="shared" ca="1" si="10"/>
        <v>2592.0547601772505</v>
      </c>
      <c r="AJ131" s="3921">
        <f t="shared" ca="1" si="10"/>
        <v>43198.43240881466</v>
      </c>
      <c r="AK131" s="3921">
        <f t="shared" si="10"/>
        <v>467946.50109718868</v>
      </c>
      <c r="AL131" s="3921">
        <f t="shared" ca="1" si="10"/>
        <v>7816996.0128661795</v>
      </c>
      <c r="AM131" s="3921">
        <f t="shared" si="10"/>
        <v>109795.99224000001</v>
      </c>
      <c r="AN131" s="3921">
        <f t="shared" ca="1" si="10"/>
        <v>488.1583928571431</v>
      </c>
      <c r="AO131" s="3921">
        <f t="shared" ca="1" si="10"/>
        <v>6246.578770833331</v>
      </c>
      <c r="AP131" s="3921">
        <f t="shared" si="10"/>
        <v>3880.2892922595738</v>
      </c>
      <c r="AQ131" s="3921">
        <f t="shared" ca="1" si="10"/>
        <v>120411.01869595007</v>
      </c>
      <c r="AR131" s="4504"/>
      <c r="AY131" s="1771"/>
      <c r="AZ131" s="1771"/>
      <c r="BA131" s="1771"/>
      <c r="BB131" s="1771"/>
      <c r="BC131" s="1771"/>
      <c r="BD131" s="1771"/>
      <c r="BE131" s="1771"/>
      <c r="BF131" s="1771"/>
      <c r="BG131" s="1771"/>
      <c r="BH131" s="1771"/>
      <c r="BI131" s="1771"/>
      <c r="BJ131" s="1771"/>
      <c r="BK131" s="1771"/>
      <c r="BL131" s="1771"/>
      <c r="BM131" s="1771"/>
      <c r="BN131" s="1771"/>
      <c r="BO131" s="1771"/>
      <c r="BP131" s="1771"/>
      <c r="BQ131" s="1771"/>
      <c r="BR131" s="1771"/>
      <c r="BS131" s="1771"/>
      <c r="BT131" s="1771"/>
      <c r="BU131" s="1771"/>
      <c r="BV131" s="1771"/>
      <c r="BW131" s="1771"/>
      <c r="BX131" s="1771"/>
      <c r="BY131" s="1771"/>
      <c r="BZ131" s="1771"/>
      <c r="CA131" s="1771"/>
      <c r="CB131" s="1771"/>
      <c r="CC131" s="1771"/>
      <c r="CD131" s="1771"/>
      <c r="CE131" s="1771"/>
      <c r="CF131" s="1771"/>
      <c r="CG131" s="1771"/>
    </row>
    <row r="132" spans="2:85" s="3142" customFormat="1" ht="20" customHeight="1" x14ac:dyDescent="0.2">
      <c r="B132" s="3920" t="str">
        <f>Languages!B660</f>
        <v>Total emissions, tCO2-e/ha</v>
      </c>
      <c r="C132" s="3923"/>
      <c r="D132" s="3924">
        <f ca="1">IFERROR(D131/$K$107,0)</f>
        <v>5442.4434563349087</v>
      </c>
      <c r="E132" s="3924">
        <f ca="1">IFERROR(E131/$K$107,0)</f>
        <v>5527.4794864874148</v>
      </c>
      <c r="F132" s="3924">
        <f ca="1">IFERROR(F131/$K$107,0)</f>
        <v>85.036030152506513</v>
      </c>
      <c r="G132" s="4491" t="s">
        <v>5206</v>
      </c>
      <c r="H132" s="3924">
        <f>IFERROR(H131/$K$107,0)</f>
        <v>-1.2532956685499061</v>
      </c>
      <c r="I132" s="3924">
        <f>IFERROR(I131/$K$107,0)</f>
        <v>78.799311845574167</v>
      </c>
      <c r="J132" s="3924">
        <f ca="1">IFERROR(J131/$K$107,0)</f>
        <v>0.34474462772397113</v>
      </c>
      <c r="K132" s="3924">
        <f ca="1">IFERROR(K131/$K$107,0)</f>
        <v>4.2759489907015045</v>
      </c>
      <c r="L132" s="3924">
        <f>IFERROR(L131/$K$107,0)</f>
        <v>2.7403172967934841</v>
      </c>
      <c r="M132" s="3919"/>
      <c r="N132" s="3925"/>
      <c r="O132" s="3925"/>
      <c r="P132" s="3925"/>
      <c r="Z132" s="3920" t="str">
        <f>B132</f>
        <v>Total emissions, tCO2-e/ha</v>
      </c>
      <c r="AA132" s="3923"/>
      <c r="AB132" s="3924"/>
      <c r="AC132" s="3924">
        <f t="shared" ref="AC132:AQ132" si="11">IFERROR(AC131/$K$107,0)</f>
        <v>5080.1292601412424</v>
      </c>
      <c r="AD132" s="3924">
        <f t="shared" ca="1" si="11"/>
        <v>1.4858025192938611</v>
      </c>
      <c r="AE132" s="3924">
        <f t="shared" ca="1" si="11"/>
        <v>26.095941834732578</v>
      </c>
      <c r="AF132" s="3924">
        <f t="shared" si="11"/>
        <v>327.73037556845276</v>
      </c>
      <c r="AG132" s="3924">
        <f t="shared" ca="1" si="11"/>
        <v>5435.4413800637212</v>
      </c>
      <c r="AH132" s="3924">
        <f t="shared" si="11"/>
        <v>5157.6688026836155</v>
      </c>
      <c r="AI132" s="3924">
        <f t="shared" ca="1" si="11"/>
        <v>1.8305471470178323</v>
      </c>
      <c r="AJ132" s="3924">
        <f t="shared" ca="1" si="11"/>
        <v>30.507367520349337</v>
      </c>
      <c r="AK132" s="3924">
        <f t="shared" si="11"/>
        <v>330.47069286524624</v>
      </c>
      <c r="AL132" s="3924">
        <f t="shared" ca="1" si="11"/>
        <v>5520.4774102162282</v>
      </c>
      <c r="AM132" s="3924">
        <f t="shared" si="11"/>
        <v>77.539542542372885</v>
      </c>
      <c r="AN132" s="3924">
        <f t="shared" ca="1" si="11"/>
        <v>0.34474462772397113</v>
      </c>
      <c r="AO132" s="3924">
        <f t="shared" ca="1" si="11"/>
        <v>4.4114256856167593</v>
      </c>
      <c r="AP132" s="3924">
        <f t="shared" si="11"/>
        <v>2.7403172967934841</v>
      </c>
      <c r="AQ132" s="3924">
        <f t="shared" ca="1" si="11"/>
        <v>85.036030152507109</v>
      </c>
      <c r="AR132" s="4504"/>
      <c r="AY132" s="1771"/>
      <c r="AZ132" s="1771"/>
      <c r="BA132" s="1771"/>
      <c r="BB132" s="1771"/>
      <c r="BC132" s="1771"/>
      <c r="BD132" s="1771"/>
      <c r="BE132" s="1771"/>
      <c r="BF132" s="1771"/>
      <c r="BG132" s="1771"/>
      <c r="BH132" s="1771"/>
      <c r="BI132" s="1771"/>
      <c r="BJ132" s="1771"/>
      <c r="BK132" s="1771"/>
      <c r="BL132" s="1771"/>
      <c r="BM132" s="1771"/>
      <c r="BN132" s="1771"/>
      <c r="BO132" s="1771"/>
      <c r="BP132" s="1771"/>
      <c r="BQ132" s="1771"/>
      <c r="BR132" s="1771"/>
      <c r="BS132" s="1771"/>
      <c r="BT132" s="1771"/>
      <c r="BU132" s="1771"/>
      <c r="BV132" s="1771"/>
      <c r="BW132" s="1771"/>
      <c r="BX132" s="1771"/>
      <c r="BY132" s="1771"/>
      <c r="BZ132" s="1771"/>
      <c r="CA132" s="1771"/>
      <c r="CB132" s="1771"/>
      <c r="CC132" s="1771"/>
      <c r="CD132" s="1771"/>
      <c r="CE132" s="1771"/>
      <c r="CF132" s="1771"/>
      <c r="CG132" s="1771"/>
    </row>
    <row r="133" spans="2:85" s="3142" customFormat="1" ht="20" customHeight="1" x14ac:dyDescent="0.2">
      <c r="B133" s="3920" t="str">
        <f>Languages!B661</f>
        <v>Total emissions, tCO2-e/ha/yr</v>
      </c>
      <c r="C133" s="3920"/>
      <c r="D133" s="3926">
        <f ca="1">IFERROR(D132/time_tot,0)</f>
        <v>362.82956375566056</v>
      </c>
      <c r="E133" s="3926">
        <f ca="1">IFERROR(E132/time_tot,0)</f>
        <v>368.49863243249433</v>
      </c>
      <c r="F133" s="3926">
        <f ca="1">IFERROR(F132/time_tot,0)</f>
        <v>5.6690686768337679</v>
      </c>
      <c r="G133" s="4491" t="s">
        <v>5204</v>
      </c>
      <c r="H133" s="3926">
        <f>IFERROR(H132/time_tot,0)</f>
        <v>-8.355304456999374E-2</v>
      </c>
      <c r="I133" s="3926">
        <f>IFERROR(I132/time_tot,0)</f>
        <v>5.253287456371611</v>
      </c>
      <c r="J133" s="3926">
        <f ca="1">IFERROR(J132/time_tot,0)</f>
        <v>2.2982975181598076E-2</v>
      </c>
      <c r="K133" s="3926">
        <f ca="1">IFERROR(K132/time_tot,0)</f>
        <v>0.28506326604676696</v>
      </c>
      <c r="L133" s="3926">
        <f>IFERROR(L132/time_tot,0)</f>
        <v>0.18268781978623228</v>
      </c>
      <c r="M133" s="3919"/>
      <c r="N133" s="3926"/>
      <c r="O133" s="3926"/>
      <c r="P133" s="3926"/>
      <c r="Z133" s="3920" t="str">
        <f>B133</f>
        <v>Total emissions, tCO2-e/ha/yr</v>
      </c>
      <c r="AA133" s="3920"/>
      <c r="AB133" s="3926"/>
      <c r="AC133" s="3926">
        <f t="shared" ref="AC133:AQ133" si="12">IFERROR(AC132/time_tot,0)</f>
        <v>338.67528400941615</v>
      </c>
      <c r="AD133" s="3926">
        <f t="shared" ca="1" si="12"/>
        <v>9.9053501286257409E-2</v>
      </c>
      <c r="AE133" s="3926">
        <f t="shared" ca="1" si="12"/>
        <v>1.7397294556488385</v>
      </c>
      <c r="AF133" s="3926">
        <f t="shared" si="12"/>
        <v>21.848691704563517</v>
      </c>
      <c r="AG133" s="3926">
        <f t="shared" ca="1" si="12"/>
        <v>362.36275867091473</v>
      </c>
      <c r="AH133" s="3926">
        <f t="shared" si="12"/>
        <v>343.84458684557438</v>
      </c>
      <c r="AI133" s="3926">
        <f t="shared" ca="1" si="12"/>
        <v>0.12203647646785548</v>
      </c>
      <c r="AJ133" s="3926">
        <f t="shared" ca="1" si="12"/>
        <v>2.0338245013566225</v>
      </c>
      <c r="AK133" s="3926">
        <f t="shared" si="12"/>
        <v>22.031379524349749</v>
      </c>
      <c r="AL133" s="3926">
        <f t="shared" ca="1" si="12"/>
        <v>368.03182734774856</v>
      </c>
      <c r="AM133" s="3926">
        <f t="shared" si="12"/>
        <v>5.1693028361581925</v>
      </c>
      <c r="AN133" s="3926">
        <f t="shared" ca="1" si="12"/>
        <v>2.2982975181598076E-2</v>
      </c>
      <c r="AO133" s="3926">
        <f t="shared" ca="1" si="12"/>
        <v>0.29409504570778394</v>
      </c>
      <c r="AP133" s="3926">
        <f t="shared" si="12"/>
        <v>0.18268781978623228</v>
      </c>
      <c r="AQ133" s="3926">
        <f t="shared" ca="1" si="12"/>
        <v>5.669068676833807</v>
      </c>
      <c r="AR133" s="4504"/>
      <c r="AY133" s="1771"/>
      <c r="AZ133" s="1771"/>
      <c r="BA133" s="1771"/>
      <c r="BB133" s="1771"/>
      <c r="BC133" s="1771"/>
      <c r="BD133" s="1771"/>
      <c r="BE133" s="1771"/>
      <c r="BF133" s="1771"/>
      <c r="BG133" s="1771"/>
      <c r="BH133" s="1771"/>
      <c r="BI133" s="1771"/>
      <c r="BJ133" s="1771"/>
      <c r="BK133" s="1771"/>
      <c r="BL133" s="1771"/>
      <c r="BM133" s="1771"/>
      <c r="BN133" s="1771"/>
      <c r="BO133" s="1771"/>
      <c r="BP133" s="1771"/>
      <c r="BQ133" s="1771"/>
      <c r="BR133" s="1771"/>
      <c r="BS133" s="1771"/>
      <c r="BT133" s="1771"/>
      <c r="BU133" s="1771"/>
      <c r="BV133" s="1771"/>
      <c r="BW133" s="1771"/>
      <c r="BX133" s="1771"/>
      <c r="BY133" s="1771"/>
      <c r="BZ133" s="1771"/>
      <c r="CA133" s="1771"/>
      <c r="CB133" s="1771"/>
      <c r="CC133" s="1771"/>
      <c r="CD133" s="1771"/>
      <c r="CE133" s="1771"/>
      <c r="CF133" s="1771"/>
      <c r="CG133" s="1771"/>
    </row>
    <row r="134" spans="2:85" ht="19" x14ac:dyDescent="0.2">
      <c r="B134" s="3932" t="str">
        <f>Languages!B662</f>
        <v>+ = Source / - = Sink</v>
      </c>
      <c r="C134" s="1965"/>
      <c r="D134" s="3883"/>
      <c r="E134" s="3883"/>
      <c r="F134" s="3883"/>
      <c r="G134" s="4491" t="s">
        <v>5207</v>
      </c>
      <c r="H134" s="3883"/>
      <c r="I134" s="3883"/>
      <c r="J134" s="3883"/>
      <c r="K134" s="3883"/>
      <c r="L134" s="3883"/>
      <c r="M134" s="3883"/>
      <c r="N134" s="3883"/>
      <c r="O134" s="3883"/>
      <c r="P134" s="3883"/>
      <c r="Z134" s="3920"/>
      <c r="AR134" s="4504"/>
      <c r="AS134" s="4504"/>
    </row>
    <row r="135" spans="2:85" x14ac:dyDescent="0.2">
      <c r="B135" s="3489" t="str">
        <f>Languages!B663</f>
        <v>Results presented here include GHG fluxes on mineral and organic soils</v>
      </c>
      <c r="G135" s="4492" t="s">
        <v>5208</v>
      </c>
      <c r="N135" s="3996" t="str">
        <f>Languages!B707</f>
        <v>Uncertainty level</v>
      </c>
      <c r="O135" s="4081" t="str">
        <f>Languages!B708</f>
        <v>tCO2-e/yr</v>
      </c>
      <c r="P135" s="4081" t="str">
        <f>Languages!B709</f>
        <v>Percent</v>
      </c>
      <c r="AO135" s="4504"/>
      <c r="AP135" s="4504"/>
      <c r="AQ135" s="4504"/>
      <c r="AR135" s="4504"/>
    </row>
    <row r="136" spans="2:85" x14ac:dyDescent="0.2">
      <c r="B136" s="3489" t="str">
        <f>Languages!B664</f>
        <v>See further down for detailed results on organic soils</v>
      </c>
      <c r="G136" s="4492" t="s">
        <v>5208</v>
      </c>
      <c r="N136" s="3999" t="str">
        <f>D116</f>
        <v>WITHOUT</v>
      </c>
      <c r="O136" s="3997">
        <f ca="1">N131</f>
        <v>513766.6622780154</v>
      </c>
      <c r="P136" s="3998">
        <f ca="1">BALANCE!U135</f>
        <v>0.49282298630719368</v>
      </c>
      <c r="AO136" s="4504"/>
      <c r="AP136" s="4504"/>
      <c r="AQ136" s="4504"/>
      <c r="AR136" s="4504"/>
    </row>
    <row r="137" spans="2:85" ht="15" customHeight="1" x14ac:dyDescent="0.2">
      <c r="B137" s="3489" t="str">
        <f>Languages!B665</f>
        <v>* Includes fisheries, acquaculture and inputs &amp; investments that are not included in the AFOLU definition.</v>
      </c>
      <c r="G137" s="4492" t="s">
        <v>5208</v>
      </c>
      <c r="N137" s="3999" t="str">
        <f>E116</f>
        <v>WITH</v>
      </c>
      <c r="O137" s="3997">
        <f ca="1">O131</f>
        <v>521794.06352441205</v>
      </c>
      <c r="P137" s="3998">
        <f ca="1">BALANCE!U164</f>
        <v>0.49286885369694622</v>
      </c>
    </row>
    <row r="138" spans="2:85" x14ac:dyDescent="0.2">
      <c r="G138" s="4492" t="s">
        <v>5208</v>
      </c>
      <c r="N138" s="3999" t="str">
        <f>F116</f>
        <v>BALANCE</v>
      </c>
      <c r="O138" s="3997">
        <f ca="1">P131</f>
        <v>8027.4012463966319</v>
      </c>
      <c r="P138" s="3998">
        <f ca="1">BALANCE!U107</f>
        <v>0.48993111967388486</v>
      </c>
    </row>
    <row r="139" spans="2:85" ht="15" customHeight="1" x14ac:dyDescent="0.2">
      <c r="BW139" s="1965"/>
      <c r="BX139" s="1965"/>
      <c r="BY139" s="1965"/>
      <c r="BZ139" s="1965"/>
      <c r="CA139" s="1965"/>
      <c r="CB139" s="1965"/>
      <c r="CC139" s="1965"/>
      <c r="CD139" s="1965"/>
      <c r="CE139" s="1965"/>
      <c r="CF139" s="1965"/>
      <c r="CG139" s="1965"/>
    </row>
    <row r="140" spans="2:85" ht="15" customHeight="1" x14ac:dyDescent="0.2">
      <c r="BW140" s="1965"/>
      <c r="BX140" s="1965"/>
      <c r="BY140" s="1965"/>
      <c r="BZ140" s="1965"/>
      <c r="CA140" s="1965"/>
      <c r="CB140" s="1965"/>
      <c r="CC140" s="1965"/>
      <c r="CD140" s="1965"/>
      <c r="CE140" s="1965"/>
      <c r="CF140" s="1965"/>
      <c r="CG140" s="1965"/>
    </row>
    <row r="141" spans="2:85" ht="15" customHeight="1" x14ac:dyDescent="0.2">
      <c r="BW141" s="1965"/>
      <c r="BX141" s="1965"/>
      <c r="BY141" s="1965"/>
      <c r="BZ141" s="1965"/>
      <c r="CA141" s="1965"/>
      <c r="CB141" s="1965"/>
      <c r="CC141" s="1965"/>
      <c r="CD141" s="1965"/>
      <c r="CE141" s="1965"/>
      <c r="CF141" s="1965"/>
      <c r="CG141" s="1965"/>
    </row>
    <row r="142" spans="2:85" ht="16" x14ac:dyDescent="0.2">
      <c r="BW142" s="1965"/>
      <c r="BX142" s="1965"/>
      <c r="BY142" s="1965"/>
      <c r="BZ142" s="1965"/>
      <c r="CA142" s="1965"/>
      <c r="CB142" s="1965"/>
      <c r="CC142" s="1965"/>
      <c r="CD142" s="1965"/>
      <c r="CE142" s="1965"/>
      <c r="CF142" s="1965"/>
      <c r="CG142" s="1965"/>
    </row>
    <row r="143" spans="2:85" ht="87.75" customHeight="1" x14ac:dyDescent="0.2">
      <c r="BW143" s="1965"/>
      <c r="BX143" s="1965"/>
      <c r="BY143" s="1965"/>
      <c r="BZ143" s="1965"/>
      <c r="CA143" s="1965"/>
      <c r="CB143" s="1965"/>
      <c r="CC143" s="1965"/>
      <c r="CD143" s="1965"/>
      <c r="CE143" s="1965"/>
      <c r="CF143" s="1965"/>
      <c r="CG143" s="1965"/>
    </row>
    <row r="144" spans="2:85" ht="63.75" customHeight="1" x14ac:dyDescent="0.2">
      <c r="BW144" s="1965"/>
      <c r="BX144" s="1965"/>
      <c r="BY144" s="1965"/>
      <c r="BZ144" s="1965"/>
      <c r="CA144" s="1965"/>
      <c r="CB144" s="1965"/>
      <c r="CC144" s="1965"/>
      <c r="CD144" s="1965"/>
      <c r="CE144" s="1965"/>
      <c r="CF144" s="1965"/>
      <c r="CG144" s="1965"/>
    </row>
    <row r="145" spans="2:85" ht="84.75" customHeight="1" x14ac:dyDescent="0.2">
      <c r="B145" s="4609" t="str">
        <f>Languages!B680</f>
        <v>DETAILED MATRIX OF CHANGES FOR MINERAL SOILS</v>
      </c>
      <c r="C145" s="4609"/>
      <c r="D145" s="4609"/>
      <c r="E145" s="4609"/>
      <c r="F145" s="4609"/>
      <c r="G145" s="4609"/>
      <c r="H145" s="4609"/>
      <c r="I145" s="4609"/>
      <c r="J145" s="4609"/>
      <c r="K145" s="4609"/>
      <c r="L145" s="4609"/>
      <c r="M145" s="4609"/>
      <c r="N145" s="4609"/>
      <c r="O145" s="4609"/>
      <c r="P145" s="4609"/>
      <c r="Q145" s="4609"/>
      <c r="BW145" s="1965"/>
      <c r="BX145" s="1965"/>
      <c r="BY145" s="1965"/>
      <c r="BZ145" s="1965"/>
      <c r="CA145" s="1965"/>
      <c r="CB145" s="1965"/>
      <c r="CC145" s="1965"/>
      <c r="CD145" s="1965"/>
      <c r="CE145" s="1965"/>
      <c r="CF145" s="1965"/>
      <c r="CG145" s="1965"/>
    </row>
    <row r="146" spans="2:85" ht="57.75" customHeight="1" x14ac:dyDescent="0.2">
      <c r="AS146" s="4504">
        <f ca="1">N305-F131</f>
        <v>8.2945916801691055E-10</v>
      </c>
    </row>
    <row r="147" spans="2:85" ht="87.75" customHeight="1" x14ac:dyDescent="0.2"/>
    <row r="148" spans="2:85" ht="63" customHeight="1" x14ac:dyDescent="0.2">
      <c r="B148" s="4607" t="str">
        <f>Languages!B681</f>
        <v>WITHOUT PROJECT</v>
      </c>
      <c r="C148" s="4608"/>
      <c r="D148" s="3955" t="str">
        <f>Languages!B692</f>
        <v>Forest</v>
      </c>
      <c r="E148" s="3955" t="str">
        <f>Languages!B693</f>
        <v>Annual</v>
      </c>
      <c r="F148" s="3955" t="str">
        <f>Languages!B694</f>
        <v>Perennial</v>
      </c>
      <c r="G148" s="4607" t="str">
        <f>Languages!B695</f>
        <v>Flooded rice</v>
      </c>
      <c r="H148" s="4608"/>
      <c r="I148" s="3955" t="str">
        <f>Languages!B696</f>
        <v>Grassland</v>
      </c>
      <c r="J148" s="3955" t="str">
        <f>Languages!B697</f>
        <v>Degraded land</v>
      </c>
      <c r="K148" s="3955" t="str">
        <f>Languages!B698</f>
        <v>Other land</v>
      </c>
      <c r="L148" s="3955" t="str">
        <f>J107</f>
        <v>Total area (ha)</v>
      </c>
      <c r="O148" s="4512" t="str">
        <f t="shared" ref="O148:P151" si="13">J107</f>
        <v>Total area (ha)</v>
      </c>
      <c r="P148" s="3953">
        <f t="shared" si="13"/>
        <v>1416</v>
      </c>
      <c r="BW148" s="1969"/>
      <c r="BX148" s="1969"/>
      <c r="BY148" s="1969"/>
      <c r="BZ148" s="1969"/>
      <c r="CA148" s="1969"/>
      <c r="CB148" s="1969"/>
      <c r="CC148" s="1969"/>
      <c r="CD148" s="1969"/>
      <c r="CE148" s="1969"/>
      <c r="CF148" s="1969"/>
      <c r="CG148" s="1969"/>
    </row>
    <row r="149" spans="2:85" ht="22.25" customHeight="1" x14ac:dyDescent="0.2">
      <c r="B149" s="3142" t="str">
        <f>Languages!B682</f>
        <v>Forest</v>
      </c>
      <c r="C149" s="1969"/>
      <c r="D149" s="4293">
        <f>Matrix!I7</f>
        <v>0</v>
      </c>
      <c r="E149" s="4069">
        <f>Matrix!J7</f>
        <v>0</v>
      </c>
      <c r="F149" s="4069">
        <f>Matrix!K7</f>
        <v>0</v>
      </c>
      <c r="G149" s="4618">
        <f>Matrix!L7</f>
        <v>0</v>
      </c>
      <c r="H149" s="4619"/>
      <c r="I149" s="4069">
        <f>Matrix!M7</f>
        <v>0</v>
      </c>
      <c r="J149" s="4069">
        <f>Matrix!N7</f>
        <v>0</v>
      </c>
      <c r="K149" s="4069">
        <f>Matrix!O7</f>
        <v>0</v>
      </c>
      <c r="L149" s="4060">
        <f>Matrix!P7</f>
        <v>0</v>
      </c>
      <c r="O149" s="3885" t="str">
        <f t="shared" si="13"/>
        <v>Mineral soil</v>
      </c>
      <c r="P149" s="3947">
        <f t="shared" si="13"/>
        <v>723</v>
      </c>
    </row>
    <row r="150" spans="2:85" ht="22.25" customHeight="1" x14ac:dyDescent="0.2">
      <c r="B150" s="3142" t="str">
        <f>Languages!B683</f>
        <v>Annual cropland</v>
      </c>
      <c r="C150" s="1969"/>
      <c r="D150" s="4066">
        <f>Matrix!I8</f>
        <v>0</v>
      </c>
      <c r="E150" s="4068">
        <f>Matrix!J8</f>
        <v>150</v>
      </c>
      <c r="F150" s="3951">
        <f>Matrix!K8</f>
        <v>0</v>
      </c>
      <c r="G150" s="4612">
        <f>Matrix!L8</f>
        <v>0</v>
      </c>
      <c r="H150" s="4613"/>
      <c r="I150" s="3951">
        <f>Matrix!M8</f>
        <v>0</v>
      </c>
      <c r="J150" s="3951">
        <f>Matrix!N8</f>
        <v>0</v>
      </c>
      <c r="K150" s="3951">
        <f>Matrix!O8</f>
        <v>0</v>
      </c>
      <c r="L150" s="4062">
        <f>Matrix!P8</f>
        <v>150</v>
      </c>
      <c r="O150" s="3885" t="str">
        <f t="shared" si="13"/>
        <v>Organic soil</v>
      </c>
      <c r="P150" s="3947">
        <f t="shared" si="13"/>
        <v>600</v>
      </c>
      <c r="BW150" s="3142"/>
      <c r="BX150" s="3142"/>
      <c r="BY150" s="3142"/>
      <c r="BZ150" s="3142"/>
      <c r="CA150" s="3142"/>
      <c r="CB150" s="3142"/>
      <c r="CC150" s="3142"/>
      <c r="CD150" s="3142"/>
      <c r="CE150" s="3142"/>
      <c r="CF150" s="3142"/>
      <c r="CG150" s="3142"/>
    </row>
    <row r="151" spans="2:85" ht="22.25" customHeight="1" x14ac:dyDescent="0.2">
      <c r="B151" s="3142" t="str">
        <f>Languages!B684</f>
        <v>Agroforestry</v>
      </c>
      <c r="C151" s="1969"/>
      <c r="D151" s="4066">
        <f>Matrix!I9</f>
        <v>0</v>
      </c>
      <c r="E151" s="3951">
        <f>Matrix!J9</f>
        <v>0</v>
      </c>
      <c r="F151" s="4068">
        <f>Matrix!K9</f>
        <v>88</v>
      </c>
      <c r="G151" s="4612">
        <f>Matrix!L9</f>
        <v>0</v>
      </c>
      <c r="H151" s="4613"/>
      <c r="I151" s="3951">
        <f>Matrix!M9</f>
        <v>0</v>
      </c>
      <c r="J151" s="3951">
        <f>Matrix!N9</f>
        <v>0</v>
      </c>
      <c r="K151" s="3951">
        <f>Matrix!O9</f>
        <v>0</v>
      </c>
      <c r="L151" s="4062">
        <f>Matrix!P9</f>
        <v>88</v>
      </c>
      <c r="O151" s="3885" t="str">
        <f t="shared" si="13"/>
        <v>Waterbodies</v>
      </c>
      <c r="P151" s="3947">
        <f t="shared" si="13"/>
        <v>93</v>
      </c>
      <c r="BW151" s="3142"/>
      <c r="BX151" s="3142"/>
      <c r="BY151" s="3142"/>
      <c r="BZ151" s="3142"/>
      <c r="CA151" s="3142"/>
      <c r="CB151" s="3142"/>
      <c r="CC151" s="3142"/>
      <c r="CD151" s="3142"/>
      <c r="CE151" s="3142"/>
      <c r="CF151" s="3142"/>
      <c r="CG151" s="3142"/>
    </row>
    <row r="152" spans="2:85" ht="22.25" customHeight="1" x14ac:dyDescent="0.2">
      <c r="B152" s="3142" t="str">
        <f>Languages!B685</f>
        <v>Flooded rice</v>
      </c>
      <c r="C152" s="1969"/>
      <c r="D152" s="4066">
        <f>Matrix!I10</f>
        <v>0</v>
      </c>
      <c r="E152" s="3951">
        <f>Matrix!J10</f>
        <v>0</v>
      </c>
      <c r="F152" s="3951">
        <f>Matrix!K10</f>
        <v>0</v>
      </c>
      <c r="G152" s="4620">
        <f>Matrix!L10</f>
        <v>0</v>
      </c>
      <c r="H152" s="4621"/>
      <c r="I152" s="3951">
        <f>Matrix!M10</f>
        <v>0</v>
      </c>
      <c r="J152" s="3951">
        <f>Matrix!N10</f>
        <v>0</v>
      </c>
      <c r="K152" s="3951">
        <f>Matrix!O10</f>
        <v>0</v>
      </c>
      <c r="L152" s="4062">
        <f>Matrix!P10</f>
        <v>0</v>
      </c>
      <c r="BW152" s="3142"/>
      <c r="BX152" s="3142"/>
      <c r="BY152" s="3142"/>
      <c r="BZ152" s="3142"/>
      <c r="CA152" s="3142"/>
      <c r="CB152" s="3142"/>
      <c r="CC152" s="3142"/>
      <c r="CD152" s="3142"/>
      <c r="CE152" s="3142"/>
      <c r="CF152" s="3142"/>
      <c r="CG152" s="3142"/>
    </row>
    <row r="153" spans="2:85" ht="22.25" customHeight="1" x14ac:dyDescent="0.2">
      <c r="B153" s="3142" t="str">
        <f>Languages!B686</f>
        <v>Grassland</v>
      </c>
      <c r="C153" s="1969"/>
      <c r="D153" s="4066">
        <f>Matrix!I11</f>
        <v>0</v>
      </c>
      <c r="E153" s="3951">
        <f>Matrix!J11</f>
        <v>150</v>
      </c>
      <c r="F153" s="3951">
        <f>Matrix!K11</f>
        <v>0</v>
      </c>
      <c r="G153" s="4612">
        <f>Matrix!L11</f>
        <v>0</v>
      </c>
      <c r="H153" s="4613"/>
      <c r="I153" s="4068">
        <f>Matrix!M11</f>
        <v>300</v>
      </c>
      <c r="J153" s="3951">
        <f>Matrix!N11</f>
        <v>0</v>
      </c>
      <c r="K153" s="3951">
        <f>Matrix!O11</f>
        <v>0</v>
      </c>
      <c r="L153" s="4062">
        <f>Matrix!P11</f>
        <v>450</v>
      </c>
      <c r="BW153" s="3142"/>
      <c r="BX153" s="3142"/>
      <c r="BY153" s="3142"/>
      <c r="BZ153" s="3142"/>
      <c r="CA153" s="3142"/>
      <c r="CB153" s="3142"/>
      <c r="CC153" s="3142"/>
      <c r="CD153" s="3142"/>
      <c r="CE153" s="3142"/>
      <c r="CF153" s="3142"/>
      <c r="CG153" s="3142"/>
    </row>
    <row r="154" spans="2:85" ht="22.25" customHeight="1" x14ac:dyDescent="0.2">
      <c r="B154" s="3142" t="str">
        <f>Languages!B687</f>
        <v>Degraded land</v>
      </c>
      <c r="C154" s="1969"/>
      <c r="D154" s="4066">
        <f>Matrix!I12</f>
        <v>0</v>
      </c>
      <c r="E154" s="3951">
        <f>Matrix!J12</f>
        <v>0</v>
      </c>
      <c r="F154" s="3951">
        <f>Matrix!K12</f>
        <v>0</v>
      </c>
      <c r="G154" s="4612">
        <f>Matrix!L12</f>
        <v>0</v>
      </c>
      <c r="H154" s="4613"/>
      <c r="I154" s="3951">
        <f>Matrix!M12</f>
        <v>0</v>
      </c>
      <c r="J154" s="4068">
        <f>Matrix!N12</f>
        <v>0</v>
      </c>
      <c r="K154" s="3951">
        <f>Matrix!O12</f>
        <v>0</v>
      </c>
      <c r="L154" s="4062">
        <f>Matrix!P12</f>
        <v>0</v>
      </c>
      <c r="BW154" s="3142"/>
      <c r="BX154" s="3142"/>
      <c r="BY154" s="3142"/>
      <c r="BZ154" s="3142"/>
      <c r="CA154" s="3142"/>
      <c r="CB154" s="3142"/>
      <c r="CC154" s="3142"/>
      <c r="CD154" s="3142"/>
      <c r="CE154" s="3142"/>
      <c r="CF154" s="3142"/>
      <c r="CG154" s="3142"/>
    </row>
    <row r="155" spans="2:85" ht="16" x14ac:dyDescent="0.2">
      <c r="B155" s="3142" t="str">
        <f>Languages!B688</f>
        <v>Other land</v>
      </c>
      <c r="C155" s="1969"/>
      <c r="D155" s="4066">
        <f>Matrix!I13</f>
        <v>0</v>
      </c>
      <c r="E155" s="3951">
        <f>Matrix!J13</f>
        <v>0</v>
      </c>
      <c r="F155" s="3951">
        <f>Matrix!K13</f>
        <v>0</v>
      </c>
      <c r="G155" s="4612">
        <f>Matrix!L13</f>
        <v>0</v>
      </c>
      <c r="H155" s="4613"/>
      <c r="I155" s="3951">
        <f>Matrix!M13</f>
        <v>0</v>
      </c>
      <c r="J155" s="3951">
        <f>Matrix!N13</f>
        <v>0</v>
      </c>
      <c r="K155" s="4068">
        <f>Matrix!O13</f>
        <v>128</v>
      </c>
      <c r="L155" s="4062">
        <f>Matrix!P13</f>
        <v>128</v>
      </c>
      <c r="BW155" s="3142"/>
      <c r="BX155" s="3142"/>
      <c r="BY155" s="3142"/>
      <c r="BZ155" s="3142"/>
      <c r="CA155" s="3142"/>
      <c r="CB155" s="3142"/>
      <c r="CC155" s="3142"/>
      <c r="CD155" s="3142"/>
      <c r="CE155" s="3142"/>
      <c r="CF155" s="3142"/>
      <c r="CG155" s="3142"/>
    </row>
    <row r="156" spans="2:85" ht="16" x14ac:dyDescent="0.2">
      <c r="B156" s="3952" t="str">
        <f>Languages!B689</f>
        <v>Total area without project (ha)</v>
      </c>
      <c r="C156" s="1969"/>
      <c r="D156" s="4292">
        <f>Matrix!I14</f>
        <v>0</v>
      </c>
      <c r="E156" s="4063">
        <f>Matrix!J14</f>
        <v>300</v>
      </c>
      <c r="F156" s="4063">
        <f>Matrix!K14</f>
        <v>88</v>
      </c>
      <c r="G156" s="4630">
        <f>Matrix!L14</f>
        <v>0</v>
      </c>
      <c r="H156" s="4631"/>
      <c r="I156" s="4063">
        <f>Matrix!M14</f>
        <v>300</v>
      </c>
      <c r="J156" s="4063">
        <f>Matrix!N14</f>
        <v>0</v>
      </c>
      <c r="K156" s="4063">
        <f>Matrix!O14</f>
        <v>128</v>
      </c>
      <c r="L156" s="4291">
        <f>Matrix!P14</f>
        <v>816</v>
      </c>
      <c r="BW156" s="3142"/>
      <c r="BX156" s="3142"/>
      <c r="BY156" s="3142"/>
      <c r="BZ156" s="3142"/>
      <c r="CA156" s="3142"/>
      <c r="CB156" s="3142"/>
      <c r="CC156" s="3142"/>
      <c r="CD156" s="3142"/>
      <c r="CE156" s="3142"/>
      <c r="CF156" s="3142"/>
      <c r="CG156" s="3142"/>
    </row>
    <row r="157" spans="2:85" ht="33" customHeight="1" x14ac:dyDescent="0.2">
      <c r="W157" s="3907"/>
      <c r="X157" s="3907"/>
      <c r="Y157" s="3907"/>
      <c r="BW157" s="3142"/>
      <c r="BX157" s="3142"/>
      <c r="BY157" s="3142"/>
      <c r="BZ157" s="3142"/>
      <c r="CA157" s="3142"/>
      <c r="CB157" s="3142"/>
      <c r="CC157" s="3142"/>
      <c r="CD157" s="3142"/>
      <c r="CE157" s="3142"/>
      <c r="CF157" s="3142"/>
      <c r="CG157" s="3142"/>
    </row>
    <row r="158" spans="2:85" ht="22.25" customHeight="1" x14ac:dyDescent="0.2">
      <c r="W158" s="3907"/>
      <c r="X158" s="3907"/>
      <c r="Y158" s="3907"/>
      <c r="BW158" s="3142"/>
      <c r="BX158" s="3142"/>
      <c r="BY158" s="3142"/>
      <c r="BZ158" s="3142"/>
      <c r="CA158" s="3142"/>
      <c r="CB158" s="3142"/>
      <c r="CC158" s="3142"/>
      <c r="CD158" s="3142"/>
      <c r="CE158" s="3142"/>
      <c r="CF158" s="3142"/>
      <c r="CG158" s="3142"/>
    </row>
    <row r="159" spans="2:85" ht="22.25" customHeight="1" x14ac:dyDescent="0.2">
      <c r="B159" s="4508" t="str">
        <f>Languages!B690</f>
        <v>WITH PROJECT</v>
      </c>
      <c r="C159" s="4509"/>
      <c r="D159" s="3955" t="str">
        <f>D148</f>
        <v>Forest</v>
      </c>
      <c r="E159" s="3955" t="str">
        <f>E148</f>
        <v>Annual</v>
      </c>
      <c r="F159" s="3955" t="str">
        <f>F148</f>
        <v>Perennial</v>
      </c>
      <c r="G159" s="4607" t="str">
        <f>G148</f>
        <v>Flooded rice</v>
      </c>
      <c r="H159" s="4608"/>
      <c r="I159" s="3955" t="str">
        <f>I148</f>
        <v>Grassland</v>
      </c>
      <c r="J159" s="3955" t="str">
        <f>J148</f>
        <v>Degraded land</v>
      </c>
      <c r="K159" s="3955" t="str">
        <f>K148</f>
        <v>Other land</v>
      </c>
      <c r="L159" s="3955" t="str">
        <f>L148</f>
        <v>Total area (ha)</v>
      </c>
      <c r="W159" s="3907"/>
      <c r="X159" s="3907"/>
      <c r="Y159" s="3907"/>
      <c r="Z159" s="3907"/>
      <c r="AA159" s="3907"/>
      <c r="AB159" s="3907"/>
      <c r="BW159" s="3142"/>
      <c r="BX159" s="3142"/>
      <c r="BY159" s="3142"/>
      <c r="BZ159" s="3142"/>
      <c r="CA159" s="3142"/>
      <c r="CB159" s="3142"/>
      <c r="CC159" s="3142"/>
      <c r="CD159" s="3142"/>
      <c r="CE159" s="3142"/>
      <c r="CF159" s="3142"/>
      <c r="CG159" s="3142"/>
    </row>
    <row r="160" spans="2:85" ht="22.25" customHeight="1" x14ac:dyDescent="0.2">
      <c r="B160" s="3142" t="str">
        <f t="shared" ref="B160:B166" si="14">B149</f>
        <v>Forest</v>
      </c>
      <c r="C160" s="1969"/>
      <c r="D160" s="4293">
        <f>Matrix!I24</f>
        <v>0</v>
      </c>
      <c r="E160" s="4293">
        <f>Matrix!J24</f>
        <v>0</v>
      </c>
      <c r="F160" s="4293">
        <f>Matrix!K24</f>
        <v>0</v>
      </c>
      <c r="G160" s="4614">
        <f>Matrix!L24</f>
        <v>0</v>
      </c>
      <c r="H160" s="4615"/>
      <c r="I160" s="4293">
        <f>Matrix!M24</f>
        <v>0</v>
      </c>
      <c r="J160" s="4293">
        <f>Matrix!N24</f>
        <v>0</v>
      </c>
      <c r="K160" s="4293">
        <f>Matrix!O24</f>
        <v>0</v>
      </c>
      <c r="L160" s="4059">
        <f>Matrix!P24</f>
        <v>0</v>
      </c>
      <c r="W160" s="3907"/>
      <c r="X160" s="3907"/>
      <c r="Y160" s="3907"/>
      <c r="Z160" s="3907"/>
      <c r="AA160" s="3907"/>
      <c r="AB160" s="3907"/>
      <c r="AC160" s="3907"/>
      <c r="AD160" s="3907"/>
      <c r="BW160" s="3142"/>
      <c r="BX160" s="3142"/>
      <c r="BY160" s="3142"/>
      <c r="BZ160" s="3142"/>
      <c r="CA160" s="3142"/>
      <c r="CB160" s="3142"/>
      <c r="CC160" s="3142"/>
      <c r="CD160" s="3142"/>
      <c r="CE160" s="3142"/>
      <c r="CF160" s="3142"/>
      <c r="CG160" s="3142"/>
    </row>
    <row r="161" spans="2:85" ht="22.25" customHeight="1" x14ac:dyDescent="0.2">
      <c r="B161" s="3142" t="str">
        <f t="shared" si="14"/>
        <v>Annual cropland</v>
      </c>
      <c r="C161" s="1969"/>
      <c r="D161" s="4065">
        <f>Matrix!I25</f>
        <v>0</v>
      </c>
      <c r="E161" s="4067">
        <f>Matrix!J25</f>
        <v>150</v>
      </c>
      <c r="F161" s="3950">
        <f>Matrix!K25</f>
        <v>0</v>
      </c>
      <c r="G161" s="4610">
        <f>Matrix!L25</f>
        <v>0</v>
      </c>
      <c r="H161" s="4611"/>
      <c r="I161" s="3950">
        <f>Matrix!M25</f>
        <v>0</v>
      </c>
      <c r="J161" s="3950">
        <f>Matrix!N25</f>
        <v>0</v>
      </c>
      <c r="K161" s="3950">
        <f>Matrix!O25</f>
        <v>0</v>
      </c>
      <c r="L161" s="4061">
        <f>Matrix!P25</f>
        <v>150</v>
      </c>
      <c r="W161" s="3907"/>
      <c r="X161" s="3907"/>
      <c r="Y161" s="3907"/>
      <c r="Z161" s="3907"/>
      <c r="AA161" s="3907"/>
      <c r="AB161" s="3907"/>
      <c r="AC161" s="3907"/>
      <c r="AD161" s="3907"/>
      <c r="BW161" s="3142"/>
      <c r="BX161" s="3142"/>
      <c r="BY161" s="3142"/>
      <c r="BZ161" s="3142"/>
      <c r="CA161" s="3142"/>
      <c r="CB161" s="3142"/>
      <c r="CC161" s="3142"/>
      <c r="CD161" s="3142"/>
      <c r="CE161" s="3142"/>
      <c r="CF161" s="3142"/>
      <c r="CG161" s="3142"/>
    </row>
    <row r="162" spans="2:85" ht="22.25" customHeight="1" x14ac:dyDescent="0.2">
      <c r="B162" s="3142" t="str">
        <f t="shared" si="14"/>
        <v>Agroforestry</v>
      </c>
      <c r="C162" s="1969"/>
      <c r="D162" s="4065">
        <f>Matrix!I26</f>
        <v>0</v>
      </c>
      <c r="E162" s="3950">
        <f>Matrix!J26</f>
        <v>0</v>
      </c>
      <c r="F162" s="4067">
        <f>Matrix!K26</f>
        <v>88</v>
      </c>
      <c r="G162" s="4610">
        <f>Matrix!L26</f>
        <v>0</v>
      </c>
      <c r="H162" s="4611"/>
      <c r="I162" s="3950">
        <f>Matrix!M26</f>
        <v>0</v>
      </c>
      <c r="J162" s="3950">
        <f>Matrix!N26</f>
        <v>0</v>
      </c>
      <c r="K162" s="3950">
        <f>Matrix!O26</f>
        <v>0</v>
      </c>
      <c r="L162" s="4061">
        <f>Matrix!P26</f>
        <v>88</v>
      </c>
      <c r="W162" s="3907"/>
      <c r="X162" s="3907"/>
      <c r="Y162" s="3907"/>
      <c r="Z162" s="3907"/>
      <c r="AA162" s="3907"/>
      <c r="AB162" s="3907"/>
      <c r="AC162" s="3907"/>
      <c r="AD162" s="3907"/>
      <c r="BW162" s="3142"/>
      <c r="BX162" s="3142"/>
      <c r="BY162" s="3142"/>
      <c r="BZ162" s="3142"/>
      <c r="CA162" s="3142"/>
      <c r="CB162" s="3142"/>
      <c r="CC162" s="3142"/>
      <c r="CD162" s="3142"/>
      <c r="CE162" s="3142"/>
      <c r="CF162" s="3142"/>
      <c r="CG162" s="3142"/>
    </row>
    <row r="163" spans="2:85" ht="22.25" customHeight="1" x14ac:dyDescent="0.2">
      <c r="B163" s="3142" t="str">
        <f t="shared" si="14"/>
        <v>Flooded rice</v>
      </c>
      <c r="C163" s="1969"/>
      <c r="D163" s="4065">
        <f>Matrix!I27</f>
        <v>0</v>
      </c>
      <c r="E163" s="3950">
        <f>Matrix!J27</f>
        <v>0</v>
      </c>
      <c r="F163" s="3950">
        <f>Matrix!K27</f>
        <v>0</v>
      </c>
      <c r="G163" s="4632">
        <f>Matrix!L27</f>
        <v>0</v>
      </c>
      <c r="H163" s="4633"/>
      <c r="I163" s="3950">
        <f>Matrix!M27</f>
        <v>0</v>
      </c>
      <c r="J163" s="3950">
        <f>Matrix!N27</f>
        <v>0</v>
      </c>
      <c r="K163" s="3950">
        <f>Matrix!O27</f>
        <v>0</v>
      </c>
      <c r="L163" s="4061">
        <f>Matrix!P27</f>
        <v>0</v>
      </c>
      <c r="Z163" s="3907"/>
      <c r="AA163" s="3907"/>
      <c r="AB163" s="3907"/>
      <c r="AC163" s="3907"/>
      <c r="AD163" s="3907"/>
      <c r="BW163" s="1969"/>
      <c r="BX163" s="1969"/>
      <c r="BY163" s="1969"/>
      <c r="BZ163" s="1969"/>
      <c r="CA163" s="1969"/>
      <c r="CB163" s="1969"/>
      <c r="CC163" s="1969"/>
      <c r="CD163" s="1969"/>
      <c r="CE163" s="1969"/>
      <c r="CF163" s="1969"/>
      <c r="CG163" s="1969"/>
    </row>
    <row r="164" spans="2:85" ht="22.25" customHeight="1" x14ac:dyDescent="0.2">
      <c r="B164" s="3142" t="str">
        <f t="shared" si="14"/>
        <v>Grassland</v>
      </c>
      <c r="C164" s="1969"/>
      <c r="D164" s="4065">
        <f>Matrix!I28</f>
        <v>0</v>
      </c>
      <c r="E164" s="3950">
        <f>Matrix!J28</f>
        <v>150</v>
      </c>
      <c r="F164" s="3950">
        <f>Matrix!K28</f>
        <v>0</v>
      </c>
      <c r="G164" s="4610">
        <f>Matrix!L28</f>
        <v>0</v>
      </c>
      <c r="H164" s="4611"/>
      <c r="I164" s="4067">
        <f>Matrix!M28</f>
        <v>300</v>
      </c>
      <c r="J164" s="3950">
        <f>Matrix!N28</f>
        <v>0</v>
      </c>
      <c r="K164" s="3950">
        <f>Matrix!O28</f>
        <v>0</v>
      </c>
      <c r="L164" s="4061">
        <f>Matrix!P28</f>
        <v>450</v>
      </c>
      <c r="Z164" s="3907"/>
      <c r="AA164" s="3907"/>
      <c r="AB164" s="3907"/>
      <c r="AC164" s="3907"/>
      <c r="AD164" s="3907"/>
      <c r="BW164" s="3142"/>
      <c r="BX164" s="3142"/>
      <c r="BY164" s="3142"/>
      <c r="BZ164" s="3142"/>
      <c r="CA164" s="3142"/>
      <c r="CB164" s="3142"/>
      <c r="CC164" s="3142"/>
      <c r="CD164" s="3142"/>
      <c r="CE164" s="3142"/>
      <c r="CF164" s="3142"/>
      <c r="CG164" s="3142"/>
    </row>
    <row r="165" spans="2:85" ht="22.25" customHeight="1" x14ac:dyDescent="0.2">
      <c r="B165" s="3142" t="str">
        <f t="shared" si="14"/>
        <v>Degraded land</v>
      </c>
      <c r="C165" s="1969"/>
      <c r="D165" s="4065">
        <f>Matrix!I29</f>
        <v>0</v>
      </c>
      <c r="E165" s="3950">
        <f>Matrix!J29</f>
        <v>0</v>
      </c>
      <c r="F165" s="3950">
        <f>Matrix!K29</f>
        <v>0</v>
      </c>
      <c r="G165" s="4610">
        <f>Matrix!L29</f>
        <v>0</v>
      </c>
      <c r="H165" s="4611"/>
      <c r="I165" s="3950">
        <f>Matrix!M29</f>
        <v>0</v>
      </c>
      <c r="J165" s="4067">
        <f>Matrix!N29</f>
        <v>0</v>
      </c>
      <c r="K165" s="3950">
        <f>Matrix!O29</f>
        <v>0</v>
      </c>
      <c r="L165" s="4061">
        <f>Matrix!P29</f>
        <v>0</v>
      </c>
      <c r="W165" s="1965"/>
      <c r="X165" s="1965"/>
      <c r="Y165" s="1965"/>
      <c r="Z165" s="3907"/>
      <c r="AA165" s="3907"/>
      <c r="AB165" s="3907"/>
      <c r="AC165" s="3907"/>
      <c r="AD165" s="3907"/>
      <c r="AE165" s="1965"/>
      <c r="AF165" s="1965"/>
      <c r="AG165" s="1965"/>
      <c r="AH165" s="1965"/>
      <c r="AI165" s="1965"/>
      <c r="AJ165" s="1965"/>
      <c r="AK165" s="1965"/>
      <c r="AL165" s="1965"/>
      <c r="AM165" s="1965"/>
      <c r="AN165" s="1965"/>
      <c r="AO165" s="1965"/>
      <c r="AP165" s="1965"/>
      <c r="AQ165" s="1965"/>
      <c r="AR165" s="1965"/>
      <c r="AS165" s="1965"/>
      <c r="AT165" s="1965"/>
      <c r="AU165" s="1965"/>
      <c r="AV165" s="1965"/>
      <c r="AW165" s="1965"/>
      <c r="AX165" s="1965"/>
      <c r="AY165" s="1965"/>
      <c r="AZ165" s="1965"/>
      <c r="BA165" s="1965"/>
      <c r="BB165" s="1965"/>
      <c r="BC165" s="1965"/>
      <c r="BD165" s="1965"/>
      <c r="BE165" s="1965"/>
      <c r="BF165" s="1965"/>
      <c r="BG165" s="1965"/>
      <c r="BH165" s="1965"/>
      <c r="BI165" s="1965"/>
      <c r="BJ165" s="1965"/>
      <c r="BK165" s="1965"/>
      <c r="BL165" s="1965"/>
      <c r="BM165" s="1965"/>
      <c r="BN165" s="1965"/>
      <c r="BO165" s="1965"/>
      <c r="BP165" s="1965"/>
      <c r="BQ165" s="1965"/>
      <c r="BR165" s="1965"/>
      <c r="BS165" s="1965"/>
      <c r="BT165" s="1965"/>
      <c r="BU165" s="1965"/>
      <c r="BV165" s="1965"/>
      <c r="BW165" s="3142"/>
      <c r="BX165" s="3142"/>
      <c r="BY165" s="3142"/>
      <c r="BZ165" s="3142"/>
      <c r="CA165" s="3142"/>
      <c r="CB165" s="3142"/>
      <c r="CC165" s="3142"/>
      <c r="CD165" s="3142"/>
      <c r="CE165" s="3142"/>
      <c r="CF165" s="3142"/>
      <c r="CG165" s="3142"/>
    </row>
    <row r="166" spans="2:85" ht="17" x14ac:dyDescent="0.2">
      <c r="B166" s="3142" t="str">
        <f t="shared" si="14"/>
        <v>Other land</v>
      </c>
      <c r="C166" s="1969"/>
      <c r="D166" s="4065">
        <f>Matrix!I30</f>
        <v>0</v>
      </c>
      <c r="E166" s="3950">
        <f>Matrix!J30</f>
        <v>0</v>
      </c>
      <c r="F166" s="3950">
        <f>Matrix!K30</f>
        <v>0</v>
      </c>
      <c r="G166" s="4610">
        <f>Matrix!L30</f>
        <v>0</v>
      </c>
      <c r="H166" s="4611"/>
      <c r="I166" s="3950">
        <f>Matrix!M30</f>
        <v>0</v>
      </c>
      <c r="J166" s="3950">
        <f>Matrix!N30</f>
        <v>0</v>
      </c>
      <c r="K166" s="4067">
        <f>Matrix!O30</f>
        <v>128</v>
      </c>
      <c r="L166" s="4061">
        <f>Matrix!P30</f>
        <v>128</v>
      </c>
      <c r="W166" s="1965"/>
      <c r="X166" s="1965"/>
      <c r="Y166" s="1965"/>
      <c r="Z166" s="3907"/>
      <c r="AA166" s="3907"/>
      <c r="AB166" s="3907"/>
      <c r="AC166" s="3907"/>
      <c r="AD166" s="3907"/>
      <c r="AE166" s="1965"/>
      <c r="AF166" s="1965"/>
      <c r="AG166" s="1965"/>
      <c r="AH166" s="1965"/>
      <c r="AI166" s="1965"/>
      <c r="AJ166" s="1965"/>
      <c r="AK166" s="1965"/>
      <c r="AL166" s="1965"/>
      <c r="BJ166" s="1965"/>
      <c r="BK166" s="1965"/>
      <c r="BL166" s="1965"/>
      <c r="BM166" s="1965"/>
      <c r="BN166" s="1965"/>
      <c r="BO166" s="1965"/>
      <c r="BP166" s="1965"/>
      <c r="BQ166" s="1965"/>
      <c r="BR166" s="1965"/>
      <c r="BS166" s="1965"/>
      <c r="BT166" s="1965"/>
      <c r="BU166" s="1965"/>
      <c r="BV166" s="1965"/>
      <c r="BW166" s="3142"/>
      <c r="BX166" s="3142"/>
      <c r="BY166" s="3142"/>
      <c r="BZ166" s="3142"/>
      <c r="CA166" s="3142"/>
      <c r="CB166" s="3142"/>
      <c r="CC166" s="3142"/>
      <c r="CD166" s="3142"/>
      <c r="CE166" s="3142"/>
      <c r="CF166" s="3142"/>
      <c r="CG166" s="3142"/>
    </row>
    <row r="167" spans="2:85" ht="17" x14ac:dyDescent="0.2">
      <c r="B167" s="3952" t="str">
        <f>Languages!B691</f>
        <v>Total area with project (ha)</v>
      </c>
      <c r="C167" s="1969"/>
      <c r="D167" s="4064">
        <f>Matrix!I31</f>
        <v>0</v>
      </c>
      <c r="E167" s="4064">
        <f>Matrix!J31</f>
        <v>300</v>
      </c>
      <c r="F167" s="4064">
        <f>Matrix!K31</f>
        <v>88</v>
      </c>
      <c r="G167" s="4628">
        <f>Matrix!L31</f>
        <v>0</v>
      </c>
      <c r="H167" s="4629"/>
      <c r="I167" s="4064">
        <f>Matrix!M31</f>
        <v>300</v>
      </c>
      <c r="J167" s="4064">
        <f>Matrix!N31</f>
        <v>0</v>
      </c>
      <c r="K167" s="4064">
        <f>Matrix!O31</f>
        <v>128</v>
      </c>
      <c r="L167" s="4064">
        <f>Matrix!P31</f>
        <v>816</v>
      </c>
      <c r="W167" s="1965"/>
      <c r="X167" s="1965"/>
      <c r="Y167" s="1965"/>
      <c r="Z167" s="3907"/>
      <c r="AA167" s="3907"/>
      <c r="AB167" s="3907"/>
      <c r="AC167" s="3907"/>
      <c r="AD167" s="3907"/>
      <c r="AE167" s="1965"/>
      <c r="AF167" s="1965"/>
      <c r="AG167" s="1965"/>
      <c r="AH167" s="1965"/>
      <c r="AI167" s="1965"/>
      <c r="AJ167" s="1965"/>
      <c r="AK167" s="1965"/>
      <c r="AL167" s="1965"/>
      <c r="BJ167" s="1965"/>
      <c r="BK167" s="1965"/>
      <c r="BL167" s="1965"/>
      <c r="BM167" s="1965"/>
      <c r="BN167" s="1965"/>
      <c r="BO167" s="1965"/>
      <c r="BP167" s="1965"/>
      <c r="BQ167" s="1965"/>
      <c r="BR167" s="1965"/>
      <c r="BS167" s="1965"/>
      <c r="BT167" s="1965"/>
      <c r="BU167" s="1965"/>
      <c r="BV167" s="1965"/>
    </row>
    <row r="168" spans="2:85" ht="17" x14ac:dyDescent="0.2">
      <c r="W168" s="1965"/>
      <c r="X168" s="1965"/>
      <c r="Y168" s="1965"/>
      <c r="Z168" s="3907"/>
      <c r="AA168" s="3907"/>
      <c r="AB168" s="3907"/>
      <c r="AC168" s="3907"/>
      <c r="AD168" s="3907"/>
      <c r="AE168" s="1965"/>
      <c r="AF168" s="1965"/>
      <c r="AG168" s="1965"/>
      <c r="AH168" s="1965"/>
      <c r="AI168" s="1965"/>
      <c r="AJ168" s="1965"/>
      <c r="AK168" s="1965"/>
      <c r="AL168" s="1965"/>
      <c r="BJ168" s="1965"/>
      <c r="BK168" s="1965"/>
      <c r="BL168" s="1965"/>
      <c r="BM168" s="1965"/>
      <c r="BN168" s="1965"/>
      <c r="BO168" s="1965"/>
      <c r="BP168" s="1965"/>
      <c r="BQ168" s="1965"/>
      <c r="BR168" s="1965"/>
      <c r="BS168" s="1965"/>
      <c r="BT168" s="1965"/>
      <c r="BU168" s="1965"/>
      <c r="BV168" s="1965"/>
    </row>
    <row r="169" spans="2:85" ht="17" x14ac:dyDescent="0.2">
      <c r="W169" s="1965"/>
      <c r="X169" s="1965"/>
      <c r="Y169" s="1965"/>
      <c r="Z169" s="3907"/>
      <c r="AA169" s="3907"/>
      <c r="AB169" s="3907"/>
      <c r="AC169" s="3907"/>
      <c r="AD169" s="3907"/>
      <c r="AE169" s="1965"/>
      <c r="AF169" s="1965"/>
      <c r="AG169" s="1965"/>
      <c r="AH169" s="1965"/>
      <c r="AI169" s="1965"/>
      <c r="AJ169" s="1965"/>
      <c r="AK169" s="1965"/>
      <c r="AL169" s="1965"/>
      <c r="BJ169" s="1965"/>
      <c r="BK169" s="1965"/>
      <c r="BL169" s="1965"/>
      <c r="BM169" s="1965"/>
      <c r="BN169" s="1965"/>
      <c r="BO169" s="1965"/>
      <c r="BP169" s="1965"/>
      <c r="BQ169" s="1965"/>
      <c r="BR169" s="1965"/>
      <c r="BS169" s="1965"/>
      <c r="BT169" s="1965"/>
      <c r="BU169" s="1965"/>
      <c r="BV169" s="1965"/>
    </row>
    <row r="170" spans="2:85" ht="17" x14ac:dyDescent="0.2">
      <c r="W170" s="1965"/>
      <c r="X170" s="1965"/>
      <c r="Y170" s="1965"/>
      <c r="Z170" s="3907"/>
      <c r="AA170" s="3907"/>
      <c r="AB170" s="3907"/>
      <c r="AC170" s="3907"/>
      <c r="AD170" s="3907"/>
      <c r="AE170" s="1965"/>
      <c r="AF170" s="1965"/>
      <c r="AG170" s="1965"/>
      <c r="AH170" s="1965"/>
      <c r="AI170" s="1965"/>
      <c r="AJ170" s="1965"/>
      <c r="AK170" s="1965"/>
      <c r="AL170" s="1965"/>
      <c r="BJ170" s="1965"/>
      <c r="BK170" s="1965"/>
      <c r="BL170" s="1965"/>
      <c r="BM170" s="1965"/>
      <c r="BN170" s="1965"/>
      <c r="BO170" s="1965"/>
      <c r="BP170" s="1965"/>
      <c r="BQ170" s="1965"/>
      <c r="BR170" s="1965"/>
      <c r="BS170" s="1965"/>
      <c r="BT170" s="1965"/>
      <c r="BU170" s="1965"/>
      <c r="BV170" s="1965"/>
    </row>
    <row r="171" spans="2:85" ht="17" x14ac:dyDescent="0.2">
      <c r="W171" s="1965"/>
      <c r="X171" s="1965"/>
      <c r="Y171" s="1965"/>
      <c r="Z171" s="3907"/>
      <c r="AA171" s="3907"/>
      <c r="AB171" s="3907"/>
      <c r="AC171" s="3907"/>
      <c r="AD171" s="1965"/>
      <c r="AE171" s="1965"/>
      <c r="AF171" s="1965"/>
      <c r="AG171" s="1965"/>
      <c r="AH171" s="1965"/>
      <c r="AI171" s="1965"/>
      <c r="AJ171" s="1965"/>
      <c r="AK171" s="1965"/>
      <c r="AL171" s="1965"/>
      <c r="BJ171" s="1965"/>
      <c r="BK171" s="1965"/>
      <c r="BL171" s="1965"/>
      <c r="BM171" s="1965"/>
      <c r="BN171" s="1965"/>
      <c r="BO171" s="1965"/>
      <c r="BP171" s="1965"/>
      <c r="BQ171" s="1965"/>
      <c r="BR171" s="1965"/>
      <c r="BS171" s="1965"/>
      <c r="BT171" s="1965"/>
      <c r="BU171" s="1965"/>
      <c r="BV171" s="1965"/>
    </row>
    <row r="172" spans="2:85" ht="17" x14ac:dyDescent="0.2">
      <c r="Z172" s="3907"/>
      <c r="AA172" s="3907"/>
      <c r="AB172" s="3907"/>
      <c r="AC172" s="3907"/>
      <c r="AD172" s="3907"/>
    </row>
    <row r="174" spans="2:85" ht="57.75" customHeight="1" x14ac:dyDescent="0.2">
      <c r="B174" s="4609" t="s">
        <v>3052</v>
      </c>
      <c r="C174" s="4609"/>
      <c r="D174" s="4609"/>
      <c r="E174" s="4609"/>
      <c r="F174" s="4609"/>
      <c r="G174" s="4609"/>
      <c r="H174" s="4609"/>
      <c r="I174" s="4609"/>
      <c r="J174" s="4609"/>
      <c r="K174" s="4609"/>
      <c r="L174" s="4609"/>
      <c r="M174" s="4609"/>
      <c r="N174" s="4609"/>
      <c r="O174" s="4609"/>
      <c r="P174" s="4609"/>
      <c r="Q174" s="4609"/>
      <c r="W174" s="1969"/>
      <c r="X174" s="1969"/>
      <c r="Y174" s="1969"/>
      <c r="Z174" s="1969"/>
      <c r="AA174" s="1969"/>
      <c r="AB174" s="1969"/>
      <c r="AC174" s="1969"/>
      <c r="AD174" s="1969"/>
      <c r="AE174" s="1969"/>
      <c r="AF174" s="1969"/>
      <c r="AG174" s="1969"/>
      <c r="AH174" s="1969"/>
      <c r="AI174" s="1969"/>
      <c r="AJ174" s="1969"/>
      <c r="AK174" s="1969"/>
      <c r="AL174" s="1969"/>
      <c r="AM174" s="1969"/>
      <c r="AN174" s="1969"/>
      <c r="AO174" s="1969"/>
      <c r="AP174" s="1969"/>
      <c r="AQ174" s="1969"/>
      <c r="AR174" s="1969"/>
      <c r="AS174" s="1969"/>
      <c r="AT174" s="1969"/>
      <c r="AU174" s="1969"/>
      <c r="AV174" s="1969"/>
      <c r="AW174" s="1969"/>
      <c r="AX174" s="1969"/>
      <c r="AY174" s="1969"/>
      <c r="AZ174" s="1969"/>
      <c r="BA174" s="1969"/>
      <c r="BB174" s="1969"/>
      <c r="BC174" s="1969"/>
      <c r="BD174" s="1969"/>
      <c r="BE174" s="1969"/>
      <c r="BF174" s="1969"/>
      <c r="BG174" s="1969"/>
      <c r="BH174" s="1969"/>
      <c r="BI174" s="1969"/>
      <c r="BJ174" s="1969"/>
      <c r="BK174" s="1969"/>
      <c r="BL174" s="1969"/>
      <c r="BM174" s="1969"/>
      <c r="BN174" s="1969"/>
      <c r="BO174" s="1969"/>
      <c r="BP174" s="1969"/>
      <c r="BQ174" s="1969"/>
      <c r="BR174" s="1969"/>
      <c r="BS174" s="1969"/>
      <c r="BT174" s="1969"/>
      <c r="BU174" s="1969"/>
      <c r="BV174" s="1969"/>
    </row>
    <row r="176" spans="2:85" ht="16" x14ac:dyDescent="0.2">
      <c r="W176" s="3142"/>
      <c r="X176" s="3142"/>
      <c r="Y176" s="3142"/>
      <c r="Z176" s="3142"/>
      <c r="AA176" s="3142"/>
      <c r="AB176" s="3142"/>
      <c r="AC176" s="3142"/>
      <c r="AD176" s="3142"/>
      <c r="AE176" s="3142"/>
      <c r="AF176" s="3142"/>
      <c r="AG176" s="3142"/>
      <c r="AH176" s="3142"/>
      <c r="AI176" s="3142"/>
      <c r="AJ176" s="3142"/>
      <c r="AK176" s="3142"/>
      <c r="AL176" s="3142"/>
      <c r="AM176" s="3142"/>
      <c r="AN176" s="3142"/>
      <c r="AO176" s="3142"/>
      <c r="AP176" s="3142"/>
      <c r="AQ176" s="3142"/>
      <c r="AR176" s="3142"/>
      <c r="AS176" s="3142"/>
      <c r="AT176" s="3142"/>
      <c r="AU176" s="3142"/>
      <c r="AV176" s="3142"/>
      <c r="AW176" s="3142"/>
      <c r="AX176" s="3142"/>
      <c r="AY176" s="3142"/>
      <c r="AZ176" s="3142"/>
      <c r="BA176" s="3142"/>
      <c r="BB176" s="3142"/>
      <c r="BC176" s="3142"/>
      <c r="BD176" s="3142"/>
      <c r="BE176" s="3142"/>
      <c r="BF176" s="3142"/>
      <c r="BG176" s="3142"/>
      <c r="BH176" s="3142"/>
      <c r="BI176" s="3142"/>
      <c r="BJ176" s="3142"/>
      <c r="BK176" s="3142"/>
      <c r="BL176" s="3142"/>
      <c r="BM176" s="3142"/>
      <c r="BN176" s="3142"/>
      <c r="BO176" s="3142"/>
      <c r="BP176" s="3142"/>
      <c r="BQ176" s="3142"/>
      <c r="BR176" s="3142"/>
      <c r="BS176" s="3142"/>
      <c r="BT176" s="3142"/>
      <c r="BU176" s="3142"/>
      <c r="BV176" s="3142"/>
    </row>
    <row r="177" spans="2:85" ht="34.5" customHeight="1" x14ac:dyDescent="0.25">
      <c r="D177" s="3900" t="str">
        <f>D114</f>
        <v>GROSS FLUXES</v>
      </c>
      <c r="E177" s="3901"/>
      <c r="F177" s="3901"/>
      <c r="G177" s="3901"/>
      <c r="H177" s="3900" t="str">
        <f>H114</f>
        <v>SHARE PER GHG OF THE BALANCE</v>
      </c>
      <c r="I177" s="3901"/>
      <c r="J177" s="3901"/>
      <c r="K177" s="3901"/>
      <c r="L177" s="3901"/>
      <c r="M177" s="3901"/>
      <c r="N177" s="3900" t="str">
        <f>N114</f>
        <v>AVERAGE ANNUAL EMISSIONS</v>
      </c>
      <c r="O177" s="3901"/>
      <c r="P177" s="3902"/>
      <c r="W177" s="3142"/>
      <c r="X177" s="3142"/>
      <c r="Y177" s="3142"/>
      <c r="Z177" s="3142"/>
      <c r="AA177" s="3142"/>
      <c r="AB177" s="3142"/>
      <c r="AC177" s="3142"/>
      <c r="AD177" s="3142"/>
      <c r="AE177" s="3142"/>
      <c r="AF177" s="3142"/>
      <c r="AG177" s="3142"/>
      <c r="AH177" s="3142"/>
      <c r="AI177" s="3142"/>
      <c r="AJ177" s="3142"/>
      <c r="AK177" s="3142"/>
      <c r="AL177" s="3142"/>
      <c r="AM177" s="3142"/>
      <c r="AN177" s="3142"/>
      <c r="AO177" s="3142"/>
      <c r="AP177" s="3142"/>
      <c r="AQ177" s="3142"/>
      <c r="AR177" s="3142"/>
      <c r="AS177" s="3142"/>
      <c r="AT177" s="3142"/>
      <c r="AU177" s="3142"/>
      <c r="AV177" s="3142"/>
      <c r="AW177" s="3142"/>
      <c r="AX177" s="3142"/>
      <c r="AY177" s="3142"/>
      <c r="AZ177" s="3142"/>
      <c r="BA177" s="3142"/>
      <c r="BB177" s="3142"/>
      <c r="BC177" s="3142"/>
      <c r="BD177" s="3142"/>
      <c r="BE177" s="3142"/>
      <c r="BF177" s="3142"/>
      <c r="BG177" s="3142"/>
      <c r="BH177" s="3142"/>
      <c r="BI177" s="3142"/>
      <c r="BJ177" s="3142"/>
      <c r="BK177" s="3142"/>
      <c r="BL177" s="3142"/>
      <c r="BM177" s="3142"/>
      <c r="BN177" s="3142"/>
      <c r="BO177" s="3142"/>
      <c r="BP177" s="3142"/>
      <c r="BQ177" s="3142"/>
      <c r="BR177" s="3142"/>
      <c r="BS177" s="3142"/>
      <c r="BT177" s="3142"/>
      <c r="BU177" s="3142"/>
      <c r="BV177" s="3142"/>
    </row>
    <row r="178" spans="2:85" s="1969" customFormat="1" ht="16" x14ac:dyDescent="0.2">
      <c r="D178" s="3889" t="str">
        <f>D115</f>
        <v>In tCO2-e over the whole period analysis</v>
      </c>
      <c r="E178" s="3889"/>
      <c r="F178" s="3889"/>
      <c r="G178" s="3889"/>
      <c r="H178" s="3889" t="str">
        <f>H115</f>
        <v>In tCO2-e over the whole period analysis</v>
      </c>
      <c r="I178" s="3889"/>
      <c r="J178" s="3889"/>
      <c r="K178" s="3889"/>
      <c r="L178" s="3889"/>
      <c r="M178" s="3889"/>
      <c r="N178" s="3889" t="str">
        <f>N115</f>
        <v>In tCO2-e/yr</v>
      </c>
      <c r="O178" s="3889"/>
      <c r="P178" s="3889"/>
      <c r="W178" s="3142"/>
      <c r="X178" s="3142"/>
      <c r="Y178" s="3142"/>
      <c r="Z178" s="3142"/>
      <c r="AA178" s="3142"/>
      <c r="AB178" s="3142"/>
      <c r="AC178" s="3142"/>
      <c r="AD178" s="3142"/>
      <c r="AE178" s="3142"/>
      <c r="AF178" s="3142"/>
      <c r="AG178" s="3142"/>
      <c r="AH178" s="3142"/>
      <c r="AI178" s="3142"/>
      <c r="AJ178" s="3142"/>
      <c r="AK178" s="3142"/>
      <c r="AL178" s="3142"/>
      <c r="AM178" s="3142"/>
      <c r="AN178" s="3142"/>
      <c r="AO178" s="3142"/>
      <c r="AP178" s="3142"/>
      <c r="AQ178" s="3142"/>
      <c r="AR178" s="3142"/>
      <c r="AS178" s="3142"/>
      <c r="AT178" s="3142"/>
      <c r="AU178" s="3142"/>
      <c r="AV178" s="3142"/>
      <c r="AW178" s="3142"/>
      <c r="AX178" s="3142"/>
      <c r="AY178" s="3142"/>
      <c r="AZ178" s="3142"/>
      <c r="BA178" s="3142"/>
      <c r="BB178" s="3142"/>
      <c r="BC178" s="3142"/>
      <c r="BD178" s="3142"/>
      <c r="BE178" s="3142"/>
      <c r="BF178" s="3142"/>
      <c r="BG178" s="3142"/>
      <c r="BH178" s="3142"/>
      <c r="BI178" s="3142"/>
      <c r="BJ178" s="3142"/>
      <c r="BK178" s="3142"/>
      <c r="BL178" s="3142"/>
      <c r="BM178" s="3142"/>
      <c r="BN178" s="3142"/>
      <c r="BO178" s="3142"/>
      <c r="BP178" s="3142"/>
      <c r="BQ178" s="3142"/>
      <c r="BR178" s="3142"/>
      <c r="BS178" s="3142"/>
      <c r="BT178" s="3142"/>
      <c r="BU178" s="3142"/>
      <c r="BV178" s="3142"/>
      <c r="BW178" s="1771"/>
      <c r="BX178" s="1771"/>
      <c r="BY178" s="1771"/>
      <c r="BZ178" s="1771"/>
      <c r="CA178" s="1771"/>
      <c r="CB178" s="1771"/>
      <c r="CC178" s="1771"/>
      <c r="CD178" s="1771"/>
      <c r="CE178" s="1771"/>
      <c r="CF178" s="1771"/>
      <c r="CG178" s="1771"/>
    </row>
    <row r="179" spans="2:85" ht="36.75" customHeight="1" x14ac:dyDescent="0.2">
      <c r="B179" s="4604" t="str">
        <f>B116</f>
        <v>PROJECT COMPONENTS</v>
      </c>
      <c r="C179" s="4605"/>
      <c r="D179" s="3884" t="str">
        <f>D116</f>
        <v>WITHOUT</v>
      </c>
      <c r="E179" s="3884" t="str">
        <f>E116</f>
        <v>WITH</v>
      </c>
      <c r="F179" s="3884" t="str">
        <f>F116</f>
        <v>BALANCE</v>
      </c>
      <c r="G179" s="3885"/>
      <c r="H179" s="3884" t="str">
        <f>H116</f>
        <v>CO2 BIOMASS</v>
      </c>
      <c r="I179" s="3884" t="str">
        <f>I116</f>
        <v>CO2 SOIL</v>
      </c>
      <c r="J179" s="3884" t="str">
        <f>Languages!B700</f>
        <v>N2O SOIL</v>
      </c>
      <c r="K179" s="3884" t="str">
        <f>Languages!B701</f>
        <v>CH4 SOIL</v>
      </c>
      <c r="L179" s="3884" t="str">
        <f>Languages!B702</f>
        <v>FIRE</v>
      </c>
      <c r="M179" s="3885"/>
      <c r="N179" s="3884" t="str">
        <f>N116</f>
        <v>WITHOUT</v>
      </c>
      <c r="O179" s="3884" t="str">
        <f>O116</f>
        <v>WITH</v>
      </c>
      <c r="P179" s="3884" t="str">
        <f>P116</f>
        <v>BALANCE</v>
      </c>
      <c r="W179" s="3142"/>
      <c r="X179" s="3142"/>
      <c r="Y179" s="3142"/>
      <c r="Z179" s="3142"/>
      <c r="AA179" s="3142"/>
      <c r="AB179" s="3142"/>
      <c r="AC179" s="3142"/>
      <c r="AD179" s="3142"/>
      <c r="AE179" s="3142"/>
      <c r="AF179" s="3142"/>
      <c r="AG179" s="3142"/>
      <c r="AH179" s="3142"/>
      <c r="AI179" s="3142"/>
      <c r="AJ179" s="3142"/>
      <c r="AK179" s="3142"/>
      <c r="AL179" s="3142"/>
      <c r="AM179" s="3142"/>
      <c r="AN179" s="3142"/>
      <c r="AO179" s="3142"/>
      <c r="AP179" s="3142"/>
      <c r="AQ179" s="3142"/>
      <c r="AR179" s="3142"/>
      <c r="AS179" s="3142"/>
      <c r="AT179" s="3142"/>
      <c r="AU179" s="3142"/>
      <c r="AV179" s="3142"/>
      <c r="AW179" s="3142"/>
      <c r="AX179" s="3142"/>
      <c r="AY179" s="3142"/>
      <c r="AZ179" s="3142"/>
      <c r="BA179" s="3142"/>
      <c r="BB179" s="3142"/>
      <c r="BC179" s="3142"/>
      <c r="BD179" s="3142"/>
      <c r="BE179" s="3142"/>
      <c r="BF179" s="3142"/>
      <c r="BG179" s="3142"/>
      <c r="BH179" s="3142"/>
      <c r="BI179" s="3142"/>
      <c r="BJ179" s="3142"/>
      <c r="BK179" s="3142"/>
      <c r="BL179" s="3142"/>
      <c r="BM179" s="3142"/>
      <c r="BN179" s="3142"/>
      <c r="BO179" s="3142"/>
      <c r="BP179" s="3142"/>
      <c r="BQ179" s="3142"/>
      <c r="BR179" s="3142"/>
      <c r="BS179" s="3142"/>
      <c r="BT179" s="3142"/>
      <c r="BU179" s="3142"/>
      <c r="BV179" s="3142"/>
    </row>
    <row r="180" spans="2:85" ht="22.25" customHeight="1" x14ac:dyDescent="0.2">
      <c r="B180" s="3883" t="str">
        <f>C117</f>
        <v>Deforestation</v>
      </c>
      <c r="C180" s="3883"/>
      <c r="D180" s="3907">
        <f>SUM('Inl. wetlands'!BL35:BL44)</f>
        <v>19241.491666666669</v>
      </c>
      <c r="E180" s="3907">
        <f>SUM('Inl. wetlands'!BM35:BM44)</f>
        <v>25418.908333333336</v>
      </c>
      <c r="F180" s="3907">
        <f>BALANCE!D45</f>
        <v>6177.4166666666661</v>
      </c>
      <c r="G180" s="3908">
        <f>IF(AND(D180=0,E180=0),0,1)</f>
        <v>1</v>
      </c>
      <c r="H180" s="3907">
        <f>BALANCE!F45</f>
        <v>0</v>
      </c>
      <c r="I180" s="3907">
        <f>BALANCE!G45</f>
        <v>2667.5000000000009</v>
      </c>
      <c r="J180" s="3907">
        <f>BALANCE!I45</f>
        <v>291.50000000000011</v>
      </c>
      <c r="K180" s="3907">
        <f>BALANCE!L45</f>
        <v>3227.5833333333317</v>
      </c>
      <c r="L180" s="3909">
        <f>BALANCE!J45+BALANCE!M45</f>
        <v>0</v>
      </c>
      <c r="M180" s="3883"/>
      <c r="N180" s="3907">
        <f>IFERROR('10.Results'!D180/time_tot,0)</f>
        <v>1282.7661111111113</v>
      </c>
      <c r="O180" s="3907">
        <f>IFERROR('10.Results'!E180/time_tot,0)</f>
        <v>1694.5938888888891</v>
      </c>
      <c r="P180" s="3907">
        <f>IFERROR('10.Results'!F180/time_tot,0)</f>
        <v>411.82777777777773</v>
      </c>
      <c r="W180" s="3142"/>
      <c r="X180" s="3142"/>
      <c r="Y180" s="3142"/>
      <c r="Z180" s="3142"/>
      <c r="AA180" s="3142"/>
      <c r="AB180" s="3142"/>
      <c r="AC180" s="3142"/>
      <c r="AD180" s="3142"/>
      <c r="AE180" s="3142"/>
      <c r="AF180" s="3142"/>
      <c r="AG180" s="3142"/>
      <c r="AH180" s="3142"/>
      <c r="AI180" s="3142"/>
      <c r="AJ180" s="3142"/>
      <c r="AK180" s="3142"/>
      <c r="AL180" s="3142"/>
      <c r="AM180" s="3142"/>
      <c r="AN180" s="3142"/>
      <c r="AO180" s="3142"/>
      <c r="AP180" s="3142"/>
      <c r="AQ180" s="3142"/>
      <c r="AR180" s="3142"/>
      <c r="AS180" s="3142"/>
      <c r="AT180" s="3142"/>
      <c r="AU180" s="3142"/>
      <c r="AV180" s="3142"/>
      <c r="AW180" s="3142"/>
      <c r="AX180" s="3142"/>
      <c r="AY180" s="3142"/>
      <c r="AZ180" s="3142"/>
      <c r="BA180" s="3142"/>
      <c r="BB180" s="3142"/>
      <c r="BC180" s="3142"/>
      <c r="BD180" s="3142"/>
      <c r="BE180" s="3142"/>
      <c r="BF180" s="3142"/>
      <c r="BG180" s="3142"/>
      <c r="BH180" s="3142"/>
      <c r="BI180" s="3142"/>
      <c r="BJ180" s="3142"/>
      <c r="BK180" s="3142"/>
      <c r="BL180" s="3142"/>
      <c r="BM180" s="3142"/>
      <c r="BN180" s="3142"/>
      <c r="BO180" s="3142"/>
      <c r="BP180" s="3142"/>
      <c r="BQ180" s="3142"/>
      <c r="BR180" s="3142"/>
      <c r="BS180" s="3142"/>
      <c r="BT180" s="3142"/>
      <c r="BU180" s="3142"/>
      <c r="BV180" s="3142"/>
    </row>
    <row r="181" spans="2:85" ht="22.25" customHeight="1" x14ac:dyDescent="0.2">
      <c r="B181" s="3883" t="str">
        <f>C125</f>
        <v>Forest mngt.</v>
      </c>
      <c r="C181" s="3883"/>
      <c r="D181" s="3911">
        <f>SUM('Inl. wetlands'!BL339:BL348)</f>
        <v>0</v>
      </c>
      <c r="E181" s="3907">
        <f>SUM('Inl. wetlands'!BM339:BM348)</f>
        <v>0</v>
      </c>
      <c r="F181" s="3907">
        <f>BALANCE!D46</f>
        <v>0</v>
      </c>
      <c r="G181" s="3908">
        <f t="shared" ref="G181:G193" si="15">IF(AND(D181=0,E181=0),0,1)</f>
        <v>0</v>
      </c>
      <c r="H181" s="3907">
        <f>BALANCE!F46</f>
        <v>0</v>
      </c>
      <c r="I181" s="3907">
        <f>BALANCE!G46</f>
        <v>0</v>
      </c>
      <c r="J181" s="3907">
        <f>BALANCE!I46</f>
        <v>0</v>
      </c>
      <c r="K181" s="3907">
        <f>BALANCE!L46</f>
        <v>0</v>
      </c>
      <c r="L181" s="3909">
        <f>BALANCE!J46+BALANCE!M46</f>
        <v>0</v>
      </c>
      <c r="M181" s="3883"/>
      <c r="N181" s="3907">
        <f>IFERROR('10.Results'!D181/time_tot,0)</f>
        <v>0</v>
      </c>
      <c r="O181" s="3907">
        <f>IFERROR('10.Results'!E181/time_tot,0)</f>
        <v>0</v>
      </c>
      <c r="P181" s="3907">
        <f>IFERROR('10.Results'!F181/time_tot,0)</f>
        <v>0</v>
      </c>
      <c r="W181" s="3142"/>
      <c r="X181" s="3142"/>
      <c r="Y181" s="3142"/>
      <c r="Z181" s="3142"/>
      <c r="AA181" s="3142"/>
      <c r="AB181" s="3142"/>
      <c r="AC181" s="3142"/>
      <c r="AD181" s="3142"/>
      <c r="AE181" s="3142"/>
      <c r="AF181" s="3142"/>
      <c r="AG181" s="3142"/>
      <c r="AH181" s="3142"/>
      <c r="AI181" s="3142"/>
      <c r="AJ181" s="3142"/>
      <c r="AK181" s="3142"/>
      <c r="AL181" s="3142"/>
      <c r="AM181" s="3142"/>
      <c r="AN181" s="3142"/>
      <c r="AO181" s="3142"/>
      <c r="AP181" s="3142"/>
      <c r="AQ181" s="3142"/>
      <c r="AR181" s="3142"/>
      <c r="AS181" s="3142"/>
      <c r="AT181" s="3142"/>
      <c r="AU181" s="3142"/>
      <c r="AV181" s="3142"/>
      <c r="AW181" s="3142"/>
      <c r="AX181" s="3142"/>
      <c r="AY181" s="3142"/>
      <c r="AZ181" s="3142"/>
      <c r="BA181" s="3142"/>
      <c r="BB181" s="3142"/>
      <c r="BC181" s="3142"/>
      <c r="BD181" s="3142"/>
      <c r="BE181" s="3142"/>
      <c r="BF181" s="3142"/>
      <c r="BG181" s="3142"/>
      <c r="BH181" s="3142"/>
      <c r="BI181" s="3142"/>
      <c r="BJ181" s="3142"/>
      <c r="BK181" s="3142"/>
      <c r="BL181" s="3142"/>
      <c r="BM181" s="3142"/>
      <c r="BN181" s="3142"/>
      <c r="BO181" s="3142"/>
      <c r="BP181" s="3142"/>
      <c r="BQ181" s="3142"/>
      <c r="BR181" s="3142"/>
      <c r="BS181" s="3142"/>
      <c r="BT181" s="3142"/>
      <c r="BU181" s="3142"/>
      <c r="BV181" s="3142"/>
    </row>
    <row r="182" spans="2:85" ht="22.25" customHeight="1" x14ac:dyDescent="0.2">
      <c r="B182" s="3883" t="str">
        <f>C118</f>
        <v>Afforestation</v>
      </c>
      <c r="C182" s="3883"/>
      <c r="D182" s="3907">
        <f>SUM('Inl. wetlands'!BL134:BL143)</f>
        <v>0</v>
      </c>
      <c r="E182" s="3907">
        <f>SUM('Inl. wetlands'!BM134:BM143)</f>
        <v>0</v>
      </c>
      <c r="F182" s="3907">
        <f>BALANCE!D47</f>
        <v>0</v>
      </c>
      <c r="G182" s="3908">
        <f t="shared" si="15"/>
        <v>0</v>
      </c>
      <c r="H182" s="3907">
        <f>BALANCE!F47</f>
        <v>0</v>
      </c>
      <c r="I182" s="3907">
        <f>BALANCE!G47</f>
        <v>0</v>
      </c>
      <c r="J182" s="3907">
        <f>BALANCE!I47</f>
        <v>0</v>
      </c>
      <c r="K182" s="3907">
        <f>BALANCE!L47</f>
        <v>0</v>
      </c>
      <c r="L182" s="3909">
        <f>BALANCE!J47+BALANCE!M47</f>
        <v>0</v>
      </c>
      <c r="M182" s="3883"/>
      <c r="N182" s="3907">
        <f>IFERROR('10.Results'!D182/time_tot,0)</f>
        <v>0</v>
      </c>
      <c r="O182" s="3907">
        <f>IFERROR('10.Results'!E182/time_tot,0)</f>
        <v>0</v>
      </c>
      <c r="P182" s="3907">
        <f>IFERROR('10.Results'!F182/time_tot,0)</f>
        <v>0</v>
      </c>
      <c r="W182" s="3142"/>
      <c r="X182" s="3142"/>
      <c r="Y182" s="3142"/>
      <c r="Z182" s="3142"/>
      <c r="AA182" s="3142"/>
      <c r="AB182" s="3142"/>
      <c r="AC182" s="3142"/>
      <c r="AD182" s="3142"/>
      <c r="AE182" s="3142"/>
      <c r="AF182" s="3142"/>
      <c r="AG182" s="3142"/>
      <c r="AH182" s="3142"/>
      <c r="AI182" s="3142"/>
      <c r="AJ182" s="3142"/>
      <c r="AK182" s="3142"/>
      <c r="AL182" s="3142"/>
      <c r="AM182" s="3142"/>
      <c r="AN182" s="3142"/>
      <c r="AO182" s="3142"/>
      <c r="AP182" s="3142"/>
      <c r="AQ182" s="3142"/>
      <c r="AR182" s="3142"/>
      <c r="AS182" s="3142"/>
      <c r="AT182" s="3142"/>
      <c r="AU182" s="3142"/>
      <c r="AV182" s="3142"/>
      <c r="AW182" s="3142"/>
      <c r="AX182" s="3142"/>
      <c r="AY182" s="3142"/>
      <c r="AZ182" s="3142"/>
      <c r="BA182" s="3142"/>
      <c r="BB182" s="3142"/>
      <c r="BC182" s="3142"/>
      <c r="BD182" s="3142"/>
      <c r="BE182" s="3142"/>
      <c r="BF182" s="3142"/>
      <c r="BG182" s="3142"/>
      <c r="BH182" s="3142"/>
      <c r="BI182" s="3142"/>
      <c r="BJ182" s="3142"/>
      <c r="BK182" s="3142"/>
      <c r="BL182" s="3142"/>
      <c r="BM182" s="3142"/>
      <c r="BN182" s="3142"/>
      <c r="BO182" s="3142"/>
      <c r="BP182" s="3142"/>
      <c r="BQ182" s="3142"/>
      <c r="BR182" s="3142"/>
      <c r="BS182" s="3142"/>
      <c r="BT182" s="3142"/>
      <c r="BU182" s="3142"/>
      <c r="BV182" s="3142"/>
    </row>
    <row r="183" spans="2:85" ht="22.25" customHeight="1" x14ac:dyDescent="0.2">
      <c r="B183" s="3883" t="str">
        <f>C119</f>
        <v>Other land-use</v>
      </c>
      <c r="C183" s="3883"/>
      <c r="D183" s="3907">
        <f>SUM('Inl. wetlands'!BL224:BL233)</f>
        <v>0</v>
      </c>
      <c r="E183" s="3907">
        <f>SUM('Inl. wetlands'!BM224:BM233)</f>
        <v>0</v>
      </c>
      <c r="F183" s="3907">
        <f>BALANCE!D48</f>
        <v>0</v>
      </c>
      <c r="G183" s="3908">
        <f t="shared" si="15"/>
        <v>0</v>
      </c>
      <c r="H183" s="3907">
        <f>BALANCE!F48</f>
        <v>0</v>
      </c>
      <c r="I183" s="3907">
        <f>BALANCE!G48</f>
        <v>0</v>
      </c>
      <c r="J183" s="3907">
        <f>BALANCE!I48</f>
        <v>0</v>
      </c>
      <c r="K183" s="3907">
        <f>BALANCE!L48</f>
        <v>0</v>
      </c>
      <c r="L183" s="3909">
        <f>BALANCE!J48+BALANCE!M48</f>
        <v>0</v>
      </c>
      <c r="M183" s="3883"/>
      <c r="N183" s="3907">
        <f>IFERROR('10.Results'!D183/time_tot,0)</f>
        <v>0</v>
      </c>
      <c r="O183" s="3907">
        <f>IFERROR('10.Results'!E183/time_tot,0)</f>
        <v>0</v>
      </c>
      <c r="P183" s="3907">
        <f>IFERROR('10.Results'!F183/time_tot,0)</f>
        <v>0</v>
      </c>
      <c r="W183" s="3142"/>
      <c r="X183" s="3142"/>
      <c r="Y183" s="3142"/>
      <c r="Z183" s="3142"/>
      <c r="AA183" s="3142"/>
      <c r="AB183" s="3142"/>
      <c r="AC183" s="3142"/>
      <c r="AD183" s="3142"/>
      <c r="AE183" s="3142"/>
      <c r="AF183" s="3142"/>
      <c r="AG183" s="3142"/>
      <c r="AH183" s="3142"/>
      <c r="AI183" s="3142"/>
      <c r="AJ183" s="3142"/>
      <c r="AK183" s="3142"/>
      <c r="AL183" s="3142"/>
      <c r="AM183" s="3142"/>
      <c r="AN183" s="3142"/>
      <c r="AO183" s="3142"/>
      <c r="AP183" s="3142"/>
      <c r="AQ183" s="3142"/>
      <c r="AR183" s="3142"/>
      <c r="AS183" s="3142"/>
      <c r="AT183" s="3142"/>
      <c r="AU183" s="3142"/>
      <c r="AV183" s="3142"/>
      <c r="AW183" s="3142"/>
      <c r="AX183" s="3142"/>
      <c r="AY183" s="3142"/>
      <c r="AZ183" s="3142"/>
      <c r="BA183" s="3142"/>
      <c r="BB183" s="3142"/>
      <c r="BC183" s="3142"/>
      <c r="BD183" s="3142"/>
      <c r="BE183" s="3142"/>
      <c r="BF183" s="3142"/>
      <c r="BG183" s="3142"/>
      <c r="BH183" s="3142"/>
      <c r="BI183" s="3142"/>
      <c r="BJ183" s="3142"/>
      <c r="BK183" s="3142"/>
      <c r="BL183" s="3142"/>
      <c r="BM183" s="3142"/>
      <c r="BN183" s="3142"/>
      <c r="BO183" s="3142"/>
      <c r="BP183" s="3142"/>
      <c r="BQ183" s="3142"/>
      <c r="BR183" s="3142"/>
      <c r="BS183" s="3142"/>
      <c r="BT183" s="3142"/>
      <c r="BU183" s="3142"/>
      <c r="BV183" s="3142"/>
    </row>
    <row r="184" spans="2:85" ht="22.25" customHeight="1" x14ac:dyDescent="0.2">
      <c r="B184" s="3883" t="str">
        <f>Languages!B710</f>
        <v>Non-forest land management</v>
      </c>
      <c r="C184" s="3883"/>
      <c r="D184" s="3907">
        <f>SUM('Inl. wetlands'!BL415:BL424)</f>
        <v>0</v>
      </c>
      <c r="E184" s="3907">
        <f>SUM('Inl. wetlands'!BM415:BM424)</f>
        <v>0</v>
      </c>
      <c r="F184" s="3907">
        <f>BALANCE!D49</f>
        <v>0</v>
      </c>
      <c r="G184" s="3908">
        <f t="shared" si="15"/>
        <v>0</v>
      </c>
      <c r="H184" s="3907">
        <f>BALANCE!F49</f>
        <v>0</v>
      </c>
      <c r="I184" s="3907">
        <f>BALANCE!G49</f>
        <v>0</v>
      </c>
      <c r="J184" s="3907">
        <f>BALANCE!I49</f>
        <v>0</v>
      </c>
      <c r="K184" s="3907">
        <f>BALANCE!L49</f>
        <v>0</v>
      </c>
      <c r="L184" s="3909">
        <f>BALANCE!J49+BALANCE!M49</f>
        <v>0</v>
      </c>
      <c r="M184" s="3883"/>
      <c r="N184" s="3907">
        <f>IFERROR('10.Results'!D184/time_tot,0)</f>
        <v>0</v>
      </c>
      <c r="O184" s="3907">
        <f>IFERROR('10.Results'!E184/time_tot,0)</f>
        <v>0</v>
      </c>
      <c r="P184" s="3907">
        <f>IFERROR('10.Results'!F184/time_tot,0)</f>
        <v>0</v>
      </c>
      <c r="W184" s="3142"/>
      <c r="X184" s="3142"/>
      <c r="Y184" s="3142"/>
      <c r="Z184" s="3142"/>
      <c r="AA184" s="3142"/>
      <c r="AB184" s="3142"/>
      <c r="AC184" s="3142"/>
      <c r="AD184" s="3142"/>
      <c r="AE184" s="3142"/>
      <c r="AF184" s="3142"/>
      <c r="AG184" s="3142"/>
      <c r="AH184" s="3142"/>
      <c r="AI184" s="3142"/>
      <c r="AJ184" s="3142"/>
      <c r="AK184" s="3142"/>
      <c r="AL184" s="3142"/>
      <c r="AM184" s="3142"/>
      <c r="AN184" s="3142"/>
      <c r="AO184" s="3142"/>
      <c r="AP184" s="3142"/>
      <c r="AQ184" s="3142"/>
      <c r="AR184" s="3142"/>
      <c r="AS184" s="3142"/>
      <c r="AT184" s="3142"/>
      <c r="AU184" s="3142"/>
      <c r="AV184" s="3142"/>
      <c r="AW184" s="3142"/>
      <c r="AX184" s="3142"/>
      <c r="AY184" s="3142"/>
      <c r="AZ184" s="3142"/>
      <c r="BA184" s="3142"/>
      <c r="BB184" s="3142"/>
      <c r="BC184" s="3142"/>
      <c r="BD184" s="3142"/>
      <c r="BE184" s="3142"/>
      <c r="BF184" s="3142"/>
      <c r="BG184" s="3142"/>
      <c r="BH184" s="3142"/>
      <c r="BI184" s="3142"/>
      <c r="BJ184" s="3142"/>
      <c r="BK184" s="3142"/>
      <c r="BL184" s="3142"/>
      <c r="BM184" s="3142"/>
      <c r="BN184" s="3142"/>
      <c r="BO184" s="3142"/>
      <c r="BP184" s="3142"/>
      <c r="BQ184" s="3142"/>
      <c r="BR184" s="3142"/>
      <c r="BS184" s="3142"/>
      <c r="BT184" s="3142"/>
      <c r="BU184" s="3142"/>
      <c r="BV184" s="3142"/>
    </row>
    <row r="185" spans="2:85" ht="22.25" customHeight="1" x14ac:dyDescent="0.2">
      <c r="B185" s="3883" t="str">
        <f>Languages!B711</f>
        <v>Peat extraction</v>
      </c>
      <c r="C185" s="3883"/>
      <c r="D185" s="3909">
        <f>SUM('Inl. wetlands'!BL473:BL482)</f>
        <v>7181202.7005952392</v>
      </c>
      <c r="E185" s="3909">
        <f>SUM('Inl. wetlands'!BM473:BM482)</f>
        <v>7291682.7421428571</v>
      </c>
      <c r="F185" s="3909">
        <f>BALANCE!D50</f>
        <v>110480.04154761873</v>
      </c>
      <c r="G185" s="3908">
        <f t="shared" si="15"/>
        <v>1</v>
      </c>
      <c r="H185" s="3907"/>
      <c r="I185" s="3907">
        <f>BALANCE!G50</f>
        <v>110285.08333333302</v>
      </c>
      <c r="J185" s="3907">
        <f>BALANCE!I50</f>
        <v>3.1232142857143117</v>
      </c>
      <c r="K185" s="3907">
        <f>BALANCE!L50</f>
        <v>0</v>
      </c>
      <c r="L185" s="3909">
        <f>BALANCE!J50+BALANCE!M50</f>
        <v>0</v>
      </c>
      <c r="M185" s="3883"/>
      <c r="N185" s="3907">
        <f>IFERROR('10.Results'!D185/time_tot,0)</f>
        <v>478746.84670634929</v>
      </c>
      <c r="O185" s="3907">
        <f>IFERROR('10.Results'!E185/time_tot,0)</f>
        <v>486112.18280952383</v>
      </c>
      <c r="P185" s="3907">
        <f>IFERROR('10.Results'!F185/time_tot,0)</f>
        <v>7365.3361031745826</v>
      </c>
      <c r="W185" s="3142"/>
      <c r="X185" s="3142"/>
      <c r="Y185" s="3142"/>
      <c r="Z185" s="3142"/>
      <c r="AA185" s="3142"/>
      <c r="AB185" s="3142"/>
      <c r="AC185" s="3142"/>
      <c r="AD185" s="3142"/>
      <c r="AE185" s="3142"/>
      <c r="AF185" s="3142"/>
      <c r="AG185" s="3142"/>
      <c r="AH185" s="3142"/>
      <c r="AI185" s="3142"/>
      <c r="AJ185" s="3142"/>
      <c r="AK185" s="3142"/>
      <c r="AL185" s="3142"/>
      <c r="AM185" s="3142"/>
      <c r="AN185" s="3142"/>
      <c r="AO185" s="3142"/>
      <c r="AP185" s="3142"/>
      <c r="AQ185" s="3142"/>
      <c r="AR185" s="3142"/>
      <c r="AS185" s="3142"/>
      <c r="AT185" s="3142"/>
      <c r="AU185" s="3142"/>
      <c r="AV185" s="3142"/>
      <c r="AW185" s="3142"/>
      <c r="AX185" s="3142"/>
      <c r="AY185" s="3142"/>
      <c r="AZ185" s="3142"/>
      <c r="BA185" s="3142"/>
      <c r="BB185" s="3142"/>
      <c r="BC185" s="3142"/>
      <c r="BD185" s="3142"/>
      <c r="BE185" s="3142"/>
      <c r="BF185" s="3142"/>
      <c r="BG185" s="3142"/>
      <c r="BH185" s="3142"/>
      <c r="BI185" s="3142"/>
      <c r="BJ185" s="3142"/>
      <c r="BK185" s="3142"/>
      <c r="BL185" s="3142"/>
      <c r="BM185" s="3142"/>
      <c r="BN185" s="3142"/>
      <c r="BO185" s="3142"/>
      <c r="BP185" s="3142"/>
      <c r="BQ185" s="3142"/>
      <c r="BR185" s="3142"/>
      <c r="BS185" s="3142"/>
      <c r="BT185" s="3142"/>
      <c r="BU185" s="3142"/>
      <c r="BV185" s="3142"/>
    </row>
    <row r="186" spans="2:85" ht="22.25" customHeight="1" x14ac:dyDescent="0.2">
      <c r="G186" s="3908"/>
      <c r="H186" s="1897"/>
      <c r="I186" s="1897"/>
      <c r="J186" s="1897"/>
      <c r="K186" s="1897"/>
      <c r="L186" s="1897"/>
      <c r="W186" s="3142"/>
      <c r="X186" s="3142"/>
      <c r="Y186" s="3142"/>
      <c r="Z186" s="3142"/>
      <c r="AA186" s="3142"/>
      <c r="AB186" s="3142"/>
      <c r="AC186" s="3142"/>
      <c r="AD186" s="3142"/>
      <c r="AE186" s="3142"/>
      <c r="AF186" s="3142"/>
      <c r="AG186" s="3142"/>
      <c r="AH186" s="3142"/>
      <c r="AI186" s="3142"/>
      <c r="AJ186" s="3142"/>
      <c r="AK186" s="3142"/>
      <c r="AL186" s="3142"/>
      <c r="AM186" s="3142"/>
      <c r="AN186" s="3142"/>
      <c r="AO186" s="3142"/>
      <c r="AP186" s="3142"/>
      <c r="AQ186" s="3142"/>
      <c r="AR186" s="3142"/>
      <c r="AS186" s="3142"/>
      <c r="AT186" s="3142"/>
      <c r="AU186" s="3142"/>
      <c r="AV186" s="3142"/>
      <c r="AW186" s="3142"/>
      <c r="AX186" s="3142"/>
      <c r="AY186" s="3142"/>
      <c r="AZ186" s="3142"/>
      <c r="BA186" s="3142"/>
      <c r="BB186" s="3142"/>
      <c r="BC186" s="3142"/>
      <c r="BD186" s="3142"/>
      <c r="BE186" s="3142"/>
      <c r="BF186" s="3142"/>
      <c r="BG186" s="3142"/>
      <c r="BH186" s="3142"/>
      <c r="BI186" s="3142"/>
      <c r="BJ186" s="3142"/>
      <c r="BK186" s="3142"/>
      <c r="BL186" s="3142"/>
      <c r="BM186" s="3142"/>
      <c r="BN186" s="3142"/>
      <c r="BO186" s="3142"/>
      <c r="BP186" s="3142"/>
      <c r="BQ186" s="3142"/>
      <c r="BR186" s="3142"/>
      <c r="BS186" s="3142"/>
      <c r="BT186" s="3142"/>
      <c r="BU186" s="3142"/>
      <c r="BV186" s="3142"/>
    </row>
    <row r="187" spans="2:85" ht="22.25" customHeight="1" x14ac:dyDescent="0.2">
      <c r="B187" s="3956" t="str">
        <f>B131</f>
        <v>Total emissions, tCO2-e</v>
      </c>
      <c r="C187" s="3956"/>
      <c r="D187" s="3957">
        <f>SUM(D180:D185)</f>
        <v>7200444.1922619054</v>
      </c>
      <c r="E187" s="3957">
        <f t="shared" ref="E187:P187" si="16">SUM(E180:E185)</f>
        <v>7317101.6504761903</v>
      </c>
      <c r="F187" s="3957">
        <f>E187-D187</f>
        <v>116657.45821428485</v>
      </c>
      <c r="G187" s="3908"/>
      <c r="H187" s="3957">
        <f t="shared" si="16"/>
        <v>0</v>
      </c>
      <c r="I187" s="3957">
        <f t="shared" si="16"/>
        <v>112952.58333333302</v>
      </c>
      <c r="J187" s="3957">
        <f t="shared" si="16"/>
        <v>294.62321428571443</v>
      </c>
      <c r="K187" s="3957">
        <f t="shared" si="16"/>
        <v>3227.5833333333317</v>
      </c>
      <c r="L187" s="3957">
        <f t="shared" si="16"/>
        <v>0</v>
      </c>
      <c r="M187" s="3921"/>
      <c r="N187" s="3957">
        <f t="shared" si="16"/>
        <v>480029.61281746038</v>
      </c>
      <c r="O187" s="3957">
        <f t="shared" si="16"/>
        <v>487806.77669841272</v>
      </c>
      <c r="P187" s="3957">
        <f t="shared" si="16"/>
        <v>7777.1638809523602</v>
      </c>
      <c r="W187" s="3142"/>
      <c r="X187" s="3142"/>
      <c r="Y187" s="3142"/>
      <c r="Z187" s="3142"/>
      <c r="AA187" s="3142"/>
      <c r="AB187" s="3142"/>
      <c r="AC187" s="3142"/>
      <c r="AD187" s="3142"/>
      <c r="AE187" s="3142"/>
      <c r="AF187" s="3142"/>
      <c r="AG187" s="3142"/>
      <c r="AH187" s="3142"/>
      <c r="AI187" s="3142"/>
      <c r="AJ187" s="3142"/>
      <c r="AK187" s="3142"/>
      <c r="AL187" s="3142"/>
      <c r="AM187" s="3142"/>
      <c r="AN187" s="3142"/>
      <c r="AO187" s="3142"/>
      <c r="AP187" s="3142"/>
      <c r="AQ187" s="3142"/>
      <c r="AR187" s="3142"/>
      <c r="AS187" s="3142"/>
      <c r="AT187" s="3142"/>
      <c r="AU187" s="3142"/>
      <c r="AV187" s="3142"/>
      <c r="AW187" s="3142"/>
      <c r="AX187" s="3142"/>
      <c r="AY187" s="3142"/>
      <c r="AZ187" s="3142"/>
      <c r="BA187" s="3142"/>
      <c r="BB187" s="3142"/>
      <c r="BC187" s="3142"/>
      <c r="BD187" s="3142"/>
      <c r="BE187" s="3142"/>
      <c r="BF187" s="3142"/>
      <c r="BG187" s="3142"/>
      <c r="BH187" s="3142"/>
      <c r="BI187" s="3142"/>
      <c r="BJ187" s="3142"/>
      <c r="BK187" s="3142"/>
      <c r="BL187" s="3142"/>
      <c r="BM187" s="3142"/>
      <c r="BN187" s="3142"/>
      <c r="BO187" s="3142"/>
      <c r="BP187" s="3142"/>
      <c r="BQ187" s="3142"/>
      <c r="BR187" s="3142"/>
      <c r="BS187" s="3142"/>
      <c r="BT187" s="3142"/>
      <c r="BU187" s="3142"/>
      <c r="BV187" s="3142"/>
    </row>
    <row r="188" spans="2:85" ht="22.25" customHeight="1" x14ac:dyDescent="0.2">
      <c r="B188" s="3956" t="str">
        <f>B132</f>
        <v>Total emissions, tCO2-e/ha</v>
      </c>
      <c r="C188" s="3923"/>
      <c r="D188" s="3924">
        <f>IFERROR(D187/BALANCE!$S$4,0)</f>
        <v>12000.740320436509</v>
      </c>
      <c r="E188" s="3924">
        <f>IFERROR(E187/BALANCE!$S$4,0)</f>
        <v>12195.169417460316</v>
      </c>
      <c r="F188" s="3924">
        <f>IFERROR(F187/BALANCE!$S$4,0)</f>
        <v>194.42909702380808</v>
      </c>
      <c r="G188" s="3908"/>
      <c r="H188" s="3924">
        <f>IFERROR(H187/BALANCE!$S$4,0)</f>
        <v>0</v>
      </c>
      <c r="I188" s="3924">
        <f>IFERROR(I187/BALANCE!$S$4,0)</f>
        <v>188.25430555555505</v>
      </c>
      <c r="J188" s="3924">
        <f>IFERROR(J187/BALANCE!$S$4,0)</f>
        <v>0.4910386904761907</v>
      </c>
      <c r="K188" s="3924">
        <f>IFERROR(K187/BALANCE!$S$4,0)</f>
        <v>5.3793055555555531</v>
      </c>
      <c r="L188" s="3924">
        <f>IFERROR(L187/BALANCE!$S$4,0)</f>
        <v>0</v>
      </c>
      <c r="M188" s="3919"/>
      <c r="N188" s="3925"/>
      <c r="O188" s="3925"/>
      <c r="P188" s="3925"/>
      <c r="W188" s="3142"/>
      <c r="X188" s="3142"/>
      <c r="Y188" s="3142"/>
      <c r="Z188" s="3142"/>
      <c r="AA188" s="3142"/>
      <c r="AB188" s="3142"/>
      <c r="AC188" s="3142"/>
      <c r="AD188" s="3142"/>
      <c r="AE188" s="3142"/>
      <c r="AF188" s="3142"/>
      <c r="AG188" s="3142"/>
      <c r="AH188" s="3142"/>
      <c r="AI188" s="3142"/>
      <c r="AJ188" s="3142"/>
      <c r="AK188" s="3142"/>
      <c r="AL188" s="3142"/>
      <c r="AM188" s="3142"/>
      <c r="AN188" s="3142"/>
      <c r="AO188" s="3142"/>
      <c r="AP188" s="3142"/>
      <c r="AQ188" s="3142"/>
      <c r="AR188" s="3142"/>
      <c r="AS188" s="3142"/>
      <c r="AT188" s="3142"/>
      <c r="AU188" s="3142"/>
      <c r="AV188" s="3142"/>
      <c r="AW188" s="3142"/>
      <c r="AX188" s="3142"/>
      <c r="AY188" s="3142"/>
      <c r="AZ188" s="3142"/>
      <c r="BA188" s="3142"/>
      <c r="BB188" s="3142"/>
      <c r="BC188" s="3142"/>
      <c r="BD188" s="3142"/>
      <c r="BE188" s="3142"/>
      <c r="BF188" s="3142"/>
      <c r="BG188" s="3142"/>
      <c r="BH188" s="3142"/>
      <c r="BI188" s="3142"/>
      <c r="BJ188" s="3142"/>
      <c r="BK188" s="3142"/>
      <c r="BL188" s="3142"/>
      <c r="BM188" s="3142"/>
      <c r="BN188" s="3142"/>
      <c r="BO188" s="3142"/>
      <c r="BP188" s="3142"/>
      <c r="BQ188" s="3142"/>
      <c r="BR188" s="3142"/>
      <c r="BS188" s="3142"/>
      <c r="BT188" s="3142"/>
      <c r="BU188" s="3142"/>
      <c r="BV188" s="3142"/>
    </row>
    <row r="189" spans="2:85" ht="22.25" customHeight="1" x14ac:dyDescent="0.2">
      <c r="B189" s="3956" t="str">
        <f>B133</f>
        <v>Total emissions, tCO2-e/ha/yr</v>
      </c>
      <c r="C189" s="3920"/>
      <c r="D189" s="3926">
        <f>IFERROR(D188/time_tot,0)</f>
        <v>800.04935469576731</v>
      </c>
      <c r="E189" s="3926">
        <f>IFERROR(E188/time_tot,0)</f>
        <v>813.01129449735447</v>
      </c>
      <c r="F189" s="3926">
        <f>IFERROR(F188/time_tot,0)</f>
        <v>12.961939801587205</v>
      </c>
      <c r="G189" s="3908"/>
      <c r="H189" s="3926">
        <f>IFERROR(H188/time_tot,0)</f>
        <v>0</v>
      </c>
      <c r="I189" s="3926">
        <f>IFERROR(I188/time_tot,0)</f>
        <v>12.550287037037004</v>
      </c>
      <c r="J189" s="3926">
        <f>IFERROR(J188/time_tot,0)</f>
        <v>3.2735912698412716E-2</v>
      </c>
      <c r="K189" s="3926">
        <f>IFERROR(K188/time_tot,0)</f>
        <v>0.3586203703703702</v>
      </c>
      <c r="L189" s="3926">
        <f>IFERROR(L188/time_tot,0)</f>
        <v>0</v>
      </c>
      <c r="M189" s="3919"/>
      <c r="N189" s="3925"/>
      <c r="O189" s="3925"/>
      <c r="P189" s="3925"/>
      <c r="W189" s="1969"/>
      <c r="X189" s="1969"/>
      <c r="Y189" s="1969"/>
      <c r="Z189" s="1969"/>
      <c r="AA189" s="1969"/>
      <c r="AB189" s="1969"/>
      <c r="AC189" s="1969"/>
      <c r="AD189" s="1969"/>
      <c r="AE189" s="1969"/>
      <c r="AF189" s="1969"/>
      <c r="AG189" s="1969"/>
      <c r="AH189" s="1969"/>
      <c r="AI189" s="1969"/>
      <c r="AJ189" s="1969"/>
      <c r="AK189" s="1969"/>
      <c r="AL189" s="1969"/>
      <c r="AM189" s="1969"/>
      <c r="AN189" s="1969"/>
      <c r="AO189" s="1969"/>
      <c r="AP189" s="1969"/>
      <c r="AQ189" s="1969"/>
      <c r="AR189" s="1969"/>
      <c r="AS189" s="1969"/>
      <c r="AT189" s="1969"/>
      <c r="AU189" s="1969"/>
      <c r="AV189" s="1969"/>
      <c r="AW189" s="1969"/>
      <c r="AX189" s="1969"/>
      <c r="AY189" s="1969"/>
      <c r="AZ189" s="1969"/>
      <c r="BA189" s="1969"/>
      <c r="BB189" s="1969"/>
      <c r="BC189" s="1969"/>
      <c r="BD189" s="1969"/>
      <c r="BE189" s="1969"/>
      <c r="BF189" s="1969"/>
      <c r="BG189" s="1969"/>
      <c r="BH189" s="1969"/>
      <c r="BI189" s="1969"/>
      <c r="BJ189" s="1969"/>
      <c r="BK189" s="1969"/>
      <c r="BL189" s="1969"/>
      <c r="BM189" s="1969"/>
      <c r="BN189" s="1969"/>
      <c r="BO189" s="1969"/>
      <c r="BP189" s="1969"/>
      <c r="BQ189" s="1969"/>
      <c r="BR189" s="1969"/>
      <c r="BS189" s="1969"/>
      <c r="BT189" s="1969"/>
      <c r="BU189" s="1969"/>
      <c r="BV189" s="1969"/>
    </row>
    <row r="190" spans="2:85" ht="22.25" customHeight="1" x14ac:dyDescent="0.2">
      <c r="B190" s="3920"/>
      <c r="C190" s="3920"/>
      <c r="D190" s="3978"/>
      <c r="E190" s="3978"/>
      <c r="F190" s="3978"/>
      <c r="G190" s="3908"/>
      <c r="H190" s="3978"/>
      <c r="I190" s="3978"/>
      <c r="J190" s="3978"/>
      <c r="K190" s="3978"/>
      <c r="L190" s="3978"/>
      <c r="M190" s="3919"/>
      <c r="N190" s="3978"/>
      <c r="W190" s="3142"/>
      <c r="X190" s="3142"/>
      <c r="Y190" s="3142"/>
      <c r="Z190" s="3142"/>
      <c r="AA190" s="3142"/>
      <c r="AB190" s="3142"/>
      <c r="AC190" s="3142"/>
      <c r="AD190" s="3142"/>
      <c r="AE190" s="3142"/>
      <c r="AF190" s="3142"/>
      <c r="AG190" s="3142"/>
      <c r="AH190" s="3142"/>
      <c r="AI190" s="3142"/>
      <c r="AJ190" s="3142"/>
      <c r="AK190" s="3142"/>
      <c r="AL190" s="3142"/>
      <c r="AM190" s="3142"/>
      <c r="AN190" s="3142"/>
      <c r="AO190" s="3142"/>
      <c r="AP190" s="3142"/>
      <c r="AQ190" s="3142"/>
      <c r="AR190" s="3142"/>
      <c r="AS190" s="3142"/>
      <c r="AT190" s="3142"/>
      <c r="AU190" s="3142"/>
      <c r="AV190" s="3142"/>
      <c r="AW190" s="3142"/>
      <c r="AX190" s="3142"/>
      <c r="AY190" s="3142"/>
      <c r="AZ190" s="3142"/>
      <c r="BA190" s="3142"/>
      <c r="BB190" s="3142"/>
      <c r="BC190" s="3142"/>
      <c r="BD190" s="3142"/>
      <c r="BE190" s="3142"/>
      <c r="BF190" s="3142"/>
      <c r="BG190" s="3142"/>
      <c r="BH190" s="3142"/>
      <c r="BI190" s="3142"/>
      <c r="BJ190" s="3142"/>
      <c r="BK190" s="3142"/>
      <c r="BL190" s="3142"/>
      <c r="BM190" s="3142"/>
      <c r="BN190" s="3142"/>
      <c r="BO190" s="3142"/>
      <c r="BP190" s="3142"/>
      <c r="BQ190" s="3142"/>
      <c r="BR190" s="3142"/>
      <c r="BS190" s="3142"/>
      <c r="BT190" s="3142"/>
      <c r="BU190" s="3142"/>
      <c r="BV190" s="3142"/>
    </row>
    <row r="191" spans="2:85" ht="22.25" customHeight="1" x14ac:dyDescent="0.2">
      <c r="B191" s="3920"/>
      <c r="C191" s="3994"/>
      <c r="D191" s="3995"/>
      <c r="E191" s="3995"/>
      <c r="F191" s="3978"/>
      <c r="G191" s="3908"/>
      <c r="H191" s="3978"/>
      <c r="I191" s="3978"/>
      <c r="J191" s="3978"/>
      <c r="K191" s="3978"/>
      <c r="L191" s="3978"/>
      <c r="M191" s="3919"/>
      <c r="N191" s="3978"/>
      <c r="O191" s="4082" t="str">
        <f>N135</f>
        <v>Uncertainty level</v>
      </c>
      <c r="P191" s="4081" t="str">
        <f>O135</f>
        <v>tCO2-e/yr</v>
      </c>
      <c r="Q191" s="4081" t="str">
        <f>P135</f>
        <v>Percent</v>
      </c>
      <c r="W191" s="3142"/>
      <c r="X191" s="3142"/>
      <c r="Y191" s="3142"/>
      <c r="Z191" s="3142"/>
      <c r="AA191" s="3142"/>
      <c r="AB191" s="3142"/>
      <c r="AC191" s="3142"/>
      <c r="AD191" s="3142"/>
      <c r="AE191" s="3142"/>
      <c r="AF191" s="3142"/>
      <c r="AG191" s="3142"/>
      <c r="AH191" s="3142"/>
      <c r="AI191" s="3142"/>
      <c r="AJ191" s="3142"/>
      <c r="AK191" s="3142"/>
      <c r="AL191" s="3142"/>
      <c r="AM191" s="3142"/>
      <c r="AN191" s="3142"/>
      <c r="AO191" s="3142"/>
      <c r="AP191" s="3142"/>
      <c r="AQ191" s="3142"/>
      <c r="AR191" s="3142"/>
      <c r="AS191" s="3142"/>
      <c r="AT191" s="3142"/>
      <c r="AU191" s="3142"/>
      <c r="AV191" s="3142"/>
      <c r="AW191" s="3142"/>
      <c r="AX191" s="3142"/>
      <c r="AY191" s="3142"/>
      <c r="AZ191" s="3142"/>
      <c r="BA191" s="3142"/>
      <c r="BB191" s="3142"/>
      <c r="BC191" s="3142"/>
      <c r="BD191" s="3142"/>
      <c r="BE191" s="3142"/>
      <c r="BF191" s="3142"/>
      <c r="BG191" s="3142"/>
      <c r="BH191" s="3142"/>
      <c r="BI191" s="3142"/>
      <c r="BJ191" s="3142"/>
      <c r="BK191" s="3142"/>
      <c r="BL191" s="3142"/>
      <c r="BM191" s="3142"/>
      <c r="BN191" s="3142"/>
      <c r="BO191" s="3142"/>
      <c r="BP191" s="3142"/>
      <c r="BQ191" s="3142"/>
      <c r="BR191" s="3142"/>
      <c r="BS191" s="3142"/>
      <c r="BT191" s="3142"/>
      <c r="BU191" s="3142"/>
      <c r="BV191" s="3142"/>
    </row>
    <row r="192" spans="2:85" ht="22.25" customHeight="1" x14ac:dyDescent="0.2">
      <c r="B192" s="3920"/>
      <c r="C192" s="3994"/>
      <c r="D192" s="3995"/>
      <c r="E192" s="3995"/>
      <c r="F192" s="3978"/>
      <c r="G192" s="3908"/>
      <c r="H192" s="3978"/>
      <c r="I192" s="3978"/>
      <c r="J192" s="3978"/>
      <c r="K192" s="3978"/>
      <c r="L192" s="3978"/>
      <c r="M192" s="3919"/>
      <c r="N192" s="3978"/>
      <c r="O192" s="3999" t="str">
        <f>N136</f>
        <v>WITHOUT</v>
      </c>
      <c r="P192" s="3997">
        <f>SUM(BALANCE!K123:O128)</f>
        <v>3600222.0961309532</v>
      </c>
      <c r="Q192" s="3998">
        <f>IFERROR(SUMPRODUCT(BALANCE!K123:O128,BALANCE!Q123:U128)/P192/100,0)</f>
        <v>0.50000000000000011</v>
      </c>
      <c r="W192" s="3142"/>
      <c r="X192" s="3142"/>
      <c r="Y192" s="3142"/>
      <c r="Z192" s="3142"/>
      <c r="AA192" s="3142"/>
      <c r="AB192" s="3142"/>
      <c r="AC192" s="3142"/>
      <c r="AD192" s="3142"/>
      <c r="AE192" s="3142"/>
      <c r="AF192" s="3142"/>
      <c r="AG192" s="3142"/>
      <c r="AH192" s="3142"/>
      <c r="AI192" s="3142"/>
      <c r="AJ192" s="3142"/>
      <c r="AK192" s="3142"/>
      <c r="AL192" s="3142"/>
      <c r="AM192" s="3142"/>
      <c r="AN192" s="3142"/>
      <c r="AO192" s="3142"/>
      <c r="AP192" s="3142"/>
      <c r="AQ192" s="3142"/>
      <c r="AR192" s="3142"/>
      <c r="AS192" s="3142"/>
      <c r="AT192" s="3142"/>
      <c r="AU192" s="3142"/>
      <c r="AV192" s="3142"/>
      <c r="AW192" s="3142"/>
      <c r="AX192" s="3142"/>
      <c r="AY192" s="3142"/>
      <c r="AZ192" s="3142"/>
      <c r="BA192" s="3142"/>
      <c r="BB192" s="3142"/>
      <c r="BC192" s="3142"/>
      <c r="BD192" s="3142"/>
      <c r="BE192" s="3142"/>
      <c r="BF192" s="3142"/>
      <c r="BG192" s="3142"/>
      <c r="BH192" s="3142"/>
      <c r="BI192" s="3142"/>
      <c r="BJ192" s="3142"/>
      <c r="BK192" s="3142"/>
      <c r="BL192" s="3142"/>
      <c r="BM192" s="3142"/>
      <c r="BN192" s="3142"/>
      <c r="BO192" s="3142"/>
      <c r="BP192" s="3142"/>
      <c r="BQ192" s="3142"/>
      <c r="BR192" s="3142"/>
      <c r="BS192" s="3142"/>
      <c r="BT192" s="3142"/>
      <c r="BU192" s="3142"/>
      <c r="BV192" s="3142"/>
    </row>
    <row r="193" spans="2:17" ht="17" x14ac:dyDescent="0.2">
      <c r="G193" s="3908">
        <f t="shared" si="15"/>
        <v>0</v>
      </c>
      <c r="O193" s="3999" t="str">
        <f>N137</f>
        <v>WITH</v>
      </c>
      <c r="P193" s="3997">
        <f>SUM(BALANCE!K152:O157)</f>
        <v>3658550.8252380951</v>
      </c>
      <c r="Q193" s="3998">
        <f>IFERROR(SUMPRODUCT(BALANCE!K152:O157,BALANCE!Q152:U157)/P193/100,0)</f>
        <v>0.50000000000000011</v>
      </c>
    </row>
    <row r="194" spans="2:17" ht="17" x14ac:dyDescent="0.2">
      <c r="G194" s="3908"/>
      <c r="O194" s="3999" t="str">
        <f>N138</f>
        <v>BALANCE</v>
      </c>
      <c r="P194" s="3997">
        <f>SUM(BALANCE!K95:O100)</f>
        <v>58237.394940476035</v>
      </c>
      <c r="Q194" s="3998">
        <f>IFERROR(SUMPRODUCT(BALANCE!K95:O100,BALANCE!Q95:U100)/P194/100,0)</f>
        <v>0.5</v>
      </c>
    </row>
    <row r="195" spans="2:17" ht="17" x14ac:dyDescent="0.2">
      <c r="G195" s="3908"/>
      <c r="O195" s="3999"/>
      <c r="P195" s="3997"/>
      <c r="Q195" s="3998"/>
    </row>
    <row r="196" spans="2:17" ht="57.75" customHeight="1" x14ac:dyDescent="0.2">
      <c r="B196" s="4602" t="str">
        <f>J26</f>
        <v>Share of the balance per GHG, in tCO2-e</v>
      </c>
      <c r="C196" s="4602"/>
      <c r="D196" s="4602"/>
      <c r="E196" s="4602"/>
      <c r="F196" s="4602"/>
      <c r="G196" s="4602"/>
      <c r="H196" s="4602"/>
      <c r="I196" s="4602"/>
      <c r="J196" s="4603" t="str">
        <f>Languages!B703</f>
        <v>Share of the balance per activities, in tCO2-e</v>
      </c>
      <c r="K196" s="4602"/>
      <c r="L196" s="4602"/>
      <c r="M196" s="4602"/>
      <c r="N196" s="4602"/>
      <c r="O196" s="4602"/>
      <c r="P196" s="4602"/>
      <c r="Q196" s="4602"/>
    </row>
    <row r="211" spans="75:85" x14ac:dyDescent="0.2">
      <c r="BW211" s="1969"/>
      <c r="BX211" s="1969"/>
      <c r="BY211" s="1969"/>
      <c r="BZ211" s="1969"/>
      <c r="CA211" s="1969"/>
      <c r="CB211" s="1969"/>
      <c r="CC211" s="1969"/>
      <c r="CD211" s="1969"/>
      <c r="CE211" s="1969"/>
      <c r="CF211" s="1969"/>
      <c r="CG211" s="1969"/>
    </row>
    <row r="229" spans="2:74" ht="21" x14ac:dyDescent="0.25">
      <c r="I229" s="3946"/>
      <c r="Q229" s="3946"/>
    </row>
    <row r="232" spans="2:74" ht="57.75" customHeight="1" x14ac:dyDescent="0.2">
      <c r="B232" s="4602" t="str">
        <f>Languages!B704</f>
        <v>Gross Fluxes Without Project, in tCO2-e</v>
      </c>
      <c r="C232" s="4602"/>
      <c r="D232" s="4602"/>
      <c r="E232" s="4602"/>
      <c r="F232" s="4602"/>
      <c r="G232" s="4602"/>
      <c r="H232" s="4602"/>
      <c r="I232" s="4602"/>
      <c r="J232" s="4603" t="str">
        <f>Languages!B705</f>
        <v>Gross Fluxes With Project, in tCO2-e</v>
      </c>
      <c r="K232" s="4602"/>
      <c r="L232" s="4602"/>
      <c r="M232" s="4602"/>
      <c r="N232" s="4602"/>
      <c r="O232" s="4602"/>
      <c r="P232" s="4602"/>
      <c r="Q232" s="4602"/>
    </row>
    <row r="237" spans="2:74" x14ac:dyDescent="0.2">
      <c r="W237" s="1969"/>
      <c r="X237" s="1969"/>
      <c r="Y237" s="1969"/>
      <c r="Z237" s="1969"/>
      <c r="AA237" s="1969"/>
      <c r="AB237" s="1969"/>
      <c r="AC237" s="1969"/>
      <c r="AD237" s="1969"/>
      <c r="AE237" s="1969"/>
      <c r="AF237" s="1969"/>
      <c r="AG237" s="1969"/>
      <c r="AH237" s="1969"/>
      <c r="AI237" s="1969"/>
      <c r="AJ237" s="1969"/>
      <c r="AK237" s="1969"/>
      <c r="AL237" s="1969"/>
      <c r="AM237" s="1969"/>
      <c r="AN237" s="1969"/>
      <c r="AO237" s="1969"/>
      <c r="AP237" s="1969"/>
      <c r="AQ237" s="1969"/>
      <c r="AR237" s="1969"/>
      <c r="AS237" s="1969"/>
      <c r="AT237" s="1969"/>
      <c r="AU237" s="1969"/>
      <c r="AV237" s="1969"/>
      <c r="AW237" s="1969"/>
      <c r="AX237" s="1969"/>
      <c r="AY237" s="1969"/>
      <c r="AZ237" s="1969"/>
      <c r="BA237" s="1969"/>
      <c r="BB237" s="1969"/>
      <c r="BC237" s="1969"/>
      <c r="BD237" s="1969"/>
      <c r="BE237" s="1969"/>
      <c r="BF237" s="1969"/>
      <c r="BG237" s="1969"/>
      <c r="BH237" s="1969"/>
      <c r="BI237" s="1969"/>
      <c r="BJ237" s="1969"/>
      <c r="BK237" s="1969"/>
      <c r="BL237" s="1969"/>
      <c r="BM237" s="1969"/>
      <c r="BN237" s="1969"/>
      <c r="BO237" s="1969"/>
      <c r="BP237" s="1969"/>
      <c r="BQ237" s="1969"/>
      <c r="BR237" s="1969"/>
      <c r="BS237" s="1969"/>
      <c r="BT237" s="1969"/>
      <c r="BU237" s="1969"/>
      <c r="BV237" s="1969"/>
    </row>
    <row r="270" spans="2:17" ht="47" x14ac:dyDescent="0.2">
      <c r="B270" s="4609" t="str">
        <f>Languages!B706</f>
        <v>DETAILED MATRIX OF CHANGES FOR ORGANIC SOILS</v>
      </c>
      <c r="C270" s="4609"/>
      <c r="D270" s="4609"/>
      <c r="E270" s="4609"/>
      <c r="F270" s="4609"/>
      <c r="G270" s="4609"/>
      <c r="H270" s="4609"/>
      <c r="I270" s="4609"/>
      <c r="J270" s="4609"/>
      <c r="K270" s="4609"/>
      <c r="L270" s="4609"/>
      <c r="M270" s="4609"/>
      <c r="N270" s="4609"/>
      <c r="O270" s="4609"/>
      <c r="P270" s="4609"/>
      <c r="Q270" s="4609"/>
    </row>
    <row r="273" spans="2:16" ht="17" x14ac:dyDescent="0.2">
      <c r="B273" s="4607" t="str">
        <f t="shared" ref="B273:B281" si="17">B148</f>
        <v>WITHOUT PROJECT</v>
      </c>
      <c r="C273" s="4608"/>
      <c r="D273" s="3955" t="str">
        <f>D148</f>
        <v>Forest</v>
      </c>
      <c r="E273" s="3955" t="str">
        <f>E148</f>
        <v>Annual</v>
      </c>
      <c r="F273" s="3955" t="str">
        <f>F159</f>
        <v>Perennial</v>
      </c>
      <c r="G273" s="4607" t="str">
        <f>G159</f>
        <v>Flooded rice</v>
      </c>
      <c r="H273" s="4608"/>
      <c r="I273" s="3955" t="str">
        <f>I159</f>
        <v>Grassland</v>
      </c>
      <c r="J273" s="3955" t="str">
        <f>J159</f>
        <v>Degraded land</v>
      </c>
      <c r="K273" s="3955" t="str">
        <f>K159</f>
        <v>Other land</v>
      </c>
      <c r="L273" s="3955" t="str">
        <f>L148</f>
        <v>Total area (ha)</v>
      </c>
      <c r="O273" s="3897"/>
      <c r="P273" s="4083"/>
    </row>
    <row r="274" spans="2:16" ht="17" x14ac:dyDescent="0.2">
      <c r="B274" s="3142" t="str">
        <f t="shared" si="17"/>
        <v>Forest</v>
      </c>
      <c r="C274" s="1969"/>
      <c r="D274" s="4293">
        <f>Matrix!I50</f>
        <v>100</v>
      </c>
      <c r="E274" s="4293">
        <f>Matrix!J50</f>
        <v>0</v>
      </c>
      <c r="F274" s="4293">
        <f>Matrix!K50</f>
        <v>0</v>
      </c>
      <c r="G274" s="4614">
        <f>Matrix!L50</f>
        <v>0</v>
      </c>
      <c r="H274" s="4615"/>
      <c r="I274" s="4293">
        <f>Matrix!M50</f>
        <v>0</v>
      </c>
      <c r="J274" s="4293">
        <f>Matrix!N50</f>
        <v>0</v>
      </c>
      <c r="K274" s="4293">
        <f>Matrix!O50</f>
        <v>0</v>
      </c>
      <c r="L274" s="4059">
        <f>Matrix!P50</f>
        <v>100</v>
      </c>
      <c r="O274" s="3885"/>
      <c r="P274" s="3947"/>
    </row>
    <row r="275" spans="2:16" ht="17" x14ac:dyDescent="0.2">
      <c r="B275" s="3142" t="str">
        <f t="shared" si="17"/>
        <v>Annual cropland</v>
      </c>
      <c r="C275" s="1969"/>
      <c r="D275" s="4065">
        <f>Matrix!I51</f>
        <v>0</v>
      </c>
      <c r="E275" s="4067">
        <f>Matrix!J51</f>
        <v>0</v>
      </c>
      <c r="F275" s="3950">
        <f>Matrix!K51</f>
        <v>0</v>
      </c>
      <c r="G275" s="4610">
        <f>Matrix!L51</f>
        <v>0</v>
      </c>
      <c r="H275" s="4611"/>
      <c r="I275" s="3950">
        <f>Matrix!M51</f>
        <v>0</v>
      </c>
      <c r="J275" s="3950">
        <f>Matrix!N51</f>
        <v>0</v>
      </c>
      <c r="K275" s="3950">
        <f>Matrix!O51</f>
        <v>0</v>
      </c>
      <c r="L275" s="4061">
        <f>Matrix!P51</f>
        <v>0</v>
      </c>
      <c r="O275" s="3885"/>
      <c r="P275" s="3947"/>
    </row>
    <row r="276" spans="2:16" ht="17" x14ac:dyDescent="0.2">
      <c r="B276" s="3142" t="str">
        <f t="shared" si="17"/>
        <v>Agroforestry</v>
      </c>
      <c r="C276" s="1969"/>
      <c r="D276" s="4065">
        <f>Matrix!I52</f>
        <v>0</v>
      </c>
      <c r="E276" s="3950">
        <f>Matrix!J52</f>
        <v>0</v>
      </c>
      <c r="F276" s="4067">
        <f>Matrix!K52</f>
        <v>0</v>
      </c>
      <c r="G276" s="4610">
        <f>Matrix!L52</f>
        <v>0</v>
      </c>
      <c r="H276" s="4611"/>
      <c r="I276" s="3950">
        <f>Matrix!M52</f>
        <v>0</v>
      </c>
      <c r="J276" s="3950">
        <f>Matrix!N52</f>
        <v>0</v>
      </c>
      <c r="K276" s="3950">
        <f>Matrix!O52</f>
        <v>0</v>
      </c>
      <c r="L276" s="4061">
        <f>Matrix!P52</f>
        <v>0</v>
      </c>
      <c r="O276" s="3885"/>
      <c r="P276" s="3947"/>
    </row>
    <row r="277" spans="2:16" ht="16" x14ac:dyDescent="0.2">
      <c r="B277" s="3142" t="str">
        <f t="shared" si="17"/>
        <v>Flooded rice</v>
      </c>
      <c r="C277" s="1969"/>
      <c r="D277" s="4065">
        <f>Matrix!I53</f>
        <v>0</v>
      </c>
      <c r="E277" s="3950">
        <f>Matrix!J53</f>
        <v>0</v>
      </c>
      <c r="F277" s="3950">
        <f>Matrix!K53</f>
        <v>0</v>
      </c>
      <c r="G277" s="4616">
        <f>Matrix!L53</f>
        <v>0</v>
      </c>
      <c r="H277" s="4617"/>
      <c r="I277" s="3950">
        <f>Matrix!M53</f>
        <v>0</v>
      </c>
      <c r="J277" s="3950">
        <f>Matrix!N53</f>
        <v>0</v>
      </c>
      <c r="K277" s="3950">
        <f>Matrix!O53</f>
        <v>0</v>
      </c>
      <c r="L277" s="4061">
        <f>Matrix!P53</f>
        <v>0</v>
      </c>
    </row>
    <row r="278" spans="2:16" ht="16" x14ac:dyDescent="0.2">
      <c r="B278" s="3142" t="str">
        <f t="shared" si="17"/>
        <v>Grassland</v>
      </c>
      <c r="C278" s="1969"/>
      <c r="D278" s="4065">
        <f>Matrix!I54</f>
        <v>0</v>
      </c>
      <c r="E278" s="3950">
        <f>Matrix!J54</f>
        <v>0</v>
      </c>
      <c r="F278" s="3950">
        <f>Matrix!K54</f>
        <v>0</v>
      </c>
      <c r="G278" s="4610">
        <f>Matrix!L54</f>
        <v>0</v>
      </c>
      <c r="H278" s="4611"/>
      <c r="I278" s="4067">
        <f>Matrix!M54</f>
        <v>0</v>
      </c>
      <c r="J278" s="3950">
        <f>Matrix!N54</f>
        <v>0</v>
      </c>
      <c r="K278" s="3950">
        <f>Matrix!O54</f>
        <v>0</v>
      </c>
      <c r="L278" s="4061">
        <f>Matrix!P54</f>
        <v>0</v>
      </c>
    </row>
    <row r="279" spans="2:16" ht="16" x14ac:dyDescent="0.2">
      <c r="B279" s="3142" t="str">
        <f t="shared" si="17"/>
        <v>Degraded land</v>
      </c>
      <c r="C279" s="1969"/>
      <c r="D279" s="4065">
        <f>Matrix!I55</f>
        <v>0</v>
      </c>
      <c r="E279" s="3950">
        <f>Matrix!J55</f>
        <v>0</v>
      </c>
      <c r="F279" s="3950">
        <f>Matrix!K55</f>
        <v>0</v>
      </c>
      <c r="G279" s="4610">
        <f>Matrix!L55</f>
        <v>0</v>
      </c>
      <c r="H279" s="4611"/>
      <c r="I279" s="3950">
        <f>Matrix!M55</f>
        <v>0</v>
      </c>
      <c r="J279" s="4067">
        <f>Matrix!N55</f>
        <v>500</v>
      </c>
      <c r="K279" s="3950">
        <f>Matrix!O55</f>
        <v>0</v>
      </c>
      <c r="L279" s="4061">
        <f>Matrix!P55</f>
        <v>500</v>
      </c>
    </row>
    <row r="280" spans="2:16" ht="16" x14ac:dyDescent="0.2">
      <c r="B280" s="3142" t="str">
        <f t="shared" si="17"/>
        <v>Other land</v>
      </c>
      <c r="C280" s="1969"/>
      <c r="D280" s="4065">
        <f>Matrix!I56</f>
        <v>0</v>
      </c>
      <c r="E280" s="3950">
        <f>Matrix!J56</f>
        <v>0</v>
      </c>
      <c r="F280" s="3950">
        <f>Matrix!K56</f>
        <v>0</v>
      </c>
      <c r="G280" s="4610">
        <f>Matrix!L56</f>
        <v>0</v>
      </c>
      <c r="H280" s="4611"/>
      <c r="I280" s="3950">
        <f>Matrix!M56</f>
        <v>0</v>
      </c>
      <c r="J280" s="3950">
        <f>Matrix!N56</f>
        <v>0</v>
      </c>
      <c r="K280" s="4067">
        <f>Matrix!O56</f>
        <v>0</v>
      </c>
      <c r="L280" s="4061">
        <f>Matrix!P56</f>
        <v>0</v>
      </c>
    </row>
    <row r="281" spans="2:16" ht="16" x14ac:dyDescent="0.2">
      <c r="B281" s="3952" t="str">
        <f t="shared" si="17"/>
        <v>Total area without project (ha)</v>
      </c>
      <c r="C281" s="1969"/>
      <c r="D281" s="4064">
        <f>Matrix!I57</f>
        <v>100</v>
      </c>
      <c r="E281" s="4064">
        <f>Matrix!J57</f>
        <v>0</v>
      </c>
      <c r="F281" s="4064">
        <f>Matrix!K57</f>
        <v>0</v>
      </c>
      <c r="G281" s="4623">
        <f>Matrix!L57</f>
        <v>0</v>
      </c>
      <c r="H281" s="4624"/>
      <c r="I281" s="4064">
        <f>Matrix!M57</f>
        <v>0</v>
      </c>
      <c r="J281" s="4064">
        <f>Matrix!N57</f>
        <v>500</v>
      </c>
      <c r="K281" s="4064">
        <f>Matrix!O57</f>
        <v>0</v>
      </c>
      <c r="L281" s="4064">
        <f>Matrix!P57</f>
        <v>600</v>
      </c>
    </row>
    <row r="284" spans="2:16" ht="16" x14ac:dyDescent="0.2">
      <c r="B284" s="4607" t="str">
        <f>B159</f>
        <v>WITH PROJECT</v>
      </c>
      <c r="C284" s="4608"/>
      <c r="D284" s="3955" t="str">
        <f>D273</f>
        <v>Forest</v>
      </c>
      <c r="E284" s="3955" t="str">
        <f>E273</f>
        <v>Annual</v>
      </c>
      <c r="F284" s="3955" t="str">
        <f>F273</f>
        <v>Perennial</v>
      </c>
      <c r="G284" s="4607" t="str">
        <f>G273</f>
        <v>Flooded rice</v>
      </c>
      <c r="H284" s="4608"/>
      <c r="I284" s="3955" t="str">
        <f>I273</f>
        <v>Grassland</v>
      </c>
      <c r="J284" s="3955" t="str">
        <f>J273</f>
        <v>Degraded land</v>
      </c>
      <c r="K284" s="3955" t="str">
        <f>K273</f>
        <v>Other land</v>
      </c>
      <c r="L284" s="3955" t="str">
        <f>L273</f>
        <v>Total area (ha)</v>
      </c>
    </row>
    <row r="285" spans="2:16" ht="16" x14ac:dyDescent="0.2">
      <c r="B285" s="3142" t="str">
        <f>B274</f>
        <v>Forest</v>
      </c>
      <c r="C285" s="1969"/>
      <c r="D285" s="4293">
        <f>Matrix!I66</f>
        <v>100</v>
      </c>
      <c r="E285" s="4293">
        <f>Matrix!J66</f>
        <v>0</v>
      </c>
      <c r="F285" s="4293">
        <f>Matrix!K66</f>
        <v>0</v>
      </c>
      <c r="G285" s="4614">
        <f>Matrix!L66</f>
        <v>0</v>
      </c>
      <c r="H285" s="4615"/>
      <c r="I285" s="4293">
        <f>Matrix!M66</f>
        <v>0</v>
      </c>
      <c r="J285" s="4293">
        <f>Matrix!N66</f>
        <v>0</v>
      </c>
      <c r="K285" s="4293">
        <f>Matrix!O66</f>
        <v>0</v>
      </c>
      <c r="L285" s="4059">
        <f>Matrix!P66</f>
        <v>100</v>
      </c>
    </row>
    <row r="286" spans="2:16" ht="16" x14ac:dyDescent="0.2">
      <c r="B286" s="3142" t="str">
        <f t="shared" ref="B286:B291" si="18">B275</f>
        <v>Annual cropland</v>
      </c>
      <c r="C286" s="1969"/>
      <c r="D286" s="4065">
        <f>Matrix!I67</f>
        <v>0</v>
      </c>
      <c r="E286" s="4067">
        <f>Matrix!J67</f>
        <v>0</v>
      </c>
      <c r="F286" s="3950">
        <f>Matrix!K67</f>
        <v>0</v>
      </c>
      <c r="G286" s="4610">
        <f>Matrix!L67</f>
        <v>0</v>
      </c>
      <c r="H286" s="4611"/>
      <c r="I286" s="3950">
        <f>Matrix!M67</f>
        <v>0</v>
      </c>
      <c r="J286" s="3950">
        <f>Matrix!N67</f>
        <v>0</v>
      </c>
      <c r="K286" s="3950">
        <f>Matrix!O67</f>
        <v>0</v>
      </c>
      <c r="L286" s="4061">
        <f>Matrix!P67</f>
        <v>0</v>
      </c>
    </row>
    <row r="287" spans="2:16" ht="16" x14ac:dyDescent="0.2">
      <c r="B287" s="3142" t="str">
        <f t="shared" si="18"/>
        <v>Agroforestry</v>
      </c>
      <c r="C287" s="1969"/>
      <c r="D287" s="4065">
        <f>Matrix!I68</f>
        <v>0</v>
      </c>
      <c r="E287" s="3950">
        <f>Matrix!J68</f>
        <v>0</v>
      </c>
      <c r="F287" s="4067">
        <f>Matrix!K68</f>
        <v>0</v>
      </c>
      <c r="G287" s="4610">
        <f>Matrix!L68</f>
        <v>0</v>
      </c>
      <c r="H287" s="4611"/>
      <c r="I287" s="3950">
        <f>Matrix!M68</f>
        <v>0</v>
      </c>
      <c r="J287" s="3950">
        <f>Matrix!N68</f>
        <v>0</v>
      </c>
      <c r="K287" s="3950">
        <f>Matrix!O68</f>
        <v>0</v>
      </c>
      <c r="L287" s="4061">
        <f>Matrix!P68</f>
        <v>0</v>
      </c>
    </row>
    <row r="288" spans="2:16" ht="16" x14ac:dyDescent="0.2">
      <c r="B288" s="3142" t="str">
        <f t="shared" si="18"/>
        <v>Flooded rice</v>
      </c>
      <c r="C288" s="1969"/>
      <c r="D288" s="4065">
        <f>Matrix!I69</f>
        <v>0</v>
      </c>
      <c r="E288" s="3950">
        <f>Matrix!J69</f>
        <v>0</v>
      </c>
      <c r="F288" s="3950">
        <f>Matrix!K69</f>
        <v>0</v>
      </c>
      <c r="G288" s="4616">
        <f>Matrix!L69</f>
        <v>0</v>
      </c>
      <c r="H288" s="4617"/>
      <c r="I288" s="3950">
        <f>Matrix!M69</f>
        <v>0</v>
      </c>
      <c r="J288" s="3950">
        <f>Matrix!N69</f>
        <v>0</v>
      </c>
      <c r="K288" s="3950">
        <f>Matrix!O69</f>
        <v>0</v>
      </c>
      <c r="L288" s="4061">
        <f>Matrix!P69</f>
        <v>0</v>
      </c>
    </row>
    <row r="289" spans="2:14" ht="16" x14ac:dyDescent="0.2">
      <c r="B289" s="3142" t="str">
        <f t="shared" si="18"/>
        <v>Grassland</v>
      </c>
      <c r="C289" s="1969"/>
      <c r="D289" s="4065">
        <f>Matrix!I70</f>
        <v>0</v>
      </c>
      <c r="E289" s="3950">
        <f>Matrix!J70</f>
        <v>0</v>
      </c>
      <c r="F289" s="3950">
        <f>Matrix!K70</f>
        <v>0</v>
      </c>
      <c r="G289" s="4610">
        <f>Matrix!L70</f>
        <v>0</v>
      </c>
      <c r="H289" s="4611"/>
      <c r="I289" s="4067">
        <f>Matrix!M70</f>
        <v>0</v>
      </c>
      <c r="J289" s="3950">
        <f>Matrix!N70</f>
        <v>0</v>
      </c>
      <c r="K289" s="3950">
        <f>Matrix!O70</f>
        <v>0</v>
      </c>
      <c r="L289" s="4061">
        <f>Matrix!P70</f>
        <v>0</v>
      </c>
    </row>
    <row r="290" spans="2:14" ht="16" x14ac:dyDescent="0.2">
      <c r="B290" s="3142" t="str">
        <f t="shared" si="18"/>
        <v>Degraded land</v>
      </c>
      <c r="C290" s="1969"/>
      <c r="D290" s="4065">
        <f>Matrix!I71</f>
        <v>0</v>
      </c>
      <c r="E290" s="3950">
        <f>Matrix!J71</f>
        <v>0</v>
      </c>
      <c r="F290" s="3950">
        <f>Matrix!K71</f>
        <v>0</v>
      </c>
      <c r="G290" s="4610">
        <f>Matrix!L71</f>
        <v>0</v>
      </c>
      <c r="H290" s="4611"/>
      <c r="I290" s="3950">
        <f>Matrix!M71</f>
        <v>0</v>
      </c>
      <c r="J290" s="4067">
        <f>Matrix!N71</f>
        <v>500</v>
      </c>
      <c r="K290" s="3950">
        <f>Matrix!O71</f>
        <v>0</v>
      </c>
      <c r="L290" s="4061">
        <f>Matrix!P71</f>
        <v>500</v>
      </c>
    </row>
    <row r="291" spans="2:14" ht="16" x14ac:dyDescent="0.2">
      <c r="B291" s="3142" t="str">
        <f t="shared" si="18"/>
        <v>Other land</v>
      </c>
      <c r="C291" s="1969"/>
      <c r="D291" s="4065">
        <f>Matrix!I72</f>
        <v>0</v>
      </c>
      <c r="E291" s="3950">
        <f>Matrix!J72</f>
        <v>0</v>
      </c>
      <c r="F291" s="3950">
        <f>Matrix!K72</f>
        <v>0</v>
      </c>
      <c r="G291" s="4610">
        <f>Matrix!L72</f>
        <v>0</v>
      </c>
      <c r="H291" s="4611"/>
      <c r="I291" s="3950">
        <f>Matrix!M72</f>
        <v>0</v>
      </c>
      <c r="J291" s="3950">
        <f>Matrix!N72</f>
        <v>0</v>
      </c>
      <c r="K291" s="4067">
        <f>Matrix!O72</f>
        <v>0</v>
      </c>
      <c r="L291" s="4061">
        <f>Matrix!P72</f>
        <v>0</v>
      </c>
    </row>
    <row r="292" spans="2:14" ht="16" x14ac:dyDescent="0.2">
      <c r="B292" s="3952" t="str">
        <f>B167</f>
        <v>Total area with project (ha)</v>
      </c>
      <c r="C292" s="1969"/>
      <c r="D292" s="4064">
        <f>Matrix!I73</f>
        <v>100</v>
      </c>
      <c r="E292" s="4064">
        <f>Matrix!J73</f>
        <v>0</v>
      </c>
      <c r="F292" s="4064">
        <f>Matrix!K73</f>
        <v>0</v>
      </c>
      <c r="G292" s="4623">
        <f>Matrix!L73</f>
        <v>0</v>
      </c>
      <c r="H292" s="4624"/>
      <c r="I292" s="4064">
        <f>Matrix!M73</f>
        <v>0</v>
      </c>
      <c r="J292" s="4064">
        <f>Matrix!N73</f>
        <v>500</v>
      </c>
      <c r="K292" s="4064">
        <f>Matrix!O73</f>
        <v>0</v>
      </c>
      <c r="L292" s="4064">
        <f>Matrix!P73</f>
        <v>600</v>
      </c>
    </row>
    <row r="300" spans="2:14" x14ac:dyDescent="0.2">
      <c r="B300" s="4622" t="s">
        <v>5253</v>
      </c>
      <c r="C300" s="4622"/>
      <c r="D300" s="4622"/>
      <c r="E300" s="4622"/>
      <c r="F300" s="4622"/>
      <c r="G300" s="4622"/>
      <c r="H300" s="4513"/>
      <c r="I300" s="4513"/>
      <c r="J300" s="4513"/>
      <c r="K300" s="4513"/>
      <c r="L300" s="4513"/>
      <c r="M300" s="4513"/>
      <c r="N300" s="4513"/>
    </row>
    <row r="301" spans="2:14" x14ac:dyDescent="0.2">
      <c r="B301" s="4622"/>
      <c r="C301" s="4622"/>
      <c r="D301" s="4622"/>
      <c r="E301" s="4622"/>
      <c r="F301" s="4622"/>
      <c r="G301" s="4622"/>
      <c r="H301" s="4513"/>
      <c r="I301" s="4513"/>
      <c r="J301" s="4513"/>
      <c r="K301" s="4513"/>
      <c r="L301" s="4513"/>
      <c r="M301" s="4513"/>
      <c r="N301" s="4513"/>
    </row>
    <row r="302" spans="2:14" ht="54" x14ac:dyDescent="0.2">
      <c r="B302" s="4514" t="s">
        <v>850</v>
      </c>
      <c r="C302" s="4514" t="s">
        <v>5238</v>
      </c>
      <c r="D302" s="4514" t="s">
        <v>5239</v>
      </c>
      <c r="E302" s="4514" t="s">
        <v>5254</v>
      </c>
      <c r="F302" s="4514" t="s">
        <v>5240</v>
      </c>
      <c r="G302" s="4514" t="s">
        <v>5241</v>
      </c>
      <c r="H302" s="4514" t="s">
        <v>5266</v>
      </c>
      <c r="I302" s="4513"/>
      <c r="J302" s="4513"/>
      <c r="K302" s="4514" t="str">
        <f>B131</f>
        <v>Total emissions, tCO2-e</v>
      </c>
      <c r="L302" s="4513"/>
      <c r="M302" s="4513"/>
      <c r="N302" s="4513"/>
    </row>
    <row r="303" spans="2:14" ht="17" x14ac:dyDescent="0.2">
      <c r="B303" s="4515">
        <f>SUM(YEARLY!F11:F257)</f>
        <v>-1774.666666666667</v>
      </c>
      <c r="C303" s="4515">
        <f>SUM(YEARLY!G11:G257)</f>
        <v>-1372.7577600000009</v>
      </c>
      <c r="D303" s="4515">
        <f>SUM(YEARLY!H11:H257)</f>
        <v>0</v>
      </c>
      <c r="E303" s="4515">
        <f>SUM(YEARLY!I11:I257)</f>
        <v>2943.4166666666665</v>
      </c>
      <c r="F303" s="4515">
        <f>SUM(YEARLY!J11:J257)</f>
        <v>110000</v>
      </c>
      <c r="G303" s="4515">
        <f>SUM(YEARLY!K11:K257)</f>
        <v>-2547.7983574329992</v>
      </c>
      <c r="H303" s="4515">
        <f>SUM(YEARLY!L11:L257)</f>
        <v>6428.087649692573</v>
      </c>
      <c r="I303" s="4513"/>
      <c r="J303" s="4513"/>
      <c r="K303" s="4515">
        <f>SUM(B303:I303)</f>
        <v>113676.28153225957</v>
      </c>
      <c r="L303" s="4513"/>
      <c r="M303" s="4513"/>
      <c r="N303" s="4513"/>
    </row>
    <row r="304" spans="2:14" ht="72" x14ac:dyDescent="0.2">
      <c r="B304" s="4514" t="s">
        <v>162</v>
      </c>
      <c r="C304" s="4514" t="s">
        <v>5242</v>
      </c>
      <c r="D304" s="4514" t="s">
        <v>5243</v>
      </c>
      <c r="E304" s="4514" t="s">
        <v>5244</v>
      </c>
      <c r="F304" s="4514" t="s">
        <v>5245</v>
      </c>
      <c r="G304" s="4514" t="s">
        <v>5255</v>
      </c>
      <c r="H304" s="4514" t="s">
        <v>5246</v>
      </c>
      <c r="I304" s="4514" t="s">
        <v>5247</v>
      </c>
      <c r="J304" s="4513"/>
      <c r="K304" s="4514" t="str">
        <f>K302</f>
        <v>Total emissions, tCO2-e</v>
      </c>
      <c r="L304" s="4513"/>
      <c r="M304" s="4513"/>
      <c r="N304" s="4514" t="str">
        <f>K304</f>
        <v>Total emissions, tCO2-e</v>
      </c>
    </row>
    <row r="305" spans="2:14" ht="17" x14ac:dyDescent="0.2">
      <c r="B305" s="4515">
        <f>SUM(YEARLY!M11:M257)</f>
        <v>0</v>
      </c>
      <c r="C305" s="4515">
        <f>SUM(YEARLY!N11:N257)</f>
        <v>0</v>
      </c>
      <c r="D305" s="4515">
        <f ca="1">SUM(YEARLY!O11:O257)</f>
        <v>0</v>
      </c>
      <c r="E305" s="4515">
        <f ca="1">SUM(YEARLY!P11:P257)</f>
        <v>0</v>
      </c>
      <c r="F305" s="4515">
        <f ca="1">SUM(YEARLY!Q11:Q257)</f>
        <v>0</v>
      </c>
      <c r="G305" s="4515">
        <f>SUM(YEARLY!R11:R257)</f>
        <v>294.62321428571443</v>
      </c>
      <c r="H305" s="4515">
        <f>SUM(YEARLY!S11:S257)</f>
        <v>193.53517857142867</v>
      </c>
      <c r="I305" s="4515">
        <f>SUM(YEARLY!T11:T257)</f>
        <v>0</v>
      </c>
      <c r="J305" s="4513"/>
      <c r="K305" s="4515">
        <f ca="1">SUM(B305:I305)</f>
        <v>488.1583928571431</v>
      </c>
      <c r="L305" s="4513"/>
      <c r="M305" s="4513"/>
      <c r="N305" s="4515">
        <f ca="1">K303+K305+K307</f>
        <v>120411.01869595006</v>
      </c>
    </row>
    <row r="306" spans="2:14" ht="54" x14ac:dyDescent="0.2">
      <c r="B306" s="4514" t="s">
        <v>161</v>
      </c>
      <c r="C306" s="4514" t="s">
        <v>5248</v>
      </c>
      <c r="D306" s="4514" t="s">
        <v>5249</v>
      </c>
      <c r="E306" s="4514" t="s">
        <v>5250</v>
      </c>
      <c r="F306" s="4514" t="s">
        <v>5251</v>
      </c>
      <c r="G306" s="4514" t="s">
        <v>5256</v>
      </c>
      <c r="H306" s="4514" t="s">
        <v>5252</v>
      </c>
      <c r="I306" s="4513"/>
      <c r="J306" s="4513"/>
      <c r="K306" s="4514" t="str">
        <f>K304</f>
        <v>Total emissions, tCO2-e</v>
      </c>
      <c r="L306" s="4513"/>
      <c r="M306" s="4513"/>
      <c r="N306" s="4513"/>
    </row>
    <row r="307" spans="2:14" ht="17" x14ac:dyDescent="0.2">
      <c r="B307" s="4515">
        <f>SUM(YEARLY!U11:U257)</f>
        <v>0</v>
      </c>
      <c r="C307" s="4515">
        <f>SUM(YEARLY!V11:V257)</f>
        <v>0</v>
      </c>
      <c r="D307" s="4515">
        <f>SUM(YEARLY!W11:W257)</f>
        <v>0</v>
      </c>
      <c r="E307" s="4515">
        <f ca="1">SUM(YEARLY!X11:X257)</f>
        <v>-795.3395624999996</v>
      </c>
      <c r="F307" s="4515">
        <f>SUM(YEARLY!Y11:Y257)</f>
        <v>0</v>
      </c>
      <c r="G307" s="4515">
        <f>SUM(YEARLY!Z11:Z257)</f>
        <v>3419.4183333333308</v>
      </c>
      <c r="H307" s="4515">
        <f>SUM(YEARLY!AA11:AA257)</f>
        <v>3622.5</v>
      </c>
      <c r="I307" s="4513"/>
      <c r="J307" s="4513"/>
      <c r="K307" s="4515">
        <f ca="1">SUM(B307:I307)</f>
        <v>6246.578770833331</v>
      </c>
      <c r="L307" s="4513"/>
      <c r="M307" s="4513"/>
      <c r="N307" s="4513"/>
    </row>
  </sheetData>
  <sheetProtection algorithmName="SHA-512" hashValue="4Iqg6DEEsX9aHc4+59ZB3ky5EbgcH6ztilqiiCOoSI3N3P7UY7YJTNtcwSrVWHlNHTVo90K4h709t7MXLrgApg==" saltValue="TtsgYL6Fo+ryX4oWEWHKUg==" spinCount="100000" sheet="1" formatColumns="0"/>
  <mergeCells count="71">
    <mergeCell ref="AH114:AL115"/>
    <mergeCell ref="AM114:AQ115"/>
    <mergeCell ref="G166:H166"/>
    <mergeCell ref="G167:H167"/>
    <mergeCell ref="G155:H155"/>
    <mergeCell ref="G156:H156"/>
    <mergeCell ref="G162:H162"/>
    <mergeCell ref="G161:H161"/>
    <mergeCell ref="G160:H160"/>
    <mergeCell ref="G159:H159"/>
    <mergeCell ref="G163:H163"/>
    <mergeCell ref="Z123:Z124"/>
    <mergeCell ref="Z116:AA116"/>
    <mergeCell ref="Z117:Z119"/>
    <mergeCell ref="Z120:Z122"/>
    <mergeCell ref="AC114:AG115"/>
    <mergeCell ref="G149:H149"/>
    <mergeCell ref="G154:H154"/>
    <mergeCell ref="G153:H153"/>
    <mergeCell ref="G152:H152"/>
    <mergeCell ref="B300:G301"/>
    <mergeCell ref="G290:H290"/>
    <mergeCell ref="G291:H291"/>
    <mergeCell ref="G292:H292"/>
    <mergeCell ref="G285:H285"/>
    <mergeCell ref="G286:H286"/>
    <mergeCell ref="G287:H287"/>
    <mergeCell ref="G288:H288"/>
    <mergeCell ref="G289:H289"/>
    <mergeCell ref="G279:H279"/>
    <mergeCell ref="G280:H280"/>
    <mergeCell ref="G281:H281"/>
    <mergeCell ref="B284:C284"/>
    <mergeCell ref="G284:H284"/>
    <mergeCell ref="G274:H274"/>
    <mergeCell ref="G275:H275"/>
    <mergeCell ref="G276:H276"/>
    <mergeCell ref="G277:H277"/>
    <mergeCell ref="G278:H278"/>
    <mergeCell ref="B174:Q174"/>
    <mergeCell ref="B102:Q102"/>
    <mergeCell ref="B270:Q270"/>
    <mergeCell ref="B273:C273"/>
    <mergeCell ref="G273:H273"/>
    <mergeCell ref="B179:C179"/>
    <mergeCell ref="B196:I196"/>
    <mergeCell ref="J196:Q196"/>
    <mergeCell ref="B232:I232"/>
    <mergeCell ref="J232:Q232"/>
    <mergeCell ref="G164:H164"/>
    <mergeCell ref="G165:H165"/>
    <mergeCell ref="G150:H150"/>
    <mergeCell ref="G151:H151"/>
    <mergeCell ref="B145:Q145"/>
    <mergeCell ref="B148:C148"/>
    <mergeCell ref="B4:I4"/>
    <mergeCell ref="J4:Q4"/>
    <mergeCell ref="W66:X66"/>
    <mergeCell ref="W85:W86"/>
    <mergeCell ref="G148:H148"/>
    <mergeCell ref="J62:Q62"/>
    <mergeCell ref="B26:I26"/>
    <mergeCell ref="J26:Q26"/>
    <mergeCell ref="B116:C116"/>
    <mergeCell ref="B117:B119"/>
    <mergeCell ref="B120:B122"/>
    <mergeCell ref="B123:B124"/>
    <mergeCell ref="B62:I62"/>
    <mergeCell ref="W78:X78"/>
    <mergeCell ref="W79:W81"/>
    <mergeCell ref="W82:W84"/>
  </mergeCells>
  <phoneticPr fontId="302" type="noConversion"/>
  <conditionalFormatting sqref="D131:F133 H131:P133">
    <cfRule type="expression" dxfId="68" priority="7">
      <formula>(COUNTIF($E$117:$E$129, "MISSING DATA") &gt;=1)</formula>
    </cfRule>
  </conditionalFormatting>
  <conditionalFormatting sqref="F117">
    <cfRule type="expression" dxfId="67" priority="20">
      <formula>$E$117="MISSING DATA"</formula>
    </cfRule>
  </conditionalFormatting>
  <conditionalFormatting sqref="F118">
    <cfRule type="expression" dxfId="66" priority="18">
      <formula>$E$118="missing data"</formula>
    </cfRule>
  </conditionalFormatting>
  <conditionalFormatting sqref="F119">
    <cfRule type="expression" dxfId="65" priority="17">
      <formula>$E$119="missing data"</formula>
    </cfRule>
  </conditionalFormatting>
  <conditionalFormatting sqref="F120">
    <cfRule type="expression" dxfId="64" priority="19">
      <formula>$E$120="missing data"</formula>
    </cfRule>
  </conditionalFormatting>
  <conditionalFormatting sqref="F121">
    <cfRule type="expression" dxfId="63" priority="16">
      <formula>$E$121="missing data"</formula>
    </cfRule>
  </conditionalFormatting>
  <conditionalFormatting sqref="F122">
    <cfRule type="expression" dxfId="62" priority="15">
      <formula>$E$122="missing data"</formula>
    </cfRule>
  </conditionalFormatting>
  <conditionalFormatting sqref="F123">
    <cfRule type="expression" dxfId="61" priority="14">
      <formula>$E$123="missing data"</formula>
    </cfRule>
  </conditionalFormatting>
  <conditionalFormatting sqref="F124">
    <cfRule type="expression" dxfId="60" priority="13">
      <formula>$E$124="missing data"</formula>
    </cfRule>
  </conditionalFormatting>
  <conditionalFormatting sqref="F125">
    <cfRule type="expression" dxfId="59" priority="12">
      <formula>$E$125="missing data"</formula>
    </cfRule>
  </conditionalFormatting>
  <conditionalFormatting sqref="F126">
    <cfRule type="expression" dxfId="58" priority="11">
      <formula>$E$126="missing data"</formula>
    </cfRule>
  </conditionalFormatting>
  <conditionalFormatting sqref="F127">
    <cfRule type="expression" dxfId="57" priority="10">
      <formula>$E$127="missing data"</formula>
    </cfRule>
  </conditionalFormatting>
  <conditionalFormatting sqref="F128">
    <cfRule type="expression" dxfId="56" priority="9">
      <formula>$E$128="missing data"</formula>
    </cfRule>
  </conditionalFormatting>
  <conditionalFormatting sqref="F129">
    <cfRule type="expression" dxfId="55" priority="8">
      <formula>$E$129="missing data"</formula>
    </cfRule>
  </conditionalFormatting>
  <conditionalFormatting sqref="G131:G134">
    <cfRule type="expression" dxfId="54" priority="6">
      <formula>(COUNTIF($E$117:$E$129, "MISSING DATA") &lt;=0)</formula>
    </cfRule>
  </conditionalFormatting>
  <conditionalFormatting sqref="G135:G138">
    <cfRule type="expression" dxfId="53" priority="1">
      <formula>E120&lt;&gt;"Missing data"</formula>
    </cfRule>
  </conditionalFormatting>
  <hyperlinks>
    <hyperlink ref="G135" location="'3.Cropland'!A1" display="Check issue" xr:uid="{27B349C4-E5DC-4B00-AD0C-C8C007CC535C}"/>
    <hyperlink ref="G136" location="'3.Cropland'!A48" display="Check issue" xr:uid="{2E0DEF1B-418B-4A06-9224-B735C4974B1F}"/>
    <hyperlink ref="G137" location="'3.Cropland'!A106" display="Check issue" xr:uid="{98D59B4A-431A-43D0-941B-11E17F9D5F8C}"/>
    <hyperlink ref="G138" location="'4.Grassland'!A1" display="Check issue" xr:uid="{8CCBFE47-23D2-4E26-A3E5-379B1D4199C6}"/>
  </hyperlinks>
  <pageMargins left="0.7" right="0.7" top="0.75" bottom="0.75" header="0.3" footer="0.3"/>
  <pageSetup orientation="portrait" r:id="rId1"/>
  <drawing r:id="rId2"/>
</worksheet>
</file>

<file path=xl/worksheets/sheet3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2:EF418"/>
  <sheetViews>
    <sheetView topLeftCell="A142" zoomScale="70" zoomScaleNormal="70" zoomScaleSheetLayoutView="50" workbookViewId="0">
      <pane xSplit="4" topLeftCell="F1" activePane="topRight" state="frozen"/>
      <selection activeCell="A194" sqref="A194"/>
      <selection pane="topRight" activeCell="G170" sqref="G170:G181"/>
    </sheetView>
  </sheetViews>
  <sheetFormatPr baseColWidth="10" defaultColWidth="9.33203125" defaultRowHeight="15" x14ac:dyDescent="0.2"/>
  <cols>
    <col min="2" max="2" width="23.5" customWidth="1"/>
    <col min="3" max="3" width="23" customWidth="1"/>
    <col min="4" max="4" width="17.5" customWidth="1"/>
    <col min="5" max="28" width="49" customWidth="1"/>
    <col min="29" max="29" width="40.5" customWidth="1"/>
    <col min="30" max="31" width="29.33203125" customWidth="1"/>
    <col min="32" max="32" width="8.33203125" customWidth="1"/>
    <col min="33" max="33" width="11.33203125" customWidth="1"/>
    <col min="34" max="34" width="28.5" customWidth="1"/>
    <col min="35" max="35" width="24.33203125" customWidth="1"/>
    <col min="36" max="36" width="20.6640625" customWidth="1"/>
    <col min="37" max="37" width="13.33203125" bestFit="1" customWidth="1"/>
    <col min="38" max="38" width="15.33203125" bestFit="1" customWidth="1"/>
    <col min="39" max="39" width="12" bestFit="1" customWidth="1"/>
    <col min="49" max="49" width="12.33203125" bestFit="1" customWidth="1"/>
    <col min="56" max="56" width="15.5" bestFit="1" customWidth="1"/>
    <col min="84" max="84" width="11.5" bestFit="1" customWidth="1"/>
    <col min="85" max="85" width="12.33203125" bestFit="1" customWidth="1"/>
  </cols>
  <sheetData>
    <row r="2" spans="1:136" s="4357" customFormat="1" ht="32" x14ac:dyDescent="0.2">
      <c r="C2" s="4357" t="s">
        <v>394</v>
      </c>
      <c r="D2" s="4357" t="s">
        <v>3215</v>
      </c>
      <c r="E2" s="4357" t="s">
        <v>376</v>
      </c>
      <c r="F2" s="4357" t="s">
        <v>5202</v>
      </c>
      <c r="G2" s="4357" t="s">
        <v>5203</v>
      </c>
      <c r="H2" s="4357" t="s">
        <v>5223</v>
      </c>
      <c r="I2" s="4357" t="s">
        <v>5224</v>
      </c>
      <c r="J2" s="4357" t="s">
        <v>5228</v>
      </c>
      <c r="K2" s="4357" t="s">
        <v>5233</v>
      </c>
      <c r="L2" s="4357" t="s">
        <v>5230</v>
      </c>
      <c r="M2" s="4357" t="s">
        <v>5210</v>
      </c>
      <c r="N2" s="4357" t="s">
        <v>5211</v>
      </c>
      <c r="O2" s="4357" t="s">
        <v>5219</v>
      </c>
      <c r="P2" s="4357" t="s">
        <v>5220</v>
      </c>
      <c r="Q2" s="4357" t="s">
        <v>5221</v>
      </c>
      <c r="R2" s="4357" t="s">
        <v>5226</v>
      </c>
      <c r="S2" s="4357" t="s">
        <v>5234</v>
      </c>
      <c r="T2" s="4357" t="s">
        <v>5231</v>
      </c>
      <c r="U2" s="4357" t="s">
        <v>5209</v>
      </c>
      <c r="V2" s="4357" t="s">
        <v>5216</v>
      </c>
      <c r="W2" s="4357" t="s">
        <v>5217</v>
      </c>
      <c r="X2" s="4357" t="s">
        <v>5218</v>
      </c>
      <c r="Y2" s="4357" t="s">
        <v>5222</v>
      </c>
      <c r="Z2" s="4357" t="s">
        <v>5225</v>
      </c>
      <c r="AA2" s="4357" t="s">
        <v>5229</v>
      </c>
      <c r="AB2" s="4357" t="s">
        <v>5235</v>
      </c>
      <c r="AC2" s="4357" t="s">
        <v>3216</v>
      </c>
      <c r="AD2" s="4357" t="s">
        <v>3217</v>
      </c>
      <c r="AE2" t="s">
        <v>3218</v>
      </c>
      <c r="AF2" t="s">
        <v>3219</v>
      </c>
      <c r="AG2" s="4357" t="s">
        <v>3220</v>
      </c>
      <c r="AH2" s="4357" t="s">
        <v>3221</v>
      </c>
      <c r="AI2" s="4357" t="s">
        <v>3222</v>
      </c>
      <c r="AJ2" s="4357" t="s">
        <v>3223</v>
      </c>
      <c r="AK2" s="4357">
        <v>1</v>
      </c>
      <c r="AL2" s="4357">
        <v>2</v>
      </c>
      <c r="AM2" s="4357">
        <v>3</v>
      </c>
      <c r="AN2" s="4357">
        <v>4</v>
      </c>
      <c r="AO2" s="4357">
        <v>5</v>
      </c>
      <c r="AP2" s="4357">
        <v>6</v>
      </c>
      <c r="AQ2" s="4357">
        <v>7</v>
      </c>
      <c r="AR2" s="4357">
        <v>8</v>
      </c>
      <c r="AS2" s="4357">
        <v>9</v>
      </c>
      <c r="AT2" s="4357">
        <v>10</v>
      </c>
      <c r="AU2" s="4357">
        <v>11</v>
      </c>
      <c r="AV2" s="4357">
        <v>12</v>
      </c>
      <c r="AW2" s="4357">
        <v>13</v>
      </c>
      <c r="AX2" s="4357">
        <v>14</v>
      </c>
      <c r="AY2" s="4357">
        <v>15</v>
      </c>
      <c r="AZ2" s="4357">
        <v>16</v>
      </c>
      <c r="BA2" s="4357">
        <v>17</v>
      </c>
      <c r="BB2" s="4357">
        <v>18</v>
      </c>
      <c r="BC2" s="4357">
        <v>19</v>
      </c>
      <c r="BD2" s="4357">
        <v>20</v>
      </c>
      <c r="BE2" s="4357">
        <v>21</v>
      </c>
      <c r="BF2" s="4357">
        <v>22</v>
      </c>
      <c r="BG2" s="4357">
        <v>23</v>
      </c>
      <c r="BH2" s="4357">
        <v>24</v>
      </c>
      <c r="BI2" s="4357">
        <v>25</v>
      </c>
      <c r="BJ2" s="4357">
        <v>26</v>
      </c>
      <c r="BK2" s="4357">
        <v>27</v>
      </c>
      <c r="BL2" s="4357">
        <v>28</v>
      </c>
      <c r="BM2" s="4357">
        <v>29</v>
      </c>
      <c r="BN2" s="4357">
        <v>30</v>
      </c>
      <c r="BO2" s="4357">
        <v>31</v>
      </c>
      <c r="BP2" s="4357">
        <v>32</v>
      </c>
      <c r="BQ2" s="4357">
        <v>33</v>
      </c>
      <c r="BR2" s="4357">
        <v>34</v>
      </c>
      <c r="BS2" s="4357">
        <v>35</v>
      </c>
      <c r="BT2" s="4357">
        <v>36</v>
      </c>
      <c r="BU2" s="4357">
        <v>37</v>
      </c>
      <c r="BV2" s="4357">
        <v>38</v>
      </c>
      <c r="BW2" s="4357">
        <v>39</v>
      </c>
      <c r="BX2" s="4357">
        <v>40</v>
      </c>
      <c r="BY2" s="4357">
        <v>41</v>
      </c>
      <c r="BZ2" s="4357">
        <v>42</v>
      </c>
      <c r="CA2" s="4357">
        <v>43</v>
      </c>
      <c r="CB2" s="4357">
        <v>44</v>
      </c>
      <c r="CC2" s="4357">
        <v>45</v>
      </c>
      <c r="CD2" s="4357">
        <v>46</v>
      </c>
      <c r="CE2" s="4357">
        <v>47</v>
      </c>
      <c r="CF2" s="4357">
        <v>48</v>
      </c>
      <c r="CG2" s="4357">
        <v>49</v>
      </c>
      <c r="CH2" s="4357">
        <v>50</v>
      </c>
    </row>
    <row r="3" spans="1:136" s="4357" customFormat="1" ht="16" x14ac:dyDescent="0.2">
      <c r="F3" s="4357" t="s">
        <v>1036</v>
      </c>
      <c r="G3" s="4357" t="s">
        <v>1036</v>
      </c>
      <c r="H3" s="4357" t="s">
        <v>1036</v>
      </c>
      <c r="I3" s="4357" t="s">
        <v>1036</v>
      </c>
      <c r="J3" s="4357" t="s">
        <v>1036</v>
      </c>
      <c r="K3" s="4357" t="s">
        <v>1036</v>
      </c>
      <c r="L3" s="4357" t="s">
        <v>1036</v>
      </c>
      <c r="M3" s="4357" t="s">
        <v>177</v>
      </c>
      <c r="N3" s="4357" t="s">
        <v>177</v>
      </c>
      <c r="O3" s="4357" t="s">
        <v>177</v>
      </c>
      <c r="P3" s="4357" t="s">
        <v>177</v>
      </c>
      <c r="Q3" s="4357" t="s">
        <v>177</v>
      </c>
      <c r="R3" s="4357" t="s">
        <v>177</v>
      </c>
      <c r="S3" s="4357" t="s">
        <v>177</v>
      </c>
      <c r="T3" s="4357" t="s">
        <v>177</v>
      </c>
      <c r="U3" s="4357" t="s">
        <v>176</v>
      </c>
      <c r="V3" s="4357" t="s">
        <v>176</v>
      </c>
      <c r="W3" s="4357" t="s">
        <v>176</v>
      </c>
      <c r="X3" s="4357" t="s">
        <v>176</v>
      </c>
      <c r="Y3" s="4357" t="s">
        <v>176</v>
      </c>
      <c r="Z3" s="4357" t="s">
        <v>176</v>
      </c>
      <c r="AA3" s="4357" t="s">
        <v>176</v>
      </c>
      <c r="AD3"/>
      <c r="AE3"/>
    </row>
    <row r="4" spans="1:136" s="4357" customFormat="1" ht="16" x14ac:dyDescent="0.2">
      <c r="B4" s="4358" t="s">
        <v>3224</v>
      </c>
      <c r="C4" s="4358" t="s">
        <v>3225</v>
      </c>
      <c r="D4" s="4358" t="s">
        <v>1916</v>
      </c>
      <c r="E4" s="4359">
        <f ca="1">'10.Results'!F131</f>
        <v>120411.01869594923</v>
      </c>
      <c r="F4" s="4359"/>
      <c r="G4" s="4359"/>
      <c r="H4" s="4359"/>
      <c r="I4" s="4359"/>
      <c r="J4" s="4359"/>
      <c r="K4" s="4359"/>
      <c r="L4" s="4359"/>
      <c r="M4" s="4359"/>
      <c r="N4" s="4359"/>
      <c r="O4" s="4359"/>
      <c r="P4" s="4359"/>
      <c r="Q4" s="4359"/>
      <c r="R4" s="4359"/>
      <c r="S4" s="4359"/>
      <c r="T4" s="4359"/>
      <c r="U4" s="4359"/>
      <c r="V4" s="4359"/>
      <c r="W4" s="4359"/>
      <c r="X4" s="4359"/>
      <c r="Y4" s="4359"/>
      <c r="Z4" s="4359"/>
      <c r="AA4" s="4359"/>
      <c r="AB4" s="4359"/>
      <c r="AC4" s="4358">
        <v>1</v>
      </c>
      <c r="AD4" s="784">
        <f>time</f>
        <v>5</v>
      </c>
      <c r="AE4" s="784"/>
      <c r="AF4" s="4358" t="s">
        <v>86</v>
      </c>
      <c r="AG4" s="4358"/>
      <c r="AH4" s="4358">
        <f ca="1">E4/((AD4-AC4+1)*VLOOKUP(AF4,list!$I$48:$K$50,3)+(time_cap))*time*VLOOKUP(AF4,list!$I$48:$K$50,3)</f>
        <v>24082.203739189845</v>
      </c>
      <c r="AI4" s="4358">
        <f ca="1">E4/((AD4-AC4+1)*VLOOKUP(AF4,list!$I$48:$K$50,3)+(time_cap))*time_cap</f>
        <v>96328.814956759379</v>
      </c>
      <c r="AJ4" s="4358" t="s">
        <v>3226</v>
      </c>
      <c r="AK4" s="4358">
        <f t="shared" ref="AK4:BP4" ca="1" si="0">IF(2+$AD4-$AC4&gt;=AL$2, $AH4/$AD4, 0)+IF(IF(2+$AD4-$AC4&gt;=AL$2, $AH4/$AD4, 0) = 0, $AI4/(20-$AD4),0)</f>
        <v>4816.440747837969</v>
      </c>
      <c r="AL4" s="4358">
        <f t="shared" ca="1" si="0"/>
        <v>4816.440747837969</v>
      </c>
      <c r="AM4" s="4358">
        <f t="shared" ca="1" si="0"/>
        <v>4816.440747837969</v>
      </c>
      <c r="AN4" s="4358">
        <f t="shared" ca="1" si="0"/>
        <v>4816.440747837969</v>
      </c>
      <c r="AO4" s="4358">
        <f t="shared" ca="1" si="0"/>
        <v>4816.440747837969</v>
      </c>
      <c r="AP4" s="4358">
        <f t="shared" ca="1" si="0"/>
        <v>6421.9209971172922</v>
      </c>
      <c r="AQ4" s="4358">
        <f t="shared" ca="1" si="0"/>
        <v>6421.9209971172922</v>
      </c>
      <c r="AR4" s="4358">
        <f t="shared" ca="1" si="0"/>
        <v>6421.9209971172922</v>
      </c>
      <c r="AS4" s="4358">
        <f t="shared" ca="1" si="0"/>
        <v>6421.9209971172922</v>
      </c>
      <c r="AT4" s="4358">
        <f t="shared" ca="1" si="0"/>
        <v>6421.9209971172922</v>
      </c>
      <c r="AU4" s="4358">
        <f t="shared" ca="1" si="0"/>
        <v>6421.9209971172922</v>
      </c>
      <c r="AV4" s="4358">
        <f t="shared" ca="1" si="0"/>
        <v>6421.9209971172922</v>
      </c>
      <c r="AW4" s="4358">
        <f t="shared" ca="1" si="0"/>
        <v>6421.9209971172922</v>
      </c>
      <c r="AX4" s="4358">
        <f t="shared" ca="1" si="0"/>
        <v>6421.9209971172922</v>
      </c>
      <c r="AY4" s="4358">
        <f t="shared" ca="1" si="0"/>
        <v>6421.9209971172922</v>
      </c>
      <c r="AZ4" s="4358">
        <f t="shared" ca="1" si="0"/>
        <v>6421.9209971172922</v>
      </c>
      <c r="BA4" s="4358">
        <f t="shared" ca="1" si="0"/>
        <v>6421.9209971172922</v>
      </c>
      <c r="BB4" s="4358">
        <f t="shared" ca="1" si="0"/>
        <v>6421.9209971172922</v>
      </c>
      <c r="BC4" s="4358">
        <f t="shared" ca="1" si="0"/>
        <v>6421.9209971172922</v>
      </c>
      <c r="BD4" s="4358">
        <f t="shared" ca="1" si="0"/>
        <v>6421.9209971172922</v>
      </c>
      <c r="BE4" s="4358">
        <f t="shared" ca="1" si="0"/>
        <v>6421.9209971172922</v>
      </c>
      <c r="BF4" s="4358">
        <f t="shared" ca="1" si="0"/>
        <v>6421.9209971172922</v>
      </c>
      <c r="BG4" s="4358">
        <f t="shared" ca="1" si="0"/>
        <v>6421.9209971172922</v>
      </c>
      <c r="BH4" s="4358">
        <f t="shared" ca="1" si="0"/>
        <v>6421.9209971172922</v>
      </c>
      <c r="BI4" s="4358">
        <f t="shared" ca="1" si="0"/>
        <v>6421.9209971172922</v>
      </c>
      <c r="BJ4" s="4358">
        <f t="shared" ca="1" si="0"/>
        <v>6421.9209971172922</v>
      </c>
      <c r="BK4" s="4358">
        <f t="shared" ca="1" si="0"/>
        <v>6421.9209971172922</v>
      </c>
      <c r="BL4" s="4358">
        <f t="shared" ca="1" si="0"/>
        <v>6421.9209971172922</v>
      </c>
      <c r="BM4" s="4358">
        <f t="shared" ca="1" si="0"/>
        <v>6421.9209971172922</v>
      </c>
      <c r="BN4" s="4358">
        <f t="shared" ca="1" si="0"/>
        <v>6421.9209971172922</v>
      </c>
      <c r="BO4" s="4358">
        <f t="shared" ca="1" si="0"/>
        <v>6421.9209971172922</v>
      </c>
      <c r="BP4" s="4358">
        <f t="shared" ca="1" si="0"/>
        <v>6421.9209971172922</v>
      </c>
      <c r="BQ4" s="4358">
        <f t="shared" ref="BQ4:CH4" ca="1" si="1">IF(2+$AD4-$AC4&gt;=BR$2, $AH4/$AD4, 0)+IF(IF(2+$AD4-$AC4&gt;=BR$2, $AH4/$AD4, 0) = 0, $AI4/(20-$AD4),0)</f>
        <v>6421.9209971172922</v>
      </c>
      <c r="BR4" s="4358">
        <f t="shared" ca="1" si="1"/>
        <v>6421.9209971172922</v>
      </c>
      <c r="BS4" s="4358">
        <f t="shared" ca="1" si="1"/>
        <v>6421.9209971172922</v>
      </c>
      <c r="BT4" s="4358">
        <f t="shared" ca="1" si="1"/>
        <v>6421.9209971172922</v>
      </c>
      <c r="BU4" s="4358">
        <f t="shared" ca="1" si="1"/>
        <v>6421.9209971172922</v>
      </c>
      <c r="BV4" s="4358">
        <f t="shared" ca="1" si="1"/>
        <v>6421.9209971172922</v>
      </c>
      <c r="BW4" s="4358">
        <f t="shared" ca="1" si="1"/>
        <v>6421.9209971172922</v>
      </c>
      <c r="BX4" s="4358">
        <f t="shared" ca="1" si="1"/>
        <v>6421.9209971172922</v>
      </c>
      <c r="BY4" s="4358">
        <f t="shared" ca="1" si="1"/>
        <v>6421.9209971172922</v>
      </c>
      <c r="BZ4" s="4358">
        <f t="shared" ca="1" si="1"/>
        <v>6421.9209971172922</v>
      </c>
      <c r="CA4" s="4358">
        <f t="shared" ca="1" si="1"/>
        <v>6421.9209971172922</v>
      </c>
      <c r="CB4" s="4358">
        <f t="shared" ca="1" si="1"/>
        <v>6421.9209971172922</v>
      </c>
      <c r="CC4" s="4358">
        <f t="shared" ca="1" si="1"/>
        <v>6421.9209971172922</v>
      </c>
      <c r="CD4" s="4358">
        <f t="shared" ca="1" si="1"/>
        <v>6421.9209971172922</v>
      </c>
      <c r="CE4" s="4358">
        <f t="shared" ca="1" si="1"/>
        <v>6421.9209971172922</v>
      </c>
      <c r="CF4" s="4358">
        <f t="shared" ca="1" si="1"/>
        <v>6421.9209971172922</v>
      </c>
      <c r="CG4" s="4358">
        <f t="shared" ca="1" si="1"/>
        <v>6421.9209971172922</v>
      </c>
      <c r="CH4" s="4358">
        <f t="shared" ca="1" si="1"/>
        <v>4816.440747837969</v>
      </c>
    </row>
    <row r="5" spans="1:136" s="4357" customFormat="1" ht="16" x14ac:dyDescent="0.2">
      <c r="B5" s="4358"/>
      <c r="C5" s="4358" t="s">
        <v>3227</v>
      </c>
      <c r="D5" s="4358"/>
      <c r="E5" s="4359"/>
      <c r="F5" s="4359"/>
      <c r="G5" s="4359"/>
      <c r="H5" s="4359"/>
      <c r="I5" s="4359"/>
      <c r="J5" s="4359"/>
      <c r="K5" s="4359"/>
      <c r="L5" s="4359"/>
      <c r="M5" s="4359"/>
      <c r="N5" s="4359"/>
      <c r="O5" s="4359"/>
      <c r="P5" s="4359"/>
      <c r="Q5" s="4359"/>
      <c r="R5" s="4359"/>
      <c r="S5" s="4359"/>
      <c r="T5" s="4359"/>
      <c r="U5" s="4359"/>
      <c r="V5" s="4359"/>
      <c r="W5" s="4359"/>
      <c r="X5" s="4359"/>
      <c r="Y5" s="4359"/>
      <c r="Z5" s="4359"/>
      <c r="AA5" s="4359"/>
      <c r="AB5" s="4359"/>
      <c r="AC5" s="4358"/>
      <c r="AD5" s="784"/>
      <c r="AE5" s="784"/>
      <c r="AF5" s="4358"/>
      <c r="AG5" s="4358"/>
      <c r="AH5" s="4358"/>
      <c r="AI5" s="4358"/>
      <c r="AJ5" s="4358" t="s">
        <v>3228</v>
      </c>
      <c r="AK5" s="4358">
        <f ca="1">AK4</f>
        <v>4816.440747837969</v>
      </c>
      <c r="AL5" s="4358">
        <f t="shared" ref="AL5:BD5" ca="1" si="2">AK5+AL4</f>
        <v>9632.8814956759379</v>
      </c>
      <c r="AM5" s="4358">
        <f t="shared" ca="1" si="2"/>
        <v>14449.322243513907</v>
      </c>
      <c r="AN5" s="4358">
        <f t="shared" ca="1" si="2"/>
        <v>19265.762991351876</v>
      </c>
      <c r="AO5" s="4358">
        <f t="shared" ca="1" si="2"/>
        <v>24082.203739189845</v>
      </c>
      <c r="AP5" s="4358">
        <f t="shared" ca="1" si="2"/>
        <v>30504.124736307138</v>
      </c>
      <c r="AQ5" s="4358">
        <f t="shared" ca="1" si="2"/>
        <v>36926.045733424427</v>
      </c>
      <c r="AR5" s="4358">
        <f t="shared" ca="1" si="2"/>
        <v>43347.966730541717</v>
      </c>
      <c r="AS5" s="4358">
        <f t="shared" ca="1" si="2"/>
        <v>49769.887727659006</v>
      </c>
      <c r="AT5" s="4358">
        <f t="shared" ca="1" si="2"/>
        <v>56191.808724776296</v>
      </c>
      <c r="AU5" s="4358">
        <f t="shared" ca="1" si="2"/>
        <v>62613.729721893586</v>
      </c>
      <c r="AV5" s="4358">
        <f t="shared" ca="1" si="2"/>
        <v>69035.650719010882</v>
      </c>
      <c r="AW5" s="4358">
        <f t="shared" ca="1" si="2"/>
        <v>75457.571716128179</v>
      </c>
      <c r="AX5" s="4358">
        <f t="shared" ca="1" si="2"/>
        <v>81879.492713245476</v>
      </c>
      <c r="AY5" s="4358">
        <f t="shared" ca="1" si="2"/>
        <v>88301.413710362773</v>
      </c>
      <c r="AZ5" s="4358">
        <f t="shared" ca="1" si="2"/>
        <v>94723.334707480069</v>
      </c>
      <c r="BA5" s="4358">
        <f t="shared" ca="1" si="2"/>
        <v>101145.25570459737</v>
      </c>
      <c r="BB5" s="4358">
        <f t="shared" ca="1" si="2"/>
        <v>107567.17670171466</v>
      </c>
      <c r="BC5" s="4358">
        <f t="shared" ca="1" si="2"/>
        <v>113989.09769883196</v>
      </c>
      <c r="BD5" s="4358">
        <f t="shared" ca="1" si="2"/>
        <v>120411.01869594926</v>
      </c>
      <c r="BE5" s="4358">
        <f t="shared" ref="BE5:CH5" ca="1" si="3">BD5+BE4</f>
        <v>126832.93969306655</v>
      </c>
      <c r="BF5" s="4358">
        <f t="shared" ca="1" si="3"/>
        <v>133254.86069018385</v>
      </c>
      <c r="BG5" s="4358">
        <f t="shared" ca="1" si="3"/>
        <v>139676.78168730115</v>
      </c>
      <c r="BH5" s="4358">
        <f t="shared" ca="1" si="3"/>
        <v>146098.70268441844</v>
      </c>
      <c r="BI5" s="4358">
        <f t="shared" ca="1" si="3"/>
        <v>152520.62368153574</v>
      </c>
      <c r="BJ5" s="4358">
        <f t="shared" ca="1" si="3"/>
        <v>158942.54467865304</v>
      </c>
      <c r="BK5" s="4358">
        <f t="shared" ca="1" si="3"/>
        <v>165364.46567577033</v>
      </c>
      <c r="BL5" s="4358">
        <f t="shared" ca="1" si="3"/>
        <v>171786.38667288763</v>
      </c>
      <c r="BM5" s="4358">
        <f t="shared" ca="1" si="3"/>
        <v>178208.30767000493</v>
      </c>
      <c r="BN5" s="4358">
        <f t="shared" ca="1" si="3"/>
        <v>184630.22866712222</v>
      </c>
      <c r="BO5" s="4358">
        <f t="shared" ca="1" si="3"/>
        <v>191052.14966423952</v>
      </c>
      <c r="BP5" s="4358">
        <f t="shared" ca="1" si="3"/>
        <v>197474.07066135682</v>
      </c>
      <c r="BQ5" s="4358">
        <f t="shared" ca="1" si="3"/>
        <v>203895.99165847411</v>
      </c>
      <c r="BR5" s="4358">
        <f t="shared" ca="1" si="3"/>
        <v>210317.91265559141</v>
      </c>
      <c r="BS5" s="4358">
        <f t="shared" ca="1" si="3"/>
        <v>216739.83365270871</v>
      </c>
      <c r="BT5" s="4358">
        <f t="shared" ca="1" si="3"/>
        <v>223161.75464982601</v>
      </c>
      <c r="BU5" s="4358">
        <f t="shared" ca="1" si="3"/>
        <v>229583.6756469433</v>
      </c>
      <c r="BV5" s="4358">
        <f t="shared" ca="1" si="3"/>
        <v>236005.5966440606</v>
      </c>
      <c r="BW5" s="4358">
        <f t="shared" ca="1" si="3"/>
        <v>242427.5176411779</v>
      </c>
      <c r="BX5" s="4358">
        <f t="shared" ca="1" si="3"/>
        <v>248849.43863829519</v>
      </c>
      <c r="BY5" s="4358">
        <f t="shared" ca="1" si="3"/>
        <v>255271.35963541249</v>
      </c>
      <c r="BZ5" s="4358">
        <f t="shared" ca="1" si="3"/>
        <v>261693.28063252979</v>
      </c>
      <c r="CA5" s="4358">
        <f t="shared" ca="1" si="3"/>
        <v>268115.20162964705</v>
      </c>
      <c r="CB5" s="4358">
        <f t="shared" ca="1" si="3"/>
        <v>274537.12262676435</v>
      </c>
      <c r="CC5" s="4358">
        <f t="shared" ca="1" si="3"/>
        <v>280959.04362388165</v>
      </c>
      <c r="CD5" s="4358">
        <f t="shared" ca="1" si="3"/>
        <v>287380.96462099894</v>
      </c>
      <c r="CE5" s="4358">
        <f t="shared" ca="1" si="3"/>
        <v>293802.88561811624</v>
      </c>
      <c r="CF5" s="4358">
        <f t="shared" ca="1" si="3"/>
        <v>300224.80661523354</v>
      </c>
      <c r="CG5" s="4358">
        <f t="shared" ca="1" si="3"/>
        <v>306646.72761235083</v>
      </c>
      <c r="CH5" s="4358">
        <f t="shared" ca="1" si="3"/>
        <v>311463.16836018878</v>
      </c>
    </row>
    <row r="6" spans="1:136" s="4357" customFormat="1" x14ac:dyDescent="0.2">
      <c r="E6" s="4360"/>
      <c r="F6" s="4360"/>
      <c r="G6" s="4360"/>
      <c r="H6" s="4360"/>
      <c r="I6" s="4360"/>
      <c r="J6" s="4360"/>
      <c r="K6" s="4360"/>
      <c r="L6" s="4360"/>
      <c r="M6" s="4360"/>
      <c r="N6" s="4360"/>
      <c r="O6" s="4360"/>
      <c r="P6" s="4360"/>
      <c r="Q6" s="4360"/>
      <c r="R6" s="4360"/>
      <c r="S6" s="4360"/>
      <c r="T6" s="4360"/>
      <c r="U6" s="4360"/>
      <c r="V6" s="4360"/>
      <c r="W6" s="4360"/>
      <c r="X6" s="4360"/>
      <c r="Y6" s="4360"/>
      <c r="Z6" s="4360"/>
      <c r="AA6" s="4360"/>
      <c r="AB6" s="4360"/>
      <c r="AD6"/>
      <c r="AE6"/>
    </row>
    <row r="7" spans="1:136" s="4357" customFormat="1" ht="16" x14ac:dyDescent="0.2">
      <c r="B7" s="4361" t="s">
        <v>3229</v>
      </c>
      <c r="C7" s="4361" t="s">
        <v>3225</v>
      </c>
      <c r="D7" s="4361" t="s">
        <v>1916</v>
      </c>
      <c r="E7" s="4361">
        <f ca="1">SUM(E11:E250)</f>
        <v>120411.01869595004</v>
      </c>
      <c r="F7" s="4361"/>
      <c r="G7" s="4361"/>
      <c r="H7" s="4361"/>
      <c r="I7" s="4361"/>
      <c r="J7" s="4361"/>
      <c r="K7" s="4361"/>
      <c r="L7" s="4361"/>
      <c r="M7" s="4361"/>
      <c r="N7" s="4361"/>
      <c r="O7" s="4361"/>
      <c r="P7" s="4361"/>
      <c r="Q7" s="4361"/>
      <c r="R7" s="4361"/>
      <c r="S7" s="4361"/>
      <c r="T7" s="4361"/>
      <c r="U7" s="4361"/>
      <c r="V7" s="4361"/>
      <c r="W7" s="4361"/>
      <c r="X7" s="4361"/>
      <c r="Y7" s="4361"/>
      <c r="Z7" s="4361"/>
      <c r="AA7" s="4361"/>
      <c r="AB7" s="4361"/>
      <c r="AC7" s="4361">
        <v>1</v>
      </c>
      <c r="AD7" s="4362">
        <f>time</f>
        <v>5</v>
      </c>
      <c r="AE7" s="4362"/>
      <c r="AF7" s="4361"/>
      <c r="AG7" s="4361"/>
      <c r="AH7" s="4361">
        <f ca="1">SUM(AH11:AH257)</f>
        <v>24082.203739190005</v>
      </c>
      <c r="AI7" s="4361">
        <f ca="1">SUM(AI11:AI257)</f>
        <v>96328.814956760019</v>
      </c>
      <c r="AJ7" s="4361" t="s">
        <v>3226</v>
      </c>
      <c r="AK7" s="4361">
        <f ca="1">SUM(AK11:AK257)</f>
        <v>1605.4802492793337</v>
      </c>
      <c r="AL7" s="4361">
        <f t="shared" ref="AL7:BP7" ca="1" si="4">SUM(AL11:AL257)</f>
        <v>3210.9604985586675</v>
      </c>
      <c r="AM7" s="4361">
        <f t="shared" ca="1" si="4"/>
        <v>4816.4407478380017</v>
      </c>
      <c r="AN7" s="4361">
        <f t="shared" ca="1" si="4"/>
        <v>6421.920997117335</v>
      </c>
      <c r="AO7" s="4361">
        <f t="shared" ca="1" si="4"/>
        <v>8027.4012463966692</v>
      </c>
      <c r="AP7" s="4361">
        <f t="shared" ca="1" si="4"/>
        <v>9632.8814956760052</v>
      </c>
      <c r="AQ7" s="4361">
        <f t="shared" ca="1" si="4"/>
        <v>9632.8814956760052</v>
      </c>
      <c r="AR7" s="4361">
        <f t="shared" ca="1" si="4"/>
        <v>9632.8814956760052</v>
      </c>
      <c r="AS7" s="4361">
        <f t="shared" ca="1" si="4"/>
        <v>9632.8814956760052</v>
      </c>
      <c r="AT7" s="4361">
        <f t="shared" ca="1" si="4"/>
        <v>9632.8814956760052</v>
      </c>
      <c r="AU7" s="4361">
        <f t="shared" ca="1" si="4"/>
        <v>9632.8814956760052</v>
      </c>
      <c r="AV7" s="4361">
        <f t="shared" ca="1" si="4"/>
        <v>9632.8814956760052</v>
      </c>
      <c r="AW7" s="4361">
        <f t="shared" ca="1" si="4"/>
        <v>9632.8814956760052</v>
      </c>
      <c r="AX7" s="4361">
        <f t="shared" ca="1" si="4"/>
        <v>9632.8814956760052</v>
      </c>
      <c r="AY7" s="4361">
        <f t="shared" ca="1" si="4"/>
        <v>9632.8814956760052</v>
      </c>
      <c r="AZ7" s="4361">
        <f t="shared" si="4"/>
        <v>0</v>
      </c>
      <c r="BA7" s="4361">
        <f t="shared" si="4"/>
        <v>0</v>
      </c>
      <c r="BB7" s="4361">
        <f t="shared" si="4"/>
        <v>0</v>
      </c>
      <c r="BC7" s="4361">
        <f t="shared" si="4"/>
        <v>0</v>
      </c>
      <c r="BD7" s="4361">
        <f t="shared" si="4"/>
        <v>0</v>
      </c>
      <c r="BE7" s="4361">
        <f t="shared" si="4"/>
        <v>0</v>
      </c>
      <c r="BF7" s="4361">
        <f t="shared" si="4"/>
        <v>0</v>
      </c>
      <c r="BG7" s="4361">
        <f t="shared" si="4"/>
        <v>0</v>
      </c>
      <c r="BH7" s="4361">
        <f t="shared" si="4"/>
        <v>0</v>
      </c>
      <c r="BI7" s="4361">
        <f t="shared" si="4"/>
        <v>0</v>
      </c>
      <c r="BJ7" s="4361">
        <f t="shared" si="4"/>
        <v>0</v>
      </c>
      <c r="BK7" s="4361">
        <f t="shared" si="4"/>
        <v>0</v>
      </c>
      <c r="BL7" s="4361">
        <f t="shared" si="4"/>
        <v>0</v>
      </c>
      <c r="BM7" s="4361">
        <f t="shared" si="4"/>
        <v>0</v>
      </c>
      <c r="BN7" s="4361">
        <f t="shared" si="4"/>
        <v>0</v>
      </c>
      <c r="BO7" s="4361">
        <f t="shared" si="4"/>
        <v>0</v>
      </c>
      <c r="BP7" s="4361">
        <f t="shared" si="4"/>
        <v>0</v>
      </c>
      <c r="BQ7" s="4361">
        <f t="shared" ref="BQ7:CH7" si="5">SUM(BQ11:BQ257)</f>
        <v>0</v>
      </c>
      <c r="BR7" s="4361">
        <f t="shared" si="5"/>
        <v>0</v>
      </c>
      <c r="BS7" s="4361">
        <f t="shared" si="5"/>
        <v>0</v>
      </c>
      <c r="BT7" s="4361">
        <f t="shared" si="5"/>
        <v>0</v>
      </c>
      <c r="BU7" s="4361">
        <f t="shared" si="5"/>
        <v>0</v>
      </c>
      <c r="BV7" s="4361">
        <f t="shared" si="5"/>
        <v>0</v>
      </c>
      <c r="BW7" s="4361">
        <f t="shared" si="5"/>
        <v>0</v>
      </c>
      <c r="BX7" s="4361">
        <f t="shared" si="5"/>
        <v>0</v>
      </c>
      <c r="BY7" s="4361">
        <f t="shared" si="5"/>
        <v>0</v>
      </c>
      <c r="BZ7" s="4361">
        <f t="shared" si="5"/>
        <v>0</v>
      </c>
      <c r="CA7" s="4361">
        <f t="shared" si="5"/>
        <v>0</v>
      </c>
      <c r="CB7" s="4361">
        <f t="shared" si="5"/>
        <v>0</v>
      </c>
      <c r="CC7" s="4361">
        <f t="shared" si="5"/>
        <v>0</v>
      </c>
      <c r="CD7" s="4361">
        <f t="shared" si="5"/>
        <v>0</v>
      </c>
      <c r="CE7" s="4361">
        <f t="shared" si="5"/>
        <v>0</v>
      </c>
      <c r="CF7" s="4361">
        <f t="shared" si="5"/>
        <v>0</v>
      </c>
      <c r="CG7" s="4361">
        <f t="shared" si="5"/>
        <v>0</v>
      </c>
      <c r="CH7" s="4361">
        <f t="shared" si="5"/>
        <v>0</v>
      </c>
    </row>
    <row r="8" spans="1:136" s="4357" customFormat="1" ht="16" x14ac:dyDescent="0.2">
      <c r="B8" s="4361"/>
      <c r="C8" s="4361" t="s">
        <v>3227</v>
      </c>
      <c r="D8" s="4361"/>
      <c r="E8" s="4361"/>
      <c r="F8" s="4361"/>
      <c r="G8" s="4361"/>
      <c r="H8" s="4361"/>
      <c r="I8" s="4361"/>
      <c r="J8" s="4361"/>
      <c r="K8" s="4361"/>
      <c r="L8" s="4361"/>
      <c r="M8" s="4361"/>
      <c r="N8" s="4361"/>
      <c r="O8" s="4361"/>
      <c r="P8" s="4361"/>
      <c r="Q8" s="4361"/>
      <c r="R8" s="4361"/>
      <c r="S8" s="4361"/>
      <c r="T8" s="4361"/>
      <c r="U8" s="4361"/>
      <c r="V8" s="4361"/>
      <c r="W8" s="4361"/>
      <c r="X8" s="4361"/>
      <c r="Y8" s="4361"/>
      <c r="Z8" s="4361"/>
      <c r="AA8" s="4361"/>
      <c r="AB8" s="4361"/>
      <c r="AC8" s="4361"/>
      <c r="AD8" s="4362"/>
      <c r="AE8" s="4362"/>
      <c r="AF8" s="4361"/>
      <c r="AG8" s="4361"/>
      <c r="AH8" s="4361"/>
      <c r="AI8" s="4361"/>
      <c r="AJ8" s="4361" t="s">
        <v>3228</v>
      </c>
      <c r="AK8" s="4361">
        <f ca="1">AK7</f>
        <v>1605.4802492793337</v>
      </c>
      <c r="AL8" s="4361">
        <f t="shared" ref="AL8:BD8" ca="1" si="6">AK8+AL7</f>
        <v>4816.4407478380017</v>
      </c>
      <c r="AM8" s="4361">
        <f t="shared" ca="1" si="6"/>
        <v>9632.8814956760034</v>
      </c>
      <c r="AN8" s="4361">
        <f t="shared" ca="1" si="6"/>
        <v>16054.802492793338</v>
      </c>
      <c r="AO8" s="4361">
        <f t="shared" ca="1" si="6"/>
        <v>24082.203739190008</v>
      </c>
      <c r="AP8" s="4361">
        <f t="shared" ca="1" si="6"/>
        <v>33715.085234866012</v>
      </c>
      <c r="AQ8" s="4361">
        <f t="shared" ca="1" si="6"/>
        <v>43347.966730542015</v>
      </c>
      <c r="AR8" s="4361">
        <f t="shared" ca="1" si="6"/>
        <v>52980.848226218019</v>
      </c>
      <c r="AS8" s="4361">
        <f t="shared" ca="1" si="6"/>
        <v>62613.729721894022</v>
      </c>
      <c r="AT8" s="4361">
        <f t="shared" ca="1" si="6"/>
        <v>72246.611217570025</v>
      </c>
      <c r="AU8" s="4361">
        <f t="shared" ca="1" si="6"/>
        <v>81879.492713246029</v>
      </c>
      <c r="AV8" s="4361">
        <f t="shared" ca="1" si="6"/>
        <v>91512.374208922032</v>
      </c>
      <c r="AW8" s="4361">
        <f t="shared" ca="1" si="6"/>
        <v>101145.25570459804</v>
      </c>
      <c r="AX8" s="4361">
        <f t="shared" ca="1" si="6"/>
        <v>110778.13720027404</v>
      </c>
      <c r="AY8" s="4361">
        <f t="shared" ca="1" si="6"/>
        <v>120411.01869595004</v>
      </c>
      <c r="AZ8" s="4361">
        <f t="shared" ca="1" si="6"/>
        <v>120411.01869595004</v>
      </c>
      <c r="BA8" s="4361">
        <f t="shared" ca="1" si="6"/>
        <v>120411.01869595004</v>
      </c>
      <c r="BB8" s="4361">
        <f t="shared" ca="1" si="6"/>
        <v>120411.01869595004</v>
      </c>
      <c r="BC8" s="4361">
        <f t="shared" ca="1" si="6"/>
        <v>120411.01869595004</v>
      </c>
      <c r="BD8" s="4361">
        <f t="shared" ca="1" si="6"/>
        <v>120411.01869595004</v>
      </c>
      <c r="BE8" s="4361">
        <f t="shared" ref="BE8:CH8" ca="1" si="7">BD8+BE7</f>
        <v>120411.01869595004</v>
      </c>
      <c r="BF8" s="4361">
        <f t="shared" ca="1" si="7"/>
        <v>120411.01869595004</v>
      </c>
      <c r="BG8" s="4361">
        <f t="shared" ca="1" si="7"/>
        <v>120411.01869595004</v>
      </c>
      <c r="BH8" s="4361">
        <f t="shared" ca="1" si="7"/>
        <v>120411.01869595004</v>
      </c>
      <c r="BI8" s="4361">
        <f t="shared" ca="1" si="7"/>
        <v>120411.01869595004</v>
      </c>
      <c r="BJ8" s="4361">
        <f t="shared" ca="1" si="7"/>
        <v>120411.01869595004</v>
      </c>
      <c r="BK8" s="4361">
        <f t="shared" ca="1" si="7"/>
        <v>120411.01869595004</v>
      </c>
      <c r="BL8" s="4361">
        <f t="shared" ca="1" si="7"/>
        <v>120411.01869595004</v>
      </c>
      <c r="BM8" s="4361">
        <f t="shared" ca="1" si="7"/>
        <v>120411.01869595004</v>
      </c>
      <c r="BN8" s="4361">
        <f t="shared" ca="1" si="7"/>
        <v>120411.01869595004</v>
      </c>
      <c r="BO8" s="4361">
        <f t="shared" ca="1" si="7"/>
        <v>120411.01869595004</v>
      </c>
      <c r="BP8" s="4361">
        <f t="shared" ca="1" si="7"/>
        <v>120411.01869595004</v>
      </c>
      <c r="BQ8" s="4361">
        <f t="shared" ca="1" si="7"/>
        <v>120411.01869595004</v>
      </c>
      <c r="BR8" s="4361">
        <f t="shared" ca="1" si="7"/>
        <v>120411.01869595004</v>
      </c>
      <c r="BS8" s="4361">
        <f t="shared" ca="1" si="7"/>
        <v>120411.01869595004</v>
      </c>
      <c r="BT8" s="4361">
        <f t="shared" ca="1" si="7"/>
        <v>120411.01869595004</v>
      </c>
      <c r="BU8" s="4361">
        <f t="shared" ca="1" si="7"/>
        <v>120411.01869595004</v>
      </c>
      <c r="BV8" s="4361">
        <f t="shared" ca="1" si="7"/>
        <v>120411.01869595004</v>
      </c>
      <c r="BW8" s="4361">
        <f t="shared" ca="1" si="7"/>
        <v>120411.01869595004</v>
      </c>
      <c r="BX8" s="4361">
        <f t="shared" ca="1" si="7"/>
        <v>120411.01869595004</v>
      </c>
      <c r="BY8" s="4361">
        <f t="shared" ca="1" si="7"/>
        <v>120411.01869595004</v>
      </c>
      <c r="BZ8" s="4361">
        <f t="shared" ca="1" si="7"/>
        <v>120411.01869595004</v>
      </c>
      <c r="CA8" s="4361">
        <f t="shared" ca="1" si="7"/>
        <v>120411.01869595004</v>
      </c>
      <c r="CB8" s="4361">
        <f t="shared" ca="1" si="7"/>
        <v>120411.01869595004</v>
      </c>
      <c r="CC8" s="4361">
        <f t="shared" ca="1" si="7"/>
        <v>120411.01869595004</v>
      </c>
      <c r="CD8" s="4361">
        <f t="shared" ca="1" si="7"/>
        <v>120411.01869595004</v>
      </c>
      <c r="CE8" s="4361">
        <f t="shared" ca="1" si="7"/>
        <v>120411.01869595004</v>
      </c>
      <c r="CF8" s="4361">
        <f t="shared" ca="1" si="7"/>
        <v>120411.01869595004</v>
      </c>
      <c r="CG8" s="4361">
        <f t="shared" ca="1" si="7"/>
        <v>120411.01869595004</v>
      </c>
      <c r="CH8" s="4361">
        <f t="shared" ca="1" si="7"/>
        <v>120411.01869595004</v>
      </c>
    </row>
    <row r="9" spans="1:136" s="4357" customFormat="1" x14ac:dyDescent="0.2">
      <c r="AD9"/>
      <c r="AE9"/>
    </row>
    <row r="10" spans="1:136" s="4357" customFormat="1" x14ac:dyDescent="0.2">
      <c r="AD10"/>
      <c r="AE10"/>
    </row>
    <row r="11" spans="1:136" ht="16" x14ac:dyDescent="0.2">
      <c r="A11" t="s">
        <v>222</v>
      </c>
      <c r="B11" t="s">
        <v>222</v>
      </c>
      <c r="D11" t="str">
        <f>'2.LUC'!C11</f>
        <v>Please select</v>
      </c>
      <c r="E11">
        <f>'2.LUC'!Y11</f>
        <v>0</v>
      </c>
      <c r="F11" s="388">
        <f>(defo!J35-defo!I35)+(defo!L35-defo!K35)+(defo!N35-defo!M35)</f>
        <v>0</v>
      </c>
      <c r="G11" s="388">
        <f>(defo!P35-defo!O35)</f>
        <v>0</v>
      </c>
      <c r="M11" s="17">
        <f>defo!AC23-defo!AB23</f>
        <v>0</v>
      </c>
      <c r="N11" s="17">
        <f>defo!AE23-defo!AD23</f>
        <v>0</v>
      </c>
      <c r="U11" s="17">
        <f>defo!AA23-defo!Z23</f>
        <v>0</v>
      </c>
      <c r="AB11" t="str">
        <f>IF(ABS(E11-SUM(F11:AA11))&gt;1, "ERROR", "ok")</f>
        <v>ok</v>
      </c>
      <c r="AC11">
        <f>IF('2.LUC'!BZ11&lt;&gt;0,'2.LUC'!BZ11,'2.LUC'!BY11)</f>
        <v>1</v>
      </c>
      <c r="AD11">
        <f t="shared" ref="AD11:AD84" si="8">time</f>
        <v>5</v>
      </c>
      <c r="AE11" s="4357" t="str">
        <f>'2.LUC'!O11</f>
        <v>D</v>
      </c>
      <c r="AF11" s="4357" t="str">
        <f>'2.LUC'!Q11</f>
        <v>D</v>
      </c>
      <c r="AG11" s="4357" t="str">
        <f>IF(OR(AF11="I", AE11="I"), "I", IF(OR(AF11="E", AE11="E"), "E", "D"))</f>
        <v>D</v>
      </c>
      <c r="AH11" s="4357">
        <f>((E11/(time_cap+((AD11-AC11+1)*VLOOKUP(AG11,list!$I$48:$K$50,3, FALSE))))*(AD11-AC11+1)*VLOOKUP(AG11,list!$I$48:$K$50,3, FALSE))</f>
        <v>0</v>
      </c>
      <c r="AI11" s="4357">
        <f>((E11/(time_cap+((AD11-AC11+1)*VLOOKUP(AG11,list!$I$48:$K$50,3, FALSE))))*time_cap)</f>
        <v>0</v>
      </c>
      <c r="AJ11" s="4372"/>
      <c r="AK11" s="4357">
        <f t="shared" ref="AK11:BP11" si="9">IFERROR(IF((time+time_cap)&lt;AK$2, 0,IF(AND(time+1&gt;=AL$2, $AC11&lt;AL$2), IF($AG11= "I", $AH11/($AD11-$AC11+1), $AH11/(($AD11*($AD11+1)/2)-(($AC11-1)*($AC11-1+1)/2))*AK$2), 0)+IF(IF(time+1&gt;=AL$2, $AI11/time_cap/(time+1)*AK$2, 0) = 0, $AI11/(time_cap),0)),0)</f>
        <v>0</v>
      </c>
      <c r="AL11" s="4357">
        <f t="shared" si="9"/>
        <v>0</v>
      </c>
      <c r="AM11" s="4357">
        <f t="shared" si="9"/>
        <v>0</v>
      </c>
      <c r="AN11" s="4357">
        <f t="shared" si="9"/>
        <v>0</v>
      </c>
      <c r="AO11" s="4357">
        <f t="shared" si="9"/>
        <v>0</v>
      </c>
      <c r="AP11" s="4357">
        <f t="shared" si="9"/>
        <v>0</v>
      </c>
      <c r="AQ11" s="4357">
        <f t="shared" si="9"/>
        <v>0</v>
      </c>
      <c r="AR11" s="4357">
        <f t="shared" si="9"/>
        <v>0</v>
      </c>
      <c r="AS11" s="4357">
        <f t="shared" si="9"/>
        <v>0</v>
      </c>
      <c r="AT11" s="4357">
        <f t="shared" si="9"/>
        <v>0</v>
      </c>
      <c r="AU11" s="4357">
        <f t="shared" si="9"/>
        <v>0</v>
      </c>
      <c r="AV11" s="4357">
        <f t="shared" si="9"/>
        <v>0</v>
      </c>
      <c r="AW11" s="4357">
        <f t="shared" si="9"/>
        <v>0</v>
      </c>
      <c r="AX11" s="4357">
        <f t="shared" si="9"/>
        <v>0</v>
      </c>
      <c r="AY11" s="4357">
        <f t="shared" si="9"/>
        <v>0</v>
      </c>
      <c r="AZ11" s="4357">
        <f t="shared" si="9"/>
        <v>0</v>
      </c>
      <c r="BA11" s="4357">
        <f t="shared" si="9"/>
        <v>0</v>
      </c>
      <c r="BB11" s="4357">
        <f t="shared" si="9"/>
        <v>0</v>
      </c>
      <c r="BC11" s="4357">
        <f t="shared" si="9"/>
        <v>0</v>
      </c>
      <c r="BD11" s="4357">
        <f t="shared" si="9"/>
        <v>0</v>
      </c>
      <c r="BE11" s="4357">
        <f t="shared" si="9"/>
        <v>0</v>
      </c>
      <c r="BF11" s="4357">
        <f t="shared" si="9"/>
        <v>0</v>
      </c>
      <c r="BG11" s="4357">
        <f t="shared" si="9"/>
        <v>0</v>
      </c>
      <c r="BH11" s="4357">
        <f t="shared" si="9"/>
        <v>0</v>
      </c>
      <c r="BI11" s="4357">
        <f t="shared" si="9"/>
        <v>0</v>
      </c>
      <c r="BJ11" s="4357">
        <f t="shared" si="9"/>
        <v>0</v>
      </c>
      <c r="BK11" s="4357">
        <f t="shared" si="9"/>
        <v>0</v>
      </c>
      <c r="BL11" s="4357">
        <f t="shared" si="9"/>
        <v>0</v>
      </c>
      <c r="BM11" s="4357">
        <f t="shared" si="9"/>
        <v>0</v>
      </c>
      <c r="BN11" s="4357">
        <f t="shared" si="9"/>
        <v>0</v>
      </c>
      <c r="BO11" s="4357">
        <f t="shared" si="9"/>
        <v>0</v>
      </c>
      <c r="BP11" s="4357">
        <f t="shared" si="9"/>
        <v>0</v>
      </c>
      <c r="BQ11" s="4357">
        <f t="shared" ref="BQ11:CH11" si="10">IFERROR(IF((time+time_cap)&lt;BQ$2, 0,IF(AND(time+1&gt;=BR$2, $AC11&lt;BR$2), IF($AG11= "I", $AH11/($AD11-$AC11+1), $AH11/(($AD11*($AD11+1)/2)-(($AC11-1)*($AC11-1+1)/2))*BQ$2), 0)+IF(IF(time+1&gt;=BR$2, $AI11/time_cap/(time+1)*BQ$2, 0) = 0, $AI11/(time_cap),0)),0)</f>
        <v>0</v>
      </c>
      <c r="BR11" s="4357">
        <f t="shared" si="10"/>
        <v>0</v>
      </c>
      <c r="BS11" s="4357">
        <f t="shared" si="10"/>
        <v>0</v>
      </c>
      <c r="BT11" s="4357">
        <f t="shared" si="10"/>
        <v>0</v>
      </c>
      <c r="BU11" s="4357">
        <f t="shared" si="10"/>
        <v>0</v>
      </c>
      <c r="BV11" s="4357">
        <f t="shared" si="10"/>
        <v>0</v>
      </c>
      <c r="BW11" s="4357">
        <f t="shared" si="10"/>
        <v>0</v>
      </c>
      <c r="BX11" s="4357">
        <f t="shared" si="10"/>
        <v>0</v>
      </c>
      <c r="BY11" s="4357">
        <f t="shared" si="10"/>
        <v>0</v>
      </c>
      <c r="BZ11" s="4357">
        <f t="shared" si="10"/>
        <v>0</v>
      </c>
      <c r="CA11" s="4357">
        <f t="shared" si="10"/>
        <v>0</v>
      </c>
      <c r="CB11" s="4357">
        <f t="shared" si="10"/>
        <v>0</v>
      </c>
      <c r="CC11" s="4357">
        <f t="shared" si="10"/>
        <v>0</v>
      </c>
      <c r="CD11" s="4357">
        <f t="shared" si="10"/>
        <v>0</v>
      </c>
      <c r="CE11" s="4357">
        <f t="shared" si="10"/>
        <v>0</v>
      </c>
      <c r="CF11" s="4357">
        <f t="shared" si="10"/>
        <v>0</v>
      </c>
      <c r="CG11" s="4357">
        <f t="shared" si="10"/>
        <v>0</v>
      </c>
      <c r="CH11" s="4357">
        <f t="shared" si="10"/>
        <v>0</v>
      </c>
      <c r="CI11" s="4357"/>
      <c r="CJ11" s="4357"/>
      <c r="CK11" s="4357"/>
      <c r="CL11" s="4357"/>
      <c r="CM11" s="4357"/>
      <c r="CN11" s="4357"/>
      <c r="CO11" s="4357"/>
      <c r="CP11" s="4357"/>
      <c r="CQ11" s="4357"/>
      <c r="CR11" s="4357"/>
      <c r="CS11" s="4357"/>
      <c r="CT11" s="4357"/>
      <c r="CU11" s="4357"/>
      <c r="CV11" s="4357"/>
      <c r="CW11" s="4357"/>
      <c r="CX11" s="4357"/>
      <c r="CY11" s="4357"/>
      <c r="CZ11" s="4357"/>
      <c r="DA11" s="4357"/>
      <c r="DB11" s="4357"/>
      <c r="DC11" s="4357"/>
      <c r="DD11" s="4357"/>
      <c r="DE11" s="4357"/>
      <c r="DF11" s="4357"/>
      <c r="DG11" s="4357"/>
      <c r="DH11" s="4357"/>
      <c r="DI11" s="4357"/>
      <c r="DJ11" s="4357"/>
      <c r="DK11" s="4357"/>
      <c r="DL11" s="4357"/>
      <c r="DM11" s="4357"/>
      <c r="DN11" s="4357"/>
      <c r="DO11" s="4357"/>
      <c r="DP11" s="4357"/>
      <c r="DQ11" s="4357"/>
      <c r="DR11" s="4357"/>
      <c r="DS11" s="4357"/>
      <c r="DT11" s="4357"/>
      <c r="DU11" s="4357"/>
      <c r="DV11" s="4357"/>
      <c r="DW11" s="4357"/>
      <c r="DX11" s="4357"/>
      <c r="DY11" s="4357"/>
      <c r="DZ11" s="4357"/>
      <c r="EA11" s="4357"/>
      <c r="EB11" s="4357"/>
      <c r="EC11" s="4357"/>
      <c r="ED11" s="4357"/>
      <c r="EE11" s="4357"/>
      <c r="EF11" s="4357"/>
    </row>
    <row r="12" spans="1:136" ht="16" x14ac:dyDescent="0.2">
      <c r="A12" t="s">
        <v>222</v>
      </c>
      <c r="B12" t="s">
        <v>222</v>
      </c>
      <c r="D12" t="str">
        <f>'2.LUC'!C12</f>
        <v>Please select</v>
      </c>
      <c r="E12">
        <f>'2.LUC'!Y12</f>
        <v>0</v>
      </c>
      <c r="F12" s="388">
        <f>(defo!J36-defo!I36)+(defo!L36-defo!K36)+(defo!N36-defo!M36)</f>
        <v>0</v>
      </c>
      <c r="G12" s="388">
        <f>(defo!P36-defo!O36)</f>
        <v>0</v>
      </c>
      <c r="M12" s="17">
        <f>defo!AC24-defo!AB24</f>
        <v>0</v>
      </c>
      <c r="N12" s="17">
        <f>defo!AE24-defo!AD24</f>
        <v>0</v>
      </c>
      <c r="U12" s="17">
        <f>defo!AA24-defo!Z24</f>
        <v>0</v>
      </c>
      <c r="AB12" t="str">
        <f t="shared" ref="AB12:AB75" si="11">IF(ABS(E12-SUM(F12:AA12))&gt;1, "ERROR", "ok")</f>
        <v>ok</v>
      </c>
      <c r="AC12">
        <f>IF('2.LUC'!BZ12&lt;&gt;0,'2.LUC'!BZ12,'2.LUC'!BY12)</f>
        <v>1</v>
      </c>
      <c r="AD12">
        <f t="shared" si="8"/>
        <v>5</v>
      </c>
      <c r="AE12" s="4357" t="str">
        <f>'2.LUC'!O12</f>
        <v>D</v>
      </c>
      <c r="AF12" s="4357" t="str">
        <f>'2.LUC'!Q12</f>
        <v>D</v>
      </c>
      <c r="AG12" s="4357" t="str">
        <f t="shared" ref="AG12:AG85" si="12">IF(OR(AF12="I", AE12="I"), "I", IF(OR(AF12="E", AE12="E"), "E", "D"))</f>
        <v>D</v>
      </c>
      <c r="AH12" s="4357">
        <f>((E12/(time_cap+((AD12-AC12+1)*VLOOKUP(AG12,list!$I$48:$K$50,3, FALSE))))*(AD12-AC12+1)*VLOOKUP(AG12,list!$I$48:$K$50,3, FALSE))</f>
        <v>0</v>
      </c>
      <c r="AI12" s="4357">
        <f>((E12/(time_cap+((AD12-AC12+1)*VLOOKUP(AG12,list!$I$48:$K$50,3, FALSE))))*time_cap)</f>
        <v>0</v>
      </c>
      <c r="AK12" s="4357">
        <f t="shared" ref="AK12:BP12" si="13">IFERROR(IF((time+time_cap)&lt;AK$2, 0,IF(AND(time+1&gt;=AL$2, $AC12&lt;AL$2), IF($AG12= "I", $AH12/($AD12-$AC12+1), $AH12/(($AD12*($AD12+1)/2)-(($AC12-1)*($AC12-1+1)/2))*AK$2), 0)+IF(IF(time+1&gt;=AL$2, $AI12/time_cap/(time+1)*AK$2, 0) = 0, $AI12/(time_cap),0)),0)</f>
        <v>0</v>
      </c>
      <c r="AL12" s="4357">
        <f t="shared" si="13"/>
        <v>0</v>
      </c>
      <c r="AM12" s="4357">
        <f t="shared" si="13"/>
        <v>0</v>
      </c>
      <c r="AN12" s="4357">
        <f t="shared" si="13"/>
        <v>0</v>
      </c>
      <c r="AO12" s="4357">
        <f t="shared" si="13"/>
        <v>0</v>
      </c>
      <c r="AP12" s="4357">
        <f t="shared" si="13"/>
        <v>0</v>
      </c>
      <c r="AQ12" s="4357">
        <f t="shared" si="13"/>
        <v>0</v>
      </c>
      <c r="AR12" s="4357">
        <f t="shared" si="13"/>
        <v>0</v>
      </c>
      <c r="AS12" s="4357">
        <f t="shared" si="13"/>
        <v>0</v>
      </c>
      <c r="AT12" s="4357">
        <f t="shared" si="13"/>
        <v>0</v>
      </c>
      <c r="AU12" s="4357">
        <f t="shared" si="13"/>
        <v>0</v>
      </c>
      <c r="AV12" s="4357">
        <f t="shared" si="13"/>
        <v>0</v>
      </c>
      <c r="AW12" s="4357">
        <f t="shared" si="13"/>
        <v>0</v>
      </c>
      <c r="AX12" s="4357">
        <f t="shared" si="13"/>
        <v>0</v>
      </c>
      <c r="AY12" s="4357">
        <f t="shared" si="13"/>
        <v>0</v>
      </c>
      <c r="AZ12" s="4357">
        <f t="shared" si="13"/>
        <v>0</v>
      </c>
      <c r="BA12" s="4357">
        <f t="shared" si="13"/>
        <v>0</v>
      </c>
      <c r="BB12" s="4357">
        <f t="shared" si="13"/>
        <v>0</v>
      </c>
      <c r="BC12" s="4357">
        <f t="shared" si="13"/>
        <v>0</v>
      </c>
      <c r="BD12" s="4357">
        <f t="shared" si="13"/>
        <v>0</v>
      </c>
      <c r="BE12" s="4357">
        <f t="shared" si="13"/>
        <v>0</v>
      </c>
      <c r="BF12" s="4357">
        <f t="shared" si="13"/>
        <v>0</v>
      </c>
      <c r="BG12" s="4357">
        <f t="shared" si="13"/>
        <v>0</v>
      </c>
      <c r="BH12" s="4357">
        <f t="shared" si="13"/>
        <v>0</v>
      </c>
      <c r="BI12" s="4357">
        <f t="shared" si="13"/>
        <v>0</v>
      </c>
      <c r="BJ12" s="4357">
        <f t="shared" si="13"/>
        <v>0</v>
      </c>
      <c r="BK12" s="4357">
        <f t="shared" si="13"/>
        <v>0</v>
      </c>
      <c r="BL12" s="4357">
        <f t="shared" si="13"/>
        <v>0</v>
      </c>
      <c r="BM12" s="4357">
        <f t="shared" si="13"/>
        <v>0</v>
      </c>
      <c r="BN12" s="4357">
        <f t="shared" si="13"/>
        <v>0</v>
      </c>
      <c r="BO12" s="4357">
        <f t="shared" si="13"/>
        <v>0</v>
      </c>
      <c r="BP12" s="4357">
        <f t="shared" si="13"/>
        <v>0</v>
      </c>
      <c r="BQ12" s="4357">
        <f t="shared" ref="BQ12:CH12" si="14">IFERROR(IF((time+time_cap)&lt;BQ$2, 0,IF(AND(time+1&gt;=BR$2, $AC12&lt;BR$2), IF($AG12= "I", $AH12/($AD12-$AC12+1), $AH12/(($AD12*($AD12+1)/2)-(($AC12-1)*($AC12-1+1)/2))*BQ$2), 0)+IF(IF(time+1&gt;=BR$2, $AI12/time_cap/(time+1)*BQ$2, 0) = 0, $AI12/(time_cap),0)),0)</f>
        <v>0</v>
      </c>
      <c r="BR12" s="4357">
        <f t="shared" si="14"/>
        <v>0</v>
      </c>
      <c r="BS12" s="4357">
        <f t="shared" si="14"/>
        <v>0</v>
      </c>
      <c r="BT12" s="4357">
        <f t="shared" si="14"/>
        <v>0</v>
      </c>
      <c r="BU12" s="4357">
        <f t="shared" si="14"/>
        <v>0</v>
      </c>
      <c r="BV12" s="4357">
        <f t="shared" si="14"/>
        <v>0</v>
      </c>
      <c r="BW12" s="4357">
        <f t="shared" si="14"/>
        <v>0</v>
      </c>
      <c r="BX12" s="4357">
        <f t="shared" si="14"/>
        <v>0</v>
      </c>
      <c r="BY12" s="4357">
        <f t="shared" si="14"/>
        <v>0</v>
      </c>
      <c r="BZ12" s="4357">
        <f t="shared" si="14"/>
        <v>0</v>
      </c>
      <c r="CA12" s="4357">
        <f t="shared" si="14"/>
        <v>0</v>
      </c>
      <c r="CB12" s="4357">
        <f t="shared" si="14"/>
        <v>0</v>
      </c>
      <c r="CC12" s="4357">
        <f t="shared" si="14"/>
        <v>0</v>
      </c>
      <c r="CD12" s="4357">
        <f t="shared" si="14"/>
        <v>0</v>
      </c>
      <c r="CE12" s="4357">
        <f t="shared" si="14"/>
        <v>0</v>
      </c>
      <c r="CF12" s="4357">
        <f t="shared" si="14"/>
        <v>0</v>
      </c>
      <c r="CG12" s="4357">
        <f t="shared" si="14"/>
        <v>0</v>
      </c>
      <c r="CH12" s="4357">
        <f t="shared" si="14"/>
        <v>0</v>
      </c>
      <c r="CI12" s="4357"/>
      <c r="CJ12" s="4357"/>
      <c r="CK12" s="4357"/>
      <c r="CL12" s="4357"/>
      <c r="CM12" s="4357"/>
      <c r="CN12" s="4357"/>
      <c r="CO12" s="4357"/>
      <c r="CP12" s="4357"/>
      <c r="CQ12" s="4357"/>
      <c r="CR12" s="4357"/>
      <c r="CS12" s="4357"/>
      <c r="CT12" s="4357"/>
      <c r="CU12" s="4357"/>
      <c r="CV12" s="4357"/>
      <c r="CW12" s="4357"/>
      <c r="CX12" s="4357"/>
      <c r="CY12" s="4357"/>
      <c r="CZ12" s="4357"/>
      <c r="DA12" s="4357"/>
      <c r="DB12" s="4357"/>
      <c r="DC12" s="4357"/>
      <c r="DD12" s="4357"/>
      <c r="DE12" s="4357"/>
      <c r="DF12" s="4357"/>
      <c r="DG12" s="4357"/>
      <c r="DH12" s="4357"/>
      <c r="DI12" s="4357"/>
      <c r="DJ12" s="4357"/>
      <c r="DK12" s="4357"/>
      <c r="DL12" s="4357"/>
      <c r="DM12" s="4357"/>
      <c r="DN12" s="4357"/>
      <c r="DO12" s="4357"/>
      <c r="DP12" s="4357"/>
      <c r="DQ12" s="4357"/>
      <c r="DR12" s="4357"/>
      <c r="DS12" s="4357"/>
      <c r="DT12" s="4357"/>
      <c r="DU12" s="4357"/>
      <c r="DV12" s="4357"/>
      <c r="DW12" s="4357"/>
      <c r="DX12" s="4357"/>
      <c r="DY12" s="4357"/>
      <c r="DZ12" s="4357"/>
      <c r="EA12" s="4357"/>
      <c r="EB12" s="4357"/>
      <c r="EC12" s="4357"/>
      <c r="ED12" s="4357"/>
      <c r="EE12" s="4357"/>
      <c r="EF12" s="4357"/>
    </row>
    <row r="13" spans="1:136" ht="16" x14ac:dyDescent="0.2">
      <c r="A13" t="s">
        <v>222</v>
      </c>
      <c r="B13" t="s">
        <v>222</v>
      </c>
      <c r="D13" t="str">
        <f>'2.LUC'!C13</f>
        <v>Please select</v>
      </c>
      <c r="E13">
        <f>'2.LUC'!Y13</f>
        <v>0</v>
      </c>
      <c r="F13" s="388">
        <f>(defo!J37-defo!I37)+(defo!L37-defo!K37)+(defo!N37-defo!M37)</f>
        <v>0</v>
      </c>
      <c r="G13" s="388">
        <f>(defo!P37-defo!O37)</f>
        <v>0</v>
      </c>
      <c r="M13" s="17">
        <f>defo!AC25-defo!AB25</f>
        <v>0</v>
      </c>
      <c r="N13" s="17">
        <f>defo!AE25-defo!AD25</f>
        <v>0</v>
      </c>
      <c r="U13" s="17">
        <f>defo!AA25-defo!Z25</f>
        <v>0</v>
      </c>
      <c r="AB13" t="str">
        <f t="shared" si="11"/>
        <v>ok</v>
      </c>
      <c r="AC13">
        <f>IF('2.LUC'!BZ13&lt;&gt;0,'2.LUC'!BZ13,'2.LUC'!BY13)</f>
        <v>1</v>
      </c>
      <c r="AD13">
        <f t="shared" si="8"/>
        <v>5</v>
      </c>
      <c r="AE13" s="4357" t="str">
        <f>'2.LUC'!O13</f>
        <v>D</v>
      </c>
      <c r="AF13" s="4357" t="str">
        <f>'2.LUC'!Q13</f>
        <v>D</v>
      </c>
      <c r="AG13" s="4357" t="str">
        <f t="shared" si="12"/>
        <v>D</v>
      </c>
      <c r="AH13" s="4357">
        <f>((E13/(time_cap+((AD13-AC13+1)*VLOOKUP(AG13,list!$I$48:$K$50,3, FALSE))))*(AD13-AC13+1)*VLOOKUP(AG13,list!$I$48:$K$50,3, FALSE))</f>
        <v>0</v>
      </c>
      <c r="AI13" s="4357">
        <f>((E13/(time_cap+((AD13-AC13+1)*VLOOKUP(AG13,list!$I$48:$K$50,3, FALSE))))*time_cap)</f>
        <v>0</v>
      </c>
      <c r="AK13" s="4357">
        <f t="shared" ref="AK13:BP13" si="15">IFERROR(IF((time+time_cap)&lt;AK$2, 0,IF(AND(time+1&gt;=AL$2, $AC13&lt;AL$2), IF($AG13= "I", $AH13/($AD13-$AC13+1), $AH13/(($AD13*($AD13+1)/2)-(($AC13-1)*($AC13-1+1)/2))*AK$2), 0)+IF(IF(time+1&gt;=AL$2, $AI13/time_cap/(time+1)*AK$2, 0) = 0, $AI13/(time_cap),0)),0)</f>
        <v>0</v>
      </c>
      <c r="AL13" s="4357">
        <f t="shared" si="15"/>
        <v>0</v>
      </c>
      <c r="AM13" s="4357">
        <f t="shared" si="15"/>
        <v>0</v>
      </c>
      <c r="AN13" s="4357">
        <f t="shared" si="15"/>
        <v>0</v>
      </c>
      <c r="AO13" s="4357">
        <f t="shared" si="15"/>
        <v>0</v>
      </c>
      <c r="AP13" s="4357">
        <f t="shared" si="15"/>
        <v>0</v>
      </c>
      <c r="AQ13" s="4357">
        <f t="shared" si="15"/>
        <v>0</v>
      </c>
      <c r="AR13" s="4357">
        <f t="shared" si="15"/>
        <v>0</v>
      </c>
      <c r="AS13" s="4357">
        <f t="shared" si="15"/>
        <v>0</v>
      </c>
      <c r="AT13" s="4357">
        <f t="shared" si="15"/>
        <v>0</v>
      </c>
      <c r="AU13" s="4357">
        <f t="shared" si="15"/>
        <v>0</v>
      </c>
      <c r="AV13" s="4357">
        <f t="shared" si="15"/>
        <v>0</v>
      </c>
      <c r="AW13" s="4357">
        <f t="shared" si="15"/>
        <v>0</v>
      </c>
      <c r="AX13" s="4357">
        <f t="shared" si="15"/>
        <v>0</v>
      </c>
      <c r="AY13" s="4357">
        <f t="shared" si="15"/>
        <v>0</v>
      </c>
      <c r="AZ13" s="4357">
        <f t="shared" si="15"/>
        <v>0</v>
      </c>
      <c r="BA13" s="4357">
        <f t="shared" si="15"/>
        <v>0</v>
      </c>
      <c r="BB13" s="4357">
        <f t="shared" si="15"/>
        <v>0</v>
      </c>
      <c r="BC13" s="4357">
        <f t="shared" si="15"/>
        <v>0</v>
      </c>
      <c r="BD13" s="4357">
        <f t="shared" si="15"/>
        <v>0</v>
      </c>
      <c r="BE13" s="4357">
        <f t="shared" si="15"/>
        <v>0</v>
      </c>
      <c r="BF13" s="4357">
        <f t="shared" si="15"/>
        <v>0</v>
      </c>
      <c r="BG13" s="4357">
        <f t="shared" si="15"/>
        <v>0</v>
      </c>
      <c r="BH13" s="4357">
        <f t="shared" si="15"/>
        <v>0</v>
      </c>
      <c r="BI13" s="4357">
        <f t="shared" si="15"/>
        <v>0</v>
      </c>
      <c r="BJ13" s="4357">
        <f t="shared" si="15"/>
        <v>0</v>
      </c>
      <c r="BK13" s="4357">
        <f t="shared" si="15"/>
        <v>0</v>
      </c>
      <c r="BL13" s="4357">
        <f t="shared" si="15"/>
        <v>0</v>
      </c>
      <c r="BM13" s="4357">
        <f t="shared" si="15"/>
        <v>0</v>
      </c>
      <c r="BN13" s="4357">
        <f t="shared" si="15"/>
        <v>0</v>
      </c>
      <c r="BO13" s="4357">
        <f t="shared" si="15"/>
        <v>0</v>
      </c>
      <c r="BP13" s="4357">
        <f t="shared" si="15"/>
        <v>0</v>
      </c>
      <c r="BQ13" s="4357">
        <f t="shared" ref="BQ13:CH13" si="16">IFERROR(IF((time+time_cap)&lt;BQ$2, 0,IF(AND(time+1&gt;=BR$2, $AC13&lt;BR$2), IF($AG13= "I", $AH13/($AD13-$AC13+1), $AH13/(($AD13*($AD13+1)/2)-(($AC13-1)*($AC13-1+1)/2))*BQ$2), 0)+IF(IF(time+1&gt;=BR$2, $AI13/time_cap/(time+1)*BQ$2, 0) = 0, $AI13/(time_cap),0)),0)</f>
        <v>0</v>
      </c>
      <c r="BR13" s="4357">
        <f t="shared" si="16"/>
        <v>0</v>
      </c>
      <c r="BS13" s="4357">
        <f t="shared" si="16"/>
        <v>0</v>
      </c>
      <c r="BT13" s="4357">
        <f t="shared" si="16"/>
        <v>0</v>
      </c>
      <c r="BU13" s="4357">
        <f t="shared" si="16"/>
        <v>0</v>
      </c>
      <c r="BV13" s="4357">
        <f t="shared" si="16"/>
        <v>0</v>
      </c>
      <c r="BW13" s="4357">
        <f t="shared" si="16"/>
        <v>0</v>
      </c>
      <c r="BX13" s="4357">
        <f t="shared" si="16"/>
        <v>0</v>
      </c>
      <c r="BY13" s="4357">
        <f t="shared" si="16"/>
        <v>0</v>
      </c>
      <c r="BZ13" s="4357">
        <f t="shared" si="16"/>
        <v>0</v>
      </c>
      <c r="CA13" s="4357">
        <f t="shared" si="16"/>
        <v>0</v>
      </c>
      <c r="CB13" s="4357">
        <f t="shared" si="16"/>
        <v>0</v>
      </c>
      <c r="CC13" s="4357">
        <f t="shared" si="16"/>
        <v>0</v>
      </c>
      <c r="CD13" s="4357">
        <f t="shared" si="16"/>
        <v>0</v>
      </c>
      <c r="CE13" s="4357">
        <f t="shared" si="16"/>
        <v>0</v>
      </c>
      <c r="CF13" s="4357">
        <f t="shared" si="16"/>
        <v>0</v>
      </c>
      <c r="CG13" s="4357">
        <f t="shared" si="16"/>
        <v>0</v>
      </c>
      <c r="CH13" s="4357">
        <f t="shared" si="16"/>
        <v>0</v>
      </c>
      <c r="CI13" s="4357"/>
      <c r="CJ13" s="4357"/>
      <c r="CK13" s="4357"/>
      <c r="CL13" s="4357"/>
      <c r="CM13" s="4357"/>
      <c r="CN13" s="4357"/>
      <c r="CO13" s="4357"/>
      <c r="CP13" s="4357"/>
      <c r="CQ13" s="4357"/>
      <c r="CR13" s="4357"/>
      <c r="CS13" s="4357"/>
      <c r="CT13" s="4357"/>
      <c r="CU13" s="4357"/>
      <c r="CV13" s="4357"/>
      <c r="CW13" s="4357"/>
      <c r="CX13" s="4357"/>
      <c r="CY13" s="4357"/>
      <c r="CZ13" s="4357"/>
      <c r="DA13" s="4357"/>
      <c r="DB13" s="4357"/>
      <c r="DC13" s="4357"/>
      <c r="DD13" s="4357"/>
      <c r="DE13" s="4357"/>
      <c r="DF13" s="4357"/>
      <c r="DG13" s="4357"/>
      <c r="DH13" s="4357"/>
      <c r="DI13" s="4357"/>
      <c r="DJ13" s="4357"/>
      <c r="DK13" s="4357"/>
      <c r="DL13" s="4357"/>
      <c r="DM13" s="4357"/>
      <c r="DN13" s="4357"/>
      <c r="DO13" s="4357"/>
      <c r="DP13" s="4357"/>
      <c r="DQ13" s="4357"/>
      <c r="DR13" s="4357"/>
      <c r="DS13" s="4357"/>
      <c r="DT13" s="4357"/>
      <c r="DU13" s="4357"/>
      <c r="DV13" s="4357"/>
      <c r="DW13" s="4357"/>
      <c r="DX13" s="4357"/>
      <c r="DY13" s="4357"/>
      <c r="DZ13" s="4357"/>
      <c r="EA13" s="4357"/>
      <c r="EB13" s="4357"/>
      <c r="EC13" s="4357"/>
      <c r="ED13" s="4357"/>
      <c r="EE13" s="4357"/>
      <c r="EF13" s="4357"/>
    </row>
    <row r="14" spans="1:136" ht="16" x14ac:dyDescent="0.2">
      <c r="A14" t="s">
        <v>222</v>
      </c>
      <c r="B14" t="s">
        <v>222</v>
      </c>
      <c r="D14" t="str">
        <f>'2.LUC'!C14</f>
        <v>Please select</v>
      </c>
      <c r="E14">
        <f>'2.LUC'!Y14</f>
        <v>0</v>
      </c>
      <c r="F14" s="388">
        <f>(defo!J38-defo!I38)+(defo!L38-defo!K38)+(defo!N38-defo!M38)</f>
        <v>0</v>
      </c>
      <c r="G14" s="388">
        <f>(defo!P38-defo!O38)</f>
        <v>0</v>
      </c>
      <c r="M14" s="17">
        <f>defo!AC26-defo!AB26</f>
        <v>0</v>
      </c>
      <c r="N14" s="17">
        <f>defo!AE26-defo!AD26</f>
        <v>0</v>
      </c>
      <c r="U14" s="17">
        <f>defo!AA26-defo!Z26</f>
        <v>0</v>
      </c>
      <c r="AB14" t="str">
        <f t="shared" si="11"/>
        <v>ok</v>
      </c>
      <c r="AC14">
        <f>IF('2.LUC'!BZ14&lt;&gt;0,'2.LUC'!BZ14,'2.LUC'!BY14)</f>
        <v>1</v>
      </c>
      <c r="AD14">
        <f t="shared" si="8"/>
        <v>5</v>
      </c>
      <c r="AE14" s="4357" t="str">
        <f>'2.LUC'!O14</f>
        <v>D</v>
      </c>
      <c r="AF14" s="4357" t="str">
        <f>'2.LUC'!Q14</f>
        <v>D</v>
      </c>
      <c r="AG14" s="4357" t="str">
        <f t="shared" si="12"/>
        <v>D</v>
      </c>
      <c r="AH14" s="4357">
        <f>((E14/(time_cap+((AD14-AC14+1)*VLOOKUP(AG14,list!$I$48:$K$50,3, FALSE))))*(AD14-AC14+1)*VLOOKUP(AG14,list!$I$48:$K$50,3, FALSE))</f>
        <v>0</v>
      </c>
      <c r="AI14" s="4357">
        <f>((E14/(time_cap+((AD14-AC14+1)*VLOOKUP(AG14,list!$I$48:$K$50,3, FALSE))))*time_cap)</f>
        <v>0</v>
      </c>
      <c r="AK14" s="4357">
        <f t="shared" ref="AK14:BP14" si="17">IFERROR(IF((time+time_cap)&lt;AK$2, 0,IF(AND(time+1&gt;=AL$2, $AC14&lt;AL$2), IF($AG14= "I", $AH14/($AD14-$AC14+1), $AH14/(($AD14*($AD14+1)/2)-(($AC14-1)*($AC14-1+1)/2))*AK$2), 0)+IF(IF(time+1&gt;=AL$2, $AI14/time_cap/(time+1)*AK$2, 0) = 0, $AI14/(time_cap),0)),0)</f>
        <v>0</v>
      </c>
      <c r="AL14" s="4357">
        <f t="shared" si="17"/>
        <v>0</v>
      </c>
      <c r="AM14" s="4357">
        <f t="shared" si="17"/>
        <v>0</v>
      </c>
      <c r="AN14" s="4357">
        <f t="shared" si="17"/>
        <v>0</v>
      </c>
      <c r="AO14" s="4357">
        <f t="shared" si="17"/>
        <v>0</v>
      </c>
      <c r="AP14" s="4357">
        <f t="shared" si="17"/>
        <v>0</v>
      </c>
      <c r="AQ14" s="4357">
        <f t="shared" si="17"/>
        <v>0</v>
      </c>
      <c r="AR14" s="4357">
        <f t="shared" si="17"/>
        <v>0</v>
      </c>
      <c r="AS14" s="4357">
        <f t="shared" si="17"/>
        <v>0</v>
      </c>
      <c r="AT14" s="4357">
        <f t="shared" si="17"/>
        <v>0</v>
      </c>
      <c r="AU14" s="4357">
        <f t="shared" si="17"/>
        <v>0</v>
      </c>
      <c r="AV14" s="4357">
        <f t="shared" si="17"/>
        <v>0</v>
      </c>
      <c r="AW14" s="4357">
        <f t="shared" si="17"/>
        <v>0</v>
      </c>
      <c r="AX14" s="4357">
        <f t="shared" si="17"/>
        <v>0</v>
      </c>
      <c r="AY14" s="4357">
        <f t="shared" si="17"/>
        <v>0</v>
      </c>
      <c r="AZ14" s="4357">
        <f t="shared" si="17"/>
        <v>0</v>
      </c>
      <c r="BA14" s="4357">
        <f t="shared" si="17"/>
        <v>0</v>
      </c>
      <c r="BB14" s="4357">
        <f t="shared" si="17"/>
        <v>0</v>
      </c>
      <c r="BC14" s="4357">
        <f t="shared" si="17"/>
        <v>0</v>
      </c>
      <c r="BD14" s="4357">
        <f t="shared" si="17"/>
        <v>0</v>
      </c>
      <c r="BE14" s="4357">
        <f t="shared" si="17"/>
        <v>0</v>
      </c>
      <c r="BF14" s="4357">
        <f t="shared" si="17"/>
        <v>0</v>
      </c>
      <c r="BG14" s="4357">
        <f t="shared" si="17"/>
        <v>0</v>
      </c>
      <c r="BH14" s="4357">
        <f t="shared" si="17"/>
        <v>0</v>
      </c>
      <c r="BI14" s="4357">
        <f t="shared" si="17"/>
        <v>0</v>
      </c>
      <c r="BJ14" s="4357">
        <f t="shared" si="17"/>
        <v>0</v>
      </c>
      <c r="BK14" s="4357">
        <f t="shared" si="17"/>
        <v>0</v>
      </c>
      <c r="BL14" s="4357">
        <f t="shared" si="17"/>
        <v>0</v>
      </c>
      <c r="BM14" s="4357">
        <f t="shared" si="17"/>
        <v>0</v>
      </c>
      <c r="BN14" s="4357">
        <f t="shared" si="17"/>
        <v>0</v>
      </c>
      <c r="BO14" s="4357">
        <f t="shared" si="17"/>
        <v>0</v>
      </c>
      <c r="BP14" s="4357">
        <f t="shared" si="17"/>
        <v>0</v>
      </c>
      <c r="BQ14" s="4357">
        <f t="shared" ref="BQ14:CH14" si="18">IFERROR(IF((time+time_cap)&lt;BQ$2, 0,IF(AND(time+1&gt;=BR$2, $AC14&lt;BR$2), IF($AG14= "I", $AH14/($AD14-$AC14+1), $AH14/(($AD14*($AD14+1)/2)-(($AC14-1)*($AC14-1+1)/2))*BQ$2), 0)+IF(IF(time+1&gt;=BR$2, $AI14/time_cap/(time+1)*BQ$2, 0) = 0, $AI14/(time_cap),0)),0)</f>
        <v>0</v>
      </c>
      <c r="BR14" s="4357">
        <f t="shared" si="18"/>
        <v>0</v>
      </c>
      <c r="BS14" s="4357">
        <f t="shared" si="18"/>
        <v>0</v>
      </c>
      <c r="BT14" s="4357">
        <f t="shared" si="18"/>
        <v>0</v>
      </c>
      <c r="BU14" s="4357">
        <f t="shared" si="18"/>
        <v>0</v>
      </c>
      <c r="BV14" s="4357">
        <f t="shared" si="18"/>
        <v>0</v>
      </c>
      <c r="BW14" s="4357">
        <f t="shared" si="18"/>
        <v>0</v>
      </c>
      <c r="BX14" s="4357">
        <f t="shared" si="18"/>
        <v>0</v>
      </c>
      <c r="BY14" s="4357">
        <f t="shared" si="18"/>
        <v>0</v>
      </c>
      <c r="BZ14" s="4357">
        <f t="shared" si="18"/>
        <v>0</v>
      </c>
      <c r="CA14" s="4357">
        <f t="shared" si="18"/>
        <v>0</v>
      </c>
      <c r="CB14" s="4357">
        <f t="shared" si="18"/>
        <v>0</v>
      </c>
      <c r="CC14" s="4357">
        <f t="shared" si="18"/>
        <v>0</v>
      </c>
      <c r="CD14" s="4357">
        <f t="shared" si="18"/>
        <v>0</v>
      </c>
      <c r="CE14" s="4357">
        <f t="shared" si="18"/>
        <v>0</v>
      </c>
      <c r="CF14" s="4357">
        <f t="shared" si="18"/>
        <v>0</v>
      </c>
      <c r="CG14" s="4357">
        <f t="shared" si="18"/>
        <v>0</v>
      </c>
      <c r="CH14" s="4357">
        <f t="shared" si="18"/>
        <v>0</v>
      </c>
      <c r="CI14" s="4357"/>
      <c r="CJ14" s="4357"/>
      <c r="CK14" s="4357"/>
      <c r="CL14" s="4357"/>
      <c r="CM14" s="4357"/>
      <c r="CN14" s="4357"/>
      <c r="CO14" s="4357"/>
      <c r="CP14" s="4357"/>
      <c r="CQ14" s="4357"/>
      <c r="CR14" s="4357"/>
      <c r="CS14" s="4357"/>
      <c r="CT14" s="4357"/>
      <c r="CU14" s="4357"/>
      <c r="CV14" s="4357"/>
      <c r="CW14" s="4357"/>
      <c r="CX14" s="4357"/>
      <c r="CY14" s="4357"/>
      <c r="CZ14" s="4357"/>
      <c r="DA14" s="4357"/>
      <c r="DB14" s="4357"/>
      <c r="DC14" s="4357"/>
      <c r="DD14" s="4357"/>
      <c r="DE14" s="4357"/>
      <c r="DF14" s="4357"/>
      <c r="DG14" s="4357"/>
      <c r="DH14" s="4357"/>
      <c r="DI14" s="4357"/>
      <c r="DJ14" s="4357"/>
      <c r="DK14" s="4357"/>
      <c r="DL14" s="4357"/>
      <c r="DM14" s="4357"/>
      <c r="DN14" s="4357"/>
      <c r="DO14" s="4357"/>
      <c r="DP14" s="4357"/>
      <c r="DQ14" s="4357"/>
      <c r="DR14" s="4357"/>
      <c r="DS14" s="4357"/>
      <c r="DT14" s="4357"/>
      <c r="DU14" s="4357"/>
      <c r="DV14" s="4357"/>
      <c r="DW14" s="4357"/>
      <c r="DX14" s="4357"/>
      <c r="DY14" s="4357"/>
      <c r="DZ14" s="4357"/>
      <c r="EA14" s="4357"/>
      <c r="EB14" s="4357"/>
      <c r="EC14" s="4357"/>
      <c r="ED14" s="4357"/>
      <c r="EE14" s="4357"/>
      <c r="EF14" s="4357"/>
    </row>
    <row r="15" spans="1:136" ht="16" x14ac:dyDescent="0.2">
      <c r="A15" t="s">
        <v>222</v>
      </c>
      <c r="B15" t="s">
        <v>222</v>
      </c>
      <c r="D15" t="str">
        <f>'2.LUC'!C15</f>
        <v>Please select</v>
      </c>
      <c r="E15">
        <f>'2.LUC'!Y15</f>
        <v>0</v>
      </c>
      <c r="F15" s="388">
        <f>(defo!J39-defo!I39)+(defo!L39-defo!K39)+(defo!N39-defo!M39)</f>
        <v>0</v>
      </c>
      <c r="G15" s="388">
        <f>(defo!P39-defo!O39)</f>
        <v>0</v>
      </c>
      <c r="M15" s="17">
        <f>defo!AC27-defo!AB27</f>
        <v>0</v>
      </c>
      <c r="N15" s="17">
        <f>defo!AE27-defo!AD27</f>
        <v>0</v>
      </c>
      <c r="U15" s="17">
        <f>defo!AA27-defo!Z27</f>
        <v>0</v>
      </c>
      <c r="AB15" t="str">
        <f t="shared" si="11"/>
        <v>ok</v>
      </c>
      <c r="AC15">
        <f>IF('2.LUC'!BZ15&lt;&gt;0,'2.LUC'!BZ15,'2.LUC'!BY15)</f>
        <v>1</v>
      </c>
      <c r="AD15">
        <f t="shared" si="8"/>
        <v>5</v>
      </c>
      <c r="AE15" s="4357" t="str">
        <f>'2.LUC'!O15</f>
        <v>D</v>
      </c>
      <c r="AF15" s="4357" t="str">
        <f>'2.LUC'!Q15</f>
        <v>D</v>
      </c>
      <c r="AG15" s="4357" t="str">
        <f t="shared" si="12"/>
        <v>D</v>
      </c>
      <c r="AH15" s="4357">
        <f>((E15/(time_cap+((AD15-AC15+1)*VLOOKUP(AG15,list!$I$48:$K$50,3, FALSE))))*(AD15-AC15+1)*VLOOKUP(AG15,list!$I$48:$K$50,3, FALSE))</f>
        <v>0</v>
      </c>
      <c r="AI15" s="4357">
        <f>((E15/(time_cap+((AD15-AC15+1)*VLOOKUP(AG15,list!$I$48:$K$50,3, FALSE))))*time_cap)</f>
        <v>0</v>
      </c>
      <c r="AK15" s="4357">
        <f t="shared" ref="AK15:BP15" si="19">IFERROR(IF((time+time_cap)&lt;AK$2, 0,IF(AND(time+1&gt;=AL$2, $AC15&lt;AL$2), IF($AG15= "I", $AH15/($AD15-$AC15+1), $AH15/(($AD15*($AD15+1)/2)-(($AC15-1)*($AC15-1+1)/2))*AK$2), 0)+IF(IF(time+1&gt;=AL$2, $AI15/time_cap/(time+1)*AK$2, 0) = 0, $AI15/(time_cap),0)),0)</f>
        <v>0</v>
      </c>
      <c r="AL15" s="4357">
        <f t="shared" si="19"/>
        <v>0</v>
      </c>
      <c r="AM15" s="4357">
        <f t="shared" si="19"/>
        <v>0</v>
      </c>
      <c r="AN15" s="4357">
        <f t="shared" si="19"/>
        <v>0</v>
      </c>
      <c r="AO15" s="4357">
        <f t="shared" si="19"/>
        <v>0</v>
      </c>
      <c r="AP15" s="4357">
        <f t="shared" si="19"/>
        <v>0</v>
      </c>
      <c r="AQ15" s="4357">
        <f t="shared" si="19"/>
        <v>0</v>
      </c>
      <c r="AR15" s="4357">
        <f t="shared" si="19"/>
        <v>0</v>
      </c>
      <c r="AS15" s="4357">
        <f t="shared" si="19"/>
        <v>0</v>
      </c>
      <c r="AT15" s="4357">
        <f t="shared" si="19"/>
        <v>0</v>
      </c>
      <c r="AU15" s="4357">
        <f t="shared" si="19"/>
        <v>0</v>
      </c>
      <c r="AV15" s="4357">
        <f t="shared" si="19"/>
        <v>0</v>
      </c>
      <c r="AW15" s="4357">
        <f t="shared" si="19"/>
        <v>0</v>
      </c>
      <c r="AX15" s="4357">
        <f t="shared" si="19"/>
        <v>0</v>
      </c>
      <c r="AY15" s="4357">
        <f t="shared" si="19"/>
        <v>0</v>
      </c>
      <c r="AZ15" s="4357">
        <f t="shared" si="19"/>
        <v>0</v>
      </c>
      <c r="BA15" s="4357">
        <f t="shared" si="19"/>
        <v>0</v>
      </c>
      <c r="BB15" s="4357">
        <f t="shared" si="19"/>
        <v>0</v>
      </c>
      <c r="BC15" s="4357">
        <f t="shared" si="19"/>
        <v>0</v>
      </c>
      <c r="BD15" s="4357">
        <f t="shared" si="19"/>
        <v>0</v>
      </c>
      <c r="BE15" s="4357">
        <f t="shared" si="19"/>
        <v>0</v>
      </c>
      <c r="BF15" s="4357">
        <f t="shared" si="19"/>
        <v>0</v>
      </c>
      <c r="BG15" s="4357">
        <f t="shared" si="19"/>
        <v>0</v>
      </c>
      <c r="BH15" s="4357">
        <f t="shared" si="19"/>
        <v>0</v>
      </c>
      <c r="BI15" s="4357">
        <f t="shared" si="19"/>
        <v>0</v>
      </c>
      <c r="BJ15" s="4357">
        <f t="shared" si="19"/>
        <v>0</v>
      </c>
      <c r="BK15" s="4357">
        <f t="shared" si="19"/>
        <v>0</v>
      </c>
      <c r="BL15" s="4357">
        <f t="shared" si="19"/>
        <v>0</v>
      </c>
      <c r="BM15" s="4357">
        <f t="shared" si="19"/>
        <v>0</v>
      </c>
      <c r="BN15" s="4357">
        <f t="shared" si="19"/>
        <v>0</v>
      </c>
      <c r="BO15" s="4357">
        <f t="shared" si="19"/>
        <v>0</v>
      </c>
      <c r="BP15" s="4357">
        <f t="shared" si="19"/>
        <v>0</v>
      </c>
      <c r="BQ15" s="4357">
        <f t="shared" ref="BQ15:CH15" si="20">IFERROR(IF((time+time_cap)&lt;BQ$2, 0,IF(AND(time+1&gt;=BR$2, $AC15&lt;BR$2), IF($AG15= "I", $AH15/($AD15-$AC15+1), $AH15/(($AD15*($AD15+1)/2)-(($AC15-1)*($AC15-1+1)/2))*BQ$2), 0)+IF(IF(time+1&gt;=BR$2, $AI15/time_cap/(time+1)*BQ$2, 0) = 0, $AI15/(time_cap),0)),0)</f>
        <v>0</v>
      </c>
      <c r="BR15" s="4357">
        <f t="shared" si="20"/>
        <v>0</v>
      </c>
      <c r="BS15" s="4357">
        <f t="shared" si="20"/>
        <v>0</v>
      </c>
      <c r="BT15" s="4357">
        <f t="shared" si="20"/>
        <v>0</v>
      </c>
      <c r="BU15" s="4357">
        <f t="shared" si="20"/>
        <v>0</v>
      </c>
      <c r="BV15" s="4357">
        <f t="shared" si="20"/>
        <v>0</v>
      </c>
      <c r="BW15" s="4357">
        <f t="shared" si="20"/>
        <v>0</v>
      </c>
      <c r="BX15" s="4357">
        <f t="shared" si="20"/>
        <v>0</v>
      </c>
      <c r="BY15" s="4357">
        <f t="shared" si="20"/>
        <v>0</v>
      </c>
      <c r="BZ15" s="4357">
        <f t="shared" si="20"/>
        <v>0</v>
      </c>
      <c r="CA15" s="4357">
        <f t="shared" si="20"/>
        <v>0</v>
      </c>
      <c r="CB15" s="4357">
        <f t="shared" si="20"/>
        <v>0</v>
      </c>
      <c r="CC15" s="4357">
        <f t="shared" si="20"/>
        <v>0</v>
      </c>
      <c r="CD15" s="4357">
        <f t="shared" si="20"/>
        <v>0</v>
      </c>
      <c r="CE15" s="4357">
        <f t="shared" si="20"/>
        <v>0</v>
      </c>
      <c r="CF15" s="4357">
        <f t="shared" si="20"/>
        <v>0</v>
      </c>
      <c r="CG15" s="4357">
        <f t="shared" si="20"/>
        <v>0</v>
      </c>
      <c r="CH15" s="4357">
        <f t="shared" si="20"/>
        <v>0</v>
      </c>
      <c r="CI15" s="4357"/>
      <c r="CJ15" s="4357"/>
      <c r="CK15" s="4357"/>
      <c r="CL15" s="4357"/>
      <c r="CM15" s="4357"/>
      <c r="CN15" s="4357"/>
      <c r="CO15" s="4357"/>
      <c r="CP15" s="4357"/>
      <c r="CQ15" s="4357"/>
      <c r="CR15" s="4357"/>
      <c r="CS15" s="4357"/>
      <c r="CT15" s="4357"/>
      <c r="CU15" s="4357"/>
      <c r="CV15" s="4357"/>
      <c r="CW15" s="4357"/>
      <c r="CX15" s="4357"/>
      <c r="CY15" s="4357"/>
      <c r="CZ15" s="4357"/>
      <c r="DA15" s="4357"/>
      <c r="DB15" s="4357"/>
      <c r="DC15" s="4357"/>
      <c r="DD15" s="4357"/>
      <c r="DE15" s="4357"/>
      <c r="DF15" s="4357"/>
      <c r="DG15" s="4357"/>
      <c r="DH15" s="4357"/>
      <c r="DI15" s="4357"/>
      <c r="DJ15" s="4357"/>
      <c r="DK15" s="4357"/>
      <c r="DL15" s="4357"/>
      <c r="DM15" s="4357"/>
      <c r="DN15" s="4357"/>
      <c r="DO15" s="4357"/>
      <c r="DP15" s="4357"/>
      <c r="DQ15" s="4357"/>
      <c r="DR15" s="4357"/>
      <c r="DS15" s="4357"/>
      <c r="DT15" s="4357"/>
      <c r="DU15" s="4357"/>
      <c r="DV15" s="4357"/>
      <c r="DW15" s="4357"/>
      <c r="DX15" s="4357"/>
      <c r="DY15" s="4357"/>
      <c r="DZ15" s="4357"/>
      <c r="EA15" s="4357"/>
      <c r="EB15" s="4357"/>
      <c r="EC15" s="4357"/>
      <c r="ED15" s="4357"/>
      <c r="EE15" s="4357"/>
      <c r="EF15" s="4357"/>
    </row>
    <row r="16" spans="1:136" ht="16" x14ac:dyDescent="0.2">
      <c r="A16" t="s">
        <v>222</v>
      </c>
      <c r="B16" t="s">
        <v>222</v>
      </c>
      <c r="D16" t="str">
        <f>'2.LUC'!C16</f>
        <v>Please select</v>
      </c>
      <c r="E16">
        <f>'2.LUC'!Y16</f>
        <v>0</v>
      </c>
      <c r="F16" s="388">
        <f>(defo!J40-defo!I40)+(defo!L40-defo!K40)+(defo!N40-defo!M40)</f>
        <v>0</v>
      </c>
      <c r="G16" s="388">
        <f>(defo!P40-defo!O40)</f>
        <v>0</v>
      </c>
      <c r="M16" s="17">
        <f>defo!AC28-defo!AB28</f>
        <v>0</v>
      </c>
      <c r="N16" s="17">
        <f>defo!AE28-defo!AD28</f>
        <v>0</v>
      </c>
      <c r="U16" s="17">
        <f>defo!AA28-defo!Z28</f>
        <v>0</v>
      </c>
      <c r="AB16" t="str">
        <f t="shared" si="11"/>
        <v>ok</v>
      </c>
      <c r="AC16">
        <f>IF('2.LUC'!BZ16&lt;&gt;0,'2.LUC'!BZ16,'2.LUC'!BY16)</f>
        <v>1</v>
      </c>
      <c r="AD16">
        <f t="shared" si="8"/>
        <v>5</v>
      </c>
      <c r="AE16" s="4357" t="str">
        <f>'2.LUC'!O16</f>
        <v>D</v>
      </c>
      <c r="AF16" s="4357" t="str">
        <f>'2.LUC'!Q16</f>
        <v>D</v>
      </c>
      <c r="AG16" s="4357" t="str">
        <f t="shared" si="12"/>
        <v>D</v>
      </c>
      <c r="AH16" s="4357">
        <f>((E16/(time_cap+((AD16-AC16+1)*VLOOKUP(AG16,list!$I$48:$K$50,3, FALSE))))*(AD16-AC16+1)*VLOOKUP(AG16,list!$I$48:$K$50,3, FALSE))</f>
        <v>0</v>
      </c>
      <c r="AI16" s="4357">
        <f>((E16/(time_cap+((AD16-AC16+1)*VLOOKUP(AG16,list!$I$48:$K$50,3, FALSE))))*time_cap)</f>
        <v>0</v>
      </c>
      <c r="AK16" s="4357">
        <f t="shared" ref="AK16:BP16" si="21">IFERROR(IF((time+time_cap)&lt;AK$2, 0,IF(AND(time+1&gt;=AL$2, $AC16&lt;AL$2), IF($AG16= "I", $AH16/($AD16-$AC16+1), $AH16/(($AD16*($AD16+1)/2)-(($AC16-1)*($AC16-1+1)/2))*AK$2), 0)+IF(IF(time+1&gt;=AL$2, $AI16/time_cap/(time+1)*AK$2, 0) = 0, $AI16/(time_cap),0)),0)</f>
        <v>0</v>
      </c>
      <c r="AL16" s="4357">
        <f t="shared" si="21"/>
        <v>0</v>
      </c>
      <c r="AM16" s="4357">
        <f t="shared" si="21"/>
        <v>0</v>
      </c>
      <c r="AN16" s="4357">
        <f t="shared" si="21"/>
        <v>0</v>
      </c>
      <c r="AO16" s="4357">
        <f t="shared" si="21"/>
        <v>0</v>
      </c>
      <c r="AP16" s="4357">
        <f t="shared" si="21"/>
        <v>0</v>
      </c>
      <c r="AQ16" s="4357">
        <f t="shared" si="21"/>
        <v>0</v>
      </c>
      <c r="AR16" s="4357">
        <f t="shared" si="21"/>
        <v>0</v>
      </c>
      <c r="AS16" s="4357">
        <f t="shared" si="21"/>
        <v>0</v>
      </c>
      <c r="AT16" s="4357">
        <f t="shared" si="21"/>
        <v>0</v>
      </c>
      <c r="AU16" s="4357">
        <f t="shared" si="21"/>
        <v>0</v>
      </c>
      <c r="AV16" s="4357">
        <f t="shared" si="21"/>
        <v>0</v>
      </c>
      <c r="AW16" s="4357">
        <f t="shared" si="21"/>
        <v>0</v>
      </c>
      <c r="AX16" s="4357">
        <f t="shared" si="21"/>
        <v>0</v>
      </c>
      <c r="AY16" s="4357">
        <f t="shared" si="21"/>
        <v>0</v>
      </c>
      <c r="AZ16" s="4357">
        <f t="shared" si="21"/>
        <v>0</v>
      </c>
      <c r="BA16" s="4357">
        <f t="shared" si="21"/>
        <v>0</v>
      </c>
      <c r="BB16" s="4357">
        <f t="shared" si="21"/>
        <v>0</v>
      </c>
      <c r="BC16" s="4357">
        <f t="shared" si="21"/>
        <v>0</v>
      </c>
      <c r="BD16" s="4357">
        <f t="shared" si="21"/>
        <v>0</v>
      </c>
      <c r="BE16" s="4357">
        <f t="shared" si="21"/>
        <v>0</v>
      </c>
      <c r="BF16" s="4357">
        <f t="shared" si="21"/>
        <v>0</v>
      </c>
      <c r="BG16" s="4357">
        <f t="shared" si="21"/>
        <v>0</v>
      </c>
      <c r="BH16" s="4357">
        <f t="shared" si="21"/>
        <v>0</v>
      </c>
      <c r="BI16" s="4357">
        <f t="shared" si="21"/>
        <v>0</v>
      </c>
      <c r="BJ16" s="4357">
        <f t="shared" si="21"/>
        <v>0</v>
      </c>
      <c r="BK16" s="4357">
        <f t="shared" si="21"/>
        <v>0</v>
      </c>
      <c r="BL16" s="4357">
        <f t="shared" si="21"/>
        <v>0</v>
      </c>
      <c r="BM16" s="4357">
        <f t="shared" si="21"/>
        <v>0</v>
      </c>
      <c r="BN16" s="4357">
        <f t="shared" si="21"/>
        <v>0</v>
      </c>
      <c r="BO16" s="4357">
        <f t="shared" si="21"/>
        <v>0</v>
      </c>
      <c r="BP16" s="4357">
        <f t="shared" si="21"/>
        <v>0</v>
      </c>
      <c r="BQ16" s="4357">
        <f t="shared" ref="BQ16:CH16" si="22">IFERROR(IF((time+time_cap)&lt;BQ$2, 0,IF(AND(time+1&gt;=BR$2, $AC16&lt;BR$2), IF($AG16= "I", $AH16/($AD16-$AC16+1), $AH16/(($AD16*($AD16+1)/2)-(($AC16-1)*($AC16-1+1)/2))*BQ$2), 0)+IF(IF(time+1&gt;=BR$2, $AI16/time_cap/(time+1)*BQ$2, 0) = 0, $AI16/(time_cap),0)),0)</f>
        <v>0</v>
      </c>
      <c r="BR16" s="4357">
        <f t="shared" si="22"/>
        <v>0</v>
      </c>
      <c r="BS16" s="4357">
        <f t="shared" si="22"/>
        <v>0</v>
      </c>
      <c r="BT16" s="4357">
        <f t="shared" si="22"/>
        <v>0</v>
      </c>
      <c r="BU16" s="4357">
        <f t="shared" si="22"/>
        <v>0</v>
      </c>
      <c r="BV16" s="4357">
        <f t="shared" si="22"/>
        <v>0</v>
      </c>
      <c r="BW16" s="4357">
        <f t="shared" si="22"/>
        <v>0</v>
      </c>
      <c r="BX16" s="4357">
        <f t="shared" si="22"/>
        <v>0</v>
      </c>
      <c r="BY16" s="4357">
        <f t="shared" si="22"/>
        <v>0</v>
      </c>
      <c r="BZ16" s="4357">
        <f t="shared" si="22"/>
        <v>0</v>
      </c>
      <c r="CA16" s="4357">
        <f t="shared" si="22"/>
        <v>0</v>
      </c>
      <c r="CB16" s="4357">
        <f t="shared" si="22"/>
        <v>0</v>
      </c>
      <c r="CC16" s="4357">
        <f t="shared" si="22"/>
        <v>0</v>
      </c>
      <c r="CD16" s="4357">
        <f t="shared" si="22"/>
        <v>0</v>
      </c>
      <c r="CE16" s="4357">
        <f t="shared" si="22"/>
        <v>0</v>
      </c>
      <c r="CF16" s="4357">
        <f t="shared" si="22"/>
        <v>0</v>
      </c>
      <c r="CG16" s="4357">
        <f t="shared" si="22"/>
        <v>0</v>
      </c>
      <c r="CH16" s="4357">
        <f t="shared" si="22"/>
        <v>0</v>
      </c>
      <c r="CI16" s="4357"/>
      <c r="CJ16" s="4357"/>
      <c r="CK16" s="4357"/>
      <c r="CL16" s="4357"/>
      <c r="CM16" s="4357"/>
      <c r="CN16" s="4357"/>
      <c r="CO16" s="4357"/>
      <c r="CP16" s="4357"/>
      <c r="CQ16" s="4357"/>
      <c r="CR16" s="4357"/>
      <c r="CS16" s="4357"/>
      <c r="CT16" s="4357"/>
      <c r="CU16" s="4357"/>
      <c r="CV16" s="4357"/>
      <c r="CW16" s="4357"/>
      <c r="CX16" s="4357"/>
      <c r="CY16" s="4357"/>
      <c r="CZ16" s="4357"/>
      <c r="DA16" s="4357"/>
      <c r="DB16" s="4357"/>
      <c r="DC16" s="4357"/>
      <c r="DD16" s="4357"/>
      <c r="DE16" s="4357"/>
      <c r="DF16" s="4357"/>
      <c r="DG16" s="4357"/>
      <c r="DH16" s="4357"/>
      <c r="DI16" s="4357"/>
      <c r="DJ16" s="4357"/>
      <c r="DK16" s="4357"/>
      <c r="DL16" s="4357"/>
      <c r="DM16" s="4357"/>
      <c r="DN16" s="4357"/>
      <c r="DO16" s="4357"/>
      <c r="DP16" s="4357"/>
      <c r="DQ16" s="4357"/>
      <c r="DR16" s="4357"/>
      <c r="DS16" s="4357"/>
      <c r="DT16" s="4357"/>
      <c r="DU16" s="4357"/>
      <c r="DV16" s="4357"/>
      <c r="DW16" s="4357"/>
      <c r="DX16" s="4357"/>
      <c r="DY16" s="4357"/>
      <c r="DZ16" s="4357"/>
      <c r="EA16" s="4357"/>
      <c r="EB16" s="4357"/>
      <c r="EC16" s="4357"/>
      <c r="ED16" s="4357"/>
      <c r="EE16" s="4357"/>
      <c r="EF16" s="4357"/>
    </row>
    <row r="17" spans="1:136" ht="16" x14ac:dyDescent="0.2">
      <c r="A17" t="s">
        <v>222</v>
      </c>
      <c r="B17" t="s">
        <v>222</v>
      </c>
      <c r="D17" t="str">
        <f>'2.LUC'!C17</f>
        <v>Please select</v>
      </c>
      <c r="E17">
        <f>'2.LUC'!Y17</f>
        <v>0</v>
      </c>
      <c r="F17" s="388">
        <f>(defo!J41-defo!I41)+(defo!L41-defo!K41)+(defo!N41-defo!M41)</f>
        <v>0</v>
      </c>
      <c r="G17" s="388">
        <f>(defo!P41-defo!O41)</f>
        <v>0</v>
      </c>
      <c r="M17" s="17">
        <f>defo!AC29-defo!AB29</f>
        <v>0</v>
      </c>
      <c r="N17" s="17">
        <f>defo!AE29-defo!AD29</f>
        <v>0</v>
      </c>
      <c r="U17" s="17">
        <f>defo!AA29-defo!Z29</f>
        <v>0</v>
      </c>
      <c r="AB17" t="str">
        <f t="shared" si="11"/>
        <v>ok</v>
      </c>
      <c r="AC17">
        <f>IF('2.LUC'!BZ17&lt;&gt;0,'2.LUC'!BZ17,'2.LUC'!BY17)</f>
        <v>1</v>
      </c>
      <c r="AD17">
        <f t="shared" si="8"/>
        <v>5</v>
      </c>
      <c r="AE17" s="4357" t="str">
        <f>'2.LUC'!O17</f>
        <v>D</v>
      </c>
      <c r="AF17" s="4357" t="str">
        <f>'2.LUC'!Q17</f>
        <v>D</v>
      </c>
      <c r="AG17" s="4357" t="str">
        <f t="shared" si="12"/>
        <v>D</v>
      </c>
      <c r="AH17" s="4357">
        <f>((E17/(time_cap+((AD17-AC17+1)*VLOOKUP(AG17,list!$I$48:$K$50,3, FALSE))))*(AD17-AC17+1)*VLOOKUP(AG17,list!$I$48:$K$50,3, FALSE))</f>
        <v>0</v>
      </c>
      <c r="AI17" s="4357">
        <f>((E17/(time_cap+((AD17-AC17+1)*VLOOKUP(AG17,list!$I$48:$K$50,3, FALSE))))*time_cap)</f>
        <v>0</v>
      </c>
      <c r="AK17" s="4357">
        <f t="shared" ref="AK17:BP17" si="23">IFERROR(IF((time+time_cap)&lt;AK$2, 0,IF(AND(time+1&gt;=AL$2, $AC17&lt;AL$2), IF($AG17= "I", $AH17/($AD17-$AC17+1), $AH17/(($AD17*($AD17+1)/2)-(($AC17-1)*($AC17-1+1)/2))*AK$2), 0)+IF(IF(time+1&gt;=AL$2, $AI17/time_cap/(time+1)*AK$2, 0) = 0, $AI17/(time_cap),0)),0)</f>
        <v>0</v>
      </c>
      <c r="AL17" s="4357">
        <f t="shared" si="23"/>
        <v>0</v>
      </c>
      <c r="AM17" s="4357">
        <f t="shared" si="23"/>
        <v>0</v>
      </c>
      <c r="AN17" s="4357">
        <f t="shared" si="23"/>
        <v>0</v>
      </c>
      <c r="AO17" s="4357">
        <f t="shared" si="23"/>
        <v>0</v>
      </c>
      <c r="AP17" s="4357">
        <f t="shared" si="23"/>
        <v>0</v>
      </c>
      <c r="AQ17" s="4357">
        <f t="shared" si="23"/>
        <v>0</v>
      </c>
      <c r="AR17" s="4357">
        <f t="shared" si="23"/>
        <v>0</v>
      </c>
      <c r="AS17" s="4357">
        <f t="shared" si="23"/>
        <v>0</v>
      </c>
      <c r="AT17" s="4357">
        <f t="shared" si="23"/>
        <v>0</v>
      </c>
      <c r="AU17" s="4357">
        <f t="shared" si="23"/>
        <v>0</v>
      </c>
      <c r="AV17" s="4357">
        <f t="shared" si="23"/>
        <v>0</v>
      </c>
      <c r="AW17" s="4357">
        <f t="shared" si="23"/>
        <v>0</v>
      </c>
      <c r="AX17" s="4357">
        <f t="shared" si="23"/>
        <v>0</v>
      </c>
      <c r="AY17" s="4357">
        <f t="shared" si="23"/>
        <v>0</v>
      </c>
      <c r="AZ17" s="4357">
        <f t="shared" si="23"/>
        <v>0</v>
      </c>
      <c r="BA17" s="4357">
        <f t="shared" si="23"/>
        <v>0</v>
      </c>
      <c r="BB17" s="4357">
        <f t="shared" si="23"/>
        <v>0</v>
      </c>
      <c r="BC17" s="4357">
        <f t="shared" si="23"/>
        <v>0</v>
      </c>
      <c r="BD17" s="4357">
        <f t="shared" si="23"/>
        <v>0</v>
      </c>
      <c r="BE17" s="4357">
        <f t="shared" si="23"/>
        <v>0</v>
      </c>
      <c r="BF17" s="4357">
        <f t="shared" si="23"/>
        <v>0</v>
      </c>
      <c r="BG17" s="4357">
        <f t="shared" si="23"/>
        <v>0</v>
      </c>
      <c r="BH17" s="4357">
        <f t="shared" si="23"/>
        <v>0</v>
      </c>
      <c r="BI17" s="4357">
        <f t="shared" si="23"/>
        <v>0</v>
      </c>
      <c r="BJ17" s="4357">
        <f t="shared" si="23"/>
        <v>0</v>
      </c>
      <c r="BK17" s="4357">
        <f t="shared" si="23"/>
        <v>0</v>
      </c>
      <c r="BL17" s="4357">
        <f t="shared" si="23"/>
        <v>0</v>
      </c>
      <c r="BM17" s="4357">
        <f t="shared" si="23"/>
        <v>0</v>
      </c>
      <c r="BN17" s="4357">
        <f t="shared" si="23"/>
        <v>0</v>
      </c>
      <c r="BO17" s="4357">
        <f t="shared" si="23"/>
        <v>0</v>
      </c>
      <c r="BP17" s="4357">
        <f t="shared" si="23"/>
        <v>0</v>
      </c>
      <c r="BQ17" s="4357">
        <f t="shared" ref="BQ17:CH17" si="24">IFERROR(IF((time+time_cap)&lt;BQ$2, 0,IF(AND(time+1&gt;=BR$2, $AC17&lt;BR$2), IF($AG17= "I", $AH17/($AD17-$AC17+1), $AH17/(($AD17*($AD17+1)/2)-(($AC17-1)*($AC17-1+1)/2))*BQ$2), 0)+IF(IF(time+1&gt;=BR$2, $AI17/time_cap/(time+1)*BQ$2, 0) = 0, $AI17/(time_cap),0)),0)</f>
        <v>0</v>
      </c>
      <c r="BR17" s="4357">
        <f t="shared" si="24"/>
        <v>0</v>
      </c>
      <c r="BS17" s="4357">
        <f t="shared" si="24"/>
        <v>0</v>
      </c>
      <c r="BT17" s="4357">
        <f t="shared" si="24"/>
        <v>0</v>
      </c>
      <c r="BU17" s="4357">
        <f t="shared" si="24"/>
        <v>0</v>
      </c>
      <c r="BV17" s="4357">
        <f t="shared" si="24"/>
        <v>0</v>
      </c>
      <c r="BW17" s="4357">
        <f t="shared" si="24"/>
        <v>0</v>
      </c>
      <c r="BX17" s="4357">
        <f t="shared" si="24"/>
        <v>0</v>
      </c>
      <c r="BY17" s="4357">
        <f t="shared" si="24"/>
        <v>0</v>
      </c>
      <c r="BZ17" s="4357">
        <f t="shared" si="24"/>
        <v>0</v>
      </c>
      <c r="CA17" s="4357">
        <f t="shared" si="24"/>
        <v>0</v>
      </c>
      <c r="CB17" s="4357">
        <f t="shared" si="24"/>
        <v>0</v>
      </c>
      <c r="CC17" s="4357">
        <f t="shared" si="24"/>
        <v>0</v>
      </c>
      <c r="CD17" s="4357">
        <f t="shared" si="24"/>
        <v>0</v>
      </c>
      <c r="CE17" s="4357">
        <f t="shared" si="24"/>
        <v>0</v>
      </c>
      <c r="CF17" s="4357">
        <f t="shared" si="24"/>
        <v>0</v>
      </c>
      <c r="CG17" s="4357">
        <f t="shared" si="24"/>
        <v>0</v>
      </c>
      <c r="CH17" s="4357">
        <f t="shared" si="24"/>
        <v>0</v>
      </c>
      <c r="CI17" s="4357"/>
      <c r="CJ17" s="4357"/>
      <c r="CK17" s="4357"/>
      <c r="CL17" s="4357"/>
      <c r="CM17" s="4357"/>
      <c r="CN17" s="4357"/>
      <c r="CO17" s="4357"/>
      <c r="CP17" s="4357"/>
      <c r="CQ17" s="4357"/>
      <c r="CR17" s="4357"/>
      <c r="CS17" s="4357"/>
      <c r="CT17" s="4357"/>
      <c r="CU17" s="4357"/>
      <c r="CV17" s="4357"/>
      <c r="CW17" s="4357"/>
      <c r="CX17" s="4357"/>
      <c r="CY17" s="4357"/>
      <c r="CZ17" s="4357"/>
      <c r="DA17" s="4357"/>
      <c r="DB17" s="4357"/>
      <c r="DC17" s="4357"/>
      <c r="DD17" s="4357"/>
      <c r="DE17" s="4357"/>
      <c r="DF17" s="4357"/>
      <c r="DG17" s="4357"/>
      <c r="DH17" s="4357"/>
      <c r="DI17" s="4357"/>
      <c r="DJ17" s="4357"/>
      <c r="DK17" s="4357"/>
      <c r="DL17" s="4357"/>
      <c r="DM17" s="4357"/>
      <c r="DN17" s="4357"/>
      <c r="DO17" s="4357"/>
      <c r="DP17" s="4357"/>
      <c r="DQ17" s="4357"/>
      <c r="DR17" s="4357"/>
      <c r="DS17" s="4357"/>
      <c r="DT17" s="4357"/>
      <c r="DU17" s="4357"/>
      <c r="DV17" s="4357"/>
      <c r="DW17" s="4357"/>
      <c r="DX17" s="4357"/>
      <c r="DY17" s="4357"/>
      <c r="DZ17" s="4357"/>
      <c r="EA17" s="4357"/>
      <c r="EB17" s="4357"/>
      <c r="EC17" s="4357"/>
      <c r="ED17" s="4357"/>
      <c r="EE17" s="4357"/>
      <c r="EF17" s="4357"/>
    </row>
    <row r="18" spans="1:136" ht="16" x14ac:dyDescent="0.2">
      <c r="A18" t="s">
        <v>222</v>
      </c>
      <c r="B18" t="s">
        <v>222</v>
      </c>
      <c r="D18" t="str">
        <f>'2.LUC'!C18</f>
        <v>Please select</v>
      </c>
      <c r="E18">
        <f>'2.LUC'!Y18</f>
        <v>0</v>
      </c>
      <c r="F18" s="388">
        <f>(defo!J42-defo!I42)+(defo!L42-defo!K42)+(defo!N42-defo!M42)</f>
        <v>0</v>
      </c>
      <c r="G18" s="388">
        <f>(defo!P42-defo!O42)</f>
        <v>0</v>
      </c>
      <c r="M18" s="17">
        <f>defo!AC30-defo!AB30</f>
        <v>0</v>
      </c>
      <c r="N18" s="17">
        <f>defo!AE30-defo!AD30</f>
        <v>0</v>
      </c>
      <c r="U18" s="17">
        <f>defo!AA30-defo!Z30</f>
        <v>0</v>
      </c>
      <c r="AB18" t="str">
        <f t="shared" si="11"/>
        <v>ok</v>
      </c>
      <c r="AC18">
        <f>IF('2.LUC'!BZ18&lt;&gt;0,'2.LUC'!BZ18,'2.LUC'!BY18)</f>
        <v>1</v>
      </c>
      <c r="AD18">
        <f t="shared" si="8"/>
        <v>5</v>
      </c>
      <c r="AE18" s="4357" t="str">
        <f>'2.LUC'!O18</f>
        <v>D</v>
      </c>
      <c r="AF18" s="4357" t="str">
        <f>'2.LUC'!Q18</f>
        <v>D</v>
      </c>
      <c r="AG18" s="4357" t="str">
        <f t="shared" si="12"/>
        <v>D</v>
      </c>
      <c r="AH18" s="4357">
        <f>((E18/(time_cap+((AD18-AC18+1)*VLOOKUP(AG18,list!$I$48:$K$50,3, FALSE))))*(AD18-AC18+1)*VLOOKUP(AG18,list!$I$48:$K$50,3, FALSE))</f>
        <v>0</v>
      </c>
      <c r="AI18" s="4357">
        <f>((E18/(time_cap+((AD18-AC18+1)*VLOOKUP(AG18,list!$I$48:$K$50,3, FALSE))))*time_cap)</f>
        <v>0</v>
      </c>
      <c r="AK18" s="4357">
        <f t="shared" ref="AK18:BP18" si="25">IFERROR(IF((time+time_cap)&lt;AK$2, 0,IF(AND(time+1&gt;=AL$2, $AC18&lt;AL$2), IF($AG18= "I", $AH18/($AD18-$AC18+1), $AH18/(($AD18*($AD18+1)/2)-(($AC18-1)*($AC18-1+1)/2))*AK$2), 0)+IF(IF(time+1&gt;=AL$2, $AI18/time_cap/(time+1)*AK$2, 0) = 0, $AI18/(time_cap),0)),0)</f>
        <v>0</v>
      </c>
      <c r="AL18" s="4357">
        <f t="shared" si="25"/>
        <v>0</v>
      </c>
      <c r="AM18" s="4357">
        <f t="shared" si="25"/>
        <v>0</v>
      </c>
      <c r="AN18" s="4357">
        <f t="shared" si="25"/>
        <v>0</v>
      </c>
      <c r="AO18" s="4357">
        <f t="shared" si="25"/>
        <v>0</v>
      </c>
      <c r="AP18" s="4357">
        <f t="shared" si="25"/>
        <v>0</v>
      </c>
      <c r="AQ18" s="4357">
        <f t="shared" si="25"/>
        <v>0</v>
      </c>
      <c r="AR18" s="4357">
        <f t="shared" si="25"/>
        <v>0</v>
      </c>
      <c r="AS18" s="4357">
        <f t="shared" si="25"/>
        <v>0</v>
      </c>
      <c r="AT18" s="4357">
        <f t="shared" si="25"/>
        <v>0</v>
      </c>
      <c r="AU18" s="4357">
        <f t="shared" si="25"/>
        <v>0</v>
      </c>
      <c r="AV18" s="4357">
        <f t="shared" si="25"/>
        <v>0</v>
      </c>
      <c r="AW18" s="4357">
        <f t="shared" si="25"/>
        <v>0</v>
      </c>
      <c r="AX18" s="4357">
        <f t="shared" si="25"/>
        <v>0</v>
      </c>
      <c r="AY18" s="4357">
        <f t="shared" si="25"/>
        <v>0</v>
      </c>
      <c r="AZ18" s="4357">
        <f t="shared" si="25"/>
        <v>0</v>
      </c>
      <c r="BA18" s="4357">
        <f t="shared" si="25"/>
        <v>0</v>
      </c>
      <c r="BB18" s="4357">
        <f t="shared" si="25"/>
        <v>0</v>
      </c>
      <c r="BC18" s="4357">
        <f t="shared" si="25"/>
        <v>0</v>
      </c>
      <c r="BD18" s="4357">
        <f t="shared" si="25"/>
        <v>0</v>
      </c>
      <c r="BE18" s="4357">
        <f t="shared" si="25"/>
        <v>0</v>
      </c>
      <c r="BF18" s="4357">
        <f t="shared" si="25"/>
        <v>0</v>
      </c>
      <c r="BG18" s="4357">
        <f t="shared" si="25"/>
        <v>0</v>
      </c>
      <c r="BH18" s="4357">
        <f t="shared" si="25"/>
        <v>0</v>
      </c>
      <c r="BI18" s="4357">
        <f t="shared" si="25"/>
        <v>0</v>
      </c>
      <c r="BJ18" s="4357">
        <f t="shared" si="25"/>
        <v>0</v>
      </c>
      <c r="BK18" s="4357">
        <f t="shared" si="25"/>
        <v>0</v>
      </c>
      <c r="BL18" s="4357">
        <f t="shared" si="25"/>
        <v>0</v>
      </c>
      <c r="BM18" s="4357">
        <f t="shared" si="25"/>
        <v>0</v>
      </c>
      <c r="BN18" s="4357">
        <f t="shared" si="25"/>
        <v>0</v>
      </c>
      <c r="BO18" s="4357">
        <f t="shared" si="25"/>
        <v>0</v>
      </c>
      <c r="BP18" s="4357">
        <f t="shared" si="25"/>
        <v>0</v>
      </c>
      <c r="BQ18" s="4357">
        <f t="shared" ref="BQ18:CH18" si="26">IFERROR(IF((time+time_cap)&lt;BQ$2, 0,IF(AND(time+1&gt;=BR$2, $AC18&lt;BR$2), IF($AG18= "I", $AH18/($AD18-$AC18+1), $AH18/(($AD18*($AD18+1)/2)-(($AC18-1)*($AC18-1+1)/2))*BQ$2), 0)+IF(IF(time+1&gt;=BR$2, $AI18/time_cap/(time+1)*BQ$2, 0) = 0, $AI18/(time_cap),0)),0)</f>
        <v>0</v>
      </c>
      <c r="BR18" s="4357">
        <f t="shared" si="26"/>
        <v>0</v>
      </c>
      <c r="BS18" s="4357">
        <f t="shared" si="26"/>
        <v>0</v>
      </c>
      <c r="BT18" s="4357">
        <f t="shared" si="26"/>
        <v>0</v>
      </c>
      <c r="BU18" s="4357">
        <f t="shared" si="26"/>
        <v>0</v>
      </c>
      <c r="BV18" s="4357">
        <f t="shared" si="26"/>
        <v>0</v>
      </c>
      <c r="BW18" s="4357">
        <f t="shared" si="26"/>
        <v>0</v>
      </c>
      <c r="BX18" s="4357">
        <f t="shared" si="26"/>
        <v>0</v>
      </c>
      <c r="BY18" s="4357">
        <f t="shared" si="26"/>
        <v>0</v>
      </c>
      <c r="BZ18" s="4357">
        <f t="shared" si="26"/>
        <v>0</v>
      </c>
      <c r="CA18" s="4357">
        <f t="shared" si="26"/>
        <v>0</v>
      </c>
      <c r="CB18" s="4357">
        <f t="shared" si="26"/>
        <v>0</v>
      </c>
      <c r="CC18" s="4357">
        <f t="shared" si="26"/>
        <v>0</v>
      </c>
      <c r="CD18" s="4357">
        <f t="shared" si="26"/>
        <v>0</v>
      </c>
      <c r="CE18" s="4357">
        <f t="shared" si="26"/>
        <v>0</v>
      </c>
      <c r="CF18" s="4357">
        <f t="shared" si="26"/>
        <v>0</v>
      </c>
      <c r="CG18" s="4357">
        <f t="shared" si="26"/>
        <v>0</v>
      </c>
      <c r="CH18" s="4357">
        <f t="shared" si="26"/>
        <v>0</v>
      </c>
      <c r="CI18" s="4357"/>
      <c r="CJ18" s="4357"/>
      <c r="CK18" s="4357"/>
      <c r="CL18" s="4357"/>
      <c r="CM18" s="4357"/>
      <c r="CN18" s="4357"/>
      <c r="CO18" s="4357"/>
      <c r="CP18" s="4357"/>
      <c r="CQ18" s="4357"/>
      <c r="CR18" s="4357"/>
      <c r="CS18" s="4357"/>
      <c r="CT18" s="4357"/>
      <c r="CU18" s="4357"/>
      <c r="CV18" s="4357"/>
      <c r="CW18" s="4357"/>
      <c r="CX18" s="4357"/>
      <c r="CY18" s="4357"/>
      <c r="CZ18" s="4357"/>
      <c r="DA18" s="4357"/>
      <c r="DB18" s="4357"/>
      <c r="DC18" s="4357"/>
      <c r="DD18" s="4357"/>
      <c r="DE18" s="4357"/>
      <c r="DF18" s="4357"/>
      <c r="DG18" s="4357"/>
      <c r="DH18" s="4357"/>
      <c r="DI18" s="4357"/>
      <c r="DJ18" s="4357"/>
      <c r="DK18" s="4357"/>
      <c r="DL18" s="4357"/>
      <c r="DM18" s="4357"/>
      <c r="DN18" s="4357"/>
      <c r="DO18" s="4357"/>
      <c r="DP18" s="4357"/>
      <c r="DQ18" s="4357"/>
      <c r="DR18" s="4357"/>
      <c r="DS18" s="4357"/>
      <c r="DT18" s="4357"/>
      <c r="DU18" s="4357"/>
      <c r="DV18" s="4357"/>
      <c r="DW18" s="4357"/>
      <c r="DX18" s="4357"/>
      <c r="DY18" s="4357"/>
      <c r="DZ18" s="4357"/>
      <c r="EA18" s="4357"/>
      <c r="EB18" s="4357"/>
      <c r="EC18" s="4357"/>
      <c r="ED18" s="4357"/>
      <c r="EE18" s="4357"/>
      <c r="EF18" s="4357"/>
    </row>
    <row r="19" spans="1:136" ht="16" x14ac:dyDescent="0.2">
      <c r="A19" t="s">
        <v>303</v>
      </c>
      <c r="B19" t="s">
        <v>303</v>
      </c>
      <c r="D19" t="str">
        <f>'2.LUC'!C36</f>
        <v>Please select</v>
      </c>
      <c r="E19">
        <f>'2.LUC'!Y36</f>
        <v>0</v>
      </c>
      <c r="F19" s="388">
        <f>affo!M37-affo!L37+affo!K37-affo!J37+affo!I37-affo!H37</f>
        <v>0</v>
      </c>
      <c r="G19" s="388">
        <f>affo!O37-affo!N37</f>
        <v>0</v>
      </c>
      <c r="M19" s="17">
        <f>affo!AL8-affo!AK8</f>
        <v>0</v>
      </c>
      <c r="N19">
        <v>0</v>
      </c>
      <c r="U19" s="17">
        <f>affo!AJ8-affo!AI8</f>
        <v>0</v>
      </c>
      <c r="AB19" t="str">
        <f t="shared" si="11"/>
        <v>ok</v>
      </c>
      <c r="AC19">
        <f>IF('2.LUC'!CG36&lt;&gt;0,'2.LUC'!CG36,'2.LUC'!CF36)</f>
        <v>1</v>
      </c>
      <c r="AD19">
        <f t="shared" si="8"/>
        <v>5</v>
      </c>
      <c r="AE19" s="4357" t="str">
        <f>'2.LUC'!O36</f>
        <v>D</v>
      </c>
      <c r="AF19" s="4357" t="str">
        <f>'2.LUC'!Q36</f>
        <v>D</v>
      </c>
      <c r="AG19" s="4357" t="str">
        <f t="shared" si="12"/>
        <v>D</v>
      </c>
      <c r="AH19" s="4357">
        <f>((E19/(time_cap+((AD19-AC19+1)*VLOOKUP(AG19,list!$I$48:$K$50,3, FALSE))))*(AD19-AC19+1)*VLOOKUP(AG19,list!$I$48:$K$50,3, FALSE))</f>
        <v>0</v>
      </c>
      <c r="AI19" s="4357">
        <f>((E19/(time_cap+((AD19-AC19+1)*VLOOKUP(AG19,list!$I$48:$K$50,3, FALSE))))*time_cap)</f>
        <v>0</v>
      </c>
      <c r="AK19" s="4357">
        <f t="shared" ref="AK19:BP19" si="27">IFERROR(IF((time+time_cap)&lt;AK$2, 0,IF(AND(time+1&gt;=AL$2, $AC19&lt;AL$2), IF($AG19= "I", $AH19/($AD19-$AC19+1), $AH19/(($AD19*($AD19+1)/2)-(($AC19-1)*($AC19-1+1)/2))*AK$2), 0)+IF(IF(time+1&gt;=AL$2, $AI19/time_cap/(time+1)*AK$2, 0) = 0, $AI19/(time_cap),0)),0)</f>
        <v>0</v>
      </c>
      <c r="AL19" s="4357">
        <f t="shared" si="27"/>
        <v>0</v>
      </c>
      <c r="AM19" s="4357">
        <f t="shared" si="27"/>
        <v>0</v>
      </c>
      <c r="AN19" s="4357">
        <f t="shared" si="27"/>
        <v>0</v>
      </c>
      <c r="AO19" s="4357">
        <f t="shared" si="27"/>
        <v>0</v>
      </c>
      <c r="AP19" s="4357">
        <f t="shared" si="27"/>
        <v>0</v>
      </c>
      <c r="AQ19" s="4357">
        <f t="shared" si="27"/>
        <v>0</v>
      </c>
      <c r="AR19" s="4357">
        <f t="shared" si="27"/>
        <v>0</v>
      </c>
      <c r="AS19" s="4357">
        <f t="shared" si="27"/>
        <v>0</v>
      </c>
      <c r="AT19" s="4357">
        <f t="shared" si="27"/>
        <v>0</v>
      </c>
      <c r="AU19" s="4357">
        <f t="shared" si="27"/>
        <v>0</v>
      </c>
      <c r="AV19" s="4357">
        <f t="shared" si="27"/>
        <v>0</v>
      </c>
      <c r="AW19" s="4357">
        <f t="shared" si="27"/>
        <v>0</v>
      </c>
      <c r="AX19" s="4357">
        <f t="shared" si="27"/>
        <v>0</v>
      </c>
      <c r="AY19" s="4357">
        <f t="shared" si="27"/>
        <v>0</v>
      </c>
      <c r="AZ19" s="4357">
        <f t="shared" si="27"/>
        <v>0</v>
      </c>
      <c r="BA19" s="4357">
        <f t="shared" si="27"/>
        <v>0</v>
      </c>
      <c r="BB19" s="4357">
        <f t="shared" si="27"/>
        <v>0</v>
      </c>
      <c r="BC19" s="4357">
        <f t="shared" si="27"/>
        <v>0</v>
      </c>
      <c r="BD19" s="4357">
        <f t="shared" si="27"/>
        <v>0</v>
      </c>
      <c r="BE19" s="4357">
        <f t="shared" si="27"/>
        <v>0</v>
      </c>
      <c r="BF19" s="4357">
        <f t="shared" si="27"/>
        <v>0</v>
      </c>
      <c r="BG19" s="4357">
        <f t="shared" si="27"/>
        <v>0</v>
      </c>
      <c r="BH19" s="4357">
        <f t="shared" si="27"/>
        <v>0</v>
      </c>
      <c r="BI19" s="4357">
        <f t="shared" si="27"/>
        <v>0</v>
      </c>
      <c r="BJ19" s="4357">
        <f t="shared" si="27"/>
        <v>0</v>
      </c>
      <c r="BK19" s="4357">
        <f t="shared" si="27"/>
        <v>0</v>
      </c>
      <c r="BL19" s="4357">
        <f t="shared" si="27"/>
        <v>0</v>
      </c>
      <c r="BM19" s="4357">
        <f t="shared" si="27"/>
        <v>0</v>
      </c>
      <c r="BN19" s="4357">
        <f t="shared" si="27"/>
        <v>0</v>
      </c>
      <c r="BO19" s="4357">
        <f t="shared" si="27"/>
        <v>0</v>
      </c>
      <c r="BP19" s="4357">
        <f t="shared" si="27"/>
        <v>0</v>
      </c>
      <c r="BQ19" s="4357">
        <f t="shared" ref="BQ19:CH19" si="28">IFERROR(IF((time+time_cap)&lt;BQ$2, 0,IF(AND(time+1&gt;=BR$2, $AC19&lt;BR$2), IF($AG19= "I", $AH19/($AD19-$AC19+1), $AH19/(($AD19*($AD19+1)/2)-(($AC19-1)*($AC19-1+1)/2))*BQ$2), 0)+IF(IF(time+1&gt;=BR$2, $AI19/time_cap/(time+1)*BQ$2, 0) = 0, $AI19/(time_cap),0)),0)</f>
        <v>0</v>
      </c>
      <c r="BR19" s="4357">
        <f t="shared" si="28"/>
        <v>0</v>
      </c>
      <c r="BS19" s="4357">
        <f t="shared" si="28"/>
        <v>0</v>
      </c>
      <c r="BT19" s="4357">
        <f t="shared" si="28"/>
        <v>0</v>
      </c>
      <c r="BU19" s="4357">
        <f t="shared" si="28"/>
        <v>0</v>
      </c>
      <c r="BV19" s="4357">
        <f t="shared" si="28"/>
        <v>0</v>
      </c>
      <c r="BW19" s="4357">
        <f t="shared" si="28"/>
        <v>0</v>
      </c>
      <c r="BX19" s="4357">
        <f t="shared" si="28"/>
        <v>0</v>
      </c>
      <c r="BY19" s="4357">
        <f t="shared" si="28"/>
        <v>0</v>
      </c>
      <c r="BZ19" s="4357">
        <f t="shared" si="28"/>
        <v>0</v>
      </c>
      <c r="CA19" s="4357">
        <f t="shared" si="28"/>
        <v>0</v>
      </c>
      <c r="CB19" s="4357">
        <f t="shared" si="28"/>
        <v>0</v>
      </c>
      <c r="CC19" s="4357">
        <f t="shared" si="28"/>
        <v>0</v>
      </c>
      <c r="CD19" s="4357">
        <f t="shared" si="28"/>
        <v>0</v>
      </c>
      <c r="CE19" s="4357">
        <f t="shared" si="28"/>
        <v>0</v>
      </c>
      <c r="CF19" s="4357">
        <f t="shared" si="28"/>
        <v>0</v>
      </c>
      <c r="CG19" s="4357">
        <f t="shared" si="28"/>
        <v>0</v>
      </c>
      <c r="CH19" s="4357">
        <f t="shared" si="28"/>
        <v>0</v>
      </c>
      <c r="CI19" s="4357"/>
      <c r="CJ19" s="4357"/>
      <c r="CK19" s="4357"/>
      <c r="CL19" s="4357"/>
      <c r="CM19" s="4357"/>
      <c r="CN19" s="4357"/>
      <c r="CO19" s="4357"/>
      <c r="CP19" s="4357"/>
      <c r="CQ19" s="4357"/>
      <c r="CR19" s="4357"/>
      <c r="CS19" s="4357"/>
      <c r="CT19" s="4357"/>
      <c r="CU19" s="4357"/>
      <c r="CV19" s="4357"/>
      <c r="CW19" s="4357"/>
      <c r="CX19" s="4357"/>
      <c r="CY19" s="4357"/>
      <c r="CZ19" s="4357"/>
      <c r="DA19" s="4357"/>
      <c r="DB19" s="4357"/>
      <c r="DC19" s="4357"/>
      <c r="DD19" s="4357"/>
      <c r="DE19" s="4357"/>
      <c r="DF19" s="4357"/>
      <c r="DG19" s="4357"/>
      <c r="DH19" s="4357"/>
      <c r="DI19" s="4357"/>
      <c r="DJ19" s="4357"/>
      <c r="DK19" s="4357"/>
      <c r="DL19" s="4357"/>
      <c r="DM19" s="4357"/>
      <c r="DN19" s="4357"/>
      <c r="DO19" s="4357"/>
      <c r="DP19" s="4357"/>
      <c r="DQ19" s="4357"/>
      <c r="DR19" s="4357"/>
      <c r="DS19" s="4357"/>
      <c r="DT19" s="4357"/>
      <c r="DU19" s="4357"/>
      <c r="DV19" s="4357"/>
      <c r="DW19" s="4357"/>
      <c r="DX19" s="4357"/>
      <c r="DY19" s="4357"/>
      <c r="DZ19" s="4357"/>
      <c r="EA19" s="4357"/>
      <c r="EB19" s="4357"/>
      <c r="EC19" s="4357"/>
      <c r="ED19" s="4357"/>
      <c r="EE19" s="4357"/>
      <c r="EF19" s="4357"/>
    </row>
    <row r="20" spans="1:136" ht="16" x14ac:dyDescent="0.2">
      <c r="A20" t="s">
        <v>303</v>
      </c>
      <c r="B20" t="s">
        <v>303</v>
      </c>
      <c r="D20" t="str">
        <f>'2.LUC'!C37</f>
        <v>Please select</v>
      </c>
      <c r="E20">
        <f>'2.LUC'!Y37</f>
        <v>0</v>
      </c>
      <c r="F20" s="388">
        <f>affo!M38-affo!L38+affo!K38-affo!J38+affo!I38-affo!H38</f>
        <v>0</v>
      </c>
      <c r="G20" s="388">
        <f>affo!O38-affo!N38</f>
        <v>0</v>
      </c>
      <c r="M20" s="17">
        <f>affo!AL9-affo!AK9</f>
        <v>0</v>
      </c>
      <c r="N20">
        <v>0</v>
      </c>
      <c r="U20" s="17">
        <f>affo!AJ9-affo!AI9</f>
        <v>0</v>
      </c>
      <c r="AB20" t="str">
        <f t="shared" si="11"/>
        <v>ok</v>
      </c>
      <c r="AC20">
        <f>IF('2.LUC'!CG37&lt;&gt;0,'2.LUC'!CG37,'2.LUC'!CF37)</f>
        <v>1</v>
      </c>
      <c r="AD20">
        <f t="shared" si="8"/>
        <v>5</v>
      </c>
      <c r="AE20" s="4357" t="str">
        <f>'2.LUC'!O37</f>
        <v>D</v>
      </c>
      <c r="AF20" s="4357" t="str">
        <f>'2.LUC'!Q37</f>
        <v>D</v>
      </c>
      <c r="AG20" s="4357" t="str">
        <f t="shared" si="12"/>
        <v>D</v>
      </c>
      <c r="AH20" s="4357">
        <f>((E20/(time_cap+((AD20-AC20+1)*VLOOKUP(AG20,list!$I$48:$K$50,3, FALSE))))*(AD20-AC20+1)*VLOOKUP(AG20,list!$I$48:$K$50,3, FALSE))</f>
        <v>0</v>
      </c>
      <c r="AI20" s="4357">
        <f>((E20/(time_cap+((AD20-AC20+1)*VLOOKUP(AG20,list!$I$48:$K$50,3, FALSE))))*time_cap)</f>
        <v>0</v>
      </c>
      <c r="AK20" s="4357">
        <f t="shared" ref="AK20:BP20" si="29">IFERROR(IF((time+time_cap)&lt;AK$2, 0,IF(AND(time+1&gt;=AL$2, $AC20&lt;AL$2), IF($AG20= "I", $AH20/($AD20-$AC20+1), $AH20/(($AD20*($AD20+1)/2)-(($AC20-1)*($AC20-1+1)/2))*AK$2), 0)+IF(IF(time+1&gt;=AL$2, $AI20/time_cap/(time+1)*AK$2, 0) = 0, $AI20/(time_cap),0)),0)</f>
        <v>0</v>
      </c>
      <c r="AL20" s="4357">
        <f t="shared" si="29"/>
        <v>0</v>
      </c>
      <c r="AM20" s="4357">
        <f t="shared" si="29"/>
        <v>0</v>
      </c>
      <c r="AN20" s="4357">
        <f t="shared" si="29"/>
        <v>0</v>
      </c>
      <c r="AO20" s="4357">
        <f t="shared" si="29"/>
        <v>0</v>
      </c>
      <c r="AP20" s="4357">
        <f t="shared" si="29"/>
        <v>0</v>
      </c>
      <c r="AQ20" s="4357">
        <f t="shared" si="29"/>
        <v>0</v>
      </c>
      <c r="AR20" s="4357">
        <f t="shared" si="29"/>
        <v>0</v>
      </c>
      <c r="AS20" s="4357">
        <f t="shared" si="29"/>
        <v>0</v>
      </c>
      <c r="AT20" s="4357">
        <f t="shared" si="29"/>
        <v>0</v>
      </c>
      <c r="AU20" s="4357">
        <f t="shared" si="29"/>
        <v>0</v>
      </c>
      <c r="AV20" s="4357">
        <f t="shared" si="29"/>
        <v>0</v>
      </c>
      <c r="AW20" s="4357">
        <f t="shared" si="29"/>
        <v>0</v>
      </c>
      <c r="AX20" s="4357">
        <f t="shared" si="29"/>
        <v>0</v>
      </c>
      <c r="AY20" s="4357">
        <f t="shared" si="29"/>
        <v>0</v>
      </c>
      <c r="AZ20" s="4357">
        <f t="shared" si="29"/>
        <v>0</v>
      </c>
      <c r="BA20" s="4357">
        <f t="shared" si="29"/>
        <v>0</v>
      </c>
      <c r="BB20" s="4357">
        <f t="shared" si="29"/>
        <v>0</v>
      </c>
      <c r="BC20" s="4357">
        <f t="shared" si="29"/>
        <v>0</v>
      </c>
      <c r="BD20" s="4357">
        <f t="shared" si="29"/>
        <v>0</v>
      </c>
      <c r="BE20" s="4357">
        <f t="shared" si="29"/>
        <v>0</v>
      </c>
      <c r="BF20" s="4357">
        <f t="shared" si="29"/>
        <v>0</v>
      </c>
      <c r="BG20" s="4357">
        <f t="shared" si="29"/>
        <v>0</v>
      </c>
      <c r="BH20" s="4357">
        <f t="shared" si="29"/>
        <v>0</v>
      </c>
      <c r="BI20" s="4357">
        <f t="shared" si="29"/>
        <v>0</v>
      </c>
      <c r="BJ20" s="4357">
        <f t="shared" si="29"/>
        <v>0</v>
      </c>
      <c r="BK20" s="4357">
        <f t="shared" si="29"/>
        <v>0</v>
      </c>
      <c r="BL20" s="4357">
        <f t="shared" si="29"/>
        <v>0</v>
      </c>
      <c r="BM20" s="4357">
        <f t="shared" si="29"/>
        <v>0</v>
      </c>
      <c r="BN20" s="4357">
        <f t="shared" si="29"/>
        <v>0</v>
      </c>
      <c r="BO20" s="4357">
        <f t="shared" si="29"/>
        <v>0</v>
      </c>
      <c r="BP20" s="4357">
        <f t="shared" si="29"/>
        <v>0</v>
      </c>
      <c r="BQ20" s="4357">
        <f t="shared" ref="BQ20:CH20" si="30">IFERROR(IF((time+time_cap)&lt;BQ$2, 0,IF(AND(time+1&gt;=BR$2, $AC20&lt;BR$2), IF($AG20= "I", $AH20/($AD20-$AC20+1), $AH20/(($AD20*($AD20+1)/2)-(($AC20-1)*($AC20-1+1)/2))*BQ$2), 0)+IF(IF(time+1&gt;=BR$2, $AI20/time_cap/(time+1)*BQ$2, 0) = 0, $AI20/(time_cap),0)),0)</f>
        <v>0</v>
      </c>
      <c r="BR20" s="4357">
        <f t="shared" si="30"/>
        <v>0</v>
      </c>
      <c r="BS20" s="4357">
        <f t="shared" si="30"/>
        <v>0</v>
      </c>
      <c r="BT20" s="4357">
        <f t="shared" si="30"/>
        <v>0</v>
      </c>
      <c r="BU20" s="4357">
        <f t="shared" si="30"/>
        <v>0</v>
      </c>
      <c r="BV20" s="4357">
        <f t="shared" si="30"/>
        <v>0</v>
      </c>
      <c r="BW20" s="4357">
        <f t="shared" si="30"/>
        <v>0</v>
      </c>
      <c r="BX20" s="4357">
        <f t="shared" si="30"/>
        <v>0</v>
      </c>
      <c r="BY20" s="4357">
        <f t="shared" si="30"/>
        <v>0</v>
      </c>
      <c r="BZ20" s="4357">
        <f t="shared" si="30"/>
        <v>0</v>
      </c>
      <c r="CA20" s="4357">
        <f t="shared" si="30"/>
        <v>0</v>
      </c>
      <c r="CB20" s="4357">
        <f t="shared" si="30"/>
        <v>0</v>
      </c>
      <c r="CC20" s="4357">
        <f t="shared" si="30"/>
        <v>0</v>
      </c>
      <c r="CD20" s="4357">
        <f t="shared" si="30"/>
        <v>0</v>
      </c>
      <c r="CE20" s="4357">
        <f t="shared" si="30"/>
        <v>0</v>
      </c>
      <c r="CF20" s="4357">
        <f t="shared" si="30"/>
        <v>0</v>
      </c>
      <c r="CG20" s="4357">
        <f t="shared" si="30"/>
        <v>0</v>
      </c>
      <c r="CH20" s="4357">
        <f t="shared" si="30"/>
        <v>0</v>
      </c>
      <c r="CI20" s="4357"/>
      <c r="CJ20" s="4357"/>
      <c r="CK20" s="4357"/>
      <c r="CL20" s="4357"/>
      <c r="CM20" s="4357"/>
      <c r="CN20" s="4357"/>
      <c r="CO20" s="4357"/>
      <c r="CP20" s="4357"/>
      <c r="CQ20" s="4357"/>
      <c r="CR20" s="4357"/>
      <c r="CS20" s="4357"/>
      <c r="CT20" s="4357"/>
      <c r="CU20" s="4357"/>
      <c r="CV20" s="4357"/>
      <c r="CW20" s="4357"/>
      <c r="CX20" s="4357"/>
      <c r="CY20" s="4357"/>
      <c r="CZ20" s="4357"/>
      <c r="DA20" s="4357"/>
      <c r="DB20" s="4357"/>
      <c r="DC20" s="4357"/>
      <c r="DD20" s="4357"/>
      <c r="DE20" s="4357"/>
      <c r="DF20" s="4357"/>
      <c r="DG20" s="4357"/>
      <c r="DH20" s="4357"/>
      <c r="DI20" s="4357"/>
      <c r="DJ20" s="4357"/>
      <c r="DK20" s="4357"/>
      <c r="DL20" s="4357"/>
      <c r="DM20" s="4357"/>
      <c r="DN20" s="4357"/>
      <c r="DO20" s="4357"/>
      <c r="DP20" s="4357"/>
      <c r="DQ20" s="4357"/>
      <c r="DR20" s="4357"/>
      <c r="DS20" s="4357"/>
      <c r="DT20" s="4357"/>
      <c r="DU20" s="4357"/>
      <c r="DV20" s="4357"/>
      <c r="DW20" s="4357"/>
      <c r="DX20" s="4357"/>
      <c r="DY20" s="4357"/>
      <c r="DZ20" s="4357"/>
      <c r="EA20" s="4357"/>
      <c r="EB20" s="4357"/>
      <c r="EC20" s="4357"/>
      <c r="ED20" s="4357"/>
      <c r="EE20" s="4357"/>
      <c r="EF20" s="4357"/>
    </row>
    <row r="21" spans="1:136" ht="16" x14ac:dyDescent="0.2">
      <c r="A21" t="s">
        <v>303</v>
      </c>
      <c r="B21" t="s">
        <v>303</v>
      </c>
      <c r="D21" t="str">
        <f>'2.LUC'!C38</f>
        <v>Please select</v>
      </c>
      <c r="E21">
        <f>'2.LUC'!Y38</f>
        <v>0</v>
      </c>
      <c r="F21" s="388">
        <f>affo!M39-affo!L39+affo!K39-affo!J39+affo!I39-affo!H39</f>
        <v>0</v>
      </c>
      <c r="G21" s="388">
        <f>affo!O39-affo!N39</f>
        <v>0</v>
      </c>
      <c r="M21" s="17">
        <f>affo!AL10-affo!AK10</f>
        <v>0</v>
      </c>
      <c r="N21">
        <v>0</v>
      </c>
      <c r="U21" s="17">
        <f>affo!AJ10-affo!AI10</f>
        <v>0</v>
      </c>
      <c r="AB21" t="str">
        <f t="shared" si="11"/>
        <v>ok</v>
      </c>
      <c r="AC21">
        <f>IF('2.LUC'!CG38&lt;&gt;0,'2.LUC'!CG38,'2.LUC'!CF38)</f>
        <v>1</v>
      </c>
      <c r="AD21">
        <f t="shared" si="8"/>
        <v>5</v>
      </c>
      <c r="AE21" s="4357" t="str">
        <f>'2.LUC'!O38</f>
        <v>D</v>
      </c>
      <c r="AF21" s="4357" t="str">
        <f>'2.LUC'!Q38</f>
        <v>D</v>
      </c>
      <c r="AG21" s="4357" t="str">
        <f t="shared" si="12"/>
        <v>D</v>
      </c>
      <c r="AH21" s="4357">
        <f>((E21/(time_cap+((AD21-AC21+1)*VLOOKUP(AG21,list!$I$48:$K$50,3, FALSE))))*(AD21-AC21+1)*VLOOKUP(AG21,list!$I$48:$K$50,3, FALSE))</f>
        <v>0</v>
      </c>
      <c r="AI21" s="4357">
        <f>((E21/(time_cap+((AD21-AC21+1)*VLOOKUP(AG21,list!$I$48:$K$50,3, FALSE))))*time_cap)</f>
        <v>0</v>
      </c>
      <c r="AK21" s="4357">
        <f t="shared" ref="AK21:BP21" si="31">IFERROR(IF((time+time_cap)&lt;AK$2, 0,IF(AND(time+1&gt;=AL$2, $AC21&lt;AL$2), IF($AG21= "I", $AH21/($AD21-$AC21+1), $AH21/(($AD21*($AD21+1)/2)-(($AC21-1)*($AC21-1+1)/2))*AK$2), 0)+IF(IF(time+1&gt;=AL$2, $AI21/time_cap/(time+1)*AK$2, 0) = 0, $AI21/(time_cap),0)),0)</f>
        <v>0</v>
      </c>
      <c r="AL21" s="4357">
        <f t="shared" si="31"/>
        <v>0</v>
      </c>
      <c r="AM21" s="4357">
        <f t="shared" si="31"/>
        <v>0</v>
      </c>
      <c r="AN21" s="4357">
        <f t="shared" si="31"/>
        <v>0</v>
      </c>
      <c r="AO21" s="4357">
        <f t="shared" si="31"/>
        <v>0</v>
      </c>
      <c r="AP21" s="4357">
        <f t="shared" si="31"/>
        <v>0</v>
      </c>
      <c r="AQ21" s="4357">
        <f t="shared" si="31"/>
        <v>0</v>
      </c>
      <c r="AR21" s="4357">
        <f t="shared" si="31"/>
        <v>0</v>
      </c>
      <c r="AS21" s="4357">
        <f t="shared" si="31"/>
        <v>0</v>
      </c>
      <c r="AT21" s="4357">
        <f t="shared" si="31"/>
        <v>0</v>
      </c>
      <c r="AU21" s="4357">
        <f t="shared" si="31"/>
        <v>0</v>
      </c>
      <c r="AV21" s="4357">
        <f t="shared" si="31"/>
        <v>0</v>
      </c>
      <c r="AW21" s="4357">
        <f t="shared" si="31"/>
        <v>0</v>
      </c>
      <c r="AX21" s="4357">
        <f t="shared" si="31"/>
        <v>0</v>
      </c>
      <c r="AY21" s="4357">
        <f t="shared" si="31"/>
        <v>0</v>
      </c>
      <c r="AZ21" s="4357">
        <f t="shared" si="31"/>
        <v>0</v>
      </c>
      <c r="BA21" s="4357">
        <f t="shared" si="31"/>
        <v>0</v>
      </c>
      <c r="BB21" s="4357">
        <f t="shared" si="31"/>
        <v>0</v>
      </c>
      <c r="BC21" s="4357">
        <f t="shared" si="31"/>
        <v>0</v>
      </c>
      <c r="BD21" s="4357">
        <f t="shared" si="31"/>
        <v>0</v>
      </c>
      <c r="BE21" s="4357">
        <f t="shared" si="31"/>
        <v>0</v>
      </c>
      <c r="BF21" s="4357">
        <f t="shared" si="31"/>
        <v>0</v>
      </c>
      <c r="BG21" s="4357">
        <f t="shared" si="31"/>
        <v>0</v>
      </c>
      <c r="BH21" s="4357">
        <f t="shared" si="31"/>
        <v>0</v>
      </c>
      <c r="BI21" s="4357">
        <f t="shared" si="31"/>
        <v>0</v>
      </c>
      <c r="BJ21" s="4357">
        <f t="shared" si="31"/>
        <v>0</v>
      </c>
      <c r="BK21" s="4357">
        <f t="shared" si="31"/>
        <v>0</v>
      </c>
      <c r="BL21" s="4357">
        <f t="shared" si="31"/>
        <v>0</v>
      </c>
      <c r="BM21" s="4357">
        <f t="shared" si="31"/>
        <v>0</v>
      </c>
      <c r="BN21" s="4357">
        <f t="shared" si="31"/>
        <v>0</v>
      </c>
      <c r="BO21" s="4357">
        <f t="shared" si="31"/>
        <v>0</v>
      </c>
      <c r="BP21" s="4357">
        <f t="shared" si="31"/>
        <v>0</v>
      </c>
      <c r="BQ21" s="4357">
        <f t="shared" ref="BQ21:CH21" si="32">IFERROR(IF((time+time_cap)&lt;BQ$2, 0,IF(AND(time+1&gt;=BR$2, $AC21&lt;BR$2), IF($AG21= "I", $AH21/($AD21-$AC21+1), $AH21/(($AD21*($AD21+1)/2)-(($AC21-1)*($AC21-1+1)/2))*BQ$2), 0)+IF(IF(time+1&gt;=BR$2, $AI21/time_cap/(time+1)*BQ$2, 0) = 0, $AI21/(time_cap),0)),0)</f>
        <v>0</v>
      </c>
      <c r="BR21" s="4357">
        <f t="shared" si="32"/>
        <v>0</v>
      </c>
      <c r="BS21" s="4357">
        <f t="shared" si="32"/>
        <v>0</v>
      </c>
      <c r="BT21" s="4357">
        <f t="shared" si="32"/>
        <v>0</v>
      </c>
      <c r="BU21" s="4357">
        <f t="shared" si="32"/>
        <v>0</v>
      </c>
      <c r="BV21" s="4357">
        <f t="shared" si="32"/>
        <v>0</v>
      </c>
      <c r="BW21" s="4357">
        <f t="shared" si="32"/>
        <v>0</v>
      </c>
      <c r="BX21" s="4357">
        <f t="shared" si="32"/>
        <v>0</v>
      </c>
      <c r="BY21" s="4357">
        <f t="shared" si="32"/>
        <v>0</v>
      </c>
      <c r="BZ21" s="4357">
        <f t="shared" si="32"/>
        <v>0</v>
      </c>
      <c r="CA21" s="4357">
        <f t="shared" si="32"/>
        <v>0</v>
      </c>
      <c r="CB21" s="4357">
        <f t="shared" si="32"/>
        <v>0</v>
      </c>
      <c r="CC21" s="4357">
        <f t="shared" si="32"/>
        <v>0</v>
      </c>
      <c r="CD21" s="4357">
        <f t="shared" si="32"/>
        <v>0</v>
      </c>
      <c r="CE21" s="4357">
        <f t="shared" si="32"/>
        <v>0</v>
      </c>
      <c r="CF21" s="4357">
        <f t="shared" si="32"/>
        <v>0</v>
      </c>
      <c r="CG21" s="4357">
        <f t="shared" si="32"/>
        <v>0</v>
      </c>
      <c r="CH21" s="4357">
        <f t="shared" si="32"/>
        <v>0</v>
      </c>
      <c r="CI21" s="4357"/>
      <c r="CJ21" s="4357"/>
      <c r="CK21" s="4357"/>
      <c r="CL21" s="4357"/>
      <c r="CM21" s="4357"/>
      <c r="CN21" s="4357"/>
      <c r="CO21" s="4357"/>
      <c r="CP21" s="4357"/>
      <c r="CQ21" s="4357"/>
      <c r="CR21" s="4357"/>
      <c r="CS21" s="4357"/>
      <c r="CT21" s="4357"/>
      <c r="CU21" s="4357"/>
      <c r="CV21" s="4357"/>
      <c r="CW21" s="4357"/>
      <c r="CX21" s="4357"/>
      <c r="CY21" s="4357"/>
      <c r="CZ21" s="4357"/>
      <c r="DA21" s="4357"/>
      <c r="DB21" s="4357"/>
      <c r="DC21" s="4357"/>
      <c r="DD21" s="4357"/>
      <c r="DE21" s="4357"/>
      <c r="DF21" s="4357"/>
      <c r="DG21" s="4357"/>
      <c r="DH21" s="4357"/>
      <c r="DI21" s="4357"/>
      <c r="DJ21" s="4357"/>
      <c r="DK21" s="4357"/>
      <c r="DL21" s="4357"/>
      <c r="DM21" s="4357"/>
      <c r="DN21" s="4357"/>
      <c r="DO21" s="4357"/>
      <c r="DP21" s="4357"/>
      <c r="DQ21" s="4357"/>
      <c r="DR21" s="4357"/>
      <c r="DS21" s="4357"/>
      <c r="DT21" s="4357"/>
      <c r="DU21" s="4357"/>
      <c r="DV21" s="4357"/>
      <c r="DW21" s="4357"/>
      <c r="DX21" s="4357"/>
      <c r="DY21" s="4357"/>
      <c r="DZ21" s="4357"/>
      <c r="EA21" s="4357"/>
      <c r="EB21" s="4357"/>
      <c r="EC21" s="4357"/>
      <c r="ED21" s="4357"/>
      <c r="EE21" s="4357"/>
      <c r="EF21" s="4357"/>
    </row>
    <row r="22" spans="1:136" ht="16" x14ac:dyDescent="0.2">
      <c r="A22" t="s">
        <v>303</v>
      </c>
      <c r="B22" t="s">
        <v>303</v>
      </c>
      <c r="D22" t="str">
        <f>'2.LUC'!C39</f>
        <v>Please select</v>
      </c>
      <c r="E22">
        <f>'2.LUC'!Y39</f>
        <v>0</v>
      </c>
      <c r="F22" s="388">
        <f>affo!M40-affo!L40+affo!K40-affo!J40+affo!I40-affo!H40</f>
        <v>0</v>
      </c>
      <c r="G22" s="388">
        <f>affo!O40-affo!N40</f>
        <v>0</v>
      </c>
      <c r="M22" s="17">
        <f>affo!AL11-affo!AK11</f>
        <v>0</v>
      </c>
      <c r="N22">
        <v>0</v>
      </c>
      <c r="U22" s="17">
        <f>affo!AJ11-affo!AI11</f>
        <v>0</v>
      </c>
      <c r="AB22" t="str">
        <f t="shared" si="11"/>
        <v>ok</v>
      </c>
      <c r="AC22">
        <f>IF('2.LUC'!CG39&lt;&gt;0,'2.LUC'!CG39,'2.LUC'!CF39)</f>
        <v>1</v>
      </c>
      <c r="AD22">
        <f t="shared" si="8"/>
        <v>5</v>
      </c>
      <c r="AE22" s="4357" t="str">
        <f>'2.LUC'!O39</f>
        <v>D</v>
      </c>
      <c r="AF22" s="4357" t="str">
        <f>'2.LUC'!Q39</f>
        <v>D</v>
      </c>
      <c r="AG22" s="4357" t="str">
        <f t="shared" si="12"/>
        <v>D</v>
      </c>
      <c r="AH22" s="4357">
        <f>((E22/(time_cap+((AD22-AC22+1)*VLOOKUP(AG22,list!$I$48:$K$50,3, FALSE))))*(AD22-AC22+1)*VLOOKUP(AG22,list!$I$48:$K$50,3, FALSE))</f>
        <v>0</v>
      </c>
      <c r="AI22" s="4357">
        <f>((E22/(time_cap+((AD22-AC22+1)*VLOOKUP(AG22,list!$I$48:$K$50,3, FALSE))))*time_cap)</f>
        <v>0</v>
      </c>
      <c r="AK22" s="4357">
        <f t="shared" ref="AK22:BP22" si="33">IFERROR(IF((time+time_cap)&lt;AK$2, 0,IF(AND(time+1&gt;=AL$2, $AC22&lt;AL$2), IF($AG22= "I", $AH22/($AD22-$AC22+1), $AH22/(($AD22*($AD22+1)/2)-(($AC22-1)*($AC22-1+1)/2))*AK$2), 0)+IF(IF(time+1&gt;=AL$2, $AI22/time_cap/(time+1)*AK$2, 0) = 0, $AI22/(time_cap),0)),0)</f>
        <v>0</v>
      </c>
      <c r="AL22" s="4357">
        <f t="shared" si="33"/>
        <v>0</v>
      </c>
      <c r="AM22" s="4357">
        <f t="shared" si="33"/>
        <v>0</v>
      </c>
      <c r="AN22" s="4357">
        <f t="shared" si="33"/>
        <v>0</v>
      </c>
      <c r="AO22" s="4357">
        <f t="shared" si="33"/>
        <v>0</v>
      </c>
      <c r="AP22" s="4357">
        <f t="shared" si="33"/>
        <v>0</v>
      </c>
      <c r="AQ22" s="4357">
        <f t="shared" si="33"/>
        <v>0</v>
      </c>
      <c r="AR22" s="4357">
        <f t="shared" si="33"/>
        <v>0</v>
      </c>
      <c r="AS22" s="4357">
        <f t="shared" si="33"/>
        <v>0</v>
      </c>
      <c r="AT22" s="4357">
        <f t="shared" si="33"/>
        <v>0</v>
      </c>
      <c r="AU22" s="4357">
        <f t="shared" si="33"/>
        <v>0</v>
      </c>
      <c r="AV22" s="4357">
        <f t="shared" si="33"/>
        <v>0</v>
      </c>
      <c r="AW22" s="4357">
        <f t="shared" si="33"/>
        <v>0</v>
      </c>
      <c r="AX22" s="4357">
        <f t="shared" si="33"/>
        <v>0</v>
      </c>
      <c r="AY22" s="4357">
        <f t="shared" si="33"/>
        <v>0</v>
      </c>
      <c r="AZ22" s="4357">
        <f t="shared" si="33"/>
        <v>0</v>
      </c>
      <c r="BA22" s="4357">
        <f t="shared" si="33"/>
        <v>0</v>
      </c>
      <c r="BB22" s="4357">
        <f t="shared" si="33"/>
        <v>0</v>
      </c>
      <c r="BC22" s="4357">
        <f t="shared" si="33"/>
        <v>0</v>
      </c>
      <c r="BD22" s="4357">
        <f t="shared" si="33"/>
        <v>0</v>
      </c>
      <c r="BE22" s="4357">
        <f t="shared" si="33"/>
        <v>0</v>
      </c>
      <c r="BF22" s="4357">
        <f t="shared" si="33"/>
        <v>0</v>
      </c>
      <c r="BG22" s="4357">
        <f t="shared" si="33"/>
        <v>0</v>
      </c>
      <c r="BH22" s="4357">
        <f t="shared" si="33"/>
        <v>0</v>
      </c>
      <c r="BI22" s="4357">
        <f t="shared" si="33"/>
        <v>0</v>
      </c>
      <c r="BJ22" s="4357">
        <f t="shared" si="33"/>
        <v>0</v>
      </c>
      <c r="BK22" s="4357">
        <f t="shared" si="33"/>
        <v>0</v>
      </c>
      <c r="BL22" s="4357">
        <f t="shared" si="33"/>
        <v>0</v>
      </c>
      <c r="BM22" s="4357">
        <f t="shared" si="33"/>
        <v>0</v>
      </c>
      <c r="BN22" s="4357">
        <f t="shared" si="33"/>
        <v>0</v>
      </c>
      <c r="BO22" s="4357">
        <f t="shared" si="33"/>
        <v>0</v>
      </c>
      <c r="BP22" s="4357">
        <f t="shared" si="33"/>
        <v>0</v>
      </c>
      <c r="BQ22" s="4357">
        <f t="shared" ref="BQ22:CH22" si="34">IFERROR(IF((time+time_cap)&lt;BQ$2, 0,IF(AND(time+1&gt;=BR$2, $AC22&lt;BR$2), IF($AG22= "I", $AH22/($AD22-$AC22+1), $AH22/(($AD22*($AD22+1)/2)-(($AC22-1)*($AC22-1+1)/2))*BQ$2), 0)+IF(IF(time+1&gt;=BR$2, $AI22/time_cap/(time+1)*BQ$2, 0) = 0, $AI22/(time_cap),0)),0)</f>
        <v>0</v>
      </c>
      <c r="BR22" s="4357">
        <f t="shared" si="34"/>
        <v>0</v>
      </c>
      <c r="BS22" s="4357">
        <f t="shared" si="34"/>
        <v>0</v>
      </c>
      <c r="BT22" s="4357">
        <f t="shared" si="34"/>
        <v>0</v>
      </c>
      <c r="BU22" s="4357">
        <f t="shared" si="34"/>
        <v>0</v>
      </c>
      <c r="BV22" s="4357">
        <f t="shared" si="34"/>
        <v>0</v>
      </c>
      <c r="BW22" s="4357">
        <f t="shared" si="34"/>
        <v>0</v>
      </c>
      <c r="BX22" s="4357">
        <f t="shared" si="34"/>
        <v>0</v>
      </c>
      <c r="BY22" s="4357">
        <f t="shared" si="34"/>
        <v>0</v>
      </c>
      <c r="BZ22" s="4357">
        <f t="shared" si="34"/>
        <v>0</v>
      </c>
      <c r="CA22" s="4357">
        <f t="shared" si="34"/>
        <v>0</v>
      </c>
      <c r="CB22" s="4357">
        <f t="shared" si="34"/>
        <v>0</v>
      </c>
      <c r="CC22" s="4357">
        <f t="shared" si="34"/>
        <v>0</v>
      </c>
      <c r="CD22" s="4357">
        <f t="shared" si="34"/>
        <v>0</v>
      </c>
      <c r="CE22" s="4357">
        <f t="shared" si="34"/>
        <v>0</v>
      </c>
      <c r="CF22" s="4357">
        <f t="shared" si="34"/>
        <v>0</v>
      </c>
      <c r="CG22" s="4357">
        <f t="shared" si="34"/>
        <v>0</v>
      </c>
      <c r="CH22" s="4357">
        <f t="shared" si="34"/>
        <v>0</v>
      </c>
      <c r="CI22" s="4357"/>
      <c r="CJ22" s="4357"/>
      <c r="CK22" s="4357"/>
      <c r="CL22" s="4357"/>
      <c r="CM22" s="4357"/>
      <c r="CN22" s="4357"/>
      <c r="CO22" s="4357"/>
      <c r="CP22" s="4357"/>
      <c r="CQ22" s="4357"/>
      <c r="CR22" s="4357"/>
      <c r="CS22" s="4357"/>
      <c r="CT22" s="4357"/>
      <c r="CU22" s="4357"/>
      <c r="CV22" s="4357"/>
      <c r="CW22" s="4357"/>
      <c r="CX22" s="4357"/>
      <c r="CY22" s="4357"/>
      <c r="CZ22" s="4357"/>
      <c r="DA22" s="4357"/>
      <c r="DB22" s="4357"/>
      <c r="DC22" s="4357"/>
      <c r="DD22" s="4357"/>
      <c r="DE22" s="4357"/>
      <c r="DF22" s="4357"/>
      <c r="DG22" s="4357"/>
      <c r="DH22" s="4357"/>
      <c r="DI22" s="4357"/>
      <c r="DJ22" s="4357"/>
      <c r="DK22" s="4357"/>
      <c r="DL22" s="4357"/>
      <c r="DM22" s="4357"/>
      <c r="DN22" s="4357"/>
      <c r="DO22" s="4357"/>
      <c r="DP22" s="4357"/>
      <c r="DQ22" s="4357"/>
      <c r="DR22" s="4357"/>
      <c r="DS22" s="4357"/>
      <c r="DT22" s="4357"/>
      <c r="DU22" s="4357"/>
      <c r="DV22" s="4357"/>
      <c r="DW22" s="4357"/>
      <c r="DX22" s="4357"/>
      <c r="DY22" s="4357"/>
      <c r="DZ22" s="4357"/>
      <c r="EA22" s="4357"/>
      <c r="EB22" s="4357"/>
      <c r="EC22" s="4357"/>
      <c r="ED22" s="4357"/>
      <c r="EE22" s="4357"/>
      <c r="EF22" s="4357"/>
    </row>
    <row r="23" spans="1:136" ht="16" x14ac:dyDescent="0.2">
      <c r="A23" t="s">
        <v>303</v>
      </c>
      <c r="B23" t="s">
        <v>303</v>
      </c>
      <c r="D23" t="str">
        <f>'2.LUC'!C40</f>
        <v>Please select</v>
      </c>
      <c r="E23">
        <f>'2.LUC'!Y40</f>
        <v>0</v>
      </c>
      <c r="F23" s="388">
        <f>affo!M41-affo!L41+affo!K41-affo!J41+affo!I41-affo!H41</f>
        <v>0</v>
      </c>
      <c r="G23" s="388">
        <f>affo!O41-affo!N41</f>
        <v>0</v>
      </c>
      <c r="M23" s="17">
        <f>affo!AL12-affo!AK12</f>
        <v>0</v>
      </c>
      <c r="N23">
        <v>0</v>
      </c>
      <c r="U23" s="17">
        <f>affo!AJ12-affo!AI12</f>
        <v>0</v>
      </c>
      <c r="AB23" t="str">
        <f t="shared" si="11"/>
        <v>ok</v>
      </c>
      <c r="AC23">
        <f>IF('2.LUC'!CG40&lt;&gt;0,'2.LUC'!CG40,'2.LUC'!CF40)</f>
        <v>1</v>
      </c>
      <c r="AD23">
        <f t="shared" si="8"/>
        <v>5</v>
      </c>
      <c r="AE23" s="4357" t="str">
        <f>'2.LUC'!O40</f>
        <v>D</v>
      </c>
      <c r="AF23" s="4357" t="str">
        <f>'2.LUC'!Q40</f>
        <v>D</v>
      </c>
      <c r="AG23" s="4357" t="str">
        <f t="shared" si="12"/>
        <v>D</v>
      </c>
      <c r="AH23" s="4357">
        <f>((E23/(time_cap+((AD23-AC23+1)*VLOOKUP(AG23,list!$I$48:$K$50,3, FALSE))))*(AD23-AC23+1)*VLOOKUP(AG23,list!$I$48:$K$50,3, FALSE))</f>
        <v>0</v>
      </c>
      <c r="AI23" s="4357">
        <f>((E23/(time_cap+((AD23-AC23+1)*VLOOKUP(AG23,list!$I$48:$K$50,3, FALSE))))*time_cap)</f>
        <v>0</v>
      </c>
      <c r="AK23" s="4357">
        <f t="shared" ref="AK23:BP23" si="35">IFERROR(IF((time+time_cap)&lt;AK$2, 0,IF(AND(time+1&gt;=AL$2, $AC23&lt;AL$2), IF($AG23= "I", $AH23/($AD23-$AC23+1), $AH23/(($AD23*($AD23+1)/2)-(($AC23-1)*($AC23-1+1)/2))*AK$2), 0)+IF(IF(time+1&gt;=AL$2, $AI23/time_cap/(time+1)*AK$2, 0) = 0, $AI23/(time_cap),0)),0)</f>
        <v>0</v>
      </c>
      <c r="AL23" s="4357">
        <f t="shared" si="35"/>
        <v>0</v>
      </c>
      <c r="AM23" s="4357">
        <f t="shared" si="35"/>
        <v>0</v>
      </c>
      <c r="AN23" s="4357">
        <f t="shared" si="35"/>
        <v>0</v>
      </c>
      <c r="AO23" s="4357">
        <f t="shared" si="35"/>
        <v>0</v>
      </c>
      <c r="AP23" s="4357">
        <f t="shared" si="35"/>
        <v>0</v>
      </c>
      <c r="AQ23" s="4357">
        <f t="shared" si="35"/>
        <v>0</v>
      </c>
      <c r="AR23" s="4357">
        <f t="shared" si="35"/>
        <v>0</v>
      </c>
      <c r="AS23" s="4357">
        <f t="shared" si="35"/>
        <v>0</v>
      </c>
      <c r="AT23" s="4357">
        <f t="shared" si="35"/>
        <v>0</v>
      </c>
      <c r="AU23" s="4357">
        <f t="shared" si="35"/>
        <v>0</v>
      </c>
      <c r="AV23" s="4357">
        <f t="shared" si="35"/>
        <v>0</v>
      </c>
      <c r="AW23" s="4357">
        <f t="shared" si="35"/>
        <v>0</v>
      </c>
      <c r="AX23" s="4357">
        <f t="shared" si="35"/>
        <v>0</v>
      </c>
      <c r="AY23" s="4357">
        <f t="shared" si="35"/>
        <v>0</v>
      </c>
      <c r="AZ23" s="4357">
        <f t="shared" si="35"/>
        <v>0</v>
      </c>
      <c r="BA23" s="4357">
        <f t="shared" si="35"/>
        <v>0</v>
      </c>
      <c r="BB23" s="4357">
        <f t="shared" si="35"/>
        <v>0</v>
      </c>
      <c r="BC23" s="4357">
        <f t="shared" si="35"/>
        <v>0</v>
      </c>
      <c r="BD23" s="4357">
        <f t="shared" si="35"/>
        <v>0</v>
      </c>
      <c r="BE23" s="4357">
        <f t="shared" si="35"/>
        <v>0</v>
      </c>
      <c r="BF23" s="4357">
        <f t="shared" si="35"/>
        <v>0</v>
      </c>
      <c r="BG23" s="4357">
        <f t="shared" si="35"/>
        <v>0</v>
      </c>
      <c r="BH23" s="4357">
        <f t="shared" si="35"/>
        <v>0</v>
      </c>
      <c r="BI23" s="4357">
        <f t="shared" si="35"/>
        <v>0</v>
      </c>
      <c r="BJ23" s="4357">
        <f t="shared" si="35"/>
        <v>0</v>
      </c>
      <c r="BK23" s="4357">
        <f t="shared" si="35"/>
        <v>0</v>
      </c>
      <c r="BL23" s="4357">
        <f t="shared" si="35"/>
        <v>0</v>
      </c>
      <c r="BM23" s="4357">
        <f t="shared" si="35"/>
        <v>0</v>
      </c>
      <c r="BN23" s="4357">
        <f t="shared" si="35"/>
        <v>0</v>
      </c>
      <c r="BO23" s="4357">
        <f t="shared" si="35"/>
        <v>0</v>
      </c>
      <c r="BP23" s="4357">
        <f t="shared" si="35"/>
        <v>0</v>
      </c>
      <c r="BQ23" s="4357">
        <f t="shared" ref="BQ23:CH23" si="36">IFERROR(IF((time+time_cap)&lt;BQ$2, 0,IF(AND(time+1&gt;=BR$2, $AC23&lt;BR$2), IF($AG23= "I", $AH23/($AD23-$AC23+1), $AH23/(($AD23*($AD23+1)/2)-(($AC23-1)*($AC23-1+1)/2))*BQ$2), 0)+IF(IF(time+1&gt;=BR$2, $AI23/time_cap/(time+1)*BQ$2, 0) = 0, $AI23/(time_cap),0)),0)</f>
        <v>0</v>
      </c>
      <c r="BR23" s="4357">
        <f t="shared" si="36"/>
        <v>0</v>
      </c>
      <c r="BS23" s="4357">
        <f t="shared" si="36"/>
        <v>0</v>
      </c>
      <c r="BT23" s="4357">
        <f t="shared" si="36"/>
        <v>0</v>
      </c>
      <c r="BU23" s="4357">
        <f t="shared" si="36"/>
        <v>0</v>
      </c>
      <c r="BV23" s="4357">
        <f t="shared" si="36"/>
        <v>0</v>
      </c>
      <c r="BW23" s="4357">
        <f t="shared" si="36"/>
        <v>0</v>
      </c>
      <c r="BX23" s="4357">
        <f t="shared" si="36"/>
        <v>0</v>
      </c>
      <c r="BY23" s="4357">
        <f t="shared" si="36"/>
        <v>0</v>
      </c>
      <c r="BZ23" s="4357">
        <f t="shared" si="36"/>
        <v>0</v>
      </c>
      <c r="CA23" s="4357">
        <f t="shared" si="36"/>
        <v>0</v>
      </c>
      <c r="CB23" s="4357">
        <f t="shared" si="36"/>
        <v>0</v>
      </c>
      <c r="CC23" s="4357">
        <f t="shared" si="36"/>
        <v>0</v>
      </c>
      <c r="CD23" s="4357">
        <f t="shared" si="36"/>
        <v>0</v>
      </c>
      <c r="CE23" s="4357">
        <f t="shared" si="36"/>
        <v>0</v>
      </c>
      <c r="CF23" s="4357">
        <f t="shared" si="36"/>
        <v>0</v>
      </c>
      <c r="CG23" s="4357">
        <f t="shared" si="36"/>
        <v>0</v>
      </c>
      <c r="CH23" s="4357">
        <f t="shared" si="36"/>
        <v>0</v>
      </c>
      <c r="CI23" s="4357"/>
      <c r="CJ23" s="4357"/>
      <c r="CK23" s="4357"/>
      <c r="CL23" s="4357"/>
      <c r="CM23" s="4357"/>
      <c r="CN23" s="4357"/>
      <c r="CO23" s="4357"/>
      <c r="CP23" s="4357"/>
      <c r="CQ23" s="4357"/>
      <c r="CR23" s="4357"/>
      <c r="CS23" s="4357"/>
      <c r="CT23" s="4357"/>
      <c r="CU23" s="4357"/>
      <c r="CV23" s="4357"/>
      <c r="CW23" s="4357"/>
      <c r="CX23" s="4357"/>
      <c r="CY23" s="4357"/>
      <c r="CZ23" s="4357"/>
      <c r="DA23" s="4357"/>
      <c r="DB23" s="4357"/>
      <c r="DC23" s="4357"/>
      <c r="DD23" s="4357"/>
      <c r="DE23" s="4357"/>
      <c r="DF23" s="4357"/>
      <c r="DG23" s="4357"/>
      <c r="DH23" s="4357"/>
      <c r="DI23" s="4357"/>
      <c r="DJ23" s="4357"/>
      <c r="DK23" s="4357"/>
      <c r="DL23" s="4357"/>
      <c r="DM23" s="4357"/>
      <c r="DN23" s="4357"/>
      <c r="DO23" s="4357"/>
      <c r="DP23" s="4357"/>
      <c r="DQ23" s="4357"/>
      <c r="DR23" s="4357"/>
      <c r="DS23" s="4357"/>
      <c r="DT23" s="4357"/>
      <c r="DU23" s="4357"/>
      <c r="DV23" s="4357"/>
      <c r="DW23" s="4357"/>
      <c r="DX23" s="4357"/>
      <c r="DY23" s="4357"/>
      <c r="DZ23" s="4357"/>
      <c r="EA23" s="4357"/>
      <c r="EB23" s="4357"/>
      <c r="EC23" s="4357"/>
      <c r="ED23" s="4357"/>
      <c r="EE23" s="4357"/>
      <c r="EF23" s="4357"/>
    </row>
    <row r="24" spans="1:136" ht="16" x14ac:dyDescent="0.2">
      <c r="A24" t="s">
        <v>303</v>
      </c>
      <c r="B24" t="s">
        <v>303</v>
      </c>
      <c r="D24" t="str">
        <f>'2.LUC'!C41</f>
        <v>Please select</v>
      </c>
      <c r="E24">
        <f>'2.LUC'!Y41</f>
        <v>0</v>
      </c>
      <c r="F24" s="388">
        <f>affo!M42-affo!L42+affo!K42-affo!J42+affo!I42-affo!H42</f>
        <v>0</v>
      </c>
      <c r="G24" s="388">
        <f>affo!O42-affo!N42</f>
        <v>0</v>
      </c>
      <c r="M24" s="17">
        <f>affo!AL13-affo!AK13</f>
        <v>0</v>
      </c>
      <c r="N24">
        <v>0</v>
      </c>
      <c r="U24" s="17">
        <f>affo!AJ13-affo!AI13</f>
        <v>0</v>
      </c>
      <c r="AB24" t="str">
        <f t="shared" si="11"/>
        <v>ok</v>
      </c>
      <c r="AC24">
        <f>IF('2.LUC'!CG41&lt;&gt;0,'2.LUC'!CG41,'2.LUC'!CF41)</f>
        <v>1</v>
      </c>
      <c r="AD24">
        <f t="shared" si="8"/>
        <v>5</v>
      </c>
      <c r="AE24" s="4357" t="str">
        <f>'2.LUC'!O41</f>
        <v>D</v>
      </c>
      <c r="AF24" s="4357" t="str">
        <f>'2.LUC'!Q41</f>
        <v>D</v>
      </c>
      <c r="AG24" s="4357" t="str">
        <f t="shared" si="12"/>
        <v>D</v>
      </c>
      <c r="AH24" s="4357">
        <f>((E24/(time_cap+((AD24-AC24+1)*VLOOKUP(AG24,list!$I$48:$K$50,3, FALSE))))*(AD24-AC24+1)*VLOOKUP(AG24,list!$I$48:$K$50,3, FALSE))</f>
        <v>0</v>
      </c>
      <c r="AI24" s="4357">
        <f>((E24/(time_cap+((AD24-AC24+1)*VLOOKUP(AG24,list!$I$48:$K$50,3, FALSE))))*time_cap)</f>
        <v>0</v>
      </c>
      <c r="AK24" s="4357">
        <f t="shared" ref="AK24:BP24" si="37">IFERROR(IF((time+time_cap)&lt;AK$2, 0,IF(AND(time+1&gt;=AL$2, $AC24&lt;AL$2), IF($AG24= "I", $AH24/($AD24-$AC24+1), $AH24/(($AD24*($AD24+1)/2)-(($AC24-1)*($AC24-1+1)/2))*AK$2), 0)+IF(IF(time+1&gt;=AL$2, $AI24/time_cap/(time+1)*AK$2, 0) = 0, $AI24/(time_cap),0)),0)</f>
        <v>0</v>
      </c>
      <c r="AL24" s="4357">
        <f t="shared" si="37"/>
        <v>0</v>
      </c>
      <c r="AM24" s="4357">
        <f t="shared" si="37"/>
        <v>0</v>
      </c>
      <c r="AN24" s="4357">
        <f t="shared" si="37"/>
        <v>0</v>
      </c>
      <c r="AO24" s="4357">
        <f t="shared" si="37"/>
        <v>0</v>
      </c>
      <c r="AP24" s="4357">
        <f t="shared" si="37"/>
        <v>0</v>
      </c>
      <c r="AQ24" s="4357">
        <f t="shared" si="37"/>
        <v>0</v>
      </c>
      <c r="AR24" s="4357">
        <f t="shared" si="37"/>
        <v>0</v>
      </c>
      <c r="AS24" s="4357">
        <f t="shared" si="37"/>
        <v>0</v>
      </c>
      <c r="AT24" s="4357">
        <f t="shared" si="37"/>
        <v>0</v>
      </c>
      <c r="AU24" s="4357">
        <f t="shared" si="37"/>
        <v>0</v>
      </c>
      <c r="AV24" s="4357">
        <f t="shared" si="37"/>
        <v>0</v>
      </c>
      <c r="AW24" s="4357">
        <f t="shared" si="37"/>
        <v>0</v>
      </c>
      <c r="AX24" s="4357">
        <f t="shared" si="37"/>
        <v>0</v>
      </c>
      <c r="AY24" s="4357">
        <f t="shared" si="37"/>
        <v>0</v>
      </c>
      <c r="AZ24" s="4357">
        <f t="shared" si="37"/>
        <v>0</v>
      </c>
      <c r="BA24" s="4357">
        <f t="shared" si="37"/>
        <v>0</v>
      </c>
      <c r="BB24" s="4357">
        <f t="shared" si="37"/>
        <v>0</v>
      </c>
      <c r="BC24" s="4357">
        <f t="shared" si="37"/>
        <v>0</v>
      </c>
      <c r="BD24" s="4357">
        <f t="shared" si="37"/>
        <v>0</v>
      </c>
      <c r="BE24" s="4357">
        <f t="shared" si="37"/>
        <v>0</v>
      </c>
      <c r="BF24" s="4357">
        <f t="shared" si="37"/>
        <v>0</v>
      </c>
      <c r="BG24" s="4357">
        <f t="shared" si="37"/>
        <v>0</v>
      </c>
      <c r="BH24" s="4357">
        <f t="shared" si="37"/>
        <v>0</v>
      </c>
      <c r="BI24" s="4357">
        <f t="shared" si="37"/>
        <v>0</v>
      </c>
      <c r="BJ24" s="4357">
        <f t="shared" si="37"/>
        <v>0</v>
      </c>
      <c r="BK24" s="4357">
        <f t="shared" si="37"/>
        <v>0</v>
      </c>
      <c r="BL24" s="4357">
        <f t="shared" si="37"/>
        <v>0</v>
      </c>
      <c r="BM24" s="4357">
        <f t="shared" si="37"/>
        <v>0</v>
      </c>
      <c r="BN24" s="4357">
        <f t="shared" si="37"/>
        <v>0</v>
      </c>
      <c r="BO24" s="4357">
        <f t="shared" si="37"/>
        <v>0</v>
      </c>
      <c r="BP24" s="4357">
        <f t="shared" si="37"/>
        <v>0</v>
      </c>
      <c r="BQ24" s="4357">
        <f t="shared" ref="BQ24:CH24" si="38">IFERROR(IF((time+time_cap)&lt;BQ$2, 0,IF(AND(time+1&gt;=BR$2, $AC24&lt;BR$2), IF($AG24= "I", $AH24/($AD24-$AC24+1), $AH24/(($AD24*($AD24+1)/2)-(($AC24-1)*($AC24-1+1)/2))*BQ$2), 0)+IF(IF(time+1&gt;=BR$2, $AI24/time_cap/(time+1)*BQ$2, 0) = 0, $AI24/(time_cap),0)),0)</f>
        <v>0</v>
      </c>
      <c r="BR24" s="4357">
        <f t="shared" si="38"/>
        <v>0</v>
      </c>
      <c r="BS24" s="4357">
        <f t="shared" si="38"/>
        <v>0</v>
      </c>
      <c r="BT24" s="4357">
        <f t="shared" si="38"/>
        <v>0</v>
      </c>
      <c r="BU24" s="4357">
        <f t="shared" si="38"/>
        <v>0</v>
      </c>
      <c r="BV24" s="4357">
        <f t="shared" si="38"/>
        <v>0</v>
      </c>
      <c r="BW24" s="4357">
        <f t="shared" si="38"/>
        <v>0</v>
      </c>
      <c r="BX24" s="4357">
        <f t="shared" si="38"/>
        <v>0</v>
      </c>
      <c r="BY24" s="4357">
        <f t="shared" si="38"/>
        <v>0</v>
      </c>
      <c r="BZ24" s="4357">
        <f t="shared" si="38"/>
        <v>0</v>
      </c>
      <c r="CA24" s="4357">
        <f t="shared" si="38"/>
        <v>0</v>
      </c>
      <c r="CB24" s="4357">
        <f t="shared" si="38"/>
        <v>0</v>
      </c>
      <c r="CC24" s="4357">
        <f t="shared" si="38"/>
        <v>0</v>
      </c>
      <c r="CD24" s="4357">
        <f t="shared" si="38"/>
        <v>0</v>
      </c>
      <c r="CE24" s="4357">
        <f t="shared" si="38"/>
        <v>0</v>
      </c>
      <c r="CF24" s="4357">
        <f t="shared" si="38"/>
        <v>0</v>
      </c>
      <c r="CG24" s="4357">
        <f t="shared" si="38"/>
        <v>0</v>
      </c>
      <c r="CH24" s="4357">
        <f t="shared" si="38"/>
        <v>0</v>
      </c>
      <c r="CI24" s="4357"/>
      <c r="CJ24" s="4357"/>
      <c r="CK24" s="4357"/>
      <c r="CL24" s="4357"/>
      <c r="CM24" s="4357"/>
      <c r="CN24" s="4357"/>
      <c r="CO24" s="4357"/>
      <c r="CP24" s="4357"/>
      <c r="CQ24" s="4357"/>
      <c r="CR24" s="4357"/>
      <c r="CS24" s="4357"/>
      <c r="CT24" s="4357"/>
      <c r="CU24" s="4357"/>
      <c r="CV24" s="4357"/>
      <c r="CW24" s="4357"/>
      <c r="CX24" s="4357"/>
      <c r="CY24" s="4357"/>
      <c r="CZ24" s="4357"/>
      <c r="DA24" s="4357"/>
      <c r="DB24" s="4357"/>
      <c r="DC24" s="4357"/>
      <c r="DD24" s="4357"/>
      <c r="DE24" s="4357"/>
      <c r="DF24" s="4357"/>
      <c r="DG24" s="4357"/>
      <c r="DH24" s="4357"/>
      <c r="DI24" s="4357"/>
      <c r="DJ24" s="4357"/>
      <c r="DK24" s="4357"/>
      <c r="DL24" s="4357"/>
      <c r="DM24" s="4357"/>
      <c r="DN24" s="4357"/>
      <c r="DO24" s="4357"/>
      <c r="DP24" s="4357"/>
      <c r="DQ24" s="4357"/>
      <c r="DR24" s="4357"/>
      <c r="DS24" s="4357"/>
      <c r="DT24" s="4357"/>
      <c r="DU24" s="4357"/>
      <c r="DV24" s="4357"/>
      <c r="DW24" s="4357"/>
      <c r="DX24" s="4357"/>
      <c r="DY24" s="4357"/>
      <c r="DZ24" s="4357"/>
      <c r="EA24" s="4357"/>
      <c r="EB24" s="4357"/>
      <c r="EC24" s="4357"/>
      <c r="ED24" s="4357"/>
      <c r="EE24" s="4357"/>
      <c r="EF24" s="4357"/>
    </row>
    <row r="25" spans="1:136" ht="16" x14ac:dyDescent="0.2">
      <c r="A25" t="s">
        <v>303</v>
      </c>
      <c r="B25" t="s">
        <v>303</v>
      </c>
      <c r="D25" t="str">
        <f>'2.LUC'!C42</f>
        <v>Please select</v>
      </c>
      <c r="E25">
        <f>'2.LUC'!Y42</f>
        <v>0</v>
      </c>
      <c r="F25" s="388">
        <f>affo!M43-affo!L43+affo!K43-affo!J43+affo!I43-affo!H43</f>
        <v>0</v>
      </c>
      <c r="G25" s="388">
        <f>affo!O43-affo!N43</f>
        <v>0</v>
      </c>
      <c r="M25" s="17">
        <f>affo!AL14-affo!AK14</f>
        <v>0</v>
      </c>
      <c r="N25">
        <v>0</v>
      </c>
      <c r="U25" s="17">
        <f>affo!AJ14-affo!AI14</f>
        <v>0</v>
      </c>
      <c r="AB25" t="str">
        <f t="shared" si="11"/>
        <v>ok</v>
      </c>
      <c r="AC25">
        <f>IF('2.LUC'!CG42&lt;&gt;0,'2.LUC'!CG42,'2.LUC'!CF42)</f>
        <v>1</v>
      </c>
      <c r="AD25">
        <f t="shared" si="8"/>
        <v>5</v>
      </c>
      <c r="AE25" s="4357" t="str">
        <f>'2.LUC'!O42</f>
        <v>D</v>
      </c>
      <c r="AF25" s="4357" t="str">
        <f>'2.LUC'!Q42</f>
        <v>D</v>
      </c>
      <c r="AG25" s="4357" t="str">
        <f t="shared" si="12"/>
        <v>D</v>
      </c>
      <c r="AH25" s="4357">
        <f>((E25/(time_cap+((AD25-AC25+1)*VLOOKUP(AG25,list!$I$48:$K$50,3, FALSE))))*(AD25-AC25+1)*VLOOKUP(AG25,list!$I$48:$K$50,3, FALSE))</f>
        <v>0</v>
      </c>
      <c r="AI25" s="4357">
        <f>((E25/(time_cap+((AD25-AC25+1)*VLOOKUP(AG25,list!$I$48:$K$50,3, FALSE))))*time_cap)</f>
        <v>0</v>
      </c>
      <c r="AK25" s="4357">
        <f t="shared" ref="AK25:BP25" si="39">IFERROR(IF((time+time_cap)&lt;AK$2, 0,IF(AND(time+1&gt;=AL$2, $AC25&lt;AL$2), IF($AG25= "I", $AH25/($AD25-$AC25+1), $AH25/(($AD25*($AD25+1)/2)-(($AC25-1)*($AC25-1+1)/2))*AK$2), 0)+IF(IF(time+1&gt;=AL$2, $AI25/time_cap/(time+1)*AK$2, 0) = 0, $AI25/(time_cap),0)),0)</f>
        <v>0</v>
      </c>
      <c r="AL25" s="4357">
        <f t="shared" si="39"/>
        <v>0</v>
      </c>
      <c r="AM25" s="4357">
        <f t="shared" si="39"/>
        <v>0</v>
      </c>
      <c r="AN25" s="4357">
        <f t="shared" si="39"/>
        <v>0</v>
      </c>
      <c r="AO25" s="4357">
        <f t="shared" si="39"/>
        <v>0</v>
      </c>
      <c r="AP25" s="4357">
        <f t="shared" si="39"/>
        <v>0</v>
      </c>
      <c r="AQ25" s="4357">
        <f t="shared" si="39"/>
        <v>0</v>
      </c>
      <c r="AR25" s="4357">
        <f t="shared" si="39"/>
        <v>0</v>
      </c>
      <c r="AS25" s="4357">
        <f t="shared" si="39"/>
        <v>0</v>
      </c>
      <c r="AT25" s="4357">
        <f t="shared" si="39"/>
        <v>0</v>
      </c>
      <c r="AU25" s="4357">
        <f t="shared" si="39"/>
        <v>0</v>
      </c>
      <c r="AV25" s="4357">
        <f t="shared" si="39"/>
        <v>0</v>
      </c>
      <c r="AW25" s="4357">
        <f t="shared" si="39"/>
        <v>0</v>
      </c>
      <c r="AX25" s="4357">
        <f t="shared" si="39"/>
        <v>0</v>
      </c>
      <c r="AY25" s="4357">
        <f t="shared" si="39"/>
        <v>0</v>
      </c>
      <c r="AZ25" s="4357">
        <f t="shared" si="39"/>
        <v>0</v>
      </c>
      <c r="BA25" s="4357">
        <f t="shared" si="39"/>
        <v>0</v>
      </c>
      <c r="BB25" s="4357">
        <f t="shared" si="39"/>
        <v>0</v>
      </c>
      <c r="BC25" s="4357">
        <f t="shared" si="39"/>
        <v>0</v>
      </c>
      <c r="BD25" s="4357">
        <f t="shared" si="39"/>
        <v>0</v>
      </c>
      <c r="BE25" s="4357">
        <f t="shared" si="39"/>
        <v>0</v>
      </c>
      <c r="BF25" s="4357">
        <f t="shared" si="39"/>
        <v>0</v>
      </c>
      <c r="BG25" s="4357">
        <f t="shared" si="39"/>
        <v>0</v>
      </c>
      <c r="BH25" s="4357">
        <f t="shared" si="39"/>
        <v>0</v>
      </c>
      <c r="BI25" s="4357">
        <f t="shared" si="39"/>
        <v>0</v>
      </c>
      <c r="BJ25" s="4357">
        <f t="shared" si="39"/>
        <v>0</v>
      </c>
      <c r="BK25" s="4357">
        <f t="shared" si="39"/>
        <v>0</v>
      </c>
      <c r="BL25" s="4357">
        <f t="shared" si="39"/>
        <v>0</v>
      </c>
      <c r="BM25" s="4357">
        <f t="shared" si="39"/>
        <v>0</v>
      </c>
      <c r="BN25" s="4357">
        <f t="shared" si="39"/>
        <v>0</v>
      </c>
      <c r="BO25" s="4357">
        <f t="shared" si="39"/>
        <v>0</v>
      </c>
      <c r="BP25" s="4357">
        <f t="shared" si="39"/>
        <v>0</v>
      </c>
      <c r="BQ25" s="4357">
        <f t="shared" ref="BQ25:CH25" si="40">IFERROR(IF((time+time_cap)&lt;BQ$2, 0,IF(AND(time+1&gt;=BR$2, $AC25&lt;BR$2), IF($AG25= "I", $AH25/($AD25-$AC25+1), $AH25/(($AD25*($AD25+1)/2)-(($AC25-1)*($AC25-1+1)/2))*BQ$2), 0)+IF(IF(time+1&gt;=BR$2, $AI25/time_cap/(time+1)*BQ$2, 0) = 0, $AI25/(time_cap),0)),0)</f>
        <v>0</v>
      </c>
      <c r="BR25" s="4357">
        <f t="shared" si="40"/>
        <v>0</v>
      </c>
      <c r="BS25" s="4357">
        <f t="shared" si="40"/>
        <v>0</v>
      </c>
      <c r="BT25" s="4357">
        <f t="shared" si="40"/>
        <v>0</v>
      </c>
      <c r="BU25" s="4357">
        <f t="shared" si="40"/>
        <v>0</v>
      </c>
      <c r="BV25" s="4357">
        <f t="shared" si="40"/>
        <v>0</v>
      </c>
      <c r="BW25" s="4357">
        <f t="shared" si="40"/>
        <v>0</v>
      </c>
      <c r="BX25" s="4357">
        <f t="shared" si="40"/>
        <v>0</v>
      </c>
      <c r="BY25" s="4357">
        <f t="shared" si="40"/>
        <v>0</v>
      </c>
      <c r="BZ25" s="4357">
        <f t="shared" si="40"/>
        <v>0</v>
      </c>
      <c r="CA25" s="4357">
        <f t="shared" si="40"/>
        <v>0</v>
      </c>
      <c r="CB25" s="4357">
        <f t="shared" si="40"/>
        <v>0</v>
      </c>
      <c r="CC25" s="4357">
        <f t="shared" si="40"/>
        <v>0</v>
      </c>
      <c r="CD25" s="4357">
        <f t="shared" si="40"/>
        <v>0</v>
      </c>
      <c r="CE25" s="4357">
        <f t="shared" si="40"/>
        <v>0</v>
      </c>
      <c r="CF25" s="4357">
        <f t="shared" si="40"/>
        <v>0</v>
      </c>
      <c r="CG25" s="4357">
        <f t="shared" si="40"/>
        <v>0</v>
      </c>
      <c r="CH25" s="4357">
        <f t="shared" si="40"/>
        <v>0</v>
      </c>
      <c r="CI25" s="4357"/>
      <c r="CJ25" s="4357"/>
      <c r="CK25" s="4357"/>
      <c r="CL25" s="4357"/>
      <c r="CM25" s="4357"/>
      <c r="CN25" s="4357"/>
      <c r="CO25" s="4357"/>
      <c r="CP25" s="4357"/>
      <c r="CQ25" s="4357"/>
      <c r="CR25" s="4357"/>
      <c r="CS25" s="4357"/>
      <c r="CT25" s="4357"/>
      <c r="CU25" s="4357"/>
      <c r="CV25" s="4357"/>
      <c r="CW25" s="4357"/>
      <c r="CX25" s="4357"/>
      <c r="CY25" s="4357"/>
      <c r="CZ25" s="4357"/>
      <c r="DA25" s="4357"/>
      <c r="DB25" s="4357"/>
      <c r="DC25" s="4357"/>
      <c r="DD25" s="4357"/>
      <c r="DE25" s="4357"/>
      <c r="DF25" s="4357"/>
      <c r="DG25" s="4357"/>
      <c r="DH25" s="4357"/>
      <c r="DI25" s="4357"/>
      <c r="DJ25" s="4357"/>
      <c r="DK25" s="4357"/>
      <c r="DL25" s="4357"/>
      <c r="DM25" s="4357"/>
      <c r="DN25" s="4357"/>
      <c r="DO25" s="4357"/>
      <c r="DP25" s="4357"/>
      <c r="DQ25" s="4357"/>
      <c r="DR25" s="4357"/>
      <c r="DS25" s="4357"/>
      <c r="DT25" s="4357"/>
      <c r="DU25" s="4357"/>
      <c r="DV25" s="4357"/>
      <c r="DW25" s="4357"/>
      <c r="DX25" s="4357"/>
      <c r="DY25" s="4357"/>
      <c r="DZ25" s="4357"/>
      <c r="EA25" s="4357"/>
      <c r="EB25" s="4357"/>
      <c r="EC25" s="4357"/>
      <c r="ED25" s="4357"/>
      <c r="EE25" s="4357"/>
      <c r="EF25" s="4357"/>
    </row>
    <row r="26" spans="1:136" ht="16" x14ac:dyDescent="0.2">
      <c r="A26" t="s">
        <v>303</v>
      </c>
      <c r="B26" t="s">
        <v>303</v>
      </c>
      <c r="D26" t="str">
        <f>'2.LUC'!C43</f>
        <v>Please select</v>
      </c>
      <c r="E26">
        <f>'2.LUC'!Y43</f>
        <v>0</v>
      </c>
      <c r="F26" s="388">
        <f>affo!M44-affo!L44+affo!K44-affo!J44+affo!I44-affo!H44</f>
        <v>0</v>
      </c>
      <c r="G26" s="388">
        <f>affo!O44-affo!N44</f>
        <v>0</v>
      </c>
      <c r="M26" s="17">
        <f>affo!AL15-affo!AK15</f>
        <v>0</v>
      </c>
      <c r="N26">
        <v>0</v>
      </c>
      <c r="U26" s="17">
        <f>affo!AJ15-affo!AI15</f>
        <v>0</v>
      </c>
      <c r="AB26" t="str">
        <f t="shared" si="11"/>
        <v>ok</v>
      </c>
      <c r="AC26">
        <f>IF('2.LUC'!CG43&lt;&gt;0,'2.LUC'!CG43,'2.LUC'!CF43)</f>
        <v>1</v>
      </c>
      <c r="AD26">
        <f t="shared" si="8"/>
        <v>5</v>
      </c>
      <c r="AE26" s="4357" t="str">
        <f>'2.LUC'!O43</f>
        <v>D</v>
      </c>
      <c r="AF26" s="4357" t="str">
        <f>'2.LUC'!Q43</f>
        <v>D</v>
      </c>
      <c r="AG26" s="4357" t="str">
        <f t="shared" si="12"/>
        <v>D</v>
      </c>
      <c r="AH26" s="4357">
        <f>((E26/(time_cap+((AD26-AC26+1)*VLOOKUP(AG26,list!$I$48:$K$50,3, FALSE))))*(AD26-AC26+1)*VLOOKUP(AG26,list!$I$48:$K$50,3, FALSE))</f>
        <v>0</v>
      </c>
      <c r="AI26" s="4357">
        <f>((E26/(time_cap+((AD26-AC26+1)*VLOOKUP(AG26,list!$I$48:$K$50,3, FALSE))))*time_cap)</f>
        <v>0</v>
      </c>
      <c r="AK26" s="4357">
        <f t="shared" ref="AK26:BP26" si="41">IFERROR(IF((time+time_cap)&lt;AK$2, 0,IF(AND(time+1&gt;=AL$2, $AC26&lt;AL$2), IF($AG26= "I", $AH26/($AD26-$AC26+1), $AH26/(($AD26*($AD26+1)/2)-(($AC26-1)*($AC26-1+1)/2))*AK$2), 0)+IF(IF(time+1&gt;=AL$2, $AI26/time_cap/(time+1)*AK$2, 0) = 0, $AI26/(time_cap),0)),0)</f>
        <v>0</v>
      </c>
      <c r="AL26" s="4357">
        <f t="shared" si="41"/>
        <v>0</v>
      </c>
      <c r="AM26" s="4357">
        <f t="shared" si="41"/>
        <v>0</v>
      </c>
      <c r="AN26" s="4357">
        <f t="shared" si="41"/>
        <v>0</v>
      </c>
      <c r="AO26" s="4357">
        <f t="shared" si="41"/>
        <v>0</v>
      </c>
      <c r="AP26" s="4357">
        <f t="shared" si="41"/>
        <v>0</v>
      </c>
      <c r="AQ26" s="4357">
        <f t="shared" si="41"/>
        <v>0</v>
      </c>
      <c r="AR26" s="4357">
        <f t="shared" si="41"/>
        <v>0</v>
      </c>
      <c r="AS26" s="4357">
        <f t="shared" si="41"/>
        <v>0</v>
      </c>
      <c r="AT26" s="4357">
        <f t="shared" si="41"/>
        <v>0</v>
      </c>
      <c r="AU26" s="4357">
        <f t="shared" si="41"/>
        <v>0</v>
      </c>
      <c r="AV26" s="4357">
        <f t="shared" si="41"/>
        <v>0</v>
      </c>
      <c r="AW26" s="4357">
        <f t="shared" si="41"/>
        <v>0</v>
      </c>
      <c r="AX26" s="4357">
        <f t="shared" si="41"/>
        <v>0</v>
      </c>
      <c r="AY26" s="4357">
        <f t="shared" si="41"/>
        <v>0</v>
      </c>
      <c r="AZ26" s="4357">
        <f t="shared" si="41"/>
        <v>0</v>
      </c>
      <c r="BA26" s="4357">
        <f t="shared" si="41"/>
        <v>0</v>
      </c>
      <c r="BB26" s="4357">
        <f t="shared" si="41"/>
        <v>0</v>
      </c>
      <c r="BC26" s="4357">
        <f t="shared" si="41"/>
        <v>0</v>
      </c>
      <c r="BD26" s="4357">
        <f t="shared" si="41"/>
        <v>0</v>
      </c>
      <c r="BE26" s="4357">
        <f t="shared" si="41"/>
        <v>0</v>
      </c>
      <c r="BF26" s="4357">
        <f t="shared" si="41"/>
        <v>0</v>
      </c>
      <c r="BG26" s="4357">
        <f t="shared" si="41"/>
        <v>0</v>
      </c>
      <c r="BH26" s="4357">
        <f t="shared" si="41"/>
        <v>0</v>
      </c>
      <c r="BI26" s="4357">
        <f t="shared" si="41"/>
        <v>0</v>
      </c>
      <c r="BJ26" s="4357">
        <f t="shared" si="41"/>
        <v>0</v>
      </c>
      <c r="BK26" s="4357">
        <f t="shared" si="41"/>
        <v>0</v>
      </c>
      <c r="BL26" s="4357">
        <f t="shared" si="41"/>
        <v>0</v>
      </c>
      <c r="BM26" s="4357">
        <f t="shared" si="41"/>
        <v>0</v>
      </c>
      <c r="BN26" s="4357">
        <f t="shared" si="41"/>
        <v>0</v>
      </c>
      <c r="BO26" s="4357">
        <f t="shared" si="41"/>
        <v>0</v>
      </c>
      <c r="BP26" s="4357">
        <f t="shared" si="41"/>
        <v>0</v>
      </c>
      <c r="BQ26" s="4357">
        <f t="shared" ref="BQ26:CH26" si="42">IFERROR(IF((time+time_cap)&lt;BQ$2, 0,IF(AND(time+1&gt;=BR$2, $AC26&lt;BR$2), IF($AG26= "I", $AH26/($AD26-$AC26+1), $AH26/(($AD26*($AD26+1)/2)-(($AC26-1)*($AC26-1+1)/2))*BQ$2), 0)+IF(IF(time+1&gt;=BR$2, $AI26/time_cap/(time+1)*BQ$2, 0) = 0, $AI26/(time_cap),0)),0)</f>
        <v>0</v>
      </c>
      <c r="BR26" s="4357">
        <f t="shared" si="42"/>
        <v>0</v>
      </c>
      <c r="BS26" s="4357">
        <f t="shared" si="42"/>
        <v>0</v>
      </c>
      <c r="BT26" s="4357">
        <f t="shared" si="42"/>
        <v>0</v>
      </c>
      <c r="BU26" s="4357">
        <f t="shared" si="42"/>
        <v>0</v>
      </c>
      <c r="BV26" s="4357">
        <f t="shared" si="42"/>
        <v>0</v>
      </c>
      <c r="BW26" s="4357">
        <f t="shared" si="42"/>
        <v>0</v>
      </c>
      <c r="BX26" s="4357">
        <f t="shared" si="42"/>
        <v>0</v>
      </c>
      <c r="BY26" s="4357">
        <f t="shared" si="42"/>
        <v>0</v>
      </c>
      <c r="BZ26" s="4357">
        <f t="shared" si="42"/>
        <v>0</v>
      </c>
      <c r="CA26" s="4357">
        <f t="shared" si="42"/>
        <v>0</v>
      </c>
      <c r="CB26" s="4357">
        <f t="shared" si="42"/>
        <v>0</v>
      </c>
      <c r="CC26" s="4357">
        <f t="shared" si="42"/>
        <v>0</v>
      </c>
      <c r="CD26" s="4357">
        <f t="shared" si="42"/>
        <v>0</v>
      </c>
      <c r="CE26" s="4357">
        <f t="shared" si="42"/>
        <v>0</v>
      </c>
      <c r="CF26" s="4357">
        <f t="shared" si="42"/>
        <v>0</v>
      </c>
      <c r="CG26" s="4357">
        <f t="shared" si="42"/>
        <v>0</v>
      </c>
      <c r="CH26" s="4357">
        <f t="shared" si="42"/>
        <v>0</v>
      </c>
      <c r="CI26" s="4357"/>
      <c r="CJ26" s="4357"/>
      <c r="CK26" s="4357"/>
      <c r="CL26" s="4357"/>
      <c r="CM26" s="4357"/>
      <c r="CN26" s="4357"/>
      <c r="CO26" s="4357"/>
      <c r="CP26" s="4357"/>
      <c r="CQ26" s="4357"/>
      <c r="CR26" s="4357"/>
      <c r="CS26" s="4357"/>
      <c r="CT26" s="4357"/>
      <c r="CU26" s="4357"/>
      <c r="CV26" s="4357"/>
      <c r="CW26" s="4357"/>
      <c r="CX26" s="4357"/>
      <c r="CY26" s="4357"/>
      <c r="CZ26" s="4357"/>
      <c r="DA26" s="4357"/>
      <c r="DB26" s="4357"/>
      <c r="DC26" s="4357"/>
      <c r="DD26" s="4357"/>
      <c r="DE26" s="4357"/>
      <c r="DF26" s="4357"/>
      <c r="DG26" s="4357"/>
      <c r="DH26" s="4357"/>
      <c r="DI26" s="4357"/>
      <c r="DJ26" s="4357"/>
      <c r="DK26" s="4357"/>
      <c r="DL26" s="4357"/>
      <c r="DM26" s="4357"/>
      <c r="DN26" s="4357"/>
      <c r="DO26" s="4357"/>
      <c r="DP26" s="4357"/>
      <c r="DQ26" s="4357"/>
      <c r="DR26" s="4357"/>
      <c r="DS26" s="4357"/>
      <c r="DT26" s="4357"/>
      <c r="DU26" s="4357"/>
      <c r="DV26" s="4357"/>
      <c r="DW26" s="4357"/>
      <c r="DX26" s="4357"/>
      <c r="DY26" s="4357"/>
      <c r="DZ26" s="4357"/>
      <c r="EA26" s="4357"/>
      <c r="EB26" s="4357"/>
      <c r="EC26" s="4357"/>
      <c r="ED26" s="4357"/>
      <c r="EE26" s="4357"/>
      <c r="EF26" s="4357"/>
    </row>
    <row r="27" spans="1:136" ht="16" x14ac:dyDescent="0.2">
      <c r="A27" t="s">
        <v>3122</v>
      </c>
      <c r="B27" t="s">
        <v>3122</v>
      </c>
      <c r="C27">
        <f>'2.LUC'!C61</f>
        <v>0</v>
      </c>
      <c r="D27" t="str">
        <f>'2.LUC'!K61</f>
        <v>Annual cropland</v>
      </c>
      <c r="E27">
        <f>'2.LUC'!Y61</f>
        <v>0</v>
      </c>
      <c r="F27" s="388">
        <f>luc!H41-luc!G41</f>
        <v>0</v>
      </c>
      <c r="G27" s="388">
        <f>luc!J41-luc!I41</f>
        <v>0</v>
      </c>
      <c r="M27" s="388">
        <f>luc!T24-luc!S24</f>
        <v>0</v>
      </c>
      <c r="N27" s="388">
        <f>luc!V24-luc!U24</f>
        <v>0</v>
      </c>
      <c r="U27" s="388">
        <f>luc!R24-luc!Q24</f>
        <v>0</v>
      </c>
      <c r="AB27" t="str">
        <f t="shared" si="11"/>
        <v>ok</v>
      </c>
      <c r="AC27">
        <f>IF('2.LUC'!BT61&lt;&gt;0,'2.LUC'!BT61,'2.LUC'!BS61)</f>
        <v>1</v>
      </c>
      <c r="AD27">
        <f t="shared" si="8"/>
        <v>5</v>
      </c>
      <c r="AE27" s="4357" t="str">
        <f>'2.LUC'!O61</f>
        <v>D</v>
      </c>
      <c r="AF27" s="4357" t="str">
        <f>'2.LUC'!Q61</f>
        <v>D</v>
      </c>
      <c r="AG27" s="4357" t="str">
        <f t="shared" si="12"/>
        <v>D</v>
      </c>
      <c r="AH27" s="4357">
        <f>((E27/(time_cap+((AD27-AC27+1)*VLOOKUP(AG27,list!$I$48:$K$50,3, FALSE))))*(AD27-AC27+1)*VLOOKUP(AG27,list!$I$48:$K$50,3, FALSE))</f>
        <v>0</v>
      </c>
      <c r="AI27" s="4357">
        <f>((E27/(time_cap+((AD27-AC27+1)*VLOOKUP(AG27,list!$I$48:$K$50,3, FALSE))))*time_cap)</f>
        <v>0</v>
      </c>
      <c r="AK27" s="4357">
        <f t="shared" ref="AK27:BP27" si="43">IFERROR(IF((time+time_cap)&lt;AK$2, 0,IF(AND(time+1&gt;=AL$2, $AC27&lt;AL$2), IF($AG27= "I", $AH27/($AD27-$AC27+1), $AH27/(($AD27*($AD27+1)/2)-(($AC27-1)*($AC27-1+1)/2))*AK$2), 0)+IF(IF(time+1&gt;=AL$2, $AI27/time_cap/(time+1)*AK$2, 0) = 0, $AI27/(time_cap),0)),0)</f>
        <v>0</v>
      </c>
      <c r="AL27" s="4357">
        <f t="shared" si="43"/>
        <v>0</v>
      </c>
      <c r="AM27" s="4357">
        <f t="shared" si="43"/>
        <v>0</v>
      </c>
      <c r="AN27" s="4357">
        <f t="shared" si="43"/>
        <v>0</v>
      </c>
      <c r="AO27" s="4357">
        <f t="shared" si="43"/>
        <v>0</v>
      </c>
      <c r="AP27" s="4357">
        <f t="shared" si="43"/>
        <v>0</v>
      </c>
      <c r="AQ27" s="4357">
        <f t="shared" si="43"/>
        <v>0</v>
      </c>
      <c r="AR27" s="4357">
        <f t="shared" si="43"/>
        <v>0</v>
      </c>
      <c r="AS27" s="4357">
        <f t="shared" si="43"/>
        <v>0</v>
      </c>
      <c r="AT27" s="4357">
        <f t="shared" si="43"/>
        <v>0</v>
      </c>
      <c r="AU27" s="4357">
        <f t="shared" si="43"/>
        <v>0</v>
      </c>
      <c r="AV27" s="4357">
        <f t="shared" si="43"/>
        <v>0</v>
      </c>
      <c r="AW27" s="4357">
        <f t="shared" si="43"/>
        <v>0</v>
      </c>
      <c r="AX27" s="4357">
        <f t="shared" si="43"/>
        <v>0</v>
      </c>
      <c r="AY27" s="4357">
        <f t="shared" si="43"/>
        <v>0</v>
      </c>
      <c r="AZ27" s="4357">
        <f t="shared" si="43"/>
        <v>0</v>
      </c>
      <c r="BA27" s="4357">
        <f t="shared" si="43"/>
        <v>0</v>
      </c>
      <c r="BB27" s="4357">
        <f t="shared" si="43"/>
        <v>0</v>
      </c>
      <c r="BC27" s="4357">
        <f t="shared" si="43"/>
        <v>0</v>
      </c>
      <c r="BD27" s="4357">
        <f t="shared" si="43"/>
        <v>0</v>
      </c>
      <c r="BE27" s="4357">
        <f t="shared" si="43"/>
        <v>0</v>
      </c>
      <c r="BF27" s="4357">
        <f t="shared" si="43"/>
        <v>0</v>
      </c>
      <c r="BG27" s="4357">
        <f t="shared" si="43"/>
        <v>0</v>
      </c>
      <c r="BH27" s="4357">
        <f t="shared" si="43"/>
        <v>0</v>
      </c>
      <c r="BI27" s="4357">
        <f t="shared" si="43"/>
        <v>0</v>
      </c>
      <c r="BJ27" s="4357">
        <f t="shared" si="43"/>
        <v>0</v>
      </c>
      <c r="BK27" s="4357">
        <f t="shared" si="43"/>
        <v>0</v>
      </c>
      <c r="BL27" s="4357">
        <f t="shared" si="43"/>
        <v>0</v>
      </c>
      <c r="BM27" s="4357">
        <f t="shared" si="43"/>
        <v>0</v>
      </c>
      <c r="BN27" s="4357">
        <f t="shared" si="43"/>
        <v>0</v>
      </c>
      <c r="BO27" s="4357">
        <f t="shared" si="43"/>
        <v>0</v>
      </c>
      <c r="BP27" s="4357">
        <f t="shared" si="43"/>
        <v>0</v>
      </c>
      <c r="BQ27" s="4357">
        <f t="shared" ref="BQ27:CH27" si="44">IFERROR(IF((time+time_cap)&lt;BQ$2, 0,IF(AND(time+1&gt;=BR$2, $AC27&lt;BR$2), IF($AG27= "I", $AH27/($AD27-$AC27+1), $AH27/(($AD27*($AD27+1)/2)-(($AC27-1)*($AC27-1+1)/2))*BQ$2), 0)+IF(IF(time+1&gt;=BR$2, $AI27/time_cap/(time+1)*BQ$2, 0) = 0, $AI27/(time_cap),0)),0)</f>
        <v>0</v>
      </c>
      <c r="BR27" s="4357">
        <f t="shared" si="44"/>
        <v>0</v>
      </c>
      <c r="BS27" s="4357">
        <f t="shared" si="44"/>
        <v>0</v>
      </c>
      <c r="BT27" s="4357">
        <f t="shared" si="44"/>
        <v>0</v>
      </c>
      <c r="BU27" s="4357">
        <f t="shared" si="44"/>
        <v>0</v>
      </c>
      <c r="BV27" s="4357">
        <f t="shared" si="44"/>
        <v>0</v>
      </c>
      <c r="BW27" s="4357">
        <f t="shared" si="44"/>
        <v>0</v>
      </c>
      <c r="BX27" s="4357">
        <f t="shared" si="44"/>
        <v>0</v>
      </c>
      <c r="BY27" s="4357">
        <f t="shared" si="44"/>
        <v>0</v>
      </c>
      <c r="BZ27" s="4357">
        <f t="shared" si="44"/>
        <v>0</v>
      </c>
      <c r="CA27" s="4357">
        <f t="shared" si="44"/>
        <v>0</v>
      </c>
      <c r="CB27" s="4357">
        <f t="shared" si="44"/>
        <v>0</v>
      </c>
      <c r="CC27" s="4357">
        <f t="shared" si="44"/>
        <v>0</v>
      </c>
      <c r="CD27" s="4357">
        <f t="shared" si="44"/>
        <v>0</v>
      </c>
      <c r="CE27" s="4357">
        <f t="shared" si="44"/>
        <v>0</v>
      </c>
      <c r="CF27" s="4357">
        <f t="shared" si="44"/>
        <v>0</v>
      </c>
      <c r="CG27" s="4357">
        <f t="shared" si="44"/>
        <v>0</v>
      </c>
      <c r="CH27" s="4357">
        <f t="shared" si="44"/>
        <v>0</v>
      </c>
      <c r="CI27" s="4357"/>
      <c r="CJ27" s="4357"/>
      <c r="CK27" s="4357"/>
      <c r="CL27" s="4357"/>
      <c r="CM27" s="4357"/>
      <c r="CN27" s="4357"/>
      <c r="CO27" s="4357"/>
      <c r="CP27" s="4357"/>
      <c r="CQ27" s="4357"/>
      <c r="CR27" s="4357"/>
      <c r="CS27" s="4357"/>
      <c r="CT27" s="4357"/>
      <c r="CU27" s="4357"/>
      <c r="CV27" s="4357"/>
      <c r="CW27" s="4357"/>
      <c r="CX27" s="4357"/>
      <c r="CY27" s="4357"/>
      <c r="CZ27" s="4357"/>
      <c r="DA27" s="4357"/>
      <c r="DB27" s="4357"/>
      <c r="DC27" s="4357"/>
      <c r="DD27" s="4357"/>
      <c r="DE27" s="4357"/>
      <c r="DF27" s="4357"/>
      <c r="DG27" s="4357"/>
      <c r="DH27" s="4357"/>
      <c r="DI27" s="4357"/>
      <c r="DJ27" s="4357"/>
      <c r="DK27" s="4357"/>
      <c r="DL27" s="4357"/>
      <c r="DM27" s="4357"/>
      <c r="DN27" s="4357"/>
      <c r="DO27" s="4357"/>
      <c r="DP27" s="4357"/>
      <c r="DQ27" s="4357"/>
      <c r="DR27" s="4357"/>
      <c r="DS27" s="4357"/>
      <c r="DT27" s="4357"/>
      <c r="DU27" s="4357"/>
      <c r="DV27" s="4357"/>
      <c r="DW27" s="4357"/>
      <c r="DX27" s="4357"/>
      <c r="DY27" s="4357"/>
      <c r="DZ27" s="4357"/>
      <c r="EA27" s="4357"/>
      <c r="EB27" s="4357"/>
      <c r="EC27" s="4357"/>
      <c r="ED27" s="4357"/>
      <c r="EE27" s="4357"/>
      <c r="EF27" s="4357"/>
    </row>
    <row r="28" spans="1:136" ht="16" x14ac:dyDescent="0.2">
      <c r="A28" t="s">
        <v>3122</v>
      </c>
      <c r="B28" t="s">
        <v>3122</v>
      </c>
      <c r="C28">
        <f>'2.LUC'!C62</f>
        <v>0</v>
      </c>
      <c r="D28" t="str">
        <f>'2.LUC'!K62</f>
        <v>Please select</v>
      </c>
      <c r="E28">
        <f>'2.LUC'!Y62</f>
        <v>0</v>
      </c>
      <c r="F28" s="388">
        <f>luc!H42-luc!G42</f>
        <v>0</v>
      </c>
      <c r="G28" s="388">
        <f>luc!J42-luc!I42</f>
        <v>0</v>
      </c>
      <c r="M28" s="388">
        <f>luc!T25-luc!S25</f>
        <v>0</v>
      </c>
      <c r="N28" s="388">
        <f>luc!V25-luc!U25</f>
        <v>0</v>
      </c>
      <c r="U28" s="388">
        <f>luc!R25-luc!Q25</f>
        <v>0</v>
      </c>
      <c r="AB28" t="str">
        <f t="shared" si="11"/>
        <v>ok</v>
      </c>
      <c r="AC28">
        <f>IF('2.LUC'!BT62&lt;&gt;0,'2.LUC'!BT62,'2.LUC'!BS62)</f>
        <v>1</v>
      </c>
      <c r="AD28">
        <f t="shared" si="8"/>
        <v>5</v>
      </c>
      <c r="AE28" s="4357" t="str">
        <f>'2.LUC'!O62</f>
        <v>D</v>
      </c>
      <c r="AF28" s="4357" t="str">
        <f>'2.LUC'!Q62</f>
        <v>D</v>
      </c>
      <c r="AG28" s="4357" t="str">
        <f t="shared" si="12"/>
        <v>D</v>
      </c>
      <c r="AH28" s="4357">
        <f>((E28/(time_cap+((AD28-AC28+1)*VLOOKUP(AG28,list!$I$48:$K$50,3, FALSE))))*(AD28-AC28+1)*VLOOKUP(AG28,list!$I$48:$K$50,3, FALSE))</f>
        <v>0</v>
      </c>
      <c r="AI28" s="4357">
        <f>((E28/(time_cap+((AD28-AC28+1)*VLOOKUP(AG28,list!$I$48:$K$50,3, FALSE))))*time_cap)</f>
        <v>0</v>
      </c>
      <c r="AK28" s="4357">
        <f t="shared" ref="AK28:BP28" si="45">IFERROR(IF((time+time_cap)&lt;AK$2, 0,IF(AND(time+1&gt;=AL$2, $AC28&lt;AL$2), IF($AG28= "I", $AH28/($AD28-$AC28+1), $AH28/(($AD28*($AD28+1)/2)-(($AC28-1)*($AC28-1+1)/2))*AK$2), 0)+IF(IF(time+1&gt;=AL$2, $AI28/time_cap/(time+1)*AK$2, 0) = 0, $AI28/(time_cap),0)),0)</f>
        <v>0</v>
      </c>
      <c r="AL28" s="4357">
        <f t="shared" si="45"/>
        <v>0</v>
      </c>
      <c r="AM28" s="4357">
        <f t="shared" si="45"/>
        <v>0</v>
      </c>
      <c r="AN28" s="4357">
        <f t="shared" si="45"/>
        <v>0</v>
      </c>
      <c r="AO28" s="4357">
        <f t="shared" si="45"/>
        <v>0</v>
      </c>
      <c r="AP28" s="4357">
        <f t="shared" si="45"/>
        <v>0</v>
      </c>
      <c r="AQ28" s="4357">
        <f t="shared" si="45"/>
        <v>0</v>
      </c>
      <c r="AR28" s="4357">
        <f t="shared" si="45"/>
        <v>0</v>
      </c>
      <c r="AS28" s="4357">
        <f t="shared" si="45"/>
        <v>0</v>
      </c>
      <c r="AT28" s="4357">
        <f t="shared" si="45"/>
        <v>0</v>
      </c>
      <c r="AU28" s="4357">
        <f t="shared" si="45"/>
        <v>0</v>
      </c>
      <c r="AV28" s="4357">
        <f t="shared" si="45"/>
        <v>0</v>
      </c>
      <c r="AW28" s="4357">
        <f t="shared" si="45"/>
        <v>0</v>
      </c>
      <c r="AX28" s="4357">
        <f t="shared" si="45"/>
        <v>0</v>
      </c>
      <c r="AY28" s="4357">
        <f t="shared" si="45"/>
        <v>0</v>
      </c>
      <c r="AZ28" s="4357">
        <f t="shared" si="45"/>
        <v>0</v>
      </c>
      <c r="BA28" s="4357">
        <f t="shared" si="45"/>
        <v>0</v>
      </c>
      <c r="BB28" s="4357">
        <f t="shared" si="45"/>
        <v>0</v>
      </c>
      <c r="BC28" s="4357">
        <f t="shared" si="45"/>
        <v>0</v>
      </c>
      <c r="BD28" s="4357">
        <f t="shared" si="45"/>
        <v>0</v>
      </c>
      <c r="BE28" s="4357">
        <f t="shared" si="45"/>
        <v>0</v>
      </c>
      <c r="BF28" s="4357">
        <f t="shared" si="45"/>
        <v>0</v>
      </c>
      <c r="BG28" s="4357">
        <f t="shared" si="45"/>
        <v>0</v>
      </c>
      <c r="BH28" s="4357">
        <f t="shared" si="45"/>
        <v>0</v>
      </c>
      <c r="BI28" s="4357">
        <f t="shared" si="45"/>
        <v>0</v>
      </c>
      <c r="BJ28" s="4357">
        <f t="shared" si="45"/>
        <v>0</v>
      </c>
      <c r="BK28" s="4357">
        <f t="shared" si="45"/>
        <v>0</v>
      </c>
      <c r="BL28" s="4357">
        <f t="shared" si="45"/>
        <v>0</v>
      </c>
      <c r="BM28" s="4357">
        <f t="shared" si="45"/>
        <v>0</v>
      </c>
      <c r="BN28" s="4357">
        <f t="shared" si="45"/>
        <v>0</v>
      </c>
      <c r="BO28" s="4357">
        <f t="shared" si="45"/>
        <v>0</v>
      </c>
      <c r="BP28" s="4357">
        <f t="shared" si="45"/>
        <v>0</v>
      </c>
      <c r="BQ28" s="4357">
        <f t="shared" ref="BQ28:CH28" si="46">IFERROR(IF((time+time_cap)&lt;BQ$2, 0,IF(AND(time+1&gt;=BR$2, $AC28&lt;BR$2), IF($AG28= "I", $AH28/($AD28-$AC28+1), $AH28/(($AD28*($AD28+1)/2)-(($AC28-1)*($AC28-1+1)/2))*BQ$2), 0)+IF(IF(time+1&gt;=BR$2, $AI28/time_cap/(time+1)*BQ$2, 0) = 0, $AI28/(time_cap),0)),0)</f>
        <v>0</v>
      </c>
      <c r="BR28" s="4357">
        <f t="shared" si="46"/>
        <v>0</v>
      </c>
      <c r="BS28" s="4357">
        <f t="shared" si="46"/>
        <v>0</v>
      </c>
      <c r="BT28" s="4357">
        <f t="shared" si="46"/>
        <v>0</v>
      </c>
      <c r="BU28" s="4357">
        <f t="shared" si="46"/>
        <v>0</v>
      </c>
      <c r="BV28" s="4357">
        <f t="shared" si="46"/>
        <v>0</v>
      </c>
      <c r="BW28" s="4357">
        <f t="shared" si="46"/>
        <v>0</v>
      </c>
      <c r="BX28" s="4357">
        <f t="shared" si="46"/>
        <v>0</v>
      </c>
      <c r="BY28" s="4357">
        <f t="shared" si="46"/>
        <v>0</v>
      </c>
      <c r="BZ28" s="4357">
        <f t="shared" si="46"/>
        <v>0</v>
      </c>
      <c r="CA28" s="4357">
        <f t="shared" si="46"/>
        <v>0</v>
      </c>
      <c r="CB28" s="4357">
        <f t="shared" si="46"/>
        <v>0</v>
      </c>
      <c r="CC28" s="4357">
        <f t="shared" si="46"/>
        <v>0</v>
      </c>
      <c r="CD28" s="4357">
        <f t="shared" si="46"/>
        <v>0</v>
      </c>
      <c r="CE28" s="4357">
        <f t="shared" si="46"/>
        <v>0</v>
      </c>
      <c r="CF28" s="4357">
        <f t="shared" si="46"/>
        <v>0</v>
      </c>
      <c r="CG28" s="4357">
        <f t="shared" si="46"/>
        <v>0</v>
      </c>
      <c r="CH28" s="4357">
        <f t="shared" si="46"/>
        <v>0</v>
      </c>
      <c r="CI28" s="4357"/>
      <c r="CJ28" s="4357"/>
      <c r="CK28" s="4357"/>
      <c r="CL28" s="4357"/>
      <c r="CM28" s="4357"/>
      <c r="CN28" s="4357"/>
      <c r="CO28" s="4357"/>
      <c r="CP28" s="4357"/>
      <c r="CQ28" s="4357"/>
      <c r="CR28" s="4357"/>
      <c r="CS28" s="4357"/>
      <c r="CT28" s="4357"/>
      <c r="CU28" s="4357"/>
      <c r="CV28" s="4357"/>
      <c r="CW28" s="4357"/>
      <c r="CX28" s="4357"/>
      <c r="CY28" s="4357"/>
      <c r="CZ28" s="4357"/>
      <c r="DA28" s="4357"/>
      <c r="DB28" s="4357"/>
      <c r="DC28" s="4357"/>
      <c r="DD28" s="4357"/>
      <c r="DE28" s="4357"/>
      <c r="DF28" s="4357"/>
      <c r="DG28" s="4357"/>
      <c r="DH28" s="4357"/>
      <c r="DI28" s="4357"/>
      <c r="DJ28" s="4357"/>
      <c r="DK28" s="4357"/>
      <c r="DL28" s="4357"/>
      <c r="DM28" s="4357"/>
      <c r="DN28" s="4357"/>
      <c r="DO28" s="4357"/>
      <c r="DP28" s="4357"/>
      <c r="DQ28" s="4357"/>
      <c r="DR28" s="4357"/>
      <c r="DS28" s="4357"/>
      <c r="DT28" s="4357"/>
      <c r="DU28" s="4357"/>
      <c r="DV28" s="4357"/>
      <c r="DW28" s="4357"/>
      <c r="DX28" s="4357"/>
      <c r="DY28" s="4357"/>
      <c r="DZ28" s="4357"/>
      <c r="EA28" s="4357"/>
      <c r="EB28" s="4357"/>
      <c r="EC28" s="4357"/>
      <c r="ED28" s="4357"/>
      <c r="EE28" s="4357"/>
      <c r="EF28" s="4357"/>
    </row>
    <row r="29" spans="1:136" ht="16" x14ac:dyDescent="0.2">
      <c r="A29" t="s">
        <v>3122</v>
      </c>
      <c r="B29" t="s">
        <v>3122</v>
      </c>
      <c r="C29">
        <f>'2.LUC'!C63</f>
        <v>0</v>
      </c>
      <c r="D29" t="str">
        <f>'2.LUC'!K63</f>
        <v>Please select</v>
      </c>
      <c r="E29">
        <f>'2.LUC'!Y63</f>
        <v>0</v>
      </c>
      <c r="F29" s="388">
        <f>luc!H43-luc!G43</f>
        <v>0</v>
      </c>
      <c r="G29" s="388">
        <f>luc!J43-luc!I43</f>
        <v>0</v>
      </c>
      <c r="M29" s="388">
        <f>luc!T26-luc!S26</f>
        <v>0</v>
      </c>
      <c r="N29" s="388">
        <f>luc!V26-luc!U26</f>
        <v>0</v>
      </c>
      <c r="U29" s="388">
        <f>luc!R26-luc!Q26</f>
        <v>0</v>
      </c>
      <c r="AB29" t="str">
        <f t="shared" si="11"/>
        <v>ok</v>
      </c>
      <c r="AC29">
        <f>IF('2.LUC'!BT63&lt;&gt;0,'2.LUC'!BT63,'2.LUC'!BS63)</f>
        <v>1</v>
      </c>
      <c r="AD29">
        <f t="shared" si="8"/>
        <v>5</v>
      </c>
      <c r="AE29" s="4357" t="str">
        <f>'2.LUC'!O63</f>
        <v>D</v>
      </c>
      <c r="AF29" s="4357" t="str">
        <f>'2.LUC'!Q63</f>
        <v>D</v>
      </c>
      <c r="AG29" s="4357" t="str">
        <f t="shared" si="12"/>
        <v>D</v>
      </c>
      <c r="AH29" s="4357">
        <f>((E29/(time_cap+((AD29-AC29+1)*VLOOKUP(AG29,list!$I$48:$K$50,3, FALSE))))*(AD29-AC29+1)*VLOOKUP(AG29,list!$I$48:$K$50,3, FALSE))</f>
        <v>0</v>
      </c>
      <c r="AI29" s="4357">
        <f>((E29/(time_cap+((AD29-AC29+1)*VLOOKUP(AG29,list!$I$48:$K$50,3, FALSE))))*time_cap)</f>
        <v>0</v>
      </c>
      <c r="AK29" s="4357">
        <f t="shared" ref="AK29:BP29" si="47">IFERROR(IF((time+time_cap)&lt;AK$2, 0,IF(AND(time+1&gt;=AL$2, $AC29&lt;AL$2), IF($AG29= "I", $AH29/($AD29-$AC29+1), $AH29/(($AD29*($AD29+1)/2)-(($AC29-1)*($AC29-1+1)/2))*AK$2), 0)+IF(IF(time+1&gt;=AL$2, $AI29/time_cap/(time+1)*AK$2, 0) = 0, $AI29/(time_cap),0)),0)</f>
        <v>0</v>
      </c>
      <c r="AL29" s="4357">
        <f t="shared" si="47"/>
        <v>0</v>
      </c>
      <c r="AM29" s="4357">
        <f t="shared" si="47"/>
        <v>0</v>
      </c>
      <c r="AN29" s="4357">
        <f t="shared" si="47"/>
        <v>0</v>
      </c>
      <c r="AO29" s="4357">
        <f t="shared" si="47"/>
        <v>0</v>
      </c>
      <c r="AP29" s="4357">
        <f t="shared" si="47"/>
        <v>0</v>
      </c>
      <c r="AQ29" s="4357">
        <f t="shared" si="47"/>
        <v>0</v>
      </c>
      <c r="AR29" s="4357">
        <f t="shared" si="47"/>
        <v>0</v>
      </c>
      <c r="AS29" s="4357">
        <f t="shared" si="47"/>
        <v>0</v>
      </c>
      <c r="AT29" s="4357">
        <f t="shared" si="47"/>
        <v>0</v>
      </c>
      <c r="AU29" s="4357">
        <f t="shared" si="47"/>
        <v>0</v>
      </c>
      <c r="AV29" s="4357">
        <f t="shared" si="47"/>
        <v>0</v>
      </c>
      <c r="AW29" s="4357">
        <f t="shared" si="47"/>
        <v>0</v>
      </c>
      <c r="AX29" s="4357">
        <f t="shared" si="47"/>
        <v>0</v>
      </c>
      <c r="AY29" s="4357">
        <f t="shared" si="47"/>
        <v>0</v>
      </c>
      <c r="AZ29" s="4357">
        <f t="shared" si="47"/>
        <v>0</v>
      </c>
      <c r="BA29" s="4357">
        <f t="shared" si="47"/>
        <v>0</v>
      </c>
      <c r="BB29" s="4357">
        <f t="shared" si="47"/>
        <v>0</v>
      </c>
      <c r="BC29" s="4357">
        <f t="shared" si="47"/>
        <v>0</v>
      </c>
      <c r="BD29" s="4357">
        <f t="shared" si="47"/>
        <v>0</v>
      </c>
      <c r="BE29" s="4357">
        <f t="shared" si="47"/>
        <v>0</v>
      </c>
      <c r="BF29" s="4357">
        <f t="shared" si="47"/>
        <v>0</v>
      </c>
      <c r="BG29" s="4357">
        <f t="shared" si="47"/>
        <v>0</v>
      </c>
      <c r="BH29" s="4357">
        <f t="shared" si="47"/>
        <v>0</v>
      </c>
      <c r="BI29" s="4357">
        <f t="shared" si="47"/>
        <v>0</v>
      </c>
      <c r="BJ29" s="4357">
        <f t="shared" si="47"/>
        <v>0</v>
      </c>
      <c r="BK29" s="4357">
        <f t="shared" si="47"/>
        <v>0</v>
      </c>
      <c r="BL29" s="4357">
        <f t="shared" si="47"/>
        <v>0</v>
      </c>
      <c r="BM29" s="4357">
        <f t="shared" si="47"/>
        <v>0</v>
      </c>
      <c r="BN29" s="4357">
        <f t="shared" si="47"/>
        <v>0</v>
      </c>
      <c r="BO29" s="4357">
        <f t="shared" si="47"/>
        <v>0</v>
      </c>
      <c r="BP29" s="4357">
        <f t="shared" si="47"/>
        <v>0</v>
      </c>
      <c r="BQ29" s="4357">
        <f t="shared" ref="BQ29:CH29" si="48">IFERROR(IF((time+time_cap)&lt;BQ$2, 0,IF(AND(time+1&gt;=BR$2, $AC29&lt;BR$2), IF($AG29= "I", $AH29/($AD29-$AC29+1), $AH29/(($AD29*($AD29+1)/2)-(($AC29-1)*($AC29-1+1)/2))*BQ$2), 0)+IF(IF(time+1&gt;=BR$2, $AI29/time_cap/(time+1)*BQ$2, 0) = 0, $AI29/(time_cap),0)),0)</f>
        <v>0</v>
      </c>
      <c r="BR29" s="4357">
        <f t="shared" si="48"/>
        <v>0</v>
      </c>
      <c r="BS29" s="4357">
        <f t="shared" si="48"/>
        <v>0</v>
      </c>
      <c r="BT29" s="4357">
        <f t="shared" si="48"/>
        <v>0</v>
      </c>
      <c r="BU29" s="4357">
        <f t="shared" si="48"/>
        <v>0</v>
      </c>
      <c r="BV29" s="4357">
        <f t="shared" si="48"/>
        <v>0</v>
      </c>
      <c r="BW29" s="4357">
        <f t="shared" si="48"/>
        <v>0</v>
      </c>
      <c r="BX29" s="4357">
        <f t="shared" si="48"/>
        <v>0</v>
      </c>
      <c r="BY29" s="4357">
        <f t="shared" si="48"/>
        <v>0</v>
      </c>
      <c r="BZ29" s="4357">
        <f t="shared" si="48"/>
        <v>0</v>
      </c>
      <c r="CA29" s="4357">
        <f t="shared" si="48"/>
        <v>0</v>
      </c>
      <c r="CB29" s="4357">
        <f t="shared" si="48"/>
        <v>0</v>
      </c>
      <c r="CC29" s="4357">
        <f t="shared" si="48"/>
        <v>0</v>
      </c>
      <c r="CD29" s="4357">
        <f t="shared" si="48"/>
        <v>0</v>
      </c>
      <c r="CE29" s="4357">
        <f t="shared" si="48"/>
        <v>0</v>
      </c>
      <c r="CF29" s="4357">
        <f t="shared" si="48"/>
        <v>0</v>
      </c>
      <c r="CG29" s="4357">
        <f t="shared" si="48"/>
        <v>0</v>
      </c>
      <c r="CH29" s="4357">
        <f t="shared" si="48"/>
        <v>0</v>
      </c>
      <c r="CI29" s="4357"/>
      <c r="CJ29" s="4357"/>
      <c r="CK29" s="4357"/>
      <c r="CL29" s="4357"/>
      <c r="CM29" s="4357"/>
      <c r="CN29" s="4357"/>
      <c r="CO29" s="4357"/>
      <c r="CP29" s="4357"/>
      <c r="CQ29" s="4357"/>
      <c r="CR29" s="4357"/>
      <c r="CS29" s="4357"/>
      <c r="CT29" s="4357"/>
      <c r="CU29" s="4357"/>
      <c r="CV29" s="4357"/>
      <c r="CW29" s="4357"/>
      <c r="CX29" s="4357"/>
      <c r="CY29" s="4357"/>
      <c r="CZ29" s="4357"/>
      <c r="DA29" s="4357"/>
      <c r="DB29" s="4357"/>
      <c r="DC29" s="4357"/>
      <c r="DD29" s="4357"/>
      <c r="DE29" s="4357"/>
      <c r="DF29" s="4357"/>
      <c r="DG29" s="4357"/>
      <c r="DH29" s="4357"/>
      <c r="DI29" s="4357"/>
      <c r="DJ29" s="4357"/>
      <c r="DK29" s="4357"/>
      <c r="DL29" s="4357"/>
      <c r="DM29" s="4357"/>
      <c r="DN29" s="4357"/>
      <c r="DO29" s="4357"/>
      <c r="DP29" s="4357"/>
      <c r="DQ29" s="4357"/>
      <c r="DR29" s="4357"/>
      <c r="DS29" s="4357"/>
      <c r="DT29" s="4357"/>
      <c r="DU29" s="4357"/>
      <c r="DV29" s="4357"/>
      <c r="DW29" s="4357"/>
      <c r="DX29" s="4357"/>
      <c r="DY29" s="4357"/>
      <c r="DZ29" s="4357"/>
      <c r="EA29" s="4357"/>
      <c r="EB29" s="4357"/>
      <c r="EC29" s="4357"/>
      <c r="ED29" s="4357"/>
      <c r="EE29" s="4357"/>
      <c r="EF29" s="4357"/>
    </row>
    <row r="30" spans="1:136" ht="16" x14ac:dyDescent="0.2">
      <c r="A30" t="s">
        <v>3122</v>
      </c>
      <c r="B30" t="s">
        <v>3122</v>
      </c>
      <c r="C30">
        <f>'2.LUC'!C64</f>
        <v>0</v>
      </c>
      <c r="D30" t="str">
        <f>'2.LUC'!K64</f>
        <v>Please select</v>
      </c>
      <c r="E30">
        <f>'2.LUC'!Y64</f>
        <v>0</v>
      </c>
      <c r="F30" s="388">
        <f>luc!H44-luc!G44</f>
        <v>0</v>
      </c>
      <c r="G30" s="388">
        <f>luc!J44-luc!I44</f>
        <v>0</v>
      </c>
      <c r="M30" s="388">
        <f>luc!T27-luc!S27</f>
        <v>0</v>
      </c>
      <c r="N30" s="388">
        <f>luc!V27-luc!U27</f>
        <v>0</v>
      </c>
      <c r="U30" s="388">
        <f>luc!R27-luc!Q27</f>
        <v>0</v>
      </c>
      <c r="AB30" t="str">
        <f t="shared" si="11"/>
        <v>ok</v>
      </c>
      <c r="AC30">
        <f>IF('2.LUC'!BT64&lt;&gt;0,'2.LUC'!BT64,'2.LUC'!BS64)</f>
        <v>1</v>
      </c>
      <c r="AD30">
        <f t="shared" si="8"/>
        <v>5</v>
      </c>
      <c r="AE30" s="4357" t="str">
        <f>'2.LUC'!O64</f>
        <v>D</v>
      </c>
      <c r="AF30" s="4357" t="str">
        <f>'2.LUC'!Q64</f>
        <v>D</v>
      </c>
      <c r="AG30" s="4357" t="str">
        <f t="shared" si="12"/>
        <v>D</v>
      </c>
      <c r="AH30" s="4357">
        <f>((E30/(time_cap+((AD30-AC30+1)*VLOOKUP(AG30,list!$I$48:$K$50,3, FALSE))))*(AD30-AC30+1)*VLOOKUP(AG30,list!$I$48:$K$50,3, FALSE))</f>
        <v>0</v>
      </c>
      <c r="AI30" s="4357">
        <f>((E30/(time_cap+((AD30-AC30+1)*VLOOKUP(AG30,list!$I$48:$K$50,3, FALSE))))*time_cap)</f>
        <v>0</v>
      </c>
      <c r="AK30" s="4357">
        <f t="shared" ref="AK30:BP30" si="49">IFERROR(IF((time+time_cap)&lt;AK$2, 0,IF(AND(time+1&gt;=AL$2, $AC30&lt;AL$2), IF($AG30= "I", $AH30/($AD30-$AC30+1), $AH30/(($AD30*($AD30+1)/2)-(($AC30-1)*($AC30-1+1)/2))*AK$2), 0)+IF(IF(time+1&gt;=AL$2, $AI30/time_cap/(time+1)*AK$2, 0) = 0, $AI30/(time_cap),0)),0)</f>
        <v>0</v>
      </c>
      <c r="AL30" s="4357">
        <f t="shared" si="49"/>
        <v>0</v>
      </c>
      <c r="AM30" s="4357">
        <f t="shared" si="49"/>
        <v>0</v>
      </c>
      <c r="AN30" s="4357">
        <f t="shared" si="49"/>
        <v>0</v>
      </c>
      <c r="AO30" s="4357">
        <f t="shared" si="49"/>
        <v>0</v>
      </c>
      <c r="AP30" s="4357">
        <f t="shared" si="49"/>
        <v>0</v>
      </c>
      <c r="AQ30" s="4357">
        <f t="shared" si="49"/>
        <v>0</v>
      </c>
      <c r="AR30" s="4357">
        <f t="shared" si="49"/>
        <v>0</v>
      </c>
      <c r="AS30" s="4357">
        <f t="shared" si="49"/>
        <v>0</v>
      </c>
      <c r="AT30" s="4357">
        <f t="shared" si="49"/>
        <v>0</v>
      </c>
      <c r="AU30" s="4357">
        <f t="shared" si="49"/>
        <v>0</v>
      </c>
      <c r="AV30" s="4357">
        <f t="shared" si="49"/>
        <v>0</v>
      </c>
      <c r="AW30" s="4357">
        <f t="shared" si="49"/>
        <v>0</v>
      </c>
      <c r="AX30" s="4357">
        <f t="shared" si="49"/>
        <v>0</v>
      </c>
      <c r="AY30" s="4357">
        <f t="shared" si="49"/>
        <v>0</v>
      </c>
      <c r="AZ30" s="4357">
        <f t="shared" si="49"/>
        <v>0</v>
      </c>
      <c r="BA30" s="4357">
        <f t="shared" si="49"/>
        <v>0</v>
      </c>
      <c r="BB30" s="4357">
        <f t="shared" si="49"/>
        <v>0</v>
      </c>
      <c r="BC30" s="4357">
        <f t="shared" si="49"/>
        <v>0</v>
      </c>
      <c r="BD30" s="4357">
        <f t="shared" si="49"/>
        <v>0</v>
      </c>
      <c r="BE30" s="4357">
        <f t="shared" si="49"/>
        <v>0</v>
      </c>
      <c r="BF30" s="4357">
        <f t="shared" si="49"/>
        <v>0</v>
      </c>
      <c r="BG30" s="4357">
        <f t="shared" si="49"/>
        <v>0</v>
      </c>
      <c r="BH30" s="4357">
        <f t="shared" si="49"/>
        <v>0</v>
      </c>
      <c r="BI30" s="4357">
        <f t="shared" si="49"/>
        <v>0</v>
      </c>
      <c r="BJ30" s="4357">
        <f t="shared" si="49"/>
        <v>0</v>
      </c>
      <c r="BK30" s="4357">
        <f t="shared" si="49"/>
        <v>0</v>
      </c>
      <c r="BL30" s="4357">
        <f t="shared" si="49"/>
        <v>0</v>
      </c>
      <c r="BM30" s="4357">
        <f t="shared" si="49"/>
        <v>0</v>
      </c>
      <c r="BN30" s="4357">
        <f t="shared" si="49"/>
        <v>0</v>
      </c>
      <c r="BO30" s="4357">
        <f t="shared" si="49"/>
        <v>0</v>
      </c>
      <c r="BP30" s="4357">
        <f t="shared" si="49"/>
        <v>0</v>
      </c>
      <c r="BQ30" s="4357">
        <f t="shared" ref="BQ30:CH30" si="50">IFERROR(IF((time+time_cap)&lt;BQ$2, 0,IF(AND(time+1&gt;=BR$2, $AC30&lt;BR$2), IF($AG30= "I", $AH30/($AD30-$AC30+1), $AH30/(($AD30*($AD30+1)/2)-(($AC30-1)*($AC30-1+1)/2))*BQ$2), 0)+IF(IF(time+1&gt;=BR$2, $AI30/time_cap/(time+1)*BQ$2, 0) = 0, $AI30/(time_cap),0)),0)</f>
        <v>0</v>
      </c>
      <c r="BR30" s="4357">
        <f t="shared" si="50"/>
        <v>0</v>
      </c>
      <c r="BS30" s="4357">
        <f t="shared" si="50"/>
        <v>0</v>
      </c>
      <c r="BT30" s="4357">
        <f t="shared" si="50"/>
        <v>0</v>
      </c>
      <c r="BU30" s="4357">
        <f t="shared" si="50"/>
        <v>0</v>
      </c>
      <c r="BV30" s="4357">
        <f t="shared" si="50"/>
        <v>0</v>
      </c>
      <c r="BW30" s="4357">
        <f t="shared" si="50"/>
        <v>0</v>
      </c>
      <c r="BX30" s="4357">
        <f t="shared" si="50"/>
        <v>0</v>
      </c>
      <c r="BY30" s="4357">
        <f t="shared" si="50"/>
        <v>0</v>
      </c>
      <c r="BZ30" s="4357">
        <f t="shared" si="50"/>
        <v>0</v>
      </c>
      <c r="CA30" s="4357">
        <f t="shared" si="50"/>
        <v>0</v>
      </c>
      <c r="CB30" s="4357">
        <f t="shared" si="50"/>
        <v>0</v>
      </c>
      <c r="CC30" s="4357">
        <f t="shared" si="50"/>
        <v>0</v>
      </c>
      <c r="CD30" s="4357">
        <f t="shared" si="50"/>
        <v>0</v>
      </c>
      <c r="CE30" s="4357">
        <f t="shared" si="50"/>
        <v>0</v>
      </c>
      <c r="CF30" s="4357">
        <f t="shared" si="50"/>
        <v>0</v>
      </c>
      <c r="CG30" s="4357">
        <f t="shared" si="50"/>
        <v>0</v>
      </c>
      <c r="CH30" s="4357">
        <f t="shared" si="50"/>
        <v>0</v>
      </c>
      <c r="CI30" s="4357"/>
      <c r="CJ30" s="4357"/>
      <c r="CK30" s="4357"/>
      <c r="CL30" s="4357"/>
      <c r="CM30" s="4357"/>
      <c r="CN30" s="4357"/>
      <c r="CO30" s="4357"/>
      <c r="CP30" s="4357"/>
      <c r="CQ30" s="4357"/>
      <c r="CR30" s="4357"/>
      <c r="CS30" s="4357"/>
      <c r="CT30" s="4357"/>
      <c r="CU30" s="4357"/>
      <c r="CV30" s="4357"/>
      <c r="CW30" s="4357"/>
      <c r="CX30" s="4357"/>
      <c r="CY30" s="4357"/>
      <c r="CZ30" s="4357"/>
      <c r="DA30" s="4357"/>
      <c r="DB30" s="4357"/>
      <c r="DC30" s="4357"/>
      <c r="DD30" s="4357"/>
      <c r="DE30" s="4357"/>
      <c r="DF30" s="4357"/>
      <c r="DG30" s="4357"/>
      <c r="DH30" s="4357"/>
      <c r="DI30" s="4357"/>
      <c r="DJ30" s="4357"/>
      <c r="DK30" s="4357"/>
      <c r="DL30" s="4357"/>
      <c r="DM30" s="4357"/>
      <c r="DN30" s="4357"/>
      <c r="DO30" s="4357"/>
      <c r="DP30" s="4357"/>
      <c r="DQ30" s="4357"/>
      <c r="DR30" s="4357"/>
      <c r="DS30" s="4357"/>
      <c r="DT30" s="4357"/>
      <c r="DU30" s="4357"/>
      <c r="DV30" s="4357"/>
      <c r="DW30" s="4357"/>
      <c r="DX30" s="4357"/>
      <c r="DY30" s="4357"/>
      <c r="DZ30" s="4357"/>
      <c r="EA30" s="4357"/>
      <c r="EB30" s="4357"/>
      <c r="EC30" s="4357"/>
      <c r="ED30" s="4357"/>
      <c r="EE30" s="4357"/>
      <c r="EF30" s="4357"/>
    </row>
    <row r="31" spans="1:136" ht="16" x14ac:dyDescent="0.2">
      <c r="A31" t="s">
        <v>3122</v>
      </c>
      <c r="B31" t="s">
        <v>3122</v>
      </c>
      <c r="C31">
        <f>'2.LUC'!C65</f>
        <v>0</v>
      </c>
      <c r="D31" t="str">
        <f>'2.LUC'!K65</f>
        <v>Please select</v>
      </c>
      <c r="E31">
        <f>'2.LUC'!Y65</f>
        <v>0</v>
      </c>
      <c r="F31" s="388">
        <f>luc!H45-luc!G45</f>
        <v>0</v>
      </c>
      <c r="G31" s="388">
        <f>luc!J45-luc!I45</f>
        <v>0</v>
      </c>
      <c r="M31" s="388">
        <f>luc!T28-luc!S28</f>
        <v>0</v>
      </c>
      <c r="N31" s="388">
        <f>luc!V28-luc!U28</f>
        <v>0</v>
      </c>
      <c r="U31" s="388">
        <f>luc!R28-luc!Q28</f>
        <v>0</v>
      </c>
      <c r="AB31" t="str">
        <f t="shared" si="11"/>
        <v>ok</v>
      </c>
      <c r="AC31">
        <f>IF('2.LUC'!BT65&lt;&gt;0,'2.LUC'!BT65,'2.LUC'!BS65)</f>
        <v>1</v>
      </c>
      <c r="AD31">
        <f t="shared" si="8"/>
        <v>5</v>
      </c>
      <c r="AE31" s="4357" t="str">
        <f>'2.LUC'!O65</f>
        <v>D</v>
      </c>
      <c r="AF31" s="4357" t="str">
        <f>'2.LUC'!Q65</f>
        <v>D</v>
      </c>
      <c r="AG31" s="4357" t="str">
        <f t="shared" si="12"/>
        <v>D</v>
      </c>
      <c r="AH31" s="4357">
        <f>((E31/(time_cap+((AD31-AC31+1)*VLOOKUP(AG31,list!$I$48:$K$50,3, FALSE))))*(AD31-AC31+1)*VLOOKUP(AG31,list!$I$48:$K$50,3, FALSE))</f>
        <v>0</v>
      </c>
      <c r="AI31" s="4357">
        <f>((E31/(time_cap+((AD31-AC31+1)*VLOOKUP(AG31,list!$I$48:$K$50,3, FALSE))))*time_cap)</f>
        <v>0</v>
      </c>
      <c r="AK31" s="4357">
        <f t="shared" ref="AK31:BP31" si="51">IFERROR(IF((time+time_cap)&lt;AK$2, 0,IF(AND(time+1&gt;=AL$2, $AC31&lt;AL$2), IF($AG31= "I", $AH31/($AD31-$AC31+1), $AH31/(($AD31*($AD31+1)/2)-(($AC31-1)*($AC31-1+1)/2))*AK$2), 0)+IF(IF(time+1&gt;=AL$2, $AI31/time_cap/(time+1)*AK$2, 0) = 0, $AI31/(time_cap),0)),0)</f>
        <v>0</v>
      </c>
      <c r="AL31" s="4357">
        <f t="shared" si="51"/>
        <v>0</v>
      </c>
      <c r="AM31" s="4357">
        <f t="shared" si="51"/>
        <v>0</v>
      </c>
      <c r="AN31" s="4357">
        <f t="shared" si="51"/>
        <v>0</v>
      </c>
      <c r="AO31" s="4357">
        <f t="shared" si="51"/>
        <v>0</v>
      </c>
      <c r="AP31" s="4357">
        <f t="shared" si="51"/>
        <v>0</v>
      </c>
      <c r="AQ31" s="4357">
        <f t="shared" si="51"/>
        <v>0</v>
      </c>
      <c r="AR31" s="4357">
        <f t="shared" si="51"/>
        <v>0</v>
      </c>
      <c r="AS31" s="4357">
        <f t="shared" si="51"/>
        <v>0</v>
      </c>
      <c r="AT31" s="4357">
        <f t="shared" si="51"/>
        <v>0</v>
      </c>
      <c r="AU31" s="4357">
        <f t="shared" si="51"/>
        <v>0</v>
      </c>
      <c r="AV31" s="4357">
        <f t="shared" si="51"/>
        <v>0</v>
      </c>
      <c r="AW31" s="4357">
        <f t="shared" si="51"/>
        <v>0</v>
      </c>
      <c r="AX31" s="4357">
        <f t="shared" si="51"/>
        <v>0</v>
      </c>
      <c r="AY31" s="4357">
        <f t="shared" si="51"/>
        <v>0</v>
      </c>
      <c r="AZ31" s="4357">
        <f t="shared" si="51"/>
        <v>0</v>
      </c>
      <c r="BA31" s="4357">
        <f t="shared" si="51"/>
        <v>0</v>
      </c>
      <c r="BB31" s="4357">
        <f t="shared" si="51"/>
        <v>0</v>
      </c>
      <c r="BC31" s="4357">
        <f t="shared" si="51"/>
        <v>0</v>
      </c>
      <c r="BD31" s="4357">
        <f t="shared" si="51"/>
        <v>0</v>
      </c>
      <c r="BE31" s="4357">
        <f t="shared" si="51"/>
        <v>0</v>
      </c>
      <c r="BF31" s="4357">
        <f t="shared" si="51"/>
        <v>0</v>
      </c>
      <c r="BG31" s="4357">
        <f t="shared" si="51"/>
        <v>0</v>
      </c>
      <c r="BH31" s="4357">
        <f t="shared" si="51"/>
        <v>0</v>
      </c>
      <c r="BI31" s="4357">
        <f t="shared" si="51"/>
        <v>0</v>
      </c>
      <c r="BJ31" s="4357">
        <f t="shared" si="51"/>
        <v>0</v>
      </c>
      <c r="BK31" s="4357">
        <f t="shared" si="51"/>
        <v>0</v>
      </c>
      <c r="BL31" s="4357">
        <f t="shared" si="51"/>
        <v>0</v>
      </c>
      <c r="BM31" s="4357">
        <f t="shared" si="51"/>
        <v>0</v>
      </c>
      <c r="BN31" s="4357">
        <f t="shared" si="51"/>
        <v>0</v>
      </c>
      <c r="BO31" s="4357">
        <f t="shared" si="51"/>
        <v>0</v>
      </c>
      <c r="BP31" s="4357">
        <f t="shared" si="51"/>
        <v>0</v>
      </c>
      <c r="BQ31" s="4357">
        <f t="shared" ref="BQ31:CH31" si="52">IFERROR(IF((time+time_cap)&lt;BQ$2, 0,IF(AND(time+1&gt;=BR$2, $AC31&lt;BR$2), IF($AG31= "I", $AH31/($AD31-$AC31+1), $AH31/(($AD31*($AD31+1)/2)-(($AC31-1)*($AC31-1+1)/2))*BQ$2), 0)+IF(IF(time+1&gt;=BR$2, $AI31/time_cap/(time+1)*BQ$2, 0) = 0, $AI31/(time_cap),0)),0)</f>
        <v>0</v>
      </c>
      <c r="BR31" s="4357">
        <f t="shared" si="52"/>
        <v>0</v>
      </c>
      <c r="BS31" s="4357">
        <f t="shared" si="52"/>
        <v>0</v>
      </c>
      <c r="BT31" s="4357">
        <f t="shared" si="52"/>
        <v>0</v>
      </c>
      <c r="BU31" s="4357">
        <f t="shared" si="52"/>
        <v>0</v>
      </c>
      <c r="BV31" s="4357">
        <f t="shared" si="52"/>
        <v>0</v>
      </c>
      <c r="BW31" s="4357">
        <f t="shared" si="52"/>
        <v>0</v>
      </c>
      <c r="BX31" s="4357">
        <f t="shared" si="52"/>
        <v>0</v>
      </c>
      <c r="BY31" s="4357">
        <f t="shared" si="52"/>
        <v>0</v>
      </c>
      <c r="BZ31" s="4357">
        <f t="shared" si="52"/>
        <v>0</v>
      </c>
      <c r="CA31" s="4357">
        <f t="shared" si="52"/>
        <v>0</v>
      </c>
      <c r="CB31" s="4357">
        <f t="shared" si="52"/>
        <v>0</v>
      </c>
      <c r="CC31" s="4357">
        <f t="shared" si="52"/>
        <v>0</v>
      </c>
      <c r="CD31" s="4357">
        <f t="shared" si="52"/>
        <v>0</v>
      </c>
      <c r="CE31" s="4357">
        <f t="shared" si="52"/>
        <v>0</v>
      </c>
      <c r="CF31" s="4357">
        <f t="shared" si="52"/>
        <v>0</v>
      </c>
      <c r="CG31" s="4357">
        <f t="shared" si="52"/>
        <v>0</v>
      </c>
      <c r="CH31" s="4357">
        <f t="shared" si="52"/>
        <v>0</v>
      </c>
      <c r="CI31" s="4357"/>
      <c r="CJ31" s="4357"/>
      <c r="CK31" s="4357"/>
      <c r="CL31" s="4357"/>
      <c r="CM31" s="4357"/>
      <c r="CN31" s="4357"/>
      <c r="CO31" s="4357"/>
      <c r="CP31" s="4357"/>
      <c r="CQ31" s="4357"/>
      <c r="CR31" s="4357"/>
      <c r="CS31" s="4357"/>
      <c r="CT31" s="4357"/>
      <c r="CU31" s="4357"/>
      <c r="CV31" s="4357"/>
      <c r="CW31" s="4357"/>
      <c r="CX31" s="4357"/>
      <c r="CY31" s="4357"/>
      <c r="CZ31" s="4357"/>
      <c r="DA31" s="4357"/>
      <c r="DB31" s="4357"/>
      <c r="DC31" s="4357"/>
      <c r="DD31" s="4357"/>
      <c r="DE31" s="4357"/>
      <c r="DF31" s="4357"/>
      <c r="DG31" s="4357"/>
      <c r="DH31" s="4357"/>
      <c r="DI31" s="4357"/>
      <c r="DJ31" s="4357"/>
      <c r="DK31" s="4357"/>
      <c r="DL31" s="4357"/>
      <c r="DM31" s="4357"/>
      <c r="DN31" s="4357"/>
      <c r="DO31" s="4357"/>
      <c r="DP31" s="4357"/>
      <c r="DQ31" s="4357"/>
      <c r="DR31" s="4357"/>
      <c r="DS31" s="4357"/>
      <c r="DT31" s="4357"/>
      <c r="DU31" s="4357"/>
      <c r="DV31" s="4357"/>
      <c r="DW31" s="4357"/>
      <c r="DX31" s="4357"/>
      <c r="DY31" s="4357"/>
      <c r="DZ31" s="4357"/>
      <c r="EA31" s="4357"/>
      <c r="EB31" s="4357"/>
      <c r="EC31" s="4357"/>
      <c r="ED31" s="4357"/>
      <c r="EE31" s="4357"/>
      <c r="EF31" s="4357"/>
    </row>
    <row r="32" spans="1:136" ht="16" x14ac:dyDescent="0.2">
      <c r="A32" t="s">
        <v>3122</v>
      </c>
      <c r="B32" t="s">
        <v>3122</v>
      </c>
      <c r="C32">
        <f>'2.LUC'!C66</f>
        <v>0</v>
      </c>
      <c r="D32" t="str">
        <f>'2.LUC'!K66</f>
        <v>Please select</v>
      </c>
      <c r="E32">
        <f>'2.LUC'!Y66</f>
        <v>0</v>
      </c>
      <c r="F32" s="388">
        <f>luc!H46-luc!G46</f>
        <v>0</v>
      </c>
      <c r="G32" s="388">
        <f>luc!J46-luc!I46</f>
        <v>0</v>
      </c>
      <c r="M32" s="388">
        <f>luc!T29-luc!S29</f>
        <v>0</v>
      </c>
      <c r="N32" s="388">
        <f>luc!V29-luc!U29</f>
        <v>0</v>
      </c>
      <c r="U32" s="388">
        <f>luc!R29-luc!Q29</f>
        <v>0</v>
      </c>
      <c r="AB32" t="str">
        <f t="shared" si="11"/>
        <v>ok</v>
      </c>
      <c r="AC32">
        <f>IF('2.LUC'!BT66&lt;&gt;0,'2.LUC'!BT66,'2.LUC'!BS66)</f>
        <v>1</v>
      </c>
      <c r="AD32">
        <f t="shared" si="8"/>
        <v>5</v>
      </c>
      <c r="AE32" s="4357" t="str">
        <f>'2.LUC'!O66</f>
        <v>D</v>
      </c>
      <c r="AF32" s="4357" t="str">
        <f>'2.LUC'!Q66</f>
        <v>D</v>
      </c>
      <c r="AG32" s="4357" t="str">
        <f t="shared" si="12"/>
        <v>D</v>
      </c>
      <c r="AH32" s="4357">
        <f>((E32/(time_cap+((AD32-AC32+1)*VLOOKUP(AG32,list!$I$48:$K$50,3, FALSE))))*(AD32-AC32+1)*VLOOKUP(AG32,list!$I$48:$K$50,3, FALSE))</f>
        <v>0</v>
      </c>
      <c r="AI32" s="4357">
        <f>((E32/(time_cap+((AD32-AC32+1)*VLOOKUP(AG32,list!$I$48:$K$50,3, FALSE))))*time_cap)</f>
        <v>0</v>
      </c>
      <c r="AK32" s="4357">
        <f t="shared" ref="AK32:BP32" si="53">IFERROR(IF((time+time_cap)&lt;AK$2, 0,IF(AND(time+1&gt;=AL$2, $AC32&lt;AL$2), IF($AG32= "I", $AH32/($AD32-$AC32+1), $AH32/(($AD32*($AD32+1)/2)-(($AC32-1)*($AC32-1+1)/2))*AK$2), 0)+IF(IF(time+1&gt;=AL$2, $AI32/time_cap/(time+1)*AK$2, 0) = 0, $AI32/(time_cap),0)),0)</f>
        <v>0</v>
      </c>
      <c r="AL32" s="4357">
        <f t="shared" si="53"/>
        <v>0</v>
      </c>
      <c r="AM32" s="4357">
        <f t="shared" si="53"/>
        <v>0</v>
      </c>
      <c r="AN32" s="4357">
        <f t="shared" si="53"/>
        <v>0</v>
      </c>
      <c r="AO32" s="4357">
        <f t="shared" si="53"/>
        <v>0</v>
      </c>
      <c r="AP32" s="4357">
        <f t="shared" si="53"/>
        <v>0</v>
      </c>
      <c r="AQ32" s="4357">
        <f t="shared" si="53"/>
        <v>0</v>
      </c>
      <c r="AR32" s="4357">
        <f t="shared" si="53"/>
        <v>0</v>
      </c>
      <c r="AS32" s="4357">
        <f t="shared" si="53"/>
        <v>0</v>
      </c>
      <c r="AT32" s="4357">
        <f t="shared" si="53"/>
        <v>0</v>
      </c>
      <c r="AU32" s="4357">
        <f t="shared" si="53"/>
        <v>0</v>
      </c>
      <c r="AV32" s="4357">
        <f t="shared" si="53"/>
        <v>0</v>
      </c>
      <c r="AW32" s="4357">
        <f t="shared" si="53"/>
        <v>0</v>
      </c>
      <c r="AX32" s="4357">
        <f t="shared" si="53"/>
        <v>0</v>
      </c>
      <c r="AY32" s="4357">
        <f t="shared" si="53"/>
        <v>0</v>
      </c>
      <c r="AZ32" s="4357">
        <f t="shared" si="53"/>
        <v>0</v>
      </c>
      <c r="BA32" s="4357">
        <f t="shared" si="53"/>
        <v>0</v>
      </c>
      <c r="BB32" s="4357">
        <f t="shared" si="53"/>
        <v>0</v>
      </c>
      <c r="BC32" s="4357">
        <f t="shared" si="53"/>
        <v>0</v>
      </c>
      <c r="BD32" s="4357">
        <f t="shared" si="53"/>
        <v>0</v>
      </c>
      <c r="BE32" s="4357">
        <f t="shared" si="53"/>
        <v>0</v>
      </c>
      <c r="BF32" s="4357">
        <f t="shared" si="53"/>
        <v>0</v>
      </c>
      <c r="BG32" s="4357">
        <f t="shared" si="53"/>
        <v>0</v>
      </c>
      <c r="BH32" s="4357">
        <f t="shared" si="53"/>
        <v>0</v>
      </c>
      <c r="BI32" s="4357">
        <f t="shared" si="53"/>
        <v>0</v>
      </c>
      <c r="BJ32" s="4357">
        <f t="shared" si="53"/>
        <v>0</v>
      </c>
      <c r="BK32" s="4357">
        <f t="shared" si="53"/>
        <v>0</v>
      </c>
      <c r="BL32" s="4357">
        <f t="shared" si="53"/>
        <v>0</v>
      </c>
      <c r="BM32" s="4357">
        <f t="shared" si="53"/>
        <v>0</v>
      </c>
      <c r="BN32" s="4357">
        <f t="shared" si="53"/>
        <v>0</v>
      </c>
      <c r="BO32" s="4357">
        <f t="shared" si="53"/>
        <v>0</v>
      </c>
      <c r="BP32" s="4357">
        <f t="shared" si="53"/>
        <v>0</v>
      </c>
      <c r="BQ32" s="4357">
        <f t="shared" ref="BQ32:CH32" si="54">IFERROR(IF((time+time_cap)&lt;BQ$2, 0,IF(AND(time+1&gt;=BR$2, $AC32&lt;BR$2), IF($AG32= "I", $AH32/($AD32-$AC32+1), $AH32/(($AD32*($AD32+1)/2)-(($AC32-1)*($AC32-1+1)/2))*BQ$2), 0)+IF(IF(time+1&gt;=BR$2, $AI32/time_cap/(time+1)*BQ$2, 0) = 0, $AI32/(time_cap),0)),0)</f>
        <v>0</v>
      </c>
      <c r="BR32" s="4357">
        <f t="shared" si="54"/>
        <v>0</v>
      </c>
      <c r="BS32" s="4357">
        <f t="shared" si="54"/>
        <v>0</v>
      </c>
      <c r="BT32" s="4357">
        <f t="shared" si="54"/>
        <v>0</v>
      </c>
      <c r="BU32" s="4357">
        <f t="shared" si="54"/>
        <v>0</v>
      </c>
      <c r="BV32" s="4357">
        <f t="shared" si="54"/>
        <v>0</v>
      </c>
      <c r="BW32" s="4357">
        <f t="shared" si="54"/>
        <v>0</v>
      </c>
      <c r="BX32" s="4357">
        <f t="shared" si="54"/>
        <v>0</v>
      </c>
      <c r="BY32" s="4357">
        <f t="shared" si="54"/>
        <v>0</v>
      </c>
      <c r="BZ32" s="4357">
        <f t="shared" si="54"/>
        <v>0</v>
      </c>
      <c r="CA32" s="4357">
        <f t="shared" si="54"/>
        <v>0</v>
      </c>
      <c r="CB32" s="4357">
        <f t="shared" si="54"/>
        <v>0</v>
      </c>
      <c r="CC32" s="4357">
        <f t="shared" si="54"/>
        <v>0</v>
      </c>
      <c r="CD32" s="4357">
        <f t="shared" si="54"/>
        <v>0</v>
      </c>
      <c r="CE32" s="4357">
        <f t="shared" si="54"/>
        <v>0</v>
      </c>
      <c r="CF32" s="4357">
        <f t="shared" si="54"/>
        <v>0</v>
      </c>
      <c r="CG32" s="4357">
        <f t="shared" si="54"/>
        <v>0</v>
      </c>
      <c r="CH32" s="4357">
        <f t="shared" si="54"/>
        <v>0</v>
      </c>
      <c r="CI32" s="4357"/>
      <c r="CJ32" s="4357"/>
      <c r="CK32" s="4357"/>
      <c r="CL32" s="4357"/>
      <c r="CM32" s="4357"/>
      <c r="CN32" s="4357"/>
      <c r="CO32" s="4357"/>
      <c r="CP32" s="4357"/>
      <c r="CQ32" s="4357"/>
      <c r="CR32" s="4357"/>
      <c r="CS32" s="4357"/>
      <c r="CT32" s="4357"/>
      <c r="CU32" s="4357"/>
      <c r="CV32" s="4357"/>
      <c r="CW32" s="4357"/>
      <c r="CX32" s="4357"/>
      <c r="CY32" s="4357"/>
      <c r="CZ32" s="4357"/>
      <c r="DA32" s="4357"/>
      <c r="DB32" s="4357"/>
      <c r="DC32" s="4357"/>
      <c r="DD32" s="4357"/>
      <c r="DE32" s="4357"/>
      <c r="DF32" s="4357"/>
      <c r="DG32" s="4357"/>
      <c r="DH32" s="4357"/>
      <c r="DI32" s="4357"/>
      <c r="DJ32" s="4357"/>
      <c r="DK32" s="4357"/>
      <c r="DL32" s="4357"/>
      <c r="DM32" s="4357"/>
      <c r="DN32" s="4357"/>
      <c r="DO32" s="4357"/>
      <c r="DP32" s="4357"/>
      <c r="DQ32" s="4357"/>
      <c r="DR32" s="4357"/>
      <c r="DS32" s="4357"/>
      <c r="DT32" s="4357"/>
      <c r="DU32" s="4357"/>
      <c r="DV32" s="4357"/>
      <c r="DW32" s="4357"/>
      <c r="DX32" s="4357"/>
      <c r="DY32" s="4357"/>
      <c r="DZ32" s="4357"/>
      <c r="EA32" s="4357"/>
      <c r="EB32" s="4357"/>
      <c r="EC32" s="4357"/>
      <c r="ED32" s="4357"/>
      <c r="EE32" s="4357"/>
      <c r="EF32" s="4357"/>
    </row>
    <row r="33" spans="1:136" ht="16" x14ac:dyDescent="0.2">
      <c r="A33" t="s">
        <v>3122</v>
      </c>
      <c r="B33" t="s">
        <v>3122</v>
      </c>
      <c r="C33">
        <f>'2.LUC'!C67</f>
        <v>0</v>
      </c>
      <c r="D33" t="str">
        <f>'2.LUC'!K67</f>
        <v>Please select</v>
      </c>
      <c r="E33">
        <f>'2.LUC'!Y67</f>
        <v>0</v>
      </c>
      <c r="F33" s="388">
        <f>luc!H47-luc!G47</f>
        <v>0</v>
      </c>
      <c r="G33" s="388">
        <f>luc!J47-luc!I47</f>
        <v>0</v>
      </c>
      <c r="M33" s="388">
        <f>luc!T30-luc!S30</f>
        <v>0</v>
      </c>
      <c r="N33" s="388">
        <f>luc!V30-luc!U30</f>
        <v>0</v>
      </c>
      <c r="U33" s="388">
        <f>luc!R30-luc!Q30</f>
        <v>0</v>
      </c>
      <c r="AB33" t="str">
        <f t="shared" si="11"/>
        <v>ok</v>
      </c>
      <c r="AC33">
        <f>IF('2.LUC'!BT67&lt;&gt;0,'2.LUC'!BT67,'2.LUC'!BS67)</f>
        <v>1</v>
      </c>
      <c r="AD33">
        <f t="shared" si="8"/>
        <v>5</v>
      </c>
      <c r="AE33" s="4357" t="str">
        <f>'2.LUC'!O67</f>
        <v>D</v>
      </c>
      <c r="AF33" s="4357" t="str">
        <f>'2.LUC'!Q67</f>
        <v>D</v>
      </c>
      <c r="AG33" s="4357" t="str">
        <f t="shared" si="12"/>
        <v>D</v>
      </c>
      <c r="AH33" s="4357">
        <f>((E33/(time_cap+((AD33-AC33+1)*VLOOKUP(AG33,list!$I$48:$K$50,3, FALSE))))*(AD33-AC33+1)*VLOOKUP(AG33,list!$I$48:$K$50,3, FALSE))</f>
        <v>0</v>
      </c>
      <c r="AI33" s="4357">
        <f>((E33/(time_cap+((AD33-AC33+1)*VLOOKUP(AG33,list!$I$48:$K$50,3, FALSE))))*time_cap)</f>
        <v>0</v>
      </c>
      <c r="AK33" s="4357">
        <f t="shared" ref="AK33:BP33" si="55">IFERROR(IF((time+time_cap)&lt;AK$2, 0,IF(AND(time+1&gt;=AL$2, $AC33&lt;AL$2), IF($AG33= "I", $AH33/($AD33-$AC33+1), $AH33/(($AD33*($AD33+1)/2)-(($AC33-1)*($AC33-1+1)/2))*AK$2), 0)+IF(IF(time+1&gt;=AL$2, $AI33/time_cap/(time+1)*AK$2, 0) = 0, $AI33/(time_cap),0)),0)</f>
        <v>0</v>
      </c>
      <c r="AL33" s="4357">
        <f t="shared" si="55"/>
        <v>0</v>
      </c>
      <c r="AM33" s="4357">
        <f t="shared" si="55"/>
        <v>0</v>
      </c>
      <c r="AN33" s="4357">
        <f t="shared" si="55"/>
        <v>0</v>
      </c>
      <c r="AO33" s="4357">
        <f t="shared" si="55"/>
        <v>0</v>
      </c>
      <c r="AP33" s="4357">
        <f t="shared" si="55"/>
        <v>0</v>
      </c>
      <c r="AQ33" s="4357">
        <f t="shared" si="55"/>
        <v>0</v>
      </c>
      <c r="AR33" s="4357">
        <f t="shared" si="55"/>
        <v>0</v>
      </c>
      <c r="AS33" s="4357">
        <f t="shared" si="55"/>
        <v>0</v>
      </c>
      <c r="AT33" s="4357">
        <f t="shared" si="55"/>
        <v>0</v>
      </c>
      <c r="AU33" s="4357">
        <f t="shared" si="55"/>
        <v>0</v>
      </c>
      <c r="AV33" s="4357">
        <f t="shared" si="55"/>
        <v>0</v>
      </c>
      <c r="AW33" s="4357">
        <f t="shared" si="55"/>
        <v>0</v>
      </c>
      <c r="AX33" s="4357">
        <f t="shared" si="55"/>
        <v>0</v>
      </c>
      <c r="AY33" s="4357">
        <f t="shared" si="55"/>
        <v>0</v>
      </c>
      <c r="AZ33" s="4357">
        <f t="shared" si="55"/>
        <v>0</v>
      </c>
      <c r="BA33" s="4357">
        <f t="shared" si="55"/>
        <v>0</v>
      </c>
      <c r="BB33" s="4357">
        <f t="shared" si="55"/>
        <v>0</v>
      </c>
      <c r="BC33" s="4357">
        <f t="shared" si="55"/>
        <v>0</v>
      </c>
      <c r="BD33" s="4357">
        <f t="shared" si="55"/>
        <v>0</v>
      </c>
      <c r="BE33" s="4357">
        <f t="shared" si="55"/>
        <v>0</v>
      </c>
      <c r="BF33" s="4357">
        <f t="shared" si="55"/>
        <v>0</v>
      </c>
      <c r="BG33" s="4357">
        <f t="shared" si="55"/>
        <v>0</v>
      </c>
      <c r="BH33" s="4357">
        <f t="shared" si="55"/>
        <v>0</v>
      </c>
      <c r="BI33" s="4357">
        <f t="shared" si="55"/>
        <v>0</v>
      </c>
      <c r="BJ33" s="4357">
        <f t="shared" si="55"/>
        <v>0</v>
      </c>
      <c r="BK33" s="4357">
        <f t="shared" si="55"/>
        <v>0</v>
      </c>
      <c r="BL33" s="4357">
        <f t="shared" si="55"/>
        <v>0</v>
      </c>
      <c r="BM33" s="4357">
        <f t="shared" si="55"/>
        <v>0</v>
      </c>
      <c r="BN33" s="4357">
        <f t="shared" si="55"/>
        <v>0</v>
      </c>
      <c r="BO33" s="4357">
        <f t="shared" si="55"/>
        <v>0</v>
      </c>
      <c r="BP33" s="4357">
        <f t="shared" si="55"/>
        <v>0</v>
      </c>
      <c r="BQ33" s="4357">
        <f t="shared" ref="BQ33:CH33" si="56">IFERROR(IF((time+time_cap)&lt;BQ$2, 0,IF(AND(time+1&gt;=BR$2, $AC33&lt;BR$2), IF($AG33= "I", $AH33/($AD33-$AC33+1), $AH33/(($AD33*($AD33+1)/2)-(($AC33-1)*($AC33-1+1)/2))*BQ$2), 0)+IF(IF(time+1&gt;=BR$2, $AI33/time_cap/(time+1)*BQ$2, 0) = 0, $AI33/(time_cap),0)),0)</f>
        <v>0</v>
      </c>
      <c r="BR33" s="4357">
        <f t="shared" si="56"/>
        <v>0</v>
      </c>
      <c r="BS33" s="4357">
        <f t="shared" si="56"/>
        <v>0</v>
      </c>
      <c r="BT33" s="4357">
        <f t="shared" si="56"/>
        <v>0</v>
      </c>
      <c r="BU33" s="4357">
        <f t="shared" si="56"/>
        <v>0</v>
      </c>
      <c r="BV33" s="4357">
        <f t="shared" si="56"/>
        <v>0</v>
      </c>
      <c r="BW33" s="4357">
        <f t="shared" si="56"/>
        <v>0</v>
      </c>
      <c r="BX33" s="4357">
        <f t="shared" si="56"/>
        <v>0</v>
      </c>
      <c r="BY33" s="4357">
        <f t="shared" si="56"/>
        <v>0</v>
      </c>
      <c r="BZ33" s="4357">
        <f t="shared" si="56"/>
        <v>0</v>
      </c>
      <c r="CA33" s="4357">
        <f t="shared" si="56"/>
        <v>0</v>
      </c>
      <c r="CB33" s="4357">
        <f t="shared" si="56"/>
        <v>0</v>
      </c>
      <c r="CC33" s="4357">
        <f t="shared" si="56"/>
        <v>0</v>
      </c>
      <c r="CD33" s="4357">
        <f t="shared" si="56"/>
        <v>0</v>
      </c>
      <c r="CE33" s="4357">
        <f t="shared" si="56"/>
        <v>0</v>
      </c>
      <c r="CF33" s="4357">
        <f t="shared" si="56"/>
        <v>0</v>
      </c>
      <c r="CG33" s="4357">
        <f t="shared" si="56"/>
        <v>0</v>
      </c>
      <c r="CH33" s="4357">
        <f t="shared" si="56"/>
        <v>0</v>
      </c>
      <c r="CI33" s="4357"/>
      <c r="CJ33" s="4357"/>
      <c r="CK33" s="4357"/>
      <c r="CL33" s="4357"/>
      <c r="CM33" s="4357"/>
      <c r="CN33" s="4357"/>
      <c r="CO33" s="4357"/>
      <c r="CP33" s="4357"/>
      <c r="CQ33" s="4357"/>
      <c r="CR33" s="4357"/>
      <c r="CS33" s="4357"/>
      <c r="CT33" s="4357"/>
      <c r="CU33" s="4357"/>
      <c r="CV33" s="4357"/>
      <c r="CW33" s="4357"/>
      <c r="CX33" s="4357"/>
      <c r="CY33" s="4357"/>
      <c r="CZ33" s="4357"/>
      <c r="DA33" s="4357"/>
      <c r="DB33" s="4357"/>
      <c r="DC33" s="4357"/>
      <c r="DD33" s="4357"/>
      <c r="DE33" s="4357"/>
      <c r="DF33" s="4357"/>
      <c r="DG33" s="4357"/>
      <c r="DH33" s="4357"/>
      <c r="DI33" s="4357"/>
      <c r="DJ33" s="4357"/>
      <c r="DK33" s="4357"/>
      <c r="DL33" s="4357"/>
      <c r="DM33" s="4357"/>
      <c r="DN33" s="4357"/>
      <c r="DO33" s="4357"/>
      <c r="DP33" s="4357"/>
      <c r="DQ33" s="4357"/>
      <c r="DR33" s="4357"/>
      <c r="DS33" s="4357"/>
      <c r="DT33" s="4357"/>
      <c r="DU33" s="4357"/>
      <c r="DV33" s="4357"/>
      <c r="DW33" s="4357"/>
      <c r="DX33" s="4357"/>
      <c r="DY33" s="4357"/>
      <c r="DZ33" s="4357"/>
      <c r="EA33" s="4357"/>
      <c r="EB33" s="4357"/>
      <c r="EC33" s="4357"/>
      <c r="ED33" s="4357"/>
      <c r="EE33" s="4357"/>
      <c r="EF33" s="4357"/>
    </row>
    <row r="34" spans="1:136" ht="16" x14ac:dyDescent="0.2">
      <c r="A34" t="s">
        <v>3122</v>
      </c>
      <c r="B34" t="s">
        <v>3122</v>
      </c>
      <c r="C34">
        <f>'2.LUC'!C68</f>
        <v>0</v>
      </c>
      <c r="D34" t="str">
        <f>'2.LUC'!K68</f>
        <v>Please select</v>
      </c>
      <c r="E34">
        <f>'2.LUC'!Y68</f>
        <v>0</v>
      </c>
      <c r="F34" s="388">
        <f>luc!H48-luc!G48</f>
        <v>0</v>
      </c>
      <c r="G34" s="388">
        <f>luc!J48-luc!I48</f>
        <v>0</v>
      </c>
      <c r="M34" s="388">
        <f>luc!T31-luc!S31</f>
        <v>0</v>
      </c>
      <c r="N34" s="388">
        <f>luc!V31-luc!U31</f>
        <v>0</v>
      </c>
      <c r="U34" s="388">
        <f>luc!R31-luc!Q31</f>
        <v>0</v>
      </c>
      <c r="AB34" t="str">
        <f t="shared" si="11"/>
        <v>ok</v>
      </c>
      <c r="AC34">
        <f>IF('2.LUC'!BT68&lt;&gt;0,'2.LUC'!BT68,'2.LUC'!BS68)</f>
        <v>1</v>
      </c>
      <c r="AD34">
        <f t="shared" si="8"/>
        <v>5</v>
      </c>
      <c r="AE34" s="4357" t="str">
        <f>'2.LUC'!O68</f>
        <v>D</v>
      </c>
      <c r="AF34" s="4357" t="str">
        <f>'2.LUC'!Q68</f>
        <v>D</v>
      </c>
      <c r="AG34" s="4357" t="str">
        <f t="shared" si="12"/>
        <v>D</v>
      </c>
      <c r="AH34" s="4357">
        <f>((E34/(time_cap+((AD34-AC34+1)*VLOOKUP(AG34,list!$I$48:$K$50,3, FALSE))))*(AD34-AC34+1)*VLOOKUP(AG34,list!$I$48:$K$50,3, FALSE))</f>
        <v>0</v>
      </c>
      <c r="AI34" s="4357">
        <f>((E34/(time_cap+((AD34-AC34+1)*VLOOKUP(AG34,list!$I$48:$K$50,3, FALSE))))*time_cap)</f>
        <v>0</v>
      </c>
      <c r="AK34" s="4357">
        <f t="shared" ref="AK34:BP34" si="57">IFERROR(IF((time+time_cap)&lt;AK$2, 0,IF(AND(time+1&gt;=AL$2, $AC34&lt;AL$2), IF($AG34= "I", $AH34/($AD34-$AC34+1), $AH34/(($AD34*($AD34+1)/2)-(($AC34-1)*($AC34-1+1)/2))*AK$2), 0)+IF(IF(time+1&gt;=AL$2, $AI34/time_cap/(time+1)*AK$2, 0) = 0, $AI34/(time_cap),0)),0)</f>
        <v>0</v>
      </c>
      <c r="AL34" s="4357">
        <f t="shared" si="57"/>
        <v>0</v>
      </c>
      <c r="AM34" s="4357">
        <f t="shared" si="57"/>
        <v>0</v>
      </c>
      <c r="AN34" s="4357">
        <f t="shared" si="57"/>
        <v>0</v>
      </c>
      <c r="AO34" s="4357">
        <f t="shared" si="57"/>
        <v>0</v>
      </c>
      <c r="AP34" s="4357">
        <f t="shared" si="57"/>
        <v>0</v>
      </c>
      <c r="AQ34" s="4357">
        <f t="shared" si="57"/>
        <v>0</v>
      </c>
      <c r="AR34" s="4357">
        <f t="shared" si="57"/>
        <v>0</v>
      </c>
      <c r="AS34" s="4357">
        <f t="shared" si="57"/>
        <v>0</v>
      </c>
      <c r="AT34" s="4357">
        <f t="shared" si="57"/>
        <v>0</v>
      </c>
      <c r="AU34" s="4357">
        <f t="shared" si="57"/>
        <v>0</v>
      </c>
      <c r="AV34" s="4357">
        <f t="shared" si="57"/>
        <v>0</v>
      </c>
      <c r="AW34" s="4357">
        <f t="shared" si="57"/>
        <v>0</v>
      </c>
      <c r="AX34" s="4357">
        <f t="shared" si="57"/>
        <v>0</v>
      </c>
      <c r="AY34" s="4357">
        <f t="shared" si="57"/>
        <v>0</v>
      </c>
      <c r="AZ34" s="4357">
        <f t="shared" si="57"/>
        <v>0</v>
      </c>
      <c r="BA34" s="4357">
        <f t="shared" si="57"/>
        <v>0</v>
      </c>
      <c r="BB34" s="4357">
        <f t="shared" si="57"/>
        <v>0</v>
      </c>
      <c r="BC34" s="4357">
        <f t="shared" si="57"/>
        <v>0</v>
      </c>
      <c r="BD34" s="4357">
        <f t="shared" si="57"/>
        <v>0</v>
      </c>
      <c r="BE34" s="4357">
        <f t="shared" si="57"/>
        <v>0</v>
      </c>
      <c r="BF34" s="4357">
        <f t="shared" si="57"/>
        <v>0</v>
      </c>
      <c r="BG34" s="4357">
        <f t="shared" si="57"/>
        <v>0</v>
      </c>
      <c r="BH34" s="4357">
        <f t="shared" si="57"/>
        <v>0</v>
      </c>
      <c r="BI34" s="4357">
        <f t="shared" si="57"/>
        <v>0</v>
      </c>
      <c r="BJ34" s="4357">
        <f t="shared" si="57"/>
        <v>0</v>
      </c>
      <c r="BK34" s="4357">
        <f t="shared" si="57"/>
        <v>0</v>
      </c>
      <c r="BL34" s="4357">
        <f t="shared" si="57"/>
        <v>0</v>
      </c>
      <c r="BM34" s="4357">
        <f t="shared" si="57"/>
        <v>0</v>
      </c>
      <c r="BN34" s="4357">
        <f t="shared" si="57"/>
        <v>0</v>
      </c>
      <c r="BO34" s="4357">
        <f t="shared" si="57"/>
        <v>0</v>
      </c>
      <c r="BP34" s="4357">
        <f t="shared" si="57"/>
        <v>0</v>
      </c>
      <c r="BQ34" s="4357">
        <f t="shared" ref="BQ34:CH34" si="58">IFERROR(IF((time+time_cap)&lt;BQ$2, 0,IF(AND(time+1&gt;=BR$2, $AC34&lt;BR$2), IF($AG34= "I", $AH34/($AD34-$AC34+1), $AH34/(($AD34*($AD34+1)/2)-(($AC34-1)*($AC34-1+1)/2))*BQ$2), 0)+IF(IF(time+1&gt;=BR$2, $AI34/time_cap/(time+1)*BQ$2, 0) = 0, $AI34/(time_cap),0)),0)</f>
        <v>0</v>
      </c>
      <c r="BR34" s="4357">
        <f t="shared" si="58"/>
        <v>0</v>
      </c>
      <c r="BS34" s="4357">
        <f t="shared" si="58"/>
        <v>0</v>
      </c>
      <c r="BT34" s="4357">
        <f t="shared" si="58"/>
        <v>0</v>
      </c>
      <c r="BU34" s="4357">
        <f t="shared" si="58"/>
        <v>0</v>
      </c>
      <c r="BV34" s="4357">
        <f t="shared" si="58"/>
        <v>0</v>
      </c>
      <c r="BW34" s="4357">
        <f t="shared" si="58"/>
        <v>0</v>
      </c>
      <c r="BX34" s="4357">
        <f t="shared" si="58"/>
        <v>0</v>
      </c>
      <c r="BY34" s="4357">
        <f t="shared" si="58"/>
        <v>0</v>
      </c>
      <c r="BZ34" s="4357">
        <f t="shared" si="58"/>
        <v>0</v>
      </c>
      <c r="CA34" s="4357">
        <f t="shared" si="58"/>
        <v>0</v>
      </c>
      <c r="CB34" s="4357">
        <f t="shared" si="58"/>
        <v>0</v>
      </c>
      <c r="CC34" s="4357">
        <f t="shared" si="58"/>
        <v>0</v>
      </c>
      <c r="CD34" s="4357">
        <f t="shared" si="58"/>
        <v>0</v>
      </c>
      <c r="CE34" s="4357">
        <f t="shared" si="58"/>
        <v>0</v>
      </c>
      <c r="CF34" s="4357">
        <f t="shared" si="58"/>
        <v>0</v>
      </c>
      <c r="CG34" s="4357">
        <f t="shared" si="58"/>
        <v>0</v>
      </c>
      <c r="CH34" s="4357">
        <f t="shared" si="58"/>
        <v>0</v>
      </c>
      <c r="CI34" s="4357"/>
      <c r="CJ34" s="4357"/>
      <c r="CK34" s="4357"/>
      <c r="CL34" s="4357"/>
      <c r="CM34" s="4357"/>
      <c r="CN34" s="4357"/>
      <c r="CO34" s="4357"/>
      <c r="CP34" s="4357"/>
      <c r="CQ34" s="4357"/>
      <c r="CR34" s="4357"/>
      <c r="CS34" s="4357"/>
      <c r="CT34" s="4357"/>
      <c r="CU34" s="4357"/>
      <c r="CV34" s="4357"/>
      <c r="CW34" s="4357"/>
      <c r="CX34" s="4357"/>
      <c r="CY34" s="4357"/>
      <c r="CZ34" s="4357"/>
      <c r="DA34" s="4357"/>
      <c r="DB34" s="4357"/>
      <c r="DC34" s="4357"/>
      <c r="DD34" s="4357"/>
      <c r="DE34" s="4357"/>
      <c r="DF34" s="4357"/>
      <c r="DG34" s="4357"/>
      <c r="DH34" s="4357"/>
      <c r="DI34" s="4357"/>
      <c r="DJ34" s="4357"/>
      <c r="DK34" s="4357"/>
      <c r="DL34" s="4357"/>
      <c r="DM34" s="4357"/>
      <c r="DN34" s="4357"/>
      <c r="DO34" s="4357"/>
      <c r="DP34" s="4357"/>
      <c r="DQ34" s="4357"/>
      <c r="DR34" s="4357"/>
      <c r="DS34" s="4357"/>
      <c r="DT34" s="4357"/>
      <c r="DU34" s="4357"/>
      <c r="DV34" s="4357"/>
      <c r="DW34" s="4357"/>
      <c r="DX34" s="4357"/>
      <c r="DY34" s="4357"/>
      <c r="DZ34" s="4357"/>
      <c r="EA34" s="4357"/>
      <c r="EB34" s="4357"/>
      <c r="EC34" s="4357"/>
      <c r="ED34" s="4357"/>
      <c r="EE34" s="4357"/>
      <c r="EF34" s="4357"/>
    </row>
    <row r="35" spans="1:136" ht="16" x14ac:dyDescent="0.2">
      <c r="A35" t="s">
        <v>3122</v>
      </c>
      <c r="B35" t="s">
        <v>3122</v>
      </c>
      <c r="C35">
        <f>'2.LUC'!C69</f>
        <v>0</v>
      </c>
      <c r="D35" t="str">
        <f>'2.LUC'!K69</f>
        <v>Please select</v>
      </c>
      <c r="E35">
        <f>'2.LUC'!Y69</f>
        <v>0</v>
      </c>
      <c r="F35" s="388">
        <f>luc!H49-luc!G49</f>
        <v>0</v>
      </c>
      <c r="G35" s="388">
        <f>luc!J49-luc!I49</f>
        <v>0</v>
      </c>
      <c r="M35" s="388">
        <f>luc!T32-luc!S32</f>
        <v>0</v>
      </c>
      <c r="N35" s="388">
        <f>luc!V32-luc!U32</f>
        <v>0</v>
      </c>
      <c r="U35" s="388">
        <f>luc!R32-luc!Q32</f>
        <v>0</v>
      </c>
      <c r="AB35" t="str">
        <f t="shared" si="11"/>
        <v>ok</v>
      </c>
      <c r="AC35">
        <f>IF('2.LUC'!BT69&lt;&gt;0,'2.LUC'!BT69,'2.LUC'!BS69)</f>
        <v>1</v>
      </c>
      <c r="AD35">
        <f t="shared" si="8"/>
        <v>5</v>
      </c>
      <c r="AE35" s="4357" t="str">
        <f>'2.LUC'!O69</f>
        <v>D</v>
      </c>
      <c r="AF35" s="4357" t="str">
        <f>'2.LUC'!Q69</f>
        <v>D</v>
      </c>
      <c r="AG35" s="4357" t="str">
        <f t="shared" si="12"/>
        <v>D</v>
      </c>
      <c r="AH35" s="4357">
        <f>((E35/(time_cap+((AD35-AC35+1)*VLOOKUP(AG35,list!$I$48:$K$50,3, FALSE))))*(AD35-AC35+1)*VLOOKUP(AG35,list!$I$48:$K$50,3, FALSE))</f>
        <v>0</v>
      </c>
      <c r="AI35" s="4357">
        <f>((E35/(time_cap+((AD35-AC35+1)*VLOOKUP(AG35,list!$I$48:$K$50,3, FALSE))))*time_cap)</f>
        <v>0</v>
      </c>
      <c r="AK35" s="4357">
        <f t="shared" ref="AK35:BP35" si="59">IFERROR(IF((time+time_cap)&lt;AK$2, 0,IF(AND(time+1&gt;=AL$2, $AC35&lt;AL$2), IF($AG35= "I", $AH35/($AD35-$AC35+1), $AH35/(($AD35*($AD35+1)/2)-(($AC35-1)*($AC35-1+1)/2))*AK$2), 0)+IF(IF(time+1&gt;=AL$2, $AI35/time_cap/(time+1)*AK$2, 0) = 0, $AI35/(time_cap),0)),0)</f>
        <v>0</v>
      </c>
      <c r="AL35" s="4357">
        <f t="shared" si="59"/>
        <v>0</v>
      </c>
      <c r="AM35" s="4357">
        <f t="shared" si="59"/>
        <v>0</v>
      </c>
      <c r="AN35" s="4357">
        <f t="shared" si="59"/>
        <v>0</v>
      </c>
      <c r="AO35" s="4357">
        <f t="shared" si="59"/>
        <v>0</v>
      </c>
      <c r="AP35" s="4357">
        <f t="shared" si="59"/>
        <v>0</v>
      </c>
      <c r="AQ35" s="4357">
        <f t="shared" si="59"/>
        <v>0</v>
      </c>
      <c r="AR35" s="4357">
        <f t="shared" si="59"/>
        <v>0</v>
      </c>
      <c r="AS35" s="4357">
        <f t="shared" si="59"/>
        <v>0</v>
      </c>
      <c r="AT35" s="4357">
        <f t="shared" si="59"/>
        <v>0</v>
      </c>
      <c r="AU35" s="4357">
        <f t="shared" si="59"/>
        <v>0</v>
      </c>
      <c r="AV35" s="4357">
        <f t="shared" si="59"/>
        <v>0</v>
      </c>
      <c r="AW35" s="4357">
        <f t="shared" si="59"/>
        <v>0</v>
      </c>
      <c r="AX35" s="4357">
        <f t="shared" si="59"/>
        <v>0</v>
      </c>
      <c r="AY35" s="4357">
        <f t="shared" si="59"/>
        <v>0</v>
      </c>
      <c r="AZ35" s="4357">
        <f t="shared" si="59"/>
        <v>0</v>
      </c>
      <c r="BA35" s="4357">
        <f t="shared" si="59"/>
        <v>0</v>
      </c>
      <c r="BB35" s="4357">
        <f t="shared" si="59"/>
        <v>0</v>
      </c>
      <c r="BC35" s="4357">
        <f t="shared" si="59"/>
        <v>0</v>
      </c>
      <c r="BD35" s="4357">
        <f t="shared" si="59"/>
        <v>0</v>
      </c>
      <c r="BE35" s="4357">
        <f t="shared" si="59"/>
        <v>0</v>
      </c>
      <c r="BF35" s="4357">
        <f t="shared" si="59"/>
        <v>0</v>
      </c>
      <c r="BG35" s="4357">
        <f t="shared" si="59"/>
        <v>0</v>
      </c>
      <c r="BH35" s="4357">
        <f t="shared" si="59"/>
        <v>0</v>
      </c>
      <c r="BI35" s="4357">
        <f t="shared" si="59"/>
        <v>0</v>
      </c>
      <c r="BJ35" s="4357">
        <f t="shared" si="59"/>
        <v>0</v>
      </c>
      <c r="BK35" s="4357">
        <f t="shared" si="59"/>
        <v>0</v>
      </c>
      <c r="BL35" s="4357">
        <f t="shared" si="59"/>
        <v>0</v>
      </c>
      <c r="BM35" s="4357">
        <f t="shared" si="59"/>
        <v>0</v>
      </c>
      <c r="BN35" s="4357">
        <f t="shared" si="59"/>
        <v>0</v>
      </c>
      <c r="BO35" s="4357">
        <f t="shared" si="59"/>
        <v>0</v>
      </c>
      <c r="BP35" s="4357">
        <f t="shared" si="59"/>
        <v>0</v>
      </c>
      <c r="BQ35" s="4357">
        <f t="shared" ref="BQ35:CH35" si="60">IFERROR(IF((time+time_cap)&lt;BQ$2, 0,IF(AND(time+1&gt;=BR$2, $AC35&lt;BR$2), IF($AG35= "I", $AH35/($AD35-$AC35+1), $AH35/(($AD35*($AD35+1)/2)-(($AC35-1)*($AC35-1+1)/2))*BQ$2), 0)+IF(IF(time+1&gt;=BR$2, $AI35/time_cap/(time+1)*BQ$2, 0) = 0, $AI35/(time_cap),0)),0)</f>
        <v>0</v>
      </c>
      <c r="BR35" s="4357">
        <f t="shared" si="60"/>
        <v>0</v>
      </c>
      <c r="BS35" s="4357">
        <f t="shared" si="60"/>
        <v>0</v>
      </c>
      <c r="BT35" s="4357">
        <f t="shared" si="60"/>
        <v>0</v>
      </c>
      <c r="BU35" s="4357">
        <f t="shared" si="60"/>
        <v>0</v>
      </c>
      <c r="BV35" s="4357">
        <f t="shared" si="60"/>
        <v>0</v>
      </c>
      <c r="BW35" s="4357">
        <f t="shared" si="60"/>
        <v>0</v>
      </c>
      <c r="BX35" s="4357">
        <f t="shared" si="60"/>
        <v>0</v>
      </c>
      <c r="BY35" s="4357">
        <f t="shared" si="60"/>
        <v>0</v>
      </c>
      <c r="BZ35" s="4357">
        <f t="shared" si="60"/>
        <v>0</v>
      </c>
      <c r="CA35" s="4357">
        <f t="shared" si="60"/>
        <v>0</v>
      </c>
      <c r="CB35" s="4357">
        <f t="shared" si="60"/>
        <v>0</v>
      </c>
      <c r="CC35" s="4357">
        <f t="shared" si="60"/>
        <v>0</v>
      </c>
      <c r="CD35" s="4357">
        <f t="shared" si="60"/>
        <v>0</v>
      </c>
      <c r="CE35" s="4357">
        <f t="shared" si="60"/>
        <v>0</v>
      </c>
      <c r="CF35" s="4357">
        <f t="shared" si="60"/>
        <v>0</v>
      </c>
      <c r="CG35" s="4357">
        <f t="shared" si="60"/>
        <v>0</v>
      </c>
      <c r="CH35" s="4357">
        <f t="shared" si="60"/>
        <v>0</v>
      </c>
      <c r="CI35" s="4357"/>
      <c r="CJ35" s="4357"/>
      <c r="CK35" s="4357"/>
      <c r="CL35" s="4357"/>
      <c r="CM35" s="4357"/>
      <c r="CN35" s="4357"/>
      <c r="CO35" s="4357"/>
      <c r="CP35" s="4357"/>
      <c r="CQ35" s="4357"/>
      <c r="CR35" s="4357"/>
      <c r="CS35" s="4357"/>
      <c r="CT35" s="4357"/>
      <c r="CU35" s="4357"/>
      <c r="CV35" s="4357"/>
      <c r="CW35" s="4357"/>
      <c r="CX35" s="4357"/>
      <c r="CY35" s="4357"/>
      <c r="CZ35" s="4357"/>
      <c r="DA35" s="4357"/>
      <c r="DB35" s="4357"/>
      <c r="DC35" s="4357"/>
      <c r="DD35" s="4357"/>
      <c r="DE35" s="4357"/>
      <c r="DF35" s="4357"/>
      <c r="DG35" s="4357"/>
      <c r="DH35" s="4357"/>
      <c r="DI35" s="4357"/>
      <c r="DJ35" s="4357"/>
      <c r="DK35" s="4357"/>
      <c r="DL35" s="4357"/>
      <c r="DM35" s="4357"/>
      <c r="DN35" s="4357"/>
      <c r="DO35" s="4357"/>
      <c r="DP35" s="4357"/>
      <c r="DQ35" s="4357"/>
      <c r="DR35" s="4357"/>
      <c r="DS35" s="4357"/>
      <c r="DT35" s="4357"/>
      <c r="DU35" s="4357"/>
      <c r="DV35" s="4357"/>
      <c r="DW35" s="4357"/>
      <c r="DX35" s="4357"/>
      <c r="DY35" s="4357"/>
      <c r="DZ35" s="4357"/>
      <c r="EA35" s="4357"/>
      <c r="EB35" s="4357"/>
      <c r="EC35" s="4357"/>
      <c r="ED35" s="4357"/>
      <c r="EE35" s="4357"/>
      <c r="EF35" s="4357"/>
    </row>
    <row r="36" spans="1:136" ht="16" x14ac:dyDescent="0.2">
      <c r="A36" t="s">
        <v>3122</v>
      </c>
      <c r="B36" t="s">
        <v>3122</v>
      </c>
      <c r="C36">
        <f>'2.LUC'!C70</f>
        <v>0</v>
      </c>
      <c r="D36" t="str">
        <f>'2.LUC'!K70</f>
        <v>Please select</v>
      </c>
      <c r="E36">
        <f>'2.LUC'!Y70</f>
        <v>0</v>
      </c>
      <c r="F36" s="388">
        <f>luc!H50-luc!G50</f>
        <v>0</v>
      </c>
      <c r="G36" s="388">
        <f>luc!J50-luc!I50</f>
        <v>0</v>
      </c>
      <c r="M36" s="388">
        <f>luc!T33-luc!S33</f>
        <v>0</v>
      </c>
      <c r="N36" s="388">
        <f>luc!V33-luc!U33</f>
        <v>0</v>
      </c>
      <c r="U36" s="388">
        <f>luc!R33-luc!Q33</f>
        <v>0</v>
      </c>
      <c r="AB36" t="str">
        <f t="shared" si="11"/>
        <v>ok</v>
      </c>
      <c r="AC36">
        <f>IF('2.LUC'!BT70&lt;&gt;0,'2.LUC'!BT70,'2.LUC'!BS70)</f>
        <v>1</v>
      </c>
      <c r="AD36">
        <f t="shared" si="8"/>
        <v>5</v>
      </c>
      <c r="AE36" s="4357" t="str">
        <f>'2.LUC'!O70</f>
        <v>D</v>
      </c>
      <c r="AF36" s="4357" t="str">
        <f>'2.LUC'!Q70</f>
        <v>D</v>
      </c>
      <c r="AG36" s="4357" t="str">
        <f t="shared" si="12"/>
        <v>D</v>
      </c>
      <c r="AH36" s="4357">
        <f>((E36/(time_cap+((AD36-AC36+1)*VLOOKUP(AG36,list!$I$48:$K$50,3, FALSE))))*(AD36-AC36+1)*VLOOKUP(AG36,list!$I$48:$K$50,3, FALSE))</f>
        <v>0</v>
      </c>
      <c r="AI36" s="4357">
        <f>((E36/(time_cap+((AD36-AC36+1)*VLOOKUP(AG36,list!$I$48:$K$50,3, FALSE))))*time_cap)</f>
        <v>0</v>
      </c>
      <c r="AK36" s="4357">
        <f t="shared" ref="AK36:BP36" si="61">IFERROR(IF((time+time_cap)&lt;AK$2, 0,IF(AND(time+1&gt;=AL$2, $AC36&lt;AL$2), IF($AG36= "I", $AH36/($AD36-$AC36+1), $AH36/(($AD36*($AD36+1)/2)-(($AC36-1)*($AC36-1+1)/2))*AK$2), 0)+IF(IF(time+1&gt;=AL$2, $AI36/time_cap/(time+1)*AK$2, 0) = 0, $AI36/(time_cap),0)),0)</f>
        <v>0</v>
      </c>
      <c r="AL36" s="4357">
        <f t="shared" si="61"/>
        <v>0</v>
      </c>
      <c r="AM36" s="4357">
        <f t="shared" si="61"/>
        <v>0</v>
      </c>
      <c r="AN36" s="4357">
        <f t="shared" si="61"/>
        <v>0</v>
      </c>
      <c r="AO36" s="4357">
        <f t="shared" si="61"/>
        <v>0</v>
      </c>
      <c r="AP36" s="4357">
        <f t="shared" si="61"/>
        <v>0</v>
      </c>
      <c r="AQ36" s="4357">
        <f t="shared" si="61"/>
        <v>0</v>
      </c>
      <c r="AR36" s="4357">
        <f t="shared" si="61"/>
        <v>0</v>
      </c>
      <c r="AS36" s="4357">
        <f t="shared" si="61"/>
        <v>0</v>
      </c>
      <c r="AT36" s="4357">
        <f t="shared" si="61"/>
        <v>0</v>
      </c>
      <c r="AU36" s="4357">
        <f t="shared" si="61"/>
        <v>0</v>
      </c>
      <c r="AV36" s="4357">
        <f t="shared" si="61"/>
        <v>0</v>
      </c>
      <c r="AW36" s="4357">
        <f t="shared" si="61"/>
        <v>0</v>
      </c>
      <c r="AX36" s="4357">
        <f t="shared" si="61"/>
        <v>0</v>
      </c>
      <c r="AY36" s="4357">
        <f t="shared" si="61"/>
        <v>0</v>
      </c>
      <c r="AZ36" s="4357">
        <f t="shared" si="61"/>
        <v>0</v>
      </c>
      <c r="BA36" s="4357">
        <f t="shared" si="61"/>
        <v>0</v>
      </c>
      <c r="BB36" s="4357">
        <f t="shared" si="61"/>
        <v>0</v>
      </c>
      <c r="BC36" s="4357">
        <f t="shared" si="61"/>
        <v>0</v>
      </c>
      <c r="BD36" s="4357">
        <f t="shared" si="61"/>
        <v>0</v>
      </c>
      <c r="BE36" s="4357">
        <f t="shared" si="61"/>
        <v>0</v>
      </c>
      <c r="BF36" s="4357">
        <f t="shared" si="61"/>
        <v>0</v>
      </c>
      <c r="BG36" s="4357">
        <f t="shared" si="61"/>
        <v>0</v>
      </c>
      <c r="BH36" s="4357">
        <f t="shared" si="61"/>
        <v>0</v>
      </c>
      <c r="BI36" s="4357">
        <f t="shared" si="61"/>
        <v>0</v>
      </c>
      <c r="BJ36" s="4357">
        <f t="shared" si="61"/>
        <v>0</v>
      </c>
      <c r="BK36" s="4357">
        <f t="shared" si="61"/>
        <v>0</v>
      </c>
      <c r="BL36" s="4357">
        <f t="shared" si="61"/>
        <v>0</v>
      </c>
      <c r="BM36" s="4357">
        <f t="shared" si="61"/>
        <v>0</v>
      </c>
      <c r="BN36" s="4357">
        <f t="shared" si="61"/>
        <v>0</v>
      </c>
      <c r="BO36" s="4357">
        <f t="shared" si="61"/>
        <v>0</v>
      </c>
      <c r="BP36" s="4357">
        <f t="shared" si="61"/>
        <v>0</v>
      </c>
      <c r="BQ36" s="4357">
        <f t="shared" ref="BQ36:CH36" si="62">IFERROR(IF((time+time_cap)&lt;BQ$2, 0,IF(AND(time+1&gt;=BR$2, $AC36&lt;BR$2), IF($AG36= "I", $AH36/($AD36-$AC36+1), $AH36/(($AD36*($AD36+1)/2)-(($AC36-1)*($AC36-1+1)/2))*BQ$2), 0)+IF(IF(time+1&gt;=BR$2, $AI36/time_cap/(time+1)*BQ$2, 0) = 0, $AI36/(time_cap),0)),0)</f>
        <v>0</v>
      </c>
      <c r="BR36" s="4357">
        <f t="shared" si="62"/>
        <v>0</v>
      </c>
      <c r="BS36" s="4357">
        <f t="shared" si="62"/>
        <v>0</v>
      </c>
      <c r="BT36" s="4357">
        <f t="shared" si="62"/>
        <v>0</v>
      </c>
      <c r="BU36" s="4357">
        <f t="shared" si="62"/>
        <v>0</v>
      </c>
      <c r="BV36" s="4357">
        <f t="shared" si="62"/>
        <v>0</v>
      </c>
      <c r="BW36" s="4357">
        <f t="shared" si="62"/>
        <v>0</v>
      </c>
      <c r="BX36" s="4357">
        <f t="shared" si="62"/>
        <v>0</v>
      </c>
      <c r="BY36" s="4357">
        <f t="shared" si="62"/>
        <v>0</v>
      </c>
      <c r="BZ36" s="4357">
        <f t="shared" si="62"/>
        <v>0</v>
      </c>
      <c r="CA36" s="4357">
        <f t="shared" si="62"/>
        <v>0</v>
      </c>
      <c r="CB36" s="4357">
        <f t="shared" si="62"/>
        <v>0</v>
      </c>
      <c r="CC36" s="4357">
        <f t="shared" si="62"/>
        <v>0</v>
      </c>
      <c r="CD36" s="4357">
        <f t="shared" si="62"/>
        <v>0</v>
      </c>
      <c r="CE36" s="4357">
        <f t="shared" si="62"/>
        <v>0</v>
      </c>
      <c r="CF36" s="4357">
        <f t="shared" si="62"/>
        <v>0</v>
      </c>
      <c r="CG36" s="4357">
        <f t="shared" si="62"/>
        <v>0</v>
      </c>
      <c r="CH36" s="4357">
        <f t="shared" si="62"/>
        <v>0</v>
      </c>
      <c r="CI36" s="4357"/>
      <c r="CJ36" s="4357"/>
      <c r="CK36" s="4357"/>
      <c r="CL36" s="4357"/>
      <c r="CM36" s="4357"/>
      <c r="CN36" s="4357"/>
      <c r="CO36" s="4357"/>
      <c r="CP36" s="4357"/>
      <c r="CQ36" s="4357"/>
      <c r="CR36" s="4357"/>
      <c r="CS36" s="4357"/>
      <c r="CT36" s="4357"/>
      <c r="CU36" s="4357"/>
      <c r="CV36" s="4357"/>
      <c r="CW36" s="4357"/>
      <c r="CX36" s="4357"/>
      <c r="CY36" s="4357"/>
      <c r="CZ36" s="4357"/>
      <c r="DA36" s="4357"/>
      <c r="DB36" s="4357"/>
      <c r="DC36" s="4357"/>
      <c r="DD36" s="4357"/>
      <c r="DE36" s="4357"/>
      <c r="DF36" s="4357"/>
      <c r="DG36" s="4357"/>
      <c r="DH36" s="4357"/>
      <c r="DI36" s="4357"/>
      <c r="DJ36" s="4357"/>
      <c r="DK36" s="4357"/>
      <c r="DL36" s="4357"/>
      <c r="DM36" s="4357"/>
      <c r="DN36" s="4357"/>
      <c r="DO36" s="4357"/>
      <c r="DP36" s="4357"/>
      <c r="DQ36" s="4357"/>
      <c r="DR36" s="4357"/>
      <c r="DS36" s="4357"/>
      <c r="DT36" s="4357"/>
      <c r="DU36" s="4357"/>
      <c r="DV36" s="4357"/>
      <c r="DW36" s="4357"/>
      <c r="DX36" s="4357"/>
      <c r="DY36" s="4357"/>
      <c r="DZ36" s="4357"/>
      <c r="EA36" s="4357"/>
      <c r="EB36" s="4357"/>
      <c r="EC36" s="4357"/>
      <c r="ED36" s="4357"/>
      <c r="EE36" s="4357"/>
      <c r="EF36" s="4357"/>
    </row>
    <row r="37" spans="1:136" ht="16" x14ac:dyDescent="0.2">
      <c r="A37" t="s">
        <v>2071</v>
      </c>
      <c r="B37" t="s">
        <v>2071</v>
      </c>
      <c r="D37" t="str">
        <f>'3.Cropland'!E14</f>
        <v>Default</v>
      </c>
      <c r="E37" s="388">
        <f>'3.Cropland'!Z14</f>
        <v>0</v>
      </c>
      <c r="F37" s="388">
        <v>0</v>
      </c>
      <c r="G37" s="388">
        <f>annual!J34-annual!I34</f>
        <v>0</v>
      </c>
      <c r="H37" s="388"/>
      <c r="I37" s="388"/>
      <c r="J37" s="388"/>
      <c r="K37" s="388"/>
      <c r="L37" s="388"/>
      <c r="M37" s="388">
        <f>annual!AH12-annual!AG12</f>
        <v>0</v>
      </c>
      <c r="N37" s="388">
        <f>annual!AJ12-annual!AI12</f>
        <v>0</v>
      </c>
      <c r="O37" s="388"/>
      <c r="P37" s="388"/>
      <c r="Q37" s="388"/>
      <c r="R37" s="388"/>
      <c r="S37" s="388"/>
      <c r="T37" s="388"/>
      <c r="U37" s="388">
        <f>annual!AF12-annual!AE12</f>
        <v>0</v>
      </c>
      <c r="V37" s="388"/>
      <c r="W37" s="388"/>
      <c r="X37" s="388"/>
      <c r="Y37" s="388"/>
      <c r="Z37" s="388"/>
      <c r="AA37" s="388"/>
      <c r="AB37" t="str">
        <f t="shared" si="11"/>
        <v>ok</v>
      </c>
      <c r="AC37">
        <f>IF('3.Cropland'!BP14&lt;&gt;0,'3.Cropland'!BP14,'3.Cropland'!BO14)</f>
        <v>1</v>
      </c>
      <c r="AD37">
        <f t="shared" si="8"/>
        <v>5</v>
      </c>
      <c r="AE37" s="4357" t="s">
        <v>86</v>
      </c>
      <c r="AF37" s="4357" t="s">
        <v>86</v>
      </c>
      <c r="AG37" s="4357" t="str">
        <f t="shared" si="12"/>
        <v>D</v>
      </c>
      <c r="AH37" s="4357">
        <f>((E37/(time_cap+((AD37-AC37+1)*VLOOKUP(AG37,list!$I$48:$K$50,3, FALSE))))*(AD37-AC37+1)*VLOOKUP(AG37,list!$I$48:$K$50,3, FALSE))</f>
        <v>0</v>
      </c>
      <c r="AI37" s="4357">
        <f>((E37/(time_cap+((AD37-AC37+1)*VLOOKUP(AG37,list!$I$48:$K$50,3, FALSE))))*time_cap)</f>
        <v>0</v>
      </c>
      <c r="AK37" s="4357">
        <f t="shared" ref="AK37:BP37" si="63">IFERROR(IF((time+time_cap)&lt;AK$2, 0,IF(AND(time+1&gt;=AL$2, $AC37&lt;AL$2), IF($AG37= "I", $AH37/($AD37-$AC37+1), $AH37/(($AD37*($AD37+1)/2)-(($AC37-1)*($AC37-1+1)/2))*AK$2), 0)+IF(IF(time+1&gt;=AL$2, $AI37/time_cap/(time+1)*AK$2, 0) = 0, $AI37/(time_cap),0)),0)</f>
        <v>0</v>
      </c>
      <c r="AL37" s="4357">
        <f t="shared" si="63"/>
        <v>0</v>
      </c>
      <c r="AM37" s="4357">
        <f t="shared" si="63"/>
        <v>0</v>
      </c>
      <c r="AN37" s="4357">
        <f t="shared" si="63"/>
        <v>0</v>
      </c>
      <c r="AO37" s="4357">
        <f t="shared" si="63"/>
        <v>0</v>
      </c>
      <c r="AP37" s="4357">
        <f t="shared" si="63"/>
        <v>0</v>
      </c>
      <c r="AQ37" s="4357">
        <f t="shared" si="63"/>
        <v>0</v>
      </c>
      <c r="AR37" s="4357">
        <f t="shared" si="63"/>
        <v>0</v>
      </c>
      <c r="AS37" s="4357">
        <f t="shared" si="63"/>
        <v>0</v>
      </c>
      <c r="AT37" s="4357">
        <f t="shared" si="63"/>
        <v>0</v>
      </c>
      <c r="AU37" s="4357">
        <f t="shared" si="63"/>
        <v>0</v>
      </c>
      <c r="AV37" s="4357">
        <f t="shared" si="63"/>
        <v>0</v>
      </c>
      <c r="AW37" s="4357">
        <f t="shared" si="63"/>
        <v>0</v>
      </c>
      <c r="AX37" s="4357">
        <f t="shared" si="63"/>
        <v>0</v>
      </c>
      <c r="AY37" s="4357">
        <f t="shared" si="63"/>
        <v>0</v>
      </c>
      <c r="AZ37" s="4357">
        <f t="shared" si="63"/>
        <v>0</v>
      </c>
      <c r="BA37" s="4357">
        <f t="shared" si="63"/>
        <v>0</v>
      </c>
      <c r="BB37" s="4357">
        <f t="shared" si="63"/>
        <v>0</v>
      </c>
      <c r="BC37" s="4357">
        <f t="shared" si="63"/>
        <v>0</v>
      </c>
      <c r="BD37" s="4357">
        <f t="shared" si="63"/>
        <v>0</v>
      </c>
      <c r="BE37" s="4357">
        <f t="shared" si="63"/>
        <v>0</v>
      </c>
      <c r="BF37" s="4357">
        <f t="shared" si="63"/>
        <v>0</v>
      </c>
      <c r="BG37" s="4357">
        <f t="shared" si="63"/>
        <v>0</v>
      </c>
      <c r="BH37" s="4357">
        <f t="shared" si="63"/>
        <v>0</v>
      </c>
      <c r="BI37" s="4357">
        <f t="shared" si="63"/>
        <v>0</v>
      </c>
      <c r="BJ37" s="4357">
        <f t="shared" si="63"/>
        <v>0</v>
      </c>
      <c r="BK37" s="4357">
        <f t="shared" si="63"/>
        <v>0</v>
      </c>
      <c r="BL37" s="4357">
        <f t="shared" si="63"/>
        <v>0</v>
      </c>
      <c r="BM37" s="4357">
        <f t="shared" si="63"/>
        <v>0</v>
      </c>
      <c r="BN37" s="4357">
        <f t="shared" si="63"/>
        <v>0</v>
      </c>
      <c r="BO37" s="4357">
        <f t="shared" si="63"/>
        <v>0</v>
      </c>
      <c r="BP37" s="4357">
        <f t="shared" si="63"/>
        <v>0</v>
      </c>
      <c r="BQ37" s="4357">
        <f t="shared" ref="BQ37:CH37" si="64">IFERROR(IF((time+time_cap)&lt;BQ$2, 0,IF(AND(time+1&gt;=BR$2, $AC37&lt;BR$2), IF($AG37= "I", $AH37/($AD37-$AC37+1), $AH37/(($AD37*($AD37+1)/2)-(($AC37-1)*($AC37-1+1)/2))*BQ$2), 0)+IF(IF(time+1&gt;=BR$2, $AI37/time_cap/(time+1)*BQ$2, 0) = 0, $AI37/(time_cap),0)),0)</f>
        <v>0</v>
      </c>
      <c r="BR37" s="4357">
        <f t="shared" si="64"/>
        <v>0</v>
      </c>
      <c r="BS37" s="4357">
        <f t="shared" si="64"/>
        <v>0</v>
      </c>
      <c r="BT37" s="4357">
        <f t="shared" si="64"/>
        <v>0</v>
      </c>
      <c r="BU37" s="4357">
        <f t="shared" si="64"/>
        <v>0</v>
      </c>
      <c r="BV37" s="4357">
        <f t="shared" si="64"/>
        <v>0</v>
      </c>
      <c r="BW37" s="4357">
        <f t="shared" si="64"/>
        <v>0</v>
      </c>
      <c r="BX37" s="4357">
        <f t="shared" si="64"/>
        <v>0</v>
      </c>
      <c r="BY37" s="4357">
        <f t="shared" si="64"/>
        <v>0</v>
      </c>
      <c r="BZ37" s="4357">
        <f t="shared" si="64"/>
        <v>0</v>
      </c>
      <c r="CA37" s="4357">
        <f t="shared" si="64"/>
        <v>0</v>
      </c>
      <c r="CB37" s="4357">
        <f t="shared" si="64"/>
        <v>0</v>
      </c>
      <c r="CC37" s="4357">
        <f t="shared" si="64"/>
        <v>0</v>
      </c>
      <c r="CD37" s="4357">
        <f t="shared" si="64"/>
        <v>0</v>
      </c>
      <c r="CE37" s="4357">
        <f t="shared" si="64"/>
        <v>0</v>
      </c>
      <c r="CF37" s="4357">
        <f t="shared" si="64"/>
        <v>0</v>
      </c>
      <c r="CG37" s="4357">
        <f t="shared" si="64"/>
        <v>0</v>
      </c>
      <c r="CH37" s="4357">
        <f t="shared" si="64"/>
        <v>0</v>
      </c>
      <c r="CI37" s="4357"/>
      <c r="CJ37" s="4357"/>
      <c r="CK37" s="4357"/>
      <c r="CL37" s="4357"/>
      <c r="CM37" s="4357"/>
      <c r="CN37" s="4357"/>
      <c r="CO37" s="4357"/>
      <c r="CP37" s="4357"/>
      <c r="CQ37" s="4357"/>
      <c r="CR37" s="4357"/>
      <c r="CS37" s="4357"/>
      <c r="CT37" s="4357"/>
      <c r="CU37" s="4357"/>
      <c r="CV37" s="4357"/>
      <c r="CW37" s="4357"/>
      <c r="CX37" s="4357"/>
      <c r="CY37" s="4357"/>
      <c r="CZ37" s="4357"/>
      <c r="DA37" s="4357"/>
      <c r="DB37" s="4357"/>
      <c r="DC37" s="4357"/>
      <c r="DD37" s="4357"/>
      <c r="DE37" s="4357"/>
      <c r="DF37" s="4357"/>
      <c r="DG37" s="4357"/>
      <c r="DH37" s="4357"/>
      <c r="DI37" s="4357"/>
      <c r="DJ37" s="4357"/>
      <c r="DK37" s="4357"/>
      <c r="DL37" s="4357"/>
      <c r="DM37" s="4357"/>
      <c r="DN37" s="4357"/>
      <c r="DO37" s="4357"/>
      <c r="DP37" s="4357"/>
      <c r="DQ37" s="4357"/>
      <c r="DR37" s="4357"/>
      <c r="DS37" s="4357"/>
      <c r="DT37" s="4357"/>
      <c r="DU37" s="4357"/>
      <c r="DV37" s="4357"/>
      <c r="DW37" s="4357"/>
      <c r="DX37" s="4357"/>
      <c r="DY37" s="4357"/>
      <c r="DZ37" s="4357"/>
      <c r="EA37" s="4357"/>
      <c r="EB37" s="4357"/>
      <c r="EC37" s="4357"/>
      <c r="ED37" s="4357"/>
      <c r="EE37" s="4357"/>
      <c r="EF37" s="4357"/>
    </row>
    <row r="38" spans="1:136" ht="16" x14ac:dyDescent="0.2">
      <c r="A38" t="s">
        <v>2071</v>
      </c>
      <c r="B38" t="s">
        <v>2071</v>
      </c>
      <c r="D38" t="str">
        <f>'3.Cropland'!E15</f>
        <v>Default</v>
      </c>
      <c r="E38" s="388">
        <f>'3.Cropland'!Z15</f>
        <v>0</v>
      </c>
      <c r="F38" s="388">
        <v>0</v>
      </c>
      <c r="G38" s="388">
        <f>annual!J35-annual!I35</f>
        <v>0</v>
      </c>
      <c r="H38" s="388"/>
      <c r="I38" s="388"/>
      <c r="J38" s="388"/>
      <c r="K38" s="388"/>
      <c r="L38" s="388"/>
      <c r="M38" s="388">
        <f>annual!AH13-annual!AG13</f>
        <v>0</v>
      </c>
      <c r="N38" s="388">
        <f>annual!AJ13-annual!AI13</f>
        <v>0</v>
      </c>
      <c r="O38" s="388"/>
      <c r="P38" s="388"/>
      <c r="Q38" s="388"/>
      <c r="R38" s="388"/>
      <c r="S38" s="388"/>
      <c r="T38" s="388"/>
      <c r="U38" s="388">
        <f>annual!AF13-annual!AE13</f>
        <v>0</v>
      </c>
      <c r="V38" s="388"/>
      <c r="W38" s="388"/>
      <c r="X38" s="388"/>
      <c r="Y38" s="388"/>
      <c r="Z38" s="388"/>
      <c r="AA38" s="388"/>
      <c r="AB38" t="str">
        <f t="shared" si="11"/>
        <v>ok</v>
      </c>
      <c r="AC38">
        <f>IF('3.Cropland'!BP15&lt;&gt;0,'3.Cropland'!BP15,'3.Cropland'!BO15)</f>
        <v>1</v>
      </c>
      <c r="AD38">
        <f t="shared" si="8"/>
        <v>5</v>
      </c>
      <c r="AE38" s="4357" t="s">
        <v>86</v>
      </c>
      <c r="AF38" s="4357" t="s">
        <v>86</v>
      </c>
      <c r="AG38" s="4357" t="str">
        <f t="shared" si="12"/>
        <v>D</v>
      </c>
      <c r="AH38" s="4357">
        <f>((E38/(time_cap+((AD38-AC38+1)*VLOOKUP(AG38,list!$I$48:$K$50,3, FALSE))))*(AD38-AC38+1)*VLOOKUP(AG38,list!$I$48:$K$50,3, FALSE))</f>
        <v>0</v>
      </c>
      <c r="AI38" s="4357">
        <f>((E38/(time_cap+((AD38-AC38+1)*VLOOKUP(AG38,list!$I$48:$K$50,3, FALSE))))*time_cap)</f>
        <v>0</v>
      </c>
      <c r="AK38" s="4357">
        <f t="shared" ref="AK38:BP38" si="65">IFERROR(IF((time+time_cap)&lt;AK$2, 0,IF(AND(time+1&gt;=AL$2, $AC38&lt;AL$2), IF($AG38= "I", $AH38/($AD38-$AC38+1), $AH38/(($AD38*($AD38+1)/2)-(($AC38-1)*($AC38-1+1)/2))*AK$2), 0)+IF(IF(time+1&gt;=AL$2, $AI38/time_cap/(time+1)*AK$2, 0) = 0, $AI38/(time_cap),0)),0)</f>
        <v>0</v>
      </c>
      <c r="AL38" s="4357">
        <f t="shared" si="65"/>
        <v>0</v>
      </c>
      <c r="AM38" s="4357">
        <f t="shared" si="65"/>
        <v>0</v>
      </c>
      <c r="AN38" s="4357">
        <f t="shared" si="65"/>
        <v>0</v>
      </c>
      <c r="AO38" s="4357">
        <f t="shared" si="65"/>
        <v>0</v>
      </c>
      <c r="AP38" s="4357">
        <f t="shared" si="65"/>
        <v>0</v>
      </c>
      <c r="AQ38" s="4357">
        <f t="shared" si="65"/>
        <v>0</v>
      </c>
      <c r="AR38" s="4357">
        <f t="shared" si="65"/>
        <v>0</v>
      </c>
      <c r="AS38" s="4357">
        <f t="shared" si="65"/>
        <v>0</v>
      </c>
      <c r="AT38" s="4357">
        <f t="shared" si="65"/>
        <v>0</v>
      </c>
      <c r="AU38" s="4357">
        <f t="shared" si="65"/>
        <v>0</v>
      </c>
      <c r="AV38" s="4357">
        <f t="shared" si="65"/>
        <v>0</v>
      </c>
      <c r="AW38" s="4357">
        <f t="shared" si="65"/>
        <v>0</v>
      </c>
      <c r="AX38" s="4357">
        <f t="shared" si="65"/>
        <v>0</v>
      </c>
      <c r="AY38" s="4357">
        <f t="shared" si="65"/>
        <v>0</v>
      </c>
      <c r="AZ38" s="4357">
        <f t="shared" si="65"/>
        <v>0</v>
      </c>
      <c r="BA38" s="4357">
        <f t="shared" si="65"/>
        <v>0</v>
      </c>
      <c r="BB38" s="4357">
        <f t="shared" si="65"/>
        <v>0</v>
      </c>
      <c r="BC38" s="4357">
        <f t="shared" si="65"/>
        <v>0</v>
      </c>
      <c r="BD38" s="4357">
        <f t="shared" si="65"/>
        <v>0</v>
      </c>
      <c r="BE38" s="4357">
        <f t="shared" si="65"/>
        <v>0</v>
      </c>
      <c r="BF38" s="4357">
        <f t="shared" si="65"/>
        <v>0</v>
      </c>
      <c r="BG38" s="4357">
        <f t="shared" si="65"/>
        <v>0</v>
      </c>
      <c r="BH38" s="4357">
        <f t="shared" si="65"/>
        <v>0</v>
      </c>
      <c r="BI38" s="4357">
        <f t="shared" si="65"/>
        <v>0</v>
      </c>
      <c r="BJ38" s="4357">
        <f t="shared" si="65"/>
        <v>0</v>
      </c>
      <c r="BK38" s="4357">
        <f t="shared" si="65"/>
        <v>0</v>
      </c>
      <c r="BL38" s="4357">
        <f t="shared" si="65"/>
        <v>0</v>
      </c>
      <c r="BM38" s="4357">
        <f t="shared" si="65"/>
        <v>0</v>
      </c>
      <c r="BN38" s="4357">
        <f t="shared" si="65"/>
        <v>0</v>
      </c>
      <c r="BO38" s="4357">
        <f t="shared" si="65"/>
        <v>0</v>
      </c>
      <c r="BP38" s="4357">
        <f t="shared" si="65"/>
        <v>0</v>
      </c>
      <c r="BQ38" s="4357">
        <f t="shared" ref="BQ38:CH38" si="66">IFERROR(IF((time+time_cap)&lt;BQ$2, 0,IF(AND(time+1&gt;=BR$2, $AC38&lt;BR$2), IF($AG38= "I", $AH38/($AD38-$AC38+1), $AH38/(($AD38*($AD38+1)/2)-(($AC38-1)*($AC38-1+1)/2))*BQ$2), 0)+IF(IF(time+1&gt;=BR$2, $AI38/time_cap/(time+1)*BQ$2, 0) = 0, $AI38/(time_cap),0)),0)</f>
        <v>0</v>
      </c>
      <c r="BR38" s="4357">
        <f t="shared" si="66"/>
        <v>0</v>
      </c>
      <c r="BS38" s="4357">
        <f t="shared" si="66"/>
        <v>0</v>
      </c>
      <c r="BT38" s="4357">
        <f t="shared" si="66"/>
        <v>0</v>
      </c>
      <c r="BU38" s="4357">
        <f t="shared" si="66"/>
        <v>0</v>
      </c>
      <c r="BV38" s="4357">
        <f t="shared" si="66"/>
        <v>0</v>
      </c>
      <c r="BW38" s="4357">
        <f t="shared" si="66"/>
        <v>0</v>
      </c>
      <c r="BX38" s="4357">
        <f t="shared" si="66"/>
        <v>0</v>
      </c>
      <c r="BY38" s="4357">
        <f t="shared" si="66"/>
        <v>0</v>
      </c>
      <c r="BZ38" s="4357">
        <f t="shared" si="66"/>
        <v>0</v>
      </c>
      <c r="CA38" s="4357">
        <f t="shared" si="66"/>
        <v>0</v>
      </c>
      <c r="CB38" s="4357">
        <f t="shared" si="66"/>
        <v>0</v>
      </c>
      <c r="CC38" s="4357">
        <f t="shared" si="66"/>
        <v>0</v>
      </c>
      <c r="CD38" s="4357">
        <f t="shared" si="66"/>
        <v>0</v>
      </c>
      <c r="CE38" s="4357">
        <f t="shared" si="66"/>
        <v>0</v>
      </c>
      <c r="CF38" s="4357">
        <f t="shared" si="66"/>
        <v>0</v>
      </c>
      <c r="CG38" s="4357">
        <f t="shared" si="66"/>
        <v>0</v>
      </c>
      <c r="CH38" s="4357">
        <f t="shared" si="66"/>
        <v>0</v>
      </c>
      <c r="CI38" s="4357"/>
      <c r="CJ38" s="4357"/>
      <c r="CK38" s="4357"/>
      <c r="CL38" s="4357"/>
      <c r="CM38" s="4357"/>
      <c r="CN38" s="4357"/>
      <c r="CO38" s="4357"/>
      <c r="CP38" s="4357"/>
      <c r="CQ38" s="4357"/>
      <c r="CR38" s="4357"/>
      <c r="CS38" s="4357"/>
      <c r="CT38" s="4357"/>
      <c r="CU38" s="4357"/>
      <c r="CV38" s="4357"/>
      <c r="CW38" s="4357"/>
      <c r="CX38" s="4357"/>
      <c r="CY38" s="4357"/>
      <c r="CZ38" s="4357"/>
      <c r="DA38" s="4357"/>
      <c r="DB38" s="4357"/>
      <c r="DC38" s="4357"/>
      <c r="DD38" s="4357"/>
      <c r="DE38" s="4357"/>
      <c r="DF38" s="4357"/>
      <c r="DG38" s="4357"/>
      <c r="DH38" s="4357"/>
      <c r="DI38" s="4357"/>
      <c r="DJ38" s="4357"/>
      <c r="DK38" s="4357"/>
      <c r="DL38" s="4357"/>
      <c r="DM38" s="4357"/>
      <c r="DN38" s="4357"/>
      <c r="DO38" s="4357"/>
      <c r="DP38" s="4357"/>
      <c r="DQ38" s="4357"/>
      <c r="DR38" s="4357"/>
      <c r="DS38" s="4357"/>
      <c r="DT38" s="4357"/>
      <c r="DU38" s="4357"/>
      <c r="DV38" s="4357"/>
      <c r="DW38" s="4357"/>
      <c r="DX38" s="4357"/>
      <c r="DY38" s="4357"/>
      <c r="DZ38" s="4357"/>
      <c r="EA38" s="4357"/>
      <c r="EB38" s="4357"/>
      <c r="EC38" s="4357"/>
      <c r="ED38" s="4357"/>
      <c r="EE38" s="4357"/>
      <c r="EF38" s="4357"/>
    </row>
    <row r="39" spans="1:136" ht="16" x14ac:dyDescent="0.2">
      <c r="A39" t="s">
        <v>2071</v>
      </c>
      <c r="B39" t="s">
        <v>2071</v>
      </c>
      <c r="D39" t="str">
        <f>'3.Cropland'!E16</f>
        <v>Maize</v>
      </c>
      <c r="E39" s="388">
        <f>'3.Cropland'!Z16</f>
        <v>0</v>
      </c>
      <c r="F39" s="388">
        <v>0</v>
      </c>
      <c r="G39" s="388">
        <f>annual!J36-annual!I36</f>
        <v>0</v>
      </c>
      <c r="H39" s="388"/>
      <c r="I39" s="388"/>
      <c r="J39" s="388"/>
      <c r="K39" s="388"/>
      <c r="L39" s="388"/>
      <c r="M39" s="388">
        <f>annual!AH14-annual!AG14</f>
        <v>0</v>
      </c>
      <c r="N39" s="388">
        <f>annual!AJ14-annual!AI14</f>
        <v>0</v>
      </c>
      <c r="O39" s="388"/>
      <c r="P39" s="388"/>
      <c r="Q39" s="388"/>
      <c r="R39" s="388"/>
      <c r="S39" s="388"/>
      <c r="T39" s="388"/>
      <c r="U39" s="388">
        <f>annual!AF14-annual!AE14</f>
        <v>0</v>
      </c>
      <c r="V39" s="388"/>
      <c r="W39" s="388"/>
      <c r="X39" s="388"/>
      <c r="Y39" s="388"/>
      <c r="Z39" s="388"/>
      <c r="AA39" s="388"/>
      <c r="AB39" t="str">
        <f t="shared" si="11"/>
        <v>ok</v>
      </c>
      <c r="AC39">
        <f>IF('3.Cropland'!BP16&lt;&gt;0,'3.Cropland'!BP16,'3.Cropland'!BO16)</f>
        <v>1</v>
      </c>
      <c r="AD39">
        <f t="shared" si="8"/>
        <v>5</v>
      </c>
      <c r="AE39" s="4357" t="s">
        <v>86</v>
      </c>
      <c r="AF39" s="4357" t="s">
        <v>86</v>
      </c>
      <c r="AG39" s="4357" t="str">
        <f t="shared" si="12"/>
        <v>D</v>
      </c>
      <c r="AH39" s="4357">
        <f>((E39/(time_cap+((AD39-AC39+1)*VLOOKUP(AG39,list!$I$48:$K$50,3, FALSE))))*(AD39-AC39+1)*VLOOKUP(AG39,list!$I$48:$K$50,3, FALSE))</f>
        <v>0</v>
      </c>
      <c r="AI39" s="4357">
        <f>((E39/(time_cap+((AD39-AC39+1)*VLOOKUP(AG39,list!$I$48:$K$50,3, FALSE))))*time_cap)</f>
        <v>0</v>
      </c>
      <c r="AK39" s="4357">
        <f t="shared" ref="AK39:BP39" si="67">IFERROR(IF((time+time_cap)&lt;AK$2, 0,IF(AND(time+1&gt;=AL$2, $AC39&lt;AL$2), IF($AG39= "I", $AH39/($AD39-$AC39+1), $AH39/(($AD39*($AD39+1)/2)-(($AC39-1)*($AC39-1+1)/2))*AK$2), 0)+IF(IF(time+1&gt;=AL$2, $AI39/time_cap/(time+1)*AK$2, 0) = 0, $AI39/(time_cap),0)),0)</f>
        <v>0</v>
      </c>
      <c r="AL39" s="4357">
        <f t="shared" si="67"/>
        <v>0</v>
      </c>
      <c r="AM39" s="4357">
        <f t="shared" si="67"/>
        <v>0</v>
      </c>
      <c r="AN39" s="4357">
        <f t="shared" si="67"/>
        <v>0</v>
      </c>
      <c r="AO39" s="4357">
        <f t="shared" si="67"/>
        <v>0</v>
      </c>
      <c r="AP39" s="4357">
        <f t="shared" si="67"/>
        <v>0</v>
      </c>
      <c r="AQ39" s="4357">
        <f t="shared" si="67"/>
        <v>0</v>
      </c>
      <c r="AR39" s="4357">
        <f t="shared" si="67"/>
        <v>0</v>
      </c>
      <c r="AS39" s="4357">
        <f t="shared" si="67"/>
        <v>0</v>
      </c>
      <c r="AT39" s="4357">
        <f t="shared" si="67"/>
        <v>0</v>
      </c>
      <c r="AU39" s="4357">
        <f t="shared" si="67"/>
        <v>0</v>
      </c>
      <c r="AV39" s="4357">
        <f t="shared" si="67"/>
        <v>0</v>
      </c>
      <c r="AW39" s="4357">
        <f t="shared" si="67"/>
        <v>0</v>
      </c>
      <c r="AX39" s="4357">
        <f t="shared" si="67"/>
        <v>0</v>
      </c>
      <c r="AY39" s="4357">
        <f t="shared" si="67"/>
        <v>0</v>
      </c>
      <c r="AZ39" s="4357">
        <f t="shared" si="67"/>
        <v>0</v>
      </c>
      <c r="BA39" s="4357">
        <f t="shared" si="67"/>
        <v>0</v>
      </c>
      <c r="BB39" s="4357">
        <f t="shared" si="67"/>
        <v>0</v>
      </c>
      <c r="BC39" s="4357">
        <f t="shared" si="67"/>
        <v>0</v>
      </c>
      <c r="BD39" s="4357">
        <f t="shared" si="67"/>
        <v>0</v>
      </c>
      <c r="BE39" s="4357">
        <f t="shared" si="67"/>
        <v>0</v>
      </c>
      <c r="BF39" s="4357">
        <f t="shared" si="67"/>
        <v>0</v>
      </c>
      <c r="BG39" s="4357">
        <f t="shared" si="67"/>
        <v>0</v>
      </c>
      <c r="BH39" s="4357">
        <f t="shared" si="67"/>
        <v>0</v>
      </c>
      <c r="BI39" s="4357">
        <f t="shared" si="67"/>
        <v>0</v>
      </c>
      <c r="BJ39" s="4357">
        <f t="shared" si="67"/>
        <v>0</v>
      </c>
      <c r="BK39" s="4357">
        <f t="shared" si="67"/>
        <v>0</v>
      </c>
      <c r="BL39" s="4357">
        <f t="shared" si="67"/>
        <v>0</v>
      </c>
      <c r="BM39" s="4357">
        <f t="shared" si="67"/>
        <v>0</v>
      </c>
      <c r="BN39" s="4357">
        <f t="shared" si="67"/>
        <v>0</v>
      </c>
      <c r="BO39" s="4357">
        <f t="shared" si="67"/>
        <v>0</v>
      </c>
      <c r="BP39" s="4357">
        <f t="shared" si="67"/>
        <v>0</v>
      </c>
      <c r="BQ39" s="4357">
        <f t="shared" ref="BQ39:CH39" si="68">IFERROR(IF((time+time_cap)&lt;BQ$2, 0,IF(AND(time+1&gt;=BR$2, $AC39&lt;BR$2), IF($AG39= "I", $AH39/($AD39-$AC39+1), $AH39/(($AD39*($AD39+1)/2)-(($AC39-1)*($AC39-1+1)/2))*BQ$2), 0)+IF(IF(time+1&gt;=BR$2, $AI39/time_cap/(time+1)*BQ$2, 0) = 0, $AI39/(time_cap),0)),0)</f>
        <v>0</v>
      </c>
      <c r="BR39" s="4357">
        <f t="shared" si="68"/>
        <v>0</v>
      </c>
      <c r="BS39" s="4357">
        <f t="shared" si="68"/>
        <v>0</v>
      </c>
      <c r="BT39" s="4357">
        <f t="shared" si="68"/>
        <v>0</v>
      </c>
      <c r="BU39" s="4357">
        <f t="shared" si="68"/>
        <v>0</v>
      </c>
      <c r="BV39" s="4357">
        <f t="shared" si="68"/>
        <v>0</v>
      </c>
      <c r="BW39" s="4357">
        <f t="shared" si="68"/>
        <v>0</v>
      </c>
      <c r="BX39" s="4357">
        <f t="shared" si="68"/>
        <v>0</v>
      </c>
      <c r="BY39" s="4357">
        <f t="shared" si="68"/>
        <v>0</v>
      </c>
      <c r="BZ39" s="4357">
        <f t="shared" si="68"/>
        <v>0</v>
      </c>
      <c r="CA39" s="4357">
        <f t="shared" si="68"/>
        <v>0</v>
      </c>
      <c r="CB39" s="4357">
        <f t="shared" si="68"/>
        <v>0</v>
      </c>
      <c r="CC39" s="4357">
        <f t="shared" si="68"/>
        <v>0</v>
      </c>
      <c r="CD39" s="4357">
        <f t="shared" si="68"/>
        <v>0</v>
      </c>
      <c r="CE39" s="4357">
        <f t="shared" si="68"/>
        <v>0</v>
      </c>
      <c r="CF39" s="4357">
        <f t="shared" si="68"/>
        <v>0</v>
      </c>
      <c r="CG39" s="4357">
        <f t="shared" si="68"/>
        <v>0</v>
      </c>
      <c r="CH39" s="4357">
        <f t="shared" si="68"/>
        <v>0</v>
      </c>
      <c r="CI39" s="4357"/>
      <c r="CJ39" s="4357"/>
      <c r="CK39" s="4357"/>
      <c r="CL39" s="4357"/>
      <c r="CM39" s="4357"/>
      <c r="CN39" s="4357"/>
      <c r="CO39" s="4357"/>
      <c r="CP39" s="4357"/>
      <c r="CQ39" s="4357"/>
      <c r="CR39" s="4357"/>
      <c r="CS39" s="4357"/>
      <c r="CT39" s="4357"/>
      <c r="CU39" s="4357"/>
      <c r="CV39" s="4357"/>
      <c r="CW39" s="4357"/>
      <c r="CX39" s="4357"/>
      <c r="CY39" s="4357"/>
      <c r="CZ39" s="4357"/>
      <c r="DA39" s="4357"/>
      <c r="DB39" s="4357"/>
      <c r="DC39" s="4357"/>
      <c r="DD39" s="4357"/>
      <c r="DE39" s="4357"/>
      <c r="DF39" s="4357"/>
      <c r="DG39" s="4357"/>
      <c r="DH39" s="4357"/>
      <c r="DI39" s="4357"/>
      <c r="DJ39" s="4357"/>
      <c r="DK39" s="4357"/>
      <c r="DL39" s="4357"/>
      <c r="DM39" s="4357"/>
      <c r="DN39" s="4357"/>
      <c r="DO39" s="4357"/>
      <c r="DP39" s="4357"/>
      <c r="DQ39" s="4357"/>
      <c r="DR39" s="4357"/>
      <c r="DS39" s="4357"/>
      <c r="DT39" s="4357"/>
      <c r="DU39" s="4357"/>
      <c r="DV39" s="4357"/>
      <c r="DW39" s="4357"/>
      <c r="DX39" s="4357"/>
      <c r="DY39" s="4357"/>
      <c r="DZ39" s="4357"/>
      <c r="EA39" s="4357"/>
      <c r="EB39" s="4357"/>
      <c r="EC39" s="4357"/>
      <c r="ED39" s="4357"/>
      <c r="EE39" s="4357"/>
      <c r="EF39" s="4357"/>
    </row>
    <row r="40" spans="1:136" ht="16" x14ac:dyDescent="0.2">
      <c r="A40" t="s">
        <v>2071</v>
      </c>
      <c r="B40" t="s">
        <v>2071</v>
      </c>
      <c r="D40" t="str">
        <f>'3.Cropland'!E17</f>
        <v>Default</v>
      </c>
      <c r="E40" s="388">
        <f>'3.Cropland'!Z17</f>
        <v>0</v>
      </c>
      <c r="F40" s="388">
        <v>0</v>
      </c>
      <c r="G40" s="388">
        <f>annual!J37-annual!I37</f>
        <v>0</v>
      </c>
      <c r="H40" s="388"/>
      <c r="I40" s="388"/>
      <c r="J40" s="388"/>
      <c r="K40" s="388"/>
      <c r="L40" s="388"/>
      <c r="M40" s="388">
        <f>annual!AH15-annual!AG15</f>
        <v>0</v>
      </c>
      <c r="N40" s="388">
        <f>annual!AJ15-annual!AI15</f>
        <v>0</v>
      </c>
      <c r="O40" s="388"/>
      <c r="P40" s="388"/>
      <c r="Q40" s="388"/>
      <c r="R40" s="388"/>
      <c r="S40" s="388"/>
      <c r="T40" s="388"/>
      <c r="U40" s="388">
        <f>annual!AF15-annual!AE15</f>
        <v>0</v>
      </c>
      <c r="V40" s="388"/>
      <c r="W40" s="388"/>
      <c r="X40" s="388"/>
      <c r="Y40" s="388"/>
      <c r="Z40" s="388"/>
      <c r="AA40" s="388"/>
      <c r="AB40" t="str">
        <f t="shared" si="11"/>
        <v>ok</v>
      </c>
      <c r="AC40">
        <f>IF('3.Cropland'!BP17&lt;&gt;0,'3.Cropland'!BP17,'3.Cropland'!BO17)</f>
        <v>1</v>
      </c>
      <c r="AD40">
        <f t="shared" si="8"/>
        <v>5</v>
      </c>
      <c r="AE40" s="4357" t="s">
        <v>86</v>
      </c>
      <c r="AF40" s="4357" t="s">
        <v>86</v>
      </c>
      <c r="AG40" s="4357" t="str">
        <f t="shared" si="12"/>
        <v>D</v>
      </c>
      <c r="AH40" s="4357">
        <f>((E40/(time_cap+((AD40-AC40+1)*VLOOKUP(AG40,list!$I$48:$K$50,3, FALSE))))*(AD40-AC40+1)*VLOOKUP(AG40,list!$I$48:$K$50,3, FALSE))</f>
        <v>0</v>
      </c>
      <c r="AI40" s="4357">
        <f>((E40/(time_cap+((AD40-AC40+1)*VLOOKUP(AG40,list!$I$48:$K$50,3, FALSE))))*time_cap)</f>
        <v>0</v>
      </c>
      <c r="AK40" s="4357">
        <f t="shared" ref="AK40:BP40" si="69">IFERROR(IF((time+time_cap)&lt;AK$2, 0,IF(AND(time+1&gt;=AL$2, $AC40&lt;AL$2), IF($AG40= "I", $AH40/($AD40-$AC40+1), $AH40/(($AD40*($AD40+1)/2)-(($AC40-1)*($AC40-1+1)/2))*AK$2), 0)+IF(IF(time+1&gt;=AL$2, $AI40/time_cap/(time+1)*AK$2, 0) = 0, $AI40/(time_cap),0)),0)</f>
        <v>0</v>
      </c>
      <c r="AL40" s="4357">
        <f t="shared" si="69"/>
        <v>0</v>
      </c>
      <c r="AM40" s="4357">
        <f t="shared" si="69"/>
        <v>0</v>
      </c>
      <c r="AN40" s="4357">
        <f t="shared" si="69"/>
        <v>0</v>
      </c>
      <c r="AO40" s="4357">
        <f t="shared" si="69"/>
        <v>0</v>
      </c>
      <c r="AP40" s="4357">
        <f t="shared" si="69"/>
        <v>0</v>
      </c>
      <c r="AQ40" s="4357">
        <f t="shared" si="69"/>
        <v>0</v>
      </c>
      <c r="AR40" s="4357">
        <f t="shared" si="69"/>
        <v>0</v>
      </c>
      <c r="AS40" s="4357">
        <f t="shared" si="69"/>
        <v>0</v>
      </c>
      <c r="AT40" s="4357">
        <f t="shared" si="69"/>
        <v>0</v>
      </c>
      <c r="AU40" s="4357">
        <f t="shared" si="69"/>
        <v>0</v>
      </c>
      <c r="AV40" s="4357">
        <f t="shared" si="69"/>
        <v>0</v>
      </c>
      <c r="AW40" s="4357">
        <f t="shared" si="69"/>
        <v>0</v>
      </c>
      <c r="AX40" s="4357">
        <f t="shared" si="69"/>
        <v>0</v>
      </c>
      <c r="AY40" s="4357">
        <f t="shared" si="69"/>
        <v>0</v>
      </c>
      <c r="AZ40" s="4357">
        <f t="shared" si="69"/>
        <v>0</v>
      </c>
      <c r="BA40" s="4357">
        <f t="shared" si="69"/>
        <v>0</v>
      </c>
      <c r="BB40" s="4357">
        <f t="shared" si="69"/>
        <v>0</v>
      </c>
      <c r="BC40" s="4357">
        <f t="shared" si="69"/>
        <v>0</v>
      </c>
      <c r="BD40" s="4357">
        <f t="shared" si="69"/>
        <v>0</v>
      </c>
      <c r="BE40" s="4357">
        <f t="shared" si="69"/>
        <v>0</v>
      </c>
      <c r="BF40" s="4357">
        <f t="shared" si="69"/>
        <v>0</v>
      </c>
      <c r="BG40" s="4357">
        <f t="shared" si="69"/>
        <v>0</v>
      </c>
      <c r="BH40" s="4357">
        <f t="shared" si="69"/>
        <v>0</v>
      </c>
      <c r="BI40" s="4357">
        <f t="shared" si="69"/>
        <v>0</v>
      </c>
      <c r="BJ40" s="4357">
        <f t="shared" si="69"/>
        <v>0</v>
      </c>
      <c r="BK40" s="4357">
        <f t="shared" si="69"/>
        <v>0</v>
      </c>
      <c r="BL40" s="4357">
        <f t="shared" si="69"/>
        <v>0</v>
      </c>
      <c r="BM40" s="4357">
        <f t="shared" si="69"/>
        <v>0</v>
      </c>
      <c r="BN40" s="4357">
        <f t="shared" si="69"/>
        <v>0</v>
      </c>
      <c r="BO40" s="4357">
        <f t="shared" si="69"/>
        <v>0</v>
      </c>
      <c r="BP40" s="4357">
        <f t="shared" si="69"/>
        <v>0</v>
      </c>
      <c r="BQ40" s="4357">
        <f t="shared" ref="BQ40:CH40" si="70">IFERROR(IF((time+time_cap)&lt;BQ$2, 0,IF(AND(time+1&gt;=BR$2, $AC40&lt;BR$2), IF($AG40= "I", $AH40/($AD40-$AC40+1), $AH40/(($AD40*($AD40+1)/2)-(($AC40-1)*($AC40-1+1)/2))*BQ$2), 0)+IF(IF(time+1&gt;=BR$2, $AI40/time_cap/(time+1)*BQ$2, 0) = 0, $AI40/(time_cap),0)),0)</f>
        <v>0</v>
      </c>
      <c r="BR40" s="4357">
        <f t="shared" si="70"/>
        <v>0</v>
      </c>
      <c r="BS40" s="4357">
        <f t="shared" si="70"/>
        <v>0</v>
      </c>
      <c r="BT40" s="4357">
        <f t="shared" si="70"/>
        <v>0</v>
      </c>
      <c r="BU40" s="4357">
        <f t="shared" si="70"/>
        <v>0</v>
      </c>
      <c r="BV40" s="4357">
        <f t="shared" si="70"/>
        <v>0</v>
      </c>
      <c r="BW40" s="4357">
        <f t="shared" si="70"/>
        <v>0</v>
      </c>
      <c r="BX40" s="4357">
        <f t="shared" si="70"/>
        <v>0</v>
      </c>
      <c r="BY40" s="4357">
        <f t="shared" si="70"/>
        <v>0</v>
      </c>
      <c r="BZ40" s="4357">
        <f t="shared" si="70"/>
        <v>0</v>
      </c>
      <c r="CA40" s="4357">
        <f t="shared" si="70"/>
        <v>0</v>
      </c>
      <c r="CB40" s="4357">
        <f t="shared" si="70"/>
        <v>0</v>
      </c>
      <c r="CC40" s="4357">
        <f t="shared" si="70"/>
        <v>0</v>
      </c>
      <c r="CD40" s="4357">
        <f t="shared" si="70"/>
        <v>0</v>
      </c>
      <c r="CE40" s="4357">
        <f t="shared" si="70"/>
        <v>0</v>
      </c>
      <c r="CF40" s="4357">
        <f t="shared" si="70"/>
        <v>0</v>
      </c>
      <c r="CG40" s="4357">
        <f t="shared" si="70"/>
        <v>0</v>
      </c>
      <c r="CH40" s="4357">
        <f t="shared" si="70"/>
        <v>0</v>
      </c>
      <c r="CI40" s="4357"/>
      <c r="CJ40" s="4357"/>
      <c r="CK40" s="4357"/>
      <c r="CL40" s="4357"/>
      <c r="CM40" s="4357"/>
      <c r="CN40" s="4357"/>
      <c r="CO40" s="4357"/>
      <c r="CP40" s="4357"/>
      <c r="CQ40" s="4357"/>
      <c r="CR40" s="4357"/>
      <c r="CS40" s="4357"/>
      <c r="CT40" s="4357"/>
      <c r="CU40" s="4357"/>
      <c r="CV40" s="4357"/>
      <c r="CW40" s="4357"/>
      <c r="CX40" s="4357"/>
      <c r="CY40" s="4357"/>
      <c r="CZ40" s="4357"/>
      <c r="DA40" s="4357"/>
      <c r="DB40" s="4357"/>
      <c r="DC40" s="4357"/>
      <c r="DD40" s="4357"/>
      <c r="DE40" s="4357"/>
      <c r="DF40" s="4357"/>
      <c r="DG40" s="4357"/>
      <c r="DH40" s="4357"/>
      <c r="DI40" s="4357"/>
      <c r="DJ40" s="4357"/>
      <c r="DK40" s="4357"/>
      <c r="DL40" s="4357"/>
      <c r="DM40" s="4357"/>
      <c r="DN40" s="4357"/>
      <c r="DO40" s="4357"/>
      <c r="DP40" s="4357"/>
      <c r="DQ40" s="4357"/>
      <c r="DR40" s="4357"/>
      <c r="DS40" s="4357"/>
      <c r="DT40" s="4357"/>
      <c r="DU40" s="4357"/>
      <c r="DV40" s="4357"/>
      <c r="DW40" s="4357"/>
      <c r="DX40" s="4357"/>
      <c r="DY40" s="4357"/>
      <c r="DZ40" s="4357"/>
      <c r="EA40" s="4357"/>
      <c r="EB40" s="4357"/>
      <c r="EC40" s="4357"/>
      <c r="ED40" s="4357"/>
      <c r="EE40" s="4357"/>
      <c r="EF40" s="4357"/>
    </row>
    <row r="41" spans="1:136" ht="16" x14ac:dyDescent="0.2">
      <c r="A41" t="s">
        <v>2071</v>
      </c>
      <c r="B41" t="s">
        <v>2071</v>
      </c>
      <c r="C41">
        <f>'3.Cropland'!C25</f>
        <v>0</v>
      </c>
      <c r="D41" t="str">
        <f>'3.Cropland'!E25</f>
        <v>Maize</v>
      </c>
      <c r="E41">
        <f>'3.Cropland'!Z25</f>
        <v>0</v>
      </c>
      <c r="F41" s="388">
        <v>0</v>
      </c>
      <c r="G41" s="388">
        <f>annual!J38-annual!I38</f>
        <v>0</v>
      </c>
      <c r="M41" s="388">
        <f>annual!AH16-annual!AG16</f>
        <v>0</v>
      </c>
      <c r="N41" s="388">
        <f>annual!AJ16-annual!AI16</f>
        <v>0</v>
      </c>
      <c r="U41" s="388">
        <f>annual!AF16-annual!AE16</f>
        <v>0</v>
      </c>
      <c r="AB41" t="str">
        <f t="shared" si="11"/>
        <v>ok</v>
      </c>
      <c r="AC41">
        <f>IF('3.Cropland'!BP25&lt;&gt;0,'3.Cropland'!BP25, '3.Cropland'!BO25)</f>
        <v>1</v>
      </c>
      <c r="AD41">
        <f t="shared" si="8"/>
        <v>5</v>
      </c>
      <c r="AE41" s="4357" t="str">
        <f>'3.Cropland'!S25</f>
        <v>D</v>
      </c>
      <c r="AF41" s="4357" t="str">
        <f>'3.Cropland'!U25</f>
        <v>D</v>
      </c>
      <c r="AG41" s="4357" t="str">
        <f t="shared" si="12"/>
        <v>D</v>
      </c>
      <c r="AH41" s="4357">
        <f>((E41/(time_cap+((AD41-AC41+1)*VLOOKUP(AG41,list!$I$48:$K$50,3, FALSE))))*(AD41-AC41+1)*VLOOKUP(AG41,list!$I$48:$K$50,3, FALSE))</f>
        <v>0</v>
      </c>
      <c r="AI41" s="4357">
        <f>((E41/(time_cap+((AD41-AC41+1)*VLOOKUP(AG41,list!$I$48:$K$50,3, FALSE))))*time_cap)</f>
        <v>0</v>
      </c>
      <c r="AK41" s="4357">
        <f t="shared" ref="AK41:BP41" si="71">IFERROR(IF((time+time_cap)&lt;AK$2, 0,IF(AND(time+1&gt;=AL$2, $AC41&lt;AL$2), IF($AG41= "I", $AH41/($AD41-$AC41+1), $AH41/(($AD41*($AD41+1)/2)-(($AC41-1)*($AC41-1+1)/2))*AK$2), 0)+IF(IF(time+1&gt;=AL$2, $AI41/time_cap/(time+1)*AK$2, 0) = 0, $AI41/(time_cap),0)),0)</f>
        <v>0</v>
      </c>
      <c r="AL41" s="4357">
        <f t="shared" si="71"/>
        <v>0</v>
      </c>
      <c r="AM41" s="4357">
        <f t="shared" si="71"/>
        <v>0</v>
      </c>
      <c r="AN41" s="4357">
        <f t="shared" si="71"/>
        <v>0</v>
      </c>
      <c r="AO41" s="4357">
        <f t="shared" si="71"/>
        <v>0</v>
      </c>
      <c r="AP41" s="4357">
        <f t="shared" si="71"/>
        <v>0</v>
      </c>
      <c r="AQ41" s="4357">
        <f t="shared" si="71"/>
        <v>0</v>
      </c>
      <c r="AR41" s="4357">
        <f t="shared" si="71"/>
        <v>0</v>
      </c>
      <c r="AS41" s="4357">
        <f t="shared" si="71"/>
        <v>0</v>
      </c>
      <c r="AT41" s="4357">
        <f t="shared" si="71"/>
        <v>0</v>
      </c>
      <c r="AU41" s="4357">
        <f t="shared" si="71"/>
        <v>0</v>
      </c>
      <c r="AV41" s="4357">
        <f t="shared" si="71"/>
        <v>0</v>
      </c>
      <c r="AW41" s="4357">
        <f t="shared" si="71"/>
        <v>0</v>
      </c>
      <c r="AX41" s="4357">
        <f t="shared" si="71"/>
        <v>0</v>
      </c>
      <c r="AY41" s="4357">
        <f t="shared" si="71"/>
        <v>0</v>
      </c>
      <c r="AZ41" s="4357">
        <f t="shared" si="71"/>
        <v>0</v>
      </c>
      <c r="BA41" s="4357">
        <f t="shared" si="71"/>
        <v>0</v>
      </c>
      <c r="BB41" s="4357">
        <f t="shared" si="71"/>
        <v>0</v>
      </c>
      <c r="BC41" s="4357">
        <f t="shared" si="71"/>
        <v>0</v>
      </c>
      <c r="BD41" s="4357">
        <f t="shared" si="71"/>
        <v>0</v>
      </c>
      <c r="BE41" s="4357">
        <f t="shared" si="71"/>
        <v>0</v>
      </c>
      <c r="BF41" s="4357">
        <f t="shared" si="71"/>
        <v>0</v>
      </c>
      <c r="BG41" s="4357">
        <f t="shared" si="71"/>
        <v>0</v>
      </c>
      <c r="BH41" s="4357">
        <f t="shared" si="71"/>
        <v>0</v>
      </c>
      <c r="BI41" s="4357">
        <f t="shared" si="71"/>
        <v>0</v>
      </c>
      <c r="BJ41" s="4357">
        <f t="shared" si="71"/>
        <v>0</v>
      </c>
      <c r="BK41" s="4357">
        <f t="shared" si="71"/>
        <v>0</v>
      </c>
      <c r="BL41" s="4357">
        <f t="shared" si="71"/>
        <v>0</v>
      </c>
      <c r="BM41" s="4357">
        <f t="shared" si="71"/>
        <v>0</v>
      </c>
      <c r="BN41" s="4357">
        <f t="shared" si="71"/>
        <v>0</v>
      </c>
      <c r="BO41" s="4357">
        <f t="shared" si="71"/>
        <v>0</v>
      </c>
      <c r="BP41" s="4357">
        <f t="shared" si="71"/>
        <v>0</v>
      </c>
      <c r="BQ41" s="4357">
        <f t="shared" ref="BQ41:CH41" si="72">IFERROR(IF((time+time_cap)&lt;BQ$2, 0,IF(AND(time+1&gt;=BR$2, $AC41&lt;BR$2), IF($AG41= "I", $AH41/($AD41-$AC41+1), $AH41/(($AD41*($AD41+1)/2)-(($AC41-1)*($AC41-1+1)/2))*BQ$2), 0)+IF(IF(time+1&gt;=BR$2, $AI41/time_cap/(time+1)*BQ$2, 0) = 0, $AI41/(time_cap),0)),0)</f>
        <v>0</v>
      </c>
      <c r="BR41" s="4357">
        <f t="shared" si="72"/>
        <v>0</v>
      </c>
      <c r="BS41" s="4357">
        <f t="shared" si="72"/>
        <v>0</v>
      </c>
      <c r="BT41" s="4357">
        <f t="shared" si="72"/>
        <v>0</v>
      </c>
      <c r="BU41" s="4357">
        <f t="shared" si="72"/>
        <v>0</v>
      </c>
      <c r="BV41" s="4357">
        <f t="shared" si="72"/>
        <v>0</v>
      </c>
      <c r="BW41" s="4357">
        <f t="shared" si="72"/>
        <v>0</v>
      </c>
      <c r="BX41" s="4357">
        <f t="shared" si="72"/>
        <v>0</v>
      </c>
      <c r="BY41" s="4357">
        <f t="shared" si="72"/>
        <v>0</v>
      </c>
      <c r="BZ41" s="4357">
        <f t="shared" si="72"/>
        <v>0</v>
      </c>
      <c r="CA41" s="4357">
        <f t="shared" si="72"/>
        <v>0</v>
      </c>
      <c r="CB41" s="4357">
        <f t="shared" si="72"/>
        <v>0</v>
      </c>
      <c r="CC41" s="4357">
        <f t="shared" si="72"/>
        <v>0</v>
      </c>
      <c r="CD41" s="4357">
        <f t="shared" si="72"/>
        <v>0</v>
      </c>
      <c r="CE41" s="4357">
        <f t="shared" si="72"/>
        <v>0</v>
      </c>
      <c r="CF41" s="4357">
        <f t="shared" si="72"/>
        <v>0</v>
      </c>
      <c r="CG41" s="4357">
        <f t="shared" si="72"/>
        <v>0</v>
      </c>
      <c r="CH41" s="4357">
        <f t="shared" si="72"/>
        <v>0</v>
      </c>
      <c r="CI41" s="4357"/>
      <c r="CJ41" s="4357"/>
      <c r="CK41" s="4357"/>
      <c r="CL41" s="4357"/>
      <c r="CM41" s="4357"/>
      <c r="CN41" s="4357"/>
      <c r="CO41" s="4357"/>
      <c r="CP41" s="4357"/>
      <c r="CQ41" s="4357"/>
      <c r="CR41" s="4357"/>
      <c r="CS41" s="4357"/>
      <c r="CT41" s="4357"/>
      <c r="CU41" s="4357"/>
      <c r="CV41" s="4357"/>
      <c r="CW41" s="4357"/>
      <c r="CX41" s="4357"/>
      <c r="CY41" s="4357"/>
      <c r="CZ41" s="4357"/>
      <c r="DA41" s="4357"/>
      <c r="DB41" s="4357"/>
      <c r="DC41" s="4357"/>
      <c r="DD41" s="4357"/>
      <c r="DE41" s="4357"/>
      <c r="DF41" s="4357"/>
      <c r="DG41" s="4357"/>
      <c r="DH41" s="4357"/>
      <c r="DI41" s="4357"/>
      <c r="DJ41" s="4357"/>
      <c r="DK41" s="4357"/>
      <c r="DL41" s="4357"/>
      <c r="DM41" s="4357"/>
      <c r="DN41" s="4357"/>
      <c r="DO41" s="4357"/>
      <c r="DP41" s="4357"/>
      <c r="DQ41" s="4357"/>
      <c r="DR41" s="4357"/>
      <c r="DS41" s="4357"/>
      <c r="DT41" s="4357"/>
      <c r="DU41" s="4357"/>
      <c r="DV41" s="4357"/>
      <c r="DW41" s="4357"/>
      <c r="DX41" s="4357"/>
      <c r="DY41" s="4357"/>
      <c r="DZ41" s="4357"/>
      <c r="EA41" s="4357"/>
      <c r="EB41" s="4357"/>
      <c r="EC41" s="4357"/>
      <c r="ED41" s="4357"/>
      <c r="EE41" s="4357"/>
      <c r="EF41" s="4357"/>
    </row>
    <row r="42" spans="1:136" ht="16" x14ac:dyDescent="0.2">
      <c r="A42" t="s">
        <v>2071</v>
      </c>
      <c r="B42" t="s">
        <v>2071</v>
      </c>
      <c r="C42">
        <f>'3.Cropland'!C26</f>
        <v>0</v>
      </c>
      <c r="D42" t="str">
        <f>'3.Cropland'!E26</f>
        <v>Default</v>
      </c>
      <c r="E42">
        <f>'3.Cropland'!Z26</f>
        <v>0</v>
      </c>
      <c r="F42" s="388">
        <v>0</v>
      </c>
      <c r="G42" s="388">
        <f>annual!J39-annual!I39</f>
        <v>0</v>
      </c>
      <c r="M42" s="388">
        <f>annual!AH17-annual!AG17</f>
        <v>0</v>
      </c>
      <c r="N42" s="388">
        <f>annual!AJ17-annual!AI17</f>
        <v>0</v>
      </c>
      <c r="U42" s="388">
        <f>annual!AF17-annual!AE17</f>
        <v>0</v>
      </c>
      <c r="AB42" t="str">
        <f t="shared" si="11"/>
        <v>ok</v>
      </c>
      <c r="AC42">
        <f>IF('3.Cropland'!BP26&lt;&gt;0,'3.Cropland'!BP26, '3.Cropland'!BO26)</f>
        <v>1</v>
      </c>
      <c r="AD42">
        <f t="shared" si="8"/>
        <v>5</v>
      </c>
      <c r="AE42" s="4357" t="str">
        <f>'3.Cropland'!S26</f>
        <v>D</v>
      </c>
      <c r="AF42" s="4357" t="str">
        <f>'3.Cropland'!U26</f>
        <v>D</v>
      </c>
      <c r="AG42" s="4357" t="str">
        <f t="shared" si="12"/>
        <v>D</v>
      </c>
      <c r="AH42" s="4357">
        <f>((E42/(time_cap+((AD42-AC42+1)*VLOOKUP(AG42,list!$I$48:$K$50,3, FALSE))))*(AD42-AC42+1)*VLOOKUP(AG42,list!$I$48:$K$50,3, FALSE))</f>
        <v>0</v>
      </c>
      <c r="AI42" s="4357">
        <f>((E42/(time_cap+((AD42-AC42+1)*VLOOKUP(AG42,list!$I$48:$K$50,3, FALSE))))*time_cap)</f>
        <v>0</v>
      </c>
      <c r="AK42" s="4357">
        <f t="shared" ref="AK42:BP42" si="73">IFERROR(IF((time+time_cap)&lt;AK$2, 0,IF(AND(time+1&gt;=AL$2, $AC42&lt;AL$2), IF($AG42= "I", $AH42/($AD42-$AC42+1), $AH42/(($AD42*($AD42+1)/2)-(($AC42-1)*($AC42-1+1)/2))*AK$2), 0)+IF(IF(time+1&gt;=AL$2, $AI42/time_cap/(time+1)*AK$2, 0) = 0, $AI42/(time_cap),0)),0)</f>
        <v>0</v>
      </c>
      <c r="AL42" s="4357">
        <f t="shared" si="73"/>
        <v>0</v>
      </c>
      <c r="AM42" s="4357">
        <f t="shared" si="73"/>
        <v>0</v>
      </c>
      <c r="AN42" s="4357">
        <f t="shared" si="73"/>
        <v>0</v>
      </c>
      <c r="AO42" s="4357">
        <f t="shared" si="73"/>
        <v>0</v>
      </c>
      <c r="AP42" s="4357">
        <f t="shared" si="73"/>
        <v>0</v>
      </c>
      <c r="AQ42" s="4357">
        <f t="shared" si="73"/>
        <v>0</v>
      </c>
      <c r="AR42" s="4357">
        <f t="shared" si="73"/>
        <v>0</v>
      </c>
      <c r="AS42" s="4357">
        <f t="shared" si="73"/>
        <v>0</v>
      </c>
      <c r="AT42" s="4357">
        <f t="shared" si="73"/>
        <v>0</v>
      </c>
      <c r="AU42" s="4357">
        <f t="shared" si="73"/>
        <v>0</v>
      </c>
      <c r="AV42" s="4357">
        <f t="shared" si="73"/>
        <v>0</v>
      </c>
      <c r="AW42" s="4357">
        <f t="shared" si="73"/>
        <v>0</v>
      </c>
      <c r="AX42" s="4357">
        <f t="shared" si="73"/>
        <v>0</v>
      </c>
      <c r="AY42" s="4357">
        <f t="shared" si="73"/>
        <v>0</v>
      </c>
      <c r="AZ42" s="4357">
        <f t="shared" si="73"/>
        <v>0</v>
      </c>
      <c r="BA42" s="4357">
        <f t="shared" si="73"/>
        <v>0</v>
      </c>
      <c r="BB42" s="4357">
        <f t="shared" si="73"/>
        <v>0</v>
      </c>
      <c r="BC42" s="4357">
        <f t="shared" si="73"/>
        <v>0</v>
      </c>
      <c r="BD42" s="4357">
        <f t="shared" si="73"/>
        <v>0</v>
      </c>
      <c r="BE42" s="4357">
        <f t="shared" si="73"/>
        <v>0</v>
      </c>
      <c r="BF42" s="4357">
        <f t="shared" si="73"/>
        <v>0</v>
      </c>
      <c r="BG42" s="4357">
        <f t="shared" si="73"/>
        <v>0</v>
      </c>
      <c r="BH42" s="4357">
        <f t="shared" si="73"/>
        <v>0</v>
      </c>
      <c r="BI42" s="4357">
        <f t="shared" si="73"/>
        <v>0</v>
      </c>
      <c r="BJ42" s="4357">
        <f t="shared" si="73"/>
        <v>0</v>
      </c>
      <c r="BK42" s="4357">
        <f t="shared" si="73"/>
        <v>0</v>
      </c>
      <c r="BL42" s="4357">
        <f t="shared" si="73"/>
        <v>0</v>
      </c>
      <c r="BM42" s="4357">
        <f t="shared" si="73"/>
        <v>0</v>
      </c>
      <c r="BN42" s="4357">
        <f t="shared" si="73"/>
        <v>0</v>
      </c>
      <c r="BO42" s="4357">
        <f t="shared" si="73"/>
        <v>0</v>
      </c>
      <c r="BP42" s="4357">
        <f t="shared" si="73"/>
        <v>0</v>
      </c>
      <c r="BQ42" s="4357">
        <f t="shared" ref="BQ42:CH42" si="74">IFERROR(IF((time+time_cap)&lt;BQ$2, 0,IF(AND(time+1&gt;=BR$2, $AC42&lt;BR$2), IF($AG42= "I", $AH42/($AD42-$AC42+1), $AH42/(($AD42*($AD42+1)/2)-(($AC42-1)*($AC42-1+1)/2))*BQ$2), 0)+IF(IF(time+1&gt;=BR$2, $AI42/time_cap/(time+1)*BQ$2, 0) = 0, $AI42/(time_cap),0)),0)</f>
        <v>0</v>
      </c>
      <c r="BR42" s="4357">
        <f t="shared" si="74"/>
        <v>0</v>
      </c>
      <c r="BS42" s="4357">
        <f t="shared" si="74"/>
        <v>0</v>
      </c>
      <c r="BT42" s="4357">
        <f t="shared" si="74"/>
        <v>0</v>
      </c>
      <c r="BU42" s="4357">
        <f t="shared" si="74"/>
        <v>0</v>
      </c>
      <c r="BV42" s="4357">
        <f t="shared" si="74"/>
        <v>0</v>
      </c>
      <c r="BW42" s="4357">
        <f t="shared" si="74"/>
        <v>0</v>
      </c>
      <c r="BX42" s="4357">
        <f t="shared" si="74"/>
        <v>0</v>
      </c>
      <c r="BY42" s="4357">
        <f t="shared" si="74"/>
        <v>0</v>
      </c>
      <c r="BZ42" s="4357">
        <f t="shared" si="74"/>
        <v>0</v>
      </c>
      <c r="CA42" s="4357">
        <f t="shared" si="74"/>
        <v>0</v>
      </c>
      <c r="CB42" s="4357">
        <f t="shared" si="74"/>
        <v>0</v>
      </c>
      <c r="CC42" s="4357">
        <f t="shared" si="74"/>
        <v>0</v>
      </c>
      <c r="CD42" s="4357">
        <f t="shared" si="74"/>
        <v>0</v>
      </c>
      <c r="CE42" s="4357">
        <f t="shared" si="74"/>
        <v>0</v>
      </c>
      <c r="CF42" s="4357">
        <f t="shared" si="74"/>
        <v>0</v>
      </c>
      <c r="CG42" s="4357">
        <f t="shared" si="74"/>
        <v>0</v>
      </c>
      <c r="CH42" s="4357">
        <f t="shared" si="74"/>
        <v>0</v>
      </c>
      <c r="CI42" s="4357"/>
      <c r="CJ42" s="4357"/>
      <c r="CK42" s="4357"/>
      <c r="CL42" s="4357"/>
      <c r="CM42" s="4357"/>
      <c r="CN42" s="4357"/>
      <c r="CO42" s="4357"/>
      <c r="CP42" s="4357"/>
      <c r="CQ42" s="4357"/>
      <c r="CR42" s="4357"/>
      <c r="CS42" s="4357"/>
      <c r="CT42" s="4357"/>
      <c r="CU42" s="4357"/>
      <c r="CV42" s="4357"/>
      <c r="CW42" s="4357"/>
      <c r="CX42" s="4357"/>
      <c r="CY42" s="4357"/>
      <c r="CZ42" s="4357"/>
      <c r="DA42" s="4357"/>
      <c r="DB42" s="4357"/>
      <c r="DC42" s="4357"/>
      <c r="DD42" s="4357"/>
      <c r="DE42" s="4357"/>
      <c r="DF42" s="4357"/>
      <c r="DG42" s="4357"/>
      <c r="DH42" s="4357"/>
      <c r="DI42" s="4357"/>
      <c r="DJ42" s="4357"/>
      <c r="DK42" s="4357"/>
      <c r="DL42" s="4357"/>
      <c r="DM42" s="4357"/>
      <c r="DN42" s="4357"/>
      <c r="DO42" s="4357"/>
      <c r="DP42" s="4357"/>
      <c r="DQ42" s="4357"/>
      <c r="DR42" s="4357"/>
      <c r="DS42" s="4357"/>
      <c r="DT42" s="4357"/>
      <c r="DU42" s="4357"/>
      <c r="DV42" s="4357"/>
      <c r="DW42" s="4357"/>
      <c r="DX42" s="4357"/>
      <c r="DY42" s="4357"/>
      <c r="DZ42" s="4357"/>
      <c r="EA42" s="4357"/>
      <c r="EB42" s="4357"/>
      <c r="EC42" s="4357"/>
      <c r="ED42" s="4357"/>
      <c r="EE42" s="4357"/>
      <c r="EF42" s="4357"/>
    </row>
    <row r="43" spans="1:136" ht="16" x14ac:dyDescent="0.2">
      <c r="A43" t="s">
        <v>2071</v>
      </c>
      <c r="B43" t="s">
        <v>2071</v>
      </c>
      <c r="C43">
        <f>'3.Cropland'!C27</f>
        <v>0</v>
      </c>
      <c r="D43" t="str">
        <f>'3.Cropland'!E27</f>
        <v>Default</v>
      </c>
      <c r="E43">
        <f>'3.Cropland'!Z27</f>
        <v>0</v>
      </c>
      <c r="F43" s="388">
        <v>0</v>
      </c>
      <c r="G43" s="388">
        <f>annual!J40-annual!I40</f>
        <v>0</v>
      </c>
      <c r="M43" s="388">
        <f>annual!AH18-annual!AG18</f>
        <v>0</v>
      </c>
      <c r="N43" s="388">
        <f>annual!AJ18-annual!AI18</f>
        <v>0</v>
      </c>
      <c r="U43" s="388">
        <f>annual!AF18-annual!AE18</f>
        <v>0</v>
      </c>
      <c r="AB43" t="str">
        <f t="shared" si="11"/>
        <v>ok</v>
      </c>
      <c r="AC43">
        <f>IF('3.Cropland'!BP27&lt;&gt;0,'3.Cropland'!BP27, '3.Cropland'!BO27)</f>
        <v>1</v>
      </c>
      <c r="AD43">
        <f t="shared" si="8"/>
        <v>5</v>
      </c>
      <c r="AE43" s="4357" t="str">
        <f>'3.Cropland'!S27</f>
        <v>D</v>
      </c>
      <c r="AF43" s="4357" t="str">
        <f>'3.Cropland'!U27</f>
        <v>D</v>
      </c>
      <c r="AG43" s="4357" t="str">
        <f t="shared" si="12"/>
        <v>D</v>
      </c>
      <c r="AH43" s="4357">
        <f>((E43/(time_cap+((AD43-AC43+1)*VLOOKUP(AG43,list!$I$48:$K$50,3, FALSE))))*(AD43-AC43+1)*VLOOKUP(AG43,list!$I$48:$K$50,3, FALSE))</f>
        <v>0</v>
      </c>
      <c r="AI43" s="4357">
        <f>((E43/(time_cap+((AD43-AC43+1)*VLOOKUP(AG43,list!$I$48:$K$50,3, FALSE))))*time_cap)</f>
        <v>0</v>
      </c>
      <c r="AK43" s="4357">
        <f t="shared" ref="AK43:BP43" si="75">IFERROR(IF((time+time_cap)&lt;AK$2, 0,IF(AND(time+1&gt;=AL$2, $AC43&lt;AL$2), IF($AG43= "I", $AH43/($AD43-$AC43+1), $AH43/(($AD43*($AD43+1)/2)-(($AC43-1)*($AC43-1+1)/2))*AK$2), 0)+IF(IF(time+1&gt;=AL$2, $AI43/time_cap/(time+1)*AK$2, 0) = 0, $AI43/(time_cap),0)),0)</f>
        <v>0</v>
      </c>
      <c r="AL43" s="4357">
        <f t="shared" si="75"/>
        <v>0</v>
      </c>
      <c r="AM43" s="4357">
        <f t="shared" si="75"/>
        <v>0</v>
      </c>
      <c r="AN43" s="4357">
        <f t="shared" si="75"/>
        <v>0</v>
      </c>
      <c r="AO43" s="4357">
        <f t="shared" si="75"/>
        <v>0</v>
      </c>
      <c r="AP43" s="4357">
        <f t="shared" si="75"/>
        <v>0</v>
      </c>
      <c r="AQ43" s="4357">
        <f t="shared" si="75"/>
        <v>0</v>
      </c>
      <c r="AR43" s="4357">
        <f t="shared" si="75"/>
        <v>0</v>
      </c>
      <c r="AS43" s="4357">
        <f t="shared" si="75"/>
        <v>0</v>
      </c>
      <c r="AT43" s="4357">
        <f t="shared" si="75"/>
        <v>0</v>
      </c>
      <c r="AU43" s="4357">
        <f t="shared" si="75"/>
        <v>0</v>
      </c>
      <c r="AV43" s="4357">
        <f t="shared" si="75"/>
        <v>0</v>
      </c>
      <c r="AW43" s="4357">
        <f t="shared" si="75"/>
        <v>0</v>
      </c>
      <c r="AX43" s="4357">
        <f t="shared" si="75"/>
        <v>0</v>
      </c>
      <c r="AY43" s="4357">
        <f t="shared" si="75"/>
        <v>0</v>
      </c>
      <c r="AZ43" s="4357">
        <f t="shared" si="75"/>
        <v>0</v>
      </c>
      <c r="BA43" s="4357">
        <f t="shared" si="75"/>
        <v>0</v>
      </c>
      <c r="BB43" s="4357">
        <f t="shared" si="75"/>
        <v>0</v>
      </c>
      <c r="BC43" s="4357">
        <f t="shared" si="75"/>
        <v>0</v>
      </c>
      <c r="BD43" s="4357">
        <f t="shared" si="75"/>
        <v>0</v>
      </c>
      <c r="BE43" s="4357">
        <f t="shared" si="75"/>
        <v>0</v>
      </c>
      <c r="BF43" s="4357">
        <f t="shared" si="75"/>
        <v>0</v>
      </c>
      <c r="BG43" s="4357">
        <f t="shared" si="75"/>
        <v>0</v>
      </c>
      <c r="BH43" s="4357">
        <f t="shared" si="75"/>
        <v>0</v>
      </c>
      <c r="BI43" s="4357">
        <f t="shared" si="75"/>
        <v>0</v>
      </c>
      <c r="BJ43" s="4357">
        <f t="shared" si="75"/>
        <v>0</v>
      </c>
      <c r="BK43" s="4357">
        <f t="shared" si="75"/>
        <v>0</v>
      </c>
      <c r="BL43" s="4357">
        <f t="shared" si="75"/>
        <v>0</v>
      </c>
      <c r="BM43" s="4357">
        <f t="shared" si="75"/>
        <v>0</v>
      </c>
      <c r="BN43" s="4357">
        <f t="shared" si="75"/>
        <v>0</v>
      </c>
      <c r="BO43" s="4357">
        <f t="shared" si="75"/>
        <v>0</v>
      </c>
      <c r="BP43" s="4357">
        <f t="shared" si="75"/>
        <v>0</v>
      </c>
      <c r="BQ43" s="4357">
        <f t="shared" ref="BQ43:CH43" si="76">IFERROR(IF((time+time_cap)&lt;BQ$2, 0,IF(AND(time+1&gt;=BR$2, $AC43&lt;BR$2), IF($AG43= "I", $AH43/($AD43-$AC43+1), $AH43/(($AD43*($AD43+1)/2)-(($AC43-1)*($AC43-1+1)/2))*BQ$2), 0)+IF(IF(time+1&gt;=BR$2, $AI43/time_cap/(time+1)*BQ$2, 0) = 0, $AI43/(time_cap),0)),0)</f>
        <v>0</v>
      </c>
      <c r="BR43" s="4357">
        <f t="shared" si="76"/>
        <v>0</v>
      </c>
      <c r="BS43" s="4357">
        <f t="shared" si="76"/>
        <v>0</v>
      </c>
      <c r="BT43" s="4357">
        <f t="shared" si="76"/>
        <v>0</v>
      </c>
      <c r="BU43" s="4357">
        <f t="shared" si="76"/>
        <v>0</v>
      </c>
      <c r="BV43" s="4357">
        <f t="shared" si="76"/>
        <v>0</v>
      </c>
      <c r="BW43" s="4357">
        <f t="shared" si="76"/>
        <v>0</v>
      </c>
      <c r="BX43" s="4357">
        <f t="shared" si="76"/>
        <v>0</v>
      </c>
      <c r="BY43" s="4357">
        <f t="shared" si="76"/>
        <v>0</v>
      </c>
      <c r="BZ43" s="4357">
        <f t="shared" si="76"/>
        <v>0</v>
      </c>
      <c r="CA43" s="4357">
        <f t="shared" si="76"/>
        <v>0</v>
      </c>
      <c r="CB43" s="4357">
        <f t="shared" si="76"/>
        <v>0</v>
      </c>
      <c r="CC43" s="4357">
        <f t="shared" si="76"/>
        <v>0</v>
      </c>
      <c r="CD43" s="4357">
        <f t="shared" si="76"/>
        <v>0</v>
      </c>
      <c r="CE43" s="4357">
        <f t="shared" si="76"/>
        <v>0</v>
      </c>
      <c r="CF43" s="4357">
        <f t="shared" si="76"/>
        <v>0</v>
      </c>
      <c r="CG43" s="4357">
        <f t="shared" si="76"/>
        <v>0</v>
      </c>
      <c r="CH43" s="4357">
        <f t="shared" si="76"/>
        <v>0</v>
      </c>
      <c r="CI43" s="4357"/>
      <c r="CJ43" s="4357"/>
      <c r="CK43" s="4357"/>
      <c r="CL43" s="4357"/>
      <c r="CM43" s="4357"/>
      <c r="CN43" s="4357"/>
      <c r="CO43" s="4357"/>
      <c r="CP43" s="4357"/>
      <c r="CQ43" s="4357"/>
      <c r="CR43" s="4357"/>
      <c r="CS43" s="4357"/>
      <c r="CT43" s="4357"/>
      <c r="CU43" s="4357"/>
      <c r="CV43" s="4357"/>
      <c r="CW43" s="4357"/>
      <c r="CX43" s="4357"/>
      <c r="CY43" s="4357"/>
      <c r="CZ43" s="4357"/>
      <c r="DA43" s="4357"/>
      <c r="DB43" s="4357"/>
      <c r="DC43" s="4357"/>
      <c r="DD43" s="4357"/>
      <c r="DE43" s="4357"/>
      <c r="DF43" s="4357"/>
      <c r="DG43" s="4357"/>
      <c r="DH43" s="4357"/>
      <c r="DI43" s="4357"/>
      <c r="DJ43" s="4357"/>
      <c r="DK43" s="4357"/>
      <c r="DL43" s="4357"/>
      <c r="DM43" s="4357"/>
      <c r="DN43" s="4357"/>
      <c r="DO43" s="4357"/>
      <c r="DP43" s="4357"/>
      <c r="DQ43" s="4357"/>
      <c r="DR43" s="4357"/>
      <c r="DS43" s="4357"/>
      <c r="DT43" s="4357"/>
      <c r="DU43" s="4357"/>
      <c r="DV43" s="4357"/>
      <c r="DW43" s="4357"/>
      <c r="DX43" s="4357"/>
      <c r="DY43" s="4357"/>
      <c r="DZ43" s="4357"/>
      <c r="EA43" s="4357"/>
      <c r="EB43" s="4357"/>
      <c r="EC43" s="4357"/>
      <c r="ED43" s="4357"/>
      <c r="EE43" s="4357"/>
      <c r="EF43" s="4357"/>
    </row>
    <row r="44" spans="1:136" ht="16" x14ac:dyDescent="0.2">
      <c r="A44" t="s">
        <v>2071</v>
      </c>
      <c r="B44" t="s">
        <v>2071</v>
      </c>
      <c r="C44">
        <f>'3.Cropland'!C28</f>
        <v>0</v>
      </c>
      <c r="D44" t="str">
        <f>'3.Cropland'!E28</f>
        <v>Default</v>
      </c>
      <c r="E44">
        <f>'3.Cropland'!Z28</f>
        <v>0</v>
      </c>
      <c r="F44" s="388">
        <v>0</v>
      </c>
      <c r="G44" s="388">
        <f>annual!J41-annual!I41</f>
        <v>0</v>
      </c>
      <c r="M44" s="388">
        <f>annual!AH19-annual!AG19</f>
        <v>0</v>
      </c>
      <c r="N44" s="388">
        <f>annual!AJ19-annual!AI19</f>
        <v>0</v>
      </c>
      <c r="U44" s="388">
        <f>annual!AF19-annual!AE19</f>
        <v>0</v>
      </c>
      <c r="AB44" t="str">
        <f t="shared" si="11"/>
        <v>ok</v>
      </c>
      <c r="AC44">
        <f>IF('3.Cropland'!BP28&lt;&gt;0,'3.Cropland'!BP28, '3.Cropland'!BO28)</f>
        <v>1</v>
      </c>
      <c r="AD44">
        <f t="shared" si="8"/>
        <v>5</v>
      </c>
      <c r="AE44" s="4357" t="str">
        <f>'3.Cropland'!S28</f>
        <v>D</v>
      </c>
      <c r="AF44" s="4357" t="str">
        <f>'3.Cropland'!U28</f>
        <v>D</v>
      </c>
      <c r="AG44" s="4357" t="str">
        <f t="shared" si="12"/>
        <v>D</v>
      </c>
      <c r="AH44" s="4357">
        <f>((E44/(time_cap+((AD44-AC44+1)*VLOOKUP(AG44,list!$I$48:$K$50,3, FALSE))))*(AD44-AC44+1)*VLOOKUP(AG44,list!$I$48:$K$50,3, FALSE))</f>
        <v>0</v>
      </c>
      <c r="AI44" s="4357">
        <f>((E44/(time_cap+((AD44-AC44+1)*VLOOKUP(AG44,list!$I$48:$K$50,3, FALSE))))*time_cap)</f>
        <v>0</v>
      </c>
      <c r="AK44" s="4357">
        <f t="shared" ref="AK44:BP44" si="77">IFERROR(IF((time+time_cap)&lt;AK$2, 0,IF(AND(time+1&gt;=AL$2, $AC44&lt;AL$2), IF($AG44= "I", $AH44/($AD44-$AC44+1), $AH44/(($AD44*($AD44+1)/2)-(($AC44-1)*($AC44-1+1)/2))*AK$2), 0)+IF(IF(time+1&gt;=AL$2, $AI44/time_cap/(time+1)*AK$2, 0) = 0, $AI44/(time_cap),0)),0)</f>
        <v>0</v>
      </c>
      <c r="AL44" s="4357">
        <f t="shared" si="77"/>
        <v>0</v>
      </c>
      <c r="AM44" s="4357">
        <f t="shared" si="77"/>
        <v>0</v>
      </c>
      <c r="AN44" s="4357">
        <f t="shared" si="77"/>
        <v>0</v>
      </c>
      <c r="AO44" s="4357">
        <f t="shared" si="77"/>
        <v>0</v>
      </c>
      <c r="AP44" s="4357">
        <f t="shared" si="77"/>
        <v>0</v>
      </c>
      <c r="AQ44" s="4357">
        <f t="shared" si="77"/>
        <v>0</v>
      </c>
      <c r="AR44" s="4357">
        <f t="shared" si="77"/>
        <v>0</v>
      </c>
      <c r="AS44" s="4357">
        <f t="shared" si="77"/>
        <v>0</v>
      </c>
      <c r="AT44" s="4357">
        <f t="shared" si="77"/>
        <v>0</v>
      </c>
      <c r="AU44" s="4357">
        <f t="shared" si="77"/>
        <v>0</v>
      </c>
      <c r="AV44" s="4357">
        <f t="shared" si="77"/>
        <v>0</v>
      </c>
      <c r="AW44" s="4357">
        <f t="shared" si="77"/>
        <v>0</v>
      </c>
      <c r="AX44" s="4357">
        <f t="shared" si="77"/>
        <v>0</v>
      </c>
      <c r="AY44" s="4357">
        <f t="shared" si="77"/>
        <v>0</v>
      </c>
      <c r="AZ44" s="4357">
        <f t="shared" si="77"/>
        <v>0</v>
      </c>
      <c r="BA44" s="4357">
        <f t="shared" si="77"/>
        <v>0</v>
      </c>
      <c r="BB44" s="4357">
        <f t="shared" si="77"/>
        <v>0</v>
      </c>
      <c r="BC44" s="4357">
        <f t="shared" si="77"/>
        <v>0</v>
      </c>
      <c r="BD44" s="4357">
        <f t="shared" si="77"/>
        <v>0</v>
      </c>
      <c r="BE44" s="4357">
        <f t="shared" si="77"/>
        <v>0</v>
      </c>
      <c r="BF44" s="4357">
        <f t="shared" si="77"/>
        <v>0</v>
      </c>
      <c r="BG44" s="4357">
        <f t="shared" si="77"/>
        <v>0</v>
      </c>
      <c r="BH44" s="4357">
        <f t="shared" si="77"/>
        <v>0</v>
      </c>
      <c r="BI44" s="4357">
        <f t="shared" si="77"/>
        <v>0</v>
      </c>
      <c r="BJ44" s="4357">
        <f t="shared" si="77"/>
        <v>0</v>
      </c>
      <c r="BK44" s="4357">
        <f t="shared" si="77"/>
        <v>0</v>
      </c>
      <c r="BL44" s="4357">
        <f t="shared" si="77"/>
        <v>0</v>
      </c>
      <c r="BM44" s="4357">
        <f t="shared" si="77"/>
        <v>0</v>
      </c>
      <c r="BN44" s="4357">
        <f t="shared" si="77"/>
        <v>0</v>
      </c>
      <c r="BO44" s="4357">
        <f t="shared" si="77"/>
        <v>0</v>
      </c>
      <c r="BP44" s="4357">
        <f t="shared" si="77"/>
        <v>0</v>
      </c>
      <c r="BQ44" s="4357">
        <f t="shared" ref="BQ44:CH44" si="78">IFERROR(IF((time+time_cap)&lt;BQ$2, 0,IF(AND(time+1&gt;=BR$2, $AC44&lt;BR$2), IF($AG44= "I", $AH44/($AD44-$AC44+1), $AH44/(($AD44*($AD44+1)/2)-(($AC44-1)*($AC44-1+1)/2))*BQ$2), 0)+IF(IF(time+1&gt;=BR$2, $AI44/time_cap/(time+1)*BQ$2, 0) = 0, $AI44/(time_cap),0)),0)</f>
        <v>0</v>
      </c>
      <c r="BR44" s="4357">
        <f t="shared" si="78"/>
        <v>0</v>
      </c>
      <c r="BS44" s="4357">
        <f t="shared" si="78"/>
        <v>0</v>
      </c>
      <c r="BT44" s="4357">
        <f t="shared" si="78"/>
        <v>0</v>
      </c>
      <c r="BU44" s="4357">
        <f t="shared" si="78"/>
        <v>0</v>
      </c>
      <c r="BV44" s="4357">
        <f t="shared" si="78"/>
        <v>0</v>
      </c>
      <c r="BW44" s="4357">
        <f t="shared" si="78"/>
        <v>0</v>
      </c>
      <c r="BX44" s="4357">
        <f t="shared" si="78"/>
        <v>0</v>
      </c>
      <c r="BY44" s="4357">
        <f t="shared" si="78"/>
        <v>0</v>
      </c>
      <c r="BZ44" s="4357">
        <f t="shared" si="78"/>
        <v>0</v>
      </c>
      <c r="CA44" s="4357">
        <f t="shared" si="78"/>
        <v>0</v>
      </c>
      <c r="CB44" s="4357">
        <f t="shared" si="78"/>
        <v>0</v>
      </c>
      <c r="CC44" s="4357">
        <f t="shared" si="78"/>
        <v>0</v>
      </c>
      <c r="CD44" s="4357">
        <f t="shared" si="78"/>
        <v>0</v>
      </c>
      <c r="CE44" s="4357">
        <f t="shared" si="78"/>
        <v>0</v>
      </c>
      <c r="CF44" s="4357">
        <f t="shared" si="78"/>
        <v>0</v>
      </c>
      <c r="CG44" s="4357">
        <f t="shared" si="78"/>
        <v>0</v>
      </c>
      <c r="CH44" s="4357">
        <f t="shared" si="78"/>
        <v>0</v>
      </c>
      <c r="CI44" s="4357"/>
      <c r="CJ44" s="4357"/>
      <c r="CK44" s="4357"/>
      <c r="CL44" s="4357"/>
      <c r="CM44" s="4357"/>
      <c r="CN44" s="4357"/>
      <c r="CO44" s="4357"/>
      <c r="CP44" s="4357"/>
      <c r="CQ44" s="4357"/>
      <c r="CR44" s="4357"/>
      <c r="CS44" s="4357"/>
      <c r="CT44" s="4357"/>
      <c r="CU44" s="4357"/>
      <c r="CV44" s="4357"/>
      <c r="CW44" s="4357"/>
      <c r="CX44" s="4357"/>
      <c r="CY44" s="4357"/>
      <c r="CZ44" s="4357"/>
      <c r="DA44" s="4357"/>
      <c r="DB44" s="4357"/>
      <c r="DC44" s="4357"/>
      <c r="DD44" s="4357"/>
      <c r="DE44" s="4357"/>
      <c r="DF44" s="4357"/>
      <c r="DG44" s="4357"/>
      <c r="DH44" s="4357"/>
      <c r="DI44" s="4357"/>
      <c r="DJ44" s="4357"/>
      <c r="DK44" s="4357"/>
      <c r="DL44" s="4357"/>
      <c r="DM44" s="4357"/>
      <c r="DN44" s="4357"/>
      <c r="DO44" s="4357"/>
      <c r="DP44" s="4357"/>
      <c r="DQ44" s="4357"/>
      <c r="DR44" s="4357"/>
      <c r="DS44" s="4357"/>
      <c r="DT44" s="4357"/>
      <c r="DU44" s="4357"/>
      <c r="DV44" s="4357"/>
      <c r="DW44" s="4357"/>
      <c r="DX44" s="4357"/>
      <c r="DY44" s="4357"/>
      <c r="DZ44" s="4357"/>
      <c r="EA44" s="4357"/>
      <c r="EB44" s="4357"/>
      <c r="EC44" s="4357"/>
      <c r="ED44" s="4357"/>
      <c r="EE44" s="4357"/>
      <c r="EF44" s="4357"/>
    </row>
    <row r="45" spans="1:136" ht="16" x14ac:dyDescent="0.2">
      <c r="A45" t="s">
        <v>2071</v>
      </c>
      <c r="B45" t="s">
        <v>2071</v>
      </c>
      <c r="C45">
        <f>'3.Cropland'!C29</f>
        <v>0</v>
      </c>
      <c r="D45" t="str">
        <f>'3.Cropland'!E29</f>
        <v>Default</v>
      </c>
      <c r="E45">
        <f>'3.Cropland'!Z29</f>
        <v>0</v>
      </c>
      <c r="F45" s="388">
        <v>0</v>
      </c>
      <c r="G45" s="388">
        <f>annual!J42-annual!I42</f>
        <v>0</v>
      </c>
      <c r="M45" s="388">
        <f>annual!AH20-annual!AG20</f>
        <v>0</v>
      </c>
      <c r="N45" s="388">
        <f>annual!AJ20-annual!AI20</f>
        <v>0</v>
      </c>
      <c r="U45" s="388">
        <f>annual!AF20-annual!AE20</f>
        <v>0</v>
      </c>
      <c r="AB45" t="str">
        <f t="shared" si="11"/>
        <v>ok</v>
      </c>
      <c r="AC45">
        <f>IF('3.Cropland'!BP29&lt;&gt;0,'3.Cropland'!BP29, '3.Cropland'!BO29)</f>
        <v>1</v>
      </c>
      <c r="AD45">
        <f t="shared" si="8"/>
        <v>5</v>
      </c>
      <c r="AE45" s="4357" t="str">
        <f>'3.Cropland'!S29</f>
        <v>D</v>
      </c>
      <c r="AF45" s="4357" t="str">
        <f>'3.Cropland'!U29</f>
        <v>D</v>
      </c>
      <c r="AG45" s="4357" t="str">
        <f t="shared" si="12"/>
        <v>D</v>
      </c>
      <c r="AH45" s="4357">
        <f>((E45/(time_cap+((AD45-AC45+1)*VLOOKUP(AG45,list!$I$48:$K$50,3, FALSE))))*(AD45-AC45+1)*VLOOKUP(AG45,list!$I$48:$K$50,3, FALSE))</f>
        <v>0</v>
      </c>
      <c r="AI45" s="4357">
        <f>((E45/(time_cap+((AD45-AC45+1)*VLOOKUP(AG45,list!$I$48:$K$50,3, FALSE))))*time_cap)</f>
        <v>0</v>
      </c>
      <c r="AK45" s="4357">
        <f t="shared" ref="AK45:BP45" si="79">IFERROR(IF((time+time_cap)&lt;AK$2, 0,IF(AND(time+1&gt;=AL$2, $AC45&lt;AL$2), IF($AG45= "I", $AH45/($AD45-$AC45+1), $AH45/(($AD45*($AD45+1)/2)-(($AC45-1)*($AC45-1+1)/2))*AK$2), 0)+IF(IF(time+1&gt;=AL$2, $AI45/time_cap/(time+1)*AK$2, 0) = 0, $AI45/(time_cap),0)),0)</f>
        <v>0</v>
      </c>
      <c r="AL45" s="4357">
        <f t="shared" si="79"/>
        <v>0</v>
      </c>
      <c r="AM45" s="4357">
        <f t="shared" si="79"/>
        <v>0</v>
      </c>
      <c r="AN45" s="4357">
        <f t="shared" si="79"/>
        <v>0</v>
      </c>
      <c r="AO45" s="4357">
        <f t="shared" si="79"/>
        <v>0</v>
      </c>
      <c r="AP45" s="4357">
        <f t="shared" si="79"/>
        <v>0</v>
      </c>
      <c r="AQ45" s="4357">
        <f t="shared" si="79"/>
        <v>0</v>
      </c>
      <c r="AR45" s="4357">
        <f t="shared" si="79"/>
        <v>0</v>
      </c>
      <c r="AS45" s="4357">
        <f t="shared" si="79"/>
        <v>0</v>
      </c>
      <c r="AT45" s="4357">
        <f t="shared" si="79"/>
        <v>0</v>
      </c>
      <c r="AU45" s="4357">
        <f t="shared" si="79"/>
        <v>0</v>
      </c>
      <c r="AV45" s="4357">
        <f t="shared" si="79"/>
        <v>0</v>
      </c>
      <c r="AW45" s="4357">
        <f t="shared" si="79"/>
        <v>0</v>
      </c>
      <c r="AX45" s="4357">
        <f t="shared" si="79"/>
        <v>0</v>
      </c>
      <c r="AY45" s="4357">
        <f t="shared" si="79"/>
        <v>0</v>
      </c>
      <c r="AZ45" s="4357">
        <f t="shared" si="79"/>
        <v>0</v>
      </c>
      <c r="BA45" s="4357">
        <f t="shared" si="79"/>
        <v>0</v>
      </c>
      <c r="BB45" s="4357">
        <f t="shared" si="79"/>
        <v>0</v>
      </c>
      <c r="BC45" s="4357">
        <f t="shared" si="79"/>
        <v>0</v>
      </c>
      <c r="BD45" s="4357">
        <f t="shared" si="79"/>
        <v>0</v>
      </c>
      <c r="BE45" s="4357">
        <f t="shared" si="79"/>
        <v>0</v>
      </c>
      <c r="BF45" s="4357">
        <f t="shared" si="79"/>
        <v>0</v>
      </c>
      <c r="BG45" s="4357">
        <f t="shared" si="79"/>
        <v>0</v>
      </c>
      <c r="BH45" s="4357">
        <f t="shared" si="79"/>
        <v>0</v>
      </c>
      <c r="BI45" s="4357">
        <f t="shared" si="79"/>
        <v>0</v>
      </c>
      <c r="BJ45" s="4357">
        <f t="shared" si="79"/>
        <v>0</v>
      </c>
      <c r="BK45" s="4357">
        <f t="shared" si="79"/>
        <v>0</v>
      </c>
      <c r="BL45" s="4357">
        <f t="shared" si="79"/>
        <v>0</v>
      </c>
      <c r="BM45" s="4357">
        <f t="shared" si="79"/>
        <v>0</v>
      </c>
      <c r="BN45" s="4357">
        <f t="shared" si="79"/>
        <v>0</v>
      </c>
      <c r="BO45" s="4357">
        <f t="shared" si="79"/>
        <v>0</v>
      </c>
      <c r="BP45" s="4357">
        <f t="shared" si="79"/>
        <v>0</v>
      </c>
      <c r="BQ45" s="4357">
        <f t="shared" ref="BQ45:CH45" si="80">IFERROR(IF((time+time_cap)&lt;BQ$2, 0,IF(AND(time+1&gt;=BR$2, $AC45&lt;BR$2), IF($AG45= "I", $AH45/($AD45-$AC45+1), $AH45/(($AD45*($AD45+1)/2)-(($AC45-1)*($AC45-1+1)/2))*BQ$2), 0)+IF(IF(time+1&gt;=BR$2, $AI45/time_cap/(time+1)*BQ$2, 0) = 0, $AI45/(time_cap),0)),0)</f>
        <v>0</v>
      </c>
      <c r="BR45" s="4357">
        <f t="shared" si="80"/>
        <v>0</v>
      </c>
      <c r="BS45" s="4357">
        <f t="shared" si="80"/>
        <v>0</v>
      </c>
      <c r="BT45" s="4357">
        <f t="shared" si="80"/>
        <v>0</v>
      </c>
      <c r="BU45" s="4357">
        <f t="shared" si="80"/>
        <v>0</v>
      </c>
      <c r="BV45" s="4357">
        <f t="shared" si="80"/>
        <v>0</v>
      </c>
      <c r="BW45" s="4357">
        <f t="shared" si="80"/>
        <v>0</v>
      </c>
      <c r="BX45" s="4357">
        <f t="shared" si="80"/>
        <v>0</v>
      </c>
      <c r="BY45" s="4357">
        <f t="shared" si="80"/>
        <v>0</v>
      </c>
      <c r="BZ45" s="4357">
        <f t="shared" si="80"/>
        <v>0</v>
      </c>
      <c r="CA45" s="4357">
        <f t="shared" si="80"/>
        <v>0</v>
      </c>
      <c r="CB45" s="4357">
        <f t="shared" si="80"/>
        <v>0</v>
      </c>
      <c r="CC45" s="4357">
        <f t="shared" si="80"/>
        <v>0</v>
      </c>
      <c r="CD45" s="4357">
        <f t="shared" si="80"/>
        <v>0</v>
      </c>
      <c r="CE45" s="4357">
        <f t="shared" si="80"/>
        <v>0</v>
      </c>
      <c r="CF45" s="4357">
        <f t="shared" si="80"/>
        <v>0</v>
      </c>
      <c r="CG45" s="4357">
        <f t="shared" si="80"/>
        <v>0</v>
      </c>
      <c r="CH45" s="4357">
        <f t="shared" si="80"/>
        <v>0</v>
      </c>
      <c r="CI45" s="4357"/>
      <c r="CJ45" s="4357"/>
      <c r="CK45" s="4357"/>
      <c r="CL45" s="4357"/>
      <c r="CM45" s="4357"/>
      <c r="CN45" s="4357"/>
      <c r="CO45" s="4357"/>
      <c r="CP45" s="4357"/>
      <c r="CQ45" s="4357"/>
      <c r="CR45" s="4357"/>
      <c r="CS45" s="4357"/>
      <c r="CT45" s="4357"/>
      <c r="CU45" s="4357"/>
      <c r="CV45" s="4357"/>
      <c r="CW45" s="4357"/>
      <c r="CX45" s="4357"/>
      <c r="CY45" s="4357"/>
      <c r="CZ45" s="4357"/>
      <c r="DA45" s="4357"/>
      <c r="DB45" s="4357"/>
      <c r="DC45" s="4357"/>
      <c r="DD45" s="4357"/>
      <c r="DE45" s="4357"/>
      <c r="DF45" s="4357"/>
      <c r="DG45" s="4357"/>
      <c r="DH45" s="4357"/>
      <c r="DI45" s="4357"/>
      <c r="DJ45" s="4357"/>
      <c r="DK45" s="4357"/>
      <c r="DL45" s="4357"/>
      <c r="DM45" s="4357"/>
      <c r="DN45" s="4357"/>
      <c r="DO45" s="4357"/>
      <c r="DP45" s="4357"/>
      <c r="DQ45" s="4357"/>
      <c r="DR45" s="4357"/>
      <c r="DS45" s="4357"/>
      <c r="DT45" s="4357"/>
      <c r="DU45" s="4357"/>
      <c r="DV45" s="4357"/>
      <c r="DW45" s="4357"/>
      <c r="DX45" s="4357"/>
      <c r="DY45" s="4357"/>
      <c r="DZ45" s="4357"/>
      <c r="EA45" s="4357"/>
      <c r="EB45" s="4357"/>
      <c r="EC45" s="4357"/>
      <c r="ED45" s="4357"/>
      <c r="EE45" s="4357"/>
      <c r="EF45" s="4357"/>
    </row>
    <row r="46" spans="1:136" ht="16" x14ac:dyDescent="0.2">
      <c r="A46" t="s">
        <v>2071</v>
      </c>
      <c r="B46" t="s">
        <v>2071</v>
      </c>
      <c r="C46">
        <f>'3.Cropland'!C30</f>
        <v>0</v>
      </c>
      <c r="D46" t="str">
        <f>'3.Cropland'!E30</f>
        <v>Default</v>
      </c>
      <c r="E46">
        <f>'3.Cropland'!Z30</f>
        <v>0</v>
      </c>
      <c r="F46" s="388">
        <v>0</v>
      </c>
      <c r="G46" s="388">
        <f>annual!J43-annual!I43</f>
        <v>0</v>
      </c>
      <c r="M46" s="388">
        <f>annual!AH21-annual!AG21</f>
        <v>0</v>
      </c>
      <c r="N46" s="388">
        <f>annual!AJ21-annual!AI21</f>
        <v>0</v>
      </c>
      <c r="U46" s="388">
        <f>annual!AF21-annual!AE21</f>
        <v>0</v>
      </c>
      <c r="AB46" t="str">
        <f t="shared" si="11"/>
        <v>ok</v>
      </c>
      <c r="AC46">
        <f>IF('3.Cropland'!BP30&lt;&gt;0,'3.Cropland'!BP30, '3.Cropland'!BO30)</f>
        <v>1</v>
      </c>
      <c r="AD46">
        <f t="shared" si="8"/>
        <v>5</v>
      </c>
      <c r="AE46" s="4357" t="str">
        <f>'3.Cropland'!S30</f>
        <v>D</v>
      </c>
      <c r="AF46" s="4357" t="str">
        <f>'3.Cropland'!U30</f>
        <v>D</v>
      </c>
      <c r="AG46" s="4357" t="str">
        <f t="shared" si="12"/>
        <v>D</v>
      </c>
      <c r="AH46" s="4357">
        <f>((E46/(time_cap+((AD46-AC46+1)*VLOOKUP(AG46,list!$I$48:$K$50,3, FALSE))))*(AD46-AC46+1)*VLOOKUP(AG46,list!$I$48:$K$50,3, FALSE))</f>
        <v>0</v>
      </c>
      <c r="AI46" s="4357">
        <f>((E46/(time_cap+((AD46-AC46+1)*VLOOKUP(AG46,list!$I$48:$K$50,3, FALSE))))*time_cap)</f>
        <v>0</v>
      </c>
      <c r="AK46" s="4357">
        <f t="shared" ref="AK46:BP46" si="81">IFERROR(IF((time+time_cap)&lt;AK$2, 0,IF(AND(time+1&gt;=AL$2, $AC46&lt;AL$2), IF($AG46= "I", $AH46/($AD46-$AC46+1), $AH46/(($AD46*($AD46+1)/2)-(($AC46-1)*($AC46-1+1)/2))*AK$2), 0)+IF(IF(time+1&gt;=AL$2, $AI46/time_cap/(time+1)*AK$2, 0) = 0, $AI46/(time_cap),0)),0)</f>
        <v>0</v>
      </c>
      <c r="AL46" s="4357">
        <f t="shared" si="81"/>
        <v>0</v>
      </c>
      <c r="AM46" s="4357">
        <f t="shared" si="81"/>
        <v>0</v>
      </c>
      <c r="AN46" s="4357">
        <f t="shared" si="81"/>
        <v>0</v>
      </c>
      <c r="AO46" s="4357">
        <f t="shared" si="81"/>
        <v>0</v>
      </c>
      <c r="AP46" s="4357">
        <f t="shared" si="81"/>
        <v>0</v>
      </c>
      <c r="AQ46" s="4357">
        <f t="shared" si="81"/>
        <v>0</v>
      </c>
      <c r="AR46" s="4357">
        <f t="shared" si="81"/>
        <v>0</v>
      </c>
      <c r="AS46" s="4357">
        <f t="shared" si="81"/>
        <v>0</v>
      </c>
      <c r="AT46" s="4357">
        <f t="shared" si="81"/>
        <v>0</v>
      </c>
      <c r="AU46" s="4357">
        <f t="shared" si="81"/>
        <v>0</v>
      </c>
      <c r="AV46" s="4357">
        <f t="shared" si="81"/>
        <v>0</v>
      </c>
      <c r="AW46" s="4357">
        <f t="shared" si="81"/>
        <v>0</v>
      </c>
      <c r="AX46" s="4357">
        <f t="shared" si="81"/>
        <v>0</v>
      </c>
      <c r="AY46" s="4357">
        <f t="shared" si="81"/>
        <v>0</v>
      </c>
      <c r="AZ46" s="4357">
        <f t="shared" si="81"/>
        <v>0</v>
      </c>
      <c r="BA46" s="4357">
        <f t="shared" si="81"/>
        <v>0</v>
      </c>
      <c r="BB46" s="4357">
        <f t="shared" si="81"/>
        <v>0</v>
      </c>
      <c r="BC46" s="4357">
        <f t="shared" si="81"/>
        <v>0</v>
      </c>
      <c r="BD46" s="4357">
        <f t="shared" si="81"/>
        <v>0</v>
      </c>
      <c r="BE46" s="4357">
        <f t="shared" si="81"/>
        <v>0</v>
      </c>
      <c r="BF46" s="4357">
        <f t="shared" si="81"/>
        <v>0</v>
      </c>
      <c r="BG46" s="4357">
        <f t="shared" si="81"/>
        <v>0</v>
      </c>
      <c r="BH46" s="4357">
        <f t="shared" si="81"/>
        <v>0</v>
      </c>
      <c r="BI46" s="4357">
        <f t="shared" si="81"/>
        <v>0</v>
      </c>
      <c r="BJ46" s="4357">
        <f t="shared" si="81"/>
        <v>0</v>
      </c>
      <c r="BK46" s="4357">
        <f t="shared" si="81"/>
        <v>0</v>
      </c>
      <c r="BL46" s="4357">
        <f t="shared" si="81"/>
        <v>0</v>
      </c>
      <c r="BM46" s="4357">
        <f t="shared" si="81"/>
        <v>0</v>
      </c>
      <c r="BN46" s="4357">
        <f t="shared" si="81"/>
        <v>0</v>
      </c>
      <c r="BO46" s="4357">
        <f t="shared" si="81"/>
        <v>0</v>
      </c>
      <c r="BP46" s="4357">
        <f t="shared" si="81"/>
        <v>0</v>
      </c>
      <c r="BQ46" s="4357">
        <f t="shared" ref="BQ46:CH46" si="82">IFERROR(IF((time+time_cap)&lt;BQ$2, 0,IF(AND(time+1&gt;=BR$2, $AC46&lt;BR$2), IF($AG46= "I", $AH46/($AD46-$AC46+1), $AH46/(($AD46*($AD46+1)/2)-(($AC46-1)*($AC46-1+1)/2))*BQ$2), 0)+IF(IF(time+1&gt;=BR$2, $AI46/time_cap/(time+1)*BQ$2, 0) = 0, $AI46/(time_cap),0)),0)</f>
        <v>0</v>
      </c>
      <c r="BR46" s="4357">
        <f t="shared" si="82"/>
        <v>0</v>
      </c>
      <c r="BS46" s="4357">
        <f t="shared" si="82"/>
        <v>0</v>
      </c>
      <c r="BT46" s="4357">
        <f t="shared" si="82"/>
        <v>0</v>
      </c>
      <c r="BU46" s="4357">
        <f t="shared" si="82"/>
        <v>0</v>
      </c>
      <c r="BV46" s="4357">
        <f t="shared" si="82"/>
        <v>0</v>
      </c>
      <c r="BW46" s="4357">
        <f t="shared" si="82"/>
        <v>0</v>
      </c>
      <c r="BX46" s="4357">
        <f t="shared" si="82"/>
        <v>0</v>
      </c>
      <c r="BY46" s="4357">
        <f t="shared" si="82"/>
        <v>0</v>
      </c>
      <c r="BZ46" s="4357">
        <f t="shared" si="82"/>
        <v>0</v>
      </c>
      <c r="CA46" s="4357">
        <f t="shared" si="82"/>
        <v>0</v>
      </c>
      <c r="CB46" s="4357">
        <f t="shared" si="82"/>
        <v>0</v>
      </c>
      <c r="CC46" s="4357">
        <f t="shared" si="82"/>
        <v>0</v>
      </c>
      <c r="CD46" s="4357">
        <f t="shared" si="82"/>
        <v>0</v>
      </c>
      <c r="CE46" s="4357">
        <f t="shared" si="82"/>
        <v>0</v>
      </c>
      <c r="CF46" s="4357">
        <f t="shared" si="82"/>
        <v>0</v>
      </c>
      <c r="CG46" s="4357">
        <f t="shared" si="82"/>
        <v>0</v>
      </c>
      <c r="CH46" s="4357">
        <f t="shared" si="82"/>
        <v>0</v>
      </c>
      <c r="CI46" s="4357"/>
      <c r="CJ46" s="4357"/>
      <c r="CK46" s="4357"/>
      <c r="CL46" s="4357"/>
      <c r="CM46" s="4357"/>
      <c r="CN46" s="4357"/>
      <c r="CO46" s="4357"/>
      <c r="CP46" s="4357"/>
      <c r="CQ46" s="4357"/>
      <c r="CR46" s="4357"/>
      <c r="CS46" s="4357"/>
      <c r="CT46" s="4357"/>
      <c r="CU46" s="4357"/>
      <c r="CV46" s="4357"/>
      <c r="CW46" s="4357"/>
      <c r="CX46" s="4357"/>
      <c r="CY46" s="4357"/>
      <c r="CZ46" s="4357"/>
      <c r="DA46" s="4357"/>
      <c r="DB46" s="4357"/>
      <c r="DC46" s="4357"/>
      <c r="DD46" s="4357"/>
      <c r="DE46" s="4357"/>
      <c r="DF46" s="4357"/>
      <c r="DG46" s="4357"/>
      <c r="DH46" s="4357"/>
      <c r="DI46" s="4357"/>
      <c r="DJ46" s="4357"/>
      <c r="DK46" s="4357"/>
      <c r="DL46" s="4357"/>
      <c r="DM46" s="4357"/>
      <c r="DN46" s="4357"/>
      <c r="DO46" s="4357"/>
      <c r="DP46" s="4357"/>
      <c r="DQ46" s="4357"/>
      <c r="DR46" s="4357"/>
      <c r="DS46" s="4357"/>
      <c r="DT46" s="4357"/>
      <c r="DU46" s="4357"/>
      <c r="DV46" s="4357"/>
      <c r="DW46" s="4357"/>
      <c r="DX46" s="4357"/>
      <c r="DY46" s="4357"/>
      <c r="DZ46" s="4357"/>
      <c r="EA46" s="4357"/>
      <c r="EB46" s="4357"/>
      <c r="EC46" s="4357"/>
      <c r="ED46" s="4357"/>
      <c r="EE46" s="4357"/>
      <c r="EF46" s="4357"/>
    </row>
    <row r="47" spans="1:136" ht="16" x14ac:dyDescent="0.2">
      <c r="A47" t="s">
        <v>2071</v>
      </c>
      <c r="B47" t="s">
        <v>2071</v>
      </c>
      <c r="C47">
        <f>'3.Cropland'!C31</f>
        <v>0</v>
      </c>
      <c r="D47" t="str">
        <f>'3.Cropland'!E31</f>
        <v>Default</v>
      </c>
      <c r="E47">
        <f>'3.Cropland'!Z31</f>
        <v>0</v>
      </c>
      <c r="F47" s="388">
        <v>0</v>
      </c>
      <c r="G47" s="388">
        <f>annual!J44-annual!I44</f>
        <v>0</v>
      </c>
      <c r="M47" s="388">
        <f>annual!AH22-annual!AG22</f>
        <v>0</v>
      </c>
      <c r="N47" s="388">
        <f>annual!AJ22-annual!AI22</f>
        <v>0</v>
      </c>
      <c r="U47" s="388">
        <f>annual!AF22-annual!AE22</f>
        <v>0</v>
      </c>
      <c r="AB47" t="str">
        <f t="shared" si="11"/>
        <v>ok</v>
      </c>
      <c r="AC47">
        <f>IF('3.Cropland'!BP31&lt;&gt;0,'3.Cropland'!BP31, '3.Cropland'!BO31)</f>
        <v>1</v>
      </c>
      <c r="AD47">
        <f t="shared" si="8"/>
        <v>5</v>
      </c>
      <c r="AE47" s="4357" t="str">
        <f>'3.Cropland'!S31</f>
        <v>D</v>
      </c>
      <c r="AF47" s="4357" t="str">
        <f>'3.Cropland'!U31</f>
        <v>D</v>
      </c>
      <c r="AG47" s="4357" t="str">
        <f t="shared" si="12"/>
        <v>D</v>
      </c>
      <c r="AH47" s="4357">
        <f>((E47/(time_cap+((AD47-AC47+1)*VLOOKUP(AG47,list!$I$48:$K$50,3, FALSE))))*(AD47-AC47+1)*VLOOKUP(AG47,list!$I$48:$K$50,3, FALSE))</f>
        <v>0</v>
      </c>
      <c r="AI47" s="4357">
        <f>((E47/(time_cap+((AD47-AC47+1)*VLOOKUP(AG47,list!$I$48:$K$50,3, FALSE))))*time_cap)</f>
        <v>0</v>
      </c>
      <c r="AK47" s="4357">
        <f t="shared" ref="AK47:BP47" si="83">IFERROR(IF((time+time_cap)&lt;AK$2, 0,IF(AND(time+1&gt;=AL$2, $AC47&lt;AL$2), IF($AG47= "I", $AH47/($AD47-$AC47+1), $AH47/(($AD47*($AD47+1)/2)-(($AC47-1)*($AC47-1+1)/2))*AK$2), 0)+IF(IF(time+1&gt;=AL$2, $AI47/time_cap/(time+1)*AK$2, 0) = 0, $AI47/(time_cap),0)),0)</f>
        <v>0</v>
      </c>
      <c r="AL47" s="4357">
        <f t="shared" si="83"/>
        <v>0</v>
      </c>
      <c r="AM47" s="4357">
        <f t="shared" si="83"/>
        <v>0</v>
      </c>
      <c r="AN47" s="4357">
        <f t="shared" si="83"/>
        <v>0</v>
      </c>
      <c r="AO47" s="4357">
        <f t="shared" si="83"/>
        <v>0</v>
      </c>
      <c r="AP47" s="4357">
        <f t="shared" si="83"/>
        <v>0</v>
      </c>
      <c r="AQ47" s="4357">
        <f t="shared" si="83"/>
        <v>0</v>
      </c>
      <c r="AR47" s="4357">
        <f t="shared" si="83"/>
        <v>0</v>
      </c>
      <c r="AS47" s="4357">
        <f t="shared" si="83"/>
        <v>0</v>
      </c>
      <c r="AT47" s="4357">
        <f t="shared" si="83"/>
        <v>0</v>
      </c>
      <c r="AU47" s="4357">
        <f t="shared" si="83"/>
        <v>0</v>
      </c>
      <c r="AV47" s="4357">
        <f t="shared" si="83"/>
        <v>0</v>
      </c>
      <c r="AW47" s="4357">
        <f t="shared" si="83"/>
        <v>0</v>
      </c>
      <c r="AX47" s="4357">
        <f t="shared" si="83"/>
        <v>0</v>
      </c>
      <c r="AY47" s="4357">
        <f t="shared" si="83"/>
        <v>0</v>
      </c>
      <c r="AZ47" s="4357">
        <f t="shared" si="83"/>
        <v>0</v>
      </c>
      <c r="BA47" s="4357">
        <f t="shared" si="83"/>
        <v>0</v>
      </c>
      <c r="BB47" s="4357">
        <f t="shared" si="83"/>
        <v>0</v>
      </c>
      <c r="BC47" s="4357">
        <f t="shared" si="83"/>
        <v>0</v>
      </c>
      <c r="BD47" s="4357">
        <f t="shared" si="83"/>
        <v>0</v>
      </c>
      <c r="BE47" s="4357">
        <f t="shared" si="83"/>
        <v>0</v>
      </c>
      <c r="BF47" s="4357">
        <f t="shared" si="83"/>
        <v>0</v>
      </c>
      <c r="BG47" s="4357">
        <f t="shared" si="83"/>
        <v>0</v>
      </c>
      <c r="BH47" s="4357">
        <f t="shared" si="83"/>
        <v>0</v>
      </c>
      <c r="BI47" s="4357">
        <f t="shared" si="83"/>
        <v>0</v>
      </c>
      <c r="BJ47" s="4357">
        <f t="shared" si="83"/>
        <v>0</v>
      </c>
      <c r="BK47" s="4357">
        <f t="shared" si="83"/>
        <v>0</v>
      </c>
      <c r="BL47" s="4357">
        <f t="shared" si="83"/>
        <v>0</v>
      </c>
      <c r="BM47" s="4357">
        <f t="shared" si="83"/>
        <v>0</v>
      </c>
      <c r="BN47" s="4357">
        <f t="shared" si="83"/>
        <v>0</v>
      </c>
      <c r="BO47" s="4357">
        <f t="shared" si="83"/>
        <v>0</v>
      </c>
      <c r="BP47" s="4357">
        <f t="shared" si="83"/>
        <v>0</v>
      </c>
      <c r="BQ47" s="4357">
        <f t="shared" ref="BQ47:CH47" si="84">IFERROR(IF((time+time_cap)&lt;BQ$2, 0,IF(AND(time+1&gt;=BR$2, $AC47&lt;BR$2), IF($AG47= "I", $AH47/($AD47-$AC47+1), $AH47/(($AD47*($AD47+1)/2)-(($AC47-1)*($AC47-1+1)/2))*BQ$2), 0)+IF(IF(time+1&gt;=BR$2, $AI47/time_cap/(time+1)*BQ$2, 0) = 0, $AI47/(time_cap),0)),0)</f>
        <v>0</v>
      </c>
      <c r="BR47" s="4357">
        <f t="shared" si="84"/>
        <v>0</v>
      </c>
      <c r="BS47" s="4357">
        <f t="shared" si="84"/>
        <v>0</v>
      </c>
      <c r="BT47" s="4357">
        <f t="shared" si="84"/>
        <v>0</v>
      </c>
      <c r="BU47" s="4357">
        <f t="shared" si="84"/>
        <v>0</v>
      </c>
      <c r="BV47" s="4357">
        <f t="shared" si="84"/>
        <v>0</v>
      </c>
      <c r="BW47" s="4357">
        <f t="shared" si="84"/>
        <v>0</v>
      </c>
      <c r="BX47" s="4357">
        <f t="shared" si="84"/>
        <v>0</v>
      </c>
      <c r="BY47" s="4357">
        <f t="shared" si="84"/>
        <v>0</v>
      </c>
      <c r="BZ47" s="4357">
        <f t="shared" si="84"/>
        <v>0</v>
      </c>
      <c r="CA47" s="4357">
        <f t="shared" si="84"/>
        <v>0</v>
      </c>
      <c r="CB47" s="4357">
        <f t="shared" si="84"/>
        <v>0</v>
      </c>
      <c r="CC47" s="4357">
        <f t="shared" si="84"/>
        <v>0</v>
      </c>
      <c r="CD47" s="4357">
        <f t="shared" si="84"/>
        <v>0</v>
      </c>
      <c r="CE47" s="4357">
        <f t="shared" si="84"/>
        <v>0</v>
      </c>
      <c r="CF47" s="4357">
        <f t="shared" si="84"/>
        <v>0</v>
      </c>
      <c r="CG47" s="4357">
        <f t="shared" si="84"/>
        <v>0</v>
      </c>
      <c r="CH47" s="4357">
        <f t="shared" si="84"/>
        <v>0</v>
      </c>
      <c r="CI47" s="4357"/>
      <c r="CJ47" s="4357"/>
      <c r="CK47" s="4357"/>
      <c r="CL47" s="4357"/>
      <c r="CM47" s="4357"/>
      <c r="CN47" s="4357"/>
      <c r="CO47" s="4357"/>
      <c r="CP47" s="4357"/>
      <c r="CQ47" s="4357"/>
      <c r="CR47" s="4357"/>
      <c r="CS47" s="4357"/>
      <c r="CT47" s="4357"/>
      <c r="CU47" s="4357"/>
      <c r="CV47" s="4357"/>
      <c r="CW47" s="4357"/>
      <c r="CX47" s="4357"/>
      <c r="CY47" s="4357"/>
      <c r="CZ47" s="4357"/>
      <c r="DA47" s="4357"/>
      <c r="DB47" s="4357"/>
      <c r="DC47" s="4357"/>
      <c r="DD47" s="4357"/>
      <c r="DE47" s="4357"/>
      <c r="DF47" s="4357"/>
      <c r="DG47" s="4357"/>
      <c r="DH47" s="4357"/>
      <c r="DI47" s="4357"/>
      <c r="DJ47" s="4357"/>
      <c r="DK47" s="4357"/>
      <c r="DL47" s="4357"/>
      <c r="DM47" s="4357"/>
      <c r="DN47" s="4357"/>
      <c r="DO47" s="4357"/>
      <c r="DP47" s="4357"/>
      <c r="DQ47" s="4357"/>
      <c r="DR47" s="4357"/>
      <c r="DS47" s="4357"/>
      <c r="DT47" s="4357"/>
      <c r="DU47" s="4357"/>
      <c r="DV47" s="4357"/>
      <c r="DW47" s="4357"/>
      <c r="DX47" s="4357"/>
      <c r="DY47" s="4357"/>
      <c r="DZ47" s="4357"/>
      <c r="EA47" s="4357"/>
      <c r="EB47" s="4357"/>
      <c r="EC47" s="4357"/>
      <c r="ED47" s="4357"/>
      <c r="EE47" s="4357"/>
      <c r="EF47" s="4357"/>
    </row>
    <row r="48" spans="1:136" ht="16" x14ac:dyDescent="0.2">
      <c r="A48" t="s">
        <v>2071</v>
      </c>
      <c r="B48" t="s">
        <v>2071</v>
      </c>
      <c r="C48">
        <f>'3.Cropland'!C32</f>
        <v>0</v>
      </c>
      <c r="D48" t="str">
        <f>'3.Cropland'!E32</f>
        <v>Default</v>
      </c>
      <c r="E48">
        <f>'3.Cropland'!Z32</f>
        <v>0</v>
      </c>
      <c r="F48" s="388">
        <v>0</v>
      </c>
      <c r="G48" s="388">
        <f>annual!J45-annual!I45</f>
        <v>0</v>
      </c>
      <c r="M48" s="388">
        <f>annual!AH23-annual!AG23</f>
        <v>0</v>
      </c>
      <c r="N48" s="388">
        <f>annual!AJ23-annual!AI23</f>
        <v>0</v>
      </c>
      <c r="U48" s="388">
        <f>annual!AF23-annual!AE23</f>
        <v>0</v>
      </c>
      <c r="AB48" t="str">
        <f t="shared" si="11"/>
        <v>ok</v>
      </c>
      <c r="AC48">
        <f>IF('3.Cropland'!BP32&lt;&gt;0,'3.Cropland'!BP32, '3.Cropland'!BO32)</f>
        <v>1</v>
      </c>
      <c r="AD48">
        <f t="shared" si="8"/>
        <v>5</v>
      </c>
      <c r="AE48" s="4357" t="str">
        <f>'3.Cropland'!S32</f>
        <v>D</v>
      </c>
      <c r="AF48" s="4357" t="str">
        <f>'3.Cropland'!U32</f>
        <v>D</v>
      </c>
      <c r="AG48" s="4357" t="str">
        <f t="shared" si="12"/>
        <v>D</v>
      </c>
      <c r="AH48" s="4357">
        <f>((E48/(time_cap+((AD48-AC48+1)*VLOOKUP(AG48,list!$I$48:$K$50,3, FALSE))))*(AD48-AC48+1)*VLOOKUP(AG48,list!$I$48:$K$50,3, FALSE))</f>
        <v>0</v>
      </c>
      <c r="AI48" s="4357">
        <f>((E48/(time_cap+((AD48-AC48+1)*VLOOKUP(AG48,list!$I$48:$K$50,3, FALSE))))*time_cap)</f>
        <v>0</v>
      </c>
      <c r="AK48" s="4357">
        <f t="shared" ref="AK48:BP48" si="85">IFERROR(IF((time+time_cap)&lt;AK$2, 0,IF(AND(time+1&gt;=AL$2, $AC48&lt;AL$2), IF($AG48= "I", $AH48/($AD48-$AC48+1), $AH48/(($AD48*($AD48+1)/2)-(($AC48-1)*($AC48-1+1)/2))*AK$2), 0)+IF(IF(time+1&gt;=AL$2, $AI48/time_cap/(time+1)*AK$2, 0) = 0, $AI48/(time_cap),0)),0)</f>
        <v>0</v>
      </c>
      <c r="AL48" s="4357">
        <f t="shared" si="85"/>
        <v>0</v>
      </c>
      <c r="AM48" s="4357">
        <f t="shared" si="85"/>
        <v>0</v>
      </c>
      <c r="AN48" s="4357">
        <f t="shared" si="85"/>
        <v>0</v>
      </c>
      <c r="AO48" s="4357">
        <f t="shared" si="85"/>
        <v>0</v>
      </c>
      <c r="AP48" s="4357">
        <f t="shared" si="85"/>
        <v>0</v>
      </c>
      <c r="AQ48" s="4357">
        <f t="shared" si="85"/>
        <v>0</v>
      </c>
      <c r="AR48" s="4357">
        <f t="shared" si="85"/>
        <v>0</v>
      </c>
      <c r="AS48" s="4357">
        <f t="shared" si="85"/>
        <v>0</v>
      </c>
      <c r="AT48" s="4357">
        <f t="shared" si="85"/>
        <v>0</v>
      </c>
      <c r="AU48" s="4357">
        <f t="shared" si="85"/>
        <v>0</v>
      </c>
      <c r="AV48" s="4357">
        <f t="shared" si="85"/>
        <v>0</v>
      </c>
      <c r="AW48" s="4357">
        <f t="shared" si="85"/>
        <v>0</v>
      </c>
      <c r="AX48" s="4357">
        <f t="shared" si="85"/>
        <v>0</v>
      </c>
      <c r="AY48" s="4357">
        <f t="shared" si="85"/>
        <v>0</v>
      </c>
      <c r="AZ48" s="4357">
        <f t="shared" si="85"/>
        <v>0</v>
      </c>
      <c r="BA48" s="4357">
        <f t="shared" si="85"/>
        <v>0</v>
      </c>
      <c r="BB48" s="4357">
        <f t="shared" si="85"/>
        <v>0</v>
      </c>
      <c r="BC48" s="4357">
        <f t="shared" si="85"/>
        <v>0</v>
      </c>
      <c r="BD48" s="4357">
        <f t="shared" si="85"/>
        <v>0</v>
      </c>
      <c r="BE48" s="4357">
        <f t="shared" si="85"/>
        <v>0</v>
      </c>
      <c r="BF48" s="4357">
        <f t="shared" si="85"/>
        <v>0</v>
      </c>
      <c r="BG48" s="4357">
        <f t="shared" si="85"/>
        <v>0</v>
      </c>
      <c r="BH48" s="4357">
        <f t="shared" si="85"/>
        <v>0</v>
      </c>
      <c r="BI48" s="4357">
        <f t="shared" si="85"/>
        <v>0</v>
      </c>
      <c r="BJ48" s="4357">
        <f t="shared" si="85"/>
        <v>0</v>
      </c>
      <c r="BK48" s="4357">
        <f t="shared" si="85"/>
        <v>0</v>
      </c>
      <c r="BL48" s="4357">
        <f t="shared" si="85"/>
        <v>0</v>
      </c>
      <c r="BM48" s="4357">
        <f t="shared" si="85"/>
        <v>0</v>
      </c>
      <c r="BN48" s="4357">
        <f t="shared" si="85"/>
        <v>0</v>
      </c>
      <c r="BO48" s="4357">
        <f t="shared" si="85"/>
        <v>0</v>
      </c>
      <c r="BP48" s="4357">
        <f t="shared" si="85"/>
        <v>0</v>
      </c>
      <c r="BQ48" s="4357">
        <f t="shared" ref="BQ48:CH48" si="86">IFERROR(IF((time+time_cap)&lt;BQ$2, 0,IF(AND(time+1&gt;=BR$2, $AC48&lt;BR$2), IF($AG48= "I", $AH48/($AD48-$AC48+1), $AH48/(($AD48*($AD48+1)/2)-(($AC48-1)*($AC48-1+1)/2))*BQ$2), 0)+IF(IF(time+1&gt;=BR$2, $AI48/time_cap/(time+1)*BQ$2, 0) = 0, $AI48/(time_cap),0)),0)</f>
        <v>0</v>
      </c>
      <c r="BR48" s="4357">
        <f t="shared" si="86"/>
        <v>0</v>
      </c>
      <c r="BS48" s="4357">
        <f t="shared" si="86"/>
        <v>0</v>
      </c>
      <c r="BT48" s="4357">
        <f t="shared" si="86"/>
        <v>0</v>
      </c>
      <c r="BU48" s="4357">
        <f t="shared" si="86"/>
        <v>0</v>
      </c>
      <c r="BV48" s="4357">
        <f t="shared" si="86"/>
        <v>0</v>
      </c>
      <c r="BW48" s="4357">
        <f t="shared" si="86"/>
        <v>0</v>
      </c>
      <c r="BX48" s="4357">
        <f t="shared" si="86"/>
        <v>0</v>
      </c>
      <c r="BY48" s="4357">
        <f t="shared" si="86"/>
        <v>0</v>
      </c>
      <c r="BZ48" s="4357">
        <f t="shared" si="86"/>
        <v>0</v>
      </c>
      <c r="CA48" s="4357">
        <f t="shared" si="86"/>
        <v>0</v>
      </c>
      <c r="CB48" s="4357">
        <f t="shared" si="86"/>
        <v>0</v>
      </c>
      <c r="CC48" s="4357">
        <f t="shared" si="86"/>
        <v>0</v>
      </c>
      <c r="CD48" s="4357">
        <f t="shared" si="86"/>
        <v>0</v>
      </c>
      <c r="CE48" s="4357">
        <f t="shared" si="86"/>
        <v>0</v>
      </c>
      <c r="CF48" s="4357">
        <f t="shared" si="86"/>
        <v>0</v>
      </c>
      <c r="CG48" s="4357">
        <f t="shared" si="86"/>
        <v>0</v>
      </c>
      <c r="CH48" s="4357">
        <f t="shared" si="86"/>
        <v>0</v>
      </c>
      <c r="CI48" s="4357"/>
      <c r="CJ48" s="4357"/>
      <c r="CK48" s="4357"/>
      <c r="CL48" s="4357"/>
      <c r="CM48" s="4357"/>
      <c r="CN48" s="4357"/>
      <c r="CO48" s="4357"/>
      <c r="CP48" s="4357"/>
      <c r="CQ48" s="4357"/>
      <c r="CR48" s="4357"/>
      <c r="CS48" s="4357"/>
      <c r="CT48" s="4357"/>
      <c r="CU48" s="4357"/>
      <c r="CV48" s="4357"/>
      <c r="CW48" s="4357"/>
      <c r="CX48" s="4357"/>
      <c r="CY48" s="4357"/>
      <c r="CZ48" s="4357"/>
      <c r="DA48" s="4357"/>
      <c r="DB48" s="4357"/>
      <c r="DC48" s="4357"/>
      <c r="DD48" s="4357"/>
      <c r="DE48" s="4357"/>
      <c r="DF48" s="4357"/>
      <c r="DG48" s="4357"/>
      <c r="DH48" s="4357"/>
      <c r="DI48" s="4357"/>
      <c r="DJ48" s="4357"/>
      <c r="DK48" s="4357"/>
      <c r="DL48" s="4357"/>
      <c r="DM48" s="4357"/>
      <c r="DN48" s="4357"/>
      <c r="DO48" s="4357"/>
      <c r="DP48" s="4357"/>
      <c r="DQ48" s="4357"/>
      <c r="DR48" s="4357"/>
      <c r="DS48" s="4357"/>
      <c r="DT48" s="4357"/>
      <c r="DU48" s="4357"/>
      <c r="DV48" s="4357"/>
      <c r="DW48" s="4357"/>
      <c r="DX48" s="4357"/>
      <c r="DY48" s="4357"/>
      <c r="DZ48" s="4357"/>
      <c r="EA48" s="4357"/>
      <c r="EB48" s="4357"/>
      <c r="EC48" s="4357"/>
      <c r="ED48" s="4357"/>
      <c r="EE48" s="4357"/>
      <c r="EF48" s="4357"/>
    </row>
    <row r="49" spans="1:136" ht="16" x14ac:dyDescent="0.2">
      <c r="A49" t="s">
        <v>2071</v>
      </c>
      <c r="B49" t="s">
        <v>2071</v>
      </c>
      <c r="C49">
        <f>'3.Cropland'!C33</f>
        <v>0</v>
      </c>
      <c r="D49" t="str">
        <f>'3.Cropland'!E33</f>
        <v>Default</v>
      </c>
      <c r="E49">
        <f>'3.Cropland'!Z33</f>
        <v>0</v>
      </c>
      <c r="F49" s="388">
        <v>0</v>
      </c>
      <c r="G49" s="388">
        <f>annual!J46-annual!I46</f>
        <v>0</v>
      </c>
      <c r="M49" s="388">
        <f>annual!AH24-annual!AG24</f>
        <v>0</v>
      </c>
      <c r="N49" s="388">
        <f>annual!AJ24-annual!AI24</f>
        <v>0</v>
      </c>
      <c r="U49" s="388">
        <f>annual!AF24-annual!AE24</f>
        <v>0</v>
      </c>
      <c r="AB49" t="str">
        <f t="shared" si="11"/>
        <v>ok</v>
      </c>
      <c r="AC49">
        <f>IF('3.Cropland'!BP33&lt;&gt;0,'3.Cropland'!BP33, '3.Cropland'!BO33)</f>
        <v>1</v>
      </c>
      <c r="AD49">
        <f t="shared" si="8"/>
        <v>5</v>
      </c>
      <c r="AE49" s="4357" t="str">
        <f>'3.Cropland'!S33</f>
        <v>D</v>
      </c>
      <c r="AF49" s="4357" t="str">
        <f>'3.Cropland'!U33</f>
        <v>D</v>
      </c>
      <c r="AG49" s="4357" t="str">
        <f t="shared" si="12"/>
        <v>D</v>
      </c>
      <c r="AH49" s="4357">
        <f>((E49/(time_cap+((AD49-AC49+1)*VLOOKUP(AG49,list!$I$48:$K$50,3, FALSE))))*(AD49-AC49+1)*VLOOKUP(AG49,list!$I$48:$K$50,3, FALSE))</f>
        <v>0</v>
      </c>
      <c r="AI49" s="4357">
        <f>((E49/(time_cap+((AD49-AC49+1)*VLOOKUP(AG49,list!$I$48:$K$50,3, FALSE))))*time_cap)</f>
        <v>0</v>
      </c>
      <c r="AK49" s="4357">
        <f t="shared" ref="AK49:BP49" si="87">IFERROR(IF((time+time_cap)&lt;AK$2, 0,IF(AND(time+1&gt;=AL$2, $AC49&lt;AL$2), IF($AG49= "I", $AH49/($AD49-$AC49+1), $AH49/(($AD49*($AD49+1)/2)-(($AC49-1)*($AC49-1+1)/2))*AK$2), 0)+IF(IF(time+1&gt;=AL$2, $AI49/time_cap/(time+1)*AK$2, 0) = 0, $AI49/(time_cap),0)),0)</f>
        <v>0</v>
      </c>
      <c r="AL49" s="4357">
        <f t="shared" si="87"/>
        <v>0</v>
      </c>
      <c r="AM49" s="4357">
        <f t="shared" si="87"/>
        <v>0</v>
      </c>
      <c r="AN49" s="4357">
        <f t="shared" si="87"/>
        <v>0</v>
      </c>
      <c r="AO49" s="4357">
        <f t="shared" si="87"/>
        <v>0</v>
      </c>
      <c r="AP49" s="4357">
        <f t="shared" si="87"/>
        <v>0</v>
      </c>
      <c r="AQ49" s="4357">
        <f t="shared" si="87"/>
        <v>0</v>
      </c>
      <c r="AR49" s="4357">
        <f t="shared" si="87"/>
        <v>0</v>
      </c>
      <c r="AS49" s="4357">
        <f t="shared" si="87"/>
        <v>0</v>
      </c>
      <c r="AT49" s="4357">
        <f t="shared" si="87"/>
        <v>0</v>
      </c>
      <c r="AU49" s="4357">
        <f t="shared" si="87"/>
        <v>0</v>
      </c>
      <c r="AV49" s="4357">
        <f t="shared" si="87"/>
        <v>0</v>
      </c>
      <c r="AW49" s="4357">
        <f t="shared" si="87"/>
        <v>0</v>
      </c>
      <c r="AX49" s="4357">
        <f t="shared" si="87"/>
        <v>0</v>
      </c>
      <c r="AY49" s="4357">
        <f t="shared" si="87"/>
        <v>0</v>
      </c>
      <c r="AZ49" s="4357">
        <f t="shared" si="87"/>
        <v>0</v>
      </c>
      <c r="BA49" s="4357">
        <f t="shared" si="87"/>
        <v>0</v>
      </c>
      <c r="BB49" s="4357">
        <f t="shared" si="87"/>
        <v>0</v>
      </c>
      <c r="BC49" s="4357">
        <f t="shared" si="87"/>
        <v>0</v>
      </c>
      <c r="BD49" s="4357">
        <f t="shared" si="87"/>
        <v>0</v>
      </c>
      <c r="BE49" s="4357">
        <f t="shared" si="87"/>
        <v>0</v>
      </c>
      <c r="BF49" s="4357">
        <f t="shared" si="87"/>
        <v>0</v>
      </c>
      <c r="BG49" s="4357">
        <f t="shared" si="87"/>
        <v>0</v>
      </c>
      <c r="BH49" s="4357">
        <f t="shared" si="87"/>
        <v>0</v>
      </c>
      <c r="BI49" s="4357">
        <f t="shared" si="87"/>
        <v>0</v>
      </c>
      <c r="BJ49" s="4357">
        <f t="shared" si="87"/>
        <v>0</v>
      </c>
      <c r="BK49" s="4357">
        <f t="shared" si="87"/>
        <v>0</v>
      </c>
      <c r="BL49" s="4357">
        <f t="shared" si="87"/>
        <v>0</v>
      </c>
      <c r="BM49" s="4357">
        <f t="shared" si="87"/>
        <v>0</v>
      </c>
      <c r="BN49" s="4357">
        <f t="shared" si="87"/>
        <v>0</v>
      </c>
      <c r="BO49" s="4357">
        <f t="shared" si="87"/>
        <v>0</v>
      </c>
      <c r="BP49" s="4357">
        <f t="shared" si="87"/>
        <v>0</v>
      </c>
      <c r="BQ49" s="4357">
        <f t="shared" ref="BQ49:CH49" si="88">IFERROR(IF((time+time_cap)&lt;BQ$2, 0,IF(AND(time+1&gt;=BR$2, $AC49&lt;BR$2), IF($AG49= "I", $AH49/($AD49-$AC49+1), $AH49/(($AD49*($AD49+1)/2)-(($AC49-1)*($AC49-1+1)/2))*BQ$2), 0)+IF(IF(time+1&gt;=BR$2, $AI49/time_cap/(time+1)*BQ$2, 0) = 0, $AI49/(time_cap),0)),0)</f>
        <v>0</v>
      </c>
      <c r="BR49" s="4357">
        <f t="shared" si="88"/>
        <v>0</v>
      </c>
      <c r="BS49" s="4357">
        <f t="shared" si="88"/>
        <v>0</v>
      </c>
      <c r="BT49" s="4357">
        <f t="shared" si="88"/>
        <v>0</v>
      </c>
      <c r="BU49" s="4357">
        <f t="shared" si="88"/>
        <v>0</v>
      </c>
      <c r="BV49" s="4357">
        <f t="shared" si="88"/>
        <v>0</v>
      </c>
      <c r="BW49" s="4357">
        <f t="shared" si="88"/>
        <v>0</v>
      </c>
      <c r="BX49" s="4357">
        <f t="shared" si="88"/>
        <v>0</v>
      </c>
      <c r="BY49" s="4357">
        <f t="shared" si="88"/>
        <v>0</v>
      </c>
      <c r="BZ49" s="4357">
        <f t="shared" si="88"/>
        <v>0</v>
      </c>
      <c r="CA49" s="4357">
        <f t="shared" si="88"/>
        <v>0</v>
      </c>
      <c r="CB49" s="4357">
        <f t="shared" si="88"/>
        <v>0</v>
      </c>
      <c r="CC49" s="4357">
        <f t="shared" si="88"/>
        <v>0</v>
      </c>
      <c r="CD49" s="4357">
        <f t="shared" si="88"/>
        <v>0</v>
      </c>
      <c r="CE49" s="4357">
        <f t="shared" si="88"/>
        <v>0</v>
      </c>
      <c r="CF49" s="4357">
        <f t="shared" si="88"/>
        <v>0</v>
      </c>
      <c r="CG49" s="4357">
        <f t="shared" si="88"/>
        <v>0</v>
      </c>
      <c r="CH49" s="4357">
        <f t="shared" si="88"/>
        <v>0</v>
      </c>
      <c r="CI49" s="4357"/>
      <c r="CJ49" s="4357"/>
      <c r="CK49" s="4357"/>
      <c r="CL49" s="4357"/>
      <c r="CM49" s="4357"/>
      <c r="CN49" s="4357"/>
      <c r="CO49" s="4357"/>
      <c r="CP49" s="4357"/>
      <c r="CQ49" s="4357"/>
      <c r="CR49" s="4357"/>
      <c r="CS49" s="4357"/>
      <c r="CT49" s="4357"/>
      <c r="CU49" s="4357"/>
      <c r="CV49" s="4357"/>
      <c r="CW49" s="4357"/>
      <c r="CX49" s="4357"/>
      <c r="CY49" s="4357"/>
      <c r="CZ49" s="4357"/>
      <c r="DA49" s="4357"/>
      <c r="DB49" s="4357"/>
      <c r="DC49" s="4357"/>
      <c r="DD49" s="4357"/>
      <c r="DE49" s="4357"/>
      <c r="DF49" s="4357"/>
      <c r="DG49" s="4357"/>
      <c r="DH49" s="4357"/>
      <c r="DI49" s="4357"/>
      <c r="DJ49" s="4357"/>
      <c r="DK49" s="4357"/>
      <c r="DL49" s="4357"/>
      <c r="DM49" s="4357"/>
      <c r="DN49" s="4357"/>
      <c r="DO49" s="4357"/>
      <c r="DP49" s="4357"/>
      <c r="DQ49" s="4357"/>
      <c r="DR49" s="4357"/>
      <c r="DS49" s="4357"/>
      <c r="DT49" s="4357"/>
      <c r="DU49" s="4357"/>
      <c r="DV49" s="4357"/>
      <c r="DW49" s="4357"/>
      <c r="DX49" s="4357"/>
      <c r="DY49" s="4357"/>
      <c r="DZ49" s="4357"/>
      <c r="EA49" s="4357"/>
      <c r="EB49" s="4357"/>
      <c r="EC49" s="4357"/>
      <c r="ED49" s="4357"/>
      <c r="EE49" s="4357"/>
      <c r="EF49" s="4357"/>
    </row>
    <row r="50" spans="1:136" ht="16" x14ac:dyDescent="0.2">
      <c r="A50" t="s">
        <v>2071</v>
      </c>
      <c r="B50" t="s">
        <v>2071</v>
      </c>
      <c r="C50">
        <f>'3.Cropland'!C34</f>
        <v>0</v>
      </c>
      <c r="D50" t="str">
        <f>'3.Cropland'!E34</f>
        <v>Default</v>
      </c>
      <c r="E50">
        <f>'3.Cropland'!Z34</f>
        <v>0</v>
      </c>
      <c r="F50" s="388">
        <v>0</v>
      </c>
      <c r="G50" s="388">
        <f>annual!J47-annual!I47</f>
        <v>0</v>
      </c>
      <c r="M50" s="388">
        <f>annual!AH25-annual!AG25</f>
        <v>0</v>
      </c>
      <c r="N50" s="388">
        <f>annual!AJ25-annual!AI25</f>
        <v>0</v>
      </c>
      <c r="U50" s="388">
        <f>annual!AF25-annual!AE25</f>
        <v>0</v>
      </c>
      <c r="AB50" t="str">
        <f t="shared" si="11"/>
        <v>ok</v>
      </c>
      <c r="AC50">
        <f>IF('3.Cropland'!BP34&lt;&gt;0,'3.Cropland'!BP34, '3.Cropland'!BO34)</f>
        <v>1</v>
      </c>
      <c r="AD50">
        <f t="shared" si="8"/>
        <v>5</v>
      </c>
      <c r="AE50" s="4357" t="str">
        <f>'3.Cropland'!S34</f>
        <v>D</v>
      </c>
      <c r="AF50" s="4357" t="str">
        <f>'3.Cropland'!U34</f>
        <v>D</v>
      </c>
      <c r="AG50" s="4357" t="str">
        <f t="shared" si="12"/>
        <v>D</v>
      </c>
      <c r="AH50" s="4357">
        <f>((E50/(time_cap+((AD50-AC50+1)*VLOOKUP(AG50,list!$I$48:$K$50,3, FALSE))))*(AD50-AC50+1)*VLOOKUP(AG50,list!$I$48:$K$50,3, FALSE))</f>
        <v>0</v>
      </c>
      <c r="AI50" s="4357">
        <f>((E50/(time_cap+((AD50-AC50+1)*VLOOKUP(AG50,list!$I$48:$K$50,3, FALSE))))*time_cap)</f>
        <v>0</v>
      </c>
      <c r="AK50" s="4357">
        <f t="shared" ref="AK50:BP50" si="89">IFERROR(IF((time+time_cap)&lt;AK$2, 0,IF(AND(time+1&gt;=AL$2, $AC50&lt;AL$2), IF($AG50= "I", $AH50/($AD50-$AC50+1), $AH50/(($AD50*($AD50+1)/2)-(($AC50-1)*($AC50-1+1)/2))*AK$2), 0)+IF(IF(time+1&gt;=AL$2, $AI50/time_cap/(time+1)*AK$2, 0) = 0, $AI50/(time_cap),0)),0)</f>
        <v>0</v>
      </c>
      <c r="AL50" s="4357">
        <f t="shared" si="89"/>
        <v>0</v>
      </c>
      <c r="AM50" s="4357">
        <f t="shared" si="89"/>
        <v>0</v>
      </c>
      <c r="AN50" s="4357">
        <f t="shared" si="89"/>
        <v>0</v>
      </c>
      <c r="AO50" s="4357">
        <f t="shared" si="89"/>
        <v>0</v>
      </c>
      <c r="AP50" s="4357">
        <f t="shared" si="89"/>
        <v>0</v>
      </c>
      <c r="AQ50" s="4357">
        <f t="shared" si="89"/>
        <v>0</v>
      </c>
      <c r="AR50" s="4357">
        <f t="shared" si="89"/>
        <v>0</v>
      </c>
      <c r="AS50" s="4357">
        <f t="shared" si="89"/>
        <v>0</v>
      </c>
      <c r="AT50" s="4357">
        <f t="shared" si="89"/>
        <v>0</v>
      </c>
      <c r="AU50" s="4357">
        <f t="shared" si="89"/>
        <v>0</v>
      </c>
      <c r="AV50" s="4357">
        <f t="shared" si="89"/>
        <v>0</v>
      </c>
      <c r="AW50" s="4357">
        <f t="shared" si="89"/>
        <v>0</v>
      </c>
      <c r="AX50" s="4357">
        <f t="shared" si="89"/>
        <v>0</v>
      </c>
      <c r="AY50" s="4357">
        <f t="shared" si="89"/>
        <v>0</v>
      </c>
      <c r="AZ50" s="4357">
        <f t="shared" si="89"/>
        <v>0</v>
      </c>
      <c r="BA50" s="4357">
        <f t="shared" si="89"/>
        <v>0</v>
      </c>
      <c r="BB50" s="4357">
        <f t="shared" si="89"/>
        <v>0</v>
      </c>
      <c r="BC50" s="4357">
        <f t="shared" si="89"/>
        <v>0</v>
      </c>
      <c r="BD50" s="4357">
        <f t="shared" si="89"/>
        <v>0</v>
      </c>
      <c r="BE50" s="4357">
        <f t="shared" si="89"/>
        <v>0</v>
      </c>
      <c r="BF50" s="4357">
        <f t="shared" si="89"/>
        <v>0</v>
      </c>
      <c r="BG50" s="4357">
        <f t="shared" si="89"/>
        <v>0</v>
      </c>
      <c r="BH50" s="4357">
        <f t="shared" si="89"/>
        <v>0</v>
      </c>
      <c r="BI50" s="4357">
        <f t="shared" si="89"/>
        <v>0</v>
      </c>
      <c r="BJ50" s="4357">
        <f t="shared" si="89"/>
        <v>0</v>
      </c>
      <c r="BK50" s="4357">
        <f t="shared" si="89"/>
        <v>0</v>
      </c>
      <c r="BL50" s="4357">
        <f t="shared" si="89"/>
        <v>0</v>
      </c>
      <c r="BM50" s="4357">
        <f t="shared" si="89"/>
        <v>0</v>
      </c>
      <c r="BN50" s="4357">
        <f t="shared" si="89"/>
        <v>0</v>
      </c>
      <c r="BO50" s="4357">
        <f t="shared" si="89"/>
        <v>0</v>
      </c>
      <c r="BP50" s="4357">
        <f t="shared" si="89"/>
        <v>0</v>
      </c>
      <c r="BQ50" s="4357">
        <f t="shared" ref="BQ50:CH50" si="90">IFERROR(IF((time+time_cap)&lt;BQ$2, 0,IF(AND(time+1&gt;=BR$2, $AC50&lt;BR$2), IF($AG50= "I", $AH50/($AD50-$AC50+1), $AH50/(($AD50*($AD50+1)/2)-(($AC50-1)*($AC50-1+1)/2))*BQ$2), 0)+IF(IF(time+1&gt;=BR$2, $AI50/time_cap/(time+1)*BQ$2, 0) = 0, $AI50/(time_cap),0)),0)</f>
        <v>0</v>
      </c>
      <c r="BR50" s="4357">
        <f t="shared" si="90"/>
        <v>0</v>
      </c>
      <c r="BS50" s="4357">
        <f t="shared" si="90"/>
        <v>0</v>
      </c>
      <c r="BT50" s="4357">
        <f t="shared" si="90"/>
        <v>0</v>
      </c>
      <c r="BU50" s="4357">
        <f t="shared" si="90"/>
        <v>0</v>
      </c>
      <c r="BV50" s="4357">
        <f t="shared" si="90"/>
        <v>0</v>
      </c>
      <c r="BW50" s="4357">
        <f t="shared" si="90"/>
        <v>0</v>
      </c>
      <c r="BX50" s="4357">
        <f t="shared" si="90"/>
        <v>0</v>
      </c>
      <c r="BY50" s="4357">
        <f t="shared" si="90"/>
        <v>0</v>
      </c>
      <c r="BZ50" s="4357">
        <f t="shared" si="90"/>
        <v>0</v>
      </c>
      <c r="CA50" s="4357">
        <f t="shared" si="90"/>
        <v>0</v>
      </c>
      <c r="CB50" s="4357">
        <f t="shared" si="90"/>
        <v>0</v>
      </c>
      <c r="CC50" s="4357">
        <f t="shared" si="90"/>
        <v>0</v>
      </c>
      <c r="CD50" s="4357">
        <f t="shared" si="90"/>
        <v>0</v>
      </c>
      <c r="CE50" s="4357">
        <f t="shared" si="90"/>
        <v>0</v>
      </c>
      <c r="CF50" s="4357">
        <f t="shared" si="90"/>
        <v>0</v>
      </c>
      <c r="CG50" s="4357">
        <f t="shared" si="90"/>
        <v>0</v>
      </c>
      <c r="CH50" s="4357">
        <f t="shared" si="90"/>
        <v>0</v>
      </c>
      <c r="CI50" s="4357"/>
      <c r="CJ50" s="4357"/>
      <c r="CK50" s="4357"/>
      <c r="CL50" s="4357"/>
      <c r="CM50" s="4357"/>
      <c r="CN50" s="4357"/>
      <c r="CO50" s="4357"/>
      <c r="CP50" s="4357"/>
      <c r="CQ50" s="4357"/>
      <c r="CR50" s="4357"/>
      <c r="CS50" s="4357"/>
      <c r="CT50" s="4357"/>
      <c r="CU50" s="4357"/>
      <c r="CV50" s="4357"/>
      <c r="CW50" s="4357"/>
      <c r="CX50" s="4357"/>
      <c r="CY50" s="4357"/>
      <c r="CZ50" s="4357"/>
      <c r="DA50" s="4357"/>
      <c r="DB50" s="4357"/>
      <c r="DC50" s="4357"/>
      <c r="DD50" s="4357"/>
      <c r="DE50" s="4357"/>
      <c r="DF50" s="4357"/>
      <c r="DG50" s="4357"/>
      <c r="DH50" s="4357"/>
      <c r="DI50" s="4357"/>
      <c r="DJ50" s="4357"/>
      <c r="DK50" s="4357"/>
      <c r="DL50" s="4357"/>
      <c r="DM50" s="4357"/>
      <c r="DN50" s="4357"/>
      <c r="DO50" s="4357"/>
      <c r="DP50" s="4357"/>
      <c r="DQ50" s="4357"/>
      <c r="DR50" s="4357"/>
      <c r="DS50" s="4357"/>
      <c r="DT50" s="4357"/>
      <c r="DU50" s="4357"/>
      <c r="DV50" s="4357"/>
      <c r="DW50" s="4357"/>
      <c r="DX50" s="4357"/>
      <c r="DY50" s="4357"/>
      <c r="DZ50" s="4357"/>
      <c r="EA50" s="4357"/>
      <c r="EB50" s="4357"/>
      <c r="EC50" s="4357"/>
      <c r="ED50" s="4357"/>
      <c r="EE50" s="4357"/>
      <c r="EF50" s="4357"/>
    </row>
    <row r="51" spans="1:136" ht="16" x14ac:dyDescent="0.2">
      <c r="A51" t="s">
        <v>2072</v>
      </c>
      <c r="B51" t="s">
        <v>2072</v>
      </c>
      <c r="D51" t="str">
        <f>perennial!C12</f>
        <v>Please select</v>
      </c>
      <c r="E51" s="388">
        <f>perennial!R43</f>
        <v>0</v>
      </c>
      <c r="F51" s="388">
        <f>perennial!I43-perennial!H43</f>
        <v>0</v>
      </c>
      <c r="G51" s="388">
        <f>perennial!K43-perennial!J43</f>
        <v>0</v>
      </c>
      <c r="M51" s="388">
        <f>perennial!AL12-perennial!AK12</f>
        <v>0</v>
      </c>
      <c r="N51" s="388">
        <f>perennial!O43-perennial!N43</f>
        <v>0</v>
      </c>
      <c r="U51" s="388">
        <f>perennial!AJ12-perennial!AI12</f>
        <v>0</v>
      </c>
      <c r="AB51" t="str">
        <f t="shared" si="11"/>
        <v>ok</v>
      </c>
      <c r="AC51">
        <f>IF('3.Cropland'!BP56&lt;&gt;0,'3.Cropland'!BP56, '3.Cropland'!BO56)</f>
        <v>1</v>
      </c>
      <c r="AD51">
        <f t="shared" si="8"/>
        <v>5</v>
      </c>
      <c r="AE51" s="4357" t="s">
        <v>86</v>
      </c>
      <c r="AF51" s="4357" t="s">
        <v>86</v>
      </c>
      <c r="AG51" s="4357" t="str">
        <f t="shared" si="12"/>
        <v>D</v>
      </c>
      <c r="AH51" s="4357">
        <f>((E51/(time_cap+((AD51-AC51+1)*VLOOKUP(AG51,list!$I$48:$K$50,3, FALSE))))*(AD51-AC51+1)*VLOOKUP(AG51,list!$I$48:$K$50,3, FALSE))</f>
        <v>0</v>
      </c>
      <c r="AI51" s="4357">
        <f>((E51/(time_cap+((AD51-AC51+1)*VLOOKUP(AG51,list!$I$48:$K$50,3, FALSE))))*time_cap)</f>
        <v>0</v>
      </c>
      <c r="AK51" s="4357">
        <f t="shared" ref="AK51:BP51" si="91">IFERROR(IF((time+time_cap)&lt;AK$2, 0,IF(AND(time+1&gt;=AL$2, $AC51&lt;AL$2), IF($AG51= "I", $AH51/($AD51-$AC51+1), $AH51/(($AD51*($AD51+1)/2)-(($AC51-1)*($AC51-1+1)/2))*AK$2), 0)+IF(IF(time+1&gt;=AL$2, $AI51/time_cap/(time+1)*AK$2, 0) = 0, $AI51/(time_cap),0)),0)</f>
        <v>0</v>
      </c>
      <c r="AL51" s="4357">
        <f t="shared" si="91"/>
        <v>0</v>
      </c>
      <c r="AM51" s="4357">
        <f t="shared" si="91"/>
        <v>0</v>
      </c>
      <c r="AN51" s="4357">
        <f t="shared" si="91"/>
        <v>0</v>
      </c>
      <c r="AO51" s="4357">
        <f t="shared" si="91"/>
        <v>0</v>
      </c>
      <c r="AP51" s="4357">
        <f t="shared" si="91"/>
        <v>0</v>
      </c>
      <c r="AQ51" s="4357">
        <f t="shared" si="91"/>
        <v>0</v>
      </c>
      <c r="AR51" s="4357">
        <f t="shared" si="91"/>
        <v>0</v>
      </c>
      <c r="AS51" s="4357">
        <f t="shared" si="91"/>
        <v>0</v>
      </c>
      <c r="AT51" s="4357">
        <f t="shared" si="91"/>
        <v>0</v>
      </c>
      <c r="AU51" s="4357">
        <f t="shared" si="91"/>
        <v>0</v>
      </c>
      <c r="AV51" s="4357">
        <f t="shared" si="91"/>
        <v>0</v>
      </c>
      <c r="AW51" s="4357">
        <f t="shared" si="91"/>
        <v>0</v>
      </c>
      <c r="AX51" s="4357">
        <f t="shared" si="91"/>
        <v>0</v>
      </c>
      <c r="AY51" s="4357">
        <f t="shared" si="91"/>
        <v>0</v>
      </c>
      <c r="AZ51" s="4357">
        <f t="shared" si="91"/>
        <v>0</v>
      </c>
      <c r="BA51" s="4357">
        <f t="shared" si="91"/>
        <v>0</v>
      </c>
      <c r="BB51" s="4357">
        <f t="shared" si="91"/>
        <v>0</v>
      </c>
      <c r="BC51" s="4357">
        <f t="shared" si="91"/>
        <v>0</v>
      </c>
      <c r="BD51" s="4357">
        <f t="shared" si="91"/>
        <v>0</v>
      </c>
      <c r="BE51" s="4357">
        <f t="shared" si="91"/>
        <v>0</v>
      </c>
      <c r="BF51" s="4357">
        <f t="shared" si="91"/>
        <v>0</v>
      </c>
      <c r="BG51" s="4357">
        <f t="shared" si="91"/>
        <v>0</v>
      </c>
      <c r="BH51" s="4357">
        <f t="shared" si="91"/>
        <v>0</v>
      </c>
      <c r="BI51" s="4357">
        <f t="shared" si="91"/>
        <v>0</v>
      </c>
      <c r="BJ51" s="4357">
        <f t="shared" si="91"/>
        <v>0</v>
      </c>
      <c r="BK51" s="4357">
        <f t="shared" si="91"/>
        <v>0</v>
      </c>
      <c r="BL51" s="4357">
        <f t="shared" si="91"/>
        <v>0</v>
      </c>
      <c r="BM51" s="4357">
        <f t="shared" si="91"/>
        <v>0</v>
      </c>
      <c r="BN51" s="4357">
        <f t="shared" si="91"/>
        <v>0</v>
      </c>
      <c r="BO51" s="4357">
        <f t="shared" si="91"/>
        <v>0</v>
      </c>
      <c r="BP51" s="4357">
        <f t="shared" si="91"/>
        <v>0</v>
      </c>
      <c r="BQ51" s="4357">
        <f t="shared" ref="BQ51:CH51" si="92">IFERROR(IF((time+time_cap)&lt;BQ$2, 0,IF(AND(time+1&gt;=BR$2, $AC51&lt;BR$2), IF($AG51= "I", $AH51/($AD51-$AC51+1), $AH51/(($AD51*($AD51+1)/2)-(($AC51-1)*($AC51-1+1)/2))*BQ$2), 0)+IF(IF(time+1&gt;=BR$2, $AI51/time_cap/(time+1)*BQ$2, 0) = 0, $AI51/(time_cap),0)),0)</f>
        <v>0</v>
      </c>
      <c r="BR51" s="4357">
        <f t="shared" si="92"/>
        <v>0</v>
      </c>
      <c r="BS51" s="4357">
        <f t="shared" si="92"/>
        <v>0</v>
      </c>
      <c r="BT51" s="4357">
        <f t="shared" si="92"/>
        <v>0</v>
      </c>
      <c r="BU51" s="4357">
        <f t="shared" si="92"/>
        <v>0</v>
      </c>
      <c r="BV51" s="4357">
        <f t="shared" si="92"/>
        <v>0</v>
      </c>
      <c r="BW51" s="4357">
        <f t="shared" si="92"/>
        <v>0</v>
      </c>
      <c r="BX51" s="4357">
        <f t="shared" si="92"/>
        <v>0</v>
      </c>
      <c r="BY51" s="4357">
        <f t="shared" si="92"/>
        <v>0</v>
      </c>
      <c r="BZ51" s="4357">
        <f t="shared" si="92"/>
        <v>0</v>
      </c>
      <c r="CA51" s="4357">
        <f t="shared" si="92"/>
        <v>0</v>
      </c>
      <c r="CB51" s="4357">
        <f t="shared" si="92"/>
        <v>0</v>
      </c>
      <c r="CC51" s="4357">
        <f t="shared" si="92"/>
        <v>0</v>
      </c>
      <c r="CD51" s="4357">
        <f t="shared" si="92"/>
        <v>0</v>
      </c>
      <c r="CE51" s="4357">
        <f t="shared" si="92"/>
        <v>0</v>
      </c>
      <c r="CF51" s="4357">
        <f t="shared" si="92"/>
        <v>0</v>
      </c>
      <c r="CG51" s="4357">
        <f t="shared" si="92"/>
        <v>0</v>
      </c>
      <c r="CH51" s="4357">
        <f t="shared" si="92"/>
        <v>0</v>
      </c>
      <c r="CI51" s="4357"/>
      <c r="CJ51" s="4357"/>
      <c r="CK51" s="4357"/>
      <c r="CL51" s="4357"/>
      <c r="CM51" s="4357"/>
      <c r="CN51" s="4357"/>
      <c r="CO51" s="4357"/>
      <c r="CP51" s="4357"/>
      <c r="CQ51" s="4357"/>
      <c r="CR51" s="4357"/>
      <c r="CS51" s="4357"/>
      <c r="CT51" s="4357"/>
      <c r="CU51" s="4357"/>
      <c r="CV51" s="4357"/>
      <c r="CW51" s="4357"/>
      <c r="CX51" s="4357"/>
      <c r="CY51" s="4357"/>
      <c r="CZ51" s="4357"/>
      <c r="DA51" s="4357"/>
      <c r="DB51" s="4357"/>
      <c r="DC51" s="4357"/>
      <c r="DD51" s="4357"/>
      <c r="DE51" s="4357"/>
      <c r="DF51" s="4357"/>
      <c r="DG51" s="4357"/>
      <c r="DH51" s="4357"/>
      <c r="DI51" s="4357"/>
      <c r="DJ51" s="4357"/>
      <c r="DK51" s="4357"/>
      <c r="DL51" s="4357"/>
      <c r="DM51" s="4357"/>
      <c r="DN51" s="4357"/>
      <c r="DO51" s="4357"/>
      <c r="DP51" s="4357"/>
      <c r="DQ51" s="4357"/>
      <c r="DR51" s="4357"/>
      <c r="DS51" s="4357"/>
      <c r="DT51" s="4357"/>
      <c r="DU51" s="4357"/>
      <c r="DV51" s="4357"/>
      <c r="DW51" s="4357"/>
      <c r="DX51" s="4357"/>
      <c r="DY51" s="4357"/>
      <c r="DZ51" s="4357"/>
      <c r="EA51" s="4357"/>
      <c r="EB51" s="4357"/>
      <c r="EC51" s="4357"/>
      <c r="ED51" s="4357"/>
      <c r="EE51" s="4357"/>
      <c r="EF51" s="4357"/>
    </row>
    <row r="52" spans="1:136" ht="16" x14ac:dyDescent="0.2">
      <c r="A52" t="s">
        <v>2072</v>
      </c>
      <c r="B52" t="s">
        <v>2072</v>
      </c>
      <c r="D52" t="str">
        <f>perennial!C13</f>
        <v>Please select</v>
      </c>
      <c r="E52" s="388">
        <f>perennial!R44</f>
        <v>0</v>
      </c>
      <c r="F52" s="388">
        <f>perennial!I44-perennial!H44</f>
        <v>0</v>
      </c>
      <c r="G52" s="388">
        <f>perennial!K44-perennial!J44</f>
        <v>0</v>
      </c>
      <c r="M52" s="388">
        <f>perennial!AL13-perennial!AK13</f>
        <v>0</v>
      </c>
      <c r="N52" s="388">
        <f>perennial!O44-perennial!N44</f>
        <v>0</v>
      </c>
      <c r="U52" s="388">
        <f>perennial!AJ13-perennial!AI13</f>
        <v>0</v>
      </c>
      <c r="AB52" t="str">
        <f t="shared" si="11"/>
        <v>ok</v>
      </c>
      <c r="AC52">
        <f>IF('3.Cropland'!BP57&lt;&gt;0,'3.Cropland'!BP57, '3.Cropland'!BO57)</f>
        <v>1</v>
      </c>
      <c r="AD52">
        <f t="shared" si="8"/>
        <v>5</v>
      </c>
      <c r="AE52" s="4357" t="s">
        <v>86</v>
      </c>
      <c r="AF52" s="4357" t="s">
        <v>86</v>
      </c>
      <c r="AG52" s="4357" t="str">
        <f t="shared" si="12"/>
        <v>D</v>
      </c>
      <c r="AH52" s="4357">
        <f>((E52/(time_cap+((AD52-AC52+1)*VLOOKUP(AG52,list!$I$48:$K$50,3, FALSE))))*(AD52-AC52+1)*VLOOKUP(AG52,list!$I$48:$K$50,3, FALSE))</f>
        <v>0</v>
      </c>
      <c r="AI52" s="4357">
        <f>((E52/(time_cap+((AD52-AC52+1)*VLOOKUP(AG52,list!$I$48:$K$50,3, FALSE))))*time_cap)</f>
        <v>0</v>
      </c>
      <c r="AK52" s="4357">
        <f t="shared" ref="AK52:BP52" si="93">IFERROR(IF((time+time_cap)&lt;AK$2, 0,IF(AND(time+1&gt;=AL$2, $AC52&lt;AL$2), IF($AG52= "I", $AH52/($AD52-$AC52+1), $AH52/(($AD52*($AD52+1)/2)-(($AC52-1)*($AC52-1+1)/2))*AK$2), 0)+IF(IF(time+1&gt;=AL$2, $AI52/time_cap/(time+1)*AK$2, 0) = 0, $AI52/(time_cap),0)),0)</f>
        <v>0</v>
      </c>
      <c r="AL52" s="4357">
        <f t="shared" si="93"/>
        <v>0</v>
      </c>
      <c r="AM52" s="4357">
        <f t="shared" si="93"/>
        <v>0</v>
      </c>
      <c r="AN52" s="4357">
        <f t="shared" si="93"/>
        <v>0</v>
      </c>
      <c r="AO52" s="4357">
        <f t="shared" si="93"/>
        <v>0</v>
      </c>
      <c r="AP52" s="4357">
        <f t="shared" si="93"/>
        <v>0</v>
      </c>
      <c r="AQ52" s="4357">
        <f t="shared" si="93"/>
        <v>0</v>
      </c>
      <c r="AR52" s="4357">
        <f t="shared" si="93"/>
        <v>0</v>
      </c>
      <c r="AS52" s="4357">
        <f t="shared" si="93"/>
        <v>0</v>
      </c>
      <c r="AT52" s="4357">
        <f t="shared" si="93"/>
        <v>0</v>
      </c>
      <c r="AU52" s="4357">
        <f t="shared" si="93"/>
        <v>0</v>
      </c>
      <c r="AV52" s="4357">
        <f t="shared" si="93"/>
        <v>0</v>
      </c>
      <c r="AW52" s="4357">
        <f t="shared" si="93"/>
        <v>0</v>
      </c>
      <c r="AX52" s="4357">
        <f t="shared" si="93"/>
        <v>0</v>
      </c>
      <c r="AY52" s="4357">
        <f t="shared" si="93"/>
        <v>0</v>
      </c>
      <c r="AZ52" s="4357">
        <f t="shared" si="93"/>
        <v>0</v>
      </c>
      <c r="BA52" s="4357">
        <f t="shared" si="93"/>
        <v>0</v>
      </c>
      <c r="BB52" s="4357">
        <f t="shared" si="93"/>
        <v>0</v>
      </c>
      <c r="BC52" s="4357">
        <f t="shared" si="93"/>
        <v>0</v>
      </c>
      <c r="BD52" s="4357">
        <f t="shared" si="93"/>
        <v>0</v>
      </c>
      <c r="BE52" s="4357">
        <f t="shared" si="93"/>
        <v>0</v>
      </c>
      <c r="BF52" s="4357">
        <f t="shared" si="93"/>
        <v>0</v>
      </c>
      <c r="BG52" s="4357">
        <f t="shared" si="93"/>
        <v>0</v>
      </c>
      <c r="BH52" s="4357">
        <f t="shared" si="93"/>
        <v>0</v>
      </c>
      <c r="BI52" s="4357">
        <f t="shared" si="93"/>
        <v>0</v>
      </c>
      <c r="BJ52" s="4357">
        <f t="shared" si="93"/>
        <v>0</v>
      </c>
      <c r="BK52" s="4357">
        <f t="shared" si="93"/>
        <v>0</v>
      </c>
      <c r="BL52" s="4357">
        <f t="shared" si="93"/>
        <v>0</v>
      </c>
      <c r="BM52" s="4357">
        <f t="shared" si="93"/>
        <v>0</v>
      </c>
      <c r="BN52" s="4357">
        <f t="shared" si="93"/>
        <v>0</v>
      </c>
      <c r="BO52" s="4357">
        <f t="shared" si="93"/>
        <v>0</v>
      </c>
      <c r="BP52" s="4357">
        <f t="shared" si="93"/>
        <v>0</v>
      </c>
      <c r="BQ52" s="4357">
        <f t="shared" ref="BQ52:CH52" si="94">IFERROR(IF((time+time_cap)&lt;BQ$2, 0,IF(AND(time+1&gt;=BR$2, $AC52&lt;BR$2), IF($AG52= "I", $AH52/($AD52-$AC52+1), $AH52/(($AD52*($AD52+1)/2)-(($AC52-1)*($AC52-1+1)/2))*BQ$2), 0)+IF(IF(time+1&gt;=BR$2, $AI52/time_cap/(time+1)*BQ$2, 0) = 0, $AI52/(time_cap),0)),0)</f>
        <v>0</v>
      </c>
      <c r="BR52" s="4357">
        <f t="shared" si="94"/>
        <v>0</v>
      </c>
      <c r="BS52" s="4357">
        <f t="shared" si="94"/>
        <v>0</v>
      </c>
      <c r="BT52" s="4357">
        <f t="shared" si="94"/>
        <v>0</v>
      </c>
      <c r="BU52" s="4357">
        <f t="shared" si="94"/>
        <v>0</v>
      </c>
      <c r="BV52" s="4357">
        <f t="shared" si="94"/>
        <v>0</v>
      </c>
      <c r="BW52" s="4357">
        <f t="shared" si="94"/>
        <v>0</v>
      </c>
      <c r="BX52" s="4357">
        <f t="shared" si="94"/>
        <v>0</v>
      </c>
      <c r="BY52" s="4357">
        <f t="shared" si="94"/>
        <v>0</v>
      </c>
      <c r="BZ52" s="4357">
        <f t="shared" si="94"/>
        <v>0</v>
      </c>
      <c r="CA52" s="4357">
        <f t="shared" si="94"/>
        <v>0</v>
      </c>
      <c r="CB52" s="4357">
        <f t="shared" si="94"/>
        <v>0</v>
      </c>
      <c r="CC52" s="4357">
        <f t="shared" si="94"/>
        <v>0</v>
      </c>
      <c r="CD52" s="4357">
        <f t="shared" si="94"/>
        <v>0</v>
      </c>
      <c r="CE52" s="4357">
        <f t="shared" si="94"/>
        <v>0</v>
      </c>
      <c r="CF52" s="4357">
        <f t="shared" si="94"/>
        <v>0</v>
      </c>
      <c r="CG52" s="4357">
        <f t="shared" si="94"/>
        <v>0</v>
      </c>
      <c r="CH52" s="4357">
        <f t="shared" si="94"/>
        <v>0</v>
      </c>
      <c r="CI52" s="4357"/>
      <c r="CJ52" s="4357"/>
      <c r="CK52" s="4357"/>
      <c r="CL52" s="4357"/>
      <c r="CM52" s="4357"/>
      <c r="CN52" s="4357"/>
      <c r="CO52" s="4357"/>
      <c r="CP52" s="4357"/>
      <c r="CQ52" s="4357"/>
      <c r="CR52" s="4357"/>
      <c r="CS52" s="4357"/>
      <c r="CT52" s="4357"/>
      <c r="CU52" s="4357"/>
      <c r="CV52" s="4357"/>
      <c r="CW52" s="4357"/>
      <c r="CX52" s="4357"/>
      <c r="CY52" s="4357"/>
      <c r="CZ52" s="4357"/>
      <c r="DA52" s="4357"/>
      <c r="DB52" s="4357"/>
      <c r="DC52" s="4357"/>
      <c r="DD52" s="4357"/>
      <c r="DE52" s="4357"/>
      <c r="DF52" s="4357"/>
      <c r="DG52" s="4357"/>
      <c r="DH52" s="4357"/>
      <c r="DI52" s="4357"/>
      <c r="DJ52" s="4357"/>
      <c r="DK52" s="4357"/>
      <c r="DL52" s="4357"/>
      <c r="DM52" s="4357"/>
      <c r="DN52" s="4357"/>
      <c r="DO52" s="4357"/>
      <c r="DP52" s="4357"/>
      <c r="DQ52" s="4357"/>
      <c r="DR52" s="4357"/>
      <c r="DS52" s="4357"/>
      <c r="DT52" s="4357"/>
      <c r="DU52" s="4357"/>
      <c r="DV52" s="4357"/>
      <c r="DW52" s="4357"/>
      <c r="DX52" s="4357"/>
      <c r="DY52" s="4357"/>
      <c r="DZ52" s="4357"/>
      <c r="EA52" s="4357"/>
      <c r="EB52" s="4357"/>
      <c r="EC52" s="4357"/>
      <c r="ED52" s="4357"/>
      <c r="EE52" s="4357"/>
      <c r="EF52" s="4357"/>
    </row>
    <row r="53" spans="1:136" ht="16" x14ac:dyDescent="0.2">
      <c r="A53" t="s">
        <v>2072</v>
      </c>
      <c r="B53" t="s">
        <v>2072</v>
      </c>
      <c r="D53" t="str">
        <f>perennial!C14</f>
        <v>Please select</v>
      </c>
      <c r="E53" s="388">
        <f>perennial!R45</f>
        <v>0</v>
      </c>
      <c r="F53" s="388">
        <f>perennial!I45-perennial!H45</f>
        <v>0</v>
      </c>
      <c r="G53" s="388">
        <f>perennial!K45-perennial!J45</f>
        <v>0</v>
      </c>
      <c r="M53" s="388">
        <f>perennial!AL14-perennial!AK14</f>
        <v>0</v>
      </c>
      <c r="N53" s="388">
        <f>perennial!O45-perennial!N45</f>
        <v>0</v>
      </c>
      <c r="U53" s="388">
        <f>perennial!AJ14-perennial!AI14</f>
        <v>0</v>
      </c>
      <c r="AB53" t="str">
        <f t="shared" si="11"/>
        <v>ok</v>
      </c>
      <c r="AC53">
        <f>IF('3.Cropland'!BP58&lt;&gt;0,'3.Cropland'!BP58, '3.Cropland'!BO58)</f>
        <v>1</v>
      </c>
      <c r="AD53">
        <f t="shared" si="8"/>
        <v>5</v>
      </c>
      <c r="AE53" s="4357" t="s">
        <v>86</v>
      </c>
      <c r="AF53" s="4357" t="s">
        <v>86</v>
      </c>
      <c r="AG53" s="4357" t="str">
        <f t="shared" si="12"/>
        <v>D</v>
      </c>
      <c r="AH53" s="4357">
        <f>((E53/(time_cap+((AD53-AC53+1)*VLOOKUP(AG53,list!$I$48:$K$50,3, FALSE))))*(AD53-AC53+1)*VLOOKUP(AG53,list!$I$48:$K$50,3, FALSE))</f>
        <v>0</v>
      </c>
      <c r="AI53" s="4357">
        <f>((E53/(time_cap+((AD53-AC53+1)*VLOOKUP(AG53,list!$I$48:$K$50,3, FALSE))))*time_cap)</f>
        <v>0</v>
      </c>
      <c r="AK53" s="4357">
        <f t="shared" ref="AK53:BP53" si="95">IFERROR(IF((time+time_cap)&lt;AK$2, 0,IF(AND(time+1&gt;=AL$2, $AC53&lt;AL$2), IF($AG53= "I", $AH53/($AD53-$AC53+1), $AH53/(($AD53*($AD53+1)/2)-(($AC53-1)*($AC53-1+1)/2))*AK$2), 0)+IF(IF(time+1&gt;=AL$2, $AI53/time_cap/(time+1)*AK$2, 0) = 0, $AI53/(time_cap),0)),0)</f>
        <v>0</v>
      </c>
      <c r="AL53" s="4357">
        <f t="shared" si="95"/>
        <v>0</v>
      </c>
      <c r="AM53" s="4357">
        <f t="shared" si="95"/>
        <v>0</v>
      </c>
      <c r="AN53" s="4357">
        <f t="shared" si="95"/>
        <v>0</v>
      </c>
      <c r="AO53" s="4357">
        <f t="shared" si="95"/>
        <v>0</v>
      </c>
      <c r="AP53" s="4357">
        <f t="shared" si="95"/>
        <v>0</v>
      </c>
      <c r="AQ53" s="4357">
        <f t="shared" si="95"/>
        <v>0</v>
      </c>
      <c r="AR53" s="4357">
        <f t="shared" si="95"/>
        <v>0</v>
      </c>
      <c r="AS53" s="4357">
        <f t="shared" si="95"/>
        <v>0</v>
      </c>
      <c r="AT53" s="4357">
        <f t="shared" si="95"/>
        <v>0</v>
      </c>
      <c r="AU53" s="4357">
        <f t="shared" si="95"/>
        <v>0</v>
      </c>
      <c r="AV53" s="4357">
        <f t="shared" si="95"/>
        <v>0</v>
      </c>
      <c r="AW53" s="4357">
        <f t="shared" si="95"/>
        <v>0</v>
      </c>
      <c r="AX53" s="4357">
        <f t="shared" si="95"/>
        <v>0</v>
      </c>
      <c r="AY53" s="4357">
        <f t="shared" si="95"/>
        <v>0</v>
      </c>
      <c r="AZ53" s="4357">
        <f t="shared" si="95"/>
        <v>0</v>
      </c>
      <c r="BA53" s="4357">
        <f t="shared" si="95"/>
        <v>0</v>
      </c>
      <c r="BB53" s="4357">
        <f t="shared" si="95"/>
        <v>0</v>
      </c>
      <c r="BC53" s="4357">
        <f t="shared" si="95"/>
        <v>0</v>
      </c>
      <c r="BD53" s="4357">
        <f t="shared" si="95"/>
        <v>0</v>
      </c>
      <c r="BE53" s="4357">
        <f t="shared" si="95"/>
        <v>0</v>
      </c>
      <c r="BF53" s="4357">
        <f t="shared" si="95"/>
        <v>0</v>
      </c>
      <c r="BG53" s="4357">
        <f t="shared" si="95"/>
        <v>0</v>
      </c>
      <c r="BH53" s="4357">
        <f t="shared" si="95"/>
        <v>0</v>
      </c>
      <c r="BI53" s="4357">
        <f t="shared" si="95"/>
        <v>0</v>
      </c>
      <c r="BJ53" s="4357">
        <f t="shared" si="95"/>
        <v>0</v>
      </c>
      <c r="BK53" s="4357">
        <f t="shared" si="95"/>
        <v>0</v>
      </c>
      <c r="BL53" s="4357">
        <f t="shared" si="95"/>
        <v>0</v>
      </c>
      <c r="BM53" s="4357">
        <f t="shared" si="95"/>
        <v>0</v>
      </c>
      <c r="BN53" s="4357">
        <f t="shared" si="95"/>
        <v>0</v>
      </c>
      <c r="BO53" s="4357">
        <f t="shared" si="95"/>
        <v>0</v>
      </c>
      <c r="BP53" s="4357">
        <f t="shared" si="95"/>
        <v>0</v>
      </c>
      <c r="BQ53" s="4357">
        <f t="shared" ref="BQ53:CH53" si="96">IFERROR(IF((time+time_cap)&lt;BQ$2, 0,IF(AND(time+1&gt;=BR$2, $AC53&lt;BR$2), IF($AG53= "I", $AH53/($AD53-$AC53+1), $AH53/(($AD53*($AD53+1)/2)-(($AC53-1)*($AC53-1+1)/2))*BQ$2), 0)+IF(IF(time+1&gt;=BR$2, $AI53/time_cap/(time+1)*BQ$2, 0) = 0, $AI53/(time_cap),0)),0)</f>
        <v>0</v>
      </c>
      <c r="BR53" s="4357">
        <f t="shared" si="96"/>
        <v>0</v>
      </c>
      <c r="BS53" s="4357">
        <f t="shared" si="96"/>
        <v>0</v>
      </c>
      <c r="BT53" s="4357">
        <f t="shared" si="96"/>
        <v>0</v>
      </c>
      <c r="BU53" s="4357">
        <f t="shared" si="96"/>
        <v>0</v>
      </c>
      <c r="BV53" s="4357">
        <f t="shared" si="96"/>
        <v>0</v>
      </c>
      <c r="BW53" s="4357">
        <f t="shared" si="96"/>
        <v>0</v>
      </c>
      <c r="BX53" s="4357">
        <f t="shared" si="96"/>
        <v>0</v>
      </c>
      <c r="BY53" s="4357">
        <f t="shared" si="96"/>
        <v>0</v>
      </c>
      <c r="BZ53" s="4357">
        <f t="shared" si="96"/>
        <v>0</v>
      </c>
      <c r="CA53" s="4357">
        <f t="shared" si="96"/>
        <v>0</v>
      </c>
      <c r="CB53" s="4357">
        <f t="shared" si="96"/>
        <v>0</v>
      </c>
      <c r="CC53" s="4357">
        <f t="shared" si="96"/>
        <v>0</v>
      </c>
      <c r="CD53" s="4357">
        <f t="shared" si="96"/>
        <v>0</v>
      </c>
      <c r="CE53" s="4357">
        <f t="shared" si="96"/>
        <v>0</v>
      </c>
      <c r="CF53" s="4357">
        <f t="shared" si="96"/>
        <v>0</v>
      </c>
      <c r="CG53" s="4357">
        <f t="shared" si="96"/>
        <v>0</v>
      </c>
      <c r="CH53" s="4357">
        <f t="shared" si="96"/>
        <v>0</v>
      </c>
      <c r="CI53" s="4357"/>
      <c r="CJ53" s="4357"/>
      <c r="CK53" s="4357"/>
      <c r="CL53" s="4357"/>
      <c r="CM53" s="4357"/>
      <c r="CN53" s="4357"/>
      <c r="CO53" s="4357"/>
      <c r="CP53" s="4357"/>
      <c r="CQ53" s="4357"/>
      <c r="CR53" s="4357"/>
      <c r="CS53" s="4357"/>
      <c r="CT53" s="4357"/>
      <c r="CU53" s="4357"/>
      <c r="CV53" s="4357"/>
      <c r="CW53" s="4357"/>
      <c r="CX53" s="4357"/>
      <c r="CY53" s="4357"/>
      <c r="CZ53" s="4357"/>
      <c r="DA53" s="4357"/>
      <c r="DB53" s="4357"/>
      <c r="DC53" s="4357"/>
      <c r="DD53" s="4357"/>
      <c r="DE53" s="4357"/>
      <c r="DF53" s="4357"/>
      <c r="DG53" s="4357"/>
      <c r="DH53" s="4357"/>
      <c r="DI53" s="4357"/>
      <c r="DJ53" s="4357"/>
      <c r="DK53" s="4357"/>
      <c r="DL53" s="4357"/>
      <c r="DM53" s="4357"/>
      <c r="DN53" s="4357"/>
      <c r="DO53" s="4357"/>
      <c r="DP53" s="4357"/>
      <c r="DQ53" s="4357"/>
      <c r="DR53" s="4357"/>
      <c r="DS53" s="4357"/>
      <c r="DT53" s="4357"/>
      <c r="DU53" s="4357"/>
      <c r="DV53" s="4357"/>
      <c r="DW53" s="4357"/>
      <c r="DX53" s="4357"/>
      <c r="DY53" s="4357"/>
      <c r="DZ53" s="4357"/>
      <c r="EA53" s="4357"/>
      <c r="EB53" s="4357"/>
      <c r="EC53" s="4357"/>
      <c r="ED53" s="4357"/>
      <c r="EE53" s="4357"/>
      <c r="EF53" s="4357"/>
    </row>
    <row r="54" spans="1:136" ht="16" x14ac:dyDescent="0.2">
      <c r="A54" t="s">
        <v>2072</v>
      </c>
      <c r="B54" t="s">
        <v>2072</v>
      </c>
      <c r="D54" t="str">
        <f>perennial!C15</f>
        <v>Please select</v>
      </c>
      <c r="E54" s="388">
        <f>perennial!R46</f>
        <v>0</v>
      </c>
      <c r="F54" s="388">
        <f>perennial!I46-perennial!H46</f>
        <v>0</v>
      </c>
      <c r="G54" s="388">
        <f>perennial!K46-perennial!J46</f>
        <v>0</v>
      </c>
      <c r="M54" s="388">
        <f>perennial!AL15-perennial!AK15</f>
        <v>0</v>
      </c>
      <c r="N54" s="388">
        <f>perennial!O46-perennial!N46</f>
        <v>0</v>
      </c>
      <c r="U54" s="388">
        <f>perennial!AJ15-perennial!AI15</f>
        <v>0</v>
      </c>
      <c r="AB54" t="str">
        <f t="shared" si="11"/>
        <v>ok</v>
      </c>
      <c r="AC54">
        <f>IF('3.Cropland'!BP59&lt;&gt;0,'3.Cropland'!BP59, '3.Cropland'!BO59)</f>
        <v>1</v>
      </c>
      <c r="AD54">
        <f t="shared" si="8"/>
        <v>5</v>
      </c>
      <c r="AE54" s="4357" t="s">
        <v>86</v>
      </c>
      <c r="AF54" s="4357" t="s">
        <v>86</v>
      </c>
      <c r="AG54" s="4357" t="str">
        <f t="shared" si="12"/>
        <v>D</v>
      </c>
      <c r="AH54" s="4357">
        <f>((E54/(time_cap+((AD54-AC54+1)*VLOOKUP(AG54,list!$I$48:$K$50,3, FALSE))))*(AD54-AC54+1)*VLOOKUP(AG54,list!$I$48:$K$50,3, FALSE))</f>
        <v>0</v>
      </c>
      <c r="AI54" s="4357">
        <f>((E54/(time_cap+((AD54-AC54+1)*VLOOKUP(AG54,list!$I$48:$K$50,3, FALSE))))*time_cap)</f>
        <v>0</v>
      </c>
      <c r="AK54" s="4357">
        <f t="shared" ref="AK54:BP54" si="97">IFERROR(IF((time+time_cap)&lt;AK$2, 0,IF(AND(time+1&gt;=AL$2, $AC54&lt;AL$2), IF($AG54= "I", $AH54/($AD54-$AC54+1), $AH54/(($AD54*($AD54+1)/2)-(($AC54-1)*($AC54-1+1)/2))*AK$2), 0)+IF(IF(time+1&gt;=AL$2, $AI54/time_cap/(time+1)*AK$2, 0) = 0, $AI54/(time_cap),0)),0)</f>
        <v>0</v>
      </c>
      <c r="AL54" s="4357">
        <f t="shared" si="97"/>
        <v>0</v>
      </c>
      <c r="AM54" s="4357">
        <f t="shared" si="97"/>
        <v>0</v>
      </c>
      <c r="AN54" s="4357">
        <f t="shared" si="97"/>
        <v>0</v>
      </c>
      <c r="AO54" s="4357">
        <f t="shared" si="97"/>
        <v>0</v>
      </c>
      <c r="AP54" s="4357">
        <f t="shared" si="97"/>
        <v>0</v>
      </c>
      <c r="AQ54" s="4357">
        <f t="shared" si="97"/>
        <v>0</v>
      </c>
      <c r="AR54" s="4357">
        <f t="shared" si="97"/>
        <v>0</v>
      </c>
      <c r="AS54" s="4357">
        <f t="shared" si="97"/>
        <v>0</v>
      </c>
      <c r="AT54" s="4357">
        <f t="shared" si="97"/>
        <v>0</v>
      </c>
      <c r="AU54" s="4357">
        <f t="shared" si="97"/>
        <v>0</v>
      </c>
      <c r="AV54" s="4357">
        <f t="shared" si="97"/>
        <v>0</v>
      </c>
      <c r="AW54" s="4357">
        <f t="shared" si="97"/>
        <v>0</v>
      </c>
      <c r="AX54" s="4357">
        <f t="shared" si="97"/>
        <v>0</v>
      </c>
      <c r="AY54" s="4357">
        <f t="shared" si="97"/>
        <v>0</v>
      </c>
      <c r="AZ54" s="4357">
        <f t="shared" si="97"/>
        <v>0</v>
      </c>
      <c r="BA54" s="4357">
        <f t="shared" si="97"/>
        <v>0</v>
      </c>
      <c r="BB54" s="4357">
        <f t="shared" si="97"/>
        <v>0</v>
      </c>
      <c r="BC54" s="4357">
        <f t="shared" si="97"/>
        <v>0</v>
      </c>
      <c r="BD54" s="4357">
        <f t="shared" si="97"/>
        <v>0</v>
      </c>
      <c r="BE54" s="4357">
        <f t="shared" si="97"/>
        <v>0</v>
      </c>
      <c r="BF54" s="4357">
        <f t="shared" si="97"/>
        <v>0</v>
      </c>
      <c r="BG54" s="4357">
        <f t="shared" si="97"/>
        <v>0</v>
      </c>
      <c r="BH54" s="4357">
        <f t="shared" si="97"/>
        <v>0</v>
      </c>
      <c r="BI54" s="4357">
        <f t="shared" si="97"/>
        <v>0</v>
      </c>
      <c r="BJ54" s="4357">
        <f t="shared" si="97"/>
        <v>0</v>
      </c>
      <c r="BK54" s="4357">
        <f t="shared" si="97"/>
        <v>0</v>
      </c>
      <c r="BL54" s="4357">
        <f t="shared" si="97"/>
        <v>0</v>
      </c>
      <c r="BM54" s="4357">
        <f t="shared" si="97"/>
        <v>0</v>
      </c>
      <c r="BN54" s="4357">
        <f t="shared" si="97"/>
        <v>0</v>
      </c>
      <c r="BO54" s="4357">
        <f t="shared" si="97"/>
        <v>0</v>
      </c>
      <c r="BP54" s="4357">
        <f t="shared" si="97"/>
        <v>0</v>
      </c>
      <c r="BQ54" s="4357">
        <f t="shared" ref="BQ54:CH54" si="98">IFERROR(IF((time+time_cap)&lt;BQ$2, 0,IF(AND(time+1&gt;=BR$2, $AC54&lt;BR$2), IF($AG54= "I", $AH54/($AD54-$AC54+1), $AH54/(($AD54*($AD54+1)/2)-(($AC54-1)*($AC54-1+1)/2))*BQ$2), 0)+IF(IF(time+1&gt;=BR$2, $AI54/time_cap/(time+1)*BQ$2, 0) = 0, $AI54/(time_cap),0)),0)</f>
        <v>0</v>
      </c>
      <c r="BR54" s="4357">
        <f t="shared" si="98"/>
        <v>0</v>
      </c>
      <c r="BS54" s="4357">
        <f t="shared" si="98"/>
        <v>0</v>
      </c>
      <c r="BT54" s="4357">
        <f t="shared" si="98"/>
        <v>0</v>
      </c>
      <c r="BU54" s="4357">
        <f t="shared" si="98"/>
        <v>0</v>
      </c>
      <c r="BV54" s="4357">
        <f t="shared" si="98"/>
        <v>0</v>
      </c>
      <c r="BW54" s="4357">
        <f t="shared" si="98"/>
        <v>0</v>
      </c>
      <c r="BX54" s="4357">
        <f t="shared" si="98"/>
        <v>0</v>
      </c>
      <c r="BY54" s="4357">
        <f t="shared" si="98"/>
        <v>0</v>
      </c>
      <c r="BZ54" s="4357">
        <f t="shared" si="98"/>
        <v>0</v>
      </c>
      <c r="CA54" s="4357">
        <f t="shared" si="98"/>
        <v>0</v>
      </c>
      <c r="CB54" s="4357">
        <f t="shared" si="98"/>
        <v>0</v>
      </c>
      <c r="CC54" s="4357">
        <f t="shared" si="98"/>
        <v>0</v>
      </c>
      <c r="CD54" s="4357">
        <f t="shared" si="98"/>
        <v>0</v>
      </c>
      <c r="CE54" s="4357">
        <f t="shared" si="98"/>
        <v>0</v>
      </c>
      <c r="CF54" s="4357">
        <f t="shared" si="98"/>
        <v>0</v>
      </c>
      <c r="CG54" s="4357">
        <f t="shared" si="98"/>
        <v>0</v>
      </c>
      <c r="CH54" s="4357">
        <f t="shared" si="98"/>
        <v>0</v>
      </c>
      <c r="CI54" s="4357"/>
      <c r="CJ54" s="4357"/>
      <c r="CK54" s="4357"/>
      <c r="CL54" s="4357"/>
      <c r="CM54" s="4357"/>
      <c r="CN54" s="4357"/>
      <c r="CO54" s="4357"/>
      <c r="CP54" s="4357"/>
      <c r="CQ54" s="4357"/>
      <c r="CR54" s="4357"/>
      <c r="CS54" s="4357"/>
      <c r="CT54" s="4357"/>
      <c r="CU54" s="4357"/>
      <c r="CV54" s="4357"/>
      <c r="CW54" s="4357"/>
      <c r="CX54" s="4357"/>
      <c r="CY54" s="4357"/>
      <c r="CZ54" s="4357"/>
      <c r="DA54" s="4357"/>
      <c r="DB54" s="4357"/>
      <c r="DC54" s="4357"/>
      <c r="DD54" s="4357"/>
      <c r="DE54" s="4357"/>
      <c r="DF54" s="4357"/>
      <c r="DG54" s="4357"/>
      <c r="DH54" s="4357"/>
      <c r="DI54" s="4357"/>
      <c r="DJ54" s="4357"/>
      <c r="DK54" s="4357"/>
      <c r="DL54" s="4357"/>
      <c r="DM54" s="4357"/>
      <c r="DN54" s="4357"/>
      <c r="DO54" s="4357"/>
      <c r="DP54" s="4357"/>
      <c r="DQ54" s="4357"/>
      <c r="DR54" s="4357"/>
      <c r="DS54" s="4357"/>
      <c r="DT54" s="4357"/>
      <c r="DU54" s="4357"/>
      <c r="DV54" s="4357"/>
      <c r="DW54" s="4357"/>
      <c r="DX54" s="4357"/>
      <c r="DY54" s="4357"/>
      <c r="DZ54" s="4357"/>
      <c r="EA54" s="4357"/>
      <c r="EB54" s="4357"/>
      <c r="EC54" s="4357"/>
      <c r="ED54" s="4357"/>
      <c r="EE54" s="4357"/>
      <c r="EF54" s="4357"/>
    </row>
    <row r="55" spans="1:136" ht="16" x14ac:dyDescent="0.2">
      <c r="A55" t="s">
        <v>2072</v>
      </c>
      <c r="B55" t="s">
        <v>2072</v>
      </c>
      <c r="D55" t="str">
        <f>perennial!C16</f>
        <v>Please select</v>
      </c>
      <c r="E55" s="388">
        <f>perennial!R47</f>
        <v>0</v>
      </c>
      <c r="F55" s="388">
        <f>perennial!I47-perennial!H47</f>
        <v>0</v>
      </c>
      <c r="G55" s="388">
        <f>perennial!K47-perennial!J47</f>
        <v>0</v>
      </c>
      <c r="M55" s="388">
        <f>perennial!AL16-perennial!AK16</f>
        <v>0</v>
      </c>
      <c r="N55" s="388">
        <f>perennial!O47-perennial!N47</f>
        <v>0</v>
      </c>
      <c r="U55" s="388">
        <f>perennial!AJ16-perennial!AI16</f>
        <v>0</v>
      </c>
      <c r="AB55" t="str">
        <f t="shared" si="11"/>
        <v>ok</v>
      </c>
      <c r="AC55">
        <f>IF('3.Cropland'!BP67&lt;&gt;0,'3.Cropland'!BP67, '3.Cropland'!BO67)</f>
        <v>1</v>
      </c>
      <c r="AD55">
        <f t="shared" si="8"/>
        <v>5</v>
      </c>
      <c r="AE55" s="4357" t="str">
        <f>'3.Cropland'!S67</f>
        <v>D</v>
      </c>
      <c r="AF55" s="4360" t="str">
        <f>'3.Cropland'!U67</f>
        <v>D</v>
      </c>
      <c r="AG55" s="4357" t="str">
        <f t="shared" si="12"/>
        <v>D</v>
      </c>
      <c r="AH55" s="4357">
        <f>((E55/(time_cap+((AD55-AC55+1)*VLOOKUP(AG55,list!$I$48:$K$50,3, FALSE))))*(AD55-AC55+1)*VLOOKUP(AG55,list!$I$48:$K$50,3, FALSE))</f>
        <v>0</v>
      </c>
      <c r="AI55" s="4357">
        <f>((E55/(time_cap+((AD55-AC55+1)*VLOOKUP(AG55,list!$I$48:$K$50,3, FALSE))))*time_cap)</f>
        <v>0</v>
      </c>
      <c r="AK55" s="4357">
        <f t="shared" ref="AK55:BP55" si="99">IFERROR(IF((time+time_cap)&lt;AK$2, 0,IF(AND(time+1&gt;=AL$2, $AC55&lt;AL$2), IF($AG55= "I", $AH55/($AD55-$AC55+1), $AH55/(($AD55*($AD55+1)/2)-(($AC55-1)*($AC55-1+1)/2))*AK$2), 0)+IF(IF(time+1&gt;=AL$2, $AI55/time_cap/(time+1)*AK$2, 0) = 0, $AI55/(time_cap),0)),0)</f>
        <v>0</v>
      </c>
      <c r="AL55" s="4357">
        <f t="shared" si="99"/>
        <v>0</v>
      </c>
      <c r="AM55" s="4357">
        <f t="shared" si="99"/>
        <v>0</v>
      </c>
      <c r="AN55" s="4357">
        <f t="shared" si="99"/>
        <v>0</v>
      </c>
      <c r="AO55" s="4357">
        <f t="shared" si="99"/>
        <v>0</v>
      </c>
      <c r="AP55" s="4357">
        <f t="shared" si="99"/>
        <v>0</v>
      </c>
      <c r="AQ55" s="4357">
        <f t="shared" si="99"/>
        <v>0</v>
      </c>
      <c r="AR55" s="4357">
        <f t="shared" si="99"/>
        <v>0</v>
      </c>
      <c r="AS55" s="4357">
        <f t="shared" si="99"/>
        <v>0</v>
      </c>
      <c r="AT55" s="4357">
        <f t="shared" si="99"/>
        <v>0</v>
      </c>
      <c r="AU55" s="4357">
        <f t="shared" si="99"/>
        <v>0</v>
      </c>
      <c r="AV55" s="4357">
        <f t="shared" si="99"/>
        <v>0</v>
      </c>
      <c r="AW55" s="4357">
        <f t="shared" si="99"/>
        <v>0</v>
      </c>
      <c r="AX55" s="4357">
        <f t="shared" si="99"/>
        <v>0</v>
      </c>
      <c r="AY55" s="4357">
        <f t="shared" si="99"/>
        <v>0</v>
      </c>
      <c r="AZ55" s="4357">
        <f t="shared" si="99"/>
        <v>0</v>
      </c>
      <c r="BA55" s="4357">
        <f t="shared" si="99"/>
        <v>0</v>
      </c>
      <c r="BB55" s="4357">
        <f t="shared" si="99"/>
        <v>0</v>
      </c>
      <c r="BC55" s="4357">
        <f t="shared" si="99"/>
        <v>0</v>
      </c>
      <c r="BD55" s="4357">
        <f t="shared" si="99"/>
        <v>0</v>
      </c>
      <c r="BE55" s="4357">
        <f t="shared" si="99"/>
        <v>0</v>
      </c>
      <c r="BF55" s="4357">
        <f t="shared" si="99"/>
        <v>0</v>
      </c>
      <c r="BG55" s="4357">
        <f t="shared" si="99"/>
        <v>0</v>
      </c>
      <c r="BH55" s="4357">
        <f t="shared" si="99"/>
        <v>0</v>
      </c>
      <c r="BI55" s="4357">
        <f t="shared" si="99"/>
        <v>0</v>
      </c>
      <c r="BJ55" s="4357">
        <f t="shared" si="99"/>
        <v>0</v>
      </c>
      <c r="BK55" s="4357">
        <f t="shared" si="99"/>
        <v>0</v>
      </c>
      <c r="BL55" s="4357">
        <f t="shared" si="99"/>
        <v>0</v>
      </c>
      <c r="BM55" s="4357">
        <f t="shared" si="99"/>
        <v>0</v>
      </c>
      <c r="BN55" s="4357">
        <f t="shared" si="99"/>
        <v>0</v>
      </c>
      <c r="BO55" s="4357">
        <f t="shared" si="99"/>
        <v>0</v>
      </c>
      <c r="BP55" s="4357">
        <f t="shared" si="99"/>
        <v>0</v>
      </c>
      <c r="BQ55" s="4357">
        <f t="shared" ref="BQ55:CH55" si="100">IFERROR(IF((time+time_cap)&lt;BQ$2, 0,IF(AND(time+1&gt;=BR$2, $AC55&lt;BR$2), IF($AG55= "I", $AH55/($AD55-$AC55+1), $AH55/(($AD55*($AD55+1)/2)-(($AC55-1)*($AC55-1+1)/2))*BQ$2), 0)+IF(IF(time+1&gt;=BR$2, $AI55/time_cap/(time+1)*BQ$2, 0) = 0, $AI55/(time_cap),0)),0)</f>
        <v>0</v>
      </c>
      <c r="BR55" s="4357">
        <f t="shared" si="100"/>
        <v>0</v>
      </c>
      <c r="BS55" s="4357">
        <f t="shared" si="100"/>
        <v>0</v>
      </c>
      <c r="BT55" s="4357">
        <f t="shared" si="100"/>
        <v>0</v>
      </c>
      <c r="BU55" s="4357">
        <f t="shared" si="100"/>
        <v>0</v>
      </c>
      <c r="BV55" s="4357">
        <f t="shared" si="100"/>
        <v>0</v>
      </c>
      <c r="BW55" s="4357">
        <f t="shared" si="100"/>
        <v>0</v>
      </c>
      <c r="BX55" s="4357">
        <f t="shared" si="100"/>
        <v>0</v>
      </c>
      <c r="BY55" s="4357">
        <f t="shared" si="100"/>
        <v>0</v>
      </c>
      <c r="BZ55" s="4357">
        <f t="shared" si="100"/>
        <v>0</v>
      </c>
      <c r="CA55" s="4357">
        <f t="shared" si="100"/>
        <v>0</v>
      </c>
      <c r="CB55" s="4357">
        <f t="shared" si="100"/>
        <v>0</v>
      </c>
      <c r="CC55" s="4357">
        <f t="shared" si="100"/>
        <v>0</v>
      </c>
      <c r="CD55" s="4357">
        <f t="shared" si="100"/>
        <v>0</v>
      </c>
      <c r="CE55" s="4357">
        <f t="shared" si="100"/>
        <v>0</v>
      </c>
      <c r="CF55" s="4357">
        <f t="shared" si="100"/>
        <v>0</v>
      </c>
      <c r="CG55" s="4357">
        <f t="shared" si="100"/>
        <v>0</v>
      </c>
      <c r="CH55" s="4357">
        <f t="shared" si="100"/>
        <v>0</v>
      </c>
      <c r="CI55" s="4357"/>
      <c r="CJ55" s="4357"/>
      <c r="CK55" s="4357"/>
      <c r="CL55" s="4357"/>
      <c r="CM55" s="4357"/>
      <c r="CN55" s="4357"/>
      <c r="CO55" s="4357"/>
      <c r="CP55" s="4357"/>
      <c r="CQ55" s="4357"/>
      <c r="CR55" s="4357"/>
      <c r="CS55" s="4357"/>
      <c r="CT55" s="4357"/>
      <c r="CU55" s="4357"/>
      <c r="CV55" s="4357"/>
      <c r="CW55" s="4357"/>
      <c r="CX55" s="4357"/>
      <c r="CY55" s="4357"/>
      <c r="CZ55" s="4357"/>
      <c r="DA55" s="4357"/>
      <c r="DB55" s="4357"/>
      <c r="DC55" s="4357"/>
      <c r="DD55" s="4357"/>
      <c r="DE55" s="4357"/>
      <c r="DF55" s="4357"/>
      <c r="DG55" s="4357"/>
      <c r="DH55" s="4357"/>
      <c r="DI55" s="4357"/>
      <c r="DJ55" s="4357"/>
      <c r="DK55" s="4357"/>
      <c r="DL55" s="4357"/>
      <c r="DM55" s="4357"/>
      <c r="DN55" s="4357"/>
      <c r="DO55" s="4357"/>
      <c r="DP55" s="4357"/>
      <c r="DQ55" s="4357"/>
      <c r="DR55" s="4357"/>
      <c r="DS55" s="4357"/>
      <c r="DT55" s="4357"/>
      <c r="DU55" s="4357"/>
      <c r="DV55" s="4357"/>
      <c r="DW55" s="4357"/>
      <c r="DX55" s="4357"/>
      <c r="DY55" s="4357"/>
      <c r="DZ55" s="4357"/>
      <c r="EA55" s="4357"/>
      <c r="EB55" s="4357"/>
      <c r="EC55" s="4357"/>
      <c r="ED55" s="4357"/>
      <c r="EE55" s="4357"/>
      <c r="EF55" s="4357"/>
    </row>
    <row r="56" spans="1:136" ht="16" x14ac:dyDescent="0.2">
      <c r="A56" t="s">
        <v>2072</v>
      </c>
      <c r="B56" t="s">
        <v>2072</v>
      </c>
      <c r="D56" t="str">
        <f>perennial!C17</f>
        <v>Please select</v>
      </c>
      <c r="E56" s="388">
        <f>perennial!R48</f>
        <v>0</v>
      </c>
      <c r="F56" s="388">
        <f>perennial!I48-perennial!H48</f>
        <v>0</v>
      </c>
      <c r="G56" s="388">
        <f>perennial!K48-perennial!J48</f>
        <v>0</v>
      </c>
      <c r="M56" s="388">
        <f>perennial!AL17-perennial!AK17</f>
        <v>0</v>
      </c>
      <c r="N56" s="388">
        <f>perennial!O48-perennial!N48</f>
        <v>0</v>
      </c>
      <c r="U56" s="388">
        <f>perennial!AJ17-perennial!AI17</f>
        <v>0</v>
      </c>
      <c r="AB56" t="str">
        <f t="shared" si="11"/>
        <v>ok</v>
      </c>
      <c r="AC56">
        <f>IF('3.Cropland'!BP68&lt;&gt;0,'3.Cropland'!BP68, '3.Cropland'!BO68)</f>
        <v>1</v>
      </c>
      <c r="AD56">
        <f t="shared" si="8"/>
        <v>5</v>
      </c>
      <c r="AE56" s="4357" t="str">
        <f>'3.Cropland'!S68</f>
        <v>D</v>
      </c>
      <c r="AF56" s="4357" t="str">
        <f>'3.Cropland'!U68</f>
        <v>D</v>
      </c>
      <c r="AG56" s="4357" t="str">
        <f t="shared" si="12"/>
        <v>D</v>
      </c>
      <c r="AH56" s="4357">
        <f>((E56/(time_cap+((AD56-AC56+1)*VLOOKUP(AG56,list!$I$48:$K$50,3, FALSE))))*(AD56-AC56+1)*VLOOKUP(AG56,list!$I$48:$K$50,3, FALSE))</f>
        <v>0</v>
      </c>
      <c r="AI56" s="4357">
        <f>((E56/(time_cap+((AD56-AC56+1)*VLOOKUP(AG56,list!$I$48:$K$50,3, FALSE))))*time_cap)</f>
        <v>0</v>
      </c>
      <c r="AK56" s="4357">
        <f t="shared" ref="AK56:BP56" si="101">IFERROR(IF((time+time_cap)&lt;AK$2, 0,IF(AND(time+1&gt;=AL$2, $AC56&lt;AL$2), IF($AG56= "I", $AH56/($AD56-$AC56+1), $AH56/(($AD56*($AD56+1)/2)-(($AC56-1)*($AC56-1+1)/2))*AK$2), 0)+IF(IF(time+1&gt;=AL$2, $AI56/time_cap/(time+1)*AK$2, 0) = 0, $AI56/(time_cap),0)),0)</f>
        <v>0</v>
      </c>
      <c r="AL56" s="4357">
        <f t="shared" si="101"/>
        <v>0</v>
      </c>
      <c r="AM56" s="4357">
        <f t="shared" si="101"/>
        <v>0</v>
      </c>
      <c r="AN56" s="4357">
        <f t="shared" si="101"/>
        <v>0</v>
      </c>
      <c r="AO56" s="4357">
        <f t="shared" si="101"/>
        <v>0</v>
      </c>
      <c r="AP56" s="4357">
        <f t="shared" si="101"/>
        <v>0</v>
      </c>
      <c r="AQ56" s="4357">
        <f t="shared" si="101"/>
        <v>0</v>
      </c>
      <c r="AR56" s="4357">
        <f t="shared" si="101"/>
        <v>0</v>
      </c>
      <c r="AS56" s="4357">
        <f t="shared" si="101"/>
        <v>0</v>
      </c>
      <c r="AT56" s="4357">
        <f t="shared" si="101"/>
        <v>0</v>
      </c>
      <c r="AU56" s="4357">
        <f t="shared" si="101"/>
        <v>0</v>
      </c>
      <c r="AV56" s="4357">
        <f t="shared" si="101"/>
        <v>0</v>
      </c>
      <c r="AW56" s="4357">
        <f t="shared" si="101"/>
        <v>0</v>
      </c>
      <c r="AX56" s="4357">
        <f t="shared" si="101"/>
        <v>0</v>
      </c>
      <c r="AY56" s="4357">
        <f t="shared" si="101"/>
        <v>0</v>
      </c>
      <c r="AZ56" s="4357">
        <f t="shared" si="101"/>
        <v>0</v>
      </c>
      <c r="BA56" s="4357">
        <f t="shared" si="101"/>
        <v>0</v>
      </c>
      <c r="BB56" s="4357">
        <f t="shared" si="101"/>
        <v>0</v>
      </c>
      <c r="BC56" s="4357">
        <f t="shared" si="101"/>
        <v>0</v>
      </c>
      <c r="BD56" s="4357">
        <f t="shared" si="101"/>
        <v>0</v>
      </c>
      <c r="BE56" s="4357">
        <f t="shared" si="101"/>
        <v>0</v>
      </c>
      <c r="BF56" s="4357">
        <f t="shared" si="101"/>
        <v>0</v>
      </c>
      <c r="BG56" s="4357">
        <f t="shared" si="101"/>
        <v>0</v>
      </c>
      <c r="BH56" s="4357">
        <f t="shared" si="101"/>
        <v>0</v>
      </c>
      <c r="BI56" s="4357">
        <f t="shared" si="101"/>
        <v>0</v>
      </c>
      <c r="BJ56" s="4357">
        <f t="shared" si="101"/>
        <v>0</v>
      </c>
      <c r="BK56" s="4357">
        <f t="shared" si="101"/>
        <v>0</v>
      </c>
      <c r="BL56" s="4357">
        <f t="shared" si="101"/>
        <v>0</v>
      </c>
      <c r="BM56" s="4357">
        <f t="shared" si="101"/>
        <v>0</v>
      </c>
      <c r="BN56" s="4357">
        <f t="shared" si="101"/>
        <v>0</v>
      </c>
      <c r="BO56" s="4357">
        <f t="shared" si="101"/>
        <v>0</v>
      </c>
      <c r="BP56" s="4357">
        <f t="shared" si="101"/>
        <v>0</v>
      </c>
      <c r="BQ56" s="4357">
        <f t="shared" ref="BQ56:CH56" si="102">IFERROR(IF((time+time_cap)&lt;BQ$2, 0,IF(AND(time+1&gt;=BR$2, $AC56&lt;BR$2), IF($AG56= "I", $AH56/($AD56-$AC56+1), $AH56/(($AD56*($AD56+1)/2)-(($AC56-1)*($AC56-1+1)/2))*BQ$2), 0)+IF(IF(time+1&gt;=BR$2, $AI56/time_cap/(time+1)*BQ$2, 0) = 0, $AI56/(time_cap),0)),0)</f>
        <v>0</v>
      </c>
      <c r="BR56" s="4357">
        <f t="shared" si="102"/>
        <v>0</v>
      </c>
      <c r="BS56" s="4357">
        <f t="shared" si="102"/>
        <v>0</v>
      </c>
      <c r="BT56" s="4357">
        <f t="shared" si="102"/>
        <v>0</v>
      </c>
      <c r="BU56" s="4357">
        <f t="shared" si="102"/>
        <v>0</v>
      </c>
      <c r="BV56" s="4357">
        <f t="shared" si="102"/>
        <v>0</v>
      </c>
      <c r="BW56" s="4357">
        <f t="shared" si="102"/>
        <v>0</v>
      </c>
      <c r="BX56" s="4357">
        <f t="shared" si="102"/>
        <v>0</v>
      </c>
      <c r="BY56" s="4357">
        <f t="shared" si="102"/>
        <v>0</v>
      </c>
      <c r="BZ56" s="4357">
        <f t="shared" si="102"/>
        <v>0</v>
      </c>
      <c r="CA56" s="4357">
        <f t="shared" si="102"/>
        <v>0</v>
      </c>
      <c r="CB56" s="4357">
        <f t="shared" si="102"/>
        <v>0</v>
      </c>
      <c r="CC56" s="4357">
        <f t="shared" si="102"/>
        <v>0</v>
      </c>
      <c r="CD56" s="4357">
        <f t="shared" si="102"/>
        <v>0</v>
      </c>
      <c r="CE56" s="4357">
        <f t="shared" si="102"/>
        <v>0</v>
      </c>
      <c r="CF56" s="4357">
        <f t="shared" si="102"/>
        <v>0</v>
      </c>
      <c r="CG56" s="4357">
        <f t="shared" si="102"/>
        <v>0</v>
      </c>
      <c r="CH56" s="4357">
        <f t="shared" si="102"/>
        <v>0</v>
      </c>
      <c r="CI56" s="4357"/>
      <c r="CJ56" s="4357"/>
      <c r="CK56" s="4357"/>
      <c r="CL56" s="4357"/>
      <c r="CM56" s="4357"/>
      <c r="CN56" s="4357"/>
      <c r="CO56" s="4357"/>
      <c r="CP56" s="4357"/>
      <c r="CQ56" s="4357"/>
      <c r="CR56" s="4357"/>
      <c r="CS56" s="4357"/>
      <c r="CT56" s="4357"/>
      <c r="CU56" s="4357"/>
      <c r="CV56" s="4357"/>
      <c r="CW56" s="4357"/>
      <c r="CX56" s="4357"/>
      <c r="CY56" s="4357"/>
      <c r="CZ56" s="4357"/>
      <c r="DA56" s="4357"/>
      <c r="DB56" s="4357"/>
      <c r="DC56" s="4357"/>
      <c r="DD56" s="4357"/>
      <c r="DE56" s="4357"/>
      <c r="DF56" s="4357"/>
      <c r="DG56" s="4357"/>
      <c r="DH56" s="4357"/>
      <c r="DI56" s="4357"/>
      <c r="DJ56" s="4357"/>
      <c r="DK56" s="4357"/>
      <c r="DL56" s="4357"/>
      <c r="DM56" s="4357"/>
      <c r="DN56" s="4357"/>
      <c r="DO56" s="4357"/>
      <c r="DP56" s="4357"/>
      <c r="DQ56" s="4357"/>
      <c r="DR56" s="4357"/>
      <c r="DS56" s="4357"/>
      <c r="DT56" s="4357"/>
      <c r="DU56" s="4357"/>
      <c r="DV56" s="4357"/>
      <c r="DW56" s="4357"/>
      <c r="DX56" s="4357"/>
      <c r="DY56" s="4357"/>
      <c r="DZ56" s="4357"/>
      <c r="EA56" s="4357"/>
      <c r="EB56" s="4357"/>
      <c r="EC56" s="4357"/>
      <c r="ED56" s="4357"/>
      <c r="EE56" s="4357"/>
      <c r="EF56" s="4357"/>
    </row>
    <row r="57" spans="1:136" ht="16" x14ac:dyDescent="0.2">
      <c r="A57" t="s">
        <v>2072</v>
      </c>
      <c r="B57" t="s">
        <v>2072</v>
      </c>
      <c r="D57" t="str">
        <f>perennial!C18</f>
        <v>Please select</v>
      </c>
      <c r="E57" s="388">
        <f>perennial!R49</f>
        <v>0</v>
      </c>
      <c r="F57" s="388">
        <f>perennial!I49-perennial!H49</f>
        <v>0</v>
      </c>
      <c r="G57" s="388">
        <f>perennial!K49-perennial!J49</f>
        <v>0</v>
      </c>
      <c r="M57" s="388">
        <f>perennial!AL18-perennial!AK18</f>
        <v>0</v>
      </c>
      <c r="N57" s="388">
        <f>perennial!O49-perennial!N49</f>
        <v>0</v>
      </c>
      <c r="U57" s="388">
        <f>perennial!AJ18-perennial!AI18</f>
        <v>0</v>
      </c>
      <c r="AB57" t="str">
        <f t="shared" si="11"/>
        <v>ok</v>
      </c>
      <c r="AC57">
        <f>IF('3.Cropland'!BP69&lt;&gt;0,'3.Cropland'!BP69, '3.Cropland'!BO69)</f>
        <v>1</v>
      </c>
      <c r="AD57">
        <f t="shared" si="8"/>
        <v>5</v>
      </c>
      <c r="AE57" s="4357" t="str">
        <f>'3.Cropland'!S69</f>
        <v>D</v>
      </c>
      <c r="AF57" s="4357" t="str">
        <f>'3.Cropland'!U69</f>
        <v>D</v>
      </c>
      <c r="AG57" s="4357" t="str">
        <f t="shared" si="12"/>
        <v>D</v>
      </c>
      <c r="AH57" s="4357">
        <f>((E57/(time_cap+((AD57-AC57+1)*VLOOKUP(AG57,list!$I$48:$K$50,3, FALSE))))*(AD57-AC57+1)*VLOOKUP(AG57,list!$I$48:$K$50,3, FALSE))</f>
        <v>0</v>
      </c>
      <c r="AI57" s="4357">
        <f>((E57/(time_cap+((AD57-AC57+1)*VLOOKUP(AG57,list!$I$48:$K$50,3, FALSE))))*time_cap)</f>
        <v>0</v>
      </c>
      <c r="AK57" s="4357">
        <f t="shared" ref="AK57:BP57" si="103">IFERROR(IF((time+time_cap)&lt;AK$2, 0,IF(AND(time+1&gt;=AL$2, $AC57&lt;AL$2), IF($AG57= "I", $AH57/($AD57-$AC57+1), $AH57/(($AD57*($AD57+1)/2)-(($AC57-1)*($AC57-1+1)/2))*AK$2), 0)+IF(IF(time+1&gt;=AL$2, $AI57/time_cap/(time+1)*AK$2, 0) = 0, $AI57/(time_cap),0)),0)</f>
        <v>0</v>
      </c>
      <c r="AL57" s="4357">
        <f t="shared" si="103"/>
        <v>0</v>
      </c>
      <c r="AM57" s="4357">
        <f t="shared" si="103"/>
        <v>0</v>
      </c>
      <c r="AN57" s="4357">
        <f t="shared" si="103"/>
        <v>0</v>
      </c>
      <c r="AO57" s="4357">
        <f t="shared" si="103"/>
        <v>0</v>
      </c>
      <c r="AP57" s="4357">
        <f t="shared" si="103"/>
        <v>0</v>
      </c>
      <c r="AQ57" s="4357">
        <f t="shared" si="103"/>
        <v>0</v>
      </c>
      <c r="AR57" s="4357">
        <f t="shared" si="103"/>
        <v>0</v>
      </c>
      <c r="AS57" s="4357">
        <f t="shared" si="103"/>
        <v>0</v>
      </c>
      <c r="AT57" s="4357">
        <f t="shared" si="103"/>
        <v>0</v>
      </c>
      <c r="AU57" s="4357">
        <f t="shared" si="103"/>
        <v>0</v>
      </c>
      <c r="AV57" s="4357">
        <f t="shared" si="103"/>
        <v>0</v>
      </c>
      <c r="AW57" s="4357">
        <f t="shared" si="103"/>
        <v>0</v>
      </c>
      <c r="AX57" s="4357">
        <f t="shared" si="103"/>
        <v>0</v>
      </c>
      <c r="AY57" s="4357">
        <f t="shared" si="103"/>
        <v>0</v>
      </c>
      <c r="AZ57" s="4357">
        <f t="shared" si="103"/>
        <v>0</v>
      </c>
      <c r="BA57" s="4357">
        <f t="shared" si="103"/>
        <v>0</v>
      </c>
      <c r="BB57" s="4357">
        <f t="shared" si="103"/>
        <v>0</v>
      </c>
      <c r="BC57" s="4357">
        <f t="shared" si="103"/>
        <v>0</v>
      </c>
      <c r="BD57" s="4357">
        <f t="shared" si="103"/>
        <v>0</v>
      </c>
      <c r="BE57" s="4357">
        <f t="shared" si="103"/>
        <v>0</v>
      </c>
      <c r="BF57" s="4357">
        <f t="shared" si="103"/>
        <v>0</v>
      </c>
      <c r="BG57" s="4357">
        <f t="shared" si="103"/>
        <v>0</v>
      </c>
      <c r="BH57" s="4357">
        <f t="shared" si="103"/>
        <v>0</v>
      </c>
      <c r="BI57" s="4357">
        <f t="shared" si="103"/>
        <v>0</v>
      </c>
      <c r="BJ57" s="4357">
        <f t="shared" si="103"/>
        <v>0</v>
      </c>
      <c r="BK57" s="4357">
        <f t="shared" si="103"/>
        <v>0</v>
      </c>
      <c r="BL57" s="4357">
        <f t="shared" si="103"/>
        <v>0</v>
      </c>
      <c r="BM57" s="4357">
        <f t="shared" si="103"/>
        <v>0</v>
      </c>
      <c r="BN57" s="4357">
        <f t="shared" si="103"/>
        <v>0</v>
      </c>
      <c r="BO57" s="4357">
        <f t="shared" si="103"/>
        <v>0</v>
      </c>
      <c r="BP57" s="4357">
        <f t="shared" si="103"/>
        <v>0</v>
      </c>
      <c r="BQ57" s="4357">
        <f t="shared" ref="BQ57:CH57" si="104">IFERROR(IF((time+time_cap)&lt;BQ$2, 0,IF(AND(time+1&gt;=BR$2, $AC57&lt;BR$2), IF($AG57= "I", $AH57/($AD57-$AC57+1), $AH57/(($AD57*($AD57+1)/2)-(($AC57-1)*($AC57-1+1)/2))*BQ$2), 0)+IF(IF(time+1&gt;=BR$2, $AI57/time_cap/(time+1)*BQ$2, 0) = 0, $AI57/(time_cap),0)),0)</f>
        <v>0</v>
      </c>
      <c r="BR57" s="4357">
        <f t="shared" si="104"/>
        <v>0</v>
      </c>
      <c r="BS57" s="4357">
        <f t="shared" si="104"/>
        <v>0</v>
      </c>
      <c r="BT57" s="4357">
        <f t="shared" si="104"/>
        <v>0</v>
      </c>
      <c r="BU57" s="4357">
        <f t="shared" si="104"/>
        <v>0</v>
      </c>
      <c r="BV57" s="4357">
        <f t="shared" si="104"/>
        <v>0</v>
      </c>
      <c r="BW57" s="4357">
        <f t="shared" si="104"/>
        <v>0</v>
      </c>
      <c r="BX57" s="4357">
        <f t="shared" si="104"/>
        <v>0</v>
      </c>
      <c r="BY57" s="4357">
        <f t="shared" si="104"/>
        <v>0</v>
      </c>
      <c r="BZ57" s="4357">
        <f t="shared" si="104"/>
        <v>0</v>
      </c>
      <c r="CA57" s="4357">
        <f t="shared" si="104"/>
        <v>0</v>
      </c>
      <c r="CB57" s="4357">
        <f t="shared" si="104"/>
        <v>0</v>
      </c>
      <c r="CC57" s="4357">
        <f t="shared" si="104"/>
        <v>0</v>
      </c>
      <c r="CD57" s="4357">
        <f t="shared" si="104"/>
        <v>0</v>
      </c>
      <c r="CE57" s="4357">
        <f t="shared" si="104"/>
        <v>0</v>
      </c>
      <c r="CF57" s="4357">
        <f t="shared" si="104"/>
        <v>0</v>
      </c>
      <c r="CG57" s="4357">
        <f t="shared" si="104"/>
        <v>0</v>
      </c>
      <c r="CH57" s="4357">
        <f t="shared" si="104"/>
        <v>0</v>
      </c>
      <c r="CI57" s="4357"/>
      <c r="CJ57" s="4357"/>
      <c r="CK57" s="4357"/>
      <c r="CL57" s="4357"/>
      <c r="CM57" s="4357"/>
      <c r="CN57" s="4357"/>
      <c r="CO57" s="4357"/>
      <c r="CP57" s="4357"/>
      <c r="CQ57" s="4357"/>
      <c r="CR57" s="4357"/>
      <c r="CS57" s="4357"/>
      <c r="CT57" s="4357"/>
      <c r="CU57" s="4357"/>
      <c r="CV57" s="4357"/>
      <c r="CW57" s="4357"/>
      <c r="CX57" s="4357"/>
      <c r="CY57" s="4357"/>
      <c r="CZ57" s="4357"/>
      <c r="DA57" s="4357"/>
      <c r="DB57" s="4357"/>
      <c r="DC57" s="4357"/>
      <c r="DD57" s="4357"/>
      <c r="DE57" s="4357"/>
      <c r="DF57" s="4357"/>
      <c r="DG57" s="4357"/>
      <c r="DH57" s="4357"/>
      <c r="DI57" s="4357"/>
      <c r="DJ57" s="4357"/>
      <c r="DK57" s="4357"/>
      <c r="DL57" s="4357"/>
      <c r="DM57" s="4357"/>
      <c r="DN57" s="4357"/>
      <c r="DO57" s="4357"/>
      <c r="DP57" s="4357"/>
      <c r="DQ57" s="4357"/>
      <c r="DR57" s="4357"/>
      <c r="DS57" s="4357"/>
      <c r="DT57" s="4357"/>
      <c r="DU57" s="4357"/>
      <c r="DV57" s="4357"/>
      <c r="DW57" s="4357"/>
      <c r="DX57" s="4357"/>
      <c r="DY57" s="4357"/>
      <c r="DZ57" s="4357"/>
      <c r="EA57" s="4357"/>
      <c r="EB57" s="4357"/>
      <c r="EC57" s="4357"/>
      <c r="ED57" s="4357"/>
      <c r="EE57" s="4357"/>
      <c r="EF57" s="4357"/>
    </row>
    <row r="58" spans="1:136" ht="16" x14ac:dyDescent="0.2">
      <c r="A58" t="s">
        <v>2072</v>
      </c>
      <c r="B58" t="s">
        <v>2072</v>
      </c>
      <c r="D58" t="str">
        <f>perennial!C19</f>
        <v>Please select</v>
      </c>
      <c r="E58" s="388">
        <f>perennial!R50</f>
        <v>0</v>
      </c>
      <c r="F58" s="388">
        <f>perennial!I50-perennial!H50</f>
        <v>0</v>
      </c>
      <c r="G58" s="388">
        <f>perennial!K50-perennial!J50</f>
        <v>0</v>
      </c>
      <c r="M58" s="388">
        <f>perennial!AL19-perennial!AK19</f>
        <v>0</v>
      </c>
      <c r="N58" s="388">
        <f>perennial!O50-perennial!N50</f>
        <v>0</v>
      </c>
      <c r="U58" s="388">
        <f>perennial!AJ19-perennial!AI19</f>
        <v>0</v>
      </c>
      <c r="AB58" t="str">
        <f t="shared" si="11"/>
        <v>ok</v>
      </c>
      <c r="AC58">
        <f>IF('3.Cropland'!BP71&lt;&gt;0,'3.Cropland'!BP71, '3.Cropland'!BO71)</f>
        <v>1</v>
      </c>
      <c r="AD58">
        <f t="shared" si="8"/>
        <v>5</v>
      </c>
      <c r="AE58" s="4357" t="str">
        <f>'3.Cropland'!S71</f>
        <v>D</v>
      </c>
      <c r="AF58" s="4357" t="str">
        <f>'3.Cropland'!U71</f>
        <v>D</v>
      </c>
      <c r="AG58" s="4357" t="str">
        <f t="shared" si="12"/>
        <v>D</v>
      </c>
      <c r="AH58" s="4357">
        <f>((E58/(time_cap+((AD58-AC58+1)*VLOOKUP(AG58,list!$I$48:$K$50,3, FALSE))))*(AD58-AC58+1)*VLOOKUP(AG58,list!$I$48:$K$50,3, FALSE))</f>
        <v>0</v>
      </c>
      <c r="AI58" s="4357">
        <f>((E58/(time_cap+((AD58-AC58+1)*VLOOKUP(AG58,list!$I$48:$K$50,3, FALSE))))*time_cap)</f>
        <v>0</v>
      </c>
      <c r="AK58" s="4357">
        <f t="shared" ref="AK58:BP58" si="105">IFERROR(IF((time+time_cap)&lt;AK$2, 0,IF(AND(time+1&gt;=AL$2, $AC58&lt;AL$2), IF($AG58= "I", $AH58/($AD58-$AC58+1), $AH58/(($AD58*($AD58+1)/2)-(($AC58-1)*($AC58-1+1)/2))*AK$2), 0)+IF(IF(time+1&gt;=AL$2, $AI58/time_cap/(time+1)*AK$2, 0) = 0, $AI58/(time_cap),0)),0)</f>
        <v>0</v>
      </c>
      <c r="AL58" s="4357">
        <f t="shared" si="105"/>
        <v>0</v>
      </c>
      <c r="AM58" s="4357">
        <f t="shared" si="105"/>
        <v>0</v>
      </c>
      <c r="AN58" s="4357">
        <f t="shared" si="105"/>
        <v>0</v>
      </c>
      <c r="AO58" s="4357">
        <f t="shared" si="105"/>
        <v>0</v>
      </c>
      <c r="AP58" s="4357">
        <f t="shared" si="105"/>
        <v>0</v>
      </c>
      <c r="AQ58" s="4357">
        <f t="shared" si="105"/>
        <v>0</v>
      </c>
      <c r="AR58" s="4357">
        <f t="shared" si="105"/>
        <v>0</v>
      </c>
      <c r="AS58" s="4357">
        <f t="shared" si="105"/>
        <v>0</v>
      </c>
      <c r="AT58" s="4357">
        <f t="shared" si="105"/>
        <v>0</v>
      </c>
      <c r="AU58" s="4357">
        <f t="shared" si="105"/>
        <v>0</v>
      </c>
      <c r="AV58" s="4357">
        <f t="shared" si="105"/>
        <v>0</v>
      </c>
      <c r="AW58" s="4357">
        <f t="shared" si="105"/>
        <v>0</v>
      </c>
      <c r="AX58" s="4357">
        <f t="shared" si="105"/>
        <v>0</v>
      </c>
      <c r="AY58" s="4357">
        <f t="shared" si="105"/>
        <v>0</v>
      </c>
      <c r="AZ58" s="4357">
        <f t="shared" si="105"/>
        <v>0</v>
      </c>
      <c r="BA58" s="4357">
        <f t="shared" si="105"/>
        <v>0</v>
      </c>
      <c r="BB58" s="4357">
        <f t="shared" si="105"/>
        <v>0</v>
      </c>
      <c r="BC58" s="4357">
        <f t="shared" si="105"/>
        <v>0</v>
      </c>
      <c r="BD58" s="4357">
        <f t="shared" si="105"/>
        <v>0</v>
      </c>
      <c r="BE58" s="4357">
        <f t="shared" si="105"/>
        <v>0</v>
      </c>
      <c r="BF58" s="4357">
        <f t="shared" si="105"/>
        <v>0</v>
      </c>
      <c r="BG58" s="4357">
        <f t="shared" si="105"/>
        <v>0</v>
      </c>
      <c r="BH58" s="4357">
        <f t="shared" si="105"/>
        <v>0</v>
      </c>
      <c r="BI58" s="4357">
        <f t="shared" si="105"/>
        <v>0</v>
      </c>
      <c r="BJ58" s="4357">
        <f t="shared" si="105"/>
        <v>0</v>
      </c>
      <c r="BK58" s="4357">
        <f t="shared" si="105"/>
        <v>0</v>
      </c>
      <c r="BL58" s="4357">
        <f t="shared" si="105"/>
        <v>0</v>
      </c>
      <c r="BM58" s="4357">
        <f t="shared" si="105"/>
        <v>0</v>
      </c>
      <c r="BN58" s="4357">
        <f t="shared" si="105"/>
        <v>0</v>
      </c>
      <c r="BO58" s="4357">
        <f t="shared" si="105"/>
        <v>0</v>
      </c>
      <c r="BP58" s="4357">
        <f t="shared" si="105"/>
        <v>0</v>
      </c>
      <c r="BQ58" s="4357">
        <f t="shared" ref="BQ58:CH58" si="106">IFERROR(IF((time+time_cap)&lt;BQ$2, 0,IF(AND(time+1&gt;=BR$2, $AC58&lt;BR$2), IF($AG58= "I", $AH58/($AD58-$AC58+1), $AH58/(($AD58*($AD58+1)/2)-(($AC58-1)*($AC58-1+1)/2))*BQ$2), 0)+IF(IF(time+1&gt;=BR$2, $AI58/time_cap/(time+1)*BQ$2, 0) = 0, $AI58/(time_cap),0)),0)</f>
        <v>0</v>
      </c>
      <c r="BR58" s="4357">
        <f t="shared" si="106"/>
        <v>0</v>
      </c>
      <c r="BS58" s="4357">
        <f t="shared" si="106"/>
        <v>0</v>
      </c>
      <c r="BT58" s="4357">
        <f t="shared" si="106"/>
        <v>0</v>
      </c>
      <c r="BU58" s="4357">
        <f t="shared" si="106"/>
        <v>0</v>
      </c>
      <c r="BV58" s="4357">
        <f t="shared" si="106"/>
        <v>0</v>
      </c>
      <c r="BW58" s="4357">
        <f t="shared" si="106"/>
        <v>0</v>
      </c>
      <c r="BX58" s="4357">
        <f t="shared" si="106"/>
        <v>0</v>
      </c>
      <c r="BY58" s="4357">
        <f t="shared" si="106"/>
        <v>0</v>
      </c>
      <c r="BZ58" s="4357">
        <f t="shared" si="106"/>
        <v>0</v>
      </c>
      <c r="CA58" s="4357">
        <f t="shared" si="106"/>
        <v>0</v>
      </c>
      <c r="CB58" s="4357">
        <f t="shared" si="106"/>
        <v>0</v>
      </c>
      <c r="CC58" s="4357">
        <f t="shared" si="106"/>
        <v>0</v>
      </c>
      <c r="CD58" s="4357">
        <f t="shared" si="106"/>
        <v>0</v>
      </c>
      <c r="CE58" s="4357">
        <f t="shared" si="106"/>
        <v>0</v>
      </c>
      <c r="CF58" s="4357">
        <f t="shared" si="106"/>
        <v>0</v>
      </c>
      <c r="CG58" s="4357">
        <f t="shared" si="106"/>
        <v>0</v>
      </c>
      <c r="CH58" s="4357">
        <f t="shared" si="106"/>
        <v>0</v>
      </c>
      <c r="CI58" s="4357"/>
      <c r="CJ58" s="4357"/>
      <c r="CK58" s="4357"/>
      <c r="CL58" s="4357"/>
      <c r="CM58" s="4357"/>
      <c r="CN58" s="4357"/>
      <c r="CO58" s="4357"/>
      <c r="CP58" s="4357"/>
      <c r="CQ58" s="4357"/>
      <c r="CR58" s="4357"/>
      <c r="CS58" s="4357"/>
      <c r="CT58" s="4357"/>
      <c r="CU58" s="4357"/>
      <c r="CV58" s="4357"/>
      <c r="CW58" s="4357"/>
      <c r="CX58" s="4357"/>
      <c r="CY58" s="4357"/>
      <c r="CZ58" s="4357"/>
      <c r="DA58" s="4357"/>
      <c r="DB58" s="4357"/>
      <c r="DC58" s="4357"/>
      <c r="DD58" s="4357"/>
      <c r="DE58" s="4357"/>
      <c r="DF58" s="4357"/>
      <c r="DG58" s="4357"/>
      <c r="DH58" s="4357"/>
      <c r="DI58" s="4357"/>
      <c r="DJ58" s="4357"/>
      <c r="DK58" s="4357"/>
      <c r="DL58" s="4357"/>
      <c r="DM58" s="4357"/>
      <c r="DN58" s="4357"/>
      <c r="DO58" s="4357"/>
      <c r="DP58" s="4357"/>
      <c r="DQ58" s="4357"/>
      <c r="DR58" s="4357"/>
      <c r="DS58" s="4357"/>
      <c r="DT58" s="4357"/>
      <c r="DU58" s="4357"/>
      <c r="DV58" s="4357"/>
      <c r="DW58" s="4357"/>
      <c r="DX58" s="4357"/>
      <c r="DY58" s="4357"/>
      <c r="DZ58" s="4357"/>
      <c r="EA58" s="4357"/>
      <c r="EB58" s="4357"/>
      <c r="EC58" s="4357"/>
      <c r="ED58" s="4357"/>
      <c r="EE58" s="4357"/>
      <c r="EF58" s="4357"/>
    </row>
    <row r="59" spans="1:136" ht="16" x14ac:dyDescent="0.2">
      <c r="A59" t="s">
        <v>2072</v>
      </c>
      <c r="B59" t="s">
        <v>2072</v>
      </c>
      <c r="D59" t="str">
        <f>perennial!C20</f>
        <v>Please select</v>
      </c>
      <c r="E59" s="388">
        <f>perennial!R51</f>
        <v>0</v>
      </c>
      <c r="F59" s="388">
        <f>perennial!I51-perennial!H51</f>
        <v>0</v>
      </c>
      <c r="G59" s="388">
        <f>perennial!K51-perennial!J51</f>
        <v>0</v>
      </c>
      <c r="M59" s="388">
        <f>perennial!AL20-perennial!AK20</f>
        <v>0</v>
      </c>
      <c r="N59" s="388">
        <f>perennial!O51-perennial!N51</f>
        <v>0</v>
      </c>
      <c r="U59" s="388">
        <f>perennial!AJ20-perennial!AI20</f>
        <v>0</v>
      </c>
      <c r="AB59" t="str">
        <f t="shared" si="11"/>
        <v>ok</v>
      </c>
      <c r="AC59">
        <f>IF('3.Cropland'!BP72&lt;&gt;0,'3.Cropland'!BP72, '3.Cropland'!BO72)</f>
        <v>1</v>
      </c>
      <c r="AD59">
        <f t="shared" si="8"/>
        <v>5</v>
      </c>
      <c r="AE59" s="4357" t="str">
        <f>'3.Cropland'!S72</f>
        <v>D</v>
      </c>
      <c r="AF59" s="4357" t="str">
        <f>'3.Cropland'!U72</f>
        <v>D</v>
      </c>
      <c r="AG59" s="4357" t="str">
        <f t="shared" si="12"/>
        <v>D</v>
      </c>
      <c r="AH59" s="4357">
        <f>((E59/(time_cap+((AD59-AC59+1)*VLOOKUP(AG59,list!$I$48:$K$50,3, FALSE))))*(AD59-AC59+1)*VLOOKUP(AG59,list!$I$48:$K$50,3, FALSE))</f>
        <v>0</v>
      </c>
      <c r="AI59" s="4357">
        <f>((E59/(time_cap+((AD59-AC59+1)*VLOOKUP(AG59,list!$I$48:$K$50,3, FALSE))))*time_cap)</f>
        <v>0</v>
      </c>
      <c r="AK59" s="4357">
        <f t="shared" ref="AK59:BP59" si="107">IFERROR(IF((time+time_cap)&lt;AK$2, 0,IF(AND(time+1&gt;=AL$2, $AC59&lt;AL$2), IF($AG59= "I", $AH59/($AD59-$AC59+1), $AH59/(($AD59*($AD59+1)/2)-(($AC59-1)*($AC59-1+1)/2))*AK$2), 0)+IF(IF(time+1&gt;=AL$2, $AI59/time_cap/(time+1)*AK$2, 0) = 0, $AI59/(time_cap),0)),0)</f>
        <v>0</v>
      </c>
      <c r="AL59" s="4357">
        <f t="shared" si="107"/>
        <v>0</v>
      </c>
      <c r="AM59" s="4357">
        <f t="shared" si="107"/>
        <v>0</v>
      </c>
      <c r="AN59" s="4357">
        <f t="shared" si="107"/>
        <v>0</v>
      </c>
      <c r="AO59" s="4357">
        <f t="shared" si="107"/>
        <v>0</v>
      </c>
      <c r="AP59" s="4357">
        <f t="shared" si="107"/>
        <v>0</v>
      </c>
      <c r="AQ59" s="4357">
        <f t="shared" si="107"/>
        <v>0</v>
      </c>
      <c r="AR59" s="4357">
        <f t="shared" si="107"/>
        <v>0</v>
      </c>
      <c r="AS59" s="4357">
        <f t="shared" si="107"/>
        <v>0</v>
      </c>
      <c r="AT59" s="4357">
        <f t="shared" si="107"/>
        <v>0</v>
      </c>
      <c r="AU59" s="4357">
        <f t="shared" si="107"/>
        <v>0</v>
      </c>
      <c r="AV59" s="4357">
        <f t="shared" si="107"/>
        <v>0</v>
      </c>
      <c r="AW59" s="4357">
        <f t="shared" si="107"/>
        <v>0</v>
      </c>
      <c r="AX59" s="4357">
        <f t="shared" si="107"/>
        <v>0</v>
      </c>
      <c r="AY59" s="4357">
        <f t="shared" si="107"/>
        <v>0</v>
      </c>
      <c r="AZ59" s="4357">
        <f t="shared" si="107"/>
        <v>0</v>
      </c>
      <c r="BA59" s="4357">
        <f t="shared" si="107"/>
        <v>0</v>
      </c>
      <c r="BB59" s="4357">
        <f t="shared" si="107"/>
        <v>0</v>
      </c>
      <c r="BC59" s="4357">
        <f t="shared" si="107"/>
        <v>0</v>
      </c>
      <c r="BD59" s="4357">
        <f t="shared" si="107"/>
        <v>0</v>
      </c>
      <c r="BE59" s="4357">
        <f t="shared" si="107"/>
        <v>0</v>
      </c>
      <c r="BF59" s="4357">
        <f t="shared" si="107"/>
        <v>0</v>
      </c>
      <c r="BG59" s="4357">
        <f t="shared" si="107"/>
        <v>0</v>
      </c>
      <c r="BH59" s="4357">
        <f t="shared" si="107"/>
        <v>0</v>
      </c>
      <c r="BI59" s="4357">
        <f t="shared" si="107"/>
        <v>0</v>
      </c>
      <c r="BJ59" s="4357">
        <f t="shared" si="107"/>
        <v>0</v>
      </c>
      <c r="BK59" s="4357">
        <f t="shared" si="107"/>
        <v>0</v>
      </c>
      <c r="BL59" s="4357">
        <f t="shared" si="107"/>
        <v>0</v>
      </c>
      <c r="BM59" s="4357">
        <f t="shared" si="107"/>
        <v>0</v>
      </c>
      <c r="BN59" s="4357">
        <f t="shared" si="107"/>
        <v>0</v>
      </c>
      <c r="BO59" s="4357">
        <f t="shared" si="107"/>
        <v>0</v>
      </c>
      <c r="BP59" s="4357">
        <f t="shared" si="107"/>
        <v>0</v>
      </c>
      <c r="BQ59" s="4357">
        <f t="shared" ref="BQ59:CH59" si="108">IFERROR(IF((time+time_cap)&lt;BQ$2, 0,IF(AND(time+1&gt;=BR$2, $AC59&lt;BR$2), IF($AG59= "I", $AH59/($AD59-$AC59+1), $AH59/(($AD59*($AD59+1)/2)-(($AC59-1)*($AC59-1+1)/2))*BQ$2), 0)+IF(IF(time+1&gt;=BR$2, $AI59/time_cap/(time+1)*BQ$2, 0) = 0, $AI59/(time_cap),0)),0)</f>
        <v>0</v>
      </c>
      <c r="BR59" s="4357">
        <f t="shared" si="108"/>
        <v>0</v>
      </c>
      <c r="BS59" s="4357">
        <f t="shared" si="108"/>
        <v>0</v>
      </c>
      <c r="BT59" s="4357">
        <f t="shared" si="108"/>
        <v>0</v>
      </c>
      <c r="BU59" s="4357">
        <f t="shared" si="108"/>
        <v>0</v>
      </c>
      <c r="BV59" s="4357">
        <f t="shared" si="108"/>
        <v>0</v>
      </c>
      <c r="BW59" s="4357">
        <f t="shared" si="108"/>
        <v>0</v>
      </c>
      <c r="BX59" s="4357">
        <f t="shared" si="108"/>
        <v>0</v>
      </c>
      <c r="BY59" s="4357">
        <f t="shared" si="108"/>
        <v>0</v>
      </c>
      <c r="BZ59" s="4357">
        <f t="shared" si="108"/>
        <v>0</v>
      </c>
      <c r="CA59" s="4357">
        <f t="shared" si="108"/>
        <v>0</v>
      </c>
      <c r="CB59" s="4357">
        <f t="shared" si="108"/>
        <v>0</v>
      </c>
      <c r="CC59" s="4357">
        <f t="shared" si="108"/>
        <v>0</v>
      </c>
      <c r="CD59" s="4357">
        <f t="shared" si="108"/>
        <v>0</v>
      </c>
      <c r="CE59" s="4357">
        <f t="shared" si="108"/>
        <v>0</v>
      </c>
      <c r="CF59" s="4357">
        <f t="shared" si="108"/>
        <v>0</v>
      </c>
      <c r="CG59" s="4357">
        <f t="shared" si="108"/>
        <v>0</v>
      </c>
      <c r="CH59" s="4357">
        <f t="shared" si="108"/>
        <v>0</v>
      </c>
      <c r="CI59" s="4357"/>
      <c r="CJ59" s="4357"/>
      <c r="CK59" s="4357"/>
      <c r="CL59" s="4357"/>
      <c r="CM59" s="4357"/>
      <c r="CN59" s="4357"/>
      <c r="CO59" s="4357"/>
      <c r="CP59" s="4357"/>
      <c r="CQ59" s="4357"/>
      <c r="CR59" s="4357"/>
      <c r="CS59" s="4357"/>
      <c r="CT59" s="4357"/>
      <c r="CU59" s="4357"/>
      <c r="CV59" s="4357"/>
      <c r="CW59" s="4357"/>
      <c r="CX59" s="4357"/>
      <c r="CY59" s="4357"/>
      <c r="CZ59" s="4357"/>
      <c r="DA59" s="4357"/>
      <c r="DB59" s="4357"/>
      <c r="DC59" s="4357"/>
      <c r="DD59" s="4357"/>
      <c r="DE59" s="4357"/>
      <c r="DF59" s="4357"/>
      <c r="DG59" s="4357"/>
      <c r="DH59" s="4357"/>
      <c r="DI59" s="4357"/>
      <c r="DJ59" s="4357"/>
      <c r="DK59" s="4357"/>
      <c r="DL59" s="4357"/>
      <c r="DM59" s="4357"/>
      <c r="DN59" s="4357"/>
      <c r="DO59" s="4357"/>
      <c r="DP59" s="4357"/>
      <c r="DQ59" s="4357"/>
      <c r="DR59" s="4357"/>
      <c r="DS59" s="4357"/>
      <c r="DT59" s="4357"/>
      <c r="DU59" s="4357"/>
      <c r="DV59" s="4357"/>
      <c r="DW59" s="4357"/>
      <c r="DX59" s="4357"/>
      <c r="DY59" s="4357"/>
      <c r="DZ59" s="4357"/>
      <c r="EA59" s="4357"/>
      <c r="EB59" s="4357"/>
      <c r="EC59" s="4357"/>
      <c r="ED59" s="4357"/>
      <c r="EE59" s="4357"/>
      <c r="EF59" s="4357"/>
    </row>
    <row r="60" spans="1:136" ht="16" x14ac:dyDescent="0.2">
      <c r="A60" t="s">
        <v>2072</v>
      </c>
      <c r="B60" t="s">
        <v>2072</v>
      </c>
      <c r="D60" t="str">
        <f>perennial!C21</f>
        <v>Please select</v>
      </c>
      <c r="E60" s="388">
        <f>perennial!R52</f>
        <v>0</v>
      </c>
      <c r="F60" s="388">
        <f>perennial!I52-perennial!H52</f>
        <v>0</v>
      </c>
      <c r="G60" s="388">
        <f>perennial!K52-perennial!J52</f>
        <v>0</v>
      </c>
      <c r="M60" s="388">
        <f>perennial!AL21-perennial!AK21</f>
        <v>0</v>
      </c>
      <c r="N60" s="388">
        <f>perennial!O52-perennial!N52</f>
        <v>0</v>
      </c>
      <c r="U60" s="388">
        <f>perennial!AJ21-perennial!AI21</f>
        <v>0</v>
      </c>
      <c r="AB60" t="str">
        <f t="shared" si="11"/>
        <v>ok</v>
      </c>
      <c r="AC60">
        <f>IF('3.Cropland'!BP73&lt;&gt;0,'3.Cropland'!BP73, '3.Cropland'!BO73)</f>
        <v>1</v>
      </c>
      <c r="AD60">
        <f t="shared" si="8"/>
        <v>5</v>
      </c>
      <c r="AE60" s="4357" t="str">
        <f>'3.Cropland'!S73</f>
        <v>D</v>
      </c>
      <c r="AF60" s="4357" t="str">
        <f>'3.Cropland'!U73</f>
        <v>D</v>
      </c>
      <c r="AG60" s="4357" t="str">
        <f t="shared" si="12"/>
        <v>D</v>
      </c>
      <c r="AH60" s="4357">
        <f>((E60/(time_cap+((AD60-AC60+1)*VLOOKUP(AG60,list!$I$48:$K$50,3, FALSE))))*(AD60-AC60+1)*VLOOKUP(AG60,list!$I$48:$K$50,3, FALSE))</f>
        <v>0</v>
      </c>
      <c r="AI60" s="4357">
        <f>((E60/(time_cap+((AD60-AC60+1)*VLOOKUP(AG60,list!$I$48:$K$50,3, FALSE))))*time_cap)</f>
        <v>0</v>
      </c>
      <c r="AK60" s="4357">
        <f t="shared" ref="AK60:BP60" si="109">IFERROR(IF((time+time_cap)&lt;AK$2, 0,IF(AND(time+1&gt;=AL$2, $AC60&lt;AL$2), IF($AG60= "I", $AH60/($AD60-$AC60+1), $AH60/(($AD60*($AD60+1)/2)-(($AC60-1)*($AC60-1+1)/2))*AK$2), 0)+IF(IF(time+1&gt;=AL$2, $AI60/time_cap/(time+1)*AK$2, 0) = 0, $AI60/(time_cap),0)),0)</f>
        <v>0</v>
      </c>
      <c r="AL60" s="4357">
        <f t="shared" si="109"/>
        <v>0</v>
      </c>
      <c r="AM60" s="4357">
        <f t="shared" si="109"/>
        <v>0</v>
      </c>
      <c r="AN60" s="4357">
        <f t="shared" si="109"/>
        <v>0</v>
      </c>
      <c r="AO60" s="4357">
        <f t="shared" si="109"/>
        <v>0</v>
      </c>
      <c r="AP60" s="4357">
        <f t="shared" si="109"/>
        <v>0</v>
      </c>
      <c r="AQ60" s="4357">
        <f t="shared" si="109"/>
        <v>0</v>
      </c>
      <c r="AR60" s="4357">
        <f t="shared" si="109"/>
        <v>0</v>
      </c>
      <c r="AS60" s="4357">
        <f t="shared" si="109"/>
        <v>0</v>
      </c>
      <c r="AT60" s="4357">
        <f t="shared" si="109"/>
        <v>0</v>
      </c>
      <c r="AU60" s="4357">
        <f t="shared" si="109"/>
        <v>0</v>
      </c>
      <c r="AV60" s="4357">
        <f t="shared" si="109"/>
        <v>0</v>
      </c>
      <c r="AW60" s="4357">
        <f t="shared" si="109"/>
        <v>0</v>
      </c>
      <c r="AX60" s="4357">
        <f t="shared" si="109"/>
        <v>0</v>
      </c>
      <c r="AY60" s="4357">
        <f t="shared" si="109"/>
        <v>0</v>
      </c>
      <c r="AZ60" s="4357">
        <f t="shared" si="109"/>
        <v>0</v>
      </c>
      <c r="BA60" s="4357">
        <f t="shared" si="109"/>
        <v>0</v>
      </c>
      <c r="BB60" s="4357">
        <f t="shared" si="109"/>
        <v>0</v>
      </c>
      <c r="BC60" s="4357">
        <f t="shared" si="109"/>
        <v>0</v>
      </c>
      <c r="BD60" s="4357">
        <f t="shared" si="109"/>
        <v>0</v>
      </c>
      <c r="BE60" s="4357">
        <f t="shared" si="109"/>
        <v>0</v>
      </c>
      <c r="BF60" s="4357">
        <f t="shared" si="109"/>
        <v>0</v>
      </c>
      <c r="BG60" s="4357">
        <f t="shared" si="109"/>
        <v>0</v>
      </c>
      <c r="BH60" s="4357">
        <f t="shared" si="109"/>
        <v>0</v>
      </c>
      <c r="BI60" s="4357">
        <f t="shared" si="109"/>
        <v>0</v>
      </c>
      <c r="BJ60" s="4357">
        <f t="shared" si="109"/>
        <v>0</v>
      </c>
      <c r="BK60" s="4357">
        <f t="shared" si="109"/>
        <v>0</v>
      </c>
      <c r="BL60" s="4357">
        <f t="shared" si="109"/>
        <v>0</v>
      </c>
      <c r="BM60" s="4357">
        <f t="shared" si="109"/>
        <v>0</v>
      </c>
      <c r="BN60" s="4357">
        <f t="shared" si="109"/>
        <v>0</v>
      </c>
      <c r="BO60" s="4357">
        <f t="shared" si="109"/>
        <v>0</v>
      </c>
      <c r="BP60" s="4357">
        <f t="shared" si="109"/>
        <v>0</v>
      </c>
      <c r="BQ60" s="4357">
        <f t="shared" ref="BQ60:CH60" si="110">IFERROR(IF((time+time_cap)&lt;BQ$2, 0,IF(AND(time+1&gt;=BR$2, $AC60&lt;BR$2), IF($AG60= "I", $AH60/($AD60-$AC60+1), $AH60/(($AD60*($AD60+1)/2)-(($AC60-1)*($AC60-1+1)/2))*BQ$2), 0)+IF(IF(time+1&gt;=BR$2, $AI60/time_cap/(time+1)*BQ$2, 0) = 0, $AI60/(time_cap),0)),0)</f>
        <v>0</v>
      </c>
      <c r="BR60" s="4357">
        <f t="shared" si="110"/>
        <v>0</v>
      </c>
      <c r="BS60" s="4357">
        <f t="shared" si="110"/>
        <v>0</v>
      </c>
      <c r="BT60" s="4357">
        <f t="shared" si="110"/>
        <v>0</v>
      </c>
      <c r="BU60" s="4357">
        <f t="shared" si="110"/>
        <v>0</v>
      </c>
      <c r="BV60" s="4357">
        <f t="shared" si="110"/>
        <v>0</v>
      </c>
      <c r="BW60" s="4357">
        <f t="shared" si="110"/>
        <v>0</v>
      </c>
      <c r="BX60" s="4357">
        <f t="shared" si="110"/>
        <v>0</v>
      </c>
      <c r="BY60" s="4357">
        <f t="shared" si="110"/>
        <v>0</v>
      </c>
      <c r="BZ60" s="4357">
        <f t="shared" si="110"/>
        <v>0</v>
      </c>
      <c r="CA60" s="4357">
        <f t="shared" si="110"/>
        <v>0</v>
      </c>
      <c r="CB60" s="4357">
        <f t="shared" si="110"/>
        <v>0</v>
      </c>
      <c r="CC60" s="4357">
        <f t="shared" si="110"/>
        <v>0</v>
      </c>
      <c r="CD60" s="4357">
        <f t="shared" si="110"/>
        <v>0</v>
      </c>
      <c r="CE60" s="4357">
        <f t="shared" si="110"/>
        <v>0</v>
      </c>
      <c r="CF60" s="4357">
        <f t="shared" si="110"/>
        <v>0</v>
      </c>
      <c r="CG60" s="4357">
        <f t="shared" si="110"/>
        <v>0</v>
      </c>
      <c r="CH60" s="4357">
        <f t="shared" si="110"/>
        <v>0</v>
      </c>
      <c r="CI60" s="4357"/>
      <c r="CJ60" s="4357"/>
      <c r="CK60" s="4357"/>
      <c r="CL60" s="4357"/>
      <c r="CM60" s="4357"/>
      <c r="CN60" s="4357"/>
      <c r="CO60" s="4357"/>
      <c r="CP60" s="4357"/>
      <c r="CQ60" s="4357"/>
      <c r="CR60" s="4357"/>
      <c r="CS60" s="4357"/>
      <c r="CT60" s="4357"/>
      <c r="CU60" s="4357"/>
      <c r="CV60" s="4357"/>
      <c r="CW60" s="4357"/>
      <c r="CX60" s="4357"/>
      <c r="CY60" s="4357"/>
      <c r="CZ60" s="4357"/>
      <c r="DA60" s="4357"/>
      <c r="DB60" s="4357"/>
      <c r="DC60" s="4357"/>
      <c r="DD60" s="4357"/>
      <c r="DE60" s="4357"/>
      <c r="DF60" s="4357"/>
      <c r="DG60" s="4357"/>
      <c r="DH60" s="4357"/>
      <c r="DI60" s="4357"/>
      <c r="DJ60" s="4357"/>
      <c r="DK60" s="4357"/>
      <c r="DL60" s="4357"/>
      <c r="DM60" s="4357"/>
      <c r="DN60" s="4357"/>
      <c r="DO60" s="4357"/>
      <c r="DP60" s="4357"/>
      <c r="DQ60" s="4357"/>
      <c r="DR60" s="4357"/>
      <c r="DS60" s="4357"/>
      <c r="DT60" s="4357"/>
      <c r="DU60" s="4357"/>
      <c r="DV60" s="4357"/>
      <c r="DW60" s="4357"/>
      <c r="DX60" s="4357"/>
      <c r="DY60" s="4357"/>
      <c r="DZ60" s="4357"/>
      <c r="EA60" s="4357"/>
      <c r="EB60" s="4357"/>
      <c r="EC60" s="4357"/>
      <c r="ED60" s="4357"/>
      <c r="EE60" s="4357"/>
      <c r="EF60" s="4357"/>
    </row>
    <row r="61" spans="1:136" ht="16" x14ac:dyDescent="0.2">
      <c r="A61" t="s">
        <v>2072</v>
      </c>
      <c r="B61" t="s">
        <v>2072</v>
      </c>
      <c r="C61">
        <f>'3.Cropland'!C67</f>
        <v>0</v>
      </c>
      <c r="D61" t="str">
        <f>perennial!C22</f>
        <v>Please select</v>
      </c>
      <c r="E61" s="388">
        <f>perennial!R53</f>
        <v>0</v>
      </c>
      <c r="F61" s="388">
        <f>perennial!I53-perennial!H53</f>
        <v>0</v>
      </c>
      <c r="G61" s="388">
        <f>perennial!K53-perennial!J53</f>
        <v>0</v>
      </c>
      <c r="M61" s="388">
        <f>perennial!AL22-perennial!AK22</f>
        <v>0</v>
      </c>
      <c r="N61" s="388">
        <f>perennial!O53-perennial!N53</f>
        <v>0</v>
      </c>
      <c r="U61" s="388">
        <f>perennial!AJ22-perennial!AI22</f>
        <v>0</v>
      </c>
      <c r="AB61" t="str">
        <f t="shared" si="11"/>
        <v>ok</v>
      </c>
      <c r="AC61">
        <f>IF('3.Cropland'!BP75&lt;&gt;0,'3.Cropland'!BP75, '3.Cropland'!BO75)</f>
        <v>1</v>
      </c>
      <c r="AD61">
        <f t="shared" si="8"/>
        <v>5</v>
      </c>
      <c r="AE61" s="4357" t="str">
        <f>'3.Cropland'!S75</f>
        <v>D</v>
      </c>
      <c r="AF61" s="4357" t="str">
        <f>'3.Cropland'!U75</f>
        <v>D</v>
      </c>
      <c r="AG61" s="4357" t="str">
        <f t="shared" si="12"/>
        <v>D</v>
      </c>
      <c r="AH61" s="4357">
        <f>((E61/(time_cap+((AD61-AC61+1)*VLOOKUP(AG61,list!$I$48:$K$50,3, FALSE))))*(AD61-AC61+1)*VLOOKUP(AG61,list!$I$48:$K$50,3, FALSE))</f>
        <v>0</v>
      </c>
      <c r="AI61" s="4357">
        <f>((E61/(time_cap+((AD61-AC61+1)*VLOOKUP(AG61,list!$I$48:$K$50,3, FALSE))))*time_cap)</f>
        <v>0</v>
      </c>
      <c r="AK61" s="4357">
        <f t="shared" ref="AK61:BP61" si="111">IFERROR(IF((time+time_cap)&lt;AK$2, 0,IF(AND(time+1&gt;=AL$2, $AC61&lt;AL$2), IF($AG61= "I", $AH61/($AD61-$AC61+1), $AH61/(($AD61*($AD61+1)/2)-(($AC61-1)*($AC61-1+1)/2))*AK$2), 0)+IF(IF(time+1&gt;=AL$2, $AI61/time_cap/(time+1)*AK$2, 0) = 0, $AI61/(time_cap),0)),0)</f>
        <v>0</v>
      </c>
      <c r="AL61" s="4357">
        <f t="shared" si="111"/>
        <v>0</v>
      </c>
      <c r="AM61" s="4357">
        <f t="shared" si="111"/>
        <v>0</v>
      </c>
      <c r="AN61" s="4357">
        <f t="shared" si="111"/>
        <v>0</v>
      </c>
      <c r="AO61" s="4357">
        <f t="shared" si="111"/>
        <v>0</v>
      </c>
      <c r="AP61" s="4357">
        <f t="shared" si="111"/>
        <v>0</v>
      </c>
      <c r="AQ61" s="4357">
        <f t="shared" si="111"/>
        <v>0</v>
      </c>
      <c r="AR61" s="4357">
        <f t="shared" si="111"/>
        <v>0</v>
      </c>
      <c r="AS61" s="4357">
        <f t="shared" si="111"/>
        <v>0</v>
      </c>
      <c r="AT61" s="4357">
        <f t="shared" si="111"/>
        <v>0</v>
      </c>
      <c r="AU61" s="4357">
        <f t="shared" si="111"/>
        <v>0</v>
      </c>
      <c r="AV61" s="4357">
        <f t="shared" si="111"/>
        <v>0</v>
      </c>
      <c r="AW61" s="4357">
        <f t="shared" si="111"/>
        <v>0</v>
      </c>
      <c r="AX61" s="4357">
        <f t="shared" si="111"/>
        <v>0</v>
      </c>
      <c r="AY61" s="4357">
        <f t="shared" si="111"/>
        <v>0</v>
      </c>
      <c r="AZ61" s="4357">
        <f t="shared" si="111"/>
        <v>0</v>
      </c>
      <c r="BA61" s="4357">
        <f t="shared" si="111"/>
        <v>0</v>
      </c>
      <c r="BB61" s="4357">
        <f t="shared" si="111"/>
        <v>0</v>
      </c>
      <c r="BC61" s="4357">
        <f t="shared" si="111"/>
        <v>0</v>
      </c>
      <c r="BD61" s="4357">
        <f t="shared" si="111"/>
        <v>0</v>
      </c>
      <c r="BE61" s="4357">
        <f t="shared" si="111"/>
        <v>0</v>
      </c>
      <c r="BF61" s="4357">
        <f t="shared" si="111"/>
        <v>0</v>
      </c>
      <c r="BG61" s="4357">
        <f t="shared" si="111"/>
        <v>0</v>
      </c>
      <c r="BH61" s="4357">
        <f t="shared" si="111"/>
        <v>0</v>
      </c>
      <c r="BI61" s="4357">
        <f t="shared" si="111"/>
        <v>0</v>
      </c>
      <c r="BJ61" s="4357">
        <f t="shared" si="111"/>
        <v>0</v>
      </c>
      <c r="BK61" s="4357">
        <f t="shared" si="111"/>
        <v>0</v>
      </c>
      <c r="BL61" s="4357">
        <f t="shared" si="111"/>
        <v>0</v>
      </c>
      <c r="BM61" s="4357">
        <f t="shared" si="111"/>
        <v>0</v>
      </c>
      <c r="BN61" s="4357">
        <f t="shared" si="111"/>
        <v>0</v>
      </c>
      <c r="BO61" s="4357">
        <f t="shared" si="111"/>
        <v>0</v>
      </c>
      <c r="BP61" s="4357">
        <f t="shared" si="111"/>
        <v>0</v>
      </c>
      <c r="BQ61" s="4357">
        <f t="shared" ref="BQ61:CH61" si="112">IFERROR(IF((time+time_cap)&lt;BQ$2, 0,IF(AND(time+1&gt;=BR$2, $AC61&lt;BR$2), IF($AG61= "I", $AH61/($AD61-$AC61+1), $AH61/(($AD61*($AD61+1)/2)-(($AC61-1)*($AC61-1+1)/2))*BQ$2), 0)+IF(IF(time+1&gt;=BR$2, $AI61/time_cap/(time+1)*BQ$2, 0) = 0, $AI61/(time_cap),0)),0)</f>
        <v>0</v>
      </c>
      <c r="BR61" s="4357">
        <f t="shared" si="112"/>
        <v>0</v>
      </c>
      <c r="BS61" s="4357">
        <f t="shared" si="112"/>
        <v>0</v>
      </c>
      <c r="BT61" s="4357">
        <f t="shared" si="112"/>
        <v>0</v>
      </c>
      <c r="BU61" s="4357">
        <f t="shared" si="112"/>
        <v>0</v>
      </c>
      <c r="BV61" s="4357">
        <f t="shared" si="112"/>
        <v>0</v>
      </c>
      <c r="BW61" s="4357">
        <f t="shared" si="112"/>
        <v>0</v>
      </c>
      <c r="BX61" s="4357">
        <f t="shared" si="112"/>
        <v>0</v>
      </c>
      <c r="BY61" s="4357">
        <f t="shared" si="112"/>
        <v>0</v>
      </c>
      <c r="BZ61" s="4357">
        <f t="shared" si="112"/>
        <v>0</v>
      </c>
      <c r="CA61" s="4357">
        <f t="shared" si="112"/>
        <v>0</v>
      </c>
      <c r="CB61" s="4357">
        <f t="shared" si="112"/>
        <v>0</v>
      </c>
      <c r="CC61" s="4357">
        <f t="shared" si="112"/>
        <v>0</v>
      </c>
      <c r="CD61" s="4357">
        <f t="shared" si="112"/>
        <v>0</v>
      </c>
      <c r="CE61" s="4357">
        <f t="shared" si="112"/>
        <v>0</v>
      </c>
      <c r="CF61" s="4357">
        <f t="shared" si="112"/>
        <v>0</v>
      </c>
      <c r="CG61" s="4357">
        <f t="shared" si="112"/>
        <v>0</v>
      </c>
      <c r="CH61" s="4357">
        <f t="shared" si="112"/>
        <v>0</v>
      </c>
      <c r="CI61" s="4357"/>
      <c r="CJ61" s="4357"/>
      <c r="CK61" s="4357"/>
      <c r="CL61" s="4357"/>
      <c r="CM61" s="4357"/>
      <c r="CN61" s="4357"/>
      <c r="CO61" s="4357"/>
      <c r="CP61" s="4357"/>
      <c r="CQ61" s="4357"/>
      <c r="CR61" s="4357"/>
      <c r="CS61" s="4357"/>
      <c r="CT61" s="4357"/>
      <c r="CU61" s="4357"/>
      <c r="CV61" s="4357"/>
      <c r="CW61" s="4357"/>
      <c r="CX61" s="4357"/>
      <c r="CY61" s="4357"/>
      <c r="CZ61" s="4357"/>
      <c r="DA61" s="4357"/>
      <c r="DB61" s="4357"/>
      <c r="DC61" s="4357"/>
      <c r="DD61" s="4357"/>
      <c r="DE61" s="4357"/>
      <c r="DF61" s="4357"/>
      <c r="DG61" s="4357"/>
      <c r="DH61" s="4357"/>
      <c r="DI61" s="4357"/>
      <c r="DJ61" s="4357"/>
      <c r="DK61" s="4357"/>
      <c r="DL61" s="4357"/>
      <c r="DM61" s="4357"/>
      <c r="DN61" s="4357"/>
      <c r="DO61" s="4357"/>
      <c r="DP61" s="4357"/>
      <c r="DQ61" s="4357"/>
      <c r="DR61" s="4357"/>
      <c r="DS61" s="4357"/>
      <c r="DT61" s="4357"/>
      <c r="DU61" s="4357"/>
      <c r="DV61" s="4357"/>
      <c r="DW61" s="4357"/>
      <c r="DX61" s="4357"/>
      <c r="DY61" s="4357"/>
      <c r="DZ61" s="4357"/>
      <c r="EA61" s="4357"/>
      <c r="EB61" s="4357"/>
      <c r="EC61" s="4357"/>
      <c r="ED61" s="4357"/>
      <c r="EE61" s="4357"/>
      <c r="EF61" s="4357"/>
    </row>
    <row r="62" spans="1:136" ht="16" x14ac:dyDescent="0.2">
      <c r="A62" t="s">
        <v>2072</v>
      </c>
      <c r="B62" t="s">
        <v>2072</v>
      </c>
      <c r="C62">
        <f>'3.Cropland'!C68</f>
        <v>0</v>
      </c>
      <c r="D62" t="str">
        <f>perennial!C23</f>
        <v>Please select</v>
      </c>
      <c r="E62" s="388">
        <f>perennial!R54</f>
        <v>0</v>
      </c>
      <c r="F62" s="388">
        <f>perennial!I54-perennial!H54</f>
        <v>0</v>
      </c>
      <c r="G62" s="388">
        <f>perennial!K54-perennial!J54</f>
        <v>0</v>
      </c>
      <c r="M62" s="388">
        <f>perennial!AL23-perennial!AK23</f>
        <v>0</v>
      </c>
      <c r="N62" s="388">
        <f>perennial!O54-perennial!N54</f>
        <v>0</v>
      </c>
      <c r="U62" s="388">
        <f>perennial!AJ23-perennial!AI23</f>
        <v>0</v>
      </c>
      <c r="AB62" t="str">
        <f t="shared" si="11"/>
        <v>ok</v>
      </c>
      <c r="AC62">
        <f>IF('3.Cropland'!BP76&lt;&gt;0,'3.Cropland'!BP76, '3.Cropland'!BO76)</f>
        <v>1</v>
      </c>
      <c r="AD62">
        <f t="shared" si="8"/>
        <v>5</v>
      </c>
      <c r="AE62" s="4357" t="str">
        <f>'3.Cropland'!S76</f>
        <v>D</v>
      </c>
      <c r="AF62" s="4357" t="str">
        <f>'3.Cropland'!U76</f>
        <v>D</v>
      </c>
      <c r="AG62" s="4357" t="str">
        <f t="shared" si="12"/>
        <v>D</v>
      </c>
      <c r="AH62" s="4357">
        <f>((E62/(time_cap+((AD62-AC62+1)*VLOOKUP(AG62,list!$I$48:$K$50,3, FALSE))))*(AD62-AC62+1)*VLOOKUP(AG62,list!$I$48:$K$50,3, FALSE))</f>
        <v>0</v>
      </c>
      <c r="AI62" s="4357">
        <f>((E62/(time_cap+((AD62-AC62+1)*VLOOKUP(AG62,list!$I$48:$K$50,3, FALSE))))*time_cap)</f>
        <v>0</v>
      </c>
      <c r="AK62" s="4357">
        <f t="shared" ref="AK62:BP62" si="113">IFERROR(IF((time+time_cap)&lt;AK$2, 0,IF(AND(time+1&gt;=AL$2, $AC62&lt;AL$2), IF($AG62= "I", $AH62/($AD62-$AC62+1), $AH62/(($AD62*($AD62+1)/2)-(($AC62-1)*($AC62-1+1)/2))*AK$2), 0)+IF(IF(time+1&gt;=AL$2, $AI62/time_cap/(time+1)*AK$2, 0) = 0, $AI62/(time_cap),0)),0)</f>
        <v>0</v>
      </c>
      <c r="AL62" s="4357">
        <f t="shared" si="113"/>
        <v>0</v>
      </c>
      <c r="AM62" s="4357">
        <f t="shared" si="113"/>
        <v>0</v>
      </c>
      <c r="AN62" s="4357">
        <f t="shared" si="113"/>
        <v>0</v>
      </c>
      <c r="AO62" s="4357">
        <f t="shared" si="113"/>
        <v>0</v>
      </c>
      <c r="AP62" s="4357">
        <f t="shared" si="113"/>
        <v>0</v>
      </c>
      <c r="AQ62" s="4357">
        <f t="shared" si="113"/>
        <v>0</v>
      </c>
      <c r="AR62" s="4357">
        <f t="shared" si="113"/>
        <v>0</v>
      </c>
      <c r="AS62" s="4357">
        <f t="shared" si="113"/>
        <v>0</v>
      </c>
      <c r="AT62" s="4357">
        <f t="shared" si="113"/>
        <v>0</v>
      </c>
      <c r="AU62" s="4357">
        <f t="shared" si="113"/>
        <v>0</v>
      </c>
      <c r="AV62" s="4357">
        <f t="shared" si="113"/>
        <v>0</v>
      </c>
      <c r="AW62" s="4357">
        <f t="shared" si="113"/>
        <v>0</v>
      </c>
      <c r="AX62" s="4357">
        <f t="shared" si="113"/>
        <v>0</v>
      </c>
      <c r="AY62" s="4357">
        <f t="shared" si="113"/>
        <v>0</v>
      </c>
      <c r="AZ62" s="4357">
        <f t="shared" si="113"/>
        <v>0</v>
      </c>
      <c r="BA62" s="4357">
        <f t="shared" si="113"/>
        <v>0</v>
      </c>
      <c r="BB62" s="4357">
        <f t="shared" si="113"/>
        <v>0</v>
      </c>
      <c r="BC62" s="4357">
        <f t="shared" si="113"/>
        <v>0</v>
      </c>
      <c r="BD62" s="4357">
        <f t="shared" si="113"/>
        <v>0</v>
      </c>
      <c r="BE62" s="4357">
        <f t="shared" si="113"/>
        <v>0</v>
      </c>
      <c r="BF62" s="4357">
        <f t="shared" si="113"/>
        <v>0</v>
      </c>
      <c r="BG62" s="4357">
        <f t="shared" si="113"/>
        <v>0</v>
      </c>
      <c r="BH62" s="4357">
        <f t="shared" si="113"/>
        <v>0</v>
      </c>
      <c r="BI62" s="4357">
        <f t="shared" si="113"/>
        <v>0</v>
      </c>
      <c r="BJ62" s="4357">
        <f t="shared" si="113"/>
        <v>0</v>
      </c>
      <c r="BK62" s="4357">
        <f t="shared" si="113"/>
        <v>0</v>
      </c>
      <c r="BL62" s="4357">
        <f t="shared" si="113"/>
        <v>0</v>
      </c>
      <c r="BM62" s="4357">
        <f t="shared" si="113"/>
        <v>0</v>
      </c>
      <c r="BN62" s="4357">
        <f t="shared" si="113"/>
        <v>0</v>
      </c>
      <c r="BO62" s="4357">
        <f t="shared" si="113"/>
        <v>0</v>
      </c>
      <c r="BP62" s="4357">
        <f t="shared" si="113"/>
        <v>0</v>
      </c>
      <c r="BQ62" s="4357">
        <f t="shared" ref="BQ62:CH62" si="114">IFERROR(IF((time+time_cap)&lt;BQ$2, 0,IF(AND(time+1&gt;=BR$2, $AC62&lt;BR$2), IF($AG62= "I", $AH62/($AD62-$AC62+1), $AH62/(($AD62*($AD62+1)/2)-(($AC62-1)*($AC62-1+1)/2))*BQ$2), 0)+IF(IF(time+1&gt;=BR$2, $AI62/time_cap/(time+1)*BQ$2, 0) = 0, $AI62/(time_cap),0)),0)</f>
        <v>0</v>
      </c>
      <c r="BR62" s="4357">
        <f t="shared" si="114"/>
        <v>0</v>
      </c>
      <c r="BS62" s="4357">
        <f t="shared" si="114"/>
        <v>0</v>
      </c>
      <c r="BT62" s="4357">
        <f t="shared" si="114"/>
        <v>0</v>
      </c>
      <c r="BU62" s="4357">
        <f t="shared" si="114"/>
        <v>0</v>
      </c>
      <c r="BV62" s="4357">
        <f t="shared" si="114"/>
        <v>0</v>
      </c>
      <c r="BW62" s="4357">
        <f t="shared" si="114"/>
        <v>0</v>
      </c>
      <c r="BX62" s="4357">
        <f t="shared" si="114"/>
        <v>0</v>
      </c>
      <c r="BY62" s="4357">
        <f t="shared" si="114"/>
        <v>0</v>
      </c>
      <c r="BZ62" s="4357">
        <f t="shared" si="114"/>
        <v>0</v>
      </c>
      <c r="CA62" s="4357">
        <f t="shared" si="114"/>
        <v>0</v>
      </c>
      <c r="CB62" s="4357">
        <f t="shared" si="114"/>
        <v>0</v>
      </c>
      <c r="CC62" s="4357">
        <f t="shared" si="114"/>
        <v>0</v>
      </c>
      <c r="CD62" s="4357">
        <f t="shared" si="114"/>
        <v>0</v>
      </c>
      <c r="CE62" s="4357">
        <f t="shared" si="114"/>
        <v>0</v>
      </c>
      <c r="CF62" s="4357">
        <f t="shared" si="114"/>
        <v>0</v>
      </c>
      <c r="CG62" s="4357">
        <f t="shared" si="114"/>
        <v>0</v>
      </c>
      <c r="CH62" s="4357">
        <f t="shared" si="114"/>
        <v>0</v>
      </c>
      <c r="CI62" s="4357"/>
      <c r="CJ62" s="4357"/>
      <c r="CK62" s="4357"/>
      <c r="CL62" s="4357"/>
      <c r="CM62" s="4357"/>
      <c r="CN62" s="4357"/>
      <c r="CO62" s="4357"/>
      <c r="CP62" s="4357"/>
      <c r="CQ62" s="4357"/>
      <c r="CR62" s="4357"/>
      <c r="CS62" s="4357"/>
      <c r="CT62" s="4357"/>
      <c r="CU62" s="4357"/>
      <c r="CV62" s="4357"/>
      <c r="CW62" s="4357"/>
      <c r="CX62" s="4357"/>
      <c r="CY62" s="4357"/>
      <c r="CZ62" s="4357"/>
      <c r="DA62" s="4357"/>
      <c r="DB62" s="4357"/>
      <c r="DC62" s="4357"/>
      <c r="DD62" s="4357"/>
      <c r="DE62" s="4357"/>
      <c r="DF62" s="4357"/>
      <c r="DG62" s="4357"/>
      <c r="DH62" s="4357"/>
      <c r="DI62" s="4357"/>
      <c r="DJ62" s="4357"/>
      <c r="DK62" s="4357"/>
      <c r="DL62" s="4357"/>
      <c r="DM62" s="4357"/>
      <c r="DN62" s="4357"/>
      <c r="DO62" s="4357"/>
      <c r="DP62" s="4357"/>
      <c r="DQ62" s="4357"/>
      <c r="DR62" s="4357"/>
      <c r="DS62" s="4357"/>
      <c r="DT62" s="4357"/>
      <c r="DU62" s="4357"/>
      <c r="DV62" s="4357"/>
      <c r="DW62" s="4357"/>
      <c r="DX62" s="4357"/>
      <c r="DY62" s="4357"/>
      <c r="DZ62" s="4357"/>
      <c r="EA62" s="4357"/>
      <c r="EB62" s="4357"/>
      <c r="EC62" s="4357"/>
      <c r="ED62" s="4357"/>
      <c r="EE62" s="4357"/>
      <c r="EF62" s="4357"/>
    </row>
    <row r="63" spans="1:136" ht="16" x14ac:dyDescent="0.2">
      <c r="A63" t="s">
        <v>2072</v>
      </c>
      <c r="B63" t="s">
        <v>2072</v>
      </c>
      <c r="C63">
        <f>'3.Cropland'!C69</f>
        <v>0</v>
      </c>
      <c r="D63" t="str">
        <f>perennial!C24</f>
        <v>Please select</v>
      </c>
      <c r="E63" s="388">
        <f>perennial!R55</f>
        <v>0</v>
      </c>
      <c r="F63" s="388">
        <f>perennial!I55-perennial!H55</f>
        <v>0</v>
      </c>
      <c r="G63" s="388">
        <f>perennial!K55-perennial!J55</f>
        <v>0</v>
      </c>
      <c r="M63" s="388">
        <f>perennial!AL24-perennial!AK24</f>
        <v>0</v>
      </c>
      <c r="N63" s="388">
        <f>perennial!O55-perennial!N55</f>
        <v>0</v>
      </c>
      <c r="U63" s="388">
        <f>perennial!AJ24-perennial!AI24</f>
        <v>0</v>
      </c>
      <c r="AB63" t="str">
        <f t="shared" si="11"/>
        <v>ok</v>
      </c>
      <c r="AC63">
        <f>IF('3.Cropland'!BP77&lt;&gt;0,'3.Cropland'!BP77, '3.Cropland'!BO77)</f>
        <v>1</v>
      </c>
      <c r="AD63">
        <f t="shared" si="8"/>
        <v>5</v>
      </c>
      <c r="AE63" s="4357" t="str">
        <f>'3.Cropland'!S77</f>
        <v>D</v>
      </c>
      <c r="AF63" s="4357" t="str">
        <f>'3.Cropland'!U77</f>
        <v>D</v>
      </c>
      <c r="AG63" s="4357" t="str">
        <f t="shared" si="12"/>
        <v>D</v>
      </c>
      <c r="AH63" s="4357">
        <f>((E63/(time_cap+((AD63-AC63+1)*VLOOKUP(AG63,list!$I$48:$K$50,3, FALSE))))*(AD63-AC63+1)*VLOOKUP(AG63,list!$I$48:$K$50,3, FALSE))</f>
        <v>0</v>
      </c>
      <c r="AI63" s="4357">
        <f>((E63/(time_cap+((AD63-AC63+1)*VLOOKUP(AG63,list!$I$48:$K$50,3, FALSE))))*time_cap)</f>
        <v>0</v>
      </c>
      <c r="AK63" s="4357">
        <f t="shared" ref="AK63:BP63" si="115">IFERROR(IF((time+time_cap)&lt;AK$2, 0,IF(AND(time+1&gt;=AL$2, $AC63&lt;AL$2), IF($AG63= "I", $AH63/($AD63-$AC63+1), $AH63/(($AD63*($AD63+1)/2)-(($AC63-1)*($AC63-1+1)/2))*AK$2), 0)+IF(IF(time+1&gt;=AL$2, $AI63/time_cap/(time+1)*AK$2, 0) = 0, $AI63/(time_cap),0)),0)</f>
        <v>0</v>
      </c>
      <c r="AL63" s="4357">
        <f t="shared" si="115"/>
        <v>0</v>
      </c>
      <c r="AM63" s="4357">
        <f t="shared" si="115"/>
        <v>0</v>
      </c>
      <c r="AN63" s="4357">
        <f t="shared" si="115"/>
        <v>0</v>
      </c>
      <c r="AO63" s="4357">
        <f t="shared" si="115"/>
        <v>0</v>
      </c>
      <c r="AP63" s="4357">
        <f t="shared" si="115"/>
        <v>0</v>
      </c>
      <c r="AQ63" s="4357">
        <f t="shared" si="115"/>
        <v>0</v>
      </c>
      <c r="AR63" s="4357">
        <f t="shared" si="115"/>
        <v>0</v>
      </c>
      <c r="AS63" s="4357">
        <f t="shared" si="115"/>
        <v>0</v>
      </c>
      <c r="AT63" s="4357">
        <f t="shared" si="115"/>
        <v>0</v>
      </c>
      <c r="AU63" s="4357">
        <f t="shared" si="115"/>
        <v>0</v>
      </c>
      <c r="AV63" s="4357">
        <f t="shared" si="115"/>
        <v>0</v>
      </c>
      <c r="AW63" s="4357">
        <f t="shared" si="115"/>
        <v>0</v>
      </c>
      <c r="AX63" s="4357">
        <f t="shared" si="115"/>
        <v>0</v>
      </c>
      <c r="AY63" s="4357">
        <f t="shared" si="115"/>
        <v>0</v>
      </c>
      <c r="AZ63" s="4357">
        <f t="shared" si="115"/>
        <v>0</v>
      </c>
      <c r="BA63" s="4357">
        <f t="shared" si="115"/>
        <v>0</v>
      </c>
      <c r="BB63" s="4357">
        <f t="shared" si="115"/>
        <v>0</v>
      </c>
      <c r="BC63" s="4357">
        <f t="shared" si="115"/>
        <v>0</v>
      </c>
      <c r="BD63" s="4357">
        <f t="shared" si="115"/>
        <v>0</v>
      </c>
      <c r="BE63" s="4357">
        <f t="shared" si="115"/>
        <v>0</v>
      </c>
      <c r="BF63" s="4357">
        <f t="shared" si="115"/>
        <v>0</v>
      </c>
      <c r="BG63" s="4357">
        <f t="shared" si="115"/>
        <v>0</v>
      </c>
      <c r="BH63" s="4357">
        <f t="shared" si="115"/>
        <v>0</v>
      </c>
      <c r="BI63" s="4357">
        <f t="shared" si="115"/>
        <v>0</v>
      </c>
      <c r="BJ63" s="4357">
        <f t="shared" si="115"/>
        <v>0</v>
      </c>
      <c r="BK63" s="4357">
        <f t="shared" si="115"/>
        <v>0</v>
      </c>
      <c r="BL63" s="4357">
        <f t="shared" si="115"/>
        <v>0</v>
      </c>
      <c r="BM63" s="4357">
        <f t="shared" si="115"/>
        <v>0</v>
      </c>
      <c r="BN63" s="4357">
        <f t="shared" si="115"/>
        <v>0</v>
      </c>
      <c r="BO63" s="4357">
        <f t="shared" si="115"/>
        <v>0</v>
      </c>
      <c r="BP63" s="4357">
        <f t="shared" si="115"/>
        <v>0</v>
      </c>
      <c r="BQ63" s="4357">
        <f t="shared" ref="BQ63:CH63" si="116">IFERROR(IF((time+time_cap)&lt;BQ$2, 0,IF(AND(time+1&gt;=BR$2, $AC63&lt;BR$2), IF($AG63= "I", $AH63/($AD63-$AC63+1), $AH63/(($AD63*($AD63+1)/2)-(($AC63-1)*($AC63-1+1)/2))*BQ$2), 0)+IF(IF(time+1&gt;=BR$2, $AI63/time_cap/(time+1)*BQ$2, 0) = 0, $AI63/(time_cap),0)),0)</f>
        <v>0</v>
      </c>
      <c r="BR63" s="4357">
        <f t="shared" si="116"/>
        <v>0</v>
      </c>
      <c r="BS63" s="4357">
        <f t="shared" si="116"/>
        <v>0</v>
      </c>
      <c r="BT63" s="4357">
        <f t="shared" si="116"/>
        <v>0</v>
      </c>
      <c r="BU63" s="4357">
        <f t="shared" si="116"/>
        <v>0</v>
      </c>
      <c r="BV63" s="4357">
        <f t="shared" si="116"/>
        <v>0</v>
      </c>
      <c r="BW63" s="4357">
        <f t="shared" si="116"/>
        <v>0</v>
      </c>
      <c r="BX63" s="4357">
        <f t="shared" si="116"/>
        <v>0</v>
      </c>
      <c r="BY63" s="4357">
        <f t="shared" si="116"/>
        <v>0</v>
      </c>
      <c r="BZ63" s="4357">
        <f t="shared" si="116"/>
        <v>0</v>
      </c>
      <c r="CA63" s="4357">
        <f t="shared" si="116"/>
        <v>0</v>
      </c>
      <c r="CB63" s="4357">
        <f t="shared" si="116"/>
        <v>0</v>
      </c>
      <c r="CC63" s="4357">
        <f t="shared" si="116"/>
        <v>0</v>
      </c>
      <c r="CD63" s="4357">
        <f t="shared" si="116"/>
        <v>0</v>
      </c>
      <c r="CE63" s="4357">
        <f t="shared" si="116"/>
        <v>0</v>
      </c>
      <c r="CF63" s="4357">
        <f t="shared" si="116"/>
        <v>0</v>
      </c>
      <c r="CG63" s="4357">
        <f t="shared" si="116"/>
        <v>0</v>
      </c>
      <c r="CH63" s="4357">
        <f t="shared" si="116"/>
        <v>0</v>
      </c>
      <c r="CI63" s="4357"/>
      <c r="CJ63" s="4357"/>
      <c r="CK63" s="4357"/>
      <c r="CL63" s="4357"/>
      <c r="CM63" s="4357"/>
      <c r="CN63" s="4357"/>
      <c r="CO63" s="4357"/>
      <c r="CP63" s="4357"/>
      <c r="CQ63" s="4357"/>
      <c r="CR63" s="4357"/>
      <c r="CS63" s="4357"/>
      <c r="CT63" s="4357"/>
      <c r="CU63" s="4357"/>
      <c r="CV63" s="4357"/>
      <c r="CW63" s="4357"/>
      <c r="CX63" s="4357"/>
      <c r="CY63" s="4357"/>
      <c r="CZ63" s="4357"/>
      <c r="DA63" s="4357"/>
      <c r="DB63" s="4357"/>
      <c r="DC63" s="4357"/>
      <c r="DD63" s="4357"/>
      <c r="DE63" s="4357"/>
      <c r="DF63" s="4357"/>
      <c r="DG63" s="4357"/>
      <c r="DH63" s="4357"/>
      <c r="DI63" s="4357"/>
      <c r="DJ63" s="4357"/>
      <c r="DK63" s="4357"/>
      <c r="DL63" s="4357"/>
      <c r="DM63" s="4357"/>
      <c r="DN63" s="4357"/>
      <c r="DO63" s="4357"/>
      <c r="DP63" s="4357"/>
      <c r="DQ63" s="4357"/>
      <c r="DR63" s="4357"/>
      <c r="DS63" s="4357"/>
      <c r="DT63" s="4357"/>
      <c r="DU63" s="4357"/>
      <c r="DV63" s="4357"/>
      <c r="DW63" s="4357"/>
      <c r="DX63" s="4357"/>
      <c r="DY63" s="4357"/>
      <c r="DZ63" s="4357"/>
      <c r="EA63" s="4357"/>
      <c r="EB63" s="4357"/>
      <c r="EC63" s="4357"/>
      <c r="ED63" s="4357"/>
      <c r="EE63" s="4357"/>
      <c r="EF63" s="4357"/>
    </row>
    <row r="64" spans="1:136" ht="16" x14ac:dyDescent="0.2">
      <c r="A64" t="s">
        <v>2072</v>
      </c>
      <c r="B64" t="s">
        <v>2072</v>
      </c>
      <c r="C64">
        <f>'3.Cropland'!C70</f>
        <v>0</v>
      </c>
      <c r="D64" t="str">
        <f>perennial!C25</f>
        <v>Please select</v>
      </c>
      <c r="E64" s="388">
        <f>perennial!R56</f>
        <v>0</v>
      </c>
      <c r="F64" s="388">
        <f>perennial!I56-perennial!H56</f>
        <v>0</v>
      </c>
      <c r="G64" s="388">
        <f>perennial!K56-perennial!J56</f>
        <v>0</v>
      </c>
      <c r="M64" s="388">
        <f>perennial!AL25-perennial!AK25</f>
        <v>0</v>
      </c>
      <c r="N64" s="388">
        <f>perennial!O56-perennial!N56</f>
        <v>0</v>
      </c>
      <c r="U64" s="388">
        <f>perennial!AJ25-perennial!AI25</f>
        <v>0</v>
      </c>
      <c r="AB64" t="str">
        <f t="shared" si="11"/>
        <v>ok</v>
      </c>
      <c r="AC64">
        <f>IF('3.Cropland'!BP79&lt;&gt;0,'3.Cropland'!BP79, '3.Cropland'!BO79)</f>
        <v>1</v>
      </c>
      <c r="AD64">
        <f t="shared" si="8"/>
        <v>5</v>
      </c>
      <c r="AE64" s="4357" t="str">
        <f>'3.Cropland'!S79</f>
        <v>D</v>
      </c>
      <c r="AF64" s="4357" t="str">
        <f>'3.Cropland'!U79</f>
        <v>D</v>
      </c>
      <c r="AG64" s="4357" t="str">
        <f t="shared" si="12"/>
        <v>D</v>
      </c>
      <c r="AH64" s="4357">
        <f>((E64/(time_cap+((AD64-AC64+1)*VLOOKUP(AG64,list!$I$48:$K$50,3, FALSE))))*(AD64-AC64+1)*VLOOKUP(AG64,list!$I$48:$K$50,3, FALSE))</f>
        <v>0</v>
      </c>
      <c r="AI64" s="4357">
        <f>((E64/(time_cap+((AD64-AC64+1)*VLOOKUP(AG64,list!$I$48:$K$50,3, FALSE))))*time_cap)</f>
        <v>0</v>
      </c>
      <c r="AK64" s="4357">
        <f t="shared" ref="AK64:BP64" si="117">IFERROR(IF((time+time_cap)&lt;AK$2, 0,IF(AND(time+1&gt;=AL$2, $AC64&lt;AL$2), IF($AG64= "I", $AH64/($AD64-$AC64+1), $AH64/(($AD64*($AD64+1)/2)-(($AC64-1)*($AC64-1+1)/2))*AK$2), 0)+IF(IF(time+1&gt;=AL$2, $AI64/time_cap/(time+1)*AK$2, 0) = 0, $AI64/(time_cap),0)),0)</f>
        <v>0</v>
      </c>
      <c r="AL64" s="4357">
        <f t="shared" si="117"/>
        <v>0</v>
      </c>
      <c r="AM64" s="4357">
        <f t="shared" si="117"/>
        <v>0</v>
      </c>
      <c r="AN64" s="4357">
        <f t="shared" si="117"/>
        <v>0</v>
      </c>
      <c r="AO64" s="4357">
        <f t="shared" si="117"/>
        <v>0</v>
      </c>
      <c r="AP64" s="4357">
        <f t="shared" si="117"/>
        <v>0</v>
      </c>
      <c r="AQ64" s="4357">
        <f t="shared" si="117"/>
        <v>0</v>
      </c>
      <c r="AR64" s="4357">
        <f t="shared" si="117"/>
        <v>0</v>
      </c>
      <c r="AS64" s="4357">
        <f t="shared" si="117"/>
        <v>0</v>
      </c>
      <c r="AT64" s="4357">
        <f t="shared" si="117"/>
        <v>0</v>
      </c>
      <c r="AU64" s="4357">
        <f t="shared" si="117"/>
        <v>0</v>
      </c>
      <c r="AV64" s="4357">
        <f t="shared" si="117"/>
        <v>0</v>
      </c>
      <c r="AW64" s="4357">
        <f t="shared" si="117"/>
        <v>0</v>
      </c>
      <c r="AX64" s="4357">
        <f t="shared" si="117"/>
        <v>0</v>
      </c>
      <c r="AY64" s="4357">
        <f t="shared" si="117"/>
        <v>0</v>
      </c>
      <c r="AZ64" s="4357">
        <f t="shared" si="117"/>
        <v>0</v>
      </c>
      <c r="BA64" s="4357">
        <f t="shared" si="117"/>
        <v>0</v>
      </c>
      <c r="BB64" s="4357">
        <f t="shared" si="117"/>
        <v>0</v>
      </c>
      <c r="BC64" s="4357">
        <f t="shared" si="117"/>
        <v>0</v>
      </c>
      <c r="BD64" s="4357">
        <f t="shared" si="117"/>
        <v>0</v>
      </c>
      <c r="BE64" s="4357">
        <f t="shared" si="117"/>
        <v>0</v>
      </c>
      <c r="BF64" s="4357">
        <f t="shared" si="117"/>
        <v>0</v>
      </c>
      <c r="BG64" s="4357">
        <f t="shared" si="117"/>
        <v>0</v>
      </c>
      <c r="BH64" s="4357">
        <f t="shared" si="117"/>
        <v>0</v>
      </c>
      <c r="BI64" s="4357">
        <f t="shared" si="117"/>
        <v>0</v>
      </c>
      <c r="BJ64" s="4357">
        <f t="shared" si="117"/>
        <v>0</v>
      </c>
      <c r="BK64" s="4357">
        <f t="shared" si="117"/>
        <v>0</v>
      </c>
      <c r="BL64" s="4357">
        <f t="shared" si="117"/>
        <v>0</v>
      </c>
      <c r="BM64" s="4357">
        <f t="shared" si="117"/>
        <v>0</v>
      </c>
      <c r="BN64" s="4357">
        <f t="shared" si="117"/>
        <v>0</v>
      </c>
      <c r="BO64" s="4357">
        <f t="shared" si="117"/>
        <v>0</v>
      </c>
      <c r="BP64" s="4357">
        <f t="shared" si="117"/>
        <v>0</v>
      </c>
      <c r="BQ64" s="4357">
        <f t="shared" ref="BQ64:CH64" si="118">IFERROR(IF((time+time_cap)&lt;BQ$2, 0,IF(AND(time+1&gt;=BR$2, $AC64&lt;BR$2), IF($AG64= "I", $AH64/($AD64-$AC64+1), $AH64/(($AD64*($AD64+1)/2)-(($AC64-1)*($AC64-1+1)/2))*BQ$2), 0)+IF(IF(time+1&gt;=BR$2, $AI64/time_cap/(time+1)*BQ$2, 0) = 0, $AI64/(time_cap),0)),0)</f>
        <v>0</v>
      </c>
      <c r="BR64" s="4357">
        <f t="shared" si="118"/>
        <v>0</v>
      </c>
      <c r="BS64" s="4357">
        <f t="shared" si="118"/>
        <v>0</v>
      </c>
      <c r="BT64" s="4357">
        <f t="shared" si="118"/>
        <v>0</v>
      </c>
      <c r="BU64" s="4357">
        <f t="shared" si="118"/>
        <v>0</v>
      </c>
      <c r="BV64" s="4357">
        <f t="shared" si="118"/>
        <v>0</v>
      </c>
      <c r="BW64" s="4357">
        <f t="shared" si="118"/>
        <v>0</v>
      </c>
      <c r="BX64" s="4357">
        <f t="shared" si="118"/>
        <v>0</v>
      </c>
      <c r="BY64" s="4357">
        <f t="shared" si="118"/>
        <v>0</v>
      </c>
      <c r="BZ64" s="4357">
        <f t="shared" si="118"/>
        <v>0</v>
      </c>
      <c r="CA64" s="4357">
        <f t="shared" si="118"/>
        <v>0</v>
      </c>
      <c r="CB64" s="4357">
        <f t="shared" si="118"/>
        <v>0</v>
      </c>
      <c r="CC64" s="4357">
        <f t="shared" si="118"/>
        <v>0</v>
      </c>
      <c r="CD64" s="4357">
        <f t="shared" si="118"/>
        <v>0</v>
      </c>
      <c r="CE64" s="4357">
        <f t="shared" si="118"/>
        <v>0</v>
      </c>
      <c r="CF64" s="4357">
        <f t="shared" si="118"/>
        <v>0</v>
      </c>
      <c r="CG64" s="4357">
        <f t="shared" si="118"/>
        <v>0</v>
      </c>
      <c r="CH64" s="4357">
        <f t="shared" si="118"/>
        <v>0</v>
      </c>
      <c r="CI64" s="4357"/>
      <c r="CJ64" s="4357"/>
      <c r="CK64" s="4357"/>
      <c r="CL64" s="4357"/>
      <c r="CM64" s="4357"/>
      <c r="CN64" s="4357"/>
      <c r="CO64" s="4357"/>
      <c r="CP64" s="4357"/>
      <c r="CQ64" s="4357"/>
      <c r="CR64" s="4357"/>
      <c r="CS64" s="4357"/>
      <c r="CT64" s="4357"/>
      <c r="CU64" s="4357"/>
      <c r="CV64" s="4357"/>
      <c r="CW64" s="4357"/>
      <c r="CX64" s="4357"/>
      <c r="CY64" s="4357"/>
      <c r="CZ64" s="4357"/>
      <c r="DA64" s="4357"/>
      <c r="DB64" s="4357"/>
      <c r="DC64" s="4357"/>
      <c r="DD64" s="4357"/>
      <c r="DE64" s="4357"/>
      <c r="DF64" s="4357"/>
      <c r="DG64" s="4357"/>
      <c r="DH64" s="4357"/>
      <c r="DI64" s="4357"/>
      <c r="DJ64" s="4357"/>
      <c r="DK64" s="4357"/>
      <c r="DL64" s="4357"/>
      <c r="DM64" s="4357"/>
      <c r="DN64" s="4357"/>
      <c r="DO64" s="4357"/>
      <c r="DP64" s="4357"/>
      <c r="DQ64" s="4357"/>
      <c r="DR64" s="4357"/>
      <c r="DS64" s="4357"/>
      <c r="DT64" s="4357"/>
      <c r="DU64" s="4357"/>
      <c r="DV64" s="4357"/>
      <c r="DW64" s="4357"/>
      <c r="DX64" s="4357"/>
      <c r="DY64" s="4357"/>
      <c r="DZ64" s="4357"/>
      <c r="EA64" s="4357"/>
      <c r="EB64" s="4357"/>
      <c r="EC64" s="4357"/>
      <c r="ED64" s="4357"/>
      <c r="EE64" s="4357"/>
      <c r="EF64" s="4357"/>
    </row>
    <row r="65" spans="1:136" ht="16" x14ac:dyDescent="0.2">
      <c r="A65" t="s">
        <v>2072</v>
      </c>
      <c r="B65" t="s">
        <v>2072</v>
      </c>
      <c r="C65">
        <f>'3.Cropland'!C71</f>
        <v>0</v>
      </c>
      <c r="D65" t="str">
        <f>perennial!C26</f>
        <v>Please select</v>
      </c>
      <c r="E65" s="388">
        <f>perennial!R57</f>
        <v>0</v>
      </c>
      <c r="F65" s="388">
        <f>perennial!I57-perennial!H57</f>
        <v>0</v>
      </c>
      <c r="G65" s="388">
        <f>perennial!K57-perennial!J57</f>
        <v>0</v>
      </c>
      <c r="M65" s="388">
        <f>perennial!AL26-perennial!AK26</f>
        <v>0</v>
      </c>
      <c r="N65" s="388">
        <f>perennial!O57-perennial!N57</f>
        <v>0</v>
      </c>
      <c r="U65" s="388">
        <f>perennial!AJ26-perennial!AI26</f>
        <v>0</v>
      </c>
      <c r="AB65" t="str">
        <f t="shared" si="11"/>
        <v>ok</v>
      </c>
      <c r="AC65">
        <f>IF('3.Cropland'!BP80&lt;&gt;0,'3.Cropland'!BP80, '3.Cropland'!BO80)</f>
        <v>1</v>
      </c>
      <c r="AD65">
        <f t="shared" si="8"/>
        <v>5</v>
      </c>
      <c r="AE65" s="4357" t="str">
        <f>'3.Cropland'!S80</f>
        <v>D</v>
      </c>
      <c r="AF65" s="4357" t="str">
        <f>'3.Cropland'!U80</f>
        <v>D</v>
      </c>
      <c r="AG65" s="4357" t="str">
        <f t="shared" si="12"/>
        <v>D</v>
      </c>
      <c r="AH65" s="4357">
        <f>((E65/(time_cap+((AD65-AC65+1)*VLOOKUP(AG65,list!$I$48:$K$50,3, FALSE))))*(AD65-AC65+1)*VLOOKUP(AG65,list!$I$48:$K$50,3, FALSE))</f>
        <v>0</v>
      </c>
      <c r="AI65" s="4357">
        <f>((E65/(time_cap+((AD65-AC65+1)*VLOOKUP(AG65,list!$I$48:$K$50,3, FALSE))))*time_cap)</f>
        <v>0</v>
      </c>
      <c r="AK65" s="4357">
        <f t="shared" ref="AK65:AK74" si="119">IFERROR(IF((time+time_cap)&lt;AK$2, 0,IF(AND(time+1&gt;=AL$2, $AC65&lt;AL$2), IF($AG65= "I", $AH65/($AD65-$AC65+1), $AH65/(($AD65*($AD65+1)/2)-(($AC65-1)*($AC65-1+1)/2))*AK$2), 0)+IF(IF(time+1&gt;=AL$2, $AI65/time_cap/(time+1)*AK$2, 0) = 0, $AI65/(time_cap),0)),0)</f>
        <v>0</v>
      </c>
      <c r="AL65" s="4357">
        <f t="shared" ref="AL65:AL74" si="120">IFERROR(IF((time+time_cap)&lt;AL$2, 0,IF(AND(time+1&gt;=AM$2, $AC65&lt;AM$2), IF($AG65= "I", $AH65/($AD65-$AC65+1), $AH65/(($AD65*($AD65+1)/2)-(($AC65-1)*($AC65-1+1)/2))*AL$2), 0)+IF(IF(time+1&gt;=AM$2, $AI65/time_cap/(time+1)*AL$2, 0) = 0, $AI65/(time_cap),0)),0)</f>
        <v>0</v>
      </c>
      <c r="AM65" s="4357">
        <f t="shared" ref="AM65:AM74" si="121">IFERROR(IF((time+time_cap)&lt;AM$2, 0,IF(AND(time+1&gt;=AN$2, $AC65&lt;AN$2), IF($AG65= "I", $AH65/($AD65-$AC65+1), $AH65/(($AD65*($AD65+1)/2)-(($AC65-1)*($AC65-1+1)/2))*AM$2), 0)+IF(IF(time+1&gt;=AN$2, $AI65/time_cap/(time+1)*AM$2, 0) = 0, $AI65/(time_cap),0)),0)</f>
        <v>0</v>
      </c>
      <c r="AN65" s="4357">
        <f t="shared" ref="AN65:AN74" si="122">IFERROR(IF((time+time_cap)&lt;AN$2, 0,IF(AND(time+1&gt;=AO$2, $AC65&lt;AO$2), IF($AG65= "I", $AH65/($AD65-$AC65+1), $AH65/(($AD65*($AD65+1)/2)-(($AC65-1)*($AC65-1+1)/2))*AN$2), 0)+IF(IF(time+1&gt;=AO$2, $AI65/time_cap/(time+1)*AN$2, 0) = 0, $AI65/(time_cap),0)),0)</f>
        <v>0</v>
      </c>
      <c r="AO65" s="4357">
        <f t="shared" ref="AO65:AO74" si="123">IFERROR(IF((time+time_cap)&lt;AO$2, 0,IF(AND(time+1&gt;=AP$2, $AC65&lt;AP$2), IF($AG65= "I", $AH65/($AD65-$AC65+1), $AH65/(($AD65*($AD65+1)/2)-(($AC65-1)*($AC65-1+1)/2))*AO$2), 0)+IF(IF(time+1&gt;=AP$2, $AI65/time_cap/(time+1)*AO$2, 0) = 0, $AI65/(time_cap),0)),0)</f>
        <v>0</v>
      </c>
      <c r="AP65" s="4357">
        <f t="shared" ref="AP65:AP74" si="124">IFERROR(IF((time+time_cap)&lt;AP$2, 0,IF(AND(time+1&gt;=AQ$2, $AC65&lt;AQ$2), IF($AG65= "I", $AH65/($AD65-$AC65+1), $AH65/(($AD65*($AD65+1)/2)-(($AC65-1)*($AC65-1+1)/2))*AP$2), 0)+IF(IF(time+1&gt;=AQ$2, $AI65/time_cap/(time+1)*AP$2, 0) = 0, $AI65/(time_cap),0)),0)</f>
        <v>0</v>
      </c>
      <c r="AQ65" s="4357">
        <f t="shared" ref="AQ65:AQ74" si="125">IFERROR(IF((time+time_cap)&lt;AQ$2, 0,IF(AND(time+1&gt;=AR$2, $AC65&lt;AR$2), IF($AG65= "I", $AH65/($AD65-$AC65+1), $AH65/(($AD65*($AD65+1)/2)-(($AC65-1)*($AC65-1+1)/2))*AQ$2), 0)+IF(IF(time+1&gt;=AR$2, $AI65/time_cap/(time+1)*AQ$2, 0) = 0, $AI65/(time_cap),0)),0)</f>
        <v>0</v>
      </c>
      <c r="AR65" s="4357">
        <f t="shared" ref="AR65:AR74" si="126">IFERROR(IF((time+time_cap)&lt;AR$2, 0,IF(AND(time+1&gt;=AS$2, $AC65&lt;AS$2), IF($AG65= "I", $AH65/($AD65-$AC65+1), $AH65/(($AD65*($AD65+1)/2)-(($AC65-1)*($AC65-1+1)/2))*AR$2), 0)+IF(IF(time+1&gt;=AS$2, $AI65/time_cap/(time+1)*AR$2, 0) = 0, $AI65/(time_cap),0)),0)</f>
        <v>0</v>
      </c>
      <c r="AS65" s="4357">
        <f t="shared" ref="AS65:AS74" si="127">IFERROR(IF((time+time_cap)&lt;AS$2, 0,IF(AND(time+1&gt;=AT$2, $AC65&lt;AT$2), IF($AG65= "I", $AH65/($AD65-$AC65+1), $AH65/(($AD65*($AD65+1)/2)-(($AC65-1)*($AC65-1+1)/2))*AS$2), 0)+IF(IF(time+1&gt;=AT$2, $AI65/time_cap/(time+1)*AS$2, 0) = 0, $AI65/(time_cap),0)),0)</f>
        <v>0</v>
      </c>
      <c r="AT65" s="4357">
        <f t="shared" ref="AT65:AT74" si="128">IFERROR(IF((time+time_cap)&lt;AT$2, 0,IF(AND(time+1&gt;=AU$2, $AC65&lt;AU$2), IF($AG65= "I", $AH65/($AD65-$AC65+1), $AH65/(($AD65*($AD65+1)/2)-(($AC65-1)*($AC65-1+1)/2))*AT$2), 0)+IF(IF(time+1&gt;=AU$2, $AI65/time_cap/(time+1)*AT$2, 0) = 0, $AI65/(time_cap),0)),0)</f>
        <v>0</v>
      </c>
      <c r="AU65" s="4357">
        <f t="shared" ref="AU65:AU74" si="129">IFERROR(IF((time+time_cap)&lt;AU$2, 0,IF(AND(time+1&gt;=AV$2, $AC65&lt;AV$2), IF($AG65= "I", $AH65/($AD65-$AC65+1), $AH65/(($AD65*($AD65+1)/2)-(($AC65-1)*($AC65-1+1)/2))*AU$2), 0)+IF(IF(time+1&gt;=AV$2, $AI65/time_cap/(time+1)*AU$2, 0) = 0, $AI65/(time_cap),0)),0)</f>
        <v>0</v>
      </c>
      <c r="AV65" s="4357">
        <f t="shared" ref="AV65:AV74" si="130">IFERROR(IF((time+time_cap)&lt;AV$2, 0,IF(AND(time+1&gt;=AW$2, $AC65&lt;AW$2), IF($AG65= "I", $AH65/($AD65-$AC65+1), $AH65/(($AD65*($AD65+1)/2)-(($AC65-1)*($AC65-1+1)/2))*AV$2), 0)+IF(IF(time+1&gt;=AW$2, $AI65/time_cap/(time+1)*AV$2, 0) = 0, $AI65/(time_cap),0)),0)</f>
        <v>0</v>
      </c>
      <c r="AW65" s="4357">
        <f t="shared" ref="AW65:AW74" si="131">IFERROR(IF((time+time_cap)&lt;AW$2, 0,IF(AND(time+1&gt;=AX$2, $AC65&lt;AX$2), IF($AG65= "I", $AH65/($AD65-$AC65+1), $AH65/(($AD65*($AD65+1)/2)-(($AC65-1)*($AC65-1+1)/2))*AW$2), 0)+IF(IF(time+1&gt;=AX$2, $AI65/time_cap/(time+1)*AW$2, 0) = 0, $AI65/(time_cap),0)),0)</f>
        <v>0</v>
      </c>
      <c r="AX65" s="4357">
        <f t="shared" ref="AX65:AX74" si="132">IFERROR(IF((time+time_cap)&lt;AX$2, 0,IF(AND(time+1&gt;=AY$2, $AC65&lt;AY$2), IF($AG65= "I", $AH65/($AD65-$AC65+1), $AH65/(($AD65*($AD65+1)/2)-(($AC65-1)*($AC65-1+1)/2))*AX$2), 0)+IF(IF(time+1&gt;=AY$2, $AI65/time_cap/(time+1)*AX$2, 0) = 0, $AI65/(time_cap),0)),0)</f>
        <v>0</v>
      </c>
      <c r="AY65" s="4357">
        <f t="shared" ref="AY65:AY74" si="133">IFERROR(IF((time+time_cap)&lt;AY$2, 0,IF(AND(time+1&gt;=AZ$2, $AC65&lt;AZ$2), IF($AG65= "I", $AH65/($AD65-$AC65+1), $AH65/(($AD65*($AD65+1)/2)-(($AC65-1)*($AC65-1+1)/2))*AY$2), 0)+IF(IF(time+1&gt;=AZ$2, $AI65/time_cap/(time+1)*AY$2, 0) = 0, $AI65/(time_cap),0)),0)</f>
        <v>0</v>
      </c>
      <c r="AZ65" s="4357">
        <f t="shared" ref="AZ65:AZ74" si="134">IFERROR(IF((time+time_cap)&lt;AZ$2, 0,IF(AND(time+1&gt;=BA$2, $AC65&lt;BA$2), IF($AG65= "I", $AH65/($AD65-$AC65+1), $AH65/(($AD65*($AD65+1)/2)-(($AC65-1)*($AC65-1+1)/2))*AZ$2), 0)+IF(IF(time+1&gt;=BA$2, $AI65/time_cap/(time+1)*AZ$2, 0) = 0, $AI65/(time_cap),0)),0)</f>
        <v>0</v>
      </c>
      <c r="BA65" s="4357">
        <f t="shared" ref="BA65:BA74" si="135">IFERROR(IF((time+time_cap)&lt;BA$2, 0,IF(AND(time+1&gt;=BB$2, $AC65&lt;BB$2), IF($AG65= "I", $AH65/($AD65-$AC65+1), $AH65/(($AD65*($AD65+1)/2)-(($AC65-1)*($AC65-1+1)/2))*BA$2), 0)+IF(IF(time+1&gt;=BB$2, $AI65/time_cap/(time+1)*BA$2, 0) = 0, $AI65/(time_cap),0)),0)</f>
        <v>0</v>
      </c>
      <c r="BB65" s="4357">
        <f t="shared" ref="BB65:BB74" si="136">IFERROR(IF((time+time_cap)&lt;BB$2, 0,IF(AND(time+1&gt;=BC$2, $AC65&lt;BC$2), IF($AG65= "I", $AH65/($AD65-$AC65+1), $AH65/(($AD65*($AD65+1)/2)-(($AC65-1)*($AC65-1+1)/2))*BB$2), 0)+IF(IF(time+1&gt;=BC$2, $AI65/time_cap/(time+1)*BB$2, 0) = 0, $AI65/(time_cap),0)),0)</f>
        <v>0</v>
      </c>
      <c r="BC65" s="4357">
        <f t="shared" ref="BC65:BC74" si="137">IFERROR(IF((time+time_cap)&lt;BC$2, 0,IF(AND(time+1&gt;=BD$2, $AC65&lt;BD$2), IF($AG65= "I", $AH65/($AD65-$AC65+1), $AH65/(($AD65*($AD65+1)/2)-(($AC65-1)*($AC65-1+1)/2))*BC$2), 0)+IF(IF(time+1&gt;=BD$2, $AI65/time_cap/(time+1)*BC$2, 0) = 0, $AI65/(time_cap),0)),0)</f>
        <v>0</v>
      </c>
      <c r="BD65" s="4357">
        <f t="shared" ref="BD65:BD74" si="138">IFERROR(IF((time+time_cap)&lt;BD$2, 0,IF(AND(time+1&gt;=BE$2, $AC65&lt;BE$2), IF($AG65= "I", $AH65/($AD65-$AC65+1), $AH65/(($AD65*($AD65+1)/2)-(($AC65-1)*($AC65-1+1)/2))*BD$2), 0)+IF(IF(time+1&gt;=BE$2, $AI65/time_cap/(time+1)*BD$2, 0) = 0, $AI65/(time_cap),0)),0)</f>
        <v>0</v>
      </c>
      <c r="BE65" s="4357">
        <f t="shared" ref="BE65:BE74" si="139">IFERROR(IF((time+time_cap)&lt;BE$2, 0,IF(AND(time+1&gt;=BF$2, $AC65&lt;BF$2), IF($AG65= "I", $AH65/($AD65-$AC65+1), $AH65/(($AD65*($AD65+1)/2)-(($AC65-1)*($AC65-1+1)/2))*BE$2), 0)+IF(IF(time+1&gt;=BF$2, $AI65/time_cap/(time+1)*BE$2, 0) = 0, $AI65/(time_cap),0)),0)</f>
        <v>0</v>
      </c>
      <c r="BF65" s="4357">
        <f t="shared" ref="BF65:BF74" si="140">IFERROR(IF((time+time_cap)&lt;BF$2, 0,IF(AND(time+1&gt;=BG$2, $AC65&lt;BG$2), IF($AG65= "I", $AH65/($AD65-$AC65+1), $AH65/(($AD65*($AD65+1)/2)-(($AC65-1)*($AC65-1+1)/2))*BF$2), 0)+IF(IF(time+1&gt;=BG$2, $AI65/time_cap/(time+1)*BF$2, 0) = 0, $AI65/(time_cap),0)),0)</f>
        <v>0</v>
      </c>
      <c r="BG65" s="4357">
        <f t="shared" ref="BG65:BG74" si="141">IFERROR(IF((time+time_cap)&lt;BG$2, 0,IF(AND(time+1&gt;=BH$2, $AC65&lt;BH$2), IF($AG65= "I", $AH65/($AD65-$AC65+1), $AH65/(($AD65*($AD65+1)/2)-(($AC65-1)*($AC65-1+1)/2))*BG$2), 0)+IF(IF(time+1&gt;=BH$2, $AI65/time_cap/(time+1)*BG$2, 0) = 0, $AI65/(time_cap),0)),0)</f>
        <v>0</v>
      </c>
      <c r="BH65" s="4357">
        <f t="shared" ref="BH65:BH74" si="142">IFERROR(IF((time+time_cap)&lt;BH$2, 0,IF(AND(time+1&gt;=BI$2, $AC65&lt;BI$2), IF($AG65= "I", $AH65/($AD65-$AC65+1), $AH65/(($AD65*($AD65+1)/2)-(($AC65-1)*($AC65-1+1)/2))*BH$2), 0)+IF(IF(time+1&gt;=BI$2, $AI65/time_cap/(time+1)*BH$2, 0) = 0, $AI65/(time_cap),0)),0)</f>
        <v>0</v>
      </c>
      <c r="BI65" s="4357">
        <f t="shared" ref="BI65:BI74" si="143">IFERROR(IF((time+time_cap)&lt;BI$2, 0,IF(AND(time+1&gt;=BJ$2, $AC65&lt;BJ$2), IF($AG65= "I", $AH65/($AD65-$AC65+1), $AH65/(($AD65*($AD65+1)/2)-(($AC65-1)*($AC65-1+1)/2))*BI$2), 0)+IF(IF(time+1&gt;=BJ$2, $AI65/time_cap/(time+1)*BI$2, 0) = 0, $AI65/(time_cap),0)),0)</f>
        <v>0</v>
      </c>
      <c r="BJ65" s="4357">
        <f t="shared" ref="BJ65:BJ74" si="144">IFERROR(IF((time+time_cap)&lt;BJ$2, 0,IF(AND(time+1&gt;=BK$2, $AC65&lt;BK$2), IF($AG65= "I", $AH65/($AD65-$AC65+1), $AH65/(($AD65*($AD65+1)/2)-(($AC65-1)*($AC65-1+1)/2))*BJ$2), 0)+IF(IF(time+1&gt;=BK$2, $AI65/time_cap/(time+1)*BJ$2, 0) = 0, $AI65/(time_cap),0)),0)</f>
        <v>0</v>
      </c>
      <c r="BK65" s="4357">
        <f t="shared" ref="BK65:BK74" si="145">IFERROR(IF((time+time_cap)&lt;BK$2, 0,IF(AND(time+1&gt;=BL$2, $AC65&lt;BL$2), IF($AG65= "I", $AH65/($AD65-$AC65+1), $AH65/(($AD65*($AD65+1)/2)-(($AC65-1)*($AC65-1+1)/2))*BK$2), 0)+IF(IF(time+1&gt;=BL$2, $AI65/time_cap/(time+1)*BK$2, 0) = 0, $AI65/(time_cap),0)),0)</f>
        <v>0</v>
      </c>
      <c r="BL65" s="4357">
        <f t="shared" ref="BL65:BL74" si="146">IFERROR(IF((time+time_cap)&lt;BL$2, 0,IF(AND(time+1&gt;=BM$2, $AC65&lt;BM$2), IF($AG65= "I", $AH65/($AD65-$AC65+1), $AH65/(($AD65*($AD65+1)/2)-(($AC65-1)*($AC65-1+1)/2))*BL$2), 0)+IF(IF(time+1&gt;=BM$2, $AI65/time_cap/(time+1)*BL$2, 0) = 0, $AI65/(time_cap),0)),0)</f>
        <v>0</v>
      </c>
      <c r="BM65" s="4357">
        <f t="shared" ref="BM65:BM74" si="147">IFERROR(IF((time+time_cap)&lt;BM$2, 0,IF(AND(time+1&gt;=BN$2, $AC65&lt;BN$2), IF($AG65= "I", $AH65/($AD65-$AC65+1), $AH65/(($AD65*($AD65+1)/2)-(($AC65-1)*($AC65-1+1)/2))*BM$2), 0)+IF(IF(time+1&gt;=BN$2, $AI65/time_cap/(time+1)*BM$2, 0) = 0, $AI65/(time_cap),0)),0)</f>
        <v>0</v>
      </c>
      <c r="BN65" s="4357">
        <f t="shared" ref="BN65:BN74" si="148">IFERROR(IF((time+time_cap)&lt;BN$2, 0,IF(AND(time+1&gt;=BO$2, $AC65&lt;BO$2), IF($AG65= "I", $AH65/($AD65-$AC65+1), $AH65/(($AD65*($AD65+1)/2)-(($AC65-1)*($AC65-1+1)/2))*BN$2), 0)+IF(IF(time+1&gt;=BO$2, $AI65/time_cap/(time+1)*BN$2, 0) = 0, $AI65/(time_cap),0)),0)</f>
        <v>0</v>
      </c>
      <c r="BO65" s="4357">
        <f t="shared" ref="BO65:BO74" si="149">IFERROR(IF((time+time_cap)&lt;BO$2, 0,IF(AND(time+1&gt;=BP$2, $AC65&lt;BP$2), IF($AG65= "I", $AH65/($AD65-$AC65+1), $AH65/(($AD65*($AD65+1)/2)-(($AC65-1)*($AC65-1+1)/2))*BO$2), 0)+IF(IF(time+1&gt;=BP$2, $AI65/time_cap/(time+1)*BO$2, 0) = 0, $AI65/(time_cap),0)),0)</f>
        <v>0</v>
      </c>
      <c r="BP65" s="4357">
        <f t="shared" ref="BP65:BP74" si="150">IFERROR(IF((time+time_cap)&lt;BP$2, 0,IF(AND(time+1&gt;=BQ$2, $AC65&lt;BQ$2), IF($AG65= "I", $AH65/($AD65-$AC65+1), $AH65/(($AD65*($AD65+1)/2)-(($AC65-1)*($AC65-1+1)/2))*BP$2), 0)+IF(IF(time+1&gt;=BQ$2, $AI65/time_cap/(time+1)*BP$2, 0) = 0, $AI65/(time_cap),0)),0)</f>
        <v>0</v>
      </c>
      <c r="BQ65" s="4357">
        <f t="shared" ref="BQ65:BQ74" si="151">IFERROR(IF((time+time_cap)&lt;BQ$2, 0,IF(AND(time+1&gt;=BR$2, $AC65&lt;BR$2), IF($AG65= "I", $AH65/($AD65-$AC65+1), $AH65/(($AD65*($AD65+1)/2)-(($AC65-1)*($AC65-1+1)/2))*BQ$2), 0)+IF(IF(time+1&gt;=BR$2, $AI65/time_cap/(time+1)*BQ$2, 0) = 0, $AI65/(time_cap),0)),0)</f>
        <v>0</v>
      </c>
      <c r="BR65" s="4357">
        <f t="shared" ref="BR65:BR74" si="152">IFERROR(IF((time+time_cap)&lt;BR$2, 0,IF(AND(time+1&gt;=BS$2, $AC65&lt;BS$2), IF($AG65= "I", $AH65/($AD65-$AC65+1), $AH65/(($AD65*($AD65+1)/2)-(($AC65-1)*($AC65-1+1)/2))*BR$2), 0)+IF(IF(time+1&gt;=BS$2, $AI65/time_cap/(time+1)*BR$2, 0) = 0, $AI65/(time_cap),0)),0)</f>
        <v>0</v>
      </c>
      <c r="BS65" s="4357">
        <f t="shared" ref="BS65:BS74" si="153">IFERROR(IF((time+time_cap)&lt;BS$2, 0,IF(AND(time+1&gt;=BT$2, $AC65&lt;BT$2), IF($AG65= "I", $AH65/($AD65-$AC65+1), $AH65/(($AD65*($AD65+1)/2)-(($AC65-1)*($AC65-1+1)/2))*BS$2), 0)+IF(IF(time+1&gt;=BT$2, $AI65/time_cap/(time+1)*BS$2, 0) = 0, $AI65/(time_cap),0)),0)</f>
        <v>0</v>
      </c>
      <c r="BT65" s="4357">
        <f t="shared" ref="BT65:BT74" si="154">IFERROR(IF((time+time_cap)&lt;BT$2, 0,IF(AND(time+1&gt;=BU$2, $AC65&lt;BU$2), IF($AG65= "I", $AH65/($AD65-$AC65+1), $AH65/(($AD65*($AD65+1)/2)-(($AC65-1)*($AC65-1+1)/2))*BT$2), 0)+IF(IF(time+1&gt;=BU$2, $AI65/time_cap/(time+1)*BT$2, 0) = 0, $AI65/(time_cap),0)),0)</f>
        <v>0</v>
      </c>
      <c r="BU65" s="4357">
        <f t="shared" ref="BU65:BU74" si="155">IFERROR(IF((time+time_cap)&lt;BU$2, 0,IF(AND(time+1&gt;=BV$2, $AC65&lt;BV$2), IF($AG65= "I", $AH65/($AD65-$AC65+1), $AH65/(($AD65*($AD65+1)/2)-(($AC65-1)*($AC65-1+1)/2))*BU$2), 0)+IF(IF(time+1&gt;=BV$2, $AI65/time_cap/(time+1)*BU$2, 0) = 0, $AI65/(time_cap),0)),0)</f>
        <v>0</v>
      </c>
      <c r="BV65" s="4357">
        <f t="shared" ref="BV65:BV74" si="156">IFERROR(IF((time+time_cap)&lt;BV$2, 0,IF(AND(time+1&gt;=BW$2, $AC65&lt;BW$2), IF($AG65= "I", $AH65/($AD65-$AC65+1), $AH65/(($AD65*($AD65+1)/2)-(($AC65-1)*($AC65-1+1)/2))*BV$2), 0)+IF(IF(time+1&gt;=BW$2, $AI65/time_cap/(time+1)*BV$2, 0) = 0, $AI65/(time_cap),0)),0)</f>
        <v>0</v>
      </c>
      <c r="BW65" s="4357">
        <f t="shared" ref="BW65:BW74" si="157">IFERROR(IF((time+time_cap)&lt;BW$2, 0,IF(AND(time+1&gt;=BX$2, $AC65&lt;BX$2), IF($AG65= "I", $AH65/($AD65-$AC65+1), $AH65/(($AD65*($AD65+1)/2)-(($AC65-1)*($AC65-1+1)/2))*BW$2), 0)+IF(IF(time+1&gt;=BX$2, $AI65/time_cap/(time+1)*BW$2, 0) = 0, $AI65/(time_cap),0)),0)</f>
        <v>0</v>
      </c>
      <c r="BX65" s="4357">
        <f t="shared" ref="BX65:BX74" si="158">IFERROR(IF((time+time_cap)&lt;BX$2, 0,IF(AND(time+1&gt;=BY$2, $AC65&lt;BY$2), IF($AG65= "I", $AH65/($AD65-$AC65+1), $AH65/(($AD65*($AD65+1)/2)-(($AC65-1)*($AC65-1+1)/2))*BX$2), 0)+IF(IF(time+1&gt;=BY$2, $AI65/time_cap/(time+1)*BX$2, 0) = 0, $AI65/(time_cap),0)),0)</f>
        <v>0</v>
      </c>
      <c r="BY65" s="4357">
        <f t="shared" ref="BY65:BY74" si="159">IFERROR(IF((time+time_cap)&lt;BY$2, 0,IF(AND(time+1&gt;=BZ$2, $AC65&lt;BZ$2), IF($AG65= "I", $AH65/($AD65-$AC65+1), $AH65/(($AD65*($AD65+1)/2)-(($AC65-1)*($AC65-1+1)/2))*BY$2), 0)+IF(IF(time+1&gt;=BZ$2, $AI65/time_cap/(time+1)*BY$2, 0) = 0, $AI65/(time_cap),0)),0)</f>
        <v>0</v>
      </c>
      <c r="BZ65" s="4357">
        <f t="shared" ref="BZ65:BZ74" si="160">IFERROR(IF((time+time_cap)&lt;BZ$2, 0,IF(AND(time+1&gt;=CA$2, $AC65&lt;CA$2), IF($AG65= "I", $AH65/($AD65-$AC65+1), $AH65/(($AD65*($AD65+1)/2)-(($AC65-1)*($AC65-1+1)/2))*BZ$2), 0)+IF(IF(time+1&gt;=CA$2, $AI65/time_cap/(time+1)*BZ$2, 0) = 0, $AI65/(time_cap),0)),0)</f>
        <v>0</v>
      </c>
      <c r="CA65" s="4357">
        <f t="shared" ref="CA65:CA74" si="161">IFERROR(IF((time+time_cap)&lt;CA$2, 0,IF(AND(time+1&gt;=CB$2, $AC65&lt;CB$2), IF($AG65= "I", $AH65/($AD65-$AC65+1), $AH65/(($AD65*($AD65+1)/2)-(($AC65-1)*($AC65-1+1)/2))*CA$2), 0)+IF(IF(time+1&gt;=CB$2, $AI65/time_cap/(time+1)*CA$2, 0) = 0, $AI65/(time_cap),0)),0)</f>
        <v>0</v>
      </c>
      <c r="CB65" s="4357">
        <f t="shared" ref="CB65:CB74" si="162">IFERROR(IF((time+time_cap)&lt;CB$2, 0,IF(AND(time+1&gt;=CC$2, $AC65&lt;CC$2), IF($AG65= "I", $AH65/($AD65-$AC65+1), $AH65/(($AD65*($AD65+1)/2)-(($AC65-1)*($AC65-1+1)/2))*CB$2), 0)+IF(IF(time+1&gt;=CC$2, $AI65/time_cap/(time+1)*CB$2, 0) = 0, $AI65/(time_cap),0)),0)</f>
        <v>0</v>
      </c>
      <c r="CC65" s="4357">
        <f t="shared" ref="CC65:CC74" si="163">IFERROR(IF((time+time_cap)&lt;CC$2, 0,IF(AND(time+1&gt;=CD$2, $AC65&lt;CD$2), IF($AG65= "I", $AH65/($AD65-$AC65+1), $AH65/(($AD65*($AD65+1)/2)-(($AC65-1)*($AC65-1+1)/2))*CC$2), 0)+IF(IF(time+1&gt;=CD$2, $AI65/time_cap/(time+1)*CC$2, 0) = 0, $AI65/(time_cap),0)),0)</f>
        <v>0</v>
      </c>
      <c r="CD65" s="4357">
        <f t="shared" ref="CD65:CD74" si="164">IFERROR(IF((time+time_cap)&lt;CD$2, 0,IF(AND(time+1&gt;=CE$2, $AC65&lt;CE$2), IF($AG65= "I", $AH65/($AD65-$AC65+1), $AH65/(($AD65*($AD65+1)/2)-(($AC65-1)*($AC65-1+1)/2))*CD$2), 0)+IF(IF(time+1&gt;=CE$2, $AI65/time_cap/(time+1)*CD$2, 0) = 0, $AI65/(time_cap),0)),0)</f>
        <v>0</v>
      </c>
      <c r="CE65" s="4357">
        <f t="shared" ref="CE65:CE74" si="165">IFERROR(IF((time+time_cap)&lt;CE$2, 0,IF(AND(time+1&gt;=CF$2, $AC65&lt;CF$2), IF($AG65= "I", $AH65/($AD65-$AC65+1), $AH65/(($AD65*($AD65+1)/2)-(($AC65-1)*($AC65-1+1)/2))*CE$2), 0)+IF(IF(time+1&gt;=CF$2, $AI65/time_cap/(time+1)*CE$2, 0) = 0, $AI65/(time_cap),0)),0)</f>
        <v>0</v>
      </c>
      <c r="CF65" s="4357">
        <f t="shared" ref="CF65:CF74" si="166">IFERROR(IF((time+time_cap)&lt;CF$2, 0,IF(AND(time+1&gt;=CG$2, $AC65&lt;CG$2), IF($AG65= "I", $AH65/($AD65-$AC65+1), $AH65/(($AD65*($AD65+1)/2)-(($AC65-1)*($AC65-1+1)/2))*CF$2), 0)+IF(IF(time+1&gt;=CG$2, $AI65/time_cap/(time+1)*CF$2, 0) = 0, $AI65/(time_cap),0)),0)</f>
        <v>0</v>
      </c>
      <c r="CG65" s="4357">
        <f t="shared" ref="CG65:CG74" si="167">IFERROR(IF((time+time_cap)&lt;CG$2, 0,IF(AND(time+1&gt;=CH$2, $AC65&lt;CH$2), IF($AG65= "I", $AH65/($AD65-$AC65+1), $AH65/(($AD65*($AD65+1)/2)-(($AC65-1)*($AC65-1+1)/2))*CG$2), 0)+IF(IF(time+1&gt;=CH$2, $AI65/time_cap/(time+1)*CG$2, 0) = 0, $AI65/(time_cap),0)),0)</f>
        <v>0</v>
      </c>
      <c r="CH65" s="4357">
        <f t="shared" ref="CH65:CH74" si="168">IFERROR(IF((time+time_cap)&lt;CH$2, 0,IF(AND(time+1&gt;=CI$2, $AC65&lt;CI$2), IF($AG65= "I", $AH65/($AD65-$AC65+1), $AH65/(($AD65*($AD65+1)/2)-(($AC65-1)*($AC65-1+1)/2))*CH$2), 0)+IF(IF(time+1&gt;=CI$2, $AI65/time_cap/(time+1)*CH$2, 0) = 0, $AI65/(time_cap),0)),0)</f>
        <v>0</v>
      </c>
      <c r="CI65" s="4357"/>
      <c r="CJ65" s="4357"/>
      <c r="CK65" s="4357"/>
      <c r="CL65" s="4357"/>
      <c r="CM65" s="4357"/>
      <c r="CN65" s="4357"/>
      <c r="CO65" s="4357"/>
      <c r="CP65" s="4357"/>
      <c r="CQ65" s="4357"/>
      <c r="CR65" s="4357"/>
      <c r="CS65" s="4357"/>
      <c r="CT65" s="4357"/>
      <c r="CU65" s="4357"/>
      <c r="CV65" s="4357"/>
      <c r="CW65" s="4357"/>
      <c r="CX65" s="4357"/>
      <c r="CY65" s="4357"/>
      <c r="CZ65" s="4357"/>
      <c r="DA65" s="4357"/>
      <c r="DB65" s="4357"/>
      <c r="DC65" s="4357"/>
      <c r="DD65" s="4357"/>
      <c r="DE65" s="4357"/>
      <c r="DF65" s="4357"/>
      <c r="DG65" s="4357"/>
      <c r="DH65" s="4357"/>
      <c r="DI65" s="4357"/>
      <c r="DJ65" s="4357"/>
      <c r="DK65" s="4357"/>
      <c r="DL65" s="4357"/>
      <c r="DM65" s="4357"/>
      <c r="DN65" s="4357"/>
      <c r="DO65" s="4357"/>
      <c r="DP65" s="4357"/>
      <c r="DQ65" s="4357"/>
      <c r="DR65" s="4357"/>
      <c r="DS65" s="4357"/>
      <c r="DT65" s="4357"/>
      <c r="DU65" s="4357"/>
      <c r="DV65" s="4357"/>
      <c r="DW65" s="4357"/>
      <c r="DX65" s="4357"/>
      <c r="DY65" s="4357"/>
      <c r="DZ65" s="4357"/>
      <c r="EA65" s="4357"/>
      <c r="EB65" s="4357"/>
      <c r="EC65" s="4357"/>
      <c r="ED65" s="4357"/>
      <c r="EE65" s="4357"/>
      <c r="EF65" s="4357"/>
    </row>
    <row r="66" spans="1:136" ht="16" x14ac:dyDescent="0.2">
      <c r="A66" t="s">
        <v>2072</v>
      </c>
      <c r="B66" t="s">
        <v>2072</v>
      </c>
      <c r="C66">
        <f>'3.Cropland'!C72</f>
        <v>0</v>
      </c>
      <c r="D66" t="str">
        <f>perennial!C27</f>
        <v>Please select</v>
      </c>
      <c r="E66" s="388">
        <f>perennial!R58</f>
        <v>0</v>
      </c>
      <c r="F66" s="388">
        <f>perennial!I58-perennial!H58</f>
        <v>0</v>
      </c>
      <c r="G66" s="388">
        <f>perennial!K58-perennial!J58</f>
        <v>0</v>
      </c>
      <c r="M66" s="388">
        <f>perennial!AL27-perennial!AK27</f>
        <v>0</v>
      </c>
      <c r="N66" s="388">
        <f>perennial!O58-perennial!N58</f>
        <v>0</v>
      </c>
      <c r="U66" s="388">
        <f>perennial!AJ27-perennial!AI27</f>
        <v>0</v>
      </c>
      <c r="AB66" t="str">
        <f t="shared" si="11"/>
        <v>ok</v>
      </c>
      <c r="AC66">
        <f>IF('3.Cropland'!BP81&lt;&gt;0,'3.Cropland'!BP81, '3.Cropland'!BO81)</f>
        <v>1</v>
      </c>
      <c r="AD66">
        <f t="shared" si="8"/>
        <v>5</v>
      </c>
      <c r="AE66" s="4357" t="str">
        <f>'3.Cropland'!S81</f>
        <v>D</v>
      </c>
      <c r="AF66" s="4357" t="str">
        <f>'3.Cropland'!U81</f>
        <v>D</v>
      </c>
      <c r="AG66" s="4357" t="str">
        <f t="shared" si="12"/>
        <v>D</v>
      </c>
      <c r="AH66" s="4357">
        <f>((E66/(time_cap+((AD66-AC66+1)*VLOOKUP(AG66,list!$I$48:$K$50,3, FALSE))))*(AD66-AC66+1)*VLOOKUP(AG66,list!$I$48:$K$50,3, FALSE))</f>
        <v>0</v>
      </c>
      <c r="AI66" s="4357">
        <f>((E66/(time_cap+((AD66-AC66+1)*VLOOKUP(AG66,list!$I$48:$K$50,3, FALSE))))*time_cap)</f>
        <v>0</v>
      </c>
      <c r="AK66" s="4357">
        <f t="shared" si="119"/>
        <v>0</v>
      </c>
      <c r="AL66" s="4357">
        <f t="shared" si="120"/>
        <v>0</v>
      </c>
      <c r="AM66" s="4357">
        <f t="shared" si="121"/>
        <v>0</v>
      </c>
      <c r="AN66" s="4357">
        <f t="shared" si="122"/>
        <v>0</v>
      </c>
      <c r="AO66" s="4357">
        <f t="shared" si="123"/>
        <v>0</v>
      </c>
      <c r="AP66" s="4357">
        <f t="shared" si="124"/>
        <v>0</v>
      </c>
      <c r="AQ66" s="4357">
        <f t="shared" si="125"/>
        <v>0</v>
      </c>
      <c r="AR66" s="4357">
        <f t="shared" si="126"/>
        <v>0</v>
      </c>
      <c r="AS66" s="4357">
        <f t="shared" si="127"/>
        <v>0</v>
      </c>
      <c r="AT66" s="4357">
        <f t="shared" si="128"/>
        <v>0</v>
      </c>
      <c r="AU66" s="4357">
        <f t="shared" si="129"/>
        <v>0</v>
      </c>
      <c r="AV66" s="4357">
        <f t="shared" si="130"/>
        <v>0</v>
      </c>
      <c r="AW66" s="4357">
        <f t="shared" si="131"/>
        <v>0</v>
      </c>
      <c r="AX66" s="4357">
        <f t="shared" si="132"/>
        <v>0</v>
      </c>
      <c r="AY66" s="4357">
        <f t="shared" si="133"/>
        <v>0</v>
      </c>
      <c r="AZ66" s="4357">
        <f t="shared" si="134"/>
        <v>0</v>
      </c>
      <c r="BA66" s="4357">
        <f t="shared" si="135"/>
        <v>0</v>
      </c>
      <c r="BB66" s="4357">
        <f t="shared" si="136"/>
        <v>0</v>
      </c>
      <c r="BC66" s="4357">
        <f t="shared" si="137"/>
        <v>0</v>
      </c>
      <c r="BD66" s="4357">
        <f t="shared" si="138"/>
        <v>0</v>
      </c>
      <c r="BE66" s="4357">
        <f t="shared" si="139"/>
        <v>0</v>
      </c>
      <c r="BF66" s="4357">
        <f t="shared" si="140"/>
        <v>0</v>
      </c>
      <c r="BG66" s="4357">
        <f t="shared" si="141"/>
        <v>0</v>
      </c>
      <c r="BH66" s="4357">
        <f t="shared" si="142"/>
        <v>0</v>
      </c>
      <c r="BI66" s="4357">
        <f t="shared" si="143"/>
        <v>0</v>
      </c>
      <c r="BJ66" s="4357">
        <f t="shared" si="144"/>
        <v>0</v>
      </c>
      <c r="BK66" s="4357">
        <f t="shared" si="145"/>
        <v>0</v>
      </c>
      <c r="BL66" s="4357">
        <f t="shared" si="146"/>
        <v>0</v>
      </c>
      <c r="BM66" s="4357">
        <f t="shared" si="147"/>
        <v>0</v>
      </c>
      <c r="BN66" s="4357">
        <f t="shared" si="148"/>
        <v>0</v>
      </c>
      <c r="BO66" s="4357">
        <f t="shared" si="149"/>
        <v>0</v>
      </c>
      <c r="BP66" s="4357">
        <f t="shared" si="150"/>
        <v>0</v>
      </c>
      <c r="BQ66" s="4357">
        <f t="shared" si="151"/>
        <v>0</v>
      </c>
      <c r="BR66" s="4357">
        <f t="shared" si="152"/>
        <v>0</v>
      </c>
      <c r="BS66" s="4357">
        <f t="shared" si="153"/>
        <v>0</v>
      </c>
      <c r="BT66" s="4357">
        <f t="shared" si="154"/>
        <v>0</v>
      </c>
      <c r="BU66" s="4357">
        <f t="shared" si="155"/>
        <v>0</v>
      </c>
      <c r="BV66" s="4357">
        <f t="shared" si="156"/>
        <v>0</v>
      </c>
      <c r="BW66" s="4357">
        <f t="shared" si="157"/>
        <v>0</v>
      </c>
      <c r="BX66" s="4357">
        <f t="shared" si="158"/>
        <v>0</v>
      </c>
      <c r="BY66" s="4357">
        <f t="shared" si="159"/>
        <v>0</v>
      </c>
      <c r="BZ66" s="4357">
        <f t="shared" si="160"/>
        <v>0</v>
      </c>
      <c r="CA66" s="4357">
        <f t="shared" si="161"/>
        <v>0</v>
      </c>
      <c r="CB66" s="4357">
        <f t="shared" si="162"/>
        <v>0</v>
      </c>
      <c r="CC66" s="4357">
        <f t="shared" si="163"/>
        <v>0</v>
      </c>
      <c r="CD66" s="4357">
        <f t="shared" si="164"/>
        <v>0</v>
      </c>
      <c r="CE66" s="4357">
        <f t="shared" si="165"/>
        <v>0</v>
      </c>
      <c r="CF66" s="4357">
        <f t="shared" si="166"/>
        <v>0</v>
      </c>
      <c r="CG66" s="4357">
        <f t="shared" si="167"/>
        <v>0</v>
      </c>
      <c r="CH66" s="4357">
        <f t="shared" si="168"/>
        <v>0</v>
      </c>
      <c r="CI66" s="4357"/>
      <c r="CJ66" s="4357"/>
      <c r="CK66" s="4357"/>
      <c r="CL66" s="4357"/>
      <c r="CM66" s="4357"/>
      <c r="CN66" s="4357"/>
      <c r="CO66" s="4357"/>
      <c r="CP66" s="4357"/>
      <c r="CQ66" s="4357"/>
      <c r="CR66" s="4357"/>
      <c r="CS66" s="4357"/>
      <c r="CT66" s="4357"/>
      <c r="CU66" s="4357"/>
      <c r="CV66" s="4357"/>
      <c r="CW66" s="4357"/>
      <c r="CX66" s="4357"/>
      <c r="CY66" s="4357"/>
      <c r="CZ66" s="4357"/>
      <c r="DA66" s="4357"/>
      <c r="DB66" s="4357"/>
      <c r="DC66" s="4357"/>
      <c r="DD66" s="4357"/>
      <c r="DE66" s="4357"/>
      <c r="DF66" s="4357"/>
      <c r="DG66" s="4357"/>
      <c r="DH66" s="4357"/>
      <c r="DI66" s="4357"/>
      <c r="DJ66" s="4357"/>
      <c r="DK66" s="4357"/>
      <c r="DL66" s="4357"/>
      <c r="DM66" s="4357"/>
      <c r="DN66" s="4357"/>
      <c r="DO66" s="4357"/>
      <c r="DP66" s="4357"/>
      <c r="DQ66" s="4357"/>
      <c r="DR66" s="4357"/>
      <c r="DS66" s="4357"/>
      <c r="DT66" s="4357"/>
      <c r="DU66" s="4357"/>
      <c r="DV66" s="4357"/>
      <c r="DW66" s="4357"/>
      <c r="DX66" s="4357"/>
      <c r="DY66" s="4357"/>
      <c r="DZ66" s="4357"/>
      <c r="EA66" s="4357"/>
      <c r="EB66" s="4357"/>
      <c r="EC66" s="4357"/>
      <c r="ED66" s="4357"/>
      <c r="EE66" s="4357"/>
      <c r="EF66" s="4357"/>
    </row>
    <row r="67" spans="1:136" ht="16" x14ac:dyDescent="0.2">
      <c r="A67" t="s">
        <v>2072</v>
      </c>
      <c r="B67" t="s">
        <v>2072</v>
      </c>
      <c r="C67">
        <f>'3.Cropland'!C73</f>
        <v>0</v>
      </c>
      <c r="D67" t="str">
        <f>perennial!C28</f>
        <v>Hedgerow</v>
      </c>
      <c r="E67" s="388">
        <f>perennial!R59</f>
        <v>0</v>
      </c>
      <c r="F67" s="388">
        <f>perennial!I59-perennial!H59</f>
        <v>0</v>
      </c>
      <c r="G67" s="388">
        <f>perennial!K59-perennial!J59</f>
        <v>0</v>
      </c>
      <c r="M67" s="388">
        <f>perennial!AL28-perennial!AK28</f>
        <v>0</v>
      </c>
      <c r="N67" s="388">
        <f>perennial!O59-perennial!N59</f>
        <v>0</v>
      </c>
      <c r="U67" s="388">
        <f>perennial!AJ28-perennial!AI28</f>
        <v>0</v>
      </c>
      <c r="AB67" t="str">
        <f t="shared" si="11"/>
        <v>ok</v>
      </c>
      <c r="AC67">
        <f>IF('3.Cropland'!BP87&lt;&gt;0,'3.Cropland'!BP87, '3.Cropland'!BO87)</f>
        <v>1</v>
      </c>
      <c r="AD67">
        <f t="shared" si="8"/>
        <v>5</v>
      </c>
      <c r="AE67" s="4357" t="str">
        <f>'3.Cropland'!S87</f>
        <v>D</v>
      </c>
      <c r="AF67" s="4357" t="str">
        <f>'3.Cropland'!U87</f>
        <v>D</v>
      </c>
      <c r="AG67" s="4357" t="str">
        <f t="shared" si="12"/>
        <v>D</v>
      </c>
      <c r="AH67" s="4357">
        <f>((E67/(time_cap+((AD67-AC67+1)*VLOOKUP(AG67,list!$I$48:$K$50,3, FALSE))))*(AD67-AC67+1)*VLOOKUP(AG67,list!$I$48:$K$50,3, FALSE))</f>
        <v>0</v>
      </c>
      <c r="AI67" s="4357">
        <f>((E67/(time_cap+((AD67-AC67+1)*VLOOKUP(AG67,list!$I$48:$K$50,3, FALSE))))*time_cap)</f>
        <v>0</v>
      </c>
      <c r="AK67" s="4357">
        <f t="shared" si="119"/>
        <v>0</v>
      </c>
      <c r="AL67" s="4357">
        <f t="shared" si="120"/>
        <v>0</v>
      </c>
      <c r="AM67" s="4357">
        <f t="shared" si="121"/>
        <v>0</v>
      </c>
      <c r="AN67" s="4357">
        <f t="shared" si="122"/>
        <v>0</v>
      </c>
      <c r="AO67" s="4357">
        <f t="shared" si="123"/>
        <v>0</v>
      </c>
      <c r="AP67" s="4357">
        <f t="shared" si="124"/>
        <v>0</v>
      </c>
      <c r="AQ67" s="4357">
        <f t="shared" si="125"/>
        <v>0</v>
      </c>
      <c r="AR67" s="4357">
        <f t="shared" si="126"/>
        <v>0</v>
      </c>
      <c r="AS67" s="4357">
        <f t="shared" si="127"/>
        <v>0</v>
      </c>
      <c r="AT67" s="4357">
        <f t="shared" si="128"/>
        <v>0</v>
      </c>
      <c r="AU67" s="4357">
        <f t="shared" si="129"/>
        <v>0</v>
      </c>
      <c r="AV67" s="4357">
        <f t="shared" si="130"/>
        <v>0</v>
      </c>
      <c r="AW67" s="4357">
        <f t="shared" si="131"/>
        <v>0</v>
      </c>
      <c r="AX67" s="4357">
        <f t="shared" si="132"/>
        <v>0</v>
      </c>
      <c r="AY67" s="4357">
        <f t="shared" si="133"/>
        <v>0</v>
      </c>
      <c r="AZ67" s="4357">
        <f t="shared" si="134"/>
        <v>0</v>
      </c>
      <c r="BA67" s="4357">
        <f t="shared" si="135"/>
        <v>0</v>
      </c>
      <c r="BB67" s="4357">
        <f t="shared" si="136"/>
        <v>0</v>
      </c>
      <c r="BC67" s="4357">
        <f t="shared" si="137"/>
        <v>0</v>
      </c>
      <c r="BD67" s="4357">
        <f t="shared" si="138"/>
        <v>0</v>
      </c>
      <c r="BE67" s="4357">
        <f t="shared" si="139"/>
        <v>0</v>
      </c>
      <c r="BF67" s="4357">
        <f t="shared" si="140"/>
        <v>0</v>
      </c>
      <c r="BG67" s="4357">
        <f t="shared" si="141"/>
        <v>0</v>
      </c>
      <c r="BH67" s="4357">
        <f t="shared" si="142"/>
        <v>0</v>
      </c>
      <c r="BI67" s="4357">
        <f t="shared" si="143"/>
        <v>0</v>
      </c>
      <c r="BJ67" s="4357">
        <f t="shared" si="144"/>
        <v>0</v>
      </c>
      <c r="BK67" s="4357">
        <f t="shared" si="145"/>
        <v>0</v>
      </c>
      <c r="BL67" s="4357">
        <f t="shared" si="146"/>
        <v>0</v>
      </c>
      <c r="BM67" s="4357">
        <f t="shared" si="147"/>
        <v>0</v>
      </c>
      <c r="BN67" s="4357">
        <f t="shared" si="148"/>
        <v>0</v>
      </c>
      <c r="BO67" s="4357">
        <f t="shared" si="149"/>
        <v>0</v>
      </c>
      <c r="BP67" s="4357">
        <f t="shared" si="150"/>
        <v>0</v>
      </c>
      <c r="BQ67" s="4357">
        <f t="shared" si="151"/>
        <v>0</v>
      </c>
      <c r="BR67" s="4357">
        <f t="shared" si="152"/>
        <v>0</v>
      </c>
      <c r="BS67" s="4357">
        <f t="shared" si="153"/>
        <v>0</v>
      </c>
      <c r="BT67" s="4357">
        <f t="shared" si="154"/>
        <v>0</v>
      </c>
      <c r="BU67" s="4357">
        <f t="shared" si="155"/>
        <v>0</v>
      </c>
      <c r="BV67" s="4357">
        <f t="shared" si="156"/>
        <v>0</v>
      </c>
      <c r="BW67" s="4357">
        <f t="shared" si="157"/>
        <v>0</v>
      </c>
      <c r="BX67" s="4357">
        <f t="shared" si="158"/>
        <v>0</v>
      </c>
      <c r="BY67" s="4357">
        <f t="shared" si="159"/>
        <v>0</v>
      </c>
      <c r="BZ67" s="4357">
        <f t="shared" si="160"/>
        <v>0</v>
      </c>
      <c r="CA67" s="4357">
        <f t="shared" si="161"/>
        <v>0</v>
      </c>
      <c r="CB67" s="4357">
        <f t="shared" si="162"/>
        <v>0</v>
      </c>
      <c r="CC67" s="4357">
        <f t="shared" si="163"/>
        <v>0</v>
      </c>
      <c r="CD67" s="4357">
        <f t="shared" si="164"/>
        <v>0</v>
      </c>
      <c r="CE67" s="4357">
        <f t="shared" si="165"/>
        <v>0</v>
      </c>
      <c r="CF67" s="4357">
        <f t="shared" si="166"/>
        <v>0</v>
      </c>
      <c r="CG67" s="4357">
        <f t="shared" si="167"/>
        <v>0</v>
      </c>
      <c r="CH67" s="4357">
        <f t="shared" si="168"/>
        <v>0</v>
      </c>
      <c r="CI67" s="4357"/>
      <c r="CJ67" s="4357"/>
      <c r="CK67" s="4357"/>
      <c r="CL67" s="4357"/>
      <c r="CM67" s="4357"/>
      <c r="CN67" s="4357"/>
      <c r="CO67" s="4357"/>
      <c r="CP67" s="4357"/>
      <c r="CQ67" s="4357"/>
      <c r="CR67" s="4357"/>
      <c r="CS67" s="4357"/>
      <c r="CT67" s="4357"/>
      <c r="CU67" s="4357"/>
      <c r="CV67" s="4357"/>
      <c r="CW67" s="4357"/>
      <c r="CX67" s="4357"/>
      <c r="CY67" s="4357"/>
      <c r="CZ67" s="4357"/>
      <c r="DA67" s="4357"/>
      <c r="DB67" s="4357"/>
      <c r="DC67" s="4357"/>
      <c r="DD67" s="4357"/>
      <c r="DE67" s="4357"/>
      <c r="DF67" s="4357"/>
      <c r="DG67" s="4357"/>
      <c r="DH67" s="4357"/>
      <c r="DI67" s="4357"/>
      <c r="DJ67" s="4357"/>
      <c r="DK67" s="4357"/>
      <c r="DL67" s="4357"/>
      <c r="DM67" s="4357"/>
      <c r="DN67" s="4357"/>
      <c r="DO67" s="4357"/>
      <c r="DP67" s="4357"/>
      <c r="DQ67" s="4357"/>
      <c r="DR67" s="4357"/>
      <c r="DS67" s="4357"/>
      <c r="DT67" s="4357"/>
      <c r="DU67" s="4357"/>
      <c r="DV67" s="4357"/>
      <c r="DW67" s="4357"/>
      <c r="DX67" s="4357"/>
      <c r="DY67" s="4357"/>
      <c r="DZ67" s="4357"/>
      <c r="EA67" s="4357"/>
      <c r="EB67" s="4357"/>
      <c r="EC67" s="4357"/>
      <c r="ED67" s="4357"/>
      <c r="EE67" s="4357"/>
      <c r="EF67" s="4357"/>
    </row>
    <row r="68" spans="1:136" ht="16" x14ac:dyDescent="0.2">
      <c r="A68" t="s">
        <v>2072</v>
      </c>
      <c r="B68" t="s">
        <v>2072</v>
      </c>
      <c r="C68">
        <f>'3.Cropland'!C74</f>
        <v>0</v>
      </c>
      <c r="D68" t="str">
        <f>perennial!C29</f>
        <v>Silvoarable</v>
      </c>
      <c r="E68" s="388">
        <f>perennial!R60</f>
        <v>3903.6342400000003</v>
      </c>
      <c r="F68" s="388">
        <f>perennial!I60-perennial!H60</f>
        <v>2662</v>
      </c>
      <c r="G68" s="388">
        <f>perennial!K60-perennial!J60</f>
        <v>1241.6342400000003</v>
      </c>
      <c r="M68" s="388">
        <f>perennial!AL29-perennial!AK29</f>
        <v>0</v>
      </c>
      <c r="N68" s="388">
        <f>perennial!O60-perennial!N60</f>
        <v>0</v>
      </c>
      <c r="U68" s="388">
        <f>perennial!AJ29-perennial!AI29</f>
        <v>0</v>
      </c>
      <c r="AB68" t="str">
        <f t="shared" si="11"/>
        <v>ok</v>
      </c>
      <c r="AC68">
        <f>IF('3.Cropland'!BP88&lt;&gt;0,'3.Cropland'!BP88, '3.Cropland'!BO88)</f>
        <v>1</v>
      </c>
      <c r="AD68">
        <f t="shared" si="8"/>
        <v>5</v>
      </c>
      <c r="AE68" s="4357" t="str">
        <f>'3.Cropland'!S88</f>
        <v>D</v>
      </c>
      <c r="AF68" s="4357" t="str">
        <f>'3.Cropland'!U88</f>
        <v>D</v>
      </c>
      <c r="AG68" s="4357" t="str">
        <f t="shared" si="12"/>
        <v>D</v>
      </c>
      <c r="AH68" s="4357">
        <f>((E68/(time_cap+((AD68-AC68+1)*VLOOKUP(AG68,list!$I$48:$K$50,3, FALSE))))*(AD68-AC68+1)*VLOOKUP(AG68,list!$I$48:$K$50,3, FALSE))</f>
        <v>780.72684800000002</v>
      </c>
      <c r="AI68" s="4357">
        <f>((E68/(time_cap+((AD68-AC68+1)*VLOOKUP(AG68,list!$I$48:$K$50,3, FALSE))))*time_cap)</f>
        <v>3122.9073920000001</v>
      </c>
      <c r="AK68" s="4357">
        <f t="shared" si="119"/>
        <v>52.048456533333336</v>
      </c>
      <c r="AL68" s="4357">
        <f t="shared" si="120"/>
        <v>104.09691306666667</v>
      </c>
      <c r="AM68" s="4357">
        <f t="shared" si="121"/>
        <v>156.14536960000001</v>
      </c>
      <c r="AN68" s="4357">
        <f t="shared" si="122"/>
        <v>208.19382613333335</v>
      </c>
      <c r="AO68" s="4357">
        <f t="shared" si="123"/>
        <v>260.24228266666671</v>
      </c>
      <c r="AP68" s="4357">
        <f t="shared" si="124"/>
        <v>312.29073920000002</v>
      </c>
      <c r="AQ68" s="4357">
        <f t="shared" si="125"/>
        <v>312.29073920000002</v>
      </c>
      <c r="AR68" s="4357">
        <f t="shared" si="126"/>
        <v>312.29073920000002</v>
      </c>
      <c r="AS68" s="4357">
        <f t="shared" si="127"/>
        <v>312.29073920000002</v>
      </c>
      <c r="AT68" s="4357">
        <f t="shared" si="128"/>
        <v>312.29073920000002</v>
      </c>
      <c r="AU68" s="4357">
        <f t="shared" si="129"/>
        <v>312.29073920000002</v>
      </c>
      <c r="AV68" s="4357">
        <f t="shared" si="130"/>
        <v>312.29073920000002</v>
      </c>
      <c r="AW68" s="4357">
        <f t="shared" si="131"/>
        <v>312.29073920000002</v>
      </c>
      <c r="AX68" s="4357">
        <f t="shared" si="132"/>
        <v>312.29073920000002</v>
      </c>
      <c r="AY68" s="4357">
        <f t="shared" si="133"/>
        <v>312.29073920000002</v>
      </c>
      <c r="AZ68" s="4357">
        <f t="shared" si="134"/>
        <v>0</v>
      </c>
      <c r="BA68" s="4357">
        <f t="shared" si="135"/>
        <v>0</v>
      </c>
      <c r="BB68" s="4357">
        <f t="shared" si="136"/>
        <v>0</v>
      </c>
      <c r="BC68" s="4357">
        <f t="shared" si="137"/>
        <v>0</v>
      </c>
      <c r="BD68" s="4357">
        <f t="shared" si="138"/>
        <v>0</v>
      </c>
      <c r="BE68" s="4357">
        <f t="shared" si="139"/>
        <v>0</v>
      </c>
      <c r="BF68" s="4357">
        <f t="shared" si="140"/>
        <v>0</v>
      </c>
      <c r="BG68" s="4357">
        <f t="shared" si="141"/>
        <v>0</v>
      </c>
      <c r="BH68" s="4357">
        <f t="shared" si="142"/>
        <v>0</v>
      </c>
      <c r="BI68" s="4357">
        <f t="shared" si="143"/>
        <v>0</v>
      </c>
      <c r="BJ68" s="4357">
        <f t="shared" si="144"/>
        <v>0</v>
      </c>
      <c r="BK68" s="4357">
        <f t="shared" si="145"/>
        <v>0</v>
      </c>
      <c r="BL68" s="4357">
        <f t="shared" si="146"/>
        <v>0</v>
      </c>
      <c r="BM68" s="4357">
        <f t="shared" si="147"/>
        <v>0</v>
      </c>
      <c r="BN68" s="4357">
        <f t="shared" si="148"/>
        <v>0</v>
      </c>
      <c r="BO68" s="4357">
        <f t="shared" si="149"/>
        <v>0</v>
      </c>
      <c r="BP68" s="4357">
        <f t="shared" si="150"/>
        <v>0</v>
      </c>
      <c r="BQ68" s="4357">
        <f t="shared" si="151"/>
        <v>0</v>
      </c>
      <c r="BR68" s="4357">
        <f t="shared" si="152"/>
        <v>0</v>
      </c>
      <c r="BS68" s="4357">
        <f t="shared" si="153"/>
        <v>0</v>
      </c>
      <c r="BT68" s="4357">
        <f t="shared" si="154"/>
        <v>0</v>
      </c>
      <c r="BU68" s="4357">
        <f t="shared" si="155"/>
        <v>0</v>
      </c>
      <c r="BV68" s="4357">
        <f t="shared" si="156"/>
        <v>0</v>
      </c>
      <c r="BW68" s="4357">
        <f t="shared" si="157"/>
        <v>0</v>
      </c>
      <c r="BX68" s="4357">
        <f t="shared" si="158"/>
        <v>0</v>
      </c>
      <c r="BY68" s="4357">
        <f t="shared" si="159"/>
        <v>0</v>
      </c>
      <c r="BZ68" s="4357">
        <f t="shared" si="160"/>
        <v>0</v>
      </c>
      <c r="CA68" s="4357">
        <f t="shared" si="161"/>
        <v>0</v>
      </c>
      <c r="CB68" s="4357">
        <f t="shared" si="162"/>
        <v>0</v>
      </c>
      <c r="CC68" s="4357">
        <f t="shared" si="163"/>
        <v>0</v>
      </c>
      <c r="CD68" s="4357">
        <f t="shared" si="164"/>
        <v>0</v>
      </c>
      <c r="CE68" s="4357">
        <f t="shared" si="165"/>
        <v>0</v>
      </c>
      <c r="CF68" s="4357">
        <f t="shared" si="166"/>
        <v>0</v>
      </c>
      <c r="CG68" s="4357">
        <f t="shared" si="167"/>
        <v>0</v>
      </c>
      <c r="CH68" s="4357">
        <f t="shared" si="168"/>
        <v>0</v>
      </c>
      <c r="CI68" s="4357"/>
      <c r="CJ68" s="4357"/>
      <c r="CK68" s="4357"/>
      <c r="CL68" s="4357"/>
      <c r="CM68" s="4357"/>
      <c r="CN68" s="4357"/>
      <c r="CO68" s="4357"/>
      <c r="CP68" s="4357"/>
      <c r="CQ68" s="4357"/>
      <c r="CR68" s="4357"/>
      <c r="CS68" s="4357"/>
      <c r="CT68" s="4357"/>
      <c r="CU68" s="4357"/>
      <c r="CV68" s="4357"/>
      <c r="CW68" s="4357"/>
      <c r="CX68" s="4357"/>
      <c r="CY68" s="4357"/>
      <c r="CZ68" s="4357"/>
      <c r="DA68" s="4357"/>
      <c r="DB68" s="4357"/>
      <c r="DC68" s="4357"/>
      <c r="DD68" s="4357"/>
      <c r="DE68" s="4357"/>
      <c r="DF68" s="4357"/>
      <c r="DG68" s="4357"/>
      <c r="DH68" s="4357"/>
      <c r="DI68" s="4357"/>
      <c r="DJ68" s="4357"/>
      <c r="DK68" s="4357"/>
      <c r="DL68" s="4357"/>
      <c r="DM68" s="4357"/>
      <c r="DN68" s="4357"/>
      <c r="DO68" s="4357"/>
      <c r="DP68" s="4357"/>
      <c r="DQ68" s="4357"/>
      <c r="DR68" s="4357"/>
      <c r="DS68" s="4357"/>
      <c r="DT68" s="4357"/>
      <c r="DU68" s="4357"/>
      <c r="DV68" s="4357"/>
      <c r="DW68" s="4357"/>
      <c r="DX68" s="4357"/>
      <c r="DY68" s="4357"/>
      <c r="DZ68" s="4357"/>
      <c r="EA68" s="4357"/>
      <c r="EB68" s="4357"/>
      <c r="EC68" s="4357"/>
      <c r="ED68" s="4357"/>
      <c r="EE68" s="4357"/>
      <c r="EF68" s="4357"/>
    </row>
    <row r="69" spans="1:136" ht="16" x14ac:dyDescent="0.2">
      <c r="A69" t="s">
        <v>2072</v>
      </c>
      <c r="B69" t="s">
        <v>2072</v>
      </c>
      <c r="C69">
        <f>'3.Cropland'!C75</f>
        <v>0</v>
      </c>
      <c r="D69" t="str">
        <f>perennial!C30</f>
        <v>Hedgerow</v>
      </c>
      <c r="E69" s="388">
        <f>perennial!R61</f>
        <v>-4576.0586666666677</v>
      </c>
      <c r="F69" s="388">
        <f>perennial!I61-perennial!H61</f>
        <v>-4436.666666666667</v>
      </c>
      <c r="G69" s="388">
        <f>perennial!K61-perennial!J61</f>
        <v>-139.39200000000039</v>
      </c>
      <c r="M69" s="388">
        <f>perennial!AL30-perennial!AK30</f>
        <v>0</v>
      </c>
      <c r="N69" s="388">
        <f>perennial!O61-perennial!N61</f>
        <v>0</v>
      </c>
      <c r="U69" s="388">
        <f>perennial!AJ30-perennial!AI30</f>
        <v>0</v>
      </c>
      <c r="AB69" t="str">
        <f t="shared" si="11"/>
        <v>ok</v>
      </c>
      <c r="AC69">
        <f>IF('3.Cropland'!BP89&lt;&gt;0,'3.Cropland'!BP89, '3.Cropland'!BO89)</f>
        <v>1</v>
      </c>
      <c r="AD69">
        <f t="shared" si="8"/>
        <v>5</v>
      </c>
      <c r="AE69" s="4357" t="str">
        <f>'3.Cropland'!S89</f>
        <v>D</v>
      </c>
      <c r="AF69" s="4357" t="str">
        <f>'3.Cropland'!U89</f>
        <v>D</v>
      </c>
      <c r="AG69" s="4357" t="str">
        <f t="shared" si="12"/>
        <v>D</v>
      </c>
      <c r="AH69" s="4357">
        <f>((E69/(time_cap+((AD69-AC69+1)*VLOOKUP(AG69,list!$I$48:$K$50,3, FALSE))))*(AD69-AC69+1)*VLOOKUP(AG69,list!$I$48:$K$50,3, FALSE))</f>
        <v>-915.21173333333354</v>
      </c>
      <c r="AI69" s="4357">
        <f>((E69/(time_cap+((AD69-AC69+1)*VLOOKUP(AG69,list!$I$48:$K$50,3, FALSE))))*time_cap)</f>
        <v>-3660.8469333333342</v>
      </c>
      <c r="AK69" s="4357">
        <f t="shared" si="119"/>
        <v>-61.01411555555557</v>
      </c>
      <c r="AL69" s="4357">
        <f t="shared" si="120"/>
        <v>-122.02823111111114</v>
      </c>
      <c r="AM69" s="4357">
        <f t="shared" si="121"/>
        <v>-183.0423466666667</v>
      </c>
      <c r="AN69" s="4357">
        <f t="shared" si="122"/>
        <v>-244.05646222222228</v>
      </c>
      <c r="AO69" s="4357">
        <f t="shared" si="123"/>
        <v>-305.07057777777783</v>
      </c>
      <c r="AP69" s="4357">
        <f t="shared" si="124"/>
        <v>-366.08469333333341</v>
      </c>
      <c r="AQ69" s="4357">
        <f t="shared" si="125"/>
        <v>-366.08469333333341</v>
      </c>
      <c r="AR69" s="4357">
        <f t="shared" si="126"/>
        <v>-366.08469333333341</v>
      </c>
      <c r="AS69" s="4357">
        <f t="shared" si="127"/>
        <v>-366.08469333333341</v>
      </c>
      <c r="AT69" s="4357">
        <f t="shared" si="128"/>
        <v>-366.08469333333341</v>
      </c>
      <c r="AU69" s="4357">
        <f t="shared" si="129"/>
        <v>-366.08469333333341</v>
      </c>
      <c r="AV69" s="4357">
        <f t="shared" si="130"/>
        <v>-366.08469333333341</v>
      </c>
      <c r="AW69" s="4357">
        <f t="shared" si="131"/>
        <v>-366.08469333333341</v>
      </c>
      <c r="AX69" s="4357">
        <f t="shared" si="132"/>
        <v>-366.08469333333341</v>
      </c>
      <c r="AY69" s="4357">
        <f t="shared" si="133"/>
        <v>-366.08469333333341</v>
      </c>
      <c r="AZ69" s="4357">
        <f t="shared" si="134"/>
        <v>0</v>
      </c>
      <c r="BA69" s="4357">
        <f t="shared" si="135"/>
        <v>0</v>
      </c>
      <c r="BB69" s="4357">
        <f t="shared" si="136"/>
        <v>0</v>
      </c>
      <c r="BC69" s="4357">
        <f t="shared" si="137"/>
        <v>0</v>
      </c>
      <c r="BD69" s="4357">
        <f t="shared" si="138"/>
        <v>0</v>
      </c>
      <c r="BE69" s="4357">
        <f t="shared" si="139"/>
        <v>0</v>
      </c>
      <c r="BF69" s="4357">
        <f t="shared" si="140"/>
        <v>0</v>
      </c>
      <c r="BG69" s="4357">
        <f t="shared" si="141"/>
        <v>0</v>
      </c>
      <c r="BH69" s="4357">
        <f t="shared" si="142"/>
        <v>0</v>
      </c>
      <c r="BI69" s="4357">
        <f t="shared" si="143"/>
        <v>0</v>
      </c>
      <c r="BJ69" s="4357">
        <f t="shared" si="144"/>
        <v>0</v>
      </c>
      <c r="BK69" s="4357">
        <f t="shared" si="145"/>
        <v>0</v>
      </c>
      <c r="BL69" s="4357">
        <f t="shared" si="146"/>
        <v>0</v>
      </c>
      <c r="BM69" s="4357">
        <f t="shared" si="147"/>
        <v>0</v>
      </c>
      <c r="BN69" s="4357">
        <f t="shared" si="148"/>
        <v>0</v>
      </c>
      <c r="BO69" s="4357">
        <f t="shared" si="149"/>
        <v>0</v>
      </c>
      <c r="BP69" s="4357">
        <f t="shared" si="150"/>
        <v>0</v>
      </c>
      <c r="BQ69" s="4357">
        <f t="shared" si="151"/>
        <v>0</v>
      </c>
      <c r="BR69" s="4357">
        <f t="shared" si="152"/>
        <v>0</v>
      </c>
      <c r="BS69" s="4357">
        <f t="shared" si="153"/>
        <v>0</v>
      </c>
      <c r="BT69" s="4357">
        <f t="shared" si="154"/>
        <v>0</v>
      </c>
      <c r="BU69" s="4357">
        <f t="shared" si="155"/>
        <v>0</v>
      </c>
      <c r="BV69" s="4357">
        <f t="shared" si="156"/>
        <v>0</v>
      </c>
      <c r="BW69" s="4357">
        <f t="shared" si="157"/>
        <v>0</v>
      </c>
      <c r="BX69" s="4357">
        <f t="shared" si="158"/>
        <v>0</v>
      </c>
      <c r="BY69" s="4357">
        <f t="shared" si="159"/>
        <v>0</v>
      </c>
      <c r="BZ69" s="4357">
        <f t="shared" si="160"/>
        <v>0</v>
      </c>
      <c r="CA69" s="4357">
        <f t="shared" si="161"/>
        <v>0</v>
      </c>
      <c r="CB69" s="4357">
        <f t="shared" si="162"/>
        <v>0</v>
      </c>
      <c r="CC69" s="4357">
        <f t="shared" si="163"/>
        <v>0</v>
      </c>
      <c r="CD69" s="4357">
        <f t="shared" si="164"/>
        <v>0</v>
      </c>
      <c r="CE69" s="4357">
        <f t="shared" si="165"/>
        <v>0</v>
      </c>
      <c r="CF69" s="4357">
        <f t="shared" si="166"/>
        <v>0</v>
      </c>
      <c r="CG69" s="4357">
        <f t="shared" si="167"/>
        <v>0</v>
      </c>
      <c r="CH69" s="4357">
        <f t="shared" si="168"/>
        <v>0</v>
      </c>
      <c r="CI69" s="4357"/>
      <c r="CJ69" s="4357"/>
      <c r="CK69" s="4357"/>
      <c r="CL69" s="4357"/>
      <c r="CM69" s="4357"/>
      <c r="CN69" s="4357"/>
      <c r="CO69" s="4357"/>
      <c r="CP69" s="4357"/>
      <c r="CQ69" s="4357"/>
      <c r="CR69" s="4357"/>
      <c r="CS69" s="4357"/>
      <c r="CT69" s="4357"/>
      <c r="CU69" s="4357"/>
      <c r="CV69" s="4357"/>
      <c r="CW69" s="4357"/>
      <c r="CX69" s="4357"/>
      <c r="CY69" s="4357"/>
      <c r="CZ69" s="4357"/>
      <c r="DA69" s="4357"/>
      <c r="DB69" s="4357"/>
      <c r="DC69" s="4357"/>
      <c r="DD69" s="4357"/>
      <c r="DE69" s="4357"/>
      <c r="DF69" s="4357"/>
      <c r="DG69" s="4357"/>
      <c r="DH69" s="4357"/>
      <c r="DI69" s="4357"/>
      <c r="DJ69" s="4357"/>
      <c r="DK69" s="4357"/>
      <c r="DL69" s="4357"/>
      <c r="DM69" s="4357"/>
      <c r="DN69" s="4357"/>
      <c r="DO69" s="4357"/>
      <c r="DP69" s="4357"/>
      <c r="DQ69" s="4357"/>
      <c r="DR69" s="4357"/>
      <c r="DS69" s="4357"/>
      <c r="DT69" s="4357"/>
      <c r="DU69" s="4357"/>
      <c r="DV69" s="4357"/>
      <c r="DW69" s="4357"/>
      <c r="DX69" s="4357"/>
      <c r="DY69" s="4357"/>
      <c r="DZ69" s="4357"/>
      <c r="EA69" s="4357"/>
      <c r="EB69" s="4357"/>
      <c r="EC69" s="4357"/>
      <c r="ED69" s="4357"/>
      <c r="EE69" s="4357"/>
      <c r="EF69" s="4357"/>
    </row>
    <row r="70" spans="1:136" ht="16" x14ac:dyDescent="0.2">
      <c r="A70" t="s">
        <v>2072</v>
      </c>
      <c r="B70" t="s">
        <v>2072</v>
      </c>
      <c r="C70">
        <f>'3.Cropland'!C76</f>
        <v>0</v>
      </c>
      <c r="D70" t="str">
        <f>perennial!C31</f>
        <v>Please select</v>
      </c>
      <c r="E70" s="388">
        <f>perennial!R62</f>
        <v>0</v>
      </c>
      <c r="F70" s="388">
        <f>perennial!I62-perennial!H62</f>
        <v>0</v>
      </c>
      <c r="G70" s="388">
        <f>perennial!K62-perennial!J62</f>
        <v>0</v>
      </c>
      <c r="M70" s="388">
        <f>perennial!AL31-perennial!AK31</f>
        <v>0</v>
      </c>
      <c r="N70" s="388">
        <f>perennial!O62-perennial!N62</f>
        <v>0</v>
      </c>
      <c r="U70" s="388">
        <f>perennial!AJ31-perennial!AI31</f>
        <v>0</v>
      </c>
      <c r="AB70" t="str">
        <f t="shared" si="11"/>
        <v>ok</v>
      </c>
      <c r="AC70">
        <f>IF('3.Cropland'!BP90&lt;&gt;0,'3.Cropland'!BP90, '3.Cropland'!BO90)</f>
        <v>1</v>
      </c>
      <c r="AD70">
        <f t="shared" si="8"/>
        <v>5</v>
      </c>
      <c r="AE70" s="4357" t="str">
        <f>'3.Cropland'!S90</f>
        <v>D</v>
      </c>
      <c r="AF70" s="4357" t="str">
        <f>'3.Cropland'!U90</f>
        <v>D</v>
      </c>
      <c r="AG70" s="4357" t="str">
        <f t="shared" si="12"/>
        <v>D</v>
      </c>
      <c r="AH70" s="4357">
        <f>((E70/(time_cap+((AD70-AC70+1)*VLOOKUP(AG70,list!$I$48:$K$50,3, FALSE))))*(AD70-AC70+1)*VLOOKUP(AG70,list!$I$48:$K$50,3, FALSE))</f>
        <v>0</v>
      </c>
      <c r="AI70" s="4357">
        <f>((E70/(time_cap+((AD70-AC70+1)*VLOOKUP(AG70,list!$I$48:$K$50,3, FALSE))))*time_cap)</f>
        <v>0</v>
      </c>
      <c r="AK70" s="4357">
        <f t="shared" si="119"/>
        <v>0</v>
      </c>
      <c r="AL70" s="4357">
        <f t="shared" si="120"/>
        <v>0</v>
      </c>
      <c r="AM70" s="4357">
        <f t="shared" si="121"/>
        <v>0</v>
      </c>
      <c r="AN70" s="4357">
        <f t="shared" si="122"/>
        <v>0</v>
      </c>
      <c r="AO70" s="4357">
        <f t="shared" si="123"/>
        <v>0</v>
      </c>
      <c r="AP70" s="4357">
        <f t="shared" si="124"/>
        <v>0</v>
      </c>
      <c r="AQ70" s="4357">
        <f t="shared" si="125"/>
        <v>0</v>
      </c>
      <c r="AR70" s="4357">
        <f t="shared" si="126"/>
        <v>0</v>
      </c>
      <c r="AS70" s="4357">
        <f t="shared" si="127"/>
        <v>0</v>
      </c>
      <c r="AT70" s="4357">
        <f t="shared" si="128"/>
        <v>0</v>
      </c>
      <c r="AU70" s="4357">
        <f t="shared" si="129"/>
        <v>0</v>
      </c>
      <c r="AV70" s="4357">
        <f t="shared" si="130"/>
        <v>0</v>
      </c>
      <c r="AW70" s="4357">
        <f t="shared" si="131"/>
        <v>0</v>
      </c>
      <c r="AX70" s="4357">
        <f t="shared" si="132"/>
        <v>0</v>
      </c>
      <c r="AY70" s="4357">
        <f t="shared" si="133"/>
        <v>0</v>
      </c>
      <c r="AZ70" s="4357">
        <f t="shared" si="134"/>
        <v>0</v>
      </c>
      <c r="BA70" s="4357">
        <f t="shared" si="135"/>
        <v>0</v>
      </c>
      <c r="BB70" s="4357">
        <f t="shared" si="136"/>
        <v>0</v>
      </c>
      <c r="BC70" s="4357">
        <f t="shared" si="137"/>
        <v>0</v>
      </c>
      <c r="BD70" s="4357">
        <f t="shared" si="138"/>
        <v>0</v>
      </c>
      <c r="BE70" s="4357">
        <f t="shared" si="139"/>
        <v>0</v>
      </c>
      <c r="BF70" s="4357">
        <f t="shared" si="140"/>
        <v>0</v>
      </c>
      <c r="BG70" s="4357">
        <f t="shared" si="141"/>
        <v>0</v>
      </c>
      <c r="BH70" s="4357">
        <f t="shared" si="142"/>
        <v>0</v>
      </c>
      <c r="BI70" s="4357">
        <f t="shared" si="143"/>
        <v>0</v>
      </c>
      <c r="BJ70" s="4357">
        <f t="shared" si="144"/>
        <v>0</v>
      </c>
      <c r="BK70" s="4357">
        <f t="shared" si="145"/>
        <v>0</v>
      </c>
      <c r="BL70" s="4357">
        <f t="shared" si="146"/>
        <v>0</v>
      </c>
      <c r="BM70" s="4357">
        <f t="shared" si="147"/>
        <v>0</v>
      </c>
      <c r="BN70" s="4357">
        <f t="shared" si="148"/>
        <v>0</v>
      </c>
      <c r="BO70" s="4357">
        <f t="shared" si="149"/>
        <v>0</v>
      </c>
      <c r="BP70" s="4357">
        <f t="shared" si="150"/>
        <v>0</v>
      </c>
      <c r="BQ70" s="4357">
        <f t="shared" si="151"/>
        <v>0</v>
      </c>
      <c r="BR70" s="4357">
        <f t="shared" si="152"/>
        <v>0</v>
      </c>
      <c r="BS70" s="4357">
        <f t="shared" si="153"/>
        <v>0</v>
      </c>
      <c r="BT70" s="4357">
        <f t="shared" si="154"/>
        <v>0</v>
      </c>
      <c r="BU70" s="4357">
        <f t="shared" si="155"/>
        <v>0</v>
      </c>
      <c r="BV70" s="4357">
        <f t="shared" si="156"/>
        <v>0</v>
      </c>
      <c r="BW70" s="4357">
        <f t="shared" si="157"/>
        <v>0</v>
      </c>
      <c r="BX70" s="4357">
        <f t="shared" si="158"/>
        <v>0</v>
      </c>
      <c r="BY70" s="4357">
        <f t="shared" si="159"/>
        <v>0</v>
      </c>
      <c r="BZ70" s="4357">
        <f t="shared" si="160"/>
        <v>0</v>
      </c>
      <c r="CA70" s="4357">
        <f t="shared" si="161"/>
        <v>0</v>
      </c>
      <c r="CB70" s="4357">
        <f t="shared" si="162"/>
        <v>0</v>
      </c>
      <c r="CC70" s="4357">
        <f t="shared" si="163"/>
        <v>0</v>
      </c>
      <c r="CD70" s="4357">
        <f t="shared" si="164"/>
        <v>0</v>
      </c>
      <c r="CE70" s="4357">
        <f t="shared" si="165"/>
        <v>0</v>
      </c>
      <c r="CF70" s="4357">
        <f t="shared" si="166"/>
        <v>0</v>
      </c>
      <c r="CG70" s="4357">
        <f t="shared" si="167"/>
        <v>0</v>
      </c>
      <c r="CH70" s="4357">
        <f t="shared" si="168"/>
        <v>0</v>
      </c>
      <c r="CI70" s="4357"/>
      <c r="CJ70" s="4357"/>
      <c r="CK70" s="4357"/>
      <c r="CL70" s="4357"/>
      <c r="CM70" s="4357"/>
      <c r="CN70" s="4357"/>
      <c r="CO70" s="4357"/>
      <c r="CP70" s="4357"/>
      <c r="CQ70" s="4357"/>
      <c r="CR70" s="4357"/>
      <c r="CS70" s="4357"/>
      <c r="CT70" s="4357"/>
      <c r="CU70" s="4357"/>
      <c r="CV70" s="4357"/>
      <c r="CW70" s="4357"/>
      <c r="CX70" s="4357"/>
      <c r="CY70" s="4357"/>
      <c r="CZ70" s="4357"/>
      <c r="DA70" s="4357"/>
      <c r="DB70" s="4357"/>
      <c r="DC70" s="4357"/>
      <c r="DD70" s="4357"/>
      <c r="DE70" s="4357"/>
      <c r="DF70" s="4357"/>
      <c r="DG70" s="4357"/>
      <c r="DH70" s="4357"/>
      <c r="DI70" s="4357"/>
      <c r="DJ70" s="4357"/>
      <c r="DK70" s="4357"/>
      <c r="DL70" s="4357"/>
      <c r="DM70" s="4357"/>
      <c r="DN70" s="4357"/>
      <c r="DO70" s="4357"/>
      <c r="DP70" s="4357"/>
      <c r="DQ70" s="4357"/>
      <c r="DR70" s="4357"/>
      <c r="DS70" s="4357"/>
      <c r="DT70" s="4357"/>
      <c r="DU70" s="4357"/>
      <c r="DV70" s="4357"/>
      <c r="DW70" s="4357"/>
      <c r="DX70" s="4357"/>
      <c r="DY70" s="4357"/>
      <c r="DZ70" s="4357"/>
      <c r="EA70" s="4357"/>
      <c r="EB70" s="4357"/>
      <c r="EC70" s="4357"/>
      <c r="ED70" s="4357"/>
      <c r="EE70" s="4357"/>
      <c r="EF70" s="4357"/>
    </row>
    <row r="71" spans="1:136" ht="16" x14ac:dyDescent="0.2">
      <c r="A71" t="s">
        <v>2072</v>
      </c>
      <c r="B71" t="s">
        <v>2072</v>
      </c>
      <c r="C71">
        <f>'3.Cropland'!C77</f>
        <v>0</v>
      </c>
      <c r="D71" t="str">
        <f>perennial!C32</f>
        <v>Please select</v>
      </c>
      <c r="E71" s="388">
        <f>perennial!R63</f>
        <v>0</v>
      </c>
      <c r="F71" s="388">
        <f>perennial!I63-perennial!H63</f>
        <v>0</v>
      </c>
      <c r="G71" s="388">
        <f>perennial!K63-perennial!J63</f>
        <v>0</v>
      </c>
      <c r="M71" s="388">
        <f>perennial!AL32-perennial!AK32</f>
        <v>0</v>
      </c>
      <c r="N71" s="388">
        <f>perennial!O63-perennial!N63</f>
        <v>0</v>
      </c>
      <c r="U71" s="388">
        <f>perennial!AJ32-perennial!AI32</f>
        <v>0</v>
      </c>
      <c r="AB71" t="str">
        <f t="shared" si="11"/>
        <v>ok</v>
      </c>
      <c r="AC71">
        <f>IF('3.Cropland'!BP91&lt;&gt;0,'3.Cropland'!BP91, '3.Cropland'!BO91)</f>
        <v>1</v>
      </c>
      <c r="AD71">
        <f t="shared" si="8"/>
        <v>5</v>
      </c>
      <c r="AE71" s="4357" t="str">
        <f>'3.Cropland'!S91</f>
        <v>D</v>
      </c>
      <c r="AF71" s="4357" t="str">
        <f>'3.Cropland'!U91</f>
        <v>D</v>
      </c>
      <c r="AG71" s="4357" t="str">
        <f t="shared" si="12"/>
        <v>D</v>
      </c>
      <c r="AH71" s="4357">
        <f>((E71/(time_cap+((AD71-AC71+1)*VLOOKUP(AG71,list!$I$48:$K$50,3, FALSE))))*(AD71-AC71+1)*VLOOKUP(AG71,list!$I$48:$K$50,3, FALSE))</f>
        <v>0</v>
      </c>
      <c r="AI71" s="4357">
        <f>((E71/(time_cap+((AD71-AC71+1)*VLOOKUP(AG71,list!$I$48:$K$50,3, FALSE))))*time_cap)</f>
        <v>0</v>
      </c>
      <c r="AK71" s="4357">
        <f t="shared" si="119"/>
        <v>0</v>
      </c>
      <c r="AL71" s="4357">
        <f t="shared" si="120"/>
        <v>0</v>
      </c>
      <c r="AM71" s="4357">
        <f t="shared" si="121"/>
        <v>0</v>
      </c>
      <c r="AN71" s="4357">
        <f t="shared" si="122"/>
        <v>0</v>
      </c>
      <c r="AO71" s="4357">
        <f t="shared" si="123"/>
        <v>0</v>
      </c>
      <c r="AP71" s="4357">
        <f t="shared" si="124"/>
        <v>0</v>
      </c>
      <c r="AQ71" s="4357">
        <f t="shared" si="125"/>
        <v>0</v>
      </c>
      <c r="AR71" s="4357">
        <f t="shared" si="126"/>
        <v>0</v>
      </c>
      <c r="AS71" s="4357">
        <f t="shared" si="127"/>
        <v>0</v>
      </c>
      <c r="AT71" s="4357">
        <f t="shared" si="128"/>
        <v>0</v>
      </c>
      <c r="AU71" s="4357">
        <f t="shared" si="129"/>
        <v>0</v>
      </c>
      <c r="AV71" s="4357">
        <f t="shared" si="130"/>
        <v>0</v>
      </c>
      <c r="AW71" s="4357">
        <f t="shared" si="131"/>
        <v>0</v>
      </c>
      <c r="AX71" s="4357">
        <f t="shared" si="132"/>
        <v>0</v>
      </c>
      <c r="AY71" s="4357">
        <f t="shared" si="133"/>
        <v>0</v>
      </c>
      <c r="AZ71" s="4357">
        <f t="shared" si="134"/>
        <v>0</v>
      </c>
      <c r="BA71" s="4357">
        <f t="shared" si="135"/>
        <v>0</v>
      </c>
      <c r="BB71" s="4357">
        <f t="shared" si="136"/>
        <v>0</v>
      </c>
      <c r="BC71" s="4357">
        <f t="shared" si="137"/>
        <v>0</v>
      </c>
      <c r="BD71" s="4357">
        <f t="shared" si="138"/>
        <v>0</v>
      </c>
      <c r="BE71" s="4357">
        <f t="shared" si="139"/>
        <v>0</v>
      </c>
      <c r="BF71" s="4357">
        <f t="shared" si="140"/>
        <v>0</v>
      </c>
      <c r="BG71" s="4357">
        <f t="shared" si="141"/>
        <v>0</v>
      </c>
      <c r="BH71" s="4357">
        <f t="shared" si="142"/>
        <v>0</v>
      </c>
      <c r="BI71" s="4357">
        <f t="shared" si="143"/>
        <v>0</v>
      </c>
      <c r="BJ71" s="4357">
        <f t="shared" si="144"/>
        <v>0</v>
      </c>
      <c r="BK71" s="4357">
        <f t="shared" si="145"/>
        <v>0</v>
      </c>
      <c r="BL71" s="4357">
        <f t="shared" si="146"/>
        <v>0</v>
      </c>
      <c r="BM71" s="4357">
        <f t="shared" si="147"/>
        <v>0</v>
      </c>
      <c r="BN71" s="4357">
        <f t="shared" si="148"/>
        <v>0</v>
      </c>
      <c r="BO71" s="4357">
        <f t="shared" si="149"/>
        <v>0</v>
      </c>
      <c r="BP71" s="4357">
        <f t="shared" si="150"/>
        <v>0</v>
      </c>
      <c r="BQ71" s="4357">
        <f t="shared" si="151"/>
        <v>0</v>
      </c>
      <c r="BR71" s="4357">
        <f t="shared" si="152"/>
        <v>0</v>
      </c>
      <c r="BS71" s="4357">
        <f t="shared" si="153"/>
        <v>0</v>
      </c>
      <c r="BT71" s="4357">
        <f t="shared" si="154"/>
        <v>0</v>
      </c>
      <c r="BU71" s="4357">
        <f t="shared" si="155"/>
        <v>0</v>
      </c>
      <c r="BV71" s="4357">
        <f t="shared" si="156"/>
        <v>0</v>
      </c>
      <c r="BW71" s="4357">
        <f t="shared" si="157"/>
        <v>0</v>
      </c>
      <c r="BX71" s="4357">
        <f t="shared" si="158"/>
        <v>0</v>
      </c>
      <c r="BY71" s="4357">
        <f t="shared" si="159"/>
        <v>0</v>
      </c>
      <c r="BZ71" s="4357">
        <f t="shared" si="160"/>
        <v>0</v>
      </c>
      <c r="CA71" s="4357">
        <f t="shared" si="161"/>
        <v>0</v>
      </c>
      <c r="CB71" s="4357">
        <f t="shared" si="162"/>
        <v>0</v>
      </c>
      <c r="CC71" s="4357">
        <f t="shared" si="163"/>
        <v>0</v>
      </c>
      <c r="CD71" s="4357">
        <f t="shared" si="164"/>
        <v>0</v>
      </c>
      <c r="CE71" s="4357">
        <f t="shared" si="165"/>
        <v>0</v>
      </c>
      <c r="CF71" s="4357">
        <f t="shared" si="166"/>
        <v>0</v>
      </c>
      <c r="CG71" s="4357">
        <f t="shared" si="167"/>
        <v>0</v>
      </c>
      <c r="CH71" s="4357">
        <f t="shared" si="168"/>
        <v>0</v>
      </c>
      <c r="CI71" s="4357"/>
      <c r="CJ71" s="4357"/>
      <c r="CK71" s="4357"/>
      <c r="CL71" s="4357"/>
      <c r="CM71" s="4357"/>
      <c r="CN71" s="4357"/>
      <c r="CO71" s="4357"/>
      <c r="CP71" s="4357"/>
      <c r="CQ71" s="4357"/>
      <c r="CR71" s="4357"/>
      <c r="CS71" s="4357"/>
      <c r="CT71" s="4357"/>
      <c r="CU71" s="4357"/>
      <c r="CV71" s="4357"/>
      <c r="CW71" s="4357"/>
      <c r="CX71" s="4357"/>
      <c r="CY71" s="4357"/>
      <c r="CZ71" s="4357"/>
      <c r="DA71" s="4357"/>
      <c r="DB71" s="4357"/>
      <c r="DC71" s="4357"/>
      <c r="DD71" s="4357"/>
      <c r="DE71" s="4357"/>
      <c r="DF71" s="4357"/>
      <c r="DG71" s="4357"/>
      <c r="DH71" s="4357"/>
      <c r="DI71" s="4357"/>
      <c r="DJ71" s="4357"/>
      <c r="DK71" s="4357"/>
      <c r="DL71" s="4357"/>
      <c r="DM71" s="4357"/>
      <c r="DN71" s="4357"/>
      <c r="DO71" s="4357"/>
      <c r="DP71" s="4357"/>
      <c r="DQ71" s="4357"/>
      <c r="DR71" s="4357"/>
      <c r="DS71" s="4357"/>
      <c r="DT71" s="4357"/>
      <c r="DU71" s="4357"/>
      <c r="DV71" s="4357"/>
      <c r="DW71" s="4357"/>
      <c r="DX71" s="4357"/>
      <c r="DY71" s="4357"/>
      <c r="DZ71" s="4357"/>
      <c r="EA71" s="4357"/>
      <c r="EB71" s="4357"/>
      <c r="EC71" s="4357"/>
      <c r="ED71" s="4357"/>
      <c r="EE71" s="4357"/>
      <c r="EF71" s="4357"/>
    </row>
    <row r="72" spans="1:136" ht="16" x14ac:dyDescent="0.2">
      <c r="A72" t="s">
        <v>2072</v>
      </c>
      <c r="B72" t="s">
        <v>2072</v>
      </c>
      <c r="C72">
        <f>'3.Cropland'!C78</f>
        <v>0</v>
      </c>
      <c r="D72" t="str">
        <f>perennial!C33</f>
        <v>Please select</v>
      </c>
      <c r="E72" s="388">
        <f>perennial!R64</f>
        <v>0</v>
      </c>
      <c r="F72" s="388">
        <f>perennial!I64-perennial!H64</f>
        <v>0</v>
      </c>
      <c r="G72" s="388">
        <f>perennial!K64-perennial!J64</f>
        <v>0</v>
      </c>
      <c r="M72" s="388">
        <f>perennial!AL33-perennial!AK33</f>
        <v>0</v>
      </c>
      <c r="N72" s="388">
        <f>perennial!O64-perennial!N64</f>
        <v>0</v>
      </c>
      <c r="U72" s="388">
        <f>perennial!AJ33-perennial!AI33</f>
        <v>0</v>
      </c>
      <c r="AB72" t="str">
        <f t="shared" si="11"/>
        <v>ok</v>
      </c>
      <c r="AC72">
        <f>IF('3.Cropland'!BP92&lt;&gt;0,'3.Cropland'!BP92, '3.Cropland'!BO92)</f>
        <v>1</v>
      </c>
      <c r="AD72">
        <f t="shared" si="8"/>
        <v>5</v>
      </c>
      <c r="AE72" s="4357" t="str">
        <f>'3.Cropland'!S92</f>
        <v>D</v>
      </c>
      <c r="AF72" s="4357" t="str">
        <f>'3.Cropland'!U92</f>
        <v>D</v>
      </c>
      <c r="AG72" s="4357" t="str">
        <f t="shared" si="12"/>
        <v>D</v>
      </c>
      <c r="AH72" s="4357">
        <f>((E72/(time_cap+((AD72-AC72+1)*VLOOKUP(AG72,list!$I$48:$K$50,3, FALSE))))*(AD72-AC72+1)*VLOOKUP(AG72,list!$I$48:$K$50,3, FALSE))</f>
        <v>0</v>
      </c>
      <c r="AI72" s="4357">
        <f>((E72/(time_cap+((AD72-AC72+1)*VLOOKUP(AG72,list!$I$48:$K$50,3, FALSE))))*time_cap)</f>
        <v>0</v>
      </c>
      <c r="AK72" s="4357">
        <f t="shared" si="119"/>
        <v>0</v>
      </c>
      <c r="AL72" s="4357">
        <f t="shared" si="120"/>
        <v>0</v>
      </c>
      <c r="AM72" s="4357">
        <f t="shared" si="121"/>
        <v>0</v>
      </c>
      <c r="AN72" s="4357">
        <f t="shared" si="122"/>
        <v>0</v>
      </c>
      <c r="AO72" s="4357">
        <f t="shared" si="123"/>
        <v>0</v>
      </c>
      <c r="AP72" s="4357">
        <f t="shared" si="124"/>
        <v>0</v>
      </c>
      <c r="AQ72" s="4357">
        <f t="shared" si="125"/>
        <v>0</v>
      </c>
      <c r="AR72" s="4357">
        <f t="shared" si="126"/>
        <v>0</v>
      </c>
      <c r="AS72" s="4357">
        <f t="shared" si="127"/>
        <v>0</v>
      </c>
      <c r="AT72" s="4357">
        <f t="shared" si="128"/>
        <v>0</v>
      </c>
      <c r="AU72" s="4357">
        <f t="shared" si="129"/>
        <v>0</v>
      </c>
      <c r="AV72" s="4357">
        <f t="shared" si="130"/>
        <v>0</v>
      </c>
      <c r="AW72" s="4357">
        <f t="shared" si="131"/>
        <v>0</v>
      </c>
      <c r="AX72" s="4357">
        <f t="shared" si="132"/>
        <v>0</v>
      </c>
      <c r="AY72" s="4357">
        <f t="shared" si="133"/>
        <v>0</v>
      </c>
      <c r="AZ72" s="4357">
        <f t="shared" si="134"/>
        <v>0</v>
      </c>
      <c r="BA72" s="4357">
        <f t="shared" si="135"/>
        <v>0</v>
      </c>
      <c r="BB72" s="4357">
        <f t="shared" si="136"/>
        <v>0</v>
      </c>
      <c r="BC72" s="4357">
        <f t="shared" si="137"/>
        <v>0</v>
      </c>
      <c r="BD72" s="4357">
        <f t="shared" si="138"/>
        <v>0</v>
      </c>
      <c r="BE72" s="4357">
        <f t="shared" si="139"/>
        <v>0</v>
      </c>
      <c r="BF72" s="4357">
        <f t="shared" si="140"/>
        <v>0</v>
      </c>
      <c r="BG72" s="4357">
        <f t="shared" si="141"/>
        <v>0</v>
      </c>
      <c r="BH72" s="4357">
        <f t="shared" si="142"/>
        <v>0</v>
      </c>
      <c r="BI72" s="4357">
        <f t="shared" si="143"/>
        <v>0</v>
      </c>
      <c r="BJ72" s="4357">
        <f t="shared" si="144"/>
        <v>0</v>
      </c>
      <c r="BK72" s="4357">
        <f t="shared" si="145"/>
        <v>0</v>
      </c>
      <c r="BL72" s="4357">
        <f t="shared" si="146"/>
        <v>0</v>
      </c>
      <c r="BM72" s="4357">
        <f t="shared" si="147"/>
        <v>0</v>
      </c>
      <c r="BN72" s="4357">
        <f t="shared" si="148"/>
        <v>0</v>
      </c>
      <c r="BO72" s="4357">
        <f t="shared" si="149"/>
        <v>0</v>
      </c>
      <c r="BP72" s="4357">
        <f t="shared" si="150"/>
        <v>0</v>
      </c>
      <c r="BQ72" s="4357">
        <f t="shared" si="151"/>
        <v>0</v>
      </c>
      <c r="BR72" s="4357">
        <f t="shared" si="152"/>
        <v>0</v>
      </c>
      <c r="BS72" s="4357">
        <f t="shared" si="153"/>
        <v>0</v>
      </c>
      <c r="BT72" s="4357">
        <f t="shared" si="154"/>
        <v>0</v>
      </c>
      <c r="BU72" s="4357">
        <f t="shared" si="155"/>
        <v>0</v>
      </c>
      <c r="BV72" s="4357">
        <f t="shared" si="156"/>
        <v>0</v>
      </c>
      <c r="BW72" s="4357">
        <f t="shared" si="157"/>
        <v>0</v>
      </c>
      <c r="BX72" s="4357">
        <f t="shared" si="158"/>
        <v>0</v>
      </c>
      <c r="BY72" s="4357">
        <f t="shared" si="159"/>
        <v>0</v>
      </c>
      <c r="BZ72" s="4357">
        <f t="shared" si="160"/>
        <v>0</v>
      </c>
      <c r="CA72" s="4357">
        <f t="shared" si="161"/>
        <v>0</v>
      </c>
      <c r="CB72" s="4357">
        <f t="shared" si="162"/>
        <v>0</v>
      </c>
      <c r="CC72" s="4357">
        <f t="shared" si="163"/>
        <v>0</v>
      </c>
      <c r="CD72" s="4357">
        <f t="shared" si="164"/>
        <v>0</v>
      </c>
      <c r="CE72" s="4357">
        <f t="shared" si="165"/>
        <v>0</v>
      </c>
      <c r="CF72" s="4357">
        <f t="shared" si="166"/>
        <v>0</v>
      </c>
      <c r="CG72" s="4357">
        <f t="shared" si="167"/>
        <v>0</v>
      </c>
      <c r="CH72" s="4357">
        <f t="shared" si="168"/>
        <v>0</v>
      </c>
      <c r="CI72" s="4357"/>
      <c r="CJ72" s="4357"/>
      <c r="CK72" s="4357"/>
      <c r="CL72" s="4357"/>
      <c r="CM72" s="4357"/>
      <c r="CN72" s="4357"/>
      <c r="CO72" s="4357"/>
      <c r="CP72" s="4357"/>
      <c r="CQ72" s="4357"/>
      <c r="CR72" s="4357"/>
      <c r="CS72" s="4357"/>
      <c r="CT72" s="4357"/>
      <c r="CU72" s="4357"/>
      <c r="CV72" s="4357"/>
      <c r="CW72" s="4357"/>
      <c r="CX72" s="4357"/>
      <c r="CY72" s="4357"/>
      <c r="CZ72" s="4357"/>
      <c r="DA72" s="4357"/>
      <c r="DB72" s="4357"/>
      <c r="DC72" s="4357"/>
      <c r="DD72" s="4357"/>
      <c r="DE72" s="4357"/>
      <c r="DF72" s="4357"/>
      <c r="DG72" s="4357"/>
      <c r="DH72" s="4357"/>
      <c r="DI72" s="4357"/>
      <c r="DJ72" s="4357"/>
      <c r="DK72" s="4357"/>
      <c r="DL72" s="4357"/>
      <c r="DM72" s="4357"/>
      <c r="DN72" s="4357"/>
      <c r="DO72" s="4357"/>
      <c r="DP72" s="4357"/>
      <c r="DQ72" s="4357"/>
      <c r="DR72" s="4357"/>
      <c r="DS72" s="4357"/>
      <c r="DT72" s="4357"/>
      <c r="DU72" s="4357"/>
      <c r="DV72" s="4357"/>
      <c r="DW72" s="4357"/>
      <c r="DX72" s="4357"/>
      <c r="DY72" s="4357"/>
      <c r="DZ72" s="4357"/>
      <c r="EA72" s="4357"/>
      <c r="EB72" s="4357"/>
      <c r="EC72" s="4357"/>
      <c r="ED72" s="4357"/>
      <c r="EE72" s="4357"/>
      <c r="EF72" s="4357"/>
    </row>
    <row r="73" spans="1:136" ht="16" x14ac:dyDescent="0.2">
      <c r="A73" t="s">
        <v>2072</v>
      </c>
      <c r="B73" t="s">
        <v>2072</v>
      </c>
      <c r="C73">
        <f>'3.Cropland'!C79</f>
        <v>0</v>
      </c>
      <c r="D73" t="str">
        <f>perennial!C34</f>
        <v>Please select</v>
      </c>
      <c r="E73" s="388">
        <f>perennial!R65</f>
        <v>0</v>
      </c>
      <c r="F73" s="388">
        <f>perennial!I65-perennial!H65</f>
        <v>0</v>
      </c>
      <c r="G73" s="388">
        <f>perennial!K65-perennial!J65</f>
        <v>0</v>
      </c>
      <c r="M73" s="388">
        <f>perennial!AL34-perennial!AK34</f>
        <v>0</v>
      </c>
      <c r="N73" s="388">
        <f>perennial!O65-perennial!N65</f>
        <v>0</v>
      </c>
      <c r="U73" s="388">
        <f>perennial!AJ34-perennial!AI34</f>
        <v>0</v>
      </c>
      <c r="AB73" t="str">
        <f t="shared" si="11"/>
        <v>ok</v>
      </c>
      <c r="AC73">
        <f>IF('3.Cropland'!BP93&lt;&gt;0,'3.Cropland'!BP93, '3.Cropland'!BO93)</f>
        <v>1</v>
      </c>
      <c r="AD73">
        <f t="shared" si="8"/>
        <v>5</v>
      </c>
      <c r="AE73" s="4357" t="str">
        <f>'3.Cropland'!S93</f>
        <v>D</v>
      </c>
      <c r="AF73" s="4357" t="str">
        <f>'3.Cropland'!U93</f>
        <v>D</v>
      </c>
      <c r="AG73" s="4357" t="str">
        <f t="shared" si="12"/>
        <v>D</v>
      </c>
      <c r="AH73" s="4357">
        <f>((E73/(time_cap+((AD73-AC73+1)*VLOOKUP(AG73,list!$I$48:$K$50,3, FALSE))))*(AD73-AC73+1)*VLOOKUP(AG73,list!$I$48:$K$50,3, FALSE))</f>
        <v>0</v>
      </c>
      <c r="AI73" s="4357">
        <f>((E73/(time_cap+((AD73-AC73+1)*VLOOKUP(AG73,list!$I$48:$K$50,3, FALSE))))*time_cap)</f>
        <v>0</v>
      </c>
      <c r="AK73" s="4357">
        <f t="shared" si="119"/>
        <v>0</v>
      </c>
      <c r="AL73" s="4357">
        <f t="shared" si="120"/>
        <v>0</v>
      </c>
      <c r="AM73" s="4357">
        <f t="shared" si="121"/>
        <v>0</v>
      </c>
      <c r="AN73" s="4357">
        <f t="shared" si="122"/>
        <v>0</v>
      </c>
      <c r="AO73" s="4357">
        <f t="shared" si="123"/>
        <v>0</v>
      </c>
      <c r="AP73" s="4357">
        <f t="shared" si="124"/>
        <v>0</v>
      </c>
      <c r="AQ73" s="4357">
        <f t="shared" si="125"/>
        <v>0</v>
      </c>
      <c r="AR73" s="4357">
        <f t="shared" si="126"/>
        <v>0</v>
      </c>
      <c r="AS73" s="4357">
        <f t="shared" si="127"/>
        <v>0</v>
      </c>
      <c r="AT73" s="4357">
        <f t="shared" si="128"/>
        <v>0</v>
      </c>
      <c r="AU73" s="4357">
        <f t="shared" si="129"/>
        <v>0</v>
      </c>
      <c r="AV73" s="4357">
        <f t="shared" si="130"/>
        <v>0</v>
      </c>
      <c r="AW73" s="4357">
        <f t="shared" si="131"/>
        <v>0</v>
      </c>
      <c r="AX73" s="4357">
        <f t="shared" si="132"/>
        <v>0</v>
      </c>
      <c r="AY73" s="4357">
        <f t="shared" si="133"/>
        <v>0</v>
      </c>
      <c r="AZ73" s="4357">
        <f t="shared" si="134"/>
        <v>0</v>
      </c>
      <c r="BA73" s="4357">
        <f t="shared" si="135"/>
        <v>0</v>
      </c>
      <c r="BB73" s="4357">
        <f t="shared" si="136"/>
        <v>0</v>
      </c>
      <c r="BC73" s="4357">
        <f t="shared" si="137"/>
        <v>0</v>
      </c>
      <c r="BD73" s="4357">
        <f t="shared" si="138"/>
        <v>0</v>
      </c>
      <c r="BE73" s="4357">
        <f t="shared" si="139"/>
        <v>0</v>
      </c>
      <c r="BF73" s="4357">
        <f t="shared" si="140"/>
        <v>0</v>
      </c>
      <c r="BG73" s="4357">
        <f t="shared" si="141"/>
        <v>0</v>
      </c>
      <c r="BH73" s="4357">
        <f t="shared" si="142"/>
        <v>0</v>
      </c>
      <c r="BI73" s="4357">
        <f t="shared" si="143"/>
        <v>0</v>
      </c>
      <c r="BJ73" s="4357">
        <f t="shared" si="144"/>
        <v>0</v>
      </c>
      <c r="BK73" s="4357">
        <f t="shared" si="145"/>
        <v>0</v>
      </c>
      <c r="BL73" s="4357">
        <f t="shared" si="146"/>
        <v>0</v>
      </c>
      <c r="BM73" s="4357">
        <f t="shared" si="147"/>
        <v>0</v>
      </c>
      <c r="BN73" s="4357">
        <f t="shared" si="148"/>
        <v>0</v>
      </c>
      <c r="BO73" s="4357">
        <f t="shared" si="149"/>
        <v>0</v>
      </c>
      <c r="BP73" s="4357">
        <f t="shared" si="150"/>
        <v>0</v>
      </c>
      <c r="BQ73" s="4357">
        <f t="shared" si="151"/>
        <v>0</v>
      </c>
      <c r="BR73" s="4357">
        <f t="shared" si="152"/>
        <v>0</v>
      </c>
      <c r="BS73" s="4357">
        <f t="shared" si="153"/>
        <v>0</v>
      </c>
      <c r="BT73" s="4357">
        <f t="shared" si="154"/>
        <v>0</v>
      </c>
      <c r="BU73" s="4357">
        <f t="shared" si="155"/>
        <v>0</v>
      </c>
      <c r="BV73" s="4357">
        <f t="shared" si="156"/>
        <v>0</v>
      </c>
      <c r="BW73" s="4357">
        <f t="shared" si="157"/>
        <v>0</v>
      </c>
      <c r="BX73" s="4357">
        <f t="shared" si="158"/>
        <v>0</v>
      </c>
      <c r="BY73" s="4357">
        <f t="shared" si="159"/>
        <v>0</v>
      </c>
      <c r="BZ73" s="4357">
        <f t="shared" si="160"/>
        <v>0</v>
      </c>
      <c r="CA73" s="4357">
        <f t="shared" si="161"/>
        <v>0</v>
      </c>
      <c r="CB73" s="4357">
        <f t="shared" si="162"/>
        <v>0</v>
      </c>
      <c r="CC73" s="4357">
        <f t="shared" si="163"/>
        <v>0</v>
      </c>
      <c r="CD73" s="4357">
        <f t="shared" si="164"/>
        <v>0</v>
      </c>
      <c r="CE73" s="4357">
        <f t="shared" si="165"/>
        <v>0</v>
      </c>
      <c r="CF73" s="4357">
        <f t="shared" si="166"/>
        <v>0</v>
      </c>
      <c r="CG73" s="4357">
        <f t="shared" si="167"/>
        <v>0</v>
      </c>
      <c r="CH73" s="4357">
        <f t="shared" si="168"/>
        <v>0</v>
      </c>
      <c r="CI73" s="4357"/>
      <c r="CJ73" s="4357"/>
      <c r="CK73" s="4357"/>
      <c r="CL73" s="4357"/>
      <c r="CM73" s="4357"/>
      <c r="CN73" s="4357"/>
      <c r="CO73" s="4357"/>
      <c r="CP73" s="4357"/>
      <c r="CQ73" s="4357"/>
      <c r="CR73" s="4357"/>
      <c r="CS73" s="4357"/>
      <c r="CT73" s="4357"/>
      <c r="CU73" s="4357"/>
      <c r="CV73" s="4357"/>
      <c r="CW73" s="4357"/>
      <c r="CX73" s="4357"/>
      <c r="CY73" s="4357"/>
      <c r="CZ73" s="4357"/>
      <c r="DA73" s="4357"/>
      <c r="DB73" s="4357"/>
      <c r="DC73" s="4357"/>
      <c r="DD73" s="4357"/>
      <c r="DE73" s="4357"/>
      <c r="DF73" s="4357"/>
      <c r="DG73" s="4357"/>
      <c r="DH73" s="4357"/>
      <c r="DI73" s="4357"/>
      <c r="DJ73" s="4357"/>
      <c r="DK73" s="4357"/>
      <c r="DL73" s="4357"/>
      <c r="DM73" s="4357"/>
      <c r="DN73" s="4357"/>
      <c r="DO73" s="4357"/>
      <c r="DP73" s="4357"/>
      <c r="DQ73" s="4357"/>
      <c r="DR73" s="4357"/>
      <c r="DS73" s="4357"/>
      <c r="DT73" s="4357"/>
      <c r="DU73" s="4357"/>
      <c r="DV73" s="4357"/>
      <c r="DW73" s="4357"/>
      <c r="DX73" s="4357"/>
      <c r="DY73" s="4357"/>
      <c r="DZ73" s="4357"/>
      <c r="EA73" s="4357"/>
      <c r="EB73" s="4357"/>
      <c r="EC73" s="4357"/>
      <c r="ED73" s="4357"/>
      <c r="EE73" s="4357"/>
      <c r="EF73" s="4357"/>
    </row>
    <row r="74" spans="1:136" ht="16" x14ac:dyDescent="0.2">
      <c r="A74" t="s">
        <v>2072</v>
      </c>
      <c r="B74" t="s">
        <v>2072</v>
      </c>
      <c r="C74">
        <f>'3.Cropland'!C80</f>
        <v>0</v>
      </c>
      <c r="D74" t="str">
        <f>perennial!C35</f>
        <v>Please select</v>
      </c>
      <c r="E74" s="388">
        <f>perennial!R66</f>
        <v>0</v>
      </c>
      <c r="F74" s="388">
        <f>perennial!I66-perennial!H66</f>
        <v>0</v>
      </c>
      <c r="G74" s="388">
        <f>perennial!K66-perennial!J66</f>
        <v>0</v>
      </c>
      <c r="M74" s="388">
        <f>perennial!AL35-perennial!AK35</f>
        <v>0</v>
      </c>
      <c r="N74" s="388">
        <f>perennial!O66-perennial!N66</f>
        <v>0</v>
      </c>
      <c r="U74" s="388">
        <f>perennial!AJ35-perennial!AI35</f>
        <v>0</v>
      </c>
      <c r="AB74" t="str">
        <f t="shared" si="11"/>
        <v>ok</v>
      </c>
      <c r="AC74">
        <f>IF('3.Cropland'!BP94&lt;&gt;0,'3.Cropland'!BP94, '3.Cropland'!BO94)</f>
        <v>1</v>
      </c>
      <c r="AD74">
        <f t="shared" si="8"/>
        <v>5</v>
      </c>
      <c r="AE74" s="4357" t="str">
        <f>'3.Cropland'!S94</f>
        <v>D</v>
      </c>
      <c r="AF74" s="4357" t="str">
        <f>'3.Cropland'!U94</f>
        <v>D</v>
      </c>
      <c r="AG74" s="4357" t="str">
        <f t="shared" si="12"/>
        <v>D</v>
      </c>
      <c r="AH74" s="4357">
        <f>((E74/(time_cap+((AD74-AC74+1)*VLOOKUP(AG74,list!$I$48:$K$50,3, FALSE))))*(AD74-AC74+1)*VLOOKUP(AG74,list!$I$48:$K$50,3, FALSE))</f>
        <v>0</v>
      </c>
      <c r="AI74" s="4357">
        <f>((E74/(time_cap+((AD74-AC74+1)*VLOOKUP(AG74,list!$I$48:$K$50,3, FALSE))))*time_cap)</f>
        <v>0</v>
      </c>
      <c r="AK74" s="4357">
        <f t="shared" si="119"/>
        <v>0</v>
      </c>
      <c r="AL74" s="4357">
        <f t="shared" si="120"/>
        <v>0</v>
      </c>
      <c r="AM74" s="4357">
        <f t="shared" si="121"/>
        <v>0</v>
      </c>
      <c r="AN74" s="4357">
        <f t="shared" si="122"/>
        <v>0</v>
      </c>
      <c r="AO74" s="4357">
        <f t="shared" si="123"/>
        <v>0</v>
      </c>
      <c r="AP74" s="4357">
        <f t="shared" si="124"/>
        <v>0</v>
      </c>
      <c r="AQ74" s="4357">
        <f t="shared" si="125"/>
        <v>0</v>
      </c>
      <c r="AR74" s="4357">
        <f t="shared" si="126"/>
        <v>0</v>
      </c>
      <c r="AS74" s="4357">
        <f t="shared" si="127"/>
        <v>0</v>
      </c>
      <c r="AT74" s="4357">
        <f t="shared" si="128"/>
        <v>0</v>
      </c>
      <c r="AU74" s="4357">
        <f t="shared" si="129"/>
        <v>0</v>
      </c>
      <c r="AV74" s="4357">
        <f t="shared" si="130"/>
        <v>0</v>
      </c>
      <c r="AW74" s="4357">
        <f t="shared" si="131"/>
        <v>0</v>
      </c>
      <c r="AX74" s="4357">
        <f t="shared" si="132"/>
        <v>0</v>
      </c>
      <c r="AY74" s="4357">
        <f t="shared" si="133"/>
        <v>0</v>
      </c>
      <c r="AZ74" s="4357">
        <f t="shared" si="134"/>
        <v>0</v>
      </c>
      <c r="BA74" s="4357">
        <f t="shared" si="135"/>
        <v>0</v>
      </c>
      <c r="BB74" s="4357">
        <f t="shared" si="136"/>
        <v>0</v>
      </c>
      <c r="BC74" s="4357">
        <f t="shared" si="137"/>
        <v>0</v>
      </c>
      <c r="BD74" s="4357">
        <f t="shared" si="138"/>
        <v>0</v>
      </c>
      <c r="BE74" s="4357">
        <f t="shared" si="139"/>
        <v>0</v>
      </c>
      <c r="BF74" s="4357">
        <f t="shared" si="140"/>
        <v>0</v>
      </c>
      <c r="BG74" s="4357">
        <f t="shared" si="141"/>
        <v>0</v>
      </c>
      <c r="BH74" s="4357">
        <f t="shared" si="142"/>
        <v>0</v>
      </c>
      <c r="BI74" s="4357">
        <f t="shared" si="143"/>
        <v>0</v>
      </c>
      <c r="BJ74" s="4357">
        <f t="shared" si="144"/>
        <v>0</v>
      </c>
      <c r="BK74" s="4357">
        <f t="shared" si="145"/>
        <v>0</v>
      </c>
      <c r="BL74" s="4357">
        <f t="shared" si="146"/>
        <v>0</v>
      </c>
      <c r="BM74" s="4357">
        <f t="shared" si="147"/>
        <v>0</v>
      </c>
      <c r="BN74" s="4357">
        <f t="shared" si="148"/>
        <v>0</v>
      </c>
      <c r="BO74" s="4357">
        <f t="shared" si="149"/>
        <v>0</v>
      </c>
      <c r="BP74" s="4357">
        <f t="shared" si="150"/>
        <v>0</v>
      </c>
      <c r="BQ74" s="4357">
        <f t="shared" si="151"/>
        <v>0</v>
      </c>
      <c r="BR74" s="4357">
        <f t="shared" si="152"/>
        <v>0</v>
      </c>
      <c r="BS74" s="4357">
        <f t="shared" si="153"/>
        <v>0</v>
      </c>
      <c r="BT74" s="4357">
        <f t="shared" si="154"/>
        <v>0</v>
      </c>
      <c r="BU74" s="4357">
        <f t="shared" si="155"/>
        <v>0</v>
      </c>
      <c r="BV74" s="4357">
        <f t="shared" si="156"/>
        <v>0</v>
      </c>
      <c r="BW74" s="4357">
        <f t="shared" si="157"/>
        <v>0</v>
      </c>
      <c r="BX74" s="4357">
        <f t="shared" si="158"/>
        <v>0</v>
      </c>
      <c r="BY74" s="4357">
        <f t="shared" si="159"/>
        <v>0</v>
      </c>
      <c r="BZ74" s="4357">
        <f t="shared" si="160"/>
        <v>0</v>
      </c>
      <c r="CA74" s="4357">
        <f t="shared" si="161"/>
        <v>0</v>
      </c>
      <c r="CB74" s="4357">
        <f t="shared" si="162"/>
        <v>0</v>
      </c>
      <c r="CC74" s="4357">
        <f t="shared" si="163"/>
        <v>0</v>
      </c>
      <c r="CD74" s="4357">
        <f t="shared" si="164"/>
        <v>0</v>
      </c>
      <c r="CE74" s="4357">
        <f t="shared" si="165"/>
        <v>0</v>
      </c>
      <c r="CF74" s="4357">
        <f t="shared" si="166"/>
        <v>0</v>
      </c>
      <c r="CG74" s="4357">
        <f t="shared" si="167"/>
        <v>0</v>
      </c>
      <c r="CH74" s="4357">
        <f t="shared" si="168"/>
        <v>0</v>
      </c>
      <c r="CI74" s="4357"/>
      <c r="CJ74" s="4357"/>
      <c r="CK74" s="4357"/>
      <c r="CL74" s="4357"/>
      <c r="CM74" s="4357"/>
      <c r="CN74" s="4357"/>
      <c r="CO74" s="4357"/>
      <c r="CP74" s="4357"/>
      <c r="CQ74" s="4357"/>
      <c r="CR74" s="4357"/>
      <c r="CS74" s="4357"/>
      <c r="CT74" s="4357"/>
      <c r="CU74" s="4357"/>
      <c r="CV74" s="4357"/>
      <c r="CW74" s="4357"/>
      <c r="CX74" s="4357"/>
      <c r="CY74" s="4357"/>
      <c r="CZ74" s="4357"/>
      <c r="DA74" s="4357"/>
      <c r="DB74" s="4357"/>
      <c r="DC74" s="4357"/>
      <c r="DD74" s="4357"/>
      <c r="DE74" s="4357"/>
      <c r="DF74" s="4357"/>
      <c r="DG74" s="4357"/>
      <c r="DH74" s="4357"/>
      <c r="DI74" s="4357"/>
      <c r="DJ74" s="4357"/>
      <c r="DK74" s="4357"/>
      <c r="DL74" s="4357"/>
      <c r="DM74" s="4357"/>
      <c r="DN74" s="4357"/>
      <c r="DO74" s="4357"/>
      <c r="DP74" s="4357"/>
      <c r="DQ74" s="4357"/>
      <c r="DR74" s="4357"/>
      <c r="DS74" s="4357"/>
      <c r="DT74" s="4357"/>
      <c r="DU74" s="4357"/>
      <c r="DV74" s="4357"/>
      <c r="DW74" s="4357"/>
      <c r="DX74" s="4357"/>
      <c r="DY74" s="4357"/>
      <c r="DZ74" s="4357"/>
      <c r="EA74" s="4357"/>
      <c r="EB74" s="4357"/>
      <c r="EC74" s="4357"/>
      <c r="ED74" s="4357"/>
      <c r="EE74" s="4357"/>
      <c r="EF74" s="4357"/>
    </row>
    <row r="75" spans="1:136" ht="16" x14ac:dyDescent="0.2">
      <c r="A75" t="s">
        <v>1384</v>
      </c>
      <c r="B75" t="s">
        <v>1384</v>
      </c>
      <c r="D75" t="str">
        <f>'3.Cropland'!G116</f>
        <v>Please select</v>
      </c>
      <c r="E75">
        <f>'3.Cropland'!Z116</f>
        <v>0</v>
      </c>
      <c r="F75" s="388">
        <v>0</v>
      </c>
      <c r="G75">
        <f>rice!O30-rice!N30</f>
        <v>0</v>
      </c>
      <c r="M75">
        <f>rice!AN10-rice!AM10</f>
        <v>0</v>
      </c>
      <c r="N75">
        <v>0</v>
      </c>
      <c r="U75">
        <f>rice!AL10-rice!AK10</f>
        <v>0</v>
      </c>
      <c r="V75">
        <f>rice!Q30-rice!P30</f>
        <v>0</v>
      </c>
      <c r="AB75" t="str">
        <f t="shared" si="11"/>
        <v>ok</v>
      </c>
      <c r="AC75">
        <f>IF('3.Cropland'!BM116&lt;&gt;0,'3.Cropland'!BM116, '3.Cropland'!BL116)</f>
        <v>1</v>
      </c>
      <c r="AD75">
        <f t="shared" si="8"/>
        <v>5</v>
      </c>
      <c r="AE75" s="4357" t="s">
        <v>86</v>
      </c>
      <c r="AF75" s="4357" t="s">
        <v>86</v>
      </c>
      <c r="AG75" s="4357" t="str">
        <f t="shared" si="12"/>
        <v>D</v>
      </c>
      <c r="AH75" s="4357">
        <f>((E75/(time_cap+((AD75-AC75+1)*VLOOKUP(AG75,list!$I$48:$K$50,3, FALSE))))*(AD75-AC75+1)*VLOOKUP(AG75,list!$I$48:$K$50,3, FALSE))</f>
        <v>0</v>
      </c>
      <c r="AI75" s="4357">
        <f>((E75/(time_cap+((AD75-AC75+1)*VLOOKUP(AG75,list!$I$48:$K$50,3, FALSE))))*time_cap)</f>
        <v>0</v>
      </c>
      <c r="AK75" s="4357">
        <f t="shared" ref="AK75:BP75" si="169">IFERROR(IF((time+time_cap)&lt;AK$2, 0,IF(AND(time+1&gt;=AL$2, $AC75&lt;AL$2), IF($AG75= "I", $AH75/($AD75-$AC75+1), $AH75/(($AD75*($AD75+1)/2)-(($AC75-1)*($AC75-1+1)/2))*AK$2), 0)+IF(IF(time+1&gt;=AL$2, $AI75/time_cap/(time+1)*AK$2, 0) = 0, $AI75/(time_cap),0)),0)</f>
        <v>0</v>
      </c>
      <c r="AL75" s="4357">
        <f t="shared" si="169"/>
        <v>0</v>
      </c>
      <c r="AM75" s="4357">
        <f t="shared" si="169"/>
        <v>0</v>
      </c>
      <c r="AN75" s="4357">
        <f t="shared" si="169"/>
        <v>0</v>
      </c>
      <c r="AO75" s="4357">
        <f t="shared" si="169"/>
        <v>0</v>
      </c>
      <c r="AP75" s="4357">
        <f t="shared" si="169"/>
        <v>0</v>
      </c>
      <c r="AQ75" s="4357">
        <f t="shared" si="169"/>
        <v>0</v>
      </c>
      <c r="AR75" s="4357">
        <f t="shared" si="169"/>
        <v>0</v>
      </c>
      <c r="AS75" s="4357">
        <f t="shared" si="169"/>
        <v>0</v>
      </c>
      <c r="AT75" s="4357">
        <f t="shared" si="169"/>
        <v>0</v>
      </c>
      <c r="AU75" s="4357">
        <f t="shared" si="169"/>
        <v>0</v>
      </c>
      <c r="AV75" s="4357">
        <f t="shared" si="169"/>
        <v>0</v>
      </c>
      <c r="AW75" s="4357">
        <f t="shared" si="169"/>
        <v>0</v>
      </c>
      <c r="AX75" s="4357">
        <f t="shared" si="169"/>
        <v>0</v>
      </c>
      <c r="AY75" s="4357">
        <f t="shared" si="169"/>
        <v>0</v>
      </c>
      <c r="AZ75" s="4357">
        <f t="shared" si="169"/>
        <v>0</v>
      </c>
      <c r="BA75" s="4357">
        <f t="shared" si="169"/>
        <v>0</v>
      </c>
      <c r="BB75" s="4357">
        <f t="shared" si="169"/>
        <v>0</v>
      </c>
      <c r="BC75" s="4357">
        <f t="shared" si="169"/>
        <v>0</v>
      </c>
      <c r="BD75" s="4357">
        <f t="shared" si="169"/>
        <v>0</v>
      </c>
      <c r="BE75" s="4357">
        <f t="shared" si="169"/>
        <v>0</v>
      </c>
      <c r="BF75" s="4357">
        <f t="shared" si="169"/>
        <v>0</v>
      </c>
      <c r="BG75" s="4357">
        <f t="shared" si="169"/>
        <v>0</v>
      </c>
      <c r="BH75" s="4357">
        <f t="shared" si="169"/>
        <v>0</v>
      </c>
      <c r="BI75" s="4357">
        <f t="shared" si="169"/>
        <v>0</v>
      </c>
      <c r="BJ75" s="4357">
        <f t="shared" si="169"/>
        <v>0</v>
      </c>
      <c r="BK75" s="4357">
        <f t="shared" si="169"/>
        <v>0</v>
      </c>
      <c r="BL75" s="4357">
        <f t="shared" si="169"/>
        <v>0</v>
      </c>
      <c r="BM75" s="4357">
        <f t="shared" si="169"/>
        <v>0</v>
      </c>
      <c r="BN75" s="4357">
        <f t="shared" si="169"/>
        <v>0</v>
      </c>
      <c r="BO75" s="4357">
        <f t="shared" si="169"/>
        <v>0</v>
      </c>
      <c r="BP75" s="4357">
        <f t="shared" si="169"/>
        <v>0</v>
      </c>
      <c r="BQ75" s="4357">
        <f t="shared" ref="BQ75:CH75" si="170">IFERROR(IF((time+time_cap)&lt;BQ$2, 0,IF(AND(time+1&gt;=BR$2, $AC75&lt;BR$2), IF($AG75= "I", $AH75/($AD75-$AC75+1), $AH75/(($AD75*($AD75+1)/2)-(($AC75-1)*($AC75-1+1)/2))*BQ$2), 0)+IF(IF(time+1&gt;=BR$2, $AI75/time_cap/(time+1)*BQ$2, 0) = 0, $AI75/(time_cap),0)),0)</f>
        <v>0</v>
      </c>
      <c r="BR75" s="4357">
        <f t="shared" si="170"/>
        <v>0</v>
      </c>
      <c r="BS75" s="4357">
        <f t="shared" si="170"/>
        <v>0</v>
      </c>
      <c r="BT75" s="4357">
        <f t="shared" si="170"/>
        <v>0</v>
      </c>
      <c r="BU75" s="4357">
        <f t="shared" si="170"/>
        <v>0</v>
      </c>
      <c r="BV75" s="4357">
        <f t="shared" si="170"/>
        <v>0</v>
      </c>
      <c r="BW75" s="4357">
        <f t="shared" si="170"/>
        <v>0</v>
      </c>
      <c r="BX75" s="4357">
        <f t="shared" si="170"/>
        <v>0</v>
      </c>
      <c r="BY75" s="4357">
        <f t="shared" si="170"/>
        <v>0</v>
      </c>
      <c r="BZ75" s="4357">
        <f t="shared" si="170"/>
        <v>0</v>
      </c>
      <c r="CA75" s="4357">
        <f t="shared" si="170"/>
        <v>0</v>
      </c>
      <c r="CB75" s="4357">
        <f t="shared" si="170"/>
        <v>0</v>
      </c>
      <c r="CC75" s="4357">
        <f t="shared" si="170"/>
        <v>0</v>
      </c>
      <c r="CD75" s="4357">
        <f t="shared" si="170"/>
        <v>0</v>
      </c>
      <c r="CE75" s="4357">
        <f t="shared" si="170"/>
        <v>0</v>
      </c>
      <c r="CF75" s="4357">
        <f t="shared" si="170"/>
        <v>0</v>
      </c>
      <c r="CG75" s="4357">
        <f t="shared" si="170"/>
        <v>0</v>
      </c>
      <c r="CH75" s="4357">
        <f t="shared" si="170"/>
        <v>0</v>
      </c>
      <c r="CI75" s="4357"/>
      <c r="CJ75" s="4357"/>
      <c r="CK75" s="4357"/>
      <c r="CL75" s="4357"/>
      <c r="CM75" s="4357"/>
      <c r="CN75" s="4357"/>
      <c r="CO75" s="4357"/>
      <c r="CP75" s="4357"/>
      <c r="CQ75" s="4357"/>
      <c r="CR75" s="4357"/>
      <c r="CS75" s="4357"/>
      <c r="CT75" s="4357"/>
      <c r="CU75" s="4357"/>
      <c r="CV75" s="4357"/>
      <c r="CW75" s="4357"/>
      <c r="CX75" s="4357"/>
      <c r="CY75" s="4357"/>
      <c r="CZ75" s="4357"/>
      <c r="DA75" s="4357"/>
      <c r="DB75" s="4357"/>
      <c r="DC75" s="4357"/>
      <c r="DD75" s="4357"/>
      <c r="DE75" s="4357"/>
      <c r="DF75" s="4357"/>
      <c r="DG75" s="4357"/>
      <c r="DH75" s="4357"/>
      <c r="DI75" s="4357"/>
      <c r="DJ75" s="4357"/>
      <c r="DK75" s="4357"/>
      <c r="DL75" s="4357"/>
      <c r="DM75" s="4357"/>
      <c r="DN75" s="4357"/>
      <c r="DO75" s="4357"/>
      <c r="DP75" s="4357"/>
      <c r="DQ75" s="4357"/>
      <c r="DR75" s="4357"/>
      <c r="DS75" s="4357"/>
      <c r="DT75" s="4357"/>
      <c r="DU75" s="4357"/>
      <c r="DV75" s="4357"/>
      <c r="DW75" s="4357"/>
      <c r="DX75" s="4357"/>
      <c r="DY75" s="4357"/>
      <c r="DZ75" s="4357"/>
      <c r="EA75" s="4357"/>
      <c r="EB75" s="4357"/>
      <c r="EC75" s="4357"/>
      <c r="ED75" s="4357"/>
      <c r="EE75" s="4357"/>
      <c r="EF75" s="4357"/>
    </row>
    <row r="76" spans="1:136" ht="16" x14ac:dyDescent="0.2">
      <c r="A76" t="s">
        <v>1384</v>
      </c>
      <c r="B76" t="s">
        <v>1384</v>
      </c>
      <c r="D76" t="str">
        <f>'3.Cropland'!G117</f>
        <v>Please select</v>
      </c>
      <c r="E76">
        <f>'3.Cropland'!Z117</f>
        <v>0</v>
      </c>
      <c r="F76" s="388">
        <v>0</v>
      </c>
      <c r="G76">
        <f>rice!O31-rice!N31</f>
        <v>0</v>
      </c>
      <c r="M76">
        <f>rice!AN11-rice!AM11</f>
        <v>0</v>
      </c>
      <c r="N76">
        <v>0</v>
      </c>
      <c r="U76">
        <f>rice!AL11-rice!AK11</f>
        <v>0</v>
      </c>
      <c r="V76">
        <f>rice!Q31-rice!P31</f>
        <v>0</v>
      </c>
      <c r="AB76" t="str">
        <f t="shared" ref="AB76:AB139" si="171">IF(ABS(E76-SUM(F76:AA76))&gt;1, "ERROR", "ok")</f>
        <v>ok</v>
      </c>
      <c r="AC76">
        <f>IF('3.Cropland'!BM117&lt;&gt;0,'3.Cropland'!BM117, '3.Cropland'!BL117)</f>
        <v>1</v>
      </c>
      <c r="AD76">
        <f t="shared" si="8"/>
        <v>5</v>
      </c>
      <c r="AE76" s="4357" t="s">
        <v>86</v>
      </c>
      <c r="AF76" s="4357" t="s">
        <v>86</v>
      </c>
      <c r="AG76" s="4357" t="str">
        <f t="shared" si="12"/>
        <v>D</v>
      </c>
      <c r="AH76" s="4357">
        <f>((E76/(time_cap+((AD76-AC76+1)*VLOOKUP(AG76,list!$I$48:$K$50,3, FALSE))))*(AD76-AC76+1)*VLOOKUP(AG76,list!$I$48:$K$50,3, FALSE))</f>
        <v>0</v>
      </c>
      <c r="AI76" s="4357">
        <f>((E76/(time_cap+((AD76-AC76+1)*VLOOKUP(AG76,list!$I$48:$K$50,3, FALSE))))*time_cap)</f>
        <v>0</v>
      </c>
      <c r="AK76" s="4357">
        <f t="shared" ref="AK76:BP76" si="172">IFERROR(IF((time+time_cap)&lt;AK$2, 0,IF(AND(time+1&gt;=AL$2, $AC76&lt;AL$2), IF($AG76= "I", $AH76/($AD76-$AC76+1), $AH76/(($AD76*($AD76+1)/2)-(($AC76-1)*($AC76-1+1)/2))*AK$2), 0)+IF(IF(time+1&gt;=AL$2, $AI76/time_cap/(time+1)*AK$2, 0) = 0, $AI76/(time_cap),0)),0)</f>
        <v>0</v>
      </c>
      <c r="AL76" s="4357">
        <f t="shared" si="172"/>
        <v>0</v>
      </c>
      <c r="AM76" s="4357">
        <f t="shared" si="172"/>
        <v>0</v>
      </c>
      <c r="AN76" s="4357">
        <f t="shared" si="172"/>
        <v>0</v>
      </c>
      <c r="AO76" s="4357">
        <f t="shared" si="172"/>
        <v>0</v>
      </c>
      <c r="AP76" s="4357">
        <f t="shared" si="172"/>
        <v>0</v>
      </c>
      <c r="AQ76" s="4357">
        <f t="shared" si="172"/>
        <v>0</v>
      </c>
      <c r="AR76" s="4357">
        <f t="shared" si="172"/>
        <v>0</v>
      </c>
      <c r="AS76" s="4357">
        <f t="shared" si="172"/>
        <v>0</v>
      </c>
      <c r="AT76" s="4357">
        <f t="shared" si="172"/>
        <v>0</v>
      </c>
      <c r="AU76" s="4357">
        <f t="shared" si="172"/>
        <v>0</v>
      </c>
      <c r="AV76" s="4357">
        <f t="shared" si="172"/>
        <v>0</v>
      </c>
      <c r="AW76" s="4357">
        <f t="shared" si="172"/>
        <v>0</v>
      </c>
      <c r="AX76" s="4357">
        <f t="shared" si="172"/>
        <v>0</v>
      </c>
      <c r="AY76" s="4357">
        <f t="shared" si="172"/>
        <v>0</v>
      </c>
      <c r="AZ76" s="4357">
        <f t="shared" si="172"/>
        <v>0</v>
      </c>
      <c r="BA76" s="4357">
        <f t="shared" si="172"/>
        <v>0</v>
      </c>
      <c r="BB76" s="4357">
        <f t="shared" si="172"/>
        <v>0</v>
      </c>
      <c r="BC76" s="4357">
        <f t="shared" si="172"/>
        <v>0</v>
      </c>
      <c r="BD76" s="4357">
        <f t="shared" si="172"/>
        <v>0</v>
      </c>
      <c r="BE76" s="4357">
        <f t="shared" si="172"/>
        <v>0</v>
      </c>
      <c r="BF76" s="4357">
        <f t="shared" si="172"/>
        <v>0</v>
      </c>
      <c r="BG76" s="4357">
        <f t="shared" si="172"/>
        <v>0</v>
      </c>
      <c r="BH76" s="4357">
        <f t="shared" si="172"/>
        <v>0</v>
      </c>
      <c r="BI76" s="4357">
        <f t="shared" si="172"/>
        <v>0</v>
      </c>
      <c r="BJ76" s="4357">
        <f t="shared" si="172"/>
        <v>0</v>
      </c>
      <c r="BK76" s="4357">
        <f t="shared" si="172"/>
        <v>0</v>
      </c>
      <c r="BL76" s="4357">
        <f t="shared" si="172"/>
        <v>0</v>
      </c>
      <c r="BM76" s="4357">
        <f t="shared" si="172"/>
        <v>0</v>
      </c>
      <c r="BN76" s="4357">
        <f t="shared" si="172"/>
        <v>0</v>
      </c>
      <c r="BO76" s="4357">
        <f t="shared" si="172"/>
        <v>0</v>
      </c>
      <c r="BP76" s="4357">
        <f t="shared" si="172"/>
        <v>0</v>
      </c>
      <c r="BQ76" s="4357">
        <f t="shared" ref="BQ76:CH76" si="173">IFERROR(IF((time+time_cap)&lt;BQ$2, 0,IF(AND(time+1&gt;=BR$2, $AC76&lt;BR$2), IF($AG76= "I", $AH76/($AD76-$AC76+1), $AH76/(($AD76*($AD76+1)/2)-(($AC76-1)*($AC76-1+1)/2))*BQ$2), 0)+IF(IF(time+1&gt;=BR$2, $AI76/time_cap/(time+1)*BQ$2, 0) = 0, $AI76/(time_cap),0)),0)</f>
        <v>0</v>
      </c>
      <c r="BR76" s="4357">
        <f t="shared" si="173"/>
        <v>0</v>
      </c>
      <c r="BS76" s="4357">
        <f t="shared" si="173"/>
        <v>0</v>
      </c>
      <c r="BT76" s="4357">
        <f t="shared" si="173"/>
        <v>0</v>
      </c>
      <c r="BU76" s="4357">
        <f t="shared" si="173"/>
        <v>0</v>
      </c>
      <c r="BV76" s="4357">
        <f t="shared" si="173"/>
        <v>0</v>
      </c>
      <c r="BW76" s="4357">
        <f t="shared" si="173"/>
        <v>0</v>
      </c>
      <c r="BX76" s="4357">
        <f t="shared" si="173"/>
        <v>0</v>
      </c>
      <c r="BY76" s="4357">
        <f t="shared" si="173"/>
        <v>0</v>
      </c>
      <c r="BZ76" s="4357">
        <f t="shared" si="173"/>
        <v>0</v>
      </c>
      <c r="CA76" s="4357">
        <f t="shared" si="173"/>
        <v>0</v>
      </c>
      <c r="CB76" s="4357">
        <f t="shared" si="173"/>
        <v>0</v>
      </c>
      <c r="CC76" s="4357">
        <f t="shared" si="173"/>
        <v>0</v>
      </c>
      <c r="CD76" s="4357">
        <f t="shared" si="173"/>
        <v>0</v>
      </c>
      <c r="CE76" s="4357">
        <f t="shared" si="173"/>
        <v>0</v>
      </c>
      <c r="CF76" s="4357">
        <f t="shared" si="173"/>
        <v>0</v>
      </c>
      <c r="CG76" s="4357">
        <f t="shared" si="173"/>
        <v>0</v>
      </c>
      <c r="CH76" s="4357">
        <f t="shared" si="173"/>
        <v>0</v>
      </c>
      <c r="CI76" s="4357"/>
      <c r="CJ76" s="4357"/>
      <c r="CK76" s="4357"/>
      <c r="CL76" s="4357"/>
      <c r="CM76" s="4357"/>
      <c r="CN76" s="4357"/>
      <c r="CO76" s="4357"/>
      <c r="CP76" s="4357"/>
      <c r="CQ76" s="4357"/>
      <c r="CR76" s="4357"/>
      <c r="CS76" s="4357"/>
      <c r="CT76" s="4357"/>
      <c r="CU76" s="4357"/>
      <c r="CV76" s="4357"/>
      <c r="CW76" s="4357"/>
      <c r="CX76" s="4357"/>
      <c r="CY76" s="4357"/>
      <c r="CZ76" s="4357"/>
      <c r="DA76" s="4357"/>
      <c r="DB76" s="4357"/>
      <c r="DC76" s="4357"/>
      <c r="DD76" s="4357"/>
      <c r="DE76" s="4357"/>
      <c r="DF76" s="4357"/>
      <c r="DG76" s="4357"/>
      <c r="DH76" s="4357"/>
      <c r="DI76" s="4357"/>
      <c r="DJ76" s="4357"/>
      <c r="DK76" s="4357"/>
      <c r="DL76" s="4357"/>
      <c r="DM76" s="4357"/>
      <c r="DN76" s="4357"/>
      <c r="DO76" s="4357"/>
      <c r="DP76" s="4357"/>
      <c r="DQ76" s="4357"/>
      <c r="DR76" s="4357"/>
      <c r="DS76" s="4357"/>
      <c r="DT76" s="4357"/>
      <c r="DU76" s="4357"/>
      <c r="DV76" s="4357"/>
      <c r="DW76" s="4357"/>
      <c r="DX76" s="4357"/>
      <c r="DY76" s="4357"/>
      <c r="DZ76" s="4357"/>
      <c r="EA76" s="4357"/>
      <c r="EB76" s="4357"/>
      <c r="EC76" s="4357"/>
      <c r="ED76" s="4357"/>
      <c r="EE76" s="4357"/>
      <c r="EF76" s="4357"/>
    </row>
    <row r="77" spans="1:136" ht="16" x14ac:dyDescent="0.2">
      <c r="A77" t="s">
        <v>1384</v>
      </c>
      <c r="B77" t="s">
        <v>1384</v>
      </c>
      <c r="D77" t="str">
        <f>'3.Cropland'!G118</f>
        <v>Please select</v>
      </c>
      <c r="E77">
        <f>'3.Cropland'!Z118</f>
        <v>0</v>
      </c>
      <c r="F77" s="388">
        <v>0</v>
      </c>
      <c r="G77">
        <f>rice!O32-rice!N32</f>
        <v>0</v>
      </c>
      <c r="M77">
        <f>rice!AN12-rice!AM12</f>
        <v>0</v>
      </c>
      <c r="N77">
        <v>0</v>
      </c>
      <c r="U77">
        <f>rice!AL12-rice!AK12</f>
        <v>0</v>
      </c>
      <c r="V77">
        <f>rice!Q32-rice!P32</f>
        <v>0</v>
      </c>
      <c r="AB77" t="str">
        <f t="shared" si="171"/>
        <v>ok</v>
      </c>
      <c r="AC77">
        <f>IF('3.Cropland'!BM118&lt;&gt;0,'3.Cropland'!BM118, '3.Cropland'!BL118)</f>
        <v>1</v>
      </c>
      <c r="AD77">
        <f t="shared" si="8"/>
        <v>5</v>
      </c>
      <c r="AE77" s="4357" t="s">
        <v>86</v>
      </c>
      <c r="AF77" s="4357" t="s">
        <v>86</v>
      </c>
      <c r="AG77" s="4357" t="str">
        <f t="shared" si="12"/>
        <v>D</v>
      </c>
      <c r="AH77" s="4357">
        <f>((E77/(time_cap+((AD77-AC77+1)*VLOOKUP(AG77,list!$I$48:$K$50,3, FALSE))))*(AD77-AC77+1)*VLOOKUP(AG77,list!$I$48:$K$50,3, FALSE))</f>
        <v>0</v>
      </c>
      <c r="AI77" s="4357">
        <f>((E77/(time_cap+((AD77-AC77+1)*VLOOKUP(AG77,list!$I$48:$K$50,3, FALSE))))*time_cap)</f>
        <v>0</v>
      </c>
      <c r="AK77" s="4357">
        <f t="shared" ref="AK77:BP77" si="174">IFERROR(IF((time+time_cap)&lt;AK$2, 0,IF(AND(time+1&gt;=AL$2, $AC77&lt;AL$2), IF($AG77= "I", $AH77/($AD77-$AC77+1), $AH77/(($AD77*($AD77+1)/2)-(($AC77-1)*($AC77-1+1)/2))*AK$2), 0)+IF(IF(time+1&gt;=AL$2, $AI77/time_cap/(time+1)*AK$2, 0) = 0, $AI77/(time_cap),0)),0)</f>
        <v>0</v>
      </c>
      <c r="AL77" s="4357">
        <f t="shared" si="174"/>
        <v>0</v>
      </c>
      <c r="AM77" s="4357">
        <f t="shared" si="174"/>
        <v>0</v>
      </c>
      <c r="AN77" s="4357">
        <f t="shared" si="174"/>
        <v>0</v>
      </c>
      <c r="AO77" s="4357">
        <f t="shared" si="174"/>
        <v>0</v>
      </c>
      <c r="AP77" s="4357">
        <f t="shared" si="174"/>
        <v>0</v>
      </c>
      <c r="AQ77" s="4357">
        <f t="shared" si="174"/>
        <v>0</v>
      </c>
      <c r="AR77" s="4357">
        <f t="shared" si="174"/>
        <v>0</v>
      </c>
      <c r="AS77" s="4357">
        <f t="shared" si="174"/>
        <v>0</v>
      </c>
      <c r="AT77" s="4357">
        <f t="shared" si="174"/>
        <v>0</v>
      </c>
      <c r="AU77" s="4357">
        <f t="shared" si="174"/>
        <v>0</v>
      </c>
      <c r="AV77" s="4357">
        <f t="shared" si="174"/>
        <v>0</v>
      </c>
      <c r="AW77" s="4357">
        <f t="shared" si="174"/>
        <v>0</v>
      </c>
      <c r="AX77" s="4357">
        <f t="shared" si="174"/>
        <v>0</v>
      </c>
      <c r="AY77" s="4357">
        <f t="shared" si="174"/>
        <v>0</v>
      </c>
      <c r="AZ77" s="4357">
        <f t="shared" si="174"/>
        <v>0</v>
      </c>
      <c r="BA77" s="4357">
        <f t="shared" si="174"/>
        <v>0</v>
      </c>
      <c r="BB77" s="4357">
        <f t="shared" si="174"/>
        <v>0</v>
      </c>
      <c r="BC77" s="4357">
        <f t="shared" si="174"/>
        <v>0</v>
      </c>
      <c r="BD77" s="4357">
        <f t="shared" si="174"/>
        <v>0</v>
      </c>
      <c r="BE77" s="4357">
        <f t="shared" si="174"/>
        <v>0</v>
      </c>
      <c r="BF77" s="4357">
        <f t="shared" si="174"/>
        <v>0</v>
      </c>
      <c r="BG77" s="4357">
        <f t="shared" si="174"/>
        <v>0</v>
      </c>
      <c r="BH77" s="4357">
        <f t="shared" si="174"/>
        <v>0</v>
      </c>
      <c r="BI77" s="4357">
        <f t="shared" si="174"/>
        <v>0</v>
      </c>
      <c r="BJ77" s="4357">
        <f t="shared" si="174"/>
        <v>0</v>
      </c>
      <c r="BK77" s="4357">
        <f t="shared" si="174"/>
        <v>0</v>
      </c>
      <c r="BL77" s="4357">
        <f t="shared" si="174"/>
        <v>0</v>
      </c>
      <c r="BM77" s="4357">
        <f t="shared" si="174"/>
        <v>0</v>
      </c>
      <c r="BN77" s="4357">
        <f t="shared" si="174"/>
        <v>0</v>
      </c>
      <c r="BO77" s="4357">
        <f t="shared" si="174"/>
        <v>0</v>
      </c>
      <c r="BP77" s="4357">
        <f t="shared" si="174"/>
        <v>0</v>
      </c>
      <c r="BQ77" s="4357">
        <f t="shared" ref="BQ77:CH77" si="175">IFERROR(IF((time+time_cap)&lt;BQ$2, 0,IF(AND(time+1&gt;=BR$2, $AC77&lt;BR$2), IF($AG77= "I", $AH77/($AD77-$AC77+1), $AH77/(($AD77*($AD77+1)/2)-(($AC77-1)*($AC77-1+1)/2))*BQ$2), 0)+IF(IF(time+1&gt;=BR$2, $AI77/time_cap/(time+1)*BQ$2, 0) = 0, $AI77/(time_cap),0)),0)</f>
        <v>0</v>
      </c>
      <c r="BR77" s="4357">
        <f t="shared" si="175"/>
        <v>0</v>
      </c>
      <c r="BS77" s="4357">
        <f t="shared" si="175"/>
        <v>0</v>
      </c>
      <c r="BT77" s="4357">
        <f t="shared" si="175"/>
        <v>0</v>
      </c>
      <c r="BU77" s="4357">
        <f t="shared" si="175"/>
        <v>0</v>
      </c>
      <c r="BV77" s="4357">
        <f t="shared" si="175"/>
        <v>0</v>
      </c>
      <c r="BW77" s="4357">
        <f t="shared" si="175"/>
        <v>0</v>
      </c>
      <c r="BX77" s="4357">
        <f t="shared" si="175"/>
        <v>0</v>
      </c>
      <c r="BY77" s="4357">
        <f t="shared" si="175"/>
        <v>0</v>
      </c>
      <c r="BZ77" s="4357">
        <f t="shared" si="175"/>
        <v>0</v>
      </c>
      <c r="CA77" s="4357">
        <f t="shared" si="175"/>
        <v>0</v>
      </c>
      <c r="CB77" s="4357">
        <f t="shared" si="175"/>
        <v>0</v>
      </c>
      <c r="CC77" s="4357">
        <f t="shared" si="175"/>
        <v>0</v>
      </c>
      <c r="CD77" s="4357">
        <f t="shared" si="175"/>
        <v>0</v>
      </c>
      <c r="CE77" s="4357">
        <f t="shared" si="175"/>
        <v>0</v>
      </c>
      <c r="CF77" s="4357">
        <f t="shared" si="175"/>
        <v>0</v>
      </c>
      <c r="CG77" s="4357">
        <f t="shared" si="175"/>
        <v>0</v>
      </c>
      <c r="CH77" s="4357">
        <f t="shared" si="175"/>
        <v>0</v>
      </c>
      <c r="CI77" s="4357"/>
      <c r="CJ77" s="4357"/>
      <c r="CK77" s="4357"/>
      <c r="CL77" s="4357"/>
      <c r="CM77" s="4357"/>
      <c r="CN77" s="4357"/>
      <c r="CO77" s="4357"/>
      <c r="CP77" s="4357"/>
      <c r="CQ77" s="4357"/>
      <c r="CR77" s="4357"/>
      <c r="CS77" s="4357"/>
      <c r="CT77" s="4357"/>
      <c r="CU77" s="4357"/>
      <c r="CV77" s="4357"/>
      <c r="CW77" s="4357"/>
      <c r="CX77" s="4357"/>
      <c r="CY77" s="4357"/>
      <c r="CZ77" s="4357"/>
      <c r="DA77" s="4357"/>
      <c r="DB77" s="4357"/>
      <c r="DC77" s="4357"/>
      <c r="DD77" s="4357"/>
      <c r="DE77" s="4357"/>
      <c r="DF77" s="4357"/>
      <c r="DG77" s="4357"/>
      <c r="DH77" s="4357"/>
      <c r="DI77" s="4357"/>
      <c r="DJ77" s="4357"/>
      <c r="DK77" s="4357"/>
      <c r="DL77" s="4357"/>
      <c r="DM77" s="4357"/>
      <c r="DN77" s="4357"/>
      <c r="DO77" s="4357"/>
      <c r="DP77" s="4357"/>
      <c r="DQ77" s="4357"/>
      <c r="DR77" s="4357"/>
      <c r="DS77" s="4357"/>
      <c r="DT77" s="4357"/>
      <c r="DU77" s="4357"/>
      <c r="DV77" s="4357"/>
      <c r="DW77" s="4357"/>
      <c r="DX77" s="4357"/>
      <c r="DY77" s="4357"/>
      <c r="DZ77" s="4357"/>
      <c r="EA77" s="4357"/>
      <c r="EB77" s="4357"/>
      <c r="EC77" s="4357"/>
      <c r="ED77" s="4357"/>
      <c r="EE77" s="4357"/>
      <c r="EF77" s="4357"/>
    </row>
    <row r="78" spans="1:136" ht="16" x14ac:dyDescent="0.2">
      <c r="A78" t="s">
        <v>1384</v>
      </c>
      <c r="B78" t="s">
        <v>1384</v>
      </c>
      <c r="D78" t="str">
        <f>'3.Cropland'!G119</f>
        <v>Please select</v>
      </c>
      <c r="E78">
        <f>'3.Cropland'!Z119</f>
        <v>0</v>
      </c>
      <c r="F78" s="388">
        <v>0</v>
      </c>
      <c r="G78">
        <f>rice!O33-rice!N33</f>
        <v>0</v>
      </c>
      <c r="M78">
        <f>rice!AN13-rice!AM13</f>
        <v>0</v>
      </c>
      <c r="N78">
        <v>0</v>
      </c>
      <c r="U78">
        <f>rice!AL13-rice!AK13</f>
        <v>0</v>
      </c>
      <c r="V78">
        <f>rice!Q33-rice!P33</f>
        <v>0</v>
      </c>
      <c r="AB78" t="str">
        <f t="shared" si="171"/>
        <v>ok</v>
      </c>
      <c r="AC78">
        <f>IF('3.Cropland'!BM119&lt;&gt;0,'3.Cropland'!BM119, '3.Cropland'!BL119)</f>
        <v>1</v>
      </c>
      <c r="AD78">
        <f t="shared" si="8"/>
        <v>5</v>
      </c>
      <c r="AE78" s="4357" t="s">
        <v>86</v>
      </c>
      <c r="AF78" s="4357" t="s">
        <v>86</v>
      </c>
      <c r="AG78" s="4357" t="str">
        <f t="shared" si="12"/>
        <v>D</v>
      </c>
      <c r="AH78" s="4357">
        <f>((E78/(time_cap+((AD78-AC78+1)*VLOOKUP(AG78,list!$I$48:$K$50,3, FALSE))))*(AD78-AC78+1)*VLOOKUP(AG78,list!$I$48:$K$50,3, FALSE))</f>
        <v>0</v>
      </c>
      <c r="AI78" s="4357">
        <f>((E78/(time_cap+((AD78-AC78+1)*VLOOKUP(AG78,list!$I$48:$K$50,3, FALSE))))*time_cap)</f>
        <v>0</v>
      </c>
      <c r="AK78" s="4357">
        <f t="shared" ref="AK78:BP78" si="176">IFERROR(IF((time+time_cap)&lt;AK$2, 0,IF(AND(time+1&gt;=AL$2, $AC78&lt;AL$2), IF($AG78= "I", $AH78/($AD78-$AC78+1), $AH78/(($AD78*($AD78+1)/2)-(($AC78-1)*($AC78-1+1)/2))*AK$2), 0)+IF(IF(time+1&gt;=AL$2, $AI78/time_cap/(time+1)*AK$2, 0) = 0, $AI78/(time_cap),0)),0)</f>
        <v>0</v>
      </c>
      <c r="AL78" s="4357">
        <f t="shared" si="176"/>
        <v>0</v>
      </c>
      <c r="AM78" s="4357">
        <f t="shared" si="176"/>
        <v>0</v>
      </c>
      <c r="AN78" s="4357">
        <f t="shared" si="176"/>
        <v>0</v>
      </c>
      <c r="AO78" s="4357">
        <f t="shared" si="176"/>
        <v>0</v>
      </c>
      <c r="AP78" s="4357">
        <f t="shared" si="176"/>
        <v>0</v>
      </c>
      <c r="AQ78" s="4357">
        <f t="shared" si="176"/>
        <v>0</v>
      </c>
      <c r="AR78" s="4357">
        <f t="shared" si="176"/>
        <v>0</v>
      </c>
      <c r="AS78" s="4357">
        <f t="shared" si="176"/>
        <v>0</v>
      </c>
      <c r="AT78" s="4357">
        <f t="shared" si="176"/>
        <v>0</v>
      </c>
      <c r="AU78" s="4357">
        <f t="shared" si="176"/>
        <v>0</v>
      </c>
      <c r="AV78" s="4357">
        <f t="shared" si="176"/>
        <v>0</v>
      </c>
      <c r="AW78" s="4357">
        <f t="shared" si="176"/>
        <v>0</v>
      </c>
      <c r="AX78" s="4357">
        <f t="shared" si="176"/>
        <v>0</v>
      </c>
      <c r="AY78" s="4357">
        <f t="shared" si="176"/>
        <v>0</v>
      </c>
      <c r="AZ78" s="4357">
        <f t="shared" si="176"/>
        <v>0</v>
      </c>
      <c r="BA78" s="4357">
        <f t="shared" si="176"/>
        <v>0</v>
      </c>
      <c r="BB78" s="4357">
        <f t="shared" si="176"/>
        <v>0</v>
      </c>
      <c r="BC78" s="4357">
        <f t="shared" si="176"/>
        <v>0</v>
      </c>
      <c r="BD78" s="4357">
        <f t="shared" si="176"/>
        <v>0</v>
      </c>
      <c r="BE78" s="4357">
        <f t="shared" si="176"/>
        <v>0</v>
      </c>
      <c r="BF78" s="4357">
        <f t="shared" si="176"/>
        <v>0</v>
      </c>
      <c r="BG78" s="4357">
        <f t="shared" si="176"/>
        <v>0</v>
      </c>
      <c r="BH78" s="4357">
        <f t="shared" si="176"/>
        <v>0</v>
      </c>
      <c r="BI78" s="4357">
        <f t="shared" si="176"/>
        <v>0</v>
      </c>
      <c r="BJ78" s="4357">
        <f t="shared" si="176"/>
        <v>0</v>
      </c>
      <c r="BK78" s="4357">
        <f t="shared" si="176"/>
        <v>0</v>
      </c>
      <c r="BL78" s="4357">
        <f t="shared" si="176"/>
        <v>0</v>
      </c>
      <c r="BM78" s="4357">
        <f t="shared" si="176"/>
        <v>0</v>
      </c>
      <c r="BN78" s="4357">
        <f t="shared" si="176"/>
        <v>0</v>
      </c>
      <c r="BO78" s="4357">
        <f t="shared" si="176"/>
        <v>0</v>
      </c>
      <c r="BP78" s="4357">
        <f t="shared" si="176"/>
        <v>0</v>
      </c>
      <c r="BQ78" s="4357">
        <f t="shared" ref="BQ78:CH78" si="177">IFERROR(IF((time+time_cap)&lt;BQ$2, 0,IF(AND(time+1&gt;=BR$2, $AC78&lt;BR$2), IF($AG78= "I", $AH78/($AD78-$AC78+1), $AH78/(($AD78*($AD78+1)/2)-(($AC78-1)*($AC78-1+1)/2))*BQ$2), 0)+IF(IF(time+1&gt;=BR$2, $AI78/time_cap/(time+1)*BQ$2, 0) = 0, $AI78/(time_cap),0)),0)</f>
        <v>0</v>
      </c>
      <c r="BR78" s="4357">
        <f t="shared" si="177"/>
        <v>0</v>
      </c>
      <c r="BS78" s="4357">
        <f t="shared" si="177"/>
        <v>0</v>
      </c>
      <c r="BT78" s="4357">
        <f t="shared" si="177"/>
        <v>0</v>
      </c>
      <c r="BU78" s="4357">
        <f t="shared" si="177"/>
        <v>0</v>
      </c>
      <c r="BV78" s="4357">
        <f t="shared" si="177"/>
        <v>0</v>
      </c>
      <c r="BW78" s="4357">
        <f t="shared" si="177"/>
        <v>0</v>
      </c>
      <c r="BX78" s="4357">
        <f t="shared" si="177"/>
        <v>0</v>
      </c>
      <c r="BY78" s="4357">
        <f t="shared" si="177"/>
        <v>0</v>
      </c>
      <c r="BZ78" s="4357">
        <f t="shared" si="177"/>
        <v>0</v>
      </c>
      <c r="CA78" s="4357">
        <f t="shared" si="177"/>
        <v>0</v>
      </c>
      <c r="CB78" s="4357">
        <f t="shared" si="177"/>
        <v>0</v>
      </c>
      <c r="CC78" s="4357">
        <f t="shared" si="177"/>
        <v>0</v>
      </c>
      <c r="CD78" s="4357">
        <f t="shared" si="177"/>
        <v>0</v>
      </c>
      <c r="CE78" s="4357">
        <f t="shared" si="177"/>
        <v>0</v>
      </c>
      <c r="CF78" s="4357">
        <f t="shared" si="177"/>
        <v>0</v>
      </c>
      <c r="CG78" s="4357">
        <f t="shared" si="177"/>
        <v>0</v>
      </c>
      <c r="CH78" s="4357">
        <f t="shared" si="177"/>
        <v>0</v>
      </c>
      <c r="CI78" s="4357"/>
      <c r="CJ78" s="4357"/>
      <c r="CK78" s="4357"/>
      <c r="CL78" s="4357"/>
      <c r="CM78" s="4357"/>
      <c r="CN78" s="4357"/>
      <c r="CO78" s="4357"/>
      <c r="CP78" s="4357"/>
      <c r="CQ78" s="4357"/>
      <c r="CR78" s="4357"/>
      <c r="CS78" s="4357"/>
      <c r="CT78" s="4357"/>
      <c r="CU78" s="4357"/>
      <c r="CV78" s="4357"/>
      <c r="CW78" s="4357"/>
      <c r="CX78" s="4357"/>
      <c r="CY78" s="4357"/>
      <c r="CZ78" s="4357"/>
      <c r="DA78" s="4357"/>
      <c r="DB78" s="4357"/>
      <c r="DC78" s="4357"/>
      <c r="DD78" s="4357"/>
      <c r="DE78" s="4357"/>
      <c r="DF78" s="4357"/>
      <c r="DG78" s="4357"/>
      <c r="DH78" s="4357"/>
      <c r="DI78" s="4357"/>
      <c r="DJ78" s="4357"/>
      <c r="DK78" s="4357"/>
      <c r="DL78" s="4357"/>
      <c r="DM78" s="4357"/>
      <c r="DN78" s="4357"/>
      <c r="DO78" s="4357"/>
      <c r="DP78" s="4357"/>
      <c r="DQ78" s="4357"/>
      <c r="DR78" s="4357"/>
      <c r="DS78" s="4357"/>
      <c r="DT78" s="4357"/>
      <c r="DU78" s="4357"/>
      <c r="DV78" s="4357"/>
      <c r="DW78" s="4357"/>
      <c r="DX78" s="4357"/>
      <c r="DY78" s="4357"/>
      <c r="DZ78" s="4357"/>
      <c r="EA78" s="4357"/>
      <c r="EB78" s="4357"/>
      <c r="EC78" s="4357"/>
      <c r="ED78" s="4357"/>
      <c r="EE78" s="4357"/>
      <c r="EF78" s="4357"/>
    </row>
    <row r="79" spans="1:136" ht="16" x14ac:dyDescent="0.2">
      <c r="A79" t="s">
        <v>1384</v>
      </c>
      <c r="B79" t="s">
        <v>1384</v>
      </c>
      <c r="C79">
        <f>'3.Cropland'!C127</f>
        <v>0</v>
      </c>
      <c r="D79" t="str">
        <f>'3.Cropland'!G127</f>
        <v>Irrigated, Continuously flooded</v>
      </c>
      <c r="E79">
        <f>'3.Cropland'!Z127</f>
        <v>0</v>
      </c>
      <c r="F79" s="388">
        <v>0</v>
      </c>
      <c r="G79">
        <f>rice!O34-rice!N34</f>
        <v>0</v>
      </c>
      <c r="M79">
        <f>rice!AN14-rice!AM14</f>
        <v>0</v>
      </c>
      <c r="N79">
        <v>0</v>
      </c>
      <c r="U79">
        <f>rice!AL14-rice!AK14</f>
        <v>0</v>
      </c>
      <c r="V79">
        <f>rice!Q34-rice!P34</f>
        <v>0</v>
      </c>
      <c r="AB79" t="str">
        <f t="shared" si="171"/>
        <v>ok</v>
      </c>
      <c r="AC79">
        <f>IF('3.Cropland'!BM127&lt;&gt;0,'3.Cropland'!BM127, '3.Cropland'!BL127)</f>
        <v>1</v>
      </c>
      <c r="AD79">
        <f t="shared" si="8"/>
        <v>5</v>
      </c>
      <c r="AE79" s="4357" t="str">
        <f>'3.Cropland'!S127</f>
        <v>D</v>
      </c>
      <c r="AF79" s="4357" t="str">
        <f>'3.Cropland'!U127</f>
        <v>D</v>
      </c>
      <c r="AG79" s="4357" t="str">
        <f t="shared" si="12"/>
        <v>D</v>
      </c>
      <c r="AH79" s="4357">
        <f>((E79/(time_cap+((AD79-AC79+1)*VLOOKUP(AG79,list!$I$48:$K$50,3, FALSE))))*(AD79-AC79+1)*VLOOKUP(AG79,list!$I$48:$K$50,3, FALSE))</f>
        <v>0</v>
      </c>
      <c r="AI79" s="4357">
        <f>((E79/(time_cap+((AD79-AC79+1)*VLOOKUP(AG79,list!$I$48:$K$50,3, FALSE))))*time_cap)</f>
        <v>0</v>
      </c>
      <c r="AK79" s="4357">
        <f t="shared" ref="AK79:BP79" si="178">IFERROR(IF((time+time_cap)&lt;AK$2, 0,IF(AND(time+1&gt;=AL$2, $AC79&lt;AL$2), IF($AG79= "I", $AH79/($AD79-$AC79+1), $AH79/(($AD79*($AD79+1)/2)-(($AC79-1)*($AC79-1+1)/2))*AK$2), 0)+IF(IF(time+1&gt;=AL$2, $AI79/time_cap/(time+1)*AK$2, 0) = 0, $AI79/(time_cap),0)),0)</f>
        <v>0</v>
      </c>
      <c r="AL79" s="4357">
        <f t="shared" si="178"/>
        <v>0</v>
      </c>
      <c r="AM79" s="4357">
        <f t="shared" si="178"/>
        <v>0</v>
      </c>
      <c r="AN79" s="4357">
        <f t="shared" si="178"/>
        <v>0</v>
      </c>
      <c r="AO79" s="4357">
        <f t="shared" si="178"/>
        <v>0</v>
      </c>
      <c r="AP79" s="4357">
        <f t="shared" si="178"/>
        <v>0</v>
      </c>
      <c r="AQ79" s="4357">
        <f t="shared" si="178"/>
        <v>0</v>
      </c>
      <c r="AR79" s="4357">
        <f t="shared" si="178"/>
        <v>0</v>
      </c>
      <c r="AS79" s="4357">
        <f t="shared" si="178"/>
        <v>0</v>
      </c>
      <c r="AT79" s="4357">
        <f t="shared" si="178"/>
        <v>0</v>
      </c>
      <c r="AU79" s="4357">
        <f t="shared" si="178"/>
        <v>0</v>
      </c>
      <c r="AV79" s="4357">
        <f t="shared" si="178"/>
        <v>0</v>
      </c>
      <c r="AW79" s="4357">
        <f t="shared" si="178"/>
        <v>0</v>
      </c>
      <c r="AX79" s="4357">
        <f t="shared" si="178"/>
        <v>0</v>
      </c>
      <c r="AY79" s="4357">
        <f t="shared" si="178"/>
        <v>0</v>
      </c>
      <c r="AZ79" s="4357">
        <f t="shared" si="178"/>
        <v>0</v>
      </c>
      <c r="BA79" s="4357">
        <f t="shared" si="178"/>
        <v>0</v>
      </c>
      <c r="BB79" s="4357">
        <f t="shared" si="178"/>
        <v>0</v>
      </c>
      <c r="BC79" s="4357">
        <f t="shared" si="178"/>
        <v>0</v>
      </c>
      <c r="BD79" s="4357">
        <f t="shared" si="178"/>
        <v>0</v>
      </c>
      <c r="BE79" s="4357">
        <f t="shared" si="178"/>
        <v>0</v>
      </c>
      <c r="BF79" s="4357">
        <f t="shared" si="178"/>
        <v>0</v>
      </c>
      <c r="BG79" s="4357">
        <f t="shared" si="178"/>
        <v>0</v>
      </c>
      <c r="BH79" s="4357">
        <f t="shared" si="178"/>
        <v>0</v>
      </c>
      <c r="BI79" s="4357">
        <f t="shared" si="178"/>
        <v>0</v>
      </c>
      <c r="BJ79" s="4357">
        <f t="shared" si="178"/>
        <v>0</v>
      </c>
      <c r="BK79" s="4357">
        <f t="shared" si="178"/>
        <v>0</v>
      </c>
      <c r="BL79" s="4357">
        <f t="shared" si="178"/>
        <v>0</v>
      </c>
      <c r="BM79" s="4357">
        <f t="shared" si="178"/>
        <v>0</v>
      </c>
      <c r="BN79" s="4357">
        <f t="shared" si="178"/>
        <v>0</v>
      </c>
      <c r="BO79" s="4357">
        <f t="shared" si="178"/>
        <v>0</v>
      </c>
      <c r="BP79" s="4357">
        <f t="shared" si="178"/>
        <v>0</v>
      </c>
      <c r="BQ79" s="4357">
        <f t="shared" ref="BQ79:CH79" si="179">IFERROR(IF((time+time_cap)&lt;BQ$2, 0,IF(AND(time+1&gt;=BR$2, $AC79&lt;BR$2), IF($AG79= "I", $AH79/($AD79-$AC79+1), $AH79/(($AD79*($AD79+1)/2)-(($AC79-1)*($AC79-1+1)/2))*BQ$2), 0)+IF(IF(time+1&gt;=BR$2, $AI79/time_cap/(time+1)*BQ$2, 0) = 0, $AI79/(time_cap),0)),0)</f>
        <v>0</v>
      </c>
      <c r="BR79" s="4357">
        <f t="shared" si="179"/>
        <v>0</v>
      </c>
      <c r="BS79" s="4357">
        <f t="shared" si="179"/>
        <v>0</v>
      </c>
      <c r="BT79" s="4357">
        <f t="shared" si="179"/>
        <v>0</v>
      </c>
      <c r="BU79" s="4357">
        <f t="shared" si="179"/>
        <v>0</v>
      </c>
      <c r="BV79" s="4357">
        <f t="shared" si="179"/>
        <v>0</v>
      </c>
      <c r="BW79" s="4357">
        <f t="shared" si="179"/>
        <v>0</v>
      </c>
      <c r="BX79" s="4357">
        <f t="shared" si="179"/>
        <v>0</v>
      </c>
      <c r="BY79" s="4357">
        <f t="shared" si="179"/>
        <v>0</v>
      </c>
      <c r="BZ79" s="4357">
        <f t="shared" si="179"/>
        <v>0</v>
      </c>
      <c r="CA79" s="4357">
        <f t="shared" si="179"/>
        <v>0</v>
      </c>
      <c r="CB79" s="4357">
        <f t="shared" si="179"/>
        <v>0</v>
      </c>
      <c r="CC79" s="4357">
        <f t="shared" si="179"/>
        <v>0</v>
      </c>
      <c r="CD79" s="4357">
        <f t="shared" si="179"/>
        <v>0</v>
      </c>
      <c r="CE79" s="4357">
        <f t="shared" si="179"/>
        <v>0</v>
      </c>
      <c r="CF79" s="4357">
        <f t="shared" si="179"/>
        <v>0</v>
      </c>
      <c r="CG79" s="4357">
        <f t="shared" si="179"/>
        <v>0</v>
      </c>
      <c r="CH79" s="4357">
        <f t="shared" si="179"/>
        <v>0</v>
      </c>
      <c r="CI79" s="4357"/>
      <c r="CJ79" s="4357"/>
      <c r="CK79" s="4357"/>
      <c r="CL79" s="4357"/>
      <c r="CM79" s="4357"/>
      <c r="CN79" s="4357"/>
      <c r="CO79" s="4357"/>
      <c r="CP79" s="4357"/>
      <c r="CQ79" s="4357"/>
      <c r="CR79" s="4357"/>
      <c r="CS79" s="4357"/>
      <c r="CT79" s="4357"/>
      <c r="CU79" s="4357"/>
      <c r="CV79" s="4357"/>
      <c r="CW79" s="4357"/>
      <c r="CX79" s="4357"/>
      <c r="CY79" s="4357"/>
      <c r="CZ79" s="4357"/>
      <c r="DA79" s="4357"/>
      <c r="DB79" s="4357"/>
      <c r="DC79" s="4357"/>
      <c r="DD79" s="4357"/>
      <c r="DE79" s="4357"/>
      <c r="DF79" s="4357"/>
      <c r="DG79" s="4357"/>
      <c r="DH79" s="4357"/>
      <c r="DI79" s="4357"/>
      <c r="DJ79" s="4357"/>
      <c r="DK79" s="4357"/>
      <c r="DL79" s="4357"/>
      <c r="DM79" s="4357"/>
      <c r="DN79" s="4357"/>
      <c r="DO79" s="4357"/>
      <c r="DP79" s="4357"/>
      <c r="DQ79" s="4357"/>
      <c r="DR79" s="4357"/>
      <c r="DS79" s="4357"/>
      <c r="DT79" s="4357"/>
      <c r="DU79" s="4357"/>
      <c r="DV79" s="4357"/>
      <c r="DW79" s="4357"/>
      <c r="DX79" s="4357"/>
      <c r="DY79" s="4357"/>
      <c r="DZ79" s="4357"/>
      <c r="EA79" s="4357"/>
      <c r="EB79" s="4357"/>
      <c r="EC79" s="4357"/>
      <c r="ED79" s="4357"/>
      <c r="EE79" s="4357"/>
      <c r="EF79" s="4357"/>
    </row>
    <row r="80" spans="1:136" ht="16" x14ac:dyDescent="0.2">
      <c r="A80" t="s">
        <v>1384</v>
      </c>
      <c r="B80" t="s">
        <v>1384</v>
      </c>
      <c r="C80">
        <f>'3.Cropland'!C128</f>
        <v>0</v>
      </c>
      <c r="D80" t="str">
        <f>'3.Cropland'!G128</f>
        <v>Irrigated, Continuously flooded</v>
      </c>
      <c r="E80">
        <f>'3.Cropland'!Z128</f>
        <v>-1281.6955200000002</v>
      </c>
      <c r="F80" s="388">
        <v>0</v>
      </c>
      <c r="G80">
        <f>rice!O35-rice!N35</f>
        <v>0</v>
      </c>
      <c r="M80">
        <f>rice!AN15-rice!AM15</f>
        <v>-111.21096</v>
      </c>
      <c r="N80">
        <v>0</v>
      </c>
      <c r="U80">
        <f>rice!AL15-rice!AK15</f>
        <v>-453.23712000000012</v>
      </c>
      <c r="V80">
        <f>rice!Q35-rice!P35</f>
        <v>-717.24743999999998</v>
      </c>
      <c r="AB80" t="str">
        <f t="shared" si="171"/>
        <v>ok</v>
      </c>
      <c r="AC80">
        <f>IF('3.Cropland'!BM128&lt;&gt;0,'3.Cropland'!BM128, '3.Cropland'!BL128)</f>
        <v>1</v>
      </c>
      <c r="AD80">
        <f t="shared" si="8"/>
        <v>5</v>
      </c>
      <c r="AE80" s="4357" t="str">
        <f>'3.Cropland'!S128</f>
        <v>D</v>
      </c>
      <c r="AF80" s="4357" t="str">
        <f>'3.Cropland'!U128</f>
        <v>D</v>
      </c>
      <c r="AG80" s="4357" t="str">
        <f t="shared" si="12"/>
        <v>D</v>
      </c>
      <c r="AH80" s="4357">
        <f>((E80/(time_cap+((AD80-AC80+1)*VLOOKUP(AG80,list!$I$48:$K$50,3, FALSE))))*(AD80-AC80+1)*VLOOKUP(AG80,list!$I$48:$K$50,3, FALSE))</f>
        <v>-256.33910400000002</v>
      </c>
      <c r="AI80" s="4357">
        <f>((E80/(time_cap+((AD80-AC80+1)*VLOOKUP(AG80,list!$I$48:$K$50,3, FALSE))))*time_cap)</f>
        <v>-1025.3564160000001</v>
      </c>
      <c r="AK80" s="4357">
        <f t="shared" ref="AK80:BP80" si="180">IFERROR(IF((time+time_cap)&lt;AK$2, 0,IF(AND(time+1&gt;=AL$2, $AC80&lt;AL$2), IF($AG80= "I", $AH80/($AD80-$AC80+1), $AH80/(($AD80*($AD80+1)/2)-(($AC80-1)*($AC80-1+1)/2))*AK$2), 0)+IF(IF(time+1&gt;=AL$2, $AI80/time_cap/(time+1)*AK$2, 0) = 0, $AI80/(time_cap),0)),0)</f>
        <v>-17.089273600000002</v>
      </c>
      <c r="AL80" s="4357">
        <f t="shared" si="180"/>
        <v>-34.178547200000004</v>
      </c>
      <c r="AM80" s="4357">
        <f t="shared" si="180"/>
        <v>-51.26782080000001</v>
      </c>
      <c r="AN80" s="4357">
        <f t="shared" si="180"/>
        <v>-68.357094400000008</v>
      </c>
      <c r="AO80" s="4357">
        <f t="shared" si="180"/>
        <v>-85.446368000000007</v>
      </c>
      <c r="AP80" s="4357">
        <f t="shared" si="180"/>
        <v>-102.53564160000001</v>
      </c>
      <c r="AQ80" s="4357">
        <f t="shared" si="180"/>
        <v>-102.53564160000001</v>
      </c>
      <c r="AR80" s="4357">
        <f t="shared" si="180"/>
        <v>-102.53564160000001</v>
      </c>
      <c r="AS80" s="4357">
        <f t="shared" si="180"/>
        <v>-102.53564160000001</v>
      </c>
      <c r="AT80" s="4357">
        <f t="shared" si="180"/>
        <v>-102.53564160000001</v>
      </c>
      <c r="AU80" s="4357">
        <f t="shared" si="180"/>
        <v>-102.53564160000001</v>
      </c>
      <c r="AV80" s="4357">
        <f t="shared" si="180"/>
        <v>-102.53564160000001</v>
      </c>
      <c r="AW80" s="4357">
        <f t="shared" si="180"/>
        <v>-102.53564160000001</v>
      </c>
      <c r="AX80" s="4357">
        <f t="shared" si="180"/>
        <v>-102.53564160000001</v>
      </c>
      <c r="AY80" s="4357">
        <f t="shared" si="180"/>
        <v>-102.53564160000001</v>
      </c>
      <c r="AZ80" s="4357">
        <f t="shared" si="180"/>
        <v>0</v>
      </c>
      <c r="BA80" s="4357">
        <f t="shared" si="180"/>
        <v>0</v>
      </c>
      <c r="BB80" s="4357">
        <f t="shared" si="180"/>
        <v>0</v>
      </c>
      <c r="BC80" s="4357">
        <f t="shared" si="180"/>
        <v>0</v>
      </c>
      <c r="BD80" s="4357">
        <f t="shared" si="180"/>
        <v>0</v>
      </c>
      <c r="BE80" s="4357">
        <f t="shared" si="180"/>
        <v>0</v>
      </c>
      <c r="BF80" s="4357">
        <f t="shared" si="180"/>
        <v>0</v>
      </c>
      <c r="BG80" s="4357">
        <f t="shared" si="180"/>
        <v>0</v>
      </c>
      <c r="BH80" s="4357">
        <f t="shared" si="180"/>
        <v>0</v>
      </c>
      <c r="BI80" s="4357">
        <f t="shared" si="180"/>
        <v>0</v>
      </c>
      <c r="BJ80" s="4357">
        <f t="shared" si="180"/>
        <v>0</v>
      </c>
      <c r="BK80" s="4357">
        <f t="shared" si="180"/>
        <v>0</v>
      </c>
      <c r="BL80" s="4357">
        <f t="shared" si="180"/>
        <v>0</v>
      </c>
      <c r="BM80" s="4357">
        <f t="shared" si="180"/>
        <v>0</v>
      </c>
      <c r="BN80" s="4357">
        <f t="shared" si="180"/>
        <v>0</v>
      </c>
      <c r="BO80" s="4357">
        <f t="shared" si="180"/>
        <v>0</v>
      </c>
      <c r="BP80" s="4357">
        <f t="shared" si="180"/>
        <v>0</v>
      </c>
      <c r="BQ80" s="4357">
        <f t="shared" ref="BQ80:CH80" si="181">IFERROR(IF((time+time_cap)&lt;BQ$2, 0,IF(AND(time+1&gt;=BR$2, $AC80&lt;BR$2), IF($AG80= "I", $AH80/($AD80-$AC80+1), $AH80/(($AD80*($AD80+1)/2)-(($AC80-1)*($AC80-1+1)/2))*BQ$2), 0)+IF(IF(time+1&gt;=BR$2, $AI80/time_cap/(time+1)*BQ$2, 0) = 0, $AI80/(time_cap),0)),0)</f>
        <v>0</v>
      </c>
      <c r="BR80" s="4357">
        <f t="shared" si="181"/>
        <v>0</v>
      </c>
      <c r="BS80" s="4357">
        <f t="shared" si="181"/>
        <v>0</v>
      </c>
      <c r="BT80" s="4357">
        <f t="shared" si="181"/>
        <v>0</v>
      </c>
      <c r="BU80" s="4357">
        <f t="shared" si="181"/>
        <v>0</v>
      </c>
      <c r="BV80" s="4357">
        <f t="shared" si="181"/>
        <v>0</v>
      </c>
      <c r="BW80" s="4357">
        <f t="shared" si="181"/>
        <v>0</v>
      </c>
      <c r="BX80" s="4357">
        <f t="shared" si="181"/>
        <v>0</v>
      </c>
      <c r="BY80" s="4357">
        <f t="shared" si="181"/>
        <v>0</v>
      </c>
      <c r="BZ80" s="4357">
        <f t="shared" si="181"/>
        <v>0</v>
      </c>
      <c r="CA80" s="4357">
        <f t="shared" si="181"/>
        <v>0</v>
      </c>
      <c r="CB80" s="4357">
        <f t="shared" si="181"/>
        <v>0</v>
      </c>
      <c r="CC80" s="4357">
        <f t="shared" si="181"/>
        <v>0</v>
      </c>
      <c r="CD80" s="4357">
        <f t="shared" si="181"/>
        <v>0</v>
      </c>
      <c r="CE80" s="4357">
        <f t="shared" si="181"/>
        <v>0</v>
      </c>
      <c r="CF80" s="4357">
        <f t="shared" si="181"/>
        <v>0</v>
      </c>
      <c r="CG80" s="4357">
        <f t="shared" si="181"/>
        <v>0</v>
      </c>
      <c r="CH80" s="4357">
        <f t="shared" si="181"/>
        <v>0</v>
      </c>
      <c r="CI80" s="4357"/>
      <c r="CJ80" s="4357"/>
      <c r="CK80" s="4357"/>
      <c r="CL80" s="4357"/>
      <c r="CM80" s="4357"/>
      <c r="CN80" s="4357"/>
      <c r="CO80" s="4357"/>
      <c r="CP80" s="4357"/>
      <c r="CQ80" s="4357"/>
      <c r="CR80" s="4357"/>
      <c r="CS80" s="4357"/>
      <c r="CT80" s="4357"/>
      <c r="CU80" s="4357"/>
      <c r="CV80" s="4357"/>
      <c r="CW80" s="4357"/>
      <c r="CX80" s="4357"/>
      <c r="CY80" s="4357"/>
      <c r="CZ80" s="4357"/>
      <c r="DA80" s="4357"/>
      <c r="DB80" s="4357"/>
      <c r="DC80" s="4357"/>
      <c r="DD80" s="4357"/>
      <c r="DE80" s="4357"/>
      <c r="DF80" s="4357"/>
      <c r="DG80" s="4357"/>
      <c r="DH80" s="4357"/>
      <c r="DI80" s="4357"/>
      <c r="DJ80" s="4357"/>
      <c r="DK80" s="4357"/>
      <c r="DL80" s="4357"/>
      <c r="DM80" s="4357"/>
      <c r="DN80" s="4357"/>
      <c r="DO80" s="4357"/>
      <c r="DP80" s="4357"/>
      <c r="DQ80" s="4357"/>
      <c r="DR80" s="4357"/>
      <c r="DS80" s="4357"/>
      <c r="DT80" s="4357"/>
      <c r="DU80" s="4357"/>
      <c r="DV80" s="4357"/>
      <c r="DW80" s="4357"/>
      <c r="DX80" s="4357"/>
      <c r="DY80" s="4357"/>
      <c r="DZ80" s="4357"/>
      <c r="EA80" s="4357"/>
      <c r="EB80" s="4357"/>
      <c r="EC80" s="4357"/>
      <c r="ED80" s="4357"/>
      <c r="EE80" s="4357"/>
      <c r="EF80" s="4357"/>
    </row>
    <row r="81" spans="1:136" ht="16" x14ac:dyDescent="0.2">
      <c r="A81" t="s">
        <v>1384</v>
      </c>
      <c r="B81" t="s">
        <v>1384</v>
      </c>
      <c r="C81">
        <f>'3.Cropland'!C129</f>
        <v>0</v>
      </c>
      <c r="D81" t="str">
        <f>'3.Cropland'!G129</f>
        <v>Irrigated, Continuously flooded</v>
      </c>
      <c r="E81">
        <f>'3.Cropland'!Z129</f>
        <v>1281.6955200000002</v>
      </c>
      <c r="F81" s="388">
        <v>0</v>
      </c>
      <c r="G81">
        <f>rice!O36-rice!N36</f>
        <v>0</v>
      </c>
      <c r="M81">
        <f>rice!AN16-rice!AM16</f>
        <v>111.21096</v>
      </c>
      <c r="N81">
        <v>0</v>
      </c>
      <c r="U81">
        <f>rice!AL16-rice!AK16</f>
        <v>453.23712000000012</v>
      </c>
      <c r="V81">
        <f>rice!Q36-rice!P36</f>
        <v>717.24743999999998</v>
      </c>
      <c r="AB81" t="str">
        <f t="shared" si="171"/>
        <v>ok</v>
      </c>
      <c r="AC81">
        <f>IF('3.Cropland'!BM129&lt;&gt;0,'3.Cropland'!BM129, '3.Cropland'!BL129)</f>
        <v>1</v>
      </c>
      <c r="AD81">
        <f t="shared" si="8"/>
        <v>5</v>
      </c>
      <c r="AE81" s="4357" t="str">
        <f>'3.Cropland'!S129</f>
        <v>D</v>
      </c>
      <c r="AF81" s="4357" t="str">
        <f>'3.Cropland'!U129</f>
        <v>D</v>
      </c>
      <c r="AG81" s="4357" t="str">
        <f t="shared" si="12"/>
        <v>D</v>
      </c>
      <c r="AH81" s="4357">
        <f>((E81/(time_cap+((AD81-AC81+1)*VLOOKUP(AG81,list!$I$48:$K$50,3, FALSE))))*(AD81-AC81+1)*VLOOKUP(AG81,list!$I$48:$K$50,3, FALSE))</f>
        <v>256.33910400000002</v>
      </c>
      <c r="AI81" s="4357">
        <f>((E81/(time_cap+((AD81-AC81+1)*VLOOKUP(AG81,list!$I$48:$K$50,3, FALSE))))*time_cap)</f>
        <v>1025.3564160000001</v>
      </c>
      <c r="AK81" s="4357">
        <f t="shared" ref="AK81:BP81" si="182">IFERROR(IF((time+time_cap)&lt;AK$2, 0,IF(AND(time+1&gt;=AL$2, $AC81&lt;AL$2), IF($AG81= "I", $AH81/($AD81-$AC81+1), $AH81/(($AD81*($AD81+1)/2)-(($AC81-1)*($AC81-1+1)/2))*AK$2), 0)+IF(IF(time+1&gt;=AL$2, $AI81/time_cap/(time+1)*AK$2, 0) = 0, $AI81/(time_cap),0)),0)</f>
        <v>17.089273600000002</v>
      </c>
      <c r="AL81" s="4357">
        <f t="shared" si="182"/>
        <v>34.178547200000004</v>
      </c>
      <c r="AM81" s="4357">
        <f t="shared" si="182"/>
        <v>51.26782080000001</v>
      </c>
      <c r="AN81" s="4357">
        <f t="shared" si="182"/>
        <v>68.357094400000008</v>
      </c>
      <c r="AO81" s="4357">
        <f t="shared" si="182"/>
        <v>85.446368000000007</v>
      </c>
      <c r="AP81" s="4357">
        <f t="shared" si="182"/>
        <v>102.53564160000001</v>
      </c>
      <c r="AQ81" s="4357">
        <f t="shared" si="182"/>
        <v>102.53564160000001</v>
      </c>
      <c r="AR81" s="4357">
        <f t="shared" si="182"/>
        <v>102.53564160000001</v>
      </c>
      <c r="AS81" s="4357">
        <f t="shared" si="182"/>
        <v>102.53564160000001</v>
      </c>
      <c r="AT81" s="4357">
        <f t="shared" si="182"/>
        <v>102.53564160000001</v>
      </c>
      <c r="AU81" s="4357">
        <f t="shared" si="182"/>
        <v>102.53564160000001</v>
      </c>
      <c r="AV81" s="4357">
        <f t="shared" si="182"/>
        <v>102.53564160000001</v>
      </c>
      <c r="AW81" s="4357">
        <f t="shared" si="182"/>
        <v>102.53564160000001</v>
      </c>
      <c r="AX81" s="4357">
        <f t="shared" si="182"/>
        <v>102.53564160000001</v>
      </c>
      <c r="AY81" s="4357">
        <f t="shared" si="182"/>
        <v>102.53564160000001</v>
      </c>
      <c r="AZ81" s="4357">
        <f t="shared" si="182"/>
        <v>0</v>
      </c>
      <c r="BA81" s="4357">
        <f t="shared" si="182"/>
        <v>0</v>
      </c>
      <c r="BB81" s="4357">
        <f t="shared" si="182"/>
        <v>0</v>
      </c>
      <c r="BC81" s="4357">
        <f t="shared" si="182"/>
        <v>0</v>
      </c>
      <c r="BD81" s="4357">
        <f t="shared" si="182"/>
        <v>0</v>
      </c>
      <c r="BE81" s="4357">
        <f t="shared" si="182"/>
        <v>0</v>
      </c>
      <c r="BF81" s="4357">
        <f t="shared" si="182"/>
        <v>0</v>
      </c>
      <c r="BG81" s="4357">
        <f t="shared" si="182"/>
        <v>0</v>
      </c>
      <c r="BH81" s="4357">
        <f t="shared" si="182"/>
        <v>0</v>
      </c>
      <c r="BI81" s="4357">
        <f t="shared" si="182"/>
        <v>0</v>
      </c>
      <c r="BJ81" s="4357">
        <f t="shared" si="182"/>
        <v>0</v>
      </c>
      <c r="BK81" s="4357">
        <f t="shared" si="182"/>
        <v>0</v>
      </c>
      <c r="BL81" s="4357">
        <f t="shared" si="182"/>
        <v>0</v>
      </c>
      <c r="BM81" s="4357">
        <f t="shared" si="182"/>
        <v>0</v>
      </c>
      <c r="BN81" s="4357">
        <f t="shared" si="182"/>
        <v>0</v>
      </c>
      <c r="BO81" s="4357">
        <f t="shared" si="182"/>
        <v>0</v>
      </c>
      <c r="BP81" s="4357">
        <f t="shared" si="182"/>
        <v>0</v>
      </c>
      <c r="BQ81" s="4357">
        <f t="shared" ref="BQ81:CH81" si="183">IFERROR(IF((time+time_cap)&lt;BQ$2, 0,IF(AND(time+1&gt;=BR$2, $AC81&lt;BR$2), IF($AG81= "I", $AH81/($AD81-$AC81+1), $AH81/(($AD81*($AD81+1)/2)-(($AC81-1)*($AC81-1+1)/2))*BQ$2), 0)+IF(IF(time+1&gt;=BR$2, $AI81/time_cap/(time+1)*BQ$2, 0) = 0, $AI81/(time_cap),0)),0)</f>
        <v>0</v>
      </c>
      <c r="BR81" s="4357">
        <f t="shared" si="183"/>
        <v>0</v>
      </c>
      <c r="BS81" s="4357">
        <f t="shared" si="183"/>
        <v>0</v>
      </c>
      <c r="BT81" s="4357">
        <f t="shared" si="183"/>
        <v>0</v>
      </c>
      <c r="BU81" s="4357">
        <f t="shared" si="183"/>
        <v>0</v>
      </c>
      <c r="BV81" s="4357">
        <f t="shared" si="183"/>
        <v>0</v>
      </c>
      <c r="BW81" s="4357">
        <f t="shared" si="183"/>
        <v>0</v>
      </c>
      <c r="BX81" s="4357">
        <f t="shared" si="183"/>
        <v>0</v>
      </c>
      <c r="BY81" s="4357">
        <f t="shared" si="183"/>
        <v>0</v>
      </c>
      <c r="BZ81" s="4357">
        <f t="shared" si="183"/>
        <v>0</v>
      </c>
      <c r="CA81" s="4357">
        <f t="shared" si="183"/>
        <v>0</v>
      </c>
      <c r="CB81" s="4357">
        <f t="shared" si="183"/>
        <v>0</v>
      </c>
      <c r="CC81" s="4357">
        <f t="shared" si="183"/>
        <v>0</v>
      </c>
      <c r="CD81" s="4357">
        <f t="shared" si="183"/>
        <v>0</v>
      </c>
      <c r="CE81" s="4357">
        <f t="shared" si="183"/>
        <v>0</v>
      </c>
      <c r="CF81" s="4357">
        <f t="shared" si="183"/>
        <v>0</v>
      </c>
      <c r="CG81" s="4357">
        <f t="shared" si="183"/>
        <v>0</v>
      </c>
      <c r="CH81" s="4357">
        <f t="shared" si="183"/>
        <v>0</v>
      </c>
      <c r="CI81" s="4357"/>
      <c r="CJ81" s="4357"/>
      <c r="CK81" s="4357"/>
      <c r="CL81" s="4357"/>
      <c r="CM81" s="4357"/>
      <c r="CN81" s="4357"/>
      <c r="CO81" s="4357"/>
      <c r="CP81" s="4357"/>
      <c r="CQ81" s="4357"/>
      <c r="CR81" s="4357"/>
      <c r="CS81" s="4357"/>
      <c r="CT81" s="4357"/>
      <c r="CU81" s="4357"/>
      <c r="CV81" s="4357"/>
      <c r="CW81" s="4357"/>
      <c r="CX81" s="4357"/>
      <c r="CY81" s="4357"/>
      <c r="CZ81" s="4357"/>
      <c r="DA81" s="4357"/>
      <c r="DB81" s="4357"/>
      <c r="DC81" s="4357"/>
      <c r="DD81" s="4357"/>
      <c r="DE81" s="4357"/>
      <c r="DF81" s="4357"/>
      <c r="DG81" s="4357"/>
      <c r="DH81" s="4357"/>
      <c r="DI81" s="4357"/>
      <c r="DJ81" s="4357"/>
      <c r="DK81" s="4357"/>
      <c r="DL81" s="4357"/>
      <c r="DM81" s="4357"/>
      <c r="DN81" s="4357"/>
      <c r="DO81" s="4357"/>
      <c r="DP81" s="4357"/>
      <c r="DQ81" s="4357"/>
      <c r="DR81" s="4357"/>
      <c r="DS81" s="4357"/>
      <c r="DT81" s="4357"/>
      <c r="DU81" s="4357"/>
      <c r="DV81" s="4357"/>
      <c r="DW81" s="4357"/>
      <c r="DX81" s="4357"/>
      <c r="DY81" s="4357"/>
      <c r="DZ81" s="4357"/>
      <c r="EA81" s="4357"/>
      <c r="EB81" s="4357"/>
      <c r="EC81" s="4357"/>
      <c r="ED81" s="4357"/>
      <c r="EE81" s="4357"/>
      <c r="EF81" s="4357"/>
    </row>
    <row r="82" spans="1:136" ht="16" x14ac:dyDescent="0.2">
      <c r="A82" t="s">
        <v>1384</v>
      </c>
      <c r="B82" t="s">
        <v>1384</v>
      </c>
      <c r="C82">
        <f>'3.Cropland'!C130</f>
        <v>0</v>
      </c>
      <c r="D82" t="str">
        <f>'3.Cropland'!G130</f>
        <v>Please select</v>
      </c>
      <c r="E82">
        <f>'3.Cropland'!Z130</f>
        <v>0</v>
      </c>
      <c r="F82" s="388">
        <v>0</v>
      </c>
      <c r="G82">
        <f>rice!O37-rice!N37</f>
        <v>0</v>
      </c>
      <c r="M82">
        <f>rice!AN17-rice!AM17</f>
        <v>0</v>
      </c>
      <c r="N82">
        <v>0</v>
      </c>
      <c r="U82">
        <f>rice!AL17-rice!AK17</f>
        <v>0</v>
      </c>
      <c r="V82">
        <f>rice!Q37-rice!P37</f>
        <v>0</v>
      </c>
      <c r="AB82" t="str">
        <f t="shared" si="171"/>
        <v>ok</v>
      </c>
      <c r="AC82">
        <f>IF('3.Cropland'!BM130&lt;&gt;0,'3.Cropland'!BM130, '3.Cropland'!BL130)</f>
        <v>1</v>
      </c>
      <c r="AD82">
        <f t="shared" si="8"/>
        <v>5</v>
      </c>
      <c r="AE82" s="4357" t="str">
        <f>'3.Cropland'!S130</f>
        <v>D</v>
      </c>
      <c r="AF82" s="4357" t="str">
        <f>'3.Cropland'!U130</f>
        <v>D</v>
      </c>
      <c r="AG82" s="4357" t="str">
        <f t="shared" si="12"/>
        <v>D</v>
      </c>
      <c r="AH82" s="4357">
        <f>((E82/(time_cap+((AD82-AC82+1)*VLOOKUP(AG82,list!$I$48:$K$50,3, FALSE))))*(AD82-AC82+1)*VLOOKUP(AG82,list!$I$48:$K$50,3, FALSE))</f>
        <v>0</v>
      </c>
      <c r="AI82" s="4357">
        <f>((E82/(time_cap+((AD82-AC82+1)*VLOOKUP(AG82,list!$I$48:$K$50,3, FALSE))))*time_cap)</f>
        <v>0</v>
      </c>
      <c r="AK82" s="4357">
        <f t="shared" ref="AK82:BP82" si="184">IFERROR(IF((time+time_cap)&lt;AK$2, 0,IF(AND(time+1&gt;=AL$2, $AC82&lt;AL$2), IF($AG82= "I", $AH82/($AD82-$AC82+1), $AH82/(($AD82*($AD82+1)/2)-(($AC82-1)*($AC82-1+1)/2))*AK$2), 0)+IF(IF(time+1&gt;=AL$2, $AI82/time_cap/(time+1)*AK$2, 0) = 0, $AI82/(time_cap),0)),0)</f>
        <v>0</v>
      </c>
      <c r="AL82" s="4357">
        <f t="shared" si="184"/>
        <v>0</v>
      </c>
      <c r="AM82" s="4357">
        <f t="shared" si="184"/>
        <v>0</v>
      </c>
      <c r="AN82" s="4357">
        <f t="shared" si="184"/>
        <v>0</v>
      </c>
      <c r="AO82" s="4357">
        <f t="shared" si="184"/>
        <v>0</v>
      </c>
      <c r="AP82" s="4357">
        <f t="shared" si="184"/>
        <v>0</v>
      </c>
      <c r="AQ82" s="4357">
        <f t="shared" si="184"/>
        <v>0</v>
      </c>
      <c r="AR82" s="4357">
        <f t="shared" si="184"/>
        <v>0</v>
      </c>
      <c r="AS82" s="4357">
        <f t="shared" si="184"/>
        <v>0</v>
      </c>
      <c r="AT82" s="4357">
        <f t="shared" si="184"/>
        <v>0</v>
      </c>
      <c r="AU82" s="4357">
        <f t="shared" si="184"/>
        <v>0</v>
      </c>
      <c r="AV82" s="4357">
        <f t="shared" si="184"/>
        <v>0</v>
      </c>
      <c r="AW82" s="4357">
        <f t="shared" si="184"/>
        <v>0</v>
      </c>
      <c r="AX82" s="4357">
        <f t="shared" si="184"/>
        <v>0</v>
      </c>
      <c r="AY82" s="4357">
        <f t="shared" si="184"/>
        <v>0</v>
      </c>
      <c r="AZ82" s="4357">
        <f t="shared" si="184"/>
        <v>0</v>
      </c>
      <c r="BA82" s="4357">
        <f t="shared" si="184"/>
        <v>0</v>
      </c>
      <c r="BB82" s="4357">
        <f t="shared" si="184"/>
        <v>0</v>
      </c>
      <c r="BC82" s="4357">
        <f t="shared" si="184"/>
        <v>0</v>
      </c>
      <c r="BD82" s="4357">
        <f t="shared" si="184"/>
        <v>0</v>
      </c>
      <c r="BE82" s="4357">
        <f t="shared" si="184"/>
        <v>0</v>
      </c>
      <c r="BF82" s="4357">
        <f t="shared" si="184"/>
        <v>0</v>
      </c>
      <c r="BG82" s="4357">
        <f t="shared" si="184"/>
        <v>0</v>
      </c>
      <c r="BH82" s="4357">
        <f t="shared" si="184"/>
        <v>0</v>
      </c>
      <c r="BI82" s="4357">
        <f t="shared" si="184"/>
        <v>0</v>
      </c>
      <c r="BJ82" s="4357">
        <f t="shared" si="184"/>
        <v>0</v>
      </c>
      <c r="BK82" s="4357">
        <f t="shared" si="184"/>
        <v>0</v>
      </c>
      <c r="BL82" s="4357">
        <f t="shared" si="184"/>
        <v>0</v>
      </c>
      <c r="BM82" s="4357">
        <f t="shared" si="184"/>
        <v>0</v>
      </c>
      <c r="BN82" s="4357">
        <f t="shared" si="184"/>
        <v>0</v>
      </c>
      <c r="BO82" s="4357">
        <f t="shared" si="184"/>
        <v>0</v>
      </c>
      <c r="BP82" s="4357">
        <f t="shared" si="184"/>
        <v>0</v>
      </c>
      <c r="BQ82" s="4357">
        <f t="shared" ref="BQ82:CH82" si="185">IFERROR(IF((time+time_cap)&lt;BQ$2, 0,IF(AND(time+1&gt;=BR$2, $AC82&lt;BR$2), IF($AG82= "I", $AH82/($AD82-$AC82+1), $AH82/(($AD82*($AD82+1)/2)-(($AC82-1)*($AC82-1+1)/2))*BQ$2), 0)+IF(IF(time+1&gt;=BR$2, $AI82/time_cap/(time+1)*BQ$2, 0) = 0, $AI82/(time_cap),0)),0)</f>
        <v>0</v>
      </c>
      <c r="BR82" s="4357">
        <f t="shared" si="185"/>
        <v>0</v>
      </c>
      <c r="BS82" s="4357">
        <f t="shared" si="185"/>
        <v>0</v>
      </c>
      <c r="BT82" s="4357">
        <f t="shared" si="185"/>
        <v>0</v>
      </c>
      <c r="BU82" s="4357">
        <f t="shared" si="185"/>
        <v>0</v>
      </c>
      <c r="BV82" s="4357">
        <f t="shared" si="185"/>
        <v>0</v>
      </c>
      <c r="BW82" s="4357">
        <f t="shared" si="185"/>
        <v>0</v>
      </c>
      <c r="BX82" s="4357">
        <f t="shared" si="185"/>
        <v>0</v>
      </c>
      <c r="BY82" s="4357">
        <f t="shared" si="185"/>
        <v>0</v>
      </c>
      <c r="BZ82" s="4357">
        <f t="shared" si="185"/>
        <v>0</v>
      </c>
      <c r="CA82" s="4357">
        <f t="shared" si="185"/>
        <v>0</v>
      </c>
      <c r="CB82" s="4357">
        <f t="shared" si="185"/>
        <v>0</v>
      </c>
      <c r="CC82" s="4357">
        <f t="shared" si="185"/>
        <v>0</v>
      </c>
      <c r="CD82" s="4357">
        <f t="shared" si="185"/>
        <v>0</v>
      </c>
      <c r="CE82" s="4357">
        <f t="shared" si="185"/>
        <v>0</v>
      </c>
      <c r="CF82" s="4357">
        <f t="shared" si="185"/>
        <v>0</v>
      </c>
      <c r="CG82" s="4357">
        <f t="shared" si="185"/>
        <v>0</v>
      </c>
      <c r="CH82" s="4357">
        <f t="shared" si="185"/>
        <v>0</v>
      </c>
      <c r="CI82" s="4357"/>
      <c r="CJ82" s="4357"/>
      <c r="CK82" s="4357"/>
      <c r="CL82" s="4357"/>
      <c r="CM82" s="4357"/>
      <c r="CN82" s="4357"/>
      <c r="CO82" s="4357"/>
      <c r="CP82" s="4357"/>
      <c r="CQ82" s="4357"/>
      <c r="CR82" s="4357"/>
      <c r="CS82" s="4357"/>
      <c r="CT82" s="4357"/>
      <c r="CU82" s="4357"/>
      <c r="CV82" s="4357"/>
      <c r="CW82" s="4357"/>
      <c r="CX82" s="4357"/>
      <c r="CY82" s="4357"/>
      <c r="CZ82" s="4357"/>
      <c r="DA82" s="4357"/>
      <c r="DB82" s="4357"/>
      <c r="DC82" s="4357"/>
      <c r="DD82" s="4357"/>
      <c r="DE82" s="4357"/>
      <c r="DF82" s="4357"/>
      <c r="DG82" s="4357"/>
      <c r="DH82" s="4357"/>
      <c r="DI82" s="4357"/>
      <c r="DJ82" s="4357"/>
      <c r="DK82" s="4357"/>
      <c r="DL82" s="4357"/>
      <c r="DM82" s="4357"/>
      <c r="DN82" s="4357"/>
      <c r="DO82" s="4357"/>
      <c r="DP82" s="4357"/>
      <c r="DQ82" s="4357"/>
      <c r="DR82" s="4357"/>
      <c r="DS82" s="4357"/>
      <c r="DT82" s="4357"/>
      <c r="DU82" s="4357"/>
      <c r="DV82" s="4357"/>
      <c r="DW82" s="4357"/>
      <c r="DX82" s="4357"/>
      <c r="DY82" s="4357"/>
      <c r="DZ82" s="4357"/>
      <c r="EA82" s="4357"/>
      <c r="EB82" s="4357"/>
      <c r="EC82" s="4357"/>
      <c r="ED82" s="4357"/>
      <c r="EE82" s="4357"/>
      <c r="EF82" s="4357"/>
    </row>
    <row r="83" spans="1:136" ht="16" x14ac:dyDescent="0.2">
      <c r="A83" t="s">
        <v>1384</v>
      </c>
      <c r="B83" t="s">
        <v>1384</v>
      </c>
      <c r="C83">
        <f>'3.Cropland'!C131</f>
        <v>0</v>
      </c>
      <c r="D83" t="str">
        <f>'3.Cropland'!G131</f>
        <v>Please select</v>
      </c>
      <c r="E83">
        <f>'3.Cropland'!Z131</f>
        <v>0</v>
      </c>
      <c r="F83" s="388">
        <v>0</v>
      </c>
      <c r="G83">
        <f>rice!O38-rice!N38</f>
        <v>0</v>
      </c>
      <c r="M83">
        <f>rice!AN18-rice!AM18</f>
        <v>0</v>
      </c>
      <c r="N83">
        <v>0</v>
      </c>
      <c r="U83">
        <f>rice!AL18-rice!AK18</f>
        <v>0</v>
      </c>
      <c r="V83">
        <f>rice!Q38-rice!P38</f>
        <v>0</v>
      </c>
      <c r="AB83" t="str">
        <f t="shared" si="171"/>
        <v>ok</v>
      </c>
      <c r="AC83">
        <f>IF('3.Cropland'!BM131&lt;&gt;0,'3.Cropland'!BM131, '3.Cropland'!BL131)</f>
        <v>1</v>
      </c>
      <c r="AD83">
        <f t="shared" si="8"/>
        <v>5</v>
      </c>
      <c r="AE83" s="4357" t="str">
        <f>'3.Cropland'!S131</f>
        <v>D</v>
      </c>
      <c r="AF83" s="4357" t="str">
        <f>'3.Cropland'!U131</f>
        <v>D</v>
      </c>
      <c r="AG83" s="4357" t="str">
        <f t="shared" si="12"/>
        <v>D</v>
      </c>
      <c r="AH83" s="4357">
        <f>((E83/(time_cap+((AD83-AC83+1)*VLOOKUP(AG83,list!$I$48:$K$50,3, FALSE))))*(AD83-AC83+1)*VLOOKUP(AG83,list!$I$48:$K$50,3, FALSE))</f>
        <v>0</v>
      </c>
      <c r="AI83" s="4357">
        <f>((E83/(time_cap+((AD83-AC83+1)*VLOOKUP(AG83,list!$I$48:$K$50,3, FALSE))))*time_cap)</f>
        <v>0</v>
      </c>
      <c r="AK83" s="4357">
        <f t="shared" ref="AK83:BP83" si="186">IFERROR(IF((time+time_cap)&lt;AK$2, 0,IF(AND(time+1&gt;=AL$2, $AC83&lt;AL$2), IF($AG83= "I", $AH83/($AD83-$AC83+1), $AH83/(($AD83*($AD83+1)/2)-(($AC83-1)*($AC83-1+1)/2))*AK$2), 0)+IF(IF(time+1&gt;=AL$2, $AI83/time_cap/(time+1)*AK$2, 0) = 0, $AI83/(time_cap),0)),0)</f>
        <v>0</v>
      </c>
      <c r="AL83" s="4357">
        <f t="shared" si="186"/>
        <v>0</v>
      </c>
      <c r="AM83" s="4357">
        <f t="shared" si="186"/>
        <v>0</v>
      </c>
      <c r="AN83" s="4357">
        <f t="shared" si="186"/>
        <v>0</v>
      </c>
      <c r="AO83" s="4357">
        <f t="shared" si="186"/>
        <v>0</v>
      </c>
      <c r="AP83" s="4357">
        <f t="shared" si="186"/>
        <v>0</v>
      </c>
      <c r="AQ83" s="4357">
        <f t="shared" si="186"/>
        <v>0</v>
      </c>
      <c r="AR83" s="4357">
        <f t="shared" si="186"/>
        <v>0</v>
      </c>
      <c r="AS83" s="4357">
        <f t="shared" si="186"/>
        <v>0</v>
      </c>
      <c r="AT83" s="4357">
        <f t="shared" si="186"/>
        <v>0</v>
      </c>
      <c r="AU83" s="4357">
        <f t="shared" si="186"/>
        <v>0</v>
      </c>
      <c r="AV83" s="4357">
        <f t="shared" si="186"/>
        <v>0</v>
      </c>
      <c r="AW83" s="4357">
        <f t="shared" si="186"/>
        <v>0</v>
      </c>
      <c r="AX83" s="4357">
        <f t="shared" si="186"/>
        <v>0</v>
      </c>
      <c r="AY83" s="4357">
        <f t="shared" si="186"/>
        <v>0</v>
      </c>
      <c r="AZ83" s="4357">
        <f t="shared" si="186"/>
        <v>0</v>
      </c>
      <c r="BA83" s="4357">
        <f t="shared" si="186"/>
        <v>0</v>
      </c>
      <c r="BB83" s="4357">
        <f t="shared" si="186"/>
        <v>0</v>
      </c>
      <c r="BC83" s="4357">
        <f t="shared" si="186"/>
        <v>0</v>
      </c>
      <c r="BD83" s="4357">
        <f t="shared" si="186"/>
        <v>0</v>
      </c>
      <c r="BE83" s="4357">
        <f t="shared" si="186"/>
        <v>0</v>
      </c>
      <c r="BF83" s="4357">
        <f t="shared" si="186"/>
        <v>0</v>
      </c>
      <c r="BG83" s="4357">
        <f t="shared" si="186"/>
        <v>0</v>
      </c>
      <c r="BH83" s="4357">
        <f t="shared" si="186"/>
        <v>0</v>
      </c>
      <c r="BI83" s="4357">
        <f t="shared" si="186"/>
        <v>0</v>
      </c>
      <c r="BJ83" s="4357">
        <f t="shared" si="186"/>
        <v>0</v>
      </c>
      <c r="BK83" s="4357">
        <f t="shared" si="186"/>
        <v>0</v>
      </c>
      <c r="BL83" s="4357">
        <f t="shared" si="186"/>
        <v>0</v>
      </c>
      <c r="BM83" s="4357">
        <f t="shared" si="186"/>
        <v>0</v>
      </c>
      <c r="BN83" s="4357">
        <f t="shared" si="186"/>
        <v>0</v>
      </c>
      <c r="BO83" s="4357">
        <f t="shared" si="186"/>
        <v>0</v>
      </c>
      <c r="BP83" s="4357">
        <f t="shared" si="186"/>
        <v>0</v>
      </c>
      <c r="BQ83" s="4357">
        <f t="shared" ref="BQ83:CH83" si="187">IFERROR(IF((time+time_cap)&lt;BQ$2, 0,IF(AND(time+1&gt;=BR$2, $AC83&lt;BR$2), IF($AG83= "I", $AH83/($AD83-$AC83+1), $AH83/(($AD83*($AD83+1)/2)-(($AC83-1)*($AC83-1+1)/2))*BQ$2), 0)+IF(IF(time+1&gt;=BR$2, $AI83/time_cap/(time+1)*BQ$2, 0) = 0, $AI83/(time_cap),0)),0)</f>
        <v>0</v>
      </c>
      <c r="BR83" s="4357">
        <f t="shared" si="187"/>
        <v>0</v>
      </c>
      <c r="BS83" s="4357">
        <f t="shared" si="187"/>
        <v>0</v>
      </c>
      <c r="BT83" s="4357">
        <f t="shared" si="187"/>
        <v>0</v>
      </c>
      <c r="BU83" s="4357">
        <f t="shared" si="187"/>
        <v>0</v>
      </c>
      <c r="BV83" s="4357">
        <f t="shared" si="187"/>
        <v>0</v>
      </c>
      <c r="BW83" s="4357">
        <f t="shared" si="187"/>
        <v>0</v>
      </c>
      <c r="BX83" s="4357">
        <f t="shared" si="187"/>
        <v>0</v>
      </c>
      <c r="BY83" s="4357">
        <f t="shared" si="187"/>
        <v>0</v>
      </c>
      <c r="BZ83" s="4357">
        <f t="shared" si="187"/>
        <v>0</v>
      </c>
      <c r="CA83" s="4357">
        <f t="shared" si="187"/>
        <v>0</v>
      </c>
      <c r="CB83" s="4357">
        <f t="shared" si="187"/>
        <v>0</v>
      </c>
      <c r="CC83" s="4357">
        <f t="shared" si="187"/>
        <v>0</v>
      </c>
      <c r="CD83" s="4357">
        <f t="shared" si="187"/>
        <v>0</v>
      </c>
      <c r="CE83" s="4357">
        <f t="shared" si="187"/>
        <v>0</v>
      </c>
      <c r="CF83" s="4357">
        <f t="shared" si="187"/>
        <v>0</v>
      </c>
      <c r="CG83" s="4357">
        <f t="shared" si="187"/>
        <v>0</v>
      </c>
      <c r="CH83" s="4357">
        <f t="shared" si="187"/>
        <v>0</v>
      </c>
      <c r="CI83" s="4357"/>
      <c r="CJ83" s="4357"/>
      <c r="CK83" s="4357"/>
      <c r="CL83" s="4357"/>
      <c r="CM83" s="4357"/>
      <c r="CN83" s="4357"/>
      <c r="CO83" s="4357"/>
      <c r="CP83" s="4357"/>
      <c r="CQ83" s="4357"/>
      <c r="CR83" s="4357"/>
      <c r="CS83" s="4357"/>
      <c r="CT83" s="4357"/>
      <c r="CU83" s="4357"/>
      <c r="CV83" s="4357"/>
      <c r="CW83" s="4357"/>
      <c r="CX83" s="4357"/>
      <c r="CY83" s="4357"/>
      <c r="CZ83" s="4357"/>
      <c r="DA83" s="4357"/>
      <c r="DB83" s="4357"/>
      <c r="DC83" s="4357"/>
      <c r="DD83" s="4357"/>
      <c r="DE83" s="4357"/>
      <c r="DF83" s="4357"/>
      <c r="DG83" s="4357"/>
      <c r="DH83" s="4357"/>
      <c r="DI83" s="4357"/>
      <c r="DJ83" s="4357"/>
      <c r="DK83" s="4357"/>
      <c r="DL83" s="4357"/>
      <c r="DM83" s="4357"/>
      <c r="DN83" s="4357"/>
      <c r="DO83" s="4357"/>
      <c r="DP83" s="4357"/>
      <c r="DQ83" s="4357"/>
      <c r="DR83" s="4357"/>
      <c r="DS83" s="4357"/>
      <c r="DT83" s="4357"/>
      <c r="DU83" s="4357"/>
      <c r="DV83" s="4357"/>
      <c r="DW83" s="4357"/>
      <c r="DX83" s="4357"/>
      <c r="DY83" s="4357"/>
      <c r="DZ83" s="4357"/>
      <c r="EA83" s="4357"/>
      <c r="EB83" s="4357"/>
      <c r="EC83" s="4357"/>
      <c r="ED83" s="4357"/>
      <c r="EE83" s="4357"/>
      <c r="EF83" s="4357"/>
    </row>
    <row r="84" spans="1:136" ht="16" x14ac:dyDescent="0.2">
      <c r="A84" t="s">
        <v>1384</v>
      </c>
      <c r="B84" t="s">
        <v>1384</v>
      </c>
      <c r="C84">
        <f>'3.Cropland'!C132</f>
        <v>0</v>
      </c>
      <c r="D84" t="str">
        <f>'3.Cropland'!G132</f>
        <v>Please select</v>
      </c>
      <c r="E84">
        <f>'3.Cropland'!Z132</f>
        <v>0</v>
      </c>
      <c r="F84" s="388">
        <v>0</v>
      </c>
      <c r="G84">
        <f>rice!O39-rice!N39</f>
        <v>0</v>
      </c>
      <c r="M84">
        <f>rice!AN19-rice!AM19</f>
        <v>0</v>
      </c>
      <c r="N84">
        <v>0</v>
      </c>
      <c r="U84">
        <f>rice!AL19-rice!AK19</f>
        <v>0</v>
      </c>
      <c r="V84">
        <f>rice!Q39-rice!P39</f>
        <v>0</v>
      </c>
      <c r="AB84" t="str">
        <f t="shared" si="171"/>
        <v>ok</v>
      </c>
      <c r="AC84">
        <f>IF('3.Cropland'!BM132&lt;&gt;0,'3.Cropland'!BM132, '3.Cropland'!BL132)</f>
        <v>1</v>
      </c>
      <c r="AD84">
        <f t="shared" si="8"/>
        <v>5</v>
      </c>
      <c r="AE84" s="4357" t="str">
        <f>'3.Cropland'!S132</f>
        <v>D</v>
      </c>
      <c r="AF84" s="4357" t="str">
        <f>'3.Cropland'!U132</f>
        <v>D</v>
      </c>
      <c r="AG84" s="4357" t="str">
        <f t="shared" si="12"/>
        <v>D</v>
      </c>
      <c r="AH84" s="4357">
        <f>((E84/(time_cap+((AD84-AC84+1)*VLOOKUP(AG84,list!$I$48:$K$50,3, FALSE))))*(AD84-AC84+1)*VLOOKUP(AG84,list!$I$48:$K$50,3, FALSE))</f>
        <v>0</v>
      </c>
      <c r="AI84" s="4357">
        <f>((E84/(time_cap+((AD84-AC84+1)*VLOOKUP(AG84,list!$I$48:$K$50,3, FALSE))))*time_cap)</f>
        <v>0</v>
      </c>
      <c r="AK84" s="4357">
        <f t="shared" ref="AK84:BP84" si="188">IFERROR(IF((time+time_cap)&lt;AK$2, 0,IF(AND(time+1&gt;=AL$2, $AC84&lt;AL$2), IF($AG84= "I", $AH84/($AD84-$AC84+1), $AH84/(($AD84*($AD84+1)/2)-(($AC84-1)*($AC84-1+1)/2))*AK$2), 0)+IF(IF(time+1&gt;=AL$2, $AI84/time_cap/(time+1)*AK$2, 0) = 0, $AI84/(time_cap),0)),0)</f>
        <v>0</v>
      </c>
      <c r="AL84" s="4357">
        <f t="shared" si="188"/>
        <v>0</v>
      </c>
      <c r="AM84" s="4357">
        <f t="shared" si="188"/>
        <v>0</v>
      </c>
      <c r="AN84" s="4357">
        <f t="shared" si="188"/>
        <v>0</v>
      </c>
      <c r="AO84" s="4357">
        <f t="shared" si="188"/>
        <v>0</v>
      </c>
      <c r="AP84" s="4357">
        <f t="shared" si="188"/>
        <v>0</v>
      </c>
      <c r="AQ84" s="4357">
        <f t="shared" si="188"/>
        <v>0</v>
      </c>
      <c r="AR84" s="4357">
        <f t="shared" si="188"/>
        <v>0</v>
      </c>
      <c r="AS84" s="4357">
        <f t="shared" si="188"/>
        <v>0</v>
      </c>
      <c r="AT84" s="4357">
        <f t="shared" si="188"/>
        <v>0</v>
      </c>
      <c r="AU84" s="4357">
        <f t="shared" si="188"/>
        <v>0</v>
      </c>
      <c r="AV84" s="4357">
        <f t="shared" si="188"/>
        <v>0</v>
      </c>
      <c r="AW84" s="4357">
        <f t="shared" si="188"/>
        <v>0</v>
      </c>
      <c r="AX84" s="4357">
        <f t="shared" si="188"/>
        <v>0</v>
      </c>
      <c r="AY84" s="4357">
        <f t="shared" si="188"/>
        <v>0</v>
      </c>
      <c r="AZ84" s="4357">
        <f t="shared" si="188"/>
        <v>0</v>
      </c>
      <c r="BA84" s="4357">
        <f t="shared" si="188"/>
        <v>0</v>
      </c>
      <c r="BB84" s="4357">
        <f t="shared" si="188"/>
        <v>0</v>
      </c>
      <c r="BC84" s="4357">
        <f t="shared" si="188"/>
        <v>0</v>
      </c>
      <c r="BD84" s="4357">
        <f t="shared" si="188"/>
        <v>0</v>
      </c>
      <c r="BE84" s="4357">
        <f t="shared" si="188"/>
        <v>0</v>
      </c>
      <c r="BF84" s="4357">
        <f t="shared" si="188"/>
        <v>0</v>
      </c>
      <c r="BG84" s="4357">
        <f t="shared" si="188"/>
        <v>0</v>
      </c>
      <c r="BH84" s="4357">
        <f t="shared" si="188"/>
        <v>0</v>
      </c>
      <c r="BI84" s="4357">
        <f t="shared" si="188"/>
        <v>0</v>
      </c>
      <c r="BJ84" s="4357">
        <f t="shared" si="188"/>
        <v>0</v>
      </c>
      <c r="BK84" s="4357">
        <f t="shared" si="188"/>
        <v>0</v>
      </c>
      <c r="BL84" s="4357">
        <f t="shared" si="188"/>
        <v>0</v>
      </c>
      <c r="BM84" s="4357">
        <f t="shared" si="188"/>
        <v>0</v>
      </c>
      <c r="BN84" s="4357">
        <f t="shared" si="188"/>
        <v>0</v>
      </c>
      <c r="BO84" s="4357">
        <f t="shared" si="188"/>
        <v>0</v>
      </c>
      <c r="BP84" s="4357">
        <f t="shared" si="188"/>
        <v>0</v>
      </c>
      <c r="BQ84" s="4357">
        <f t="shared" ref="BQ84:CH84" si="189">IFERROR(IF((time+time_cap)&lt;BQ$2, 0,IF(AND(time+1&gt;=BR$2, $AC84&lt;BR$2), IF($AG84= "I", $AH84/($AD84-$AC84+1), $AH84/(($AD84*($AD84+1)/2)-(($AC84-1)*($AC84-1+1)/2))*BQ$2), 0)+IF(IF(time+1&gt;=BR$2, $AI84/time_cap/(time+1)*BQ$2, 0) = 0, $AI84/(time_cap),0)),0)</f>
        <v>0</v>
      </c>
      <c r="BR84" s="4357">
        <f t="shared" si="189"/>
        <v>0</v>
      </c>
      <c r="BS84" s="4357">
        <f t="shared" si="189"/>
        <v>0</v>
      </c>
      <c r="BT84" s="4357">
        <f t="shared" si="189"/>
        <v>0</v>
      </c>
      <c r="BU84" s="4357">
        <f t="shared" si="189"/>
        <v>0</v>
      </c>
      <c r="BV84" s="4357">
        <f t="shared" si="189"/>
        <v>0</v>
      </c>
      <c r="BW84" s="4357">
        <f t="shared" si="189"/>
        <v>0</v>
      </c>
      <c r="BX84" s="4357">
        <f t="shared" si="189"/>
        <v>0</v>
      </c>
      <c r="BY84" s="4357">
        <f t="shared" si="189"/>
        <v>0</v>
      </c>
      <c r="BZ84" s="4357">
        <f t="shared" si="189"/>
        <v>0</v>
      </c>
      <c r="CA84" s="4357">
        <f t="shared" si="189"/>
        <v>0</v>
      </c>
      <c r="CB84" s="4357">
        <f t="shared" si="189"/>
        <v>0</v>
      </c>
      <c r="CC84" s="4357">
        <f t="shared" si="189"/>
        <v>0</v>
      </c>
      <c r="CD84" s="4357">
        <f t="shared" si="189"/>
        <v>0</v>
      </c>
      <c r="CE84" s="4357">
        <f t="shared" si="189"/>
        <v>0</v>
      </c>
      <c r="CF84" s="4357">
        <f t="shared" si="189"/>
        <v>0</v>
      </c>
      <c r="CG84" s="4357">
        <f t="shared" si="189"/>
        <v>0</v>
      </c>
      <c r="CH84" s="4357">
        <f t="shared" si="189"/>
        <v>0</v>
      </c>
      <c r="CI84" s="4357"/>
      <c r="CJ84" s="4357"/>
      <c r="CK84" s="4357"/>
      <c r="CL84" s="4357"/>
      <c r="CM84" s="4357"/>
      <c r="CN84" s="4357"/>
      <c r="CO84" s="4357"/>
      <c r="CP84" s="4357"/>
      <c r="CQ84" s="4357"/>
      <c r="CR84" s="4357"/>
      <c r="CS84" s="4357"/>
      <c r="CT84" s="4357"/>
      <c r="CU84" s="4357"/>
      <c r="CV84" s="4357"/>
      <c r="CW84" s="4357"/>
      <c r="CX84" s="4357"/>
      <c r="CY84" s="4357"/>
      <c r="CZ84" s="4357"/>
      <c r="DA84" s="4357"/>
      <c r="DB84" s="4357"/>
      <c r="DC84" s="4357"/>
      <c r="DD84" s="4357"/>
      <c r="DE84" s="4357"/>
      <c r="DF84" s="4357"/>
      <c r="DG84" s="4357"/>
      <c r="DH84" s="4357"/>
      <c r="DI84" s="4357"/>
      <c r="DJ84" s="4357"/>
      <c r="DK84" s="4357"/>
      <c r="DL84" s="4357"/>
      <c r="DM84" s="4357"/>
      <c r="DN84" s="4357"/>
      <c r="DO84" s="4357"/>
      <c r="DP84" s="4357"/>
      <c r="DQ84" s="4357"/>
      <c r="DR84" s="4357"/>
      <c r="DS84" s="4357"/>
      <c r="DT84" s="4357"/>
      <c r="DU84" s="4357"/>
      <c r="DV84" s="4357"/>
      <c r="DW84" s="4357"/>
      <c r="DX84" s="4357"/>
      <c r="DY84" s="4357"/>
      <c r="DZ84" s="4357"/>
      <c r="EA84" s="4357"/>
      <c r="EB84" s="4357"/>
      <c r="EC84" s="4357"/>
      <c r="ED84" s="4357"/>
      <c r="EE84" s="4357"/>
      <c r="EF84" s="4357"/>
    </row>
    <row r="85" spans="1:136" ht="16" x14ac:dyDescent="0.2">
      <c r="A85" t="s">
        <v>1384</v>
      </c>
      <c r="B85" t="s">
        <v>1384</v>
      </c>
      <c r="C85">
        <f>'3.Cropland'!C133</f>
        <v>0</v>
      </c>
      <c r="D85" t="str">
        <f>'3.Cropland'!G133</f>
        <v>Please select</v>
      </c>
      <c r="E85">
        <f>'3.Cropland'!Z133</f>
        <v>0</v>
      </c>
      <c r="F85" s="388">
        <v>0</v>
      </c>
      <c r="G85">
        <f>rice!O40-rice!N40</f>
        <v>0</v>
      </c>
      <c r="M85">
        <f>rice!AN20-rice!AM20</f>
        <v>0</v>
      </c>
      <c r="N85">
        <v>0</v>
      </c>
      <c r="U85">
        <f>rice!AL20-rice!AK20</f>
        <v>0</v>
      </c>
      <c r="V85">
        <f>rice!Q40-rice!P40</f>
        <v>0</v>
      </c>
      <c r="AB85" t="str">
        <f t="shared" si="171"/>
        <v>ok</v>
      </c>
      <c r="AC85">
        <f>IF('3.Cropland'!BM133&lt;&gt;0,'3.Cropland'!BM133, '3.Cropland'!BL133)</f>
        <v>1</v>
      </c>
      <c r="AD85">
        <f t="shared" ref="AD85:AD154" si="190">time</f>
        <v>5</v>
      </c>
      <c r="AE85" s="4357" t="str">
        <f>'3.Cropland'!S133</f>
        <v>D</v>
      </c>
      <c r="AF85" s="4357" t="str">
        <f>'3.Cropland'!U133</f>
        <v>D</v>
      </c>
      <c r="AG85" s="4357" t="str">
        <f t="shared" si="12"/>
        <v>D</v>
      </c>
      <c r="AH85" s="4357">
        <f>((E85/(time_cap+((AD85-AC85+1)*VLOOKUP(AG85,list!$I$48:$K$50,3, FALSE))))*(AD85-AC85+1)*VLOOKUP(AG85,list!$I$48:$K$50,3, FALSE))</f>
        <v>0</v>
      </c>
      <c r="AI85" s="4357">
        <f>((E85/(time_cap+((AD85-AC85+1)*VLOOKUP(AG85,list!$I$48:$K$50,3, FALSE))))*time_cap)</f>
        <v>0</v>
      </c>
      <c r="AK85" s="4357">
        <f t="shared" ref="AK85:BP85" si="191">IFERROR(IF((time+time_cap)&lt;AK$2, 0,IF(AND(time+1&gt;=AL$2, $AC85&lt;AL$2), IF($AG85= "I", $AH85/($AD85-$AC85+1), $AH85/(($AD85*($AD85+1)/2)-(($AC85-1)*($AC85-1+1)/2))*AK$2), 0)+IF(IF(time+1&gt;=AL$2, $AI85/time_cap/(time+1)*AK$2, 0) = 0, $AI85/(time_cap),0)),0)</f>
        <v>0</v>
      </c>
      <c r="AL85" s="4357">
        <f t="shared" si="191"/>
        <v>0</v>
      </c>
      <c r="AM85" s="4357">
        <f t="shared" si="191"/>
        <v>0</v>
      </c>
      <c r="AN85" s="4357">
        <f t="shared" si="191"/>
        <v>0</v>
      </c>
      <c r="AO85" s="4357">
        <f t="shared" si="191"/>
        <v>0</v>
      </c>
      <c r="AP85" s="4357">
        <f t="shared" si="191"/>
        <v>0</v>
      </c>
      <c r="AQ85" s="4357">
        <f t="shared" si="191"/>
        <v>0</v>
      </c>
      <c r="AR85" s="4357">
        <f t="shared" si="191"/>
        <v>0</v>
      </c>
      <c r="AS85" s="4357">
        <f t="shared" si="191"/>
        <v>0</v>
      </c>
      <c r="AT85" s="4357">
        <f t="shared" si="191"/>
        <v>0</v>
      </c>
      <c r="AU85" s="4357">
        <f t="shared" si="191"/>
        <v>0</v>
      </c>
      <c r="AV85" s="4357">
        <f t="shared" si="191"/>
        <v>0</v>
      </c>
      <c r="AW85" s="4357">
        <f t="shared" si="191"/>
        <v>0</v>
      </c>
      <c r="AX85" s="4357">
        <f t="shared" si="191"/>
        <v>0</v>
      </c>
      <c r="AY85" s="4357">
        <f t="shared" si="191"/>
        <v>0</v>
      </c>
      <c r="AZ85" s="4357">
        <f t="shared" si="191"/>
        <v>0</v>
      </c>
      <c r="BA85" s="4357">
        <f t="shared" si="191"/>
        <v>0</v>
      </c>
      <c r="BB85" s="4357">
        <f t="shared" si="191"/>
        <v>0</v>
      </c>
      <c r="BC85" s="4357">
        <f t="shared" si="191"/>
        <v>0</v>
      </c>
      <c r="BD85" s="4357">
        <f t="shared" si="191"/>
        <v>0</v>
      </c>
      <c r="BE85" s="4357">
        <f t="shared" si="191"/>
        <v>0</v>
      </c>
      <c r="BF85" s="4357">
        <f t="shared" si="191"/>
        <v>0</v>
      </c>
      <c r="BG85" s="4357">
        <f t="shared" si="191"/>
        <v>0</v>
      </c>
      <c r="BH85" s="4357">
        <f t="shared" si="191"/>
        <v>0</v>
      </c>
      <c r="BI85" s="4357">
        <f t="shared" si="191"/>
        <v>0</v>
      </c>
      <c r="BJ85" s="4357">
        <f t="shared" si="191"/>
        <v>0</v>
      </c>
      <c r="BK85" s="4357">
        <f t="shared" si="191"/>
        <v>0</v>
      </c>
      <c r="BL85" s="4357">
        <f t="shared" si="191"/>
        <v>0</v>
      </c>
      <c r="BM85" s="4357">
        <f t="shared" si="191"/>
        <v>0</v>
      </c>
      <c r="BN85" s="4357">
        <f t="shared" si="191"/>
        <v>0</v>
      </c>
      <c r="BO85" s="4357">
        <f t="shared" si="191"/>
        <v>0</v>
      </c>
      <c r="BP85" s="4357">
        <f t="shared" si="191"/>
        <v>0</v>
      </c>
      <c r="BQ85" s="4357">
        <f t="shared" ref="BQ85:CH85" si="192">IFERROR(IF((time+time_cap)&lt;BQ$2, 0,IF(AND(time+1&gt;=BR$2, $AC85&lt;BR$2), IF($AG85= "I", $AH85/($AD85-$AC85+1), $AH85/(($AD85*($AD85+1)/2)-(($AC85-1)*($AC85-1+1)/2))*BQ$2), 0)+IF(IF(time+1&gt;=BR$2, $AI85/time_cap/(time+1)*BQ$2, 0) = 0, $AI85/(time_cap),0)),0)</f>
        <v>0</v>
      </c>
      <c r="BR85" s="4357">
        <f t="shared" si="192"/>
        <v>0</v>
      </c>
      <c r="BS85" s="4357">
        <f t="shared" si="192"/>
        <v>0</v>
      </c>
      <c r="BT85" s="4357">
        <f t="shared" si="192"/>
        <v>0</v>
      </c>
      <c r="BU85" s="4357">
        <f t="shared" si="192"/>
        <v>0</v>
      </c>
      <c r="BV85" s="4357">
        <f t="shared" si="192"/>
        <v>0</v>
      </c>
      <c r="BW85" s="4357">
        <f t="shared" si="192"/>
        <v>0</v>
      </c>
      <c r="BX85" s="4357">
        <f t="shared" si="192"/>
        <v>0</v>
      </c>
      <c r="BY85" s="4357">
        <f t="shared" si="192"/>
        <v>0</v>
      </c>
      <c r="BZ85" s="4357">
        <f t="shared" si="192"/>
        <v>0</v>
      </c>
      <c r="CA85" s="4357">
        <f t="shared" si="192"/>
        <v>0</v>
      </c>
      <c r="CB85" s="4357">
        <f t="shared" si="192"/>
        <v>0</v>
      </c>
      <c r="CC85" s="4357">
        <f t="shared" si="192"/>
        <v>0</v>
      </c>
      <c r="CD85" s="4357">
        <f t="shared" si="192"/>
        <v>0</v>
      </c>
      <c r="CE85" s="4357">
        <f t="shared" si="192"/>
        <v>0</v>
      </c>
      <c r="CF85" s="4357">
        <f t="shared" si="192"/>
        <v>0</v>
      </c>
      <c r="CG85" s="4357">
        <f t="shared" si="192"/>
        <v>0</v>
      </c>
      <c r="CH85" s="4357">
        <f t="shared" si="192"/>
        <v>0</v>
      </c>
      <c r="CI85" s="4357"/>
      <c r="CJ85" s="4357"/>
      <c r="CK85" s="4357"/>
      <c r="CL85" s="4357"/>
      <c r="CM85" s="4357"/>
      <c r="CN85" s="4357"/>
      <c r="CO85" s="4357"/>
      <c r="CP85" s="4357"/>
      <c r="CQ85" s="4357"/>
      <c r="CR85" s="4357"/>
      <c r="CS85" s="4357"/>
      <c r="CT85" s="4357"/>
      <c r="CU85" s="4357"/>
      <c r="CV85" s="4357"/>
      <c r="CW85" s="4357"/>
      <c r="CX85" s="4357"/>
      <c r="CY85" s="4357"/>
      <c r="CZ85" s="4357"/>
      <c r="DA85" s="4357"/>
      <c r="DB85" s="4357"/>
      <c r="DC85" s="4357"/>
      <c r="DD85" s="4357"/>
      <c r="DE85" s="4357"/>
      <c r="DF85" s="4357"/>
      <c r="DG85" s="4357"/>
      <c r="DH85" s="4357"/>
      <c r="DI85" s="4357"/>
      <c r="DJ85" s="4357"/>
      <c r="DK85" s="4357"/>
      <c r="DL85" s="4357"/>
      <c r="DM85" s="4357"/>
      <c r="DN85" s="4357"/>
      <c r="DO85" s="4357"/>
      <c r="DP85" s="4357"/>
      <c r="DQ85" s="4357"/>
      <c r="DR85" s="4357"/>
      <c r="DS85" s="4357"/>
      <c r="DT85" s="4357"/>
      <c r="DU85" s="4357"/>
      <c r="DV85" s="4357"/>
      <c r="DW85" s="4357"/>
      <c r="DX85" s="4357"/>
      <c r="DY85" s="4357"/>
      <c r="DZ85" s="4357"/>
      <c r="EA85" s="4357"/>
      <c r="EB85" s="4357"/>
      <c r="EC85" s="4357"/>
      <c r="ED85" s="4357"/>
      <c r="EE85" s="4357"/>
      <c r="EF85" s="4357"/>
    </row>
    <row r="86" spans="1:136" ht="16" x14ac:dyDescent="0.2">
      <c r="A86" t="s">
        <v>1384</v>
      </c>
      <c r="B86" t="s">
        <v>1384</v>
      </c>
      <c r="C86">
        <f>'3.Cropland'!C134</f>
        <v>0</v>
      </c>
      <c r="D86" t="str">
        <f>'3.Cropland'!G134</f>
        <v>Please select</v>
      </c>
      <c r="E86">
        <f>'3.Cropland'!Z134</f>
        <v>0</v>
      </c>
      <c r="F86" s="388">
        <v>0</v>
      </c>
      <c r="G86">
        <f>rice!O41-rice!N41</f>
        <v>0</v>
      </c>
      <c r="M86">
        <f>rice!AN21-rice!AM21</f>
        <v>0</v>
      </c>
      <c r="N86">
        <v>0</v>
      </c>
      <c r="U86">
        <f>rice!AL21-rice!AK21</f>
        <v>0</v>
      </c>
      <c r="V86">
        <f>rice!Q41-rice!P41</f>
        <v>0</v>
      </c>
      <c r="AB86" t="str">
        <f t="shared" si="171"/>
        <v>ok</v>
      </c>
      <c r="AC86">
        <f>IF('3.Cropland'!BM134&lt;&gt;0,'3.Cropland'!BM134, '3.Cropland'!BL134)</f>
        <v>1</v>
      </c>
      <c r="AD86">
        <f t="shared" si="190"/>
        <v>5</v>
      </c>
      <c r="AE86" s="4357" t="str">
        <f>'3.Cropland'!S134</f>
        <v>D</v>
      </c>
      <c r="AF86" s="4357" t="str">
        <f>'3.Cropland'!U134</f>
        <v>D</v>
      </c>
      <c r="AG86" s="4357" t="str">
        <f t="shared" ref="AG86:AG155" si="193">IF(OR(AF86="I", AE86="I"), "I", IF(OR(AF86="E", AE86="E"), "E", "D"))</f>
        <v>D</v>
      </c>
      <c r="AH86" s="4357">
        <f>((E86/(time_cap+((AD86-AC86+1)*VLOOKUP(AG86,list!$I$48:$K$50,3, FALSE))))*(AD86-AC86+1)*VLOOKUP(AG86,list!$I$48:$K$50,3, FALSE))</f>
        <v>0</v>
      </c>
      <c r="AI86" s="4357">
        <f>((E86/(time_cap+((AD86-AC86+1)*VLOOKUP(AG86,list!$I$48:$K$50,3, FALSE))))*time_cap)</f>
        <v>0</v>
      </c>
      <c r="AK86" s="4357">
        <f t="shared" ref="AK86:BP86" si="194">IFERROR(IF((time+time_cap)&lt;AK$2, 0,IF(AND(time+1&gt;=AL$2, $AC86&lt;AL$2), IF($AG86= "I", $AH86/($AD86-$AC86+1), $AH86/(($AD86*($AD86+1)/2)-(($AC86-1)*($AC86-1+1)/2))*AK$2), 0)+IF(IF(time+1&gt;=AL$2, $AI86/time_cap/(time+1)*AK$2, 0) = 0, $AI86/(time_cap),0)),0)</f>
        <v>0</v>
      </c>
      <c r="AL86" s="4357">
        <f t="shared" si="194"/>
        <v>0</v>
      </c>
      <c r="AM86" s="4357">
        <f t="shared" si="194"/>
        <v>0</v>
      </c>
      <c r="AN86" s="4357">
        <f t="shared" si="194"/>
        <v>0</v>
      </c>
      <c r="AO86" s="4357">
        <f t="shared" si="194"/>
        <v>0</v>
      </c>
      <c r="AP86" s="4357">
        <f t="shared" si="194"/>
        <v>0</v>
      </c>
      <c r="AQ86" s="4357">
        <f t="shared" si="194"/>
        <v>0</v>
      </c>
      <c r="AR86" s="4357">
        <f t="shared" si="194"/>
        <v>0</v>
      </c>
      <c r="AS86" s="4357">
        <f t="shared" si="194"/>
        <v>0</v>
      </c>
      <c r="AT86" s="4357">
        <f t="shared" si="194"/>
        <v>0</v>
      </c>
      <c r="AU86" s="4357">
        <f t="shared" si="194"/>
        <v>0</v>
      </c>
      <c r="AV86" s="4357">
        <f t="shared" si="194"/>
        <v>0</v>
      </c>
      <c r="AW86" s="4357">
        <f t="shared" si="194"/>
        <v>0</v>
      </c>
      <c r="AX86" s="4357">
        <f t="shared" si="194"/>
        <v>0</v>
      </c>
      <c r="AY86" s="4357">
        <f t="shared" si="194"/>
        <v>0</v>
      </c>
      <c r="AZ86" s="4357">
        <f t="shared" si="194"/>
        <v>0</v>
      </c>
      <c r="BA86" s="4357">
        <f t="shared" si="194"/>
        <v>0</v>
      </c>
      <c r="BB86" s="4357">
        <f t="shared" si="194"/>
        <v>0</v>
      </c>
      <c r="BC86" s="4357">
        <f t="shared" si="194"/>
        <v>0</v>
      </c>
      <c r="BD86" s="4357">
        <f t="shared" si="194"/>
        <v>0</v>
      </c>
      <c r="BE86" s="4357">
        <f t="shared" si="194"/>
        <v>0</v>
      </c>
      <c r="BF86" s="4357">
        <f t="shared" si="194"/>
        <v>0</v>
      </c>
      <c r="BG86" s="4357">
        <f t="shared" si="194"/>
        <v>0</v>
      </c>
      <c r="BH86" s="4357">
        <f t="shared" si="194"/>
        <v>0</v>
      </c>
      <c r="BI86" s="4357">
        <f t="shared" si="194"/>
        <v>0</v>
      </c>
      <c r="BJ86" s="4357">
        <f t="shared" si="194"/>
        <v>0</v>
      </c>
      <c r="BK86" s="4357">
        <f t="shared" si="194"/>
        <v>0</v>
      </c>
      <c r="BL86" s="4357">
        <f t="shared" si="194"/>
        <v>0</v>
      </c>
      <c r="BM86" s="4357">
        <f t="shared" si="194"/>
        <v>0</v>
      </c>
      <c r="BN86" s="4357">
        <f t="shared" si="194"/>
        <v>0</v>
      </c>
      <c r="BO86" s="4357">
        <f t="shared" si="194"/>
        <v>0</v>
      </c>
      <c r="BP86" s="4357">
        <f t="shared" si="194"/>
        <v>0</v>
      </c>
      <c r="BQ86" s="4357">
        <f t="shared" ref="BQ86:CH86" si="195">IFERROR(IF((time+time_cap)&lt;BQ$2, 0,IF(AND(time+1&gt;=BR$2, $AC86&lt;BR$2), IF($AG86= "I", $AH86/($AD86-$AC86+1), $AH86/(($AD86*($AD86+1)/2)-(($AC86-1)*($AC86-1+1)/2))*BQ$2), 0)+IF(IF(time+1&gt;=BR$2, $AI86/time_cap/(time+1)*BQ$2, 0) = 0, $AI86/(time_cap),0)),0)</f>
        <v>0</v>
      </c>
      <c r="BR86" s="4357">
        <f t="shared" si="195"/>
        <v>0</v>
      </c>
      <c r="BS86" s="4357">
        <f t="shared" si="195"/>
        <v>0</v>
      </c>
      <c r="BT86" s="4357">
        <f t="shared" si="195"/>
        <v>0</v>
      </c>
      <c r="BU86" s="4357">
        <f t="shared" si="195"/>
        <v>0</v>
      </c>
      <c r="BV86" s="4357">
        <f t="shared" si="195"/>
        <v>0</v>
      </c>
      <c r="BW86" s="4357">
        <f t="shared" si="195"/>
        <v>0</v>
      </c>
      <c r="BX86" s="4357">
        <f t="shared" si="195"/>
        <v>0</v>
      </c>
      <c r="BY86" s="4357">
        <f t="shared" si="195"/>
        <v>0</v>
      </c>
      <c r="BZ86" s="4357">
        <f t="shared" si="195"/>
        <v>0</v>
      </c>
      <c r="CA86" s="4357">
        <f t="shared" si="195"/>
        <v>0</v>
      </c>
      <c r="CB86" s="4357">
        <f t="shared" si="195"/>
        <v>0</v>
      </c>
      <c r="CC86" s="4357">
        <f t="shared" si="195"/>
        <v>0</v>
      </c>
      <c r="CD86" s="4357">
        <f t="shared" si="195"/>
        <v>0</v>
      </c>
      <c r="CE86" s="4357">
        <f t="shared" si="195"/>
        <v>0</v>
      </c>
      <c r="CF86" s="4357">
        <f t="shared" si="195"/>
        <v>0</v>
      </c>
      <c r="CG86" s="4357">
        <f t="shared" si="195"/>
        <v>0</v>
      </c>
      <c r="CH86" s="4357">
        <f t="shared" si="195"/>
        <v>0</v>
      </c>
      <c r="CI86" s="4357"/>
      <c r="CJ86" s="4357"/>
      <c r="CK86" s="4357"/>
      <c r="CL86" s="4357"/>
      <c r="CM86" s="4357"/>
      <c r="CN86" s="4357"/>
      <c r="CO86" s="4357"/>
      <c r="CP86" s="4357"/>
      <c r="CQ86" s="4357"/>
      <c r="CR86" s="4357"/>
      <c r="CS86" s="4357"/>
      <c r="CT86" s="4357"/>
      <c r="CU86" s="4357"/>
      <c r="CV86" s="4357"/>
      <c r="CW86" s="4357"/>
      <c r="CX86" s="4357"/>
      <c r="CY86" s="4357"/>
      <c r="CZ86" s="4357"/>
      <c r="DA86" s="4357"/>
      <c r="DB86" s="4357"/>
      <c r="DC86" s="4357"/>
      <c r="DD86" s="4357"/>
      <c r="DE86" s="4357"/>
      <c r="DF86" s="4357"/>
      <c r="DG86" s="4357"/>
      <c r="DH86" s="4357"/>
      <c r="DI86" s="4357"/>
      <c r="DJ86" s="4357"/>
      <c r="DK86" s="4357"/>
      <c r="DL86" s="4357"/>
      <c r="DM86" s="4357"/>
      <c r="DN86" s="4357"/>
      <c r="DO86" s="4357"/>
      <c r="DP86" s="4357"/>
      <c r="DQ86" s="4357"/>
      <c r="DR86" s="4357"/>
      <c r="DS86" s="4357"/>
      <c r="DT86" s="4357"/>
      <c r="DU86" s="4357"/>
      <c r="DV86" s="4357"/>
      <c r="DW86" s="4357"/>
      <c r="DX86" s="4357"/>
      <c r="DY86" s="4357"/>
      <c r="DZ86" s="4357"/>
      <c r="EA86" s="4357"/>
      <c r="EB86" s="4357"/>
      <c r="EC86" s="4357"/>
      <c r="ED86" s="4357"/>
      <c r="EE86" s="4357"/>
      <c r="EF86" s="4357"/>
    </row>
    <row r="87" spans="1:136" ht="16" x14ac:dyDescent="0.2">
      <c r="A87" t="s">
        <v>1384</v>
      </c>
      <c r="B87" t="s">
        <v>1384</v>
      </c>
      <c r="C87">
        <f>'3.Cropland'!C135</f>
        <v>0</v>
      </c>
      <c r="D87" t="str">
        <f>'3.Cropland'!G135</f>
        <v>Please select</v>
      </c>
      <c r="E87">
        <f>'3.Cropland'!Z135</f>
        <v>0</v>
      </c>
      <c r="F87" s="388">
        <v>0</v>
      </c>
      <c r="G87">
        <f>rice!O42-rice!N42</f>
        <v>0</v>
      </c>
      <c r="M87">
        <f>rice!AN22-rice!AM22</f>
        <v>0</v>
      </c>
      <c r="N87">
        <v>0</v>
      </c>
      <c r="U87">
        <f>rice!AL22-rice!AK22</f>
        <v>0</v>
      </c>
      <c r="V87">
        <f>rice!Q42-rice!P42</f>
        <v>0</v>
      </c>
      <c r="AB87" t="str">
        <f t="shared" si="171"/>
        <v>ok</v>
      </c>
      <c r="AC87">
        <f>IF('3.Cropland'!BM135&lt;&gt;0,'3.Cropland'!BM135, '3.Cropland'!BL135)</f>
        <v>1</v>
      </c>
      <c r="AD87">
        <f t="shared" si="190"/>
        <v>5</v>
      </c>
      <c r="AE87" s="4357" t="str">
        <f>'3.Cropland'!S135</f>
        <v>D</v>
      </c>
      <c r="AF87" s="4357" t="str">
        <f>'3.Cropland'!U135</f>
        <v>D</v>
      </c>
      <c r="AG87" s="4357" t="str">
        <f t="shared" si="193"/>
        <v>D</v>
      </c>
      <c r="AH87" s="4357">
        <f>((E87/(time_cap+((AD87-AC87+1)*VLOOKUP(AG87,list!$I$48:$K$50,3, FALSE))))*(AD87-AC87+1)*VLOOKUP(AG87,list!$I$48:$K$50,3, FALSE))</f>
        <v>0</v>
      </c>
      <c r="AI87" s="4357">
        <f>((E87/(time_cap+((AD87-AC87+1)*VLOOKUP(AG87,list!$I$48:$K$50,3, FALSE))))*time_cap)</f>
        <v>0</v>
      </c>
      <c r="AK87" s="4357">
        <f t="shared" ref="AK87:BP87" si="196">IFERROR(IF((time+time_cap)&lt;AK$2, 0,IF(AND(time+1&gt;=AL$2, $AC87&lt;AL$2), IF($AG87= "I", $AH87/($AD87-$AC87+1), $AH87/(($AD87*($AD87+1)/2)-(($AC87-1)*($AC87-1+1)/2))*AK$2), 0)+IF(IF(time+1&gt;=AL$2, $AI87/time_cap/(time+1)*AK$2, 0) = 0, $AI87/(time_cap),0)),0)</f>
        <v>0</v>
      </c>
      <c r="AL87" s="4357">
        <f t="shared" si="196"/>
        <v>0</v>
      </c>
      <c r="AM87" s="4357">
        <f t="shared" si="196"/>
        <v>0</v>
      </c>
      <c r="AN87" s="4357">
        <f t="shared" si="196"/>
        <v>0</v>
      </c>
      <c r="AO87" s="4357">
        <f t="shared" si="196"/>
        <v>0</v>
      </c>
      <c r="AP87" s="4357">
        <f t="shared" si="196"/>
        <v>0</v>
      </c>
      <c r="AQ87" s="4357">
        <f t="shared" si="196"/>
        <v>0</v>
      </c>
      <c r="AR87" s="4357">
        <f t="shared" si="196"/>
        <v>0</v>
      </c>
      <c r="AS87" s="4357">
        <f t="shared" si="196"/>
        <v>0</v>
      </c>
      <c r="AT87" s="4357">
        <f t="shared" si="196"/>
        <v>0</v>
      </c>
      <c r="AU87" s="4357">
        <f t="shared" si="196"/>
        <v>0</v>
      </c>
      <c r="AV87" s="4357">
        <f t="shared" si="196"/>
        <v>0</v>
      </c>
      <c r="AW87" s="4357">
        <f t="shared" si="196"/>
        <v>0</v>
      </c>
      <c r="AX87" s="4357">
        <f t="shared" si="196"/>
        <v>0</v>
      </c>
      <c r="AY87" s="4357">
        <f t="shared" si="196"/>
        <v>0</v>
      </c>
      <c r="AZ87" s="4357">
        <f t="shared" si="196"/>
        <v>0</v>
      </c>
      <c r="BA87" s="4357">
        <f t="shared" si="196"/>
        <v>0</v>
      </c>
      <c r="BB87" s="4357">
        <f t="shared" si="196"/>
        <v>0</v>
      </c>
      <c r="BC87" s="4357">
        <f t="shared" si="196"/>
        <v>0</v>
      </c>
      <c r="BD87" s="4357">
        <f t="shared" si="196"/>
        <v>0</v>
      </c>
      <c r="BE87" s="4357">
        <f t="shared" si="196"/>
        <v>0</v>
      </c>
      <c r="BF87" s="4357">
        <f t="shared" si="196"/>
        <v>0</v>
      </c>
      <c r="BG87" s="4357">
        <f t="shared" si="196"/>
        <v>0</v>
      </c>
      <c r="BH87" s="4357">
        <f t="shared" si="196"/>
        <v>0</v>
      </c>
      <c r="BI87" s="4357">
        <f t="shared" si="196"/>
        <v>0</v>
      </c>
      <c r="BJ87" s="4357">
        <f t="shared" si="196"/>
        <v>0</v>
      </c>
      <c r="BK87" s="4357">
        <f t="shared" si="196"/>
        <v>0</v>
      </c>
      <c r="BL87" s="4357">
        <f t="shared" si="196"/>
        <v>0</v>
      </c>
      <c r="BM87" s="4357">
        <f t="shared" si="196"/>
        <v>0</v>
      </c>
      <c r="BN87" s="4357">
        <f t="shared" si="196"/>
        <v>0</v>
      </c>
      <c r="BO87" s="4357">
        <f t="shared" si="196"/>
        <v>0</v>
      </c>
      <c r="BP87" s="4357">
        <f t="shared" si="196"/>
        <v>0</v>
      </c>
      <c r="BQ87" s="4357">
        <f t="shared" ref="BQ87:CH87" si="197">IFERROR(IF((time+time_cap)&lt;BQ$2, 0,IF(AND(time+1&gt;=BR$2, $AC87&lt;BR$2), IF($AG87= "I", $AH87/($AD87-$AC87+1), $AH87/(($AD87*($AD87+1)/2)-(($AC87-1)*($AC87-1+1)/2))*BQ$2), 0)+IF(IF(time+1&gt;=BR$2, $AI87/time_cap/(time+1)*BQ$2, 0) = 0, $AI87/(time_cap),0)),0)</f>
        <v>0</v>
      </c>
      <c r="BR87" s="4357">
        <f t="shared" si="197"/>
        <v>0</v>
      </c>
      <c r="BS87" s="4357">
        <f t="shared" si="197"/>
        <v>0</v>
      </c>
      <c r="BT87" s="4357">
        <f t="shared" si="197"/>
        <v>0</v>
      </c>
      <c r="BU87" s="4357">
        <f t="shared" si="197"/>
        <v>0</v>
      </c>
      <c r="BV87" s="4357">
        <f t="shared" si="197"/>
        <v>0</v>
      </c>
      <c r="BW87" s="4357">
        <f t="shared" si="197"/>
        <v>0</v>
      </c>
      <c r="BX87" s="4357">
        <f t="shared" si="197"/>
        <v>0</v>
      </c>
      <c r="BY87" s="4357">
        <f t="shared" si="197"/>
        <v>0</v>
      </c>
      <c r="BZ87" s="4357">
        <f t="shared" si="197"/>
        <v>0</v>
      </c>
      <c r="CA87" s="4357">
        <f t="shared" si="197"/>
        <v>0</v>
      </c>
      <c r="CB87" s="4357">
        <f t="shared" si="197"/>
        <v>0</v>
      </c>
      <c r="CC87" s="4357">
        <f t="shared" si="197"/>
        <v>0</v>
      </c>
      <c r="CD87" s="4357">
        <f t="shared" si="197"/>
        <v>0</v>
      </c>
      <c r="CE87" s="4357">
        <f t="shared" si="197"/>
        <v>0</v>
      </c>
      <c r="CF87" s="4357">
        <f t="shared" si="197"/>
        <v>0</v>
      </c>
      <c r="CG87" s="4357">
        <f t="shared" si="197"/>
        <v>0</v>
      </c>
      <c r="CH87" s="4357">
        <f t="shared" si="197"/>
        <v>0</v>
      </c>
      <c r="CI87" s="4357"/>
      <c r="CJ87" s="4357"/>
      <c r="CK87" s="4357"/>
      <c r="CL87" s="4357"/>
      <c r="CM87" s="4357"/>
      <c r="CN87" s="4357"/>
      <c r="CO87" s="4357"/>
      <c r="CP87" s="4357"/>
      <c r="CQ87" s="4357"/>
      <c r="CR87" s="4357"/>
      <c r="CS87" s="4357"/>
      <c r="CT87" s="4357"/>
      <c r="CU87" s="4357"/>
      <c r="CV87" s="4357"/>
      <c r="CW87" s="4357"/>
      <c r="CX87" s="4357"/>
      <c r="CY87" s="4357"/>
      <c r="CZ87" s="4357"/>
      <c r="DA87" s="4357"/>
      <c r="DB87" s="4357"/>
      <c r="DC87" s="4357"/>
      <c r="DD87" s="4357"/>
      <c r="DE87" s="4357"/>
      <c r="DF87" s="4357"/>
      <c r="DG87" s="4357"/>
      <c r="DH87" s="4357"/>
      <c r="DI87" s="4357"/>
      <c r="DJ87" s="4357"/>
      <c r="DK87" s="4357"/>
      <c r="DL87" s="4357"/>
      <c r="DM87" s="4357"/>
      <c r="DN87" s="4357"/>
      <c r="DO87" s="4357"/>
      <c r="DP87" s="4357"/>
      <c r="DQ87" s="4357"/>
      <c r="DR87" s="4357"/>
      <c r="DS87" s="4357"/>
      <c r="DT87" s="4357"/>
      <c r="DU87" s="4357"/>
      <c r="DV87" s="4357"/>
      <c r="DW87" s="4357"/>
      <c r="DX87" s="4357"/>
      <c r="DY87" s="4357"/>
      <c r="DZ87" s="4357"/>
      <c r="EA87" s="4357"/>
      <c r="EB87" s="4357"/>
      <c r="EC87" s="4357"/>
      <c r="ED87" s="4357"/>
      <c r="EE87" s="4357"/>
      <c r="EF87" s="4357"/>
    </row>
    <row r="88" spans="1:136" ht="16" x14ac:dyDescent="0.2">
      <c r="A88" t="s">
        <v>1384</v>
      </c>
      <c r="B88" t="s">
        <v>1384</v>
      </c>
      <c r="C88">
        <f>'3.Cropland'!C136</f>
        <v>0</v>
      </c>
      <c r="D88" t="str">
        <f>'3.Cropland'!G136</f>
        <v>Please select</v>
      </c>
      <c r="E88">
        <f>'3.Cropland'!Z136</f>
        <v>0</v>
      </c>
      <c r="F88" s="388">
        <v>0</v>
      </c>
      <c r="G88">
        <f>rice!O43-rice!N43</f>
        <v>0</v>
      </c>
      <c r="M88">
        <f>rice!AN23-rice!AM23</f>
        <v>0</v>
      </c>
      <c r="N88">
        <v>0</v>
      </c>
      <c r="U88">
        <f>rice!AL23-rice!AK23</f>
        <v>0</v>
      </c>
      <c r="V88">
        <f>rice!Q43-rice!P43</f>
        <v>0</v>
      </c>
      <c r="AB88" t="str">
        <f t="shared" si="171"/>
        <v>ok</v>
      </c>
      <c r="AC88">
        <f>IF('3.Cropland'!BM136&lt;&gt;0,'3.Cropland'!BM136, '3.Cropland'!BL136)</f>
        <v>1</v>
      </c>
      <c r="AD88">
        <f t="shared" si="190"/>
        <v>5</v>
      </c>
      <c r="AE88" s="4357" t="str">
        <f>'3.Cropland'!S136</f>
        <v>D</v>
      </c>
      <c r="AF88" s="4357" t="str">
        <f>'3.Cropland'!U136</f>
        <v>D</v>
      </c>
      <c r="AG88" s="4357" t="str">
        <f t="shared" si="193"/>
        <v>D</v>
      </c>
      <c r="AH88" s="4357">
        <f>((E88/(time_cap+((AD88-AC88+1)*VLOOKUP(AG88,list!$I$48:$K$50,3, FALSE))))*(AD88-AC88+1)*VLOOKUP(AG88,list!$I$48:$K$50,3, FALSE))</f>
        <v>0</v>
      </c>
      <c r="AI88" s="4357">
        <f>((E88/(time_cap+((AD88-AC88+1)*VLOOKUP(AG88,list!$I$48:$K$50,3, FALSE))))*time_cap)</f>
        <v>0</v>
      </c>
      <c r="AK88" s="4357">
        <f t="shared" ref="AK88:BP88" si="198">IFERROR(IF((time+time_cap)&lt;AK$2, 0,IF(AND(time+1&gt;=AL$2, $AC88&lt;AL$2), IF($AG88= "I", $AH88/($AD88-$AC88+1), $AH88/(($AD88*($AD88+1)/2)-(($AC88-1)*($AC88-1+1)/2))*AK$2), 0)+IF(IF(time+1&gt;=AL$2, $AI88/time_cap/(time+1)*AK$2, 0) = 0, $AI88/(time_cap),0)),0)</f>
        <v>0</v>
      </c>
      <c r="AL88" s="4357">
        <f t="shared" si="198"/>
        <v>0</v>
      </c>
      <c r="AM88" s="4357">
        <f t="shared" si="198"/>
        <v>0</v>
      </c>
      <c r="AN88" s="4357">
        <f t="shared" si="198"/>
        <v>0</v>
      </c>
      <c r="AO88" s="4357">
        <f t="shared" si="198"/>
        <v>0</v>
      </c>
      <c r="AP88" s="4357">
        <f t="shared" si="198"/>
        <v>0</v>
      </c>
      <c r="AQ88" s="4357">
        <f t="shared" si="198"/>
        <v>0</v>
      </c>
      <c r="AR88" s="4357">
        <f t="shared" si="198"/>
        <v>0</v>
      </c>
      <c r="AS88" s="4357">
        <f t="shared" si="198"/>
        <v>0</v>
      </c>
      <c r="AT88" s="4357">
        <f t="shared" si="198"/>
        <v>0</v>
      </c>
      <c r="AU88" s="4357">
        <f t="shared" si="198"/>
        <v>0</v>
      </c>
      <c r="AV88" s="4357">
        <f t="shared" si="198"/>
        <v>0</v>
      </c>
      <c r="AW88" s="4357">
        <f t="shared" si="198"/>
        <v>0</v>
      </c>
      <c r="AX88" s="4357">
        <f t="shared" si="198"/>
        <v>0</v>
      </c>
      <c r="AY88" s="4357">
        <f t="shared" si="198"/>
        <v>0</v>
      </c>
      <c r="AZ88" s="4357">
        <f t="shared" si="198"/>
        <v>0</v>
      </c>
      <c r="BA88" s="4357">
        <f t="shared" si="198"/>
        <v>0</v>
      </c>
      <c r="BB88" s="4357">
        <f t="shared" si="198"/>
        <v>0</v>
      </c>
      <c r="BC88" s="4357">
        <f t="shared" si="198"/>
        <v>0</v>
      </c>
      <c r="BD88" s="4357">
        <f t="shared" si="198"/>
        <v>0</v>
      </c>
      <c r="BE88" s="4357">
        <f t="shared" si="198"/>
        <v>0</v>
      </c>
      <c r="BF88" s="4357">
        <f t="shared" si="198"/>
        <v>0</v>
      </c>
      <c r="BG88" s="4357">
        <f t="shared" si="198"/>
        <v>0</v>
      </c>
      <c r="BH88" s="4357">
        <f t="shared" si="198"/>
        <v>0</v>
      </c>
      <c r="BI88" s="4357">
        <f t="shared" si="198"/>
        <v>0</v>
      </c>
      <c r="BJ88" s="4357">
        <f t="shared" si="198"/>
        <v>0</v>
      </c>
      <c r="BK88" s="4357">
        <f t="shared" si="198"/>
        <v>0</v>
      </c>
      <c r="BL88" s="4357">
        <f t="shared" si="198"/>
        <v>0</v>
      </c>
      <c r="BM88" s="4357">
        <f t="shared" si="198"/>
        <v>0</v>
      </c>
      <c r="BN88" s="4357">
        <f t="shared" si="198"/>
        <v>0</v>
      </c>
      <c r="BO88" s="4357">
        <f t="shared" si="198"/>
        <v>0</v>
      </c>
      <c r="BP88" s="4357">
        <f t="shared" si="198"/>
        <v>0</v>
      </c>
      <c r="BQ88" s="4357">
        <f t="shared" ref="BQ88:CH88" si="199">IFERROR(IF((time+time_cap)&lt;BQ$2, 0,IF(AND(time+1&gt;=BR$2, $AC88&lt;BR$2), IF($AG88= "I", $AH88/($AD88-$AC88+1), $AH88/(($AD88*($AD88+1)/2)-(($AC88-1)*($AC88-1+1)/2))*BQ$2), 0)+IF(IF(time+1&gt;=BR$2, $AI88/time_cap/(time+1)*BQ$2, 0) = 0, $AI88/(time_cap),0)),0)</f>
        <v>0</v>
      </c>
      <c r="BR88" s="4357">
        <f t="shared" si="199"/>
        <v>0</v>
      </c>
      <c r="BS88" s="4357">
        <f t="shared" si="199"/>
        <v>0</v>
      </c>
      <c r="BT88" s="4357">
        <f t="shared" si="199"/>
        <v>0</v>
      </c>
      <c r="BU88" s="4357">
        <f t="shared" si="199"/>
        <v>0</v>
      </c>
      <c r="BV88" s="4357">
        <f t="shared" si="199"/>
        <v>0</v>
      </c>
      <c r="BW88" s="4357">
        <f t="shared" si="199"/>
        <v>0</v>
      </c>
      <c r="BX88" s="4357">
        <f t="shared" si="199"/>
        <v>0</v>
      </c>
      <c r="BY88" s="4357">
        <f t="shared" si="199"/>
        <v>0</v>
      </c>
      <c r="BZ88" s="4357">
        <f t="shared" si="199"/>
        <v>0</v>
      </c>
      <c r="CA88" s="4357">
        <f t="shared" si="199"/>
        <v>0</v>
      </c>
      <c r="CB88" s="4357">
        <f t="shared" si="199"/>
        <v>0</v>
      </c>
      <c r="CC88" s="4357">
        <f t="shared" si="199"/>
        <v>0</v>
      </c>
      <c r="CD88" s="4357">
        <f t="shared" si="199"/>
        <v>0</v>
      </c>
      <c r="CE88" s="4357">
        <f t="shared" si="199"/>
        <v>0</v>
      </c>
      <c r="CF88" s="4357">
        <f t="shared" si="199"/>
        <v>0</v>
      </c>
      <c r="CG88" s="4357">
        <f t="shared" si="199"/>
        <v>0</v>
      </c>
      <c r="CH88" s="4357">
        <f t="shared" si="199"/>
        <v>0</v>
      </c>
      <c r="CI88" s="4357"/>
      <c r="CJ88" s="4357"/>
      <c r="CK88" s="4357"/>
      <c r="CL88" s="4357"/>
      <c r="CM88" s="4357"/>
      <c r="CN88" s="4357"/>
      <c r="CO88" s="4357"/>
      <c r="CP88" s="4357"/>
      <c r="CQ88" s="4357"/>
      <c r="CR88" s="4357"/>
      <c r="CS88" s="4357"/>
      <c r="CT88" s="4357"/>
      <c r="CU88" s="4357"/>
      <c r="CV88" s="4357"/>
      <c r="CW88" s="4357"/>
      <c r="CX88" s="4357"/>
      <c r="CY88" s="4357"/>
      <c r="CZ88" s="4357"/>
      <c r="DA88" s="4357"/>
      <c r="DB88" s="4357"/>
      <c r="DC88" s="4357"/>
      <c r="DD88" s="4357"/>
      <c r="DE88" s="4357"/>
      <c r="DF88" s="4357"/>
      <c r="DG88" s="4357"/>
      <c r="DH88" s="4357"/>
      <c r="DI88" s="4357"/>
      <c r="DJ88" s="4357"/>
      <c r="DK88" s="4357"/>
      <c r="DL88" s="4357"/>
      <c r="DM88" s="4357"/>
      <c r="DN88" s="4357"/>
      <c r="DO88" s="4357"/>
      <c r="DP88" s="4357"/>
      <c r="DQ88" s="4357"/>
      <c r="DR88" s="4357"/>
      <c r="DS88" s="4357"/>
      <c r="DT88" s="4357"/>
      <c r="DU88" s="4357"/>
      <c r="DV88" s="4357"/>
      <c r="DW88" s="4357"/>
      <c r="DX88" s="4357"/>
      <c r="DY88" s="4357"/>
      <c r="DZ88" s="4357"/>
      <c r="EA88" s="4357"/>
      <c r="EB88" s="4357"/>
      <c r="EC88" s="4357"/>
      <c r="ED88" s="4357"/>
      <c r="EE88" s="4357"/>
      <c r="EF88" s="4357"/>
    </row>
    <row r="89" spans="1:136" ht="16" x14ac:dyDescent="0.2">
      <c r="A89" t="str">
        <f>Languages!$B$649</f>
        <v xml:space="preserve">Grasslands </v>
      </c>
      <c r="B89" t="s">
        <v>3002</v>
      </c>
      <c r="D89" t="str">
        <f>'4.Grassland'!G13</f>
        <v>Please select</v>
      </c>
      <c r="E89">
        <f>'4.Grassland'!AG13</f>
        <v>0</v>
      </c>
      <c r="F89" s="388">
        <v>0</v>
      </c>
      <c r="G89">
        <f>grass!I30-grass!H30</f>
        <v>0</v>
      </c>
      <c r="M89" s="388">
        <f>grass!AJ10-grass!AI10</f>
        <v>0</v>
      </c>
      <c r="N89">
        <v>0</v>
      </c>
      <c r="U89" s="388">
        <f>grass!AH10-grass!AG10</f>
        <v>0</v>
      </c>
      <c r="AB89" t="str">
        <f t="shared" si="171"/>
        <v>ok</v>
      </c>
      <c r="AC89">
        <f>IF('4.Grassland'!BR13&lt;&gt;0,'4.Grassland'!BR13, '4.Grassland'!BQ13)</f>
        <v>1</v>
      </c>
      <c r="AD89">
        <f t="shared" si="190"/>
        <v>5</v>
      </c>
      <c r="AE89" s="4357" t="s">
        <v>86</v>
      </c>
      <c r="AF89" s="4357" t="s">
        <v>86</v>
      </c>
      <c r="AG89" s="4357" t="str">
        <f t="shared" si="193"/>
        <v>D</v>
      </c>
      <c r="AH89" s="4357">
        <f>((E89/(time_cap+((AD89-AC89+1)*VLOOKUP(AG89,list!$I$48:$K$50,3, FALSE))))*(AD89-AC89+1)*VLOOKUP(AG89,list!$I$48:$K$50,3, FALSE))</f>
        <v>0</v>
      </c>
      <c r="AI89" s="4357">
        <f>((E89/(time_cap+((AD89-AC89+1)*VLOOKUP(AG89,list!$I$48:$K$50,3, FALSE))))*time_cap)</f>
        <v>0</v>
      </c>
      <c r="AK89" s="4357">
        <f t="shared" ref="AK89:BP89" si="200">IFERROR(IF((time+time_cap)&lt;AK$2, 0,IF(AND(time+1&gt;=AL$2, $AC89&lt;AL$2), IF($AG89= "I", $AH89/($AD89-$AC89+1), $AH89/(($AD89*($AD89+1)/2)-(($AC89-1)*($AC89-1+1)/2))*AK$2), 0)+IF(IF(time+1&gt;=AL$2, $AI89/time_cap/(time+1)*AK$2, 0) = 0, $AI89/(time_cap),0)),0)</f>
        <v>0</v>
      </c>
      <c r="AL89" s="4357">
        <f t="shared" si="200"/>
        <v>0</v>
      </c>
      <c r="AM89" s="4357">
        <f t="shared" si="200"/>
        <v>0</v>
      </c>
      <c r="AN89" s="4357">
        <f t="shared" si="200"/>
        <v>0</v>
      </c>
      <c r="AO89" s="4357">
        <f t="shared" si="200"/>
        <v>0</v>
      </c>
      <c r="AP89" s="4357">
        <f t="shared" si="200"/>
        <v>0</v>
      </c>
      <c r="AQ89" s="4357">
        <f t="shared" si="200"/>
        <v>0</v>
      </c>
      <c r="AR89" s="4357">
        <f t="shared" si="200"/>
        <v>0</v>
      </c>
      <c r="AS89" s="4357">
        <f t="shared" si="200"/>
        <v>0</v>
      </c>
      <c r="AT89" s="4357">
        <f t="shared" si="200"/>
        <v>0</v>
      </c>
      <c r="AU89" s="4357">
        <f t="shared" si="200"/>
        <v>0</v>
      </c>
      <c r="AV89" s="4357">
        <f t="shared" si="200"/>
        <v>0</v>
      </c>
      <c r="AW89" s="4357">
        <f t="shared" si="200"/>
        <v>0</v>
      </c>
      <c r="AX89" s="4357">
        <f t="shared" si="200"/>
        <v>0</v>
      </c>
      <c r="AY89" s="4357">
        <f t="shared" si="200"/>
        <v>0</v>
      </c>
      <c r="AZ89" s="4357">
        <f t="shared" si="200"/>
        <v>0</v>
      </c>
      <c r="BA89" s="4357">
        <f t="shared" si="200"/>
        <v>0</v>
      </c>
      <c r="BB89" s="4357">
        <f t="shared" si="200"/>
        <v>0</v>
      </c>
      <c r="BC89" s="4357">
        <f t="shared" si="200"/>
        <v>0</v>
      </c>
      <c r="BD89" s="4357">
        <f t="shared" si="200"/>
        <v>0</v>
      </c>
      <c r="BE89" s="4357">
        <f t="shared" si="200"/>
        <v>0</v>
      </c>
      <c r="BF89" s="4357">
        <f t="shared" si="200"/>
        <v>0</v>
      </c>
      <c r="BG89" s="4357">
        <f t="shared" si="200"/>
        <v>0</v>
      </c>
      <c r="BH89" s="4357">
        <f t="shared" si="200"/>
        <v>0</v>
      </c>
      <c r="BI89" s="4357">
        <f t="shared" si="200"/>
        <v>0</v>
      </c>
      <c r="BJ89" s="4357">
        <f t="shared" si="200"/>
        <v>0</v>
      </c>
      <c r="BK89" s="4357">
        <f t="shared" si="200"/>
        <v>0</v>
      </c>
      <c r="BL89" s="4357">
        <f t="shared" si="200"/>
        <v>0</v>
      </c>
      <c r="BM89" s="4357">
        <f t="shared" si="200"/>
        <v>0</v>
      </c>
      <c r="BN89" s="4357">
        <f t="shared" si="200"/>
        <v>0</v>
      </c>
      <c r="BO89" s="4357">
        <f t="shared" si="200"/>
        <v>0</v>
      </c>
      <c r="BP89" s="4357">
        <f t="shared" si="200"/>
        <v>0</v>
      </c>
      <c r="BQ89" s="4357">
        <f t="shared" ref="BQ89:CH89" si="201">IFERROR(IF((time+time_cap)&lt;BQ$2, 0,IF(AND(time+1&gt;=BR$2, $AC89&lt;BR$2), IF($AG89= "I", $AH89/($AD89-$AC89+1), $AH89/(($AD89*($AD89+1)/2)-(($AC89-1)*($AC89-1+1)/2))*BQ$2), 0)+IF(IF(time+1&gt;=BR$2, $AI89/time_cap/(time+1)*BQ$2, 0) = 0, $AI89/(time_cap),0)),0)</f>
        <v>0</v>
      </c>
      <c r="BR89" s="4357">
        <f t="shared" si="201"/>
        <v>0</v>
      </c>
      <c r="BS89" s="4357">
        <f t="shared" si="201"/>
        <v>0</v>
      </c>
      <c r="BT89" s="4357">
        <f t="shared" si="201"/>
        <v>0</v>
      </c>
      <c r="BU89" s="4357">
        <f t="shared" si="201"/>
        <v>0</v>
      </c>
      <c r="BV89" s="4357">
        <f t="shared" si="201"/>
        <v>0</v>
      </c>
      <c r="BW89" s="4357">
        <f t="shared" si="201"/>
        <v>0</v>
      </c>
      <c r="BX89" s="4357">
        <f t="shared" si="201"/>
        <v>0</v>
      </c>
      <c r="BY89" s="4357">
        <f t="shared" si="201"/>
        <v>0</v>
      </c>
      <c r="BZ89" s="4357">
        <f t="shared" si="201"/>
        <v>0</v>
      </c>
      <c r="CA89" s="4357">
        <f t="shared" si="201"/>
        <v>0</v>
      </c>
      <c r="CB89" s="4357">
        <f t="shared" si="201"/>
        <v>0</v>
      </c>
      <c r="CC89" s="4357">
        <f t="shared" si="201"/>
        <v>0</v>
      </c>
      <c r="CD89" s="4357">
        <f t="shared" si="201"/>
        <v>0</v>
      </c>
      <c r="CE89" s="4357">
        <f t="shared" si="201"/>
        <v>0</v>
      </c>
      <c r="CF89" s="4357">
        <f t="shared" si="201"/>
        <v>0</v>
      </c>
      <c r="CG89" s="4357">
        <f t="shared" si="201"/>
        <v>0</v>
      </c>
      <c r="CH89" s="4357">
        <f t="shared" si="201"/>
        <v>0</v>
      </c>
      <c r="CI89" s="4357"/>
      <c r="CJ89" s="4357"/>
      <c r="CK89" s="4357"/>
      <c r="CL89" s="4357"/>
      <c r="CM89" s="4357"/>
      <c r="CN89" s="4357"/>
      <c r="CO89" s="4357"/>
      <c r="CP89" s="4357"/>
      <c r="CQ89" s="4357"/>
      <c r="CR89" s="4357"/>
      <c r="CS89" s="4357"/>
      <c r="CT89" s="4357"/>
      <c r="CU89" s="4357"/>
      <c r="CV89" s="4357"/>
      <c r="CW89" s="4357"/>
      <c r="CX89" s="4357"/>
      <c r="CY89" s="4357"/>
      <c r="CZ89" s="4357"/>
      <c r="DA89" s="4357"/>
      <c r="DB89" s="4357"/>
      <c r="DC89" s="4357"/>
      <c r="DD89" s="4357"/>
      <c r="DE89" s="4357"/>
      <c r="DF89" s="4357"/>
      <c r="DG89" s="4357"/>
      <c r="DH89" s="4357"/>
      <c r="DI89" s="4357"/>
      <c r="DJ89" s="4357"/>
      <c r="DK89" s="4357"/>
      <c r="DL89" s="4357"/>
      <c r="DM89" s="4357"/>
      <c r="DN89" s="4357"/>
      <c r="DO89" s="4357"/>
      <c r="DP89" s="4357"/>
      <c r="DQ89" s="4357"/>
      <c r="DR89" s="4357"/>
      <c r="DS89" s="4357"/>
      <c r="DT89" s="4357"/>
      <c r="DU89" s="4357"/>
      <c r="DV89" s="4357"/>
      <c r="DW89" s="4357"/>
      <c r="DX89" s="4357"/>
      <c r="DY89" s="4357"/>
      <c r="DZ89" s="4357"/>
      <c r="EA89" s="4357"/>
      <c r="EB89" s="4357"/>
      <c r="EC89" s="4357"/>
      <c r="ED89" s="4357"/>
      <c r="EE89" s="4357"/>
      <c r="EF89" s="4357"/>
    </row>
    <row r="90" spans="1:136" ht="16" x14ac:dyDescent="0.2">
      <c r="A90" t="str">
        <f>Languages!$B$649</f>
        <v xml:space="preserve">Grasslands </v>
      </c>
      <c r="B90" t="s">
        <v>3002</v>
      </c>
      <c r="D90" t="str">
        <f>'4.Grassland'!G14</f>
        <v>Please select</v>
      </c>
      <c r="E90">
        <f>'4.Grassland'!AG14</f>
        <v>0</v>
      </c>
      <c r="F90" s="388">
        <v>0</v>
      </c>
      <c r="G90">
        <f>grass!I31-grass!H31</f>
        <v>0</v>
      </c>
      <c r="M90" s="388">
        <f>grass!AJ11-grass!AI11</f>
        <v>0</v>
      </c>
      <c r="N90">
        <v>0</v>
      </c>
      <c r="U90" s="388">
        <f>grass!AH11-grass!AG11</f>
        <v>0</v>
      </c>
      <c r="AB90" t="str">
        <f t="shared" si="171"/>
        <v>ok</v>
      </c>
      <c r="AC90">
        <f>IF('4.Grassland'!BR14&lt;&gt;0,'4.Grassland'!BR14, '4.Grassland'!BQ14)</f>
        <v>1</v>
      </c>
      <c r="AD90">
        <f t="shared" si="190"/>
        <v>5</v>
      </c>
      <c r="AE90" s="4357" t="s">
        <v>86</v>
      </c>
      <c r="AF90" s="4357" t="s">
        <v>86</v>
      </c>
      <c r="AG90" s="4357" t="str">
        <f t="shared" si="193"/>
        <v>D</v>
      </c>
      <c r="AH90" s="4357">
        <f>((E90/(time_cap+((AD90-AC90+1)*VLOOKUP(AG90,list!$I$48:$K$50,3, FALSE))))*(AD90-AC90+1)*VLOOKUP(AG90,list!$I$48:$K$50,3, FALSE))</f>
        <v>0</v>
      </c>
      <c r="AI90" s="4357">
        <f>((E90/(time_cap+((AD90-AC90+1)*VLOOKUP(AG90,list!$I$48:$K$50,3, FALSE))))*time_cap)</f>
        <v>0</v>
      </c>
      <c r="AK90" s="4357">
        <f t="shared" ref="AK90:BP90" si="202">IFERROR(IF((time+time_cap)&lt;AK$2, 0,IF(AND(time+1&gt;=AL$2, $AC90&lt;AL$2), IF($AG90= "I", $AH90/($AD90-$AC90+1), $AH90/(($AD90*($AD90+1)/2)-(($AC90-1)*($AC90-1+1)/2))*AK$2), 0)+IF(IF(time+1&gt;=AL$2, $AI90/time_cap/(time+1)*AK$2, 0) = 0, $AI90/(time_cap),0)),0)</f>
        <v>0</v>
      </c>
      <c r="AL90" s="4357">
        <f t="shared" si="202"/>
        <v>0</v>
      </c>
      <c r="AM90" s="4357">
        <f t="shared" si="202"/>
        <v>0</v>
      </c>
      <c r="AN90" s="4357">
        <f t="shared" si="202"/>
        <v>0</v>
      </c>
      <c r="AO90" s="4357">
        <f t="shared" si="202"/>
        <v>0</v>
      </c>
      <c r="AP90" s="4357">
        <f t="shared" si="202"/>
        <v>0</v>
      </c>
      <c r="AQ90" s="4357">
        <f t="shared" si="202"/>
        <v>0</v>
      </c>
      <c r="AR90" s="4357">
        <f t="shared" si="202"/>
        <v>0</v>
      </c>
      <c r="AS90" s="4357">
        <f t="shared" si="202"/>
        <v>0</v>
      </c>
      <c r="AT90" s="4357">
        <f t="shared" si="202"/>
        <v>0</v>
      </c>
      <c r="AU90" s="4357">
        <f t="shared" si="202"/>
        <v>0</v>
      </c>
      <c r="AV90" s="4357">
        <f t="shared" si="202"/>
        <v>0</v>
      </c>
      <c r="AW90" s="4357">
        <f t="shared" si="202"/>
        <v>0</v>
      </c>
      <c r="AX90" s="4357">
        <f t="shared" si="202"/>
        <v>0</v>
      </c>
      <c r="AY90" s="4357">
        <f t="shared" si="202"/>
        <v>0</v>
      </c>
      <c r="AZ90" s="4357">
        <f t="shared" si="202"/>
        <v>0</v>
      </c>
      <c r="BA90" s="4357">
        <f t="shared" si="202"/>
        <v>0</v>
      </c>
      <c r="BB90" s="4357">
        <f t="shared" si="202"/>
        <v>0</v>
      </c>
      <c r="BC90" s="4357">
        <f t="shared" si="202"/>
        <v>0</v>
      </c>
      <c r="BD90" s="4357">
        <f t="shared" si="202"/>
        <v>0</v>
      </c>
      <c r="BE90" s="4357">
        <f t="shared" si="202"/>
        <v>0</v>
      </c>
      <c r="BF90" s="4357">
        <f t="shared" si="202"/>
        <v>0</v>
      </c>
      <c r="BG90" s="4357">
        <f t="shared" si="202"/>
        <v>0</v>
      </c>
      <c r="BH90" s="4357">
        <f t="shared" si="202"/>
        <v>0</v>
      </c>
      <c r="BI90" s="4357">
        <f t="shared" si="202"/>
        <v>0</v>
      </c>
      <c r="BJ90" s="4357">
        <f t="shared" si="202"/>
        <v>0</v>
      </c>
      <c r="BK90" s="4357">
        <f t="shared" si="202"/>
        <v>0</v>
      </c>
      <c r="BL90" s="4357">
        <f t="shared" si="202"/>
        <v>0</v>
      </c>
      <c r="BM90" s="4357">
        <f t="shared" si="202"/>
        <v>0</v>
      </c>
      <c r="BN90" s="4357">
        <f t="shared" si="202"/>
        <v>0</v>
      </c>
      <c r="BO90" s="4357">
        <f t="shared" si="202"/>
        <v>0</v>
      </c>
      <c r="BP90" s="4357">
        <f t="shared" si="202"/>
        <v>0</v>
      </c>
      <c r="BQ90" s="4357">
        <f t="shared" ref="BQ90:CH90" si="203">IFERROR(IF((time+time_cap)&lt;BQ$2, 0,IF(AND(time+1&gt;=BR$2, $AC90&lt;BR$2), IF($AG90= "I", $AH90/($AD90-$AC90+1), $AH90/(($AD90*($AD90+1)/2)-(($AC90-1)*($AC90-1+1)/2))*BQ$2), 0)+IF(IF(time+1&gt;=BR$2, $AI90/time_cap/(time+1)*BQ$2, 0) = 0, $AI90/(time_cap),0)),0)</f>
        <v>0</v>
      </c>
      <c r="BR90" s="4357">
        <f t="shared" si="203"/>
        <v>0</v>
      </c>
      <c r="BS90" s="4357">
        <f t="shared" si="203"/>
        <v>0</v>
      </c>
      <c r="BT90" s="4357">
        <f t="shared" si="203"/>
        <v>0</v>
      </c>
      <c r="BU90" s="4357">
        <f t="shared" si="203"/>
        <v>0</v>
      </c>
      <c r="BV90" s="4357">
        <f t="shared" si="203"/>
        <v>0</v>
      </c>
      <c r="BW90" s="4357">
        <f t="shared" si="203"/>
        <v>0</v>
      </c>
      <c r="BX90" s="4357">
        <f t="shared" si="203"/>
        <v>0</v>
      </c>
      <c r="BY90" s="4357">
        <f t="shared" si="203"/>
        <v>0</v>
      </c>
      <c r="BZ90" s="4357">
        <f t="shared" si="203"/>
        <v>0</v>
      </c>
      <c r="CA90" s="4357">
        <f t="shared" si="203"/>
        <v>0</v>
      </c>
      <c r="CB90" s="4357">
        <f t="shared" si="203"/>
        <v>0</v>
      </c>
      <c r="CC90" s="4357">
        <f t="shared" si="203"/>
        <v>0</v>
      </c>
      <c r="CD90" s="4357">
        <f t="shared" si="203"/>
        <v>0</v>
      </c>
      <c r="CE90" s="4357">
        <f t="shared" si="203"/>
        <v>0</v>
      </c>
      <c r="CF90" s="4357">
        <f t="shared" si="203"/>
        <v>0</v>
      </c>
      <c r="CG90" s="4357">
        <f t="shared" si="203"/>
        <v>0</v>
      </c>
      <c r="CH90" s="4357">
        <f t="shared" si="203"/>
        <v>0</v>
      </c>
      <c r="CI90" s="4357"/>
      <c r="CJ90" s="4357"/>
      <c r="CK90" s="4357"/>
      <c r="CL90" s="4357"/>
      <c r="CM90" s="4357"/>
      <c r="CN90" s="4357"/>
      <c r="CO90" s="4357"/>
      <c r="CP90" s="4357"/>
      <c r="CQ90" s="4357"/>
      <c r="CR90" s="4357"/>
      <c r="CS90" s="4357"/>
      <c r="CT90" s="4357"/>
      <c r="CU90" s="4357"/>
      <c r="CV90" s="4357"/>
      <c r="CW90" s="4357"/>
      <c r="CX90" s="4357"/>
      <c r="CY90" s="4357"/>
      <c r="CZ90" s="4357"/>
      <c r="DA90" s="4357"/>
      <c r="DB90" s="4357"/>
      <c r="DC90" s="4357"/>
      <c r="DD90" s="4357"/>
      <c r="DE90" s="4357"/>
      <c r="DF90" s="4357"/>
      <c r="DG90" s="4357"/>
      <c r="DH90" s="4357"/>
      <c r="DI90" s="4357"/>
      <c r="DJ90" s="4357"/>
      <c r="DK90" s="4357"/>
      <c r="DL90" s="4357"/>
      <c r="DM90" s="4357"/>
      <c r="DN90" s="4357"/>
      <c r="DO90" s="4357"/>
      <c r="DP90" s="4357"/>
      <c r="DQ90" s="4357"/>
      <c r="DR90" s="4357"/>
      <c r="DS90" s="4357"/>
      <c r="DT90" s="4357"/>
      <c r="DU90" s="4357"/>
      <c r="DV90" s="4357"/>
      <c r="DW90" s="4357"/>
      <c r="DX90" s="4357"/>
      <c r="DY90" s="4357"/>
      <c r="DZ90" s="4357"/>
      <c r="EA90" s="4357"/>
      <c r="EB90" s="4357"/>
      <c r="EC90" s="4357"/>
      <c r="ED90" s="4357"/>
      <c r="EE90" s="4357"/>
      <c r="EF90" s="4357"/>
    </row>
    <row r="91" spans="1:136" ht="16" x14ac:dyDescent="0.2">
      <c r="A91" t="str">
        <f>Languages!$B$649</f>
        <v xml:space="preserve">Grasslands </v>
      </c>
      <c r="B91" t="s">
        <v>3002</v>
      </c>
      <c r="D91" t="str">
        <f>'4.Grassland'!G15</f>
        <v>Please select</v>
      </c>
      <c r="E91">
        <f>'4.Grassland'!AG15</f>
        <v>0</v>
      </c>
      <c r="F91" s="388">
        <v>0</v>
      </c>
      <c r="G91">
        <f>grass!I32-grass!H32</f>
        <v>0</v>
      </c>
      <c r="M91" s="388">
        <f>grass!AJ12-grass!AI12</f>
        <v>0</v>
      </c>
      <c r="N91">
        <v>0</v>
      </c>
      <c r="U91" s="388">
        <f>grass!AH12-grass!AG12</f>
        <v>0</v>
      </c>
      <c r="AB91" t="str">
        <f t="shared" si="171"/>
        <v>ok</v>
      </c>
      <c r="AC91">
        <f>IF('4.Grassland'!BR15&lt;&gt;0,'4.Grassland'!BR15, '4.Grassland'!BQ15)</f>
        <v>1</v>
      </c>
      <c r="AD91">
        <f t="shared" si="190"/>
        <v>5</v>
      </c>
      <c r="AE91" s="4357" t="s">
        <v>86</v>
      </c>
      <c r="AF91" s="4357" t="s">
        <v>86</v>
      </c>
      <c r="AG91" s="4357" t="str">
        <f t="shared" si="193"/>
        <v>D</v>
      </c>
      <c r="AH91" s="4357">
        <f>((E91/(time_cap+((AD91-AC91+1)*VLOOKUP(AG91,list!$I$48:$K$50,3, FALSE))))*(AD91-AC91+1)*VLOOKUP(AG91,list!$I$48:$K$50,3, FALSE))</f>
        <v>0</v>
      </c>
      <c r="AI91" s="4357">
        <f>((E91/(time_cap+((AD91-AC91+1)*VLOOKUP(AG91,list!$I$48:$K$50,3, FALSE))))*time_cap)</f>
        <v>0</v>
      </c>
      <c r="AK91" s="4357">
        <f t="shared" ref="AK91:BP91" si="204">IFERROR(IF((time+time_cap)&lt;AK$2, 0,IF(AND(time+1&gt;=AL$2, $AC91&lt;AL$2), IF($AG91= "I", $AH91/($AD91-$AC91+1), $AH91/(($AD91*($AD91+1)/2)-(($AC91-1)*($AC91-1+1)/2))*AK$2), 0)+IF(IF(time+1&gt;=AL$2, $AI91/time_cap/(time+1)*AK$2, 0) = 0, $AI91/(time_cap),0)),0)</f>
        <v>0</v>
      </c>
      <c r="AL91" s="4357">
        <f t="shared" si="204"/>
        <v>0</v>
      </c>
      <c r="AM91" s="4357">
        <f t="shared" si="204"/>
        <v>0</v>
      </c>
      <c r="AN91" s="4357">
        <f t="shared" si="204"/>
        <v>0</v>
      </c>
      <c r="AO91" s="4357">
        <f t="shared" si="204"/>
        <v>0</v>
      </c>
      <c r="AP91" s="4357">
        <f t="shared" si="204"/>
        <v>0</v>
      </c>
      <c r="AQ91" s="4357">
        <f t="shared" si="204"/>
        <v>0</v>
      </c>
      <c r="AR91" s="4357">
        <f t="shared" si="204"/>
        <v>0</v>
      </c>
      <c r="AS91" s="4357">
        <f t="shared" si="204"/>
        <v>0</v>
      </c>
      <c r="AT91" s="4357">
        <f t="shared" si="204"/>
        <v>0</v>
      </c>
      <c r="AU91" s="4357">
        <f t="shared" si="204"/>
        <v>0</v>
      </c>
      <c r="AV91" s="4357">
        <f t="shared" si="204"/>
        <v>0</v>
      </c>
      <c r="AW91" s="4357">
        <f t="shared" si="204"/>
        <v>0</v>
      </c>
      <c r="AX91" s="4357">
        <f t="shared" si="204"/>
        <v>0</v>
      </c>
      <c r="AY91" s="4357">
        <f t="shared" si="204"/>
        <v>0</v>
      </c>
      <c r="AZ91" s="4357">
        <f t="shared" si="204"/>
        <v>0</v>
      </c>
      <c r="BA91" s="4357">
        <f t="shared" si="204"/>
        <v>0</v>
      </c>
      <c r="BB91" s="4357">
        <f t="shared" si="204"/>
        <v>0</v>
      </c>
      <c r="BC91" s="4357">
        <f t="shared" si="204"/>
        <v>0</v>
      </c>
      <c r="BD91" s="4357">
        <f t="shared" si="204"/>
        <v>0</v>
      </c>
      <c r="BE91" s="4357">
        <f t="shared" si="204"/>
        <v>0</v>
      </c>
      <c r="BF91" s="4357">
        <f t="shared" si="204"/>
        <v>0</v>
      </c>
      <c r="BG91" s="4357">
        <f t="shared" si="204"/>
        <v>0</v>
      </c>
      <c r="BH91" s="4357">
        <f t="shared" si="204"/>
        <v>0</v>
      </c>
      <c r="BI91" s="4357">
        <f t="shared" si="204"/>
        <v>0</v>
      </c>
      <c r="BJ91" s="4357">
        <f t="shared" si="204"/>
        <v>0</v>
      </c>
      <c r="BK91" s="4357">
        <f t="shared" si="204"/>
        <v>0</v>
      </c>
      <c r="BL91" s="4357">
        <f t="shared" si="204"/>
        <v>0</v>
      </c>
      <c r="BM91" s="4357">
        <f t="shared" si="204"/>
        <v>0</v>
      </c>
      <c r="BN91" s="4357">
        <f t="shared" si="204"/>
        <v>0</v>
      </c>
      <c r="BO91" s="4357">
        <f t="shared" si="204"/>
        <v>0</v>
      </c>
      <c r="BP91" s="4357">
        <f t="shared" si="204"/>
        <v>0</v>
      </c>
      <c r="BQ91" s="4357">
        <f t="shared" ref="BQ91:CH91" si="205">IFERROR(IF((time+time_cap)&lt;BQ$2, 0,IF(AND(time+1&gt;=BR$2, $AC91&lt;BR$2), IF($AG91= "I", $AH91/($AD91-$AC91+1), $AH91/(($AD91*($AD91+1)/2)-(($AC91-1)*($AC91-1+1)/2))*BQ$2), 0)+IF(IF(time+1&gt;=BR$2, $AI91/time_cap/(time+1)*BQ$2, 0) = 0, $AI91/(time_cap),0)),0)</f>
        <v>0</v>
      </c>
      <c r="BR91" s="4357">
        <f t="shared" si="205"/>
        <v>0</v>
      </c>
      <c r="BS91" s="4357">
        <f t="shared" si="205"/>
        <v>0</v>
      </c>
      <c r="BT91" s="4357">
        <f t="shared" si="205"/>
        <v>0</v>
      </c>
      <c r="BU91" s="4357">
        <f t="shared" si="205"/>
        <v>0</v>
      </c>
      <c r="BV91" s="4357">
        <f t="shared" si="205"/>
        <v>0</v>
      </c>
      <c r="BW91" s="4357">
        <f t="shared" si="205"/>
        <v>0</v>
      </c>
      <c r="BX91" s="4357">
        <f t="shared" si="205"/>
        <v>0</v>
      </c>
      <c r="BY91" s="4357">
        <f t="shared" si="205"/>
        <v>0</v>
      </c>
      <c r="BZ91" s="4357">
        <f t="shared" si="205"/>
        <v>0</v>
      </c>
      <c r="CA91" s="4357">
        <f t="shared" si="205"/>
        <v>0</v>
      </c>
      <c r="CB91" s="4357">
        <f t="shared" si="205"/>
        <v>0</v>
      </c>
      <c r="CC91" s="4357">
        <f t="shared" si="205"/>
        <v>0</v>
      </c>
      <c r="CD91" s="4357">
        <f t="shared" si="205"/>
        <v>0</v>
      </c>
      <c r="CE91" s="4357">
        <f t="shared" si="205"/>
        <v>0</v>
      </c>
      <c r="CF91" s="4357">
        <f t="shared" si="205"/>
        <v>0</v>
      </c>
      <c r="CG91" s="4357">
        <f t="shared" si="205"/>
        <v>0</v>
      </c>
      <c r="CH91" s="4357">
        <f t="shared" si="205"/>
        <v>0</v>
      </c>
      <c r="CI91" s="4357"/>
      <c r="CJ91" s="4357"/>
      <c r="CK91" s="4357"/>
      <c r="CL91" s="4357"/>
      <c r="CM91" s="4357"/>
      <c r="CN91" s="4357"/>
      <c r="CO91" s="4357"/>
      <c r="CP91" s="4357"/>
      <c r="CQ91" s="4357"/>
      <c r="CR91" s="4357"/>
      <c r="CS91" s="4357"/>
      <c r="CT91" s="4357"/>
      <c r="CU91" s="4357"/>
      <c r="CV91" s="4357"/>
      <c r="CW91" s="4357"/>
      <c r="CX91" s="4357"/>
      <c r="CY91" s="4357"/>
      <c r="CZ91" s="4357"/>
      <c r="DA91" s="4357"/>
      <c r="DB91" s="4357"/>
      <c r="DC91" s="4357"/>
      <c r="DD91" s="4357"/>
      <c r="DE91" s="4357"/>
      <c r="DF91" s="4357"/>
      <c r="DG91" s="4357"/>
      <c r="DH91" s="4357"/>
      <c r="DI91" s="4357"/>
      <c r="DJ91" s="4357"/>
      <c r="DK91" s="4357"/>
      <c r="DL91" s="4357"/>
      <c r="DM91" s="4357"/>
      <c r="DN91" s="4357"/>
      <c r="DO91" s="4357"/>
      <c r="DP91" s="4357"/>
      <c r="DQ91" s="4357"/>
      <c r="DR91" s="4357"/>
      <c r="DS91" s="4357"/>
      <c r="DT91" s="4357"/>
      <c r="DU91" s="4357"/>
      <c r="DV91" s="4357"/>
      <c r="DW91" s="4357"/>
      <c r="DX91" s="4357"/>
      <c r="DY91" s="4357"/>
      <c r="DZ91" s="4357"/>
      <c r="EA91" s="4357"/>
      <c r="EB91" s="4357"/>
      <c r="EC91" s="4357"/>
      <c r="ED91" s="4357"/>
      <c r="EE91" s="4357"/>
      <c r="EF91" s="4357"/>
    </row>
    <row r="92" spans="1:136" ht="16" x14ac:dyDescent="0.2">
      <c r="A92" t="str">
        <f>Languages!$B$649</f>
        <v xml:space="preserve">Grasslands </v>
      </c>
      <c r="B92" t="s">
        <v>3002</v>
      </c>
      <c r="D92" t="str">
        <f>'4.Grassland'!G16</f>
        <v>High intensity grazing</v>
      </c>
      <c r="E92">
        <f>'4.Grassland'!AG16</f>
        <v>0</v>
      </c>
      <c r="F92" s="388">
        <v>0</v>
      </c>
      <c r="G92">
        <f>grass!I33-grass!H33</f>
        <v>0</v>
      </c>
      <c r="M92" s="388">
        <f>grass!AJ13-grass!AI13</f>
        <v>0</v>
      </c>
      <c r="N92">
        <v>0</v>
      </c>
      <c r="U92" s="388">
        <f>grass!AH13-grass!AG13</f>
        <v>0</v>
      </c>
      <c r="AB92" t="str">
        <f t="shared" si="171"/>
        <v>ok</v>
      </c>
      <c r="AC92">
        <f>IF('4.Grassland'!BR16&lt;&gt;0,'4.Grassland'!BR16, '4.Grassland'!BQ16)</f>
        <v>1</v>
      </c>
      <c r="AD92">
        <f t="shared" si="190"/>
        <v>5</v>
      </c>
      <c r="AE92" s="4357" t="s">
        <v>86</v>
      </c>
      <c r="AF92" s="4357" t="s">
        <v>86</v>
      </c>
      <c r="AG92" s="4357" t="str">
        <f t="shared" si="193"/>
        <v>D</v>
      </c>
      <c r="AH92" s="4357">
        <f>((E92/(time_cap+((AD92-AC92+1)*VLOOKUP(AG92,list!$I$48:$K$50,3, FALSE))))*(AD92-AC92+1)*VLOOKUP(AG92,list!$I$48:$K$50,3, FALSE))</f>
        <v>0</v>
      </c>
      <c r="AI92" s="4357">
        <f>((E92/(time_cap+((AD92-AC92+1)*VLOOKUP(AG92,list!$I$48:$K$50,3, FALSE))))*time_cap)</f>
        <v>0</v>
      </c>
      <c r="AK92" s="4357">
        <f t="shared" ref="AK92:BP92" si="206">IFERROR(IF((time+time_cap)&lt;AK$2, 0,IF(AND(time+1&gt;=AL$2, $AC92&lt;AL$2), IF($AG92= "I", $AH92/($AD92-$AC92+1), $AH92/(($AD92*($AD92+1)/2)-(($AC92-1)*($AC92-1+1)/2))*AK$2), 0)+IF(IF(time+1&gt;=AL$2, $AI92/time_cap/(time+1)*AK$2, 0) = 0, $AI92/(time_cap),0)),0)</f>
        <v>0</v>
      </c>
      <c r="AL92" s="4357">
        <f t="shared" si="206"/>
        <v>0</v>
      </c>
      <c r="AM92" s="4357">
        <f t="shared" si="206"/>
        <v>0</v>
      </c>
      <c r="AN92" s="4357">
        <f t="shared" si="206"/>
        <v>0</v>
      </c>
      <c r="AO92" s="4357">
        <f t="shared" si="206"/>
        <v>0</v>
      </c>
      <c r="AP92" s="4357">
        <f t="shared" si="206"/>
        <v>0</v>
      </c>
      <c r="AQ92" s="4357">
        <f t="shared" si="206"/>
        <v>0</v>
      </c>
      <c r="AR92" s="4357">
        <f t="shared" si="206"/>
        <v>0</v>
      </c>
      <c r="AS92" s="4357">
        <f t="shared" si="206"/>
        <v>0</v>
      </c>
      <c r="AT92" s="4357">
        <f t="shared" si="206"/>
        <v>0</v>
      </c>
      <c r="AU92" s="4357">
        <f t="shared" si="206"/>
        <v>0</v>
      </c>
      <c r="AV92" s="4357">
        <f t="shared" si="206"/>
        <v>0</v>
      </c>
      <c r="AW92" s="4357">
        <f t="shared" si="206"/>
        <v>0</v>
      </c>
      <c r="AX92" s="4357">
        <f t="shared" si="206"/>
        <v>0</v>
      </c>
      <c r="AY92" s="4357">
        <f t="shared" si="206"/>
        <v>0</v>
      </c>
      <c r="AZ92" s="4357">
        <f t="shared" si="206"/>
        <v>0</v>
      </c>
      <c r="BA92" s="4357">
        <f t="shared" si="206"/>
        <v>0</v>
      </c>
      <c r="BB92" s="4357">
        <f t="shared" si="206"/>
        <v>0</v>
      </c>
      <c r="BC92" s="4357">
        <f t="shared" si="206"/>
        <v>0</v>
      </c>
      <c r="BD92" s="4357">
        <f t="shared" si="206"/>
        <v>0</v>
      </c>
      <c r="BE92" s="4357">
        <f t="shared" si="206"/>
        <v>0</v>
      </c>
      <c r="BF92" s="4357">
        <f t="shared" si="206"/>
        <v>0</v>
      </c>
      <c r="BG92" s="4357">
        <f t="shared" si="206"/>
        <v>0</v>
      </c>
      <c r="BH92" s="4357">
        <f t="shared" si="206"/>
        <v>0</v>
      </c>
      <c r="BI92" s="4357">
        <f t="shared" si="206"/>
        <v>0</v>
      </c>
      <c r="BJ92" s="4357">
        <f t="shared" si="206"/>
        <v>0</v>
      </c>
      <c r="BK92" s="4357">
        <f t="shared" si="206"/>
        <v>0</v>
      </c>
      <c r="BL92" s="4357">
        <f t="shared" si="206"/>
        <v>0</v>
      </c>
      <c r="BM92" s="4357">
        <f t="shared" si="206"/>
        <v>0</v>
      </c>
      <c r="BN92" s="4357">
        <f t="shared" si="206"/>
        <v>0</v>
      </c>
      <c r="BO92" s="4357">
        <f t="shared" si="206"/>
        <v>0</v>
      </c>
      <c r="BP92" s="4357">
        <f t="shared" si="206"/>
        <v>0</v>
      </c>
      <c r="BQ92" s="4357">
        <f t="shared" ref="BQ92:CH92" si="207">IFERROR(IF((time+time_cap)&lt;BQ$2, 0,IF(AND(time+1&gt;=BR$2, $AC92&lt;BR$2), IF($AG92= "I", $AH92/($AD92-$AC92+1), $AH92/(($AD92*($AD92+1)/2)-(($AC92-1)*($AC92-1+1)/2))*BQ$2), 0)+IF(IF(time+1&gt;=BR$2, $AI92/time_cap/(time+1)*BQ$2, 0) = 0, $AI92/(time_cap),0)),0)</f>
        <v>0</v>
      </c>
      <c r="BR92" s="4357">
        <f t="shared" si="207"/>
        <v>0</v>
      </c>
      <c r="BS92" s="4357">
        <f t="shared" si="207"/>
        <v>0</v>
      </c>
      <c r="BT92" s="4357">
        <f t="shared" si="207"/>
        <v>0</v>
      </c>
      <c r="BU92" s="4357">
        <f t="shared" si="207"/>
        <v>0</v>
      </c>
      <c r="BV92" s="4357">
        <f t="shared" si="207"/>
        <v>0</v>
      </c>
      <c r="BW92" s="4357">
        <f t="shared" si="207"/>
        <v>0</v>
      </c>
      <c r="BX92" s="4357">
        <f t="shared" si="207"/>
        <v>0</v>
      </c>
      <c r="BY92" s="4357">
        <f t="shared" si="207"/>
        <v>0</v>
      </c>
      <c r="BZ92" s="4357">
        <f t="shared" si="207"/>
        <v>0</v>
      </c>
      <c r="CA92" s="4357">
        <f t="shared" si="207"/>
        <v>0</v>
      </c>
      <c r="CB92" s="4357">
        <f t="shared" si="207"/>
        <v>0</v>
      </c>
      <c r="CC92" s="4357">
        <f t="shared" si="207"/>
        <v>0</v>
      </c>
      <c r="CD92" s="4357">
        <f t="shared" si="207"/>
        <v>0</v>
      </c>
      <c r="CE92" s="4357">
        <f t="shared" si="207"/>
        <v>0</v>
      </c>
      <c r="CF92" s="4357">
        <f t="shared" si="207"/>
        <v>0</v>
      </c>
      <c r="CG92" s="4357">
        <f t="shared" si="207"/>
        <v>0</v>
      </c>
      <c r="CH92" s="4357">
        <f t="shared" si="207"/>
        <v>0</v>
      </c>
      <c r="CI92" s="4357"/>
      <c r="CJ92" s="4357"/>
      <c r="CK92" s="4357"/>
      <c r="CL92" s="4357"/>
      <c r="CM92" s="4357"/>
      <c r="CN92" s="4357"/>
      <c r="CO92" s="4357"/>
      <c r="CP92" s="4357"/>
      <c r="CQ92" s="4357"/>
      <c r="CR92" s="4357"/>
      <c r="CS92" s="4357"/>
      <c r="CT92" s="4357"/>
      <c r="CU92" s="4357"/>
      <c r="CV92" s="4357"/>
      <c r="CW92" s="4357"/>
      <c r="CX92" s="4357"/>
      <c r="CY92" s="4357"/>
      <c r="CZ92" s="4357"/>
      <c r="DA92" s="4357"/>
      <c r="DB92" s="4357"/>
      <c r="DC92" s="4357"/>
      <c r="DD92" s="4357"/>
      <c r="DE92" s="4357"/>
      <c r="DF92" s="4357"/>
      <c r="DG92" s="4357"/>
      <c r="DH92" s="4357"/>
      <c r="DI92" s="4357"/>
      <c r="DJ92" s="4357"/>
      <c r="DK92" s="4357"/>
      <c r="DL92" s="4357"/>
      <c r="DM92" s="4357"/>
      <c r="DN92" s="4357"/>
      <c r="DO92" s="4357"/>
      <c r="DP92" s="4357"/>
      <c r="DQ92" s="4357"/>
      <c r="DR92" s="4357"/>
      <c r="DS92" s="4357"/>
      <c r="DT92" s="4357"/>
      <c r="DU92" s="4357"/>
      <c r="DV92" s="4357"/>
      <c r="DW92" s="4357"/>
      <c r="DX92" s="4357"/>
      <c r="DY92" s="4357"/>
      <c r="DZ92" s="4357"/>
      <c r="EA92" s="4357"/>
      <c r="EB92" s="4357"/>
      <c r="EC92" s="4357"/>
      <c r="ED92" s="4357"/>
      <c r="EE92" s="4357"/>
      <c r="EF92" s="4357"/>
    </row>
    <row r="93" spans="1:136" ht="16" x14ac:dyDescent="0.2">
      <c r="A93" t="str">
        <f>Languages!$B$649</f>
        <v xml:space="preserve">Grasslands </v>
      </c>
      <c r="B93" t="s">
        <v>3002</v>
      </c>
      <c r="C93">
        <f>'4.Grassland'!D26</f>
        <v>0</v>
      </c>
      <c r="D93" t="str">
        <f>'4.Grassland'!G26</f>
        <v>High intensity grazing</v>
      </c>
      <c r="E93">
        <f>'4.Grassland'!AG26</f>
        <v>0</v>
      </c>
      <c r="F93" s="388">
        <v>0</v>
      </c>
      <c r="G93">
        <f>grass!I34-grass!H34</f>
        <v>0</v>
      </c>
      <c r="M93" s="388">
        <f>grass!AJ14-grass!AI14</f>
        <v>0</v>
      </c>
      <c r="N93">
        <v>0</v>
      </c>
      <c r="U93" s="388">
        <f>grass!AH14-grass!AG14</f>
        <v>0</v>
      </c>
      <c r="AB93" t="str">
        <f t="shared" si="171"/>
        <v>ok</v>
      </c>
      <c r="AC93">
        <f>IF('4.Grassland'!BR26&lt;&gt;0,'4.Grassland'!BR26, '4.Grassland'!BQ26)</f>
        <v>1</v>
      </c>
      <c r="AD93">
        <f t="shared" si="190"/>
        <v>5</v>
      </c>
      <c r="AE93" s="4357" t="str">
        <f>'4.Grassland'!Y26</f>
        <v>D</v>
      </c>
      <c r="AF93" s="4357" t="str">
        <f>'4.Grassland'!AA26</f>
        <v>D</v>
      </c>
      <c r="AG93" s="4357" t="str">
        <f t="shared" si="193"/>
        <v>D</v>
      </c>
      <c r="AH93" s="4357">
        <f>((E93/(time_cap+((AD93-AC93+1)*VLOOKUP(AG93,list!$I$48:$K$50,3, FALSE))))*(AD93-AC93+1)*VLOOKUP(AG93,list!$I$48:$K$50,3, FALSE))</f>
        <v>0</v>
      </c>
      <c r="AI93" s="4357">
        <f>((E93/(time_cap+((AD93-AC93+1)*VLOOKUP(AG93,list!$I$48:$K$50,3, FALSE))))*time_cap)</f>
        <v>0</v>
      </c>
      <c r="AK93" s="4357">
        <f t="shared" ref="AK93:BP93" si="208">IFERROR(IF((time+time_cap)&lt;AK$2, 0,IF(AND(time+1&gt;=AL$2, $AC93&lt;AL$2), IF($AG93= "I", $AH93/($AD93-$AC93+1), $AH93/(($AD93*($AD93+1)/2)-(($AC93-1)*($AC93-1+1)/2))*AK$2), 0)+IF(IF(time+1&gt;=AL$2, $AI93/time_cap/(time+1)*AK$2, 0) = 0, $AI93/(time_cap),0)),0)</f>
        <v>0</v>
      </c>
      <c r="AL93" s="4357">
        <f t="shared" si="208"/>
        <v>0</v>
      </c>
      <c r="AM93" s="4357">
        <f t="shared" si="208"/>
        <v>0</v>
      </c>
      <c r="AN93" s="4357">
        <f t="shared" si="208"/>
        <v>0</v>
      </c>
      <c r="AO93" s="4357">
        <f t="shared" si="208"/>
        <v>0</v>
      </c>
      <c r="AP93" s="4357">
        <f t="shared" si="208"/>
        <v>0</v>
      </c>
      <c r="AQ93" s="4357">
        <f t="shared" si="208"/>
        <v>0</v>
      </c>
      <c r="AR93" s="4357">
        <f t="shared" si="208"/>
        <v>0</v>
      </c>
      <c r="AS93" s="4357">
        <f t="shared" si="208"/>
        <v>0</v>
      </c>
      <c r="AT93" s="4357">
        <f t="shared" si="208"/>
        <v>0</v>
      </c>
      <c r="AU93" s="4357">
        <f t="shared" si="208"/>
        <v>0</v>
      </c>
      <c r="AV93" s="4357">
        <f t="shared" si="208"/>
        <v>0</v>
      </c>
      <c r="AW93" s="4357">
        <f t="shared" si="208"/>
        <v>0</v>
      </c>
      <c r="AX93" s="4357">
        <f t="shared" si="208"/>
        <v>0</v>
      </c>
      <c r="AY93" s="4357">
        <f t="shared" si="208"/>
        <v>0</v>
      </c>
      <c r="AZ93" s="4357">
        <f t="shared" si="208"/>
        <v>0</v>
      </c>
      <c r="BA93" s="4357">
        <f t="shared" si="208"/>
        <v>0</v>
      </c>
      <c r="BB93" s="4357">
        <f t="shared" si="208"/>
        <v>0</v>
      </c>
      <c r="BC93" s="4357">
        <f t="shared" si="208"/>
        <v>0</v>
      </c>
      <c r="BD93" s="4357">
        <f t="shared" si="208"/>
        <v>0</v>
      </c>
      <c r="BE93" s="4357">
        <f t="shared" si="208"/>
        <v>0</v>
      </c>
      <c r="BF93" s="4357">
        <f t="shared" si="208"/>
        <v>0</v>
      </c>
      <c r="BG93" s="4357">
        <f t="shared" si="208"/>
        <v>0</v>
      </c>
      <c r="BH93" s="4357">
        <f t="shared" si="208"/>
        <v>0</v>
      </c>
      <c r="BI93" s="4357">
        <f t="shared" si="208"/>
        <v>0</v>
      </c>
      <c r="BJ93" s="4357">
        <f t="shared" si="208"/>
        <v>0</v>
      </c>
      <c r="BK93" s="4357">
        <f t="shared" si="208"/>
        <v>0</v>
      </c>
      <c r="BL93" s="4357">
        <f t="shared" si="208"/>
        <v>0</v>
      </c>
      <c r="BM93" s="4357">
        <f t="shared" si="208"/>
        <v>0</v>
      </c>
      <c r="BN93" s="4357">
        <f t="shared" si="208"/>
        <v>0</v>
      </c>
      <c r="BO93" s="4357">
        <f t="shared" si="208"/>
        <v>0</v>
      </c>
      <c r="BP93" s="4357">
        <f t="shared" si="208"/>
        <v>0</v>
      </c>
      <c r="BQ93" s="4357">
        <f t="shared" ref="BQ93:CH93" si="209">IFERROR(IF((time+time_cap)&lt;BQ$2, 0,IF(AND(time+1&gt;=BR$2, $AC93&lt;BR$2), IF($AG93= "I", $AH93/($AD93-$AC93+1), $AH93/(($AD93*($AD93+1)/2)-(($AC93-1)*($AC93-1+1)/2))*BQ$2), 0)+IF(IF(time+1&gt;=BR$2, $AI93/time_cap/(time+1)*BQ$2, 0) = 0, $AI93/(time_cap),0)),0)</f>
        <v>0</v>
      </c>
      <c r="BR93" s="4357">
        <f t="shared" si="209"/>
        <v>0</v>
      </c>
      <c r="BS93" s="4357">
        <f t="shared" si="209"/>
        <v>0</v>
      </c>
      <c r="BT93" s="4357">
        <f t="shared" si="209"/>
        <v>0</v>
      </c>
      <c r="BU93" s="4357">
        <f t="shared" si="209"/>
        <v>0</v>
      </c>
      <c r="BV93" s="4357">
        <f t="shared" si="209"/>
        <v>0</v>
      </c>
      <c r="BW93" s="4357">
        <f t="shared" si="209"/>
        <v>0</v>
      </c>
      <c r="BX93" s="4357">
        <f t="shared" si="209"/>
        <v>0</v>
      </c>
      <c r="BY93" s="4357">
        <f t="shared" si="209"/>
        <v>0</v>
      </c>
      <c r="BZ93" s="4357">
        <f t="shared" si="209"/>
        <v>0</v>
      </c>
      <c r="CA93" s="4357">
        <f t="shared" si="209"/>
        <v>0</v>
      </c>
      <c r="CB93" s="4357">
        <f t="shared" si="209"/>
        <v>0</v>
      </c>
      <c r="CC93" s="4357">
        <f t="shared" si="209"/>
        <v>0</v>
      </c>
      <c r="CD93" s="4357">
        <f t="shared" si="209"/>
        <v>0</v>
      </c>
      <c r="CE93" s="4357">
        <f t="shared" si="209"/>
        <v>0</v>
      </c>
      <c r="CF93" s="4357">
        <f t="shared" si="209"/>
        <v>0</v>
      </c>
      <c r="CG93" s="4357">
        <f t="shared" si="209"/>
        <v>0</v>
      </c>
      <c r="CH93" s="4357">
        <f t="shared" si="209"/>
        <v>0</v>
      </c>
      <c r="CI93" s="4357"/>
      <c r="CJ93" s="4357"/>
      <c r="CK93" s="4357"/>
      <c r="CL93" s="4357"/>
      <c r="CM93" s="4357"/>
      <c r="CN93" s="4357"/>
      <c r="CO93" s="4357"/>
      <c r="CP93" s="4357"/>
      <c r="CQ93" s="4357"/>
      <c r="CR93" s="4357"/>
      <c r="CS93" s="4357"/>
      <c r="CT93" s="4357"/>
      <c r="CU93" s="4357"/>
      <c r="CV93" s="4357"/>
      <c r="CW93" s="4357"/>
      <c r="CX93" s="4357"/>
      <c r="CY93" s="4357"/>
      <c r="CZ93" s="4357"/>
      <c r="DA93" s="4357"/>
      <c r="DB93" s="4357"/>
      <c r="DC93" s="4357"/>
      <c r="DD93" s="4357"/>
      <c r="DE93" s="4357"/>
      <c r="DF93" s="4357"/>
      <c r="DG93" s="4357"/>
      <c r="DH93" s="4357"/>
      <c r="DI93" s="4357"/>
      <c r="DJ93" s="4357"/>
      <c r="DK93" s="4357"/>
      <c r="DL93" s="4357"/>
      <c r="DM93" s="4357"/>
      <c r="DN93" s="4357"/>
      <c r="DO93" s="4357"/>
      <c r="DP93" s="4357"/>
      <c r="DQ93" s="4357"/>
      <c r="DR93" s="4357"/>
      <c r="DS93" s="4357"/>
      <c r="DT93" s="4357"/>
      <c r="DU93" s="4357"/>
      <c r="DV93" s="4357"/>
      <c r="DW93" s="4357"/>
      <c r="DX93" s="4357"/>
      <c r="DY93" s="4357"/>
      <c r="DZ93" s="4357"/>
      <c r="EA93" s="4357"/>
      <c r="EB93" s="4357"/>
      <c r="EC93" s="4357"/>
      <c r="ED93" s="4357"/>
      <c r="EE93" s="4357"/>
      <c r="EF93" s="4357"/>
    </row>
    <row r="94" spans="1:136" ht="16" x14ac:dyDescent="0.2">
      <c r="A94" t="str">
        <f>Languages!$B$649</f>
        <v xml:space="preserve">Grasslands </v>
      </c>
      <c r="B94" t="s">
        <v>3002</v>
      </c>
      <c r="C94">
        <f>'4.Grassland'!D27</f>
        <v>0</v>
      </c>
      <c r="D94" t="str">
        <f>'4.Grassland'!G27</f>
        <v>Please select</v>
      </c>
      <c r="E94">
        <f>'4.Grassland'!AG27</f>
        <v>-2475.0000000000009</v>
      </c>
      <c r="F94" s="388">
        <v>0</v>
      </c>
      <c r="G94">
        <f>grass!I35-grass!H35</f>
        <v>-2475.0000000000009</v>
      </c>
      <c r="M94" s="388">
        <f>grass!AJ15-grass!AI15</f>
        <v>0</v>
      </c>
      <c r="N94">
        <v>0</v>
      </c>
      <c r="U94" s="388">
        <f>grass!AH15-grass!AG15</f>
        <v>0</v>
      </c>
      <c r="AB94" t="str">
        <f t="shared" si="171"/>
        <v>ok</v>
      </c>
      <c r="AC94">
        <f>IF('4.Grassland'!BR27&lt;&gt;0,'4.Grassland'!BR27, '4.Grassland'!BQ27)</f>
        <v>1</v>
      </c>
      <c r="AD94">
        <f t="shared" si="190"/>
        <v>5</v>
      </c>
      <c r="AE94" s="4357" t="str">
        <f>'4.Grassland'!Y27</f>
        <v>D</v>
      </c>
      <c r="AF94" s="4357" t="str">
        <f>'4.Grassland'!AA27</f>
        <v>D</v>
      </c>
      <c r="AG94" s="4357" t="str">
        <f t="shared" si="193"/>
        <v>D</v>
      </c>
      <c r="AH94" s="4357">
        <f>((E94/(time_cap+((AD94-AC94+1)*VLOOKUP(AG94,list!$I$48:$K$50,3, FALSE))))*(AD94-AC94+1)*VLOOKUP(AG94,list!$I$48:$K$50,3, FALSE))</f>
        <v>-495.00000000000023</v>
      </c>
      <c r="AI94" s="4357">
        <f>((E94/(time_cap+((AD94-AC94+1)*VLOOKUP(AG94,list!$I$48:$K$50,3, FALSE))))*time_cap)</f>
        <v>-1980.0000000000009</v>
      </c>
      <c r="AK94" s="4357">
        <f t="shared" ref="AK94:BP94" si="210">IFERROR(IF((time+time_cap)&lt;AK$2, 0,IF(AND(time+1&gt;=AL$2, $AC94&lt;AL$2), IF($AG94= "I", $AH94/($AD94-$AC94+1), $AH94/(($AD94*($AD94+1)/2)-(($AC94-1)*($AC94-1+1)/2))*AK$2), 0)+IF(IF(time+1&gt;=AL$2, $AI94/time_cap/(time+1)*AK$2, 0) = 0, $AI94/(time_cap),0)),0)</f>
        <v>-33.000000000000014</v>
      </c>
      <c r="AL94" s="4357">
        <f t="shared" si="210"/>
        <v>-66.000000000000028</v>
      </c>
      <c r="AM94" s="4357">
        <f t="shared" si="210"/>
        <v>-99.000000000000043</v>
      </c>
      <c r="AN94" s="4357">
        <f t="shared" si="210"/>
        <v>-132.00000000000006</v>
      </c>
      <c r="AO94" s="4357">
        <f t="shared" si="210"/>
        <v>-165.00000000000006</v>
      </c>
      <c r="AP94" s="4357">
        <f t="shared" si="210"/>
        <v>-198.00000000000009</v>
      </c>
      <c r="AQ94" s="4357">
        <f t="shared" si="210"/>
        <v>-198.00000000000009</v>
      </c>
      <c r="AR94" s="4357">
        <f t="shared" si="210"/>
        <v>-198.00000000000009</v>
      </c>
      <c r="AS94" s="4357">
        <f t="shared" si="210"/>
        <v>-198.00000000000009</v>
      </c>
      <c r="AT94" s="4357">
        <f t="shared" si="210"/>
        <v>-198.00000000000009</v>
      </c>
      <c r="AU94" s="4357">
        <f t="shared" si="210"/>
        <v>-198.00000000000009</v>
      </c>
      <c r="AV94" s="4357">
        <f t="shared" si="210"/>
        <v>-198.00000000000009</v>
      </c>
      <c r="AW94" s="4357">
        <f t="shared" si="210"/>
        <v>-198.00000000000009</v>
      </c>
      <c r="AX94" s="4357">
        <f t="shared" si="210"/>
        <v>-198.00000000000009</v>
      </c>
      <c r="AY94" s="4357">
        <f t="shared" si="210"/>
        <v>-198.00000000000009</v>
      </c>
      <c r="AZ94" s="4357">
        <f t="shared" si="210"/>
        <v>0</v>
      </c>
      <c r="BA94" s="4357">
        <f t="shared" si="210"/>
        <v>0</v>
      </c>
      <c r="BB94" s="4357">
        <f t="shared" si="210"/>
        <v>0</v>
      </c>
      <c r="BC94" s="4357">
        <f t="shared" si="210"/>
        <v>0</v>
      </c>
      <c r="BD94" s="4357">
        <f t="shared" si="210"/>
        <v>0</v>
      </c>
      <c r="BE94" s="4357">
        <f t="shared" si="210"/>
        <v>0</v>
      </c>
      <c r="BF94" s="4357">
        <f t="shared" si="210"/>
        <v>0</v>
      </c>
      <c r="BG94" s="4357">
        <f t="shared" si="210"/>
        <v>0</v>
      </c>
      <c r="BH94" s="4357">
        <f t="shared" si="210"/>
        <v>0</v>
      </c>
      <c r="BI94" s="4357">
        <f t="shared" si="210"/>
        <v>0</v>
      </c>
      <c r="BJ94" s="4357">
        <f t="shared" si="210"/>
        <v>0</v>
      </c>
      <c r="BK94" s="4357">
        <f t="shared" si="210"/>
        <v>0</v>
      </c>
      <c r="BL94" s="4357">
        <f t="shared" si="210"/>
        <v>0</v>
      </c>
      <c r="BM94" s="4357">
        <f t="shared" si="210"/>
        <v>0</v>
      </c>
      <c r="BN94" s="4357">
        <f t="shared" si="210"/>
        <v>0</v>
      </c>
      <c r="BO94" s="4357">
        <f t="shared" si="210"/>
        <v>0</v>
      </c>
      <c r="BP94" s="4357">
        <f t="shared" si="210"/>
        <v>0</v>
      </c>
      <c r="BQ94" s="4357">
        <f t="shared" ref="BQ94:CH94" si="211">IFERROR(IF((time+time_cap)&lt;BQ$2, 0,IF(AND(time+1&gt;=BR$2, $AC94&lt;BR$2), IF($AG94= "I", $AH94/($AD94-$AC94+1), $AH94/(($AD94*($AD94+1)/2)-(($AC94-1)*($AC94-1+1)/2))*BQ$2), 0)+IF(IF(time+1&gt;=BR$2, $AI94/time_cap/(time+1)*BQ$2, 0) = 0, $AI94/(time_cap),0)),0)</f>
        <v>0</v>
      </c>
      <c r="BR94" s="4357">
        <f t="shared" si="211"/>
        <v>0</v>
      </c>
      <c r="BS94" s="4357">
        <f t="shared" si="211"/>
        <v>0</v>
      </c>
      <c r="BT94" s="4357">
        <f t="shared" si="211"/>
        <v>0</v>
      </c>
      <c r="BU94" s="4357">
        <f t="shared" si="211"/>
        <v>0</v>
      </c>
      <c r="BV94" s="4357">
        <f t="shared" si="211"/>
        <v>0</v>
      </c>
      <c r="BW94" s="4357">
        <f t="shared" si="211"/>
        <v>0</v>
      </c>
      <c r="BX94" s="4357">
        <f t="shared" si="211"/>
        <v>0</v>
      </c>
      <c r="BY94" s="4357">
        <f t="shared" si="211"/>
        <v>0</v>
      </c>
      <c r="BZ94" s="4357">
        <f t="shared" si="211"/>
        <v>0</v>
      </c>
      <c r="CA94" s="4357">
        <f t="shared" si="211"/>
        <v>0</v>
      </c>
      <c r="CB94" s="4357">
        <f t="shared" si="211"/>
        <v>0</v>
      </c>
      <c r="CC94" s="4357">
        <f t="shared" si="211"/>
        <v>0</v>
      </c>
      <c r="CD94" s="4357">
        <f t="shared" si="211"/>
        <v>0</v>
      </c>
      <c r="CE94" s="4357">
        <f t="shared" si="211"/>
        <v>0</v>
      </c>
      <c r="CF94" s="4357">
        <f t="shared" si="211"/>
        <v>0</v>
      </c>
      <c r="CG94" s="4357">
        <f t="shared" si="211"/>
        <v>0</v>
      </c>
      <c r="CH94" s="4357">
        <f t="shared" si="211"/>
        <v>0</v>
      </c>
      <c r="CI94" s="4357"/>
      <c r="CJ94" s="4357"/>
      <c r="CK94" s="4357"/>
      <c r="CL94" s="4357"/>
      <c r="CM94" s="4357"/>
      <c r="CN94" s="4357"/>
      <c r="CO94" s="4357"/>
      <c r="CP94" s="4357"/>
      <c r="CQ94" s="4357"/>
      <c r="CR94" s="4357"/>
      <c r="CS94" s="4357"/>
      <c r="CT94" s="4357"/>
      <c r="CU94" s="4357"/>
      <c r="CV94" s="4357"/>
      <c r="CW94" s="4357"/>
      <c r="CX94" s="4357"/>
      <c r="CY94" s="4357"/>
      <c r="CZ94" s="4357"/>
      <c r="DA94" s="4357"/>
      <c r="DB94" s="4357"/>
      <c r="DC94" s="4357"/>
      <c r="DD94" s="4357"/>
      <c r="DE94" s="4357"/>
      <c r="DF94" s="4357"/>
      <c r="DG94" s="4357"/>
      <c r="DH94" s="4357"/>
      <c r="DI94" s="4357"/>
      <c r="DJ94" s="4357"/>
      <c r="DK94" s="4357"/>
      <c r="DL94" s="4357"/>
      <c r="DM94" s="4357"/>
      <c r="DN94" s="4357"/>
      <c r="DO94" s="4357"/>
      <c r="DP94" s="4357"/>
      <c r="DQ94" s="4357"/>
      <c r="DR94" s="4357"/>
      <c r="DS94" s="4357"/>
      <c r="DT94" s="4357"/>
      <c r="DU94" s="4357"/>
      <c r="DV94" s="4357"/>
      <c r="DW94" s="4357"/>
      <c r="DX94" s="4357"/>
      <c r="DY94" s="4357"/>
      <c r="DZ94" s="4357"/>
      <c r="EA94" s="4357"/>
      <c r="EB94" s="4357"/>
      <c r="EC94" s="4357"/>
      <c r="ED94" s="4357"/>
      <c r="EE94" s="4357"/>
      <c r="EF94" s="4357"/>
    </row>
    <row r="95" spans="1:136" ht="16" x14ac:dyDescent="0.2">
      <c r="A95" t="str">
        <f>Languages!$B$649</f>
        <v xml:space="preserve">Grasslands </v>
      </c>
      <c r="B95" t="s">
        <v>3002</v>
      </c>
      <c r="C95">
        <f>'4.Grassland'!D28</f>
        <v>0</v>
      </c>
      <c r="D95" t="str">
        <f>'4.Grassland'!G28</f>
        <v>Please select</v>
      </c>
      <c r="E95">
        <f>'4.Grassland'!AG28</f>
        <v>0</v>
      </c>
      <c r="F95" s="388">
        <v>0</v>
      </c>
      <c r="G95">
        <f>grass!I36-grass!H36</f>
        <v>0</v>
      </c>
      <c r="M95" s="388">
        <f>grass!AJ16-grass!AI16</f>
        <v>0</v>
      </c>
      <c r="N95">
        <v>0</v>
      </c>
      <c r="U95" s="388">
        <f>grass!AH16-grass!AG16</f>
        <v>0</v>
      </c>
      <c r="AB95" t="str">
        <f t="shared" si="171"/>
        <v>ok</v>
      </c>
      <c r="AC95">
        <f>IF('4.Grassland'!BR28&lt;&gt;0,'4.Grassland'!BR28, '4.Grassland'!BQ28)</f>
        <v>1</v>
      </c>
      <c r="AD95">
        <f t="shared" si="190"/>
        <v>5</v>
      </c>
      <c r="AE95" s="4357" t="str">
        <f>'4.Grassland'!Y28</f>
        <v>D</v>
      </c>
      <c r="AF95" s="4357" t="str">
        <f>'4.Grassland'!AA28</f>
        <v>D</v>
      </c>
      <c r="AG95" s="4357" t="str">
        <f t="shared" si="193"/>
        <v>D</v>
      </c>
      <c r="AH95" s="4357">
        <f>((E95/(time_cap+((AD95-AC95+1)*VLOOKUP(AG95,list!$I$48:$K$50,3, FALSE))))*(AD95-AC95+1)*VLOOKUP(AG95,list!$I$48:$K$50,3, FALSE))</f>
        <v>0</v>
      </c>
      <c r="AI95" s="4357">
        <f>((E95/(time_cap+((AD95-AC95+1)*VLOOKUP(AG95,list!$I$48:$K$50,3, FALSE))))*time_cap)</f>
        <v>0</v>
      </c>
      <c r="AK95" s="4357">
        <f t="shared" ref="AK95:BP95" si="212">IFERROR(IF((time+time_cap)&lt;AK$2, 0,IF(AND(time+1&gt;=AL$2, $AC95&lt;AL$2), IF($AG95= "I", $AH95/($AD95-$AC95+1), $AH95/(($AD95*($AD95+1)/2)-(($AC95-1)*($AC95-1+1)/2))*AK$2), 0)+IF(IF(time+1&gt;=AL$2, $AI95/time_cap/(time+1)*AK$2, 0) = 0, $AI95/(time_cap),0)),0)</f>
        <v>0</v>
      </c>
      <c r="AL95" s="4357">
        <f t="shared" si="212"/>
        <v>0</v>
      </c>
      <c r="AM95" s="4357">
        <f t="shared" si="212"/>
        <v>0</v>
      </c>
      <c r="AN95" s="4357">
        <f t="shared" si="212"/>
        <v>0</v>
      </c>
      <c r="AO95" s="4357">
        <f t="shared" si="212"/>
        <v>0</v>
      </c>
      <c r="AP95" s="4357">
        <f t="shared" si="212"/>
        <v>0</v>
      </c>
      <c r="AQ95" s="4357">
        <f t="shared" si="212"/>
        <v>0</v>
      </c>
      <c r="AR95" s="4357">
        <f t="shared" si="212"/>
        <v>0</v>
      </c>
      <c r="AS95" s="4357">
        <f t="shared" si="212"/>
        <v>0</v>
      </c>
      <c r="AT95" s="4357">
        <f t="shared" si="212"/>
        <v>0</v>
      </c>
      <c r="AU95" s="4357">
        <f t="shared" si="212"/>
        <v>0</v>
      </c>
      <c r="AV95" s="4357">
        <f t="shared" si="212"/>
        <v>0</v>
      </c>
      <c r="AW95" s="4357">
        <f t="shared" si="212"/>
        <v>0</v>
      </c>
      <c r="AX95" s="4357">
        <f t="shared" si="212"/>
        <v>0</v>
      </c>
      <c r="AY95" s="4357">
        <f t="shared" si="212"/>
        <v>0</v>
      </c>
      <c r="AZ95" s="4357">
        <f t="shared" si="212"/>
        <v>0</v>
      </c>
      <c r="BA95" s="4357">
        <f t="shared" si="212"/>
        <v>0</v>
      </c>
      <c r="BB95" s="4357">
        <f t="shared" si="212"/>
        <v>0</v>
      </c>
      <c r="BC95" s="4357">
        <f t="shared" si="212"/>
        <v>0</v>
      </c>
      <c r="BD95" s="4357">
        <f t="shared" si="212"/>
        <v>0</v>
      </c>
      <c r="BE95" s="4357">
        <f t="shared" si="212"/>
        <v>0</v>
      </c>
      <c r="BF95" s="4357">
        <f t="shared" si="212"/>
        <v>0</v>
      </c>
      <c r="BG95" s="4357">
        <f t="shared" si="212"/>
        <v>0</v>
      </c>
      <c r="BH95" s="4357">
        <f t="shared" si="212"/>
        <v>0</v>
      </c>
      <c r="BI95" s="4357">
        <f t="shared" si="212"/>
        <v>0</v>
      </c>
      <c r="BJ95" s="4357">
        <f t="shared" si="212"/>
        <v>0</v>
      </c>
      <c r="BK95" s="4357">
        <f t="shared" si="212"/>
        <v>0</v>
      </c>
      <c r="BL95" s="4357">
        <f t="shared" si="212"/>
        <v>0</v>
      </c>
      <c r="BM95" s="4357">
        <f t="shared" si="212"/>
        <v>0</v>
      </c>
      <c r="BN95" s="4357">
        <f t="shared" si="212"/>
        <v>0</v>
      </c>
      <c r="BO95" s="4357">
        <f t="shared" si="212"/>
        <v>0</v>
      </c>
      <c r="BP95" s="4357">
        <f t="shared" si="212"/>
        <v>0</v>
      </c>
      <c r="BQ95" s="4357">
        <f t="shared" ref="BQ95:CH95" si="213">IFERROR(IF((time+time_cap)&lt;BQ$2, 0,IF(AND(time+1&gt;=BR$2, $AC95&lt;BR$2), IF($AG95= "I", $AH95/($AD95-$AC95+1), $AH95/(($AD95*($AD95+1)/2)-(($AC95-1)*($AC95-1+1)/2))*BQ$2), 0)+IF(IF(time+1&gt;=BR$2, $AI95/time_cap/(time+1)*BQ$2, 0) = 0, $AI95/(time_cap),0)),0)</f>
        <v>0</v>
      </c>
      <c r="BR95" s="4357">
        <f t="shared" si="213"/>
        <v>0</v>
      </c>
      <c r="BS95" s="4357">
        <f t="shared" si="213"/>
        <v>0</v>
      </c>
      <c r="BT95" s="4357">
        <f t="shared" si="213"/>
        <v>0</v>
      </c>
      <c r="BU95" s="4357">
        <f t="shared" si="213"/>
        <v>0</v>
      </c>
      <c r="BV95" s="4357">
        <f t="shared" si="213"/>
        <v>0</v>
      </c>
      <c r="BW95" s="4357">
        <f t="shared" si="213"/>
        <v>0</v>
      </c>
      <c r="BX95" s="4357">
        <f t="shared" si="213"/>
        <v>0</v>
      </c>
      <c r="BY95" s="4357">
        <f t="shared" si="213"/>
        <v>0</v>
      </c>
      <c r="BZ95" s="4357">
        <f t="shared" si="213"/>
        <v>0</v>
      </c>
      <c r="CA95" s="4357">
        <f t="shared" si="213"/>
        <v>0</v>
      </c>
      <c r="CB95" s="4357">
        <f t="shared" si="213"/>
        <v>0</v>
      </c>
      <c r="CC95" s="4357">
        <f t="shared" si="213"/>
        <v>0</v>
      </c>
      <c r="CD95" s="4357">
        <f t="shared" si="213"/>
        <v>0</v>
      </c>
      <c r="CE95" s="4357">
        <f t="shared" si="213"/>
        <v>0</v>
      </c>
      <c r="CF95" s="4357">
        <f t="shared" si="213"/>
        <v>0</v>
      </c>
      <c r="CG95" s="4357">
        <f t="shared" si="213"/>
        <v>0</v>
      </c>
      <c r="CH95" s="4357">
        <f t="shared" si="213"/>
        <v>0</v>
      </c>
      <c r="CI95" s="4357"/>
      <c r="CJ95" s="4357"/>
      <c r="CK95" s="4357"/>
      <c r="CL95" s="4357"/>
      <c r="CM95" s="4357"/>
      <c r="CN95" s="4357"/>
      <c r="CO95" s="4357"/>
      <c r="CP95" s="4357"/>
      <c r="CQ95" s="4357"/>
      <c r="CR95" s="4357"/>
      <c r="CS95" s="4357"/>
      <c r="CT95" s="4357"/>
      <c r="CU95" s="4357"/>
      <c r="CV95" s="4357"/>
      <c r="CW95" s="4357"/>
      <c r="CX95" s="4357"/>
      <c r="CY95" s="4357"/>
      <c r="CZ95" s="4357"/>
      <c r="DA95" s="4357"/>
      <c r="DB95" s="4357"/>
      <c r="DC95" s="4357"/>
      <c r="DD95" s="4357"/>
      <c r="DE95" s="4357"/>
      <c r="DF95" s="4357"/>
      <c r="DG95" s="4357"/>
      <c r="DH95" s="4357"/>
      <c r="DI95" s="4357"/>
      <c r="DJ95" s="4357"/>
      <c r="DK95" s="4357"/>
      <c r="DL95" s="4357"/>
      <c r="DM95" s="4357"/>
      <c r="DN95" s="4357"/>
      <c r="DO95" s="4357"/>
      <c r="DP95" s="4357"/>
      <c r="DQ95" s="4357"/>
      <c r="DR95" s="4357"/>
      <c r="DS95" s="4357"/>
      <c r="DT95" s="4357"/>
      <c r="DU95" s="4357"/>
      <c r="DV95" s="4357"/>
      <c r="DW95" s="4357"/>
      <c r="DX95" s="4357"/>
      <c r="DY95" s="4357"/>
      <c r="DZ95" s="4357"/>
      <c r="EA95" s="4357"/>
      <c r="EB95" s="4357"/>
      <c r="EC95" s="4357"/>
      <c r="ED95" s="4357"/>
      <c r="EE95" s="4357"/>
      <c r="EF95" s="4357"/>
    </row>
    <row r="96" spans="1:136" ht="16" x14ac:dyDescent="0.2">
      <c r="A96" t="str">
        <f>Languages!$B$649</f>
        <v xml:space="preserve">Grasslands </v>
      </c>
      <c r="B96" t="s">
        <v>3002</v>
      </c>
      <c r="C96">
        <f>'4.Grassland'!D29</f>
        <v>0</v>
      </c>
      <c r="D96" t="str">
        <f>'4.Grassland'!G29</f>
        <v>Please select</v>
      </c>
      <c r="E96">
        <f>'4.Grassland'!AG29</f>
        <v>0</v>
      </c>
      <c r="F96" s="388">
        <v>0</v>
      </c>
      <c r="G96">
        <f>grass!I37-grass!H37</f>
        <v>0</v>
      </c>
      <c r="M96" s="388">
        <f>grass!AJ17-grass!AI17</f>
        <v>0</v>
      </c>
      <c r="N96">
        <v>0</v>
      </c>
      <c r="U96" s="388">
        <f>grass!AH17-grass!AG17</f>
        <v>0</v>
      </c>
      <c r="AB96" t="str">
        <f t="shared" si="171"/>
        <v>ok</v>
      </c>
      <c r="AC96">
        <f>IF('4.Grassland'!BR29&lt;&gt;0,'4.Grassland'!BR29, '4.Grassland'!BQ29)</f>
        <v>1</v>
      </c>
      <c r="AD96">
        <f t="shared" si="190"/>
        <v>5</v>
      </c>
      <c r="AE96" s="4357" t="str">
        <f>'4.Grassland'!Y29</f>
        <v>D</v>
      </c>
      <c r="AF96" s="4357" t="str">
        <f>'4.Grassland'!AA29</f>
        <v>D</v>
      </c>
      <c r="AG96" s="4357" t="str">
        <f t="shared" si="193"/>
        <v>D</v>
      </c>
      <c r="AH96" s="4357">
        <f>((E96/(time_cap+((AD96-AC96+1)*VLOOKUP(AG96,list!$I$48:$K$50,3, FALSE))))*(AD96-AC96+1)*VLOOKUP(AG96,list!$I$48:$K$50,3, FALSE))</f>
        <v>0</v>
      </c>
      <c r="AI96" s="4357">
        <f>((E96/(time_cap+((AD96-AC96+1)*VLOOKUP(AG96,list!$I$48:$K$50,3, FALSE))))*time_cap)</f>
        <v>0</v>
      </c>
      <c r="AK96" s="4357">
        <f t="shared" ref="AK96:BP96" si="214">IFERROR(IF((time+time_cap)&lt;AK$2, 0,IF(AND(time+1&gt;=AL$2, $AC96&lt;AL$2), IF($AG96= "I", $AH96/($AD96-$AC96+1), $AH96/(($AD96*($AD96+1)/2)-(($AC96-1)*($AC96-1+1)/2))*AK$2), 0)+IF(IF(time+1&gt;=AL$2, $AI96/time_cap/(time+1)*AK$2, 0) = 0, $AI96/(time_cap),0)),0)</f>
        <v>0</v>
      </c>
      <c r="AL96" s="4357">
        <f t="shared" si="214"/>
        <v>0</v>
      </c>
      <c r="AM96" s="4357">
        <f t="shared" si="214"/>
        <v>0</v>
      </c>
      <c r="AN96" s="4357">
        <f t="shared" si="214"/>
        <v>0</v>
      </c>
      <c r="AO96" s="4357">
        <f t="shared" si="214"/>
        <v>0</v>
      </c>
      <c r="AP96" s="4357">
        <f t="shared" si="214"/>
        <v>0</v>
      </c>
      <c r="AQ96" s="4357">
        <f t="shared" si="214"/>
        <v>0</v>
      </c>
      <c r="AR96" s="4357">
        <f t="shared" si="214"/>
        <v>0</v>
      </c>
      <c r="AS96" s="4357">
        <f t="shared" si="214"/>
        <v>0</v>
      </c>
      <c r="AT96" s="4357">
        <f t="shared" si="214"/>
        <v>0</v>
      </c>
      <c r="AU96" s="4357">
        <f t="shared" si="214"/>
        <v>0</v>
      </c>
      <c r="AV96" s="4357">
        <f t="shared" si="214"/>
        <v>0</v>
      </c>
      <c r="AW96" s="4357">
        <f t="shared" si="214"/>
        <v>0</v>
      </c>
      <c r="AX96" s="4357">
        <f t="shared" si="214"/>
        <v>0</v>
      </c>
      <c r="AY96" s="4357">
        <f t="shared" si="214"/>
        <v>0</v>
      </c>
      <c r="AZ96" s="4357">
        <f t="shared" si="214"/>
        <v>0</v>
      </c>
      <c r="BA96" s="4357">
        <f t="shared" si="214"/>
        <v>0</v>
      </c>
      <c r="BB96" s="4357">
        <f t="shared" si="214"/>
        <v>0</v>
      </c>
      <c r="BC96" s="4357">
        <f t="shared" si="214"/>
        <v>0</v>
      </c>
      <c r="BD96" s="4357">
        <f t="shared" si="214"/>
        <v>0</v>
      </c>
      <c r="BE96" s="4357">
        <f t="shared" si="214"/>
        <v>0</v>
      </c>
      <c r="BF96" s="4357">
        <f t="shared" si="214"/>
        <v>0</v>
      </c>
      <c r="BG96" s="4357">
        <f t="shared" si="214"/>
        <v>0</v>
      </c>
      <c r="BH96" s="4357">
        <f t="shared" si="214"/>
        <v>0</v>
      </c>
      <c r="BI96" s="4357">
        <f t="shared" si="214"/>
        <v>0</v>
      </c>
      <c r="BJ96" s="4357">
        <f t="shared" si="214"/>
        <v>0</v>
      </c>
      <c r="BK96" s="4357">
        <f t="shared" si="214"/>
        <v>0</v>
      </c>
      <c r="BL96" s="4357">
        <f t="shared" si="214"/>
        <v>0</v>
      </c>
      <c r="BM96" s="4357">
        <f t="shared" si="214"/>
        <v>0</v>
      </c>
      <c r="BN96" s="4357">
        <f t="shared" si="214"/>
        <v>0</v>
      </c>
      <c r="BO96" s="4357">
        <f t="shared" si="214"/>
        <v>0</v>
      </c>
      <c r="BP96" s="4357">
        <f t="shared" si="214"/>
        <v>0</v>
      </c>
      <c r="BQ96" s="4357">
        <f t="shared" ref="BQ96:CH96" si="215">IFERROR(IF((time+time_cap)&lt;BQ$2, 0,IF(AND(time+1&gt;=BR$2, $AC96&lt;BR$2), IF($AG96= "I", $AH96/($AD96-$AC96+1), $AH96/(($AD96*($AD96+1)/2)-(($AC96-1)*($AC96-1+1)/2))*BQ$2), 0)+IF(IF(time+1&gt;=BR$2, $AI96/time_cap/(time+1)*BQ$2, 0) = 0, $AI96/(time_cap),0)),0)</f>
        <v>0</v>
      </c>
      <c r="BR96" s="4357">
        <f t="shared" si="215"/>
        <v>0</v>
      </c>
      <c r="BS96" s="4357">
        <f t="shared" si="215"/>
        <v>0</v>
      </c>
      <c r="BT96" s="4357">
        <f t="shared" si="215"/>
        <v>0</v>
      </c>
      <c r="BU96" s="4357">
        <f t="shared" si="215"/>
        <v>0</v>
      </c>
      <c r="BV96" s="4357">
        <f t="shared" si="215"/>
        <v>0</v>
      </c>
      <c r="BW96" s="4357">
        <f t="shared" si="215"/>
        <v>0</v>
      </c>
      <c r="BX96" s="4357">
        <f t="shared" si="215"/>
        <v>0</v>
      </c>
      <c r="BY96" s="4357">
        <f t="shared" si="215"/>
        <v>0</v>
      </c>
      <c r="BZ96" s="4357">
        <f t="shared" si="215"/>
        <v>0</v>
      </c>
      <c r="CA96" s="4357">
        <f t="shared" si="215"/>
        <v>0</v>
      </c>
      <c r="CB96" s="4357">
        <f t="shared" si="215"/>
        <v>0</v>
      </c>
      <c r="CC96" s="4357">
        <f t="shared" si="215"/>
        <v>0</v>
      </c>
      <c r="CD96" s="4357">
        <f t="shared" si="215"/>
        <v>0</v>
      </c>
      <c r="CE96" s="4357">
        <f t="shared" si="215"/>
        <v>0</v>
      </c>
      <c r="CF96" s="4357">
        <f t="shared" si="215"/>
        <v>0</v>
      </c>
      <c r="CG96" s="4357">
        <f t="shared" si="215"/>
        <v>0</v>
      </c>
      <c r="CH96" s="4357">
        <f t="shared" si="215"/>
        <v>0</v>
      </c>
      <c r="CI96" s="4357"/>
      <c r="CJ96" s="4357"/>
      <c r="CK96" s="4357"/>
      <c r="CL96" s="4357"/>
      <c r="CM96" s="4357"/>
      <c r="CN96" s="4357"/>
      <c r="CO96" s="4357"/>
      <c r="CP96" s="4357"/>
      <c r="CQ96" s="4357"/>
      <c r="CR96" s="4357"/>
      <c r="CS96" s="4357"/>
      <c r="CT96" s="4357"/>
      <c r="CU96" s="4357"/>
      <c r="CV96" s="4357"/>
      <c r="CW96" s="4357"/>
      <c r="CX96" s="4357"/>
      <c r="CY96" s="4357"/>
      <c r="CZ96" s="4357"/>
      <c r="DA96" s="4357"/>
      <c r="DB96" s="4357"/>
      <c r="DC96" s="4357"/>
      <c r="DD96" s="4357"/>
      <c r="DE96" s="4357"/>
      <c r="DF96" s="4357"/>
      <c r="DG96" s="4357"/>
      <c r="DH96" s="4357"/>
      <c r="DI96" s="4357"/>
      <c r="DJ96" s="4357"/>
      <c r="DK96" s="4357"/>
      <c r="DL96" s="4357"/>
      <c r="DM96" s="4357"/>
      <c r="DN96" s="4357"/>
      <c r="DO96" s="4357"/>
      <c r="DP96" s="4357"/>
      <c r="DQ96" s="4357"/>
      <c r="DR96" s="4357"/>
      <c r="DS96" s="4357"/>
      <c r="DT96" s="4357"/>
      <c r="DU96" s="4357"/>
      <c r="DV96" s="4357"/>
      <c r="DW96" s="4357"/>
      <c r="DX96" s="4357"/>
      <c r="DY96" s="4357"/>
      <c r="DZ96" s="4357"/>
      <c r="EA96" s="4357"/>
      <c r="EB96" s="4357"/>
      <c r="EC96" s="4357"/>
      <c r="ED96" s="4357"/>
      <c r="EE96" s="4357"/>
      <c r="EF96" s="4357"/>
    </row>
    <row r="97" spans="1:136" ht="16" x14ac:dyDescent="0.2">
      <c r="A97" t="str">
        <f>Languages!$B$649</f>
        <v xml:space="preserve">Grasslands </v>
      </c>
      <c r="B97" t="s">
        <v>3002</v>
      </c>
      <c r="C97">
        <f>'4.Grassland'!D30</f>
        <v>0</v>
      </c>
      <c r="D97" t="str">
        <f>'4.Grassland'!G30</f>
        <v>Please select</v>
      </c>
      <c r="E97">
        <f>'4.Grassland'!AG30</f>
        <v>0</v>
      </c>
      <c r="F97" s="388">
        <v>0</v>
      </c>
      <c r="G97">
        <f>grass!I38-grass!H38</f>
        <v>0</v>
      </c>
      <c r="M97" s="388">
        <f>grass!AJ18-grass!AI18</f>
        <v>0</v>
      </c>
      <c r="N97">
        <v>0</v>
      </c>
      <c r="U97" s="388">
        <f>grass!AH18-grass!AG18</f>
        <v>0</v>
      </c>
      <c r="AB97" t="str">
        <f t="shared" si="171"/>
        <v>ok</v>
      </c>
      <c r="AC97">
        <f>IF('4.Grassland'!BR30&lt;&gt;0,'4.Grassland'!BR30, '4.Grassland'!BQ30)</f>
        <v>1</v>
      </c>
      <c r="AD97">
        <f t="shared" si="190"/>
        <v>5</v>
      </c>
      <c r="AE97" s="4357" t="str">
        <f>'4.Grassland'!Y30</f>
        <v>D</v>
      </c>
      <c r="AF97" s="4357" t="str">
        <f>'4.Grassland'!AA30</f>
        <v>D</v>
      </c>
      <c r="AG97" s="4357" t="str">
        <f t="shared" si="193"/>
        <v>D</v>
      </c>
      <c r="AH97" s="4357">
        <f>((E97/(time_cap+((AD97-AC97+1)*VLOOKUP(AG97,list!$I$48:$K$50,3, FALSE))))*(AD97-AC97+1)*VLOOKUP(AG97,list!$I$48:$K$50,3, FALSE))</f>
        <v>0</v>
      </c>
      <c r="AI97" s="4357">
        <f>((E97/(time_cap+((AD97-AC97+1)*VLOOKUP(AG97,list!$I$48:$K$50,3, FALSE))))*time_cap)</f>
        <v>0</v>
      </c>
      <c r="AK97" s="4357">
        <f t="shared" ref="AK97:BP97" si="216">IFERROR(IF((time+time_cap)&lt;AK$2, 0,IF(AND(time+1&gt;=AL$2, $AC97&lt;AL$2), IF($AG97= "I", $AH97/($AD97-$AC97+1), $AH97/(($AD97*($AD97+1)/2)-(($AC97-1)*($AC97-1+1)/2))*AK$2), 0)+IF(IF(time+1&gt;=AL$2, $AI97/time_cap/(time+1)*AK$2, 0) = 0, $AI97/(time_cap),0)),0)</f>
        <v>0</v>
      </c>
      <c r="AL97" s="4357">
        <f t="shared" si="216"/>
        <v>0</v>
      </c>
      <c r="AM97" s="4357">
        <f t="shared" si="216"/>
        <v>0</v>
      </c>
      <c r="AN97" s="4357">
        <f t="shared" si="216"/>
        <v>0</v>
      </c>
      <c r="AO97" s="4357">
        <f t="shared" si="216"/>
        <v>0</v>
      </c>
      <c r="AP97" s="4357">
        <f t="shared" si="216"/>
        <v>0</v>
      </c>
      <c r="AQ97" s="4357">
        <f t="shared" si="216"/>
        <v>0</v>
      </c>
      <c r="AR97" s="4357">
        <f t="shared" si="216"/>
        <v>0</v>
      </c>
      <c r="AS97" s="4357">
        <f t="shared" si="216"/>
        <v>0</v>
      </c>
      <c r="AT97" s="4357">
        <f t="shared" si="216"/>
        <v>0</v>
      </c>
      <c r="AU97" s="4357">
        <f t="shared" si="216"/>
        <v>0</v>
      </c>
      <c r="AV97" s="4357">
        <f t="shared" si="216"/>
        <v>0</v>
      </c>
      <c r="AW97" s="4357">
        <f t="shared" si="216"/>
        <v>0</v>
      </c>
      <c r="AX97" s="4357">
        <f t="shared" si="216"/>
        <v>0</v>
      </c>
      <c r="AY97" s="4357">
        <f t="shared" si="216"/>
        <v>0</v>
      </c>
      <c r="AZ97" s="4357">
        <f t="shared" si="216"/>
        <v>0</v>
      </c>
      <c r="BA97" s="4357">
        <f t="shared" si="216"/>
        <v>0</v>
      </c>
      <c r="BB97" s="4357">
        <f t="shared" si="216"/>
        <v>0</v>
      </c>
      <c r="BC97" s="4357">
        <f t="shared" si="216"/>
        <v>0</v>
      </c>
      <c r="BD97" s="4357">
        <f t="shared" si="216"/>
        <v>0</v>
      </c>
      <c r="BE97" s="4357">
        <f t="shared" si="216"/>
        <v>0</v>
      </c>
      <c r="BF97" s="4357">
        <f t="shared" si="216"/>
        <v>0</v>
      </c>
      <c r="BG97" s="4357">
        <f t="shared" si="216"/>
        <v>0</v>
      </c>
      <c r="BH97" s="4357">
        <f t="shared" si="216"/>
        <v>0</v>
      </c>
      <c r="BI97" s="4357">
        <f t="shared" si="216"/>
        <v>0</v>
      </c>
      <c r="BJ97" s="4357">
        <f t="shared" si="216"/>
        <v>0</v>
      </c>
      <c r="BK97" s="4357">
        <f t="shared" si="216"/>
        <v>0</v>
      </c>
      <c r="BL97" s="4357">
        <f t="shared" si="216"/>
        <v>0</v>
      </c>
      <c r="BM97" s="4357">
        <f t="shared" si="216"/>
        <v>0</v>
      </c>
      <c r="BN97" s="4357">
        <f t="shared" si="216"/>
        <v>0</v>
      </c>
      <c r="BO97" s="4357">
        <f t="shared" si="216"/>
        <v>0</v>
      </c>
      <c r="BP97" s="4357">
        <f t="shared" si="216"/>
        <v>0</v>
      </c>
      <c r="BQ97" s="4357">
        <f t="shared" ref="BQ97:CH97" si="217">IFERROR(IF((time+time_cap)&lt;BQ$2, 0,IF(AND(time+1&gt;=BR$2, $AC97&lt;BR$2), IF($AG97= "I", $AH97/($AD97-$AC97+1), $AH97/(($AD97*($AD97+1)/2)-(($AC97-1)*($AC97-1+1)/2))*BQ$2), 0)+IF(IF(time+1&gt;=BR$2, $AI97/time_cap/(time+1)*BQ$2, 0) = 0, $AI97/(time_cap),0)),0)</f>
        <v>0</v>
      </c>
      <c r="BR97" s="4357">
        <f t="shared" si="217"/>
        <v>0</v>
      </c>
      <c r="BS97" s="4357">
        <f t="shared" si="217"/>
        <v>0</v>
      </c>
      <c r="BT97" s="4357">
        <f t="shared" si="217"/>
        <v>0</v>
      </c>
      <c r="BU97" s="4357">
        <f t="shared" si="217"/>
        <v>0</v>
      </c>
      <c r="BV97" s="4357">
        <f t="shared" si="217"/>
        <v>0</v>
      </c>
      <c r="BW97" s="4357">
        <f t="shared" si="217"/>
        <v>0</v>
      </c>
      <c r="BX97" s="4357">
        <f t="shared" si="217"/>
        <v>0</v>
      </c>
      <c r="BY97" s="4357">
        <f t="shared" si="217"/>
        <v>0</v>
      </c>
      <c r="BZ97" s="4357">
        <f t="shared" si="217"/>
        <v>0</v>
      </c>
      <c r="CA97" s="4357">
        <f t="shared" si="217"/>
        <v>0</v>
      </c>
      <c r="CB97" s="4357">
        <f t="shared" si="217"/>
        <v>0</v>
      </c>
      <c r="CC97" s="4357">
        <f t="shared" si="217"/>
        <v>0</v>
      </c>
      <c r="CD97" s="4357">
        <f t="shared" si="217"/>
        <v>0</v>
      </c>
      <c r="CE97" s="4357">
        <f t="shared" si="217"/>
        <v>0</v>
      </c>
      <c r="CF97" s="4357">
        <f t="shared" si="217"/>
        <v>0</v>
      </c>
      <c r="CG97" s="4357">
        <f t="shared" si="217"/>
        <v>0</v>
      </c>
      <c r="CH97" s="4357">
        <f t="shared" si="217"/>
        <v>0</v>
      </c>
      <c r="CI97" s="4357"/>
      <c r="CJ97" s="4357"/>
      <c r="CK97" s="4357"/>
      <c r="CL97" s="4357"/>
      <c r="CM97" s="4357"/>
      <c r="CN97" s="4357"/>
      <c r="CO97" s="4357"/>
      <c r="CP97" s="4357"/>
      <c r="CQ97" s="4357"/>
      <c r="CR97" s="4357"/>
      <c r="CS97" s="4357"/>
      <c r="CT97" s="4357"/>
      <c r="CU97" s="4357"/>
      <c r="CV97" s="4357"/>
      <c r="CW97" s="4357"/>
      <c r="CX97" s="4357"/>
      <c r="CY97" s="4357"/>
      <c r="CZ97" s="4357"/>
      <c r="DA97" s="4357"/>
      <c r="DB97" s="4357"/>
      <c r="DC97" s="4357"/>
      <c r="DD97" s="4357"/>
      <c r="DE97" s="4357"/>
      <c r="DF97" s="4357"/>
      <c r="DG97" s="4357"/>
      <c r="DH97" s="4357"/>
      <c r="DI97" s="4357"/>
      <c r="DJ97" s="4357"/>
      <c r="DK97" s="4357"/>
      <c r="DL97" s="4357"/>
      <c r="DM97" s="4357"/>
      <c r="DN97" s="4357"/>
      <c r="DO97" s="4357"/>
      <c r="DP97" s="4357"/>
      <c r="DQ97" s="4357"/>
      <c r="DR97" s="4357"/>
      <c r="DS97" s="4357"/>
      <c r="DT97" s="4357"/>
      <c r="DU97" s="4357"/>
      <c r="DV97" s="4357"/>
      <c r="DW97" s="4357"/>
      <c r="DX97" s="4357"/>
      <c r="DY97" s="4357"/>
      <c r="DZ97" s="4357"/>
      <c r="EA97" s="4357"/>
      <c r="EB97" s="4357"/>
      <c r="EC97" s="4357"/>
      <c r="ED97" s="4357"/>
      <c r="EE97" s="4357"/>
      <c r="EF97" s="4357"/>
    </row>
    <row r="98" spans="1:136" ht="16" x14ac:dyDescent="0.2">
      <c r="A98" t="str">
        <f>Languages!$B$649</f>
        <v xml:space="preserve">Grasslands </v>
      </c>
      <c r="B98" t="s">
        <v>3002</v>
      </c>
      <c r="C98">
        <f>'4.Grassland'!D31</f>
        <v>0</v>
      </c>
      <c r="D98" t="str">
        <f>'4.Grassland'!G31</f>
        <v>Please select</v>
      </c>
      <c r="E98">
        <f>'4.Grassland'!AG31</f>
        <v>0</v>
      </c>
      <c r="F98" s="388">
        <v>0</v>
      </c>
      <c r="G98">
        <f>grass!I39-grass!H39</f>
        <v>0</v>
      </c>
      <c r="M98" s="388">
        <f>grass!AJ19-grass!AI19</f>
        <v>0</v>
      </c>
      <c r="N98">
        <v>0</v>
      </c>
      <c r="U98" s="388">
        <f>grass!AH19-grass!AG19</f>
        <v>0</v>
      </c>
      <c r="AB98" t="str">
        <f t="shared" si="171"/>
        <v>ok</v>
      </c>
      <c r="AC98">
        <f>IF('4.Grassland'!BR31&lt;&gt;0,'4.Grassland'!BR31, '4.Grassland'!BQ31)</f>
        <v>1</v>
      </c>
      <c r="AD98">
        <f t="shared" si="190"/>
        <v>5</v>
      </c>
      <c r="AE98" s="4357" t="str">
        <f>'4.Grassland'!Y31</f>
        <v>D</v>
      </c>
      <c r="AF98" s="4357" t="str">
        <f>'4.Grassland'!AA31</f>
        <v>D</v>
      </c>
      <c r="AG98" s="4357" t="str">
        <f t="shared" si="193"/>
        <v>D</v>
      </c>
      <c r="AH98" s="4357">
        <f>((E98/(time_cap+((AD98-AC98+1)*VLOOKUP(AG98,list!$I$48:$K$50,3, FALSE))))*(AD98-AC98+1)*VLOOKUP(AG98,list!$I$48:$K$50,3, FALSE))</f>
        <v>0</v>
      </c>
      <c r="AI98" s="4357">
        <f>((E98/(time_cap+((AD98-AC98+1)*VLOOKUP(AG98,list!$I$48:$K$50,3, FALSE))))*time_cap)</f>
        <v>0</v>
      </c>
      <c r="AK98" s="4357">
        <f t="shared" ref="AK98:BP98" si="218">IFERROR(IF((time+time_cap)&lt;AK$2, 0,IF(AND(time+1&gt;=AL$2, $AC98&lt;AL$2), IF($AG98= "I", $AH98/($AD98-$AC98+1), $AH98/(($AD98*($AD98+1)/2)-(($AC98-1)*($AC98-1+1)/2))*AK$2), 0)+IF(IF(time+1&gt;=AL$2, $AI98/time_cap/(time+1)*AK$2, 0) = 0, $AI98/(time_cap),0)),0)</f>
        <v>0</v>
      </c>
      <c r="AL98" s="4357">
        <f t="shared" si="218"/>
        <v>0</v>
      </c>
      <c r="AM98" s="4357">
        <f t="shared" si="218"/>
        <v>0</v>
      </c>
      <c r="AN98" s="4357">
        <f t="shared" si="218"/>
        <v>0</v>
      </c>
      <c r="AO98" s="4357">
        <f t="shared" si="218"/>
        <v>0</v>
      </c>
      <c r="AP98" s="4357">
        <f t="shared" si="218"/>
        <v>0</v>
      </c>
      <c r="AQ98" s="4357">
        <f t="shared" si="218"/>
        <v>0</v>
      </c>
      <c r="AR98" s="4357">
        <f t="shared" si="218"/>
        <v>0</v>
      </c>
      <c r="AS98" s="4357">
        <f t="shared" si="218"/>
        <v>0</v>
      </c>
      <c r="AT98" s="4357">
        <f t="shared" si="218"/>
        <v>0</v>
      </c>
      <c r="AU98" s="4357">
        <f t="shared" si="218"/>
        <v>0</v>
      </c>
      <c r="AV98" s="4357">
        <f t="shared" si="218"/>
        <v>0</v>
      </c>
      <c r="AW98" s="4357">
        <f t="shared" si="218"/>
        <v>0</v>
      </c>
      <c r="AX98" s="4357">
        <f t="shared" si="218"/>
        <v>0</v>
      </c>
      <c r="AY98" s="4357">
        <f t="shared" si="218"/>
        <v>0</v>
      </c>
      <c r="AZ98" s="4357">
        <f t="shared" si="218"/>
        <v>0</v>
      </c>
      <c r="BA98" s="4357">
        <f t="shared" si="218"/>
        <v>0</v>
      </c>
      <c r="BB98" s="4357">
        <f t="shared" si="218"/>
        <v>0</v>
      </c>
      <c r="BC98" s="4357">
        <f t="shared" si="218"/>
        <v>0</v>
      </c>
      <c r="BD98" s="4357">
        <f t="shared" si="218"/>
        <v>0</v>
      </c>
      <c r="BE98" s="4357">
        <f t="shared" si="218"/>
        <v>0</v>
      </c>
      <c r="BF98" s="4357">
        <f t="shared" si="218"/>
        <v>0</v>
      </c>
      <c r="BG98" s="4357">
        <f t="shared" si="218"/>
        <v>0</v>
      </c>
      <c r="BH98" s="4357">
        <f t="shared" si="218"/>
        <v>0</v>
      </c>
      <c r="BI98" s="4357">
        <f t="shared" si="218"/>
        <v>0</v>
      </c>
      <c r="BJ98" s="4357">
        <f t="shared" si="218"/>
        <v>0</v>
      </c>
      <c r="BK98" s="4357">
        <f t="shared" si="218"/>
        <v>0</v>
      </c>
      <c r="BL98" s="4357">
        <f t="shared" si="218"/>
        <v>0</v>
      </c>
      <c r="BM98" s="4357">
        <f t="shared" si="218"/>
        <v>0</v>
      </c>
      <c r="BN98" s="4357">
        <f t="shared" si="218"/>
        <v>0</v>
      </c>
      <c r="BO98" s="4357">
        <f t="shared" si="218"/>
        <v>0</v>
      </c>
      <c r="BP98" s="4357">
        <f t="shared" si="218"/>
        <v>0</v>
      </c>
      <c r="BQ98" s="4357">
        <f t="shared" ref="BQ98:CH98" si="219">IFERROR(IF((time+time_cap)&lt;BQ$2, 0,IF(AND(time+1&gt;=BR$2, $AC98&lt;BR$2), IF($AG98= "I", $AH98/($AD98-$AC98+1), $AH98/(($AD98*($AD98+1)/2)-(($AC98-1)*($AC98-1+1)/2))*BQ$2), 0)+IF(IF(time+1&gt;=BR$2, $AI98/time_cap/(time+1)*BQ$2, 0) = 0, $AI98/(time_cap),0)),0)</f>
        <v>0</v>
      </c>
      <c r="BR98" s="4357">
        <f t="shared" si="219"/>
        <v>0</v>
      </c>
      <c r="BS98" s="4357">
        <f t="shared" si="219"/>
        <v>0</v>
      </c>
      <c r="BT98" s="4357">
        <f t="shared" si="219"/>
        <v>0</v>
      </c>
      <c r="BU98" s="4357">
        <f t="shared" si="219"/>
        <v>0</v>
      </c>
      <c r="BV98" s="4357">
        <f t="shared" si="219"/>
        <v>0</v>
      </c>
      <c r="BW98" s="4357">
        <f t="shared" si="219"/>
        <v>0</v>
      </c>
      <c r="BX98" s="4357">
        <f t="shared" si="219"/>
        <v>0</v>
      </c>
      <c r="BY98" s="4357">
        <f t="shared" si="219"/>
        <v>0</v>
      </c>
      <c r="BZ98" s="4357">
        <f t="shared" si="219"/>
        <v>0</v>
      </c>
      <c r="CA98" s="4357">
        <f t="shared" si="219"/>
        <v>0</v>
      </c>
      <c r="CB98" s="4357">
        <f t="shared" si="219"/>
        <v>0</v>
      </c>
      <c r="CC98" s="4357">
        <f t="shared" si="219"/>
        <v>0</v>
      </c>
      <c r="CD98" s="4357">
        <f t="shared" si="219"/>
        <v>0</v>
      </c>
      <c r="CE98" s="4357">
        <f t="shared" si="219"/>
        <v>0</v>
      </c>
      <c r="CF98" s="4357">
        <f t="shared" si="219"/>
        <v>0</v>
      </c>
      <c r="CG98" s="4357">
        <f t="shared" si="219"/>
        <v>0</v>
      </c>
      <c r="CH98" s="4357">
        <f t="shared" si="219"/>
        <v>0</v>
      </c>
      <c r="CI98" s="4357"/>
      <c r="CJ98" s="4357"/>
      <c r="CK98" s="4357"/>
      <c r="CL98" s="4357"/>
      <c r="CM98" s="4357"/>
      <c r="CN98" s="4357"/>
      <c r="CO98" s="4357"/>
      <c r="CP98" s="4357"/>
      <c r="CQ98" s="4357"/>
      <c r="CR98" s="4357"/>
      <c r="CS98" s="4357"/>
      <c r="CT98" s="4357"/>
      <c r="CU98" s="4357"/>
      <c r="CV98" s="4357"/>
      <c r="CW98" s="4357"/>
      <c r="CX98" s="4357"/>
      <c r="CY98" s="4357"/>
      <c r="CZ98" s="4357"/>
      <c r="DA98" s="4357"/>
      <c r="DB98" s="4357"/>
      <c r="DC98" s="4357"/>
      <c r="DD98" s="4357"/>
      <c r="DE98" s="4357"/>
      <c r="DF98" s="4357"/>
      <c r="DG98" s="4357"/>
      <c r="DH98" s="4357"/>
      <c r="DI98" s="4357"/>
      <c r="DJ98" s="4357"/>
      <c r="DK98" s="4357"/>
      <c r="DL98" s="4357"/>
      <c r="DM98" s="4357"/>
      <c r="DN98" s="4357"/>
      <c r="DO98" s="4357"/>
      <c r="DP98" s="4357"/>
      <c r="DQ98" s="4357"/>
      <c r="DR98" s="4357"/>
      <c r="DS98" s="4357"/>
      <c r="DT98" s="4357"/>
      <c r="DU98" s="4357"/>
      <c r="DV98" s="4357"/>
      <c r="DW98" s="4357"/>
      <c r="DX98" s="4357"/>
      <c r="DY98" s="4357"/>
      <c r="DZ98" s="4357"/>
      <c r="EA98" s="4357"/>
      <c r="EB98" s="4357"/>
      <c r="EC98" s="4357"/>
      <c r="ED98" s="4357"/>
      <c r="EE98" s="4357"/>
      <c r="EF98" s="4357"/>
    </row>
    <row r="99" spans="1:136" ht="16" x14ac:dyDescent="0.2">
      <c r="A99" t="str">
        <f>Languages!$B$649</f>
        <v xml:space="preserve">Grasslands </v>
      </c>
      <c r="B99" t="s">
        <v>3002</v>
      </c>
      <c r="C99">
        <f>'4.Grassland'!D32</f>
        <v>0</v>
      </c>
      <c r="D99" t="str">
        <f>'4.Grassland'!G32</f>
        <v>Please select</v>
      </c>
      <c r="E99">
        <f>'4.Grassland'!AG32</f>
        <v>0</v>
      </c>
      <c r="F99" s="388">
        <v>0</v>
      </c>
      <c r="G99">
        <f>grass!I40-grass!H40</f>
        <v>0</v>
      </c>
      <c r="M99" s="388">
        <f>grass!AJ20-grass!AI20</f>
        <v>0</v>
      </c>
      <c r="N99">
        <v>0</v>
      </c>
      <c r="U99" s="388">
        <f>grass!AH20-grass!AG20</f>
        <v>0</v>
      </c>
      <c r="AB99" t="str">
        <f t="shared" si="171"/>
        <v>ok</v>
      </c>
      <c r="AC99">
        <f>IF('4.Grassland'!BR32&lt;&gt;0,'4.Grassland'!BR32, '4.Grassland'!BQ32)</f>
        <v>1</v>
      </c>
      <c r="AD99">
        <f t="shared" si="190"/>
        <v>5</v>
      </c>
      <c r="AE99" s="4357" t="str">
        <f>'4.Grassland'!Y32</f>
        <v>D</v>
      </c>
      <c r="AF99" s="4357" t="str">
        <f>'4.Grassland'!AA32</f>
        <v>D</v>
      </c>
      <c r="AG99" s="4357" t="str">
        <f t="shared" si="193"/>
        <v>D</v>
      </c>
      <c r="AH99" s="4357">
        <f>((E99/(time_cap+((AD99-AC99+1)*VLOOKUP(AG99,list!$I$48:$K$50,3, FALSE))))*(AD99-AC99+1)*VLOOKUP(AG99,list!$I$48:$K$50,3, FALSE))</f>
        <v>0</v>
      </c>
      <c r="AI99" s="4357">
        <f>((E99/(time_cap+((AD99-AC99+1)*VLOOKUP(AG99,list!$I$48:$K$50,3, FALSE))))*time_cap)</f>
        <v>0</v>
      </c>
      <c r="AK99" s="4357">
        <f t="shared" ref="AK99:BP99" si="220">IFERROR(IF((time+time_cap)&lt;AK$2, 0,IF(AND(time+1&gt;=AL$2, $AC99&lt;AL$2), IF($AG99= "I", $AH99/($AD99-$AC99+1), $AH99/(($AD99*($AD99+1)/2)-(($AC99-1)*($AC99-1+1)/2))*AK$2), 0)+IF(IF(time+1&gt;=AL$2, $AI99/time_cap/(time+1)*AK$2, 0) = 0, $AI99/(time_cap),0)),0)</f>
        <v>0</v>
      </c>
      <c r="AL99" s="4357">
        <f t="shared" si="220"/>
        <v>0</v>
      </c>
      <c r="AM99" s="4357">
        <f t="shared" si="220"/>
        <v>0</v>
      </c>
      <c r="AN99" s="4357">
        <f t="shared" si="220"/>
        <v>0</v>
      </c>
      <c r="AO99" s="4357">
        <f t="shared" si="220"/>
        <v>0</v>
      </c>
      <c r="AP99" s="4357">
        <f t="shared" si="220"/>
        <v>0</v>
      </c>
      <c r="AQ99" s="4357">
        <f t="shared" si="220"/>
        <v>0</v>
      </c>
      <c r="AR99" s="4357">
        <f t="shared" si="220"/>
        <v>0</v>
      </c>
      <c r="AS99" s="4357">
        <f t="shared" si="220"/>
        <v>0</v>
      </c>
      <c r="AT99" s="4357">
        <f t="shared" si="220"/>
        <v>0</v>
      </c>
      <c r="AU99" s="4357">
        <f t="shared" si="220"/>
        <v>0</v>
      </c>
      <c r="AV99" s="4357">
        <f t="shared" si="220"/>
        <v>0</v>
      </c>
      <c r="AW99" s="4357">
        <f t="shared" si="220"/>
        <v>0</v>
      </c>
      <c r="AX99" s="4357">
        <f t="shared" si="220"/>
        <v>0</v>
      </c>
      <c r="AY99" s="4357">
        <f t="shared" si="220"/>
        <v>0</v>
      </c>
      <c r="AZ99" s="4357">
        <f t="shared" si="220"/>
        <v>0</v>
      </c>
      <c r="BA99" s="4357">
        <f t="shared" si="220"/>
        <v>0</v>
      </c>
      <c r="BB99" s="4357">
        <f t="shared" si="220"/>
        <v>0</v>
      </c>
      <c r="BC99" s="4357">
        <f t="shared" si="220"/>
        <v>0</v>
      </c>
      <c r="BD99" s="4357">
        <f t="shared" si="220"/>
        <v>0</v>
      </c>
      <c r="BE99" s="4357">
        <f t="shared" si="220"/>
        <v>0</v>
      </c>
      <c r="BF99" s="4357">
        <f t="shared" si="220"/>
        <v>0</v>
      </c>
      <c r="BG99" s="4357">
        <f t="shared" si="220"/>
        <v>0</v>
      </c>
      <c r="BH99" s="4357">
        <f t="shared" si="220"/>
        <v>0</v>
      </c>
      <c r="BI99" s="4357">
        <f t="shared" si="220"/>
        <v>0</v>
      </c>
      <c r="BJ99" s="4357">
        <f t="shared" si="220"/>
        <v>0</v>
      </c>
      <c r="BK99" s="4357">
        <f t="shared" si="220"/>
        <v>0</v>
      </c>
      <c r="BL99" s="4357">
        <f t="shared" si="220"/>
        <v>0</v>
      </c>
      <c r="BM99" s="4357">
        <f t="shared" si="220"/>
        <v>0</v>
      </c>
      <c r="BN99" s="4357">
        <f t="shared" si="220"/>
        <v>0</v>
      </c>
      <c r="BO99" s="4357">
        <f t="shared" si="220"/>
        <v>0</v>
      </c>
      <c r="BP99" s="4357">
        <f t="shared" si="220"/>
        <v>0</v>
      </c>
      <c r="BQ99" s="4357">
        <f t="shared" ref="BQ99:CH99" si="221">IFERROR(IF((time+time_cap)&lt;BQ$2, 0,IF(AND(time+1&gt;=BR$2, $AC99&lt;BR$2), IF($AG99= "I", $AH99/($AD99-$AC99+1), $AH99/(($AD99*($AD99+1)/2)-(($AC99-1)*($AC99-1+1)/2))*BQ$2), 0)+IF(IF(time+1&gt;=BR$2, $AI99/time_cap/(time+1)*BQ$2, 0) = 0, $AI99/(time_cap),0)),0)</f>
        <v>0</v>
      </c>
      <c r="BR99" s="4357">
        <f t="shared" si="221"/>
        <v>0</v>
      </c>
      <c r="BS99" s="4357">
        <f t="shared" si="221"/>
        <v>0</v>
      </c>
      <c r="BT99" s="4357">
        <f t="shared" si="221"/>
        <v>0</v>
      </c>
      <c r="BU99" s="4357">
        <f t="shared" si="221"/>
        <v>0</v>
      </c>
      <c r="BV99" s="4357">
        <f t="shared" si="221"/>
        <v>0</v>
      </c>
      <c r="BW99" s="4357">
        <f t="shared" si="221"/>
        <v>0</v>
      </c>
      <c r="BX99" s="4357">
        <f t="shared" si="221"/>
        <v>0</v>
      </c>
      <c r="BY99" s="4357">
        <f t="shared" si="221"/>
        <v>0</v>
      </c>
      <c r="BZ99" s="4357">
        <f t="shared" si="221"/>
        <v>0</v>
      </c>
      <c r="CA99" s="4357">
        <f t="shared" si="221"/>
        <v>0</v>
      </c>
      <c r="CB99" s="4357">
        <f t="shared" si="221"/>
        <v>0</v>
      </c>
      <c r="CC99" s="4357">
        <f t="shared" si="221"/>
        <v>0</v>
      </c>
      <c r="CD99" s="4357">
        <f t="shared" si="221"/>
        <v>0</v>
      </c>
      <c r="CE99" s="4357">
        <f t="shared" si="221"/>
        <v>0</v>
      </c>
      <c r="CF99" s="4357">
        <f t="shared" si="221"/>
        <v>0</v>
      </c>
      <c r="CG99" s="4357">
        <f t="shared" si="221"/>
        <v>0</v>
      </c>
      <c r="CH99" s="4357">
        <f t="shared" si="221"/>
        <v>0</v>
      </c>
      <c r="CI99" s="4357"/>
      <c r="CJ99" s="4357"/>
      <c r="CK99" s="4357"/>
      <c r="CL99" s="4357"/>
      <c r="CM99" s="4357"/>
      <c r="CN99" s="4357"/>
      <c r="CO99" s="4357"/>
      <c r="CP99" s="4357"/>
      <c r="CQ99" s="4357"/>
      <c r="CR99" s="4357"/>
      <c r="CS99" s="4357"/>
      <c r="CT99" s="4357"/>
      <c r="CU99" s="4357"/>
      <c r="CV99" s="4357"/>
      <c r="CW99" s="4357"/>
      <c r="CX99" s="4357"/>
      <c r="CY99" s="4357"/>
      <c r="CZ99" s="4357"/>
      <c r="DA99" s="4357"/>
      <c r="DB99" s="4357"/>
      <c r="DC99" s="4357"/>
      <c r="DD99" s="4357"/>
      <c r="DE99" s="4357"/>
      <c r="DF99" s="4357"/>
      <c r="DG99" s="4357"/>
      <c r="DH99" s="4357"/>
      <c r="DI99" s="4357"/>
      <c r="DJ99" s="4357"/>
      <c r="DK99" s="4357"/>
      <c r="DL99" s="4357"/>
      <c r="DM99" s="4357"/>
      <c r="DN99" s="4357"/>
      <c r="DO99" s="4357"/>
      <c r="DP99" s="4357"/>
      <c r="DQ99" s="4357"/>
      <c r="DR99" s="4357"/>
      <c r="DS99" s="4357"/>
      <c r="DT99" s="4357"/>
      <c r="DU99" s="4357"/>
      <c r="DV99" s="4357"/>
      <c r="DW99" s="4357"/>
      <c r="DX99" s="4357"/>
      <c r="DY99" s="4357"/>
      <c r="DZ99" s="4357"/>
      <c r="EA99" s="4357"/>
      <c r="EB99" s="4357"/>
      <c r="EC99" s="4357"/>
      <c r="ED99" s="4357"/>
      <c r="EE99" s="4357"/>
      <c r="EF99" s="4357"/>
    </row>
    <row r="100" spans="1:136" ht="16" x14ac:dyDescent="0.2">
      <c r="A100" t="str">
        <f>Languages!$B$649</f>
        <v xml:space="preserve">Grasslands </v>
      </c>
      <c r="B100" t="s">
        <v>3002</v>
      </c>
      <c r="C100">
        <f>'4.Grassland'!D33</f>
        <v>0</v>
      </c>
      <c r="D100" t="str">
        <f>'4.Grassland'!G33</f>
        <v>Please select</v>
      </c>
      <c r="E100">
        <f>'4.Grassland'!AG33</f>
        <v>0</v>
      </c>
      <c r="F100" s="388">
        <v>0</v>
      </c>
      <c r="G100">
        <f>grass!I41-grass!H41</f>
        <v>0</v>
      </c>
      <c r="M100" s="388">
        <f>grass!AJ21-grass!AI21</f>
        <v>0</v>
      </c>
      <c r="N100">
        <v>0</v>
      </c>
      <c r="U100" s="388">
        <f>grass!AH21-grass!AG21</f>
        <v>0</v>
      </c>
      <c r="AB100" t="str">
        <f t="shared" si="171"/>
        <v>ok</v>
      </c>
      <c r="AC100">
        <f>IF('4.Grassland'!BR33&lt;&gt;0,'4.Grassland'!BR33, '4.Grassland'!BQ33)</f>
        <v>1</v>
      </c>
      <c r="AD100">
        <f t="shared" si="190"/>
        <v>5</v>
      </c>
      <c r="AE100" s="4357" t="str">
        <f>'4.Grassland'!Y33</f>
        <v>D</v>
      </c>
      <c r="AF100" s="4357" t="str">
        <f>'4.Grassland'!AA33</f>
        <v>D</v>
      </c>
      <c r="AG100" s="4357" t="str">
        <f t="shared" si="193"/>
        <v>D</v>
      </c>
      <c r="AH100" s="4357">
        <f>((E100/(time_cap+((AD100-AC100+1)*VLOOKUP(AG100,list!$I$48:$K$50,3, FALSE))))*(AD100-AC100+1)*VLOOKUP(AG100,list!$I$48:$K$50,3, FALSE))</f>
        <v>0</v>
      </c>
      <c r="AI100" s="4357">
        <f>((E100/(time_cap+((AD100-AC100+1)*VLOOKUP(AG100,list!$I$48:$K$50,3, FALSE))))*time_cap)</f>
        <v>0</v>
      </c>
      <c r="AK100" s="4357">
        <f t="shared" ref="AK100:BP100" si="222">IFERROR(IF((time+time_cap)&lt;AK$2, 0,IF(AND(time+1&gt;=AL$2, $AC100&lt;AL$2), IF($AG100= "I", $AH100/($AD100-$AC100+1), $AH100/(($AD100*($AD100+1)/2)-(($AC100-1)*($AC100-1+1)/2))*AK$2), 0)+IF(IF(time+1&gt;=AL$2, $AI100/time_cap/(time+1)*AK$2, 0) = 0, $AI100/(time_cap),0)),0)</f>
        <v>0</v>
      </c>
      <c r="AL100" s="4357">
        <f t="shared" si="222"/>
        <v>0</v>
      </c>
      <c r="AM100" s="4357">
        <f t="shared" si="222"/>
        <v>0</v>
      </c>
      <c r="AN100" s="4357">
        <f t="shared" si="222"/>
        <v>0</v>
      </c>
      <c r="AO100" s="4357">
        <f t="shared" si="222"/>
        <v>0</v>
      </c>
      <c r="AP100" s="4357">
        <f t="shared" si="222"/>
        <v>0</v>
      </c>
      <c r="AQ100" s="4357">
        <f t="shared" si="222"/>
        <v>0</v>
      </c>
      <c r="AR100" s="4357">
        <f t="shared" si="222"/>
        <v>0</v>
      </c>
      <c r="AS100" s="4357">
        <f t="shared" si="222"/>
        <v>0</v>
      </c>
      <c r="AT100" s="4357">
        <f t="shared" si="222"/>
        <v>0</v>
      </c>
      <c r="AU100" s="4357">
        <f t="shared" si="222"/>
        <v>0</v>
      </c>
      <c r="AV100" s="4357">
        <f t="shared" si="222"/>
        <v>0</v>
      </c>
      <c r="AW100" s="4357">
        <f t="shared" si="222"/>
        <v>0</v>
      </c>
      <c r="AX100" s="4357">
        <f t="shared" si="222"/>
        <v>0</v>
      </c>
      <c r="AY100" s="4357">
        <f t="shared" si="222"/>
        <v>0</v>
      </c>
      <c r="AZ100" s="4357">
        <f t="shared" si="222"/>
        <v>0</v>
      </c>
      <c r="BA100" s="4357">
        <f t="shared" si="222"/>
        <v>0</v>
      </c>
      <c r="BB100" s="4357">
        <f t="shared" si="222"/>
        <v>0</v>
      </c>
      <c r="BC100" s="4357">
        <f t="shared" si="222"/>
        <v>0</v>
      </c>
      <c r="BD100" s="4357">
        <f t="shared" si="222"/>
        <v>0</v>
      </c>
      <c r="BE100" s="4357">
        <f t="shared" si="222"/>
        <v>0</v>
      </c>
      <c r="BF100" s="4357">
        <f t="shared" si="222"/>
        <v>0</v>
      </c>
      <c r="BG100" s="4357">
        <f t="shared" si="222"/>
        <v>0</v>
      </c>
      <c r="BH100" s="4357">
        <f t="shared" si="222"/>
        <v>0</v>
      </c>
      <c r="BI100" s="4357">
        <f t="shared" si="222"/>
        <v>0</v>
      </c>
      <c r="BJ100" s="4357">
        <f t="shared" si="222"/>
        <v>0</v>
      </c>
      <c r="BK100" s="4357">
        <f t="shared" si="222"/>
        <v>0</v>
      </c>
      <c r="BL100" s="4357">
        <f t="shared" si="222"/>
        <v>0</v>
      </c>
      <c r="BM100" s="4357">
        <f t="shared" si="222"/>
        <v>0</v>
      </c>
      <c r="BN100" s="4357">
        <f t="shared" si="222"/>
        <v>0</v>
      </c>
      <c r="BO100" s="4357">
        <f t="shared" si="222"/>
        <v>0</v>
      </c>
      <c r="BP100" s="4357">
        <f t="shared" si="222"/>
        <v>0</v>
      </c>
      <c r="BQ100" s="4357">
        <f t="shared" ref="BQ100:CH100" si="223">IFERROR(IF((time+time_cap)&lt;BQ$2, 0,IF(AND(time+1&gt;=BR$2, $AC100&lt;BR$2), IF($AG100= "I", $AH100/($AD100-$AC100+1), $AH100/(($AD100*($AD100+1)/2)-(($AC100-1)*($AC100-1+1)/2))*BQ$2), 0)+IF(IF(time+1&gt;=BR$2, $AI100/time_cap/(time+1)*BQ$2, 0) = 0, $AI100/(time_cap),0)),0)</f>
        <v>0</v>
      </c>
      <c r="BR100" s="4357">
        <f t="shared" si="223"/>
        <v>0</v>
      </c>
      <c r="BS100" s="4357">
        <f t="shared" si="223"/>
        <v>0</v>
      </c>
      <c r="BT100" s="4357">
        <f t="shared" si="223"/>
        <v>0</v>
      </c>
      <c r="BU100" s="4357">
        <f t="shared" si="223"/>
        <v>0</v>
      </c>
      <c r="BV100" s="4357">
        <f t="shared" si="223"/>
        <v>0</v>
      </c>
      <c r="BW100" s="4357">
        <f t="shared" si="223"/>
        <v>0</v>
      </c>
      <c r="BX100" s="4357">
        <f t="shared" si="223"/>
        <v>0</v>
      </c>
      <c r="BY100" s="4357">
        <f t="shared" si="223"/>
        <v>0</v>
      </c>
      <c r="BZ100" s="4357">
        <f t="shared" si="223"/>
        <v>0</v>
      </c>
      <c r="CA100" s="4357">
        <f t="shared" si="223"/>
        <v>0</v>
      </c>
      <c r="CB100" s="4357">
        <f t="shared" si="223"/>
        <v>0</v>
      </c>
      <c r="CC100" s="4357">
        <f t="shared" si="223"/>
        <v>0</v>
      </c>
      <c r="CD100" s="4357">
        <f t="shared" si="223"/>
        <v>0</v>
      </c>
      <c r="CE100" s="4357">
        <f t="shared" si="223"/>
        <v>0</v>
      </c>
      <c r="CF100" s="4357">
        <f t="shared" si="223"/>
        <v>0</v>
      </c>
      <c r="CG100" s="4357">
        <f t="shared" si="223"/>
        <v>0</v>
      </c>
      <c r="CH100" s="4357">
        <f t="shared" si="223"/>
        <v>0</v>
      </c>
      <c r="CI100" s="4357"/>
      <c r="CJ100" s="4357"/>
      <c r="CK100" s="4357"/>
      <c r="CL100" s="4357"/>
      <c r="CM100" s="4357"/>
      <c r="CN100" s="4357"/>
      <c r="CO100" s="4357"/>
      <c r="CP100" s="4357"/>
      <c r="CQ100" s="4357"/>
      <c r="CR100" s="4357"/>
      <c r="CS100" s="4357"/>
      <c r="CT100" s="4357"/>
      <c r="CU100" s="4357"/>
      <c r="CV100" s="4357"/>
      <c r="CW100" s="4357"/>
      <c r="CX100" s="4357"/>
      <c r="CY100" s="4357"/>
      <c r="CZ100" s="4357"/>
      <c r="DA100" s="4357"/>
      <c r="DB100" s="4357"/>
      <c r="DC100" s="4357"/>
      <c r="DD100" s="4357"/>
      <c r="DE100" s="4357"/>
      <c r="DF100" s="4357"/>
      <c r="DG100" s="4357"/>
      <c r="DH100" s="4357"/>
      <c r="DI100" s="4357"/>
      <c r="DJ100" s="4357"/>
      <c r="DK100" s="4357"/>
      <c r="DL100" s="4357"/>
      <c r="DM100" s="4357"/>
      <c r="DN100" s="4357"/>
      <c r="DO100" s="4357"/>
      <c r="DP100" s="4357"/>
      <c r="DQ100" s="4357"/>
      <c r="DR100" s="4357"/>
      <c r="DS100" s="4357"/>
      <c r="DT100" s="4357"/>
      <c r="DU100" s="4357"/>
      <c r="DV100" s="4357"/>
      <c r="DW100" s="4357"/>
      <c r="DX100" s="4357"/>
      <c r="DY100" s="4357"/>
      <c r="DZ100" s="4357"/>
      <c r="EA100" s="4357"/>
      <c r="EB100" s="4357"/>
      <c r="EC100" s="4357"/>
      <c r="ED100" s="4357"/>
      <c r="EE100" s="4357"/>
      <c r="EF100" s="4357"/>
    </row>
    <row r="101" spans="1:136" ht="16" x14ac:dyDescent="0.2">
      <c r="A101" t="str">
        <f>Languages!$B$649</f>
        <v xml:space="preserve">Grasslands </v>
      </c>
      <c r="B101" t="s">
        <v>3002</v>
      </c>
      <c r="C101">
        <f>'4.Grassland'!D34</f>
        <v>0</v>
      </c>
      <c r="D101" t="str">
        <f>'4.Grassland'!G34</f>
        <v>Please select</v>
      </c>
      <c r="E101">
        <f>'4.Grassland'!AG34</f>
        <v>0</v>
      </c>
      <c r="F101" s="388">
        <v>0</v>
      </c>
      <c r="G101">
        <f>grass!I42-grass!H42</f>
        <v>0</v>
      </c>
      <c r="M101" s="388">
        <f>grass!AJ22-grass!AI22</f>
        <v>0</v>
      </c>
      <c r="N101">
        <v>0</v>
      </c>
      <c r="U101" s="388">
        <f>grass!AH22-grass!AG22</f>
        <v>0</v>
      </c>
      <c r="AB101" t="str">
        <f t="shared" si="171"/>
        <v>ok</v>
      </c>
      <c r="AC101">
        <f>IF('4.Grassland'!BR34&lt;&gt;0,'4.Grassland'!BR34, '4.Grassland'!BQ34)</f>
        <v>1</v>
      </c>
      <c r="AD101">
        <f t="shared" si="190"/>
        <v>5</v>
      </c>
      <c r="AE101" s="4357" t="str">
        <f>'4.Grassland'!Y34</f>
        <v>D</v>
      </c>
      <c r="AF101" s="4357" t="str">
        <f>'4.Grassland'!AA34</f>
        <v>D</v>
      </c>
      <c r="AG101" s="4357" t="str">
        <f t="shared" si="193"/>
        <v>D</v>
      </c>
      <c r="AH101" s="4357">
        <f>((E101/(time_cap+((AD101-AC101+1)*VLOOKUP(AG101,list!$I$48:$K$50,3, FALSE))))*(AD101-AC101+1)*VLOOKUP(AG101,list!$I$48:$K$50,3, FALSE))</f>
        <v>0</v>
      </c>
      <c r="AI101" s="4357">
        <f>((E101/(time_cap+((AD101-AC101+1)*VLOOKUP(AG101,list!$I$48:$K$50,3, FALSE))))*time_cap)</f>
        <v>0</v>
      </c>
      <c r="AK101" s="4357">
        <f t="shared" ref="AK101:BP101" si="224">IFERROR(IF((time+time_cap)&lt;AK$2, 0,IF(AND(time+1&gt;=AL$2, $AC101&lt;AL$2), IF($AG101= "I", $AH101/($AD101-$AC101+1), $AH101/(($AD101*($AD101+1)/2)-(($AC101-1)*($AC101-1+1)/2))*AK$2), 0)+IF(IF(time+1&gt;=AL$2, $AI101/time_cap/(time+1)*AK$2, 0) = 0, $AI101/(time_cap),0)),0)</f>
        <v>0</v>
      </c>
      <c r="AL101" s="4357">
        <f t="shared" si="224"/>
        <v>0</v>
      </c>
      <c r="AM101" s="4357">
        <f t="shared" si="224"/>
        <v>0</v>
      </c>
      <c r="AN101" s="4357">
        <f t="shared" si="224"/>
        <v>0</v>
      </c>
      <c r="AO101" s="4357">
        <f t="shared" si="224"/>
        <v>0</v>
      </c>
      <c r="AP101" s="4357">
        <f t="shared" si="224"/>
        <v>0</v>
      </c>
      <c r="AQ101" s="4357">
        <f t="shared" si="224"/>
        <v>0</v>
      </c>
      <c r="AR101" s="4357">
        <f t="shared" si="224"/>
        <v>0</v>
      </c>
      <c r="AS101" s="4357">
        <f t="shared" si="224"/>
        <v>0</v>
      </c>
      <c r="AT101" s="4357">
        <f t="shared" si="224"/>
        <v>0</v>
      </c>
      <c r="AU101" s="4357">
        <f t="shared" si="224"/>
        <v>0</v>
      </c>
      <c r="AV101" s="4357">
        <f t="shared" si="224"/>
        <v>0</v>
      </c>
      <c r="AW101" s="4357">
        <f t="shared" si="224"/>
        <v>0</v>
      </c>
      <c r="AX101" s="4357">
        <f t="shared" si="224"/>
        <v>0</v>
      </c>
      <c r="AY101" s="4357">
        <f t="shared" si="224"/>
        <v>0</v>
      </c>
      <c r="AZ101" s="4357">
        <f t="shared" si="224"/>
        <v>0</v>
      </c>
      <c r="BA101" s="4357">
        <f t="shared" si="224"/>
        <v>0</v>
      </c>
      <c r="BB101" s="4357">
        <f t="shared" si="224"/>
        <v>0</v>
      </c>
      <c r="BC101" s="4357">
        <f t="shared" si="224"/>
        <v>0</v>
      </c>
      <c r="BD101" s="4357">
        <f t="shared" si="224"/>
        <v>0</v>
      </c>
      <c r="BE101" s="4357">
        <f t="shared" si="224"/>
        <v>0</v>
      </c>
      <c r="BF101" s="4357">
        <f t="shared" si="224"/>
        <v>0</v>
      </c>
      <c r="BG101" s="4357">
        <f t="shared" si="224"/>
        <v>0</v>
      </c>
      <c r="BH101" s="4357">
        <f t="shared" si="224"/>
        <v>0</v>
      </c>
      <c r="BI101" s="4357">
        <f t="shared" si="224"/>
        <v>0</v>
      </c>
      <c r="BJ101" s="4357">
        <f t="shared" si="224"/>
        <v>0</v>
      </c>
      <c r="BK101" s="4357">
        <f t="shared" si="224"/>
        <v>0</v>
      </c>
      <c r="BL101" s="4357">
        <f t="shared" si="224"/>
        <v>0</v>
      </c>
      <c r="BM101" s="4357">
        <f t="shared" si="224"/>
        <v>0</v>
      </c>
      <c r="BN101" s="4357">
        <f t="shared" si="224"/>
        <v>0</v>
      </c>
      <c r="BO101" s="4357">
        <f t="shared" si="224"/>
        <v>0</v>
      </c>
      <c r="BP101" s="4357">
        <f t="shared" si="224"/>
        <v>0</v>
      </c>
      <c r="BQ101" s="4357">
        <f t="shared" ref="BQ101:CH101" si="225">IFERROR(IF((time+time_cap)&lt;BQ$2, 0,IF(AND(time+1&gt;=BR$2, $AC101&lt;BR$2), IF($AG101= "I", $AH101/($AD101-$AC101+1), $AH101/(($AD101*($AD101+1)/2)-(($AC101-1)*($AC101-1+1)/2))*BQ$2), 0)+IF(IF(time+1&gt;=BR$2, $AI101/time_cap/(time+1)*BQ$2, 0) = 0, $AI101/(time_cap),0)),0)</f>
        <v>0</v>
      </c>
      <c r="BR101" s="4357">
        <f t="shared" si="225"/>
        <v>0</v>
      </c>
      <c r="BS101" s="4357">
        <f t="shared" si="225"/>
        <v>0</v>
      </c>
      <c r="BT101" s="4357">
        <f t="shared" si="225"/>
        <v>0</v>
      </c>
      <c r="BU101" s="4357">
        <f t="shared" si="225"/>
        <v>0</v>
      </c>
      <c r="BV101" s="4357">
        <f t="shared" si="225"/>
        <v>0</v>
      </c>
      <c r="BW101" s="4357">
        <f t="shared" si="225"/>
        <v>0</v>
      </c>
      <c r="BX101" s="4357">
        <f t="shared" si="225"/>
        <v>0</v>
      </c>
      <c r="BY101" s="4357">
        <f t="shared" si="225"/>
        <v>0</v>
      </c>
      <c r="BZ101" s="4357">
        <f t="shared" si="225"/>
        <v>0</v>
      </c>
      <c r="CA101" s="4357">
        <f t="shared" si="225"/>
        <v>0</v>
      </c>
      <c r="CB101" s="4357">
        <f t="shared" si="225"/>
        <v>0</v>
      </c>
      <c r="CC101" s="4357">
        <f t="shared" si="225"/>
        <v>0</v>
      </c>
      <c r="CD101" s="4357">
        <f t="shared" si="225"/>
        <v>0</v>
      </c>
      <c r="CE101" s="4357">
        <f t="shared" si="225"/>
        <v>0</v>
      </c>
      <c r="CF101" s="4357">
        <f t="shared" si="225"/>
        <v>0</v>
      </c>
      <c r="CG101" s="4357">
        <f t="shared" si="225"/>
        <v>0</v>
      </c>
      <c r="CH101" s="4357">
        <f t="shared" si="225"/>
        <v>0</v>
      </c>
      <c r="CI101" s="4357"/>
      <c r="CJ101" s="4357"/>
      <c r="CK101" s="4357"/>
      <c r="CL101" s="4357"/>
      <c r="CM101" s="4357"/>
      <c r="CN101" s="4357"/>
      <c r="CO101" s="4357"/>
      <c r="CP101" s="4357"/>
      <c r="CQ101" s="4357"/>
      <c r="CR101" s="4357"/>
      <c r="CS101" s="4357"/>
      <c r="CT101" s="4357"/>
      <c r="CU101" s="4357"/>
      <c r="CV101" s="4357"/>
      <c r="CW101" s="4357"/>
      <c r="CX101" s="4357"/>
      <c r="CY101" s="4357"/>
      <c r="CZ101" s="4357"/>
      <c r="DA101" s="4357"/>
      <c r="DB101" s="4357"/>
      <c r="DC101" s="4357"/>
      <c r="DD101" s="4357"/>
      <c r="DE101" s="4357"/>
      <c r="DF101" s="4357"/>
      <c r="DG101" s="4357"/>
      <c r="DH101" s="4357"/>
      <c r="DI101" s="4357"/>
      <c r="DJ101" s="4357"/>
      <c r="DK101" s="4357"/>
      <c r="DL101" s="4357"/>
      <c r="DM101" s="4357"/>
      <c r="DN101" s="4357"/>
      <c r="DO101" s="4357"/>
      <c r="DP101" s="4357"/>
      <c r="DQ101" s="4357"/>
      <c r="DR101" s="4357"/>
      <c r="DS101" s="4357"/>
      <c r="DT101" s="4357"/>
      <c r="DU101" s="4357"/>
      <c r="DV101" s="4357"/>
      <c r="DW101" s="4357"/>
      <c r="DX101" s="4357"/>
      <c r="DY101" s="4357"/>
      <c r="DZ101" s="4357"/>
      <c r="EA101" s="4357"/>
      <c r="EB101" s="4357"/>
      <c r="EC101" s="4357"/>
      <c r="ED101" s="4357"/>
      <c r="EE101" s="4357"/>
      <c r="EF101" s="4357"/>
    </row>
    <row r="102" spans="1:136" ht="16" x14ac:dyDescent="0.2">
      <c r="A102" t="str">
        <f>Languages!$B$649</f>
        <v xml:space="preserve">Grasslands </v>
      </c>
      <c r="B102" t="s">
        <v>3002</v>
      </c>
      <c r="C102">
        <f>'4.Grassland'!D35</f>
        <v>0</v>
      </c>
      <c r="D102" t="str">
        <f>'4.Grassland'!G35</f>
        <v>Please select</v>
      </c>
      <c r="E102">
        <f>'4.Grassland'!AG35</f>
        <v>0</v>
      </c>
      <c r="F102" s="388">
        <v>0</v>
      </c>
      <c r="G102">
        <f>grass!I43-grass!H43</f>
        <v>0</v>
      </c>
      <c r="M102" s="388">
        <f>grass!AJ23-grass!AI23</f>
        <v>0</v>
      </c>
      <c r="N102">
        <v>0</v>
      </c>
      <c r="U102" s="388">
        <f>grass!AH23-grass!AG23</f>
        <v>0</v>
      </c>
      <c r="AB102" t="str">
        <f t="shared" si="171"/>
        <v>ok</v>
      </c>
      <c r="AC102">
        <f>IF('4.Grassland'!BR35&lt;&gt;0,'4.Grassland'!BR35, '4.Grassland'!BQ35)</f>
        <v>1</v>
      </c>
      <c r="AD102">
        <f t="shared" si="190"/>
        <v>5</v>
      </c>
      <c r="AE102" s="4357" t="str">
        <f>'4.Grassland'!Y35</f>
        <v>D</v>
      </c>
      <c r="AF102" s="4357" t="str">
        <f>'4.Grassland'!AA35</f>
        <v>D</v>
      </c>
      <c r="AG102" s="4357" t="str">
        <f t="shared" si="193"/>
        <v>D</v>
      </c>
      <c r="AH102" s="4357">
        <f>((E102/(time_cap+((AD102-AC102+1)*VLOOKUP(AG102,list!$I$48:$K$50,3, FALSE))))*(AD102-AC102+1)*VLOOKUP(AG102,list!$I$48:$K$50,3, FALSE))</f>
        <v>0</v>
      </c>
      <c r="AI102" s="4357">
        <f>((E102/(time_cap+((AD102-AC102+1)*VLOOKUP(AG102,list!$I$48:$K$50,3, FALSE))))*time_cap)</f>
        <v>0</v>
      </c>
      <c r="AK102" s="4357">
        <f t="shared" ref="AK102:BP102" si="226">IFERROR(IF((time+time_cap)&lt;AK$2, 0,IF(AND(time+1&gt;=AL$2, $AC102&lt;AL$2), IF($AG102= "I", $AH102/($AD102-$AC102+1), $AH102/(($AD102*($AD102+1)/2)-(($AC102-1)*($AC102-1+1)/2))*AK$2), 0)+IF(IF(time+1&gt;=AL$2, $AI102/time_cap/(time+1)*AK$2, 0) = 0, $AI102/(time_cap),0)),0)</f>
        <v>0</v>
      </c>
      <c r="AL102" s="4357">
        <f t="shared" si="226"/>
        <v>0</v>
      </c>
      <c r="AM102" s="4357">
        <f t="shared" si="226"/>
        <v>0</v>
      </c>
      <c r="AN102" s="4357">
        <f t="shared" si="226"/>
        <v>0</v>
      </c>
      <c r="AO102" s="4357">
        <f t="shared" si="226"/>
        <v>0</v>
      </c>
      <c r="AP102" s="4357">
        <f t="shared" si="226"/>
        <v>0</v>
      </c>
      <c r="AQ102" s="4357">
        <f t="shared" si="226"/>
        <v>0</v>
      </c>
      <c r="AR102" s="4357">
        <f t="shared" si="226"/>
        <v>0</v>
      </c>
      <c r="AS102" s="4357">
        <f t="shared" si="226"/>
        <v>0</v>
      </c>
      <c r="AT102" s="4357">
        <f t="shared" si="226"/>
        <v>0</v>
      </c>
      <c r="AU102" s="4357">
        <f t="shared" si="226"/>
        <v>0</v>
      </c>
      <c r="AV102" s="4357">
        <f t="shared" si="226"/>
        <v>0</v>
      </c>
      <c r="AW102" s="4357">
        <f t="shared" si="226"/>
        <v>0</v>
      </c>
      <c r="AX102" s="4357">
        <f t="shared" si="226"/>
        <v>0</v>
      </c>
      <c r="AY102" s="4357">
        <f t="shared" si="226"/>
        <v>0</v>
      </c>
      <c r="AZ102" s="4357">
        <f t="shared" si="226"/>
        <v>0</v>
      </c>
      <c r="BA102" s="4357">
        <f t="shared" si="226"/>
        <v>0</v>
      </c>
      <c r="BB102" s="4357">
        <f t="shared" si="226"/>
        <v>0</v>
      </c>
      <c r="BC102" s="4357">
        <f t="shared" si="226"/>
        <v>0</v>
      </c>
      <c r="BD102" s="4357">
        <f t="shared" si="226"/>
        <v>0</v>
      </c>
      <c r="BE102" s="4357">
        <f t="shared" si="226"/>
        <v>0</v>
      </c>
      <c r="BF102" s="4357">
        <f t="shared" si="226"/>
        <v>0</v>
      </c>
      <c r="BG102" s="4357">
        <f t="shared" si="226"/>
        <v>0</v>
      </c>
      <c r="BH102" s="4357">
        <f t="shared" si="226"/>
        <v>0</v>
      </c>
      <c r="BI102" s="4357">
        <f t="shared" si="226"/>
        <v>0</v>
      </c>
      <c r="BJ102" s="4357">
        <f t="shared" si="226"/>
        <v>0</v>
      </c>
      <c r="BK102" s="4357">
        <f t="shared" si="226"/>
        <v>0</v>
      </c>
      <c r="BL102" s="4357">
        <f t="shared" si="226"/>
        <v>0</v>
      </c>
      <c r="BM102" s="4357">
        <f t="shared" si="226"/>
        <v>0</v>
      </c>
      <c r="BN102" s="4357">
        <f t="shared" si="226"/>
        <v>0</v>
      </c>
      <c r="BO102" s="4357">
        <f t="shared" si="226"/>
        <v>0</v>
      </c>
      <c r="BP102" s="4357">
        <f t="shared" si="226"/>
        <v>0</v>
      </c>
      <c r="BQ102" s="4357">
        <f t="shared" ref="BQ102:CH102" si="227">IFERROR(IF((time+time_cap)&lt;BQ$2, 0,IF(AND(time+1&gt;=BR$2, $AC102&lt;BR$2), IF($AG102= "I", $AH102/($AD102-$AC102+1), $AH102/(($AD102*($AD102+1)/2)-(($AC102-1)*($AC102-1+1)/2))*BQ$2), 0)+IF(IF(time+1&gt;=BR$2, $AI102/time_cap/(time+1)*BQ$2, 0) = 0, $AI102/(time_cap),0)),0)</f>
        <v>0</v>
      </c>
      <c r="BR102" s="4357">
        <f t="shared" si="227"/>
        <v>0</v>
      </c>
      <c r="BS102" s="4357">
        <f t="shared" si="227"/>
        <v>0</v>
      </c>
      <c r="BT102" s="4357">
        <f t="shared" si="227"/>
        <v>0</v>
      </c>
      <c r="BU102" s="4357">
        <f t="shared" si="227"/>
        <v>0</v>
      </c>
      <c r="BV102" s="4357">
        <f t="shared" si="227"/>
        <v>0</v>
      </c>
      <c r="BW102" s="4357">
        <f t="shared" si="227"/>
        <v>0</v>
      </c>
      <c r="BX102" s="4357">
        <f t="shared" si="227"/>
        <v>0</v>
      </c>
      <c r="BY102" s="4357">
        <f t="shared" si="227"/>
        <v>0</v>
      </c>
      <c r="BZ102" s="4357">
        <f t="shared" si="227"/>
        <v>0</v>
      </c>
      <c r="CA102" s="4357">
        <f t="shared" si="227"/>
        <v>0</v>
      </c>
      <c r="CB102" s="4357">
        <f t="shared" si="227"/>
        <v>0</v>
      </c>
      <c r="CC102" s="4357">
        <f t="shared" si="227"/>
        <v>0</v>
      </c>
      <c r="CD102" s="4357">
        <f t="shared" si="227"/>
        <v>0</v>
      </c>
      <c r="CE102" s="4357">
        <f t="shared" si="227"/>
        <v>0</v>
      </c>
      <c r="CF102" s="4357">
        <f t="shared" si="227"/>
        <v>0</v>
      </c>
      <c r="CG102" s="4357">
        <f t="shared" si="227"/>
        <v>0</v>
      </c>
      <c r="CH102" s="4357">
        <f t="shared" si="227"/>
        <v>0</v>
      </c>
      <c r="CI102" s="4357"/>
      <c r="CJ102" s="4357"/>
      <c r="CK102" s="4357"/>
      <c r="CL102" s="4357"/>
      <c r="CM102" s="4357"/>
      <c r="CN102" s="4357"/>
      <c r="CO102" s="4357"/>
      <c r="CP102" s="4357"/>
      <c r="CQ102" s="4357"/>
      <c r="CR102" s="4357"/>
      <c r="CS102" s="4357"/>
      <c r="CT102" s="4357"/>
      <c r="CU102" s="4357"/>
      <c r="CV102" s="4357"/>
      <c r="CW102" s="4357"/>
      <c r="CX102" s="4357"/>
      <c r="CY102" s="4357"/>
      <c r="CZ102" s="4357"/>
      <c r="DA102" s="4357"/>
      <c r="DB102" s="4357"/>
      <c r="DC102" s="4357"/>
      <c r="DD102" s="4357"/>
      <c r="DE102" s="4357"/>
      <c r="DF102" s="4357"/>
      <c r="DG102" s="4357"/>
      <c r="DH102" s="4357"/>
      <c r="DI102" s="4357"/>
      <c r="DJ102" s="4357"/>
      <c r="DK102" s="4357"/>
      <c r="DL102" s="4357"/>
      <c r="DM102" s="4357"/>
      <c r="DN102" s="4357"/>
      <c r="DO102" s="4357"/>
      <c r="DP102" s="4357"/>
      <c r="DQ102" s="4357"/>
      <c r="DR102" s="4357"/>
      <c r="DS102" s="4357"/>
      <c r="DT102" s="4357"/>
      <c r="DU102" s="4357"/>
      <c r="DV102" s="4357"/>
      <c r="DW102" s="4357"/>
      <c r="DX102" s="4357"/>
      <c r="DY102" s="4357"/>
      <c r="DZ102" s="4357"/>
      <c r="EA102" s="4357"/>
      <c r="EB102" s="4357"/>
      <c r="EC102" s="4357"/>
      <c r="ED102" s="4357"/>
      <c r="EE102" s="4357"/>
      <c r="EF102" s="4357"/>
    </row>
    <row r="103" spans="1:136" ht="16" x14ac:dyDescent="0.2">
      <c r="A103" t="s">
        <v>2958</v>
      </c>
      <c r="B103" t="s">
        <v>2958</v>
      </c>
      <c r="C103">
        <f>'4.Grassland'!E56</f>
        <v>0</v>
      </c>
      <c r="D103" t="str">
        <f>'4.Grassland'!I56</f>
        <v>Dairy Cattle</v>
      </c>
      <c r="E103">
        <f ca="1">'4.Grassland'!AG56</f>
        <v>0</v>
      </c>
      <c r="F103" s="388">
        <v>0</v>
      </c>
      <c r="G103" s="388">
        <v>0</v>
      </c>
      <c r="M103" s="388">
        <v>0</v>
      </c>
      <c r="N103" s="388">
        <v>0</v>
      </c>
      <c r="O103">
        <f ca="1">Livestock!AA90-Livestock!Z90</f>
        <v>0</v>
      </c>
      <c r="P103">
        <f ca="1">Livestock!AA118-Livestock!Z118</f>
        <v>0</v>
      </c>
      <c r="Q103">
        <f ca="1">Livestock!AA144-Livestock!Z144</f>
        <v>0</v>
      </c>
      <c r="U103" s="388">
        <v>0</v>
      </c>
      <c r="V103">
        <v>0</v>
      </c>
      <c r="W103">
        <f>Livestock!AA8-Livestock!Z8</f>
        <v>0</v>
      </c>
      <c r="X103">
        <f ca="1">Livestock!AA62-Livestock!Z62</f>
        <v>0</v>
      </c>
      <c r="AB103" t="str">
        <f t="shared" ca="1" si="171"/>
        <v>ok</v>
      </c>
      <c r="AC103">
        <f>IF('4.Grassland'!CG56&lt;&gt;0,'4.Grassland'!CG56, '4.Grassland'!CF56)</f>
        <v>1</v>
      </c>
      <c r="AD103">
        <f t="shared" si="190"/>
        <v>5</v>
      </c>
      <c r="AE103" s="4357" t="str">
        <f>'4.Grassland'!Y56</f>
        <v>D</v>
      </c>
      <c r="AF103" s="4357" t="str">
        <f>'4.Grassland'!AA56</f>
        <v>D</v>
      </c>
      <c r="AG103" s="4357" t="str">
        <f t="shared" si="193"/>
        <v>D</v>
      </c>
      <c r="AH103" s="4357">
        <f ca="1">((E103/(time_cap+((AD103-AC103+1)*VLOOKUP(AG103,list!$I$48:$K$50,3, FALSE))))*(AD103-AC103+1)*VLOOKUP(AG103,list!$I$48:$K$50,3, FALSE))</f>
        <v>0</v>
      </c>
      <c r="AI103" s="4357">
        <f ca="1">((E103/(time_cap+((AD103-AC103+1)*VLOOKUP(AG103,list!$I$48:$K$50,3, FALSE))))*time_cap)</f>
        <v>0</v>
      </c>
      <c r="AK103" s="4357">
        <f t="shared" ref="AK103:BP103" ca="1" si="228">IFERROR(IF((time+time_cap)&lt;AK$2, 0,IF(AND(time+1&gt;=AL$2, $AC103&lt;AL$2), IF($AG103= "I", $AH103/($AD103-$AC103+1), $AH103/(($AD103*($AD103+1)/2)-(($AC103-1)*($AC103-1+1)/2))*AK$2), 0)+IF(IF(time+1&gt;=AL$2, $AI103/time_cap/(time+1)*AK$2, 0) = 0, $AI103/(time_cap),0)),0)</f>
        <v>0</v>
      </c>
      <c r="AL103" s="4357">
        <f t="shared" ca="1" si="228"/>
        <v>0</v>
      </c>
      <c r="AM103" s="4357">
        <f t="shared" ca="1" si="228"/>
        <v>0</v>
      </c>
      <c r="AN103" s="4357">
        <f t="shared" ca="1" si="228"/>
        <v>0</v>
      </c>
      <c r="AO103" s="4357">
        <f t="shared" ca="1" si="228"/>
        <v>0</v>
      </c>
      <c r="AP103" s="4357">
        <f t="shared" ca="1" si="228"/>
        <v>0</v>
      </c>
      <c r="AQ103" s="4357">
        <f t="shared" ca="1" si="228"/>
        <v>0</v>
      </c>
      <c r="AR103" s="4357">
        <f t="shared" ca="1" si="228"/>
        <v>0</v>
      </c>
      <c r="AS103" s="4357">
        <f t="shared" ca="1" si="228"/>
        <v>0</v>
      </c>
      <c r="AT103" s="4357">
        <f t="shared" ca="1" si="228"/>
        <v>0</v>
      </c>
      <c r="AU103" s="4357">
        <f t="shared" ca="1" si="228"/>
        <v>0</v>
      </c>
      <c r="AV103" s="4357">
        <f t="shared" ca="1" si="228"/>
        <v>0</v>
      </c>
      <c r="AW103" s="4357">
        <f t="shared" ca="1" si="228"/>
        <v>0</v>
      </c>
      <c r="AX103" s="4357">
        <f t="shared" ca="1" si="228"/>
        <v>0</v>
      </c>
      <c r="AY103" s="4357">
        <f t="shared" ca="1" si="228"/>
        <v>0</v>
      </c>
      <c r="AZ103" s="4357">
        <f t="shared" si="228"/>
        <v>0</v>
      </c>
      <c r="BA103" s="4357">
        <f t="shared" si="228"/>
        <v>0</v>
      </c>
      <c r="BB103" s="4357">
        <f t="shared" si="228"/>
        <v>0</v>
      </c>
      <c r="BC103" s="4357">
        <f t="shared" si="228"/>
        <v>0</v>
      </c>
      <c r="BD103" s="4357">
        <f t="shared" si="228"/>
        <v>0</v>
      </c>
      <c r="BE103" s="4357">
        <f t="shared" si="228"/>
        <v>0</v>
      </c>
      <c r="BF103" s="4357">
        <f t="shared" si="228"/>
        <v>0</v>
      </c>
      <c r="BG103" s="4357">
        <f t="shared" si="228"/>
        <v>0</v>
      </c>
      <c r="BH103" s="4357">
        <f t="shared" si="228"/>
        <v>0</v>
      </c>
      <c r="BI103" s="4357">
        <f t="shared" si="228"/>
        <v>0</v>
      </c>
      <c r="BJ103" s="4357">
        <f t="shared" si="228"/>
        <v>0</v>
      </c>
      <c r="BK103" s="4357">
        <f t="shared" si="228"/>
        <v>0</v>
      </c>
      <c r="BL103" s="4357">
        <f t="shared" si="228"/>
        <v>0</v>
      </c>
      <c r="BM103" s="4357">
        <f t="shared" si="228"/>
        <v>0</v>
      </c>
      <c r="BN103" s="4357">
        <f t="shared" si="228"/>
        <v>0</v>
      </c>
      <c r="BO103" s="4357">
        <f t="shared" si="228"/>
        <v>0</v>
      </c>
      <c r="BP103" s="4357">
        <f t="shared" si="228"/>
        <v>0</v>
      </c>
      <c r="BQ103" s="4357">
        <f t="shared" ref="BQ103:CH103" si="229">IFERROR(IF((time+time_cap)&lt;BQ$2, 0,IF(AND(time+1&gt;=BR$2, $AC103&lt;BR$2), IF($AG103= "I", $AH103/($AD103-$AC103+1), $AH103/(($AD103*($AD103+1)/2)-(($AC103-1)*($AC103-1+1)/2))*BQ$2), 0)+IF(IF(time+1&gt;=BR$2, $AI103/time_cap/(time+1)*BQ$2, 0) = 0, $AI103/(time_cap),0)),0)</f>
        <v>0</v>
      </c>
      <c r="BR103" s="4357">
        <f t="shared" si="229"/>
        <v>0</v>
      </c>
      <c r="BS103" s="4357">
        <f t="shared" si="229"/>
        <v>0</v>
      </c>
      <c r="BT103" s="4357">
        <f t="shared" si="229"/>
        <v>0</v>
      </c>
      <c r="BU103" s="4357">
        <f t="shared" si="229"/>
        <v>0</v>
      </c>
      <c r="BV103" s="4357">
        <f t="shared" si="229"/>
        <v>0</v>
      </c>
      <c r="BW103" s="4357">
        <f t="shared" si="229"/>
        <v>0</v>
      </c>
      <c r="BX103" s="4357">
        <f t="shared" si="229"/>
        <v>0</v>
      </c>
      <c r="BY103" s="4357">
        <f t="shared" si="229"/>
        <v>0</v>
      </c>
      <c r="BZ103" s="4357">
        <f t="shared" si="229"/>
        <v>0</v>
      </c>
      <c r="CA103" s="4357">
        <f t="shared" si="229"/>
        <v>0</v>
      </c>
      <c r="CB103" s="4357">
        <f t="shared" si="229"/>
        <v>0</v>
      </c>
      <c r="CC103" s="4357">
        <f t="shared" si="229"/>
        <v>0</v>
      </c>
      <c r="CD103" s="4357">
        <f t="shared" si="229"/>
        <v>0</v>
      </c>
      <c r="CE103" s="4357">
        <f t="shared" si="229"/>
        <v>0</v>
      </c>
      <c r="CF103" s="4357">
        <f t="shared" si="229"/>
        <v>0</v>
      </c>
      <c r="CG103" s="4357">
        <f t="shared" si="229"/>
        <v>0</v>
      </c>
      <c r="CH103" s="4357">
        <f t="shared" si="229"/>
        <v>0</v>
      </c>
      <c r="CI103" s="4357"/>
      <c r="CJ103" s="4357"/>
      <c r="CK103" s="4357"/>
      <c r="CL103" s="4357"/>
      <c r="CM103" s="4357"/>
      <c r="CN103" s="4357"/>
      <c r="CO103" s="4357"/>
      <c r="CP103" s="4357"/>
      <c r="CQ103" s="4357"/>
      <c r="CR103" s="4357"/>
      <c r="CS103" s="4357"/>
      <c r="CT103" s="4357"/>
      <c r="CU103" s="4357"/>
      <c r="CV103" s="4357"/>
      <c r="CW103" s="4357"/>
      <c r="CX103" s="4357"/>
      <c r="CY103" s="4357"/>
      <c r="CZ103" s="4357"/>
      <c r="DA103" s="4357"/>
      <c r="DB103" s="4357"/>
      <c r="DC103" s="4357"/>
      <c r="DD103" s="4357"/>
      <c r="DE103" s="4357"/>
      <c r="DF103" s="4357"/>
      <c r="DG103" s="4357"/>
      <c r="DH103" s="4357"/>
      <c r="DI103" s="4357"/>
      <c r="DJ103" s="4357"/>
      <c r="DK103" s="4357"/>
      <c r="DL103" s="4357"/>
      <c r="DM103" s="4357"/>
      <c r="DN103" s="4357"/>
      <c r="DO103" s="4357"/>
      <c r="DP103" s="4357"/>
      <c r="DQ103" s="4357"/>
      <c r="DR103" s="4357"/>
      <c r="DS103" s="4357"/>
      <c r="DT103" s="4357"/>
      <c r="DU103" s="4357"/>
      <c r="DV103" s="4357"/>
      <c r="DW103" s="4357"/>
      <c r="DX103" s="4357"/>
      <c r="DY103" s="4357"/>
      <c r="DZ103" s="4357"/>
      <c r="EA103" s="4357"/>
      <c r="EB103" s="4357"/>
      <c r="EC103" s="4357"/>
      <c r="ED103" s="4357"/>
      <c r="EE103" s="4357"/>
      <c r="EF103" s="4357"/>
    </row>
    <row r="104" spans="1:136" ht="16" x14ac:dyDescent="0.2">
      <c r="A104" t="s">
        <v>2958</v>
      </c>
      <c r="B104" t="s">
        <v>2958</v>
      </c>
      <c r="C104">
        <f>'4.Grassland'!E57</f>
        <v>0</v>
      </c>
      <c r="D104" t="str">
        <f>'4.Grassland'!I57</f>
        <v>Dairy Cattle</v>
      </c>
      <c r="E104">
        <f ca="1">'4.Grassland'!AG57</f>
        <v>-6464.7672482477674</v>
      </c>
      <c r="F104" s="388">
        <v>0</v>
      </c>
      <c r="G104" s="388">
        <v>0</v>
      </c>
      <c r="M104" s="388">
        <v>0</v>
      </c>
      <c r="N104" s="388">
        <v>0</v>
      </c>
      <c r="O104">
        <f ca="1">Livestock!AA91-Livestock!Z91</f>
        <v>-235.30947098214293</v>
      </c>
      <c r="P104">
        <f ca="1">Livestock!AA119-Livestock!Z119</f>
        <v>-71.122453850446448</v>
      </c>
      <c r="Q104">
        <f ca="1">Livestock!AA145-Livestock!Z145</f>
        <v>-2.7273859151785707</v>
      </c>
      <c r="U104" s="388">
        <v>0</v>
      </c>
      <c r="V104">
        <v>0</v>
      </c>
      <c r="W104">
        <f>Livestock!AA9-Livestock!Z9</f>
        <v>-4410</v>
      </c>
      <c r="X104">
        <f ca="1">Livestock!AA63-Livestock!Z63</f>
        <v>-1745.6079374999997</v>
      </c>
      <c r="AB104" t="str">
        <f t="shared" ca="1" si="171"/>
        <v>ok</v>
      </c>
      <c r="AC104">
        <f>IF('4.Grassland'!CG57&lt;&gt;0,'4.Grassland'!CG57, '4.Grassland'!CF57)</f>
        <v>1</v>
      </c>
      <c r="AD104">
        <f t="shared" si="190"/>
        <v>5</v>
      </c>
      <c r="AE104" s="4357" t="str">
        <f>'4.Grassland'!Y57</f>
        <v>D</v>
      </c>
      <c r="AF104" s="4357" t="str">
        <f>'4.Grassland'!AA57</f>
        <v>D</v>
      </c>
      <c r="AG104" s="4357" t="str">
        <f t="shared" si="193"/>
        <v>D</v>
      </c>
      <c r="AH104" s="4357">
        <f ca="1">((E104/(time_cap+((AD104-AC104+1)*VLOOKUP(AG104,list!$I$48:$K$50,3, FALSE))))*(AD104-AC104+1)*VLOOKUP(AG104,list!$I$48:$K$50,3, FALSE))</f>
        <v>-1292.9534496495535</v>
      </c>
      <c r="AI104" s="4357">
        <f ca="1">((E104/(time_cap+((AD104-AC104+1)*VLOOKUP(AG104,list!$I$48:$K$50,3, FALSE))))*time_cap)</f>
        <v>-5171.8137985982139</v>
      </c>
      <c r="AK104" s="4357">
        <f t="shared" ref="AK104:BP104" ca="1" si="230">IFERROR(IF((time+time_cap)&lt;AK$2, 0,IF(AND(time+1&gt;=AL$2, $AC104&lt;AL$2), IF($AG104= "I", $AH104/($AD104-$AC104+1), $AH104/(($AD104*($AD104+1)/2)-(($AC104-1)*($AC104-1+1)/2))*AK$2), 0)+IF(IF(time+1&gt;=AL$2, $AI104/time_cap/(time+1)*AK$2, 0) = 0, $AI104/(time_cap),0)),0)</f>
        <v>-86.19689664330356</v>
      </c>
      <c r="AL104" s="4357">
        <f t="shared" ca="1" si="230"/>
        <v>-172.39379328660712</v>
      </c>
      <c r="AM104" s="4357">
        <f t="shared" ca="1" si="230"/>
        <v>-258.5906899299107</v>
      </c>
      <c r="AN104" s="4357">
        <f t="shared" ca="1" si="230"/>
        <v>-344.78758657321424</v>
      </c>
      <c r="AO104" s="4357">
        <f t="shared" ca="1" si="230"/>
        <v>-430.98448321651779</v>
      </c>
      <c r="AP104" s="4357">
        <f t="shared" ca="1" si="230"/>
        <v>-517.18137985982139</v>
      </c>
      <c r="AQ104" s="4357">
        <f t="shared" ca="1" si="230"/>
        <v>-517.18137985982139</v>
      </c>
      <c r="AR104" s="4357">
        <f t="shared" ca="1" si="230"/>
        <v>-517.18137985982139</v>
      </c>
      <c r="AS104" s="4357">
        <f t="shared" ca="1" si="230"/>
        <v>-517.18137985982139</v>
      </c>
      <c r="AT104" s="4357">
        <f t="shared" ca="1" si="230"/>
        <v>-517.18137985982139</v>
      </c>
      <c r="AU104" s="4357">
        <f t="shared" ca="1" si="230"/>
        <v>-517.18137985982139</v>
      </c>
      <c r="AV104" s="4357">
        <f t="shared" ca="1" si="230"/>
        <v>-517.18137985982139</v>
      </c>
      <c r="AW104" s="4357">
        <f t="shared" ca="1" si="230"/>
        <v>-517.18137985982139</v>
      </c>
      <c r="AX104" s="4357">
        <f t="shared" ca="1" si="230"/>
        <v>-517.18137985982139</v>
      </c>
      <c r="AY104" s="4357">
        <f t="shared" ca="1" si="230"/>
        <v>-517.18137985982139</v>
      </c>
      <c r="AZ104" s="4357">
        <f t="shared" si="230"/>
        <v>0</v>
      </c>
      <c r="BA104" s="4357">
        <f t="shared" si="230"/>
        <v>0</v>
      </c>
      <c r="BB104" s="4357">
        <f t="shared" si="230"/>
        <v>0</v>
      </c>
      <c r="BC104" s="4357">
        <f t="shared" si="230"/>
        <v>0</v>
      </c>
      <c r="BD104" s="4357">
        <f t="shared" si="230"/>
        <v>0</v>
      </c>
      <c r="BE104" s="4357">
        <f t="shared" si="230"/>
        <v>0</v>
      </c>
      <c r="BF104" s="4357">
        <f t="shared" si="230"/>
        <v>0</v>
      </c>
      <c r="BG104" s="4357">
        <f t="shared" si="230"/>
        <v>0</v>
      </c>
      <c r="BH104" s="4357">
        <f t="shared" si="230"/>
        <v>0</v>
      </c>
      <c r="BI104" s="4357">
        <f t="shared" si="230"/>
        <v>0</v>
      </c>
      <c r="BJ104" s="4357">
        <f t="shared" si="230"/>
        <v>0</v>
      </c>
      <c r="BK104" s="4357">
        <f t="shared" si="230"/>
        <v>0</v>
      </c>
      <c r="BL104" s="4357">
        <f t="shared" si="230"/>
        <v>0</v>
      </c>
      <c r="BM104" s="4357">
        <f t="shared" si="230"/>
        <v>0</v>
      </c>
      <c r="BN104" s="4357">
        <f t="shared" si="230"/>
        <v>0</v>
      </c>
      <c r="BO104" s="4357">
        <f t="shared" si="230"/>
        <v>0</v>
      </c>
      <c r="BP104" s="4357">
        <f t="shared" si="230"/>
        <v>0</v>
      </c>
      <c r="BQ104" s="4357">
        <f t="shared" ref="BQ104:CH104" si="231">IFERROR(IF((time+time_cap)&lt;BQ$2, 0,IF(AND(time+1&gt;=BR$2, $AC104&lt;BR$2), IF($AG104= "I", $AH104/($AD104-$AC104+1), $AH104/(($AD104*($AD104+1)/2)-(($AC104-1)*($AC104-1+1)/2))*BQ$2), 0)+IF(IF(time+1&gt;=BR$2, $AI104/time_cap/(time+1)*BQ$2, 0) = 0, $AI104/(time_cap),0)),0)</f>
        <v>0</v>
      </c>
      <c r="BR104" s="4357">
        <f t="shared" si="231"/>
        <v>0</v>
      </c>
      <c r="BS104" s="4357">
        <f t="shared" si="231"/>
        <v>0</v>
      </c>
      <c r="BT104" s="4357">
        <f t="shared" si="231"/>
        <v>0</v>
      </c>
      <c r="BU104" s="4357">
        <f t="shared" si="231"/>
        <v>0</v>
      </c>
      <c r="BV104" s="4357">
        <f t="shared" si="231"/>
        <v>0</v>
      </c>
      <c r="BW104" s="4357">
        <f t="shared" si="231"/>
        <v>0</v>
      </c>
      <c r="BX104" s="4357">
        <f t="shared" si="231"/>
        <v>0</v>
      </c>
      <c r="BY104" s="4357">
        <f t="shared" si="231"/>
        <v>0</v>
      </c>
      <c r="BZ104" s="4357">
        <f t="shared" si="231"/>
        <v>0</v>
      </c>
      <c r="CA104" s="4357">
        <f t="shared" si="231"/>
        <v>0</v>
      </c>
      <c r="CB104" s="4357">
        <f t="shared" si="231"/>
        <v>0</v>
      </c>
      <c r="CC104" s="4357">
        <f t="shared" si="231"/>
        <v>0</v>
      </c>
      <c r="CD104" s="4357">
        <f t="shared" si="231"/>
        <v>0</v>
      </c>
      <c r="CE104" s="4357">
        <f t="shared" si="231"/>
        <v>0</v>
      </c>
      <c r="CF104" s="4357">
        <f t="shared" si="231"/>
        <v>0</v>
      </c>
      <c r="CG104" s="4357">
        <f t="shared" si="231"/>
        <v>0</v>
      </c>
      <c r="CH104" s="4357">
        <f t="shared" si="231"/>
        <v>0</v>
      </c>
      <c r="CI104" s="4357"/>
      <c r="CJ104" s="4357"/>
      <c r="CK104" s="4357"/>
      <c r="CL104" s="4357"/>
      <c r="CM104" s="4357"/>
      <c r="CN104" s="4357"/>
      <c r="CO104" s="4357"/>
      <c r="CP104" s="4357"/>
      <c r="CQ104" s="4357"/>
      <c r="CR104" s="4357"/>
      <c r="CS104" s="4357"/>
      <c r="CT104" s="4357"/>
      <c r="CU104" s="4357"/>
      <c r="CV104" s="4357"/>
      <c r="CW104" s="4357"/>
      <c r="CX104" s="4357"/>
      <c r="CY104" s="4357"/>
      <c r="CZ104" s="4357"/>
      <c r="DA104" s="4357"/>
      <c r="DB104" s="4357"/>
      <c r="DC104" s="4357"/>
      <c r="DD104" s="4357"/>
      <c r="DE104" s="4357"/>
      <c r="DF104" s="4357"/>
      <c r="DG104" s="4357"/>
      <c r="DH104" s="4357"/>
      <c r="DI104" s="4357"/>
      <c r="DJ104" s="4357"/>
      <c r="DK104" s="4357"/>
      <c r="DL104" s="4357"/>
      <c r="DM104" s="4357"/>
      <c r="DN104" s="4357"/>
      <c r="DO104" s="4357"/>
      <c r="DP104" s="4357"/>
      <c r="DQ104" s="4357"/>
      <c r="DR104" s="4357"/>
      <c r="DS104" s="4357"/>
      <c r="DT104" s="4357"/>
      <c r="DU104" s="4357"/>
      <c r="DV104" s="4357"/>
      <c r="DW104" s="4357"/>
      <c r="DX104" s="4357"/>
      <c r="DY104" s="4357"/>
      <c r="DZ104" s="4357"/>
      <c r="EA104" s="4357"/>
      <c r="EB104" s="4357"/>
      <c r="EC104" s="4357"/>
      <c r="ED104" s="4357"/>
      <c r="EE104" s="4357"/>
      <c r="EF104" s="4357"/>
    </row>
    <row r="105" spans="1:136" ht="16" x14ac:dyDescent="0.2">
      <c r="A105" t="s">
        <v>2958</v>
      </c>
      <c r="B105" t="s">
        <v>2958</v>
      </c>
      <c r="C105">
        <f>'4.Grassland'!E58</f>
        <v>0</v>
      </c>
      <c r="D105" t="str">
        <f>'4.Grassland'!I58</f>
        <v>Dairy Cattle</v>
      </c>
      <c r="E105">
        <f ca="1">'4.Grassland'!AG58</f>
        <v>5669.4276857477671</v>
      </c>
      <c r="F105" s="388">
        <v>0</v>
      </c>
      <c r="G105" s="388">
        <v>0</v>
      </c>
      <c r="M105" s="388">
        <v>0</v>
      </c>
      <c r="N105" s="388">
        <v>0</v>
      </c>
      <c r="O105">
        <f ca="1">Livestock!AA92-Livestock!Z92</f>
        <v>235.30947098214293</v>
      </c>
      <c r="P105">
        <f ca="1">Livestock!AA120-Livestock!Z120</f>
        <v>71.122453850446448</v>
      </c>
      <c r="Q105">
        <f ca="1">Livestock!AA146-Livestock!Z146</f>
        <v>2.7273859151785707</v>
      </c>
      <c r="U105" s="388">
        <v>0</v>
      </c>
      <c r="V105">
        <v>0</v>
      </c>
      <c r="W105">
        <f>Livestock!AA10-Livestock!Z10</f>
        <v>4410</v>
      </c>
      <c r="X105">
        <f ca="1">Livestock!AA64-Livestock!Z64</f>
        <v>950.26837500000011</v>
      </c>
      <c r="AB105" t="str">
        <f t="shared" ca="1" si="171"/>
        <v>ok</v>
      </c>
      <c r="AC105">
        <f>IF('4.Grassland'!CG58&lt;&gt;0,'4.Grassland'!CG58, '4.Grassland'!CF58)</f>
        <v>1</v>
      </c>
      <c r="AD105">
        <f t="shared" si="190"/>
        <v>5</v>
      </c>
      <c r="AE105" s="4357" t="str">
        <f>'4.Grassland'!Y58</f>
        <v>D</v>
      </c>
      <c r="AF105" s="4357" t="str">
        <f>'4.Grassland'!AA58</f>
        <v>D</v>
      </c>
      <c r="AG105" s="4357" t="str">
        <f t="shared" si="193"/>
        <v>D</v>
      </c>
      <c r="AH105" s="4357">
        <f ca="1">((E105/(time_cap+((AD105-AC105+1)*VLOOKUP(AG105,list!$I$48:$K$50,3, FALSE))))*(AD105-AC105+1)*VLOOKUP(AG105,list!$I$48:$K$50,3, FALSE))</f>
        <v>1133.8855371495533</v>
      </c>
      <c r="AI105" s="4357">
        <f ca="1">((E105/(time_cap+((AD105-AC105+1)*VLOOKUP(AG105,list!$I$48:$K$50,3, FALSE))))*time_cap)</f>
        <v>4535.5421485982133</v>
      </c>
      <c r="AK105" s="4357">
        <f t="shared" ref="AK105:BP105" ca="1" si="232">IFERROR(IF((time+time_cap)&lt;AK$2, 0,IF(AND(time+1&gt;=AL$2, $AC105&lt;AL$2), IF($AG105= "I", $AH105/($AD105-$AC105+1), $AH105/(($AD105*($AD105+1)/2)-(($AC105-1)*($AC105-1+1)/2))*AK$2), 0)+IF(IF(time+1&gt;=AL$2, $AI105/time_cap/(time+1)*AK$2, 0) = 0, $AI105/(time_cap),0)),0)</f>
        <v>75.592369143303557</v>
      </c>
      <c r="AL105" s="4357">
        <f t="shared" ca="1" si="232"/>
        <v>151.18473828660711</v>
      </c>
      <c r="AM105" s="4357">
        <f t="shared" ca="1" si="232"/>
        <v>226.77710742991067</v>
      </c>
      <c r="AN105" s="4357">
        <f t="shared" ca="1" si="232"/>
        <v>302.36947657321423</v>
      </c>
      <c r="AO105" s="4357">
        <f t="shared" ca="1" si="232"/>
        <v>377.96184571651781</v>
      </c>
      <c r="AP105" s="4357">
        <f t="shared" ca="1" si="232"/>
        <v>453.55421485982134</v>
      </c>
      <c r="AQ105" s="4357">
        <f t="shared" ca="1" si="232"/>
        <v>453.55421485982134</v>
      </c>
      <c r="AR105" s="4357">
        <f t="shared" ca="1" si="232"/>
        <v>453.55421485982134</v>
      </c>
      <c r="AS105" s="4357">
        <f t="shared" ca="1" si="232"/>
        <v>453.55421485982134</v>
      </c>
      <c r="AT105" s="4357">
        <f t="shared" ca="1" si="232"/>
        <v>453.55421485982134</v>
      </c>
      <c r="AU105" s="4357">
        <f t="shared" ca="1" si="232"/>
        <v>453.55421485982134</v>
      </c>
      <c r="AV105" s="4357">
        <f t="shared" ca="1" si="232"/>
        <v>453.55421485982134</v>
      </c>
      <c r="AW105" s="4357">
        <f t="shared" ca="1" si="232"/>
        <v>453.55421485982134</v>
      </c>
      <c r="AX105" s="4357">
        <f t="shared" ca="1" si="232"/>
        <v>453.55421485982134</v>
      </c>
      <c r="AY105" s="4357">
        <f t="shared" ca="1" si="232"/>
        <v>453.55421485982134</v>
      </c>
      <c r="AZ105" s="4357">
        <f t="shared" si="232"/>
        <v>0</v>
      </c>
      <c r="BA105" s="4357">
        <f t="shared" si="232"/>
        <v>0</v>
      </c>
      <c r="BB105" s="4357">
        <f t="shared" si="232"/>
        <v>0</v>
      </c>
      <c r="BC105" s="4357">
        <f t="shared" si="232"/>
        <v>0</v>
      </c>
      <c r="BD105" s="4357">
        <f t="shared" si="232"/>
        <v>0</v>
      </c>
      <c r="BE105" s="4357">
        <f t="shared" si="232"/>
        <v>0</v>
      </c>
      <c r="BF105" s="4357">
        <f t="shared" si="232"/>
        <v>0</v>
      </c>
      <c r="BG105" s="4357">
        <f t="shared" si="232"/>
        <v>0</v>
      </c>
      <c r="BH105" s="4357">
        <f t="shared" si="232"/>
        <v>0</v>
      </c>
      <c r="BI105" s="4357">
        <f t="shared" si="232"/>
        <v>0</v>
      </c>
      <c r="BJ105" s="4357">
        <f t="shared" si="232"/>
        <v>0</v>
      </c>
      <c r="BK105" s="4357">
        <f t="shared" si="232"/>
        <v>0</v>
      </c>
      <c r="BL105" s="4357">
        <f t="shared" si="232"/>
        <v>0</v>
      </c>
      <c r="BM105" s="4357">
        <f t="shared" si="232"/>
        <v>0</v>
      </c>
      <c r="BN105" s="4357">
        <f t="shared" si="232"/>
        <v>0</v>
      </c>
      <c r="BO105" s="4357">
        <f t="shared" si="232"/>
        <v>0</v>
      </c>
      <c r="BP105" s="4357">
        <f t="shared" si="232"/>
        <v>0</v>
      </c>
      <c r="BQ105" s="4357">
        <f t="shared" ref="BQ105:CH105" si="233">IFERROR(IF((time+time_cap)&lt;BQ$2, 0,IF(AND(time+1&gt;=BR$2, $AC105&lt;BR$2), IF($AG105= "I", $AH105/($AD105-$AC105+1), $AH105/(($AD105*($AD105+1)/2)-(($AC105-1)*($AC105-1+1)/2))*BQ$2), 0)+IF(IF(time+1&gt;=BR$2, $AI105/time_cap/(time+1)*BQ$2, 0) = 0, $AI105/(time_cap),0)),0)</f>
        <v>0</v>
      </c>
      <c r="BR105" s="4357">
        <f t="shared" si="233"/>
        <v>0</v>
      </c>
      <c r="BS105" s="4357">
        <f t="shared" si="233"/>
        <v>0</v>
      </c>
      <c r="BT105" s="4357">
        <f t="shared" si="233"/>
        <v>0</v>
      </c>
      <c r="BU105" s="4357">
        <f t="shared" si="233"/>
        <v>0</v>
      </c>
      <c r="BV105" s="4357">
        <f t="shared" si="233"/>
        <v>0</v>
      </c>
      <c r="BW105" s="4357">
        <f t="shared" si="233"/>
        <v>0</v>
      </c>
      <c r="BX105" s="4357">
        <f t="shared" si="233"/>
        <v>0</v>
      </c>
      <c r="BY105" s="4357">
        <f t="shared" si="233"/>
        <v>0</v>
      </c>
      <c r="BZ105" s="4357">
        <f t="shared" si="233"/>
        <v>0</v>
      </c>
      <c r="CA105" s="4357">
        <f t="shared" si="233"/>
        <v>0</v>
      </c>
      <c r="CB105" s="4357">
        <f t="shared" si="233"/>
        <v>0</v>
      </c>
      <c r="CC105" s="4357">
        <f t="shared" si="233"/>
        <v>0</v>
      </c>
      <c r="CD105" s="4357">
        <f t="shared" si="233"/>
        <v>0</v>
      </c>
      <c r="CE105" s="4357">
        <f t="shared" si="233"/>
        <v>0</v>
      </c>
      <c r="CF105" s="4357">
        <f t="shared" si="233"/>
        <v>0</v>
      </c>
      <c r="CG105" s="4357">
        <f t="shared" si="233"/>
        <v>0</v>
      </c>
      <c r="CH105" s="4357">
        <f t="shared" si="233"/>
        <v>0</v>
      </c>
      <c r="CI105" s="4357"/>
      <c r="CJ105" s="4357"/>
      <c r="CK105" s="4357"/>
      <c r="CL105" s="4357"/>
      <c r="CM105" s="4357"/>
      <c r="CN105" s="4357"/>
      <c r="CO105" s="4357"/>
      <c r="CP105" s="4357"/>
      <c r="CQ105" s="4357"/>
      <c r="CR105" s="4357"/>
      <c r="CS105" s="4357"/>
      <c r="CT105" s="4357"/>
      <c r="CU105" s="4357"/>
      <c r="CV105" s="4357"/>
      <c r="CW105" s="4357"/>
      <c r="CX105" s="4357"/>
      <c r="CY105" s="4357"/>
      <c r="CZ105" s="4357"/>
      <c r="DA105" s="4357"/>
      <c r="DB105" s="4357"/>
      <c r="DC105" s="4357"/>
      <c r="DD105" s="4357"/>
      <c r="DE105" s="4357"/>
      <c r="DF105" s="4357"/>
      <c r="DG105" s="4357"/>
      <c r="DH105" s="4357"/>
      <c r="DI105" s="4357"/>
      <c r="DJ105" s="4357"/>
      <c r="DK105" s="4357"/>
      <c r="DL105" s="4357"/>
      <c r="DM105" s="4357"/>
      <c r="DN105" s="4357"/>
      <c r="DO105" s="4357"/>
      <c r="DP105" s="4357"/>
      <c r="DQ105" s="4357"/>
      <c r="DR105" s="4357"/>
      <c r="DS105" s="4357"/>
      <c r="DT105" s="4357"/>
      <c r="DU105" s="4357"/>
      <c r="DV105" s="4357"/>
      <c r="DW105" s="4357"/>
      <c r="DX105" s="4357"/>
      <c r="DY105" s="4357"/>
      <c r="DZ105" s="4357"/>
      <c r="EA105" s="4357"/>
      <c r="EB105" s="4357"/>
      <c r="EC105" s="4357"/>
      <c r="ED105" s="4357"/>
      <c r="EE105" s="4357"/>
      <c r="EF105" s="4357"/>
    </row>
    <row r="106" spans="1:136" ht="16" x14ac:dyDescent="0.2">
      <c r="A106" t="s">
        <v>2958</v>
      </c>
      <c r="B106" t="s">
        <v>2958</v>
      </c>
      <c r="C106">
        <f>'4.Grassland'!E59</f>
        <v>0</v>
      </c>
      <c r="D106" t="str">
        <f>'4.Grassland'!I59</f>
        <v>Please select</v>
      </c>
      <c r="E106">
        <f ca="1">'4.Grassland'!AG59</f>
        <v>0</v>
      </c>
      <c r="F106" s="388">
        <v>0</v>
      </c>
      <c r="G106" s="388">
        <v>0</v>
      </c>
      <c r="M106" s="388">
        <v>0</v>
      </c>
      <c r="N106" s="388">
        <v>0</v>
      </c>
      <c r="O106">
        <f ca="1">Livestock!AA93-Livestock!Z93</f>
        <v>0</v>
      </c>
      <c r="P106">
        <f ca="1">Livestock!AA121-Livestock!Z121</f>
        <v>0</v>
      </c>
      <c r="Q106">
        <f ca="1">Livestock!AA147-Livestock!Z147</f>
        <v>0</v>
      </c>
      <c r="U106" s="388">
        <v>0</v>
      </c>
      <c r="V106">
        <v>0</v>
      </c>
      <c r="W106">
        <f>Livestock!AA11-Livestock!Z11</f>
        <v>0</v>
      </c>
      <c r="X106">
        <f ca="1">Livestock!AA65-Livestock!Z65</f>
        <v>0</v>
      </c>
      <c r="AB106" t="str">
        <f t="shared" ca="1" si="171"/>
        <v>ok</v>
      </c>
      <c r="AC106">
        <f>IF('4.Grassland'!CG59&lt;&gt;0,'4.Grassland'!CG59, '4.Grassland'!CF59)</f>
        <v>1</v>
      </c>
      <c r="AD106">
        <f t="shared" si="190"/>
        <v>5</v>
      </c>
      <c r="AE106" s="4357" t="str">
        <f>'4.Grassland'!Y59</f>
        <v>D</v>
      </c>
      <c r="AF106" s="4357" t="str">
        <f>'4.Grassland'!AA59</f>
        <v>D</v>
      </c>
      <c r="AG106" s="4357" t="str">
        <f t="shared" si="193"/>
        <v>D</v>
      </c>
      <c r="AH106" s="4357">
        <f ca="1">((E106/(time_cap+((AD106-AC106+1)*VLOOKUP(AG106,list!$I$48:$K$50,3, FALSE))))*(AD106-AC106+1)*VLOOKUP(AG106,list!$I$48:$K$50,3, FALSE))</f>
        <v>0</v>
      </c>
      <c r="AI106" s="4357">
        <f ca="1">((E106/(time_cap+((AD106-AC106+1)*VLOOKUP(AG106,list!$I$48:$K$50,3, FALSE))))*time_cap)</f>
        <v>0</v>
      </c>
      <c r="AK106" s="4357">
        <f t="shared" ref="AK106:BP106" ca="1" si="234">IFERROR(IF((time+time_cap)&lt;AK$2, 0,IF(AND(time+1&gt;=AL$2, $AC106&lt;AL$2), IF($AG106= "I", $AH106/($AD106-$AC106+1), $AH106/(($AD106*($AD106+1)/2)-(($AC106-1)*($AC106-1+1)/2))*AK$2), 0)+IF(IF(time+1&gt;=AL$2, $AI106/time_cap/(time+1)*AK$2, 0) = 0, $AI106/(time_cap),0)),0)</f>
        <v>0</v>
      </c>
      <c r="AL106" s="4357">
        <f t="shared" ca="1" si="234"/>
        <v>0</v>
      </c>
      <c r="AM106" s="4357">
        <f t="shared" ca="1" si="234"/>
        <v>0</v>
      </c>
      <c r="AN106" s="4357">
        <f t="shared" ca="1" si="234"/>
        <v>0</v>
      </c>
      <c r="AO106" s="4357">
        <f t="shared" ca="1" si="234"/>
        <v>0</v>
      </c>
      <c r="AP106" s="4357">
        <f t="shared" ca="1" si="234"/>
        <v>0</v>
      </c>
      <c r="AQ106" s="4357">
        <f t="shared" ca="1" si="234"/>
        <v>0</v>
      </c>
      <c r="AR106" s="4357">
        <f t="shared" ca="1" si="234"/>
        <v>0</v>
      </c>
      <c r="AS106" s="4357">
        <f t="shared" ca="1" si="234"/>
        <v>0</v>
      </c>
      <c r="AT106" s="4357">
        <f t="shared" ca="1" si="234"/>
        <v>0</v>
      </c>
      <c r="AU106" s="4357">
        <f t="shared" ca="1" si="234"/>
        <v>0</v>
      </c>
      <c r="AV106" s="4357">
        <f t="shared" ca="1" si="234"/>
        <v>0</v>
      </c>
      <c r="AW106" s="4357">
        <f t="shared" ca="1" si="234"/>
        <v>0</v>
      </c>
      <c r="AX106" s="4357">
        <f t="shared" ca="1" si="234"/>
        <v>0</v>
      </c>
      <c r="AY106" s="4357">
        <f t="shared" ca="1" si="234"/>
        <v>0</v>
      </c>
      <c r="AZ106" s="4357">
        <f t="shared" si="234"/>
        <v>0</v>
      </c>
      <c r="BA106" s="4357">
        <f t="shared" si="234"/>
        <v>0</v>
      </c>
      <c r="BB106" s="4357">
        <f t="shared" si="234"/>
        <v>0</v>
      </c>
      <c r="BC106" s="4357">
        <f t="shared" si="234"/>
        <v>0</v>
      </c>
      <c r="BD106" s="4357">
        <f t="shared" si="234"/>
        <v>0</v>
      </c>
      <c r="BE106" s="4357">
        <f t="shared" si="234"/>
        <v>0</v>
      </c>
      <c r="BF106" s="4357">
        <f t="shared" si="234"/>
        <v>0</v>
      </c>
      <c r="BG106" s="4357">
        <f t="shared" si="234"/>
        <v>0</v>
      </c>
      <c r="BH106" s="4357">
        <f t="shared" si="234"/>
        <v>0</v>
      </c>
      <c r="BI106" s="4357">
        <f t="shared" si="234"/>
        <v>0</v>
      </c>
      <c r="BJ106" s="4357">
        <f t="shared" si="234"/>
        <v>0</v>
      </c>
      <c r="BK106" s="4357">
        <f t="shared" si="234"/>
        <v>0</v>
      </c>
      <c r="BL106" s="4357">
        <f t="shared" si="234"/>
        <v>0</v>
      </c>
      <c r="BM106" s="4357">
        <f t="shared" si="234"/>
        <v>0</v>
      </c>
      <c r="BN106" s="4357">
        <f t="shared" si="234"/>
        <v>0</v>
      </c>
      <c r="BO106" s="4357">
        <f t="shared" si="234"/>
        <v>0</v>
      </c>
      <c r="BP106" s="4357">
        <f t="shared" si="234"/>
        <v>0</v>
      </c>
      <c r="BQ106" s="4357">
        <f t="shared" ref="BQ106:CH106" si="235">IFERROR(IF((time+time_cap)&lt;BQ$2, 0,IF(AND(time+1&gt;=BR$2, $AC106&lt;BR$2), IF($AG106= "I", $AH106/($AD106-$AC106+1), $AH106/(($AD106*($AD106+1)/2)-(($AC106-1)*($AC106-1+1)/2))*BQ$2), 0)+IF(IF(time+1&gt;=BR$2, $AI106/time_cap/(time+1)*BQ$2, 0) = 0, $AI106/(time_cap),0)),0)</f>
        <v>0</v>
      </c>
      <c r="BR106" s="4357">
        <f t="shared" si="235"/>
        <v>0</v>
      </c>
      <c r="BS106" s="4357">
        <f t="shared" si="235"/>
        <v>0</v>
      </c>
      <c r="BT106" s="4357">
        <f t="shared" si="235"/>
        <v>0</v>
      </c>
      <c r="BU106" s="4357">
        <f t="shared" si="235"/>
        <v>0</v>
      </c>
      <c r="BV106" s="4357">
        <f t="shared" si="235"/>
        <v>0</v>
      </c>
      <c r="BW106" s="4357">
        <f t="shared" si="235"/>
        <v>0</v>
      </c>
      <c r="BX106" s="4357">
        <f t="shared" si="235"/>
        <v>0</v>
      </c>
      <c r="BY106" s="4357">
        <f t="shared" si="235"/>
        <v>0</v>
      </c>
      <c r="BZ106" s="4357">
        <f t="shared" si="235"/>
        <v>0</v>
      </c>
      <c r="CA106" s="4357">
        <f t="shared" si="235"/>
        <v>0</v>
      </c>
      <c r="CB106" s="4357">
        <f t="shared" si="235"/>
        <v>0</v>
      </c>
      <c r="CC106" s="4357">
        <f t="shared" si="235"/>
        <v>0</v>
      </c>
      <c r="CD106" s="4357">
        <f t="shared" si="235"/>
        <v>0</v>
      </c>
      <c r="CE106" s="4357">
        <f t="shared" si="235"/>
        <v>0</v>
      </c>
      <c r="CF106" s="4357">
        <f t="shared" si="235"/>
        <v>0</v>
      </c>
      <c r="CG106" s="4357">
        <f t="shared" si="235"/>
        <v>0</v>
      </c>
      <c r="CH106" s="4357">
        <f t="shared" si="235"/>
        <v>0</v>
      </c>
      <c r="CI106" s="4357"/>
      <c r="CJ106" s="4357"/>
      <c r="CK106" s="4357"/>
      <c r="CL106" s="4357"/>
      <c r="CM106" s="4357"/>
      <c r="CN106" s="4357"/>
      <c r="CO106" s="4357"/>
      <c r="CP106" s="4357"/>
      <c r="CQ106" s="4357"/>
      <c r="CR106" s="4357"/>
      <c r="CS106" s="4357"/>
      <c r="CT106" s="4357"/>
      <c r="CU106" s="4357"/>
      <c r="CV106" s="4357"/>
      <c r="CW106" s="4357"/>
      <c r="CX106" s="4357"/>
      <c r="CY106" s="4357"/>
      <c r="CZ106" s="4357"/>
      <c r="DA106" s="4357"/>
      <c r="DB106" s="4357"/>
      <c r="DC106" s="4357"/>
      <c r="DD106" s="4357"/>
      <c r="DE106" s="4357"/>
      <c r="DF106" s="4357"/>
      <c r="DG106" s="4357"/>
      <c r="DH106" s="4357"/>
      <c r="DI106" s="4357"/>
      <c r="DJ106" s="4357"/>
      <c r="DK106" s="4357"/>
      <c r="DL106" s="4357"/>
      <c r="DM106" s="4357"/>
      <c r="DN106" s="4357"/>
      <c r="DO106" s="4357"/>
      <c r="DP106" s="4357"/>
      <c r="DQ106" s="4357"/>
      <c r="DR106" s="4357"/>
      <c r="DS106" s="4357"/>
      <c r="DT106" s="4357"/>
      <c r="DU106" s="4357"/>
      <c r="DV106" s="4357"/>
      <c r="DW106" s="4357"/>
      <c r="DX106" s="4357"/>
      <c r="DY106" s="4357"/>
      <c r="DZ106" s="4357"/>
      <c r="EA106" s="4357"/>
      <c r="EB106" s="4357"/>
      <c r="EC106" s="4357"/>
      <c r="ED106" s="4357"/>
      <c r="EE106" s="4357"/>
      <c r="EF106" s="4357"/>
    </row>
    <row r="107" spans="1:136" ht="16" x14ac:dyDescent="0.2">
      <c r="A107" t="s">
        <v>2958</v>
      </c>
      <c r="B107" t="s">
        <v>2958</v>
      </c>
      <c r="C107">
        <f>'4.Grassland'!E60</f>
        <v>0</v>
      </c>
      <c r="D107" t="str">
        <f>'4.Grassland'!I60</f>
        <v>Please select</v>
      </c>
      <c r="E107">
        <f ca="1">'4.Grassland'!AG60</f>
        <v>0</v>
      </c>
      <c r="F107" s="388">
        <v>0</v>
      </c>
      <c r="G107" s="388">
        <v>0</v>
      </c>
      <c r="M107" s="388">
        <v>0</v>
      </c>
      <c r="N107" s="388">
        <v>0</v>
      </c>
      <c r="O107">
        <f ca="1">Livestock!AA94-Livestock!Z94</f>
        <v>0</v>
      </c>
      <c r="P107">
        <f ca="1">Livestock!AA122-Livestock!Z122</f>
        <v>0</v>
      </c>
      <c r="Q107">
        <f ca="1">Livestock!AA148-Livestock!Z148</f>
        <v>0</v>
      </c>
      <c r="U107" s="388">
        <v>0</v>
      </c>
      <c r="V107">
        <v>0</v>
      </c>
      <c r="W107">
        <f>Livestock!AA12-Livestock!Z12</f>
        <v>0</v>
      </c>
      <c r="X107">
        <f ca="1">Livestock!AA66-Livestock!Z66</f>
        <v>0</v>
      </c>
      <c r="AB107" t="str">
        <f t="shared" ca="1" si="171"/>
        <v>ok</v>
      </c>
      <c r="AC107">
        <f>IF('4.Grassland'!CG60&lt;&gt;0,'4.Grassland'!CG60, '4.Grassland'!CF60)</f>
        <v>1</v>
      </c>
      <c r="AD107">
        <f t="shared" si="190"/>
        <v>5</v>
      </c>
      <c r="AE107" s="4357" t="str">
        <f>'4.Grassland'!Y60</f>
        <v>D</v>
      </c>
      <c r="AF107" s="4357" t="str">
        <f>'4.Grassland'!AA60</f>
        <v>D</v>
      </c>
      <c r="AG107" s="4357" t="str">
        <f t="shared" si="193"/>
        <v>D</v>
      </c>
      <c r="AH107" s="4357">
        <f ca="1">((E107/(time_cap+((AD107-AC107+1)*VLOOKUP(AG107,list!$I$48:$K$50,3, FALSE))))*(AD107-AC107+1)*VLOOKUP(AG107,list!$I$48:$K$50,3, FALSE))</f>
        <v>0</v>
      </c>
      <c r="AI107" s="4357">
        <f ca="1">((E107/(time_cap+((AD107-AC107+1)*VLOOKUP(AG107,list!$I$48:$K$50,3, FALSE))))*time_cap)</f>
        <v>0</v>
      </c>
      <c r="AK107" s="4357">
        <f t="shared" ref="AK107:BP107" ca="1" si="236">IFERROR(IF((time+time_cap)&lt;AK$2, 0,IF(AND(time+1&gt;=AL$2, $AC107&lt;AL$2), IF($AG107= "I", $AH107/($AD107-$AC107+1), $AH107/(($AD107*($AD107+1)/2)-(($AC107-1)*($AC107-1+1)/2))*AK$2), 0)+IF(IF(time+1&gt;=AL$2, $AI107/time_cap/(time+1)*AK$2, 0) = 0, $AI107/(time_cap),0)),0)</f>
        <v>0</v>
      </c>
      <c r="AL107" s="4357">
        <f t="shared" ca="1" si="236"/>
        <v>0</v>
      </c>
      <c r="AM107" s="4357">
        <f t="shared" ca="1" si="236"/>
        <v>0</v>
      </c>
      <c r="AN107" s="4357">
        <f t="shared" ca="1" si="236"/>
        <v>0</v>
      </c>
      <c r="AO107" s="4357">
        <f t="shared" ca="1" si="236"/>
        <v>0</v>
      </c>
      <c r="AP107" s="4357">
        <f t="shared" ca="1" si="236"/>
        <v>0</v>
      </c>
      <c r="AQ107" s="4357">
        <f t="shared" ca="1" si="236"/>
        <v>0</v>
      </c>
      <c r="AR107" s="4357">
        <f t="shared" ca="1" si="236"/>
        <v>0</v>
      </c>
      <c r="AS107" s="4357">
        <f t="shared" ca="1" si="236"/>
        <v>0</v>
      </c>
      <c r="AT107" s="4357">
        <f t="shared" ca="1" si="236"/>
        <v>0</v>
      </c>
      <c r="AU107" s="4357">
        <f t="shared" ca="1" si="236"/>
        <v>0</v>
      </c>
      <c r="AV107" s="4357">
        <f t="shared" ca="1" si="236"/>
        <v>0</v>
      </c>
      <c r="AW107" s="4357">
        <f t="shared" ca="1" si="236"/>
        <v>0</v>
      </c>
      <c r="AX107" s="4357">
        <f t="shared" ca="1" si="236"/>
        <v>0</v>
      </c>
      <c r="AY107" s="4357">
        <f t="shared" ca="1" si="236"/>
        <v>0</v>
      </c>
      <c r="AZ107" s="4357">
        <f t="shared" si="236"/>
        <v>0</v>
      </c>
      <c r="BA107" s="4357">
        <f t="shared" si="236"/>
        <v>0</v>
      </c>
      <c r="BB107" s="4357">
        <f t="shared" si="236"/>
        <v>0</v>
      </c>
      <c r="BC107" s="4357">
        <f t="shared" si="236"/>
        <v>0</v>
      </c>
      <c r="BD107" s="4357">
        <f t="shared" si="236"/>
        <v>0</v>
      </c>
      <c r="BE107" s="4357">
        <f t="shared" si="236"/>
        <v>0</v>
      </c>
      <c r="BF107" s="4357">
        <f t="shared" si="236"/>
        <v>0</v>
      </c>
      <c r="BG107" s="4357">
        <f t="shared" si="236"/>
        <v>0</v>
      </c>
      <c r="BH107" s="4357">
        <f t="shared" si="236"/>
        <v>0</v>
      </c>
      <c r="BI107" s="4357">
        <f t="shared" si="236"/>
        <v>0</v>
      </c>
      <c r="BJ107" s="4357">
        <f t="shared" si="236"/>
        <v>0</v>
      </c>
      <c r="BK107" s="4357">
        <f t="shared" si="236"/>
        <v>0</v>
      </c>
      <c r="BL107" s="4357">
        <f t="shared" si="236"/>
        <v>0</v>
      </c>
      <c r="BM107" s="4357">
        <f t="shared" si="236"/>
        <v>0</v>
      </c>
      <c r="BN107" s="4357">
        <f t="shared" si="236"/>
        <v>0</v>
      </c>
      <c r="BO107" s="4357">
        <f t="shared" si="236"/>
        <v>0</v>
      </c>
      <c r="BP107" s="4357">
        <f t="shared" si="236"/>
        <v>0</v>
      </c>
      <c r="BQ107" s="4357">
        <f t="shared" ref="BQ107:CH107" si="237">IFERROR(IF((time+time_cap)&lt;BQ$2, 0,IF(AND(time+1&gt;=BR$2, $AC107&lt;BR$2), IF($AG107= "I", $AH107/($AD107-$AC107+1), $AH107/(($AD107*($AD107+1)/2)-(($AC107-1)*($AC107-1+1)/2))*BQ$2), 0)+IF(IF(time+1&gt;=BR$2, $AI107/time_cap/(time+1)*BQ$2, 0) = 0, $AI107/(time_cap),0)),0)</f>
        <v>0</v>
      </c>
      <c r="BR107" s="4357">
        <f t="shared" si="237"/>
        <v>0</v>
      </c>
      <c r="BS107" s="4357">
        <f t="shared" si="237"/>
        <v>0</v>
      </c>
      <c r="BT107" s="4357">
        <f t="shared" si="237"/>
        <v>0</v>
      </c>
      <c r="BU107" s="4357">
        <f t="shared" si="237"/>
        <v>0</v>
      </c>
      <c r="BV107" s="4357">
        <f t="shared" si="237"/>
        <v>0</v>
      </c>
      <c r="BW107" s="4357">
        <f t="shared" si="237"/>
        <v>0</v>
      </c>
      <c r="BX107" s="4357">
        <f t="shared" si="237"/>
        <v>0</v>
      </c>
      <c r="BY107" s="4357">
        <f t="shared" si="237"/>
        <v>0</v>
      </c>
      <c r="BZ107" s="4357">
        <f t="shared" si="237"/>
        <v>0</v>
      </c>
      <c r="CA107" s="4357">
        <f t="shared" si="237"/>
        <v>0</v>
      </c>
      <c r="CB107" s="4357">
        <f t="shared" si="237"/>
        <v>0</v>
      </c>
      <c r="CC107" s="4357">
        <f t="shared" si="237"/>
        <v>0</v>
      </c>
      <c r="CD107" s="4357">
        <f t="shared" si="237"/>
        <v>0</v>
      </c>
      <c r="CE107" s="4357">
        <f t="shared" si="237"/>
        <v>0</v>
      </c>
      <c r="CF107" s="4357">
        <f t="shared" si="237"/>
        <v>0</v>
      </c>
      <c r="CG107" s="4357">
        <f t="shared" si="237"/>
        <v>0</v>
      </c>
      <c r="CH107" s="4357">
        <f t="shared" si="237"/>
        <v>0</v>
      </c>
      <c r="CI107" s="4357"/>
      <c r="CJ107" s="4357"/>
      <c r="CK107" s="4357"/>
      <c r="CL107" s="4357"/>
      <c r="CM107" s="4357"/>
      <c r="CN107" s="4357"/>
      <c r="CO107" s="4357"/>
      <c r="CP107" s="4357"/>
      <c r="CQ107" s="4357"/>
      <c r="CR107" s="4357"/>
      <c r="CS107" s="4357"/>
      <c r="CT107" s="4357"/>
      <c r="CU107" s="4357"/>
      <c r="CV107" s="4357"/>
      <c r="CW107" s="4357"/>
      <c r="CX107" s="4357"/>
      <c r="CY107" s="4357"/>
      <c r="CZ107" s="4357"/>
      <c r="DA107" s="4357"/>
      <c r="DB107" s="4357"/>
      <c r="DC107" s="4357"/>
      <c r="DD107" s="4357"/>
      <c r="DE107" s="4357"/>
      <c r="DF107" s="4357"/>
      <c r="DG107" s="4357"/>
      <c r="DH107" s="4357"/>
      <c r="DI107" s="4357"/>
      <c r="DJ107" s="4357"/>
      <c r="DK107" s="4357"/>
      <c r="DL107" s="4357"/>
      <c r="DM107" s="4357"/>
      <c r="DN107" s="4357"/>
      <c r="DO107" s="4357"/>
      <c r="DP107" s="4357"/>
      <c r="DQ107" s="4357"/>
      <c r="DR107" s="4357"/>
      <c r="DS107" s="4357"/>
      <c r="DT107" s="4357"/>
      <c r="DU107" s="4357"/>
      <c r="DV107" s="4357"/>
      <c r="DW107" s="4357"/>
      <c r="DX107" s="4357"/>
      <c r="DY107" s="4357"/>
      <c r="DZ107" s="4357"/>
      <c r="EA107" s="4357"/>
      <c r="EB107" s="4357"/>
      <c r="EC107" s="4357"/>
      <c r="ED107" s="4357"/>
      <c r="EE107" s="4357"/>
      <c r="EF107" s="4357"/>
    </row>
    <row r="108" spans="1:136" ht="16" x14ac:dyDescent="0.2">
      <c r="A108" t="s">
        <v>2958</v>
      </c>
      <c r="B108" t="s">
        <v>2958</v>
      </c>
      <c r="C108">
        <f>'4.Grassland'!E61</f>
        <v>0</v>
      </c>
      <c r="D108" t="str">
        <f>'4.Grassland'!I61</f>
        <v>Please select</v>
      </c>
      <c r="E108">
        <f ca="1">'4.Grassland'!AG61</f>
        <v>0</v>
      </c>
      <c r="F108" s="388">
        <v>0</v>
      </c>
      <c r="G108" s="388">
        <v>0</v>
      </c>
      <c r="M108" s="388">
        <v>0</v>
      </c>
      <c r="N108" s="388">
        <v>0</v>
      </c>
      <c r="O108">
        <f ca="1">Livestock!AA95-Livestock!Z95</f>
        <v>0</v>
      </c>
      <c r="P108">
        <f ca="1">Livestock!AA123-Livestock!Z123</f>
        <v>0</v>
      </c>
      <c r="Q108">
        <f ca="1">Livestock!AA149-Livestock!Z149</f>
        <v>0</v>
      </c>
      <c r="U108" s="388">
        <v>0</v>
      </c>
      <c r="V108">
        <v>0</v>
      </c>
      <c r="W108">
        <f>Livestock!AA13-Livestock!Z13</f>
        <v>0</v>
      </c>
      <c r="X108">
        <f ca="1">Livestock!AA67-Livestock!Z67</f>
        <v>0</v>
      </c>
      <c r="AB108" t="str">
        <f t="shared" ca="1" si="171"/>
        <v>ok</v>
      </c>
      <c r="AC108">
        <f>IF('4.Grassland'!CG61&lt;&gt;0,'4.Grassland'!CG61, '4.Grassland'!CF61)</f>
        <v>1</v>
      </c>
      <c r="AD108">
        <f t="shared" si="190"/>
        <v>5</v>
      </c>
      <c r="AE108" s="4357" t="str">
        <f>'4.Grassland'!Y61</f>
        <v>D</v>
      </c>
      <c r="AF108" s="4357" t="str">
        <f>'4.Grassland'!AA61</f>
        <v>D</v>
      </c>
      <c r="AG108" s="4357" t="str">
        <f t="shared" si="193"/>
        <v>D</v>
      </c>
      <c r="AH108" s="4357">
        <f ca="1">((E108/(time_cap+((AD108-AC108+1)*VLOOKUP(AG108,list!$I$48:$K$50,3, FALSE))))*(AD108-AC108+1)*VLOOKUP(AG108,list!$I$48:$K$50,3, FALSE))</f>
        <v>0</v>
      </c>
      <c r="AI108" s="4357">
        <f ca="1">((E108/(time_cap+((AD108-AC108+1)*VLOOKUP(AG108,list!$I$48:$K$50,3, FALSE))))*time_cap)</f>
        <v>0</v>
      </c>
      <c r="AK108" s="4357">
        <f t="shared" ref="AK108:BP108" ca="1" si="238">IFERROR(IF((time+time_cap)&lt;AK$2, 0,IF(AND(time+1&gt;=AL$2, $AC108&lt;AL$2), IF($AG108= "I", $AH108/($AD108-$AC108+1), $AH108/(($AD108*($AD108+1)/2)-(($AC108-1)*($AC108-1+1)/2))*AK$2), 0)+IF(IF(time+1&gt;=AL$2, $AI108/time_cap/(time+1)*AK$2, 0) = 0, $AI108/(time_cap),0)),0)</f>
        <v>0</v>
      </c>
      <c r="AL108" s="4357">
        <f t="shared" ca="1" si="238"/>
        <v>0</v>
      </c>
      <c r="AM108" s="4357">
        <f t="shared" ca="1" si="238"/>
        <v>0</v>
      </c>
      <c r="AN108" s="4357">
        <f t="shared" ca="1" si="238"/>
        <v>0</v>
      </c>
      <c r="AO108" s="4357">
        <f t="shared" ca="1" si="238"/>
        <v>0</v>
      </c>
      <c r="AP108" s="4357">
        <f t="shared" ca="1" si="238"/>
        <v>0</v>
      </c>
      <c r="AQ108" s="4357">
        <f t="shared" ca="1" si="238"/>
        <v>0</v>
      </c>
      <c r="AR108" s="4357">
        <f t="shared" ca="1" si="238"/>
        <v>0</v>
      </c>
      <c r="AS108" s="4357">
        <f t="shared" ca="1" si="238"/>
        <v>0</v>
      </c>
      <c r="AT108" s="4357">
        <f t="shared" ca="1" si="238"/>
        <v>0</v>
      </c>
      <c r="AU108" s="4357">
        <f t="shared" ca="1" si="238"/>
        <v>0</v>
      </c>
      <c r="AV108" s="4357">
        <f t="shared" ca="1" si="238"/>
        <v>0</v>
      </c>
      <c r="AW108" s="4357">
        <f t="shared" ca="1" si="238"/>
        <v>0</v>
      </c>
      <c r="AX108" s="4357">
        <f t="shared" ca="1" si="238"/>
        <v>0</v>
      </c>
      <c r="AY108" s="4357">
        <f t="shared" ca="1" si="238"/>
        <v>0</v>
      </c>
      <c r="AZ108" s="4357">
        <f t="shared" si="238"/>
        <v>0</v>
      </c>
      <c r="BA108" s="4357">
        <f t="shared" si="238"/>
        <v>0</v>
      </c>
      <c r="BB108" s="4357">
        <f t="shared" si="238"/>
        <v>0</v>
      </c>
      <c r="BC108" s="4357">
        <f t="shared" si="238"/>
        <v>0</v>
      </c>
      <c r="BD108" s="4357">
        <f t="shared" si="238"/>
        <v>0</v>
      </c>
      <c r="BE108" s="4357">
        <f t="shared" si="238"/>
        <v>0</v>
      </c>
      <c r="BF108" s="4357">
        <f t="shared" si="238"/>
        <v>0</v>
      </c>
      <c r="BG108" s="4357">
        <f t="shared" si="238"/>
        <v>0</v>
      </c>
      <c r="BH108" s="4357">
        <f t="shared" si="238"/>
        <v>0</v>
      </c>
      <c r="BI108" s="4357">
        <f t="shared" si="238"/>
        <v>0</v>
      </c>
      <c r="BJ108" s="4357">
        <f t="shared" si="238"/>
        <v>0</v>
      </c>
      <c r="BK108" s="4357">
        <f t="shared" si="238"/>
        <v>0</v>
      </c>
      <c r="BL108" s="4357">
        <f t="shared" si="238"/>
        <v>0</v>
      </c>
      <c r="BM108" s="4357">
        <f t="shared" si="238"/>
        <v>0</v>
      </c>
      <c r="BN108" s="4357">
        <f t="shared" si="238"/>
        <v>0</v>
      </c>
      <c r="BO108" s="4357">
        <f t="shared" si="238"/>
        <v>0</v>
      </c>
      <c r="BP108" s="4357">
        <f t="shared" si="238"/>
        <v>0</v>
      </c>
      <c r="BQ108" s="4357">
        <f t="shared" ref="BQ108:CH108" si="239">IFERROR(IF((time+time_cap)&lt;BQ$2, 0,IF(AND(time+1&gt;=BR$2, $AC108&lt;BR$2), IF($AG108= "I", $AH108/($AD108-$AC108+1), $AH108/(($AD108*($AD108+1)/2)-(($AC108-1)*($AC108-1+1)/2))*BQ$2), 0)+IF(IF(time+1&gt;=BR$2, $AI108/time_cap/(time+1)*BQ$2, 0) = 0, $AI108/(time_cap),0)),0)</f>
        <v>0</v>
      </c>
      <c r="BR108" s="4357">
        <f t="shared" si="239"/>
        <v>0</v>
      </c>
      <c r="BS108" s="4357">
        <f t="shared" si="239"/>
        <v>0</v>
      </c>
      <c r="BT108" s="4357">
        <f t="shared" si="239"/>
        <v>0</v>
      </c>
      <c r="BU108" s="4357">
        <f t="shared" si="239"/>
        <v>0</v>
      </c>
      <c r="BV108" s="4357">
        <f t="shared" si="239"/>
        <v>0</v>
      </c>
      <c r="BW108" s="4357">
        <f t="shared" si="239"/>
        <v>0</v>
      </c>
      <c r="BX108" s="4357">
        <f t="shared" si="239"/>
        <v>0</v>
      </c>
      <c r="BY108" s="4357">
        <f t="shared" si="239"/>
        <v>0</v>
      </c>
      <c r="BZ108" s="4357">
        <f t="shared" si="239"/>
        <v>0</v>
      </c>
      <c r="CA108" s="4357">
        <f t="shared" si="239"/>
        <v>0</v>
      </c>
      <c r="CB108" s="4357">
        <f t="shared" si="239"/>
        <v>0</v>
      </c>
      <c r="CC108" s="4357">
        <f t="shared" si="239"/>
        <v>0</v>
      </c>
      <c r="CD108" s="4357">
        <f t="shared" si="239"/>
        <v>0</v>
      </c>
      <c r="CE108" s="4357">
        <f t="shared" si="239"/>
        <v>0</v>
      </c>
      <c r="CF108" s="4357">
        <f t="shared" si="239"/>
        <v>0</v>
      </c>
      <c r="CG108" s="4357">
        <f t="shared" si="239"/>
        <v>0</v>
      </c>
      <c r="CH108" s="4357">
        <f t="shared" si="239"/>
        <v>0</v>
      </c>
      <c r="CI108" s="4357"/>
      <c r="CJ108" s="4357"/>
      <c r="CK108" s="4357"/>
      <c r="CL108" s="4357"/>
      <c r="CM108" s="4357"/>
      <c r="CN108" s="4357"/>
      <c r="CO108" s="4357"/>
      <c r="CP108" s="4357"/>
      <c r="CQ108" s="4357"/>
      <c r="CR108" s="4357"/>
      <c r="CS108" s="4357"/>
      <c r="CT108" s="4357"/>
      <c r="CU108" s="4357"/>
      <c r="CV108" s="4357"/>
      <c r="CW108" s="4357"/>
      <c r="CX108" s="4357"/>
      <c r="CY108" s="4357"/>
      <c r="CZ108" s="4357"/>
      <c r="DA108" s="4357"/>
      <c r="DB108" s="4357"/>
      <c r="DC108" s="4357"/>
      <c r="DD108" s="4357"/>
      <c r="DE108" s="4357"/>
      <c r="DF108" s="4357"/>
      <c r="DG108" s="4357"/>
      <c r="DH108" s="4357"/>
      <c r="DI108" s="4357"/>
      <c r="DJ108" s="4357"/>
      <c r="DK108" s="4357"/>
      <c r="DL108" s="4357"/>
      <c r="DM108" s="4357"/>
      <c r="DN108" s="4357"/>
      <c r="DO108" s="4357"/>
      <c r="DP108" s="4357"/>
      <c r="DQ108" s="4357"/>
      <c r="DR108" s="4357"/>
      <c r="DS108" s="4357"/>
      <c r="DT108" s="4357"/>
      <c r="DU108" s="4357"/>
      <c r="DV108" s="4357"/>
      <c r="DW108" s="4357"/>
      <c r="DX108" s="4357"/>
      <c r="DY108" s="4357"/>
      <c r="DZ108" s="4357"/>
      <c r="EA108" s="4357"/>
      <c r="EB108" s="4357"/>
      <c r="EC108" s="4357"/>
      <c r="ED108" s="4357"/>
      <c r="EE108" s="4357"/>
      <c r="EF108" s="4357"/>
    </row>
    <row r="109" spans="1:136" ht="16" x14ac:dyDescent="0.2">
      <c r="A109" t="s">
        <v>2958</v>
      </c>
      <c r="B109" t="s">
        <v>2958</v>
      </c>
      <c r="C109">
        <f>'4.Grassland'!E62</f>
        <v>0</v>
      </c>
      <c r="D109" t="str">
        <f>'4.Grassland'!I62</f>
        <v>Please select</v>
      </c>
      <c r="E109">
        <f ca="1">'4.Grassland'!AG62</f>
        <v>0</v>
      </c>
      <c r="F109" s="388">
        <v>0</v>
      </c>
      <c r="G109" s="388">
        <v>0</v>
      </c>
      <c r="M109" s="388">
        <v>0</v>
      </c>
      <c r="N109" s="388">
        <v>0</v>
      </c>
      <c r="O109">
        <f ca="1">Livestock!AA96-Livestock!Z96</f>
        <v>0</v>
      </c>
      <c r="P109">
        <f ca="1">Livestock!AA124-Livestock!Z124</f>
        <v>0</v>
      </c>
      <c r="Q109">
        <f ca="1">Livestock!AA150-Livestock!Z150</f>
        <v>0</v>
      </c>
      <c r="U109" s="388">
        <v>0</v>
      </c>
      <c r="V109">
        <v>0</v>
      </c>
      <c r="W109">
        <f>Livestock!AA14-Livestock!Z14</f>
        <v>0</v>
      </c>
      <c r="X109">
        <f ca="1">Livestock!AA68-Livestock!Z68</f>
        <v>0</v>
      </c>
      <c r="AB109" t="str">
        <f t="shared" ca="1" si="171"/>
        <v>ok</v>
      </c>
      <c r="AC109">
        <f>IF('4.Grassland'!CG62&lt;&gt;0,'4.Grassland'!CG62, '4.Grassland'!CF62)</f>
        <v>1</v>
      </c>
      <c r="AD109">
        <f t="shared" si="190"/>
        <v>5</v>
      </c>
      <c r="AE109" s="4357" t="str">
        <f>'4.Grassland'!Y62</f>
        <v>D</v>
      </c>
      <c r="AF109" s="4357" t="str">
        <f>'4.Grassland'!AA62</f>
        <v>D</v>
      </c>
      <c r="AG109" s="4357" t="str">
        <f t="shared" si="193"/>
        <v>D</v>
      </c>
      <c r="AH109" s="4357">
        <f ca="1">((E109/(time_cap+((AD109-AC109+1)*VLOOKUP(AG109,list!$I$48:$K$50,3, FALSE))))*(AD109-AC109+1)*VLOOKUP(AG109,list!$I$48:$K$50,3, FALSE))</f>
        <v>0</v>
      </c>
      <c r="AI109" s="4357">
        <f ca="1">((E109/(time_cap+((AD109-AC109+1)*VLOOKUP(AG109,list!$I$48:$K$50,3, FALSE))))*time_cap)</f>
        <v>0</v>
      </c>
      <c r="AK109" s="4357">
        <f t="shared" ref="AK109:BP109" ca="1" si="240">IFERROR(IF((time+time_cap)&lt;AK$2, 0,IF(AND(time+1&gt;=AL$2, $AC109&lt;AL$2), IF($AG109= "I", $AH109/($AD109-$AC109+1), $AH109/(($AD109*($AD109+1)/2)-(($AC109-1)*($AC109-1+1)/2))*AK$2), 0)+IF(IF(time+1&gt;=AL$2, $AI109/time_cap/(time+1)*AK$2, 0) = 0, $AI109/(time_cap),0)),0)</f>
        <v>0</v>
      </c>
      <c r="AL109" s="4357">
        <f t="shared" ca="1" si="240"/>
        <v>0</v>
      </c>
      <c r="AM109" s="4357">
        <f t="shared" ca="1" si="240"/>
        <v>0</v>
      </c>
      <c r="AN109" s="4357">
        <f t="shared" ca="1" si="240"/>
        <v>0</v>
      </c>
      <c r="AO109" s="4357">
        <f t="shared" ca="1" si="240"/>
        <v>0</v>
      </c>
      <c r="AP109" s="4357">
        <f t="shared" ca="1" si="240"/>
        <v>0</v>
      </c>
      <c r="AQ109" s="4357">
        <f t="shared" ca="1" si="240"/>
        <v>0</v>
      </c>
      <c r="AR109" s="4357">
        <f t="shared" ca="1" si="240"/>
        <v>0</v>
      </c>
      <c r="AS109" s="4357">
        <f t="shared" ca="1" si="240"/>
        <v>0</v>
      </c>
      <c r="AT109" s="4357">
        <f t="shared" ca="1" si="240"/>
        <v>0</v>
      </c>
      <c r="AU109" s="4357">
        <f t="shared" ca="1" si="240"/>
        <v>0</v>
      </c>
      <c r="AV109" s="4357">
        <f t="shared" ca="1" si="240"/>
        <v>0</v>
      </c>
      <c r="AW109" s="4357">
        <f t="shared" ca="1" si="240"/>
        <v>0</v>
      </c>
      <c r="AX109" s="4357">
        <f t="shared" ca="1" si="240"/>
        <v>0</v>
      </c>
      <c r="AY109" s="4357">
        <f t="shared" ca="1" si="240"/>
        <v>0</v>
      </c>
      <c r="AZ109" s="4357">
        <f t="shared" si="240"/>
        <v>0</v>
      </c>
      <c r="BA109" s="4357">
        <f t="shared" si="240"/>
        <v>0</v>
      </c>
      <c r="BB109" s="4357">
        <f t="shared" si="240"/>
        <v>0</v>
      </c>
      <c r="BC109" s="4357">
        <f t="shared" si="240"/>
        <v>0</v>
      </c>
      <c r="BD109" s="4357">
        <f t="shared" si="240"/>
        <v>0</v>
      </c>
      <c r="BE109" s="4357">
        <f t="shared" si="240"/>
        <v>0</v>
      </c>
      <c r="BF109" s="4357">
        <f t="shared" si="240"/>
        <v>0</v>
      </c>
      <c r="BG109" s="4357">
        <f t="shared" si="240"/>
        <v>0</v>
      </c>
      <c r="BH109" s="4357">
        <f t="shared" si="240"/>
        <v>0</v>
      </c>
      <c r="BI109" s="4357">
        <f t="shared" si="240"/>
        <v>0</v>
      </c>
      <c r="BJ109" s="4357">
        <f t="shared" si="240"/>
        <v>0</v>
      </c>
      <c r="BK109" s="4357">
        <f t="shared" si="240"/>
        <v>0</v>
      </c>
      <c r="BL109" s="4357">
        <f t="shared" si="240"/>
        <v>0</v>
      </c>
      <c r="BM109" s="4357">
        <f t="shared" si="240"/>
        <v>0</v>
      </c>
      <c r="BN109" s="4357">
        <f t="shared" si="240"/>
        <v>0</v>
      </c>
      <c r="BO109" s="4357">
        <f t="shared" si="240"/>
        <v>0</v>
      </c>
      <c r="BP109" s="4357">
        <f t="shared" si="240"/>
        <v>0</v>
      </c>
      <c r="BQ109" s="4357">
        <f t="shared" ref="BQ109:CH109" si="241">IFERROR(IF((time+time_cap)&lt;BQ$2, 0,IF(AND(time+1&gt;=BR$2, $AC109&lt;BR$2), IF($AG109= "I", $AH109/($AD109-$AC109+1), $AH109/(($AD109*($AD109+1)/2)-(($AC109-1)*($AC109-1+1)/2))*BQ$2), 0)+IF(IF(time+1&gt;=BR$2, $AI109/time_cap/(time+1)*BQ$2, 0) = 0, $AI109/(time_cap),0)),0)</f>
        <v>0</v>
      </c>
      <c r="BR109" s="4357">
        <f t="shared" si="241"/>
        <v>0</v>
      </c>
      <c r="BS109" s="4357">
        <f t="shared" si="241"/>
        <v>0</v>
      </c>
      <c r="BT109" s="4357">
        <f t="shared" si="241"/>
        <v>0</v>
      </c>
      <c r="BU109" s="4357">
        <f t="shared" si="241"/>
        <v>0</v>
      </c>
      <c r="BV109" s="4357">
        <f t="shared" si="241"/>
        <v>0</v>
      </c>
      <c r="BW109" s="4357">
        <f t="shared" si="241"/>
        <v>0</v>
      </c>
      <c r="BX109" s="4357">
        <f t="shared" si="241"/>
        <v>0</v>
      </c>
      <c r="BY109" s="4357">
        <f t="shared" si="241"/>
        <v>0</v>
      </c>
      <c r="BZ109" s="4357">
        <f t="shared" si="241"/>
        <v>0</v>
      </c>
      <c r="CA109" s="4357">
        <f t="shared" si="241"/>
        <v>0</v>
      </c>
      <c r="CB109" s="4357">
        <f t="shared" si="241"/>
        <v>0</v>
      </c>
      <c r="CC109" s="4357">
        <f t="shared" si="241"/>
        <v>0</v>
      </c>
      <c r="CD109" s="4357">
        <f t="shared" si="241"/>
        <v>0</v>
      </c>
      <c r="CE109" s="4357">
        <f t="shared" si="241"/>
        <v>0</v>
      </c>
      <c r="CF109" s="4357">
        <f t="shared" si="241"/>
        <v>0</v>
      </c>
      <c r="CG109" s="4357">
        <f t="shared" si="241"/>
        <v>0</v>
      </c>
      <c r="CH109" s="4357">
        <f t="shared" si="241"/>
        <v>0</v>
      </c>
      <c r="CI109" s="4357"/>
      <c r="CJ109" s="4357"/>
      <c r="CK109" s="4357"/>
      <c r="CL109" s="4357"/>
      <c r="CM109" s="4357"/>
      <c r="CN109" s="4357"/>
      <c r="CO109" s="4357"/>
      <c r="CP109" s="4357"/>
      <c r="CQ109" s="4357"/>
      <c r="CR109" s="4357"/>
      <c r="CS109" s="4357"/>
      <c r="CT109" s="4357"/>
      <c r="CU109" s="4357"/>
      <c r="CV109" s="4357"/>
      <c r="CW109" s="4357"/>
      <c r="CX109" s="4357"/>
      <c r="CY109" s="4357"/>
      <c r="CZ109" s="4357"/>
      <c r="DA109" s="4357"/>
      <c r="DB109" s="4357"/>
      <c r="DC109" s="4357"/>
      <c r="DD109" s="4357"/>
      <c r="DE109" s="4357"/>
      <c r="DF109" s="4357"/>
      <c r="DG109" s="4357"/>
      <c r="DH109" s="4357"/>
      <c r="DI109" s="4357"/>
      <c r="DJ109" s="4357"/>
      <c r="DK109" s="4357"/>
      <c r="DL109" s="4357"/>
      <c r="DM109" s="4357"/>
      <c r="DN109" s="4357"/>
      <c r="DO109" s="4357"/>
      <c r="DP109" s="4357"/>
      <c r="DQ109" s="4357"/>
      <c r="DR109" s="4357"/>
      <c r="DS109" s="4357"/>
      <c r="DT109" s="4357"/>
      <c r="DU109" s="4357"/>
      <c r="DV109" s="4357"/>
      <c r="DW109" s="4357"/>
      <c r="DX109" s="4357"/>
      <c r="DY109" s="4357"/>
      <c r="DZ109" s="4357"/>
      <c r="EA109" s="4357"/>
      <c r="EB109" s="4357"/>
      <c r="EC109" s="4357"/>
      <c r="ED109" s="4357"/>
      <c r="EE109" s="4357"/>
      <c r="EF109" s="4357"/>
    </row>
    <row r="110" spans="1:136" ht="16" x14ac:dyDescent="0.2">
      <c r="A110" t="s">
        <v>2958</v>
      </c>
      <c r="B110" t="s">
        <v>2958</v>
      </c>
      <c r="C110">
        <f>'4.Grassland'!E63</f>
        <v>0</v>
      </c>
      <c r="D110" t="str">
        <f>'4.Grassland'!I63</f>
        <v>Please select</v>
      </c>
      <c r="E110">
        <f ca="1">'4.Grassland'!AG63</f>
        <v>0</v>
      </c>
      <c r="F110" s="388">
        <v>0</v>
      </c>
      <c r="G110" s="388">
        <v>0</v>
      </c>
      <c r="M110" s="388">
        <v>0</v>
      </c>
      <c r="N110" s="388">
        <v>0</v>
      </c>
      <c r="O110">
        <f ca="1">Livestock!AA97-Livestock!Z97</f>
        <v>0</v>
      </c>
      <c r="P110">
        <f ca="1">Livestock!AA125-Livestock!Z125</f>
        <v>0</v>
      </c>
      <c r="Q110">
        <f ca="1">Livestock!AA151-Livestock!Z151</f>
        <v>0</v>
      </c>
      <c r="U110" s="388">
        <v>0</v>
      </c>
      <c r="V110">
        <v>0</v>
      </c>
      <c r="W110">
        <f>Livestock!AA15-Livestock!Z15</f>
        <v>0</v>
      </c>
      <c r="X110">
        <f ca="1">Livestock!AA69-Livestock!Z69</f>
        <v>0</v>
      </c>
      <c r="AB110" t="str">
        <f t="shared" ca="1" si="171"/>
        <v>ok</v>
      </c>
      <c r="AC110">
        <f>IF('4.Grassland'!CG63&lt;&gt;0,'4.Grassland'!CG63, '4.Grassland'!CF63)</f>
        <v>1</v>
      </c>
      <c r="AD110">
        <f t="shared" si="190"/>
        <v>5</v>
      </c>
      <c r="AE110" s="4357" t="str">
        <f>'4.Grassland'!Y63</f>
        <v>D</v>
      </c>
      <c r="AF110" s="4357" t="str">
        <f>'4.Grassland'!AA63</f>
        <v>D</v>
      </c>
      <c r="AG110" s="4357" t="str">
        <f t="shared" si="193"/>
        <v>D</v>
      </c>
      <c r="AH110" s="4357">
        <f ca="1">((E110/(time_cap+((AD110-AC110+1)*VLOOKUP(AG110,list!$I$48:$K$50,3, FALSE))))*(AD110-AC110+1)*VLOOKUP(AG110,list!$I$48:$K$50,3, FALSE))</f>
        <v>0</v>
      </c>
      <c r="AI110" s="4357">
        <f ca="1">((E110/(time_cap+((AD110-AC110+1)*VLOOKUP(AG110,list!$I$48:$K$50,3, FALSE))))*time_cap)</f>
        <v>0</v>
      </c>
      <c r="AK110" s="4357">
        <f t="shared" ref="AK110:BP110" ca="1" si="242">IFERROR(IF((time+time_cap)&lt;AK$2, 0,IF(AND(time+1&gt;=AL$2, $AC110&lt;AL$2), IF($AG110= "I", $AH110/($AD110-$AC110+1), $AH110/(($AD110*($AD110+1)/2)-(($AC110-1)*($AC110-1+1)/2))*AK$2), 0)+IF(IF(time+1&gt;=AL$2, $AI110/time_cap/(time+1)*AK$2, 0) = 0, $AI110/(time_cap),0)),0)</f>
        <v>0</v>
      </c>
      <c r="AL110" s="4357">
        <f t="shared" ca="1" si="242"/>
        <v>0</v>
      </c>
      <c r="AM110" s="4357">
        <f t="shared" ca="1" si="242"/>
        <v>0</v>
      </c>
      <c r="AN110" s="4357">
        <f t="shared" ca="1" si="242"/>
        <v>0</v>
      </c>
      <c r="AO110" s="4357">
        <f t="shared" ca="1" si="242"/>
        <v>0</v>
      </c>
      <c r="AP110" s="4357">
        <f t="shared" ca="1" si="242"/>
        <v>0</v>
      </c>
      <c r="AQ110" s="4357">
        <f t="shared" ca="1" si="242"/>
        <v>0</v>
      </c>
      <c r="AR110" s="4357">
        <f t="shared" ca="1" si="242"/>
        <v>0</v>
      </c>
      <c r="AS110" s="4357">
        <f t="shared" ca="1" si="242"/>
        <v>0</v>
      </c>
      <c r="AT110" s="4357">
        <f t="shared" ca="1" si="242"/>
        <v>0</v>
      </c>
      <c r="AU110" s="4357">
        <f t="shared" ca="1" si="242"/>
        <v>0</v>
      </c>
      <c r="AV110" s="4357">
        <f t="shared" ca="1" si="242"/>
        <v>0</v>
      </c>
      <c r="AW110" s="4357">
        <f t="shared" ca="1" si="242"/>
        <v>0</v>
      </c>
      <c r="AX110" s="4357">
        <f t="shared" ca="1" si="242"/>
        <v>0</v>
      </c>
      <c r="AY110" s="4357">
        <f t="shared" ca="1" si="242"/>
        <v>0</v>
      </c>
      <c r="AZ110" s="4357">
        <f t="shared" si="242"/>
        <v>0</v>
      </c>
      <c r="BA110" s="4357">
        <f t="shared" si="242"/>
        <v>0</v>
      </c>
      <c r="BB110" s="4357">
        <f t="shared" si="242"/>
        <v>0</v>
      </c>
      <c r="BC110" s="4357">
        <f t="shared" si="242"/>
        <v>0</v>
      </c>
      <c r="BD110" s="4357">
        <f t="shared" si="242"/>
        <v>0</v>
      </c>
      <c r="BE110" s="4357">
        <f t="shared" si="242"/>
        <v>0</v>
      </c>
      <c r="BF110" s="4357">
        <f t="shared" si="242"/>
        <v>0</v>
      </c>
      <c r="BG110" s="4357">
        <f t="shared" si="242"/>
        <v>0</v>
      </c>
      <c r="BH110" s="4357">
        <f t="shared" si="242"/>
        <v>0</v>
      </c>
      <c r="BI110" s="4357">
        <f t="shared" si="242"/>
        <v>0</v>
      </c>
      <c r="BJ110" s="4357">
        <f t="shared" si="242"/>
        <v>0</v>
      </c>
      <c r="BK110" s="4357">
        <f t="shared" si="242"/>
        <v>0</v>
      </c>
      <c r="BL110" s="4357">
        <f t="shared" si="242"/>
        <v>0</v>
      </c>
      <c r="BM110" s="4357">
        <f t="shared" si="242"/>
        <v>0</v>
      </c>
      <c r="BN110" s="4357">
        <f t="shared" si="242"/>
        <v>0</v>
      </c>
      <c r="BO110" s="4357">
        <f t="shared" si="242"/>
        <v>0</v>
      </c>
      <c r="BP110" s="4357">
        <f t="shared" si="242"/>
        <v>0</v>
      </c>
      <c r="BQ110" s="4357">
        <f t="shared" ref="BQ110:CH110" si="243">IFERROR(IF((time+time_cap)&lt;BQ$2, 0,IF(AND(time+1&gt;=BR$2, $AC110&lt;BR$2), IF($AG110= "I", $AH110/($AD110-$AC110+1), $AH110/(($AD110*($AD110+1)/2)-(($AC110-1)*($AC110-1+1)/2))*BQ$2), 0)+IF(IF(time+1&gt;=BR$2, $AI110/time_cap/(time+1)*BQ$2, 0) = 0, $AI110/(time_cap),0)),0)</f>
        <v>0</v>
      </c>
      <c r="BR110" s="4357">
        <f t="shared" si="243"/>
        <v>0</v>
      </c>
      <c r="BS110" s="4357">
        <f t="shared" si="243"/>
        <v>0</v>
      </c>
      <c r="BT110" s="4357">
        <f t="shared" si="243"/>
        <v>0</v>
      </c>
      <c r="BU110" s="4357">
        <f t="shared" si="243"/>
        <v>0</v>
      </c>
      <c r="BV110" s="4357">
        <f t="shared" si="243"/>
        <v>0</v>
      </c>
      <c r="BW110" s="4357">
        <f t="shared" si="243"/>
        <v>0</v>
      </c>
      <c r="BX110" s="4357">
        <f t="shared" si="243"/>
        <v>0</v>
      </c>
      <c r="BY110" s="4357">
        <f t="shared" si="243"/>
        <v>0</v>
      </c>
      <c r="BZ110" s="4357">
        <f t="shared" si="243"/>
        <v>0</v>
      </c>
      <c r="CA110" s="4357">
        <f t="shared" si="243"/>
        <v>0</v>
      </c>
      <c r="CB110" s="4357">
        <f t="shared" si="243"/>
        <v>0</v>
      </c>
      <c r="CC110" s="4357">
        <f t="shared" si="243"/>
        <v>0</v>
      </c>
      <c r="CD110" s="4357">
        <f t="shared" si="243"/>
        <v>0</v>
      </c>
      <c r="CE110" s="4357">
        <f t="shared" si="243"/>
        <v>0</v>
      </c>
      <c r="CF110" s="4357">
        <f t="shared" si="243"/>
        <v>0</v>
      </c>
      <c r="CG110" s="4357">
        <f t="shared" si="243"/>
        <v>0</v>
      </c>
      <c r="CH110" s="4357">
        <f t="shared" si="243"/>
        <v>0</v>
      </c>
      <c r="CI110" s="4357"/>
      <c r="CJ110" s="4357"/>
      <c r="CK110" s="4357"/>
      <c r="CL110" s="4357"/>
      <c r="CM110" s="4357"/>
      <c r="CN110" s="4357"/>
      <c r="CO110" s="4357"/>
      <c r="CP110" s="4357"/>
      <c r="CQ110" s="4357"/>
      <c r="CR110" s="4357"/>
      <c r="CS110" s="4357"/>
      <c r="CT110" s="4357"/>
      <c r="CU110" s="4357"/>
      <c r="CV110" s="4357"/>
      <c r="CW110" s="4357"/>
      <c r="CX110" s="4357"/>
      <c r="CY110" s="4357"/>
      <c r="CZ110" s="4357"/>
      <c r="DA110" s="4357"/>
      <c r="DB110" s="4357"/>
      <c r="DC110" s="4357"/>
      <c r="DD110" s="4357"/>
      <c r="DE110" s="4357"/>
      <c r="DF110" s="4357"/>
      <c r="DG110" s="4357"/>
      <c r="DH110" s="4357"/>
      <c r="DI110" s="4357"/>
      <c r="DJ110" s="4357"/>
      <c r="DK110" s="4357"/>
      <c r="DL110" s="4357"/>
      <c r="DM110" s="4357"/>
      <c r="DN110" s="4357"/>
      <c r="DO110" s="4357"/>
      <c r="DP110" s="4357"/>
      <c r="DQ110" s="4357"/>
      <c r="DR110" s="4357"/>
      <c r="DS110" s="4357"/>
      <c r="DT110" s="4357"/>
      <c r="DU110" s="4357"/>
      <c r="DV110" s="4357"/>
      <c r="DW110" s="4357"/>
      <c r="DX110" s="4357"/>
      <c r="DY110" s="4357"/>
      <c r="DZ110" s="4357"/>
      <c r="EA110" s="4357"/>
      <c r="EB110" s="4357"/>
      <c r="EC110" s="4357"/>
      <c r="ED110" s="4357"/>
      <c r="EE110" s="4357"/>
      <c r="EF110" s="4357"/>
    </row>
    <row r="111" spans="1:136" ht="16" x14ac:dyDescent="0.2">
      <c r="A111" t="s">
        <v>2958</v>
      </c>
      <c r="B111" t="s">
        <v>2958</v>
      </c>
      <c r="C111">
        <f>'4.Grassland'!E64</f>
        <v>0</v>
      </c>
      <c r="D111" t="str">
        <f>'4.Grassland'!I64</f>
        <v>Please select</v>
      </c>
      <c r="E111">
        <f ca="1">'4.Grassland'!AG64</f>
        <v>0</v>
      </c>
      <c r="F111" s="388">
        <v>0</v>
      </c>
      <c r="G111" s="388">
        <v>0</v>
      </c>
      <c r="M111" s="388">
        <v>0</v>
      </c>
      <c r="N111" s="388">
        <v>0</v>
      </c>
      <c r="O111">
        <f ca="1">Livestock!AA98-Livestock!Z98</f>
        <v>0</v>
      </c>
      <c r="P111">
        <f ca="1">Livestock!AA126-Livestock!Z126</f>
        <v>0</v>
      </c>
      <c r="Q111">
        <f ca="1">Livestock!AA152-Livestock!Z152</f>
        <v>0</v>
      </c>
      <c r="U111" s="388">
        <v>0</v>
      </c>
      <c r="V111">
        <v>0</v>
      </c>
      <c r="W111">
        <f>Livestock!AA16-Livestock!Z16</f>
        <v>0</v>
      </c>
      <c r="X111">
        <f ca="1">Livestock!AA70-Livestock!Z70</f>
        <v>0</v>
      </c>
      <c r="AB111" t="str">
        <f t="shared" ca="1" si="171"/>
        <v>ok</v>
      </c>
      <c r="AC111">
        <f>IF('4.Grassland'!CG64&lt;&gt;0,'4.Grassland'!CG64, '4.Grassland'!CF64)</f>
        <v>1</v>
      </c>
      <c r="AD111">
        <f t="shared" si="190"/>
        <v>5</v>
      </c>
      <c r="AE111" s="4357" t="str">
        <f>'4.Grassland'!Y64</f>
        <v>D</v>
      </c>
      <c r="AF111" s="4357" t="str">
        <f>'4.Grassland'!AA64</f>
        <v>D</v>
      </c>
      <c r="AG111" s="4357" t="str">
        <f t="shared" si="193"/>
        <v>D</v>
      </c>
      <c r="AH111" s="4357">
        <f ca="1">((E111/(time_cap+((AD111-AC111+1)*VLOOKUP(AG111,list!$I$48:$K$50,3, FALSE))))*(AD111-AC111+1)*VLOOKUP(AG111,list!$I$48:$K$50,3, FALSE))</f>
        <v>0</v>
      </c>
      <c r="AI111" s="4357">
        <f ca="1">((E111/(time_cap+((AD111-AC111+1)*VLOOKUP(AG111,list!$I$48:$K$50,3, FALSE))))*time_cap)</f>
        <v>0</v>
      </c>
      <c r="AK111" s="4357">
        <f t="shared" ref="AK111:BP111" ca="1" si="244">IFERROR(IF((time+time_cap)&lt;AK$2, 0,IF(AND(time+1&gt;=AL$2, $AC111&lt;AL$2), IF($AG111= "I", $AH111/($AD111-$AC111+1), $AH111/(($AD111*($AD111+1)/2)-(($AC111-1)*($AC111-1+1)/2))*AK$2), 0)+IF(IF(time+1&gt;=AL$2, $AI111/time_cap/(time+1)*AK$2, 0) = 0, $AI111/(time_cap),0)),0)</f>
        <v>0</v>
      </c>
      <c r="AL111" s="4357">
        <f t="shared" ca="1" si="244"/>
        <v>0</v>
      </c>
      <c r="AM111" s="4357">
        <f t="shared" ca="1" si="244"/>
        <v>0</v>
      </c>
      <c r="AN111" s="4357">
        <f t="shared" ca="1" si="244"/>
        <v>0</v>
      </c>
      <c r="AO111" s="4357">
        <f t="shared" ca="1" si="244"/>
        <v>0</v>
      </c>
      <c r="AP111" s="4357">
        <f t="shared" ca="1" si="244"/>
        <v>0</v>
      </c>
      <c r="AQ111" s="4357">
        <f t="shared" ca="1" si="244"/>
        <v>0</v>
      </c>
      <c r="AR111" s="4357">
        <f t="shared" ca="1" si="244"/>
        <v>0</v>
      </c>
      <c r="AS111" s="4357">
        <f t="shared" ca="1" si="244"/>
        <v>0</v>
      </c>
      <c r="AT111" s="4357">
        <f t="shared" ca="1" si="244"/>
        <v>0</v>
      </c>
      <c r="AU111" s="4357">
        <f t="shared" ca="1" si="244"/>
        <v>0</v>
      </c>
      <c r="AV111" s="4357">
        <f t="shared" ca="1" si="244"/>
        <v>0</v>
      </c>
      <c r="AW111" s="4357">
        <f t="shared" ca="1" si="244"/>
        <v>0</v>
      </c>
      <c r="AX111" s="4357">
        <f t="shared" ca="1" si="244"/>
        <v>0</v>
      </c>
      <c r="AY111" s="4357">
        <f t="shared" ca="1" si="244"/>
        <v>0</v>
      </c>
      <c r="AZ111" s="4357">
        <f t="shared" si="244"/>
        <v>0</v>
      </c>
      <c r="BA111" s="4357">
        <f t="shared" si="244"/>
        <v>0</v>
      </c>
      <c r="BB111" s="4357">
        <f t="shared" si="244"/>
        <v>0</v>
      </c>
      <c r="BC111" s="4357">
        <f t="shared" si="244"/>
        <v>0</v>
      </c>
      <c r="BD111" s="4357">
        <f t="shared" si="244"/>
        <v>0</v>
      </c>
      <c r="BE111" s="4357">
        <f t="shared" si="244"/>
        <v>0</v>
      </c>
      <c r="BF111" s="4357">
        <f t="shared" si="244"/>
        <v>0</v>
      </c>
      <c r="BG111" s="4357">
        <f t="shared" si="244"/>
        <v>0</v>
      </c>
      <c r="BH111" s="4357">
        <f t="shared" si="244"/>
        <v>0</v>
      </c>
      <c r="BI111" s="4357">
        <f t="shared" si="244"/>
        <v>0</v>
      </c>
      <c r="BJ111" s="4357">
        <f t="shared" si="244"/>
        <v>0</v>
      </c>
      <c r="BK111" s="4357">
        <f t="shared" si="244"/>
        <v>0</v>
      </c>
      <c r="BL111" s="4357">
        <f t="shared" si="244"/>
        <v>0</v>
      </c>
      <c r="BM111" s="4357">
        <f t="shared" si="244"/>
        <v>0</v>
      </c>
      <c r="BN111" s="4357">
        <f t="shared" si="244"/>
        <v>0</v>
      </c>
      <c r="BO111" s="4357">
        <f t="shared" si="244"/>
        <v>0</v>
      </c>
      <c r="BP111" s="4357">
        <f t="shared" si="244"/>
        <v>0</v>
      </c>
      <c r="BQ111" s="4357">
        <f t="shared" ref="BQ111:CH111" si="245">IFERROR(IF((time+time_cap)&lt;BQ$2, 0,IF(AND(time+1&gt;=BR$2, $AC111&lt;BR$2), IF($AG111= "I", $AH111/($AD111-$AC111+1), $AH111/(($AD111*($AD111+1)/2)-(($AC111-1)*($AC111-1+1)/2))*BQ$2), 0)+IF(IF(time+1&gt;=BR$2, $AI111/time_cap/(time+1)*BQ$2, 0) = 0, $AI111/(time_cap),0)),0)</f>
        <v>0</v>
      </c>
      <c r="BR111" s="4357">
        <f t="shared" si="245"/>
        <v>0</v>
      </c>
      <c r="BS111" s="4357">
        <f t="shared" si="245"/>
        <v>0</v>
      </c>
      <c r="BT111" s="4357">
        <f t="shared" si="245"/>
        <v>0</v>
      </c>
      <c r="BU111" s="4357">
        <f t="shared" si="245"/>
        <v>0</v>
      </c>
      <c r="BV111" s="4357">
        <f t="shared" si="245"/>
        <v>0</v>
      </c>
      <c r="BW111" s="4357">
        <f t="shared" si="245"/>
        <v>0</v>
      </c>
      <c r="BX111" s="4357">
        <f t="shared" si="245"/>
        <v>0</v>
      </c>
      <c r="BY111" s="4357">
        <f t="shared" si="245"/>
        <v>0</v>
      </c>
      <c r="BZ111" s="4357">
        <f t="shared" si="245"/>
        <v>0</v>
      </c>
      <c r="CA111" s="4357">
        <f t="shared" si="245"/>
        <v>0</v>
      </c>
      <c r="CB111" s="4357">
        <f t="shared" si="245"/>
        <v>0</v>
      </c>
      <c r="CC111" s="4357">
        <f t="shared" si="245"/>
        <v>0</v>
      </c>
      <c r="CD111" s="4357">
        <f t="shared" si="245"/>
        <v>0</v>
      </c>
      <c r="CE111" s="4357">
        <f t="shared" si="245"/>
        <v>0</v>
      </c>
      <c r="CF111" s="4357">
        <f t="shared" si="245"/>
        <v>0</v>
      </c>
      <c r="CG111" s="4357">
        <f t="shared" si="245"/>
        <v>0</v>
      </c>
      <c r="CH111" s="4357">
        <f t="shared" si="245"/>
        <v>0</v>
      </c>
      <c r="CI111" s="4357"/>
      <c r="CJ111" s="4357"/>
      <c r="CK111" s="4357"/>
      <c r="CL111" s="4357"/>
      <c r="CM111" s="4357"/>
      <c r="CN111" s="4357"/>
      <c r="CO111" s="4357"/>
      <c r="CP111" s="4357"/>
      <c r="CQ111" s="4357"/>
      <c r="CR111" s="4357"/>
      <c r="CS111" s="4357"/>
      <c r="CT111" s="4357"/>
      <c r="CU111" s="4357"/>
      <c r="CV111" s="4357"/>
      <c r="CW111" s="4357"/>
      <c r="CX111" s="4357"/>
      <c r="CY111" s="4357"/>
      <c r="CZ111" s="4357"/>
      <c r="DA111" s="4357"/>
      <c r="DB111" s="4357"/>
      <c r="DC111" s="4357"/>
      <c r="DD111" s="4357"/>
      <c r="DE111" s="4357"/>
      <c r="DF111" s="4357"/>
      <c r="DG111" s="4357"/>
      <c r="DH111" s="4357"/>
      <c r="DI111" s="4357"/>
      <c r="DJ111" s="4357"/>
      <c r="DK111" s="4357"/>
      <c r="DL111" s="4357"/>
      <c r="DM111" s="4357"/>
      <c r="DN111" s="4357"/>
      <c r="DO111" s="4357"/>
      <c r="DP111" s="4357"/>
      <c r="DQ111" s="4357"/>
      <c r="DR111" s="4357"/>
      <c r="DS111" s="4357"/>
      <c r="DT111" s="4357"/>
      <c r="DU111" s="4357"/>
      <c r="DV111" s="4357"/>
      <c r="DW111" s="4357"/>
      <c r="DX111" s="4357"/>
      <c r="DY111" s="4357"/>
      <c r="DZ111" s="4357"/>
      <c r="EA111" s="4357"/>
      <c r="EB111" s="4357"/>
      <c r="EC111" s="4357"/>
      <c r="ED111" s="4357"/>
      <c r="EE111" s="4357"/>
      <c r="EF111" s="4357"/>
    </row>
    <row r="112" spans="1:136" ht="16" x14ac:dyDescent="0.2">
      <c r="A112" t="s">
        <v>2958</v>
      </c>
      <c r="B112" t="s">
        <v>2958</v>
      </c>
      <c r="C112">
        <f>'4.Grassland'!E65</f>
        <v>0</v>
      </c>
      <c r="D112" t="str">
        <f>'4.Grassland'!I65</f>
        <v>Please select</v>
      </c>
      <c r="E112">
        <f ca="1">'4.Grassland'!AG65</f>
        <v>0</v>
      </c>
      <c r="F112" s="388">
        <v>0</v>
      </c>
      <c r="G112" s="388">
        <v>0</v>
      </c>
      <c r="M112" s="388">
        <v>0</v>
      </c>
      <c r="N112" s="388">
        <v>0</v>
      </c>
      <c r="O112">
        <f ca="1">Livestock!AA99-Livestock!Z99</f>
        <v>0</v>
      </c>
      <c r="P112">
        <f ca="1">Livestock!AA127-Livestock!Z127</f>
        <v>0</v>
      </c>
      <c r="Q112">
        <f ca="1">Livestock!AA153-Livestock!Z153</f>
        <v>0</v>
      </c>
      <c r="U112" s="388">
        <v>0</v>
      </c>
      <c r="V112">
        <v>0</v>
      </c>
      <c r="W112">
        <f>Livestock!AA17-Livestock!Z17</f>
        <v>0</v>
      </c>
      <c r="X112">
        <f ca="1">Livestock!AA71-Livestock!Z71</f>
        <v>0</v>
      </c>
      <c r="AB112" t="str">
        <f t="shared" ca="1" si="171"/>
        <v>ok</v>
      </c>
      <c r="AC112">
        <f>IF('4.Grassland'!CG65&lt;&gt;0,'4.Grassland'!CG65, '4.Grassland'!CF65)</f>
        <v>1</v>
      </c>
      <c r="AD112">
        <f t="shared" si="190"/>
        <v>5</v>
      </c>
      <c r="AE112" s="4357" t="str">
        <f>'4.Grassland'!Y65</f>
        <v>D</v>
      </c>
      <c r="AF112" s="4357" t="str">
        <f>'4.Grassland'!AA65</f>
        <v>D</v>
      </c>
      <c r="AG112" s="4357" t="str">
        <f t="shared" si="193"/>
        <v>D</v>
      </c>
      <c r="AH112" s="4357">
        <f ca="1">((E112/(time_cap+((AD112-AC112+1)*VLOOKUP(AG112,list!$I$48:$K$50,3, FALSE))))*(AD112-AC112+1)*VLOOKUP(AG112,list!$I$48:$K$50,3, FALSE))</f>
        <v>0</v>
      </c>
      <c r="AI112" s="4357">
        <f ca="1">((E112/(time_cap+((AD112-AC112+1)*VLOOKUP(AG112,list!$I$48:$K$50,3, FALSE))))*time_cap)</f>
        <v>0</v>
      </c>
      <c r="AK112" s="4357">
        <f t="shared" ref="AK112:BP112" ca="1" si="246">IFERROR(IF((time+time_cap)&lt;AK$2, 0,IF(AND(time+1&gt;=AL$2, $AC112&lt;AL$2), IF($AG112= "I", $AH112/($AD112-$AC112+1), $AH112/(($AD112*($AD112+1)/2)-(($AC112-1)*($AC112-1+1)/2))*AK$2), 0)+IF(IF(time+1&gt;=AL$2, $AI112/time_cap/(time+1)*AK$2, 0) = 0, $AI112/(time_cap),0)),0)</f>
        <v>0</v>
      </c>
      <c r="AL112" s="4357">
        <f t="shared" ca="1" si="246"/>
        <v>0</v>
      </c>
      <c r="AM112" s="4357">
        <f t="shared" ca="1" si="246"/>
        <v>0</v>
      </c>
      <c r="AN112" s="4357">
        <f t="shared" ca="1" si="246"/>
        <v>0</v>
      </c>
      <c r="AO112" s="4357">
        <f t="shared" ca="1" si="246"/>
        <v>0</v>
      </c>
      <c r="AP112" s="4357">
        <f t="shared" ca="1" si="246"/>
        <v>0</v>
      </c>
      <c r="AQ112" s="4357">
        <f t="shared" ca="1" si="246"/>
        <v>0</v>
      </c>
      <c r="AR112" s="4357">
        <f t="shared" ca="1" si="246"/>
        <v>0</v>
      </c>
      <c r="AS112" s="4357">
        <f t="shared" ca="1" si="246"/>
        <v>0</v>
      </c>
      <c r="AT112" s="4357">
        <f t="shared" ca="1" si="246"/>
        <v>0</v>
      </c>
      <c r="AU112" s="4357">
        <f t="shared" ca="1" si="246"/>
        <v>0</v>
      </c>
      <c r="AV112" s="4357">
        <f t="shared" ca="1" si="246"/>
        <v>0</v>
      </c>
      <c r="AW112" s="4357">
        <f t="shared" ca="1" si="246"/>
        <v>0</v>
      </c>
      <c r="AX112" s="4357">
        <f t="shared" ca="1" si="246"/>
        <v>0</v>
      </c>
      <c r="AY112" s="4357">
        <f t="shared" ca="1" si="246"/>
        <v>0</v>
      </c>
      <c r="AZ112" s="4357">
        <f t="shared" si="246"/>
        <v>0</v>
      </c>
      <c r="BA112" s="4357">
        <f t="shared" si="246"/>
        <v>0</v>
      </c>
      <c r="BB112" s="4357">
        <f t="shared" si="246"/>
        <v>0</v>
      </c>
      <c r="BC112" s="4357">
        <f t="shared" si="246"/>
        <v>0</v>
      </c>
      <c r="BD112" s="4357">
        <f t="shared" si="246"/>
        <v>0</v>
      </c>
      <c r="BE112" s="4357">
        <f t="shared" si="246"/>
        <v>0</v>
      </c>
      <c r="BF112" s="4357">
        <f t="shared" si="246"/>
        <v>0</v>
      </c>
      <c r="BG112" s="4357">
        <f t="shared" si="246"/>
        <v>0</v>
      </c>
      <c r="BH112" s="4357">
        <f t="shared" si="246"/>
        <v>0</v>
      </c>
      <c r="BI112" s="4357">
        <f t="shared" si="246"/>
        <v>0</v>
      </c>
      <c r="BJ112" s="4357">
        <f t="shared" si="246"/>
        <v>0</v>
      </c>
      <c r="BK112" s="4357">
        <f t="shared" si="246"/>
        <v>0</v>
      </c>
      <c r="BL112" s="4357">
        <f t="shared" si="246"/>
        <v>0</v>
      </c>
      <c r="BM112" s="4357">
        <f t="shared" si="246"/>
        <v>0</v>
      </c>
      <c r="BN112" s="4357">
        <f t="shared" si="246"/>
        <v>0</v>
      </c>
      <c r="BO112" s="4357">
        <f t="shared" si="246"/>
        <v>0</v>
      </c>
      <c r="BP112" s="4357">
        <f t="shared" si="246"/>
        <v>0</v>
      </c>
      <c r="BQ112" s="4357">
        <f t="shared" ref="BQ112:CH112" si="247">IFERROR(IF((time+time_cap)&lt;BQ$2, 0,IF(AND(time+1&gt;=BR$2, $AC112&lt;BR$2), IF($AG112= "I", $AH112/($AD112-$AC112+1), $AH112/(($AD112*($AD112+1)/2)-(($AC112-1)*($AC112-1+1)/2))*BQ$2), 0)+IF(IF(time+1&gt;=BR$2, $AI112/time_cap/(time+1)*BQ$2, 0) = 0, $AI112/(time_cap),0)),0)</f>
        <v>0</v>
      </c>
      <c r="BR112" s="4357">
        <f t="shared" si="247"/>
        <v>0</v>
      </c>
      <c r="BS112" s="4357">
        <f t="shared" si="247"/>
        <v>0</v>
      </c>
      <c r="BT112" s="4357">
        <f t="shared" si="247"/>
        <v>0</v>
      </c>
      <c r="BU112" s="4357">
        <f t="shared" si="247"/>
        <v>0</v>
      </c>
      <c r="BV112" s="4357">
        <f t="shared" si="247"/>
        <v>0</v>
      </c>
      <c r="BW112" s="4357">
        <f t="shared" si="247"/>
        <v>0</v>
      </c>
      <c r="BX112" s="4357">
        <f t="shared" si="247"/>
        <v>0</v>
      </c>
      <c r="BY112" s="4357">
        <f t="shared" si="247"/>
        <v>0</v>
      </c>
      <c r="BZ112" s="4357">
        <f t="shared" si="247"/>
        <v>0</v>
      </c>
      <c r="CA112" s="4357">
        <f t="shared" si="247"/>
        <v>0</v>
      </c>
      <c r="CB112" s="4357">
        <f t="shared" si="247"/>
        <v>0</v>
      </c>
      <c r="CC112" s="4357">
        <f t="shared" si="247"/>
        <v>0</v>
      </c>
      <c r="CD112" s="4357">
        <f t="shared" si="247"/>
        <v>0</v>
      </c>
      <c r="CE112" s="4357">
        <f t="shared" si="247"/>
        <v>0</v>
      </c>
      <c r="CF112" s="4357">
        <f t="shared" si="247"/>
        <v>0</v>
      </c>
      <c r="CG112" s="4357">
        <f t="shared" si="247"/>
        <v>0</v>
      </c>
      <c r="CH112" s="4357">
        <f t="shared" si="247"/>
        <v>0</v>
      </c>
      <c r="CI112" s="4357"/>
      <c r="CJ112" s="4357"/>
      <c r="CK112" s="4357"/>
      <c r="CL112" s="4357"/>
      <c r="CM112" s="4357"/>
      <c r="CN112" s="4357"/>
      <c r="CO112" s="4357"/>
      <c r="CP112" s="4357"/>
      <c r="CQ112" s="4357"/>
      <c r="CR112" s="4357"/>
      <c r="CS112" s="4357"/>
      <c r="CT112" s="4357"/>
      <c r="CU112" s="4357"/>
      <c r="CV112" s="4357"/>
      <c r="CW112" s="4357"/>
      <c r="CX112" s="4357"/>
      <c r="CY112" s="4357"/>
      <c r="CZ112" s="4357"/>
      <c r="DA112" s="4357"/>
      <c r="DB112" s="4357"/>
      <c r="DC112" s="4357"/>
      <c r="DD112" s="4357"/>
      <c r="DE112" s="4357"/>
      <c r="DF112" s="4357"/>
      <c r="DG112" s="4357"/>
      <c r="DH112" s="4357"/>
      <c r="DI112" s="4357"/>
      <c r="DJ112" s="4357"/>
      <c r="DK112" s="4357"/>
      <c r="DL112" s="4357"/>
      <c r="DM112" s="4357"/>
      <c r="DN112" s="4357"/>
      <c r="DO112" s="4357"/>
      <c r="DP112" s="4357"/>
      <c r="DQ112" s="4357"/>
      <c r="DR112" s="4357"/>
      <c r="DS112" s="4357"/>
      <c r="DT112" s="4357"/>
      <c r="DU112" s="4357"/>
      <c r="DV112" s="4357"/>
      <c r="DW112" s="4357"/>
      <c r="DX112" s="4357"/>
      <c r="DY112" s="4357"/>
      <c r="DZ112" s="4357"/>
      <c r="EA112" s="4357"/>
      <c r="EB112" s="4357"/>
      <c r="EC112" s="4357"/>
      <c r="ED112" s="4357"/>
      <c r="EE112" s="4357"/>
      <c r="EF112" s="4357"/>
    </row>
    <row r="113" spans="1:136" ht="16" x14ac:dyDescent="0.2">
      <c r="A113" t="s">
        <v>2958</v>
      </c>
      <c r="B113" t="s">
        <v>2958</v>
      </c>
      <c r="C113">
        <f>'4.Grassland'!E66</f>
        <v>0</v>
      </c>
      <c r="D113" t="str">
        <f>'4.Grassland'!I66</f>
        <v>Please select</v>
      </c>
      <c r="E113">
        <f ca="1">'4.Grassland'!AG66</f>
        <v>0</v>
      </c>
      <c r="F113" s="388">
        <v>0</v>
      </c>
      <c r="G113" s="388">
        <v>0</v>
      </c>
      <c r="M113" s="388">
        <v>0</v>
      </c>
      <c r="N113" s="388">
        <v>0</v>
      </c>
      <c r="O113">
        <f ca="1">Livestock!AA100-Livestock!Z100</f>
        <v>0</v>
      </c>
      <c r="P113">
        <f ca="1">Livestock!AA128-Livestock!Z128</f>
        <v>0</v>
      </c>
      <c r="Q113">
        <f ca="1">Livestock!AA154-Livestock!Z154</f>
        <v>0</v>
      </c>
      <c r="U113" s="388">
        <v>0</v>
      </c>
      <c r="V113">
        <v>0</v>
      </c>
      <c r="W113">
        <f>Livestock!AA18-Livestock!Z18</f>
        <v>0</v>
      </c>
      <c r="X113">
        <f ca="1">Livestock!AA72-Livestock!Z72</f>
        <v>0</v>
      </c>
      <c r="AB113" t="str">
        <f t="shared" ca="1" si="171"/>
        <v>ok</v>
      </c>
      <c r="AC113">
        <f>IF('4.Grassland'!CG66&lt;&gt;0,'4.Grassland'!CG66, '4.Grassland'!CF66)</f>
        <v>1</v>
      </c>
      <c r="AD113">
        <f t="shared" si="190"/>
        <v>5</v>
      </c>
      <c r="AE113" s="4357" t="str">
        <f>'4.Grassland'!Y66</f>
        <v>D</v>
      </c>
      <c r="AF113" s="4357" t="str">
        <f>'4.Grassland'!AA66</f>
        <v>D</v>
      </c>
      <c r="AG113" s="4357" t="str">
        <f t="shared" si="193"/>
        <v>D</v>
      </c>
      <c r="AH113" s="4357">
        <f ca="1">((E113/(time_cap+((AD113-AC113+1)*VLOOKUP(AG113,list!$I$48:$K$50,3, FALSE))))*(AD113-AC113+1)*VLOOKUP(AG113,list!$I$48:$K$50,3, FALSE))</f>
        <v>0</v>
      </c>
      <c r="AI113" s="4357">
        <f ca="1">((E113/(time_cap+((AD113-AC113+1)*VLOOKUP(AG113,list!$I$48:$K$50,3, FALSE))))*time_cap)</f>
        <v>0</v>
      </c>
      <c r="AK113" s="4357">
        <f t="shared" ref="AK113:BP113" ca="1" si="248">IFERROR(IF((time+time_cap)&lt;AK$2, 0,IF(AND(time+1&gt;=AL$2, $AC113&lt;AL$2), IF($AG113= "I", $AH113/($AD113-$AC113+1), $AH113/(($AD113*($AD113+1)/2)-(($AC113-1)*($AC113-1+1)/2))*AK$2), 0)+IF(IF(time+1&gt;=AL$2, $AI113/time_cap/(time+1)*AK$2, 0) = 0, $AI113/(time_cap),0)),0)</f>
        <v>0</v>
      </c>
      <c r="AL113" s="4357">
        <f t="shared" ca="1" si="248"/>
        <v>0</v>
      </c>
      <c r="AM113" s="4357">
        <f t="shared" ca="1" si="248"/>
        <v>0</v>
      </c>
      <c r="AN113" s="4357">
        <f t="shared" ca="1" si="248"/>
        <v>0</v>
      </c>
      <c r="AO113" s="4357">
        <f t="shared" ca="1" si="248"/>
        <v>0</v>
      </c>
      <c r="AP113" s="4357">
        <f t="shared" ca="1" si="248"/>
        <v>0</v>
      </c>
      <c r="AQ113" s="4357">
        <f t="shared" ca="1" si="248"/>
        <v>0</v>
      </c>
      <c r="AR113" s="4357">
        <f t="shared" ca="1" si="248"/>
        <v>0</v>
      </c>
      <c r="AS113" s="4357">
        <f t="shared" ca="1" si="248"/>
        <v>0</v>
      </c>
      <c r="AT113" s="4357">
        <f t="shared" ca="1" si="248"/>
        <v>0</v>
      </c>
      <c r="AU113" s="4357">
        <f t="shared" ca="1" si="248"/>
        <v>0</v>
      </c>
      <c r="AV113" s="4357">
        <f t="shared" ca="1" si="248"/>
        <v>0</v>
      </c>
      <c r="AW113" s="4357">
        <f t="shared" ca="1" si="248"/>
        <v>0</v>
      </c>
      <c r="AX113" s="4357">
        <f t="shared" ca="1" si="248"/>
        <v>0</v>
      </c>
      <c r="AY113" s="4357">
        <f t="shared" ca="1" si="248"/>
        <v>0</v>
      </c>
      <c r="AZ113" s="4357">
        <f t="shared" si="248"/>
        <v>0</v>
      </c>
      <c r="BA113" s="4357">
        <f t="shared" si="248"/>
        <v>0</v>
      </c>
      <c r="BB113" s="4357">
        <f t="shared" si="248"/>
        <v>0</v>
      </c>
      <c r="BC113" s="4357">
        <f t="shared" si="248"/>
        <v>0</v>
      </c>
      <c r="BD113" s="4357">
        <f t="shared" si="248"/>
        <v>0</v>
      </c>
      <c r="BE113" s="4357">
        <f t="shared" si="248"/>
        <v>0</v>
      </c>
      <c r="BF113" s="4357">
        <f t="shared" si="248"/>
        <v>0</v>
      </c>
      <c r="BG113" s="4357">
        <f t="shared" si="248"/>
        <v>0</v>
      </c>
      <c r="BH113" s="4357">
        <f t="shared" si="248"/>
        <v>0</v>
      </c>
      <c r="BI113" s="4357">
        <f t="shared" si="248"/>
        <v>0</v>
      </c>
      <c r="BJ113" s="4357">
        <f t="shared" si="248"/>
        <v>0</v>
      </c>
      <c r="BK113" s="4357">
        <f t="shared" si="248"/>
        <v>0</v>
      </c>
      <c r="BL113" s="4357">
        <f t="shared" si="248"/>
        <v>0</v>
      </c>
      <c r="BM113" s="4357">
        <f t="shared" si="248"/>
        <v>0</v>
      </c>
      <c r="BN113" s="4357">
        <f t="shared" si="248"/>
        <v>0</v>
      </c>
      <c r="BO113" s="4357">
        <f t="shared" si="248"/>
        <v>0</v>
      </c>
      <c r="BP113" s="4357">
        <f t="shared" si="248"/>
        <v>0</v>
      </c>
      <c r="BQ113" s="4357">
        <f t="shared" ref="BQ113:CH113" si="249">IFERROR(IF((time+time_cap)&lt;BQ$2, 0,IF(AND(time+1&gt;=BR$2, $AC113&lt;BR$2), IF($AG113= "I", $AH113/($AD113-$AC113+1), $AH113/(($AD113*($AD113+1)/2)-(($AC113-1)*($AC113-1+1)/2))*BQ$2), 0)+IF(IF(time+1&gt;=BR$2, $AI113/time_cap/(time+1)*BQ$2, 0) = 0, $AI113/(time_cap),0)),0)</f>
        <v>0</v>
      </c>
      <c r="BR113" s="4357">
        <f t="shared" si="249"/>
        <v>0</v>
      </c>
      <c r="BS113" s="4357">
        <f t="shared" si="249"/>
        <v>0</v>
      </c>
      <c r="BT113" s="4357">
        <f t="shared" si="249"/>
        <v>0</v>
      </c>
      <c r="BU113" s="4357">
        <f t="shared" si="249"/>
        <v>0</v>
      </c>
      <c r="BV113" s="4357">
        <f t="shared" si="249"/>
        <v>0</v>
      </c>
      <c r="BW113" s="4357">
        <f t="shared" si="249"/>
        <v>0</v>
      </c>
      <c r="BX113" s="4357">
        <f t="shared" si="249"/>
        <v>0</v>
      </c>
      <c r="BY113" s="4357">
        <f t="shared" si="249"/>
        <v>0</v>
      </c>
      <c r="BZ113" s="4357">
        <f t="shared" si="249"/>
        <v>0</v>
      </c>
      <c r="CA113" s="4357">
        <f t="shared" si="249"/>
        <v>0</v>
      </c>
      <c r="CB113" s="4357">
        <f t="shared" si="249"/>
        <v>0</v>
      </c>
      <c r="CC113" s="4357">
        <f t="shared" si="249"/>
        <v>0</v>
      </c>
      <c r="CD113" s="4357">
        <f t="shared" si="249"/>
        <v>0</v>
      </c>
      <c r="CE113" s="4357">
        <f t="shared" si="249"/>
        <v>0</v>
      </c>
      <c r="CF113" s="4357">
        <f t="shared" si="249"/>
        <v>0</v>
      </c>
      <c r="CG113" s="4357">
        <f t="shared" si="249"/>
        <v>0</v>
      </c>
      <c r="CH113" s="4357">
        <f t="shared" si="249"/>
        <v>0</v>
      </c>
      <c r="CI113" s="4357"/>
      <c r="CJ113" s="4357"/>
      <c r="CK113" s="4357"/>
      <c r="CL113" s="4357"/>
      <c r="CM113" s="4357"/>
      <c r="CN113" s="4357"/>
      <c r="CO113" s="4357"/>
      <c r="CP113" s="4357"/>
      <c r="CQ113" s="4357"/>
      <c r="CR113" s="4357"/>
      <c r="CS113" s="4357"/>
      <c r="CT113" s="4357"/>
      <c r="CU113" s="4357"/>
      <c r="CV113" s="4357"/>
      <c r="CW113" s="4357"/>
      <c r="CX113" s="4357"/>
      <c r="CY113" s="4357"/>
      <c r="CZ113" s="4357"/>
      <c r="DA113" s="4357"/>
      <c r="DB113" s="4357"/>
      <c r="DC113" s="4357"/>
      <c r="DD113" s="4357"/>
      <c r="DE113" s="4357"/>
      <c r="DF113" s="4357"/>
      <c r="DG113" s="4357"/>
      <c r="DH113" s="4357"/>
      <c r="DI113" s="4357"/>
      <c r="DJ113" s="4357"/>
      <c r="DK113" s="4357"/>
      <c r="DL113" s="4357"/>
      <c r="DM113" s="4357"/>
      <c r="DN113" s="4357"/>
      <c r="DO113" s="4357"/>
      <c r="DP113" s="4357"/>
      <c r="DQ113" s="4357"/>
      <c r="DR113" s="4357"/>
      <c r="DS113" s="4357"/>
      <c r="DT113" s="4357"/>
      <c r="DU113" s="4357"/>
      <c r="DV113" s="4357"/>
      <c r="DW113" s="4357"/>
      <c r="DX113" s="4357"/>
      <c r="DY113" s="4357"/>
      <c r="DZ113" s="4357"/>
      <c r="EA113" s="4357"/>
      <c r="EB113" s="4357"/>
      <c r="EC113" s="4357"/>
      <c r="ED113" s="4357"/>
      <c r="EE113" s="4357"/>
      <c r="EF113" s="4357"/>
    </row>
    <row r="114" spans="1:136" ht="16" x14ac:dyDescent="0.2">
      <c r="A114" t="s">
        <v>2958</v>
      </c>
      <c r="B114" t="s">
        <v>2958</v>
      </c>
      <c r="C114">
        <f>'4.Grassland'!E67</f>
        <v>0</v>
      </c>
      <c r="D114" t="str">
        <f>'4.Grassland'!I67</f>
        <v>Please select</v>
      </c>
      <c r="E114">
        <f ca="1">'4.Grassland'!AG67</f>
        <v>0</v>
      </c>
      <c r="F114" s="388">
        <v>0</v>
      </c>
      <c r="G114" s="388">
        <v>0</v>
      </c>
      <c r="M114" s="388">
        <v>0</v>
      </c>
      <c r="N114" s="388">
        <v>0</v>
      </c>
      <c r="O114">
        <f ca="1">Livestock!AA101-Livestock!Z101</f>
        <v>0</v>
      </c>
      <c r="P114">
        <f ca="1">Livestock!AA129-Livestock!Z129</f>
        <v>0</v>
      </c>
      <c r="Q114">
        <f ca="1">Livestock!AA155-Livestock!Z155</f>
        <v>0</v>
      </c>
      <c r="U114" s="388">
        <v>0</v>
      </c>
      <c r="V114">
        <v>0</v>
      </c>
      <c r="W114">
        <f>Livestock!AA19-Livestock!Z19</f>
        <v>0</v>
      </c>
      <c r="X114">
        <f ca="1">Livestock!AA73-Livestock!Z73</f>
        <v>0</v>
      </c>
      <c r="AB114" t="str">
        <f t="shared" ca="1" si="171"/>
        <v>ok</v>
      </c>
      <c r="AC114">
        <f>IF('4.Grassland'!CG67&lt;&gt;0,'4.Grassland'!CG67, '4.Grassland'!CF67)</f>
        <v>1</v>
      </c>
      <c r="AD114">
        <f t="shared" si="190"/>
        <v>5</v>
      </c>
      <c r="AE114" s="4357" t="str">
        <f>'4.Grassland'!Y67</f>
        <v>D</v>
      </c>
      <c r="AF114" s="4357" t="str">
        <f>'4.Grassland'!AA67</f>
        <v>D</v>
      </c>
      <c r="AG114" s="4357" t="str">
        <f t="shared" si="193"/>
        <v>D</v>
      </c>
      <c r="AH114" s="4357">
        <f ca="1">((E114/(time_cap+((AD114-AC114+1)*VLOOKUP(AG114,list!$I$48:$K$50,3, FALSE))))*(AD114-AC114+1)*VLOOKUP(AG114,list!$I$48:$K$50,3, FALSE))</f>
        <v>0</v>
      </c>
      <c r="AI114" s="4357">
        <f ca="1">((E114/(time_cap+((AD114-AC114+1)*VLOOKUP(AG114,list!$I$48:$K$50,3, FALSE))))*time_cap)</f>
        <v>0</v>
      </c>
      <c r="AK114" s="4357">
        <f t="shared" ref="AK114:AK119" ca="1" si="250">IFERROR(IF((time+time_cap)&lt;AK$2, 0,IF(AND(time+1&gt;=AL$2, $AC114&lt;AL$2), IF($AG114= "I", $AH114/($AD114-$AC114+1), $AH114/(($AD114*($AD114+1)/2)-(($AC114-1)*($AC114-1+1)/2))*AK$2), 0)+IF(IF(time+1&gt;=AL$2, $AI114/time_cap/(time+1)*AK$2, 0) = 0, $AI114/(time_cap),0)),0)</f>
        <v>0</v>
      </c>
      <c r="AL114" s="4357">
        <f t="shared" ref="AL114:AL119" ca="1" si="251">IFERROR(IF((time+time_cap)&lt;AL$2, 0,IF(AND(time+1&gt;=AM$2, $AC114&lt;AM$2), IF($AG114= "I", $AH114/($AD114-$AC114+1), $AH114/(($AD114*($AD114+1)/2)-(($AC114-1)*($AC114-1+1)/2))*AL$2), 0)+IF(IF(time+1&gt;=AM$2, $AI114/time_cap/(time+1)*AL$2, 0) = 0, $AI114/(time_cap),0)),0)</f>
        <v>0</v>
      </c>
      <c r="AM114" s="4357">
        <f t="shared" ref="AM114:AM119" ca="1" si="252">IFERROR(IF((time+time_cap)&lt;AM$2, 0,IF(AND(time+1&gt;=AN$2, $AC114&lt;AN$2), IF($AG114= "I", $AH114/($AD114-$AC114+1), $AH114/(($AD114*($AD114+1)/2)-(($AC114-1)*($AC114-1+1)/2))*AM$2), 0)+IF(IF(time+1&gt;=AN$2, $AI114/time_cap/(time+1)*AM$2, 0) = 0, $AI114/(time_cap),0)),0)</f>
        <v>0</v>
      </c>
      <c r="AN114" s="4357">
        <f t="shared" ref="AN114:AN119" ca="1" si="253">IFERROR(IF((time+time_cap)&lt;AN$2, 0,IF(AND(time+1&gt;=AO$2, $AC114&lt;AO$2), IF($AG114= "I", $AH114/($AD114-$AC114+1), $AH114/(($AD114*($AD114+1)/2)-(($AC114-1)*($AC114-1+1)/2))*AN$2), 0)+IF(IF(time+1&gt;=AO$2, $AI114/time_cap/(time+1)*AN$2, 0) = 0, $AI114/(time_cap),0)),0)</f>
        <v>0</v>
      </c>
      <c r="AO114" s="4357">
        <f t="shared" ref="AO114:AO119" ca="1" si="254">IFERROR(IF((time+time_cap)&lt;AO$2, 0,IF(AND(time+1&gt;=AP$2, $AC114&lt;AP$2), IF($AG114= "I", $AH114/($AD114-$AC114+1), $AH114/(($AD114*($AD114+1)/2)-(($AC114-1)*($AC114-1+1)/2))*AO$2), 0)+IF(IF(time+1&gt;=AP$2, $AI114/time_cap/(time+1)*AO$2, 0) = 0, $AI114/(time_cap),0)),0)</f>
        <v>0</v>
      </c>
      <c r="AP114" s="4357">
        <f t="shared" ref="AP114:AP119" ca="1" si="255">IFERROR(IF((time+time_cap)&lt;AP$2, 0,IF(AND(time+1&gt;=AQ$2, $AC114&lt;AQ$2), IF($AG114= "I", $AH114/($AD114-$AC114+1), $AH114/(($AD114*($AD114+1)/2)-(($AC114-1)*($AC114-1+1)/2))*AP$2), 0)+IF(IF(time+1&gt;=AQ$2, $AI114/time_cap/(time+1)*AP$2, 0) = 0, $AI114/(time_cap),0)),0)</f>
        <v>0</v>
      </c>
      <c r="AQ114" s="4357">
        <f t="shared" ref="AQ114:AQ119" ca="1" si="256">IFERROR(IF((time+time_cap)&lt;AQ$2, 0,IF(AND(time+1&gt;=AR$2, $AC114&lt;AR$2), IF($AG114= "I", $AH114/($AD114-$AC114+1), $AH114/(($AD114*($AD114+1)/2)-(($AC114-1)*($AC114-1+1)/2))*AQ$2), 0)+IF(IF(time+1&gt;=AR$2, $AI114/time_cap/(time+1)*AQ$2, 0) = 0, $AI114/(time_cap),0)),0)</f>
        <v>0</v>
      </c>
      <c r="AR114" s="4357">
        <f t="shared" ref="AR114:AR119" ca="1" si="257">IFERROR(IF((time+time_cap)&lt;AR$2, 0,IF(AND(time+1&gt;=AS$2, $AC114&lt;AS$2), IF($AG114= "I", $AH114/($AD114-$AC114+1), $AH114/(($AD114*($AD114+1)/2)-(($AC114-1)*($AC114-1+1)/2))*AR$2), 0)+IF(IF(time+1&gt;=AS$2, $AI114/time_cap/(time+1)*AR$2, 0) = 0, $AI114/(time_cap),0)),0)</f>
        <v>0</v>
      </c>
      <c r="AS114" s="4357">
        <f t="shared" ref="AS114:AS119" ca="1" si="258">IFERROR(IF((time+time_cap)&lt;AS$2, 0,IF(AND(time+1&gt;=AT$2, $AC114&lt;AT$2), IF($AG114= "I", $AH114/($AD114-$AC114+1), $AH114/(($AD114*($AD114+1)/2)-(($AC114-1)*($AC114-1+1)/2))*AS$2), 0)+IF(IF(time+1&gt;=AT$2, $AI114/time_cap/(time+1)*AS$2, 0) = 0, $AI114/(time_cap),0)),0)</f>
        <v>0</v>
      </c>
      <c r="AT114" s="4357">
        <f t="shared" ref="AT114:AT119" ca="1" si="259">IFERROR(IF((time+time_cap)&lt;AT$2, 0,IF(AND(time+1&gt;=AU$2, $AC114&lt;AU$2), IF($AG114= "I", $AH114/($AD114-$AC114+1), $AH114/(($AD114*($AD114+1)/2)-(($AC114-1)*($AC114-1+1)/2))*AT$2), 0)+IF(IF(time+1&gt;=AU$2, $AI114/time_cap/(time+1)*AT$2, 0) = 0, $AI114/(time_cap),0)),0)</f>
        <v>0</v>
      </c>
      <c r="AU114" s="4357">
        <f t="shared" ref="AU114:AU119" ca="1" si="260">IFERROR(IF((time+time_cap)&lt;AU$2, 0,IF(AND(time+1&gt;=AV$2, $AC114&lt;AV$2), IF($AG114= "I", $AH114/($AD114-$AC114+1), $AH114/(($AD114*($AD114+1)/2)-(($AC114-1)*($AC114-1+1)/2))*AU$2), 0)+IF(IF(time+1&gt;=AV$2, $AI114/time_cap/(time+1)*AU$2, 0) = 0, $AI114/(time_cap),0)),0)</f>
        <v>0</v>
      </c>
      <c r="AV114" s="4357">
        <f t="shared" ref="AV114:AV119" ca="1" si="261">IFERROR(IF((time+time_cap)&lt;AV$2, 0,IF(AND(time+1&gt;=AW$2, $AC114&lt;AW$2), IF($AG114= "I", $AH114/($AD114-$AC114+1), $AH114/(($AD114*($AD114+1)/2)-(($AC114-1)*($AC114-1+1)/2))*AV$2), 0)+IF(IF(time+1&gt;=AW$2, $AI114/time_cap/(time+1)*AV$2, 0) = 0, $AI114/(time_cap),0)),0)</f>
        <v>0</v>
      </c>
      <c r="AW114" s="4357">
        <f t="shared" ref="AW114:AW119" ca="1" si="262">IFERROR(IF((time+time_cap)&lt;AW$2, 0,IF(AND(time+1&gt;=AX$2, $AC114&lt;AX$2), IF($AG114= "I", $AH114/($AD114-$AC114+1), $AH114/(($AD114*($AD114+1)/2)-(($AC114-1)*($AC114-1+1)/2))*AW$2), 0)+IF(IF(time+1&gt;=AX$2, $AI114/time_cap/(time+1)*AW$2, 0) = 0, $AI114/(time_cap),0)),0)</f>
        <v>0</v>
      </c>
      <c r="AX114" s="4357">
        <f t="shared" ref="AX114:AX119" ca="1" si="263">IFERROR(IF((time+time_cap)&lt;AX$2, 0,IF(AND(time+1&gt;=AY$2, $AC114&lt;AY$2), IF($AG114= "I", $AH114/($AD114-$AC114+1), $AH114/(($AD114*($AD114+1)/2)-(($AC114-1)*($AC114-1+1)/2))*AX$2), 0)+IF(IF(time+1&gt;=AY$2, $AI114/time_cap/(time+1)*AX$2, 0) = 0, $AI114/(time_cap),0)),0)</f>
        <v>0</v>
      </c>
      <c r="AY114" s="4357">
        <f t="shared" ref="AY114:AY119" ca="1" si="264">IFERROR(IF((time+time_cap)&lt;AY$2, 0,IF(AND(time+1&gt;=AZ$2, $AC114&lt;AZ$2), IF($AG114= "I", $AH114/($AD114-$AC114+1), $AH114/(($AD114*($AD114+1)/2)-(($AC114-1)*($AC114-1+1)/2))*AY$2), 0)+IF(IF(time+1&gt;=AZ$2, $AI114/time_cap/(time+1)*AY$2, 0) = 0, $AI114/(time_cap),0)),0)</f>
        <v>0</v>
      </c>
      <c r="AZ114" s="4357">
        <f t="shared" ref="AZ114:AZ119" si="265">IFERROR(IF((time+time_cap)&lt;AZ$2, 0,IF(AND(time+1&gt;=BA$2, $AC114&lt;BA$2), IF($AG114= "I", $AH114/($AD114-$AC114+1), $AH114/(($AD114*($AD114+1)/2)-(($AC114-1)*($AC114-1+1)/2))*AZ$2), 0)+IF(IF(time+1&gt;=BA$2, $AI114/time_cap/(time+1)*AZ$2, 0) = 0, $AI114/(time_cap),0)),0)</f>
        <v>0</v>
      </c>
      <c r="BA114" s="4357">
        <f t="shared" ref="BA114:BA119" si="266">IFERROR(IF((time+time_cap)&lt;BA$2, 0,IF(AND(time+1&gt;=BB$2, $AC114&lt;BB$2), IF($AG114= "I", $AH114/($AD114-$AC114+1), $AH114/(($AD114*($AD114+1)/2)-(($AC114-1)*($AC114-1+1)/2))*BA$2), 0)+IF(IF(time+1&gt;=BB$2, $AI114/time_cap/(time+1)*BA$2, 0) = 0, $AI114/(time_cap),0)),0)</f>
        <v>0</v>
      </c>
      <c r="BB114" s="4357">
        <f t="shared" ref="BB114:BB119" si="267">IFERROR(IF((time+time_cap)&lt;BB$2, 0,IF(AND(time+1&gt;=BC$2, $AC114&lt;BC$2), IF($AG114= "I", $AH114/($AD114-$AC114+1), $AH114/(($AD114*($AD114+1)/2)-(($AC114-1)*($AC114-1+1)/2))*BB$2), 0)+IF(IF(time+1&gt;=BC$2, $AI114/time_cap/(time+1)*BB$2, 0) = 0, $AI114/(time_cap),0)),0)</f>
        <v>0</v>
      </c>
      <c r="BC114" s="4357">
        <f t="shared" ref="BC114:BC119" si="268">IFERROR(IF((time+time_cap)&lt;BC$2, 0,IF(AND(time+1&gt;=BD$2, $AC114&lt;BD$2), IF($AG114= "I", $AH114/($AD114-$AC114+1), $AH114/(($AD114*($AD114+1)/2)-(($AC114-1)*($AC114-1+1)/2))*BC$2), 0)+IF(IF(time+1&gt;=BD$2, $AI114/time_cap/(time+1)*BC$2, 0) = 0, $AI114/(time_cap),0)),0)</f>
        <v>0</v>
      </c>
      <c r="BD114" s="4357">
        <f t="shared" ref="BD114:BD119" si="269">IFERROR(IF((time+time_cap)&lt;BD$2, 0,IF(AND(time+1&gt;=BE$2, $AC114&lt;BE$2), IF($AG114= "I", $AH114/($AD114-$AC114+1), $AH114/(($AD114*($AD114+1)/2)-(($AC114-1)*($AC114-1+1)/2))*BD$2), 0)+IF(IF(time+1&gt;=BE$2, $AI114/time_cap/(time+1)*BD$2, 0) = 0, $AI114/(time_cap),0)),0)</f>
        <v>0</v>
      </c>
      <c r="BE114" s="4357">
        <f t="shared" ref="BE114:BE119" si="270">IFERROR(IF((time+time_cap)&lt;BE$2, 0,IF(AND(time+1&gt;=BF$2, $AC114&lt;BF$2), IF($AG114= "I", $AH114/($AD114-$AC114+1), $AH114/(($AD114*($AD114+1)/2)-(($AC114-1)*($AC114-1+1)/2))*BE$2), 0)+IF(IF(time+1&gt;=BF$2, $AI114/time_cap/(time+1)*BE$2, 0) = 0, $AI114/(time_cap),0)),0)</f>
        <v>0</v>
      </c>
      <c r="BF114" s="4357">
        <f t="shared" ref="BF114:BF119" si="271">IFERROR(IF((time+time_cap)&lt;BF$2, 0,IF(AND(time+1&gt;=BG$2, $AC114&lt;BG$2), IF($AG114= "I", $AH114/($AD114-$AC114+1), $AH114/(($AD114*($AD114+1)/2)-(($AC114-1)*($AC114-1+1)/2))*BF$2), 0)+IF(IF(time+1&gt;=BG$2, $AI114/time_cap/(time+1)*BF$2, 0) = 0, $AI114/(time_cap),0)),0)</f>
        <v>0</v>
      </c>
      <c r="BG114" s="4357">
        <f t="shared" ref="BG114:BG119" si="272">IFERROR(IF((time+time_cap)&lt;BG$2, 0,IF(AND(time+1&gt;=BH$2, $AC114&lt;BH$2), IF($AG114= "I", $AH114/($AD114-$AC114+1), $AH114/(($AD114*($AD114+1)/2)-(($AC114-1)*($AC114-1+1)/2))*BG$2), 0)+IF(IF(time+1&gt;=BH$2, $AI114/time_cap/(time+1)*BG$2, 0) = 0, $AI114/(time_cap),0)),0)</f>
        <v>0</v>
      </c>
      <c r="BH114" s="4357">
        <f t="shared" ref="BH114:BH119" si="273">IFERROR(IF((time+time_cap)&lt;BH$2, 0,IF(AND(time+1&gt;=BI$2, $AC114&lt;BI$2), IF($AG114= "I", $AH114/($AD114-$AC114+1), $AH114/(($AD114*($AD114+1)/2)-(($AC114-1)*($AC114-1+1)/2))*BH$2), 0)+IF(IF(time+1&gt;=BI$2, $AI114/time_cap/(time+1)*BH$2, 0) = 0, $AI114/(time_cap),0)),0)</f>
        <v>0</v>
      </c>
      <c r="BI114" s="4357">
        <f t="shared" ref="BI114:BI119" si="274">IFERROR(IF((time+time_cap)&lt;BI$2, 0,IF(AND(time+1&gt;=BJ$2, $AC114&lt;BJ$2), IF($AG114= "I", $AH114/($AD114-$AC114+1), $AH114/(($AD114*($AD114+1)/2)-(($AC114-1)*($AC114-1+1)/2))*BI$2), 0)+IF(IF(time+1&gt;=BJ$2, $AI114/time_cap/(time+1)*BI$2, 0) = 0, $AI114/(time_cap),0)),0)</f>
        <v>0</v>
      </c>
      <c r="BJ114" s="4357">
        <f t="shared" ref="BJ114:BJ119" si="275">IFERROR(IF((time+time_cap)&lt;BJ$2, 0,IF(AND(time+1&gt;=BK$2, $AC114&lt;BK$2), IF($AG114= "I", $AH114/($AD114-$AC114+1), $AH114/(($AD114*($AD114+1)/2)-(($AC114-1)*($AC114-1+1)/2))*BJ$2), 0)+IF(IF(time+1&gt;=BK$2, $AI114/time_cap/(time+1)*BJ$2, 0) = 0, $AI114/(time_cap),0)),0)</f>
        <v>0</v>
      </c>
      <c r="BK114" s="4357">
        <f t="shared" ref="BK114:BK119" si="276">IFERROR(IF((time+time_cap)&lt;BK$2, 0,IF(AND(time+1&gt;=BL$2, $AC114&lt;BL$2), IF($AG114= "I", $AH114/($AD114-$AC114+1), $AH114/(($AD114*($AD114+1)/2)-(($AC114-1)*($AC114-1+1)/2))*BK$2), 0)+IF(IF(time+1&gt;=BL$2, $AI114/time_cap/(time+1)*BK$2, 0) = 0, $AI114/(time_cap),0)),0)</f>
        <v>0</v>
      </c>
      <c r="BL114" s="4357">
        <f t="shared" ref="BL114:BL119" si="277">IFERROR(IF((time+time_cap)&lt;BL$2, 0,IF(AND(time+1&gt;=BM$2, $AC114&lt;BM$2), IF($AG114= "I", $AH114/($AD114-$AC114+1), $AH114/(($AD114*($AD114+1)/2)-(($AC114-1)*($AC114-1+1)/2))*BL$2), 0)+IF(IF(time+1&gt;=BM$2, $AI114/time_cap/(time+1)*BL$2, 0) = 0, $AI114/(time_cap),0)),0)</f>
        <v>0</v>
      </c>
      <c r="BM114" s="4357">
        <f t="shared" ref="BM114:BM119" si="278">IFERROR(IF((time+time_cap)&lt;BM$2, 0,IF(AND(time+1&gt;=BN$2, $AC114&lt;BN$2), IF($AG114= "I", $AH114/($AD114-$AC114+1), $AH114/(($AD114*($AD114+1)/2)-(($AC114-1)*($AC114-1+1)/2))*BM$2), 0)+IF(IF(time+1&gt;=BN$2, $AI114/time_cap/(time+1)*BM$2, 0) = 0, $AI114/(time_cap),0)),0)</f>
        <v>0</v>
      </c>
      <c r="BN114" s="4357">
        <f t="shared" ref="BN114:BN119" si="279">IFERROR(IF((time+time_cap)&lt;BN$2, 0,IF(AND(time+1&gt;=BO$2, $AC114&lt;BO$2), IF($AG114= "I", $AH114/($AD114-$AC114+1), $AH114/(($AD114*($AD114+1)/2)-(($AC114-1)*($AC114-1+1)/2))*BN$2), 0)+IF(IF(time+1&gt;=BO$2, $AI114/time_cap/(time+1)*BN$2, 0) = 0, $AI114/(time_cap),0)),0)</f>
        <v>0</v>
      </c>
      <c r="BO114" s="4357">
        <f t="shared" ref="BO114:BO119" si="280">IFERROR(IF((time+time_cap)&lt;BO$2, 0,IF(AND(time+1&gt;=BP$2, $AC114&lt;BP$2), IF($AG114= "I", $AH114/($AD114-$AC114+1), $AH114/(($AD114*($AD114+1)/2)-(($AC114-1)*($AC114-1+1)/2))*BO$2), 0)+IF(IF(time+1&gt;=BP$2, $AI114/time_cap/(time+1)*BO$2, 0) = 0, $AI114/(time_cap),0)),0)</f>
        <v>0</v>
      </c>
      <c r="BP114" s="4357">
        <f t="shared" ref="BP114:BP119" si="281">IFERROR(IF((time+time_cap)&lt;BP$2, 0,IF(AND(time+1&gt;=BQ$2, $AC114&lt;BQ$2), IF($AG114= "I", $AH114/($AD114-$AC114+1), $AH114/(($AD114*($AD114+1)/2)-(($AC114-1)*($AC114-1+1)/2))*BP$2), 0)+IF(IF(time+1&gt;=BQ$2, $AI114/time_cap/(time+1)*BP$2, 0) = 0, $AI114/(time_cap),0)),0)</f>
        <v>0</v>
      </c>
      <c r="BQ114" s="4357">
        <f t="shared" ref="BQ114:BQ119" si="282">IFERROR(IF((time+time_cap)&lt;BQ$2, 0,IF(AND(time+1&gt;=BR$2, $AC114&lt;BR$2), IF($AG114= "I", $AH114/($AD114-$AC114+1), $AH114/(($AD114*($AD114+1)/2)-(($AC114-1)*($AC114-1+1)/2))*BQ$2), 0)+IF(IF(time+1&gt;=BR$2, $AI114/time_cap/(time+1)*BQ$2, 0) = 0, $AI114/(time_cap),0)),0)</f>
        <v>0</v>
      </c>
      <c r="BR114" s="4357">
        <f t="shared" ref="BR114:BR119" si="283">IFERROR(IF((time+time_cap)&lt;BR$2, 0,IF(AND(time+1&gt;=BS$2, $AC114&lt;BS$2), IF($AG114= "I", $AH114/($AD114-$AC114+1), $AH114/(($AD114*($AD114+1)/2)-(($AC114-1)*($AC114-1+1)/2))*BR$2), 0)+IF(IF(time+1&gt;=BS$2, $AI114/time_cap/(time+1)*BR$2, 0) = 0, $AI114/(time_cap),0)),0)</f>
        <v>0</v>
      </c>
      <c r="BS114" s="4357">
        <f t="shared" ref="BS114:BS119" si="284">IFERROR(IF((time+time_cap)&lt;BS$2, 0,IF(AND(time+1&gt;=BT$2, $AC114&lt;BT$2), IF($AG114= "I", $AH114/($AD114-$AC114+1), $AH114/(($AD114*($AD114+1)/2)-(($AC114-1)*($AC114-1+1)/2))*BS$2), 0)+IF(IF(time+1&gt;=BT$2, $AI114/time_cap/(time+1)*BS$2, 0) = 0, $AI114/(time_cap),0)),0)</f>
        <v>0</v>
      </c>
      <c r="BT114" s="4357">
        <f t="shared" ref="BT114:BT119" si="285">IFERROR(IF((time+time_cap)&lt;BT$2, 0,IF(AND(time+1&gt;=BU$2, $AC114&lt;BU$2), IF($AG114= "I", $AH114/($AD114-$AC114+1), $AH114/(($AD114*($AD114+1)/2)-(($AC114-1)*($AC114-1+1)/2))*BT$2), 0)+IF(IF(time+1&gt;=BU$2, $AI114/time_cap/(time+1)*BT$2, 0) = 0, $AI114/(time_cap),0)),0)</f>
        <v>0</v>
      </c>
      <c r="BU114" s="4357">
        <f t="shared" ref="BU114:BU119" si="286">IFERROR(IF((time+time_cap)&lt;BU$2, 0,IF(AND(time+1&gt;=BV$2, $AC114&lt;BV$2), IF($AG114= "I", $AH114/($AD114-$AC114+1), $AH114/(($AD114*($AD114+1)/2)-(($AC114-1)*($AC114-1+1)/2))*BU$2), 0)+IF(IF(time+1&gt;=BV$2, $AI114/time_cap/(time+1)*BU$2, 0) = 0, $AI114/(time_cap),0)),0)</f>
        <v>0</v>
      </c>
      <c r="BV114" s="4357">
        <f t="shared" ref="BV114:BV119" si="287">IFERROR(IF((time+time_cap)&lt;BV$2, 0,IF(AND(time+1&gt;=BW$2, $AC114&lt;BW$2), IF($AG114= "I", $AH114/($AD114-$AC114+1), $AH114/(($AD114*($AD114+1)/2)-(($AC114-1)*($AC114-1+1)/2))*BV$2), 0)+IF(IF(time+1&gt;=BW$2, $AI114/time_cap/(time+1)*BV$2, 0) = 0, $AI114/(time_cap),0)),0)</f>
        <v>0</v>
      </c>
      <c r="BW114" s="4357">
        <f t="shared" ref="BW114:BW119" si="288">IFERROR(IF((time+time_cap)&lt;BW$2, 0,IF(AND(time+1&gt;=BX$2, $AC114&lt;BX$2), IF($AG114= "I", $AH114/($AD114-$AC114+1), $AH114/(($AD114*($AD114+1)/2)-(($AC114-1)*($AC114-1+1)/2))*BW$2), 0)+IF(IF(time+1&gt;=BX$2, $AI114/time_cap/(time+1)*BW$2, 0) = 0, $AI114/(time_cap),0)),0)</f>
        <v>0</v>
      </c>
      <c r="BX114" s="4357">
        <f t="shared" ref="BX114:BX119" si="289">IFERROR(IF((time+time_cap)&lt;BX$2, 0,IF(AND(time+1&gt;=BY$2, $AC114&lt;BY$2), IF($AG114= "I", $AH114/($AD114-$AC114+1), $AH114/(($AD114*($AD114+1)/2)-(($AC114-1)*($AC114-1+1)/2))*BX$2), 0)+IF(IF(time+1&gt;=BY$2, $AI114/time_cap/(time+1)*BX$2, 0) = 0, $AI114/(time_cap),0)),0)</f>
        <v>0</v>
      </c>
      <c r="BY114" s="4357">
        <f t="shared" ref="BY114:BY119" si="290">IFERROR(IF((time+time_cap)&lt;BY$2, 0,IF(AND(time+1&gt;=BZ$2, $AC114&lt;BZ$2), IF($AG114= "I", $AH114/($AD114-$AC114+1), $AH114/(($AD114*($AD114+1)/2)-(($AC114-1)*($AC114-1+1)/2))*BY$2), 0)+IF(IF(time+1&gt;=BZ$2, $AI114/time_cap/(time+1)*BY$2, 0) = 0, $AI114/(time_cap),0)),0)</f>
        <v>0</v>
      </c>
      <c r="BZ114" s="4357">
        <f t="shared" ref="BZ114:BZ119" si="291">IFERROR(IF((time+time_cap)&lt;BZ$2, 0,IF(AND(time+1&gt;=CA$2, $AC114&lt;CA$2), IF($AG114= "I", $AH114/($AD114-$AC114+1), $AH114/(($AD114*($AD114+1)/2)-(($AC114-1)*($AC114-1+1)/2))*BZ$2), 0)+IF(IF(time+1&gt;=CA$2, $AI114/time_cap/(time+1)*BZ$2, 0) = 0, $AI114/(time_cap),0)),0)</f>
        <v>0</v>
      </c>
      <c r="CA114" s="4357">
        <f t="shared" ref="CA114:CA119" si="292">IFERROR(IF((time+time_cap)&lt;CA$2, 0,IF(AND(time+1&gt;=CB$2, $AC114&lt;CB$2), IF($AG114= "I", $AH114/($AD114-$AC114+1), $AH114/(($AD114*($AD114+1)/2)-(($AC114-1)*($AC114-1+1)/2))*CA$2), 0)+IF(IF(time+1&gt;=CB$2, $AI114/time_cap/(time+1)*CA$2, 0) = 0, $AI114/(time_cap),0)),0)</f>
        <v>0</v>
      </c>
      <c r="CB114" s="4357">
        <f t="shared" ref="CB114:CB119" si="293">IFERROR(IF((time+time_cap)&lt;CB$2, 0,IF(AND(time+1&gt;=CC$2, $AC114&lt;CC$2), IF($AG114= "I", $AH114/($AD114-$AC114+1), $AH114/(($AD114*($AD114+1)/2)-(($AC114-1)*($AC114-1+1)/2))*CB$2), 0)+IF(IF(time+1&gt;=CC$2, $AI114/time_cap/(time+1)*CB$2, 0) = 0, $AI114/(time_cap),0)),0)</f>
        <v>0</v>
      </c>
      <c r="CC114" s="4357">
        <f t="shared" ref="CC114:CC119" si="294">IFERROR(IF((time+time_cap)&lt;CC$2, 0,IF(AND(time+1&gt;=CD$2, $AC114&lt;CD$2), IF($AG114= "I", $AH114/($AD114-$AC114+1), $AH114/(($AD114*($AD114+1)/2)-(($AC114-1)*($AC114-1+1)/2))*CC$2), 0)+IF(IF(time+1&gt;=CD$2, $AI114/time_cap/(time+1)*CC$2, 0) = 0, $AI114/(time_cap),0)),0)</f>
        <v>0</v>
      </c>
      <c r="CD114" s="4357">
        <f t="shared" ref="CD114:CD119" si="295">IFERROR(IF((time+time_cap)&lt;CD$2, 0,IF(AND(time+1&gt;=CE$2, $AC114&lt;CE$2), IF($AG114= "I", $AH114/($AD114-$AC114+1), $AH114/(($AD114*($AD114+1)/2)-(($AC114-1)*($AC114-1+1)/2))*CD$2), 0)+IF(IF(time+1&gt;=CE$2, $AI114/time_cap/(time+1)*CD$2, 0) = 0, $AI114/(time_cap),0)),0)</f>
        <v>0</v>
      </c>
      <c r="CE114" s="4357">
        <f t="shared" ref="CE114:CE119" si="296">IFERROR(IF((time+time_cap)&lt;CE$2, 0,IF(AND(time+1&gt;=CF$2, $AC114&lt;CF$2), IF($AG114= "I", $AH114/($AD114-$AC114+1), $AH114/(($AD114*($AD114+1)/2)-(($AC114-1)*($AC114-1+1)/2))*CE$2), 0)+IF(IF(time+1&gt;=CF$2, $AI114/time_cap/(time+1)*CE$2, 0) = 0, $AI114/(time_cap),0)),0)</f>
        <v>0</v>
      </c>
      <c r="CF114" s="4357">
        <f t="shared" ref="CF114:CF119" si="297">IFERROR(IF((time+time_cap)&lt;CF$2, 0,IF(AND(time+1&gt;=CG$2, $AC114&lt;CG$2), IF($AG114= "I", $AH114/($AD114-$AC114+1), $AH114/(($AD114*($AD114+1)/2)-(($AC114-1)*($AC114-1+1)/2))*CF$2), 0)+IF(IF(time+1&gt;=CG$2, $AI114/time_cap/(time+1)*CF$2, 0) = 0, $AI114/(time_cap),0)),0)</f>
        <v>0</v>
      </c>
      <c r="CG114" s="4357">
        <f t="shared" ref="CG114:CG119" si="298">IFERROR(IF((time+time_cap)&lt;CG$2, 0,IF(AND(time+1&gt;=CH$2, $AC114&lt;CH$2), IF($AG114= "I", $AH114/($AD114-$AC114+1), $AH114/(($AD114*($AD114+1)/2)-(($AC114-1)*($AC114-1+1)/2))*CG$2), 0)+IF(IF(time+1&gt;=CH$2, $AI114/time_cap/(time+1)*CG$2, 0) = 0, $AI114/(time_cap),0)),0)</f>
        <v>0</v>
      </c>
      <c r="CH114" s="4357">
        <f t="shared" ref="CH114:CH119" si="299">IFERROR(IF((time+time_cap)&lt;CH$2, 0,IF(AND(time+1&gt;=CI$2, $AC114&lt;CI$2), IF($AG114= "I", $AH114/($AD114-$AC114+1), $AH114/(($AD114*($AD114+1)/2)-(($AC114-1)*($AC114-1+1)/2))*CH$2), 0)+IF(IF(time+1&gt;=CI$2, $AI114/time_cap/(time+1)*CH$2, 0) = 0, $AI114/(time_cap),0)),0)</f>
        <v>0</v>
      </c>
      <c r="CI114" s="4357"/>
      <c r="CJ114" s="4357"/>
      <c r="CK114" s="4357"/>
      <c r="CL114" s="4357"/>
      <c r="CM114" s="4357"/>
      <c r="CN114" s="4357"/>
      <c r="CO114" s="4357"/>
      <c r="CP114" s="4357"/>
      <c r="CQ114" s="4357"/>
      <c r="CR114" s="4357"/>
      <c r="CS114" s="4357"/>
      <c r="CT114" s="4357"/>
      <c r="CU114" s="4357"/>
      <c r="CV114" s="4357"/>
      <c r="CW114" s="4357"/>
      <c r="CX114" s="4357"/>
      <c r="CY114" s="4357"/>
      <c r="CZ114" s="4357"/>
      <c r="DA114" s="4357"/>
      <c r="DB114" s="4357"/>
      <c r="DC114" s="4357"/>
      <c r="DD114" s="4357"/>
      <c r="DE114" s="4357"/>
      <c r="DF114" s="4357"/>
      <c r="DG114" s="4357"/>
      <c r="DH114" s="4357"/>
      <c r="DI114" s="4357"/>
      <c r="DJ114" s="4357"/>
      <c r="DK114" s="4357"/>
      <c r="DL114" s="4357"/>
      <c r="DM114" s="4357"/>
      <c r="DN114" s="4357"/>
      <c r="DO114" s="4357"/>
      <c r="DP114" s="4357"/>
      <c r="DQ114" s="4357"/>
      <c r="DR114" s="4357"/>
      <c r="DS114" s="4357"/>
      <c r="DT114" s="4357"/>
      <c r="DU114" s="4357"/>
      <c r="DV114" s="4357"/>
      <c r="DW114" s="4357"/>
      <c r="DX114" s="4357"/>
      <c r="DY114" s="4357"/>
      <c r="DZ114" s="4357"/>
      <c r="EA114" s="4357"/>
      <c r="EB114" s="4357"/>
      <c r="EC114" s="4357"/>
      <c r="ED114" s="4357"/>
      <c r="EE114" s="4357"/>
      <c r="EF114" s="4357"/>
    </row>
    <row r="115" spans="1:136" ht="16" x14ac:dyDescent="0.2">
      <c r="A115" t="s">
        <v>2958</v>
      </c>
      <c r="B115" t="s">
        <v>2958</v>
      </c>
      <c r="C115">
        <f>'4.Grassland'!E68</f>
        <v>0</v>
      </c>
      <c r="D115" t="str">
        <f>'4.Grassland'!I68</f>
        <v>Please select</v>
      </c>
      <c r="E115">
        <f ca="1">'4.Grassland'!AG68</f>
        <v>0</v>
      </c>
      <c r="F115" s="388">
        <v>0</v>
      </c>
      <c r="G115" s="388">
        <v>0</v>
      </c>
      <c r="M115" s="388">
        <v>0</v>
      </c>
      <c r="N115" s="388">
        <v>0</v>
      </c>
      <c r="O115">
        <f ca="1">Livestock!AA102-Livestock!Z102</f>
        <v>0</v>
      </c>
      <c r="P115">
        <f ca="1">Livestock!AA130-Livestock!Z130</f>
        <v>0</v>
      </c>
      <c r="Q115">
        <f ca="1">Livestock!AA156-Livestock!Z156</f>
        <v>0</v>
      </c>
      <c r="U115" s="388">
        <v>0</v>
      </c>
      <c r="V115">
        <v>0</v>
      </c>
      <c r="W115">
        <f>Livestock!AA20-Livestock!Z20</f>
        <v>0</v>
      </c>
      <c r="X115">
        <f ca="1">Livestock!AA74-Livestock!Z74</f>
        <v>0</v>
      </c>
      <c r="AB115" t="str">
        <f t="shared" ca="1" si="171"/>
        <v>ok</v>
      </c>
      <c r="AC115">
        <f>IF('4.Grassland'!CG68&lt;&gt;0,'4.Grassland'!CG68, '4.Grassland'!CF68)</f>
        <v>1</v>
      </c>
      <c r="AD115">
        <f t="shared" si="190"/>
        <v>5</v>
      </c>
      <c r="AE115" s="4357" t="str">
        <f>'4.Grassland'!Y68</f>
        <v>D</v>
      </c>
      <c r="AF115" s="4357" t="str">
        <f>'4.Grassland'!AA68</f>
        <v>D</v>
      </c>
      <c r="AG115" s="4357" t="str">
        <f t="shared" si="193"/>
        <v>D</v>
      </c>
      <c r="AH115" s="4357">
        <f ca="1">((E115/(time_cap+((AD115-AC115+1)*VLOOKUP(AG115,list!$I$48:$K$50,3, FALSE))))*(AD115-AC115+1)*VLOOKUP(AG115,list!$I$48:$K$50,3, FALSE))</f>
        <v>0</v>
      </c>
      <c r="AI115" s="4357">
        <f ca="1">((E115/(time_cap+((AD115-AC115+1)*VLOOKUP(AG115,list!$I$48:$K$50,3, FALSE))))*time_cap)</f>
        <v>0</v>
      </c>
      <c r="AK115" s="4357">
        <f t="shared" ca="1" si="250"/>
        <v>0</v>
      </c>
      <c r="AL115" s="4357">
        <f t="shared" ca="1" si="251"/>
        <v>0</v>
      </c>
      <c r="AM115" s="4357">
        <f t="shared" ca="1" si="252"/>
        <v>0</v>
      </c>
      <c r="AN115" s="4357">
        <f t="shared" ca="1" si="253"/>
        <v>0</v>
      </c>
      <c r="AO115" s="4357">
        <f t="shared" ca="1" si="254"/>
        <v>0</v>
      </c>
      <c r="AP115" s="4357">
        <f t="shared" ca="1" si="255"/>
        <v>0</v>
      </c>
      <c r="AQ115" s="4357">
        <f t="shared" ca="1" si="256"/>
        <v>0</v>
      </c>
      <c r="AR115" s="4357">
        <f t="shared" ca="1" si="257"/>
        <v>0</v>
      </c>
      <c r="AS115" s="4357">
        <f t="shared" ca="1" si="258"/>
        <v>0</v>
      </c>
      <c r="AT115" s="4357">
        <f t="shared" ca="1" si="259"/>
        <v>0</v>
      </c>
      <c r="AU115" s="4357">
        <f t="shared" ca="1" si="260"/>
        <v>0</v>
      </c>
      <c r="AV115" s="4357">
        <f t="shared" ca="1" si="261"/>
        <v>0</v>
      </c>
      <c r="AW115" s="4357">
        <f t="shared" ca="1" si="262"/>
        <v>0</v>
      </c>
      <c r="AX115" s="4357">
        <f t="shared" ca="1" si="263"/>
        <v>0</v>
      </c>
      <c r="AY115" s="4357">
        <f t="shared" ca="1" si="264"/>
        <v>0</v>
      </c>
      <c r="AZ115" s="4357">
        <f t="shared" si="265"/>
        <v>0</v>
      </c>
      <c r="BA115" s="4357">
        <f t="shared" si="266"/>
        <v>0</v>
      </c>
      <c r="BB115" s="4357">
        <f t="shared" si="267"/>
        <v>0</v>
      </c>
      <c r="BC115" s="4357">
        <f t="shared" si="268"/>
        <v>0</v>
      </c>
      <c r="BD115" s="4357">
        <f t="shared" si="269"/>
        <v>0</v>
      </c>
      <c r="BE115" s="4357">
        <f t="shared" si="270"/>
        <v>0</v>
      </c>
      <c r="BF115" s="4357">
        <f t="shared" si="271"/>
        <v>0</v>
      </c>
      <c r="BG115" s="4357">
        <f t="shared" si="272"/>
        <v>0</v>
      </c>
      <c r="BH115" s="4357">
        <f t="shared" si="273"/>
        <v>0</v>
      </c>
      <c r="BI115" s="4357">
        <f t="shared" si="274"/>
        <v>0</v>
      </c>
      <c r="BJ115" s="4357">
        <f t="shared" si="275"/>
        <v>0</v>
      </c>
      <c r="BK115" s="4357">
        <f t="shared" si="276"/>
        <v>0</v>
      </c>
      <c r="BL115" s="4357">
        <f t="shared" si="277"/>
        <v>0</v>
      </c>
      <c r="BM115" s="4357">
        <f t="shared" si="278"/>
        <v>0</v>
      </c>
      <c r="BN115" s="4357">
        <f t="shared" si="279"/>
        <v>0</v>
      </c>
      <c r="BO115" s="4357">
        <f t="shared" si="280"/>
        <v>0</v>
      </c>
      <c r="BP115" s="4357">
        <f t="shared" si="281"/>
        <v>0</v>
      </c>
      <c r="BQ115" s="4357">
        <f t="shared" si="282"/>
        <v>0</v>
      </c>
      <c r="BR115" s="4357">
        <f t="shared" si="283"/>
        <v>0</v>
      </c>
      <c r="BS115" s="4357">
        <f t="shared" si="284"/>
        <v>0</v>
      </c>
      <c r="BT115" s="4357">
        <f t="shared" si="285"/>
        <v>0</v>
      </c>
      <c r="BU115" s="4357">
        <f t="shared" si="286"/>
        <v>0</v>
      </c>
      <c r="BV115" s="4357">
        <f t="shared" si="287"/>
        <v>0</v>
      </c>
      <c r="BW115" s="4357">
        <f t="shared" si="288"/>
        <v>0</v>
      </c>
      <c r="BX115" s="4357">
        <f t="shared" si="289"/>
        <v>0</v>
      </c>
      <c r="BY115" s="4357">
        <f t="shared" si="290"/>
        <v>0</v>
      </c>
      <c r="BZ115" s="4357">
        <f t="shared" si="291"/>
        <v>0</v>
      </c>
      <c r="CA115" s="4357">
        <f t="shared" si="292"/>
        <v>0</v>
      </c>
      <c r="CB115" s="4357">
        <f t="shared" si="293"/>
        <v>0</v>
      </c>
      <c r="CC115" s="4357">
        <f t="shared" si="294"/>
        <v>0</v>
      </c>
      <c r="CD115" s="4357">
        <f t="shared" si="295"/>
        <v>0</v>
      </c>
      <c r="CE115" s="4357">
        <f t="shared" si="296"/>
        <v>0</v>
      </c>
      <c r="CF115" s="4357">
        <f t="shared" si="297"/>
        <v>0</v>
      </c>
      <c r="CG115" s="4357">
        <f t="shared" si="298"/>
        <v>0</v>
      </c>
      <c r="CH115" s="4357">
        <f t="shared" si="299"/>
        <v>0</v>
      </c>
      <c r="CI115" s="4357"/>
      <c r="CJ115" s="4357"/>
      <c r="CK115" s="4357"/>
      <c r="CL115" s="4357"/>
      <c r="CM115" s="4357"/>
      <c r="CN115" s="4357"/>
      <c r="CO115" s="4357"/>
      <c r="CP115" s="4357"/>
      <c r="CQ115" s="4357"/>
      <c r="CR115" s="4357"/>
      <c r="CS115" s="4357"/>
      <c r="CT115" s="4357"/>
      <c r="CU115" s="4357"/>
      <c r="CV115" s="4357"/>
      <c r="CW115" s="4357"/>
      <c r="CX115" s="4357"/>
      <c r="CY115" s="4357"/>
      <c r="CZ115" s="4357"/>
      <c r="DA115" s="4357"/>
      <c r="DB115" s="4357"/>
      <c r="DC115" s="4357"/>
      <c r="DD115" s="4357"/>
      <c r="DE115" s="4357"/>
      <c r="DF115" s="4357"/>
      <c r="DG115" s="4357"/>
      <c r="DH115" s="4357"/>
      <c r="DI115" s="4357"/>
      <c r="DJ115" s="4357"/>
      <c r="DK115" s="4357"/>
      <c r="DL115" s="4357"/>
      <c r="DM115" s="4357"/>
      <c r="DN115" s="4357"/>
      <c r="DO115" s="4357"/>
      <c r="DP115" s="4357"/>
      <c r="DQ115" s="4357"/>
      <c r="DR115" s="4357"/>
      <c r="DS115" s="4357"/>
      <c r="DT115" s="4357"/>
      <c r="DU115" s="4357"/>
      <c r="DV115" s="4357"/>
      <c r="DW115" s="4357"/>
      <c r="DX115" s="4357"/>
      <c r="DY115" s="4357"/>
      <c r="DZ115" s="4357"/>
      <c r="EA115" s="4357"/>
      <c r="EB115" s="4357"/>
      <c r="EC115" s="4357"/>
      <c r="ED115" s="4357"/>
      <c r="EE115" s="4357"/>
      <c r="EF115" s="4357"/>
    </row>
    <row r="116" spans="1:136" ht="16" x14ac:dyDescent="0.2">
      <c r="A116" t="s">
        <v>2958</v>
      </c>
      <c r="B116" t="s">
        <v>2958</v>
      </c>
      <c r="C116">
        <f>'4.Grassland'!E69</f>
        <v>0</v>
      </c>
      <c r="D116" t="str">
        <f>'4.Grassland'!I69</f>
        <v>Please select</v>
      </c>
      <c r="E116">
        <f ca="1">'4.Grassland'!AG69</f>
        <v>0</v>
      </c>
      <c r="F116" s="388">
        <v>0</v>
      </c>
      <c r="G116" s="388">
        <v>0</v>
      </c>
      <c r="M116" s="388">
        <v>0</v>
      </c>
      <c r="N116" s="388">
        <v>0</v>
      </c>
      <c r="O116">
        <f ca="1">Livestock!AA103-Livestock!Z103</f>
        <v>0</v>
      </c>
      <c r="P116">
        <f ca="1">Livestock!AA131-Livestock!Z131</f>
        <v>0</v>
      </c>
      <c r="Q116">
        <f ca="1">Livestock!AA157-Livestock!Z157</f>
        <v>0</v>
      </c>
      <c r="U116" s="388">
        <v>0</v>
      </c>
      <c r="V116">
        <v>0</v>
      </c>
      <c r="W116">
        <f>Livestock!AA21-Livestock!Z21</f>
        <v>0</v>
      </c>
      <c r="X116">
        <f ca="1">Livestock!AA75-Livestock!Z75</f>
        <v>0</v>
      </c>
      <c r="AB116" t="str">
        <f t="shared" ca="1" si="171"/>
        <v>ok</v>
      </c>
      <c r="AC116">
        <f>IF('4.Grassland'!CG69&lt;&gt;0,'4.Grassland'!CG69, '4.Grassland'!CF69)</f>
        <v>1</v>
      </c>
      <c r="AD116">
        <f t="shared" si="190"/>
        <v>5</v>
      </c>
      <c r="AE116" s="4357" t="str">
        <f>'4.Grassland'!Y69</f>
        <v>D</v>
      </c>
      <c r="AF116" s="4357" t="str">
        <f>'4.Grassland'!AA69</f>
        <v>D</v>
      </c>
      <c r="AG116" s="4357" t="str">
        <f t="shared" si="193"/>
        <v>D</v>
      </c>
      <c r="AH116" s="4357">
        <f ca="1">((E116/(time_cap+((AD116-AC116+1)*VLOOKUP(AG116,list!$I$48:$K$50,3, FALSE))))*(AD116-AC116+1)*VLOOKUP(AG116,list!$I$48:$K$50,3, FALSE))</f>
        <v>0</v>
      </c>
      <c r="AI116" s="4357">
        <f ca="1">((E116/(time_cap+((AD116-AC116+1)*VLOOKUP(AG116,list!$I$48:$K$50,3, FALSE))))*time_cap)</f>
        <v>0</v>
      </c>
      <c r="AK116" s="4357">
        <f t="shared" ca="1" si="250"/>
        <v>0</v>
      </c>
      <c r="AL116" s="4357">
        <f t="shared" ca="1" si="251"/>
        <v>0</v>
      </c>
      <c r="AM116" s="4357">
        <f t="shared" ca="1" si="252"/>
        <v>0</v>
      </c>
      <c r="AN116" s="4357">
        <f t="shared" ca="1" si="253"/>
        <v>0</v>
      </c>
      <c r="AO116" s="4357">
        <f t="shared" ca="1" si="254"/>
        <v>0</v>
      </c>
      <c r="AP116" s="4357">
        <f t="shared" ca="1" si="255"/>
        <v>0</v>
      </c>
      <c r="AQ116" s="4357">
        <f t="shared" ca="1" si="256"/>
        <v>0</v>
      </c>
      <c r="AR116" s="4357">
        <f t="shared" ca="1" si="257"/>
        <v>0</v>
      </c>
      <c r="AS116" s="4357">
        <f t="shared" ca="1" si="258"/>
        <v>0</v>
      </c>
      <c r="AT116" s="4357">
        <f t="shared" ca="1" si="259"/>
        <v>0</v>
      </c>
      <c r="AU116" s="4357">
        <f t="shared" ca="1" si="260"/>
        <v>0</v>
      </c>
      <c r="AV116" s="4357">
        <f t="shared" ca="1" si="261"/>
        <v>0</v>
      </c>
      <c r="AW116" s="4357">
        <f t="shared" ca="1" si="262"/>
        <v>0</v>
      </c>
      <c r="AX116" s="4357">
        <f t="shared" ca="1" si="263"/>
        <v>0</v>
      </c>
      <c r="AY116" s="4357">
        <f t="shared" ca="1" si="264"/>
        <v>0</v>
      </c>
      <c r="AZ116" s="4357">
        <f t="shared" si="265"/>
        <v>0</v>
      </c>
      <c r="BA116" s="4357">
        <f t="shared" si="266"/>
        <v>0</v>
      </c>
      <c r="BB116" s="4357">
        <f t="shared" si="267"/>
        <v>0</v>
      </c>
      <c r="BC116" s="4357">
        <f t="shared" si="268"/>
        <v>0</v>
      </c>
      <c r="BD116" s="4357">
        <f t="shared" si="269"/>
        <v>0</v>
      </c>
      <c r="BE116" s="4357">
        <f t="shared" si="270"/>
        <v>0</v>
      </c>
      <c r="BF116" s="4357">
        <f t="shared" si="271"/>
        <v>0</v>
      </c>
      <c r="BG116" s="4357">
        <f t="shared" si="272"/>
        <v>0</v>
      </c>
      <c r="BH116" s="4357">
        <f t="shared" si="273"/>
        <v>0</v>
      </c>
      <c r="BI116" s="4357">
        <f t="shared" si="274"/>
        <v>0</v>
      </c>
      <c r="BJ116" s="4357">
        <f t="shared" si="275"/>
        <v>0</v>
      </c>
      <c r="BK116" s="4357">
        <f t="shared" si="276"/>
        <v>0</v>
      </c>
      <c r="BL116" s="4357">
        <f t="shared" si="277"/>
        <v>0</v>
      </c>
      <c r="BM116" s="4357">
        <f t="shared" si="278"/>
        <v>0</v>
      </c>
      <c r="BN116" s="4357">
        <f t="shared" si="279"/>
        <v>0</v>
      </c>
      <c r="BO116" s="4357">
        <f t="shared" si="280"/>
        <v>0</v>
      </c>
      <c r="BP116" s="4357">
        <f t="shared" si="281"/>
        <v>0</v>
      </c>
      <c r="BQ116" s="4357">
        <f t="shared" si="282"/>
        <v>0</v>
      </c>
      <c r="BR116" s="4357">
        <f t="shared" si="283"/>
        <v>0</v>
      </c>
      <c r="BS116" s="4357">
        <f t="shared" si="284"/>
        <v>0</v>
      </c>
      <c r="BT116" s="4357">
        <f t="shared" si="285"/>
        <v>0</v>
      </c>
      <c r="BU116" s="4357">
        <f t="shared" si="286"/>
        <v>0</v>
      </c>
      <c r="BV116" s="4357">
        <f t="shared" si="287"/>
        <v>0</v>
      </c>
      <c r="BW116" s="4357">
        <f t="shared" si="288"/>
        <v>0</v>
      </c>
      <c r="BX116" s="4357">
        <f t="shared" si="289"/>
        <v>0</v>
      </c>
      <c r="BY116" s="4357">
        <f t="shared" si="290"/>
        <v>0</v>
      </c>
      <c r="BZ116" s="4357">
        <f t="shared" si="291"/>
        <v>0</v>
      </c>
      <c r="CA116" s="4357">
        <f t="shared" si="292"/>
        <v>0</v>
      </c>
      <c r="CB116" s="4357">
        <f t="shared" si="293"/>
        <v>0</v>
      </c>
      <c r="CC116" s="4357">
        <f t="shared" si="294"/>
        <v>0</v>
      </c>
      <c r="CD116" s="4357">
        <f t="shared" si="295"/>
        <v>0</v>
      </c>
      <c r="CE116" s="4357">
        <f t="shared" si="296"/>
        <v>0</v>
      </c>
      <c r="CF116" s="4357">
        <f t="shared" si="297"/>
        <v>0</v>
      </c>
      <c r="CG116" s="4357">
        <f t="shared" si="298"/>
        <v>0</v>
      </c>
      <c r="CH116" s="4357">
        <f t="shared" si="299"/>
        <v>0</v>
      </c>
      <c r="CI116" s="4357"/>
      <c r="CJ116" s="4357"/>
      <c r="CK116" s="4357"/>
      <c r="CL116" s="4357"/>
      <c r="CM116" s="4357"/>
      <c r="CN116" s="4357"/>
      <c r="CO116" s="4357"/>
      <c r="CP116" s="4357"/>
      <c r="CQ116" s="4357"/>
      <c r="CR116" s="4357"/>
      <c r="CS116" s="4357"/>
      <c r="CT116" s="4357"/>
      <c r="CU116" s="4357"/>
      <c r="CV116" s="4357"/>
      <c r="CW116" s="4357"/>
      <c r="CX116" s="4357"/>
      <c r="CY116" s="4357"/>
      <c r="CZ116" s="4357"/>
      <c r="DA116" s="4357"/>
      <c r="DB116" s="4357"/>
      <c r="DC116" s="4357"/>
      <c r="DD116" s="4357"/>
      <c r="DE116" s="4357"/>
      <c r="DF116" s="4357"/>
      <c r="DG116" s="4357"/>
      <c r="DH116" s="4357"/>
      <c r="DI116" s="4357"/>
      <c r="DJ116" s="4357"/>
      <c r="DK116" s="4357"/>
      <c r="DL116" s="4357"/>
      <c r="DM116" s="4357"/>
      <c r="DN116" s="4357"/>
      <c r="DO116" s="4357"/>
      <c r="DP116" s="4357"/>
      <c r="DQ116" s="4357"/>
      <c r="DR116" s="4357"/>
      <c r="DS116" s="4357"/>
      <c r="DT116" s="4357"/>
      <c r="DU116" s="4357"/>
      <c r="DV116" s="4357"/>
      <c r="DW116" s="4357"/>
      <c r="DX116" s="4357"/>
      <c r="DY116" s="4357"/>
      <c r="DZ116" s="4357"/>
      <c r="EA116" s="4357"/>
      <c r="EB116" s="4357"/>
      <c r="EC116" s="4357"/>
      <c r="ED116" s="4357"/>
      <c r="EE116" s="4357"/>
      <c r="EF116" s="4357"/>
    </row>
    <row r="117" spans="1:136" ht="16" x14ac:dyDescent="0.2">
      <c r="A117" t="s">
        <v>2958</v>
      </c>
      <c r="B117" t="s">
        <v>2958</v>
      </c>
      <c r="C117">
        <f>'4.Grassland'!E70</f>
        <v>0</v>
      </c>
      <c r="D117" t="str">
        <f>'4.Grassland'!I70</f>
        <v>Please select</v>
      </c>
      <c r="E117">
        <f ca="1">'4.Grassland'!AG70</f>
        <v>0</v>
      </c>
      <c r="F117" s="388">
        <v>0</v>
      </c>
      <c r="G117" s="388">
        <v>0</v>
      </c>
      <c r="M117" s="388">
        <v>0</v>
      </c>
      <c r="N117" s="388">
        <v>0</v>
      </c>
      <c r="O117">
        <f ca="1">Livestock!AA104-Livestock!Z104</f>
        <v>0</v>
      </c>
      <c r="P117">
        <f ca="1">Livestock!AA132-Livestock!Z132</f>
        <v>0</v>
      </c>
      <c r="Q117">
        <f ca="1">Livestock!AA158-Livestock!Z158</f>
        <v>0</v>
      </c>
      <c r="U117" s="388">
        <v>0</v>
      </c>
      <c r="V117">
        <v>0</v>
      </c>
      <c r="W117">
        <f>Livestock!AA22-Livestock!Z22</f>
        <v>0</v>
      </c>
      <c r="X117">
        <f ca="1">Livestock!AA76-Livestock!Z76</f>
        <v>0</v>
      </c>
      <c r="AB117" t="str">
        <f t="shared" ca="1" si="171"/>
        <v>ok</v>
      </c>
      <c r="AC117">
        <f>IF('4.Grassland'!CG70&lt;&gt;0,'4.Grassland'!CG70, '4.Grassland'!CF70)</f>
        <v>1</v>
      </c>
      <c r="AD117">
        <f t="shared" si="190"/>
        <v>5</v>
      </c>
      <c r="AE117" s="4357" t="str">
        <f>'4.Grassland'!Y70</f>
        <v>D</v>
      </c>
      <c r="AF117" s="4357" t="str">
        <f>'4.Grassland'!AA70</f>
        <v>D</v>
      </c>
      <c r="AG117" s="4357" t="str">
        <f t="shared" si="193"/>
        <v>D</v>
      </c>
      <c r="AH117" s="4357">
        <f ca="1">((E117/(time_cap+((AD117-AC117+1)*VLOOKUP(AG117,list!$I$48:$K$50,3, FALSE))))*(AD117-AC117+1)*VLOOKUP(AG117,list!$I$48:$K$50,3, FALSE))</f>
        <v>0</v>
      </c>
      <c r="AI117" s="4357">
        <f ca="1">((E117/(time_cap+((AD117-AC117+1)*VLOOKUP(AG117,list!$I$48:$K$50,3, FALSE))))*time_cap)</f>
        <v>0</v>
      </c>
      <c r="AK117" s="4357">
        <f t="shared" ca="1" si="250"/>
        <v>0</v>
      </c>
      <c r="AL117" s="4357">
        <f t="shared" ca="1" si="251"/>
        <v>0</v>
      </c>
      <c r="AM117" s="4357">
        <f t="shared" ca="1" si="252"/>
        <v>0</v>
      </c>
      <c r="AN117" s="4357">
        <f t="shared" ca="1" si="253"/>
        <v>0</v>
      </c>
      <c r="AO117" s="4357">
        <f t="shared" ca="1" si="254"/>
        <v>0</v>
      </c>
      <c r="AP117" s="4357">
        <f t="shared" ca="1" si="255"/>
        <v>0</v>
      </c>
      <c r="AQ117" s="4357">
        <f t="shared" ca="1" si="256"/>
        <v>0</v>
      </c>
      <c r="AR117" s="4357">
        <f t="shared" ca="1" si="257"/>
        <v>0</v>
      </c>
      <c r="AS117" s="4357">
        <f t="shared" ca="1" si="258"/>
        <v>0</v>
      </c>
      <c r="AT117" s="4357">
        <f t="shared" ca="1" si="259"/>
        <v>0</v>
      </c>
      <c r="AU117" s="4357">
        <f t="shared" ca="1" si="260"/>
        <v>0</v>
      </c>
      <c r="AV117" s="4357">
        <f t="shared" ca="1" si="261"/>
        <v>0</v>
      </c>
      <c r="AW117" s="4357">
        <f t="shared" ca="1" si="262"/>
        <v>0</v>
      </c>
      <c r="AX117" s="4357">
        <f t="shared" ca="1" si="263"/>
        <v>0</v>
      </c>
      <c r="AY117" s="4357">
        <f t="shared" ca="1" si="264"/>
        <v>0</v>
      </c>
      <c r="AZ117" s="4357">
        <f t="shared" si="265"/>
        <v>0</v>
      </c>
      <c r="BA117" s="4357">
        <f t="shared" si="266"/>
        <v>0</v>
      </c>
      <c r="BB117" s="4357">
        <f t="shared" si="267"/>
        <v>0</v>
      </c>
      <c r="BC117" s="4357">
        <f t="shared" si="268"/>
        <v>0</v>
      </c>
      <c r="BD117" s="4357">
        <f t="shared" si="269"/>
        <v>0</v>
      </c>
      <c r="BE117" s="4357">
        <f t="shared" si="270"/>
        <v>0</v>
      </c>
      <c r="BF117" s="4357">
        <f t="shared" si="271"/>
        <v>0</v>
      </c>
      <c r="BG117" s="4357">
        <f t="shared" si="272"/>
        <v>0</v>
      </c>
      <c r="BH117" s="4357">
        <f t="shared" si="273"/>
        <v>0</v>
      </c>
      <c r="BI117" s="4357">
        <f t="shared" si="274"/>
        <v>0</v>
      </c>
      <c r="BJ117" s="4357">
        <f t="shared" si="275"/>
        <v>0</v>
      </c>
      <c r="BK117" s="4357">
        <f t="shared" si="276"/>
        <v>0</v>
      </c>
      <c r="BL117" s="4357">
        <f t="shared" si="277"/>
        <v>0</v>
      </c>
      <c r="BM117" s="4357">
        <f t="shared" si="278"/>
        <v>0</v>
      </c>
      <c r="BN117" s="4357">
        <f t="shared" si="279"/>
        <v>0</v>
      </c>
      <c r="BO117" s="4357">
        <f t="shared" si="280"/>
        <v>0</v>
      </c>
      <c r="BP117" s="4357">
        <f t="shared" si="281"/>
        <v>0</v>
      </c>
      <c r="BQ117" s="4357">
        <f t="shared" si="282"/>
        <v>0</v>
      </c>
      <c r="BR117" s="4357">
        <f t="shared" si="283"/>
        <v>0</v>
      </c>
      <c r="BS117" s="4357">
        <f t="shared" si="284"/>
        <v>0</v>
      </c>
      <c r="BT117" s="4357">
        <f t="shared" si="285"/>
        <v>0</v>
      </c>
      <c r="BU117" s="4357">
        <f t="shared" si="286"/>
        <v>0</v>
      </c>
      <c r="BV117" s="4357">
        <f t="shared" si="287"/>
        <v>0</v>
      </c>
      <c r="BW117" s="4357">
        <f t="shared" si="288"/>
        <v>0</v>
      </c>
      <c r="BX117" s="4357">
        <f t="shared" si="289"/>
        <v>0</v>
      </c>
      <c r="BY117" s="4357">
        <f t="shared" si="290"/>
        <v>0</v>
      </c>
      <c r="BZ117" s="4357">
        <f t="shared" si="291"/>
        <v>0</v>
      </c>
      <c r="CA117" s="4357">
        <f t="shared" si="292"/>
        <v>0</v>
      </c>
      <c r="CB117" s="4357">
        <f t="shared" si="293"/>
        <v>0</v>
      </c>
      <c r="CC117" s="4357">
        <f t="shared" si="294"/>
        <v>0</v>
      </c>
      <c r="CD117" s="4357">
        <f t="shared" si="295"/>
        <v>0</v>
      </c>
      <c r="CE117" s="4357">
        <f t="shared" si="296"/>
        <v>0</v>
      </c>
      <c r="CF117" s="4357">
        <f t="shared" si="297"/>
        <v>0</v>
      </c>
      <c r="CG117" s="4357">
        <f t="shared" si="298"/>
        <v>0</v>
      </c>
      <c r="CH117" s="4357">
        <f t="shared" si="299"/>
        <v>0</v>
      </c>
      <c r="CI117" s="4357"/>
      <c r="CJ117" s="4357"/>
      <c r="CK117" s="4357"/>
      <c r="CL117" s="4357"/>
      <c r="CM117" s="4357"/>
      <c r="CN117" s="4357"/>
      <c r="CO117" s="4357"/>
      <c r="CP117" s="4357"/>
      <c r="CQ117" s="4357"/>
      <c r="CR117" s="4357"/>
      <c r="CS117" s="4357"/>
      <c r="CT117" s="4357"/>
      <c r="CU117" s="4357"/>
      <c r="CV117" s="4357"/>
      <c r="CW117" s="4357"/>
      <c r="CX117" s="4357"/>
      <c r="CY117" s="4357"/>
      <c r="CZ117" s="4357"/>
      <c r="DA117" s="4357"/>
      <c r="DB117" s="4357"/>
      <c r="DC117" s="4357"/>
      <c r="DD117" s="4357"/>
      <c r="DE117" s="4357"/>
      <c r="DF117" s="4357"/>
      <c r="DG117" s="4357"/>
      <c r="DH117" s="4357"/>
      <c r="DI117" s="4357"/>
      <c r="DJ117" s="4357"/>
      <c r="DK117" s="4357"/>
      <c r="DL117" s="4357"/>
      <c r="DM117" s="4357"/>
      <c r="DN117" s="4357"/>
      <c r="DO117" s="4357"/>
      <c r="DP117" s="4357"/>
      <c r="DQ117" s="4357"/>
      <c r="DR117" s="4357"/>
      <c r="DS117" s="4357"/>
      <c r="DT117" s="4357"/>
      <c r="DU117" s="4357"/>
      <c r="DV117" s="4357"/>
      <c r="DW117" s="4357"/>
      <c r="DX117" s="4357"/>
      <c r="DY117" s="4357"/>
      <c r="DZ117" s="4357"/>
      <c r="EA117" s="4357"/>
      <c r="EB117" s="4357"/>
      <c r="EC117" s="4357"/>
      <c r="ED117" s="4357"/>
      <c r="EE117" s="4357"/>
      <c r="EF117" s="4357"/>
    </row>
    <row r="118" spans="1:136" ht="16" x14ac:dyDescent="0.2">
      <c r="A118" t="s">
        <v>2958</v>
      </c>
      <c r="B118" t="s">
        <v>2958</v>
      </c>
      <c r="C118">
        <f>'4.Grassland'!E71</f>
        <v>0</v>
      </c>
      <c r="D118" t="str">
        <f>'4.Grassland'!I71</f>
        <v>Please select</v>
      </c>
      <c r="E118">
        <f ca="1">'4.Grassland'!AG71</f>
        <v>0</v>
      </c>
      <c r="F118" s="388">
        <v>0</v>
      </c>
      <c r="G118" s="388">
        <v>0</v>
      </c>
      <c r="M118" s="388">
        <v>0</v>
      </c>
      <c r="N118" s="388">
        <v>0</v>
      </c>
      <c r="O118">
        <f ca="1">Livestock!AA105-Livestock!Z105</f>
        <v>0</v>
      </c>
      <c r="P118">
        <f ca="1">Livestock!AA133-Livestock!Z133</f>
        <v>0</v>
      </c>
      <c r="Q118">
        <f ca="1">Livestock!AA159-Livestock!Z159</f>
        <v>0</v>
      </c>
      <c r="U118" s="388">
        <v>0</v>
      </c>
      <c r="V118">
        <v>0</v>
      </c>
      <c r="W118">
        <f>Livestock!AA23-Livestock!Z23</f>
        <v>0</v>
      </c>
      <c r="X118">
        <f ca="1">Livestock!AA77-Livestock!Z77</f>
        <v>0</v>
      </c>
      <c r="AB118" t="str">
        <f t="shared" ca="1" si="171"/>
        <v>ok</v>
      </c>
      <c r="AC118">
        <f>IF('4.Grassland'!CG71&lt;&gt;0,'4.Grassland'!CG71, '4.Grassland'!CF71)</f>
        <v>1</v>
      </c>
      <c r="AD118">
        <f t="shared" si="190"/>
        <v>5</v>
      </c>
      <c r="AE118" s="4357" t="str">
        <f>'4.Grassland'!Y71</f>
        <v>D</v>
      </c>
      <c r="AF118" s="4357" t="str">
        <f>'4.Grassland'!AA71</f>
        <v>D</v>
      </c>
      <c r="AG118" s="4357" t="str">
        <f t="shared" si="193"/>
        <v>D</v>
      </c>
      <c r="AH118" s="4357">
        <f ca="1">((E118/(time_cap+((AD118-AC118+1)*VLOOKUP(AG118,list!$I$48:$K$50,3, FALSE))))*(AD118-AC118+1)*VLOOKUP(AG118,list!$I$48:$K$50,3, FALSE))</f>
        <v>0</v>
      </c>
      <c r="AI118" s="4357">
        <f ca="1">((E118/(time_cap+((AD118-AC118+1)*VLOOKUP(AG118,list!$I$48:$K$50,3, FALSE))))*time_cap)</f>
        <v>0</v>
      </c>
      <c r="AK118" s="4357">
        <f t="shared" ca="1" si="250"/>
        <v>0</v>
      </c>
      <c r="AL118" s="4357">
        <f t="shared" ca="1" si="251"/>
        <v>0</v>
      </c>
      <c r="AM118" s="4357">
        <f t="shared" ca="1" si="252"/>
        <v>0</v>
      </c>
      <c r="AN118" s="4357">
        <f t="shared" ca="1" si="253"/>
        <v>0</v>
      </c>
      <c r="AO118" s="4357">
        <f t="shared" ca="1" si="254"/>
        <v>0</v>
      </c>
      <c r="AP118" s="4357">
        <f t="shared" ca="1" si="255"/>
        <v>0</v>
      </c>
      <c r="AQ118" s="4357">
        <f t="shared" ca="1" si="256"/>
        <v>0</v>
      </c>
      <c r="AR118" s="4357">
        <f t="shared" ca="1" si="257"/>
        <v>0</v>
      </c>
      <c r="AS118" s="4357">
        <f t="shared" ca="1" si="258"/>
        <v>0</v>
      </c>
      <c r="AT118" s="4357">
        <f t="shared" ca="1" si="259"/>
        <v>0</v>
      </c>
      <c r="AU118" s="4357">
        <f t="shared" ca="1" si="260"/>
        <v>0</v>
      </c>
      <c r="AV118" s="4357">
        <f t="shared" ca="1" si="261"/>
        <v>0</v>
      </c>
      <c r="AW118" s="4357">
        <f t="shared" ca="1" si="262"/>
        <v>0</v>
      </c>
      <c r="AX118" s="4357">
        <f t="shared" ca="1" si="263"/>
        <v>0</v>
      </c>
      <c r="AY118" s="4357">
        <f t="shared" ca="1" si="264"/>
        <v>0</v>
      </c>
      <c r="AZ118" s="4357">
        <f t="shared" si="265"/>
        <v>0</v>
      </c>
      <c r="BA118" s="4357">
        <f t="shared" si="266"/>
        <v>0</v>
      </c>
      <c r="BB118" s="4357">
        <f t="shared" si="267"/>
        <v>0</v>
      </c>
      <c r="BC118" s="4357">
        <f t="shared" si="268"/>
        <v>0</v>
      </c>
      <c r="BD118" s="4357">
        <f t="shared" si="269"/>
        <v>0</v>
      </c>
      <c r="BE118" s="4357">
        <f t="shared" si="270"/>
        <v>0</v>
      </c>
      <c r="BF118" s="4357">
        <f t="shared" si="271"/>
        <v>0</v>
      </c>
      <c r="BG118" s="4357">
        <f t="shared" si="272"/>
        <v>0</v>
      </c>
      <c r="BH118" s="4357">
        <f t="shared" si="273"/>
        <v>0</v>
      </c>
      <c r="BI118" s="4357">
        <f t="shared" si="274"/>
        <v>0</v>
      </c>
      <c r="BJ118" s="4357">
        <f t="shared" si="275"/>
        <v>0</v>
      </c>
      <c r="BK118" s="4357">
        <f t="shared" si="276"/>
        <v>0</v>
      </c>
      <c r="BL118" s="4357">
        <f t="shared" si="277"/>
        <v>0</v>
      </c>
      <c r="BM118" s="4357">
        <f t="shared" si="278"/>
        <v>0</v>
      </c>
      <c r="BN118" s="4357">
        <f t="shared" si="279"/>
        <v>0</v>
      </c>
      <c r="BO118" s="4357">
        <f t="shared" si="280"/>
        <v>0</v>
      </c>
      <c r="BP118" s="4357">
        <f t="shared" si="281"/>
        <v>0</v>
      </c>
      <c r="BQ118" s="4357">
        <f t="shared" si="282"/>
        <v>0</v>
      </c>
      <c r="BR118" s="4357">
        <f t="shared" si="283"/>
        <v>0</v>
      </c>
      <c r="BS118" s="4357">
        <f t="shared" si="284"/>
        <v>0</v>
      </c>
      <c r="BT118" s="4357">
        <f t="shared" si="285"/>
        <v>0</v>
      </c>
      <c r="BU118" s="4357">
        <f t="shared" si="286"/>
        <v>0</v>
      </c>
      <c r="BV118" s="4357">
        <f t="shared" si="287"/>
        <v>0</v>
      </c>
      <c r="BW118" s="4357">
        <f t="shared" si="288"/>
        <v>0</v>
      </c>
      <c r="BX118" s="4357">
        <f t="shared" si="289"/>
        <v>0</v>
      </c>
      <c r="BY118" s="4357">
        <f t="shared" si="290"/>
        <v>0</v>
      </c>
      <c r="BZ118" s="4357">
        <f t="shared" si="291"/>
        <v>0</v>
      </c>
      <c r="CA118" s="4357">
        <f t="shared" si="292"/>
        <v>0</v>
      </c>
      <c r="CB118" s="4357">
        <f t="shared" si="293"/>
        <v>0</v>
      </c>
      <c r="CC118" s="4357">
        <f t="shared" si="294"/>
        <v>0</v>
      </c>
      <c r="CD118" s="4357">
        <f t="shared" si="295"/>
        <v>0</v>
      </c>
      <c r="CE118" s="4357">
        <f t="shared" si="296"/>
        <v>0</v>
      </c>
      <c r="CF118" s="4357">
        <f t="shared" si="297"/>
        <v>0</v>
      </c>
      <c r="CG118" s="4357">
        <f t="shared" si="298"/>
        <v>0</v>
      </c>
      <c r="CH118" s="4357">
        <f t="shared" si="299"/>
        <v>0</v>
      </c>
      <c r="CI118" s="4357"/>
      <c r="CJ118" s="4357"/>
      <c r="CK118" s="4357"/>
      <c r="CL118" s="4357"/>
      <c r="CM118" s="4357"/>
      <c r="CN118" s="4357"/>
      <c r="CO118" s="4357"/>
      <c r="CP118" s="4357"/>
      <c r="CQ118" s="4357"/>
      <c r="CR118" s="4357"/>
      <c r="CS118" s="4357"/>
      <c r="CT118" s="4357"/>
      <c r="CU118" s="4357"/>
      <c r="CV118" s="4357"/>
      <c r="CW118" s="4357"/>
      <c r="CX118" s="4357"/>
      <c r="CY118" s="4357"/>
      <c r="CZ118" s="4357"/>
      <c r="DA118" s="4357"/>
      <c r="DB118" s="4357"/>
      <c r="DC118" s="4357"/>
      <c r="DD118" s="4357"/>
      <c r="DE118" s="4357"/>
      <c r="DF118" s="4357"/>
      <c r="DG118" s="4357"/>
      <c r="DH118" s="4357"/>
      <c r="DI118" s="4357"/>
      <c r="DJ118" s="4357"/>
      <c r="DK118" s="4357"/>
      <c r="DL118" s="4357"/>
      <c r="DM118" s="4357"/>
      <c r="DN118" s="4357"/>
      <c r="DO118" s="4357"/>
      <c r="DP118" s="4357"/>
      <c r="DQ118" s="4357"/>
      <c r="DR118" s="4357"/>
      <c r="DS118" s="4357"/>
      <c r="DT118" s="4357"/>
      <c r="DU118" s="4357"/>
      <c r="DV118" s="4357"/>
      <c r="DW118" s="4357"/>
      <c r="DX118" s="4357"/>
      <c r="DY118" s="4357"/>
      <c r="DZ118" s="4357"/>
      <c r="EA118" s="4357"/>
      <c r="EB118" s="4357"/>
      <c r="EC118" s="4357"/>
      <c r="ED118" s="4357"/>
      <c r="EE118" s="4357"/>
      <c r="EF118" s="4357"/>
    </row>
    <row r="119" spans="1:136" ht="16" x14ac:dyDescent="0.2">
      <c r="A119" t="s">
        <v>2958</v>
      </c>
      <c r="B119" t="s">
        <v>2958</v>
      </c>
      <c r="D119" t="str">
        <f>'4.Grassland'!I72</f>
        <v>Please select</v>
      </c>
      <c r="E119">
        <f ca="1">'4.Grassland'!AG72</f>
        <v>0</v>
      </c>
      <c r="F119" s="388">
        <v>0</v>
      </c>
      <c r="G119" s="388">
        <v>0</v>
      </c>
      <c r="M119" s="388">
        <v>0</v>
      </c>
      <c r="N119" s="388">
        <v>0</v>
      </c>
      <c r="O119">
        <f ca="1">Livestock!AA106-Livestock!Z106</f>
        <v>0</v>
      </c>
      <c r="P119">
        <f ca="1">Livestock!AA134-Livestock!Z134</f>
        <v>0</v>
      </c>
      <c r="Q119">
        <f ca="1">Livestock!AA160-Livestock!Z160</f>
        <v>0</v>
      </c>
      <c r="U119" s="388">
        <v>0</v>
      </c>
      <c r="V119">
        <v>0</v>
      </c>
      <c r="W119">
        <f>Livestock!AA24-Livestock!Z24</f>
        <v>0</v>
      </c>
      <c r="X119">
        <f ca="1">Livestock!AA78-Livestock!Z78</f>
        <v>0</v>
      </c>
      <c r="AB119" t="str">
        <f t="shared" ca="1" si="171"/>
        <v>ok</v>
      </c>
      <c r="AC119">
        <f>IF('4.Grassland'!CG72&lt;&gt;0,'4.Grassland'!CG72, '4.Grassland'!CF72)</f>
        <v>1</v>
      </c>
      <c r="AD119">
        <f t="shared" si="190"/>
        <v>5</v>
      </c>
      <c r="AE119" s="4357" t="str">
        <f>'4.Grassland'!Y72</f>
        <v>D</v>
      </c>
      <c r="AF119" s="4357" t="str">
        <f>'4.Grassland'!AA72</f>
        <v>D</v>
      </c>
      <c r="AG119" s="4357" t="str">
        <f t="shared" si="193"/>
        <v>D</v>
      </c>
      <c r="AH119" s="4357">
        <f ca="1">((E119/(time_cap+((AD119-AC119+1)*VLOOKUP(AG119,list!$I$48:$K$50,3, FALSE))))*(AD119-AC119+1)*VLOOKUP(AG119,list!$I$48:$K$50,3, FALSE))</f>
        <v>0</v>
      </c>
      <c r="AI119" s="4357">
        <f ca="1">((E119/(time_cap+((AD119-AC119+1)*VLOOKUP(AG119,list!$I$48:$K$50,3, FALSE))))*time_cap)</f>
        <v>0</v>
      </c>
      <c r="AK119" s="4357">
        <f t="shared" ca="1" si="250"/>
        <v>0</v>
      </c>
      <c r="AL119" s="4357">
        <f t="shared" ca="1" si="251"/>
        <v>0</v>
      </c>
      <c r="AM119" s="4357">
        <f t="shared" ca="1" si="252"/>
        <v>0</v>
      </c>
      <c r="AN119" s="4357">
        <f t="shared" ca="1" si="253"/>
        <v>0</v>
      </c>
      <c r="AO119" s="4357">
        <f t="shared" ca="1" si="254"/>
        <v>0</v>
      </c>
      <c r="AP119" s="4357">
        <f t="shared" ca="1" si="255"/>
        <v>0</v>
      </c>
      <c r="AQ119" s="4357">
        <f t="shared" ca="1" si="256"/>
        <v>0</v>
      </c>
      <c r="AR119" s="4357">
        <f t="shared" ca="1" si="257"/>
        <v>0</v>
      </c>
      <c r="AS119" s="4357">
        <f t="shared" ca="1" si="258"/>
        <v>0</v>
      </c>
      <c r="AT119" s="4357">
        <f t="shared" ca="1" si="259"/>
        <v>0</v>
      </c>
      <c r="AU119" s="4357">
        <f t="shared" ca="1" si="260"/>
        <v>0</v>
      </c>
      <c r="AV119" s="4357">
        <f t="shared" ca="1" si="261"/>
        <v>0</v>
      </c>
      <c r="AW119" s="4357">
        <f t="shared" ca="1" si="262"/>
        <v>0</v>
      </c>
      <c r="AX119" s="4357">
        <f t="shared" ca="1" si="263"/>
        <v>0</v>
      </c>
      <c r="AY119" s="4357">
        <f t="shared" ca="1" si="264"/>
        <v>0</v>
      </c>
      <c r="AZ119" s="4357">
        <f t="shared" si="265"/>
        <v>0</v>
      </c>
      <c r="BA119" s="4357">
        <f t="shared" si="266"/>
        <v>0</v>
      </c>
      <c r="BB119" s="4357">
        <f t="shared" si="267"/>
        <v>0</v>
      </c>
      <c r="BC119" s="4357">
        <f t="shared" si="268"/>
        <v>0</v>
      </c>
      <c r="BD119" s="4357">
        <f t="shared" si="269"/>
        <v>0</v>
      </c>
      <c r="BE119" s="4357">
        <f t="shared" si="270"/>
        <v>0</v>
      </c>
      <c r="BF119" s="4357">
        <f t="shared" si="271"/>
        <v>0</v>
      </c>
      <c r="BG119" s="4357">
        <f t="shared" si="272"/>
        <v>0</v>
      </c>
      <c r="BH119" s="4357">
        <f t="shared" si="273"/>
        <v>0</v>
      </c>
      <c r="BI119" s="4357">
        <f t="shared" si="274"/>
        <v>0</v>
      </c>
      <c r="BJ119" s="4357">
        <f t="shared" si="275"/>
        <v>0</v>
      </c>
      <c r="BK119" s="4357">
        <f t="shared" si="276"/>
        <v>0</v>
      </c>
      <c r="BL119" s="4357">
        <f t="shared" si="277"/>
        <v>0</v>
      </c>
      <c r="BM119" s="4357">
        <f t="shared" si="278"/>
        <v>0</v>
      </c>
      <c r="BN119" s="4357">
        <f t="shared" si="279"/>
        <v>0</v>
      </c>
      <c r="BO119" s="4357">
        <f t="shared" si="280"/>
        <v>0</v>
      </c>
      <c r="BP119" s="4357">
        <f t="shared" si="281"/>
        <v>0</v>
      </c>
      <c r="BQ119" s="4357">
        <f t="shared" si="282"/>
        <v>0</v>
      </c>
      <c r="BR119" s="4357">
        <f t="shared" si="283"/>
        <v>0</v>
      </c>
      <c r="BS119" s="4357">
        <f t="shared" si="284"/>
        <v>0</v>
      </c>
      <c r="BT119" s="4357">
        <f t="shared" si="285"/>
        <v>0</v>
      </c>
      <c r="BU119" s="4357">
        <f t="shared" si="286"/>
        <v>0</v>
      </c>
      <c r="BV119" s="4357">
        <f t="shared" si="287"/>
        <v>0</v>
      </c>
      <c r="BW119" s="4357">
        <f t="shared" si="288"/>
        <v>0</v>
      </c>
      <c r="BX119" s="4357">
        <f t="shared" si="289"/>
        <v>0</v>
      </c>
      <c r="BY119" s="4357">
        <f t="shared" si="290"/>
        <v>0</v>
      </c>
      <c r="BZ119" s="4357">
        <f t="shared" si="291"/>
        <v>0</v>
      </c>
      <c r="CA119" s="4357">
        <f t="shared" si="292"/>
        <v>0</v>
      </c>
      <c r="CB119" s="4357">
        <f t="shared" si="293"/>
        <v>0</v>
      </c>
      <c r="CC119" s="4357">
        <f t="shared" si="294"/>
        <v>0</v>
      </c>
      <c r="CD119" s="4357">
        <f t="shared" si="295"/>
        <v>0</v>
      </c>
      <c r="CE119" s="4357">
        <f t="shared" si="296"/>
        <v>0</v>
      </c>
      <c r="CF119" s="4357">
        <f t="shared" si="297"/>
        <v>0</v>
      </c>
      <c r="CG119" s="4357">
        <f t="shared" si="298"/>
        <v>0</v>
      </c>
      <c r="CH119" s="4357">
        <f t="shared" si="299"/>
        <v>0</v>
      </c>
      <c r="CI119" s="4357"/>
      <c r="CJ119" s="4357"/>
      <c r="CK119" s="4357"/>
      <c r="CL119" s="4357"/>
      <c r="CM119" s="4357"/>
      <c r="CN119" s="4357"/>
      <c r="CO119" s="4357"/>
      <c r="CP119" s="4357"/>
      <c r="CQ119" s="4357"/>
      <c r="CR119" s="4357"/>
      <c r="CS119" s="4357"/>
      <c r="CT119" s="4357"/>
      <c r="CU119" s="4357"/>
      <c r="CV119" s="4357"/>
      <c r="CW119" s="4357"/>
      <c r="CX119" s="4357"/>
      <c r="CY119" s="4357"/>
      <c r="CZ119" s="4357"/>
      <c r="DA119" s="4357"/>
      <c r="DB119" s="4357"/>
      <c r="DC119" s="4357"/>
      <c r="DD119" s="4357"/>
      <c r="DE119" s="4357"/>
      <c r="DF119" s="4357"/>
      <c r="DG119" s="4357"/>
      <c r="DH119" s="4357"/>
      <c r="DI119" s="4357"/>
      <c r="DJ119" s="4357"/>
      <c r="DK119" s="4357"/>
      <c r="DL119" s="4357"/>
      <c r="DM119" s="4357"/>
      <c r="DN119" s="4357"/>
      <c r="DO119" s="4357"/>
      <c r="DP119" s="4357"/>
      <c r="DQ119" s="4357"/>
      <c r="DR119" s="4357"/>
      <c r="DS119" s="4357"/>
      <c r="DT119" s="4357"/>
      <c r="DU119" s="4357"/>
      <c r="DV119" s="4357"/>
      <c r="DW119" s="4357"/>
      <c r="DX119" s="4357"/>
      <c r="DY119" s="4357"/>
      <c r="DZ119" s="4357"/>
      <c r="EA119" s="4357"/>
      <c r="EB119" s="4357"/>
      <c r="EC119" s="4357"/>
      <c r="ED119" s="4357"/>
      <c r="EE119" s="4357"/>
      <c r="EF119" s="4357"/>
    </row>
    <row r="120" spans="1:136" ht="16" x14ac:dyDescent="0.2">
      <c r="A120" t="s">
        <v>3036</v>
      </c>
      <c r="B120" t="s">
        <v>3036</v>
      </c>
      <c r="D120" t="str">
        <f>'5.Management'!C13</f>
        <v>Please select</v>
      </c>
      <c r="E120">
        <f>'5.Management'!AF13</f>
        <v>0</v>
      </c>
      <c r="F120" s="388">
        <f>(degradation!J55-degradation!I55)+(degradation!L55-degradation!K55)</f>
        <v>0</v>
      </c>
      <c r="G120" s="388">
        <f>degradation!N55-degradation!M55</f>
        <v>0</v>
      </c>
      <c r="M120" s="388">
        <f>degradation!AP42-degradation!AO42</f>
        <v>0</v>
      </c>
      <c r="N120" s="388">
        <v>0</v>
      </c>
      <c r="U120" s="388">
        <f>degradation!AN42-degradation!AM42</f>
        <v>0</v>
      </c>
      <c r="AB120" t="str">
        <f t="shared" si="171"/>
        <v>ok</v>
      </c>
      <c r="AC120">
        <f>IF('5.Management'!BR13&lt;&gt;0,'5.Management'!BR13, '5.Management'!BQ13)</f>
        <v>1</v>
      </c>
      <c r="AD120">
        <f t="shared" si="190"/>
        <v>5</v>
      </c>
      <c r="AE120" s="4357" t="str">
        <f>'5.Management'!Y13</f>
        <v>D</v>
      </c>
      <c r="AF120" s="4357" t="str">
        <f>'5.Management'!AA13</f>
        <v>D</v>
      </c>
      <c r="AG120" s="4357" t="str">
        <f t="shared" si="193"/>
        <v>D</v>
      </c>
      <c r="AH120" s="4357">
        <f>((E120/(time_cap+((AD120-AC120+1)*VLOOKUP(AG120,list!$I$48:$K$50,3, FALSE))))*(AD120-AC120+1)*VLOOKUP(AG120,list!$I$48:$K$50,3, FALSE))</f>
        <v>0</v>
      </c>
      <c r="AI120" s="4357">
        <f>((E120/(time_cap+((AD120-AC120+1)*VLOOKUP(AG120,list!$I$48:$K$50,3, FALSE))))*time_cap)</f>
        <v>0</v>
      </c>
      <c r="AK120" s="4357">
        <f t="shared" ref="AK120:BP120" si="300">IFERROR(IF((time+time_cap)&lt;AK$2, 0,IF(AND(time+1&gt;=AL$2, $AC120&lt;AL$2), IF($AG120= "I", $AH120/($AD120-$AC120+1), $AH120/(($AD120*($AD120+1)/2)-(($AC120-1)*($AC120-1+1)/2))*AK$2), 0)+IF(IF(time+1&gt;=AL$2, $AI120/time_cap/(time+1)*AK$2, 0) = 0, $AI120/(time_cap),0)),0)</f>
        <v>0</v>
      </c>
      <c r="AL120" s="4357">
        <f t="shared" si="300"/>
        <v>0</v>
      </c>
      <c r="AM120" s="4357">
        <f t="shared" si="300"/>
        <v>0</v>
      </c>
      <c r="AN120" s="4357">
        <f t="shared" si="300"/>
        <v>0</v>
      </c>
      <c r="AO120" s="4357">
        <f t="shared" si="300"/>
        <v>0</v>
      </c>
      <c r="AP120" s="4357">
        <f t="shared" si="300"/>
        <v>0</v>
      </c>
      <c r="AQ120" s="4357">
        <f t="shared" si="300"/>
        <v>0</v>
      </c>
      <c r="AR120" s="4357">
        <f t="shared" si="300"/>
        <v>0</v>
      </c>
      <c r="AS120" s="4357">
        <f t="shared" si="300"/>
        <v>0</v>
      </c>
      <c r="AT120" s="4357">
        <f t="shared" si="300"/>
        <v>0</v>
      </c>
      <c r="AU120" s="4357">
        <f t="shared" si="300"/>
        <v>0</v>
      </c>
      <c r="AV120" s="4357">
        <f t="shared" si="300"/>
        <v>0</v>
      </c>
      <c r="AW120" s="4357">
        <f t="shared" si="300"/>
        <v>0</v>
      </c>
      <c r="AX120" s="4357">
        <f t="shared" si="300"/>
        <v>0</v>
      </c>
      <c r="AY120" s="4357">
        <f t="shared" si="300"/>
        <v>0</v>
      </c>
      <c r="AZ120" s="4357">
        <f t="shared" si="300"/>
        <v>0</v>
      </c>
      <c r="BA120" s="4357">
        <f t="shared" si="300"/>
        <v>0</v>
      </c>
      <c r="BB120" s="4357">
        <f t="shared" si="300"/>
        <v>0</v>
      </c>
      <c r="BC120" s="4357">
        <f t="shared" si="300"/>
        <v>0</v>
      </c>
      <c r="BD120" s="4357">
        <f t="shared" si="300"/>
        <v>0</v>
      </c>
      <c r="BE120" s="4357">
        <f t="shared" si="300"/>
        <v>0</v>
      </c>
      <c r="BF120" s="4357">
        <f t="shared" si="300"/>
        <v>0</v>
      </c>
      <c r="BG120" s="4357">
        <f t="shared" si="300"/>
        <v>0</v>
      </c>
      <c r="BH120" s="4357">
        <f t="shared" si="300"/>
        <v>0</v>
      </c>
      <c r="BI120" s="4357">
        <f t="shared" si="300"/>
        <v>0</v>
      </c>
      <c r="BJ120" s="4357">
        <f t="shared" si="300"/>
        <v>0</v>
      </c>
      <c r="BK120" s="4357">
        <f t="shared" si="300"/>
        <v>0</v>
      </c>
      <c r="BL120" s="4357">
        <f t="shared" si="300"/>
        <v>0</v>
      </c>
      <c r="BM120" s="4357">
        <f t="shared" si="300"/>
        <v>0</v>
      </c>
      <c r="BN120" s="4357">
        <f t="shared" si="300"/>
        <v>0</v>
      </c>
      <c r="BO120" s="4357">
        <f t="shared" si="300"/>
        <v>0</v>
      </c>
      <c r="BP120" s="4357">
        <f t="shared" si="300"/>
        <v>0</v>
      </c>
      <c r="BQ120" s="4357">
        <f t="shared" ref="BQ120:CH120" si="301">IFERROR(IF((time+time_cap)&lt;BQ$2, 0,IF(AND(time+1&gt;=BR$2, $AC120&lt;BR$2), IF($AG120= "I", $AH120/($AD120-$AC120+1), $AH120/(($AD120*($AD120+1)/2)-(($AC120-1)*($AC120-1+1)/2))*BQ$2), 0)+IF(IF(time+1&gt;=BR$2, $AI120/time_cap/(time+1)*BQ$2, 0) = 0, $AI120/(time_cap),0)),0)</f>
        <v>0</v>
      </c>
      <c r="BR120" s="4357">
        <f t="shared" si="301"/>
        <v>0</v>
      </c>
      <c r="BS120" s="4357">
        <f t="shared" si="301"/>
        <v>0</v>
      </c>
      <c r="BT120" s="4357">
        <f t="shared" si="301"/>
        <v>0</v>
      </c>
      <c r="BU120" s="4357">
        <f t="shared" si="301"/>
        <v>0</v>
      </c>
      <c r="BV120" s="4357">
        <f t="shared" si="301"/>
        <v>0</v>
      </c>
      <c r="BW120" s="4357">
        <f t="shared" si="301"/>
        <v>0</v>
      </c>
      <c r="BX120" s="4357">
        <f t="shared" si="301"/>
        <v>0</v>
      </c>
      <c r="BY120" s="4357">
        <f t="shared" si="301"/>
        <v>0</v>
      </c>
      <c r="BZ120" s="4357">
        <f t="shared" si="301"/>
        <v>0</v>
      </c>
      <c r="CA120" s="4357">
        <f t="shared" si="301"/>
        <v>0</v>
      </c>
      <c r="CB120" s="4357">
        <f t="shared" si="301"/>
        <v>0</v>
      </c>
      <c r="CC120" s="4357">
        <f t="shared" si="301"/>
        <v>0</v>
      </c>
      <c r="CD120" s="4357">
        <f t="shared" si="301"/>
        <v>0</v>
      </c>
      <c r="CE120" s="4357">
        <f t="shared" si="301"/>
        <v>0</v>
      </c>
      <c r="CF120" s="4357">
        <f t="shared" si="301"/>
        <v>0</v>
      </c>
      <c r="CG120" s="4357">
        <f t="shared" si="301"/>
        <v>0</v>
      </c>
      <c r="CH120" s="4357">
        <f t="shared" si="301"/>
        <v>0</v>
      </c>
      <c r="CI120" s="4357"/>
      <c r="CJ120" s="4357"/>
      <c r="CK120" s="4357"/>
      <c r="CL120" s="4357"/>
      <c r="CM120" s="4357"/>
      <c r="CN120" s="4357"/>
      <c r="CO120" s="4357"/>
      <c r="CP120" s="4357"/>
      <c r="CQ120" s="4357"/>
      <c r="CR120" s="4357"/>
      <c r="CS120" s="4357"/>
      <c r="CT120" s="4357"/>
      <c r="CU120" s="4357"/>
      <c r="CV120" s="4357"/>
      <c r="CW120" s="4357"/>
      <c r="CX120" s="4357"/>
      <c r="CY120" s="4357"/>
      <c r="CZ120" s="4357"/>
      <c r="DA120" s="4357"/>
      <c r="DB120" s="4357"/>
      <c r="DC120" s="4357"/>
      <c r="DD120" s="4357"/>
      <c r="DE120" s="4357"/>
      <c r="DF120" s="4357"/>
      <c r="DG120" s="4357"/>
      <c r="DH120" s="4357"/>
      <c r="DI120" s="4357"/>
      <c r="DJ120" s="4357"/>
      <c r="DK120" s="4357"/>
      <c r="DL120" s="4357"/>
      <c r="DM120" s="4357"/>
      <c r="DN120" s="4357"/>
      <c r="DO120" s="4357"/>
      <c r="DP120" s="4357"/>
      <c r="DQ120" s="4357"/>
      <c r="DR120" s="4357"/>
      <c r="DS120" s="4357"/>
      <c r="DT120" s="4357"/>
      <c r="DU120" s="4357"/>
      <c r="DV120" s="4357"/>
      <c r="DW120" s="4357"/>
      <c r="DX120" s="4357"/>
      <c r="DY120" s="4357"/>
      <c r="DZ120" s="4357"/>
      <c r="EA120" s="4357"/>
      <c r="EB120" s="4357"/>
      <c r="EC120" s="4357"/>
      <c r="ED120" s="4357"/>
      <c r="EE120" s="4357"/>
      <c r="EF120" s="4357"/>
    </row>
    <row r="121" spans="1:136" ht="16" x14ac:dyDescent="0.2">
      <c r="A121" t="s">
        <v>3036</v>
      </c>
      <c r="B121" t="s">
        <v>3036</v>
      </c>
      <c r="D121" t="str">
        <f>'5.Management'!C14</f>
        <v>Please select</v>
      </c>
      <c r="E121">
        <f>'5.Management'!AF14</f>
        <v>0</v>
      </c>
      <c r="F121" s="388">
        <f>(degradation!J56-degradation!I56)+(degradation!L56-degradation!K56)</f>
        <v>0</v>
      </c>
      <c r="G121" s="388">
        <f>degradation!N56-degradation!M56</f>
        <v>0</v>
      </c>
      <c r="M121" s="388">
        <f>degradation!AP43-degradation!AO43</f>
        <v>0</v>
      </c>
      <c r="N121" s="388">
        <v>0</v>
      </c>
      <c r="U121" s="388">
        <f>degradation!AN43-degradation!AM43</f>
        <v>0</v>
      </c>
      <c r="AB121" t="str">
        <f t="shared" si="171"/>
        <v>ok</v>
      </c>
      <c r="AC121">
        <f>IF('5.Management'!BR14&lt;&gt;0,'5.Management'!BR14, '5.Management'!BQ14)</f>
        <v>1</v>
      </c>
      <c r="AD121">
        <f t="shared" si="190"/>
        <v>5</v>
      </c>
      <c r="AE121" s="4357" t="str">
        <f>'5.Management'!Y14</f>
        <v>D</v>
      </c>
      <c r="AF121" s="4357" t="str">
        <f>'5.Management'!AA14</f>
        <v>D</v>
      </c>
      <c r="AG121" s="4357" t="str">
        <f t="shared" si="193"/>
        <v>D</v>
      </c>
      <c r="AH121" s="4357">
        <f>((E121/(time_cap+((AD121-AC121+1)*VLOOKUP(AG121,list!$I$48:$K$50,3, FALSE))))*(AD121-AC121+1)*VLOOKUP(AG121,list!$I$48:$K$50,3, FALSE))</f>
        <v>0</v>
      </c>
      <c r="AI121" s="4357">
        <f>((E121/(time_cap+((AD121-AC121+1)*VLOOKUP(AG121,list!$I$48:$K$50,3, FALSE))))*time_cap)</f>
        <v>0</v>
      </c>
      <c r="AK121" s="4357">
        <f t="shared" ref="AK121:BP121" si="302">IFERROR(IF((time+time_cap)&lt;AK$2, 0,IF(AND(time+1&gt;=AL$2, $AC121&lt;AL$2), IF($AG121= "I", $AH121/($AD121-$AC121+1), $AH121/(($AD121*($AD121+1)/2)-(($AC121-1)*($AC121-1+1)/2))*AK$2), 0)+IF(IF(time+1&gt;=AL$2, $AI121/time_cap/(time+1)*AK$2, 0) = 0, $AI121/(time_cap),0)),0)</f>
        <v>0</v>
      </c>
      <c r="AL121" s="4357">
        <f t="shared" si="302"/>
        <v>0</v>
      </c>
      <c r="AM121" s="4357">
        <f t="shared" si="302"/>
        <v>0</v>
      </c>
      <c r="AN121" s="4357">
        <f t="shared" si="302"/>
        <v>0</v>
      </c>
      <c r="AO121" s="4357">
        <f t="shared" si="302"/>
        <v>0</v>
      </c>
      <c r="AP121" s="4357">
        <f t="shared" si="302"/>
        <v>0</v>
      </c>
      <c r="AQ121" s="4357">
        <f t="shared" si="302"/>
        <v>0</v>
      </c>
      <c r="AR121" s="4357">
        <f t="shared" si="302"/>
        <v>0</v>
      </c>
      <c r="AS121" s="4357">
        <f t="shared" si="302"/>
        <v>0</v>
      </c>
      <c r="AT121" s="4357">
        <f t="shared" si="302"/>
        <v>0</v>
      </c>
      <c r="AU121" s="4357">
        <f t="shared" si="302"/>
        <v>0</v>
      </c>
      <c r="AV121" s="4357">
        <f t="shared" si="302"/>
        <v>0</v>
      </c>
      <c r="AW121" s="4357">
        <f t="shared" si="302"/>
        <v>0</v>
      </c>
      <c r="AX121" s="4357">
        <f t="shared" si="302"/>
        <v>0</v>
      </c>
      <c r="AY121" s="4357">
        <f t="shared" si="302"/>
        <v>0</v>
      </c>
      <c r="AZ121" s="4357">
        <f t="shared" si="302"/>
        <v>0</v>
      </c>
      <c r="BA121" s="4357">
        <f t="shared" si="302"/>
        <v>0</v>
      </c>
      <c r="BB121" s="4357">
        <f t="shared" si="302"/>
        <v>0</v>
      </c>
      <c r="BC121" s="4357">
        <f t="shared" si="302"/>
        <v>0</v>
      </c>
      <c r="BD121" s="4357">
        <f t="shared" si="302"/>
        <v>0</v>
      </c>
      <c r="BE121" s="4357">
        <f t="shared" si="302"/>
        <v>0</v>
      </c>
      <c r="BF121" s="4357">
        <f t="shared" si="302"/>
        <v>0</v>
      </c>
      <c r="BG121" s="4357">
        <f t="shared" si="302"/>
        <v>0</v>
      </c>
      <c r="BH121" s="4357">
        <f t="shared" si="302"/>
        <v>0</v>
      </c>
      <c r="BI121" s="4357">
        <f t="shared" si="302"/>
        <v>0</v>
      </c>
      <c r="BJ121" s="4357">
        <f t="shared" si="302"/>
        <v>0</v>
      </c>
      <c r="BK121" s="4357">
        <f t="shared" si="302"/>
        <v>0</v>
      </c>
      <c r="BL121" s="4357">
        <f t="shared" si="302"/>
        <v>0</v>
      </c>
      <c r="BM121" s="4357">
        <f t="shared" si="302"/>
        <v>0</v>
      </c>
      <c r="BN121" s="4357">
        <f t="shared" si="302"/>
        <v>0</v>
      </c>
      <c r="BO121" s="4357">
        <f t="shared" si="302"/>
        <v>0</v>
      </c>
      <c r="BP121" s="4357">
        <f t="shared" si="302"/>
        <v>0</v>
      </c>
      <c r="BQ121" s="4357">
        <f t="shared" ref="BQ121:CH121" si="303">IFERROR(IF((time+time_cap)&lt;BQ$2, 0,IF(AND(time+1&gt;=BR$2, $AC121&lt;BR$2), IF($AG121= "I", $AH121/($AD121-$AC121+1), $AH121/(($AD121*($AD121+1)/2)-(($AC121-1)*($AC121-1+1)/2))*BQ$2), 0)+IF(IF(time+1&gt;=BR$2, $AI121/time_cap/(time+1)*BQ$2, 0) = 0, $AI121/(time_cap),0)),0)</f>
        <v>0</v>
      </c>
      <c r="BR121" s="4357">
        <f t="shared" si="303"/>
        <v>0</v>
      </c>
      <c r="BS121" s="4357">
        <f t="shared" si="303"/>
        <v>0</v>
      </c>
      <c r="BT121" s="4357">
        <f t="shared" si="303"/>
        <v>0</v>
      </c>
      <c r="BU121" s="4357">
        <f t="shared" si="303"/>
        <v>0</v>
      </c>
      <c r="BV121" s="4357">
        <f t="shared" si="303"/>
        <v>0</v>
      </c>
      <c r="BW121" s="4357">
        <f t="shared" si="303"/>
        <v>0</v>
      </c>
      <c r="BX121" s="4357">
        <f t="shared" si="303"/>
        <v>0</v>
      </c>
      <c r="BY121" s="4357">
        <f t="shared" si="303"/>
        <v>0</v>
      </c>
      <c r="BZ121" s="4357">
        <f t="shared" si="303"/>
        <v>0</v>
      </c>
      <c r="CA121" s="4357">
        <f t="shared" si="303"/>
        <v>0</v>
      </c>
      <c r="CB121" s="4357">
        <f t="shared" si="303"/>
        <v>0</v>
      </c>
      <c r="CC121" s="4357">
        <f t="shared" si="303"/>
        <v>0</v>
      </c>
      <c r="CD121" s="4357">
        <f t="shared" si="303"/>
        <v>0</v>
      </c>
      <c r="CE121" s="4357">
        <f t="shared" si="303"/>
        <v>0</v>
      </c>
      <c r="CF121" s="4357">
        <f t="shared" si="303"/>
        <v>0</v>
      </c>
      <c r="CG121" s="4357">
        <f t="shared" si="303"/>
        <v>0</v>
      </c>
      <c r="CH121" s="4357">
        <f t="shared" si="303"/>
        <v>0</v>
      </c>
      <c r="CI121" s="4357"/>
      <c r="CJ121" s="4357"/>
      <c r="CK121" s="4357"/>
      <c r="CL121" s="4357"/>
      <c r="CM121" s="4357"/>
      <c r="CN121" s="4357"/>
      <c r="CO121" s="4357"/>
      <c r="CP121" s="4357"/>
      <c r="CQ121" s="4357"/>
      <c r="CR121" s="4357"/>
      <c r="CS121" s="4357"/>
      <c r="CT121" s="4357"/>
      <c r="CU121" s="4357"/>
      <c r="CV121" s="4357"/>
      <c r="CW121" s="4357"/>
      <c r="CX121" s="4357"/>
      <c r="CY121" s="4357"/>
      <c r="CZ121" s="4357"/>
      <c r="DA121" s="4357"/>
      <c r="DB121" s="4357"/>
      <c r="DC121" s="4357"/>
      <c r="DD121" s="4357"/>
      <c r="DE121" s="4357"/>
      <c r="DF121" s="4357"/>
      <c r="DG121" s="4357"/>
      <c r="DH121" s="4357"/>
      <c r="DI121" s="4357"/>
      <c r="DJ121" s="4357"/>
      <c r="DK121" s="4357"/>
      <c r="DL121" s="4357"/>
      <c r="DM121" s="4357"/>
      <c r="DN121" s="4357"/>
      <c r="DO121" s="4357"/>
      <c r="DP121" s="4357"/>
      <c r="DQ121" s="4357"/>
      <c r="DR121" s="4357"/>
      <c r="DS121" s="4357"/>
      <c r="DT121" s="4357"/>
      <c r="DU121" s="4357"/>
      <c r="DV121" s="4357"/>
      <c r="DW121" s="4357"/>
      <c r="DX121" s="4357"/>
      <c r="DY121" s="4357"/>
      <c r="DZ121" s="4357"/>
      <c r="EA121" s="4357"/>
      <c r="EB121" s="4357"/>
      <c r="EC121" s="4357"/>
      <c r="ED121" s="4357"/>
      <c r="EE121" s="4357"/>
      <c r="EF121" s="4357"/>
    </row>
    <row r="122" spans="1:136" ht="16" x14ac:dyDescent="0.2">
      <c r="A122" t="s">
        <v>3036</v>
      </c>
      <c r="B122" t="s">
        <v>3036</v>
      </c>
      <c r="D122" t="str">
        <f>'5.Management'!C15</f>
        <v>Please select</v>
      </c>
      <c r="E122">
        <f>'5.Management'!AF15</f>
        <v>0</v>
      </c>
      <c r="F122" s="388">
        <f>(degradation!J57-degradation!I57)+(degradation!L57-degradation!K57)</f>
        <v>0</v>
      </c>
      <c r="G122" s="388">
        <f>degradation!N57-degradation!M57</f>
        <v>0</v>
      </c>
      <c r="M122" s="388">
        <f>degradation!AP44-degradation!AO44</f>
        <v>0</v>
      </c>
      <c r="N122" s="388">
        <v>0</v>
      </c>
      <c r="U122" s="388">
        <f>degradation!AN44-degradation!AM44</f>
        <v>0</v>
      </c>
      <c r="AB122" t="str">
        <f t="shared" si="171"/>
        <v>ok</v>
      </c>
      <c r="AC122">
        <f>IF('5.Management'!BR15&lt;&gt;0,'5.Management'!BR15, '5.Management'!BQ15)</f>
        <v>1</v>
      </c>
      <c r="AD122">
        <f t="shared" si="190"/>
        <v>5</v>
      </c>
      <c r="AE122" s="4357" t="str">
        <f>'5.Management'!Y15</f>
        <v>D</v>
      </c>
      <c r="AF122" s="4357" t="str">
        <f>'5.Management'!AA15</f>
        <v>D</v>
      </c>
      <c r="AG122" s="4357" t="str">
        <f t="shared" si="193"/>
        <v>D</v>
      </c>
      <c r="AH122" s="4357">
        <f>((E122/(time_cap+((AD122-AC122+1)*VLOOKUP(AG122,list!$I$48:$K$50,3, FALSE))))*(AD122-AC122+1)*VLOOKUP(AG122,list!$I$48:$K$50,3, FALSE))</f>
        <v>0</v>
      </c>
      <c r="AI122" s="4357">
        <f>((E122/(time_cap+((AD122-AC122+1)*VLOOKUP(AG122,list!$I$48:$K$50,3, FALSE))))*time_cap)</f>
        <v>0</v>
      </c>
      <c r="AK122" s="4357">
        <f t="shared" ref="AK122:BP122" si="304">IFERROR(IF((time+time_cap)&lt;AK$2, 0,IF(AND(time+1&gt;=AL$2, $AC122&lt;AL$2), IF($AG122= "I", $AH122/($AD122-$AC122+1), $AH122/(($AD122*($AD122+1)/2)-(($AC122-1)*($AC122-1+1)/2))*AK$2), 0)+IF(IF(time+1&gt;=AL$2, $AI122/time_cap/(time+1)*AK$2, 0) = 0, $AI122/(time_cap),0)),0)</f>
        <v>0</v>
      </c>
      <c r="AL122" s="4357">
        <f t="shared" si="304"/>
        <v>0</v>
      </c>
      <c r="AM122" s="4357">
        <f t="shared" si="304"/>
        <v>0</v>
      </c>
      <c r="AN122" s="4357">
        <f t="shared" si="304"/>
        <v>0</v>
      </c>
      <c r="AO122" s="4357">
        <f t="shared" si="304"/>
        <v>0</v>
      </c>
      <c r="AP122" s="4357">
        <f t="shared" si="304"/>
        <v>0</v>
      </c>
      <c r="AQ122" s="4357">
        <f t="shared" si="304"/>
        <v>0</v>
      </c>
      <c r="AR122" s="4357">
        <f t="shared" si="304"/>
        <v>0</v>
      </c>
      <c r="AS122" s="4357">
        <f t="shared" si="304"/>
        <v>0</v>
      </c>
      <c r="AT122" s="4357">
        <f t="shared" si="304"/>
        <v>0</v>
      </c>
      <c r="AU122" s="4357">
        <f t="shared" si="304"/>
        <v>0</v>
      </c>
      <c r="AV122" s="4357">
        <f t="shared" si="304"/>
        <v>0</v>
      </c>
      <c r="AW122" s="4357">
        <f t="shared" si="304"/>
        <v>0</v>
      </c>
      <c r="AX122" s="4357">
        <f t="shared" si="304"/>
        <v>0</v>
      </c>
      <c r="AY122" s="4357">
        <f t="shared" si="304"/>
        <v>0</v>
      </c>
      <c r="AZ122" s="4357">
        <f t="shared" si="304"/>
        <v>0</v>
      </c>
      <c r="BA122" s="4357">
        <f t="shared" si="304"/>
        <v>0</v>
      </c>
      <c r="BB122" s="4357">
        <f t="shared" si="304"/>
        <v>0</v>
      </c>
      <c r="BC122" s="4357">
        <f t="shared" si="304"/>
        <v>0</v>
      </c>
      <c r="BD122" s="4357">
        <f t="shared" si="304"/>
        <v>0</v>
      </c>
      <c r="BE122" s="4357">
        <f t="shared" si="304"/>
        <v>0</v>
      </c>
      <c r="BF122" s="4357">
        <f t="shared" si="304"/>
        <v>0</v>
      </c>
      <c r="BG122" s="4357">
        <f t="shared" si="304"/>
        <v>0</v>
      </c>
      <c r="BH122" s="4357">
        <f t="shared" si="304"/>
        <v>0</v>
      </c>
      <c r="BI122" s="4357">
        <f t="shared" si="304"/>
        <v>0</v>
      </c>
      <c r="BJ122" s="4357">
        <f t="shared" si="304"/>
        <v>0</v>
      </c>
      <c r="BK122" s="4357">
        <f t="shared" si="304"/>
        <v>0</v>
      </c>
      <c r="BL122" s="4357">
        <f t="shared" si="304"/>
        <v>0</v>
      </c>
      <c r="BM122" s="4357">
        <f t="shared" si="304"/>
        <v>0</v>
      </c>
      <c r="BN122" s="4357">
        <f t="shared" si="304"/>
        <v>0</v>
      </c>
      <c r="BO122" s="4357">
        <f t="shared" si="304"/>
        <v>0</v>
      </c>
      <c r="BP122" s="4357">
        <f t="shared" si="304"/>
        <v>0</v>
      </c>
      <c r="BQ122" s="4357">
        <f t="shared" ref="BQ122:CH122" si="305">IFERROR(IF((time+time_cap)&lt;BQ$2, 0,IF(AND(time+1&gt;=BR$2, $AC122&lt;BR$2), IF($AG122= "I", $AH122/($AD122-$AC122+1), $AH122/(($AD122*($AD122+1)/2)-(($AC122-1)*($AC122-1+1)/2))*BQ$2), 0)+IF(IF(time+1&gt;=BR$2, $AI122/time_cap/(time+1)*BQ$2, 0) = 0, $AI122/(time_cap),0)),0)</f>
        <v>0</v>
      </c>
      <c r="BR122" s="4357">
        <f t="shared" si="305"/>
        <v>0</v>
      </c>
      <c r="BS122" s="4357">
        <f t="shared" si="305"/>
        <v>0</v>
      </c>
      <c r="BT122" s="4357">
        <f t="shared" si="305"/>
        <v>0</v>
      </c>
      <c r="BU122" s="4357">
        <f t="shared" si="305"/>
        <v>0</v>
      </c>
      <c r="BV122" s="4357">
        <f t="shared" si="305"/>
        <v>0</v>
      </c>
      <c r="BW122" s="4357">
        <f t="shared" si="305"/>
        <v>0</v>
      </c>
      <c r="BX122" s="4357">
        <f t="shared" si="305"/>
        <v>0</v>
      </c>
      <c r="BY122" s="4357">
        <f t="shared" si="305"/>
        <v>0</v>
      </c>
      <c r="BZ122" s="4357">
        <f t="shared" si="305"/>
        <v>0</v>
      </c>
      <c r="CA122" s="4357">
        <f t="shared" si="305"/>
        <v>0</v>
      </c>
      <c r="CB122" s="4357">
        <f t="shared" si="305"/>
        <v>0</v>
      </c>
      <c r="CC122" s="4357">
        <f t="shared" si="305"/>
        <v>0</v>
      </c>
      <c r="CD122" s="4357">
        <f t="shared" si="305"/>
        <v>0</v>
      </c>
      <c r="CE122" s="4357">
        <f t="shared" si="305"/>
        <v>0</v>
      </c>
      <c r="CF122" s="4357">
        <f t="shared" si="305"/>
        <v>0</v>
      </c>
      <c r="CG122" s="4357">
        <f t="shared" si="305"/>
        <v>0</v>
      </c>
      <c r="CH122" s="4357">
        <f t="shared" si="305"/>
        <v>0</v>
      </c>
      <c r="CI122" s="4357"/>
      <c r="CJ122" s="4357"/>
      <c r="CK122" s="4357"/>
      <c r="CL122" s="4357"/>
      <c r="CM122" s="4357"/>
      <c r="CN122" s="4357"/>
      <c r="CO122" s="4357"/>
      <c r="CP122" s="4357"/>
      <c r="CQ122" s="4357"/>
      <c r="CR122" s="4357"/>
      <c r="CS122" s="4357"/>
      <c r="CT122" s="4357"/>
      <c r="CU122" s="4357"/>
      <c r="CV122" s="4357"/>
      <c r="CW122" s="4357"/>
      <c r="CX122" s="4357"/>
      <c r="CY122" s="4357"/>
      <c r="CZ122" s="4357"/>
      <c r="DA122" s="4357"/>
      <c r="DB122" s="4357"/>
      <c r="DC122" s="4357"/>
      <c r="DD122" s="4357"/>
      <c r="DE122" s="4357"/>
      <c r="DF122" s="4357"/>
      <c r="DG122" s="4357"/>
      <c r="DH122" s="4357"/>
      <c r="DI122" s="4357"/>
      <c r="DJ122" s="4357"/>
      <c r="DK122" s="4357"/>
      <c r="DL122" s="4357"/>
      <c r="DM122" s="4357"/>
      <c r="DN122" s="4357"/>
      <c r="DO122" s="4357"/>
      <c r="DP122" s="4357"/>
      <c r="DQ122" s="4357"/>
      <c r="DR122" s="4357"/>
      <c r="DS122" s="4357"/>
      <c r="DT122" s="4357"/>
      <c r="DU122" s="4357"/>
      <c r="DV122" s="4357"/>
      <c r="DW122" s="4357"/>
      <c r="DX122" s="4357"/>
      <c r="DY122" s="4357"/>
      <c r="DZ122" s="4357"/>
      <c r="EA122" s="4357"/>
      <c r="EB122" s="4357"/>
      <c r="EC122" s="4357"/>
      <c r="ED122" s="4357"/>
      <c r="EE122" s="4357"/>
      <c r="EF122" s="4357"/>
    </row>
    <row r="123" spans="1:136" ht="16" x14ac:dyDescent="0.2">
      <c r="A123" t="s">
        <v>3036</v>
      </c>
      <c r="B123" t="s">
        <v>3036</v>
      </c>
      <c r="D123" t="str">
        <f>'5.Management'!C16</f>
        <v>Please select</v>
      </c>
      <c r="E123">
        <f>'5.Management'!AF16</f>
        <v>0</v>
      </c>
      <c r="F123" s="388">
        <f>(degradation!J58-degradation!I58)+(degradation!L58-degradation!K58)</f>
        <v>0</v>
      </c>
      <c r="G123" s="388">
        <f>degradation!N58-degradation!M58</f>
        <v>0</v>
      </c>
      <c r="M123" s="388">
        <f>degradation!AP45-degradation!AO45</f>
        <v>0</v>
      </c>
      <c r="N123" s="388">
        <v>0</v>
      </c>
      <c r="U123" s="388">
        <f>degradation!AN45-degradation!AM45</f>
        <v>0</v>
      </c>
      <c r="AB123" t="str">
        <f t="shared" si="171"/>
        <v>ok</v>
      </c>
      <c r="AC123">
        <f>IF('5.Management'!BR16&lt;&gt;0,'5.Management'!BR16, '5.Management'!BQ16)</f>
        <v>1</v>
      </c>
      <c r="AD123">
        <f t="shared" si="190"/>
        <v>5</v>
      </c>
      <c r="AE123" s="4357" t="str">
        <f>'5.Management'!Y16</f>
        <v>D</v>
      </c>
      <c r="AF123" s="4357" t="str">
        <f>'5.Management'!AA16</f>
        <v>D</v>
      </c>
      <c r="AG123" s="4357" t="str">
        <f t="shared" si="193"/>
        <v>D</v>
      </c>
      <c r="AH123" s="4357">
        <f>((E123/(time_cap+((AD123-AC123+1)*VLOOKUP(AG123,list!$I$48:$K$50,3, FALSE))))*(AD123-AC123+1)*VLOOKUP(AG123,list!$I$48:$K$50,3, FALSE))</f>
        <v>0</v>
      </c>
      <c r="AI123" s="4357">
        <f>((E123/(time_cap+((AD123-AC123+1)*VLOOKUP(AG123,list!$I$48:$K$50,3, FALSE))))*time_cap)</f>
        <v>0</v>
      </c>
      <c r="AK123" s="4357">
        <f t="shared" ref="AK123:BP123" si="306">IFERROR(IF((time+time_cap)&lt;AK$2, 0,IF(AND(time+1&gt;=AL$2, $AC123&lt;AL$2), IF($AG123= "I", $AH123/($AD123-$AC123+1), $AH123/(($AD123*($AD123+1)/2)-(($AC123-1)*($AC123-1+1)/2))*AK$2), 0)+IF(IF(time+1&gt;=AL$2, $AI123/time_cap/(time+1)*AK$2, 0) = 0, $AI123/(time_cap),0)),0)</f>
        <v>0</v>
      </c>
      <c r="AL123" s="4357">
        <f t="shared" si="306"/>
        <v>0</v>
      </c>
      <c r="AM123" s="4357">
        <f t="shared" si="306"/>
        <v>0</v>
      </c>
      <c r="AN123" s="4357">
        <f t="shared" si="306"/>
        <v>0</v>
      </c>
      <c r="AO123" s="4357">
        <f t="shared" si="306"/>
        <v>0</v>
      </c>
      <c r="AP123" s="4357">
        <f t="shared" si="306"/>
        <v>0</v>
      </c>
      <c r="AQ123" s="4357">
        <f t="shared" si="306"/>
        <v>0</v>
      </c>
      <c r="AR123" s="4357">
        <f t="shared" si="306"/>
        <v>0</v>
      </c>
      <c r="AS123" s="4357">
        <f t="shared" si="306"/>
        <v>0</v>
      </c>
      <c r="AT123" s="4357">
        <f t="shared" si="306"/>
        <v>0</v>
      </c>
      <c r="AU123" s="4357">
        <f t="shared" si="306"/>
        <v>0</v>
      </c>
      <c r="AV123" s="4357">
        <f t="shared" si="306"/>
        <v>0</v>
      </c>
      <c r="AW123" s="4357">
        <f t="shared" si="306"/>
        <v>0</v>
      </c>
      <c r="AX123" s="4357">
        <f t="shared" si="306"/>
        <v>0</v>
      </c>
      <c r="AY123" s="4357">
        <f t="shared" si="306"/>
        <v>0</v>
      </c>
      <c r="AZ123" s="4357">
        <f t="shared" si="306"/>
        <v>0</v>
      </c>
      <c r="BA123" s="4357">
        <f t="shared" si="306"/>
        <v>0</v>
      </c>
      <c r="BB123" s="4357">
        <f t="shared" si="306"/>
        <v>0</v>
      </c>
      <c r="BC123" s="4357">
        <f t="shared" si="306"/>
        <v>0</v>
      </c>
      <c r="BD123" s="4357">
        <f t="shared" si="306"/>
        <v>0</v>
      </c>
      <c r="BE123" s="4357">
        <f t="shared" si="306"/>
        <v>0</v>
      </c>
      <c r="BF123" s="4357">
        <f t="shared" si="306"/>
        <v>0</v>
      </c>
      <c r="BG123" s="4357">
        <f t="shared" si="306"/>
        <v>0</v>
      </c>
      <c r="BH123" s="4357">
        <f t="shared" si="306"/>
        <v>0</v>
      </c>
      <c r="BI123" s="4357">
        <f t="shared" si="306"/>
        <v>0</v>
      </c>
      <c r="BJ123" s="4357">
        <f t="shared" si="306"/>
        <v>0</v>
      </c>
      <c r="BK123" s="4357">
        <f t="shared" si="306"/>
        <v>0</v>
      </c>
      <c r="BL123" s="4357">
        <f t="shared" si="306"/>
        <v>0</v>
      </c>
      <c r="BM123" s="4357">
        <f t="shared" si="306"/>
        <v>0</v>
      </c>
      <c r="BN123" s="4357">
        <f t="shared" si="306"/>
        <v>0</v>
      </c>
      <c r="BO123" s="4357">
        <f t="shared" si="306"/>
        <v>0</v>
      </c>
      <c r="BP123" s="4357">
        <f t="shared" si="306"/>
        <v>0</v>
      </c>
      <c r="BQ123" s="4357">
        <f t="shared" ref="BQ123:CH123" si="307">IFERROR(IF((time+time_cap)&lt;BQ$2, 0,IF(AND(time+1&gt;=BR$2, $AC123&lt;BR$2), IF($AG123= "I", $AH123/($AD123-$AC123+1), $AH123/(($AD123*($AD123+1)/2)-(($AC123-1)*($AC123-1+1)/2))*BQ$2), 0)+IF(IF(time+1&gt;=BR$2, $AI123/time_cap/(time+1)*BQ$2, 0) = 0, $AI123/(time_cap),0)),0)</f>
        <v>0</v>
      </c>
      <c r="BR123" s="4357">
        <f t="shared" si="307"/>
        <v>0</v>
      </c>
      <c r="BS123" s="4357">
        <f t="shared" si="307"/>
        <v>0</v>
      </c>
      <c r="BT123" s="4357">
        <f t="shared" si="307"/>
        <v>0</v>
      </c>
      <c r="BU123" s="4357">
        <f t="shared" si="307"/>
        <v>0</v>
      </c>
      <c r="BV123" s="4357">
        <f t="shared" si="307"/>
        <v>0</v>
      </c>
      <c r="BW123" s="4357">
        <f t="shared" si="307"/>
        <v>0</v>
      </c>
      <c r="BX123" s="4357">
        <f t="shared" si="307"/>
        <v>0</v>
      </c>
      <c r="BY123" s="4357">
        <f t="shared" si="307"/>
        <v>0</v>
      </c>
      <c r="BZ123" s="4357">
        <f t="shared" si="307"/>
        <v>0</v>
      </c>
      <c r="CA123" s="4357">
        <f t="shared" si="307"/>
        <v>0</v>
      </c>
      <c r="CB123" s="4357">
        <f t="shared" si="307"/>
        <v>0</v>
      </c>
      <c r="CC123" s="4357">
        <f t="shared" si="307"/>
        <v>0</v>
      </c>
      <c r="CD123" s="4357">
        <f t="shared" si="307"/>
        <v>0</v>
      </c>
      <c r="CE123" s="4357">
        <f t="shared" si="307"/>
        <v>0</v>
      </c>
      <c r="CF123" s="4357">
        <f t="shared" si="307"/>
        <v>0</v>
      </c>
      <c r="CG123" s="4357">
        <f t="shared" si="307"/>
        <v>0</v>
      </c>
      <c r="CH123" s="4357">
        <f t="shared" si="307"/>
        <v>0</v>
      </c>
      <c r="CI123" s="4357"/>
      <c r="CJ123" s="4357"/>
      <c r="CK123" s="4357"/>
      <c r="CL123" s="4357"/>
      <c r="CM123" s="4357"/>
      <c r="CN123" s="4357"/>
      <c r="CO123" s="4357"/>
      <c r="CP123" s="4357"/>
      <c r="CQ123" s="4357"/>
      <c r="CR123" s="4357"/>
      <c r="CS123" s="4357"/>
      <c r="CT123" s="4357"/>
      <c r="CU123" s="4357"/>
      <c r="CV123" s="4357"/>
      <c r="CW123" s="4357"/>
      <c r="CX123" s="4357"/>
      <c r="CY123" s="4357"/>
      <c r="CZ123" s="4357"/>
      <c r="DA123" s="4357"/>
      <c r="DB123" s="4357"/>
      <c r="DC123" s="4357"/>
      <c r="DD123" s="4357"/>
      <c r="DE123" s="4357"/>
      <c r="DF123" s="4357"/>
      <c r="DG123" s="4357"/>
      <c r="DH123" s="4357"/>
      <c r="DI123" s="4357"/>
      <c r="DJ123" s="4357"/>
      <c r="DK123" s="4357"/>
      <c r="DL123" s="4357"/>
      <c r="DM123" s="4357"/>
      <c r="DN123" s="4357"/>
      <c r="DO123" s="4357"/>
      <c r="DP123" s="4357"/>
      <c r="DQ123" s="4357"/>
      <c r="DR123" s="4357"/>
      <c r="DS123" s="4357"/>
      <c r="DT123" s="4357"/>
      <c r="DU123" s="4357"/>
      <c r="DV123" s="4357"/>
      <c r="DW123" s="4357"/>
      <c r="DX123" s="4357"/>
      <c r="DY123" s="4357"/>
      <c r="DZ123" s="4357"/>
      <c r="EA123" s="4357"/>
      <c r="EB123" s="4357"/>
      <c r="EC123" s="4357"/>
      <c r="ED123" s="4357"/>
      <c r="EE123" s="4357"/>
      <c r="EF123" s="4357"/>
    </row>
    <row r="124" spans="1:136" ht="16" x14ac:dyDescent="0.2">
      <c r="A124" t="s">
        <v>3036</v>
      </c>
      <c r="B124" t="s">
        <v>3036</v>
      </c>
      <c r="D124" t="str">
        <f>'5.Management'!C17</f>
        <v>Please select</v>
      </c>
      <c r="E124">
        <f>'5.Management'!AF17</f>
        <v>0</v>
      </c>
      <c r="F124" s="388">
        <f>(degradation!J59-degradation!I59)+(degradation!L59-degradation!K59)</f>
        <v>0</v>
      </c>
      <c r="G124" s="388">
        <f>degradation!N59-degradation!M59</f>
        <v>0</v>
      </c>
      <c r="M124" s="388">
        <f>degradation!AP46-degradation!AO46</f>
        <v>0</v>
      </c>
      <c r="N124" s="388">
        <v>0</v>
      </c>
      <c r="U124" s="388">
        <f>degradation!AN46-degradation!AM46</f>
        <v>0</v>
      </c>
      <c r="AB124" t="str">
        <f t="shared" si="171"/>
        <v>ok</v>
      </c>
      <c r="AC124">
        <f>IF('5.Management'!BR17&lt;&gt;0,'5.Management'!BR17, '5.Management'!BQ17)</f>
        <v>1</v>
      </c>
      <c r="AD124">
        <f t="shared" si="190"/>
        <v>5</v>
      </c>
      <c r="AE124" s="4357" t="str">
        <f>'5.Management'!Y17</f>
        <v>D</v>
      </c>
      <c r="AF124" s="4357" t="str">
        <f>'5.Management'!AA17</f>
        <v>D</v>
      </c>
      <c r="AG124" s="4357" t="str">
        <f t="shared" si="193"/>
        <v>D</v>
      </c>
      <c r="AH124" s="4357">
        <f>((E124/(time_cap+((AD124-AC124+1)*VLOOKUP(AG124,list!$I$48:$K$50,3, FALSE))))*(AD124-AC124+1)*VLOOKUP(AG124,list!$I$48:$K$50,3, FALSE))</f>
        <v>0</v>
      </c>
      <c r="AI124" s="4357">
        <f>((E124/(time_cap+((AD124-AC124+1)*VLOOKUP(AG124,list!$I$48:$K$50,3, FALSE))))*time_cap)</f>
        <v>0</v>
      </c>
      <c r="AK124" s="4357">
        <f t="shared" ref="AK124:BP124" si="308">IFERROR(IF((time+time_cap)&lt;AK$2, 0,IF(AND(time+1&gt;=AL$2, $AC124&lt;AL$2), IF($AG124= "I", $AH124/($AD124-$AC124+1), $AH124/(($AD124*($AD124+1)/2)-(($AC124-1)*($AC124-1+1)/2))*AK$2), 0)+IF(IF(time+1&gt;=AL$2, $AI124/time_cap/(time+1)*AK$2, 0) = 0, $AI124/(time_cap),0)),0)</f>
        <v>0</v>
      </c>
      <c r="AL124" s="4357">
        <f t="shared" si="308"/>
        <v>0</v>
      </c>
      <c r="AM124" s="4357">
        <f t="shared" si="308"/>
        <v>0</v>
      </c>
      <c r="AN124" s="4357">
        <f t="shared" si="308"/>
        <v>0</v>
      </c>
      <c r="AO124" s="4357">
        <f t="shared" si="308"/>
        <v>0</v>
      </c>
      <c r="AP124" s="4357">
        <f t="shared" si="308"/>
        <v>0</v>
      </c>
      <c r="AQ124" s="4357">
        <f t="shared" si="308"/>
        <v>0</v>
      </c>
      <c r="AR124" s="4357">
        <f t="shared" si="308"/>
        <v>0</v>
      </c>
      <c r="AS124" s="4357">
        <f t="shared" si="308"/>
        <v>0</v>
      </c>
      <c r="AT124" s="4357">
        <f t="shared" si="308"/>
        <v>0</v>
      </c>
      <c r="AU124" s="4357">
        <f t="shared" si="308"/>
        <v>0</v>
      </c>
      <c r="AV124" s="4357">
        <f t="shared" si="308"/>
        <v>0</v>
      </c>
      <c r="AW124" s="4357">
        <f t="shared" si="308"/>
        <v>0</v>
      </c>
      <c r="AX124" s="4357">
        <f t="shared" si="308"/>
        <v>0</v>
      </c>
      <c r="AY124" s="4357">
        <f t="shared" si="308"/>
        <v>0</v>
      </c>
      <c r="AZ124" s="4357">
        <f t="shared" si="308"/>
        <v>0</v>
      </c>
      <c r="BA124" s="4357">
        <f t="shared" si="308"/>
        <v>0</v>
      </c>
      <c r="BB124" s="4357">
        <f t="shared" si="308"/>
        <v>0</v>
      </c>
      <c r="BC124" s="4357">
        <f t="shared" si="308"/>
        <v>0</v>
      </c>
      <c r="BD124" s="4357">
        <f t="shared" si="308"/>
        <v>0</v>
      </c>
      <c r="BE124" s="4357">
        <f t="shared" si="308"/>
        <v>0</v>
      </c>
      <c r="BF124" s="4357">
        <f t="shared" si="308"/>
        <v>0</v>
      </c>
      <c r="BG124" s="4357">
        <f t="shared" si="308"/>
        <v>0</v>
      </c>
      <c r="BH124" s="4357">
        <f t="shared" si="308"/>
        <v>0</v>
      </c>
      <c r="BI124" s="4357">
        <f t="shared" si="308"/>
        <v>0</v>
      </c>
      <c r="BJ124" s="4357">
        <f t="shared" si="308"/>
        <v>0</v>
      </c>
      <c r="BK124" s="4357">
        <f t="shared" si="308"/>
        <v>0</v>
      </c>
      <c r="BL124" s="4357">
        <f t="shared" si="308"/>
        <v>0</v>
      </c>
      <c r="BM124" s="4357">
        <f t="shared" si="308"/>
        <v>0</v>
      </c>
      <c r="BN124" s="4357">
        <f t="shared" si="308"/>
        <v>0</v>
      </c>
      <c r="BO124" s="4357">
        <f t="shared" si="308"/>
        <v>0</v>
      </c>
      <c r="BP124" s="4357">
        <f t="shared" si="308"/>
        <v>0</v>
      </c>
      <c r="BQ124" s="4357">
        <f t="shared" ref="BQ124:CH124" si="309">IFERROR(IF((time+time_cap)&lt;BQ$2, 0,IF(AND(time+1&gt;=BR$2, $AC124&lt;BR$2), IF($AG124= "I", $AH124/($AD124-$AC124+1), $AH124/(($AD124*($AD124+1)/2)-(($AC124-1)*($AC124-1+1)/2))*BQ$2), 0)+IF(IF(time+1&gt;=BR$2, $AI124/time_cap/(time+1)*BQ$2, 0) = 0, $AI124/(time_cap),0)),0)</f>
        <v>0</v>
      </c>
      <c r="BR124" s="4357">
        <f t="shared" si="309"/>
        <v>0</v>
      </c>
      <c r="BS124" s="4357">
        <f t="shared" si="309"/>
        <v>0</v>
      </c>
      <c r="BT124" s="4357">
        <f t="shared" si="309"/>
        <v>0</v>
      </c>
      <c r="BU124" s="4357">
        <f t="shared" si="309"/>
        <v>0</v>
      </c>
      <c r="BV124" s="4357">
        <f t="shared" si="309"/>
        <v>0</v>
      </c>
      <c r="BW124" s="4357">
        <f t="shared" si="309"/>
        <v>0</v>
      </c>
      <c r="BX124" s="4357">
        <f t="shared" si="309"/>
        <v>0</v>
      </c>
      <c r="BY124" s="4357">
        <f t="shared" si="309"/>
        <v>0</v>
      </c>
      <c r="BZ124" s="4357">
        <f t="shared" si="309"/>
        <v>0</v>
      </c>
      <c r="CA124" s="4357">
        <f t="shared" si="309"/>
        <v>0</v>
      </c>
      <c r="CB124" s="4357">
        <f t="shared" si="309"/>
        <v>0</v>
      </c>
      <c r="CC124" s="4357">
        <f t="shared" si="309"/>
        <v>0</v>
      </c>
      <c r="CD124" s="4357">
        <f t="shared" si="309"/>
        <v>0</v>
      </c>
      <c r="CE124" s="4357">
        <f t="shared" si="309"/>
        <v>0</v>
      </c>
      <c r="CF124" s="4357">
        <f t="shared" si="309"/>
        <v>0</v>
      </c>
      <c r="CG124" s="4357">
        <f t="shared" si="309"/>
        <v>0</v>
      </c>
      <c r="CH124" s="4357">
        <f t="shared" si="309"/>
        <v>0</v>
      </c>
      <c r="CI124" s="4357"/>
      <c r="CJ124" s="4357"/>
      <c r="CK124" s="4357"/>
      <c r="CL124" s="4357"/>
      <c r="CM124" s="4357"/>
      <c r="CN124" s="4357"/>
      <c r="CO124" s="4357"/>
      <c r="CP124" s="4357"/>
      <c r="CQ124" s="4357"/>
      <c r="CR124" s="4357"/>
      <c r="CS124" s="4357"/>
      <c r="CT124" s="4357"/>
      <c r="CU124" s="4357"/>
      <c r="CV124" s="4357"/>
      <c r="CW124" s="4357"/>
      <c r="CX124" s="4357"/>
      <c r="CY124" s="4357"/>
      <c r="CZ124" s="4357"/>
      <c r="DA124" s="4357"/>
      <c r="DB124" s="4357"/>
      <c r="DC124" s="4357"/>
      <c r="DD124" s="4357"/>
      <c r="DE124" s="4357"/>
      <c r="DF124" s="4357"/>
      <c r="DG124" s="4357"/>
      <c r="DH124" s="4357"/>
      <c r="DI124" s="4357"/>
      <c r="DJ124" s="4357"/>
      <c r="DK124" s="4357"/>
      <c r="DL124" s="4357"/>
      <c r="DM124" s="4357"/>
      <c r="DN124" s="4357"/>
      <c r="DO124" s="4357"/>
      <c r="DP124" s="4357"/>
      <c r="DQ124" s="4357"/>
      <c r="DR124" s="4357"/>
      <c r="DS124" s="4357"/>
      <c r="DT124" s="4357"/>
      <c r="DU124" s="4357"/>
      <c r="DV124" s="4357"/>
      <c r="DW124" s="4357"/>
      <c r="DX124" s="4357"/>
      <c r="DY124" s="4357"/>
      <c r="DZ124" s="4357"/>
      <c r="EA124" s="4357"/>
      <c r="EB124" s="4357"/>
      <c r="EC124" s="4357"/>
      <c r="ED124" s="4357"/>
      <c r="EE124" s="4357"/>
      <c r="EF124" s="4357"/>
    </row>
    <row r="125" spans="1:136" ht="16" x14ac:dyDescent="0.2">
      <c r="A125" t="s">
        <v>3036</v>
      </c>
      <c r="B125" t="s">
        <v>3036</v>
      </c>
      <c r="D125" t="str">
        <f>'5.Management'!C18</f>
        <v>Please select</v>
      </c>
      <c r="E125">
        <f>'5.Management'!AF18</f>
        <v>0</v>
      </c>
      <c r="F125" s="388">
        <f>(degradation!J60-degradation!I60)+(degradation!L60-degradation!K60)</f>
        <v>0</v>
      </c>
      <c r="G125" s="388">
        <f>degradation!N60-degradation!M60</f>
        <v>0</v>
      </c>
      <c r="M125" s="388">
        <f>degradation!AP47-degradation!AO47</f>
        <v>0</v>
      </c>
      <c r="N125" s="388">
        <v>0</v>
      </c>
      <c r="U125" s="388">
        <f>degradation!AN47-degradation!AM47</f>
        <v>0</v>
      </c>
      <c r="AB125" t="str">
        <f t="shared" si="171"/>
        <v>ok</v>
      </c>
      <c r="AC125">
        <f>IF('5.Management'!BR18&lt;&gt;0,'5.Management'!BR18, '5.Management'!BQ18)</f>
        <v>1</v>
      </c>
      <c r="AD125">
        <f t="shared" si="190"/>
        <v>5</v>
      </c>
      <c r="AE125" s="4357" t="str">
        <f>'5.Management'!Y18</f>
        <v>D</v>
      </c>
      <c r="AF125" s="4357" t="str">
        <f>'5.Management'!AA18</f>
        <v>D</v>
      </c>
      <c r="AG125" s="4357" t="str">
        <f t="shared" si="193"/>
        <v>D</v>
      </c>
      <c r="AH125" s="4357">
        <f>((E125/(time_cap+((AD125-AC125+1)*VLOOKUP(AG125,list!$I$48:$K$50,3, FALSE))))*(AD125-AC125+1)*VLOOKUP(AG125,list!$I$48:$K$50,3, FALSE))</f>
        <v>0</v>
      </c>
      <c r="AI125" s="4357">
        <f>((E125/(time_cap+((AD125-AC125+1)*VLOOKUP(AG125,list!$I$48:$K$50,3, FALSE))))*time_cap)</f>
        <v>0</v>
      </c>
      <c r="AK125" s="4357">
        <f t="shared" ref="AK125:BP125" si="310">IFERROR(IF((time+time_cap)&lt;AK$2, 0,IF(AND(time+1&gt;=AL$2, $AC125&lt;AL$2), IF($AG125= "I", $AH125/($AD125-$AC125+1), $AH125/(($AD125*($AD125+1)/2)-(($AC125-1)*($AC125-1+1)/2))*AK$2), 0)+IF(IF(time+1&gt;=AL$2, $AI125/time_cap/(time+1)*AK$2, 0) = 0, $AI125/(time_cap),0)),0)</f>
        <v>0</v>
      </c>
      <c r="AL125" s="4357">
        <f t="shared" si="310"/>
        <v>0</v>
      </c>
      <c r="AM125" s="4357">
        <f t="shared" si="310"/>
        <v>0</v>
      </c>
      <c r="AN125" s="4357">
        <f t="shared" si="310"/>
        <v>0</v>
      </c>
      <c r="AO125" s="4357">
        <f t="shared" si="310"/>
        <v>0</v>
      </c>
      <c r="AP125" s="4357">
        <f t="shared" si="310"/>
        <v>0</v>
      </c>
      <c r="AQ125" s="4357">
        <f t="shared" si="310"/>
        <v>0</v>
      </c>
      <c r="AR125" s="4357">
        <f t="shared" si="310"/>
        <v>0</v>
      </c>
      <c r="AS125" s="4357">
        <f t="shared" si="310"/>
        <v>0</v>
      </c>
      <c r="AT125" s="4357">
        <f t="shared" si="310"/>
        <v>0</v>
      </c>
      <c r="AU125" s="4357">
        <f t="shared" si="310"/>
        <v>0</v>
      </c>
      <c r="AV125" s="4357">
        <f t="shared" si="310"/>
        <v>0</v>
      </c>
      <c r="AW125" s="4357">
        <f t="shared" si="310"/>
        <v>0</v>
      </c>
      <c r="AX125" s="4357">
        <f t="shared" si="310"/>
        <v>0</v>
      </c>
      <c r="AY125" s="4357">
        <f t="shared" si="310"/>
        <v>0</v>
      </c>
      <c r="AZ125" s="4357">
        <f t="shared" si="310"/>
        <v>0</v>
      </c>
      <c r="BA125" s="4357">
        <f t="shared" si="310"/>
        <v>0</v>
      </c>
      <c r="BB125" s="4357">
        <f t="shared" si="310"/>
        <v>0</v>
      </c>
      <c r="BC125" s="4357">
        <f t="shared" si="310"/>
        <v>0</v>
      </c>
      <c r="BD125" s="4357">
        <f t="shared" si="310"/>
        <v>0</v>
      </c>
      <c r="BE125" s="4357">
        <f t="shared" si="310"/>
        <v>0</v>
      </c>
      <c r="BF125" s="4357">
        <f t="shared" si="310"/>
        <v>0</v>
      </c>
      <c r="BG125" s="4357">
        <f t="shared" si="310"/>
        <v>0</v>
      </c>
      <c r="BH125" s="4357">
        <f t="shared" si="310"/>
        <v>0</v>
      </c>
      <c r="BI125" s="4357">
        <f t="shared" si="310"/>
        <v>0</v>
      </c>
      <c r="BJ125" s="4357">
        <f t="shared" si="310"/>
        <v>0</v>
      </c>
      <c r="BK125" s="4357">
        <f t="shared" si="310"/>
        <v>0</v>
      </c>
      <c r="BL125" s="4357">
        <f t="shared" si="310"/>
        <v>0</v>
      </c>
      <c r="BM125" s="4357">
        <f t="shared" si="310"/>
        <v>0</v>
      </c>
      <c r="BN125" s="4357">
        <f t="shared" si="310"/>
        <v>0</v>
      </c>
      <c r="BO125" s="4357">
        <f t="shared" si="310"/>
        <v>0</v>
      </c>
      <c r="BP125" s="4357">
        <f t="shared" si="310"/>
        <v>0</v>
      </c>
      <c r="BQ125" s="4357">
        <f t="shared" ref="BQ125:CH125" si="311">IFERROR(IF((time+time_cap)&lt;BQ$2, 0,IF(AND(time+1&gt;=BR$2, $AC125&lt;BR$2), IF($AG125= "I", $AH125/($AD125-$AC125+1), $AH125/(($AD125*($AD125+1)/2)-(($AC125-1)*($AC125-1+1)/2))*BQ$2), 0)+IF(IF(time+1&gt;=BR$2, $AI125/time_cap/(time+1)*BQ$2, 0) = 0, $AI125/(time_cap),0)),0)</f>
        <v>0</v>
      </c>
      <c r="BR125" s="4357">
        <f t="shared" si="311"/>
        <v>0</v>
      </c>
      <c r="BS125" s="4357">
        <f t="shared" si="311"/>
        <v>0</v>
      </c>
      <c r="BT125" s="4357">
        <f t="shared" si="311"/>
        <v>0</v>
      </c>
      <c r="BU125" s="4357">
        <f t="shared" si="311"/>
        <v>0</v>
      </c>
      <c r="BV125" s="4357">
        <f t="shared" si="311"/>
        <v>0</v>
      </c>
      <c r="BW125" s="4357">
        <f t="shared" si="311"/>
        <v>0</v>
      </c>
      <c r="BX125" s="4357">
        <f t="shared" si="311"/>
        <v>0</v>
      </c>
      <c r="BY125" s="4357">
        <f t="shared" si="311"/>
        <v>0</v>
      </c>
      <c r="BZ125" s="4357">
        <f t="shared" si="311"/>
        <v>0</v>
      </c>
      <c r="CA125" s="4357">
        <f t="shared" si="311"/>
        <v>0</v>
      </c>
      <c r="CB125" s="4357">
        <f t="shared" si="311"/>
        <v>0</v>
      </c>
      <c r="CC125" s="4357">
        <f t="shared" si="311"/>
        <v>0</v>
      </c>
      <c r="CD125" s="4357">
        <f t="shared" si="311"/>
        <v>0</v>
      </c>
      <c r="CE125" s="4357">
        <f t="shared" si="311"/>
        <v>0</v>
      </c>
      <c r="CF125" s="4357">
        <f t="shared" si="311"/>
        <v>0</v>
      </c>
      <c r="CG125" s="4357">
        <f t="shared" si="311"/>
        <v>0</v>
      </c>
      <c r="CH125" s="4357">
        <f t="shared" si="311"/>
        <v>0</v>
      </c>
      <c r="CI125" s="4357"/>
      <c r="CJ125" s="4357"/>
      <c r="CK125" s="4357"/>
      <c r="CL125" s="4357"/>
      <c r="CM125" s="4357"/>
      <c r="CN125" s="4357"/>
      <c r="CO125" s="4357"/>
      <c r="CP125" s="4357"/>
      <c r="CQ125" s="4357"/>
      <c r="CR125" s="4357"/>
      <c r="CS125" s="4357"/>
      <c r="CT125" s="4357"/>
      <c r="CU125" s="4357"/>
      <c r="CV125" s="4357"/>
      <c r="CW125" s="4357"/>
      <c r="CX125" s="4357"/>
      <c r="CY125" s="4357"/>
      <c r="CZ125" s="4357"/>
      <c r="DA125" s="4357"/>
      <c r="DB125" s="4357"/>
      <c r="DC125" s="4357"/>
      <c r="DD125" s="4357"/>
      <c r="DE125" s="4357"/>
      <c r="DF125" s="4357"/>
      <c r="DG125" s="4357"/>
      <c r="DH125" s="4357"/>
      <c r="DI125" s="4357"/>
      <c r="DJ125" s="4357"/>
      <c r="DK125" s="4357"/>
      <c r="DL125" s="4357"/>
      <c r="DM125" s="4357"/>
      <c r="DN125" s="4357"/>
      <c r="DO125" s="4357"/>
      <c r="DP125" s="4357"/>
      <c r="DQ125" s="4357"/>
      <c r="DR125" s="4357"/>
      <c r="DS125" s="4357"/>
      <c r="DT125" s="4357"/>
      <c r="DU125" s="4357"/>
      <c r="DV125" s="4357"/>
      <c r="DW125" s="4357"/>
      <c r="DX125" s="4357"/>
      <c r="DY125" s="4357"/>
      <c r="DZ125" s="4357"/>
      <c r="EA125" s="4357"/>
      <c r="EB125" s="4357"/>
      <c r="EC125" s="4357"/>
      <c r="ED125" s="4357"/>
      <c r="EE125" s="4357"/>
      <c r="EF125" s="4357"/>
    </row>
    <row r="126" spans="1:136" ht="16" x14ac:dyDescent="0.2">
      <c r="A126" t="s">
        <v>3036</v>
      </c>
      <c r="B126" t="s">
        <v>3036</v>
      </c>
      <c r="D126" t="str">
        <f>'5.Management'!C19</f>
        <v>Please select</v>
      </c>
      <c r="E126">
        <f>'5.Management'!AF19</f>
        <v>0</v>
      </c>
      <c r="F126" s="388">
        <f>(degradation!J61-degradation!I61)+(degradation!L61-degradation!K61)</f>
        <v>0</v>
      </c>
      <c r="G126" s="388">
        <f>degradation!N61-degradation!M61</f>
        <v>0</v>
      </c>
      <c r="M126" s="388">
        <f>degradation!AP48-degradation!AO48</f>
        <v>0</v>
      </c>
      <c r="N126" s="388">
        <v>0</v>
      </c>
      <c r="U126" s="388">
        <f>degradation!AN48-degradation!AM48</f>
        <v>0</v>
      </c>
      <c r="AB126" t="str">
        <f t="shared" si="171"/>
        <v>ok</v>
      </c>
      <c r="AC126">
        <f>IF('5.Management'!BR19&lt;&gt;0,'5.Management'!BR19, '5.Management'!BQ19)</f>
        <v>1</v>
      </c>
      <c r="AD126">
        <f t="shared" si="190"/>
        <v>5</v>
      </c>
      <c r="AE126" s="4357" t="str">
        <f>'5.Management'!Y19</f>
        <v>D</v>
      </c>
      <c r="AF126" s="4357" t="str">
        <f>'5.Management'!AA19</f>
        <v>D</v>
      </c>
      <c r="AG126" s="4357" t="str">
        <f t="shared" si="193"/>
        <v>D</v>
      </c>
      <c r="AH126" s="4357">
        <f>((E126/(time_cap+((AD126-AC126+1)*VLOOKUP(AG126,list!$I$48:$K$50,3, FALSE))))*(AD126-AC126+1)*VLOOKUP(AG126,list!$I$48:$K$50,3, FALSE))</f>
        <v>0</v>
      </c>
      <c r="AI126" s="4357">
        <f>((E126/(time_cap+((AD126-AC126+1)*VLOOKUP(AG126,list!$I$48:$K$50,3, FALSE))))*time_cap)</f>
        <v>0</v>
      </c>
      <c r="AK126" s="4357">
        <f t="shared" ref="AK126:BP126" si="312">IFERROR(IF((time+time_cap)&lt;AK$2, 0,IF(AND(time+1&gt;=AL$2, $AC126&lt;AL$2), IF($AG126= "I", $AH126/($AD126-$AC126+1), $AH126/(($AD126*($AD126+1)/2)-(($AC126-1)*($AC126-1+1)/2))*AK$2), 0)+IF(IF(time+1&gt;=AL$2, $AI126/time_cap/(time+1)*AK$2, 0) = 0, $AI126/(time_cap),0)),0)</f>
        <v>0</v>
      </c>
      <c r="AL126" s="4357">
        <f t="shared" si="312"/>
        <v>0</v>
      </c>
      <c r="AM126" s="4357">
        <f t="shared" si="312"/>
        <v>0</v>
      </c>
      <c r="AN126" s="4357">
        <f t="shared" si="312"/>
        <v>0</v>
      </c>
      <c r="AO126" s="4357">
        <f t="shared" si="312"/>
        <v>0</v>
      </c>
      <c r="AP126" s="4357">
        <f t="shared" si="312"/>
        <v>0</v>
      </c>
      <c r="AQ126" s="4357">
        <f t="shared" si="312"/>
        <v>0</v>
      </c>
      <c r="AR126" s="4357">
        <f t="shared" si="312"/>
        <v>0</v>
      </c>
      <c r="AS126" s="4357">
        <f t="shared" si="312"/>
        <v>0</v>
      </c>
      <c r="AT126" s="4357">
        <f t="shared" si="312"/>
        <v>0</v>
      </c>
      <c r="AU126" s="4357">
        <f t="shared" si="312"/>
        <v>0</v>
      </c>
      <c r="AV126" s="4357">
        <f t="shared" si="312"/>
        <v>0</v>
      </c>
      <c r="AW126" s="4357">
        <f t="shared" si="312"/>
        <v>0</v>
      </c>
      <c r="AX126" s="4357">
        <f t="shared" si="312"/>
        <v>0</v>
      </c>
      <c r="AY126" s="4357">
        <f t="shared" si="312"/>
        <v>0</v>
      </c>
      <c r="AZ126" s="4357">
        <f t="shared" si="312"/>
        <v>0</v>
      </c>
      <c r="BA126" s="4357">
        <f t="shared" si="312"/>
        <v>0</v>
      </c>
      <c r="BB126" s="4357">
        <f t="shared" si="312"/>
        <v>0</v>
      </c>
      <c r="BC126" s="4357">
        <f t="shared" si="312"/>
        <v>0</v>
      </c>
      <c r="BD126" s="4357">
        <f t="shared" si="312"/>
        <v>0</v>
      </c>
      <c r="BE126" s="4357">
        <f t="shared" si="312"/>
        <v>0</v>
      </c>
      <c r="BF126" s="4357">
        <f t="shared" si="312"/>
        <v>0</v>
      </c>
      <c r="BG126" s="4357">
        <f t="shared" si="312"/>
        <v>0</v>
      </c>
      <c r="BH126" s="4357">
        <f t="shared" si="312"/>
        <v>0</v>
      </c>
      <c r="BI126" s="4357">
        <f t="shared" si="312"/>
        <v>0</v>
      </c>
      <c r="BJ126" s="4357">
        <f t="shared" si="312"/>
        <v>0</v>
      </c>
      <c r="BK126" s="4357">
        <f t="shared" si="312"/>
        <v>0</v>
      </c>
      <c r="BL126" s="4357">
        <f t="shared" si="312"/>
        <v>0</v>
      </c>
      <c r="BM126" s="4357">
        <f t="shared" si="312"/>
        <v>0</v>
      </c>
      <c r="BN126" s="4357">
        <f t="shared" si="312"/>
        <v>0</v>
      </c>
      <c r="BO126" s="4357">
        <f t="shared" si="312"/>
        <v>0</v>
      </c>
      <c r="BP126" s="4357">
        <f t="shared" si="312"/>
        <v>0</v>
      </c>
      <c r="BQ126" s="4357">
        <f t="shared" ref="BQ126:CH126" si="313">IFERROR(IF((time+time_cap)&lt;BQ$2, 0,IF(AND(time+1&gt;=BR$2, $AC126&lt;BR$2), IF($AG126= "I", $AH126/($AD126-$AC126+1), $AH126/(($AD126*($AD126+1)/2)-(($AC126-1)*($AC126-1+1)/2))*BQ$2), 0)+IF(IF(time+1&gt;=BR$2, $AI126/time_cap/(time+1)*BQ$2, 0) = 0, $AI126/(time_cap),0)),0)</f>
        <v>0</v>
      </c>
      <c r="BR126" s="4357">
        <f t="shared" si="313"/>
        <v>0</v>
      </c>
      <c r="BS126" s="4357">
        <f t="shared" si="313"/>
        <v>0</v>
      </c>
      <c r="BT126" s="4357">
        <f t="shared" si="313"/>
        <v>0</v>
      </c>
      <c r="BU126" s="4357">
        <f t="shared" si="313"/>
        <v>0</v>
      </c>
      <c r="BV126" s="4357">
        <f t="shared" si="313"/>
        <v>0</v>
      </c>
      <c r="BW126" s="4357">
        <f t="shared" si="313"/>
        <v>0</v>
      </c>
      <c r="BX126" s="4357">
        <f t="shared" si="313"/>
        <v>0</v>
      </c>
      <c r="BY126" s="4357">
        <f t="shared" si="313"/>
        <v>0</v>
      </c>
      <c r="BZ126" s="4357">
        <f t="shared" si="313"/>
        <v>0</v>
      </c>
      <c r="CA126" s="4357">
        <f t="shared" si="313"/>
        <v>0</v>
      </c>
      <c r="CB126" s="4357">
        <f t="shared" si="313"/>
        <v>0</v>
      </c>
      <c r="CC126" s="4357">
        <f t="shared" si="313"/>
        <v>0</v>
      </c>
      <c r="CD126" s="4357">
        <f t="shared" si="313"/>
        <v>0</v>
      </c>
      <c r="CE126" s="4357">
        <f t="shared" si="313"/>
        <v>0</v>
      </c>
      <c r="CF126" s="4357">
        <f t="shared" si="313"/>
        <v>0</v>
      </c>
      <c r="CG126" s="4357">
        <f t="shared" si="313"/>
        <v>0</v>
      </c>
      <c r="CH126" s="4357">
        <f t="shared" si="313"/>
        <v>0</v>
      </c>
      <c r="CI126" s="4357"/>
      <c r="CJ126" s="4357"/>
      <c r="CK126" s="4357"/>
      <c r="CL126" s="4357"/>
      <c r="CM126" s="4357"/>
      <c r="CN126" s="4357"/>
      <c r="CO126" s="4357"/>
      <c r="CP126" s="4357"/>
      <c r="CQ126" s="4357"/>
      <c r="CR126" s="4357"/>
      <c r="CS126" s="4357"/>
      <c r="CT126" s="4357"/>
      <c r="CU126" s="4357"/>
      <c r="CV126" s="4357"/>
      <c r="CW126" s="4357"/>
      <c r="CX126" s="4357"/>
      <c r="CY126" s="4357"/>
      <c r="CZ126" s="4357"/>
      <c r="DA126" s="4357"/>
      <c r="DB126" s="4357"/>
      <c r="DC126" s="4357"/>
      <c r="DD126" s="4357"/>
      <c r="DE126" s="4357"/>
      <c r="DF126" s="4357"/>
      <c r="DG126" s="4357"/>
      <c r="DH126" s="4357"/>
      <c r="DI126" s="4357"/>
      <c r="DJ126" s="4357"/>
      <c r="DK126" s="4357"/>
      <c r="DL126" s="4357"/>
      <c r="DM126" s="4357"/>
      <c r="DN126" s="4357"/>
      <c r="DO126" s="4357"/>
      <c r="DP126" s="4357"/>
      <c r="DQ126" s="4357"/>
      <c r="DR126" s="4357"/>
      <c r="DS126" s="4357"/>
      <c r="DT126" s="4357"/>
      <c r="DU126" s="4357"/>
      <c r="DV126" s="4357"/>
      <c r="DW126" s="4357"/>
      <c r="DX126" s="4357"/>
      <c r="DY126" s="4357"/>
      <c r="DZ126" s="4357"/>
      <c r="EA126" s="4357"/>
      <c r="EB126" s="4357"/>
      <c r="EC126" s="4357"/>
      <c r="ED126" s="4357"/>
      <c r="EE126" s="4357"/>
      <c r="EF126" s="4357"/>
    </row>
    <row r="127" spans="1:136" ht="16" x14ac:dyDescent="0.2">
      <c r="A127" t="s">
        <v>3036</v>
      </c>
      <c r="B127" t="s">
        <v>3036</v>
      </c>
      <c r="D127" t="str">
        <f>'5.Management'!C20</f>
        <v>Please select</v>
      </c>
      <c r="E127">
        <f>'5.Management'!AF20</f>
        <v>0</v>
      </c>
      <c r="F127" s="388">
        <f>(degradation!J62-degradation!I62)+(degradation!L62-degradation!K62)</f>
        <v>0</v>
      </c>
      <c r="G127" s="388">
        <f>degradation!N62-degradation!M62</f>
        <v>0</v>
      </c>
      <c r="M127" s="388">
        <f>degradation!AP49-degradation!AO49</f>
        <v>0</v>
      </c>
      <c r="N127" s="388">
        <v>0</v>
      </c>
      <c r="U127" s="388">
        <f>degradation!AN49-degradation!AM49</f>
        <v>0</v>
      </c>
      <c r="AB127" t="str">
        <f t="shared" si="171"/>
        <v>ok</v>
      </c>
      <c r="AC127">
        <f>IF('5.Management'!BR20&lt;&gt;0,'5.Management'!BR20, '5.Management'!BQ20)</f>
        <v>1</v>
      </c>
      <c r="AD127">
        <f t="shared" si="190"/>
        <v>5</v>
      </c>
      <c r="AE127" s="4357" t="str">
        <f>'5.Management'!Y20</f>
        <v>D</v>
      </c>
      <c r="AF127" s="4357" t="str">
        <f>'5.Management'!AA20</f>
        <v>D</v>
      </c>
      <c r="AG127" s="4357" t="str">
        <f t="shared" si="193"/>
        <v>D</v>
      </c>
      <c r="AH127" s="4357">
        <f>((E127/(time_cap+((AD127-AC127+1)*VLOOKUP(AG127,list!$I$48:$K$50,3, FALSE))))*(AD127-AC127+1)*VLOOKUP(AG127,list!$I$48:$K$50,3, FALSE))</f>
        <v>0</v>
      </c>
      <c r="AI127" s="4357">
        <f>((E127/(time_cap+((AD127-AC127+1)*VLOOKUP(AG127,list!$I$48:$K$50,3, FALSE))))*time_cap)</f>
        <v>0</v>
      </c>
      <c r="AK127" s="4357">
        <f t="shared" ref="AK127:BP127" si="314">IFERROR(IF((time+time_cap)&lt;AK$2, 0,IF(AND(time+1&gt;=AL$2, $AC127&lt;AL$2), IF($AG127= "I", $AH127/($AD127-$AC127+1), $AH127/(($AD127*($AD127+1)/2)-(($AC127-1)*($AC127-1+1)/2))*AK$2), 0)+IF(IF(time+1&gt;=AL$2, $AI127/time_cap/(time+1)*AK$2, 0) = 0, $AI127/(time_cap),0)),0)</f>
        <v>0</v>
      </c>
      <c r="AL127" s="4357">
        <f t="shared" si="314"/>
        <v>0</v>
      </c>
      <c r="AM127" s="4357">
        <f t="shared" si="314"/>
        <v>0</v>
      </c>
      <c r="AN127" s="4357">
        <f t="shared" si="314"/>
        <v>0</v>
      </c>
      <c r="AO127" s="4357">
        <f t="shared" si="314"/>
        <v>0</v>
      </c>
      <c r="AP127" s="4357">
        <f t="shared" si="314"/>
        <v>0</v>
      </c>
      <c r="AQ127" s="4357">
        <f t="shared" si="314"/>
        <v>0</v>
      </c>
      <c r="AR127" s="4357">
        <f t="shared" si="314"/>
        <v>0</v>
      </c>
      <c r="AS127" s="4357">
        <f t="shared" si="314"/>
        <v>0</v>
      </c>
      <c r="AT127" s="4357">
        <f t="shared" si="314"/>
        <v>0</v>
      </c>
      <c r="AU127" s="4357">
        <f t="shared" si="314"/>
        <v>0</v>
      </c>
      <c r="AV127" s="4357">
        <f t="shared" si="314"/>
        <v>0</v>
      </c>
      <c r="AW127" s="4357">
        <f t="shared" si="314"/>
        <v>0</v>
      </c>
      <c r="AX127" s="4357">
        <f t="shared" si="314"/>
        <v>0</v>
      </c>
      <c r="AY127" s="4357">
        <f t="shared" si="314"/>
        <v>0</v>
      </c>
      <c r="AZ127" s="4357">
        <f t="shared" si="314"/>
        <v>0</v>
      </c>
      <c r="BA127" s="4357">
        <f t="shared" si="314"/>
        <v>0</v>
      </c>
      <c r="BB127" s="4357">
        <f t="shared" si="314"/>
        <v>0</v>
      </c>
      <c r="BC127" s="4357">
        <f t="shared" si="314"/>
        <v>0</v>
      </c>
      <c r="BD127" s="4357">
        <f t="shared" si="314"/>
        <v>0</v>
      </c>
      <c r="BE127" s="4357">
        <f t="shared" si="314"/>
        <v>0</v>
      </c>
      <c r="BF127" s="4357">
        <f t="shared" si="314"/>
        <v>0</v>
      </c>
      <c r="BG127" s="4357">
        <f t="shared" si="314"/>
        <v>0</v>
      </c>
      <c r="BH127" s="4357">
        <f t="shared" si="314"/>
        <v>0</v>
      </c>
      <c r="BI127" s="4357">
        <f t="shared" si="314"/>
        <v>0</v>
      </c>
      <c r="BJ127" s="4357">
        <f t="shared" si="314"/>
        <v>0</v>
      </c>
      <c r="BK127" s="4357">
        <f t="shared" si="314"/>
        <v>0</v>
      </c>
      <c r="BL127" s="4357">
        <f t="shared" si="314"/>
        <v>0</v>
      </c>
      <c r="BM127" s="4357">
        <f t="shared" si="314"/>
        <v>0</v>
      </c>
      <c r="BN127" s="4357">
        <f t="shared" si="314"/>
        <v>0</v>
      </c>
      <c r="BO127" s="4357">
        <f t="shared" si="314"/>
        <v>0</v>
      </c>
      <c r="BP127" s="4357">
        <f t="shared" si="314"/>
        <v>0</v>
      </c>
      <c r="BQ127" s="4357">
        <f t="shared" ref="BQ127:CH127" si="315">IFERROR(IF((time+time_cap)&lt;BQ$2, 0,IF(AND(time+1&gt;=BR$2, $AC127&lt;BR$2), IF($AG127= "I", $AH127/($AD127-$AC127+1), $AH127/(($AD127*($AD127+1)/2)-(($AC127-1)*($AC127-1+1)/2))*BQ$2), 0)+IF(IF(time+1&gt;=BR$2, $AI127/time_cap/(time+1)*BQ$2, 0) = 0, $AI127/(time_cap),0)),0)</f>
        <v>0</v>
      </c>
      <c r="BR127" s="4357">
        <f t="shared" si="315"/>
        <v>0</v>
      </c>
      <c r="BS127" s="4357">
        <f t="shared" si="315"/>
        <v>0</v>
      </c>
      <c r="BT127" s="4357">
        <f t="shared" si="315"/>
        <v>0</v>
      </c>
      <c r="BU127" s="4357">
        <f t="shared" si="315"/>
        <v>0</v>
      </c>
      <c r="BV127" s="4357">
        <f t="shared" si="315"/>
        <v>0</v>
      </c>
      <c r="BW127" s="4357">
        <f t="shared" si="315"/>
        <v>0</v>
      </c>
      <c r="BX127" s="4357">
        <f t="shared" si="315"/>
        <v>0</v>
      </c>
      <c r="BY127" s="4357">
        <f t="shared" si="315"/>
        <v>0</v>
      </c>
      <c r="BZ127" s="4357">
        <f t="shared" si="315"/>
        <v>0</v>
      </c>
      <c r="CA127" s="4357">
        <f t="shared" si="315"/>
        <v>0</v>
      </c>
      <c r="CB127" s="4357">
        <f t="shared" si="315"/>
        <v>0</v>
      </c>
      <c r="CC127" s="4357">
        <f t="shared" si="315"/>
        <v>0</v>
      </c>
      <c r="CD127" s="4357">
        <f t="shared" si="315"/>
        <v>0</v>
      </c>
      <c r="CE127" s="4357">
        <f t="shared" si="315"/>
        <v>0</v>
      </c>
      <c r="CF127" s="4357">
        <f t="shared" si="315"/>
        <v>0</v>
      </c>
      <c r="CG127" s="4357">
        <f t="shared" si="315"/>
        <v>0</v>
      </c>
      <c r="CH127" s="4357">
        <f t="shared" si="315"/>
        <v>0</v>
      </c>
      <c r="CI127" s="4357"/>
      <c r="CJ127" s="4357"/>
      <c r="CK127" s="4357"/>
      <c r="CL127" s="4357"/>
      <c r="CM127" s="4357"/>
      <c r="CN127" s="4357"/>
      <c r="CO127" s="4357"/>
      <c r="CP127" s="4357"/>
      <c r="CQ127" s="4357"/>
      <c r="CR127" s="4357"/>
      <c r="CS127" s="4357"/>
      <c r="CT127" s="4357"/>
      <c r="CU127" s="4357"/>
      <c r="CV127" s="4357"/>
      <c r="CW127" s="4357"/>
      <c r="CX127" s="4357"/>
      <c r="CY127" s="4357"/>
      <c r="CZ127" s="4357"/>
      <c r="DA127" s="4357"/>
      <c r="DB127" s="4357"/>
      <c r="DC127" s="4357"/>
      <c r="DD127" s="4357"/>
      <c r="DE127" s="4357"/>
      <c r="DF127" s="4357"/>
      <c r="DG127" s="4357"/>
      <c r="DH127" s="4357"/>
      <c r="DI127" s="4357"/>
      <c r="DJ127" s="4357"/>
      <c r="DK127" s="4357"/>
      <c r="DL127" s="4357"/>
      <c r="DM127" s="4357"/>
      <c r="DN127" s="4357"/>
      <c r="DO127" s="4357"/>
      <c r="DP127" s="4357"/>
      <c r="DQ127" s="4357"/>
      <c r="DR127" s="4357"/>
      <c r="DS127" s="4357"/>
      <c r="DT127" s="4357"/>
      <c r="DU127" s="4357"/>
      <c r="DV127" s="4357"/>
      <c r="DW127" s="4357"/>
      <c r="DX127" s="4357"/>
      <c r="DY127" s="4357"/>
      <c r="DZ127" s="4357"/>
      <c r="EA127" s="4357"/>
      <c r="EB127" s="4357"/>
      <c r="EC127" s="4357"/>
      <c r="ED127" s="4357"/>
      <c r="EE127" s="4357"/>
      <c r="EF127" s="4357"/>
    </row>
    <row r="128" spans="1:136" ht="16" x14ac:dyDescent="0.2">
      <c r="A128" t="s">
        <v>3004</v>
      </c>
      <c r="B128" t="s">
        <v>3230</v>
      </c>
      <c r="D128" t="str">
        <f>'6.Inland wetlands'!C13</f>
        <v>Tropical rainforest</v>
      </c>
      <c r="E128">
        <f>'6.Inland wetlands'!AG13+'6.Inland wetlands'!AG25</f>
        <v>6177.4166666666642</v>
      </c>
      <c r="F128" s="388">
        <f>('Inl. wetlands'!AA36-'Inl. wetlands'!Z36)+('Inl. wetlands'!AC36-'Inl. wetlands'!AB36)+('Inl. wetlands'!AE36-'Inl. wetlands'!AD36)</f>
        <v>0</v>
      </c>
      <c r="H128" s="388">
        <f>'Inl. wetlands'!AF53-'Inl. wetlands'!AE53</f>
        <v>0</v>
      </c>
      <c r="I128" s="388">
        <f>'Inl. wetlands'!AC66-'Inl. wetlands'!AB66+'Inl. wetlands'!AC77-'Inl. wetlands'!AB77+'Inl. wetlands'!AC91-'Inl. wetlands'!AB91+'Inl. wetlands'!AC102-'Inl. wetlands'!AB102</f>
        <v>2658.3333333333344</v>
      </c>
      <c r="M128" s="388">
        <f>'Inl. wetlands'!BC36-'Inl. wetlands'!BB36+'Inl. wetlands'!J36-'Inl. wetlands'!H36</f>
        <v>0</v>
      </c>
      <c r="R128" s="388">
        <f>'Inl. wetlands'!AG66-'Inl. wetlands'!AF66+'Inl. wetlands'!AG77-'Inl. wetlands'!AF77+'Inl. wetlands'!AG91-'Inl. wetlands'!AF91+'Inl. wetlands'!AG102-'Inl. wetlands'!AF102</f>
        <v>291.50000000000011</v>
      </c>
      <c r="U128" s="388">
        <f>'Inl. wetlands'!BA36-'Inl. wetlands'!AZ36+'Inl. wetlands'!I36-'Inl. wetlands'!G36</f>
        <v>0</v>
      </c>
      <c r="Y128" s="388">
        <f>'Inl. wetlands'!AH53-'Inl. wetlands'!AG53</f>
        <v>0</v>
      </c>
      <c r="Z128" s="388">
        <f>'Inl. wetlands'!AE66-'Inl. wetlands'!AD66+'Inl. wetlands'!AE77-'Inl. wetlands'!AD77+'Inl. wetlands'!AE91-'Inl. wetlands'!AD91+'Inl. wetlands'!AE102-'Inl. wetlands'!AD102</f>
        <v>3227.5833333333317</v>
      </c>
      <c r="AB128" t="str">
        <f t="shared" si="171"/>
        <v>ok</v>
      </c>
      <c r="AC128">
        <f>IF('6.Inland wetlands'!BJ13&lt;&gt;0,'6.Inland wetlands'!BJ13,'6.Inland wetlands'!BI13)</f>
        <v>1</v>
      </c>
      <c r="AD128">
        <f t="shared" si="190"/>
        <v>5</v>
      </c>
      <c r="AE128" s="4357" t="str">
        <f>'6.Inland wetlands'!O13</f>
        <v>D</v>
      </c>
      <c r="AF128" s="4357" t="str">
        <f>'6.Inland wetlands'!Q13</f>
        <v>D</v>
      </c>
      <c r="AG128" s="4357" t="str">
        <f t="shared" si="193"/>
        <v>D</v>
      </c>
      <c r="AH128" s="4357">
        <f>((E128/(time_cap+((AD128-AC128+1)*VLOOKUP(AG128,list!$I$48:$K$50,3, FALSE))))*(AD128-AC128+1)*VLOOKUP(AG128,list!$I$48:$K$50,3, FALSE))</f>
        <v>1235.4833333333329</v>
      </c>
      <c r="AI128" s="4357">
        <f>((E128/(time_cap+((AD128-AC128+1)*VLOOKUP(AG128,list!$I$48:$K$50,3, FALSE))))*time_cap)</f>
        <v>4941.9333333333316</v>
      </c>
      <c r="AK128" s="4357">
        <f t="shared" ref="AK128:BP128" si="316">IFERROR(IF((time+time_cap)&lt;AK$2, 0,IF(AND(time+1&gt;=AL$2, $AC128&lt;AL$2), IF($AG128= "I", $AH128/($AD128-$AC128+1), $AH128/(($AD128*($AD128+1)/2)-(($AC128-1)*($AC128-1+1)/2))*AK$2), 0)+IF(IF(time+1&gt;=AL$2, $AI128/time_cap/(time+1)*AK$2, 0) = 0, $AI128/(time_cap),0)),0)</f>
        <v>82.365555555555531</v>
      </c>
      <c r="AL128" s="4357">
        <f t="shared" si="316"/>
        <v>164.73111111111106</v>
      </c>
      <c r="AM128" s="4357">
        <f t="shared" si="316"/>
        <v>247.09666666666658</v>
      </c>
      <c r="AN128" s="4357">
        <f t="shared" si="316"/>
        <v>329.46222222222212</v>
      </c>
      <c r="AO128" s="4357">
        <f t="shared" si="316"/>
        <v>411.82777777777767</v>
      </c>
      <c r="AP128" s="4357">
        <f t="shared" si="316"/>
        <v>494.19333333333316</v>
      </c>
      <c r="AQ128" s="4357">
        <f t="shared" si="316"/>
        <v>494.19333333333316</v>
      </c>
      <c r="AR128" s="4357">
        <f t="shared" si="316"/>
        <v>494.19333333333316</v>
      </c>
      <c r="AS128" s="4357">
        <f t="shared" si="316"/>
        <v>494.19333333333316</v>
      </c>
      <c r="AT128" s="4357">
        <f t="shared" si="316"/>
        <v>494.19333333333316</v>
      </c>
      <c r="AU128" s="4357">
        <f t="shared" si="316"/>
        <v>494.19333333333316</v>
      </c>
      <c r="AV128" s="4357">
        <f t="shared" si="316"/>
        <v>494.19333333333316</v>
      </c>
      <c r="AW128" s="4357">
        <f t="shared" si="316"/>
        <v>494.19333333333316</v>
      </c>
      <c r="AX128" s="4357">
        <f t="shared" si="316"/>
        <v>494.19333333333316</v>
      </c>
      <c r="AY128" s="4357">
        <f t="shared" si="316"/>
        <v>494.19333333333316</v>
      </c>
      <c r="AZ128" s="4357">
        <f t="shared" si="316"/>
        <v>0</v>
      </c>
      <c r="BA128" s="4357">
        <f t="shared" si="316"/>
        <v>0</v>
      </c>
      <c r="BB128" s="4357">
        <f t="shared" si="316"/>
        <v>0</v>
      </c>
      <c r="BC128" s="4357">
        <f t="shared" si="316"/>
        <v>0</v>
      </c>
      <c r="BD128" s="4357">
        <f t="shared" si="316"/>
        <v>0</v>
      </c>
      <c r="BE128" s="4357">
        <f t="shared" si="316"/>
        <v>0</v>
      </c>
      <c r="BF128" s="4357">
        <f t="shared" si="316"/>
        <v>0</v>
      </c>
      <c r="BG128" s="4357">
        <f t="shared" si="316"/>
        <v>0</v>
      </c>
      <c r="BH128" s="4357">
        <f t="shared" si="316"/>
        <v>0</v>
      </c>
      <c r="BI128" s="4357">
        <f t="shared" si="316"/>
        <v>0</v>
      </c>
      <c r="BJ128" s="4357">
        <f t="shared" si="316"/>
        <v>0</v>
      </c>
      <c r="BK128" s="4357">
        <f t="shared" si="316"/>
        <v>0</v>
      </c>
      <c r="BL128" s="4357">
        <f t="shared" si="316"/>
        <v>0</v>
      </c>
      <c r="BM128" s="4357">
        <f t="shared" si="316"/>
        <v>0</v>
      </c>
      <c r="BN128" s="4357">
        <f t="shared" si="316"/>
        <v>0</v>
      </c>
      <c r="BO128" s="4357">
        <f t="shared" si="316"/>
        <v>0</v>
      </c>
      <c r="BP128" s="4357">
        <f t="shared" si="316"/>
        <v>0</v>
      </c>
      <c r="BQ128" s="4357">
        <f t="shared" ref="BQ128:CH128" si="317">IFERROR(IF((time+time_cap)&lt;BQ$2, 0,IF(AND(time+1&gt;=BR$2, $AC128&lt;BR$2), IF($AG128= "I", $AH128/($AD128-$AC128+1), $AH128/(($AD128*($AD128+1)/2)-(($AC128-1)*($AC128-1+1)/2))*BQ$2), 0)+IF(IF(time+1&gt;=BR$2, $AI128/time_cap/(time+1)*BQ$2, 0) = 0, $AI128/(time_cap),0)),0)</f>
        <v>0</v>
      </c>
      <c r="BR128" s="4357">
        <f t="shared" si="317"/>
        <v>0</v>
      </c>
      <c r="BS128" s="4357">
        <f t="shared" si="317"/>
        <v>0</v>
      </c>
      <c r="BT128" s="4357">
        <f t="shared" si="317"/>
        <v>0</v>
      </c>
      <c r="BU128" s="4357">
        <f t="shared" si="317"/>
        <v>0</v>
      </c>
      <c r="BV128" s="4357">
        <f t="shared" si="317"/>
        <v>0</v>
      </c>
      <c r="BW128" s="4357">
        <f t="shared" si="317"/>
        <v>0</v>
      </c>
      <c r="BX128" s="4357">
        <f t="shared" si="317"/>
        <v>0</v>
      </c>
      <c r="BY128" s="4357">
        <f t="shared" si="317"/>
        <v>0</v>
      </c>
      <c r="BZ128" s="4357">
        <f t="shared" si="317"/>
        <v>0</v>
      </c>
      <c r="CA128" s="4357">
        <f t="shared" si="317"/>
        <v>0</v>
      </c>
      <c r="CB128" s="4357">
        <f t="shared" si="317"/>
        <v>0</v>
      </c>
      <c r="CC128" s="4357">
        <f t="shared" si="317"/>
        <v>0</v>
      </c>
      <c r="CD128" s="4357">
        <f t="shared" si="317"/>
        <v>0</v>
      </c>
      <c r="CE128" s="4357">
        <f t="shared" si="317"/>
        <v>0</v>
      </c>
      <c r="CF128" s="4357">
        <f t="shared" si="317"/>
        <v>0</v>
      </c>
      <c r="CG128" s="4357">
        <f t="shared" si="317"/>
        <v>0</v>
      </c>
      <c r="CH128" s="4357">
        <f t="shared" si="317"/>
        <v>0</v>
      </c>
      <c r="CI128" s="4357"/>
      <c r="CJ128" s="4357"/>
      <c r="CK128" s="4357"/>
      <c r="CL128" s="4357"/>
      <c r="CM128" s="4357"/>
      <c r="CN128" s="4357"/>
      <c r="CO128" s="4357"/>
      <c r="CP128" s="4357"/>
      <c r="CQ128" s="4357"/>
      <c r="CR128" s="4357"/>
      <c r="CS128" s="4357"/>
      <c r="CT128" s="4357"/>
      <c r="CU128" s="4357"/>
      <c r="CV128" s="4357"/>
      <c r="CW128" s="4357"/>
      <c r="CX128" s="4357"/>
      <c r="CY128" s="4357"/>
      <c r="CZ128" s="4357"/>
      <c r="DA128" s="4357"/>
      <c r="DB128" s="4357"/>
      <c r="DC128" s="4357"/>
      <c r="DD128" s="4357"/>
      <c r="DE128" s="4357"/>
      <c r="DF128" s="4357"/>
      <c r="DG128" s="4357"/>
      <c r="DH128" s="4357"/>
      <c r="DI128" s="4357"/>
      <c r="DJ128" s="4357"/>
      <c r="DK128" s="4357"/>
      <c r="DL128" s="4357"/>
      <c r="DM128" s="4357"/>
      <c r="DN128" s="4357"/>
      <c r="DO128" s="4357"/>
      <c r="DP128" s="4357"/>
      <c r="DQ128" s="4357"/>
      <c r="DR128" s="4357"/>
      <c r="DS128" s="4357"/>
      <c r="DT128" s="4357"/>
      <c r="DU128" s="4357"/>
      <c r="DV128" s="4357"/>
      <c r="DW128" s="4357"/>
      <c r="DX128" s="4357"/>
      <c r="DY128" s="4357"/>
      <c r="DZ128" s="4357"/>
      <c r="EA128" s="4357"/>
      <c r="EB128" s="4357"/>
      <c r="EC128" s="4357"/>
      <c r="ED128" s="4357"/>
      <c r="EE128" s="4357"/>
      <c r="EF128" s="4357"/>
    </row>
    <row r="129" spans="1:136" ht="16" x14ac:dyDescent="0.2">
      <c r="A129" t="s">
        <v>3004</v>
      </c>
      <c r="B129" t="s">
        <v>3230</v>
      </c>
      <c r="D129" t="str">
        <f>'6.Inland wetlands'!C14</f>
        <v>Please select</v>
      </c>
      <c r="E129">
        <f>'6.Inland wetlands'!AG14+'6.Inland wetlands'!AG26</f>
        <v>0</v>
      </c>
      <c r="F129" s="388">
        <f>('Inl. wetlands'!AA37-'Inl. wetlands'!Z37)+('Inl. wetlands'!AC37-'Inl. wetlands'!AB37)+('Inl. wetlands'!AE37-'Inl. wetlands'!AD37)</f>
        <v>0</v>
      </c>
      <c r="H129" s="388">
        <f>'Inl. wetlands'!AF54-'Inl. wetlands'!AE54</f>
        <v>0</v>
      </c>
      <c r="I129" s="388">
        <f>'Inl. wetlands'!AC67-'Inl. wetlands'!AB67+'Inl. wetlands'!AC78-'Inl. wetlands'!AB78+'Inl. wetlands'!AC92-'Inl. wetlands'!AB92+'Inl. wetlands'!AC103-'Inl. wetlands'!AB103</f>
        <v>0</v>
      </c>
      <c r="M129" s="388">
        <f>'Inl. wetlands'!BC37-'Inl. wetlands'!BB37+'Inl. wetlands'!J37-'Inl. wetlands'!H37</f>
        <v>0</v>
      </c>
      <c r="R129" s="388">
        <f>'Inl. wetlands'!AG67-'Inl. wetlands'!AF67+'Inl. wetlands'!AG78-'Inl. wetlands'!AF78+'Inl. wetlands'!AG92-'Inl. wetlands'!AF92+'Inl. wetlands'!AG103-'Inl. wetlands'!AF103</f>
        <v>0</v>
      </c>
      <c r="U129" s="388">
        <f>'Inl. wetlands'!BA37-'Inl. wetlands'!AZ37+'Inl. wetlands'!I37-'Inl. wetlands'!G37</f>
        <v>0</v>
      </c>
      <c r="Y129" s="388">
        <f>'Inl. wetlands'!AH54-'Inl. wetlands'!AG54</f>
        <v>0</v>
      </c>
      <c r="Z129" s="388">
        <f>'Inl. wetlands'!AE67-'Inl. wetlands'!AD67+'Inl. wetlands'!AE78-'Inl. wetlands'!AD78+'Inl. wetlands'!AE92-'Inl. wetlands'!AD92+'Inl. wetlands'!AE103-'Inl. wetlands'!AD103</f>
        <v>0</v>
      </c>
      <c r="AB129" t="str">
        <f t="shared" si="171"/>
        <v>ok</v>
      </c>
      <c r="AC129">
        <f>IF('6.Inland wetlands'!BJ14&lt;&gt;0,'6.Inland wetlands'!BJ14,'6.Inland wetlands'!BI14)</f>
        <v>1</v>
      </c>
      <c r="AD129">
        <f t="shared" si="190"/>
        <v>5</v>
      </c>
      <c r="AE129" s="4357" t="str">
        <f>'6.Inland wetlands'!O14</f>
        <v>D</v>
      </c>
      <c r="AF129" s="4357" t="str">
        <f>'6.Inland wetlands'!Q14</f>
        <v>D</v>
      </c>
      <c r="AG129" s="4357" t="str">
        <f t="shared" si="193"/>
        <v>D</v>
      </c>
      <c r="AH129" s="4357">
        <f>((E129/(time_cap+((AD129-AC129+1)*VLOOKUP(AG129,list!$I$48:$K$50,3, FALSE))))*(AD129-AC129+1)*VLOOKUP(AG129,list!$I$48:$K$50,3, FALSE))</f>
        <v>0</v>
      </c>
      <c r="AI129" s="4357">
        <f>((E129/(time_cap+((AD129-AC129+1)*VLOOKUP(AG129,list!$I$48:$K$50,3, FALSE))))*time_cap)</f>
        <v>0</v>
      </c>
      <c r="AK129" s="4357">
        <f t="shared" ref="AK129:BP129" si="318">IFERROR(IF((time+time_cap)&lt;AK$2, 0,IF(AND(time+1&gt;=AL$2, $AC129&lt;AL$2), IF($AG129= "I", $AH129/($AD129-$AC129+1), $AH129/(($AD129*($AD129+1)/2)-(($AC129-1)*($AC129-1+1)/2))*AK$2), 0)+IF(IF(time+1&gt;=AL$2, $AI129/time_cap/(time+1)*AK$2, 0) = 0, $AI129/(time_cap),0)),0)</f>
        <v>0</v>
      </c>
      <c r="AL129" s="4357">
        <f t="shared" si="318"/>
        <v>0</v>
      </c>
      <c r="AM129" s="4357">
        <f t="shared" si="318"/>
        <v>0</v>
      </c>
      <c r="AN129" s="4357">
        <f t="shared" si="318"/>
        <v>0</v>
      </c>
      <c r="AO129" s="4357">
        <f t="shared" si="318"/>
        <v>0</v>
      </c>
      <c r="AP129" s="4357">
        <f t="shared" si="318"/>
        <v>0</v>
      </c>
      <c r="AQ129" s="4357">
        <f t="shared" si="318"/>
        <v>0</v>
      </c>
      <c r="AR129" s="4357">
        <f t="shared" si="318"/>
        <v>0</v>
      </c>
      <c r="AS129" s="4357">
        <f t="shared" si="318"/>
        <v>0</v>
      </c>
      <c r="AT129" s="4357">
        <f t="shared" si="318"/>
        <v>0</v>
      </c>
      <c r="AU129" s="4357">
        <f t="shared" si="318"/>
        <v>0</v>
      </c>
      <c r="AV129" s="4357">
        <f t="shared" si="318"/>
        <v>0</v>
      </c>
      <c r="AW129" s="4357">
        <f t="shared" si="318"/>
        <v>0</v>
      </c>
      <c r="AX129" s="4357">
        <f t="shared" si="318"/>
        <v>0</v>
      </c>
      <c r="AY129" s="4357">
        <f t="shared" si="318"/>
        <v>0</v>
      </c>
      <c r="AZ129" s="4357">
        <f t="shared" si="318"/>
        <v>0</v>
      </c>
      <c r="BA129" s="4357">
        <f t="shared" si="318"/>
        <v>0</v>
      </c>
      <c r="BB129" s="4357">
        <f t="shared" si="318"/>
        <v>0</v>
      </c>
      <c r="BC129" s="4357">
        <f t="shared" si="318"/>
        <v>0</v>
      </c>
      <c r="BD129" s="4357">
        <f t="shared" si="318"/>
        <v>0</v>
      </c>
      <c r="BE129" s="4357">
        <f t="shared" si="318"/>
        <v>0</v>
      </c>
      <c r="BF129" s="4357">
        <f t="shared" si="318"/>
        <v>0</v>
      </c>
      <c r="BG129" s="4357">
        <f t="shared" si="318"/>
        <v>0</v>
      </c>
      <c r="BH129" s="4357">
        <f t="shared" si="318"/>
        <v>0</v>
      </c>
      <c r="BI129" s="4357">
        <f t="shared" si="318"/>
        <v>0</v>
      </c>
      <c r="BJ129" s="4357">
        <f t="shared" si="318"/>
        <v>0</v>
      </c>
      <c r="BK129" s="4357">
        <f t="shared" si="318"/>
        <v>0</v>
      </c>
      <c r="BL129" s="4357">
        <f t="shared" si="318"/>
        <v>0</v>
      </c>
      <c r="BM129" s="4357">
        <f t="shared" si="318"/>
        <v>0</v>
      </c>
      <c r="BN129" s="4357">
        <f t="shared" si="318"/>
        <v>0</v>
      </c>
      <c r="BO129" s="4357">
        <f t="shared" si="318"/>
        <v>0</v>
      </c>
      <c r="BP129" s="4357">
        <f t="shared" si="318"/>
        <v>0</v>
      </c>
      <c r="BQ129" s="4357">
        <f t="shared" ref="BQ129:CH129" si="319">IFERROR(IF((time+time_cap)&lt;BQ$2, 0,IF(AND(time+1&gt;=BR$2, $AC129&lt;BR$2), IF($AG129= "I", $AH129/($AD129-$AC129+1), $AH129/(($AD129*($AD129+1)/2)-(($AC129-1)*($AC129-1+1)/2))*BQ$2), 0)+IF(IF(time+1&gt;=BR$2, $AI129/time_cap/(time+1)*BQ$2, 0) = 0, $AI129/(time_cap),0)),0)</f>
        <v>0</v>
      </c>
      <c r="BR129" s="4357">
        <f t="shared" si="319"/>
        <v>0</v>
      </c>
      <c r="BS129" s="4357">
        <f t="shared" si="319"/>
        <v>0</v>
      </c>
      <c r="BT129" s="4357">
        <f t="shared" si="319"/>
        <v>0</v>
      </c>
      <c r="BU129" s="4357">
        <f t="shared" si="319"/>
        <v>0</v>
      </c>
      <c r="BV129" s="4357">
        <f t="shared" si="319"/>
        <v>0</v>
      </c>
      <c r="BW129" s="4357">
        <f t="shared" si="319"/>
        <v>0</v>
      </c>
      <c r="BX129" s="4357">
        <f t="shared" si="319"/>
        <v>0</v>
      </c>
      <c r="BY129" s="4357">
        <f t="shared" si="319"/>
        <v>0</v>
      </c>
      <c r="BZ129" s="4357">
        <f t="shared" si="319"/>
        <v>0</v>
      </c>
      <c r="CA129" s="4357">
        <f t="shared" si="319"/>
        <v>0</v>
      </c>
      <c r="CB129" s="4357">
        <f t="shared" si="319"/>
        <v>0</v>
      </c>
      <c r="CC129" s="4357">
        <f t="shared" si="319"/>
        <v>0</v>
      </c>
      <c r="CD129" s="4357">
        <f t="shared" si="319"/>
        <v>0</v>
      </c>
      <c r="CE129" s="4357">
        <f t="shared" si="319"/>
        <v>0</v>
      </c>
      <c r="CF129" s="4357">
        <f t="shared" si="319"/>
        <v>0</v>
      </c>
      <c r="CG129" s="4357">
        <f t="shared" si="319"/>
        <v>0</v>
      </c>
      <c r="CH129" s="4357">
        <f t="shared" si="319"/>
        <v>0</v>
      </c>
      <c r="CI129" s="4357"/>
      <c r="CJ129" s="4357"/>
      <c r="CK129" s="4357"/>
      <c r="CL129" s="4357"/>
      <c r="CM129" s="4357"/>
      <c r="CN129" s="4357"/>
      <c r="CO129" s="4357"/>
      <c r="CP129" s="4357"/>
      <c r="CQ129" s="4357"/>
      <c r="CR129" s="4357"/>
      <c r="CS129" s="4357"/>
      <c r="CT129" s="4357"/>
      <c r="CU129" s="4357"/>
      <c r="CV129" s="4357"/>
      <c r="CW129" s="4357"/>
      <c r="CX129" s="4357"/>
      <c r="CY129" s="4357"/>
      <c r="CZ129" s="4357"/>
      <c r="DA129" s="4357"/>
      <c r="DB129" s="4357"/>
      <c r="DC129" s="4357"/>
      <c r="DD129" s="4357"/>
      <c r="DE129" s="4357"/>
      <c r="DF129" s="4357"/>
      <c r="DG129" s="4357"/>
      <c r="DH129" s="4357"/>
      <c r="DI129" s="4357"/>
      <c r="DJ129" s="4357"/>
      <c r="DK129" s="4357"/>
      <c r="DL129" s="4357"/>
      <c r="DM129" s="4357"/>
      <c r="DN129" s="4357"/>
      <c r="DO129" s="4357"/>
      <c r="DP129" s="4357"/>
      <c r="DQ129" s="4357"/>
      <c r="DR129" s="4357"/>
      <c r="DS129" s="4357"/>
      <c r="DT129" s="4357"/>
      <c r="DU129" s="4357"/>
      <c r="DV129" s="4357"/>
      <c r="DW129" s="4357"/>
      <c r="DX129" s="4357"/>
      <c r="DY129" s="4357"/>
      <c r="DZ129" s="4357"/>
      <c r="EA129" s="4357"/>
      <c r="EB129" s="4357"/>
      <c r="EC129" s="4357"/>
      <c r="ED129" s="4357"/>
      <c r="EE129" s="4357"/>
      <c r="EF129" s="4357"/>
    </row>
    <row r="130" spans="1:136" ht="16" x14ac:dyDescent="0.2">
      <c r="A130" t="s">
        <v>3004</v>
      </c>
      <c r="B130" t="s">
        <v>3230</v>
      </c>
      <c r="D130" t="str">
        <f>'6.Inland wetlands'!C15</f>
        <v>Please select</v>
      </c>
      <c r="E130">
        <f>'6.Inland wetlands'!AG15+'6.Inland wetlands'!AG27</f>
        <v>0</v>
      </c>
      <c r="F130" s="388">
        <f>('Inl. wetlands'!AA38-'Inl. wetlands'!Z38)+('Inl. wetlands'!AC38-'Inl. wetlands'!AB38)+('Inl. wetlands'!AE38-'Inl. wetlands'!AD38)</f>
        <v>0</v>
      </c>
      <c r="H130" s="388">
        <f>'Inl. wetlands'!AF55-'Inl. wetlands'!AE55</f>
        <v>0</v>
      </c>
      <c r="I130" s="388">
        <f>'Inl. wetlands'!AC68-'Inl. wetlands'!AB68+'Inl. wetlands'!AC79-'Inl. wetlands'!AB79+'Inl. wetlands'!AC93-'Inl. wetlands'!AB93+'Inl. wetlands'!AC104-'Inl. wetlands'!AB104</f>
        <v>0</v>
      </c>
      <c r="M130" s="388">
        <f>'Inl. wetlands'!BC38-'Inl. wetlands'!BB38+'Inl. wetlands'!J38-'Inl. wetlands'!H38</f>
        <v>0</v>
      </c>
      <c r="R130" s="388">
        <f>'Inl. wetlands'!AG68-'Inl. wetlands'!AF68+'Inl. wetlands'!AG79-'Inl. wetlands'!AF79+'Inl. wetlands'!AG93-'Inl. wetlands'!AF93+'Inl. wetlands'!AG104-'Inl. wetlands'!AF104</f>
        <v>0</v>
      </c>
      <c r="U130" s="388">
        <f>'Inl. wetlands'!BA38-'Inl. wetlands'!AZ38+'Inl. wetlands'!I38-'Inl. wetlands'!G38</f>
        <v>0</v>
      </c>
      <c r="Y130" s="388">
        <f>'Inl. wetlands'!AH55-'Inl. wetlands'!AG55</f>
        <v>0</v>
      </c>
      <c r="Z130" s="388">
        <f>'Inl. wetlands'!AE68-'Inl. wetlands'!AD68+'Inl. wetlands'!AE79-'Inl. wetlands'!AD79+'Inl. wetlands'!AE93-'Inl. wetlands'!AD93+'Inl. wetlands'!AE104-'Inl. wetlands'!AD104</f>
        <v>0</v>
      </c>
      <c r="AB130" t="str">
        <f t="shared" si="171"/>
        <v>ok</v>
      </c>
      <c r="AC130">
        <f>IF('6.Inland wetlands'!BJ15&lt;&gt;0,'6.Inland wetlands'!BJ15,'6.Inland wetlands'!BI15)</f>
        <v>1</v>
      </c>
      <c r="AD130">
        <f t="shared" si="190"/>
        <v>5</v>
      </c>
      <c r="AE130" s="4357" t="str">
        <f>'6.Inland wetlands'!O15</f>
        <v>D</v>
      </c>
      <c r="AF130" s="4357" t="str">
        <f>'6.Inland wetlands'!Q15</f>
        <v>D</v>
      </c>
      <c r="AG130" s="4357" t="str">
        <f t="shared" si="193"/>
        <v>D</v>
      </c>
      <c r="AH130" s="4357">
        <f>((E130/(time_cap+((AD130-AC130+1)*VLOOKUP(AG130,list!$I$48:$K$50,3, FALSE))))*(AD130-AC130+1)*VLOOKUP(AG130,list!$I$48:$K$50,3, FALSE))</f>
        <v>0</v>
      </c>
      <c r="AI130" s="4357">
        <f>((E130/(time_cap+((AD130-AC130+1)*VLOOKUP(AG130,list!$I$48:$K$50,3, FALSE))))*time_cap)</f>
        <v>0</v>
      </c>
      <c r="AK130" s="4357">
        <f t="shared" ref="AK130:BP130" si="320">IFERROR(IF((time+time_cap)&lt;AK$2, 0,IF(AND(time+1&gt;=AL$2, $AC130&lt;AL$2), IF($AG130= "I", $AH130/($AD130-$AC130+1), $AH130/(($AD130*($AD130+1)/2)-(($AC130-1)*($AC130-1+1)/2))*AK$2), 0)+IF(IF(time+1&gt;=AL$2, $AI130/time_cap/(time+1)*AK$2, 0) = 0, $AI130/(time_cap),0)),0)</f>
        <v>0</v>
      </c>
      <c r="AL130" s="4357">
        <f t="shared" si="320"/>
        <v>0</v>
      </c>
      <c r="AM130" s="4357">
        <f t="shared" si="320"/>
        <v>0</v>
      </c>
      <c r="AN130" s="4357">
        <f t="shared" si="320"/>
        <v>0</v>
      </c>
      <c r="AO130" s="4357">
        <f t="shared" si="320"/>
        <v>0</v>
      </c>
      <c r="AP130" s="4357">
        <f t="shared" si="320"/>
        <v>0</v>
      </c>
      <c r="AQ130" s="4357">
        <f t="shared" si="320"/>
        <v>0</v>
      </c>
      <c r="AR130" s="4357">
        <f t="shared" si="320"/>
        <v>0</v>
      </c>
      <c r="AS130" s="4357">
        <f t="shared" si="320"/>
        <v>0</v>
      </c>
      <c r="AT130" s="4357">
        <f t="shared" si="320"/>
        <v>0</v>
      </c>
      <c r="AU130" s="4357">
        <f t="shared" si="320"/>
        <v>0</v>
      </c>
      <c r="AV130" s="4357">
        <f t="shared" si="320"/>
        <v>0</v>
      </c>
      <c r="AW130" s="4357">
        <f t="shared" si="320"/>
        <v>0</v>
      </c>
      <c r="AX130" s="4357">
        <f t="shared" si="320"/>
        <v>0</v>
      </c>
      <c r="AY130" s="4357">
        <f t="shared" si="320"/>
        <v>0</v>
      </c>
      <c r="AZ130" s="4357">
        <f t="shared" si="320"/>
        <v>0</v>
      </c>
      <c r="BA130" s="4357">
        <f t="shared" si="320"/>
        <v>0</v>
      </c>
      <c r="BB130" s="4357">
        <f t="shared" si="320"/>
        <v>0</v>
      </c>
      <c r="BC130" s="4357">
        <f t="shared" si="320"/>
        <v>0</v>
      </c>
      <c r="BD130" s="4357">
        <f t="shared" si="320"/>
        <v>0</v>
      </c>
      <c r="BE130" s="4357">
        <f t="shared" si="320"/>
        <v>0</v>
      </c>
      <c r="BF130" s="4357">
        <f t="shared" si="320"/>
        <v>0</v>
      </c>
      <c r="BG130" s="4357">
        <f t="shared" si="320"/>
        <v>0</v>
      </c>
      <c r="BH130" s="4357">
        <f t="shared" si="320"/>
        <v>0</v>
      </c>
      <c r="BI130" s="4357">
        <f t="shared" si="320"/>
        <v>0</v>
      </c>
      <c r="BJ130" s="4357">
        <f t="shared" si="320"/>
        <v>0</v>
      </c>
      <c r="BK130" s="4357">
        <f t="shared" si="320"/>
        <v>0</v>
      </c>
      <c r="BL130" s="4357">
        <f t="shared" si="320"/>
        <v>0</v>
      </c>
      <c r="BM130" s="4357">
        <f t="shared" si="320"/>
        <v>0</v>
      </c>
      <c r="BN130" s="4357">
        <f t="shared" si="320"/>
        <v>0</v>
      </c>
      <c r="BO130" s="4357">
        <f t="shared" si="320"/>
        <v>0</v>
      </c>
      <c r="BP130" s="4357">
        <f t="shared" si="320"/>
        <v>0</v>
      </c>
      <c r="BQ130" s="4357">
        <f t="shared" ref="BQ130:CH130" si="321">IFERROR(IF((time+time_cap)&lt;BQ$2, 0,IF(AND(time+1&gt;=BR$2, $AC130&lt;BR$2), IF($AG130= "I", $AH130/($AD130-$AC130+1), $AH130/(($AD130*($AD130+1)/2)-(($AC130-1)*($AC130-1+1)/2))*BQ$2), 0)+IF(IF(time+1&gt;=BR$2, $AI130/time_cap/(time+1)*BQ$2, 0) = 0, $AI130/(time_cap),0)),0)</f>
        <v>0</v>
      </c>
      <c r="BR130" s="4357">
        <f t="shared" si="321"/>
        <v>0</v>
      </c>
      <c r="BS130" s="4357">
        <f t="shared" si="321"/>
        <v>0</v>
      </c>
      <c r="BT130" s="4357">
        <f t="shared" si="321"/>
        <v>0</v>
      </c>
      <c r="BU130" s="4357">
        <f t="shared" si="321"/>
        <v>0</v>
      </c>
      <c r="BV130" s="4357">
        <f t="shared" si="321"/>
        <v>0</v>
      </c>
      <c r="BW130" s="4357">
        <f t="shared" si="321"/>
        <v>0</v>
      </c>
      <c r="BX130" s="4357">
        <f t="shared" si="321"/>
        <v>0</v>
      </c>
      <c r="BY130" s="4357">
        <f t="shared" si="321"/>
        <v>0</v>
      </c>
      <c r="BZ130" s="4357">
        <f t="shared" si="321"/>
        <v>0</v>
      </c>
      <c r="CA130" s="4357">
        <f t="shared" si="321"/>
        <v>0</v>
      </c>
      <c r="CB130" s="4357">
        <f t="shared" si="321"/>
        <v>0</v>
      </c>
      <c r="CC130" s="4357">
        <f t="shared" si="321"/>
        <v>0</v>
      </c>
      <c r="CD130" s="4357">
        <f t="shared" si="321"/>
        <v>0</v>
      </c>
      <c r="CE130" s="4357">
        <f t="shared" si="321"/>
        <v>0</v>
      </c>
      <c r="CF130" s="4357">
        <f t="shared" si="321"/>
        <v>0</v>
      </c>
      <c r="CG130" s="4357">
        <f t="shared" si="321"/>
        <v>0</v>
      </c>
      <c r="CH130" s="4357">
        <f t="shared" si="321"/>
        <v>0</v>
      </c>
      <c r="CI130" s="4357"/>
      <c r="CJ130" s="4357"/>
      <c r="CK130" s="4357"/>
      <c r="CL130" s="4357"/>
      <c r="CM130" s="4357"/>
      <c r="CN130" s="4357"/>
      <c r="CO130" s="4357"/>
      <c r="CP130" s="4357"/>
      <c r="CQ130" s="4357"/>
      <c r="CR130" s="4357"/>
      <c r="CS130" s="4357"/>
      <c r="CT130" s="4357"/>
      <c r="CU130" s="4357"/>
      <c r="CV130" s="4357"/>
      <c r="CW130" s="4357"/>
      <c r="CX130" s="4357"/>
      <c r="CY130" s="4357"/>
      <c r="CZ130" s="4357"/>
      <c r="DA130" s="4357"/>
      <c r="DB130" s="4357"/>
      <c r="DC130" s="4357"/>
      <c r="DD130" s="4357"/>
      <c r="DE130" s="4357"/>
      <c r="DF130" s="4357"/>
      <c r="DG130" s="4357"/>
      <c r="DH130" s="4357"/>
      <c r="DI130" s="4357"/>
      <c r="DJ130" s="4357"/>
      <c r="DK130" s="4357"/>
      <c r="DL130" s="4357"/>
      <c r="DM130" s="4357"/>
      <c r="DN130" s="4357"/>
      <c r="DO130" s="4357"/>
      <c r="DP130" s="4357"/>
      <c r="DQ130" s="4357"/>
      <c r="DR130" s="4357"/>
      <c r="DS130" s="4357"/>
      <c r="DT130" s="4357"/>
      <c r="DU130" s="4357"/>
      <c r="DV130" s="4357"/>
      <c r="DW130" s="4357"/>
      <c r="DX130" s="4357"/>
      <c r="DY130" s="4357"/>
      <c r="DZ130" s="4357"/>
      <c r="EA130" s="4357"/>
      <c r="EB130" s="4357"/>
      <c r="EC130" s="4357"/>
      <c r="ED130" s="4357"/>
      <c r="EE130" s="4357"/>
      <c r="EF130" s="4357"/>
    </row>
    <row r="131" spans="1:136" ht="16" x14ac:dyDescent="0.2">
      <c r="A131" t="s">
        <v>3004</v>
      </c>
      <c r="B131" t="s">
        <v>3230</v>
      </c>
      <c r="D131" t="str">
        <f>'6.Inland wetlands'!C16</f>
        <v>Please select</v>
      </c>
      <c r="E131">
        <f>'6.Inland wetlands'!AG16+'6.Inland wetlands'!AG28</f>
        <v>0</v>
      </c>
      <c r="F131" s="388">
        <f>('Inl. wetlands'!AA39-'Inl. wetlands'!Z39)+('Inl. wetlands'!AC39-'Inl. wetlands'!AB39)+('Inl. wetlands'!AE39-'Inl. wetlands'!AD39)</f>
        <v>0</v>
      </c>
      <c r="H131" s="388">
        <f>'Inl. wetlands'!AF56-'Inl. wetlands'!AE56</f>
        <v>0</v>
      </c>
      <c r="I131" s="388">
        <f>'Inl. wetlands'!AC69-'Inl. wetlands'!AB69+'Inl. wetlands'!AC80-'Inl. wetlands'!AB80+'Inl. wetlands'!AC94-'Inl. wetlands'!AB94+'Inl. wetlands'!AC105-'Inl. wetlands'!AB105</f>
        <v>0</v>
      </c>
      <c r="M131" s="388">
        <f>'Inl. wetlands'!BC39-'Inl. wetlands'!BB39+'Inl. wetlands'!J39-'Inl. wetlands'!H39</f>
        <v>0</v>
      </c>
      <c r="R131" s="388">
        <f>'Inl. wetlands'!AG69-'Inl. wetlands'!AF69+'Inl. wetlands'!AG80-'Inl. wetlands'!AF80+'Inl. wetlands'!AG94-'Inl. wetlands'!AF94+'Inl. wetlands'!AG105-'Inl. wetlands'!AF105</f>
        <v>0</v>
      </c>
      <c r="U131" s="388">
        <f>'Inl. wetlands'!BA39-'Inl. wetlands'!AZ39+'Inl. wetlands'!I39-'Inl. wetlands'!G39</f>
        <v>0</v>
      </c>
      <c r="Y131" s="388">
        <f>'Inl. wetlands'!AH56-'Inl. wetlands'!AG56</f>
        <v>0</v>
      </c>
      <c r="Z131" s="388">
        <f>'Inl. wetlands'!AE69-'Inl. wetlands'!AD69+'Inl. wetlands'!AE80-'Inl. wetlands'!AD80+'Inl. wetlands'!AE94-'Inl. wetlands'!AD94+'Inl. wetlands'!AE105-'Inl. wetlands'!AD105</f>
        <v>0</v>
      </c>
      <c r="AB131" t="str">
        <f t="shared" si="171"/>
        <v>ok</v>
      </c>
      <c r="AC131">
        <f>IF('6.Inland wetlands'!BJ16&lt;&gt;0,'6.Inland wetlands'!BJ16,'6.Inland wetlands'!BI16)</f>
        <v>1</v>
      </c>
      <c r="AD131">
        <f t="shared" si="190"/>
        <v>5</v>
      </c>
      <c r="AE131" s="4357" t="str">
        <f>'6.Inland wetlands'!O16</f>
        <v>D</v>
      </c>
      <c r="AF131" s="4357" t="str">
        <f>'6.Inland wetlands'!Q16</f>
        <v>D</v>
      </c>
      <c r="AG131" s="4357" t="str">
        <f t="shared" si="193"/>
        <v>D</v>
      </c>
      <c r="AH131" s="4357">
        <f>((E131/(time_cap+((AD131-AC131+1)*VLOOKUP(AG131,list!$I$48:$K$50,3, FALSE))))*(AD131-AC131+1)*VLOOKUP(AG131,list!$I$48:$K$50,3, FALSE))</f>
        <v>0</v>
      </c>
      <c r="AI131" s="4357">
        <f>((E131/(time_cap+((AD131-AC131+1)*VLOOKUP(AG131,list!$I$48:$K$50,3, FALSE))))*time_cap)</f>
        <v>0</v>
      </c>
      <c r="AK131" s="4357">
        <f t="shared" ref="AK131:BP131" si="322">IFERROR(IF((time+time_cap)&lt;AK$2, 0,IF(AND(time+1&gt;=AL$2, $AC131&lt;AL$2), IF($AG131= "I", $AH131/($AD131-$AC131+1), $AH131/(($AD131*($AD131+1)/2)-(($AC131-1)*($AC131-1+1)/2))*AK$2), 0)+IF(IF(time+1&gt;=AL$2, $AI131/time_cap/(time+1)*AK$2, 0) = 0, $AI131/(time_cap),0)),0)</f>
        <v>0</v>
      </c>
      <c r="AL131" s="4357">
        <f t="shared" si="322"/>
        <v>0</v>
      </c>
      <c r="AM131" s="4357">
        <f t="shared" si="322"/>
        <v>0</v>
      </c>
      <c r="AN131" s="4357">
        <f t="shared" si="322"/>
        <v>0</v>
      </c>
      <c r="AO131" s="4357">
        <f t="shared" si="322"/>
        <v>0</v>
      </c>
      <c r="AP131" s="4357">
        <f t="shared" si="322"/>
        <v>0</v>
      </c>
      <c r="AQ131" s="4357">
        <f t="shared" si="322"/>
        <v>0</v>
      </c>
      <c r="AR131" s="4357">
        <f t="shared" si="322"/>
        <v>0</v>
      </c>
      <c r="AS131" s="4357">
        <f t="shared" si="322"/>
        <v>0</v>
      </c>
      <c r="AT131" s="4357">
        <f t="shared" si="322"/>
        <v>0</v>
      </c>
      <c r="AU131" s="4357">
        <f t="shared" si="322"/>
        <v>0</v>
      </c>
      <c r="AV131" s="4357">
        <f t="shared" si="322"/>
        <v>0</v>
      </c>
      <c r="AW131" s="4357">
        <f t="shared" si="322"/>
        <v>0</v>
      </c>
      <c r="AX131" s="4357">
        <f t="shared" si="322"/>
        <v>0</v>
      </c>
      <c r="AY131" s="4357">
        <f t="shared" si="322"/>
        <v>0</v>
      </c>
      <c r="AZ131" s="4357">
        <f t="shared" si="322"/>
        <v>0</v>
      </c>
      <c r="BA131" s="4357">
        <f t="shared" si="322"/>
        <v>0</v>
      </c>
      <c r="BB131" s="4357">
        <f t="shared" si="322"/>
        <v>0</v>
      </c>
      <c r="BC131" s="4357">
        <f t="shared" si="322"/>
        <v>0</v>
      </c>
      <c r="BD131" s="4357">
        <f t="shared" si="322"/>
        <v>0</v>
      </c>
      <c r="BE131" s="4357">
        <f t="shared" si="322"/>
        <v>0</v>
      </c>
      <c r="BF131" s="4357">
        <f t="shared" si="322"/>
        <v>0</v>
      </c>
      <c r="BG131" s="4357">
        <f t="shared" si="322"/>
        <v>0</v>
      </c>
      <c r="BH131" s="4357">
        <f t="shared" si="322"/>
        <v>0</v>
      </c>
      <c r="BI131" s="4357">
        <f t="shared" si="322"/>
        <v>0</v>
      </c>
      <c r="BJ131" s="4357">
        <f t="shared" si="322"/>
        <v>0</v>
      </c>
      <c r="BK131" s="4357">
        <f t="shared" si="322"/>
        <v>0</v>
      </c>
      <c r="BL131" s="4357">
        <f t="shared" si="322"/>
        <v>0</v>
      </c>
      <c r="BM131" s="4357">
        <f t="shared" si="322"/>
        <v>0</v>
      </c>
      <c r="BN131" s="4357">
        <f t="shared" si="322"/>
        <v>0</v>
      </c>
      <c r="BO131" s="4357">
        <f t="shared" si="322"/>
        <v>0</v>
      </c>
      <c r="BP131" s="4357">
        <f t="shared" si="322"/>
        <v>0</v>
      </c>
      <c r="BQ131" s="4357">
        <f t="shared" ref="BQ131:CH131" si="323">IFERROR(IF((time+time_cap)&lt;BQ$2, 0,IF(AND(time+1&gt;=BR$2, $AC131&lt;BR$2), IF($AG131= "I", $AH131/($AD131-$AC131+1), $AH131/(($AD131*($AD131+1)/2)-(($AC131-1)*($AC131-1+1)/2))*BQ$2), 0)+IF(IF(time+1&gt;=BR$2, $AI131/time_cap/(time+1)*BQ$2, 0) = 0, $AI131/(time_cap),0)),0)</f>
        <v>0</v>
      </c>
      <c r="BR131" s="4357">
        <f t="shared" si="323"/>
        <v>0</v>
      </c>
      <c r="BS131" s="4357">
        <f t="shared" si="323"/>
        <v>0</v>
      </c>
      <c r="BT131" s="4357">
        <f t="shared" si="323"/>
        <v>0</v>
      </c>
      <c r="BU131" s="4357">
        <f t="shared" si="323"/>
        <v>0</v>
      </c>
      <c r="BV131" s="4357">
        <f t="shared" si="323"/>
        <v>0</v>
      </c>
      <c r="BW131" s="4357">
        <f t="shared" si="323"/>
        <v>0</v>
      </c>
      <c r="BX131" s="4357">
        <f t="shared" si="323"/>
        <v>0</v>
      </c>
      <c r="BY131" s="4357">
        <f t="shared" si="323"/>
        <v>0</v>
      </c>
      <c r="BZ131" s="4357">
        <f t="shared" si="323"/>
        <v>0</v>
      </c>
      <c r="CA131" s="4357">
        <f t="shared" si="323"/>
        <v>0</v>
      </c>
      <c r="CB131" s="4357">
        <f t="shared" si="323"/>
        <v>0</v>
      </c>
      <c r="CC131" s="4357">
        <f t="shared" si="323"/>
        <v>0</v>
      </c>
      <c r="CD131" s="4357">
        <f t="shared" si="323"/>
        <v>0</v>
      </c>
      <c r="CE131" s="4357">
        <f t="shared" si="323"/>
        <v>0</v>
      </c>
      <c r="CF131" s="4357">
        <f t="shared" si="323"/>
        <v>0</v>
      </c>
      <c r="CG131" s="4357">
        <f t="shared" si="323"/>
        <v>0</v>
      </c>
      <c r="CH131" s="4357">
        <f t="shared" si="323"/>
        <v>0</v>
      </c>
      <c r="CI131" s="4357"/>
      <c r="CJ131" s="4357"/>
      <c r="CK131" s="4357"/>
      <c r="CL131" s="4357"/>
      <c r="CM131" s="4357"/>
      <c r="CN131" s="4357"/>
      <c r="CO131" s="4357"/>
      <c r="CP131" s="4357"/>
      <c r="CQ131" s="4357"/>
      <c r="CR131" s="4357"/>
      <c r="CS131" s="4357"/>
      <c r="CT131" s="4357"/>
      <c r="CU131" s="4357"/>
      <c r="CV131" s="4357"/>
      <c r="CW131" s="4357"/>
      <c r="CX131" s="4357"/>
      <c r="CY131" s="4357"/>
      <c r="CZ131" s="4357"/>
      <c r="DA131" s="4357"/>
      <c r="DB131" s="4357"/>
      <c r="DC131" s="4357"/>
      <c r="DD131" s="4357"/>
      <c r="DE131" s="4357"/>
      <c r="DF131" s="4357"/>
      <c r="DG131" s="4357"/>
      <c r="DH131" s="4357"/>
      <c r="DI131" s="4357"/>
      <c r="DJ131" s="4357"/>
      <c r="DK131" s="4357"/>
      <c r="DL131" s="4357"/>
      <c r="DM131" s="4357"/>
      <c r="DN131" s="4357"/>
      <c r="DO131" s="4357"/>
      <c r="DP131" s="4357"/>
      <c r="DQ131" s="4357"/>
      <c r="DR131" s="4357"/>
      <c r="DS131" s="4357"/>
      <c r="DT131" s="4357"/>
      <c r="DU131" s="4357"/>
      <c r="DV131" s="4357"/>
      <c r="DW131" s="4357"/>
      <c r="DX131" s="4357"/>
      <c r="DY131" s="4357"/>
      <c r="DZ131" s="4357"/>
      <c r="EA131" s="4357"/>
      <c r="EB131" s="4357"/>
      <c r="EC131" s="4357"/>
      <c r="ED131" s="4357"/>
      <c r="EE131" s="4357"/>
      <c r="EF131" s="4357"/>
    </row>
    <row r="132" spans="1:136" ht="16" x14ac:dyDescent="0.2">
      <c r="A132" t="s">
        <v>3004</v>
      </c>
      <c r="B132" t="s">
        <v>3230</v>
      </c>
      <c r="D132" t="str">
        <f>'6.Inland wetlands'!C17</f>
        <v>Please select</v>
      </c>
      <c r="E132">
        <f>'6.Inland wetlands'!AG17+'6.Inland wetlands'!AG29</f>
        <v>0</v>
      </c>
      <c r="F132" s="388">
        <f>('Inl. wetlands'!AA40-'Inl. wetlands'!Z40)+('Inl. wetlands'!AC40-'Inl. wetlands'!AB40)+('Inl. wetlands'!AE40-'Inl. wetlands'!AD40)</f>
        <v>0</v>
      </c>
      <c r="H132" s="388">
        <f>'Inl. wetlands'!AF57-'Inl. wetlands'!AE57</f>
        <v>0</v>
      </c>
      <c r="I132" s="388">
        <f>'Inl. wetlands'!AC70-'Inl. wetlands'!AB70+'Inl. wetlands'!AC81-'Inl. wetlands'!AB81+'Inl. wetlands'!AC95-'Inl. wetlands'!AB95+'Inl. wetlands'!AC106-'Inl. wetlands'!AB106</f>
        <v>0</v>
      </c>
      <c r="M132" s="388">
        <f>'Inl. wetlands'!BC40-'Inl. wetlands'!BB40+'Inl. wetlands'!J40-'Inl. wetlands'!H40</f>
        <v>0</v>
      </c>
      <c r="R132" s="388">
        <f>'Inl. wetlands'!AG70-'Inl. wetlands'!AF70+'Inl. wetlands'!AG81-'Inl. wetlands'!AF81+'Inl. wetlands'!AG95-'Inl. wetlands'!AF95+'Inl. wetlands'!AG106-'Inl. wetlands'!AF106</f>
        <v>0</v>
      </c>
      <c r="U132" s="388">
        <f>'Inl. wetlands'!BA40-'Inl. wetlands'!AZ40+'Inl. wetlands'!I40-'Inl. wetlands'!G40</f>
        <v>0</v>
      </c>
      <c r="Y132" s="388">
        <f>'Inl. wetlands'!AH57-'Inl. wetlands'!AG57</f>
        <v>0</v>
      </c>
      <c r="Z132" s="388">
        <f>'Inl. wetlands'!AE70-'Inl. wetlands'!AD70+'Inl. wetlands'!AE81-'Inl. wetlands'!AD81+'Inl. wetlands'!AE95-'Inl. wetlands'!AD95+'Inl. wetlands'!AE106-'Inl. wetlands'!AD106</f>
        <v>0</v>
      </c>
      <c r="AB132" t="str">
        <f t="shared" si="171"/>
        <v>ok</v>
      </c>
      <c r="AC132">
        <f>IF('6.Inland wetlands'!BJ17&lt;&gt;0,'6.Inland wetlands'!BJ17,'6.Inland wetlands'!BI17)</f>
        <v>1</v>
      </c>
      <c r="AD132">
        <f t="shared" si="190"/>
        <v>5</v>
      </c>
      <c r="AE132" s="4357" t="str">
        <f>'6.Inland wetlands'!O17</f>
        <v>D</v>
      </c>
      <c r="AF132" s="4357" t="str">
        <f>'6.Inland wetlands'!Q17</f>
        <v>D</v>
      </c>
      <c r="AG132" s="4357" t="str">
        <f t="shared" si="193"/>
        <v>D</v>
      </c>
      <c r="AH132" s="4357">
        <f>((E132/(time_cap+((AD132-AC132+1)*VLOOKUP(AG132,list!$I$48:$K$50,3, FALSE))))*(AD132-AC132+1)*VLOOKUP(AG132,list!$I$48:$K$50,3, FALSE))</f>
        <v>0</v>
      </c>
      <c r="AI132" s="4357">
        <f>((E132/(time_cap+((AD132-AC132+1)*VLOOKUP(AG132,list!$I$48:$K$50,3, FALSE))))*time_cap)</f>
        <v>0</v>
      </c>
      <c r="AK132" s="4357">
        <f t="shared" ref="AK132:BP132" si="324">IFERROR(IF((time+time_cap)&lt;AK$2, 0,IF(AND(time+1&gt;=AL$2, $AC132&lt;AL$2), IF($AG132= "I", $AH132/($AD132-$AC132+1), $AH132/(($AD132*($AD132+1)/2)-(($AC132-1)*($AC132-1+1)/2))*AK$2), 0)+IF(IF(time+1&gt;=AL$2, $AI132/time_cap/(time+1)*AK$2, 0) = 0, $AI132/(time_cap),0)),0)</f>
        <v>0</v>
      </c>
      <c r="AL132" s="4357">
        <f t="shared" si="324"/>
        <v>0</v>
      </c>
      <c r="AM132" s="4357">
        <f t="shared" si="324"/>
        <v>0</v>
      </c>
      <c r="AN132" s="4357">
        <f t="shared" si="324"/>
        <v>0</v>
      </c>
      <c r="AO132" s="4357">
        <f t="shared" si="324"/>
        <v>0</v>
      </c>
      <c r="AP132" s="4357">
        <f t="shared" si="324"/>
        <v>0</v>
      </c>
      <c r="AQ132" s="4357">
        <f t="shared" si="324"/>
        <v>0</v>
      </c>
      <c r="AR132" s="4357">
        <f t="shared" si="324"/>
        <v>0</v>
      </c>
      <c r="AS132" s="4357">
        <f t="shared" si="324"/>
        <v>0</v>
      </c>
      <c r="AT132" s="4357">
        <f t="shared" si="324"/>
        <v>0</v>
      </c>
      <c r="AU132" s="4357">
        <f t="shared" si="324"/>
        <v>0</v>
      </c>
      <c r="AV132" s="4357">
        <f t="shared" si="324"/>
        <v>0</v>
      </c>
      <c r="AW132" s="4357">
        <f t="shared" si="324"/>
        <v>0</v>
      </c>
      <c r="AX132" s="4357">
        <f t="shared" si="324"/>
        <v>0</v>
      </c>
      <c r="AY132" s="4357">
        <f t="shared" si="324"/>
        <v>0</v>
      </c>
      <c r="AZ132" s="4357">
        <f t="shared" si="324"/>
        <v>0</v>
      </c>
      <c r="BA132" s="4357">
        <f t="shared" si="324"/>
        <v>0</v>
      </c>
      <c r="BB132" s="4357">
        <f t="shared" si="324"/>
        <v>0</v>
      </c>
      <c r="BC132" s="4357">
        <f t="shared" si="324"/>
        <v>0</v>
      </c>
      <c r="BD132" s="4357">
        <f t="shared" si="324"/>
        <v>0</v>
      </c>
      <c r="BE132" s="4357">
        <f t="shared" si="324"/>
        <v>0</v>
      </c>
      <c r="BF132" s="4357">
        <f t="shared" si="324"/>
        <v>0</v>
      </c>
      <c r="BG132" s="4357">
        <f t="shared" si="324"/>
        <v>0</v>
      </c>
      <c r="BH132" s="4357">
        <f t="shared" si="324"/>
        <v>0</v>
      </c>
      <c r="BI132" s="4357">
        <f t="shared" si="324"/>
        <v>0</v>
      </c>
      <c r="BJ132" s="4357">
        <f t="shared" si="324"/>
        <v>0</v>
      </c>
      <c r="BK132" s="4357">
        <f t="shared" si="324"/>
        <v>0</v>
      </c>
      <c r="BL132" s="4357">
        <f t="shared" si="324"/>
        <v>0</v>
      </c>
      <c r="BM132" s="4357">
        <f t="shared" si="324"/>
        <v>0</v>
      </c>
      <c r="BN132" s="4357">
        <f t="shared" si="324"/>
        <v>0</v>
      </c>
      <c r="BO132" s="4357">
        <f t="shared" si="324"/>
        <v>0</v>
      </c>
      <c r="BP132" s="4357">
        <f t="shared" si="324"/>
        <v>0</v>
      </c>
      <c r="BQ132" s="4357">
        <f t="shared" ref="BQ132:CH132" si="325">IFERROR(IF((time+time_cap)&lt;BQ$2, 0,IF(AND(time+1&gt;=BR$2, $AC132&lt;BR$2), IF($AG132= "I", $AH132/($AD132-$AC132+1), $AH132/(($AD132*($AD132+1)/2)-(($AC132-1)*($AC132-1+1)/2))*BQ$2), 0)+IF(IF(time+1&gt;=BR$2, $AI132/time_cap/(time+1)*BQ$2, 0) = 0, $AI132/(time_cap),0)),0)</f>
        <v>0</v>
      </c>
      <c r="BR132" s="4357">
        <f t="shared" si="325"/>
        <v>0</v>
      </c>
      <c r="BS132" s="4357">
        <f t="shared" si="325"/>
        <v>0</v>
      </c>
      <c r="BT132" s="4357">
        <f t="shared" si="325"/>
        <v>0</v>
      </c>
      <c r="BU132" s="4357">
        <f t="shared" si="325"/>
        <v>0</v>
      </c>
      <c r="BV132" s="4357">
        <f t="shared" si="325"/>
        <v>0</v>
      </c>
      <c r="BW132" s="4357">
        <f t="shared" si="325"/>
        <v>0</v>
      </c>
      <c r="BX132" s="4357">
        <f t="shared" si="325"/>
        <v>0</v>
      </c>
      <c r="BY132" s="4357">
        <f t="shared" si="325"/>
        <v>0</v>
      </c>
      <c r="BZ132" s="4357">
        <f t="shared" si="325"/>
        <v>0</v>
      </c>
      <c r="CA132" s="4357">
        <f t="shared" si="325"/>
        <v>0</v>
      </c>
      <c r="CB132" s="4357">
        <f t="shared" si="325"/>
        <v>0</v>
      </c>
      <c r="CC132" s="4357">
        <f t="shared" si="325"/>
        <v>0</v>
      </c>
      <c r="CD132" s="4357">
        <f t="shared" si="325"/>
        <v>0</v>
      </c>
      <c r="CE132" s="4357">
        <f t="shared" si="325"/>
        <v>0</v>
      </c>
      <c r="CF132" s="4357">
        <f t="shared" si="325"/>
        <v>0</v>
      </c>
      <c r="CG132" s="4357">
        <f t="shared" si="325"/>
        <v>0</v>
      </c>
      <c r="CH132" s="4357">
        <f t="shared" si="325"/>
        <v>0</v>
      </c>
      <c r="CI132" s="4357"/>
      <c r="CJ132" s="4357"/>
      <c r="CK132" s="4357"/>
      <c r="CL132" s="4357"/>
      <c r="CM132" s="4357"/>
      <c r="CN132" s="4357"/>
      <c r="CO132" s="4357"/>
      <c r="CP132" s="4357"/>
      <c r="CQ132" s="4357"/>
      <c r="CR132" s="4357"/>
      <c r="CS132" s="4357"/>
      <c r="CT132" s="4357"/>
      <c r="CU132" s="4357"/>
      <c r="CV132" s="4357"/>
      <c r="CW132" s="4357"/>
      <c r="CX132" s="4357"/>
      <c r="CY132" s="4357"/>
      <c r="CZ132" s="4357"/>
      <c r="DA132" s="4357"/>
      <c r="DB132" s="4357"/>
      <c r="DC132" s="4357"/>
      <c r="DD132" s="4357"/>
      <c r="DE132" s="4357"/>
      <c r="DF132" s="4357"/>
      <c r="DG132" s="4357"/>
      <c r="DH132" s="4357"/>
      <c r="DI132" s="4357"/>
      <c r="DJ132" s="4357"/>
      <c r="DK132" s="4357"/>
      <c r="DL132" s="4357"/>
      <c r="DM132" s="4357"/>
      <c r="DN132" s="4357"/>
      <c r="DO132" s="4357"/>
      <c r="DP132" s="4357"/>
      <c r="DQ132" s="4357"/>
      <c r="DR132" s="4357"/>
      <c r="DS132" s="4357"/>
      <c r="DT132" s="4357"/>
      <c r="DU132" s="4357"/>
      <c r="DV132" s="4357"/>
      <c r="DW132" s="4357"/>
      <c r="DX132" s="4357"/>
      <c r="DY132" s="4357"/>
      <c r="DZ132" s="4357"/>
      <c r="EA132" s="4357"/>
      <c r="EB132" s="4357"/>
      <c r="EC132" s="4357"/>
      <c r="ED132" s="4357"/>
      <c r="EE132" s="4357"/>
      <c r="EF132" s="4357"/>
    </row>
    <row r="133" spans="1:136" ht="16" x14ac:dyDescent="0.2">
      <c r="A133" t="s">
        <v>3004</v>
      </c>
      <c r="B133" t="s">
        <v>3230</v>
      </c>
      <c r="D133" t="str">
        <f>'6.Inland wetlands'!C18</f>
        <v>Please select</v>
      </c>
      <c r="E133">
        <f>'6.Inland wetlands'!AG18+'6.Inland wetlands'!AG30</f>
        <v>0</v>
      </c>
      <c r="F133" s="388">
        <f>('Inl. wetlands'!AA41-'Inl. wetlands'!Z41)+('Inl. wetlands'!AC41-'Inl. wetlands'!AB41)+('Inl. wetlands'!AE41-'Inl. wetlands'!AD41)</f>
        <v>0</v>
      </c>
      <c r="H133" s="388">
        <f>'Inl. wetlands'!AF58-'Inl. wetlands'!AE58</f>
        <v>0</v>
      </c>
      <c r="I133" s="388">
        <f>'Inl. wetlands'!AC71-'Inl. wetlands'!AB71+'Inl. wetlands'!AC82-'Inl. wetlands'!AB82+'Inl. wetlands'!AC96-'Inl. wetlands'!AB96+'Inl. wetlands'!AC107-'Inl. wetlands'!AB107</f>
        <v>0</v>
      </c>
      <c r="M133" s="388">
        <f>'Inl. wetlands'!BC41-'Inl. wetlands'!BB41+'Inl. wetlands'!J41-'Inl. wetlands'!H41</f>
        <v>0</v>
      </c>
      <c r="R133" s="388">
        <f>'Inl. wetlands'!AG71-'Inl. wetlands'!AF71+'Inl. wetlands'!AG82-'Inl. wetlands'!AF82+'Inl. wetlands'!AG96-'Inl. wetlands'!AF96+'Inl. wetlands'!AG107-'Inl. wetlands'!AF107</f>
        <v>0</v>
      </c>
      <c r="U133" s="388">
        <f>'Inl. wetlands'!BA41-'Inl. wetlands'!AZ41+'Inl. wetlands'!I41-'Inl. wetlands'!G41</f>
        <v>0</v>
      </c>
      <c r="Y133" s="388">
        <f>'Inl. wetlands'!AH58-'Inl. wetlands'!AG58</f>
        <v>0</v>
      </c>
      <c r="Z133" s="388">
        <f>'Inl. wetlands'!AE71-'Inl. wetlands'!AD71+'Inl. wetlands'!AE82-'Inl. wetlands'!AD82+'Inl. wetlands'!AE96-'Inl. wetlands'!AD96+'Inl. wetlands'!AE107-'Inl. wetlands'!AD107</f>
        <v>0</v>
      </c>
      <c r="AB133" t="str">
        <f t="shared" si="171"/>
        <v>ok</v>
      </c>
      <c r="AC133">
        <f>IF('6.Inland wetlands'!BJ18&lt;&gt;0,'6.Inland wetlands'!BJ18,'6.Inland wetlands'!BI18)</f>
        <v>1</v>
      </c>
      <c r="AD133">
        <f t="shared" si="190"/>
        <v>5</v>
      </c>
      <c r="AE133" s="4357" t="str">
        <f>'6.Inland wetlands'!O18</f>
        <v>D</v>
      </c>
      <c r="AF133" s="4357" t="str">
        <f>'6.Inland wetlands'!Q18</f>
        <v>D</v>
      </c>
      <c r="AG133" s="4357" t="str">
        <f t="shared" si="193"/>
        <v>D</v>
      </c>
      <c r="AH133" s="4357">
        <f>((E133/(time_cap+((AD133-AC133+1)*VLOOKUP(AG133,list!$I$48:$K$50,3, FALSE))))*(AD133-AC133+1)*VLOOKUP(AG133,list!$I$48:$K$50,3, FALSE))</f>
        <v>0</v>
      </c>
      <c r="AI133" s="4357">
        <f>((E133/(time_cap+((AD133-AC133+1)*VLOOKUP(AG133,list!$I$48:$K$50,3, FALSE))))*time_cap)</f>
        <v>0</v>
      </c>
      <c r="AK133" s="4357">
        <f t="shared" ref="AK133:BP133" si="326">IFERROR(IF((time+time_cap)&lt;AK$2, 0,IF(AND(time+1&gt;=AL$2, $AC133&lt;AL$2), IF($AG133= "I", $AH133/($AD133-$AC133+1), $AH133/(($AD133*($AD133+1)/2)-(($AC133-1)*($AC133-1+1)/2))*AK$2), 0)+IF(IF(time+1&gt;=AL$2, $AI133/time_cap/(time+1)*AK$2, 0) = 0, $AI133/(time_cap),0)),0)</f>
        <v>0</v>
      </c>
      <c r="AL133" s="4357">
        <f t="shared" si="326"/>
        <v>0</v>
      </c>
      <c r="AM133" s="4357">
        <f t="shared" si="326"/>
        <v>0</v>
      </c>
      <c r="AN133" s="4357">
        <f t="shared" si="326"/>
        <v>0</v>
      </c>
      <c r="AO133" s="4357">
        <f t="shared" si="326"/>
        <v>0</v>
      </c>
      <c r="AP133" s="4357">
        <f t="shared" si="326"/>
        <v>0</v>
      </c>
      <c r="AQ133" s="4357">
        <f t="shared" si="326"/>
        <v>0</v>
      </c>
      <c r="AR133" s="4357">
        <f t="shared" si="326"/>
        <v>0</v>
      </c>
      <c r="AS133" s="4357">
        <f t="shared" si="326"/>
        <v>0</v>
      </c>
      <c r="AT133" s="4357">
        <f t="shared" si="326"/>
        <v>0</v>
      </c>
      <c r="AU133" s="4357">
        <f t="shared" si="326"/>
        <v>0</v>
      </c>
      <c r="AV133" s="4357">
        <f t="shared" si="326"/>
        <v>0</v>
      </c>
      <c r="AW133" s="4357">
        <f t="shared" si="326"/>
        <v>0</v>
      </c>
      <c r="AX133" s="4357">
        <f t="shared" si="326"/>
        <v>0</v>
      </c>
      <c r="AY133" s="4357">
        <f t="shared" si="326"/>
        <v>0</v>
      </c>
      <c r="AZ133" s="4357">
        <f t="shared" si="326"/>
        <v>0</v>
      </c>
      <c r="BA133" s="4357">
        <f t="shared" si="326"/>
        <v>0</v>
      </c>
      <c r="BB133" s="4357">
        <f t="shared" si="326"/>
        <v>0</v>
      </c>
      <c r="BC133" s="4357">
        <f t="shared" si="326"/>
        <v>0</v>
      </c>
      <c r="BD133" s="4357">
        <f t="shared" si="326"/>
        <v>0</v>
      </c>
      <c r="BE133" s="4357">
        <f t="shared" si="326"/>
        <v>0</v>
      </c>
      <c r="BF133" s="4357">
        <f t="shared" si="326"/>
        <v>0</v>
      </c>
      <c r="BG133" s="4357">
        <f t="shared" si="326"/>
        <v>0</v>
      </c>
      <c r="BH133" s="4357">
        <f t="shared" si="326"/>
        <v>0</v>
      </c>
      <c r="BI133" s="4357">
        <f t="shared" si="326"/>
        <v>0</v>
      </c>
      <c r="BJ133" s="4357">
        <f t="shared" si="326"/>
        <v>0</v>
      </c>
      <c r="BK133" s="4357">
        <f t="shared" si="326"/>
        <v>0</v>
      </c>
      <c r="BL133" s="4357">
        <f t="shared" si="326"/>
        <v>0</v>
      </c>
      <c r="BM133" s="4357">
        <f t="shared" si="326"/>
        <v>0</v>
      </c>
      <c r="BN133" s="4357">
        <f t="shared" si="326"/>
        <v>0</v>
      </c>
      <c r="BO133" s="4357">
        <f t="shared" si="326"/>
        <v>0</v>
      </c>
      <c r="BP133" s="4357">
        <f t="shared" si="326"/>
        <v>0</v>
      </c>
      <c r="BQ133" s="4357">
        <f t="shared" ref="BQ133:CH133" si="327">IFERROR(IF((time+time_cap)&lt;BQ$2, 0,IF(AND(time+1&gt;=BR$2, $AC133&lt;BR$2), IF($AG133= "I", $AH133/($AD133-$AC133+1), $AH133/(($AD133*($AD133+1)/2)-(($AC133-1)*($AC133-1+1)/2))*BQ$2), 0)+IF(IF(time+1&gt;=BR$2, $AI133/time_cap/(time+1)*BQ$2, 0) = 0, $AI133/(time_cap),0)),0)</f>
        <v>0</v>
      </c>
      <c r="BR133" s="4357">
        <f t="shared" si="327"/>
        <v>0</v>
      </c>
      <c r="BS133" s="4357">
        <f t="shared" si="327"/>
        <v>0</v>
      </c>
      <c r="BT133" s="4357">
        <f t="shared" si="327"/>
        <v>0</v>
      </c>
      <c r="BU133" s="4357">
        <f t="shared" si="327"/>
        <v>0</v>
      </c>
      <c r="BV133" s="4357">
        <f t="shared" si="327"/>
        <v>0</v>
      </c>
      <c r="BW133" s="4357">
        <f t="shared" si="327"/>
        <v>0</v>
      </c>
      <c r="BX133" s="4357">
        <f t="shared" si="327"/>
        <v>0</v>
      </c>
      <c r="BY133" s="4357">
        <f t="shared" si="327"/>
        <v>0</v>
      </c>
      <c r="BZ133" s="4357">
        <f t="shared" si="327"/>
        <v>0</v>
      </c>
      <c r="CA133" s="4357">
        <f t="shared" si="327"/>
        <v>0</v>
      </c>
      <c r="CB133" s="4357">
        <f t="shared" si="327"/>
        <v>0</v>
      </c>
      <c r="CC133" s="4357">
        <f t="shared" si="327"/>
        <v>0</v>
      </c>
      <c r="CD133" s="4357">
        <f t="shared" si="327"/>
        <v>0</v>
      </c>
      <c r="CE133" s="4357">
        <f t="shared" si="327"/>
        <v>0</v>
      </c>
      <c r="CF133" s="4357">
        <f t="shared" si="327"/>
        <v>0</v>
      </c>
      <c r="CG133" s="4357">
        <f t="shared" si="327"/>
        <v>0</v>
      </c>
      <c r="CH133" s="4357">
        <f t="shared" si="327"/>
        <v>0</v>
      </c>
      <c r="CI133" s="4357"/>
      <c r="CJ133" s="4357"/>
      <c r="CK133" s="4357"/>
      <c r="CL133" s="4357"/>
      <c r="CM133" s="4357"/>
      <c r="CN133" s="4357"/>
      <c r="CO133" s="4357"/>
      <c r="CP133" s="4357"/>
      <c r="CQ133" s="4357"/>
      <c r="CR133" s="4357"/>
      <c r="CS133" s="4357"/>
      <c r="CT133" s="4357"/>
      <c r="CU133" s="4357"/>
      <c r="CV133" s="4357"/>
      <c r="CW133" s="4357"/>
      <c r="CX133" s="4357"/>
      <c r="CY133" s="4357"/>
      <c r="CZ133" s="4357"/>
      <c r="DA133" s="4357"/>
      <c r="DB133" s="4357"/>
      <c r="DC133" s="4357"/>
      <c r="DD133" s="4357"/>
      <c r="DE133" s="4357"/>
      <c r="DF133" s="4357"/>
      <c r="DG133" s="4357"/>
      <c r="DH133" s="4357"/>
      <c r="DI133" s="4357"/>
      <c r="DJ133" s="4357"/>
      <c r="DK133" s="4357"/>
      <c r="DL133" s="4357"/>
      <c r="DM133" s="4357"/>
      <c r="DN133" s="4357"/>
      <c r="DO133" s="4357"/>
      <c r="DP133" s="4357"/>
      <c r="DQ133" s="4357"/>
      <c r="DR133" s="4357"/>
      <c r="DS133" s="4357"/>
      <c r="DT133" s="4357"/>
      <c r="DU133" s="4357"/>
      <c r="DV133" s="4357"/>
      <c r="DW133" s="4357"/>
      <c r="DX133" s="4357"/>
      <c r="DY133" s="4357"/>
      <c r="DZ133" s="4357"/>
      <c r="EA133" s="4357"/>
      <c r="EB133" s="4357"/>
      <c r="EC133" s="4357"/>
      <c r="ED133" s="4357"/>
      <c r="EE133" s="4357"/>
      <c r="EF133" s="4357"/>
    </row>
    <row r="134" spans="1:136" ht="16" x14ac:dyDescent="0.2">
      <c r="A134" t="s">
        <v>3004</v>
      </c>
      <c r="B134" t="s">
        <v>3231</v>
      </c>
      <c r="D134" t="str">
        <f>'6.Inland wetlands'!C46</f>
        <v>Please select</v>
      </c>
      <c r="E134">
        <f>'6.Inland wetlands'!AG46+'6.Inland wetlands'!AG58</f>
        <v>0</v>
      </c>
      <c r="F134" s="388">
        <f>'Inl. wetlands'!U134-'Inl. wetlands'!T134+'Inl. wetlands'!W134-'Inl. wetlands'!V134</f>
        <v>0</v>
      </c>
      <c r="H134" s="388">
        <f>'Inl. wetlands'!AE151-'Inl. wetlands'!AD151</f>
        <v>0</v>
      </c>
      <c r="I134" s="388">
        <f>'Inl. wetlands'!AC165-'Inl. wetlands'!AB165+'Inl. wetlands'!AC176-'Inl. wetlands'!AB176+'Inl. wetlands'!AC193-'Inl. wetlands'!AB193+'Inl. wetlands'!AC204-'Inl. wetlands'!AB204</f>
        <v>0</v>
      </c>
      <c r="M134" s="388">
        <f>'Inl. wetlands'!BC134-'Inl. wetlands'!BB134</f>
        <v>0</v>
      </c>
      <c r="R134" s="388">
        <f>'Inl. wetlands'!AG165-'Inl. wetlands'!AF165+'Inl. wetlands'!AG176-'Inl. wetlands'!AF176+'Inl. wetlands'!AG193-'Inl. wetlands'!AF193+'Inl. wetlands'!AG204-'Inl. wetlands'!AF204</f>
        <v>0</v>
      </c>
      <c r="U134" s="388">
        <f>'Inl. wetlands'!BA134-'Inl. wetlands'!AZ134</f>
        <v>0</v>
      </c>
      <c r="Y134" s="388">
        <f>'Inl. wetlands'!AG151-'Inl. wetlands'!AF151</f>
        <v>0</v>
      </c>
      <c r="Z134" s="388">
        <f>'Inl. wetlands'!AE165-'Inl. wetlands'!AD165+'Inl. wetlands'!AE176-'Inl. wetlands'!AD176+'Inl. wetlands'!AE193-'Inl. wetlands'!AD193+'Inl. wetlands'!AE204-'Inl. wetlands'!AD204</f>
        <v>0</v>
      </c>
      <c r="AB134" t="str">
        <f t="shared" si="171"/>
        <v>ok</v>
      </c>
      <c r="AC134">
        <f>IF('6.Inland wetlands'!BS47&lt;&gt;0,'6.Inland wetlands'!BS47,'6.Inland wetlands'!BR47)</f>
        <v>1</v>
      </c>
      <c r="AD134">
        <f t="shared" si="190"/>
        <v>5</v>
      </c>
      <c r="AE134" s="4357" t="str">
        <f>'6.Inland wetlands'!O46</f>
        <v>D</v>
      </c>
      <c r="AF134" s="4357" t="str">
        <f>'6.Inland wetlands'!Q46</f>
        <v>D</v>
      </c>
      <c r="AG134" s="4357" t="str">
        <f t="shared" si="193"/>
        <v>D</v>
      </c>
      <c r="AH134" s="4357">
        <f>((E134/(time_cap+((AD134-AC134+1)*VLOOKUP(AG134,list!$I$48:$K$50,3, FALSE))))*(AD134-AC134+1)*VLOOKUP(AG134,list!$I$48:$K$50,3, FALSE))</f>
        <v>0</v>
      </c>
      <c r="AI134" s="4357">
        <f>((E134/(time_cap+((AD134-AC134+1)*VLOOKUP(AG134,list!$I$48:$K$50,3, FALSE))))*time_cap)</f>
        <v>0</v>
      </c>
      <c r="AK134" s="4357">
        <f t="shared" ref="AK134:BP134" si="328">IFERROR(IF((time+time_cap)&lt;AK$2, 0,IF(AND(time+1&gt;=AL$2, $AC134&lt;AL$2), IF($AG134= "I", $AH134/($AD134-$AC134+1), $AH134/(($AD134*($AD134+1)/2)-(($AC134-1)*($AC134-1+1)/2))*AK$2), 0)+IF(IF(time+1&gt;=AL$2, $AI134/time_cap/(time+1)*AK$2, 0) = 0, $AI134/(time_cap),0)),0)</f>
        <v>0</v>
      </c>
      <c r="AL134" s="4357">
        <f t="shared" si="328"/>
        <v>0</v>
      </c>
      <c r="AM134" s="4357">
        <f t="shared" si="328"/>
        <v>0</v>
      </c>
      <c r="AN134" s="4357">
        <f t="shared" si="328"/>
        <v>0</v>
      </c>
      <c r="AO134" s="4357">
        <f t="shared" si="328"/>
        <v>0</v>
      </c>
      <c r="AP134" s="4357">
        <f t="shared" si="328"/>
        <v>0</v>
      </c>
      <c r="AQ134" s="4357">
        <f t="shared" si="328"/>
        <v>0</v>
      </c>
      <c r="AR134" s="4357">
        <f t="shared" si="328"/>
        <v>0</v>
      </c>
      <c r="AS134" s="4357">
        <f t="shared" si="328"/>
        <v>0</v>
      </c>
      <c r="AT134" s="4357">
        <f t="shared" si="328"/>
        <v>0</v>
      </c>
      <c r="AU134" s="4357">
        <f t="shared" si="328"/>
        <v>0</v>
      </c>
      <c r="AV134" s="4357">
        <f t="shared" si="328"/>
        <v>0</v>
      </c>
      <c r="AW134" s="4357">
        <f t="shared" si="328"/>
        <v>0</v>
      </c>
      <c r="AX134" s="4357">
        <f t="shared" si="328"/>
        <v>0</v>
      </c>
      <c r="AY134" s="4357">
        <f t="shared" si="328"/>
        <v>0</v>
      </c>
      <c r="AZ134" s="4357">
        <f t="shared" si="328"/>
        <v>0</v>
      </c>
      <c r="BA134" s="4357">
        <f t="shared" si="328"/>
        <v>0</v>
      </c>
      <c r="BB134" s="4357">
        <f t="shared" si="328"/>
        <v>0</v>
      </c>
      <c r="BC134" s="4357">
        <f t="shared" si="328"/>
        <v>0</v>
      </c>
      <c r="BD134" s="4357">
        <f t="shared" si="328"/>
        <v>0</v>
      </c>
      <c r="BE134" s="4357">
        <f t="shared" si="328"/>
        <v>0</v>
      </c>
      <c r="BF134" s="4357">
        <f t="shared" si="328"/>
        <v>0</v>
      </c>
      <c r="BG134" s="4357">
        <f t="shared" si="328"/>
        <v>0</v>
      </c>
      <c r="BH134" s="4357">
        <f t="shared" si="328"/>
        <v>0</v>
      </c>
      <c r="BI134" s="4357">
        <f t="shared" si="328"/>
        <v>0</v>
      </c>
      <c r="BJ134" s="4357">
        <f t="shared" si="328"/>
        <v>0</v>
      </c>
      <c r="BK134" s="4357">
        <f t="shared" si="328"/>
        <v>0</v>
      </c>
      <c r="BL134" s="4357">
        <f t="shared" si="328"/>
        <v>0</v>
      </c>
      <c r="BM134" s="4357">
        <f t="shared" si="328"/>
        <v>0</v>
      </c>
      <c r="BN134" s="4357">
        <f t="shared" si="328"/>
        <v>0</v>
      </c>
      <c r="BO134" s="4357">
        <f t="shared" si="328"/>
        <v>0</v>
      </c>
      <c r="BP134" s="4357">
        <f t="shared" si="328"/>
        <v>0</v>
      </c>
      <c r="BQ134" s="4357">
        <f t="shared" ref="BQ134:CH134" si="329">IFERROR(IF((time+time_cap)&lt;BQ$2, 0,IF(AND(time+1&gt;=BR$2, $AC134&lt;BR$2), IF($AG134= "I", $AH134/($AD134-$AC134+1), $AH134/(($AD134*($AD134+1)/2)-(($AC134-1)*($AC134-1+1)/2))*BQ$2), 0)+IF(IF(time+1&gt;=BR$2, $AI134/time_cap/(time+1)*BQ$2, 0) = 0, $AI134/(time_cap),0)),0)</f>
        <v>0</v>
      </c>
      <c r="BR134" s="4357">
        <f t="shared" si="329"/>
        <v>0</v>
      </c>
      <c r="BS134" s="4357">
        <f t="shared" si="329"/>
        <v>0</v>
      </c>
      <c r="BT134" s="4357">
        <f t="shared" si="329"/>
        <v>0</v>
      </c>
      <c r="BU134" s="4357">
        <f t="shared" si="329"/>
        <v>0</v>
      </c>
      <c r="BV134" s="4357">
        <f t="shared" si="329"/>
        <v>0</v>
      </c>
      <c r="BW134" s="4357">
        <f t="shared" si="329"/>
        <v>0</v>
      </c>
      <c r="BX134" s="4357">
        <f t="shared" si="329"/>
        <v>0</v>
      </c>
      <c r="BY134" s="4357">
        <f t="shared" si="329"/>
        <v>0</v>
      </c>
      <c r="BZ134" s="4357">
        <f t="shared" si="329"/>
        <v>0</v>
      </c>
      <c r="CA134" s="4357">
        <f t="shared" si="329"/>
        <v>0</v>
      </c>
      <c r="CB134" s="4357">
        <f t="shared" si="329"/>
        <v>0</v>
      </c>
      <c r="CC134" s="4357">
        <f t="shared" si="329"/>
        <v>0</v>
      </c>
      <c r="CD134" s="4357">
        <f t="shared" si="329"/>
        <v>0</v>
      </c>
      <c r="CE134" s="4357">
        <f t="shared" si="329"/>
        <v>0</v>
      </c>
      <c r="CF134" s="4357">
        <f t="shared" si="329"/>
        <v>0</v>
      </c>
      <c r="CG134" s="4357">
        <f t="shared" si="329"/>
        <v>0</v>
      </c>
      <c r="CH134" s="4357">
        <f t="shared" si="329"/>
        <v>0</v>
      </c>
      <c r="CI134" s="4357"/>
      <c r="CJ134" s="4357"/>
      <c r="CK134" s="4357"/>
      <c r="CL134" s="4357"/>
      <c r="CM134" s="4357"/>
      <c r="CN134" s="4357"/>
      <c r="CO134" s="4357"/>
      <c r="CP134" s="4357"/>
      <c r="CQ134" s="4357"/>
      <c r="CR134" s="4357"/>
      <c r="CS134" s="4357"/>
      <c r="CT134" s="4357"/>
      <c r="CU134" s="4357"/>
      <c r="CV134" s="4357"/>
      <c r="CW134" s="4357"/>
      <c r="CX134" s="4357"/>
      <c r="CY134" s="4357"/>
      <c r="CZ134" s="4357"/>
      <c r="DA134" s="4357"/>
      <c r="DB134" s="4357"/>
      <c r="DC134" s="4357"/>
      <c r="DD134" s="4357"/>
      <c r="DE134" s="4357"/>
      <c r="DF134" s="4357"/>
      <c r="DG134" s="4357"/>
      <c r="DH134" s="4357"/>
      <c r="DI134" s="4357"/>
      <c r="DJ134" s="4357"/>
      <c r="DK134" s="4357"/>
      <c r="DL134" s="4357"/>
      <c r="DM134" s="4357"/>
      <c r="DN134" s="4357"/>
      <c r="DO134" s="4357"/>
      <c r="DP134" s="4357"/>
      <c r="DQ134" s="4357"/>
      <c r="DR134" s="4357"/>
      <c r="DS134" s="4357"/>
      <c r="DT134" s="4357"/>
      <c r="DU134" s="4357"/>
      <c r="DV134" s="4357"/>
      <c r="DW134" s="4357"/>
      <c r="DX134" s="4357"/>
      <c r="DY134" s="4357"/>
      <c r="DZ134" s="4357"/>
      <c r="EA134" s="4357"/>
      <c r="EB134" s="4357"/>
      <c r="EC134" s="4357"/>
      <c r="ED134" s="4357"/>
      <c r="EE134" s="4357"/>
      <c r="EF134" s="4357"/>
    </row>
    <row r="135" spans="1:136" ht="16" x14ac:dyDescent="0.2">
      <c r="A135" t="s">
        <v>3004</v>
      </c>
      <c r="B135" t="s">
        <v>3231</v>
      </c>
      <c r="D135" t="str">
        <f>'6.Inland wetlands'!C47</f>
        <v>Please select</v>
      </c>
      <c r="E135">
        <f>'6.Inland wetlands'!AG47+'6.Inland wetlands'!AG59</f>
        <v>0</v>
      </c>
      <c r="F135" s="388">
        <f>'Inl. wetlands'!U135-'Inl. wetlands'!T135+'Inl. wetlands'!W135-'Inl. wetlands'!V135</f>
        <v>0</v>
      </c>
      <c r="H135" s="388">
        <f>'Inl. wetlands'!AE152-'Inl. wetlands'!AD152</f>
        <v>0</v>
      </c>
      <c r="I135" s="388">
        <f>'Inl. wetlands'!AC166-'Inl. wetlands'!AB166+'Inl. wetlands'!AC177-'Inl. wetlands'!AB177+'Inl. wetlands'!AC194-'Inl. wetlands'!AB194+'Inl. wetlands'!AC205-'Inl. wetlands'!AB205</f>
        <v>0</v>
      </c>
      <c r="M135" s="388">
        <f>'Inl. wetlands'!BC135-'Inl. wetlands'!BB135</f>
        <v>0</v>
      </c>
      <c r="R135" s="388">
        <f>'Inl. wetlands'!AG166-'Inl. wetlands'!AF166+'Inl. wetlands'!AG177-'Inl. wetlands'!AF177+'Inl. wetlands'!AG194-'Inl. wetlands'!AF194+'Inl. wetlands'!AG205-'Inl. wetlands'!AF205</f>
        <v>0</v>
      </c>
      <c r="U135" s="388">
        <f>'Inl. wetlands'!BA135-'Inl. wetlands'!AZ135</f>
        <v>0</v>
      </c>
      <c r="Y135" s="388">
        <f>'Inl. wetlands'!AG152-'Inl. wetlands'!AF152</f>
        <v>0</v>
      </c>
      <c r="Z135" s="388">
        <f>'Inl. wetlands'!AE166-'Inl. wetlands'!AD166+'Inl. wetlands'!AE177-'Inl. wetlands'!AD177+'Inl. wetlands'!AE194-'Inl. wetlands'!AD194+'Inl. wetlands'!AE205-'Inl. wetlands'!AD205</f>
        <v>0</v>
      </c>
      <c r="AB135" t="str">
        <f t="shared" si="171"/>
        <v>ok</v>
      </c>
      <c r="AC135">
        <f>IF('6.Inland wetlands'!BS48&lt;&gt;0,'6.Inland wetlands'!BS48,'6.Inland wetlands'!BR48)</f>
        <v>1</v>
      </c>
      <c r="AD135">
        <f t="shared" si="190"/>
        <v>5</v>
      </c>
      <c r="AE135" s="4357" t="str">
        <f>'6.Inland wetlands'!O47</f>
        <v>D</v>
      </c>
      <c r="AF135" s="4357" t="str">
        <f>'6.Inland wetlands'!Q47</f>
        <v>D</v>
      </c>
      <c r="AG135" s="4357" t="str">
        <f t="shared" si="193"/>
        <v>D</v>
      </c>
      <c r="AH135" s="4357">
        <f>((E135/(time_cap+((AD135-AC135+1)*VLOOKUP(AG135,list!$I$48:$K$50,3, FALSE))))*(AD135-AC135+1)*VLOOKUP(AG135,list!$I$48:$K$50,3, FALSE))</f>
        <v>0</v>
      </c>
      <c r="AI135" s="4357">
        <f>((E135/(time_cap+((AD135-AC135+1)*VLOOKUP(AG135,list!$I$48:$K$50,3, FALSE))))*time_cap)</f>
        <v>0</v>
      </c>
      <c r="AK135" s="4357">
        <f t="shared" ref="AK135:BP135" si="330">IFERROR(IF((time+time_cap)&lt;AK$2, 0,IF(AND(time+1&gt;=AL$2, $AC135&lt;AL$2), IF($AG135= "I", $AH135/($AD135-$AC135+1), $AH135/(($AD135*($AD135+1)/2)-(($AC135-1)*($AC135-1+1)/2))*AK$2), 0)+IF(IF(time+1&gt;=AL$2, $AI135/time_cap/(time+1)*AK$2, 0) = 0, $AI135/(time_cap),0)),0)</f>
        <v>0</v>
      </c>
      <c r="AL135" s="4357">
        <f t="shared" si="330"/>
        <v>0</v>
      </c>
      <c r="AM135" s="4357">
        <f t="shared" si="330"/>
        <v>0</v>
      </c>
      <c r="AN135" s="4357">
        <f t="shared" si="330"/>
        <v>0</v>
      </c>
      <c r="AO135" s="4357">
        <f t="shared" si="330"/>
        <v>0</v>
      </c>
      <c r="AP135" s="4357">
        <f t="shared" si="330"/>
        <v>0</v>
      </c>
      <c r="AQ135" s="4357">
        <f t="shared" si="330"/>
        <v>0</v>
      </c>
      <c r="AR135" s="4357">
        <f t="shared" si="330"/>
        <v>0</v>
      </c>
      <c r="AS135" s="4357">
        <f t="shared" si="330"/>
        <v>0</v>
      </c>
      <c r="AT135" s="4357">
        <f t="shared" si="330"/>
        <v>0</v>
      </c>
      <c r="AU135" s="4357">
        <f t="shared" si="330"/>
        <v>0</v>
      </c>
      <c r="AV135" s="4357">
        <f t="shared" si="330"/>
        <v>0</v>
      </c>
      <c r="AW135" s="4357">
        <f t="shared" si="330"/>
        <v>0</v>
      </c>
      <c r="AX135" s="4357">
        <f t="shared" si="330"/>
        <v>0</v>
      </c>
      <c r="AY135" s="4357">
        <f t="shared" si="330"/>
        <v>0</v>
      </c>
      <c r="AZ135" s="4357">
        <f t="shared" si="330"/>
        <v>0</v>
      </c>
      <c r="BA135" s="4357">
        <f t="shared" si="330"/>
        <v>0</v>
      </c>
      <c r="BB135" s="4357">
        <f t="shared" si="330"/>
        <v>0</v>
      </c>
      <c r="BC135" s="4357">
        <f t="shared" si="330"/>
        <v>0</v>
      </c>
      <c r="BD135" s="4357">
        <f t="shared" si="330"/>
        <v>0</v>
      </c>
      <c r="BE135" s="4357">
        <f t="shared" si="330"/>
        <v>0</v>
      </c>
      <c r="BF135" s="4357">
        <f t="shared" si="330"/>
        <v>0</v>
      </c>
      <c r="BG135" s="4357">
        <f t="shared" si="330"/>
        <v>0</v>
      </c>
      <c r="BH135" s="4357">
        <f t="shared" si="330"/>
        <v>0</v>
      </c>
      <c r="BI135" s="4357">
        <f t="shared" si="330"/>
        <v>0</v>
      </c>
      <c r="BJ135" s="4357">
        <f t="shared" si="330"/>
        <v>0</v>
      </c>
      <c r="BK135" s="4357">
        <f t="shared" si="330"/>
        <v>0</v>
      </c>
      <c r="BL135" s="4357">
        <f t="shared" si="330"/>
        <v>0</v>
      </c>
      <c r="BM135" s="4357">
        <f t="shared" si="330"/>
        <v>0</v>
      </c>
      <c r="BN135" s="4357">
        <f t="shared" si="330"/>
        <v>0</v>
      </c>
      <c r="BO135" s="4357">
        <f t="shared" si="330"/>
        <v>0</v>
      </c>
      <c r="BP135" s="4357">
        <f t="shared" si="330"/>
        <v>0</v>
      </c>
      <c r="BQ135" s="4357">
        <f t="shared" ref="BQ135:CH135" si="331">IFERROR(IF((time+time_cap)&lt;BQ$2, 0,IF(AND(time+1&gt;=BR$2, $AC135&lt;BR$2), IF($AG135= "I", $AH135/($AD135-$AC135+1), $AH135/(($AD135*($AD135+1)/2)-(($AC135-1)*($AC135-1+1)/2))*BQ$2), 0)+IF(IF(time+1&gt;=BR$2, $AI135/time_cap/(time+1)*BQ$2, 0) = 0, $AI135/(time_cap),0)),0)</f>
        <v>0</v>
      </c>
      <c r="BR135" s="4357">
        <f t="shared" si="331"/>
        <v>0</v>
      </c>
      <c r="BS135" s="4357">
        <f t="shared" si="331"/>
        <v>0</v>
      </c>
      <c r="BT135" s="4357">
        <f t="shared" si="331"/>
        <v>0</v>
      </c>
      <c r="BU135" s="4357">
        <f t="shared" si="331"/>
        <v>0</v>
      </c>
      <c r="BV135" s="4357">
        <f t="shared" si="331"/>
        <v>0</v>
      </c>
      <c r="BW135" s="4357">
        <f t="shared" si="331"/>
        <v>0</v>
      </c>
      <c r="BX135" s="4357">
        <f t="shared" si="331"/>
        <v>0</v>
      </c>
      <c r="BY135" s="4357">
        <f t="shared" si="331"/>
        <v>0</v>
      </c>
      <c r="BZ135" s="4357">
        <f t="shared" si="331"/>
        <v>0</v>
      </c>
      <c r="CA135" s="4357">
        <f t="shared" si="331"/>
        <v>0</v>
      </c>
      <c r="CB135" s="4357">
        <f t="shared" si="331"/>
        <v>0</v>
      </c>
      <c r="CC135" s="4357">
        <f t="shared" si="331"/>
        <v>0</v>
      </c>
      <c r="CD135" s="4357">
        <f t="shared" si="331"/>
        <v>0</v>
      </c>
      <c r="CE135" s="4357">
        <f t="shared" si="331"/>
        <v>0</v>
      </c>
      <c r="CF135" s="4357">
        <f t="shared" si="331"/>
        <v>0</v>
      </c>
      <c r="CG135" s="4357">
        <f t="shared" si="331"/>
        <v>0</v>
      </c>
      <c r="CH135" s="4357">
        <f t="shared" si="331"/>
        <v>0</v>
      </c>
      <c r="CI135" s="4357"/>
      <c r="CJ135" s="4357"/>
      <c r="CK135" s="4357"/>
      <c r="CL135" s="4357"/>
      <c r="CM135" s="4357"/>
      <c r="CN135" s="4357"/>
      <c r="CO135" s="4357"/>
      <c r="CP135" s="4357"/>
      <c r="CQ135" s="4357"/>
      <c r="CR135" s="4357"/>
      <c r="CS135" s="4357"/>
      <c r="CT135" s="4357"/>
      <c r="CU135" s="4357"/>
      <c r="CV135" s="4357"/>
      <c r="CW135" s="4357"/>
      <c r="CX135" s="4357"/>
      <c r="CY135" s="4357"/>
      <c r="CZ135" s="4357"/>
      <c r="DA135" s="4357"/>
      <c r="DB135" s="4357"/>
      <c r="DC135" s="4357"/>
      <c r="DD135" s="4357"/>
      <c r="DE135" s="4357"/>
      <c r="DF135" s="4357"/>
      <c r="DG135" s="4357"/>
      <c r="DH135" s="4357"/>
      <c r="DI135" s="4357"/>
      <c r="DJ135" s="4357"/>
      <c r="DK135" s="4357"/>
      <c r="DL135" s="4357"/>
      <c r="DM135" s="4357"/>
      <c r="DN135" s="4357"/>
      <c r="DO135" s="4357"/>
      <c r="DP135" s="4357"/>
      <c r="DQ135" s="4357"/>
      <c r="DR135" s="4357"/>
      <c r="DS135" s="4357"/>
      <c r="DT135" s="4357"/>
      <c r="DU135" s="4357"/>
      <c r="DV135" s="4357"/>
      <c r="DW135" s="4357"/>
      <c r="DX135" s="4357"/>
      <c r="DY135" s="4357"/>
      <c r="DZ135" s="4357"/>
      <c r="EA135" s="4357"/>
      <c r="EB135" s="4357"/>
      <c r="EC135" s="4357"/>
      <c r="ED135" s="4357"/>
      <c r="EE135" s="4357"/>
      <c r="EF135" s="4357"/>
    </row>
    <row r="136" spans="1:136" ht="16" x14ac:dyDescent="0.2">
      <c r="A136" t="s">
        <v>3004</v>
      </c>
      <c r="B136" t="s">
        <v>3231</v>
      </c>
      <c r="D136" t="str">
        <f>'6.Inland wetlands'!C48</f>
        <v>Please select</v>
      </c>
      <c r="E136">
        <f>'6.Inland wetlands'!AG48+'6.Inland wetlands'!AG60</f>
        <v>0</v>
      </c>
      <c r="F136" s="388">
        <f>'Inl. wetlands'!U136-'Inl. wetlands'!T136+'Inl. wetlands'!W136-'Inl. wetlands'!V136</f>
        <v>0</v>
      </c>
      <c r="H136" s="388">
        <f>'Inl. wetlands'!AE153-'Inl. wetlands'!AD153</f>
        <v>0</v>
      </c>
      <c r="I136" s="388">
        <f>'Inl. wetlands'!AC167-'Inl. wetlands'!AB167+'Inl. wetlands'!AC178-'Inl. wetlands'!AB178+'Inl. wetlands'!AC195-'Inl. wetlands'!AB195+'Inl. wetlands'!AC206-'Inl. wetlands'!AB206</f>
        <v>0</v>
      </c>
      <c r="M136" s="388">
        <f>'Inl. wetlands'!BC136-'Inl. wetlands'!BB136</f>
        <v>0</v>
      </c>
      <c r="R136" s="388">
        <f>'Inl. wetlands'!AG167-'Inl. wetlands'!AF167+'Inl. wetlands'!AG178-'Inl. wetlands'!AF178+'Inl. wetlands'!AG195-'Inl. wetlands'!AF195+'Inl. wetlands'!AG206-'Inl. wetlands'!AF206</f>
        <v>0</v>
      </c>
      <c r="U136" s="388">
        <f>'Inl. wetlands'!BA136-'Inl. wetlands'!AZ136</f>
        <v>0</v>
      </c>
      <c r="Y136" s="388">
        <f>'Inl. wetlands'!AG153-'Inl. wetlands'!AF153</f>
        <v>0</v>
      </c>
      <c r="Z136" s="388">
        <f>'Inl. wetlands'!AE167-'Inl. wetlands'!AD167+'Inl. wetlands'!AE178-'Inl. wetlands'!AD178+'Inl. wetlands'!AE195-'Inl. wetlands'!AD195+'Inl. wetlands'!AE206-'Inl. wetlands'!AD206</f>
        <v>0</v>
      </c>
      <c r="AB136" t="str">
        <f t="shared" si="171"/>
        <v>ok</v>
      </c>
      <c r="AC136">
        <f>IF('6.Inland wetlands'!BS49&lt;&gt;0,'6.Inland wetlands'!BS49,'6.Inland wetlands'!BR49)</f>
        <v>1</v>
      </c>
      <c r="AD136">
        <f t="shared" si="190"/>
        <v>5</v>
      </c>
      <c r="AE136" s="4357" t="str">
        <f>'6.Inland wetlands'!O48</f>
        <v>D</v>
      </c>
      <c r="AF136" s="4357" t="str">
        <f>'6.Inland wetlands'!Q48</f>
        <v>D</v>
      </c>
      <c r="AG136" s="4357" t="str">
        <f t="shared" si="193"/>
        <v>D</v>
      </c>
      <c r="AH136" s="4357">
        <f>((E136/(time_cap+((AD136-AC136+1)*VLOOKUP(AG136,list!$I$48:$K$50,3, FALSE))))*(AD136-AC136+1)*VLOOKUP(AG136,list!$I$48:$K$50,3, FALSE))</f>
        <v>0</v>
      </c>
      <c r="AI136" s="4357">
        <f>((E136/(time_cap+((AD136-AC136+1)*VLOOKUP(AG136,list!$I$48:$K$50,3, FALSE))))*time_cap)</f>
        <v>0</v>
      </c>
      <c r="AK136" s="4357">
        <f t="shared" ref="AK136:BP136" si="332">IFERROR(IF((time+time_cap)&lt;AK$2, 0,IF(AND(time+1&gt;=AL$2, $AC136&lt;AL$2), IF($AG136= "I", $AH136/($AD136-$AC136+1), $AH136/(($AD136*($AD136+1)/2)-(($AC136-1)*($AC136-1+1)/2))*AK$2), 0)+IF(IF(time+1&gt;=AL$2, $AI136/time_cap/(time+1)*AK$2, 0) = 0, $AI136/(time_cap),0)),0)</f>
        <v>0</v>
      </c>
      <c r="AL136" s="4357">
        <f t="shared" si="332"/>
        <v>0</v>
      </c>
      <c r="AM136" s="4357">
        <f t="shared" si="332"/>
        <v>0</v>
      </c>
      <c r="AN136" s="4357">
        <f t="shared" si="332"/>
        <v>0</v>
      </c>
      <c r="AO136" s="4357">
        <f t="shared" si="332"/>
        <v>0</v>
      </c>
      <c r="AP136" s="4357">
        <f t="shared" si="332"/>
        <v>0</v>
      </c>
      <c r="AQ136" s="4357">
        <f t="shared" si="332"/>
        <v>0</v>
      </c>
      <c r="AR136" s="4357">
        <f t="shared" si="332"/>
        <v>0</v>
      </c>
      <c r="AS136" s="4357">
        <f t="shared" si="332"/>
        <v>0</v>
      </c>
      <c r="AT136" s="4357">
        <f t="shared" si="332"/>
        <v>0</v>
      </c>
      <c r="AU136" s="4357">
        <f t="shared" si="332"/>
        <v>0</v>
      </c>
      <c r="AV136" s="4357">
        <f t="shared" si="332"/>
        <v>0</v>
      </c>
      <c r="AW136" s="4357">
        <f t="shared" si="332"/>
        <v>0</v>
      </c>
      <c r="AX136" s="4357">
        <f t="shared" si="332"/>
        <v>0</v>
      </c>
      <c r="AY136" s="4357">
        <f t="shared" si="332"/>
        <v>0</v>
      </c>
      <c r="AZ136" s="4357">
        <f t="shared" si="332"/>
        <v>0</v>
      </c>
      <c r="BA136" s="4357">
        <f t="shared" si="332"/>
        <v>0</v>
      </c>
      <c r="BB136" s="4357">
        <f t="shared" si="332"/>
        <v>0</v>
      </c>
      <c r="BC136" s="4357">
        <f t="shared" si="332"/>
        <v>0</v>
      </c>
      <c r="BD136" s="4357">
        <f t="shared" si="332"/>
        <v>0</v>
      </c>
      <c r="BE136" s="4357">
        <f t="shared" si="332"/>
        <v>0</v>
      </c>
      <c r="BF136" s="4357">
        <f t="shared" si="332"/>
        <v>0</v>
      </c>
      <c r="BG136" s="4357">
        <f t="shared" si="332"/>
        <v>0</v>
      </c>
      <c r="BH136" s="4357">
        <f t="shared" si="332"/>
        <v>0</v>
      </c>
      <c r="BI136" s="4357">
        <f t="shared" si="332"/>
        <v>0</v>
      </c>
      <c r="BJ136" s="4357">
        <f t="shared" si="332"/>
        <v>0</v>
      </c>
      <c r="BK136" s="4357">
        <f t="shared" si="332"/>
        <v>0</v>
      </c>
      <c r="BL136" s="4357">
        <f t="shared" si="332"/>
        <v>0</v>
      </c>
      <c r="BM136" s="4357">
        <f t="shared" si="332"/>
        <v>0</v>
      </c>
      <c r="BN136" s="4357">
        <f t="shared" si="332"/>
        <v>0</v>
      </c>
      <c r="BO136" s="4357">
        <f t="shared" si="332"/>
        <v>0</v>
      </c>
      <c r="BP136" s="4357">
        <f t="shared" si="332"/>
        <v>0</v>
      </c>
      <c r="BQ136" s="4357">
        <f t="shared" ref="BQ136:CH136" si="333">IFERROR(IF((time+time_cap)&lt;BQ$2, 0,IF(AND(time+1&gt;=BR$2, $AC136&lt;BR$2), IF($AG136= "I", $AH136/($AD136-$AC136+1), $AH136/(($AD136*($AD136+1)/2)-(($AC136-1)*($AC136-1+1)/2))*BQ$2), 0)+IF(IF(time+1&gt;=BR$2, $AI136/time_cap/(time+1)*BQ$2, 0) = 0, $AI136/(time_cap),0)),0)</f>
        <v>0</v>
      </c>
      <c r="BR136" s="4357">
        <f t="shared" si="333"/>
        <v>0</v>
      </c>
      <c r="BS136" s="4357">
        <f t="shared" si="333"/>
        <v>0</v>
      </c>
      <c r="BT136" s="4357">
        <f t="shared" si="333"/>
        <v>0</v>
      </c>
      <c r="BU136" s="4357">
        <f t="shared" si="333"/>
        <v>0</v>
      </c>
      <c r="BV136" s="4357">
        <f t="shared" si="333"/>
        <v>0</v>
      </c>
      <c r="BW136" s="4357">
        <f t="shared" si="333"/>
        <v>0</v>
      </c>
      <c r="BX136" s="4357">
        <f t="shared" si="333"/>
        <v>0</v>
      </c>
      <c r="BY136" s="4357">
        <f t="shared" si="333"/>
        <v>0</v>
      </c>
      <c r="BZ136" s="4357">
        <f t="shared" si="333"/>
        <v>0</v>
      </c>
      <c r="CA136" s="4357">
        <f t="shared" si="333"/>
        <v>0</v>
      </c>
      <c r="CB136" s="4357">
        <f t="shared" si="333"/>
        <v>0</v>
      </c>
      <c r="CC136" s="4357">
        <f t="shared" si="333"/>
        <v>0</v>
      </c>
      <c r="CD136" s="4357">
        <f t="shared" si="333"/>
        <v>0</v>
      </c>
      <c r="CE136" s="4357">
        <f t="shared" si="333"/>
        <v>0</v>
      </c>
      <c r="CF136" s="4357">
        <f t="shared" si="333"/>
        <v>0</v>
      </c>
      <c r="CG136" s="4357">
        <f t="shared" si="333"/>
        <v>0</v>
      </c>
      <c r="CH136" s="4357">
        <f t="shared" si="333"/>
        <v>0</v>
      </c>
      <c r="CI136" s="4357"/>
      <c r="CJ136" s="4357"/>
      <c r="CK136" s="4357"/>
      <c r="CL136" s="4357"/>
      <c r="CM136" s="4357"/>
      <c r="CN136" s="4357"/>
      <c r="CO136" s="4357"/>
      <c r="CP136" s="4357"/>
      <c r="CQ136" s="4357"/>
      <c r="CR136" s="4357"/>
      <c r="CS136" s="4357"/>
      <c r="CT136" s="4357"/>
      <c r="CU136" s="4357"/>
      <c r="CV136" s="4357"/>
      <c r="CW136" s="4357"/>
      <c r="CX136" s="4357"/>
      <c r="CY136" s="4357"/>
      <c r="CZ136" s="4357"/>
      <c r="DA136" s="4357"/>
      <c r="DB136" s="4357"/>
      <c r="DC136" s="4357"/>
      <c r="DD136" s="4357"/>
      <c r="DE136" s="4357"/>
      <c r="DF136" s="4357"/>
      <c r="DG136" s="4357"/>
      <c r="DH136" s="4357"/>
      <c r="DI136" s="4357"/>
      <c r="DJ136" s="4357"/>
      <c r="DK136" s="4357"/>
      <c r="DL136" s="4357"/>
      <c r="DM136" s="4357"/>
      <c r="DN136" s="4357"/>
      <c r="DO136" s="4357"/>
      <c r="DP136" s="4357"/>
      <c r="DQ136" s="4357"/>
      <c r="DR136" s="4357"/>
      <c r="DS136" s="4357"/>
      <c r="DT136" s="4357"/>
      <c r="DU136" s="4357"/>
      <c r="DV136" s="4357"/>
      <c r="DW136" s="4357"/>
      <c r="DX136" s="4357"/>
      <c r="DY136" s="4357"/>
      <c r="DZ136" s="4357"/>
      <c r="EA136" s="4357"/>
      <c r="EB136" s="4357"/>
      <c r="EC136" s="4357"/>
      <c r="ED136" s="4357"/>
      <c r="EE136" s="4357"/>
      <c r="EF136" s="4357"/>
    </row>
    <row r="137" spans="1:136" ht="16" x14ac:dyDescent="0.2">
      <c r="A137" t="s">
        <v>3004</v>
      </c>
      <c r="B137" t="s">
        <v>3231</v>
      </c>
      <c r="D137" t="str">
        <f>'6.Inland wetlands'!C49</f>
        <v>Please select</v>
      </c>
      <c r="E137">
        <f>'6.Inland wetlands'!AG49+'6.Inland wetlands'!AG61</f>
        <v>0</v>
      </c>
      <c r="F137" s="388">
        <f>'Inl. wetlands'!U137-'Inl. wetlands'!T137+'Inl. wetlands'!W137-'Inl. wetlands'!V137</f>
        <v>0</v>
      </c>
      <c r="H137" s="388">
        <f>'Inl. wetlands'!AE154-'Inl. wetlands'!AD154</f>
        <v>0</v>
      </c>
      <c r="I137" s="388">
        <f>'Inl. wetlands'!AC168-'Inl. wetlands'!AB168+'Inl. wetlands'!AC179-'Inl. wetlands'!AB179+'Inl. wetlands'!AC196-'Inl. wetlands'!AB196+'Inl. wetlands'!AC207-'Inl. wetlands'!AB207</f>
        <v>0</v>
      </c>
      <c r="M137" s="388">
        <f>'Inl. wetlands'!BC137-'Inl. wetlands'!BB137</f>
        <v>0</v>
      </c>
      <c r="R137" s="388">
        <f>'Inl. wetlands'!AG168-'Inl. wetlands'!AF168+'Inl. wetlands'!AG179-'Inl. wetlands'!AF179+'Inl. wetlands'!AG196-'Inl. wetlands'!AF196+'Inl. wetlands'!AG207-'Inl. wetlands'!AF207</f>
        <v>0</v>
      </c>
      <c r="U137" s="388">
        <f>'Inl. wetlands'!BA137-'Inl. wetlands'!AZ137</f>
        <v>0</v>
      </c>
      <c r="Y137" s="388">
        <f>'Inl. wetlands'!AG154-'Inl. wetlands'!AF154</f>
        <v>0</v>
      </c>
      <c r="Z137" s="388">
        <f>'Inl. wetlands'!AE168-'Inl. wetlands'!AD168+'Inl. wetlands'!AE179-'Inl. wetlands'!AD179+'Inl. wetlands'!AE196-'Inl. wetlands'!AD196+'Inl. wetlands'!AE207-'Inl. wetlands'!AD207</f>
        <v>0</v>
      </c>
      <c r="AB137" t="str">
        <f t="shared" si="171"/>
        <v>ok</v>
      </c>
      <c r="AC137">
        <f>IF('6.Inland wetlands'!BS50&lt;&gt;0,'6.Inland wetlands'!BS50,'6.Inland wetlands'!BR50)</f>
        <v>1</v>
      </c>
      <c r="AD137">
        <f t="shared" si="190"/>
        <v>5</v>
      </c>
      <c r="AE137" s="4357" t="str">
        <f>'6.Inland wetlands'!O49</f>
        <v>D</v>
      </c>
      <c r="AF137" s="4357" t="str">
        <f>'6.Inland wetlands'!Q49</f>
        <v>D</v>
      </c>
      <c r="AG137" s="4357" t="str">
        <f t="shared" si="193"/>
        <v>D</v>
      </c>
      <c r="AH137" s="4357">
        <f>((E137/(time_cap+((AD137-AC137+1)*VLOOKUP(AG137,list!$I$48:$K$50,3, FALSE))))*(AD137-AC137+1)*VLOOKUP(AG137,list!$I$48:$K$50,3, FALSE))</f>
        <v>0</v>
      </c>
      <c r="AI137" s="4357">
        <f>((E137/(time_cap+((AD137-AC137+1)*VLOOKUP(AG137,list!$I$48:$K$50,3, FALSE))))*time_cap)</f>
        <v>0</v>
      </c>
      <c r="AK137" s="4357">
        <f t="shared" ref="AK137:BP137" si="334">IFERROR(IF((time+time_cap)&lt;AK$2, 0,IF(AND(time+1&gt;=AL$2, $AC137&lt;AL$2), IF($AG137= "I", $AH137/($AD137-$AC137+1), $AH137/(($AD137*($AD137+1)/2)-(($AC137-1)*($AC137-1+1)/2))*AK$2), 0)+IF(IF(time+1&gt;=AL$2, $AI137/time_cap/(time+1)*AK$2, 0) = 0, $AI137/(time_cap),0)),0)</f>
        <v>0</v>
      </c>
      <c r="AL137" s="4357">
        <f t="shared" si="334"/>
        <v>0</v>
      </c>
      <c r="AM137" s="4357">
        <f t="shared" si="334"/>
        <v>0</v>
      </c>
      <c r="AN137" s="4357">
        <f t="shared" si="334"/>
        <v>0</v>
      </c>
      <c r="AO137" s="4357">
        <f t="shared" si="334"/>
        <v>0</v>
      </c>
      <c r="AP137" s="4357">
        <f t="shared" si="334"/>
        <v>0</v>
      </c>
      <c r="AQ137" s="4357">
        <f t="shared" si="334"/>
        <v>0</v>
      </c>
      <c r="AR137" s="4357">
        <f t="shared" si="334"/>
        <v>0</v>
      </c>
      <c r="AS137" s="4357">
        <f t="shared" si="334"/>
        <v>0</v>
      </c>
      <c r="AT137" s="4357">
        <f t="shared" si="334"/>
        <v>0</v>
      </c>
      <c r="AU137" s="4357">
        <f t="shared" si="334"/>
        <v>0</v>
      </c>
      <c r="AV137" s="4357">
        <f t="shared" si="334"/>
        <v>0</v>
      </c>
      <c r="AW137" s="4357">
        <f t="shared" si="334"/>
        <v>0</v>
      </c>
      <c r="AX137" s="4357">
        <f t="shared" si="334"/>
        <v>0</v>
      </c>
      <c r="AY137" s="4357">
        <f t="shared" si="334"/>
        <v>0</v>
      </c>
      <c r="AZ137" s="4357">
        <f t="shared" si="334"/>
        <v>0</v>
      </c>
      <c r="BA137" s="4357">
        <f t="shared" si="334"/>
        <v>0</v>
      </c>
      <c r="BB137" s="4357">
        <f t="shared" si="334"/>
        <v>0</v>
      </c>
      <c r="BC137" s="4357">
        <f t="shared" si="334"/>
        <v>0</v>
      </c>
      <c r="BD137" s="4357">
        <f t="shared" si="334"/>
        <v>0</v>
      </c>
      <c r="BE137" s="4357">
        <f t="shared" si="334"/>
        <v>0</v>
      </c>
      <c r="BF137" s="4357">
        <f t="shared" si="334"/>
        <v>0</v>
      </c>
      <c r="BG137" s="4357">
        <f t="shared" si="334"/>
        <v>0</v>
      </c>
      <c r="BH137" s="4357">
        <f t="shared" si="334"/>
        <v>0</v>
      </c>
      <c r="BI137" s="4357">
        <f t="shared" si="334"/>
        <v>0</v>
      </c>
      <c r="BJ137" s="4357">
        <f t="shared" si="334"/>
        <v>0</v>
      </c>
      <c r="BK137" s="4357">
        <f t="shared" si="334"/>
        <v>0</v>
      </c>
      <c r="BL137" s="4357">
        <f t="shared" si="334"/>
        <v>0</v>
      </c>
      <c r="BM137" s="4357">
        <f t="shared" si="334"/>
        <v>0</v>
      </c>
      <c r="BN137" s="4357">
        <f t="shared" si="334"/>
        <v>0</v>
      </c>
      <c r="BO137" s="4357">
        <f t="shared" si="334"/>
        <v>0</v>
      </c>
      <c r="BP137" s="4357">
        <f t="shared" si="334"/>
        <v>0</v>
      </c>
      <c r="BQ137" s="4357">
        <f t="shared" ref="BQ137:CH137" si="335">IFERROR(IF((time+time_cap)&lt;BQ$2, 0,IF(AND(time+1&gt;=BR$2, $AC137&lt;BR$2), IF($AG137= "I", $AH137/($AD137-$AC137+1), $AH137/(($AD137*($AD137+1)/2)-(($AC137-1)*($AC137-1+1)/2))*BQ$2), 0)+IF(IF(time+1&gt;=BR$2, $AI137/time_cap/(time+1)*BQ$2, 0) = 0, $AI137/(time_cap),0)),0)</f>
        <v>0</v>
      </c>
      <c r="BR137" s="4357">
        <f t="shared" si="335"/>
        <v>0</v>
      </c>
      <c r="BS137" s="4357">
        <f t="shared" si="335"/>
        <v>0</v>
      </c>
      <c r="BT137" s="4357">
        <f t="shared" si="335"/>
        <v>0</v>
      </c>
      <c r="BU137" s="4357">
        <f t="shared" si="335"/>
        <v>0</v>
      </c>
      <c r="BV137" s="4357">
        <f t="shared" si="335"/>
        <v>0</v>
      </c>
      <c r="BW137" s="4357">
        <f t="shared" si="335"/>
        <v>0</v>
      </c>
      <c r="BX137" s="4357">
        <f t="shared" si="335"/>
        <v>0</v>
      </c>
      <c r="BY137" s="4357">
        <f t="shared" si="335"/>
        <v>0</v>
      </c>
      <c r="BZ137" s="4357">
        <f t="shared" si="335"/>
        <v>0</v>
      </c>
      <c r="CA137" s="4357">
        <f t="shared" si="335"/>
        <v>0</v>
      </c>
      <c r="CB137" s="4357">
        <f t="shared" si="335"/>
        <v>0</v>
      </c>
      <c r="CC137" s="4357">
        <f t="shared" si="335"/>
        <v>0</v>
      </c>
      <c r="CD137" s="4357">
        <f t="shared" si="335"/>
        <v>0</v>
      </c>
      <c r="CE137" s="4357">
        <f t="shared" si="335"/>
        <v>0</v>
      </c>
      <c r="CF137" s="4357">
        <f t="shared" si="335"/>
        <v>0</v>
      </c>
      <c r="CG137" s="4357">
        <f t="shared" si="335"/>
        <v>0</v>
      </c>
      <c r="CH137" s="4357">
        <f t="shared" si="335"/>
        <v>0</v>
      </c>
      <c r="CI137" s="4357"/>
      <c r="CJ137" s="4357"/>
      <c r="CK137" s="4357"/>
      <c r="CL137" s="4357"/>
      <c r="CM137" s="4357"/>
      <c r="CN137" s="4357"/>
      <c r="CO137" s="4357"/>
      <c r="CP137" s="4357"/>
      <c r="CQ137" s="4357"/>
      <c r="CR137" s="4357"/>
      <c r="CS137" s="4357"/>
      <c r="CT137" s="4357"/>
      <c r="CU137" s="4357"/>
      <c r="CV137" s="4357"/>
      <c r="CW137" s="4357"/>
      <c r="CX137" s="4357"/>
      <c r="CY137" s="4357"/>
      <c r="CZ137" s="4357"/>
      <c r="DA137" s="4357"/>
      <c r="DB137" s="4357"/>
      <c r="DC137" s="4357"/>
      <c r="DD137" s="4357"/>
      <c r="DE137" s="4357"/>
      <c r="DF137" s="4357"/>
      <c r="DG137" s="4357"/>
      <c r="DH137" s="4357"/>
      <c r="DI137" s="4357"/>
      <c r="DJ137" s="4357"/>
      <c r="DK137" s="4357"/>
      <c r="DL137" s="4357"/>
      <c r="DM137" s="4357"/>
      <c r="DN137" s="4357"/>
      <c r="DO137" s="4357"/>
      <c r="DP137" s="4357"/>
      <c r="DQ137" s="4357"/>
      <c r="DR137" s="4357"/>
      <c r="DS137" s="4357"/>
      <c r="DT137" s="4357"/>
      <c r="DU137" s="4357"/>
      <c r="DV137" s="4357"/>
      <c r="DW137" s="4357"/>
      <c r="DX137" s="4357"/>
      <c r="DY137" s="4357"/>
      <c r="DZ137" s="4357"/>
      <c r="EA137" s="4357"/>
      <c r="EB137" s="4357"/>
      <c r="EC137" s="4357"/>
      <c r="ED137" s="4357"/>
      <c r="EE137" s="4357"/>
      <c r="EF137" s="4357"/>
    </row>
    <row r="138" spans="1:136" ht="16" x14ac:dyDescent="0.2">
      <c r="A138" t="s">
        <v>3004</v>
      </c>
      <c r="B138" t="s">
        <v>3231</v>
      </c>
      <c r="D138" t="str">
        <f>'6.Inland wetlands'!C50</f>
        <v>Please select</v>
      </c>
      <c r="E138">
        <f>'6.Inland wetlands'!AG50+'6.Inland wetlands'!AG62</f>
        <v>0</v>
      </c>
      <c r="F138" s="388">
        <f>'Inl. wetlands'!U138-'Inl. wetlands'!T138+'Inl. wetlands'!W138-'Inl. wetlands'!V138</f>
        <v>0</v>
      </c>
      <c r="H138" s="388">
        <f>'Inl. wetlands'!AE155-'Inl. wetlands'!AD155</f>
        <v>0</v>
      </c>
      <c r="I138" s="388">
        <f>'Inl. wetlands'!AC169-'Inl. wetlands'!AB169+'Inl. wetlands'!AC180-'Inl. wetlands'!AB180+'Inl. wetlands'!AC197-'Inl. wetlands'!AB197+'Inl. wetlands'!AC208-'Inl. wetlands'!AB208</f>
        <v>0</v>
      </c>
      <c r="M138" s="388">
        <f>'Inl. wetlands'!BC138-'Inl. wetlands'!BB138</f>
        <v>0</v>
      </c>
      <c r="R138" s="388">
        <f>'Inl. wetlands'!AG169-'Inl. wetlands'!AF169+'Inl. wetlands'!AG180-'Inl. wetlands'!AF180+'Inl. wetlands'!AG197-'Inl. wetlands'!AF197+'Inl. wetlands'!AG208-'Inl. wetlands'!AF208</f>
        <v>0</v>
      </c>
      <c r="U138" s="388">
        <f>'Inl. wetlands'!BA138-'Inl. wetlands'!AZ138</f>
        <v>0</v>
      </c>
      <c r="Y138" s="388">
        <f>'Inl. wetlands'!AG155-'Inl. wetlands'!AF155</f>
        <v>0</v>
      </c>
      <c r="Z138" s="388">
        <f>'Inl. wetlands'!AE169-'Inl. wetlands'!AD169+'Inl. wetlands'!AE180-'Inl. wetlands'!AD180+'Inl. wetlands'!AE197-'Inl. wetlands'!AD197+'Inl. wetlands'!AE208-'Inl. wetlands'!AD208</f>
        <v>0</v>
      </c>
      <c r="AB138" t="str">
        <f t="shared" si="171"/>
        <v>ok</v>
      </c>
      <c r="AC138">
        <f>IF('6.Inland wetlands'!BS51&lt;&gt;0,'6.Inland wetlands'!BS51,'6.Inland wetlands'!BR51)</f>
        <v>1</v>
      </c>
      <c r="AD138">
        <f t="shared" si="190"/>
        <v>5</v>
      </c>
      <c r="AE138" s="4357" t="str">
        <f>'6.Inland wetlands'!O50</f>
        <v>D</v>
      </c>
      <c r="AF138" s="4357" t="str">
        <f>'6.Inland wetlands'!Q50</f>
        <v>D</v>
      </c>
      <c r="AG138" s="4357" t="str">
        <f t="shared" si="193"/>
        <v>D</v>
      </c>
      <c r="AH138" s="4357">
        <f>((E138/(time_cap+((AD138-AC138+1)*VLOOKUP(AG138,list!$I$48:$K$50,3, FALSE))))*(AD138-AC138+1)*VLOOKUP(AG138,list!$I$48:$K$50,3, FALSE))</f>
        <v>0</v>
      </c>
      <c r="AI138" s="4357">
        <f>((E138/(time_cap+((AD138-AC138+1)*VLOOKUP(AG138,list!$I$48:$K$50,3, FALSE))))*time_cap)</f>
        <v>0</v>
      </c>
      <c r="AK138" s="4357">
        <f t="shared" ref="AK138:BP138" si="336">IFERROR(IF((time+time_cap)&lt;AK$2, 0,IF(AND(time+1&gt;=AL$2, $AC138&lt;AL$2), IF($AG138= "I", $AH138/($AD138-$AC138+1), $AH138/(($AD138*($AD138+1)/2)-(($AC138-1)*($AC138-1+1)/2))*AK$2), 0)+IF(IF(time+1&gt;=AL$2, $AI138/time_cap/(time+1)*AK$2, 0) = 0, $AI138/(time_cap),0)),0)</f>
        <v>0</v>
      </c>
      <c r="AL138" s="4357">
        <f t="shared" si="336"/>
        <v>0</v>
      </c>
      <c r="AM138" s="4357">
        <f t="shared" si="336"/>
        <v>0</v>
      </c>
      <c r="AN138" s="4357">
        <f t="shared" si="336"/>
        <v>0</v>
      </c>
      <c r="AO138" s="4357">
        <f t="shared" si="336"/>
        <v>0</v>
      </c>
      <c r="AP138" s="4357">
        <f t="shared" si="336"/>
        <v>0</v>
      </c>
      <c r="AQ138" s="4357">
        <f t="shared" si="336"/>
        <v>0</v>
      </c>
      <c r="AR138" s="4357">
        <f t="shared" si="336"/>
        <v>0</v>
      </c>
      <c r="AS138" s="4357">
        <f t="shared" si="336"/>
        <v>0</v>
      </c>
      <c r="AT138" s="4357">
        <f t="shared" si="336"/>
        <v>0</v>
      </c>
      <c r="AU138" s="4357">
        <f t="shared" si="336"/>
        <v>0</v>
      </c>
      <c r="AV138" s="4357">
        <f t="shared" si="336"/>
        <v>0</v>
      </c>
      <c r="AW138" s="4357">
        <f t="shared" si="336"/>
        <v>0</v>
      </c>
      <c r="AX138" s="4357">
        <f t="shared" si="336"/>
        <v>0</v>
      </c>
      <c r="AY138" s="4357">
        <f t="shared" si="336"/>
        <v>0</v>
      </c>
      <c r="AZ138" s="4357">
        <f t="shared" si="336"/>
        <v>0</v>
      </c>
      <c r="BA138" s="4357">
        <f t="shared" si="336"/>
        <v>0</v>
      </c>
      <c r="BB138" s="4357">
        <f t="shared" si="336"/>
        <v>0</v>
      </c>
      <c r="BC138" s="4357">
        <f t="shared" si="336"/>
        <v>0</v>
      </c>
      <c r="BD138" s="4357">
        <f t="shared" si="336"/>
        <v>0</v>
      </c>
      <c r="BE138" s="4357">
        <f t="shared" si="336"/>
        <v>0</v>
      </c>
      <c r="BF138" s="4357">
        <f t="shared" si="336"/>
        <v>0</v>
      </c>
      <c r="BG138" s="4357">
        <f t="shared" si="336"/>
        <v>0</v>
      </c>
      <c r="BH138" s="4357">
        <f t="shared" si="336"/>
        <v>0</v>
      </c>
      <c r="BI138" s="4357">
        <f t="shared" si="336"/>
        <v>0</v>
      </c>
      <c r="BJ138" s="4357">
        <f t="shared" si="336"/>
        <v>0</v>
      </c>
      <c r="BK138" s="4357">
        <f t="shared" si="336"/>
        <v>0</v>
      </c>
      <c r="BL138" s="4357">
        <f t="shared" si="336"/>
        <v>0</v>
      </c>
      <c r="BM138" s="4357">
        <f t="shared" si="336"/>
        <v>0</v>
      </c>
      <c r="BN138" s="4357">
        <f t="shared" si="336"/>
        <v>0</v>
      </c>
      <c r="BO138" s="4357">
        <f t="shared" si="336"/>
        <v>0</v>
      </c>
      <c r="BP138" s="4357">
        <f t="shared" si="336"/>
        <v>0</v>
      </c>
      <c r="BQ138" s="4357">
        <f t="shared" ref="BQ138:CH138" si="337">IFERROR(IF((time+time_cap)&lt;BQ$2, 0,IF(AND(time+1&gt;=BR$2, $AC138&lt;BR$2), IF($AG138= "I", $AH138/($AD138-$AC138+1), $AH138/(($AD138*($AD138+1)/2)-(($AC138-1)*($AC138-1+1)/2))*BQ$2), 0)+IF(IF(time+1&gt;=BR$2, $AI138/time_cap/(time+1)*BQ$2, 0) = 0, $AI138/(time_cap),0)),0)</f>
        <v>0</v>
      </c>
      <c r="BR138" s="4357">
        <f t="shared" si="337"/>
        <v>0</v>
      </c>
      <c r="BS138" s="4357">
        <f t="shared" si="337"/>
        <v>0</v>
      </c>
      <c r="BT138" s="4357">
        <f t="shared" si="337"/>
        <v>0</v>
      </c>
      <c r="BU138" s="4357">
        <f t="shared" si="337"/>
        <v>0</v>
      </c>
      <c r="BV138" s="4357">
        <f t="shared" si="337"/>
        <v>0</v>
      </c>
      <c r="BW138" s="4357">
        <f t="shared" si="337"/>
        <v>0</v>
      </c>
      <c r="BX138" s="4357">
        <f t="shared" si="337"/>
        <v>0</v>
      </c>
      <c r="BY138" s="4357">
        <f t="shared" si="337"/>
        <v>0</v>
      </c>
      <c r="BZ138" s="4357">
        <f t="shared" si="337"/>
        <v>0</v>
      </c>
      <c r="CA138" s="4357">
        <f t="shared" si="337"/>
        <v>0</v>
      </c>
      <c r="CB138" s="4357">
        <f t="shared" si="337"/>
        <v>0</v>
      </c>
      <c r="CC138" s="4357">
        <f t="shared" si="337"/>
        <v>0</v>
      </c>
      <c r="CD138" s="4357">
        <f t="shared" si="337"/>
        <v>0</v>
      </c>
      <c r="CE138" s="4357">
        <f t="shared" si="337"/>
        <v>0</v>
      </c>
      <c r="CF138" s="4357">
        <f t="shared" si="337"/>
        <v>0</v>
      </c>
      <c r="CG138" s="4357">
        <f t="shared" si="337"/>
        <v>0</v>
      </c>
      <c r="CH138" s="4357">
        <f t="shared" si="337"/>
        <v>0</v>
      </c>
      <c r="CI138" s="4357"/>
      <c r="CJ138" s="4357"/>
      <c r="CK138" s="4357"/>
      <c r="CL138" s="4357"/>
      <c r="CM138" s="4357"/>
      <c r="CN138" s="4357"/>
      <c r="CO138" s="4357"/>
      <c r="CP138" s="4357"/>
      <c r="CQ138" s="4357"/>
      <c r="CR138" s="4357"/>
      <c r="CS138" s="4357"/>
      <c r="CT138" s="4357"/>
      <c r="CU138" s="4357"/>
      <c r="CV138" s="4357"/>
      <c r="CW138" s="4357"/>
      <c r="CX138" s="4357"/>
      <c r="CY138" s="4357"/>
      <c r="CZ138" s="4357"/>
      <c r="DA138" s="4357"/>
      <c r="DB138" s="4357"/>
      <c r="DC138" s="4357"/>
      <c r="DD138" s="4357"/>
      <c r="DE138" s="4357"/>
      <c r="DF138" s="4357"/>
      <c r="DG138" s="4357"/>
      <c r="DH138" s="4357"/>
      <c r="DI138" s="4357"/>
      <c r="DJ138" s="4357"/>
      <c r="DK138" s="4357"/>
      <c r="DL138" s="4357"/>
      <c r="DM138" s="4357"/>
      <c r="DN138" s="4357"/>
      <c r="DO138" s="4357"/>
      <c r="DP138" s="4357"/>
      <c r="DQ138" s="4357"/>
      <c r="DR138" s="4357"/>
      <c r="DS138" s="4357"/>
      <c r="DT138" s="4357"/>
      <c r="DU138" s="4357"/>
      <c r="DV138" s="4357"/>
      <c r="DW138" s="4357"/>
      <c r="DX138" s="4357"/>
      <c r="DY138" s="4357"/>
      <c r="DZ138" s="4357"/>
      <c r="EA138" s="4357"/>
      <c r="EB138" s="4357"/>
      <c r="EC138" s="4357"/>
      <c r="ED138" s="4357"/>
      <c r="EE138" s="4357"/>
      <c r="EF138" s="4357"/>
    </row>
    <row r="139" spans="1:136" ht="16" x14ac:dyDescent="0.2">
      <c r="A139" t="s">
        <v>3004</v>
      </c>
      <c r="B139" t="s">
        <v>3231</v>
      </c>
      <c r="D139" t="str">
        <f>'6.Inland wetlands'!C51</f>
        <v>Please select</v>
      </c>
      <c r="E139">
        <f>'6.Inland wetlands'!AG51+'6.Inland wetlands'!AG63</f>
        <v>0</v>
      </c>
      <c r="F139" s="388">
        <f>'Inl. wetlands'!U139-'Inl. wetlands'!T139+'Inl. wetlands'!W139-'Inl. wetlands'!V139</f>
        <v>0</v>
      </c>
      <c r="H139" s="388">
        <f>'Inl. wetlands'!AE156-'Inl. wetlands'!AD156</f>
        <v>0</v>
      </c>
      <c r="I139" s="388">
        <f>'Inl. wetlands'!AC170-'Inl. wetlands'!AB170+'Inl. wetlands'!AC181-'Inl. wetlands'!AB181+'Inl. wetlands'!AC198-'Inl. wetlands'!AB198+'Inl. wetlands'!AC209-'Inl. wetlands'!AB209</f>
        <v>0</v>
      </c>
      <c r="M139" s="388">
        <f>'Inl. wetlands'!BC139-'Inl. wetlands'!BB139</f>
        <v>0</v>
      </c>
      <c r="R139" s="388">
        <f>'Inl. wetlands'!AG170-'Inl. wetlands'!AF170+'Inl. wetlands'!AG181-'Inl. wetlands'!AF181+'Inl. wetlands'!AG198-'Inl. wetlands'!AF198+'Inl. wetlands'!AG209-'Inl. wetlands'!AF209</f>
        <v>0</v>
      </c>
      <c r="U139" s="388">
        <f>'Inl. wetlands'!BA139-'Inl. wetlands'!AZ139</f>
        <v>0</v>
      </c>
      <c r="Y139" s="388">
        <f>'Inl. wetlands'!AG156-'Inl. wetlands'!AF156</f>
        <v>0</v>
      </c>
      <c r="Z139" s="388">
        <f>'Inl. wetlands'!AE170-'Inl. wetlands'!AD170+'Inl. wetlands'!AE181-'Inl. wetlands'!AD181+'Inl. wetlands'!AE198-'Inl. wetlands'!AD198+'Inl. wetlands'!AE209-'Inl. wetlands'!AD209</f>
        <v>0</v>
      </c>
      <c r="AB139" t="str">
        <f t="shared" si="171"/>
        <v>ok</v>
      </c>
      <c r="AC139">
        <f>IF('6.Inland wetlands'!BS52&lt;&gt;0,'6.Inland wetlands'!BS52,'6.Inland wetlands'!BR52)</f>
        <v>1</v>
      </c>
      <c r="AD139">
        <f t="shared" si="190"/>
        <v>5</v>
      </c>
      <c r="AE139" s="4357" t="str">
        <f>'6.Inland wetlands'!O51</f>
        <v>D</v>
      </c>
      <c r="AF139" s="4357" t="str">
        <f>'6.Inland wetlands'!Q51</f>
        <v>D</v>
      </c>
      <c r="AG139" s="4357" t="str">
        <f t="shared" si="193"/>
        <v>D</v>
      </c>
      <c r="AH139" s="4357">
        <f>((E139/(time_cap+((AD139-AC139+1)*VLOOKUP(AG139,list!$I$48:$K$50,3, FALSE))))*(AD139-AC139+1)*VLOOKUP(AG139,list!$I$48:$K$50,3, FALSE))</f>
        <v>0</v>
      </c>
      <c r="AI139" s="4357">
        <f>((E139/(time_cap+((AD139-AC139+1)*VLOOKUP(AG139,list!$I$48:$K$50,3, FALSE))))*time_cap)</f>
        <v>0</v>
      </c>
      <c r="AK139" s="4357">
        <f t="shared" ref="AK139:BP139" si="338">IFERROR(IF((time+time_cap)&lt;AK$2, 0,IF(AND(time+1&gt;=AL$2, $AC139&lt;AL$2), IF($AG139= "I", $AH139/($AD139-$AC139+1), $AH139/(($AD139*($AD139+1)/2)-(($AC139-1)*($AC139-1+1)/2))*AK$2), 0)+IF(IF(time+1&gt;=AL$2, $AI139/time_cap/(time+1)*AK$2, 0) = 0, $AI139/(time_cap),0)),0)</f>
        <v>0</v>
      </c>
      <c r="AL139" s="4357">
        <f t="shared" si="338"/>
        <v>0</v>
      </c>
      <c r="AM139" s="4357">
        <f t="shared" si="338"/>
        <v>0</v>
      </c>
      <c r="AN139" s="4357">
        <f t="shared" si="338"/>
        <v>0</v>
      </c>
      <c r="AO139" s="4357">
        <f t="shared" si="338"/>
        <v>0</v>
      </c>
      <c r="AP139" s="4357">
        <f t="shared" si="338"/>
        <v>0</v>
      </c>
      <c r="AQ139" s="4357">
        <f t="shared" si="338"/>
        <v>0</v>
      </c>
      <c r="AR139" s="4357">
        <f t="shared" si="338"/>
        <v>0</v>
      </c>
      <c r="AS139" s="4357">
        <f t="shared" si="338"/>
        <v>0</v>
      </c>
      <c r="AT139" s="4357">
        <f t="shared" si="338"/>
        <v>0</v>
      </c>
      <c r="AU139" s="4357">
        <f t="shared" si="338"/>
        <v>0</v>
      </c>
      <c r="AV139" s="4357">
        <f t="shared" si="338"/>
        <v>0</v>
      </c>
      <c r="AW139" s="4357">
        <f t="shared" si="338"/>
        <v>0</v>
      </c>
      <c r="AX139" s="4357">
        <f t="shared" si="338"/>
        <v>0</v>
      </c>
      <c r="AY139" s="4357">
        <f t="shared" si="338"/>
        <v>0</v>
      </c>
      <c r="AZ139" s="4357">
        <f t="shared" si="338"/>
        <v>0</v>
      </c>
      <c r="BA139" s="4357">
        <f t="shared" si="338"/>
        <v>0</v>
      </c>
      <c r="BB139" s="4357">
        <f t="shared" si="338"/>
        <v>0</v>
      </c>
      <c r="BC139" s="4357">
        <f t="shared" si="338"/>
        <v>0</v>
      </c>
      <c r="BD139" s="4357">
        <f t="shared" si="338"/>
        <v>0</v>
      </c>
      <c r="BE139" s="4357">
        <f t="shared" si="338"/>
        <v>0</v>
      </c>
      <c r="BF139" s="4357">
        <f t="shared" si="338"/>
        <v>0</v>
      </c>
      <c r="BG139" s="4357">
        <f t="shared" si="338"/>
        <v>0</v>
      </c>
      <c r="BH139" s="4357">
        <f t="shared" si="338"/>
        <v>0</v>
      </c>
      <c r="BI139" s="4357">
        <f t="shared" si="338"/>
        <v>0</v>
      </c>
      <c r="BJ139" s="4357">
        <f t="shared" si="338"/>
        <v>0</v>
      </c>
      <c r="BK139" s="4357">
        <f t="shared" si="338"/>
        <v>0</v>
      </c>
      <c r="BL139" s="4357">
        <f t="shared" si="338"/>
        <v>0</v>
      </c>
      <c r="BM139" s="4357">
        <f t="shared" si="338"/>
        <v>0</v>
      </c>
      <c r="BN139" s="4357">
        <f t="shared" si="338"/>
        <v>0</v>
      </c>
      <c r="BO139" s="4357">
        <f t="shared" si="338"/>
        <v>0</v>
      </c>
      <c r="BP139" s="4357">
        <f t="shared" si="338"/>
        <v>0</v>
      </c>
      <c r="BQ139" s="4357">
        <f t="shared" ref="BQ139:CH139" si="339">IFERROR(IF((time+time_cap)&lt;BQ$2, 0,IF(AND(time+1&gt;=BR$2, $AC139&lt;BR$2), IF($AG139= "I", $AH139/($AD139-$AC139+1), $AH139/(($AD139*($AD139+1)/2)-(($AC139-1)*($AC139-1+1)/2))*BQ$2), 0)+IF(IF(time+1&gt;=BR$2, $AI139/time_cap/(time+1)*BQ$2, 0) = 0, $AI139/(time_cap),0)),0)</f>
        <v>0</v>
      </c>
      <c r="BR139" s="4357">
        <f t="shared" si="339"/>
        <v>0</v>
      </c>
      <c r="BS139" s="4357">
        <f t="shared" si="339"/>
        <v>0</v>
      </c>
      <c r="BT139" s="4357">
        <f t="shared" si="339"/>
        <v>0</v>
      </c>
      <c r="BU139" s="4357">
        <f t="shared" si="339"/>
        <v>0</v>
      </c>
      <c r="BV139" s="4357">
        <f t="shared" si="339"/>
        <v>0</v>
      </c>
      <c r="BW139" s="4357">
        <f t="shared" si="339"/>
        <v>0</v>
      </c>
      <c r="BX139" s="4357">
        <f t="shared" si="339"/>
        <v>0</v>
      </c>
      <c r="BY139" s="4357">
        <f t="shared" si="339"/>
        <v>0</v>
      </c>
      <c r="BZ139" s="4357">
        <f t="shared" si="339"/>
        <v>0</v>
      </c>
      <c r="CA139" s="4357">
        <f t="shared" si="339"/>
        <v>0</v>
      </c>
      <c r="CB139" s="4357">
        <f t="shared" si="339"/>
        <v>0</v>
      </c>
      <c r="CC139" s="4357">
        <f t="shared" si="339"/>
        <v>0</v>
      </c>
      <c r="CD139" s="4357">
        <f t="shared" si="339"/>
        <v>0</v>
      </c>
      <c r="CE139" s="4357">
        <f t="shared" si="339"/>
        <v>0</v>
      </c>
      <c r="CF139" s="4357">
        <f t="shared" si="339"/>
        <v>0</v>
      </c>
      <c r="CG139" s="4357">
        <f t="shared" si="339"/>
        <v>0</v>
      </c>
      <c r="CH139" s="4357">
        <f t="shared" si="339"/>
        <v>0</v>
      </c>
      <c r="CI139" s="4357"/>
      <c r="CJ139" s="4357"/>
      <c r="CK139" s="4357"/>
      <c r="CL139" s="4357"/>
      <c r="CM139" s="4357"/>
      <c r="CN139" s="4357"/>
      <c r="CO139" s="4357"/>
      <c r="CP139" s="4357"/>
      <c r="CQ139" s="4357"/>
      <c r="CR139" s="4357"/>
      <c r="CS139" s="4357"/>
      <c r="CT139" s="4357"/>
      <c r="CU139" s="4357"/>
      <c r="CV139" s="4357"/>
      <c r="CW139" s="4357"/>
      <c r="CX139" s="4357"/>
      <c r="CY139" s="4357"/>
      <c r="CZ139" s="4357"/>
      <c r="DA139" s="4357"/>
      <c r="DB139" s="4357"/>
      <c r="DC139" s="4357"/>
      <c r="DD139" s="4357"/>
      <c r="DE139" s="4357"/>
      <c r="DF139" s="4357"/>
      <c r="DG139" s="4357"/>
      <c r="DH139" s="4357"/>
      <c r="DI139" s="4357"/>
      <c r="DJ139" s="4357"/>
      <c r="DK139" s="4357"/>
      <c r="DL139" s="4357"/>
      <c r="DM139" s="4357"/>
      <c r="DN139" s="4357"/>
      <c r="DO139" s="4357"/>
      <c r="DP139" s="4357"/>
      <c r="DQ139" s="4357"/>
      <c r="DR139" s="4357"/>
      <c r="DS139" s="4357"/>
      <c r="DT139" s="4357"/>
      <c r="DU139" s="4357"/>
      <c r="DV139" s="4357"/>
      <c r="DW139" s="4357"/>
      <c r="DX139" s="4357"/>
      <c r="DY139" s="4357"/>
      <c r="DZ139" s="4357"/>
      <c r="EA139" s="4357"/>
      <c r="EB139" s="4357"/>
      <c r="EC139" s="4357"/>
      <c r="ED139" s="4357"/>
      <c r="EE139" s="4357"/>
      <c r="EF139" s="4357"/>
    </row>
    <row r="140" spans="1:136" ht="16" x14ac:dyDescent="0.2">
      <c r="A140" t="s">
        <v>3004</v>
      </c>
      <c r="B140" t="s">
        <v>3232</v>
      </c>
      <c r="C140">
        <f>'6.Inland wetlands'!C80</f>
        <v>0</v>
      </c>
      <c r="D140" t="str">
        <f>'6.Inland wetlands'!K80</f>
        <v>Please select</v>
      </c>
      <c r="E140">
        <f>'6.Inland wetlands'!AG80+'6.Inland wetlands'!AG91</f>
        <v>0</v>
      </c>
      <c r="F140" s="4495">
        <f>'Inl. wetlands'!Y224-'Inl. wetlands'!X224</f>
        <v>0</v>
      </c>
      <c r="H140" s="388">
        <f>'Inl. wetlands'!AE255-'Inl. wetlands'!AD255</f>
        <v>0</v>
      </c>
      <c r="I140" s="388">
        <f>'Inl. wetlands'!AC269-'Inl. wetlands'!AB269+'Inl. wetlands'!AC280-'Inl. wetlands'!AB280+'Inl. wetlands'!AC296-'Inl. wetlands'!AB296+'Inl. wetlands'!AC307-'Inl. wetlands'!AB307</f>
        <v>0</v>
      </c>
      <c r="M140" s="388">
        <f>'Inl. wetlands'!BC224-'Inl. wetlands'!BB224+'Inl. wetlands'!K236-'Inl. wetlands'!I236</f>
        <v>0</v>
      </c>
      <c r="R140" s="388">
        <f>'Inl. wetlands'!AG269-'Inl. wetlands'!AF269+'Inl. wetlands'!AG280-'Inl. wetlands'!AF280+'Inl. wetlands'!AG296-'Inl. wetlands'!AF296+'Inl. wetlands'!AG307-'Inl. wetlands'!AF307</f>
        <v>0</v>
      </c>
      <c r="U140" s="388">
        <f>'Inl. wetlands'!BA224-'Inl. wetlands'!AZ224+'Inl. wetlands'!J236-'Inl. wetlands'!H236</f>
        <v>0</v>
      </c>
      <c r="Y140" s="388">
        <f>'Inl. wetlands'!AG255-'Inl. wetlands'!AF255</f>
        <v>0</v>
      </c>
      <c r="Z140" s="388">
        <f>'Inl. wetlands'!AE269-'Inl. wetlands'!AD269+'Inl. wetlands'!AE280-'Inl. wetlands'!AD280+'Inl. wetlands'!AE296-'Inl. wetlands'!AD296+'Inl. wetlands'!AE307-'Inl. wetlands'!AD307</f>
        <v>0</v>
      </c>
      <c r="AB140" t="str">
        <f t="shared" ref="AB140:AB203" si="340">IF(ABS(E140-SUM(F140:AA140))&gt;1, "ERROR", "ok")</f>
        <v>ok</v>
      </c>
      <c r="AC140">
        <f>IF('6.Inland wetlands'!BI80&lt;&gt;0,'6.Inland wetlands'!BI80,'6.Inland wetlands'!BH80)</f>
        <v>1</v>
      </c>
      <c r="AD140">
        <f t="shared" si="190"/>
        <v>5</v>
      </c>
      <c r="AE140" s="4357" t="str">
        <f>'6.Inland wetlands'!O80</f>
        <v>D</v>
      </c>
      <c r="AF140" s="4357" t="str">
        <f>'6.Inland wetlands'!Q80</f>
        <v>D</v>
      </c>
      <c r="AG140" s="4357" t="str">
        <f t="shared" si="193"/>
        <v>D</v>
      </c>
      <c r="AH140" s="4357">
        <f>((E140/(time_cap+((AD140-AC140+1)*VLOOKUP(AG140,list!$I$48:$K$50,3, FALSE))))*(AD140-AC140+1)*VLOOKUP(AG140,list!$I$48:$K$50,3, FALSE))</f>
        <v>0</v>
      </c>
      <c r="AI140" s="4357">
        <f>((E140/(time_cap+((AD140-AC140+1)*VLOOKUP(AG140,list!$I$48:$K$50,3, FALSE))))*time_cap)</f>
        <v>0</v>
      </c>
      <c r="AK140" s="4357">
        <f t="shared" ref="AK140:BP140" si="341">IFERROR(IF((time+time_cap)&lt;AK$2, 0,IF(AND(time+1&gt;=AL$2, $AC140&lt;AL$2), IF($AG140= "I", $AH140/($AD140-$AC140+1), $AH140/(($AD140*($AD140+1)/2)-(($AC140-1)*($AC140-1+1)/2))*AK$2), 0)+IF(IF(time+1&gt;=AL$2, $AI140/time_cap/(time+1)*AK$2, 0) = 0, $AI140/(time_cap),0)),0)</f>
        <v>0</v>
      </c>
      <c r="AL140" s="4357">
        <f t="shared" si="341"/>
        <v>0</v>
      </c>
      <c r="AM140" s="4357">
        <f t="shared" si="341"/>
        <v>0</v>
      </c>
      <c r="AN140" s="4357">
        <f t="shared" si="341"/>
        <v>0</v>
      </c>
      <c r="AO140" s="4357">
        <f t="shared" si="341"/>
        <v>0</v>
      </c>
      <c r="AP140" s="4357">
        <f t="shared" si="341"/>
        <v>0</v>
      </c>
      <c r="AQ140" s="4357">
        <f t="shared" si="341"/>
        <v>0</v>
      </c>
      <c r="AR140" s="4357">
        <f t="shared" si="341"/>
        <v>0</v>
      </c>
      <c r="AS140" s="4357">
        <f t="shared" si="341"/>
        <v>0</v>
      </c>
      <c r="AT140" s="4357">
        <f t="shared" si="341"/>
        <v>0</v>
      </c>
      <c r="AU140" s="4357">
        <f t="shared" si="341"/>
        <v>0</v>
      </c>
      <c r="AV140" s="4357">
        <f t="shared" si="341"/>
        <v>0</v>
      </c>
      <c r="AW140" s="4357">
        <f t="shared" si="341"/>
        <v>0</v>
      </c>
      <c r="AX140" s="4357">
        <f t="shared" si="341"/>
        <v>0</v>
      </c>
      <c r="AY140" s="4357">
        <f t="shared" si="341"/>
        <v>0</v>
      </c>
      <c r="AZ140" s="4357">
        <f t="shared" si="341"/>
        <v>0</v>
      </c>
      <c r="BA140" s="4357">
        <f t="shared" si="341"/>
        <v>0</v>
      </c>
      <c r="BB140" s="4357">
        <f t="shared" si="341"/>
        <v>0</v>
      </c>
      <c r="BC140" s="4357">
        <f t="shared" si="341"/>
        <v>0</v>
      </c>
      <c r="BD140" s="4357">
        <f t="shared" si="341"/>
        <v>0</v>
      </c>
      <c r="BE140" s="4357">
        <f t="shared" si="341"/>
        <v>0</v>
      </c>
      <c r="BF140" s="4357">
        <f t="shared" si="341"/>
        <v>0</v>
      </c>
      <c r="BG140" s="4357">
        <f t="shared" si="341"/>
        <v>0</v>
      </c>
      <c r="BH140" s="4357">
        <f t="shared" si="341"/>
        <v>0</v>
      </c>
      <c r="BI140" s="4357">
        <f t="shared" si="341"/>
        <v>0</v>
      </c>
      <c r="BJ140" s="4357">
        <f t="shared" si="341"/>
        <v>0</v>
      </c>
      <c r="BK140" s="4357">
        <f t="shared" si="341"/>
        <v>0</v>
      </c>
      <c r="BL140" s="4357">
        <f t="shared" si="341"/>
        <v>0</v>
      </c>
      <c r="BM140" s="4357">
        <f t="shared" si="341"/>
        <v>0</v>
      </c>
      <c r="BN140" s="4357">
        <f t="shared" si="341"/>
        <v>0</v>
      </c>
      <c r="BO140" s="4357">
        <f t="shared" si="341"/>
        <v>0</v>
      </c>
      <c r="BP140" s="4357">
        <f t="shared" si="341"/>
        <v>0</v>
      </c>
      <c r="BQ140" s="4357">
        <f t="shared" ref="BQ140:CH140" si="342">IFERROR(IF((time+time_cap)&lt;BQ$2, 0,IF(AND(time+1&gt;=BR$2, $AC140&lt;BR$2), IF($AG140= "I", $AH140/($AD140-$AC140+1), $AH140/(($AD140*($AD140+1)/2)-(($AC140-1)*($AC140-1+1)/2))*BQ$2), 0)+IF(IF(time+1&gt;=BR$2, $AI140/time_cap/(time+1)*BQ$2, 0) = 0, $AI140/(time_cap),0)),0)</f>
        <v>0</v>
      </c>
      <c r="BR140" s="4357">
        <f t="shared" si="342"/>
        <v>0</v>
      </c>
      <c r="BS140" s="4357">
        <f t="shared" si="342"/>
        <v>0</v>
      </c>
      <c r="BT140" s="4357">
        <f t="shared" si="342"/>
        <v>0</v>
      </c>
      <c r="BU140" s="4357">
        <f t="shared" si="342"/>
        <v>0</v>
      </c>
      <c r="BV140" s="4357">
        <f t="shared" si="342"/>
        <v>0</v>
      </c>
      <c r="BW140" s="4357">
        <f t="shared" si="342"/>
        <v>0</v>
      </c>
      <c r="BX140" s="4357">
        <f t="shared" si="342"/>
        <v>0</v>
      </c>
      <c r="BY140" s="4357">
        <f t="shared" si="342"/>
        <v>0</v>
      </c>
      <c r="BZ140" s="4357">
        <f t="shared" si="342"/>
        <v>0</v>
      </c>
      <c r="CA140" s="4357">
        <f t="shared" si="342"/>
        <v>0</v>
      </c>
      <c r="CB140" s="4357">
        <f t="shared" si="342"/>
        <v>0</v>
      </c>
      <c r="CC140" s="4357">
        <f t="shared" si="342"/>
        <v>0</v>
      </c>
      <c r="CD140" s="4357">
        <f t="shared" si="342"/>
        <v>0</v>
      </c>
      <c r="CE140" s="4357">
        <f t="shared" si="342"/>
        <v>0</v>
      </c>
      <c r="CF140" s="4357">
        <f t="shared" si="342"/>
        <v>0</v>
      </c>
      <c r="CG140" s="4357">
        <f t="shared" si="342"/>
        <v>0</v>
      </c>
      <c r="CH140" s="4357">
        <f t="shared" si="342"/>
        <v>0</v>
      </c>
      <c r="CI140" s="4357"/>
      <c r="CJ140" s="4357"/>
      <c r="CK140" s="4357"/>
      <c r="CL140" s="4357"/>
      <c r="CM140" s="4357"/>
      <c r="CN140" s="4357"/>
      <c r="CO140" s="4357"/>
      <c r="CP140" s="4357"/>
      <c r="CQ140" s="4357"/>
      <c r="CR140" s="4357"/>
      <c r="CS140" s="4357"/>
      <c r="CT140" s="4357"/>
      <c r="CU140" s="4357"/>
      <c r="CV140" s="4357"/>
      <c r="CW140" s="4357"/>
      <c r="CX140" s="4357"/>
      <c r="CY140" s="4357"/>
      <c r="CZ140" s="4357"/>
      <c r="DA140" s="4357"/>
      <c r="DB140" s="4357"/>
      <c r="DC140" s="4357"/>
      <c r="DD140" s="4357"/>
      <c r="DE140" s="4357"/>
      <c r="DF140" s="4357"/>
      <c r="DG140" s="4357"/>
      <c r="DH140" s="4357"/>
      <c r="DI140" s="4357"/>
      <c r="DJ140" s="4357"/>
      <c r="DK140" s="4357"/>
      <c r="DL140" s="4357"/>
      <c r="DM140" s="4357"/>
      <c r="DN140" s="4357"/>
      <c r="DO140" s="4357"/>
      <c r="DP140" s="4357"/>
      <c r="DQ140" s="4357"/>
      <c r="DR140" s="4357"/>
      <c r="DS140" s="4357"/>
      <c r="DT140" s="4357"/>
      <c r="DU140" s="4357"/>
      <c r="DV140" s="4357"/>
      <c r="DW140" s="4357"/>
      <c r="DX140" s="4357"/>
      <c r="DY140" s="4357"/>
      <c r="DZ140" s="4357"/>
      <c r="EA140" s="4357"/>
      <c r="EB140" s="4357"/>
      <c r="EC140" s="4357"/>
      <c r="ED140" s="4357"/>
      <c r="EE140" s="4357"/>
      <c r="EF140" s="4357"/>
    </row>
    <row r="141" spans="1:136" ht="16" x14ac:dyDescent="0.2">
      <c r="A141" t="s">
        <v>3004</v>
      </c>
      <c r="B141" t="s">
        <v>3232</v>
      </c>
      <c r="C141">
        <f>'6.Inland wetlands'!C81</f>
        <v>0</v>
      </c>
      <c r="D141" t="str">
        <f>'6.Inland wetlands'!K81</f>
        <v>Please select</v>
      </c>
      <c r="E141">
        <f>'6.Inland wetlands'!AG81+'6.Inland wetlands'!AG92</f>
        <v>0</v>
      </c>
      <c r="F141" s="4495">
        <f>'Inl. wetlands'!Y225-'Inl. wetlands'!X225</f>
        <v>0</v>
      </c>
      <c r="H141" s="388">
        <f>'Inl. wetlands'!AE256-'Inl. wetlands'!AD256</f>
        <v>0</v>
      </c>
      <c r="I141" s="388">
        <f>'Inl. wetlands'!AC270-'Inl. wetlands'!AB270+'Inl. wetlands'!AC281-'Inl. wetlands'!AB281+'Inl. wetlands'!AC297-'Inl. wetlands'!AB297+'Inl. wetlands'!AC308-'Inl. wetlands'!AB308</f>
        <v>0</v>
      </c>
      <c r="M141" s="388">
        <f>'Inl. wetlands'!BC225-'Inl. wetlands'!BB225+'Inl. wetlands'!K237-'Inl. wetlands'!I237</f>
        <v>0</v>
      </c>
      <c r="R141" s="388">
        <f>'Inl. wetlands'!AG270-'Inl. wetlands'!AF270+'Inl. wetlands'!AG281-'Inl. wetlands'!AF281+'Inl. wetlands'!AG297-'Inl. wetlands'!AF297+'Inl. wetlands'!AG308-'Inl. wetlands'!AF308</f>
        <v>0</v>
      </c>
      <c r="U141" s="388">
        <f>'Inl. wetlands'!BA225-'Inl. wetlands'!AZ225+'Inl. wetlands'!J237-'Inl. wetlands'!H237</f>
        <v>0</v>
      </c>
      <c r="Y141" s="388">
        <f>'Inl. wetlands'!AG256-'Inl. wetlands'!AF256</f>
        <v>0</v>
      </c>
      <c r="Z141" s="388">
        <f>'Inl. wetlands'!AE270-'Inl. wetlands'!AD270+'Inl. wetlands'!AE281-'Inl. wetlands'!AD281+'Inl. wetlands'!AE297-'Inl. wetlands'!AD297+'Inl. wetlands'!AE308-'Inl. wetlands'!AD308</f>
        <v>0</v>
      </c>
      <c r="AB141" t="str">
        <f t="shared" si="340"/>
        <v>ok</v>
      </c>
      <c r="AC141">
        <f>IF('6.Inland wetlands'!BI81&lt;&gt;0,'6.Inland wetlands'!BI81,'6.Inland wetlands'!BH81)</f>
        <v>1</v>
      </c>
      <c r="AD141">
        <f t="shared" si="190"/>
        <v>5</v>
      </c>
      <c r="AE141" s="4357" t="str">
        <f>'6.Inland wetlands'!O81</f>
        <v>D</v>
      </c>
      <c r="AF141" s="4357" t="str">
        <f>'6.Inland wetlands'!Q81</f>
        <v>D</v>
      </c>
      <c r="AG141" s="4357" t="str">
        <f t="shared" si="193"/>
        <v>D</v>
      </c>
      <c r="AH141" s="4357">
        <f>((E141/(time_cap+((AD141-AC141+1)*VLOOKUP(AG141,list!$I$48:$K$50,3, FALSE))))*(AD141-AC141+1)*VLOOKUP(AG141,list!$I$48:$K$50,3, FALSE))</f>
        <v>0</v>
      </c>
      <c r="AI141" s="4357">
        <f>((E141/(time_cap+((AD141-AC141+1)*VLOOKUP(AG141,list!$I$48:$K$50,3, FALSE))))*time_cap)</f>
        <v>0</v>
      </c>
      <c r="AK141" s="4357">
        <f t="shared" ref="AK141:BP141" si="343">IFERROR(IF((time+time_cap)&lt;AK$2, 0,IF(AND(time+1&gt;=AL$2, $AC141&lt;AL$2), IF($AG141= "I", $AH141/($AD141-$AC141+1), $AH141/(($AD141*($AD141+1)/2)-(($AC141-1)*($AC141-1+1)/2))*AK$2), 0)+IF(IF(time+1&gt;=AL$2, $AI141/time_cap/(time+1)*AK$2, 0) = 0, $AI141/(time_cap),0)),0)</f>
        <v>0</v>
      </c>
      <c r="AL141" s="4357">
        <f t="shared" si="343"/>
        <v>0</v>
      </c>
      <c r="AM141" s="4357">
        <f t="shared" si="343"/>
        <v>0</v>
      </c>
      <c r="AN141" s="4357">
        <f t="shared" si="343"/>
        <v>0</v>
      </c>
      <c r="AO141" s="4357">
        <f t="shared" si="343"/>
        <v>0</v>
      </c>
      <c r="AP141" s="4357">
        <f t="shared" si="343"/>
        <v>0</v>
      </c>
      <c r="AQ141" s="4357">
        <f t="shared" si="343"/>
        <v>0</v>
      </c>
      <c r="AR141" s="4357">
        <f t="shared" si="343"/>
        <v>0</v>
      </c>
      <c r="AS141" s="4357">
        <f t="shared" si="343"/>
        <v>0</v>
      </c>
      <c r="AT141" s="4357">
        <f t="shared" si="343"/>
        <v>0</v>
      </c>
      <c r="AU141" s="4357">
        <f t="shared" si="343"/>
        <v>0</v>
      </c>
      <c r="AV141" s="4357">
        <f t="shared" si="343"/>
        <v>0</v>
      </c>
      <c r="AW141" s="4357">
        <f t="shared" si="343"/>
        <v>0</v>
      </c>
      <c r="AX141" s="4357">
        <f t="shared" si="343"/>
        <v>0</v>
      </c>
      <c r="AY141" s="4357">
        <f t="shared" si="343"/>
        <v>0</v>
      </c>
      <c r="AZ141" s="4357">
        <f t="shared" si="343"/>
        <v>0</v>
      </c>
      <c r="BA141" s="4357">
        <f t="shared" si="343"/>
        <v>0</v>
      </c>
      <c r="BB141" s="4357">
        <f t="shared" si="343"/>
        <v>0</v>
      </c>
      <c r="BC141" s="4357">
        <f t="shared" si="343"/>
        <v>0</v>
      </c>
      <c r="BD141" s="4357">
        <f t="shared" si="343"/>
        <v>0</v>
      </c>
      <c r="BE141" s="4357">
        <f t="shared" si="343"/>
        <v>0</v>
      </c>
      <c r="BF141" s="4357">
        <f t="shared" si="343"/>
        <v>0</v>
      </c>
      <c r="BG141" s="4357">
        <f t="shared" si="343"/>
        <v>0</v>
      </c>
      <c r="BH141" s="4357">
        <f t="shared" si="343"/>
        <v>0</v>
      </c>
      <c r="BI141" s="4357">
        <f t="shared" si="343"/>
        <v>0</v>
      </c>
      <c r="BJ141" s="4357">
        <f t="shared" si="343"/>
        <v>0</v>
      </c>
      <c r="BK141" s="4357">
        <f t="shared" si="343"/>
        <v>0</v>
      </c>
      <c r="BL141" s="4357">
        <f t="shared" si="343"/>
        <v>0</v>
      </c>
      <c r="BM141" s="4357">
        <f t="shared" si="343"/>
        <v>0</v>
      </c>
      <c r="BN141" s="4357">
        <f t="shared" si="343"/>
        <v>0</v>
      </c>
      <c r="BO141" s="4357">
        <f t="shared" si="343"/>
        <v>0</v>
      </c>
      <c r="BP141" s="4357">
        <f t="shared" si="343"/>
        <v>0</v>
      </c>
      <c r="BQ141" s="4357">
        <f t="shared" ref="BQ141:CH141" si="344">IFERROR(IF((time+time_cap)&lt;BQ$2, 0,IF(AND(time+1&gt;=BR$2, $AC141&lt;BR$2), IF($AG141= "I", $AH141/($AD141-$AC141+1), $AH141/(($AD141*($AD141+1)/2)-(($AC141-1)*($AC141-1+1)/2))*BQ$2), 0)+IF(IF(time+1&gt;=BR$2, $AI141/time_cap/(time+1)*BQ$2, 0) = 0, $AI141/(time_cap),0)),0)</f>
        <v>0</v>
      </c>
      <c r="BR141" s="4357">
        <f t="shared" si="344"/>
        <v>0</v>
      </c>
      <c r="BS141" s="4357">
        <f t="shared" si="344"/>
        <v>0</v>
      </c>
      <c r="BT141" s="4357">
        <f t="shared" si="344"/>
        <v>0</v>
      </c>
      <c r="BU141" s="4357">
        <f t="shared" si="344"/>
        <v>0</v>
      </c>
      <c r="BV141" s="4357">
        <f t="shared" si="344"/>
        <v>0</v>
      </c>
      <c r="BW141" s="4357">
        <f t="shared" si="344"/>
        <v>0</v>
      </c>
      <c r="BX141" s="4357">
        <f t="shared" si="344"/>
        <v>0</v>
      </c>
      <c r="BY141" s="4357">
        <f t="shared" si="344"/>
        <v>0</v>
      </c>
      <c r="BZ141" s="4357">
        <f t="shared" si="344"/>
        <v>0</v>
      </c>
      <c r="CA141" s="4357">
        <f t="shared" si="344"/>
        <v>0</v>
      </c>
      <c r="CB141" s="4357">
        <f t="shared" si="344"/>
        <v>0</v>
      </c>
      <c r="CC141" s="4357">
        <f t="shared" si="344"/>
        <v>0</v>
      </c>
      <c r="CD141" s="4357">
        <f t="shared" si="344"/>
        <v>0</v>
      </c>
      <c r="CE141" s="4357">
        <f t="shared" si="344"/>
        <v>0</v>
      </c>
      <c r="CF141" s="4357">
        <f t="shared" si="344"/>
        <v>0</v>
      </c>
      <c r="CG141" s="4357">
        <f t="shared" si="344"/>
        <v>0</v>
      </c>
      <c r="CH141" s="4357">
        <f t="shared" si="344"/>
        <v>0</v>
      </c>
      <c r="CI141" s="4357"/>
      <c r="CJ141" s="4357"/>
      <c r="CK141" s="4357"/>
      <c r="CL141" s="4357"/>
      <c r="CM141" s="4357"/>
      <c r="CN141" s="4357"/>
      <c r="CO141" s="4357"/>
      <c r="CP141" s="4357"/>
      <c r="CQ141" s="4357"/>
      <c r="CR141" s="4357"/>
      <c r="CS141" s="4357"/>
      <c r="CT141" s="4357"/>
      <c r="CU141" s="4357"/>
      <c r="CV141" s="4357"/>
      <c r="CW141" s="4357"/>
      <c r="CX141" s="4357"/>
      <c r="CY141" s="4357"/>
      <c r="CZ141" s="4357"/>
      <c r="DA141" s="4357"/>
      <c r="DB141" s="4357"/>
      <c r="DC141" s="4357"/>
      <c r="DD141" s="4357"/>
      <c r="DE141" s="4357"/>
      <c r="DF141" s="4357"/>
      <c r="DG141" s="4357"/>
      <c r="DH141" s="4357"/>
      <c r="DI141" s="4357"/>
      <c r="DJ141" s="4357"/>
      <c r="DK141" s="4357"/>
      <c r="DL141" s="4357"/>
      <c r="DM141" s="4357"/>
      <c r="DN141" s="4357"/>
      <c r="DO141" s="4357"/>
      <c r="DP141" s="4357"/>
      <c r="DQ141" s="4357"/>
      <c r="DR141" s="4357"/>
      <c r="DS141" s="4357"/>
      <c r="DT141" s="4357"/>
      <c r="DU141" s="4357"/>
      <c r="DV141" s="4357"/>
      <c r="DW141" s="4357"/>
      <c r="DX141" s="4357"/>
      <c r="DY141" s="4357"/>
      <c r="DZ141" s="4357"/>
      <c r="EA141" s="4357"/>
      <c r="EB141" s="4357"/>
      <c r="EC141" s="4357"/>
      <c r="ED141" s="4357"/>
      <c r="EE141" s="4357"/>
      <c r="EF141" s="4357"/>
    </row>
    <row r="142" spans="1:136" ht="16" x14ac:dyDescent="0.2">
      <c r="A142" t="s">
        <v>3004</v>
      </c>
      <c r="B142" t="s">
        <v>3232</v>
      </c>
      <c r="C142">
        <f>'6.Inland wetlands'!C82</f>
        <v>0</v>
      </c>
      <c r="D142" t="str">
        <f>'6.Inland wetlands'!K82</f>
        <v>Please select</v>
      </c>
      <c r="E142">
        <f>'6.Inland wetlands'!AG82+'6.Inland wetlands'!AG93</f>
        <v>0</v>
      </c>
      <c r="F142" s="4495">
        <f>'Inl. wetlands'!Y226-'Inl. wetlands'!X226</f>
        <v>0</v>
      </c>
      <c r="H142" s="388">
        <f>'Inl. wetlands'!AE257-'Inl. wetlands'!AD257</f>
        <v>0</v>
      </c>
      <c r="I142" s="388">
        <f>'Inl. wetlands'!AC271-'Inl. wetlands'!AB271+'Inl. wetlands'!AC282-'Inl. wetlands'!AB282+'Inl. wetlands'!AC298-'Inl. wetlands'!AB298+'Inl. wetlands'!AC309-'Inl. wetlands'!AB309</f>
        <v>0</v>
      </c>
      <c r="M142" s="388">
        <f>'Inl. wetlands'!BC226-'Inl. wetlands'!BB226+'Inl. wetlands'!K238-'Inl. wetlands'!I238</f>
        <v>0</v>
      </c>
      <c r="R142" s="388">
        <f>'Inl. wetlands'!AG271-'Inl. wetlands'!AF271+'Inl. wetlands'!AG282-'Inl. wetlands'!AF282+'Inl. wetlands'!AG298-'Inl. wetlands'!AF298+'Inl. wetlands'!AG309-'Inl. wetlands'!AF309</f>
        <v>0</v>
      </c>
      <c r="U142" s="388">
        <f>'Inl. wetlands'!BA226-'Inl. wetlands'!AZ226+'Inl. wetlands'!J238-'Inl. wetlands'!H238</f>
        <v>0</v>
      </c>
      <c r="Y142" s="388">
        <f>'Inl. wetlands'!AG257-'Inl. wetlands'!AF257</f>
        <v>0</v>
      </c>
      <c r="Z142" s="388">
        <f>'Inl. wetlands'!AE271-'Inl. wetlands'!AD271+'Inl. wetlands'!AE282-'Inl. wetlands'!AD282+'Inl. wetlands'!AE298-'Inl. wetlands'!AD298+'Inl. wetlands'!AE309-'Inl. wetlands'!AD309</f>
        <v>0</v>
      </c>
      <c r="AB142" t="str">
        <f t="shared" si="340"/>
        <v>ok</v>
      </c>
      <c r="AC142">
        <f>IF('6.Inland wetlands'!BI82&lt;&gt;0,'6.Inland wetlands'!BI82,'6.Inland wetlands'!BH82)</f>
        <v>1</v>
      </c>
      <c r="AD142">
        <f t="shared" si="190"/>
        <v>5</v>
      </c>
      <c r="AE142" s="4357" t="str">
        <f>'6.Inland wetlands'!O82</f>
        <v>D</v>
      </c>
      <c r="AF142" s="4357" t="str">
        <f>'6.Inland wetlands'!Q82</f>
        <v>D</v>
      </c>
      <c r="AG142" s="4357" t="str">
        <f t="shared" si="193"/>
        <v>D</v>
      </c>
      <c r="AH142" s="4357">
        <f>((E142/(time_cap+((AD142-AC142+1)*VLOOKUP(AG142,list!$I$48:$K$50,3, FALSE))))*(AD142-AC142+1)*VLOOKUP(AG142,list!$I$48:$K$50,3, FALSE))</f>
        <v>0</v>
      </c>
      <c r="AI142" s="4357">
        <f>((E142/(time_cap+((AD142-AC142+1)*VLOOKUP(AG142,list!$I$48:$K$50,3, FALSE))))*time_cap)</f>
        <v>0</v>
      </c>
      <c r="AK142" s="4357">
        <f t="shared" ref="AK142:BP142" si="345">IFERROR(IF((time+time_cap)&lt;AK$2, 0,IF(AND(time+1&gt;=AL$2, $AC142&lt;AL$2), IF($AG142= "I", $AH142/($AD142-$AC142+1), $AH142/(($AD142*($AD142+1)/2)-(($AC142-1)*($AC142-1+1)/2))*AK$2), 0)+IF(IF(time+1&gt;=AL$2, $AI142/time_cap/(time+1)*AK$2, 0) = 0, $AI142/(time_cap),0)),0)</f>
        <v>0</v>
      </c>
      <c r="AL142" s="4357">
        <f t="shared" si="345"/>
        <v>0</v>
      </c>
      <c r="AM142" s="4357">
        <f t="shared" si="345"/>
        <v>0</v>
      </c>
      <c r="AN142" s="4357">
        <f t="shared" si="345"/>
        <v>0</v>
      </c>
      <c r="AO142" s="4357">
        <f t="shared" si="345"/>
        <v>0</v>
      </c>
      <c r="AP142" s="4357">
        <f t="shared" si="345"/>
        <v>0</v>
      </c>
      <c r="AQ142" s="4357">
        <f t="shared" si="345"/>
        <v>0</v>
      </c>
      <c r="AR142" s="4357">
        <f t="shared" si="345"/>
        <v>0</v>
      </c>
      <c r="AS142" s="4357">
        <f t="shared" si="345"/>
        <v>0</v>
      </c>
      <c r="AT142" s="4357">
        <f t="shared" si="345"/>
        <v>0</v>
      </c>
      <c r="AU142" s="4357">
        <f t="shared" si="345"/>
        <v>0</v>
      </c>
      <c r="AV142" s="4357">
        <f t="shared" si="345"/>
        <v>0</v>
      </c>
      <c r="AW142" s="4357">
        <f t="shared" si="345"/>
        <v>0</v>
      </c>
      <c r="AX142" s="4357">
        <f t="shared" si="345"/>
        <v>0</v>
      </c>
      <c r="AY142" s="4357">
        <f t="shared" si="345"/>
        <v>0</v>
      </c>
      <c r="AZ142" s="4357">
        <f t="shared" si="345"/>
        <v>0</v>
      </c>
      <c r="BA142" s="4357">
        <f t="shared" si="345"/>
        <v>0</v>
      </c>
      <c r="BB142" s="4357">
        <f t="shared" si="345"/>
        <v>0</v>
      </c>
      <c r="BC142" s="4357">
        <f t="shared" si="345"/>
        <v>0</v>
      </c>
      <c r="BD142" s="4357">
        <f t="shared" si="345"/>
        <v>0</v>
      </c>
      <c r="BE142" s="4357">
        <f t="shared" si="345"/>
        <v>0</v>
      </c>
      <c r="BF142" s="4357">
        <f t="shared" si="345"/>
        <v>0</v>
      </c>
      <c r="BG142" s="4357">
        <f t="shared" si="345"/>
        <v>0</v>
      </c>
      <c r="BH142" s="4357">
        <f t="shared" si="345"/>
        <v>0</v>
      </c>
      <c r="BI142" s="4357">
        <f t="shared" si="345"/>
        <v>0</v>
      </c>
      <c r="BJ142" s="4357">
        <f t="shared" si="345"/>
        <v>0</v>
      </c>
      <c r="BK142" s="4357">
        <f t="shared" si="345"/>
        <v>0</v>
      </c>
      <c r="BL142" s="4357">
        <f t="shared" si="345"/>
        <v>0</v>
      </c>
      <c r="BM142" s="4357">
        <f t="shared" si="345"/>
        <v>0</v>
      </c>
      <c r="BN142" s="4357">
        <f t="shared" si="345"/>
        <v>0</v>
      </c>
      <c r="BO142" s="4357">
        <f t="shared" si="345"/>
        <v>0</v>
      </c>
      <c r="BP142" s="4357">
        <f t="shared" si="345"/>
        <v>0</v>
      </c>
      <c r="BQ142" s="4357">
        <f t="shared" ref="BQ142:CH142" si="346">IFERROR(IF((time+time_cap)&lt;BQ$2, 0,IF(AND(time+1&gt;=BR$2, $AC142&lt;BR$2), IF($AG142= "I", $AH142/($AD142-$AC142+1), $AH142/(($AD142*($AD142+1)/2)-(($AC142-1)*($AC142-1+1)/2))*BQ$2), 0)+IF(IF(time+1&gt;=BR$2, $AI142/time_cap/(time+1)*BQ$2, 0) = 0, $AI142/(time_cap),0)),0)</f>
        <v>0</v>
      </c>
      <c r="BR142" s="4357">
        <f t="shared" si="346"/>
        <v>0</v>
      </c>
      <c r="BS142" s="4357">
        <f t="shared" si="346"/>
        <v>0</v>
      </c>
      <c r="BT142" s="4357">
        <f t="shared" si="346"/>
        <v>0</v>
      </c>
      <c r="BU142" s="4357">
        <f t="shared" si="346"/>
        <v>0</v>
      </c>
      <c r="BV142" s="4357">
        <f t="shared" si="346"/>
        <v>0</v>
      </c>
      <c r="BW142" s="4357">
        <f t="shared" si="346"/>
        <v>0</v>
      </c>
      <c r="BX142" s="4357">
        <f t="shared" si="346"/>
        <v>0</v>
      </c>
      <c r="BY142" s="4357">
        <f t="shared" si="346"/>
        <v>0</v>
      </c>
      <c r="BZ142" s="4357">
        <f t="shared" si="346"/>
        <v>0</v>
      </c>
      <c r="CA142" s="4357">
        <f t="shared" si="346"/>
        <v>0</v>
      </c>
      <c r="CB142" s="4357">
        <f t="shared" si="346"/>
        <v>0</v>
      </c>
      <c r="CC142" s="4357">
        <f t="shared" si="346"/>
        <v>0</v>
      </c>
      <c r="CD142" s="4357">
        <f t="shared" si="346"/>
        <v>0</v>
      </c>
      <c r="CE142" s="4357">
        <f t="shared" si="346"/>
        <v>0</v>
      </c>
      <c r="CF142" s="4357">
        <f t="shared" si="346"/>
        <v>0</v>
      </c>
      <c r="CG142" s="4357">
        <f t="shared" si="346"/>
        <v>0</v>
      </c>
      <c r="CH142" s="4357">
        <f t="shared" si="346"/>
        <v>0</v>
      </c>
      <c r="CI142" s="4357"/>
      <c r="CJ142" s="4357"/>
      <c r="CK142" s="4357"/>
      <c r="CL142" s="4357"/>
      <c r="CM142" s="4357"/>
      <c r="CN142" s="4357"/>
      <c r="CO142" s="4357"/>
      <c r="CP142" s="4357"/>
      <c r="CQ142" s="4357"/>
      <c r="CR142" s="4357"/>
      <c r="CS142" s="4357"/>
      <c r="CT142" s="4357"/>
      <c r="CU142" s="4357"/>
      <c r="CV142" s="4357"/>
      <c r="CW142" s="4357"/>
      <c r="CX142" s="4357"/>
      <c r="CY142" s="4357"/>
      <c r="CZ142" s="4357"/>
      <c r="DA142" s="4357"/>
      <c r="DB142" s="4357"/>
      <c r="DC142" s="4357"/>
      <c r="DD142" s="4357"/>
      <c r="DE142" s="4357"/>
      <c r="DF142" s="4357"/>
      <c r="DG142" s="4357"/>
      <c r="DH142" s="4357"/>
      <c r="DI142" s="4357"/>
      <c r="DJ142" s="4357"/>
      <c r="DK142" s="4357"/>
      <c r="DL142" s="4357"/>
      <c r="DM142" s="4357"/>
      <c r="DN142" s="4357"/>
      <c r="DO142" s="4357"/>
      <c r="DP142" s="4357"/>
      <c r="DQ142" s="4357"/>
      <c r="DR142" s="4357"/>
      <c r="DS142" s="4357"/>
      <c r="DT142" s="4357"/>
      <c r="DU142" s="4357"/>
      <c r="DV142" s="4357"/>
      <c r="DW142" s="4357"/>
      <c r="DX142" s="4357"/>
      <c r="DY142" s="4357"/>
      <c r="DZ142" s="4357"/>
      <c r="EA142" s="4357"/>
      <c r="EB142" s="4357"/>
      <c r="EC142" s="4357"/>
      <c r="ED142" s="4357"/>
      <c r="EE142" s="4357"/>
      <c r="EF142" s="4357"/>
    </row>
    <row r="143" spans="1:136" ht="16" x14ac:dyDescent="0.2">
      <c r="A143" t="s">
        <v>3004</v>
      </c>
      <c r="B143" t="s">
        <v>3232</v>
      </c>
      <c r="C143">
        <f>'6.Inland wetlands'!C83</f>
        <v>0</v>
      </c>
      <c r="D143" t="str">
        <f>'6.Inland wetlands'!K83</f>
        <v>Please select</v>
      </c>
      <c r="E143">
        <f>'6.Inland wetlands'!AG83+'6.Inland wetlands'!AG94</f>
        <v>0</v>
      </c>
      <c r="F143" s="4495">
        <f>'Inl. wetlands'!Y227-'Inl. wetlands'!X227</f>
        <v>0</v>
      </c>
      <c r="H143" s="388">
        <f>'Inl. wetlands'!AE258-'Inl. wetlands'!AD258</f>
        <v>0</v>
      </c>
      <c r="I143" s="388">
        <f>'Inl. wetlands'!AC272-'Inl. wetlands'!AB272+'Inl. wetlands'!AC283-'Inl. wetlands'!AB283+'Inl. wetlands'!AC299-'Inl. wetlands'!AB299+'Inl. wetlands'!AC310-'Inl. wetlands'!AB310</f>
        <v>0</v>
      </c>
      <c r="M143" s="388">
        <f>'Inl. wetlands'!BC227-'Inl. wetlands'!BB227+'Inl. wetlands'!K239-'Inl. wetlands'!I239</f>
        <v>0</v>
      </c>
      <c r="R143" s="388">
        <f>'Inl. wetlands'!AG272-'Inl. wetlands'!AF272+'Inl. wetlands'!AG283-'Inl. wetlands'!AF283+'Inl. wetlands'!AG299-'Inl. wetlands'!AF299+'Inl. wetlands'!AG310-'Inl. wetlands'!AF310</f>
        <v>0</v>
      </c>
      <c r="U143" s="388">
        <f>'Inl. wetlands'!BA227-'Inl. wetlands'!AZ227+'Inl. wetlands'!J239-'Inl. wetlands'!H239</f>
        <v>0</v>
      </c>
      <c r="Y143" s="388">
        <f>'Inl. wetlands'!AG258-'Inl. wetlands'!AF258</f>
        <v>0</v>
      </c>
      <c r="Z143" s="388">
        <f>'Inl. wetlands'!AE272-'Inl. wetlands'!AD272+'Inl. wetlands'!AE283-'Inl. wetlands'!AD283+'Inl. wetlands'!AE299-'Inl. wetlands'!AD299+'Inl. wetlands'!AE310-'Inl. wetlands'!AD310</f>
        <v>0</v>
      </c>
      <c r="AB143" t="str">
        <f t="shared" si="340"/>
        <v>ok</v>
      </c>
      <c r="AC143">
        <f>IF('6.Inland wetlands'!BI83&lt;&gt;0,'6.Inland wetlands'!BI83,'6.Inland wetlands'!BH83)</f>
        <v>1</v>
      </c>
      <c r="AD143">
        <f t="shared" si="190"/>
        <v>5</v>
      </c>
      <c r="AE143" s="4357" t="str">
        <f>'6.Inland wetlands'!O83</f>
        <v>D</v>
      </c>
      <c r="AF143" s="4357" t="str">
        <f>'6.Inland wetlands'!Q83</f>
        <v>D</v>
      </c>
      <c r="AG143" s="4357" t="str">
        <f t="shared" si="193"/>
        <v>D</v>
      </c>
      <c r="AH143" s="4357">
        <f>((E143/(time_cap+((AD143-AC143+1)*VLOOKUP(AG143,list!$I$48:$K$50,3, FALSE))))*(AD143-AC143+1)*VLOOKUP(AG143,list!$I$48:$K$50,3, FALSE))</f>
        <v>0</v>
      </c>
      <c r="AI143" s="4357">
        <f>((E143/(time_cap+((AD143-AC143+1)*VLOOKUP(AG143,list!$I$48:$K$50,3, FALSE))))*time_cap)</f>
        <v>0</v>
      </c>
      <c r="AK143" s="4357">
        <f t="shared" ref="AK143:BP143" si="347">IFERROR(IF((time+time_cap)&lt;AK$2, 0,IF(AND(time+1&gt;=AL$2, $AC143&lt;AL$2), IF($AG143= "I", $AH143/($AD143-$AC143+1), $AH143/(($AD143*($AD143+1)/2)-(($AC143-1)*($AC143-1+1)/2))*AK$2), 0)+IF(IF(time+1&gt;=AL$2, $AI143/time_cap/(time+1)*AK$2, 0) = 0, $AI143/(time_cap),0)),0)</f>
        <v>0</v>
      </c>
      <c r="AL143" s="4357">
        <f t="shared" si="347"/>
        <v>0</v>
      </c>
      <c r="AM143" s="4357">
        <f t="shared" si="347"/>
        <v>0</v>
      </c>
      <c r="AN143" s="4357">
        <f t="shared" si="347"/>
        <v>0</v>
      </c>
      <c r="AO143" s="4357">
        <f t="shared" si="347"/>
        <v>0</v>
      </c>
      <c r="AP143" s="4357">
        <f t="shared" si="347"/>
        <v>0</v>
      </c>
      <c r="AQ143" s="4357">
        <f t="shared" si="347"/>
        <v>0</v>
      </c>
      <c r="AR143" s="4357">
        <f t="shared" si="347"/>
        <v>0</v>
      </c>
      <c r="AS143" s="4357">
        <f t="shared" si="347"/>
        <v>0</v>
      </c>
      <c r="AT143" s="4357">
        <f t="shared" si="347"/>
        <v>0</v>
      </c>
      <c r="AU143" s="4357">
        <f t="shared" si="347"/>
        <v>0</v>
      </c>
      <c r="AV143" s="4357">
        <f t="shared" si="347"/>
        <v>0</v>
      </c>
      <c r="AW143" s="4357">
        <f t="shared" si="347"/>
        <v>0</v>
      </c>
      <c r="AX143" s="4357">
        <f t="shared" si="347"/>
        <v>0</v>
      </c>
      <c r="AY143" s="4357">
        <f t="shared" si="347"/>
        <v>0</v>
      </c>
      <c r="AZ143" s="4357">
        <f t="shared" si="347"/>
        <v>0</v>
      </c>
      <c r="BA143" s="4357">
        <f t="shared" si="347"/>
        <v>0</v>
      </c>
      <c r="BB143" s="4357">
        <f t="shared" si="347"/>
        <v>0</v>
      </c>
      <c r="BC143" s="4357">
        <f t="shared" si="347"/>
        <v>0</v>
      </c>
      <c r="BD143" s="4357">
        <f t="shared" si="347"/>
        <v>0</v>
      </c>
      <c r="BE143" s="4357">
        <f t="shared" si="347"/>
        <v>0</v>
      </c>
      <c r="BF143" s="4357">
        <f t="shared" si="347"/>
        <v>0</v>
      </c>
      <c r="BG143" s="4357">
        <f t="shared" si="347"/>
        <v>0</v>
      </c>
      <c r="BH143" s="4357">
        <f t="shared" si="347"/>
        <v>0</v>
      </c>
      <c r="BI143" s="4357">
        <f t="shared" si="347"/>
        <v>0</v>
      </c>
      <c r="BJ143" s="4357">
        <f t="shared" si="347"/>
        <v>0</v>
      </c>
      <c r="BK143" s="4357">
        <f t="shared" si="347"/>
        <v>0</v>
      </c>
      <c r="BL143" s="4357">
        <f t="shared" si="347"/>
        <v>0</v>
      </c>
      <c r="BM143" s="4357">
        <f t="shared" si="347"/>
        <v>0</v>
      </c>
      <c r="BN143" s="4357">
        <f t="shared" si="347"/>
        <v>0</v>
      </c>
      <c r="BO143" s="4357">
        <f t="shared" si="347"/>
        <v>0</v>
      </c>
      <c r="BP143" s="4357">
        <f t="shared" si="347"/>
        <v>0</v>
      </c>
      <c r="BQ143" s="4357">
        <f t="shared" ref="BQ143:CH143" si="348">IFERROR(IF((time+time_cap)&lt;BQ$2, 0,IF(AND(time+1&gt;=BR$2, $AC143&lt;BR$2), IF($AG143= "I", $AH143/($AD143-$AC143+1), $AH143/(($AD143*($AD143+1)/2)-(($AC143-1)*($AC143-1+1)/2))*BQ$2), 0)+IF(IF(time+1&gt;=BR$2, $AI143/time_cap/(time+1)*BQ$2, 0) = 0, $AI143/(time_cap),0)),0)</f>
        <v>0</v>
      </c>
      <c r="BR143" s="4357">
        <f t="shared" si="348"/>
        <v>0</v>
      </c>
      <c r="BS143" s="4357">
        <f t="shared" si="348"/>
        <v>0</v>
      </c>
      <c r="BT143" s="4357">
        <f t="shared" si="348"/>
        <v>0</v>
      </c>
      <c r="BU143" s="4357">
        <f t="shared" si="348"/>
        <v>0</v>
      </c>
      <c r="BV143" s="4357">
        <f t="shared" si="348"/>
        <v>0</v>
      </c>
      <c r="BW143" s="4357">
        <f t="shared" si="348"/>
        <v>0</v>
      </c>
      <c r="BX143" s="4357">
        <f t="shared" si="348"/>
        <v>0</v>
      </c>
      <c r="BY143" s="4357">
        <f t="shared" si="348"/>
        <v>0</v>
      </c>
      <c r="BZ143" s="4357">
        <f t="shared" si="348"/>
        <v>0</v>
      </c>
      <c r="CA143" s="4357">
        <f t="shared" si="348"/>
        <v>0</v>
      </c>
      <c r="CB143" s="4357">
        <f t="shared" si="348"/>
        <v>0</v>
      </c>
      <c r="CC143" s="4357">
        <f t="shared" si="348"/>
        <v>0</v>
      </c>
      <c r="CD143" s="4357">
        <f t="shared" si="348"/>
        <v>0</v>
      </c>
      <c r="CE143" s="4357">
        <f t="shared" si="348"/>
        <v>0</v>
      </c>
      <c r="CF143" s="4357">
        <f t="shared" si="348"/>
        <v>0</v>
      </c>
      <c r="CG143" s="4357">
        <f t="shared" si="348"/>
        <v>0</v>
      </c>
      <c r="CH143" s="4357">
        <f t="shared" si="348"/>
        <v>0</v>
      </c>
      <c r="CI143" s="4357"/>
      <c r="CJ143" s="4357"/>
      <c r="CK143" s="4357"/>
      <c r="CL143" s="4357"/>
      <c r="CM143" s="4357"/>
      <c r="CN143" s="4357"/>
      <c r="CO143" s="4357"/>
      <c r="CP143" s="4357"/>
      <c r="CQ143" s="4357"/>
      <c r="CR143" s="4357"/>
      <c r="CS143" s="4357"/>
      <c r="CT143" s="4357"/>
      <c r="CU143" s="4357"/>
      <c r="CV143" s="4357"/>
      <c r="CW143" s="4357"/>
      <c r="CX143" s="4357"/>
      <c r="CY143" s="4357"/>
      <c r="CZ143" s="4357"/>
      <c r="DA143" s="4357"/>
      <c r="DB143" s="4357"/>
      <c r="DC143" s="4357"/>
      <c r="DD143" s="4357"/>
      <c r="DE143" s="4357"/>
      <c r="DF143" s="4357"/>
      <c r="DG143" s="4357"/>
      <c r="DH143" s="4357"/>
      <c r="DI143" s="4357"/>
      <c r="DJ143" s="4357"/>
      <c r="DK143" s="4357"/>
      <c r="DL143" s="4357"/>
      <c r="DM143" s="4357"/>
      <c r="DN143" s="4357"/>
      <c r="DO143" s="4357"/>
      <c r="DP143" s="4357"/>
      <c r="DQ143" s="4357"/>
      <c r="DR143" s="4357"/>
      <c r="DS143" s="4357"/>
      <c r="DT143" s="4357"/>
      <c r="DU143" s="4357"/>
      <c r="DV143" s="4357"/>
      <c r="DW143" s="4357"/>
      <c r="DX143" s="4357"/>
      <c r="DY143" s="4357"/>
      <c r="DZ143" s="4357"/>
      <c r="EA143" s="4357"/>
      <c r="EB143" s="4357"/>
      <c r="EC143" s="4357"/>
      <c r="ED143" s="4357"/>
      <c r="EE143" s="4357"/>
      <c r="EF143" s="4357"/>
    </row>
    <row r="144" spans="1:136" ht="16" x14ac:dyDescent="0.2">
      <c r="A144" t="s">
        <v>3004</v>
      </c>
      <c r="B144" t="s">
        <v>3232</v>
      </c>
      <c r="C144">
        <f>'6.Inland wetlands'!C84</f>
        <v>0</v>
      </c>
      <c r="D144" t="str">
        <f>'6.Inland wetlands'!K84</f>
        <v>Please select</v>
      </c>
      <c r="E144">
        <f>'6.Inland wetlands'!AG84+'6.Inland wetlands'!AG95</f>
        <v>0</v>
      </c>
      <c r="F144" s="4495">
        <f>'Inl. wetlands'!Y228-'Inl. wetlands'!X228</f>
        <v>0</v>
      </c>
      <c r="H144" s="388">
        <f>'Inl. wetlands'!AE259-'Inl. wetlands'!AD259</f>
        <v>0</v>
      </c>
      <c r="I144" s="388">
        <f>'Inl. wetlands'!AC273-'Inl. wetlands'!AB273+'Inl. wetlands'!AC284-'Inl. wetlands'!AB284+'Inl. wetlands'!AC300-'Inl. wetlands'!AB300+'Inl. wetlands'!AC311-'Inl. wetlands'!AB311</f>
        <v>0</v>
      </c>
      <c r="M144" s="388">
        <f>'Inl. wetlands'!BC228-'Inl. wetlands'!BB228+'Inl. wetlands'!K240-'Inl. wetlands'!I240</f>
        <v>0</v>
      </c>
      <c r="R144" s="388">
        <f>'Inl. wetlands'!AG273-'Inl. wetlands'!AF273+'Inl. wetlands'!AG284-'Inl. wetlands'!AF284+'Inl. wetlands'!AG300-'Inl. wetlands'!AF300+'Inl. wetlands'!AG311-'Inl. wetlands'!AF311</f>
        <v>0</v>
      </c>
      <c r="U144" s="388">
        <f>'Inl. wetlands'!BA228-'Inl. wetlands'!AZ228+'Inl. wetlands'!J240-'Inl. wetlands'!H240</f>
        <v>0</v>
      </c>
      <c r="Y144" s="388">
        <f>'Inl. wetlands'!AG259-'Inl. wetlands'!AF259</f>
        <v>0</v>
      </c>
      <c r="Z144" s="388">
        <f>'Inl. wetlands'!AE273-'Inl. wetlands'!AD273+'Inl. wetlands'!AE284-'Inl. wetlands'!AD284+'Inl. wetlands'!AE300-'Inl. wetlands'!AD300+'Inl. wetlands'!AE311-'Inl. wetlands'!AD311</f>
        <v>0</v>
      </c>
      <c r="AB144" t="str">
        <f t="shared" si="340"/>
        <v>ok</v>
      </c>
      <c r="AC144">
        <f>IF('6.Inland wetlands'!BI84&lt;&gt;0,'6.Inland wetlands'!BI84,'6.Inland wetlands'!BH84)</f>
        <v>1</v>
      </c>
      <c r="AD144">
        <f t="shared" si="190"/>
        <v>5</v>
      </c>
      <c r="AE144" s="4357" t="str">
        <f>'6.Inland wetlands'!O84</f>
        <v>D</v>
      </c>
      <c r="AF144" s="4357" t="str">
        <f>'6.Inland wetlands'!Q84</f>
        <v>D</v>
      </c>
      <c r="AG144" s="4357" t="str">
        <f t="shared" si="193"/>
        <v>D</v>
      </c>
      <c r="AH144" s="4357">
        <f>((E144/(time_cap+((AD144-AC144+1)*VLOOKUP(AG144,list!$I$48:$K$50,3, FALSE))))*(AD144-AC144+1)*VLOOKUP(AG144,list!$I$48:$K$50,3, FALSE))</f>
        <v>0</v>
      </c>
      <c r="AI144" s="4357">
        <f>((E144/(time_cap+((AD144-AC144+1)*VLOOKUP(AG144,list!$I$48:$K$50,3, FALSE))))*time_cap)</f>
        <v>0</v>
      </c>
      <c r="AK144" s="4357">
        <f t="shared" ref="AK144:BP144" si="349">IFERROR(IF((time+time_cap)&lt;AK$2, 0,IF(AND(time+1&gt;=AL$2, $AC144&lt;AL$2), IF($AG144= "I", $AH144/($AD144-$AC144+1), $AH144/(($AD144*($AD144+1)/2)-(($AC144-1)*($AC144-1+1)/2))*AK$2), 0)+IF(IF(time+1&gt;=AL$2, $AI144/time_cap/(time+1)*AK$2, 0) = 0, $AI144/(time_cap),0)),0)</f>
        <v>0</v>
      </c>
      <c r="AL144" s="4357">
        <f t="shared" si="349"/>
        <v>0</v>
      </c>
      <c r="AM144" s="4357">
        <f t="shared" si="349"/>
        <v>0</v>
      </c>
      <c r="AN144" s="4357">
        <f t="shared" si="349"/>
        <v>0</v>
      </c>
      <c r="AO144" s="4357">
        <f t="shared" si="349"/>
        <v>0</v>
      </c>
      <c r="AP144" s="4357">
        <f t="shared" si="349"/>
        <v>0</v>
      </c>
      <c r="AQ144" s="4357">
        <f t="shared" si="349"/>
        <v>0</v>
      </c>
      <c r="AR144" s="4357">
        <f t="shared" si="349"/>
        <v>0</v>
      </c>
      <c r="AS144" s="4357">
        <f t="shared" si="349"/>
        <v>0</v>
      </c>
      <c r="AT144" s="4357">
        <f t="shared" si="349"/>
        <v>0</v>
      </c>
      <c r="AU144" s="4357">
        <f t="shared" si="349"/>
        <v>0</v>
      </c>
      <c r="AV144" s="4357">
        <f t="shared" si="349"/>
        <v>0</v>
      </c>
      <c r="AW144" s="4357">
        <f t="shared" si="349"/>
        <v>0</v>
      </c>
      <c r="AX144" s="4357">
        <f t="shared" si="349"/>
        <v>0</v>
      </c>
      <c r="AY144" s="4357">
        <f t="shared" si="349"/>
        <v>0</v>
      </c>
      <c r="AZ144" s="4357">
        <f t="shared" si="349"/>
        <v>0</v>
      </c>
      <c r="BA144" s="4357">
        <f t="shared" si="349"/>
        <v>0</v>
      </c>
      <c r="BB144" s="4357">
        <f t="shared" si="349"/>
        <v>0</v>
      </c>
      <c r="BC144" s="4357">
        <f t="shared" si="349"/>
        <v>0</v>
      </c>
      <c r="BD144" s="4357">
        <f t="shared" si="349"/>
        <v>0</v>
      </c>
      <c r="BE144" s="4357">
        <f t="shared" si="349"/>
        <v>0</v>
      </c>
      <c r="BF144" s="4357">
        <f t="shared" si="349"/>
        <v>0</v>
      </c>
      <c r="BG144" s="4357">
        <f t="shared" si="349"/>
        <v>0</v>
      </c>
      <c r="BH144" s="4357">
        <f t="shared" si="349"/>
        <v>0</v>
      </c>
      <c r="BI144" s="4357">
        <f t="shared" si="349"/>
        <v>0</v>
      </c>
      <c r="BJ144" s="4357">
        <f t="shared" si="349"/>
        <v>0</v>
      </c>
      <c r="BK144" s="4357">
        <f t="shared" si="349"/>
        <v>0</v>
      </c>
      <c r="BL144" s="4357">
        <f t="shared" si="349"/>
        <v>0</v>
      </c>
      <c r="BM144" s="4357">
        <f t="shared" si="349"/>
        <v>0</v>
      </c>
      <c r="BN144" s="4357">
        <f t="shared" si="349"/>
        <v>0</v>
      </c>
      <c r="BO144" s="4357">
        <f t="shared" si="349"/>
        <v>0</v>
      </c>
      <c r="BP144" s="4357">
        <f t="shared" si="349"/>
        <v>0</v>
      </c>
      <c r="BQ144" s="4357">
        <f t="shared" ref="BQ144:CH144" si="350">IFERROR(IF((time+time_cap)&lt;BQ$2, 0,IF(AND(time+1&gt;=BR$2, $AC144&lt;BR$2), IF($AG144= "I", $AH144/($AD144-$AC144+1), $AH144/(($AD144*($AD144+1)/2)-(($AC144-1)*($AC144-1+1)/2))*BQ$2), 0)+IF(IF(time+1&gt;=BR$2, $AI144/time_cap/(time+1)*BQ$2, 0) = 0, $AI144/(time_cap),0)),0)</f>
        <v>0</v>
      </c>
      <c r="BR144" s="4357">
        <f t="shared" si="350"/>
        <v>0</v>
      </c>
      <c r="BS144" s="4357">
        <f t="shared" si="350"/>
        <v>0</v>
      </c>
      <c r="BT144" s="4357">
        <f t="shared" si="350"/>
        <v>0</v>
      </c>
      <c r="BU144" s="4357">
        <f t="shared" si="350"/>
        <v>0</v>
      </c>
      <c r="BV144" s="4357">
        <f t="shared" si="350"/>
        <v>0</v>
      </c>
      <c r="BW144" s="4357">
        <f t="shared" si="350"/>
        <v>0</v>
      </c>
      <c r="BX144" s="4357">
        <f t="shared" si="350"/>
        <v>0</v>
      </c>
      <c r="BY144" s="4357">
        <f t="shared" si="350"/>
        <v>0</v>
      </c>
      <c r="BZ144" s="4357">
        <f t="shared" si="350"/>
        <v>0</v>
      </c>
      <c r="CA144" s="4357">
        <f t="shared" si="350"/>
        <v>0</v>
      </c>
      <c r="CB144" s="4357">
        <f t="shared" si="350"/>
        <v>0</v>
      </c>
      <c r="CC144" s="4357">
        <f t="shared" si="350"/>
        <v>0</v>
      </c>
      <c r="CD144" s="4357">
        <f t="shared" si="350"/>
        <v>0</v>
      </c>
      <c r="CE144" s="4357">
        <f t="shared" si="350"/>
        <v>0</v>
      </c>
      <c r="CF144" s="4357">
        <f t="shared" si="350"/>
        <v>0</v>
      </c>
      <c r="CG144" s="4357">
        <f t="shared" si="350"/>
        <v>0</v>
      </c>
      <c r="CH144" s="4357">
        <f t="shared" si="350"/>
        <v>0</v>
      </c>
      <c r="CI144" s="4357"/>
      <c r="CJ144" s="4357"/>
      <c r="CK144" s="4357"/>
      <c r="CL144" s="4357"/>
      <c r="CM144" s="4357"/>
      <c r="CN144" s="4357"/>
      <c r="CO144" s="4357"/>
      <c r="CP144" s="4357"/>
      <c r="CQ144" s="4357"/>
      <c r="CR144" s="4357"/>
      <c r="CS144" s="4357"/>
      <c r="CT144" s="4357"/>
      <c r="CU144" s="4357"/>
      <c r="CV144" s="4357"/>
      <c r="CW144" s="4357"/>
      <c r="CX144" s="4357"/>
      <c r="CY144" s="4357"/>
      <c r="CZ144" s="4357"/>
      <c r="DA144" s="4357"/>
      <c r="DB144" s="4357"/>
      <c r="DC144" s="4357"/>
      <c r="DD144" s="4357"/>
      <c r="DE144" s="4357"/>
      <c r="DF144" s="4357"/>
      <c r="DG144" s="4357"/>
      <c r="DH144" s="4357"/>
      <c r="DI144" s="4357"/>
      <c r="DJ144" s="4357"/>
      <c r="DK144" s="4357"/>
      <c r="DL144" s="4357"/>
      <c r="DM144" s="4357"/>
      <c r="DN144" s="4357"/>
      <c r="DO144" s="4357"/>
      <c r="DP144" s="4357"/>
      <c r="DQ144" s="4357"/>
      <c r="DR144" s="4357"/>
      <c r="DS144" s="4357"/>
      <c r="DT144" s="4357"/>
      <c r="DU144" s="4357"/>
      <c r="DV144" s="4357"/>
      <c r="DW144" s="4357"/>
      <c r="DX144" s="4357"/>
      <c r="DY144" s="4357"/>
      <c r="DZ144" s="4357"/>
      <c r="EA144" s="4357"/>
      <c r="EB144" s="4357"/>
      <c r="EC144" s="4357"/>
      <c r="ED144" s="4357"/>
      <c r="EE144" s="4357"/>
      <c r="EF144" s="4357"/>
    </row>
    <row r="145" spans="1:136" ht="16" x14ac:dyDescent="0.2">
      <c r="A145" t="s">
        <v>3004</v>
      </c>
      <c r="B145" t="s">
        <v>3232</v>
      </c>
      <c r="C145">
        <f>'6.Inland wetlands'!C85</f>
        <v>0</v>
      </c>
      <c r="D145" t="str">
        <f>'6.Inland wetlands'!K85</f>
        <v>Please select</v>
      </c>
      <c r="E145">
        <f>'6.Inland wetlands'!AG85+'6.Inland wetlands'!AG96</f>
        <v>0</v>
      </c>
      <c r="F145" s="4495">
        <f>'Inl. wetlands'!Y229-'Inl. wetlands'!X229</f>
        <v>0</v>
      </c>
      <c r="H145" s="388">
        <f>'Inl. wetlands'!AE260-'Inl. wetlands'!AD260</f>
        <v>0</v>
      </c>
      <c r="I145" s="388">
        <f>'Inl. wetlands'!AC274-'Inl. wetlands'!AB274+'Inl. wetlands'!AC285-'Inl. wetlands'!AB285+'Inl. wetlands'!AC301-'Inl. wetlands'!AB301+'Inl. wetlands'!AC312-'Inl. wetlands'!AB312</f>
        <v>0</v>
      </c>
      <c r="M145" s="388">
        <f>'Inl. wetlands'!BC229-'Inl. wetlands'!BB229+'Inl. wetlands'!K241-'Inl. wetlands'!I241</f>
        <v>0</v>
      </c>
      <c r="R145" s="388">
        <f>'Inl. wetlands'!AG274-'Inl. wetlands'!AF274+'Inl. wetlands'!AG285-'Inl. wetlands'!AF285+'Inl. wetlands'!AG301-'Inl. wetlands'!AF301+'Inl. wetlands'!AG312-'Inl. wetlands'!AF312</f>
        <v>0</v>
      </c>
      <c r="U145" s="388">
        <f>'Inl. wetlands'!BA229-'Inl. wetlands'!AZ229+'Inl. wetlands'!J241-'Inl. wetlands'!H241</f>
        <v>0</v>
      </c>
      <c r="Y145" s="388">
        <f>'Inl. wetlands'!AG260-'Inl. wetlands'!AF260</f>
        <v>0</v>
      </c>
      <c r="Z145" s="388">
        <f>'Inl. wetlands'!AE274-'Inl. wetlands'!AD274+'Inl. wetlands'!AE285-'Inl. wetlands'!AD285+'Inl. wetlands'!AE301-'Inl. wetlands'!AD301+'Inl. wetlands'!AE312-'Inl. wetlands'!AD312</f>
        <v>0</v>
      </c>
      <c r="AB145" t="str">
        <f t="shared" si="340"/>
        <v>ok</v>
      </c>
      <c r="AC145">
        <f>IF('6.Inland wetlands'!BI85&lt;&gt;0,'6.Inland wetlands'!BI85,'6.Inland wetlands'!BH85)</f>
        <v>1</v>
      </c>
      <c r="AD145">
        <f t="shared" si="190"/>
        <v>5</v>
      </c>
      <c r="AE145" s="4357" t="str">
        <f>'6.Inland wetlands'!O85</f>
        <v>D</v>
      </c>
      <c r="AF145" s="4357" t="str">
        <f>'6.Inland wetlands'!Q85</f>
        <v>D</v>
      </c>
      <c r="AG145" s="4357" t="str">
        <f t="shared" si="193"/>
        <v>D</v>
      </c>
      <c r="AH145" s="4357">
        <f>((E145/(time_cap+((AD145-AC145+1)*VLOOKUP(AG145,list!$I$48:$K$50,3, FALSE))))*(AD145-AC145+1)*VLOOKUP(AG145,list!$I$48:$K$50,3, FALSE))</f>
        <v>0</v>
      </c>
      <c r="AI145" s="4357">
        <f>((E145/(time_cap+((AD145-AC145+1)*VLOOKUP(AG145,list!$I$48:$K$50,3, FALSE))))*time_cap)</f>
        <v>0</v>
      </c>
      <c r="AK145" s="4357">
        <f t="shared" ref="AK145:BP145" si="351">IFERROR(IF((time+time_cap)&lt;AK$2, 0,IF(AND(time+1&gt;=AL$2, $AC145&lt;AL$2), IF($AG145= "I", $AH145/($AD145-$AC145+1), $AH145/(($AD145*($AD145+1)/2)-(($AC145-1)*($AC145-1+1)/2))*AK$2), 0)+IF(IF(time+1&gt;=AL$2, $AI145/time_cap/(time+1)*AK$2, 0) = 0, $AI145/(time_cap),0)),0)</f>
        <v>0</v>
      </c>
      <c r="AL145" s="4357">
        <f t="shared" si="351"/>
        <v>0</v>
      </c>
      <c r="AM145" s="4357">
        <f t="shared" si="351"/>
        <v>0</v>
      </c>
      <c r="AN145" s="4357">
        <f t="shared" si="351"/>
        <v>0</v>
      </c>
      <c r="AO145" s="4357">
        <f t="shared" si="351"/>
        <v>0</v>
      </c>
      <c r="AP145" s="4357">
        <f t="shared" si="351"/>
        <v>0</v>
      </c>
      <c r="AQ145" s="4357">
        <f t="shared" si="351"/>
        <v>0</v>
      </c>
      <c r="AR145" s="4357">
        <f t="shared" si="351"/>
        <v>0</v>
      </c>
      <c r="AS145" s="4357">
        <f t="shared" si="351"/>
        <v>0</v>
      </c>
      <c r="AT145" s="4357">
        <f t="shared" si="351"/>
        <v>0</v>
      </c>
      <c r="AU145" s="4357">
        <f t="shared" si="351"/>
        <v>0</v>
      </c>
      <c r="AV145" s="4357">
        <f t="shared" si="351"/>
        <v>0</v>
      </c>
      <c r="AW145" s="4357">
        <f t="shared" si="351"/>
        <v>0</v>
      </c>
      <c r="AX145" s="4357">
        <f t="shared" si="351"/>
        <v>0</v>
      </c>
      <c r="AY145" s="4357">
        <f t="shared" si="351"/>
        <v>0</v>
      </c>
      <c r="AZ145" s="4357">
        <f t="shared" si="351"/>
        <v>0</v>
      </c>
      <c r="BA145" s="4357">
        <f t="shared" si="351"/>
        <v>0</v>
      </c>
      <c r="BB145" s="4357">
        <f t="shared" si="351"/>
        <v>0</v>
      </c>
      <c r="BC145" s="4357">
        <f t="shared" si="351"/>
        <v>0</v>
      </c>
      <c r="BD145" s="4357">
        <f t="shared" si="351"/>
        <v>0</v>
      </c>
      <c r="BE145" s="4357">
        <f t="shared" si="351"/>
        <v>0</v>
      </c>
      <c r="BF145" s="4357">
        <f t="shared" si="351"/>
        <v>0</v>
      </c>
      <c r="BG145" s="4357">
        <f t="shared" si="351"/>
        <v>0</v>
      </c>
      <c r="BH145" s="4357">
        <f t="shared" si="351"/>
        <v>0</v>
      </c>
      <c r="BI145" s="4357">
        <f t="shared" si="351"/>
        <v>0</v>
      </c>
      <c r="BJ145" s="4357">
        <f t="shared" si="351"/>
        <v>0</v>
      </c>
      <c r="BK145" s="4357">
        <f t="shared" si="351"/>
        <v>0</v>
      </c>
      <c r="BL145" s="4357">
        <f t="shared" si="351"/>
        <v>0</v>
      </c>
      <c r="BM145" s="4357">
        <f t="shared" si="351"/>
        <v>0</v>
      </c>
      <c r="BN145" s="4357">
        <f t="shared" si="351"/>
        <v>0</v>
      </c>
      <c r="BO145" s="4357">
        <f t="shared" si="351"/>
        <v>0</v>
      </c>
      <c r="BP145" s="4357">
        <f t="shared" si="351"/>
        <v>0</v>
      </c>
      <c r="BQ145" s="4357">
        <f t="shared" ref="BQ145:CH145" si="352">IFERROR(IF((time+time_cap)&lt;BQ$2, 0,IF(AND(time+1&gt;=BR$2, $AC145&lt;BR$2), IF($AG145= "I", $AH145/($AD145-$AC145+1), $AH145/(($AD145*($AD145+1)/2)-(($AC145-1)*($AC145-1+1)/2))*BQ$2), 0)+IF(IF(time+1&gt;=BR$2, $AI145/time_cap/(time+1)*BQ$2, 0) = 0, $AI145/(time_cap),0)),0)</f>
        <v>0</v>
      </c>
      <c r="BR145" s="4357">
        <f t="shared" si="352"/>
        <v>0</v>
      </c>
      <c r="BS145" s="4357">
        <f t="shared" si="352"/>
        <v>0</v>
      </c>
      <c r="BT145" s="4357">
        <f t="shared" si="352"/>
        <v>0</v>
      </c>
      <c r="BU145" s="4357">
        <f t="shared" si="352"/>
        <v>0</v>
      </c>
      <c r="BV145" s="4357">
        <f t="shared" si="352"/>
        <v>0</v>
      </c>
      <c r="BW145" s="4357">
        <f t="shared" si="352"/>
        <v>0</v>
      </c>
      <c r="BX145" s="4357">
        <f t="shared" si="352"/>
        <v>0</v>
      </c>
      <c r="BY145" s="4357">
        <f t="shared" si="352"/>
        <v>0</v>
      </c>
      <c r="BZ145" s="4357">
        <f t="shared" si="352"/>
        <v>0</v>
      </c>
      <c r="CA145" s="4357">
        <f t="shared" si="352"/>
        <v>0</v>
      </c>
      <c r="CB145" s="4357">
        <f t="shared" si="352"/>
        <v>0</v>
      </c>
      <c r="CC145" s="4357">
        <f t="shared" si="352"/>
        <v>0</v>
      </c>
      <c r="CD145" s="4357">
        <f t="shared" si="352"/>
        <v>0</v>
      </c>
      <c r="CE145" s="4357">
        <f t="shared" si="352"/>
        <v>0</v>
      </c>
      <c r="CF145" s="4357">
        <f t="shared" si="352"/>
        <v>0</v>
      </c>
      <c r="CG145" s="4357">
        <f t="shared" si="352"/>
        <v>0</v>
      </c>
      <c r="CH145" s="4357">
        <f t="shared" si="352"/>
        <v>0</v>
      </c>
      <c r="CI145" s="4357"/>
      <c r="CJ145" s="4357"/>
      <c r="CK145" s="4357"/>
      <c r="CL145" s="4357"/>
      <c r="CM145" s="4357"/>
      <c r="CN145" s="4357"/>
      <c r="CO145" s="4357"/>
      <c r="CP145" s="4357"/>
      <c r="CQ145" s="4357"/>
      <c r="CR145" s="4357"/>
      <c r="CS145" s="4357"/>
      <c r="CT145" s="4357"/>
      <c r="CU145" s="4357"/>
      <c r="CV145" s="4357"/>
      <c r="CW145" s="4357"/>
      <c r="CX145" s="4357"/>
      <c r="CY145" s="4357"/>
      <c r="CZ145" s="4357"/>
      <c r="DA145" s="4357"/>
      <c r="DB145" s="4357"/>
      <c r="DC145" s="4357"/>
      <c r="DD145" s="4357"/>
      <c r="DE145" s="4357"/>
      <c r="DF145" s="4357"/>
      <c r="DG145" s="4357"/>
      <c r="DH145" s="4357"/>
      <c r="DI145" s="4357"/>
      <c r="DJ145" s="4357"/>
      <c r="DK145" s="4357"/>
      <c r="DL145" s="4357"/>
      <c r="DM145" s="4357"/>
      <c r="DN145" s="4357"/>
      <c r="DO145" s="4357"/>
      <c r="DP145" s="4357"/>
      <c r="DQ145" s="4357"/>
      <c r="DR145" s="4357"/>
      <c r="DS145" s="4357"/>
      <c r="DT145" s="4357"/>
      <c r="DU145" s="4357"/>
      <c r="DV145" s="4357"/>
      <c r="DW145" s="4357"/>
      <c r="DX145" s="4357"/>
      <c r="DY145" s="4357"/>
      <c r="DZ145" s="4357"/>
      <c r="EA145" s="4357"/>
      <c r="EB145" s="4357"/>
      <c r="EC145" s="4357"/>
      <c r="ED145" s="4357"/>
      <c r="EE145" s="4357"/>
      <c r="EF145" s="4357"/>
    </row>
    <row r="146" spans="1:136" ht="16" x14ac:dyDescent="0.2">
      <c r="A146" t="s">
        <v>3004</v>
      </c>
      <c r="B146" t="s">
        <v>3233</v>
      </c>
      <c r="D146" t="str">
        <f>'6.Inland wetlands'!C118</f>
        <v>Please select</v>
      </c>
      <c r="E146">
        <f>'6.Inland wetlands'!AG118+'6.Inland wetlands'!AG129</f>
        <v>0</v>
      </c>
      <c r="F146" s="388">
        <f>'Inl. wetlands'!R339-'Inl. wetlands'!Q339+'Inl. wetlands'!T339-'Inl. wetlands'!S339</f>
        <v>0</v>
      </c>
      <c r="H146" s="388">
        <f>'Inl. wetlands'!AE357-'Inl. wetlands'!AD357</f>
        <v>0</v>
      </c>
      <c r="I146" s="388">
        <f>'Inl. wetlands'!AC373-'Inl. wetlands'!AB373+'Inl. wetlands'!AC388-'Inl. wetlands'!AB388</f>
        <v>0</v>
      </c>
      <c r="M146" s="388">
        <f>'Inl. wetlands'!BH339-'Inl. wetlands'!BG339</f>
        <v>0</v>
      </c>
      <c r="R146" s="388">
        <f>'Inl. wetlands'!AG373-'Inl. wetlands'!AF373+'Inl. wetlands'!AG388-'Inl. wetlands'!AF388</f>
        <v>0</v>
      </c>
      <c r="U146" s="388">
        <f>'Inl. wetlands'!BF339-'Inl. wetlands'!BE339</f>
        <v>0</v>
      </c>
      <c r="Y146" s="388">
        <f>'Inl. wetlands'!AG357-'Inl. wetlands'!AF357</f>
        <v>0</v>
      </c>
      <c r="Z146" s="388">
        <f>'Inl. wetlands'!AE373-'Inl. wetlands'!AD373+'Inl. wetlands'!AE388-'Inl. wetlands'!AD388</f>
        <v>0</v>
      </c>
      <c r="AB146" t="str">
        <f t="shared" si="340"/>
        <v>ok</v>
      </c>
      <c r="AC146">
        <f>IF('6.Inland wetlands'!BV118&lt;&gt;0,'6.Inland wetlands'!BV118,'6.Inland wetlands'!BU118)</f>
        <v>1</v>
      </c>
      <c r="AD146">
        <f t="shared" si="190"/>
        <v>5</v>
      </c>
      <c r="AE146" s="4357" t="str">
        <f>'6.Inland wetlands'!O118</f>
        <v>D</v>
      </c>
      <c r="AF146" s="4357" t="str">
        <f>'6.Inland wetlands'!Q118</f>
        <v>D</v>
      </c>
      <c r="AG146" s="4357" t="str">
        <f t="shared" si="193"/>
        <v>D</v>
      </c>
      <c r="AH146" s="4357">
        <f>((E146/(time_cap+((AD146-AC146+1)*VLOOKUP(AG146,list!$I$48:$K$50,3, FALSE))))*(AD146-AC146+1)*VLOOKUP(AG146,list!$I$48:$K$50,3, FALSE))</f>
        <v>0</v>
      </c>
      <c r="AI146" s="4357">
        <f>((E146/(time_cap+((AD146-AC146+1)*VLOOKUP(AG146,list!$I$48:$K$50,3, FALSE))))*time_cap)</f>
        <v>0</v>
      </c>
      <c r="AK146" s="4357">
        <f t="shared" ref="AK146:BP146" si="353">IFERROR(IF((time+time_cap)&lt;AK$2, 0,IF(AND(time+1&gt;=AL$2, $AC146&lt;AL$2), IF($AG146= "I", $AH146/($AD146-$AC146+1), $AH146/(($AD146*($AD146+1)/2)-(($AC146-1)*($AC146-1+1)/2))*AK$2), 0)+IF(IF(time+1&gt;=AL$2, $AI146/time_cap/(time+1)*AK$2, 0) = 0, $AI146/(time_cap),0)),0)</f>
        <v>0</v>
      </c>
      <c r="AL146" s="4357">
        <f t="shared" si="353"/>
        <v>0</v>
      </c>
      <c r="AM146" s="4357">
        <f t="shared" si="353"/>
        <v>0</v>
      </c>
      <c r="AN146" s="4357">
        <f t="shared" si="353"/>
        <v>0</v>
      </c>
      <c r="AO146" s="4357">
        <f t="shared" si="353"/>
        <v>0</v>
      </c>
      <c r="AP146" s="4357">
        <f t="shared" si="353"/>
        <v>0</v>
      </c>
      <c r="AQ146" s="4357">
        <f t="shared" si="353"/>
        <v>0</v>
      </c>
      <c r="AR146" s="4357">
        <f t="shared" si="353"/>
        <v>0</v>
      </c>
      <c r="AS146" s="4357">
        <f t="shared" si="353"/>
        <v>0</v>
      </c>
      <c r="AT146" s="4357">
        <f t="shared" si="353"/>
        <v>0</v>
      </c>
      <c r="AU146" s="4357">
        <f t="shared" si="353"/>
        <v>0</v>
      </c>
      <c r="AV146" s="4357">
        <f t="shared" si="353"/>
        <v>0</v>
      </c>
      <c r="AW146" s="4357">
        <f t="shared" si="353"/>
        <v>0</v>
      </c>
      <c r="AX146" s="4357">
        <f t="shared" si="353"/>
        <v>0</v>
      </c>
      <c r="AY146" s="4357">
        <f t="shared" si="353"/>
        <v>0</v>
      </c>
      <c r="AZ146" s="4357">
        <f t="shared" si="353"/>
        <v>0</v>
      </c>
      <c r="BA146" s="4357">
        <f t="shared" si="353"/>
        <v>0</v>
      </c>
      <c r="BB146" s="4357">
        <f t="shared" si="353"/>
        <v>0</v>
      </c>
      <c r="BC146" s="4357">
        <f t="shared" si="353"/>
        <v>0</v>
      </c>
      <c r="BD146" s="4357">
        <f t="shared" si="353"/>
        <v>0</v>
      </c>
      <c r="BE146" s="4357">
        <f t="shared" si="353"/>
        <v>0</v>
      </c>
      <c r="BF146" s="4357">
        <f t="shared" si="353"/>
        <v>0</v>
      </c>
      <c r="BG146" s="4357">
        <f t="shared" si="353"/>
        <v>0</v>
      </c>
      <c r="BH146" s="4357">
        <f t="shared" si="353"/>
        <v>0</v>
      </c>
      <c r="BI146" s="4357">
        <f t="shared" si="353"/>
        <v>0</v>
      </c>
      <c r="BJ146" s="4357">
        <f t="shared" si="353"/>
        <v>0</v>
      </c>
      <c r="BK146" s="4357">
        <f t="shared" si="353"/>
        <v>0</v>
      </c>
      <c r="BL146" s="4357">
        <f t="shared" si="353"/>
        <v>0</v>
      </c>
      <c r="BM146" s="4357">
        <f t="shared" si="353"/>
        <v>0</v>
      </c>
      <c r="BN146" s="4357">
        <f t="shared" si="353"/>
        <v>0</v>
      </c>
      <c r="BO146" s="4357">
        <f t="shared" si="353"/>
        <v>0</v>
      </c>
      <c r="BP146" s="4357">
        <f t="shared" si="353"/>
        <v>0</v>
      </c>
      <c r="BQ146" s="4357">
        <f t="shared" ref="BQ146:CH146" si="354">IFERROR(IF((time+time_cap)&lt;BQ$2, 0,IF(AND(time+1&gt;=BR$2, $AC146&lt;BR$2), IF($AG146= "I", $AH146/($AD146-$AC146+1), $AH146/(($AD146*($AD146+1)/2)-(($AC146-1)*($AC146-1+1)/2))*BQ$2), 0)+IF(IF(time+1&gt;=BR$2, $AI146/time_cap/(time+1)*BQ$2, 0) = 0, $AI146/(time_cap),0)),0)</f>
        <v>0</v>
      </c>
      <c r="BR146" s="4357">
        <f t="shared" si="354"/>
        <v>0</v>
      </c>
      <c r="BS146" s="4357">
        <f t="shared" si="354"/>
        <v>0</v>
      </c>
      <c r="BT146" s="4357">
        <f t="shared" si="354"/>
        <v>0</v>
      </c>
      <c r="BU146" s="4357">
        <f t="shared" si="354"/>
        <v>0</v>
      </c>
      <c r="BV146" s="4357">
        <f t="shared" si="354"/>
        <v>0</v>
      </c>
      <c r="BW146" s="4357">
        <f t="shared" si="354"/>
        <v>0</v>
      </c>
      <c r="BX146" s="4357">
        <f t="shared" si="354"/>
        <v>0</v>
      </c>
      <c r="BY146" s="4357">
        <f t="shared" si="354"/>
        <v>0</v>
      </c>
      <c r="BZ146" s="4357">
        <f t="shared" si="354"/>
        <v>0</v>
      </c>
      <c r="CA146" s="4357">
        <f t="shared" si="354"/>
        <v>0</v>
      </c>
      <c r="CB146" s="4357">
        <f t="shared" si="354"/>
        <v>0</v>
      </c>
      <c r="CC146" s="4357">
        <f t="shared" si="354"/>
        <v>0</v>
      </c>
      <c r="CD146" s="4357">
        <f t="shared" si="354"/>
        <v>0</v>
      </c>
      <c r="CE146" s="4357">
        <f t="shared" si="354"/>
        <v>0</v>
      </c>
      <c r="CF146" s="4357">
        <f t="shared" si="354"/>
        <v>0</v>
      </c>
      <c r="CG146" s="4357">
        <f t="shared" si="354"/>
        <v>0</v>
      </c>
      <c r="CH146" s="4357">
        <f t="shared" si="354"/>
        <v>0</v>
      </c>
      <c r="CI146" s="4357"/>
      <c r="CJ146" s="4357"/>
      <c r="CK146" s="4357"/>
      <c r="CL146" s="4357"/>
      <c r="CM146" s="4357"/>
      <c r="CN146" s="4357"/>
      <c r="CO146" s="4357"/>
      <c r="CP146" s="4357"/>
      <c r="CQ146" s="4357"/>
      <c r="CR146" s="4357"/>
      <c r="CS146" s="4357"/>
      <c r="CT146" s="4357"/>
      <c r="CU146" s="4357"/>
      <c r="CV146" s="4357"/>
      <c r="CW146" s="4357"/>
      <c r="CX146" s="4357"/>
      <c r="CY146" s="4357"/>
      <c r="CZ146" s="4357"/>
      <c r="DA146" s="4357"/>
      <c r="DB146" s="4357"/>
      <c r="DC146" s="4357"/>
      <c r="DD146" s="4357"/>
      <c r="DE146" s="4357"/>
      <c r="DF146" s="4357"/>
      <c r="DG146" s="4357"/>
      <c r="DH146" s="4357"/>
      <c r="DI146" s="4357"/>
      <c r="DJ146" s="4357"/>
      <c r="DK146" s="4357"/>
      <c r="DL146" s="4357"/>
      <c r="DM146" s="4357"/>
      <c r="DN146" s="4357"/>
      <c r="DO146" s="4357"/>
      <c r="DP146" s="4357"/>
      <c r="DQ146" s="4357"/>
      <c r="DR146" s="4357"/>
      <c r="DS146" s="4357"/>
      <c r="DT146" s="4357"/>
      <c r="DU146" s="4357"/>
      <c r="DV146" s="4357"/>
      <c r="DW146" s="4357"/>
      <c r="DX146" s="4357"/>
      <c r="DY146" s="4357"/>
      <c r="DZ146" s="4357"/>
      <c r="EA146" s="4357"/>
      <c r="EB146" s="4357"/>
      <c r="EC146" s="4357"/>
      <c r="ED146" s="4357"/>
      <c r="EE146" s="4357"/>
      <c r="EF146" s="4357"/>
    </row>
    <row r="147" spans="1:136" ht="16" x14ac:dyDescent="0.2">
      <c r="A147" t="s">
        <v>3004</v>
      </c>
      <c r="B147" t="s">
        <v>3233</v>
      </c>
      <c r="D147" t="str">
        <f>'6.Inland wetlands'!C119</f>
        <v>Please select</v>
      </c>
      <c r="E147">
        <f>'6.Inland wetlands'!AG119+'6.Inland wetlands'!AG130</f>
        <v>0</v>
      </c>
      <c r="F147" s="388">
        <f>'Inl. wetlands'!R340-'Inl. wetlands'!Q340+'Inl. wetlands'!T340-'Inl. wetlands'!S340</f>
        <v>0</v>
      </c>
      <c r="H147" s="388">
        <f>'Inl. wetlands'!AE358-'Inl. wetlands'!AD358</f>
        <v>0</v>
      </c>
      <c r="I147" s="388">
        <f>'Inl. wetlands'!AC374-'Inl. wetlands'!AB374+'Inl. wetlands'!AC389-'Inl. wetlands'!AB389</f>
        <v>0</v>
      </c>
      <c r="M147" s="388">
        <f>'Inl. wetlands'!BH340-'Inl. wetlands'!BG340</f>
        <v>0</v>
      </c>
      <c r="R147" s="388">
        <f>'Inl. wetlands'!AG374-'Inl. wetlands'!AF374+'Inl. wetlands'!AG389-'Inl. wetlands'!AF389</f>
        <v>0</v>
      </c>
      <c r="U147" s="388">
        <f>'Inl. wetlands'!BF340-'Inl. wetlands'!BE340</f>
        <v>0</v>
      </c>
      <c r="Y147" s="388">
        <f>'Inl. wetlands'!AG358-'Inl. wetlands'!AF358</f>
        <v>0</v>
      </c>
      <c r="Z147" s="388">
        <f>'Inl. wetlands'!AE374-'Inl. wetlands'!AD374+'Inl. wetlands'!AE389-'Inl. wetlands'!AD389</f>
        <v>0</v>
      </c>
      <c r="AB147" t="str">
        <f t="shared" si="340"/>
        <v>ok</v>
      </c>
      <c r="AC147">
        <f>IF('6.Inland wetlands'!BV119&lt;&gt;0,'6.Inland wetlands'!BV119,'6.Inland wetlands'!BU119)</f>
        <v>1</v>
      </c>
      <c r="AD147">
        <f t="shared" si="190"/>
        <v>5</v>
      </c>
      <c r="AE147" s="4357" t="str">
        <f>'6.Inland wetlands'!O119</f>
        <v>D</v>
      </c>
      <c r="AF147" s="4357" t="str">
        <f>'6.Inland wetlands'!Q119</f>
        <v>D</v>
      </c>
      <c r="AG147" s="4357" t="str">
        <f t="shared" si="193"/>
        <v>D</v>
      </c>
      <c r="AH147" s="4357">
        <f>((E147/(time_cap+((AD147-AC147+1)*VLOOKUP(AG147,list!$I$48:$K$50,3, FALSE))))*(AD147-AC147+1)*VLOOKUP(AG147,list!$I$48:$K$50,3, FALSE))</f>
        <v>0</v>
      </c>
      <c r="AI147" s="4357">
        <f>((E147/(time_cap+((AD147-AC147+1)*VLOOKUP(AG147,list!$I$48:$K$50,3, FALSE))))*time_cap)</f>
        <v>0</v>
      </c>
      <c r="AK147" s="4357">
        <f t="shared" ref="AK147:BP147" si="355">IFERROR(IF((time+time_cap)&lt;AK$2, 0,IF(AND(time+1&gt;=AL$2, $AC147&lt;AL$2), IF($AG147= "I", $AH147/($AD147-$AC147+1), $AH147/(($AD147*($AD147+1)/2)-(($AC147-1)*($AC147-1+1)/2))*AK$2), 0)+IF(IF(time+1&gt;=AL$2, $AI147/time_cap/(time+1)*AK$2, 0) = 0, $AI147/(time_cap),0)),0)</f>
        <v>0</v>
      </c>
      <c r="AL147" s="4357">
        <f t="shared" si="355"/>
        <v>0</v>
      </c>
      <c r="AM147" s="4357">
        <f t="shared" si="355"/>
        <v>0</v>
      </c>
      <c r="AN147" s="4357">
        <f t="shared" si="355"/>
        <v>0</v>
      </c>
      <c r="AO147" s="4357">
        <f t="shared" si="355"/>
        <v>0</v>
      </c>
      <c r="AP147" s="4357">
        <f t="shared" si="355"/>
        <v>0</v>
      </c>
      <c r="AQ147" s="4357">
        <f t="shared" si="355"/>
        <v>0</v>
      </c>
      <c r="AR147" s="4357">
        <f t="shared" si="355"/>
        <v>0</v>
      </c>
      <c r="AS147" s="4357">
        <f t="shared" si="355"/>
        <v>0</v>
      </c>
      <c r="AT147" s="4357">
        <f t="shared" si="355"/>
        <v>0</v>
      </c>
      <c r="AU147" s="4357">
        <f t="shared" si="355"/>
        <v>0</v>
      </c>
      <c r="AV147" s="4357">
        <f t="shared" si="355"/>
        <v>0</v>
      </c>
      <c r="AW147" s="4357">
        <f t="shared" si="355"/>
        <v>0</v>
      </c>
      <c r="AX147" s="4357">
        <f t="shared" si="355"/>
        <v>0</v>
      </c>
      <c r="AY147" s="4357">
        <f t="shared" si="355"/>
        <v>0</v>
      </c>
      <c r="AZ147" s="4357">
        <f t="shared" si="355"/>
        <v>0</v>
      </c>
      <c r="BA147" s="4357">
        <f t="shared" si="355"/>
        <v>0</v>
      </c>
      <c r="BB147" s="4357">
        <f t="shared" si="355"/>
        <v>0</v>
      </c>
      <c r="BC147" s="4357">
        <f t="shared" si="355"/>
        <v>0</v>
      </c>
      <c r="BD147" s="4357">
        <f t="shared" si="355"/>
        <v>0</v>
      </c>
      <c r="BE147" s="4357">
        <f t="shared" si="355"/>
        <v>0</v>
      </c>
      <c r="BF147" s="4357">
        <f t="shared" si="355"/>
        <v>0</v>
      </c>
      <c r="BG147" s="4357">
        <f t="shared" si="355"/>
        <v>0</v>
      </c>
      <c r="BH147" s="4357">
        <f t="shared" si="355"/>
        <v>0</v>
      </c>
      <c r="BI147" s="4357">
        <f t="shared" si="355"/>
        <v>0</v>
      </c>
      <c r="BJ147" s="4357">
        <f t="shared" si="355"/>
        <v>0</v>
      </c>
      <c r="BK147" s="4357">
        <f t="shared" si="355"/>
        <v>0</v>
      </c>
      <c r="BL147" s="4357">
        <f t="shared" si="355"/>
        <v>0</v>
      </c>
      <c r="BM147" s="4357">
        <f t="shared" si="355"/>
        <v>0</v>
      </c>
      <c r="BN147" s="4357">
        <f t="shared" si="355"/>
        <v>0</v>
      </c>
      <c r="BO147" s="4357">
        <f t="shared" si="355"/>
        <v>0</v>
      </c>
      <c r="BP147" s="4357">
        <f t="shared" si="355"/>
        <v>0</v>
      </c>
      <c r="BQ147" s="4357">
        <f t="shared" ref="BQ147:CH147" si="356">IFERROR(IF((time+time_cap)&lt;BQ$2, 0,IF(AND(time+1&gt;=BR$2, $AC147&lt;BR$2), IF($AG147= "I", $AH147/($AD147-$AC147+1), $AH147/(($AD147*($AD147+1)/2)-(($AC147-1)*($AC147-1+1)/2))*BQ$2), 0)+IF(IF(time+1&gt;=BR$2, $AI147/time_cap/(time+1)*BQ$2, 0) = 0, $AI147/(time_cap),0)),0)</f>
        <v>0</v>
      </c>
      <c r="BR147" s="4357">
        <f t="shared" si="356"/>
        <v>0</v>
      </c>
      <c r="BS147" s="4357">
        <f t="shared" si="356"/>
        <v>0</v>
      </c>
      <c r="BT147" s="4357">
        <f t="shared" si="356"/>
        <v>0</v>
      </c>
      <c r="BU147" s="4357">
        <f t="shared" si="356"/>
        <v>0</v>
      </c>
      <c r="BV147" s="4357">
        <f t="shared" si="356"/>
        <v>0</v>
      </c>
      <c r="BW147" s="4357">
        <f t="shared" si="356"/>
        <v>0</v>
      </c>
      <c r="BX147" s="4357">
        <f t="shared" si="356"/>
        <v>0</v>
      </c>
      <c r="BY147" s="4357">
        <f t="shared" si="356"/>
        <v>0</v>
      </c>
      <c r="BZ147" s="4357">
        <f t="shared" si="356"/>
        <v>0</v>
      </c>
      <c r="CA147" s="4357">
        <f t="shared" si="356"/>
        <v>0</v>
      </c>
      <c r="CB147" s="4357">
        <f t="shared" si="356"/>
        <v>0</v>
      </c>
      <c r="CC147" s="4357">
        <f t="shared" si="356"/>
        <v>0</v>
      </c>
      <c r="CD147" s="4357">
        <f t="shared" si="356"/>
        <v>0</v>
      </c>
      <c r="CE147" s="4357">
        <f t="shared" si="356"/>
        <v>0</v>
      </c>
      <c r="CF147" s="4357">
        <f t="shared" si="356"/>
        <v>0</v>
      </c>
      <c r="CG147" s="4357">
        <f t="shared" si="356"/>
        <v>0</v>
      </c>
      <c r="CH147" s="4357">
        <f t="shared" si="356"/>
        <v>0</v>
      </c>
      <c r="CI147" s="4357"/>
      <c r="CJ147" s="4357"/>
      <c r="CK147" s="4357"/>
      <c r="CL147" s="4357"/>
      <c r="CM147" s="4357"/>
      <c r="CN147" s="4357"/>
      <c r="CO147" s="4357"/>
      <c r="CP147" s="4357"/>
      <c r="CQ147" s="4357"/>
      <c r="CR147" s="4357"/>
      <c r="CS147" s="4357"/>
      <c r="CT147" s="4357"/>
      <c r="CU147" s="4357"/>
      <c r="CV147" s="4357"/>
      <c r="CW147" s="4357"/>
      <c r="CX147" s="4357"/>
      <c r="CY147" s="4357"/>
      <c r="CZ147" s="4357"/>
      <c r="DA147" s="4357"/>
      <c r="DB147" s="4357"/>
      <c r="DC147" s="4357"/>
      <c r="DD147" s="4357"/>
      <c r="DE147" s="4357"/>
      <c r="DF147" s="4357"/>
      <c r="DG147" s="4357"/>
      <c r="DH147" s="4357"/>
      <c r="DI147" s="4357"/>
      <c r="DJ147" s="4357"/>
      <c r="DK147" s="4357"/>
      <c r="DL147" s="4357"/>
      <c r="DM147" s="4357"/>
      <c r="DN147" s="4357"/>
      <c r="DO147" s="4357"/>
      <c r="DP147" s="4357"/>
      <c r="DQ147" s="4357"/>
      <c r="DR147" s="4357"/>
      <c r="DS147" s="4357"/>
      <c r="DT147" s="4357"/>
      <c r="DU147" s="4357"/>
      <c r="DV147" s="4357"/>
      <c r="DW147" s="4357"/>
      <c r="DX147" s="4357"/>
      <c r="DY147" s="4357"/>
      <c r="DZ147" s="4357"/>
      <c r="EA147" s="4357"/>
      <c r="EB147" s="4357"/>
      <c r="EC147" s="4357"/>
      <c r="ED147" s="4357"/>
      <c r="EE147" s="4357"/>
      <c r="EF147" s="4357"/>
    </row>
    <row r="148" spans="1:136" ht="16" x14ac:dyDescent="0.2">
      <c r="A148" t="s">
        <v>3004</v>
      </c>
      <c r="B148" t="s">
        <v>3233</v>
      </c>
      <c r="D148" t="str">
        <f>'6.Inland wetlands'!C120</f>
        <v>Please select</v>
      </c>
      <c r="E148">
        <f>'6.Inland wetlands'!AG120+'6.Inland wetlands'!AG131</f>
        <v>0</v>
      </c>
      <c r="F148" s="388">
        <f>'Inl. wetlands'!R341-'Inl. wetlands'!Q341+'Inl. wetlands'!T341-'Inl. wetlands'!S341</f>
        <v>0</v>
      </c>
      <c r="H148" s="388">
        <f>'Inl. wetlands'!AE359-'Inl. wetlands'!AD359</f>
        <v>0</v>
      </c>
      <c r="I148" s="388">
        <f>'Inl. wetlands'!AC375-'Inl. wetlands'!AB375+'Inl. wetlands'!AC390-'Inl. wetlands'!AB390</f>
        <v>0</v>
      </c>
      <c r="M148" s="388">
        <f>'Inl. wetlands'!BH341-'Inl. wetlands'!BG341</f>
        <v>0</v>
      </c>
      <c r="R148" s="388">
        <f>'Inl. wetlands'!AG375-'Inl. wetlands'!AF375+'Inl. wetlands'!AG390-'Inl. wetlands'!AF390</f>
        <v>0</v>
      </c>
      <c r="U148" s="388">
        <f>'Inl. wetlands'!BF341-'Inl. wetlands'!BE341</f>
        <v>0</v>
      </c>
      <c r="Y148" s="388">
        <f>'Inl. wetlands'!AG359-'Inl. wetlands'!AF359</f>
        <v>0</v>
      </c>
      <c r="Z148" s="388">
        <f>'Inl. wetlands'!AE375-'Inl. wetlands'!AD375+'Inl. wetlands'!AE390-'Inl. wetlands'!AD390</f>
        <v>0</v>
      </c>
      <c r="AB148" t="str">
        <f t="shared" si="340"/>
        <v>ok</v>
      </c>
      <c r="AC148">
        <f>IF('6.Inland wetlands'!BV120&lt;&gt;0,'6.Inland wetlands'!BV120,'6.Inland wetlands'!BU120)</f>
        <v>1</v>
      </c>
      <c r="AD148">
        <f t="shared" si="190"/>
        <v>5</v>
      </c>
      <c r="AE148" s="4357" t="str">
        <f>'6.Inland wetlands'!O120</f>
        <v>D</v>
      </c>
      <c r="AF148" s="4357" t="str">
        <f>'6.Inland wetlands'!Q120</f>
        <v>D</v>
      </c>
      <c r="AG148" s="4357" t="str">
        <f t="shared" si="193"/>
        <v>D</v>
      </c>
      <c r="AH148" s="4357">
        <f>((E148/(time_cap+((AD148-AC148+1)*VLOOKUP(AG148,list!$I$48:$K$50,3, FALSE))))*(AD148-AC148+1)*VLOOKUP(AG148,list!$I$48:$K$50,3, FALSE))</f>
        <v>0</v>
      </c>
      <c r="AI148" s="4357">
        <f>((E148/(time_cap+((AD148-AC148+1)*VLOOKUP(AG148,list!$I$48:$K$50,3, FALSE))))*time_cap)</f>
        <v>0</v>
      </c>
      <c r="AK148" s="4357">
        <f t="shared" ref="AK148:BP148" si="357">IFERROR(IF((time+time_cap)&lt;AK$2, 0,IF(AND(time+1&gt;=AL$2, $AC148&lt;AL$2), IF($AG148= "I", $AH148/($AD148-$AC148+1), $AH148/(($AD148*($AD148+1)/2)-(($AC148-1)*($AC148-1+1)/2))*AK$2), 0)+IF(IF(time+1&gt;=AL$2, $AI148/time_cap/(time+1)*AK$2, 0) = 0, $AI148/(time_cap),0)),0)</f>
        <v>0</v>
      </c>
      <c r="AL148" s="4357">
        <f t="shared" si="357"/>
        <v>0</v>
      </c>
      <c r="AM148" s="4357">
        <f t="shared" si="357"/>
        <v>0</v>
      </c>
      <c r="AN148" s="4357">
        <f t="shared" si="357"/>
        <v>0</v>
      </c>
      <c r="AO148" s="4357">
        <f t="shared" si="357"/>
        <v>0</v>
      </c>
      <c r="AP148" s="4357">
        <f t="shared" si="357"/>
        <v>0</v>
      </c>
      <c r="AQ148" s="4357">
        <f t="shared" si="357"/>
        <v>0</v>
      </c>
      <c r="AR148" s="4357">
        <f t="shared" si="357"/>
        <v>0</v>
      </c>
      <c r="AS148" s="4357">
        <f t="shared" si="357"/>
        <v>0</v>
      </c>
      <c r="AT148" s="4357">
        <f t="shared" si="357"/>
        <v>0</v>
      </c>
      <c r="AU148" s="4357">
        <f t="shared" si="357"/>
        <v>0</v>
      </c>
      <c r="AV148" s="4357">
        <f t="shared" si="357"/>
        <v>0</v>
      </c>
      <c r="AW148" s="4357">
        <f t="shared" si="357"/>
        <v>0</v>
      </c>
      <c r="AX148" s="4357">
        <f t="shared" si="357"/>
        <v>0</v>
      </c>
      <c r="AY148" s="4357">
        <f t="shared" si="357"/>
        <v>0</v>
      </c>
      <c r="AZ148" s="4357">
        <f t="shared" si="357"/>
        <v>0</v>
      </c>
      <c r="BA148" s="4357">
        <f t="shared" si="357"/>
        <v>0</v>
      </c>
      <c r="BB148" s="4357">
        <f t="shared" si="357"/>
        <v>0</v>
      </c>
      <c r="BC148" s="4357">
        <f t="shared" si="357"/>
        <v>0</v>
      </c>
      <c r="BD148" s="4357">
        <f t="shared" si="357"/>
        <v>0</v>
      </c>
      <c r="BE148" s="4357">
        <f t="shared" si="357"/>
        <v>0</v>
      </c>
      <c r="BF148" s="4357">
        <f t="shared" si="357"/>
        <v>0</v>
      </c>
      <c r="BG148" s="4357">
        <f t="shared" si="357"/>
        <v>0</v>
      </c>
      <c r="BH148" s="4357">
        <f t="shared" si="357"/>
        <v>0</v>
      </c>
      <c r="BI148" s="4357">
        <f t="shared" si="357"/>
        <v>0</v>
      </c>
      <c r="BJ148" s="4357">
        <f t="shared" si="357"/>
        <v>0</v>
      </c>
      <c r="BK148" s="4357">
        <f t="shared" si="357"/>
        <v>0</v>
      </c>
      <c r="BL148" s="4357">
        <f t="shared" si="357"/>
        <v>0</v>
      </c>
      <c r="BM148" s="4357">
        <f t="shared" si="357"/>
        <v>0</v>
      </c>
      <c r="BN148" s="4357">
        <f t="shared" si="357"/>
        <v>0</v>
      </c>
      <c r="BO148" s="4357">
        <f t="shared" si="357"/>
        <v>0</v>
      </c>
      <c r="BP148" s="4357">
        <f t="shared" si="357"/>
        <v>0</v>
      </c>
      <c r="BQ148" s="4357">
        <f t="shared" ref="BQ148:CH148" si="358">IFERROR(IF((time+time_cap)&lt;BQ$2, 0,IF(AND(time+1&gt;=BR$2, $AC148&lt;BR$2), IF($AG148= "I", $AH148/($AD148-$AC148+1), $AH148/(($AD148*($AD148+1)/2)-(($AC148-1)*($AC148-1+1)/2))*BQ$2), 0)+IF(IF(time+1&gt;=BR$2, $AI148/time_cap/(time+1)*BQ$2, 0) = 0, $AI148/(time_cap),0)),0)</f>
        <v>0</v>
      </c>
      <c r="BR148" s="4357">
        <f t="shared" si="358"/>
        <v>0</v>
      </c>
      <c r="BS148" s="4357">
        <f t="shared" si="358"/>
        <v>0</v>
      </c>
      <c r="BT148" s="4357">
        <f t="shared" si="358"/>
        <v>0</v>
      </c>
      <c r="BU148" s="4357">
        <f t="shared" si="358"/>
        <v>0</v>
      </c>
      <c r="BV148" s="4357">
        <f t="shared" si="358"/>
        <v>0</v>
      </c>
      <c r="BW148" s="4357">
        <f t="shared" si="358"/>
        <v>0</v>
      </c>
      <c r="BX148" s="4357">
        <f t="shared" si="358"/>
        <v>0</v>
      </c>
      <c r="BY148" s="4357">
        <f t="shared" si="358"/>
        <v>0</v>
      </c>
      <c r="BZ148" s="4357">
        <f t="shared" si="358"/>
        <v>0</v>
      </c>
      <c r="CA148" s="4357">
        <f t="shared" si="358"/>
        <v>0</v>
      </c>
      <c r="CB148" s="4357">
        <f t="shared" si="358"/>
        <v>0</v>
      </c>
      <c r="CC148" s="4357">
        <f t="shared" si="358"/>
        <v>0</v>
      </c>
      <c r="CD148" s="4357">
        <f t="shared" si="358"/>
        <v>0</v>
      </c>
      <c r="CE148" s="4357">
        <f t="shared" si="358"/>
        <v>0</v>
      </c>
      <c r="CF148" s="4357">
        <f t="shared" si="358"/>
        <v>0</v>
      </c>
      <c r="CG148" s="4357">
        <f t="shared" si="358"/>
        <v>0</v>
      </c>
      <c r="CH148" s="4357">
        <f t="shared" si="358"/>
        <v>0</v>
      </c>
      <c r="CI148" s="4357"/>
      <c r="CJ148" s="4357"/>
      <c r="CK148" s="4357"/>
      <c r="CL148" s="4357"/>
      <c r="CM148" s="4357"/>
      <c r="CN148" s="4357"/>
      <c r="CO148" s="4357"/>
      <c r="CP148" s="4357"/>
      <c r="CQ148" s="4357"/>
      <c r="CR148" s="4357"/>
      <c r="CS148" s="4357"/>
      <c r="CT148" s="4357"/>
      <c r="CU148" s="4357"/>
      <c r="CV148" s="4357"/>
      <c r="CW148" s="4357"/>
      <c r="CX148" s="4357"/>
      <c r="CY148" s="4357"/>
      <c r="CZ148" s="4357"/>
      <c r="DA148" s="4357"/>
      <c r="DB148" s="4357"/>
      <c r="DC148" s="4357"/>
      <c r="DD148" s="4357"/>
      <c r="DE148" s="4357"/>
      <c r="DF148" s="4357"/>
      <c r="DG148" s="4357"/>
      <c r="DH148" s="4357"/>
      <c r="DI148" s="4357"/>
      <c r="DJ148" s="4357"/>
      <c r="DK148" s="4357"/>
      <c r="DL148" s="4357"/>
      <c r="DM148" s="4357"/>
      <c r="DN148" s="4357"/>
      <c r="DO148" s="4357"/>
      <c r="DP148" s="4357"/>
      <c r="DQ148" s="4357"/>
      <c r="DR148" s="4357"/>
      <c r="DS148" s="4357"/>
      <c r="DT148" s="4357"/>
      <c r="DU148" s="4357"/>
      <c r="DV148" s="4357"/>
      <c r="DW148" s="4357"/>
      <c r="DX148" s="4357"/>
      <c r="DY148" s="4357"/>
      <c r="DZ148" s="4357"/>
      <c r="EA148" s="4357"/>
      <c r="EB148" s="4357"/>
      <c r="EC148" s="4357"/>
      <c r="ED148" s="4357"/>
      <c r="EE148" s="4357"/>
      <c r="EF148" s="4357"/>
    </row>
    <row r="149" spans="1:136" ht="16" x14ac:dyDescent="0.2">
      <c r="A149" t="s">
        <v>3004</v>
      </c>
      <c r="B149" t="s">
        <v>3233</v>
      </c>
      <c r="D149" t="str">
        <f>'6.Inland wetlands'!C121</f>
        <v>Please select</v>
      </c>
      <c r="E149">
        <f>'6.Inland wetlands'!AG121+'6.Inland wetlands'!AG132</f>
        <v>0</v>
      </c>
      <c r="F149" s="388">
        <f>'Inl. wetlands'!R342-'Inl. wetlands'!Q342+'Inl. wetlands'!T342-'Inl. wetlands'!S342</f>
        <v>0</v>
      </c>
      <c r="H149" s="388">
        <f>'Inl. wetlands'!AE360-'Inl. wetlands'!AD360</f>
        <v>0</v>
      </c>
      <c r="I149" s="388">
        <f>'Inl. wetlands'!AC376-'Inl. wetlands'!AB376+'Inl. wetlands'!AC391-'Inl. wetlands'!AB391</f>
        <v>0</v>
      </c>
      <c r="M149" s="388">
        <f>'Inl. wetlands'!BH342-'Inl. wetlands'!BG342</f>
        <v>0</v>
      </c>
      <c r="R149" s="388">
        <f>'Inl. wetlands'!AG376-'Inl. wetlands'!AF376+'Inl. wetlands'!AG391-'Inl. wetlands'!AF391</f>
        <v>0</v>
      </c>
      <c r="U149" s="388">
        <f>'Inl. wetlands'!BF342-'Inl. wetlands'!BE342</f>
        <v>0</v>
      </c>
      <c r="Y149" s="388">
        <f>'Inl. wetlands'!AG360-'Inl. wetlands'!AF360</f>
        <v>0</v>
      </c>
      <c r="Z149" s="388">
        <f>'Inl. wetlands'!AE376-'Inl. wetlands'!AD376+'Inl. wetlands'!AE391-'Inl. wetlands'!AD391</f>
        <v>0</v>
      </c>
      <c r="AB149" t="str">
        <f t="shared" si="340"/>
        <v>ok</v>
      </c>
      <c r="AC149">
        <f>IF('6.Inland wetlands'!BV121&lt;&gt;0,'6.Inland wetlands'!BV121,'6.Inland wetlands'!BU121)</f>
        <v>1</v>
      </c>
      <c r="AD149">
        <f t="shared" si="190"/>
        <v>5</v>
      </c>
      <c r="AE149" s="4357" t="str">
        <f>'6.Inland wetlands'!O121</f>
        <v>D</v>
      </c>
      <c r="AF149" s="4357" t="str">
        <f>'6.Inland wetlands'!Q121</f>
        <v>D</v>
      </c>
      <c r="AG149" s="4357" t="str">
        <f t="shared" si="193"/>
        <v>D</v>
      </c>
      <c r="AH149" s="4357">
        <f>((E149/(time_cap+((AD149-AC149+1)*VLOOKUP(AG149,list!$I$48:$K$50,3, FALSE))))*(AD149-AC149+1)*VLOOKUP(AG149,list!$I$48:$K$50,3, FALSE))</f>
        <v>0</v>
      </c>
      <c r="AI149" s="4357">
        <f>((E149/(time_cap+((AD149-AC149+1)*VLOOKUP(AG149,list!$I$48:$K$50,3, FALSE))))*time_cap)</f>
        <v>0</v>
      </c>
      <c r="AK149" s="4357">
        <f t="shared" ref="AK149:BP149" si="359">IFERROR(IF((time+time_cap)&lt;AK$2, 0,IF(AND(time+1&gt;=AL$2, $AC149&lt;AL$2), IF($AG149= "I", $AH149/($AD149-$AC149+1), $AH149/(($AD149*($AD149+1)/2)-(($AC149-1)*($AC149-1+1)/2))*AK$2), 0)+IF(IF(time+1&gt;=AL$2, $AI149/time_cap/(time+1)*AK$2, 0) = 0, $AI149/(time_cap),0)),0)</f>
        <v>0</v>
      </c>
      <c r="AL149" s="4357">
        <f t="shared" si="359"/>
        <v>0</v>
      </c>
      <c r="AM149" s="4357">
        <f t="shared" si="359"/>
        <v>0</v>
      </c>
      <c r="AN149" s="4357">
        <f t="shared" si="359"/>
        <v>0</v>
      </c>
      <c r="AO149" s="4357">
        <f t="shared" si="359"/>
        <v>0</v>
      </c>
      <c r="AP149" s="4357">
        <f t="shared" si="359"/>
        <v>0</v>
      </c>
      <c r="AQ149" s="4357">
        <f t="shared" si="359"/>
        <v>0</v>
      </c>
      <c r="AR149" s="4357">
        <f t="shared" si="359"/>
        <v>0</v>
      </c>
      <c r="AS149" s="4357">
        <f t="shared" si="359"/>
        <v>0</v>
      </c>
      <c r="AT149" s="4357">
        <f t="shared" si="359"/>
        <v>0</v>
      </c>
      <c r="AU149" s="4357">
        <f t="shared" si="359"/>
        <v>0</v>
      </c>
      <c r="AV149" s="4357">
        <f t="shared" si="359"/>
        <v>0</v>
      </c>
      <c r="AW149" s="4357">
        <f t="shared" si="359"/>
        <v>0</v>
      </c>
      <c r="AX149" s="4357">
        <f t="shared" si="359"/>
        <v>0</v>
      </c>
      <c r="AY149" s="4357">
        <f t="shared" si="359"/>
        <v>0</v>
      </c>
      <c r="AZ149" s="4357">
        <f t="shared" si="359"/>
        <v>0</v>
      </c>
      <c r="BA149" s="4357">
        <f t="shared" si="359"/>
        <v>0</v>
      </c>
      <c r="BB149" s="4357">
        <f t="shared" si="359"/>
        <v>0</v>
      </c>
      <c r="BC149" s="4357">
        <f t="shared" si="359"/>
        <v>0</v>
      </c>
      <c r="BD149" s="4357">
        <f t="shared" si="359"/>
        <v>0</v>
      </c>
      <c r="BE149" s="4357">
        <f t="shared" si="359"/>
        <v>0</v>
      </c>
      <c r="BF149" s="4357">
        <f t="shared" si="359"/>
        <v>0</v>
      </c>
      <c r="BG149" s="4357">
        <f t="shared" si="359"/>
        <v>0</v>
      </c>
      <c r="BH149" s="4357">
        <f t="shared" si="359"/>
        <v>0</v>
      </c>
      <c r="BI149" s="4357">
        <f t="shared" si="359"/>
        <v>0</v>
      </c>
      <c r="BJ149" s="4357">
        <f t="shared" si="359"/>
        <v>0</v>
      </c>
      <c r="BK149" s="4357">
        <f t="shared" si="359"/>
        <v>0</v>
      </c>
      <c r="BL149" s="4357">
        <f t="shared" si="359"/>
        <v>0</v>
      </c>
      <c r="BM149" s="4357">
        <f t="shared" si="359"/>
        <v>0</v>
      </c>
      <c r="BN149" s="4357">
        <f t="shared" si="359"/>
        <v>0</v>
      </c>
      <c r="BO149" s="4357">
        <f t="shared" si="359"/>
        <v>0</v>
      </c>
      <c r="BP149" s="4357">
        <f t="shared" si="359"/>
        <v>0</v>
      </c>
      <c r="BQ149" s="4357">
        <f t="shared" ref="BQ149:CH149" si="360">IFERROR(IF((time+time_cap)&lt;BQ$2, 0,IF(AND(time+1&gt;=BR$2, $AC149&lt;BR$2), IF($AG149= "I", $AH149/($AD149-$AC149+1), $AH149/(($AD149*($AD149+1)/2)-(($AC149-1)*($AC149-1+1)/2))*BQ$2), 0)+IF(IF(time+1&gt;=BR$2, $AI149/time_cap/(time+1)*BQ$2, 0) = 0, $AI149/(time_cap),0)),0)</f>
        <v>0</v>
      </c>
      <c r="BR149" s="4357">
        <f t="shared" si="360"/>
        <v>0</v>
      </c>
      <c r="BS149" s="4357">
        <f t="shared" si="360"/>
        <v>0</v>
      </c>
      <c r="BT149" s="4357">
        <f t="shared" si="360"/>
        <v>0</v>
      </c>
      <c r="BU149" s="4357">
        <f t="shared" si="360"/>
        <v>0</v>
      </c>
      <c r="BV149" s="4357">
        <f t="shared" si="360"/>
        <v>0</v>
      </c>
      <c r="BW149" s="4357">
        <f t="shared" si="360"/>
        <v>0</v>
      </c>
      <c r="BX149" s="4357">
        <f t="shared" si="360"/>
        <v>0</v>
      </c>
      <c r="BY149" s="4357">
        <f t="shared" si="360"/>
        <v>0</v>
      </c>
      <c r="BZ149" s="4357">
        <f t="shared" si="360"/>
        <v>0</v>
      </c>
      <c r="CA149" s="4357">
        <f t="shared" si="360"/>
        <v>0</v>
      </c>
      <c r="CB149" s="4357">
        <f t="shared" si="360"/>
        <v>0</v>
      </c>
      <c r="CC149" s="4357">
        <f t="shared" si="360"/>
        <v>0</v>
      </c>
      <c r="CD149" s="4357">
        <f t="shared" si="360"/>
        <v>0</v>
      </c>
      <c r="CE149" s="4357">
        <f t="shared" si="360"/>
        <v>0</v>
      </c>
      <c r="CF149" s="4357">
        <f t="shared" si="360"/>
        <v>0</v>
      </c>
      <c r="CG149" s="4357">
        <f t="shared" si="360"/>
        <v>0</v>
      </c>
      <c r="CH149" s="4357">
        <f t="shared" si="360"/>
        <v>0</v>
      </c>
      <c r="CI149" s="4357"/>
      <c r="CJ149" s="4357"/>
      <c r="CK149" s="4357"/>
      <c r="CL149" s="4357"/>
      <c r="CM149" s="4357"/>
      <c r="CN149" s="4357"/>
      <c r="CO149" s="4357"/>
      <c r="CP149" s="4357"/>
      <c r="CQ149" s="4357"/>
      <c r="CR149" s="4357"/>
      <c r="CS149" s="4357"/>
      <c r="CT149" s="4357"/>
      <c r="CU149" s="4357"/>
      <c r="CV149" s="4357"/>
      <c r="CW149" s="4357"/>
      <c r="CX149" s="4357"/>
      <c r="CY149" s="4357"/>
      <c r="CZ149" s="4357"/>
      <c r="DA149" s="4357"/>
      <c r="DB149" s="4357"/>
      <c r="DC149" s="4357"/>
      <c r="DD149" s="4357"/>
      <c r="DE149" s="4357"/>
      <c r="DF149" s="4357"/>
      <c r="DG149" s="4357"/>
      <c r="DH149" s="4357"/>
      <c r="DI149" s="4357"/>
      <c r="DJ149" s="4357"/>
      <c r="DK149" s="4357"/>
      <c r="DL149" s="4357"/>
      <c r="DM149" s="4357"/>
      <c r="DN149" s="4357"/>
      <c r="DO149" s="4357"/>
      <c r="DP149" s="4357"/>
      <c r="DQ149" s="4357"/>
      <c r="DR149" s="4357"/>
      <c r="DS149" s="4357"/>
      <c r="DT149" s="4357"/>
      <c r="DU149" s="4357"/>
      <c r="DV149" s="4357"/>
      <c r="DW149" s="4357"/>
      <c r="DX149" s="4357"/>
      <c r="DY149" s="4357"/>
      <c r="DZ149" s="4357"/>
      <c r="EA149" s="4357"/>
      <c r="EB149" s="4357"/>
      <c r="EC149" s="4357"/>
      <c r="ED149" s="4357"/>
      <c r="EE149" s="4357"/>
      <c r="EF149" s="4357"/>
    </row>
    <row r="150" spans="1:136" ht="16" x14ac:dyDescent="0.2">
      <c r="A150" t="s">
        <v>3004</v>
      </c>
      <c r="B150" t="s">
        <v>3233</v>
      </c>
      <c r="D150" t="str">
        <f>'6.Inland wetlands'!C122</f>
        <v>Please select</v>
      </c>
      <c r="E150">
        <f>'6.Inland wetlands'!AG122+'6.Inland wetlands'!AG133</f>
        <v>0</v>
      </c>
      <c r="F150" s="388">
        <f>'Inl. wetlands'!R343-'Inl. wetlands'!Q343+'Inl. wetlands'!T343-'Inl. wetlands'!S343</f>
        <v>0</v>
      </c>
      <c r="H150" s="388">
        <f>'Inl. wetlands'!AE361-'Inl. wetlands'!AD361</f>
        <v>0</v>
      </c>
      <c r="I150" s="388">
        <f>'Inl. wetlands'!AC377-'Inl. wetlands'!AB377+'Inl. wetlands'!AC392-'Inl. wetlands'!AB392</f>
        <v>0</v>
      </c>
      <c r="M150" s="388">
        <f>'Inl. wetlands'!BH343-'Inl. wetlands'!BG343</f>
        <v>0</v>
      </c>
      <c r="R150" s="388">
        <f>'Inl. wetlands'!AG377-'Inl. wetlands'!AF377+'Inl. wetlands'!AG392-'Inl. wetlands'!AF392</f>
        <v>0</v>
      </c>
      <c r="U150" s="388">
        <f>'Inl. wetlands'!BF343-'Inl. wetlands'!BE343</f>
        <v>0</v>
      </c>
      <c r="Y150" s="388">
        <f>'Inl. wetlands'!AG361-'Inl. wetlands'!AF361</f>
        <v>0</v>
      </c>
      <c r="Z150" s="388">
        <f>'Inl. wetlands'!AE377-'Inl. wetlands'!AD377+'Inl. wetlands'!AE392-'Inl. wetlands'!AD392</f>
        <v>0</v>
      </c>
      <c r="AB150" t="str">
        <f t="shared" si="340"/>
        <v>ok</v>
      </c>
      <c r="AC150">
        <f>IF('6.Inland wetlands'!BV122&lt;&gt;0,'6.Inland wetlands'!BV122,'6.Inland wetlands'!BU122)</f>
        <v>1</v>
      </c>
      <c r="AD150">
        <f t="shared" si="190"/>
        <v>5</v>
      </c>
      <c r="AE150" s="4357" t="str">
        <f>'6.Inland wetlands'!O122</f>
        <v>D</v>
      </c>
      <c r="AF150" s="4357" t="str">
        <f>'6.Inland wetlands'!Q122</f>
        <v>D</v>
      </c>
      <c r="AG150" s="4357" t="str">
        <f t="shared" si="193"/>
        <v>D</v>
      </c>
      <c r="AH150" s="4357">
        <f>((E150/(time_cap+((AD150-AC150+1)*VLOOKUP(AG150,list!$I$48:$K$50,3, FALSE))))*(AD150-AC150+1)*VLOOKUP(AG150,list!$I$48:$K$50,3, FALSE))</f>
        <v>0</v>
      </c>
      <c r="AI150" s="4357">
        <f>((E150/(time_cap+((AD150-AC150+1)*VLOOKUP(AG150,list!$I$48:$K$50,3, FALSE))))*time_cap)</f>
        <v>0</v>
      </c>
      <c r="AK150" s="4357">
        <f t="shared" ref="AK150:BP150" si="361">IFERROR(IF((time+time_cap)&lt;AK$2, 0,IF(AND(time+1&gt;=AL$2, $AC150&lt;AL$2), IF($AG150= "I", $AH150/($AD150-$AC150+1), $AH150/(($AD150*($AD150+1)/2)-(($AC150-1)*($AC150-1+1)/2))*AK$2), 0)+IF(IF(time+1&gt;=AL$2, $AI150/time_cap/(time+1)*AK$2, 0) = 0, $AI150/(time_cap),0)),0)</f>
        <v>0</v>
      </c>
      <c r="AL150" s="4357">
        <f t="shared" si="361"/>
        <v>0</v>
      </c>
      <c r="AM150" s="4357">
        <f t="shared" si="361"/>
        <v>0</v>
      </c>
      <c r="AN150" s="4357">
        <f t="shared" si="361"/>
        <v>0</v>
      </c>
      <c r="AO150" s="4357">
        <f t="shared" si="361"/>
        <v>0</v>
      </c>
      <c r="AP150" s="4357">
        <f t="shared" si="361"/>
        <v>0</v>
      </c>
      <c r="AQ150" s="4357">
        <f t="shared" si="361"/>
        <v>0</v>
      </c>
      <c r="AR150" s="4357">
        <f t="shared" si="361"/>
        <v>0</v>
      </c>
      <c r="AS150" s="4357">
        <f t="shared" si="361"/>
        <v>0</v>
      </c>
      <c r="AT150" s="4357">
        <f t="shared" si="361"/>
        <v>0</v>
      </c>
      <c r="AU150" s="4357">
        <f t="shared" si="361"/>
        <v>0</v>
      </c>
      <c r="AV150" s="4357">
        <f t="shared" si="361"/>
        <v>0</v>
      </c>
      <c r="AW150" s="4357">
        <f t="shared" si="361"/>
        <v>0</v>
      </c>
      <c r="AX150" s="4357">
        <f t="shared" si="361"/>
        <v>0</v>
      </c>
      <c r="AY150" s="4357">
        <f t="shared" si="361"/>
        <v>0</v>
      </c>
      <c r="AZ150" s="4357">
        <f t="shared" si="361"/>
        <v>0</v>
      </c>
      <c r="BA150" s="4357">
        <f t="shared" si="361"/>
        <v>0</v>
      </c>
      <c r="BB150" s="4357">
        <f t="shared" si="361"/>
        <v>0</v>
      </c>
      <c r="BC150" s="4357">
        <f t="shared" si="361"/>
        <v>0</v>
      </c>
      <c r="BD150" s="4357">
        <f t="shared" si="361"/>
        <v>0</v>
      </c>
      <c r="BE150" s="4357">
        <f t="shared" si="361"/>
        <v>0</v>
      </c>
      <c r="BF150" s="4357">
        <f t="shared" si="361"/>
        <v>0</v>
      </c>
      <c r="BG150" s="4357">
        <f t="shared" si="361"/>
        <v>0</v>
      </c>
      <c r="BH150" s="4357">
        <f t="shared" si="361"/>
        <v>0</v>
      </c>
      <c r="BI150" s="4357">
        <f t="shared" si="361"/>
        <v>0</v>
      </c>
      <c r="BJ150" s="4357">
        <f t="shared" si="361"/>
        <v>0</v>
      </c>
      <c r="BK150" s="4357">
        <f t="shared" si="361"/>
        <v>0</v>
      </c>
      <c r="BL150" s="4357">
        <f t="shared" si="361"/>
        <v>0</v>
      </c>
      <c r="BM150" s="4357">
        <f t="shared" si="361"/>
        <v>0</v>
      </c>
      <c r="BN150" s="4357">
        <f t="shared" si="361"/>
        <v>0</v>
      </c>
      <c r="BO150" s="4357">
        <f t="shared" si="361"/>
        <v>0</v>
      </c>
      <c r="BP150" s="4357">
        <f t="shared" si="361"/>
        <v>0</v>
      </c>
      <c r="BQ150" s="4357">
        <f t="shared" ref="BQ150:CH150" si="362">IFERROR(IF((time+time_cap)&lt;BQ$2, 0,IF(AND(time+1&gt;=BR$2, $AC150&lt;BR$2), IF($AG150= "I", $AH150/($AD150-$AC150+1), $AH150/(($AD150*($AD150+1)/2)-(($AC150-1)*($AC150-1+1)/2))*BQ$2), 0)+IF(IF(time+1&gt;=BR$2, $AI150/time_cap/(time+1)*BQ$2, 0) = 0, $AI150/(time_cap),0)),0)</f>
        <v>0</v>
      </c>
      <c r="BR150" s="4357">
        <f t="shared" si="362"/>
        <v>0</v>
      </c>
      <c r="BS150" s="4357">
        <f t="shared" si="362"/>
        <v>0</v>
      </c>
      <c r="BT150" s="4357">
        <f t="shared" si="362"/>
        <v>0</v>
      </c>
      <c r="BU150" s="4357">
        <f t="shared" si="362"/>
        <v>0</v>
      </c>
      <c r="BV150" s="4357">
        <f t="shared" si="362"/>
        <v>0</v>
      </c>
      <c r="BW150" s="4357">
        <f t="shared" si="362"/>
        <v>0</v>
      </c>
      <c r="BX150" s="4357">
        <f t="shared" si="362"/>
        <v>0</v>
      </c>
      <c r="BY150" s="4357">
        <f t="shared" si="362"/>
        <v>0</v>
      </c>
      <c r="BZ150" s="4357">
        <f t="shared" si="362"/>
        <v>0</v>
      </c>
      <c r="CA150" s="4357">
        <f t="shared" si="362"/>
        <v>0</v>
      </c>
      <c r="CB150" s="4357">
        <f t="shared" si="362"/>
        <v>0</v>
      </c>
      <c r="CC150" s="4357">
        <f t="shared" si="362"/>
        <v>0</v>
      </c>
      <c r="CD150" s="4357">
        <f t="shared" si="362"/>
        <v>0</v>
      </c>
      <c r="CE150" s="4357">
        <f t="shared" si="362"/>
        <v>0</v>
      </c>
      <c r="CF150" s="4357">
        <f t="shared" si="362"/>
        <v>0</v>
      </c>
      <c r="CG150" s="4357">
        <f t="shared" si="362"/>
        <v>0</v>
      </c>
      <c r="CH150" s="4357">
        <f t="shared" si="362"/>
        <v>0</v>
      </c>
      <c r="CI150" s="4357"/>
      <c r="CJ150" s="4357"/>
      <c r="CK150" s="4357"/>
      <c r="CL150" s="4357"/>
      <c r="CM150" s="4357"/>
      <c r="CN150" s="4357"/>
      <c r="CO150" s="4357"/>
      <c r="CP150" s="4357"/>
      <c r="CQ150" s="4357"/>
      <c r="CR150" s="4357"/>
      <c r="CS150" s="4357"/>
      <c r="CT150" s="4357"/>
      <c r="CU150" s="4357"/>
      <c r="CV150" s="4357"/>
      <c r="CW150" s="4357"/>
      <c r="CX150" s="4357"/>
      <c r="CY150" s="4357"/>
      <c r="CZ150" s="4357"/>
      <c r="DA150" s="4357"/>
      <c r="DB150" s="4357"/>
      <c r="DC150" s="4357"/>
      <c r="DD150" s="4357"/>
      <c r="DE150" s="4357"/>
      <c r="DF150" s="4357"/>
      <c r="DG150" s="4357"/>
      <c r="DH150" s="4357"/>
      <c r="DI150" s="4357"/>
      <c r="DJ150" s="4357"/>
      <c r="DK150" s="4357"/>
      <c r="DL150" s="4357"/>
      <c r="DM150" s="4357"/>
      <c r="DN150" s="4357"/>
      <c r="DO150" s="4357"/>
      <c r="DP150" s="4357"/>
      <c r="DQ150" s="4357"/>
      <c r="DR150" s="4357"/>
      <c r="DS150" s="4357"/>
      <c r="DT150" s="4357"/>
      <c r="DU150" s="4357"/>
      <c r="DV150" s="4357"/>
      <c r="DW150" s="4357"/>
      <c r="DX150" s="4357"/>
      <c r="DY150" s="4357"/>
      <c r="DZ150" s="4357"/>
      <c r="EA150" s="4357"/>
      <c r="EB150" s="4357"/>
      <c r="EC150" s="4357"/>
      <c r="ED150" s="4357"/>
      <c r="EE150" s="4357"/>
      <c r="EF150" s="4357"/>
    </row>
    <row r="151" spans="1:136" ht="16" x14ac:dyDescent="0.2">
      <c r="A151" t="s">
        <v>3004</v>
      </c>
      <c r="B151" t="s">
        <v>3233</v>
      </c>
      <c r="D151" t="str">
        <f>'6.Inland wetlands'!C123</f>
        <v>Please select</v>
      </c>
      <c r="E151">
        <f>'6.Inland wetlands'!AG123+'6.Inland wetlands'!AG134</f>
        <v>0</v>
      </c>
      <c r="F151" s="388">
        <f>'Inl. wetlands'!R344-'Inl. wetlands'!Q344+'Inl. wetlands'!T344-'Inl. wetlands'!S344</f>
        <v>0</v>
      </c>
      <c r="H151" s="388">
        <f>'Inl. wetlands'!AE362-'Inl. wetlands'!AD362</f>
        <v>0</v>
      </c>
      <c r="I151" s="388">
        <f>'Inl. wetlands'!AC378-'Inl. wetlands'!AB378+'Inl. wetlands'!AC393-'Inl. wetlands'!AB393</f>
        <v>0</v>
      </c>
      <c r="M151" s="388">
        <f>'Inl. wetlands'!BH344-'Inl. wetlands'!BG344</f>
        <v>0</v>
      </c>
      <c r="R151" s="388">
        <f>'Inl. wetlands'!AG378-'Inl. wetlands'!AF378+'Inl. wetlands'!AG393-'Inl. wetlands'!AF393</f>
        <v>0</v>
      </c>
      <c r="U151" s="388">
        <f>'Inl. wetlands'!BF344-'Inl. wetlands'!BE344</f>
        <v>0</v>
      </c>
      <c r="Y151" s="388">
        <f>'Inl. wetlands'!AG362-'Inl. wetlands'!AF362</f>
        <v>0</v>
      </c>
      <c r="Z151" s="388">
        <f>'Inl. wetlands'!AE378-'Inl. wetlands'!AD378+'Inl. wetlands'!AE393-'Inl. wetlands'!AD393</f>
        <v>0</v>
      </c>
      <c r="AB151" t="str">
        <f t="shared" si="340"/>
        <v>ok</v>
      </c>
      <c r="AC151">
        <f>IF('6.Inland wetlands'!BV123&lt;&gt;0,'6.Inland wetlands'!BV123,'6.Inland wetlands'!BU123)</f>
        <v>1</v>
      </c>
      <c r="AD151">
        <f t="shared" si="190"/>
        <v>5</v>
      </c>
      <c r="AE151" s="4357" t="str">
        <f>'6.Inland wetlands'!O123</f>
        <v>D</v>
      </c>
      <c r="AF151" s="4357" t="str">
        <f>'6.Inland wetlands'!Q123</f>
        <v>D</v>
      </c>
      <c r="AG151" s="4357" t="str">
        <f t="shared" si="193"/>
        <v>D</v>
      </c>
      <c r="AH151" s="4357">
        <f>((E151/(time_cap+((AD151-AC151+1)*VLOOKUP(AG151,list!$I$48:$K$50,3, FALSE))))*(AD151-AC151+1)*VLOOKUP(AG151,list!$I$48:$K$50,3, FALSE))</f>
        <v>0</v>
      </c>
      <c r="AI151" s="4357">
        <f>((E151/(time_cap+((AD151-AC151+1)*VLOOKUP(AG151,list!$I$48:$K$50,3, FALSE))))*time_cap)</f>
        <v>0</v>
      </c>
      <c r="AK151" s="4357">
        <f t="shared" ref="AK151:BP151" si="363">IFERROR(IF((time+time_cap)&lt;AK$2, 0,IF(AND(time+1&gt;=AL$2, $AC151&lt;AL$2), IF($AG151= "I", $AH151/($AD151-$AC151+1), $AH151/(($AD151*($AD151+1)/2)-(($AC151-1)*($AC151-1+1)/2))*AK$2), 0)+IF(IF(time+1&gt;=AL$2, $AI151/time_cap/(time+1)*AK$2, 0) = 0, $AI151/(time_cap),0)),0)</f>
        <v>0</v>
      </c>
      <c r="AL151" s="4357">
        <f t="shared" si="363"/>
        <v>0</v>
      </c>
      <c r="AM151" s="4357">
        <f t="shared" si="363"/>
        <v>0</v>
      </c>
      <c r="AN151" s="4357">
        <f t="shared" si="363"/>
        <v>0</v>
      </c>
      <c r="AO151" s="4357">
        <f t="shared" si="363"/>
        <v>0</v>
      </c>
      <c r="AP151" s="4357">
        <f t="shared" si="363"/>
        <v>0</v>
      </c>
      <c r="AQ151" s="4357">
        <f t="shared" si="363"/>
        <v>0</v>
      </c>
      <c r="AR151" s="4357">
        <f t="shared" si="363"/>
        <v>0</v>
      </c>
      <c r="AS151" s="4357">
        <f t="shared" si="363"/>
        <v>0</v>
      </c>
      <c r="AT151" s="4357">
        <f t="shared" si="363"/>
        <v>0</v>
      </c>
      <c r="AU151" s="4357">
        <f t="shared" si="363"/>
        <v>0</v>
      </c>
      <c r="AV151" s="4357">
        <f t="shared" si="363"/>
        <v>0</v>
      </c>
      <c r="AW151" s="4357">
        <f t="shared" si="363"/>
        <v>0</v>
      </c>
      <c r="AX151" s="4357">
        <f t="shared" si="363"/>
        <v>0</v>
      </c>
      <c r="AY151" s="4357">
        <f t="shared" si="363"/>
        <v>0</v>
      </c>
      <c r="AZ151" s="4357">
        <f t="shared" si="363"/>
        <v>0</v>
      </c>
      <c r="BA151" s="4357">
        <f t="shared" si="363"/>
        <v>0</v>
      </c>
      <c r="BB151" s="4357">
        <f t="shared" si="363"/>
        <v>0</v>
      </c>
      <c r="BC151" s="4357">
        <f t="shared" si="363"/>
        <v>0</v>
      </c>
      <c r="BD151" s="4357">
        <f t="shared" si="363"/>
        <v>0</v>
      </c>
      <c r="BE151" s="4357">
        <f t="shared" si="363"/>
        <v>0</v>
      </c>
      <c r="BF151" s="4357">
        <f t="shared" si="363"/>
        <v>0</v>
      </c>
      <c r="BG151" s="4357">
        <f t="shared" si="363"/>
        <v>0</v>
      </c>
      <c r="BH151" s="4357">
        <f t="shared" si="363"/>
        <v>0</v>
      </c>
      <c r="BI151" s="4357">
        <f t="shared" si="363"/>
        <v>0</v>
      </c>
      <c r="BJ151" s="4357">
        <f t="shared" si="363"/>
        <v>0</v>
      </c>
      <c r="BK151" s="4357">
        <f t="shared" si="363"/>
        <v>0</v>
      </c>
      <c r="BL151" s="4357">
        <f t="shared" si="363"/>
        <v>0</v>
      </c>
      <c r="BM151" s="4357">
        <f t="shared" si="363"/>
        <v>0</v>
      </c>
      <c r="BN151" s="4357">
        <f t="shared" si="363"/>
        <v>0</v>
      </c>
      <c r="BO151" s="4357">
        <f t="shared" si="363"/>
        <v>0</v>
      </c>
      <c r="BP151" s="4357">
        <f t="shared" si="363"/>
        <v>0</v>
      </c>
      <c r="BQ151" s="4357">
        <f t="shared" ref="BQ151:CH151" si="364">IFERROR(IF((time+time_cap)&lt;BQ$2, 0,IF(AND(time+1&gt;=BR$2, $AC151&lt;BR$2), IF($AG151= "I", $AH151/($AD151-$AC151+1), $AH151/(($AD151*($AD151+1)/2)-(($AC151-1)*($AC151-1+1)/2))*BQ$2), 0)+IF(IF(time+1&gt;=BR$2, $AI151/time_cap/(time+1)*BQ$2, 0) = 0, $AI151/(time_cap),0)),0)</f>
        <v>0</v>
      </c>
      <c r="BR151" s="4357">
        <f t="shared" si="364"/>
        <v>0</v>
      </c>
      <c r="BS151" s="4357">
        <f t="shared" si="364"/>
        <v>0</v>
      </c>
      <c r="BT151" s="4357">
        <f t="shared" si="364"/>
        <v>0</v>
      </c>
      <c r="BU151" s="4357">
        <f t="shared" si="364"/>
        <v>0</v>
      </c>
      <c r="BV151" s="4357">
        <f t="shared" si="364"/>
        <v>0</v>
      </c>
      <c r="BW151" s="4357">
        <f t="shared" si="364"/>
        <v>0</v>
      </c>
      <c r="BX151" s="4357">
        <f t="shared" si="364"/>
        <v>0</v>
      </c>
      <c r="BY151" s="4357">
        <f t="shared" si="364"/>
        <v>0</v>
      </c>
      <c r="BZ151" s="4357">
        <f t="shared" si="364"/>
        <v>0</v>
      </c>
      <c r="CA151" s="4357">
        <f t="shared" si="364"/>
        <v>0</v>
      </c>
      <c r="CB151" s="4357">
        <f t="shared" si="364"/>
        <v>0</v>
      </c>
      <c r="CC151" s="4357">
        <f t="shared" si="364"/>
        <v>0</v>
      </c>
      <c r="CD151" s="4357">
        <f t="shared" si="364"/>
        <v>0</v>
      </c>
      <c r="CE151" s="4357">
        <f t="shared" si="364"/>
        <v>0</v>
      </c>
      <c r="CF151" s="4357">
        <f t="shared" si="364"/>
        <v>0</v>
      </c>
      <c r="CG151" s="4357">
        <f t="shared" si="364"/>
        <v>0</v>
      </c>
      <c r="CH151" s="4357">
        <f t="shared" si="364"/>
        <v>0</v>
      </c>
      <c r="CI151" s="4357"/>
      <c r="CJ151" s="4357"/>
      <c r="CK151" s="4357"/>
      <c r="CL151" s="4357"/>
      <c r="CM151" s="4357"/>
      <c r="CN151" s="4357"/>
      <c r="CO151" s="4357"/>
      <c r="CP151" s="4357"/>
      <c r="CQ151" s="4357"/>
      <c r="CR151" s="4357"/>
      <c r="CS151" s="4357"/>
      <c r="CT151" s="4357"/>
      <c r="CU151" s="4357"/>
      <c r="CV151" s="4357"/>
      <c r="CW151" s="4357"/>
      <c r="CX151" s="4357"/>
      <c r="CY151" s="4357"/>
      <c r="CZ151" s="4357"/>
      <c r="DA151" s="4357"/>
      <c r="DB151" s="4357"/>
      <c r="DC151" s="4357"/>
      <c r="DD151" s="4357"/>
      <c r="DE151" s="4357"/>
      <c r="DF151" s="4357"/>
      <c r="DG151" s="4357"/>
      <c r="DH151" s="4357"/>
      <c r="DI151" s="4357"/>
      <c r="DJ151" s="4357"/>
      <c r="DK151" s="4357"/>
      <c r="DL151" s="4357"/>
      <c r="DM151" s="4357"/>
      <c r="DN151" s="4357"/>
      <c r="DO151" s="4357"/>
      <c r="DP151" s="4357"/>
      <c r="DQ151" s="4357"/>
      <c r="DR151" s="4357"/>
      <c r="DS151" s="4357"/>
      <c r="DT151" s="4357"/>
      <c r="DU151" s="4357"/>
      <c r="DV151" s="4357"/>
      <c r="DW151" s="4357"/>
      <c r="DX151" s="4357"/>
      <c r="DY151" s="4357"/>
      <c r="DZ151" s="4357"/>
      <c r="EA151" s="4357"/>
      <c r="EB151" s="4357"/>
      <c r="EC151" s="4357"/>
      <c r="ED151" s="4357"/>
      <c r="EE151" s="4357"/>
      <c r="EF151" s="4357"/>
    </row>
    <row r="152" spans="1:136" ht="16" x14ac:dyDescent="0.2">
      <c r="A152" t="s">
        <v>3004</v>
      </c>
      <c r="B152" t="s">
        <v>3234</v>
      </c>
      <c r="C152">
        <f>'6.Inland wetlands'!C150</f>
        <v>0</v>
      </c>
      <c r="D152" t="str">
        <f>'6.Inland wetlands'!I150</f>
        <v>Please select</v>
      </c>
      <c r="E152">
        <f>'6.Inland wetlands'!AG150</f>
        <v>0</v>
      </c>
      <c r="F152" s="388">
        <v>0</v>
      </c>
      <c r="H152" s="388">
        <f>'Inl. wetlands'!AE425-'Inl. wetlands'!AD425</f>
        <v>0</v>
      </c>
      <c r="I152" s="388">
        <f>'Inl. wetlands'!AC439-'Inl. wetlands'!AB439+'Inl. wetlands'!AC453-'Inl. wetlands'!AB453</f>
        <v>0</v>
      </c>
      <c r="M152" s="388">
        <f>'Inl. wetlands'!V413-'Inl. wetlands'!T413</f>
        <v>0</v>
      </c>
      <c r="R152" s="388">
        <f>'Inl. wetlands'!AG439-'Inl. wetlands'!AF439+'Inl. wetlands'!AG453-'Inl. wetlands'!AF453</f>
        <v>0</v>
      </c>
      <c r="U152" s="388">
        <f>'Inl. wetlands'!U413-'Inl. wetlands'!S413</f>
        <v>0</v>
      </c>
      <c r="Y152" s="388">
        <f>'Inl. wetlands'!AG425-'Inl. wetlands'!AF425</f>
        <v>0</v>
      </c>
      <c r="Z152" s="388">
        <f>'Inl. wetlands'!AE439-'Inl. wetlands'!AD439+'Inl. wetlands'!AE453-'Inl. wetlands'!AD453</f>
        <v>0</v>
      </c>
      <c r="AB152" t="str">
        <f t="shared" si="340"/>
        <v>ok</v>
      </c>
      <c r="AC152">
        <f>IF('6.Inland wetlands'!CA150&lt;&gt;0,'6.Inland wetlands'!CA150,'6.Inland wetlands'!BZ150)</f>
        <v>1</v>
      </c>
      <c r="AD152">
        <f t="shared" si="190"/>
        <v>5</v>
      </c>
      <c r="AE152" s="4357" t="str">
        <f>'6.Inland wetlands'!O150</f>
        <v>D</v>
      </c>
      <c r="AF152" s="4357" t="str">
        <f>'6.Inland wetlands'!Q150</f>
        <v>D</v>
      </c>
      <c r="AG152" s="4357" t="str">
        <f t="shared" si="193"/>
        <v>D</v>
      </c>
      <c r="AH152" s="4357">
        <f>((E152/(time_cap+((AD152-AC152+1)*VLOOKUP(AG152,list!$I$48:$K$50,3, FALSE))))*(AD152-AC152+1)*VLOOKUP(AG152,list!$I$48:$K$50,3, FALSE))</f>
        <v>0</v>
      </c>
      <c r="AI152" s="4357">
        <f>((E152/(time_cap+((AD152-AC152+1)*VLOOKUP(AG152,list!$I$48:$K$50,3, FALSE))))*time_cap)</f>
        <v>0</v>
      </c>
      <c r="AK152" s="4357">
        <f t="shared" ref="AK152:BP152" si="365">IFERROR(IF((time+time_cap)&lt;AK$2, 0,IF(AND(time+1&gt;=AL$2, $AC152&lt;AL$2), IF($AG152= "I", $AH152/($AD152-$AC152+1), $AH152/(($AD152*($AD152+1)/2)-(($AC152-1)*($AC152-1+1)/2))*AK$2), 0)+IF(IF(time+1&gt;=AL$2, $AI152/time_cap/(time+1)*AK$2, 0) = 0, $AI152/(time_cap),0)),0)</f>
        <v>0</v>
      </c>
      <c r="AL152" s="4357">
        <f t="shared" si="365"/>
        <v>0</v>
      </c>
      <c r="AM152" s="4357">
        <f t="shared" si="365"/>
        <v>0</v>
      </c>
      <c r="AN152" s="4357">
        <f t="shared" si="365"/>
        <v>0</v>
      </c>
      <c r="AO152" s="4357">
        <f t="shared" si="365"/>
        <v>0</v>
      </c>
      <c r="AP152" s="4357">
        <f t="shared" si="365"/>
        <v>0</v>
      </c>
      <c r="AQ152" s="4357">
        <f t="shared" si="365"/>
        <v>0</v>
      </c>
      <c r="AR152" s="4357">
        <f t="shared" si="365"/>
        <v>0</v>
      </c>
      <c r="AS152" s="4357">
        <f t="shared" si="365"/>
        <v>0</v>
      </c>
      <c r="AT152" s="4357">
        <f t="shared" si="365"/>
        <v>0</v>
      </c>
      <c r="AU152" s="4357">
        <f t="shared" si="365"/>
        <v>0</v>
      </c>
      <c r="AV152" s="4357">
        <f t="shared" si="365"/>
        <v>0</v>
      </c>
      <c r="AW152" s="4357">
        <f t="shared" si="365"/>
        <v>0</v>
      </c>
      <c r="AX152" s="4357">
        <f t="shared" si="365"/>
        <v>0</v>
      </c>
      <c r="AY152" s="4357">
        <f t="shared" si="365"/>
        <v>0</v>
      </c>
      <c r="AZ152" s="4357">
        <f t="shared" si="365"/>
        <v>0</v>
      </c>
      <c r="BA152" s="4357">
        <f t="shared" si="365"/>
        <v>0</v>
      </c>
      <c r="BB152" s="4357">
        <f t="shared" si="365"/>
        <v>0</v>
      </c>
      <c r="BC152" s="4357">
        <f t="shared" si="365"/>
        <v>0</v>
      </c>
      <c r="BD152" s="4357">
        <f t="shared" si="365"/>
        <v>0</v>
      </c>
      <c r="BE152" s="4357">
        <f t="shared" si="365"/>
        <v>0</v>
      </c>
      <c r="BF152" s="4357">
        <f t="shared" si="365"/>
        <v>0</v>
      </c>
      <c r="BG152" s="4357">
        <f t="shared" si="365"/>
        <v>0</v>
      </c>
      <c r="BH152" s="4357">
        <f t="shared" si="365"/>
        <v>0</v>
      </c>
      <c r="BI152" s="4357">
        <f t="shared" si="365"/>
        <v>0</v>
      </c>
      <c r="BJ152" s="4357">
        <f t="shared" si="365"/>
        <v>0</v>
      </c>
      <c r="BK152" s="4357">
        <f t="shared" si="365"/>
        <v>0</v>
      </c>
      <c r="BL152" s="4357">
        <f t="shared" si="365"/>
        <v>0</v>
      </c>
      <c r="BM152" s="4357">
        <f t="shared" si="365"/>
        <v>0</v>
      </c>
      <c r="BN152" s="4357">
        <f t="shared" si="365"/>
        <v>0</v>
      </c>
      <c r="BO152" s="4357">
        <f t="shared" si="365"/>
        <v>0</v>
      </c>
      <c r="BP152" s="4357">
        <f t="shared" si="365"/>
        <v>0</v>
      </c>
      <c r="BQ152" s="4357">
        <f t="shared" ref="BQ152:CH152" si="366">IFERROR(IF((time+time_cap)&lt;BQ$2, 0,IF(AND(time+1&gt;=BR$2, $AC152&lt;BR$2), IF($AG152= "I", $AH152/($AD152-$AC152+1), $AH152/(($AD152*($AD152+1)/2)-(($AC152-1)*($AC152-1+1)/2))*BQ$2), 0)+IF(IF(time+1&gt;=BR$2, $AI152/time_cap/(time+1)*BQ$2, 0) = 0, $AI152/(time_cap),0)),0)</f>
        <v>0</v>
      </c>
      <c r="BR152" s="4357">
        <f t="shared" si="366"/>
        <v>0</v>
      </c>
      <c r="BS152" s="4357">
        <f t="shared" si="366"/>
        <v>0</v>
      </c>
      <c r="BT152" s="4357">
        <f t="shared" si="366"/>
        <v>0</v>
      </c>
      <c r="BU152" s="4357">
        <f t="shared" si="366"/>
        <v>0</v>
      </c>
      <c r="BV152" s="4357">
        <f t="shared" si="366"/>
        <v>0</v>
      </c>
      <c r="BW152" s="4357">
        <f t="shared" si="366"/>
        <v>0</v>
      </c>
      <c r="BX152" s="4357">
        <f t="shared" si="366"/>
        <v>0</v>
      </c>
      <c r="BY152" s="4357">
        <f t="shared" si="366"/>
        <v>0</v>
      </c>
      <c r="BZ152" s="4357">
        <f t="shared" si="366"/>
        <v>0</v>
      </c>
      <c r="CA152" s="4357">
        <f t="shared" si="366"/>
        <v>0</v>
      </c>
      <c r="CB152" s="4357">
        <f t="shared" si="366"/>
        <v>0</v>
      </c>
      <c r="CC152" s="4357">
        <f t="shared" si="366"/>
        <v>0</v>
      </c>
      <c r="CD152" s="4357">
        <f t="shared" si="366"/>
        <v>0</v>
      </c>
      <c r="CE152" s="4357">
        <f t="shared" si="366"/>
        <v>0</v>
      </c>
      <c r="CF152" s="4357">
        <f t="shared" si="366"/>
        <v>0</v>
      </c>
      <c r="CG152" s="4357">
        <f t="shared" si="366"/>
        <v>0</v>
      </c>
      <c r="CH152" s="4357">
        <f t="shared" si="366"/>
        <v>0</v>
      </c>
      <c r="CI152" s="4357"/>
      <c r="CJ152" s="4357"/>
      <c r="CK152" s="4357"/>
      <c r="CL152" s="4357"/>
      <c r="CM152" s="4357"/>
      <c r="CN152" s="4357"/>
      <c r="CO152" s="4357"/>
      <c r="CP152" s="4357"/>
      <c r="CQ152" s="4357"/>
      <c r="CR152" s="4357"/>
      <c r="CS152" s="4357"/>
      <c r="CT152" s="4357"/>
      <c r="CU152" s="4357"/>
      <c r="CV152" s="4357"/>
      <c r="CW152" s="4357"/>
      <c r="CX152" s="4357"/>
      <c r="CY152" s="4357"/>
      <c r="CZ152" s="4357"/>
      <c r="DA152" s="4357"/>
      <c r="DB152" s="4357"/>
      <c r="DC152" s="4357"/>
      <c r="DD152" s="4357"/>
      <c r="DE152" s="4357"/>
      <c r="DF152" s="4357"/>
      <c r="DG152" s="4357"/>
      <c r="DH152" s="4357"/>
      <c r="DI152" s="4357"/>
      <c r="DJ152" s="4357"/>
      <c r="DK152" s="4357"/>
      <c r="DL152" s="4357"/>
      <c r="DM152" s="4357"/>
      <c r="DN152" s="4357"/>
      <c r="DO152" s="4357"/>
      <c r="DP152" s="4357"/>
      <c r="DQ152" s="4357"/>
      <c r="DR152" s="4357"/>
      <c r="DS152" s="4357"/>
      <c r="DT152" s="4357"/>
      <c r="DU152" s="4357"/>
      <c r="DV152" s="4357"/>
      <c r="DW152" s="4357"/>
      <c r="DX152" s="4357"/>
      <c r="DY152" s="4357"/>
      <c r="DZ152" s="4357"/>
      <c r="EA152" s="4357"/>
      <c r="EB152" s="4357"/>
      <c r="EC152" s="4357"/>
      <c r="ED152" s="4357"/>
      <c r="EE152" s="4357"/>
      <c r="EF152" s="4357"/>
    </row>
    <row r="153" spans="1:136" ht="16" x14ac:dyDescent="0.2">
      <c r="A153" t="s">
        <v>3004</v>
      </c>
      <c r="B153" t="s">
        <v>3234</v>
      </c>
      <c r="C153">
        <f>'6.Inland wetlands'!C151</f>
        <v>0</v>
      </c>
      <c r="D153" t="str">
        <f>'6.Inland wetlands'!I151</f>
        <v>Please select</v>
      </c>
      <c r="E153">
        <f>'6.Inland wetlands'!AG151</f>
        <v>0</v>
      </c>
      <c r="F153" s="388">
        <v>0</v>
      </c>
      <c r="H153" s="388">
        <f>'Inl. wetlands'!AE426-'Inl. wetlands'!AD426</f>
        <v>0</v>
      </c>
      <c r="I153" s="388">
        <f>'Inl. wetlands'!AC440-'Inl. wetlands'!AB440+'Inl. wetlands'!AC454-'Inl. wetlands'!AB454</f>
        <v>0</v>
      </c>
      <c r="M153" s="388">
        <f>'Inl. wetlands'!V414-'Inl. wetlands'!T414</f>
        <v>0</v>
      </c>
      <c r="R153" s="388">
        <f>'Inl. wetlands'!AG440-'Inl. wetlands'!AF440+'Inl. wetlands'!AG454-'Inl. wetlands'!AF454</f>
        <v>0</v>
      </c>
      <c r="U153" s="388">
        <f>'Inl. wetlands'!U414-'Inl. wetlands'!S414</f>
        <v>0</v>
      </c>
      <c r="Y153" s="388">
        <f>'Inl. wetlands'!AG426-'Inl. wetlands'!AF426</f>
        <v>0</v>
      </c>
      <c r="Z153" s="388">
        <f>'Inl. wetlands'!AE440-'Inl. wetlands'!AD440+'Inl. wetlands'!AE454-'Inl. wetlands'!AD454</f>
        <v>0</v>
      </c>
      <c r="AB153" t="str">
        <f t="shared" si="340"/>
        <v>ok</v>
      </c>
      <c r="AC153">
        <f>IF('6.Inland wetlands'!CA151&lt;&gt;0,'6.Inland wetlands'!CA151,'6.Inland wetlands'!BZ151)</f>
        <v>1</v>
      </c>
      <c r="AD153">
        <f t="shared" si="190"/>
        <v>5</v>
      </c>
      <c r="AE153" s="4357" t="str">
        <f>'6.Inland wetlands'!O151</f>
        <v>D</v>
      </c>
      <c r="AF153" s="4357" t="str">
        <f>'6.Inland wetlands'!Q151</f>
        <v>D</v>
      </c>
      <c r="AG153" s="4357" t="str">
        <f t="shared" si="193"/>
        <v>D</v>
      </c>
      <c r="AH153" s="4357">
        <f>((E153/(time_cap+((AD153-AC153+1)*VLOOKUP(AG153,list!$I$48:$K$50,3, FALSE))))*(AD153-AC153+1)*VLOOKUP(AG153,list!$I$48:$K$50,3, FALSE))</f>
        <v>0</v>
      </c>
      <c r="AI153" s="4357">
        <f>((E153/(time_cap+((AD153-AC153+1)*VLOOKUP(AG153,list!$I$48:$K$50,3, FALSE))))*time_cap)</f>
        <v>0</v>
      </c>
      <c r="AK153" s="4357">
        <f t="shared" ref="AK153:BP153" si="367">IFERROR(IF((time+time_cap)&lt;AK$2, 0,IF(AND(time+1&gt;=AL$2, $AC153&lt;AL$2), IF($AG153= "I", $AH153/($AD153-$AC153+1), $AH153/(($AD153*($AD153+1)/2)-(($AC153-1)*($AC153-1+1)/2))*AK$2), 0)+IF(IF(time+1&gt;=AL$2, $AI153/time_cap/(time+1)*AK$2, 0) = 0, $AI153/(time_cap),0)),0)</f>
        <v>0</v>
      </c>
      <c r="AL153" s="4357">
        <f t="shared" si="367"/>
        <v>0</v>
      </c>
      <c r="AM153" s="4357">
        <f t="shared" si="367"/>
        <v>0</v>
      </c>
      <c r="AN153" s="4357">
        <f t="shared" si="367"/>
        <v>0</v>
      </c>
      <c r="AO153" s="4357">
        <f t="shared" si="367"/>
        <v>0</v>
      </c>
      <c r="AP153" s="4357">
        <f t="shared" si="367"/>
        <v>0</v>
      </c>
      <c r="AQ153" s="4357">
        <f t="shared" si="367"/>
        <v>0</v>
      </c>
      <c r="AR153" s="4357">
        <f t="shared" si="367"/>
        <v>0</v>
      </c>
      <c r="AS153" s="4357">
        <f t="shared" si="367"/>
        <v>0</v>
      </c>
      <c r="AT153" s="4357">
        <f t="shared" si="367"/>
        <v>0</v>
      </c>
      <c r="AU153" s="4357">
        <f t="shared" si="367"/>
        <v>0</v>
      </c>
      <c r="AV153" s="4357">
        <f t="shared" si="367"/>
        <v>0</v>
      </c>
      <c r="AW153" s="4357">
        <f t="shared" si="367"/>
        <v>0</v>
      </c>
      <c r="AX153" s="4357">
        <f t="shared" si="367"/>
        <v>0</v>
      </c>
      <c r="AY153" s="4357">
        <f t="shared" si="367"/>
        <v>0</v>
      </c>
      <c r="AZ153" s="4357">
        <f t="shared" si="367"/>
        <v>0</v>
      </c>
      <c r="BA153" s="4357">
        <f t="shared" si="367"/>
        <v>0</v>
      </c>
      <c r="BB153" s="4357">
        <f t="shared" si="367"/>
        <v>0</v>
      </c>
      <c r="BC153" s="4357">
        <f t="shared" si="367"/>
        <v>0</v>
      </c>
      <c r="BD153" s="4357">
        <f t="shared" si="367"/>
        <v>0</v>
      </c>
      <c r="BE153" s="4357">
        <f t="shared" si="367"/>
        <v>0</v>
      </c>
      <c r="BF153" s="4357">
        <f t="shared" si="367"/>
        <v>0</v>
      </c>
      <c r="BG153" s="4357">
        <f t="shared" si="367"/>
        <v>0</v>
      </c>
      <c r="BH153" s="4357">
        <f t="shared" si="367"/>
        <v>0</v>
      </c>
      <c r="BI153" s="4357">
        <f t="shared" si="367"/>
        <v>0</v>
      </c>
      <c r="BJ153" s="4357">
        <f t="shared" si="367"/>
        <v>0</v>
      </c>
      <c r="BK153" s="4357">
        <f t="shared" si="367"/>
        <v>0</v>
      </c>
      <c r="BL153" s="4357">
        <f t="shared" si="367"/>
        <v>0</v>
      </c>
      <c r="BM153" s="4357">
        <f t="shared" si="367"/>
        <v>0</v>
      </c>
      <c r="BN153" s="4357">
        <f t="shared" si="367"/>
        <v>0</v>
      </c>
      <c r="BO153" s="4357">
        <f t="shared" si="367"/>
        <v>0</v>
      </c>
      <c r="BP153" s="4357">
        <f t="shared" si="367"/>
        <v>0</v>
      </c>
      <c r="BQ153" s="4357">
        <f t="shared" ref="BQ153:CH153" si="368">IFERROR(IF((time+time_cap)&lt;BQ$2, 0,IF(AND(time+1&gt;=BR$2, $AC153&lt;BR$2), IF($AG153= "I", $AH153/($AD153-$AC153+1), $AH153/(($AD153*($AD153+1)/2)-(($AC153-1)*($AC153-1+1)/2))*BQ$2), 0)+IF(IF(time+1&gt;=BR$2, $AI153/time_cap/(time+1)*BQ$2, 0) = 0, $AI153/(time_cap),0)),0)</f>
        <v>0</v>
      </c>
      <c r="BR153" s="4357">
        <f t="shared" si="368"/>
        <v>0</v>
      </c>
      <c r="BS153" s="4357">
        <f t="shared" si="368"/>
        <v>0</v>
      </c>
      <c r="BT153" s="4357">
        <f t="shared" si="368"/>
        <v>0</v>
      </c>
      <c r="BU153" s="4357">
        <f t="shared" si="368"/>
        <v>0</v>
      </c>
      <c r="BV153" s="4357">
        <f t="shared" si="368"/>
        <v>0</v>
      </c>
      <c r="BW153" s="4357">
        <f t="shared" si="368"/>
        <v>0</v>
      </c>
      <c r="BX153" s="4357">
        <f t="shared" si="368"/>
        <v>0</v>
      </c>
      <c r="BY153" s="4357">
        <f t="shared" si="368"/>
        <v>0</v>
      </c>
      <c r="BZ153" s="4357">
        <f t="shared" si="368"/>
        <v>0</v>
      </c>
      <c r="CA153" s="4357">
        <f t="shared" si="368"/>
        <v>0</v>
      </c>
      <c r="CB153" s="4357">
        <f t="shared" si="368"/>
        <v>0</v>
      </c>
      <c r="CC153" s="4357">
        <f t="shared" si="368"/>
        <v>0</v>
      </c>
      <c r="CD153" s="4357">
        <f t="shared" si="368"/>
        <v>0</v>
      </c>
      <c r="CE153" s="4357">
        <f t="shared" si="368"/>
        <v>0</v>
      </c>
      <c r="CF153" s="4357">
        <f t="shared" si="368"/>
        <v>0</v>
      </c>
      <c r="CG153" s="4357">
        <f t="shared" si="368"/>
        <v>0</v>
      </c>
      <c r="CH153" s="4357">
        <f t="shared" si="368"/>
        <v>0</v>
      </c>
      <c r="CI153" s="4357"/>
      <c r="CJ153" s="4357"/>
      <c r="CK153" s="4357"/>
      <c r="CL153" s="4357"/>
      <c r="CM153" s="4357"/>
      <c r="CN153" s="4357"/>
      <c r="CO153" s="4357"/>
      <c r="CP153" s="4357"/>
      <c r="CQ153" s="4357"/>
      <c r="CR153" s="4357"/>
      <c r="CS153" s="4357"/>
      <c r="CT153" s="4357"/>
      <c r="CU153" s="4357"/>
      <c r="CV153" s="4357"/>
      <c r="CW153" s="4357"/>
      <c r="CX153" s="4357"/>
      <c r="CY153" s="4357"/>
      <c r="CZ153" s="4357"/>
      <c r="DA153" s="4357"/>
      <c r="DB153" s="4357"/>
      <c r="DC153" s="4357"/>
      <c r="DD153" s="4357"/>
      <c r="DE153" s="4357"/>
      <c r="DF153" s="4357"/>
      <c r="DG153" s="4357"/>
      <c r="DH153" s="4357"/>
      <c r="DI153" s="4357"/>
      <c r="DJ153" s="4357"/>
      <c r="DK153" s="4357"/>
      <c r="DL153" s="4357"/>
      <c r="DM153" s="4357"/>
      <c r="DN153" s="4357"/>
      <c r="DO153" s="4357"/>
      <c r="DP153" s="4357"/>
      <c r="DQ153" s="4357"/>
      <c r="DR153" s="4357"/>
      <c r="DS153" s="4357"/>
      <c r="DT153" s="4357"/>
      <c r="DU153" s="4357"/>
      <c r="DV153" s="4357"/>
      <c r="DW153" s="4357"/>
      <c r="DX153" s="4357"/>
      <c r="DY153" s="4357"/>
      <c r="DZ153" s="4357"/>
      <c r="EA153" s="4357"/>
      <c r="EB153" s="4357"/>
      <c r="EC153" s="4357"/>
      <c r="ED153" s="4357"/>
      <c r="EE153" s="4357"/>
      <c r="EF153" s="4357"/>
    </row>
    <row r="154" spans="1:136" ht="16" x14ac:dyDescent="0.2">
      <c r="A154" t="s">
        <v>3004</v>
      </c>
      <c r="B154" t="s">
        <v>3234</v>
      </c>
      <c r="C154">
        <f>'6.Inland wetlands'!C152</f>
        <v>0</v>
      </c>
      <c r="D154" t="str">
        <f>'6.Inland wetlands'!I152</f>
        <v>Please select</v>
      </c>
      <c r="E154">
        <f>'6.Inland wetlands'!AG152</f>
        <v>0</v>
      </c>
      <c r="F154" s="388">
        <v>0</v>
      </c>
      <c r="H154" s="388">
        <f>'Inl. wetlands'!AE427-'Inl. wetlands'!AD427</f>
        <v>0</v>
      </c>
      <c r="I154" s="388">
        <f>'Inl. wetlands'!AC441-'Inl. wetlands'!AB441+'Inl. wetlands'!AC455-'Inl. wetlands'!AB455</f>
        <v>0</v>
      </c>
      <c r="M154" s="388">
        <f>'Inl. wetlands'!V415-'Inl. wetlands'!T415</f>
        <v>0</v>
      </c>
      <c r="R154" s="388">
        <f>'Inl. wetlands'!AG441-'Inl. wetlands'!AF441+'Inl. wetlands'!AG455-'Inl. wetlands'!AF455</f>
        <v>0</v>
      </c>
      <c r="U154" s="388">
        <f>'Inl. wetlands'!U415-'Inl. wetlands'!S415</f>
        <v>0</v>
      </c>
      <c r="Y154" s="388">
        <f>'Inl. wetlands'!AG427-'Inl. wetlands'!AF427</f>
        <v>0</v>
      </c>
      <c r="Z154" s="388">
        <f>'Inl. wetlands'!AE441-'Inl. wetlands'!AD441+'Inl. wetlands'!AE455-'Inl. wetlands'!AD455</f>
        <v>0</v>
      </c>
      <c r="AB154" t="str">
        <f t="shared" si="340"/>
        <v>ok</v>
      </c>
      <c r="AC154">
        <f>IF('6.Inland wetlands'!CA152&lt;&gt;0,'6.Inland wetlands'!CA152,'6.Inland wetlands'!BZ152)</f>
        <v>1</v>
      </c>
      <c r="AD154">
        <f t="shared" si="190"/>
        <v>5</v>
      </c>
      <c r="AE154" s="4357" t="str">
        <f>'6.Inland wetlands'!O152</f>
        <v>D</v>
      </c>
      <c r="AF154" s="4357" t="str">
        <f>'6.Inland wetlands'!Q152</f>
        <v>D</v>
      </c>
      <c r="AG154" s="4357" t="str">
        <f t="shared" si="193"/>
        <v>D</v>
      </c>
      <c r="AH154" s="4357">
        <f>((E154/(time_cap+((AD154-AC154+1)*VLOOKUP(AG154,list!$I$48:$K$50,3, FALSE))))*(AD154-AC154+1)*VLOOKUP(AG154,list!$I$48:$K$50,3, FALSE))</f>
        <v>0</v>
      </c>
      <c r="AI154" s="4357">
        <f>((E154/(time_cap+((AD154-AC154+1)*VLOOKUP(AG154,list!$I$48:$K$50,3, FALSE))))*time_cap)</f>
        <v>0</v>
      </c>
      <c r="AK154" s="4357">
        <f t="shared" ref="AK154:BP154" si="369">IFERROR(IF((time+time_cap)&lt;AK$2, 0,IF(AND(time+1&gt;=AL$2, $AC154&lt;AL$2), IF($AG154= "I", $AH154/($AD154-$AC154+1), $AH154/(($AD154*($AD154+1)/2)-(($AC154-1)*($AC154-1+1)/2))*AK$2), 0)+IF(IF(time+1&gt;=AL$2, $AI154/time_cap/(time+1)*AK$2, 0) = 0, $AI154/(time_cap),0)),0)</f>
        <v>0</v>
      </c>
      <c r="AL154" s="4357">
        <f t="shared" si="369"/>
        <v>0</v>
      </c>
      <c r="AM154" s="4357">
        <f t="shared" si="369"/>
        <v>0</v>
      </c>
      <c r="AN154" s="4357">
        <f t="shared" si="369"/>
        <v>0</v>
      </c>
      <c r="AO154" s="4357">
        <f t="shared" si="369"/>
        <v>0</v>
      </c>
      <c r="AP154" s="4357">
        <f t="shared" si="369"/>
        <v>0</v>
      </c>
      <c r="AQ154" s="4357">
        <f t="shared" si="369"/>
        <v>0</v>
      </c>
      <c r="AR154" s="4357">
        <f t="shared" si="369"/>
        <v>0</v>
      </c>
      <c r="AS154" s="4357">
        <f t="shared" si="369"/>
        <v>0</v>
      </c>
      <c r="AT154" s="4357">
        <f t="shared" si="369"/>
        <v>0</v>
      </c>
      <c r="AU154" s="4357">
        <f t="shared" si="369"/>
        <v>0</v>
      </c>
      <c r="AV154" s="4357">
        <f t="shared" si="369"/>
        <v>0</v>
      </c>
      <c r="AW154" s="4357">
        <f t="shared" si="369"/>
        <v>0</v>
      </c>
      <c r="AX154" s="4357">
        <f t="shared" si="369"/>
        <v>0</v>
      </c>
      <c r="AY154" s="4357">
        <f t="shared" si="369"/>
        <v>0</v>
      </c>
      <c r="AZ154" s="4357">
        <f t="shared" si="369"/>
        <v>0</v>
      </c>
      <c r="BA154" s="4357">
        <f t="shared" si="369"/>
        <v>0</v>
      </c>
      <c r="BB154" s="4357">
        <f t="shared" si="369"/>
        <v>0</v>
      </c>
      <c r="BC154" s="4357">
        <f t="shared" si="369"/>
        <v>0</v>
      </c>
      <c r="BD154" s="4357">
        <f t="shared" si="369"/>
        <v>0</v>
      </c>
      <c r="BE154" s="4357">
        <f t="shared" si="369"/>
        <v>0</v>
      </c>
      <c r="BF154" s="4357">
        <f t="shared" si="369"/>
        <v>0</v>
      </c>
      <c r="BG154" s="4357">
        <f t="shared" si="369"/>
        <v>0</v>
      </c>
      <c r="BH154" s="4357">
        <f t="shared" si="369"/>
        <v>0</v>
      </c>
      <c r="BI154" s="4357">
        <f t="shared" si="369"/>
        <v>0</v>
      </c>
      <c r="BJ154" s="4357">
        <f t="shared" si="369"/>
        <v>0</v>
      </c>
      <c r="BK154" s="4357">
        <f t="shared" si="369"/>
        <v>0</v>
      </c>
      <c r="BL154" s="4357">
        <f t="shared" si="369"/>
        <v>0</v>
      </c>
      <c r="BM154" s="4357">
        <f t="shared" si="369"/>
        <v>0</v>
      </c>
      <c r="BN154" s="4357">
        <f t="shared" si="369"/>
        <v>0</v>
      </c>
      <c r="BO154" s="4357">
        <f t="shared" si="369"/>
        <v>0</v>
      </c>
      <c r="BP154" s="4357">
        <f t="shared" si="369"/>
        <v>0</v>
      </c>
      <c r="BQ154" s="4357">
        <f t="shared" ref="BQ154:CH154" si="370">IFERROR(IF((time+time_cap)&lt;BQ$2, 0,IF(AND(time+1&gt;=BR$2, $AC154&lt;BR$2), IF($AG154= "I", $AH154/($AD154-$AC154+1), $AH154/(($AD154*($AD154+1)/2)-(($AC154-1)*($AC154-1+1)/2))*BQ$2), 0)+IF(IF(time+1&gt;=BR$2, $AI154/time_cap/(time+1)*BQ$2, 0) = 0, $AI154/(time_cap),0)),0)</f>
        <v>0</v>
      </c>
      <c r="BR154" s="4357">
        <f t="shared" si="370"/>
        <v>0</v>
      </c>
      <c r="BS154" s="4357">
        <f t="shared" si="370"/>
        <v>0</v>
      </c>
      <c r="BT154" s="4357">
        <f t="shared" si="370"/>
        <v>0</v>
      </c>
      <c r="BU154" s="4357">
        <f t="shared" si="370"/>
        <v>0</v>
      </c>
      <c r="BV154" s="4357">
        <f t="shared" si="370"/>
        <v>0</v>
      </c>
      <c r="BW154" s="4357">
        <f t="shared" si="370"/>
        <v>0</v>
      </c>
      <c r="BX154" s="4357">
        <f t="shared" si="370"/>
        <v>0</v>
      </c>
      <c r="BY154" s="4357">
        <f t="shared" si="370"/>
        <v>0</v>
      </c>
      <c r="BZ154" s="4357">
        <f t="shared" si="370"/>
        <v>0</v>
      </c>
      <c r="CA154" s="4357">
        <f t="shared" si="370"/>
        <v>0</v>
      </c>
      <c r="CB154" s="4357">
        <f t="shared" si="370"/>
        <v>0</v>
      </c>
      <c r="CC154" s="4357">
        <f t="shared" si="370"/>
        <v>0</v>
      </c>
      <c r="CD154" s="4357">
        <f t="shared" si="370"/>
        <v>0</v>
      </c>
      <c r="CE154" s="4357">
        <f t="shared" si="370"/>
        <v>0</v>
      </c>
      <c r="CF154" s="4357">
        <f t="shared" si="370"/>
        <v>0</v>
      </c>
      <c r="CG154" s="4357">
        <f t="shared" si="370"/>
        <v>0</v>
      </c>
      <c r="CH154" s="4357">
        <f t="shared" si="370"/>
        <v>0</v>
      </c>
      <c r="CI154" s="4357"/>
      <c r="CJ154" s="4357"/>
      <c r="CK154" s="4357"/>
      <c r="CL154" s="4357"/>
      <c r="CM154" s="4357"/>
      <c r="CN154" s="4357"/>
      <c r="CO154" s="4357"/>
      <c r="CP154" s="4357"/>
      <c r="CQ154" s="4357"/>
      <c r="CR154" s="4357"/>
      <c r="CS154" s="4357"/>
      <c r="CT154" s="4357"/>
      <c r="CU154" s="4357"/>
      <c r="CV154" s="4357"/>
      <c r="CW154" s="4357"/>
      <c r="CX154" s="4357"/>
      <c r="CY154" s="4357"/>
      <c r="CZ154" s="4357"/>
      <c r="DA154" s="4357"/>
      <c r="DB154" s="4357"/>
      <c r="DC154" s="4357"/>
      <c r="DD154" s="4357"/>
      <c r="DE154" s="4357"/>
      <c r="DF154" s="4357"/>
      <c r="DG154" s="4357"/>
      <c r="DH154" s="4357"/>
      <c r="DI154" s="4357"/>
      <c r="DJ154" s="4357"/>
      <c r="DK154" s="4357"/>
      <c r="DL154" s="4357"/>
      <c r="DM154" s="4357"/>
      <c r="DN154" s="4357"/>
      <c r="DO154" s="4357"/>
      <c r="DP154" s="4357"/>
      <c r="DQ154" s="4357"/>
      <c r="DR154" s="4357"/>
      <c r="DS154" s="4357"/>
      <c r="DT154" s="4357"/>
      <c r="DU154" s="4357"/>
      <c r="DV154" s="4357"/>
      <c r="DW154" s="4357"/>
      <c r="DX154" s="4357"/>
      <c r="DY154" s="4357"/>
      <c r="DZ154" s="4357"/>
      <c r="EA154" s="4357"/>
      <c r="EB154" s="4357"/>
      <c r="EC154" s="4357"/>
      <c r="ED154" s="4357"/>
      <c r="EE154" s="4357"/>
      <c r="EF154" s="4357"/>
    </row>
    <row r="155" spans="1:136" ht="16" x14ac:dyDescent="0.2">
      <c r="A155" t="s">
        <v>3004</v>
      </c>
      <c r="B155" t="s">
        <v>3234</v>
      </c>
      <c r="C155">
        <f>'6.Inland wetlands'!C153</f>
        <v>0</v>
      </c>
      <c r="D155" t="str">
        <f>'6.Inland wetlands'!I153</f>
        <v>Please select</v>
      </c>
      <c r="E155">
        <f>'6.Inland wetlands'!AG153</f>
        <v>0</v>
      </c>
      <c r="F155" s="388">
        <v>0</v>
      </c>
      <c r="H155" s="388">
        <f>'Inl. wetlands'!AE428-'Inl. wetlands'!AD428</f>
        <v>0</v>
      </c>
      <c r="I155" s="388">
        <f>'Inl. wetlands'!AC442-'Inl. wetlands'!AB442+'Inl. wetlands'!AC456-'Inl. wetlands'!AB456</f>
        <v>0</v>
      </c>
      <c r="M155" s="388">
        <f>'Inl. wetlands'!V416-'Inl. wetlands'!T416</f>
        <v>0</v>
      </c>
      <c r="R155" s="388">
        <f>'Inl. wetlands'!AG442-'Inl. wetlands'!AF442+'Inl. wetlands'!AG456-'Inl. wetlands'!AF456</f>
        <v>0</v>
      </c>
      <c r="U155" s="388">
        <f>'Inl. wetlands'!U416-'Inl. wetlands'!S416</f>
        <v>0</v>
      </c>
      <c r="Y155" s="388">
        <f>'Inl. wetlands'!AG428-'Inl. wetlands'!AF428</f>
        <v>0</v>
      </c>
      <c r="Z155" s="388">
        <f>'Inl. wetlands'!AE442-'Inl. wetlands'!AD442+'Inl. wetlands'!AE456-'Inl. wetlands'!AD456</f>
        <v>0</v>
      </c>
      <c r="AB155" t="str">
        <f t="shared" si="340"/>
        <v>ok</v>
      </c>
      <c r="AC155">
        <f>IF('6.Inland wetlands'!CA153&lt;&gt;0,'6.Inland wetlands'!CA153,'6.Inland wetlands'!BZ153)</f>
        <v>1</v>
      </c>
      <c r="AD155">
        <f t="shared" ref="AD155:AD218" si="371">time</f>
        <v>5</v>
      </c>
      <c r="AE155" s="4357" t="str">
        <f>'6.Inland wetlands'!O153</f>
        <v>D</v>
      </c>
      <c r="AF155" s="4357" t="str">
        <f>'6.Inland wetlands'!Q153</f>
        <v>D</v>
      </c>
      <c r="AG155" s="4357" t="str">
        <f t="shared" si="193"/>
        <v>D</v>
      </c>
      <c r="AH155" s="4357">
        <f>((E155/(time_cap+((AD155-AC155+1)*VLOOKUP(AG155,list!$I$48:$K$50,3, FALSE))))*(AD155-AC155+1)*VLOOKUP(AG155,list!$I$48:$K$50,3, FALSE))</f>
        <v>0</v>
      </c>
      <c r="AI155" s="4357">
        <f>((E155/(time_cap+((AD155-AC155+1)*VLOOKUP(AG155,list!$I$48:$K$50,3, FALSE))))*time_cap)</f>
        <v>0</v>
      </c>
      <c r="AK155" s="4357">
        <f t="shared" ref="AK155:BP155" si="372">IFERROR(IF((time+time_cap)&lt;AK$2, 0,IF(AND(time+1&gt;=AL$2, $AC155&lt;AL$2), IF($AG155= "I", $AH155/($AD155-$AC155+1), $AH155/(($AD155*($AD155+1)/2)-(($AC155-1)*($AC155-1+1)/2))*AK$2), 0)+IF(IF(time+1&gt;=AL$2, $AI155/time_cap/(time+1)*AK$2, 0) = 0, $AI155/(time_cap),0)),0)</f>
        <v>0</v>
      </c>
      <c r="AL155" s="4357">
        <f t="shared" si="372"/>
        <v>0</v>
      </c>
      <c r="AM155" s="4357">
        <f t="shared" si="372"/>
        <v>0</v>
      </c>
      <c r="AN155" s="4357">
        <f t="shared" si="372"/>
        <v>0</v>
      </c>
      <c r="AO155" s="4357">
        <f t="shared" si="372"/>
        <v>0</v>
      </c>
      <c r="AP155" s="4357">
        <f t="shared" si="372"/>
        <v>0</v>
      </c>
      <c r="AQ155" s="4357">
        <f t="shared" si="372"/>
        <v>0</v>
      </c>
      <c r="AR155" s="4357">
        <f t="shared" si="372"/>
        <v>0</v>
      </c>
      <c r="AS155" s="4357">
        <f t="shared" si="372"/>
        <v>0</v>
      </c>
      <c r="AT155" s="4357">
        <f t="shared" si="372"/>
        <v>0</v>
      </c>
      <c r="AU155" s="4357">
        <f t="shared" si="372"/>
        <v>0</v>
      </c>
      <c r="AV155" s="4357">
        <f t="shared" si="372"/>
        <v>0</v>
      </c>
      <c r="AW155" s="4357">
        <f t="shared" si="372"/>
        <v>0</v>
      </c>
      <c r="AX155" s="4357">
        <f t="shared" si="372"/>
        <v>0</v>
      </c>
      <c r="AY155" s="4357">
        <f t="shared" si="372"/>
        <v>0</v>
      </c>
      <c r="AZ155" s="4357">
        <f t="shared" si="372"/>
        <v>0</v>
      </c>
      <c r="BA155" s="4357">
        <f t="shared" si="372"/>
        <v>0</v>
      </c>
      <c r="BB155" s="4357">
        <f t="shared" si="372"/>
        <v>0</v>
      </c>
      <c r="BC155" s="4357">
        <f t="shared" si="372"/>
        <v>0</v>
      </c>
      <c r="BD155" s="4357">
        <f t="shared" si="372"/>
        <v>0</v>
      </c>
      <c r="BE155" s="4357">
        <f t="shared" si="372"/>
        <v>0</v>
      </c>
      <c r="BF155" s="4357">
        <f t="shared" si="372"/>
        <v>0</v>
      </c>
      <c r="BG155" s="4357">
        <f t="shared" si="372"/>
        <v>0</v>
      </c>
      <c r="BH155" s="4357">
        <f t="shared" si="372"/>
        <v>0</v>
      </c>
      <c r="BI155" s="4357">
        <f t="shared" si="372"/>
        <v>0</v>
      </c>
      <c r="BJ155" s="4357">
        <f t="shared" si="372"/>
        <v>0</v>
      </c>
      <c r="BK155" s="4357">
        <f t="shared" si="372"/>
        <v>0</v>
      </c>
      <c r="BL155" s="4357">
        <f t="shared" si="372"/>
        <v>0</v>
      </c>
      <c r="BM155" s="4357">
        <f t="shared" si="372"/>
        <v>0</v>
      </c>
      <c r="BN155" s="4357">
        <f t="shared" si="372"/>
        <v>0</v>
      </c>
      <c r="BO155" s="4357">
        <f t="shared" si="372"/>
        <v>0</v>
      </c>
      <c r="BP155" s="4357">
        <f t="shared" si="372"/>
        <v>0</v>
      </c>
      <c r="BQ155" s="4357">
        <f t="shared" ref="BQ155:CH155" si="373">IFERROR(IF((time+time_cap)&lt;BQ$2, 0,IF(AND(time+1&gt;=BR$2, $AC155&lt;BR$2), IF($AG155= "I", $AH155/($AD155-$AC155+1), $AH155/(($AD155*($AD155+1)/2)-(($AC155-1)*($AC155-1+1)/2))*BQ$2), 0)+IF(IF(time+1&gt;=BR$2, $AI155/time_cap/(time+1)*BQ$2, 0) = 0, $AI155/(time_cap),0)),0)</f>
        <v>0</v>
      </c>
      <c r="BR155" s="4357">
        <f t="shared" si="373"/>
        <v>0</v>
      </c>
      <c r="BS155" s="4357">
        <f t="shared" si="373"/>
        <v>0</v>
      </c>
      <c r="BT155" s="4357">
        <f t="shared" si="373"/>
        <v>0</v>
      </c>
      <c r="BU155" s="4357">
        <f t="shared" si="373"/>
        <v>0</v>
      </c>
      <c r="BV155" s="4357">
        <f t="shared" si="373"/>
        <v>0</v>
      </c>
      <c r="BW155" s="4357">
        <f t="shared" si="373"/>
        <v>0</v>
      </c>
      <c r="BX155" s="4357">
        <f t="shared" si="373"/>
        <v>0</v>
      </c>
      <c r="BY155" s="4357">
        <f t="shared" si="373"/>
        <v>0</v>
      </c>
      <c r="BZ155" s="4357">
        <f t="shared" si="373"/>
        <v>0</v>
      </c>
      <c r="CA155" s="4357">
        <f t="shared" si="373"/>
        <v>0</v>
      </c>
      <c r="CB155" s="4357">
        <f t="shared" si="373"/>
        <v>0</v>
      </c>
      <c r="CC155" s="4357">
        <f t="shared" si="373"/>
        <v>0</v>
      </c>
      <c r="CD155" s="4357">
        <f t="shared" si="373"/>
        <v>0</v>
      </c>
      <c r="CE155" s="4357">
        <f t="shared" si="373"/>
        <v>0</v>
      </c>
      <c r="CF155" s="4357">
        <f t="shared" si="373"/>
        <v>0</v>
      </c>
      <c r="CG155" s="4357">
        <f t="shared" si="373"/>
        <v>0</v>
      </c>
      <c r="CH155" s="4357">
        <f t="shared" si="373"/>
        <v>0</v>
      </c>
      <c r="CI155" s="4357"/>
      <c r="CJ155" s="4357"/>
      <c r="CK155" s="4357"/>
      <c r="CL155" s="4357"/>
      <c r="CM155" s="4357"/>
      <c r="CN155" s="4357"/>
      <c r="CO155" s="4357"/>
      <c r="CP155" s="4357"/>
      <c r="CQ155" s="4357"/>
      <c r="CR155" s="4357"/>
      <c r="CS155" s="4357"/>
      <c r="CT155" s="4357"/>
      <c r="CU155" s="4357"/>
      <c r="CV155" s="4357"/>
      <c r="CW155" s="4357"/>
      <c r="CX155" s="4357"/>
      <c r="CY155" s="4357"/>
      <c r="CZ155" s="4357"/>
      <c r="DA155" s="4357"/>
      <c r="DB155" s="4357"/>
      <c r="DC155" s="4357"/>
      <c r="DD155" s="4357"/>
      <c r="DE155" s="4357"/>
      <c r="DF155" s="4357"/>
      <c r="DG155" s="4357"/>
      <c r="DH155" s="4357"/>
      <c r="DI155" s="4357"/>
      <c r="DJ155" s="4357"/>
      <c r="DK155" s="4357"/>
      <c r="DL155" s="4357"/>
      <c r="DM155" s="4357"/>
      <c r="DN155" s="4357"/>
      <c r="DO155" s="4357"/>
      <c r="DP155" s="4357"/>
      <c r="DQ155" s="4357"/>
      <c r="DR155" s="4357"/>
      <c r="DS155" s="4357"/>
      <c r="DT155" s="4357"/>
      <c r="DU155" s="4357"/>
      <c r="DV155" s="4357"/>
      <c r="DW155" s="4357"/>
      <c r="DX155" s="4357"/>
      <c r="DY155" s="4357"/>
      <c r="DZ155" s="4357"/>
      <c r="EA155" s="4357"/>
      <c r="EB155" s="4357"/>
      <c r="EC155" s="4357"/>
      <c r="ED155" s="4357"/>
      <c r="EE155" s="4357"/>
      <c r="EF155" s="4357"/>
    </row>
    <row r="156" spans="1:136" ht="16" x14ac:dyDescent="0.2">
      <c r="A156" t="s">
        <v>3004</v>
      </c>
      <c r="B156" t="s">
        <v>3234</v>
      </c>
      <c r="C156">
        <f>'6.Inland wetlands'!C154</f>
        <v>0</v>
      </c>
      <c r="D156" t="str">
        <f>'6.Inland wetlands'!I154</f>
        <v>Please select</v>
      </c>
      <c r="E156">
        <f>'6.Inland wetlands'!AG154</f>
        <v>0</v>
      </c>
      <c r="F156" s="388">
        <v>0</v>
      </c>
      <c r="H156" s="388">
        <f>'Inl. wetlands'!AE429-'Inl. wetlands'!AD429</f>
        <v>0</v>
      </c>
      <c r="I156" s="388">
        <f>'Inl. wetlands'!AC443-'Inl. wetlands'!AB443+'Inl. wetlands'!AC457-'Inl. wetlands'!AB457</f>
        <v>0</v>
      </c>
      <c r="M156" s="388">
        <f>'Inl. wetlands'!V417-'Inl. wetlands'!T417</f>
        <v>0</v>
      </c>
      <c r="R156" s="388">
        <f>'Inl. wetlands'!AG443-'Inl. wetlands'!AF443+'Inl. wetlands'!AG457-'Inl. wetlands'!AF457</f>
        <v>0</v>
      </c>
      <c r="U156" s="388">
        <f>'Inl. wetlands'!U417-'Inl. wetlands'!S417</f>
        <v>0</v>
      </c>
      <c r="Y156" s="388">
        <f>'Inl. wetlands'!AG429-'Inl. wetlands'!AF429</f>
        <v>0</v>
      </c>
      <c r="Z156" s="388">
        <f>'Inl. wetlands'!AE443-'Inl. wetlands'!AD443+'Inl. wetlands'!AE457-'Inl. wetlands'!AD457</f>
        <v>0</v>
      </c>
      <c r="AB156" t="str">
        <f t="shared" si="340"/>
        <v>ok</v>
      </c>
      <c r="AC156">
        <f>IF('6.Inland wetlands'!CA154&lt;&gt;0,'6.Inland wetlands'!CA154,'6.Inland wetlands'!BZ154)</f>
        <v>1</v>
      </c>
      <c r="AD156">
        <f t="shared" si="371"/>
        <v>5</v>
      </c>
      <c r="AE156" s="4357" t="str">
        <f>'6.Inland wetlands'!O154</f>
        <v>D</v>
      </c>
      <c r="AF156" s="4357" t="str">
        <f>'6.Inland wetlands'!Q154</f>
        <v>D</v>
      </c>
      <c r="AG156" s="4357" t="str">
        <f t="shared" ref="AG156:AG219" si="374">IF(OR(AF156="I", AE156="I"), "I", IF(OR(AF156="E", AE156="E"), "E", "D"))</f>
        <v>D</v>
      </c>
      <c r="AH156" s="4357">
        <f>((E156/(time_cap+((AD156-AC156+1)*VLOOKUP(AG156,list!$I$48:$K$50,3, FALSE))))*(AD156-AC156+1)*VLOOKUP(AG156,list!$I$48:$K$50,3, FALSE))</f>
        <v>0</v>
      </c>
      <c r="AI156" s="4357">
        <f>((E156/(time_cap+((AD156-AC156+1)*VLOOKUP(AG156,list!$I$48:$K$50,3, FALSE))))*time_cap)</f>
        <v>0</v>
      </c>
      <c r="AK156" s="4357">
        <f t="shared" ref="AK156:BP156" si="375">IFERROR(IF((time+time_cap)&lt;AK$2, 0,IF(AND(time+1&gt;=AL$2, $AC156&lt;AL$2), IF($AG156= "I", $AH156/($AD156-$AC156+1), $AH156/(($AD156*($AD156+1)/2)-(($AC156-1)*($AC156-1+1)/2))*AK$2), 0)+IF(IF(time+1&gt;=AL$2, $AI156/time_cap/(time+1)*AK$2, 0) = 0, $AI156/(time_cap),0)),0)</f>
        <v>0</v>
      </c>
      <c r="AL156" s="4357">
        <f t="shared" si="375"/>
        <v>0</v>
      </c>
      <c r="AM156" s="4357">
        <f t="shared" si="375"/>
        <v>0</v>
      </c>
      <c r="AN156" s="4357">
        <f t="shared" si="375"/>
        <v>0</v>
      </c>
      <c r="AO156" s="4357">
        <f t="shared" si="375"/>
        <v>0</v>
      </c>
      <c r="AP156" s="4357">
        <f t="shared" si="375"/>
        <v>0</v>
      </c>
      <c r="AQ156" s="4357">
        <f t="shared" si="375"/>
        <v>0</v>
      </c>
      <c r="AR156" s="4357">
        <f t="shared" si="375"/>
        <v>0</v>
      </c>
      <c r="AS156" s="4357">
        <f t="shared" si="375"/>
        <v>0</v>
      </c>
      <c r="AT156" s="4357">
        <f t="shared" si="375"/>
        <v>0</v>
      </c>
      <c r="AU156" s="4357">
        <f t="shared" si="375"/>
        <v>0</v>
      </c>
      <c r="AV156" s="4357">
        <f t="shared" si="375"/>
        <v>0</v>
      </c>
      <c r="AW156" s="4357">
        <f t="shared" si="375"/>
        <v>0</v>
      </c>
      <c r="AX156" s="4357">
        <f t="shared" si="375"/>
        <v>0</v>
      </c>
      <c r="AY156" s="4357">
        <f t="shared" si="375"/>
        <v>0</v>
      </c>
      <c r="AZ156" s="4357">
        <f t="shared" si="375"/>
        <v>0</v>
      </c>
      <c r="BA156" s="4357">
        <f t="shared" si="375"/>
        <v>0</v>
      </c>
      <c r="BB156" s="4357">
        <f t="shared" si="375"/>
        <v>0</v>
      </c>
      <c r="BC156" s="4357">
        <f t="shared" si="375"/>
        <v>0</v>
      </c>
      <c r="BD156" s="4357">
        <f t="shared" si="375"/>
        <v>0</v>
      </c>
      <c r="BE156" s="4357">
        <f t="shared" si="375"/>
        <v>0</v>
      </c>
      <c r="BF156" s="4357">
        <f t="shared" si="375"/>
        <v>0</v>
      </c>
      <c r="BG156" s="4357">
        <f t="shared" si="375"/>
        <v>0</v>
      </c>
      <c r="BH156" s="4357">
        <f t="shared" si="375"/>
        <v>0</v>
      </c>
      <c r="BI156" s="4357">
        <f t="shared" si="375"/>
        <v>0</v>
      </c>
      <c r="BJ156" s="4357">
        <f t="shared" si="375"/>
        <v>0</v>
      </c>
      <c r="BK156" s="4357">
        <f t="shared" si="375"/>
        <v>0</v>
      </c>
      <c r="BL156" s="4357">
        <f t="shared" si="375"/>
        <v>0</v>
      </c>
      <c r="BM156" s="4357">
        <f t="shared" si="375"/>
        <v>0</v>
      </c>
      <c r="BN156" s="4357">
        <f t="shared" si="375"/>
        <v>0</v>
      </c>
      <c r="BO156" s="4357">
        <f t="shared" si="375"/>
        <v>0</v>
      </c>
      <c r="BP156" s="4357">
        <f t="shared" si="375"/>
        <v>0</v>
      </c>
      <c r="BQ156" s="4357">
        <f t="shared" ref="BQ156:CH156" si="376">IFERROR(IF((time+time_cap)&lt;BQ$2, 0,IF(AND(time+1&gt;=BR$2, $AC156&lt;BR$2), IF($AG156= "I", $AH156/($AD156-$AC156+1), $AH156/(($AD156*($AD156+1)/2)-(($AC156-1)*($AC156-1+1)/2))*BQ$2), 0)+IF(IF(time+1&gt;=BR$2, $AI156/time_cap/(time+1)*BQ$2, 0) = 0, $AI156/(time_cap),0)),0)</f>
        <v>0</v>
      </c>
      <c r="BR156" s="4357">
        <f t="shared" si="376"/>
        <v>0</v>
      </c>
      <c r="BS156" s="4357">
        <f t="shared" si="376"/>
        <v>0</v>
      </c>
      <c r="BT156" s="4357">
        <f t="shared" si="376"/>
        <v>0</v>
      </c>
      <c r="BU156" s="4357">
        <f t="shared" si="376"/>
        <v>0</v>
      </c>
      <c r="BV156" s="4357">
        <f t="shared" si="376"/>
        <v>0</v>
      </c>
      <c r="BW156" s="4357">
        <f t="shared" si="376"/>
        <v>0</v>
      </c>
      <c r="BX156" s="4357">
        <f t="shared" si="376"/>
        <v>0</v>
      </c>
      <c r="BY156" s="4357">
        <f t="shared" si="376"/>
        <v>0</v>
      </c>
      <c r="BZ156" s="4357">
        <f t="shared" si="376"/>
        <v>0</v>
      </c>
      <c r="CA156" s="4357">
        <f t="shared" si="376"/>
        <v>0</v>
      </c>
      <c r="CB156" s="4357">
        <f t="shared" si="376"/>
        <v>0</v>
      </c>
      <c r="CC156" s="4357">
        <f t="shared" si="376"/>
        <v>0</v>
      </c>
      <c r="CD156" s="4357">
        <f t="shared" si="376"/>
        <v>0</v>
      </c>
      <c r="CE156" s="4357">
        <f t="shared" si="376"/>
        <v>0</v>
      </c>
      <c r="CF156" s="4357">
        <f t="shared" si="376"/>
        <v>0</v>
      </c>
      <c r="CG156" s="4357">
        <f t="shared" si="376"/>
        <v>0</v>
      </c>
      <c r="CH156" s="4357">
        <f t="shared" si="376"/>
        <v>0</v>
      </c>
      <c r="CI156" s="4357"/>
      <c r="CJ156" s="4357"/>
      <c r="CK156" s="4357"/>
      <c r="CL156" s="4357"/>
      <c r="CM156" s="4357"/>
      <c r="CN156" s="4357"/>
      <c r="CO156" s="4357"/>
      <c r="CP156" s="4357"/>
      <c r="CQ156" s="4357"/>
      <c r="CR156" s="4357"/>
      <c r="CS156" s="4357"/>
      <c r="CT156" s="4357"/>
      <c r="CU156" s="4357"/>
      <c r="CV156" s="4357"/>
      <c r="CW156" s="4357"/>
      <c r="CX156" s="4357"/>
      <c r="CY156" s="4357"/>
      <c r="CZ156" s="4357"/>
      <c r="DA156" s="4357"/>
      <c r="DB156" s="4357"/>
      <c r="DC156" s="4357"/>
      <c r="DD156" s="4357"/>
      <c r="DE156" s="4357"/>
      <c r="DF156" s="4357"/>
      <c r="DG156" s="4357"/>
      <c r="DH156" s="4357"/>
      <c r="DI156" s="4357"/>
      <c r="DJ156" s="4357"/>
      <c r="DK156" s="4357"/>
      <c r="DL156" s="4357"/>
      <c r="DM156" s="4357"/>
      <c r="DN156" s="4357"/>
      <c r="DO156" s="4357"/>
      <c r="DP156" s="4357"/>
      <c r="DQ156" s="4357"/>
      <c r="DR156" s="4357"/>
      <c r="DS156" s="4357"/>
      <c r="DT156" s="4357"/>
      <c r="DU156" s="4357"/>
      <c r="DV156" s="4357"/>
      <c r="DW156" s="4357"/>
      <c r="DX156" s="4357"/>
      <c r="DY156" s="4357"/>
      <c r="DZ156" s="4357"/>
      <c r="EA156" s="4357"/>
      <c r="EB156" s="4357"/>
      <c r="EC156" s="4357"/>
      <c r="ED156" s="4357"/>
      <c r="EE156" s="4357"/>
      <c r="EF156" s="4357"/>
    </row>
    <row r="157" spans="1:136" ht="16" x14ac:dyDescent="0.2">
      <c r="A157" t="s">
        <v>3004</v>
      </c>
      <c r="B157" t="s">
        <v>3234</v>
      </c>
      <c r="C157">
        <f>'6.Inland wetlands'!C155</f>
        <v>0</v>
      </c>
      <c r="D157" t="str">
        <f>'6.Inland wetlands'!I155</f>
        <v>Please select</v>
      </c>
      <c r="E157">
        <f>'6.Inland wetlands'!AG155</f>
        <v>0</v>
      </c>
      <c r="F157" s="388">
        <v>0</v>
      </c>
      <c r="H157" s="388">
        <f>'Inl. wetlands'!AE430-'Inl. wetlands'!AD430</f>
        <v>0</v>
      </c>
      <c r="I157" s="388">
        <f>'Inl. wetlands'!AC444-'Inl. wetlands'!AB444+'Inl. wetlands'!AC458-'Inl. wetlands'!AB458</f>
        <v>0</v>
      </c>
      <c r="M157" s="388">
        <f>'Inl. wetlands'!V418-'Inl. wetlands'!T418</f>
        <v>0</v>
      </c>
      <c r="R157" s="388">
        <f>'Inl. wetlands'!AG444-'Inl. wetlands'!AF444+'Inl. wetlands'!AG458-'Inl. wetlands'!AF458</f>
        <v>0</v>
      </c>
      <c r="U157" s="388">
        <f>'Inl. wetlands'!U418-'Inl. wetlands'!S418</f>
        <v>0</v>
      </c>
      <c r="Y157" s="388">
        <f>'Inl. wetlands'!AG430-'Inl. wetlands'!AF430</f>
        <v>0</v>
      </c>
      <c r="Z157" s="388">
        <f>'Inl. wetlands'!AE444-'Inl. wetlands'!AD444+'Inl. wetlands'!AE458-'Inl. wetlands'!AD458</f>
        <v>0</v>
      </c>
      <c r="AB157" t="str">
        <f t="shared" si="340"/>
        <v>ok</v>
      </c>
      <c r="AC157">
        <f>IF('6.Inland wetlands'!CA155&lt;&gt;0,'6.Inland wetlands'!CA155,'6.Inland wetlands'!BZ155)</f>
        <v>1</v>
      </c>
      <c r="AD157">
        <f t="shared" si="371"/>
        <v>5</v>
      </c>
      <c r="AE157" s="4357" t="str">
        <f>'6.Inland wetlands'!O155</f>
        <v>D</v>
      </c>
      <c r="AF157" s="4357" t="str">
        <f>'6.Inland wetlands'!Q155</f>
        <v>D</v>
      </c>
      <c r="AG157" s="4357" t="str">
        <f t="shared" si="374"/>
        <v>D</v>
      </c>
      <c r="AH157" s="4357">
        <f>((E157/(time_cap+((AD157-AC157+1)*VLOOKUP(AG157,list!$I$48:$K$50,3, FALSE))))*(AD157-AC157+1)*VLOOKUP(AG157,list!$I$48:$K$50,3, FALSE))</f>
        <v>0</v>
      </c>
      <c r="AI157" s="4357">
        <f>((E157/(time_cap+((AD157-AC157+1)*VLOOKUP(AG157,list!$I$48:$K$50,3, FALSE))))*time_cap)</f>
        <v>0</v>
      </c>
      <c r="AK157" s="4357">
        <f t="shared" ref="AK157:BP157" si="377">IFERROR(IF((time+time_cap)&lt;AK$2, 0,IF(AND(time+1&gt;=AL$2, $AC157&lt;AL$2), IF($AG157= "I", $AH157/($AD157-$AC157+1), $AH157/(($AD157*($AD157+1)/2)-(($AC157-1)*($AC157-1+1)/2))*AK$2), 0)+IF(IF(time+1&gt;=AL$2, $AI157/time_cap/(time+1)*AK$2, 0) = 0, $AI157/(time_cap),0)),0)</f>
        <v>0</v>
      </c>
      <c r="AL157" s="4357">
        <f t="shared" si="377"/>
        <v>0</v>
      </c>
      <c r="AM157" s="4357">
        <f t="shared" si="377"/>
        <v>0</v>
      </c>
      <c r="AN157" s="4357">
        <f t="shared" si="377"/>
        <v>0</v>
      </c>
      <c r="AO157" s="4357">
        <f t="shared" si="377"/>
        <v>0</v>
      </c>
      <c r="AP157" s="4357">
        <f t="shared" si="377"/>
        <v>0</v>
      </c>
      <c r="AQ157" s="4357">
        <f t="shared" si="377"/>
        <v>0</v>
      </c>
      <c r="AR157" s="4357">
        <f t="shared" si="377"/>
        <v>0</v>
      </c>
      <c r="AS157" s="4357">
        <f t="shared" si="377"/>
        <v>0</v>
      </c>
      <c r="AT157" s="4357">
        <f t="shared" si="377"/>
        <v>0</v>
      </c>
      <c r="AU157" s="4357">
        <f t="shared" si="377"/>
        <v>0</v>
      </c>
      <c r="AV157" s="4357">
        <f t="shared" si="377"/>
        <v>0</v>
      </c>
      <c r="AW157" s="4357">
        <f t="shared" si="377"/>
        <v>0</v>
      </c>
      <c r="AX157" s="4357">
        <f t="shared" si="377"/>
        <v>0</v>
      </c>
      <c r="AY157" s="4357">
        <f t="shared" si="377"/>
        <v>0</v>
      </c>
      <c r="AZ157" s="4357">
        <f t="shared" si="377"/>
        <v>0</v>
      </c>
      <c r="BA157" s="4357">
        <f t="shared" si="377"/>
        <v>0</v>
      </c>
      <c r="BB157" s="4357">
        <f t="shared" si="377"/>
        <v>0</v>
      </c>
      <c r="BC157" s="4357">
        <f t="shared" si="377"/>
        <v>0</v>
      </c>
      <c r="BD157" s="4357">
        <f t="shared" si="377"/>
        <v>0</v>
      </c>
      <c r="BE157" s="4357">
        <f t="shared" si="377"/>
        <v>0</v>
      </c>
      <c r="BF157" s="4357">
        <f t="shared" si="377"/>
        <v>0</v>
      </c>
      <c r="BG157" s="4357">
        <f t="shared" si="377"/>
        <v>0</v>
      </c>
      <c r="BH157" s="4357">
        <f t="shared" si="377"/>
        <v>0</v>
      </c>
      <c r="BI157" s="4357">
        <f t="shared" si="377"/>
        <v>0</v>
      </c>
      <c r="BJ157" s="4357">
        <f t="shared" si="377"/>
        <v>0</v>
      </c>
      <c r="BK157" s="4357">
        <f t="shared" si="377"/>
        <v>0</v>
      </c>
      <c r="BL157" s="4357">
        <f t="shared" si="377"/>
        <v>0</v>
      </c>
      <c r="BM157" s="4357">
        <f t="shared" si="377"/>
        <v>0</v>
      </c>
      <c r="BN157" s="4357">
        <f t="shared" si="377"/>
        <v>0</v>
      </c>
      <c r="BO157" s="4357">
        <f t="shared" si="377"/>
        <v>0</v>
      </c>
      <c r="BP157" s="4357">
        <f t="shared" si="377"/>
        <v>0</v>
      </c>
      <c r="BQ157" s="4357">
        <f t="shared" ref="BQ157:CH157" si="378">IFERROR(IF((time+time_cap)&lt;BQ$2, 0,IF(AND(time+1&gt;=BR$2, $AC157&lt;BR$2), IF($AG157= "I", $AH157/($AD157-$AC157+1), $AH157/(($AD157*($AD157+1)/2)-(($AC157-1)*($AC157-1+1)/2))*BQ$2), 0)+IF(IF(time+1&gt;=BR$2, $AI157/time_cap/(time+1)*BQ$2, 0) = 0, $AI157/(time_cap),0)),0)</f>
        <v>0</v>
      </c>
      <c r="BR157" s="4357">
        <f t="shared" si="378"/>
        <v>0</v>
      </c>
      <c r="BS157" s="4357">
        <f t="shared" si="378"/>
        <v>0</v>
      </c>
      <c r="BT157" s="4357">
        <f t="shared" si="378"/>
        <v>0</v>
      </c>
      <c r="BU157" s="4357">
        <f t="shared" si="378"/>
        <v>0</v>
      </c>
      <c r="BV157" s="4357">
        <f t="shared" si="378"/>
        <v>0</v>
      </c>
      <c r="BW157" s="4357">
        <f t="shared" si="378"/>
        <v>0</v>
      </c>
      <c r="BX157" s="4357">
        <f t="shared" si="378"/>
        <v>0</v>
      </c>
      <c r="BY157" s="4357">
        <f t="shared" si="378"/>
        <v>0</v>
      </c>
      <c r="BZ157" s="4357">
        <f t="shared" si="378"/>
        <v>0</v>
      </c>
      <c r="CA157" s="4357">
        <f t="shared" si="378"/>
        <v>0</v>
      </c>
      <c r="CB157" s="4357">
        <f t="shared" si="378"/>
        <v>0</v>
      </c>
      <c r="CC157" s="4357">
        <f t="shared" si="378"/>
        <v>0</v>
      </c>
      <c r="CD157" s="4357">
        <f t="shared" si="378"/>
        <v>0</v>
      </c>
      <c r="CE157" s="4357">
        <f t="shared" si="378"/>
        <v>0</v>
      </c>
      <c r="CF157" s="4357">
        <f t="shared" si="378"/>
        <v>0</v>
      </c>
      <c r="CG157" s="4357">
        <f t="shared" si="378"/>
        <v>0</v>
      </c>
      <c r="CH157" s="4357">
        <f t="shared" si="378"/>
        <v>0</v>
      </c>
      <c r="CI157" s="4357"/>
      <c r="CJ157" s="4357"/>
      <c r="CK157" s="4357"/>
      <c r="CL157" s="4357"/>
      <c r="CM157" s="4357"/>
      <c r="CN157" s="4357"/>
      <c r="CO157" s="4357"/>
      <c r="CP157" s="4357"/>
      <c r="CQ157" s="4357"/>
      <c r="CR157" s="4357"/>
      <c r="CS157" s="4357"/>
      <c r="CT157" s="4357"/>
      <c r="CU157" s="4357"/>
      <c r="CV157" s="4357"/>
      <c r="CW157" s="4357"/>
      <c r="CX157" s="4357"/>
      <c r="CY157" s="4357"/>
      <c r="CZ157" s="4357"/>
      <c r="DA157" s="4357"/>
      <c r="DB157" s="4357"/>
      <c r="DC157" s="4357"/>
      <c r="DD157" s="4357"/>
      <c r="DE157" s="4357"/>
      <c r="DF157" s="4357"/>
      <c r="DG157" s="4357"/>
      <c r="DH157" s="4357"/>
      <c r="DI157" s="4357"/>
      <c r="DJ157" s="4357"/>
      <c r="DK157" s="4357"/>
      <c r="DL157" s="4357"/>
      <c r="DM157" s="4357"/>
      <c r="DN157" s="4357"/>
      <c r="DO157" s="4357"/>
      <c r="DP157" s="4357"/>
      <c r="DQ157" s="4357"/>
      <c r="DR157" s="4357"/>
      <c r="DS157" s="4357"/>
      <c r="DT157" s="4357"/>
      <c r="DU157" s="4357"/>
      <c r="DV157" s="4357"/>
      <c r="DW157" s="4357"/>
      <c r="DX157" s="4357"/>
      <c r="DY157" s="4357"/>
      <c r="DZ157" s="4357"/>
      <c r="EA157" s="4357"/>
      <c r="EB157" s="4357"/>
      <c r="EC157" s="4357"/>
      <c r="ED157" s="4357"/>
      <c r="EE157" s="4357"/>
      <c r="EF157" s="4357"/>
    </row>
    <row r="158" spans="1:136" ht="16" x14ac:dyDescent="0.2">
      <c r="A158" t="s">
        <v>3004</v>
      </c>
      <c r="B158" t="s">
        <v>3235</v>
      </c>
      <c r="C158">
        <f>'6.Inland wetlands'!C176</f>
        <v>0</v>
      </c>
      <c r="D158" t="str">
        <f>'6.Inland wetlands'!I176</f>
        <v>Nutrient-rich</v>
      </c>
      <c r="E158">
        <f>'6.Inland wetlands'!AH176</f>
        <v>110480.04154761904</v>
      </c>
      <c r="F158" s="388">
        <v>0</v>
      </c>
      <c r="I158" s="388">
        <f>'Inl. wetlands'!AC478-'Inl. wetlands'!AB478</f>
        <v>285.08333333333212</v>
      </c>
      <c r="J158" s="388">
        <f>'Inl. wetlands'!AJ488-'Inl. wetlands'!AI488</f>
        <v>110000</v>
      </c>
      <c r="R158" s="388">
        <f>'Inl. wetlands'!AG478-'Inl. wetlands'!AF478</f>
        <v>3.1232142857143117</v>
      </c>
      <c r="Z158" s="388">
        <f>'Inl. wetlands'!AE478-'Inl. wetlands'!AD478</f>
        <v>191.83499999999913</v>
      </c>
      <c r="AB158" t="str">
        <f t="shared" si="340"/>
        <v>ok</v>
      </c>
      <c r="AC158">
        <f>IF('6.Inland wetlands'!CA175&lt;&gt;0,'6.Inland wetlands'!CA175,'6.Inland wetlands'!BZ175)</f>
        <v>1</v>
      </c>
      <c r="AD158">
        <f t="shared" si="371"/>
        <v>5</v>
      </c>
      <c r="AE158" s="4357" t="str">
        <f>'6.Inland wetlands'!O176</f>
        <v>D</v>
      </c>
      <c r="AF158" s="4357" t="str">
        <f>'6.Inland wetlands'!Q176</f>
        <v>D</v>
      </c>
      <c r="AG158" s="4357" t="str">
        <f t="shared" si="374"/>
        <v>D</v>
      </c>
      <c r="AH158" s="4357">
        <f>((E158/(time_cap+((AD158-AC158+1)*VLOOKUP(AG158,list!$I$48:$K$50,3, FALSE))))*(AD158-AC158+1)*VLOOKUP(AG158,list!$I$48:$K$50,3, FALSE))</f>
        <v>22096.008309523808</v>
      </c>
      <c r="AI158" s="4357">
        <f>((E158/(time_cap+((AD158-AC158+1)*VLOOKUP(AG158,list!$I$48:$K$50,3, FALSE))))*time_cap)</f>
        <v>88384.033238095231</v>
      </c>
      <c r="AK158" s="4357">
        <f t="shared" ref="AK158:BP158" si="379">IFERROR(IF((time+time_cap)&lt;AK$2, 0,IF(AND(time+1&gt;=AL$2, $AC158&lt;AL$2), IF($AG158= "I", $AH158/($AD158-$AC158+1), $AH158/(($AD158*($AD158+1)/2)-(($AC158-1)*($AC158-1+1)/2))*AK$2), 0)+IF(IF(time+1&gt;=AL$2, $AI158/time_cap/(time+1)*AK$2, 0) = 0, $AI158/(time_cap),0)),0)</f>
        <v>1473.0672206349204</v>
      </c>
      <c r="AL158" s="4357">
        <f t="shared" si="379"/>
        <v>2946.1344412698409</v>
      </c>
      <c r="AM158" s="4357">
        <f t="shared" si="379"/>
        <v>4419.2016619047608</v>
      </c>
      <c r="AN158" s="4357">
        <f t="shared" si="379"/>
        <v>5892.2688825396817</v>
      </c>
      <c r="AO158" s="4357">
        <f t="shared" si="379"/>
        <v>7365.3361031746026</v>
      </c>
      <c r="AP158" s="4357">
        <f t="shared" si="379"/>
        <v>8838.4033238095235</v>
      </c>
      <c r="AQ158" s="4357">
        <f t="shared" si="379"/>
        <v>8838.4033238095235</v>
      </c>
      <c r="AR158" s="4357">
        <f t="shared" si="379"/>
        <v>8838.4033238095235</v>
      </c>
      <c r="AS158" s="4357">
        <f t="shared" si="379"/>
        <v>8838.4033238095235</v>
      </c>
      <c r="AT158" s="4357">
        <f t="shared" si="379"/>
        <v>8838.4033238095235</v>
      </c>
      <c r="AU158" s="4357">
        <f t="shared" si="379"/>
        <v>8838.4033238095235</v>
      </c>
      <c r="AV158" s="4357">
        <f t="shared" si="379"/>
        <v>8838.4033238095235</v>
      </c>
      <c r="AW158" s="4357">
        <f t="shared" si="379"/>
        <v>8838.4033238095235</v>
      </c>
      <c r="AX158" s="4357">
        <f t="shared" si="379"/>
        <v>8838.4033238095235</v>
      </c>
      <c r="AY158" s="4357">
        <f t="shared" si="379"/>
        <v>8838.4033238095235</v>
      </c>
      <c r="AZ158" s="4357">
        <f t="shared" si="379"/>
        <v>0</v>
      </c>
      <c r="BA158" s="4357">
        <f t="shared" si="379"/>
        <v>0</v>
      </c>
      <c r="BB158" s="4357">
        <f t="shared" si="379"/>
        <v>0</v>
      </c>
      <c r="BC158" s="4357">
        <f t="shared" si="379"/>
        <v>0</v>
      </c>
      <c r="BD158" s="4357">
        <f t="shared" si="379"/>
        <v>0</v>
      </c>
      <c r="BE158" s="4357">
        <f t="shared" si="379"/>
        <v>0</v>
      </c>
      <c r="BF158" s="4357">
        <f t="shared" si="379"/>
        <v>0</v>
      </c>
      <c r="BG158" s="4357">
        <f t="shared" si="379"/>
        <v>0</v>
      </c>
      <c r="BH158" s="4357">
        <f t="shared" si="379"/>
        <v>0</v>
      </c>
      <c r="BI158" s="4357">
        <f t="shared" si="379"/>
        <v>0</v>
      </c>
      <c r="BJ158" s="4357">
        <f t="shared" si="379"/>
        <v>0</v>
      </c>
      <c r="BK158" s="4357">
        <f t="shared" si="379"/>
        <v>0</v>
      </c>
      <c r="BL158" s="4357">
        <f t="shared" si="379"/>
        <v>0</v>
      </c>
      <c r="BM158" s="4357">
        <f t="shared" si="379"/>
        <v>0</v>
      </c>
      <c r="BN158" s="4357">
        <f t="shared" si="379"/>
        <v>0</v>
      </c>
      <c r="BO158" s="4357">
        <f t="shared" si="379"/>
        <v>0</v>
      </c>
      <c r="BP158" s="4357">
        <f t="shared" si="379"/>
        <v>0</v>
      </c>
      <c r="BQ158" s="4357">
        <f t="shared" ref="BQ158:CH158" si="380">IFERROR(IF((time+time_cap)&lt;BQ$2, 0,IF(AND(time+1&gt;=BR$2, $AC158&lt;BR$2), IF($AG158= "I", $AH158/($AD158-$AC158+1), $AH158/(($AD158*($AD158+1)/2)-(($AC158-1)*($AC158-1+1)/2))*BQ$2), 0)+IF(IF(time+1&gt;=BR$2, $AI158/time_cap/(time+1)*BQ$2, 0) = 0, $AI158/(time_cap),0)),0)</f>
        <v>0</v>
      </c>
      <c r="BR158" s="4357">
        <f t="shared" si="380"/>
        <v>0</v>
      </c>
      <c r="BS158" s="4357">
        <f t="shared" si="380"/>
        <v>0</v>
      </c>
      <c r="BT158" s="4357">
        <f t="shared" si="380"/>
        <v>0</v>
      </c>
      <c r="BU158" s="4357">
        <f t="shared" si="380"/>
        <v>0</v>
      </c>
      <c r="BV158" s="4357">
        <f t="shared" si="380"/>
        <v>0</v>
      </c>
      <c r="BW158" s="4357">
        <f t="shared" si="380"/>
        <v>0</v>
      </c>
      <c r="BX158" s="4357">
        <f t="shared" si="380"/>
        <v>0</v>
      </c>
      <c r="BY158" s="4357">
        <f t="shared" si="380"/>
        <v>0</v>
      </c>
      <c r="BZ158" s="4357">
        <f t="shared" si="380"/>
        <v>0</v>
      </c>
      <c r="CA158" s="4357">
        <f t="shared" si="380"/>
        <v>0</v>
      </c>
      <c r="CB158" s="4357">
        <f t="shared" si="380"/>
        <v>0</v>
      </c>
      <c r="CC158" s="4357">
        <f t="shared" si="380"/>
        <v>0</v>
      </c>
      <c r="CD158" s="4357">
        <f t="shared" si="380"/>
        <v>0</v>
      </c>
      <c r="CE158" s="4357">
        <f t="shared" si="380"/>
        <v>0</v>
      </c>
      <c r="CF158" s="4357">
        <f t="shared" si="380"/>
        <v>0</v>
      </c>
      <c r="CG158" s="4357">
        <f t="shared" si="380"/>
        <v>0</v>
      </c>
      <c r="CH158" s="4357">
        <f t="shared" si="380"/>
        <v>0</v>
      </c>
      <c r="CI158" s="4357"/>
      <c r="CJ158" s="4357"/>
      <c r="CK158" s="4357"/>
      <c r="CL158" s="4357"/>
      <c r="CM158" s="4357"/>
      <c r="CN158" s="4357"/>
      <c r="CO158" s="4357"/>
      <c r="CP158" s="4357"/>
      <c r="CQ158" s="4357"/>
      <c r="CR158" s="4357"/>
      <c r="CS158" s="4357"/>
      <c r="CT158" s="4357"/>
      <c r="CU158" s="4357"/>
      <c r="CV158" s="4357"/>
      <c r="CW158" s="4357"/>
      <c r="CX158" s="4357"/>
      <c r="CY158" s="4357"/>
      <c r="CZ158" s="4357"/>
      <c r="DA158" s="4357"/>
      <c r="DB158" s="4357"/>
      <c r="DC158" s="4357"/>
      <c r="DD158" s="4357"/>
      <c r="DE158" s="4357"/>
      <c r="DF158" s="4357"/>
      <c r="DG158" s="4357"/>
      <c r="DH158" s="4357"/>
      <c r="DI158" s="4357"/>
      <c r="DJ158" s="4357"/>
      <c r="DK158" s="4357"/>
      <c r="DL158" s="4357"/>
      <c r="DM158" s="4357"/>
      <c r="DN158" s="4357"/>
      <c r="DO158" s="4357"/>
      <c r="DP158" s="4357"/>
      <c r="DQ158" s="4357"/>
      <c r="DR158" s="4357"/>
      <c r="DS158" s="4357"/>
      <c r="DT158" s="4357"/>
      <c r="DU158" s="4357"/>
      <c r="DV158" s="4357"/>
      <c r="DW158" s="4357"/>
      <c r="DX158" s="4357"/>
      <c r="DY158" s="4357"/>
      <c r="DZ158" s="4357"/>
      <c r="EA158" s="4357"/>
      <c r="EB158" s="4357"/>
      <c r="EC158" s="4357"/>
      <c r="ED158" s="4357"/>
      <c r="EE158" s="4357"/>
      <c r="EF158" s="4357"/>
    </row>
    <row r="159" spans="1:136" ht="16" x14ac:dyDescent="0.2">
      <c r="A159" t="s">
        <v>3004</v>
      </c>
      <c r="B159" t="s">
        <v>3235</v>
      </c>
      <c r="C159">
        <f>'6.Inland wetlands'!C177</f>
        <v>0</v>
      </c>
      <c r="D159" t="str">
        <f>'6.Inland wetlands'!I177</f>
        <v>Please select</v>
      </c>
      <c r="E159">
        <f>'6.Inland wetlands'!AH177</f>
        <v>0</v>
      </c>
      <c r="F159" s="388">
        <v>0</v>
      </c>
      <c r="I159" s="388">
        <f>'Inl. wetlands'!AC479-'Inl. wetlands'!AB479</f>
        <v>0</v>
      </c>
      <c r="J159" s="388">
        <f>'Inl. wetlands'!AJ489-'Inl. wetlands'!AI489</f>
        <v>0</v>
      </c>
      <c r="R159" s="388">
        <f>'Inl. wetlands'!AG479-'Inl. wetlands'!AF479</f>
        <v>0</v>
      </c>
      <c r="Z159" s="388">
        <f>'Inl. wetlands'!AE479-'Inl. wetlands'!AD479</f>
        <v>0</v>
      </c>
      <c r="AB159" t="str">
        <f t="shared" si="340"/>
        <v>ok</v>
      </c>
      <c r="AC159">
        <f>IF('6.Inland wetlands'!CA176&lt;&gt;0,'6.Inland wetlands'!CA176,'6.Inland wetlands'!BZ176)</f>
        <v>1</v>
      </c>
      <c r="AD159">
        <f t="shared" si="371"/>
        <v>5</v>
      </c>
      <c r="AE159" s="4357" t="str">
        <f>'6.Inland wetlands'!O177</f>
        <v>D</v>
      </c>
      <c r="AF159" s="4357" t="str">
        <f>'6.Inland wetlands'!Q177</f>
        <v>D</v>
      </c>
      <c r="AG159" s="4357" t="str">
        <f t="shared" si="374"/>
        <v>D</v>
      </c>
      <c r="AH159" s="4357">
        <f>((E159/(time_cap+((AD159-AC159+1)*VLOOKUP(AG159,list!$I$48:$K$50,3, FALSE))))*(AD159-AC159+1)*VLOOKUP(AG159,list!$I$48:$K$50,3, FALSE))</f>
        <v>0</v>
      </c>
      <c r="AI159" s="4357">
        <f>((E159/(time_cap+((AD159-AC159+1)*VLOOKUP(AG159,list!$I$48:$K$50,3, FALSE))))*time_cap)</f>
        <v>0</v>
      </c>
      <c r="AK159" s="4357">
        <f t="shared" ref="AK159:BP159" si="381">IFERROR(IF((time+time_cap)&lt;AK$2, 0,IF(AND(time+1&gt;=AL$2, $AC159&lt;AL$2), IF($AG159= "I", $AH159/($AD159-$AC159+1), $AH159/(($AD159*($AD159+1)/2)-(($AC159-1)*($AC159-1+1)/2))*AK$2), 0)+IF(IF(time+1&gt;=AL$2, $AI159/time_cap/(time+1)*AK$2, 0) = 0, $AI159/(time_cap),0)),0)</f>
        <v>0</v>
      </c>
      <c r="AL159" s="4357">
        <f t="shared" si="381"/>
        <v>0</v>
      </c>
      <c r="AM159" s="4357">
        <f t="shared" si="381"/>
        <v>0</v>
      </c>
      <c r="AN159" s="4357">
        <f t="shared" si="381"/>
        <v>0</v>
      </c>
      <c r="AO159" s="4357">
        <f t="shared" si="381"/>
        <v>0</v>
      </c>
      <c r="AP159" s="4357">
        <f t="shared" si="381"/>
        <v>0</v>
      </c>
      <c r="AQ159" s="4357">
        <f t="shared" si="381"/>
        <v>0</v>
      </c>
      <c r="AR159" s="4357">
        <f t="shared" si="381"/>
        <v>0</v>
      </c>
      <c r="AS159" s="4357">
        <f t="shared" si="381"/>
        <v>0</v>
      </c>
      <c r="AT159" s="4357">
        <f t="shared" si="381"/>
        <v>0</v>
      </c>
      <c r="AU159" s="4357">
        <f t="shared" si="381"/>
        <v>0</v>
      </c>
      <c r="AV159" s="4357">
        <f t="shared" si="381"/>
        <v>0</v>
      </c>
      <c r="AW159" s="4357">
        <f t="shared" si="381"/>
        <v>0</v>
      </c>
      <c r="AX159" s="4357">
        <f t="shared" si="381"/>
        <v>0</v>
      </c>
      <c r="AY159" s="4357">
        <f t="shared" si="381"/>
        <v>0</v>
      </c>
      <c r="AZ159" s="4357">
        <f t="shared" si="381"/>
        <v>0</v>
      </c>
      <c r="BA159" s="4357">
        <f t="shared" si="381"/>
        <v>0</v>
      </c>
      <c r="BB159" s="4357">
        <f t="shared" si="381"/>
        <v>0</v>
      </c>
      <c r="BC159" s="4357">
        <f t="shared" si="381"/>
        <v>0</v>
      </c>
      <c r="BD159" s="4357">
        <f t="shared" si="381"/>
        <v>0</v>
      </c>
      <c r="BE159" s="4357">
        <f t="shared" si="381"/>
        <v>0</v>
      </c>
      <c r="BF159" s="4357">
        <f t="shared" si="381"/>
        <v>0</v>
      </c>
      <c r="BG159" s="4357">
        <f t="shared" si="381"/>
        <v>0</v>
      </c>
      <c r="BH159" s="4357">
        <f t="shared" si="381"/>
        <v>0</v>
      </c>
      <c r="BI159" s="4357">
        <f t="shared" si="381"/>
        <v>0</v>
      </c>
      <c r="BJ159" s="4357">
        <f t="shared" si="381"/>
        <v>0</v>
      </c>
      <c r="BK159" s="4357">
        <f t="shared" si="381"/>
        <v>0</v>
      </c>
      <c r="BL159" s="4357">
        <f t="shared" si="381"/>
        <v>0</v>
      </c>
      <c r="BM159" s="4357">
        <f t="shared" si="381"/>
        <v>0</v>
      </c>
      <c r="BN159" s="4357">
        <f t="shared" si="381"/>
        <v>0</v>
      </c>
      <c r="BO159" s="4357">
        <f t="shared" si="381"/>
        <v>0</v>
      </c>
      <c r="BP159" s="4357">
        <f t="shared" si="381"/>
        <v>0</v>
      </c>
      <c r="BQ159" s="4357">
        <f t="shared" ref="BQ159:CH159" si="382">IFERROR(IF((time+time_cap)&lt;BQ$2, 0,IF(AND(time+1&gt;=BR$2, $AC159&lt;BR$2), IF($AG159= "I", $AH159/($AD159-$AC159+1), $AH159/(($AD159*($AD159+1)/2)-(($AC159-1)*($AC159-1+1)/2))*BQ$2), 0)+IF(IF(time+1&gt;=BR$2, $AI159/time_cap/(time+1)*BQ$2, 0) = 0, $AI159/(time_cap),0)),0)</f>
        <v>0</v>
      </c>
      <c r="BR159" s="4357">
        <f t="shared" si="382"/>
        <v>0</v>
      </c>
      <c r="BS159" s="4357">
        <f t="shared" si="382"/>
        <v>0</v>
      </c>
      <c r="BT159" s="4357">
        <f t="shared" si="382"/>
        <v>0</v>
      </c>
      <c r="BU159" s="4357">
        <f t="shared" si="382"/>
        <v>0</v>
      </c>
      <c r="BV159" s="4357">
        <f t="shared" si="382"/>
        <v>0</v>
      </c>
      <c r="BW159" s="4357">
        <f t="shared" si="382"/>
        <v>0</v>
      </c>
      <c r="BX159" s="4357">
        <f t="shared" si="382"/>
        <v>0</v>
      </c>
      <c r="BY159" s="4357">
        <f t="shared" si="382"/>
        <v>0</v>
      </c>
      <c r="BZ159" s="4357">
        <f t="shared" si="382"/>
        <v>0</v>
      </c>
      <c r="CA159" s="4357">
        <f t="shared" si="382"/>
        <v>0</v>
      </c>
      <c r="CB159" s="4357">
        <f t="shared" si="382"/>
        <v>0</v>
      </c>
      <c r="CC159" s="4357">
        <f t="shared" si="382"/>
        <v>0</v>
      </c>
      <c r="CD159" s="4357">
        <f t="shared" si="382"/>
        <v>0</v>
      </c>
      <c r="CE159" s="4357">
        <f t="shared" si="382"/>
        <v>0</v>
      </c>
      <c r="CF159" s="4357">
        <f t="shared" si="382"/>
        <v>0</v>
      </c>
      <c r="CG159" s="4357">
        <f t="shared" si="382"/>
        <v>0</v>
      </c>
      <c r="CH159" s="4357">
        <f t="shared" si="382"/>
        <v>0</v>
      </c>
      <c r="CI159" s="4357"/>
      <c r="CJ159" s="4357"/>
      <c r="CK159" s="4357"/>
      <c r="CL159" s="4357"/>
      <c r="CM159" s="4357"/>
      <c r="CN159" s="4357"/>
      <c r="CO159" s="4357"/>
      <c r="CP159" s="4357"/>
      <c r="CQ159" s="4357"/>
      <c r="CR159" s="4357"/>
      <c r="CS159" s="4357"/>
      <c r="CT159" s="4357"/>
      <c r="CU159" s="4357"/>
      <c r="CV159" s="4357"/>
      <c r="CW159" s="4357"/>
      <c r="CX159" s="4357"/>
      <c r="CY159" s="4357"/>
      <c r="CZ159" s="4357"/>
      <c r="DA159" s="4357"/>
      <c r="DB159" s="4357"/>
      <c r="DC159" s="4357"/>
      <c r="DD159" s="4357"/>
      <c r="DE159" s="4357"/>
      <c r="DF159" s="4357"/>
      <c r="DG159" s="4357"/>
      <c r="DH159" s="4357"/>
      <c r="DI159" s="4357"/>
      <c r="DJ159" s="4357"/>
      <c r="DK159" s="4357"/>
      <c r="DL159" s="4357"/>
      <c r="DM159" s="4357"/>
      <c r="DN159" s="4357"/>
      <c r="DO159" s="4357"/>
      <c r="DP159" s="4357"/>
      <c r="DQ159" s="4357"/>
      <c r="DR159" s="4357"/>
      <c r="DS159" s="4357"/>
      <c r="DT159" s="4357"/>
      <c r="DU159" s="4357"/>
      <c r="DV159" s="4357"/>
      <c r="DW159" s="4357"/>
      <c r="DX159" s="4357"/>
      <c r="DY159" s="4357"/>
      <c r="DZ159" s="4357"/>
      <c r="EA159" s="4357"/>
      <c r="EB159" s="4357"/>
      <c r="EC159" s="4357"/>
      <c r="ED159" s="4357"/>
      <c r="EE159" s="4357"/>
      <c r="EF159" s="4357"/>
    </row>
    <row r="160" spans="1:136" ht="16" x14ac:dyDescent="0.2">
      <c r="A160" t="s">
        <v>3004</v>
      </c>
      <c r="B160" t="s">
        <v>3235</v>
      </c>
      <c r="C160">
        <f>'6.Inland wetlands'!C178</f>
        <v>0</v>
      </c>
      <c r="D160" t="str">
        <f>'6.Inland wetlands'!I178</f>
        <v>Please select</v>
      </c>
      <c r="E160">
        <f>'6.Inland wetlands'!AH178</f>
        <v>0</v>
      </c>
      <c r="F160" s="388">
        <v>0</v>
      </c>
      <c r="I160" s="388">
        <f>'Inl. wetlands'!AC480-'Inl. wetlands'!AB480</f>
        <v>0</v>
      </c>
      <c r="J160" s="388">
        <f>'Inl. wetlands'!AJ490-'Inl. wetlands'!AI490</f>
        <v>0</v>
      </c>
      <c r="R160" s="388">
        <f>'Inl. wetlands'!AG480-'Inl. wetlands'!AF480</f>
        <v>0</v>
      </c>
      <c r="Z160" s="388">
        <f>'Inl. wetlands'!AE480-'Inl. wetlands'!AD480</f>
        <v>0</v>
      </c>
      <c r="AB160" t="str">
        <f t="shared" si="340"/>
        <v>ok</v>
      </c>
      <c r="AC160">
        <f>IF('6.Inland wetlands'!CA177&lt;&gt;0,'6.Inland wetlands'!CA177,'6.Inland wetlands'!BZ177)</f>
        <v>1</v>
      </c>
      <c r="AD160">
        <f t="shared" si="371"/>
        <v>5</v>
      </c>
      <c r="AE160" s="4357" t="str">
        <f>'6.Inland wetlands'!O178</f>
        <v>D</v>
      </c>
      <c r="AF160" s="4357" t="str">
        <f>'6.Inland wetlands'!Q178</f>
        <v>D</v>
      </c>
      <c r="AG160" s="4357" t="str">
        <f t="shared" si="374"/>
        <v>D</v>
      </c>
      <c r="AH160" s="4357">
        <f>((E160/(time_cap+((AD160-AC160+1)*VLOOKUP(AG160,list!$I$48:$K$50,3, FALSE))))*(AD160-AC160+1)*VLOOKUP(AG160,list!$I$48:$K$50,3, FALSE))</f>
        <v>0</v>
      </c>
      <c r="AI160" s="4357">
        <f>((E160/(time_cap+((AD160-AC160+1)*VLOOKUP(AG160,list!$I$48:$K$50,3, FALSE))))*time_cap)</f>
        <v>0</v>
      </c>
      <c r="AK160" s="4357">
        <f t="shared" ref="AK160:BP160" si="383">IFERROR(IF((time+time_cap)&lt;AK$2, 0,IF(AND(time+1&gt;=AL$2, $AC160&lt;AL$2), IF($AG160= "I", $AH160/($AD160-$AC160+1), $AH160/(($AD160*($AD160+1)/2)-(($AC160-1)*($AC160-1+1)/2))*AK$2), 0)+IF(IF(time+1&gt;=AL$2, $AI160/time_cap/(time+1)*AK$2, 0) = 0, $AI160/(time_cap),0)),0)</f>
        <v>0</v>
      </c>
      <c r="AL160" s="4357">
        <f t="shared" si="383"/>
        <v>0</v>
      </c>
      <c r="AM160" s="4357">
        <f t="shared" si="383"/>
        <v>0</v>
      </c>
      <c r="AN160" s="4357">
        <f t="shared" si="383"/>
        <v>0</v>
      </c>
      <c r="AO160" s="4357">
        <f t="shared" si="383"/>
        <v>0</v>
      </c>
      <c r="AP160" s="4357">
        <f t="shared" si="383"/>
        <v>0</v>
      </c>
      <c r="AQ160" s="4357">
        <f t="shared" si="383"/>
        <v>0</v>
      </c>
      <c r="AR160" s="4357">
        <f t="shared" si="383"/>
        <v>0</v>
      </c>
      <c r="AS160" s="4357">
        <f t="shared" si="383"/>
        <v>0</v>
      </c>
      <c r="AT160" s="4357">
        <f t="shared" si="383"/>
        <v>0</v>
      </c>
      <c r="AU160" s="4357">
        <f t="shared" si="383"/>
        <v>0</v>
      </c>
      <c r="AV160" s="4357">
        <f t="shared" si="383"/>
        <v>0</v>
      </c>
      <c r="AW160" s="4357">
        <f t="shared" si="383"/>
        <v>0</v>
      </c>
      <c r="AX160" s="4357">
        <f t="shared" si="383"/>
        <v>0</v>
      </c>
      <c r="AY160" s="4357">
        <f t="shared" si="383"/>
        <v>0</v>
      </c>
      <c r="AZ160" s="4357">
        <f t="shared" si="383"/>
        <v>0</v>
      </c>
      <c r="BA160" s="4357">
        <f t="shared" si="383"/>
        <v>0</v>
      </c>
      <c r="BB160" s="4357">
        <f t="shared" si="383"/>
        <v>0</v>
      </c>
      <c r="BC160" s="4357">
        <f t="shared" si="383"/>
        <v>0</v>
      </c>
      <c r="BD160" s="4357">
        <f t="shared" si="383"/>
        <v>0</v>
      </c>
      <c r="BE160" s="4357">
        <f t="shared" si="383"/>
        <v>0</v>
      </c>
      <c r="BF160" s="4357">
        <f t="shared" si="383"/>
        <v>0</v>
      </c>
      <c r="BG160" s="4357">
        <f t="shared" si="383"/>
        <v>0</v>
      </c>
      <c r="BH160" s="4357">
        <f t="shared" si="383"/>
        <v>0</v>
      </c>
      <c r="BI160" s="4357">
        <f t="shared" si="383"/>
        <v>0</v>
      </c>
      <c r="BJ160" s="4357">
        <f t="shared" si="383"/>
        <v>0</v>
      </c>
      <c r="BK160" s="4357">
        <f t="shared" si="383"/>
        <v>0</v>
      </c>
      <c r="BL160" s="4357">
        <f t="shared" si="383"/>
        <v>0</v>
      </c>
      <c r="BM160" s="4357">
        <f t="shared" si="383"/>
        <v>0</v>
      </c>
      <c r="BN160" s="4357">
        <f t="shared" si="383"/>
        <v>0</v>
      </c>
      <c r="BO160" s="4357">
        <f t="shared" si="383"/>
        <v>0</v>
      </c>
      <c r="BP160" s="4357">
        <f t="shared" si="383"/>
        <v>0</v>
      </c>
      <c r="BQ160" s="4357">
        <f t="shared" ref="BQ160:CH160" si="384">IFERROR(IF((time+time_cap)&lt;BQ$2, 0,IF(AND(time+1&gt;=BR$2, $AC160&lt;BR$2), IF($AG160= "I", $AH160/($AD160-$AC160+1), $AH160/(($AD160*($AD160+1)/2)-(($AC160-1)*($AC160-1+1)/2))*BQ$2), 0)+IF(IF(time+1&gt;=BR$2, $AI160/time_cap/(time+1)*BQ$2, 0) = 0, $AI160/(time_cap),0)),0)</f>
        <v>0</v>
      </c>
      <c r="BR160" s="4357">
        <f t="shared" si="384"/>
        <v>0</v>
      </c>
      <c r="BS160" s="4357">
        <f t="shared" si="384"/>
        <v>0</v>
      </c>
      <c r="BT160" s="4357">
        <f t="shared" si="384"/>
        <v>0</v>
      </c>
      <c r="BU160" s="4357">
        <f t="shared" si="384"/>
        <v>0</v>
      </c>
      <c r="BV160" s="4357">
        <f t="shared" si="384"/>
        <v>0</v>
      </c>
      <c r="BW160" s="4357">
        <f t="shared" si="384"/>
        <v>0</v>
      </c>
      <c r="BX160" s="4357">
        <f t="shared" si="384"/>
        <v>0</v>
      </c>
      <c r="BY160" s="4357">
        <f t="shared" si="384"/>
        <v>0</v>
      </c>
      <c r="BZ160" s="4357">
        <f t="shared" si="384"/>
        <v>0</v>
      </c>
      <c r="CA160" s="4357">
        <f t="shared" si="384"/>
        <v>0</v>
      </c>
      <c r="CB160" s="4357">
        <f t="shared" si="384"/>
        <v>0</v>
      </c>
      <c r="CC160" s="4357">
        <f t="shared" si="384"/>
        <v>0</v>
      </c>
      <c r="CD160" s="4357">
        <f t="shared" si="384"/>
        <v>0</v>
      </c>
      <c r="CE160" s="4357">
        <f t="shared" si="384"/>
        <v>0</v>
      </c>
      <c r="CF160" s="4357">
        <f t="shared" si="384"/>
        <v>0</v>
      </c>
      <c r="CG160" s="4357">
        <f t="shared" si="384"/>
        <v>0</v>
      </c>
      <c r="CH160" s="4357">
        <f t="shared" si="384"/>
        <v>0</v>
      </c>
      <c r="CI160" s="4357"/>
      <c r="CJ160" s="4357"/>
      <c r="CK160" s="4357"/>
      <c r="CL160" s="4357"/>
      <c r="CM160" s="4357"/>
      <c r="CN160" s="4357"/>
      <c r="CO160" s="4357"/>
      <c r="CP160" s="4357"/>
      <c r="CQ160" s="4357"/>
      <c r="CR160" s="4357"/>
      <c r="CS160" s="4357"/>
      <c r="CT160" s="4357"/>
      <c r="CU160" s="4357"/>
      <c r="CV160" s="4357"/>
      <c r="CW160" s="4357"/>
      <c r="CX160" s="4357"/>
      <c r="CY160" s="4357"/>
      <c r="CZ160" s="4357"/>
      <c r="DA160" s="4357"/>
      <c r="DB160" s="4357"/>
      <c r="DC160" s="4357"/>
      <c r="DD160" s="4357"/>
      <c r="DE160" s="4357"/>
      <c r="DF160" s="4357"/>
      <c r="DG160" s="4357"/>
      <c r="DH160" s="4357"/>
      <c r="DI160" s="4357"/>
      <c r="DJ160" s="4357"/>
      <c r="DK160" s="4357"/>
      <c r="DL160" s="4357"/>
      <c r="DM160" s="4357"/>
      <c r="DN160" s="4357"/>
      <c r="DO160" s="4357"/>
      <c r="DP160" s="4357"/>
      <c r="DQ160" s="4357"/>
      <c r="DR160" s="4357"/>
      <c r="DS160" s="4357"/>
      <c r="DT160" s="4357"/>
      <c r="DU160" s="4357"/>
      <c r="DV160" s="4357"/>
      <c r="DW160" s="4357"/>
      <c r="DX160" s="4357"/>
      <c r="DY160" s="4357"/>
      <c r="DZ160" s="4357"/>
      <c r="EA160" s="4357"/>
      <c r="EB160" s="4357"/>
      <c r="EC160" s="4357"/>
      <c r="ED160" s="4357"/>
      <c r="EE160" s="4357"/>
      <c r="EF160" s="4357"/>
    </row>
    <row r="161" spans="1:136" ht="16" x14ac:dyDescent="0.2">
      <c r="A161" t="s">
        <v>3004</v>
      </c>
      <c r="B161" t="s">
        <v>3235</v>
      </c>
      <c r="C161">
        <f>'6.Inland wetlands'!C179</f>
        <v>0</v>
      </c>
      <c r="D161" t="str">
        <f>'6.Inland wetlands'!I179</f>
        <v>Please select</v>
      </c>
      <c r="E161">
        <f>'6.Inland wetlands'!AH179</f>
        <v>0</v>
      </c>
      <c r="F161" s="388">
        <v>0</v>
      </c>
      <c r="I161" s="388">
        <f>'Inl. wetlands'!AC481-'Inl. wetlands'!AB481</f>
        <v>0</v>
      </c>
      <c r="J161" s="388">
        <f>'Inl. wetlands'!AJ491-'Inl. wetlands'!AI491</f>
        <v>0</v>
      </c>
      <c r="R161" s="388">
        <f>'Inl. wetlands'!AG481-'Inl. wetlands'!AF481</f>
        <v>0</v>
      </c>
      <c r="Z161" s="388">
        <f>'Inl. wetlands'!AE481-'Inl. wetlands'!AD481</f>
        <v>0</v>
      </c>
      <c r="AB161" t="str">
        <f t="shared" si="340"/>
        <v>ok</v>
      </c>
      <c r="AC161">
        <f>IF('6.Inland wetlands'!CA178&lt;&gt;0,'6.Inland wetlands'!CA178,'6.Inland wetlands'!BZ178)</f>
        <v>1</v>
      </c>
      <c r="AD161">
        <f t="shared" si="371"/>
        <v>5</v>
      </c>
      <c r="AE161" s="4357" t="str">
        <f>'6.Inland wetlands'!O179</f>
        <v>D</v>
      </c>
      <c r="AF161" s="4357" t="str">
        <f>'6.Inland wetlands'!Q179</f>
        <v>D</v>
      </c>
      <c r="AG161" s="4357" t="str">
        <f t="shared" si="374"/>
        <v>D</v>
      </c>
      <c r="AH161" s="4357">
        <f>((E161/(time_cap+((AD161-AC161+1)*VLOOKUP(AG161,list!$I$48:$K$50,3, FALSE))))*(AD161-AC161+1)*VLOOKUP(AG161,list!$I$48:$K$50,3, FALSE))</f>
        <v>0</v>
      </c>
      <c r="AI161" s="4357">
        <f>((E161/(time_cap+((AD161-AC161+1)*VLOOKUP(AG161,list!$I$48:$K$50,3, FALSE))))*time_cap)</f>
        <v>0</v>
      </c>
      <c r="AK161" s="4357">
        <f t="shared" ref="AK161:BP161" si="385">IFERROR(IF((time+time_cap)&lt;AK$2, 0,IF(AND(time+1&gt;=AL$2, $AC161&lt;AL$2), IF($AG161= "I", $AH161/($AD161-$AC161+1), $AH161/(($AD161*($AD161+1)/2)-(($AC161-1)*($AC161-1+1)/2))*AK$2), 0)+IF(IF(time+1&gt;=AL$2, $AI161/time_cap/(time+1)*AK$2, 0) = 0, $AI161/(time_cap),0)),0)</f>
        <v>0</v>
      </c>
      <c r="AL161" s="4357">
        <f t="shared" si="385"/>
        <v>0</v>
      </c>
      <c r="AM161" s="4357">
        <f t="shared" si="385"/>
        <v>0</v>
      </c>
      <c r="AN161" s="4357">
        <f t="shared" si="385"/>
        <v>0</v>
      </c>
      <c r="AO161" s="4357">
        <f t="shared" si="385"/>
        <v>0</v>
      </c>
      <c r="AP161" s="4357">
        <f t="shared" si="385"/>
        <v>0</v>
      </c>
      <c r="AQ161" s="4357">
        <f t="shared" si="385"/>
        <v>0</v>
      </c>
      <c r="AR161" s="4357">
        <f t="shared" si="385"/>
        <v>0</v>
      </c>
      <c r="AS161" s="4357">
        <f t="shared" si="385"/>
        <v>0</v>
      </c>
      <c r="AT161" s="4357">
        <f t="shared" si="385"/>
        <v>0</v>
      </c>
      <c r="AU161" s="4357">
        <f t="shared" si="385"/>
        <v>0</v>
      </c>
      <c r="AV161" s="4357">
        <f t="shared" si="385"/>
        <v>0</v>
      </c>
      <c r="AW161" s="4357">
        <f t="shared" si="385"/>
        <v>0</v>
      </c>
      <c r="AX161" s="4357">
        <f t="shared" si="385"/>
        <v>0</v>
      </c>
      <c r="AY161" s="4357">
        <f t="shared" si="385"/>
        <v>0</v>
      </c>
      <c r="AZ161" s="4357">
        <f t="shared" si="385"/>
        <v>0</v>
      </c>
      <c r="BA161" s="4357">
        <f t="shared" si="385"/>
        <v>0</v>
      </c>
      <c r="BB161" s="4357">
        <f t="shared" si="385"/>
        <v>0</v>
      </c>
      <c r="BC161" s="4357">
        <f t="shared" si="385"/>
        <v>0</v>
      </c>
      <c r="BD161" s="4357">
        <f t="shared" si="385"/>
        <v>0</v>
      </c>
      <c r="BE161" s="4357">
        <f t="shared" si="385"/>
        <v>0</v>
      </c>
      <c r="BF161" s="4357">
        <f t="shared" si="385"/>
        <v>0</v>
      </c>
      <c r="BG161" s="4357">
        <f t="shared" si="385"/>
        <v>0</v>
      </c>
      <c r="BH161" s="4357">
        <f t="shared" si="385"/>
        <v>0</v>
      </c>
      <c r="BI161" s="4357">
        <f t="shared" si="385"/>
        <v>0</v>
      </c>
      <c r="BJ161" s="4357">
        <f t="shared" si="385"/>
        <v>0</v>
      </c>
      <c r="BK161" s="4357">
        <f t="shared" si="385"/>
        <v>0</v>
      </c>
      <c r="BL161" s="4357">
        <f t="shared" si="385"/>
        <v>0</v>
      </c>
      <c r="BM161" s="4357">
        <f t="shared" si="385"/>
        <v>0</v>
      </c>
      <c r="BN161" s="4357">
        <f t="shared" si="385"/>
        <v>0</v>
      </c>
      <c r="BO161" s="4357">
        <f t="shared" si="385"/>
        <v>0</v>
      </c>
      <c r="BP161" s="4357">
        <f t="shared" si="385"/>
        <v>0</v>
      </c>
      <c r="BQ161" s="4357">
        <f t="shared" ref="BQ161:CH161" si="386">IFERROR(IF((time+time_cap)&lt;BQ$2, 0,IF(AND(time+1&gt;=BR$2, $AC161&lt;BR$2), IF($AG161= "I", $AH161/($AD161-$AC161+1), $AH161/(($AD161*($AD161+1)/2)-(($AC161-1)*($AC161-1+1)/2))*BQ$2), 0)+IF(IF(time+1&gt;=BR$2, $AI161/time_cap/(time+1)*BQ$2, 0) = 0, $AI161/(time_cap),0)),0)</f>
        <v>0</v>
      </c>
      <c r="BR161" s="4357">
        <f t="shared" si="386"/>
        <v>0</v>
      </c>
      <c r="BS161" s="4357">
        <f t="shared" si="386"/>
        <v>0</v>
      </c>
      <c r="BT161" s="4357">
        <f t="shared" si="386"/>
        <v>0</v>
      </c>
      <c r="BU161" s="4357">
        <f t="shared" si="386"/>
        <v>0</v>
      </c>
      <c r="BV161" s="4357">
        <f t="shared" si="386"/>
        <v>0</v>
      </c>
      <c r="BW161" s="4357">
        <f t="shared" si="386"/>
        <v>0</v>
      </c>
      <c r="BX161" s="4357">
        <f t="shared" si="386"/>
        <v>0</v>
      </c>
      <c r="BY161" s="4357">
        <f t="shared" si="386"/>
        <v>0</v>
      </c>
      <c r="BZ161" s="4357">
        <f t="shared" si="386"/>
        <v>0</v>
      </c>
      <c r="CA161" s="4357">
        <f t="shared" si="386"/>
        <v>0</v>
      </c>
      <c r="CB161" s="4357">
        <f t="shared" si="386"/>
        <v>0</v>
      </c>
      <c r="CC161" s="4357">
        <f t="shared" si="386"/>
        <v>0</v>
      </c>
      <c r="CD161" s="4357">
        <f t="shared" si="386"/>
        <v>0</v>
      </c>
      <c r="CE161" s="4357">
        <f t="shared" si="386"/>
        <v>0</v>
      </c>
      <c r="CF161" s="4357">
        <f t="shared" si="386"/>
        <v>0</v>
      </c>
      <c r="CG161" s="4357">
        <f t="shared" si="386"/>
        <v>0</v>
      </c>
      <c r="CH161" s="4357">
        <f t="shared" si="386"/>
        <v>0</v>
      </c>
      <c r="CI161" s="4357"/>
      <c r="CJ161" s="4357"/>
      <c r="CK161" s="4357"/>
      <c r="CL161" s="4357"/>
      <c r="CM161" s="4357"/>
      <c r="CN161" s="4357"/>
      <c r="CO161" s="4357"/>
      <c r="CP161" s="4357"/>
      <c r="CQ161" s="4357"/>
      <c r="CR161" s="4357"/>
      <c r="CS161" s="4357"/>
      <c r="CT161" s="4357"/>
      <c r="CU161" s="4357"/>
      <c r="CV161" s="4357"/>
      <c r="CW161" s="4357"/>
      <c r="CX161" s="4357"/>
      <c r="CY161" s="4357"/>
      <c r="CZ161" s="4357"/>
      <c r="DA161" s="4357"/>
      <c r="DB161" s="4357"/>
      <c r="DC161" s="4357"/>
      <c r="DD161" s="4357"/>
      <c r="DE161" s="4357"/>
      <c r="DF161" s="4357"/>
      <c r="DG161" s="4357"/>
      <c r="DH161" s="4357"/>
      <c r="DI161" s="4357"/>
      <c r="DJ161" s="4357"/>
      <c r="DK161" s="4357"/>
      <c r="DL161" s="4357"/>
      <c r="DM161" s="4357"/>
      <c r="DN161" s="4357"/>
      <c r="DO161" s="4357"/>
      <c r="DP161" s="4357"/>
      <c r="DQ161" s="4357"/>
      <c r="DR161" s="4357"/>
      <c r="DS161" s="4357"/>
      <c r="DT161" s="4357"/>
      <c r="DU161" s="4357"/>
      <c r="DV161" s="4357"/>
      <c r="DW161" s="4357"/>
      <c r="DX161" s="4357"/>
      <c r="DY161" s="4357"/>
      <c r="DZ161" s="4357"/>
      <c r="EA161" s="4357"/>
      <c r="EB161" s="4357"/>
      <c r="EC161" s="4357"/>
      <c r="ED161" s="4357"/>
      <c r="EE161" s="4357"/>
      <c r="EF161" s="4357"/>
    </row>
    <row r="162" spans="1:136" ht="16" x14ac:dyDescent="0.2">
      <c r="A162" t="s">
        <v>3004</v>
      </c>
      <c r="B162" t="s">
        <v>3236</v>
      </c>
      <c r="C162">
        <f>'6.Inland wetlands'!C197</f>
        <v>0</v>
      </c>
      <c r="D162" t="str">
        <f>'6.Inland wetlands'!I197</f>
        <v>Freshwater pond</v>
      </c>
      <c r="E162">
        <f>'6.Inland wetlands'!AH197</f>
        <v>0</v>
      </c>
      <c r="F162" s="388">
        <v>0</v>
      </c>
      <c r="AA162" s="388">
        <f>'Inl. wetlands'!AJ504-'Inl. wetlands'!AI504</f>
        <v>0</v>
      </c>
      <c r="AB162" t="str">
        <f t="shared" si="340"/>
        <v>ok</v>
      </c>
      <c r="AC162">
        <f>IF('6.Inland wetlands'!CA197&lt;&gt;0,'6.Inland wetlands'!CA197,'6.Inland wetlands'!BZ197)</f>
        <v>1</v>
      </c>
      <c r="AD162">
        <f t="shared" si="371"/>
        <v>5</v>
      </c>
      <c r="AE162" s="4357" t="str">
        <f>'6.Inland wetlands'!O197</f>
        <v>D</v>
      </c>
      <c r="AF162" s="4357" t="str">
        <f>'6.Inland wetlands'!Q197</f>
        <v>D</v>
      </c>
      <c r="AG162" s="4357" t="str">
        <f t="shared" si="374"/>
        <v>D</v>
      </c>
      <c r="AH162" s="4357">
        <f>((E162/(time_cap+((AD162-AC162+1)*VLOOKUP(AG162,list!$I$48:$K$50,3, FALSE))))*(AD162-AC162+1)*VLOOKUP(AG162,list!$I$48:$K$50,3, FALSE))</f>
        <v>0</v>
      </c>
      <c r="AI162" s="4357">
        <f>((E162/(time_cap+((AD162-AC162+1)*VLOOKUP(AG162,list!$I$48:$K$50,3, FALSE))))*time_cap)</f>
        <v>0</v>
      </c>
      <c r="AK162" s="4357">
        <f t="shared" ref="AK162:BP162" si="387">IFERROR(IF((time+time_cap)&lt;AK$2, 0,IF(AND(time+1&gt;=AL$2, $AC162&lt;AL$2), IF($AG162= "I", $AH162/($AD162-$AC162+1), $AH162/(($AD162*($AD162+1)/2)-(($AC162-1)*($AC162-1+1)/2))*AK$2), 0)+IF(IF(time+1&gt;=AL$2, $AI162/time_cap/(time+1)*AK$2, 0) = 0, $AI162/(time_cap),0)),0)</f>
        <v>0</v>
      </c>
      <c r="AL162" s="4357">
        <f t="shared" si="387"/>
        <v>0</v>
      </c>
      <c r="AM162" s="4357">
        <f t="shared" si="387"/>
        <v>0</v>
      </c>
      <c r="AN162" s="4357">
        <f t="shared" si="387"/>
        <v>0</v>
      </c>
      <c r="AO162" s="4357">
        <f t="shared" si="387"/>
        <v>0</v>
      </c>
      <c r="AP162" s="4357">
        <f t="shared" si="387"/>
        <v>0</v>
      </c>
      <c r="AQ162" s="4357">
        <f t="shared" si="387"/>
        <v>0</v>
      </c>
      <c r="AR162" s="4357">
        <f t="shared" si="387"/>
        <v>0</v>
      </c>
      <c r="AS162" s="4357">
        <f t="shared" si="387"/>
        <v>0</v>
      </c>
      <c r="AT162" s="4357">
        <f t="shared" si="387"/>
        <v>0</v>
      </c>
      <c r="AU162" s="4357">
        <f t="shared" si="387"/>
        <v>0</v>
      </c>
      <c r="AV162" s="4357">
        <f t="shared" si="387"/>
        <v>0</v>
      </c>
      <c r="AW162" s="4357">
        <f t="shared" si="387"/>
        <v>0</v>
      </c>
      <c r="AX162" s="4357">
        <f t="shared" si="387"/>
        <v>0</v>
      </c>
      <c r="AY162" s="4357">
        <f t="shared" si="387"/>
        <v>0</v>
      </c>
      <c r="AZ162" s="4357">
        <f t="shared" si="387"/>
        <v>0</v>
      </c>
      <c r="BA162" s="4357">
        <f t="shared" si="387"/>
        <v>0</v>
      </c>
      <c r="BB162" s="4357">
        <f t="shared" si="387"/>
        <v>0</v>
      </c>
      <c r="BC162" s="4357">
        <f t="shared" si="387"/>
        <v>0</v>
      </c>
      <c r="BD162" s="4357">
        <f t="shared" si="387"/>
        <v>0</v>
      </c>
      <c r="BE162" s="4357">
        <f t="shared" si="387"/>
        <v>0</v>
      </c>
      <c r="BF162" s="4357">
        <f t="shared" si="387"/>
        <v>0</v>
      </c>
      <c r="BG162" s="4357">
        <f t="shared" si="387"/>
        <v>0</v>
      </c>
      <c r="BH162" s="4357">
        <f t="shared" si="387"/>
        <v>0</v>
      </c>
      <c r="BI162" s="4357">
        <f t="shared" si="387"/>
        <v>0</v>
      </c>
      <c r="BJ162" s="4357">
        <f t="shared" si="387"/>
        <v>0</v>
      </c>
      <c r="BK162" s="4357">
        <f t="shared" si="387"/>
        <v>0</v>
      </c>
      <c r="BL162" s="4357">
        <f t="shared" si="387"/>
        <v>0</v>
      </c>
      <c r="BM162" s="4357">
        <f t="shared" si="387"/>
        <v>0</v>
      </c>
      <c r="BN162" s="4357">
        <f t="shared" si="387"/>
        <v>0</v>
      </c>
      <c r="BO162" s="4357">
        <f t="shared" si="387"/>
        <v>0</v>
      </c>
      <c r="BP162" s="4357">
        <f t="shared" si="387"/>
        <v>0</v>
      </c>
      <c r="BQ162" s="4357">
        <f t="shared" ref="BQ162:CH162" si="388">IFERROR(IF((time+time_cap)&lt;BQ$2, 0,IF(AND(time+1&gt;=BR$2, $AC162&lt;BR$2), IF($AG162= "I", $AH162/($AD162-$AC162+1), $AH162/(($AD162*($AD162+1)/2)-(($AC162-1)*($AC162-1+1)/2))*BQ$2), 0)+IF(IF(time+1&gt;=BR$2, $AI162/time_cap/(time+1)*BQ$2, 0) = 0, $AI162/(time_cap),0)),0)</f>
        <v>0</v>
      </c>
      <c r="BR162" s="4357">
        <f t="shared" si="388"/>
        <v>0</v>
      </c>
      <c r="BS162" s="4357">
        <f t="shared" si="388"/>
        <v>0</v>
      </c>
      <c r="BT162" s="4357">
        <f t="shared" si="388"/>
        <v>0</v>
      </c>
      <c r="BU162" s="4357">
        <f t="shared" si="388"/>
        <v>0</v>
      </c>
      <c r="BV162" s="4357">
        <f t="shared" si="388"/>
        <v>0</v>
      </c>
      <c r="BW162" s="4357">
        <f t="shared" si="388"/>
        <v>0</v>
      </c>
      <c r="BX162" s="4357">
        <f t="shared" si="388"/>
        <v>0</v>
      </c>
      <c r="BY162" s="4357">
        <f t="shared" si="388"/>
        <v>0</v>
      </c>
      <c r="BZ162" s="4357">
        <f t="shared" si="388"/>
        <v>0</v>
      </c>
      <c r="CA162" s="4357">
        <f t="shared" si="388"/>
        <v>0</v>
      </c>
      <c r="CB162" s="4357">
        <f t="shared" si="388"/>
        <v>0</v>
      </c>
      <c r="CC162" s="4357">
        <f t="shared" si="388"/>
        <v>0</v>
      </c>
      <c r="CD162" s="4357">
        <f t="shared" si="388"/>
        <v>0</v>
      </c>
      <c r="CE162" s="4357">
        <f t="shared" si="388"/>
        <v>0</v>
      </c>
      <c r="CF162" s="4357">
        <f t="shared" si="388"/>
        <v>0</v>
      </c>
      <c r="CG162" s="4357">
        <f t="shared" si="388"/>
        <v>0</v>
      </c>
      <c r="CH162" s="4357">
        <f t="shared" si="388"/>
        <v>0</v>
      </c>
      <c r="CI162" s="4357"/>
      <c r="CJ162" s="4357"/>
      <c r="CK162" s="4357"/>
      <c r="CL162" s="4357"/>
      <c r="CM162" s="4357"/>
      <c r="CN162" s="4357"/>
      <c r="CO162" s="4357"/>
      <c r="CP162" s="4357"/>
      <c r="CQ162" s="4357"/>
      <c r="CR162" s="4357"/>
      <c r="CS162" s="4357"/>
      <c r="CT162" s="4357"/>
      <c r="CU162" s="4357"/>
      <c r="CV162" s="4357"/>
      <c r="CW162" s="4357"/>
      <c r="CX162" s="4357"/>
      <c r="CY162" s="4357"/>
      <c r="CZ162" s="4357"/>
      <c r="DA162" s="4357"/>
      <c r="DB162" s="4357"/>
      <c r="DC162" s="4357"/>
      <c r="DD162" s="4357"/>
      <c r="DE162" s="4357"/>
      <c r="DF162" s="4357"/>
      <c r="DG162" s="4357"/>
      <c r="DH162" s="4357"/>
      <c r="DI162" s="4357"/>
      <c r="DJ162" s="4357"/>
      <c r="DK162" s="4357"/>
      <c r="DL162" s="4357"/>
      <c r="DM162" s="4357"/>
      <c r="DN162" s="4357"/>
      <c r="DO162" s="4357"/>
      <c r="DP162" s="4357"/>
      <c r="DQ162" s="4357"/>
      <c r="DR162" s="4357"/>
      <c r="DS162" s="4357"/>
      <c r="DT162" s="4357"/>
      <c r="DU162" s="4357"/>
      <c r="DV162" s="4357"/>
      <c r="DW162" s="4357"/>
      <c r="DX162" s="4357"/>
      <c r="DY162" s="4357"/>
      <c r="DZ162" s="4357"/>
      <c r="EA162" s="4357"/>
      <c r="EB162" s="4357"/>
      <c r="EC162" s="4357"/>
      <c r="ED162" s="4357"/>
      <c r="EE162" s="4357"/>
      <c r="EF162" s="4357"/>
    </row>
    <row r="163" spans="1:136" ht="16" x14ac:dyDescent="0.2">
      <c r="A163" t="s">
        <v>3004</v>
      </c>
      <c r="B163" t="s">
        <v>3236</v>
      </c>
      <c r="C163">
        <f>'6.Inland wetlands'!C198</f>
        <v>0</v>
      </c>
      <c r="D163" t="str">
        <f>'6.Inland wetlands'!I198</f>
        <v>Please select</v>
      </c>
      <c r="E163">
        <f>'6.Inland wetlands'!AH198</f>
        <v>0</v>
      </c>
      <c r="F163" s="388">
        <v>0</v>
      </c>
      <c r="AA163" s="388">
        <f>'Inl. wetlands'!AJ505-'Inl. wetlands'!AI505</f>
        <v>0</v>
      </c>
      <c r="AB163" t="str">
        <f t="shared" si="340"/>
        <v>ok</v>
      </c>
      <c r="AC163">
        <f>IF('6.Inland wetlands'!CA198&lt;&gt;0,'6.Inland wetlands'!CA198,'6.Inland wetlands'!BZ198)</f>
        <v>1</v>
      </c>
      <c r="AD163">
        <f t="shared" si="371"/>
        <v>5</v>
      </c>
      <c r="AE163" s="4357" t="str">
        <f>'6.Inland wetlands'!O198</f>
        <v>D</v>
      </c>
      <c r="AF163" s="4357" t="str">
        <f>'6.Inland wetlands'!Q198</f>
        <v>D</v>
      </c>
      <c r="AG163" s="4357" t="str">
        <f t="shared" si="374"/>
        <v>D</v>
      </c>
      <c r="AH163" s="4357">
        <f>((E163/(time_cap+((AD163-AC163+1)*VLOOKUP(AG163,list!$I$48:$K$50,3, FALSE))))*(AD163-AC163+1)*VLOOKUP(AG163,list!$I$48:$K$50,3, FALSE))</f>
        <v>0</v>
      </c>
      <c r="AI163" s="4357">
        <f>((E163/(time_cap+((AD163-AC163+1)*VLOOKUP(AG163,list!$I$48:$K$50,3, FALSE))))*time_cap)</f>
        <v>0</v>
      </c>
      <c r="AK163" s="4357">
        <f t="shared" ref="AK163:BP163" si="389">IFERROR(IF((time+time_cap)&lt;AK$2, 0,IF(AND(time+1&gt;=AL$2, $AC163&lt;AL$2), IF($AG163= "I", $AH163/($AD163-$AC163+1), $AH163/(($AD163*($AD163+1)/2)-(($AC163-1)*($AC163-1+1)/2))*AK$2), 0)+IF(IF(time+1&gt;=AL$2, $AI163/time_cap/(time+1)*AK$2, 0) = 0, $AI163/(time_cap),0)),0)</f>
        <v>0</v>
      </c>
      <c r="AL163" s="4357">
        <f t="shared" si="389"/>
        <v>0</v>
      </c>
      <c r="AM163" s="4357">
        <f t="shared" si="389"/>
        <v>0</v>
      </c>
      <c r="AN163" s="4357">
        <f t="shared" si="389"/>
        <v>0</v>
      </c>
      <c r="AO163" s="4357">
        <f t="shared" si="389"/>
        <v>0</v>
      </c>
      <c r="AP163" s="4357">
        <f t="shared" si="389"/>
        <v>0</v>
      </c>
      <c r="AQ163" s="4357">
        <f t="shared" si="389"/>
        <v>0</v>
      </c>
      <c r="AR163" s="4357">
        <f t="shared" si="389"/>
        <v>0</v>
      </c>
      <c r="AS163" s="4357">
        <f t="shared" si="389"/>
        <v>0</v>
      </c>
      <c r="AT163" s="4357">
        <f t="shared" si="389"/>
        <v>0</v>
      </c>
      <c r="AU163" s="4357">
        <f t="shared" si="389"/>
        <v>0</v>
      </c>
      <c r="AV163" s="4357">
        <f t="shared" si="389"/>
        <v>0</v>
      </c>
      <c r="AW163" s="4357">
        <f t="shared" si="389"/>
        <v>0</v>
      </c>
      <c r="AX163" s="4357">
        <f t="shared" si="389"/>
        <v>0</v>
      </c>
      <c r="AY163" s="4357">
        <f t="shared" si="389"/>
        <v>0</v>
      </c>
      <c r="AZ163" s="4357">
        <f t="shared" si="389"/>
        <v>0</v>
      </c>
      <c r="BA163" s="4357">
        <f t="shared" si="389"/>
        <v>0</v>
      </c>
      <c r="BB163" s="4357">
        <f t="shared" si="389"/>
        <v>0</v>
      </c>
      <c r="BC163" s="4357">
        <f t="shared" si="389"/>
        <v>0</v>
      </c>
      <c r="BD163" s="4357">
        <f t="shared" si="389"/>
        <v>0</v>
      </c>
      <c r="BE163" s="4357">
        <f t="shared" si="389"/>
        <v>0</v>
      </c>
      <c r="BF163" s="4357">
        <f t="shared" si="389"/>
        <v>0</v>
      </c>
      <c r="BG163" s="4357">
        <f t="shared" si="389"/>
        <v>0</v>
      </c>
      <c r="BH163" s="4357">
        <f t="shared" si="389"/>
        <v>0</v>
      </c>
      <c r="BI163" s="4357">
        <f t="shared" si="389"/>
        <v>0</v>
      </c>
      <c r="BJ163" s="4357">
        <f t="shared" si="389"/>
        <v>0</v>
      </c>
      <c r="BK163" s="4357">
        <f t="shared" si="389"/>
        <v>0</v>
      </c>
      <c r="BL163" s="4357">
        <f t="shared" si="389"/>
        <v>0</v>
      </c>
      <c r="BM163" s="4357">
        <f t="shared" si="389"/>
        <v>0</v>
      </c>
      <c r="BN163" s="4357">
        <f t="shared" si="389"/>
        <v>0</v>
      </c>
      <c r="BO163" s="4357">
        <f t="shared" si="389"/>
        <v>0</v>
      </c>
      <c r="BP163" s="4357">
        <f t="shared" si="389"/>
        <v>0</v>
      </c>
      <c r="BQ163" s="4357">
        <f t="shared" ref="BQ163:CH163" si="390">IFERROR(IF((time+time_cap)&lt;BQ$2, 0,IF(AND(time+1&gt;=BR$2, $AC163&lt;BR$2), IF($AG163= "I", $AH163/($AD163-$AC163+1), $AH163/(($AD163*($AD163+1)/2)-(($AC163-1)*($AC163-1+1)/2))*BQ$2), 0)+IF(IF(time+1&gt;=BR$2, $AI163/time_cap/(time+1)*BQ$2, 0) = 0, $AI163/(time_cap),0)),0)</f>
        <v>0</v>
      </c>
      <c r="BR163" s="4357">
        <f t="shared" si="390"/>
        <v>0</v>
      </c>
      <c r="BS163" s="4357">
        <f t="shared" si="390"/>
        <v>0</v>
      </c>
      <c r="BT163" s="4357">
        <f t="shared" si="390"/>
        <v>0</v>
      </c>
      <c r="BU163" s="4357">
        <f t="shared" si="390"/>
        <v>0</v>
      </c>
      <c r="BV163" s="4357">
        <f t="shared" si="390"/>
        <v>0</v>
      </c>
      <c r="BW163" s="4357">
        <f t="shared" si="390"/>
        <v>0</v>
      </c>
      <c r="BX163" s="4357">
        <f t="shared" si="390"/>
        <v>0</v>
      </c>
      <c r="BY163" s="4357">
        <f t="shared" si="390"/>
        <v>0</v>
      </c>
      <c r="BZ163" s="4357">
        <f t="shared" si="390"/>
        <v>0</v>
      </c>
      <c r="CA163" s="4357">
        <f t="shared" si="390"/>
        <v>0</v>
      </c>
      <c r="CB163" s="4357">
        <f t="shared" si="390"/>
        <v>0</v>
      </c>
      <c r="CC163" s="4357">
        <f t="shared" si="390"/>
        <v>0</v>
      </c>
      <c r="CD163" s="4357">
        <f t="shared" si="390"/>
        <v>0</v>
      </c>
      <c r="CE163" s="4357">
        <f t="shared" si="390"/>
        <v>0</v>
      </c>
      <c r="CF163" s="4357">
        <f t="shared" si="390"/>
        <v>0</v>
      </c>
      <c r="CG163" s="4357">
        <f t="shared" si="390"/>
        <v>0</v>
      </c>
      <c r="CH163" s="4357">
        <f t="shared" si="390"/>
        <v>0</v>
      </c>
      <c r="CI163" s="4357"/>
      <c r="CJ163" s="4357"/>
      <c r="CK163" s="4357"/>
      <c r="CL163" s="4357"/>
      <c r="CM163" s="4357"/>
      <c r="CN163" s="4357"/>
      <c r="CO163" s="4357"/>
      <c r="CP163" s="4357"/>
      <c r="CQ163" s="4357"/>
      <c r="CR163" s="4357"/>
      <c r="CS163" s="4357"/>
      <c r="CT163" s="4357"/>
      <c r="CU163" s="4357"/>
      <c r="CV163" s="4357"/>
      <c r="CW163" s="4357"/>
      <c r="CX163" s="4357"/>
      <c r="CY163" s="4357"/>
      <c r="CZ163" s="4357"/>
      <c r="DA163" s="4357"/>
      <c r="DB163" s="4357"/>
      <c r="DC163" s="4357"/>
      <c r="DD163" s="4357"/>
      <c r="DE163" s="4357"/>
      <c r="DF163" s="4357"/>
      <c r="DG163" s="4357"/>
      <c r="DH163" s="4357"/>
      <c r="DI163" s="4357"/>
      <c r="DJ163" s="4357"/>
      <c r="DK163" s="4357"/>
      <c r="DL163" s="4357"/>
      <c r="DM163" s="4357"/>
      <c r="DN163" s="4357"/>
      <c r="DO163" s="4357"/>
      <c r="DP163" s="4357"/>
      <c r="DQ163" s="4357"/>
      <c r="DR163" s="4357"/>
      <c r="DS163" s="4357"/>
      <c r="DT163" s="4357"/>
      <c r="DU163" s="4357"/>
      <c r="DV163" s="4357"/>
      <c r="DW163" s="4357"/>
      <c r="DX163" s="4357"/>
      <c r="DY163" s="4357"/>
      <c r="DZ163" s="4357"/>
      <c r="EA163" s="4357"/>
      <c r="EB163" s="4357"/>
      <c r="EC163" s="4357"/>
      <c r="ED163" s="4357"/>
      <c r="EE163" s="4357"/>
      <c r="EF163" s="4357"/>
    </row>
    <row r="164" spans="1:136" ht="16" x14ac:dyDescent="0.2">
      <c r="A164" t="s">
        <v>3004</v>
      </c>
      <c r="B164" t="s">
        <v>3236</v>
      </c>
      <c r="C164">
        <f>'6.Inland wetlands'!C199</f>
        <v>0</v>
      </c>
      <c r="D164" t="str">
        <f>'6.Inland wetlands'!I199</f>
        <v>Please select</v>
      </c>
      <c r="E164">
        <f>'6.Inland wetlands'!AH199</f>
        <v>0</v>
      </c>
      <c r="F164" s="388">
        <v>0</v>
      </c>
      <c r="AA164" s="388">
        <f>'Inl. wetlands'!AJ506-'Inl. wetlands'!AI506</f>
        <v>0</v>
      </c>
      <c r="AB164" t="str">
        <f t="shared" si="340"/>
        <v>ok</v>
      </c>
      <c r="AC164">
        <f>IF('6.Inland wetlands'!CA199&lt;&gt;0,'6.Inland wetlands'!CA199,'6.Inland wetlands'!BZ199)</f>
        <v>1</v>
      </c>
      <c r="AD164">
        <f t="shared" si="371"/>
        <v>5</v>
      </c>
      <c r="AE164" s="4357" t="str">
        <f>'6.Inland wetlands'!O199</f>
        <v>D</v>
      </c>
      <c r="AF164" s="4357" t="str">
        <f>'6.Inland wetlands'!Q199</f>
        <v>D</v>
      </c>
      <c r="AG164" s="4357" t="str">
        <f t="shared" si="374"/>
        <v>D</v>
      </c>
      <c r="AH164" s="4357">
        <f>((E164/(time_cap+((AD164-AC164+1)*VLOOKUP(AG164,list!$I$48:$K$50,3, FALSE))))*(AD164-AC164+1)*VLOOKUP(AG164,list!$I$48:$K$50,3, FALSE))</f>
        <v>0</v>
      </c>
      <c r="AI164" s="4357">
        <f>((E164/(time_cap+((AD164-AC164+1)*VLOOKUP(AG164,list!$I$48:$K$50,3, FALSE))))*time_cap)</f>
        <v>0</v>
      </c>
      <c r="AK164" s="4357">
        <f t="shared" ref="AK164:BP164" si="391">IFERROR(IF((time+time_cap)&lt;AK$2, 0,IF(AND(time+1&gt;=AL$2, $AC164&lt;AL$2), IF($AG164= "I", $AH164/($AD164-$AC164+1), $AH164/(($AD164*($AD164+1)/2)-(($AC164-1)*($AC164-1+1)/2))*AK$2), 0)+IF(IF(time+1&gt;=AL$2, $AI164/time_cap/(time+1)*AK$2, 0) = 0, $AI164/(time_cap),0)),0)</f>
        <v>0</v>
      </c>
      <c r="AL164" s="4357">
        <f t="shared" si="391"/>
        <v>0</v>
      </c>
      <c r="AM164" s="4357">
        <f t="shared" si="391"/>
        <v>0</v>
      </c>
      <c r="AN164" s="4357">
        <f t="shared" si="391"/>
        <v>0</v>
      </c>
      <c r="AO164" s="4357">
        <f t="shared" si="391"/>
        <v>0</v>
      </c>
      <c r="AP164" s="4357">
        <f t="shared" si="391"/>
        <v>0</v>
      </c>
      <c r="AQ164" s="4357">
        <f t="shared" si="391"/>
        <v>0</v>
      </c>
      <c r="AR164" s="4357">
        <f t="shared" si="391"/>
        <v>0</v>
      </c>
      <c r="AS164" s="4357">
        <f t="shared" si="391"/>
        <v>0</v>
      </c>
      <c r="AT164" s="4357">
        <f t="shared" si="391"/>
        <v>0</v>
      </c>
      <c r="AU164" s="4357">
        <f t="shared" si="391"/>
        <v>0</v>
      </c>
      <c r="AV164" s="4357">
        <f t="shared" si="391"/>
        <v>0</v>
      </c>
      <c r="AW164" s="4357">
        <f t="shared" si="391"/>
        <v>0</v>
      </c>
      <c r="AX164" s="4357">
        <f t="shared" si="391"/>
        <v>0</v>
      </c>
      <c r="AY164" s="4357">
        <f t="shared" si="391"/>
        <v>0</v>
      </c>
      <c r="AZ164" s="4357">
        <f t="shared" si="391"/>
        <v>0</v>
      </c>
      <c r="BA164" s="4357">
        <f t="shared" si="391"/>
        <v>0</v>
      </c>
      <c r="BB164" s="4357">
        <f t="shared" si="391"/>
        <v>0</v>
      </c>
      <c r="BC164" s="4357">
        <f t="shared" si="391"/>
        <v>0</v>
      </c>
      <c r="BD164" s="4357">
        <f t="shared" si="391"/>
        <v>0</v>
      </c>
      <c r="BE164" s="4357">
        <f t="shared" si="391"/>
        <v>0</v>
      </c>
      <c r="BF164" s="4357">
        <f t="shared" si="391"/>
        <v>0</v>
      </c>
      <c r="BG164" s="4357">
        <f t="shared" si="391"/>
        <v>0</v>
      </c>
      <c r="BH164" s="4357">
        <f t="shared" si="391"/>
        <v>0</v>
      </c>
      <c r="BI164" s="4357">
        <f t="shared" si="391"/>
        <v>0</v>
      </c>
      <c r="BJ164" s="4357">
        <f t="shared" si="391"/>
        <v>0</v>
      </c>
      <c r="BK164" s="4357">
        <f t="shared" si="391"/>
        <v>0</v>
      </c>
      <c r="BL164" s="4357">
        <f t="shared" si="391"/>
        <v>0</v>
      </c>
      <c r="BM164" s="4357">
        <f t="shared" si="391"/>
        <v>0</v>
      </c>
      <c r="BN164" s="4357">
        <f t="shared" si="391"/>
        <v>0</v>
      </c>
      <c r="BO164" s="4357">
        <f t="shared" si="391"/>
        <v>0</v>
      </c>
      <c r="BP164" s="4357">
        <f t="shared" si="391"/>
        <v>0</v>
      </c>
      <c r="BQ164" s="4357">
        <f t="shared" ref="BQ164:CH164" si="392">IFERROR(IF((time+time_cap)&lt;BQ$2, 0,IF(AND(time+1&gt;=BR$2, $AC164&lt;BR$2), IF($AG164= "I", $AH164/($AD164-$AC164+1), $AH164/(($AD164*($AD164+1)/2)-(($AC164-1)*($AC164-1+1)/2))*BQ$2), 0)+IF(IF(time+1&gt;=BR$2, $AI164/time_cap/(time+1)*BQ$2, 0) = 0, $AI164/(time_cap),0)),0)</f>
        <v>0</v>
      </c>
      <c r="BR164" s="4357">
        <f t="shared" si="392"/>
        <v>0</v>
      </c>
      <c r="BS164" s="4357">
        <f t="shared" si="392"/>
        <v>0</v>
      </c>
      <c r="BT164" s="4357">
        <f t="shared" si="392"/>
        <v>0</v>
      </c>
      <c r="BU164" s="4357">
        <f t="shared" si="392"/>
        <v>0</v>
      </c>
      <c r="BV164" s="4357">
        <f t="shared" si="392"/>
        <v>0</v>
      </c>
      <c r="BW164" s="4357">
        <f t="shared" si="392"/>
        <v>0</v>
      </c>
      <c r="BX164" s="4357">
        <f t="shared" si="392"/>
        <v>0</v>
      </c>
      <c r="BY164" s="4357">
        <f t="shared" si="392"/>
        <v>0</v>
      </c>
      <c r="BZ164" s="4357">
        <f t="shared" si="392"/>
        <v>0</v>
      </c>
      <c r="CA164" s="4357">
        <f t="shared" si="392"/>
        <v>0</v>
      </c>
      <c r="CB164" s="4357">
        <f t="shared" si="392"/>
        <v>0</v>
      </c>
      <c r="CC164" s="4357">
        <f t="shared" si="392"/>
        <v>0</v>
      </c>
      <c r="CD164" s="4357">
        <f t="shared" si="392"/>
        <v>0</v>
      </c>
      <c r="CE164" s="4357">
        <f t="shared" si="392"/>
        <v>0</v>
      </c>
      <c r="CF164" s="4357">
        <f t="shared" si="392"/>
        <v>0</v>
      </c>
      <c r="CG164" s="4357">
        <f t="shared" si="392"/>
        <v>0</v>
      </c>
      <c r="CH164" s="4357">
        <f t="shared" si="392"/>
        <v>0</v>
      </c>
      <c r="CI164" s="4357"/>
      <c r="CJ164" s="4357"/>
      <c r="CK164" s="4357"/>
      <c r="CL164" s="4357"/>
      <c r="CM164" s="4357"/>
      <c r="CN164" s="4357"/>
      <c r="CO164" s="4357"/>
      <c r="CP164" s="4357"/>
      <c r="CQ164" s="4357"/>
      <c r="CR164" s="4357"/>
      <c r="CS164" s="4357"/>
      <c r="CT164" s="4357"/>
      <c r="CU164" s="4357"/>
      <c r="CV164" s="4357"/>
      <c r="CW164" s="4357"/>
      <c r="CX164" s="4357"/>
      <c r="CY164" s="4357"/>
      <c r="CZ164" s="4357"/>
      <c r="DA164" s="4357"/>
      <c r="DB164" s="4357"/>
      <c r="DC164" s="4357"/>
      <c r="DD164" s="4357"/>
      <c r="DE164" s="4357"/>
      <c r="DF164" s="4357"/>
      <c r="DG164" s="4357"/>
      <c r="DH164" s="4357"/>
      <c r="DI164" s="4357"/>
      <c r="DJ164" s="4357"/>
      <c r="DK164" s="4357"/>
      <c r="DL164" s="4357"/>
      <c r="DM164" s="4357"/>
      <c r="DN164" s="4357"/>
      <c r="DO164" s="4357"/>
      <c r="DP164" s="4357"/>
      <c r="DQ164" s="4357"/>
      <c r="DR164" s="4357"/>
      <c r="DS164" s="4357"/>
      <c r="DT164" s="4357"/>
      <c r="DU164" s="4357"/>
      <c r="DV164" s="4357"/>
      <c r="DW164" s="4357"/>
      <c r="DX164" s="4357"/>
      <c r="DY164" s="4357"/>
      <c r="DZ164" s="4357"/>
      <c r="EA164" s="4357"/>
      <c r="EB164" s="4357"/>
      <c r="EC164" s="4357"/>
      <c r="ED164" s="4357"/>
      <c r="EE164" s="4357"/>
      <c r="EF164" s="4357"/>
    </row>
    <row r="165" spans="1:136" ht="16" x14ac:dyDescent="0.2">
      <c r="A165" t="s">
        <v>3004</v>
      </c>
      <c r="B165" t="s">
        <v>3236</v>
      </c>
      <c r="C165">
        <f>'6.Inland wetlands'!C200</f>
        <v>0</v>
      </c>
      <c r="D165" t="str">
        <f>'6.Inland wetlands'!I200</f>
        <v>Please select</v>
      </c>
      <c r="E165">
        <f>'6.Inland wetlands'!AH200</f>
        <v>0</v>
      </c>
      <c r="F165" s="388">
        <v>0</v>
      </c>
      <c r="AA165" s="388">
        <f>'Inl. wetlands'!AJ507-'Inl. wetlands'!AI507</f>
        <v>0</v>
      </c>
      <c r="AB165" t="str">
        <f t="shared" si="340"/>
        <v>ok</v>
      </c>
      <c r="AC165">
        <f>IF('6.Inland wetlands'!CA200&lt;&gt;0,'6.Inland wetlands'!CA200,'6.Inland wetlands'!BZ200)</f>
        <v>1</v>
      </c>
      <c r="AD165">
        <f t="shared" si="371"/>
        <v>5</v>
      </c>
      <c r="AE165" s="4357" t="str">
        <f>'6.Inland wetlands'!O200</f>
        <v>D</v>
      </c>
      <c r="AF165" s="4357" t="str">
        <f>'6.Inland wetlands'!Q200</f>
        <v>D</v>
      </c>
      <c r="AG165" s="4357" t="str">
        <f t="shared" si="374"/>
        <v>D</v>
      </c>
      <c r="AH165" s="4357">
        <f>((E165/(time_cap+((AD165-AC165+1)*VLOOKUP(AG165,list!$I$48:$K$50,3, FALSE))))*(AD165-AC165+1)*VLOOKUP(AG165,list!$I$48:$K$50,3, FALSE))</f>
        <v>0</v>
      </c>
      <c r="AI165" s="4357">
        <f>((E165/(time_cap+((AD165-AC165+1)*VLOOKUP(AG165,list!$I$48:$K$50,3, FALSE))))*time_cap)</f>
        <v>0</v>
      </c>
      <c r="AK165" s="4357">
        <f t="shared" ref="AK165:BP165" si="393">IFERROR(IF((time+time_cap)&lt;AK$2, 0,IF(AND(time+1&gt;=AL$2, $AC165&lt;AL$2), IF($AG165= "I", $AH165/($AD165-$AC165+1), $AH165/(($AD165*($AD165+1)/2)-(($AC165-1)*($AC165-1+1)/2))*AK$2), 0)+IF(IF(time+1&gt;=AL$2, $AI165/time_cap/(time+1)*AK$2, 0) = 0, $AI165/(time_cap),0)),0)</f>
        <v>0</v>
      </c>
      <c r="AL165" s="4357">
        <f t="shared" si="393"/>
        <v>0</v>
      </c>
      <c r="AM165" s="4357">
        <f t="shared" si="393"/>
        <v>0</v>
      </c>
      <c r="AN165" s="4357">
        <f t="shared" si="393"/>
        <v>0</v>
      </c>
      <c r="AO165" s="4357">
        <f t="shared" si="393"/>
        <v>0</v>
      </c>
      <c r="AP165" s="4357">
        <f t="shared" si="393"/>
        <v>0</v>
      </c>
      <c r="AQ165" s="4357">
        <f t="shared" si="393"/>
        <v>0</v>
      </c>
      <c r="AR165" s="4357">
        <f t="shared" si="393"/>
        <v>0</v>
      </c>
      <c r="AS165" s="4357">
        <f t="shared" si="393"/>
        <v>0</v>
      </c>
      <c r="AT165" s="4357">
        <f t="shared" si="393"/>
        <v>0</v>
      </c>
      <c r="AU165" s="4357">
        <f t="shared" si="393"/>
        <v>0</v>
      </c>
      <c r="AV165" s="4357">
        <f t="shared" si="393"/>
        <v>0</v>
      </c>
      <c r="AW165" s="4357">
        <f t="shared" si="393"/>
        <v>0</v>
      </c>
      <c r="AX165" s="4357">
        <f t="shared" si="393"/>
        <v>0</v>
      </c>
      <c r="AY165" s="4357">
        <f t="shared" si="393"/>
        <v>0</v>
      </c>
      <c r="AZ165" s="4357">
        <f t="shared" si="393"/>
        <v>0</v>
      </c>
      <c r="BA165" s="4357">
        <f t="shared" si="393"/>
        <v>0</v>
      </c>
      <c r="BB165" s="4357">
        <f t="shared" si="393"/>
        <v>0</v>
      </c>
      <c r="BC165" s="4357">
        <f t="shared" si="393"/>
        <v>0</v>
      </c>
      <c r="BD165" s="4357">
        <f t="shared" si="393"/>
        <v>0</v>
      </c>
      <c r="BE165" s="4357">
        <f t="shared" si="393"/>
        <v>0</v>
      </c>
      <c r="BF165" s="4357">
        <f t="shared" si="393"/>
        <v>0</v>
      </c>
      <c r="BG165" s="4357">
        <f t="shared" si="393"/>
        <v>0</v>
      </c>
      <c r="BH165" s="4357">
        <f t="shared" si="393"/>
        <v>0</v>
      </c>
      <c r="BI165" s="4357">
        <f t="shared" si="393"/>
        <v>0</v>
      </c>
      <c r="BJ165" s="4357">
        <f t="shared" si="393"/>
        <v>0</v>
      </c>
      <c r="BK165" s="4357">
        <f t="shared" si="393"/>
        <v>0</v>
      </c>
      <c r="BL165" s="4357">
        <f t="shared" si="393"/>
        <v>0</v>
      </c>
      <c r="BM165" s="4357">
        <f t="shared" si="393"/>
        <v>0</v>
      </c>
      <c r="BN165" s="4357">
        <f t="shared" si="393"/>
        <v>0</v>
      </c>
      <c r="BO165" s="4357">
        <f t="shared" si="393"/>
        <v>0</v>
      </c>
      <c r="BP165" s="4357">
        <f t="shared" si="393"/>
        <v>0</v>
      </c>
      <c r="BQ165" s="4357">
        <f t="shared" ref="BQ165:CH165" si="394">IFERROR(IF((time+time_cap)&lt;BQ$2, 0,IF(AND(time+1&gt;=BR$2, $AC165&lt;BR$2), IF($AG165= "I", $AH165/($AD165-$AC165+1), $AH165/(($AD165*($AD165+1)/2)-(($AC165-1)*($AC165-1+1)/2))*BQ$2), 0)+IF(IF(time+1&gt;=BR$2, $AI165/time_cap/(time+1)*BQ$2, 0) = 0, $AI165/(time_cap),0)),0)</f>
        <v>0</v>
      </c>
      <c r="BR165" s="4357">
        <f t="shared" si="394"/>
        <v>0</v>
      </c>
      <c r="BS165" s="4357">
        <f t="shared" si="394"/>
        <v>0</v>
      </c>
      <c r="BT165" s="4357">
        <f t="shared" si="394"/>
        <v>0</v>
      </c>
      <c r="BU165" s="4357">
        <f t="shared" si="394"/>
        <v>0</v>
      </c>
      <c r="BV165" s="4357">
        <f t="shared" si="394"/>
        <v>0</v>
      </c>
      <c r="BW165" s="4357">
        <f t="shared" si="394"/>
        <v>0</v>
      </c>
      <c r="BX165" s="4357">
        <f t="shared" si="394"/>
        <v>0</v>
      </c>
      <c r="BY165" s="4357">
        <f t="shared" si="394"/>
        <v>0</v>
      </c>
      <c r="BZ165" s="4357">
        <f t="shared" si="394"/>
        <v>0</v>
      </c>
      <c r="CA165" s="4357">
        <f t="shared" si="394"/>
        <v>0</v>
      </c>
      <c r="CB165" s="4357">
        <f t="shared" si="394"/>
        <v>0</v>
      </c>
      <c r="CC165" s="4357">
        <f t="shared" si="394"/>
        <v>0</v>
      </c>
      <c r="CD165" s="4357">
        <f t="shared" si="394"/>
        <v>0</v>
      </c>
      <c r="CE165" s="4357">
        <f t="shared" si="394"/>
        <v>0</v>
      </c>
      <c r="CF165" s="4357">
        <f t="shared" si="394"/>
        <v>0</v>
      </c>
      <c r="CG165" s="4357">
        <f t="shared" si="394"/>
        <v>0</v>
      </c>
      <c r="CH165" s="4357">
        <f t="shared" si="394"/>
        <v>0</v>
      </c>
      <c r="CI165" s="4357"/>
      <c r="CJ165" s="4357"/>
      <c r="CK165" s="4357"/>
      <c r="CL165" s="4357"/>
      <c r="CM165" s="4357"/>
      <c r="CN165" s="4357"/>
      <c r="CO165" s="4357"/>
      <c r="CP165" s="4357"/>
      <c r="CQ165" s="4357"/>
      <c r="CR165" s="4357"/>
      <c r="CS165" s="4357"/>
      <c r="CT165" s="4357"/>
      <c r="CU165" s="4357"/>
      <c r="CV165" s="4357"/>
      <c r="CW165" s="4357"/>
      <c r="CX165" s="4357"/>
      <c r="CY165" s="4357"/>
      <c r="CZ165" s="4357"/>
      <c r="DA165" s="4357"/>
      <c r="DB165" s="4357"/>
      <c r="DC165" s="4357"/>
      <c r="DD165" s="4357"/>
      <c r="DE165" s="4357"/>
      <c r="DF165" s="4357"/>
      <c r="DG165" s="4357"/>
      <c r="DH165" s="4357"/>
      <c r="DI165" s="4357"/>
      <c r="DJ165" s="4357"/>
      <c r="DK165" s="4357"/>
      <c r="DL165" s="4357"/>
      <c r="DM165" s="4357"/>
      <c r="DN165" s="4357"/>
      <c r="DO165" s="4357"/>
      <c r="DP165" s="4357"/>
      <c r="DQ165" s="4357"/>
      <c r="DR165" s="4357"/>
      <c r="DS165" s="4357"/>
      <c r="DT165" s="4357"/>
      <c r="DU165" s="4357"/>
      <c r="DV165" s="4357"/>
      <c r="DW165" s="4357"/>
      <c r="DX165" s="4357"/>
      <c r="DY165" s="4357"/>
      <c r="DZ165" s="4357"/>
      <c r="EA165" s="4357"/>
      <c r="EB165" s="4357"/>
      <c r="EC165" s="4357"/>
      <c r="ED165" s="4357"/>
      <c r="EE165" s="4357"/>
      <c r="EF165" s="4357"/>
    </row>
    <row r="166" spans="1:136" ht="16" x14ac:dyDescent="0.2">
      <c r="A166" t="s">
        <v>3004</v>
      </c>
      <c r="B166" t="s">
        <v>3236</v>
      </c>
      <c r="C166">
        <f>'6.Inland wetlands'!C201</f>
        <v>0</v>
      </c>
      <c r="D166" t="str">
        <f>'6.Inland wetlands'!I201</f>
        <v>Please select</v>
      </c>
      <c r="E166">
        <f>'6.Inland wetlands'!AH201</f>
        <v>0</v>
      </c>
      <c r="F166" s="388">
        <v>0</v>
      </c>
      <c r="AA166" s="388">
        <f>'Inl. wetlands'!AJ508-'Inl. wetlands'!AI508</f>
        <v>0</v>
      </c>
      <c r="AB166" t="str">
        <f t="shared" si="340"/>
        <v>ok</v>
      </c>
      <c r="AC166">
        <f>IF('6.Inland wetlands'!CA201&lt;&gt;0,'6.Inland wetlands'!CA201,'6.Inland wetlands'!BZ201)</f>
        <v>1</v>
      </c>
      <c r="AD166">
        <f t="shared" si="371"/>
        <v>5</v>
      </c>
      <c r="AE166" s="4357" t="str">
        <f>'6.Inland wetlands'!O201</f>
        <v>D</v>
      </c>
      <c r="AF166" s="4357" t="str">
        <f>'6.Inland wetlands'!Q201</f>
        <v>D</v>
      </c>
      <c r="AG166" s="4357" t="str">
        <f t="shared" si="374"/>
        <v>D</v>
      </c>
      <c r="AH166" s="4357">
        <f>((E166/(time_cap+((AD166-AC166+1)*VLOOKUP(AG166,list!$I$48:$K$50,3, FALSE))))*(AD166-AC166+1)*VLOOKUP(AG166,list!$I$48:$K$50,3, FALSE))</f>
        <v>0</v>
      </c>
      <c r="AI166" s="4357">
        <f>((E166/(time_cap+((AD166-AC166+1)*VLOOKUP(AG166,list!$I$48:$K$50,3, FALSE))))*time_cap)</f>
        <v>0</v>
      </c>
      <c r="AK166" s="4357">
        <f t="shared" ref="AK166:BP166" si="395">IFERROR(IF((time+time_cap)&lt;AK$2, 0,IF(AND(time+1&gt;=AL$2, $AC166&lt;AL$2), IF($AG166= "I", $AH166/($AD166-$AC166+1), $AH166/(($AD166*($AD166+1)/2)-(($AC166-1)*($AC166-1+1)/2))*AK$2), 0)+IF(IF(time+1&gt;=AL$2, $AI166/time_cap/(time+1)*AK$2, 0) = 0, $AI166/(time_cap),0)),0)</f>
        <v>0</v>
      </c>
      <c r="AL166" s="4357">
        <f t="shared" si="395"/>
        <v>0</v>
      </c>
      <c r="AM166" s="4357">
        <f t="shared" si="395"/>
        <v>0</v>
      </c>
      <c r="AN166" s="4357">
        <f t="shared" si="395"/>
        <v>0</v>
      </c>
      <c r="AO166" s="4357">
        <f t="shared" si="395"/>
        <v>0</v>
      </c>
      <c r="AP166" s="4357">
        <f t="shared" si="395"/>
        <v>0</v>
      </c>
      <c r="AQ166" s="4357">
        <f t="shared" si="395"/>
        <v>0</v>
      </c>
      <c r="AR166" s="4357">
        <f t="shared" si="395"/>
        <v>0</v>
      </c>
      <c r="AS166" s="4357">
        <f t="shared" si="395"/>
        <v>0</v>
      </c>
      <c r="AT166" s="4357">
        <f t="shared" si="395"/>
        <v>0</v>
      </c>
      <c r="AU166" s="4357">
        <f t="shared" si="395"/>
        <v>0</v>
      </c>
      <c r="AV166" s="4357">
        <f t="shared" si="395"/>
        <v>0</v>
      </c>
      <c r="AW166" s="4357">
        <f t="shared" si="395"/>
        <v>0</v>
      </c>
      <c r="AX166" s="4357">
        <f t="shared" si="395"/>
        <v>0</v>
      </c>
      <c r="AY166" s="4357">
        <f t="shared" si="395"/>
        <v>0</v>
      </c>
      <c r="AZ166" s="4357">
        <f t="shared" si="395"/>
        <v>0</v>
      </c>
      <c r="BA166" s="4357">
        <f t="shared" si="395"/>
        <v>0</v>
      </c>
      <c r="BB166" s="4357">
        <f t="shared" si="395"/>
        <v>0</v>
      </c>
      <c r="BC166" s="4357">
        <f t="shared" si="395"/>
        <v>0</v>
      </c>
      <c r="BD166" s="4357">
        <f t="shared" si="395"/>
        <v>0</v>
      </c>
      <c r="BE166" s="4357">
        <f t="shared" si="395"/>
        <v>0</v>
      </c>
      <c r="BF166" s="4357">
        <f t="shared" si="395"/>
        <v>0</v>
      </c>
      <c r="BG166" s="4357">
        <f t="shared" si="395"/>
        <v>0</v>
      </c>
      <c r="BH166" s="4357">
        <f t="shared" si="395"/>
        <v>0</v>
      </c>
      <c r="BI166" s="4357">
        <f t="shared" si="395"/>
        <v>0</v>
      </c>
      <c r="BJ166" s="4357">
        <f t="shared" si="395"/>
        <v>0</v>
      </c>
      <c r="BK166" s="4357">
        <f t="shared" si="395"/>
        <v>0</v>
      </c>
      <c r="BL166" s="4357">
        <f t="shared" si="395"/>
        <v>0</v>
      </c>
      <c r="BM166" s="4357">
        <f t="shared" si="395"/>
        <v>0</v>
      </c>
      <c r="BN166" s="4357">
        <f t="shared" si="395"/>
        <v>0</v>
      </c>
      <c r="BO166" s="4357">
        <f t="shared" si="395"/>
        <v>0</v>
      </c>
      <c r="BP166" s="4357">
        <f t="shared" si="395"/>
        <v>0</v>
      </c>
      <c r="BQ166" s="4357">
        <f t="shared" ref="BQ166:CH166" si="396">IFERROR(IF((time+time_cap)&lt;BQ$2, 0,IF(AND(time+1&gt;=BR$2, $AC166&lt;BR$2), IF($AG166= "I", $AH166/($AD166-$AC166+1), $AH166/(($AD166*($AD166+1)/2)-(($AC166-1)*($AC166-1+1)/2))*BQ$2), 0)+IF(IF(time+1&gt;=BR$2, $AI166/time_cap/(time+1)*BQ$2, 0) = 0, $AI166/(time_cap),0)),0)</f>
        <v>0</v>
      </c>
      <c r="BR166" s="4357">
        <f t="shared" si="396"/>
        <v>0</v>
      </c>
      <c r="BS166" s="4357">
        <f t="shared" si="396"/>
        <v>0</v>
      </c>
      <c r="BT166" s="4357">
        <f t="shared" si="396"/>
        <v>0</v>
      </c>
      <c r="BU166" s="4357">
        <f t="shared" si="396"/>
        <v>0</v>
      </c>
      <c r="BV166" s="4357">
        <f t="shared" si="396"/>
        <v>0</v>
      </c>
      <c r="BW166" s="4357">
        <f t="shared" si="396"/>
        <v>0</v>
      </c>
      <c r="BX166" s="4357">
        <f t="shared" si="396"/>
        <v>0</v>
      </c>
      <c r="BY166" s="4357">
        <f t="shared" si="396"/>
        <v>0</v>
      </c>
      <c r="BZ166" s="4357">
        <f t="shared" si="396"/>
        <v>0</v>
      </c>
      <c r="CA166" s="4357">
        <f t="shared" si="396"/>
        <v>0</v>
      </c>
      <c r="CB166" s="4357">
        <f t="shared" si="396"/>
        <v>0</v>
      </c>
      <c r="CC166" s="4357">
        <f t="shared" si="396"/>
        <v>0</v>
      </c>
      <c r="CD166" s="4357">
        <f t="shared" si="396"/>
        <v>0</v>
      </c>
      <c r="CE166" s="4357">
        <f t="shared" si="396"/>
        <v>0</v>
      </c>
      <c r="CF166" s="4357">
        <f t="shared" si="396"/>
        <v>0</v>
      </c>
      <c r="CG166" s="4357">
        <f t="shared" si="396"/>
        <v>0</v>
      </c>
      <c r="CH166" s="4357">
        <f t="shared" si="396"/>
        <v>0</v>
      </c>
      <c r="CI166" s="4357"/>
      <c r="CJ166" s="4357"/>
      <c r="CK166" s="4357"/>
      <c r="CL166" s="4357"/>
      <c r="CM166" s="4357"/>
      <c r="CN166" s="4357"/>
      <c r="CO166" s="4357"/>
      <c r="CP166" s="4357"/>
      <c r="CQ166" s="4357"/>
      <c r="CR166" s="4357"/>
      <c r="CS166" s="4357"/>
      <c r="CT166" s="4357"/>
      <c r="CU166" s="4357"/>
      <c r="CV166" s="4357"/>
      <c r="CW166" s="4357"/>
      <c r="CX166" s="4357"/>
      <c r="CY166" s="4357"/>
      <c r="CZ166" s="4357"/>
      <c r="DA166" s="4357"/>
      <c r="DB166" s="4357"/>
      <c r="DC166" s="4357"/>
      <c r="DD166" s="4357"/>
      <c r="DE166" s="4357"/>
      <c r="DF166" s="4357"/>
      <c r="DG166" s="4357"/>
      <c r="DH166" s="4357"/>
      <c r="DI166" s="4357"/>
      <c r="DJ166" s="4357"/>
      <c r="DK166" s="4357"/>
      <c r="DL166" s="4357"/>
      <c r="DM166" s="4357"/>
      <c r="DN166" s="4357"/>
      <c r="DO166" s="4357"/>
      <c r="DP166" s="4357"/>
      <c r="DQ166" s="4357"/>
      <c r="DR166" s="4357"/>
      <c r="DS166" s="4357"/>
      <c r="DT166" s="4357"/>
      <c r="DU166" s="4357"/>
      <c r="DV166" s="4357"/>
      <c r="DW166" s="4357"/>
      <c r="DX166" s="4357"/>
      <c r="DY166" s="4357"/>
      <c r="DZ166" s="4357"/>
      <c r="EA166" s="4357"/>
      <c r="EB166" s="4357"/>
      <c r="EC166" s="4357"/>
      <c r="ED166" s="4357"/>
      <c r="EE166" s="4357"/>
      <c r="EF166" s="4357"/>
    </row>
    <row r="167" spans="1:136" ht="16" x14ac:dyDescent="0.2">
      <c r="A167" t="s">
        <v>3004</v>
      </c>
      <c r="B167" t="s">
        <v>3236</v>
      </c>
      <c r="C167">
        <f>'6.Inland wetlands'!C202</f>
        <v>0</v>
      </c>
      <c r="D167" t="str">
        <f>'6.Inland wetlands'!I202</f>
        <v>Please select</v>
      </c>
      <c r="E167">
        <f>'6.Inland wetlands'!AH202</f>
        <v>0</v>
      </c>
      <c r="F167" s="388">
        <v>0</v>
      </c>
      <c r="AA167" s="388">
        <f>'Inl. wetlands'!AJ509-'Inl. wetlands'!AI509</f>
        <v>0</v>
      </c>
      <c r="AB167" t="str">
        <f t="shared" si="340"/>
        <v>ok</v>
      </c>
      <c r="AC167">
        <f>IF('6.Inland wetlands'!CA202&lt;&gt;0,'6.Inland wetlands'!CA202,'6.Inland wetlands'!BZ202)</f>
        <v>1</v>
      </c>
      <c r="AD167">
        <f t="shared" si="371"/>
        <v>5</v>
      </c>
      <c r="AE167" s="4357" t="str">
        <f>'6.Inland wetlands'!O202</f>
        <v>D</v>
      </c>
      <c r="AF167" s="4357" t="str">
        <f>'6.Inland wetlands'!Q202</f>
        <v>D</v>
      </c>
      <c r="AG167" s="4357" t="str">
        <f t="shared" si="374"/>
        <v>D</v>
      </c>
      <c r="AH167" s="4357">
        <f>((E167/(time_cap+((AD167-AC167+1)*VLOOKUP(AG167,list!$I$48:$K$50,3, FALSE))))*(AD167-AC167+1)*VLOOKUP(AG167,list!$I$48:$K$50,3, FALSE))</f>
        <v>0</v>
      </c>
      <c r="AI167" s="4357">
        <f>((E167/(time_cap+((AD167-AC167+1)*VLOOKUP(AG167,list!$I$48:$K$50,3, FALSE))))*time_cap)</f>
        <v>0</v>
      </c>
      <c r="AK167" s="4357">
        <f t="shared" ref="AK167:BP167" si="397">IFERROR(IF((time+time_cap)&lt;AK$2, 0,IF(AND(time+1&gt;=AL$2, $AC167&lt;AL$2), IF($AG167= "I", $AH167/($AD167-$AC167+1), $AH167/(($AD167*($AD167+1)/2)-(($AC167-1)*($AC167-1+1)/2))*AK$2), 0)+IF(IF(time+1&gt;=AL$2, $AI167/time_cap/(time+1)*AK$2, 0) = 0, $AI167/(time_cap),0)),0)</f>
        <v>0</v>
      </c>
      <c r="AL167" s="4357">
        <f t="shared" si="397"/>
        <v>0</v>
      </c>
      <c r="AM167" s="4357">
        <f t="shared" si="397"/>
        <v>0</v>
      </c>
      <c r="AN167" s="4357">
        <f t="shared" si="397"/>
        <v>0</v>
      </c>
      <c r="AO167" s="4357">
        <f t="shared" si="397"/>
        <v>0</v>
      </c>
      <c r="AP167" s="4357">
        <f t="shared" si="397"/>
        <v>0</v>
      </c>
      <c r="AQ167" s="4357">
        <f t="shared" si="397"/>
        <v>0</v>
      </c>
      <c r="AR167" s="4357">
        <f t="shared" si="397"/>
        <v>0</v>
      </c>
      <c r="AS167" s="4357">
        <f t="shared" si="397"/>
        <v>0</v>
      </c>
      <c r="AT167" s="4357">
        <f t="shared" si="397"/>
        <v>0</v>
      </c>
      <c r="AU167" s="4357">
        <f t="shared" si="397"/>
        <v>0</v>
      </c>
      <c r="AV167" s="4357">
        <f t="shared" si="397"/>
        <v>0</v>
      </c>
      <c r="AW167" s="4357">
        <f t="shared" si="397"/>
        <v>0</v>
      </c>
      <c r="AX167" s="4357">
        <f t="shared" si="397"/>
        <v>0</v>
      </c>
      <c r="AY167" s="4357">
        <f t="shared" si="397"/>
        <v>0</v>
      </c>
      <c r="AZ167" s="4357">
        <f t="shared" si="397"/>
        <v>0</v>
      </c>
      <c r="BA167" s="4357">
        <f t="shared" si="397"/>
        <v>0</v>
      </c>
      <c r="BB167" s="4357">
        <f t="shared" si="397"/>
        <v>0</v>
      </c>
      <c r="BC167" s="4357">
        <f t="shared" si="397"/>
        <v>0</v>
      </c>
      <c r="BD167" s="4357">
        <f t="shared" si="397"/>
        <v>0</v>
      </c>
      <c r="BE167" s="4357">
        <f t="shared" si="397"/>
        <v>0</v>
      </c>
      <c r="BF167" s="4357">
        <f t="shared" si="397"/>
        <v>0</v>
      </c>
      <c r="BG167" s="4357">
        <f t="shared" si="397"/>
        <v>0</v>
      </c>
      <c r="BH167" s="4357">
        <f t="shared" si="397"/>
        <v>0</v>
      </c>
      <c r="BI167" s="4357">
        <f t="shared" si="397"/>
        <v>0</v>
      </c>
      <c r="BJ167" s="4357">
        <f t="shared" si="397"/>
        <v>0</v>
      </c>
      <c r="BK167" s="4357">
        <f t="shared" si="397"/>
        <v>0</v>
      </c>
      <c r="BL167" s="4357">
        <f t="shared" si="397"/>
        <v>0</v>
      </c>
      <c r="BM167" s="4357">
        <f t="shared" si="397"/>
        <v>0</v>
      </c>
      <c r="BN167" s="4357">
        <f t="shared" si="397"/>
        <v>0</v>
      </c>
      <c r="BO167" s="4357">
        <f t="shared" si="397"/>
        <v>0</v>
      </c>
      <c r="BP167" s="4357">
        <f t="shared" si="397"/>
        <v>0</v>
      </c>
      <c r="BQ167" s="4357">
        <f t="shared" ref="BQ167:CH167" si="398">IFERROR(IF((time+time_cap)&lt;BQ$2, 0,IF(AND(time+1&gt;=BR$2, $AC167&lt;BR$2), IF($AG167= "I", $AH167/($AD167-$AC167+1), $AH167/(($AD167*($AD167+1)/2)-(($AC167-1)*($AC167-1+1)/2))*BQ$2), 0)+IF(IF(time+1&gt;=BR$2, $AI167/time_cap/(time+1)*BQ$2, 0) = 0, $AI167/(time_cap),0)),0)</f>
        <v>0</v>
      </c>
      <c r="BR167" s="4357">
        <f t="shared" si="398"/>
        <v>0</v>
      </c>
      <c r="BS167" s="4357">
        <f t="shared" si="398"/>
        <v>0</v>
      </c>
      <c r="BT167" s="4357">
        <f t="shared" si="398"/>
        <v>0</v>
      </c>
      <c r="BU167" s="4357">
        <f t="shared" si="398"/>
        <v>0</v>
      </c>
      <c r="BV167" s="4357">
        <f t="shared" si="398"/>
        <v>0</v>
      </c>
      <c r="BW167" s="4357">
        <f t="shared" si="398"/>
        <v>0</v>
      </c>
      <c r="BX167" s="4357">
        <f t="shared" si="398"/>
        <v>0</v>
      </c>
      <c r="BY167" s="4357">
        <f t="shared" si="398"/>
        <v>0</v>
      </c>
      <c r="BZ167" s="4357">
        <f t="shared" si="398"/>
        <v>0</v>
      </c>
      <c r="CA167" s="4357">
        <f t="shared" si="398"/>
        <v>0</v>
      </c>
      <c r="CB167" s="4357">
        <f t="shared" si="398"/>
        <v>0</v>
      </c>
      <c r="CC167" s="4357">
        <f t="shared" si="398"/>
        <v>0</v>
      </c>
      <c r="CD167" s="4357">
        <f t="shared" si="398"/>
        <v>0</v>
      </c>
      <c r="CE167" s="4357">
        <f t="shared" si="398"/>
        <v>0</v>
      </c>
      <c r="CF167" s="4357">
        <f t="shared" si="398"/>
        <v>0</v>
      </c>
      <c r="CG167" s="4357">
        <f t="shared" si="398"/>
        <v>0</v>
      </c>
      <c r="CH167" s="4357">
        <f t="shared" si="398"/>
        <v>0</v>
      </c>
      <c r="CI167" s="4357"/>
      <c r="CJ167" s="4357"/>
      <c r="CK167" s="4357"/>
      <c r="CL167" s="4357"/>
      <c r="CM167" s="4357"/>
      <c r="CN167" s="4357"/>
      <c r="CO167" s="4357"/>
      <c r="CP167" s="4357"/>
      <c r="CQ167" s="4357"/>
      <c r="CR167" s="4357"/>
      <c r="CS167" s="4357"/>
      <c r="CT167" s="4357"/>
      <c r="CU167" s="4357"/>
      <c r="CV167" s="4357"/>
      <c r="CW167" s="4357"/>
      <c r="CX167" s="4357"/>
      <c r="CY167" s="4357"/>
      <c r="CZ167" s="4357"/>
      <c r="DA167" s="4357"/>
      <c r="DB167" s="4357"/>
      <c r="DC167" s="4357"/>
      <c r="DD167" s="4357"/>
      <c r="DE167" s="4357"/>
      <c r="DF167" s="4357"/>
      <c r="DG167" s="4357"/>
      <c r="DH167" s="4357"/>
      <c r="DI167" s="4357"/>
      <c r="DJ167" s="4357"/>
      <c r="DK167" s="4357"/>
      <c r="DL167" s="4357"/>
      <c r="DM167" s="4357"/>
      <c r="DN167" s="4357"/>
      <c r="DO167" s="4357"/>
      <c r="DP167" s="4357"/>
      <c r="DQ167" s="4357"/>
      <c r="DR167" s="4357"/>
      <c r="DS167" s="4357"/>
      <c r="DT167" s="4357"/>
      <c r="DU167" s="4357"/>
      <c r="DV167" s="4357"/>
      <c r="DW167" s="4357"/>
      <c r="DX167" s="4357"/>
      <c r="DY167" s="4357"/>
      <c r="DZ167" s="4357"/>
      <c r="EA167" s="4357"/>
      <c r="EB167" s="4357"/>
      <c r="EC167" s="4357"/>
      <c r="ED167" s="4357"/>
      <c r="EE167" s="4357"/>
      <c r="EF167" s="4357"/>
    </row>
    <row r="168" spans="1:136" ht="16" x14ac:dyDescent="0.2">
      <c r="A168" t="s">
        <v>3004</v>
      </c>
      <c r="B168" t="s">
        <v>3236</v>
      </c>
      <c r="C168">
        <f>'6.Inland wetlands'!C203</f>
        <v>0</v>
      </c>
      <c r="D168" t="str">
        <f>'6.Inland wetlands'!I203</f>
        <v>Please select</v>
      </c>
      <c r="E168">
        <f>'6.Inland wetlands'!AH203</f>
        <v>0</v>
      </c>
      <c r="F168" s="388">
        <v>0</v>
      </c>
      <c r="AA168" s="388">
        <f>'Inl. wetlands'!AJ510-'Inl. wetlands'!AI510</f>
        <v>0</v>
      </c>
      <c r="AB168" t="str">
        <f t="shared" si="340"/>
        <v>ok</v>
      </c>
      <c r="AC168">
        <f>IF('6.Inland wetlands'!CA203&lt;&gt;0,'6.Inland wetlands'!CA203,'6.Inland wetlands'!BZ203)</f>
        <v>1</v>
      </c>
      <c r="AD168">
        <f t="shared" si="371"/>
        <v>5</v>
      </c>
      <c r="AE168" s="4357" t="str">
        <f>'6.Inland wetlands'!O203</f>
        <v>D</v>
      </c>
      <c r="AF168" s="4357" t="str">
        <f>'6.Inland wetlands'!Q203</f>
        <v>D</v>
      </c>
      <c r="AG168" s="4357" t="str">
        <f t="shared" si="374"/>
        <v>D</v>
      </c>
      <c r="AH168" s="4357">
        <f>((E168/(time_cap+((AD168-AC168+1)*VLOOKUP(AG168,list!$I$48:$K$50,3, FALSE))))*(AD168-AC168+1)*VLOOKUP(AG168,list!$I$48:$K$50,3, FALSE))</f>
        <v>0</v>
      </c>
      <c r="AI168" s="4357">
        <f>((E168/(time_cap+((AD168-AC168+1)*VLOOKUP(AG168,list!$I$48:$K$50,3, FALSE))))*time_cap)</f>
        <v>0</v>
      </c>
      <c r="AK168" s="4357">
        <f t="shared" ref="AK168:BP168" si="399">IFERROR(IF((time+time_cap)&lt;AK$2, 0,IF(AND(time+1&gt;=AL$2, $AC168&lt;AL$2), IF($AG168= "I", $AH168/($AD168-$AC168+1), $AH168/(($AD168*($AD168+1)/2)-(($AC168-1)*($AC168-1+1)/2))*AK$2), 0)+IF(IF(time+1&gt;=AL$2, $AI168/time_cap/(time+1)*AK$2, 0) = 0, $AI168/(time_cap),0)),0)</f>
        <v>0</v>
      </c>
      <c r="AL168" s="4357">
        <f t="shared" si="399"/>
        <v>0</v>
      </c>
      <c r="AM168" s="4357">
        <f t="shared" si="399"/>
        <v>0</v>
      </c>
      <c r="AN168" s="4357">
        <f t="shared" si="399"/>
        <v>0</v>
      </c>
      <c r="AO168" s="4357">
        <f t="shared" si="399"/>
        <v>0</v>
      </c>
      <c r="AP168" s="4357">
        <f t="shared" si="399"/>
        <v>0</v>
      </c>
      <c r="AQ168" s="4357">
        <f t="shared" si="399"/>
        <v>0</v>
      </c>
      <c r="AR168" s="4357">
        <f t="shared" si="399"/>
        <v>0</v>
      </c>
      <c r="AS168" s="4357">
        <f t="shared" si="399"/>
        <v>0</v>
      </c>
      <c r="AT168" s="4357">
        <f t="shared" si="399"/>
        <v>0</v>
      </c>
      <c r="AU168" s="4357">
        <f t="shared" si="399"/>
        <v>0</v>
      </c>
      <c r="AV168" s="4357">
        <f t="shared" si="399"/>
        <v>0</v>
      </c>
      <c r="AW168" s="4357">
        <f t="shared" si="399"/>
        <v>0</v>
      </c>
      <c r="AX168" s="4357">
        <f t="shared" si="399"/>
        <v>0</v>
      </c>
      <c r="AY168" s="4357">
        <f t="shared" si="399"/>
        <v>0</v>
      </c>
      <c r="AZ168" s="4357">
        <f t="shared" si="399"/>
        <v>0</v>
      </c>
      <c r="BA168" s="4357">
        <f t="shared" si="399"/>
        <v>0</v>
      </c>
      <c r="BB168" s="4357">
        <f t="shared" si="399"/>
        <v>0</v>
      </c>
      <c r="BC168" s="4357">
        <f t="shared" si="399"/>
        <v>0</v>
      </c>
      <c r="BD168" s="4357">
        <f t="shared" si="399"/>
        <v>0</v>
      </c>
      <c r="BE168" s="4357">
        <f t="shared" si="399"/>
        <v>0</v>
      </c>
      <c r="BF168" s="4357">
        <f t="shared" si="399"/>
        <v>0</v>
      </c>
      <c r="BG168" s="4357">
        <f t="shared" si="399"/>
        <v>0</v>
      </c>
      <c r="BH168" s="4357">
        <f t="shared" si="399"/>
        <v>0</v>
      </c>
      <c r="BI168" s="4357">
        <f t="shared" si="399"/>
        <v>0</v>
      </c>
      <c r="BJ168" s="4357">
        <f t="shared" si="399"/>
        <v>0</v>
      </c>
      <c r="BK168" s="4357">
        <f t="shared" si="399"/>
        <v>0</v>
      </c>
      <c r="BL168" s="4357">
        <f t="shared" si="399"/>
        <v>0</v>
      </c>
      <c r="BM168" s="4357">
        <f t="shared" si="399"/>
        <v>0</v>
      </c>
      <c r="BN168" s="4357">
        <f t="shared" si="399"/>
        <v>0</v>
      </c>
      <c r="BO168" s="4357">
        <f t="shared" si="399"/>
        <v>0</v>
      </c>
      <c r="BP168" s="4357">
        <f t="shared" si="399"/>
        <v>0</v>
      </c>
      <c r="BQ168" s="4357">
        <f t="shared" ref="BQ168:CH168" si="400">IFERROR(IF((time+time_cap)&lt;BQ$2, 0,IF(AND(time+1&gt;=BR$2, $AC168&lt;BR$2), IF($AG168= "I", $AH168/($AD168-$AC168+1), $AH168/(($AD168*($AD168+1)/2)-(($AC168-1)*($AC168-1+1)/2))*BQ$2), 0)+IF(IF(time+1&gt;=BR$2, $AI168/time_cap/(time+1)*BQ$2, 0) = 0, $AI168/(time_cap),0)),0)</f>
        <v>0</v>
      </c>
      <c r="BR168" s="4357">
        <f t="shared" si="400"/>
        <v>0</v>
      </c>
      <c r="BS168" s="4357">
        <f t="shared" si="400"/>
        <v>0</v>
      </c>
      <c r="BT168" s="4357">
        <f t="shared" si="400"/>
        <v>0</v>
      </c>
      <c r="BU168" s="4357">
        <f t="shared" si="400"/>
        <v>0</v>
      </c>
      <c r="BV168" s="4357">
        <f t="shared" si="400"/>
        <v>0</v>
      </c>
      <c r="BW168" s="4357">
        <f t="shared" si="400"/>
        <v>0</v>
      </c>
      <c r="BX168" s="4357">
        <f t="shared" si="400"/>
        <v>0</v>
      </c>
      <c r="BY168" s="4357">
        <f t="shared" si="400"/>
        <v>0</v>
      </c>
      <c r="BZ168" s="4357">
        <f t="shared" si="400"/>
        <v>0</v>
      </c>
      <c r="CA168" s="4357">
        <f t="shared" si="400"/>
        <v>0</v>
      </c>
      <c r="CB168" s="4357">
        <f t="shared" si="400"/>
        <v>0</v>
      </c>
      <c r="CC168" s="4357">
        <f t="shared" si="400"/>
        <v>0</v>
      </c>
      <c r="CD168" s="4357">
        <f t="shared" si="400"/>
        <v>0</v>
      </c>
      <c r="CE168" s="4357">
        <f t="shared" si="400"/>
        <v>0</v>
      </c>
      <c r="CF168" s="4357">
        <f t="shared" si="400"/>
        <v>0</v>
      </c>
      <c r="CG168" s="4357">
        <f t="shared" si="400"/>
        <v>0</v>
      </c>
      <c r="CH168" s="4357">
        <f t="shared" si="400"/>
        <v>0</v>
      </c>
      <c r="CI168" s="4357"/>
      <c r="CJ168" s="4357"/>
      <c r="CK168" s="4357"/>
      <c r="CL168" s="4357"/>
      <c r="CM168" s="4357"/>
      <c r="CN168" s="4357"/>
      <c r="CO168" s="4357"/>
      <c r="CP168" s="4357"/>
      <c r="CQ168" s="4357"/>
      <c r="CR168" s="4357"/>
      <c r="CS168" s="4357"/>
      <c r="CT168" s="4357"/>
      <c r="CU168" s="4357"/>
      <c r="CV168" s="4357"/>
      <c r="CW168" s="4357"/>
      <c r="CX168" s="4357"/>
      <c r="CY168" s="4357"/>
      <c r="CZ168" s="4357"/>
      <c r="DA168" s="4357"/>
      <c r="DB168" s="4357"/>
      <c r="DC168" s="4357"/>
      <c r="DD168" s="4357"/>
      <c r="DE168" s="4357"/>
      <c r="DF168" s="4357"/>
      <c r="DG168" s="4357"/>
      <c r="DH168" s="4357"/>
      <c r="DI168" s="4357"/>
      <c r="DJ168" s="4357"/>
      <c r="DK168" s="4357"/>
      <c r="DL168" s="4357"/>
      <c r="DM168" s="4357"/>
      <c r="DN168" s="4357"/>
      <c r="DO168" s="4357"/>
      <c r="DP168" s="4357"/>
      <c r="DQ168" s="4357"/>
      <c r="DR168" s="4357"/>
      <c r="DS168" s="4357"/>
      <c r="DT168" s="4357"/>
      <c r="DU168" s="4357"/>
      <c r="DV168" s="4357"/>
      <c r="DW168" s="4357"/>
      <c r="DX168" s="4357"/>
      <c r="DY168" s="4357"/>
      <c r="DZ168" s="4357"/>
      <c r="EA168" s="4357"/>
      <c r="EB168" s="4357"/>
      <c r="EC168" s="4357"/>
      <c r="ED168" s="4357"/>
      <c r="EE168" s="4357"/>
      <c r="EF168" s="4357"/>
    </row>
    <row r="169" spans="1:136" ht="16" x14ac:dyDescent="0.2">
      <c r="A169" t="s">
        <v>3004</v>
      </c>
      <c r="B169" t="s">
        <v>3236</v>
      </c>
      <c r="C169">
        <f>'6.Inland wetlands'!C204</f>
        <v>0</v>
      </c>
      <c r="D169" t="str">
        <f>'6.Inland wetlands'!I204</f>
        <v>Please select</v>
      </c>
      <c r="E169">
        <f>'6.Inland wetlands'!AH204</f>
        <v>0</v>
      </c>
      <c r="F169" s="388">
        <v>0</v>
      </c>
      <c r="AA169" s="388">
        <f>'Inl. wetlands'!AJ511-'Inl. wetlands'!AI511</f>
        <v>0</v>
      </c>
      <c r="AB169" t="str">
        <f t="shared" si="340"/>
        <v>ok</v>
      </c>
      <c r="AC169">
        <f>IF('6.Inland wetlands'!CA204&lt;&gt;0,'6.Inland wetlands'!CA204,'6.Inland wetlands'!BZ204)</f>
        <v>1</v>
      </c>
      <c r="AD169">
        <f t="shared" si="371"/>
        <v>5</v>
      </c>
      <c r="AE169" s="4357" t="str">
        <f>'6.Inland wetlands'!O204</f>
        <v>D</v>
      </c>
      <c r="AF169" s="4357" t="str">
        <f>'6.Inland wetlands'!Q204</f>
        <v>D</v>
      </c>
      <c r="AG169" s="4357" t="str">
        <f t="shared" si="374"/>
        <v>D</v>
      </c>
      <c r="AH169" s="4357">
        <f>((E169/(time_cap+((AD169-AC169+1)*VLOOKUP(AG169,list!$I$48:$K$50,3, FALSE))))*(AD169-AC169+1)*VLOOKUP(AG169,list!$I$48:$K$50,3, FALSE))</f>
        <v>0</v>
      </c>
      <c r="AI169" s="4357">
        <f>((E169/(time_cap+((AD169-AC169+1)*VLOOKUP(AG169,list!$I$48:$K$50,3, FALSE))))*time_cap)</f>
        <v>0</v>
      </c>
      <c r="AK169" s="4357">
        <f t="shared" ref="AK169:BP169" si="401">IFERROR(IF((time+time_cap)&lt;AK$2, 0,IF(AND(time+1&gt;=AL$2, $AC169&lt;AL$2), IF($AG169= "I", $AH169/($AD169-$AC169+1), $AH169/(($AD169*($AD169+1)/2)-(($AC169-1)*($AC169-1+1)/2))*AK$2), 0)+IF(IF(time+1&gt;=AL$2, $AI169/time_cap/(time+1)*AK$2, 0) = 0, $AI169/(time_cap),0)),0)</f>
        <v>0</v>
      </c>
      <c r="AL169" s="4357">
        <f t="shared" si="401"/>
        <v>0</v>
      </c>
      <c r="AM169" s="4357">
        <f t="shared" si="401"/>
        <v>0</v>
      </c>
      <c r="AN169" s="4357">
        <f t="shared" si="401"/>
        <v>0</v>
      </c>
      <c r="AO169" s="4357">
        <f t="shared" si="401"/>
        <v>0</v>
      </c>
      <c r="AP169" s="4357">
        <f t="shared" si="401"/>
        <v>0</v>
      </c>
      <c r="AQ169" s="4357">
        <f t="shared" si="401"/>
        <v>0</v>
      </c>
      <c r="AR169" s="4357">
        <f t="shared" si="401"/>
        <v>0</v>
      </c>
      <c r="AS169" s="4357">
        <f t="shared" si="401"/>
        <v>0</v>
      </c>
      <c r="AT169" s="4357">
        <f t="shared" si="401"/>
        <v>0</v>
      </c>
      <c r="AU169" s="4357">
        <f t="shared" si="401"/>
        <v>0</v>
      </c>
      <c r="AV169" s="4357">
        <f t="shared" si="401"/>
        <v>0</v>
      </c>
      <c r="AW169" s="4357">
        <f t="shared" si="401"/>
        <v>0</v>
      </c>
      <c r="AX169" s="4357">
        <f t="shared" si="401"/>
        <v>0</v>
      </c>
      <c r="AY169" s="4357">
        <f t="shared" si="401"/>
        <v>0</v>
      </c>
      <c r="AZ169" s="4357">
        <f t="shared" si="401"/>
        <v>0</v>
      </c>
      <c r="BA169" s="4357">
        <f t="shared" si="401"/>
        <v>0</v>
      </c>
      <c r="BB169" s="4357">
        <f t="shared" si="401"/>
        <v>0</v>
      </c>
      <c r="BC169" s="4357">
        <f t="shared" si="401"/>
        <v>0</v>
      </c>
      <c r="BD169" s="4357">
        <f t="shared" si="401"/>
        <v>0</v>
      </c>
      <c r="BE169" s="4357">
        <f t="shared" si="401"/>
        <v>0</v>
      </c>
      <c r="BF169" s="4357">
        <f t="shared" si="401"/>
        <v>0</v>
      </c>
      <c r="BG169" s="4357">
        <f t="shared" si="401"/>
        <v>0</v>
      </c>
      <c r="BH169" s="4357">
        <f t="shared" si="401"/>
        <v>0</v>
      </c>
      <c r="BI169" s="4357">
        <f t="shared" si="401"/>
        <v>0</v>
      </c>
      <c r="BJ169" s="4357">
        <f t="shared" si="401"/>
        <v>0</v>
      </c>
      <c r="BK169" s="4357">
        <f t="shared" si="401"/>
        <v>0</v>
      </c>
      <c r="BL169" s="4357">
        <f t="shared" si="401"/>
        <v>0</v>
      </c>
      <c r="BM169" s="4357">
        <f t="shared" si="401"/>
        <v>0</v>
      </c>
      <c r="BN169" s="4357">
        <f t="shared" si="401"/>
        <v>0</v>
      </c>
      <c r="BO169" s="4357">
        <f t="shared" si="401"/>
        <v>0</v>
      </c>
      <c r="BP169" s="4357">
        <f t="shared" si="401"/>
        <v>0</v>
      </c>
      <c r="BQ169" s="4357">
        <f t="shared" ref="BQ169:CH169" si="402">IFERROR(IF((time+time_cap)&lt;BQ$2, 0,IF(AND(time+1&gt;=BR$2, $AC169&lt;BR$2), IF($AG169= "I", $AH169/($AD169-$AC169+1), $AH169/(($AD169*($AD169+1)/2)-(($AC169-1)*($AC169-1+1)/2))*BQ$2), 0)+IF(IF(time+1&gt;=BR$2, $AI169/time_cap/(time+1)*BQ$2, 0) = 0, $AI169/(time_cap),0)),0)</f>
        <v>0</v>
      </c>
      <c r="BR169" s="4357">
        <f t="shared" si="402"/>
        <v>0</v>
      </c>
      <c r="BS169" s="4357">
        <f t="shared" si="402"/>
        <v>0</v>
      </c>
      <c r="BT169" s="4357">
        <f t="shared" si="402"/>
        <v>0</v>
      </c>
      <c r="BU169" s="4357">
        <f t="shared" si="402"/>
        <v>0</v>
      </c>
      <c r="BV169" s="4357">
        <f t="shared" si="402"/>
        <v>0</v>
      </c>
      <c r="BW169" s="4357">
        <f t="shared" si="402"/>
        <v>0</v>
      </c>
      <c r="BX169" s="4357">
        <f t="shared" si="402"/>
        <v>0</v>
      </c>
      <c r="BY169" s="4357">
        <f t="shared" si="402"/>
        <v>0</v>
      </c>
      <c r="BZ169" s="4357">
        <f t="shared" si="402"/>
        <v>0</v>
      </c>
      <c r="CA169" s="4357">
        <f t="shared" si="402"/>
        <v>0</v>
      </c>
      <c r="CB169" s="4357">
        <f t="shared" si="402"/>
        <v>0</v>
      </c>
      <c r="CC169" s="4357">
        <f t="shared" si="402"/>
        <v>0</v>
      </c>
      <c r="CD169" s="4357">
        <f t="shared" si="402"/>
        <v>0</v>
      </c>
      <c r="CE169" s="4357">
        <f t="shared" si="402"/>
        <v>0</v>
      </c>
      <c r="CF169" s="4357">
        <f t="shared" si="402"/>
        <v>0</v>
      </c>
      <c r="CG169" s="4357">
        <f t="shared" si="402"/>
        <v>0</v>
      </c>
      <c r="CH169" s="4357">
        <f t="shared" si="402"/>
        <v>0</v>
      </c>
      <c r="CI169" s="4357"/>
      <c r="CJ169" s="4357"/>
      <c r="CK169" s="4357"/>
      <c r="CL169" s="4357"/>
      <c r="CM169" s="4357"/>
      <c r="CN169" s="4357"/>
      <c r="CO169" s="4357"/>
      <c r="CP169" s="4357"/>
      <c r="CQ169" s="4357"/>
      <c r="CR169" s="4357"/>
      <c r="CS169" s="4357"/>
      <c r="CT169" s="4357"/>
      <c r="CU169" s="4357"/>
      <c r="CV169" s="4357"/>
      <c r="CW169" s="4357"/>
      <c r="CX169" s="4357"/>
      <c r="CY169" s="4357"/>
      <c r="CZ169" s="4357"/>
      <c r="DA169" s="4357"/>
      <c r="DB169" s="4357"/>
      <c r="DC169" s="4357"/>
      <c r="DD169" s="4357"/>
      <c r="DE169" s="4357"/>
      <c r="DF169" s="4357"/>
      <c r="DG169" s="4357"/>
      <c r="DH169" s="4357"/>
      <c r="DI169" s="4357"/>
      <c r="DJ169" s="4357"/>
      <c r="DK169" s="4357"/>
      <c r="DL169" s="4357"/>
      <c r="DM169" s="4357"/>
      <c r="DN169" s="4357"/>
      <c r="DO169" s="4357"/>
      <c r="DP169" s="4357"/>
      <c r="DQ169" s="4357"/>
      <c r="DR169" s="4357"/>
      <c r="DS169" s="4357"/>
      <c r="DT169" s="4357"/>
      <c r="DU169" s="4357"/>
      <c r="DV169" s="4357"/>
      <c r="DW169" s="4357"/>
      <c r="DX169" s="4357"/>
      <c r="DY169" s="4357"/>
      <c r="DZ169" s="4357"/>
      <c r="EA169" s="4357"/>
      <c r="EB169" s="4357"/>
      <c r="EC169" s="4357"/>
      <c r="ED169" s="4357"/>
      <c r="EE169" s="4357"/>
      <c r="EF169" s="4357"/>
    </row>
    <row r="170" spans="1:136" ht="16" x14ac:dyDescent="0.2">
      <c r="A170" t="s">
        <v>2121</v>
      </c>
      <c r="B170" t="s">
        <v>3237</v>
      </c>
      <c r="D170" t="str">
        <f>'7.Coastal wetlands'!C11</f>
        <v>Tidal marsh</v>
      </c>
      <c r="E170">
        <f>'7.Coastal wetlands'!AI11</f>
        <v>0</v>
      </c>
      <c r="F170">
        <f>Coastal!J17*(Coastal!G17-Coastal!E17)-Coastal!J17*(Coastal!F17-Coastal!E17)</f>
        <v>0</v>
      </c>
      <c r="G170">
        <f>Coastal!M17*(Coastal!G17-Coastal!E17)-Coastal!M17*(Coastal!F17-Coastal!E17)</f>
        <v>0</v>
      </c>
      <c r="AB170" t="str">
        <f t="shared" si="340"/>
        <v>ok</v>
      </c>
      <c r="AC170">
        <f>IF('7.Coastal wetlands'!CN11&lt;&gt;0,'7.Coastal wetlands'!CN11,'7.Coastal wetlands'!CM11)</f>
        <v>1</v>
      </c>
      <c r="AD170">
        <f t="shared" si="371"/>
        <v>5</v>
      </c>
      <c r="AE170" s="4357" t="s">
        <v>86</v>
      </c>
      <c r="AF170" s="4357" t="s">
        <v>86</v>
      </c>
      <c r="AG170" s="4357" t="str">
        <f t="shared" si="374"/>
        <v>D</v>
      </c>
      <c r="AH170" s="4357">
        <f>((E170/(time_cap+((AD170-AC170+1)*VLOOKUP(AG170,list!$I$48:$K$50,3, FALSE))))*(AD170-AC170+1)*VLOOKUP(AG170,list!$I$48:$K$50,3, FALSE))</f>
        <v>0</v>
      </c>
      <c r="AI170" s="4357">
        <f>((E170/(time_cap+((AD170-AC170+1)*VLOOKUP(AG170,list!$I$48:$K$50,3, FALSE))))*time_cap)</f>
        <v>0</v>
      </c>
      <c r="AK170" s="4357">
        <f t="shared" ref="AK170:BP170" si="403">IFERROR(IF((time+time_cap)&lt;AK$2, 0,IF(AND(time+1&gt;=AL$2, $AC170&lt;AL$2), IF($AG170= "I", $AH170/($AD170-$AC170+1), $AH170/(($AD170*($AD170+1)/2)-(($AC170-1)*($AC170-1+1)/2))*AK$2), 0)+IF(IF(time+1&gt;=AL$2, $AI170/time_cap/(time+1)*AK$2, 0) = 0, $AI170/(time_cap),0)),0)</f>
        <v>0</v>
      </c>
      <c r="AL170" s="4357">
        <f t="shared" si="403"/>
        <v>0</v>
      </c>
      <c r="AM170" s="4357">
        <f t="shared" si="403"/>
        <v>0</v>
      </c>
      <c r="AN170" s="4357">
        <f t="shared" si="403"/>
        <v>0</v>
      </c>
      <c r="AO170" s="4357">
        <f t="shared" si="403"/>
        <v>0</v>
      </c>
      <c r="AP170" s="4357">
        <f t="shared" si="403"/>
        <v>0</v>
      </c>
      <c r="AQ170" s="4357">
        <f t="shared" si="403"/>
        <v>0</v>
      </c>
      <c r="AR170" s="4357">
        <f t="shared" si="403"/>
        <v>0</v>
      </c>
      <c r="AS170" s="4357">
        <f t="shared" si="403"/>
        <v>0</v>
      </c>
      <c r="AT170" s="4357">
        <f t="shared" si="403"/>
        <v>0</v>
      </c>
      <c r="AU170" s="4357">
        <f t="shared" si="403"/>
        <v>0</v>
      </c>
      <c r="AV170" s="4357">
        <f t="shared" si="403"/>
        <v>0</v>
      </c>
      <c r="AW170" s="4357">
        <f t="shared" si="403"/>
        <v>0</v>
      </c>
      <c r="AX170" s="4357">
        <f t="shared" si="403"/>
        <v>0</v>
      </c>
      <c r="AY170" s="4357">
        <f t="shared" si="403"/>
        <v>0</v>
      </c>
      <c r="AZ170" s="4357">
        <f t="shared" si="403"/>
        <v>0</v>
      </c>
      <c r="BA170" s="4357">
        <f t="shared" si="403"/>
        <v>0</v>
      </c>
      <c r="BB170" s="4357">
        <f t="shared" si="403"/>
        <v>0</v>
      </c>
      <c r="BC170" s="4357">
        <f t="shared" si="403"/>
        <v>0</v>
      </c>
      <c r="BD170" s="4357">
        <f t="shared" si="403"/>
        <v>0</v>
      </c>
      <c r="BE170" s="4357">
        <f t="shared" si="403"/>
        <v>0</v>
      </c>
      <c r="BF170" s="4357">
        <f t="shared" si="403"/>
        <v>0</v>
      </c>
      <c r="BG170" s="4357">
        <f t="shared" si="403"/>
        <v>0</v>
      </c>
      <c r="BH170" s="4357">
        <f t="shared" si="403"/>
        <v>0</v>
      </c>
      <c r="BI170" s="4357">
        <f t="shared" si="403"/>
        <v>0</v>
      </c>
      <c r="BJ170" s="4357">
        <f t="shared" si="403"/>
        <v>0</v>
      </c>
      <c r="BK170" s="4357">
        <f t="shared" si="403"/>
        <v>0</v>
      </c>
      <c r="BL170" s="4357">
        <f t="shared" si="403"/>
        <v>0</v>
      </c>
      <c r="BM170" s="4357">
        <f t="shared" si="403"/>
        <v>0</v>
      </c>
      <c r="BN170" s="4357">
        <f t="shared" si="403"/>
        <v>0</v>
      </c>
      <c r="BO170" s="4357">
        <f t="shared" si="403"/>
        <v>0</v>
      </c>
      <c r="BP170" s="4357">
        <f t="shared" si="403"/>
        <v>0</v>
      </c>
      <c r="BQ170" s="4357">
        <f t="shared" ref="BQ170:CH170" si="404">IFERROR(IF((time+time_cap)&lt;BQ$2, 0,IF(AND(time+1&gt;=BR$2, $AC170&lt;BR$2), IF($AG170= "I", $AH170/($AD170-$AC170+1), $AH170/(($AD170*($AD170+1)/2)-(($AC170-1)*($AC170-1+1)/2))*BQ$2), 0)+IF(IF(time+1&gt;=BR$2, $AI170/time_cap/(time+1)*BQ$2, 0) = 0, $AI170/(time_cap),0)),0)</f>
        <v>0</v>
      </c>
      <c r="BR170" s="4357">
        <f t="shared" si="404"/>
        <v>0</v>
      </c>
      <c r="BS170" s="4357">
        <f t="shared" si="404"/>
        <v>0</v>
      </c>
      <c r="BT170" s="4357">
        <f t="shared" si="404"/>
        <v>0</v>
      </c>
      <c r="BU170" s="4357">
        <f t="shared" si="404"/>
        <v>0</v>
      </c>
      <c r="BV170" s="4357">
        <f t="shared" si="404"/>
        <v>0</v>
      </c>
      <c r="BW170" s="4357">
        <f t="shared" si="404"/>
        <v>0</v>
      </c>
      <c r="BX170" s="4357">
        <f t="shared" si="404"/>
        <v>0</v>
      </c>
      <c r="BY170" s="4357">
        <f t="shared" si="404"/>
        <v>0</v>
      </c>
      <c r="BZ170" s="4357">
        <f t="shared" si="404"/>
        <v>0</v>
      </c>
      <c r="CA170" s="4357">
        <f t="shared" si="404"/>
        <v>0</v>
      </c>
      <c r="CB170" s="4357">
        <f t="shared" si="404"/>
        <v>0</v>
      </c>
      <c r="CC170" s="4357">
        <f t="shared" si="404"/>
        <v>0</v>
      </c>
      <c r="CD170" s="4357">
        <f t="shared" si="404"/>
        <v>0</v>
      </c>
      <c r="CE170" s="4357">
        <f t="shared" si="404"/>
        <v>0</v>
      </c>
      <c r="CF170" s="4357">
        <f t="shared" si="404"/>
        <v>0</v>
      </c>
      <c r="CG170" s="4357">
        <f t="shared" si="404"/>
        <v>0</v>
      </c>
      <c r="CH170" s="4357">
        <f t="shared" si="404"/>
        <v>0</v>
      </c>
      <c r="CI170" s="4357"/>
      <c r="CJ170" s="4357"/>
      <c r="CK170" s="4357"/>
      <c r="CL170" s="4357"/>
      <c r="CM170" s="4357"/>
      <c r="CN170" s="4357"/>
      <c r="CO170" s="4357"/>
      <c r="CP170" s="4357"/>
      <c r="CQ170" s="4357"/>
      <c r="CR170" s="4357"/>
      <c r="CS170" s="4357"/>
      <c r="CT170" s="4357"/>
      <c r="CU170" s="4357"/>
      <c r="CV170" s="4357"/>
      <c r="CW170" s="4357"/>
      <c r="CX170" s="4357"/>
      <c r="CY170" s="4357"/>
      <c r="CZ170" s="4357"/>
      <c r="DA170" s="4357"/>
      <c r="DB170" s="4357"/>
      <c r="DC170" s="4357"/>
      <c r="DD170" s="4357"/>
      <c r="DE170" s="4357"/>
      <c r="DF170" s="4357"/>
      <c r="DG170" s="4357"/>
      <c r="DH170" s="4357"/>
      <c r="DI170" s="4357"/>
      <c r="DJ170" s="4357"/>
      <c r="DK170" s="4357"/>
      <c r="DL170" s="4357"/>
      <c r="DM170" s="4357"/>
      <c r="DN170" s="4357"/>
      <c r="DO170" s="4357"/>
      <c r="DP170" s="4357"/>
      <c r="DQ170" s="4357"/>
      <c r="DR170" s="4357"/>
      <c r="DS170" s="4357"/>
      <c r="DT170" s="4357"/>
      <c r="DU170" s="4357"/>
      <c r="DV170" s="4357"/>
      <c r="DW170" s="4357"/>
      <c r="DX170" s="4357"/>
      <c r="DY170" s="4357"/>
      <c r="DZ170" s="4357"/>
      <c r="EA170" s="4357"/>
      <c r="EB170" s="4357"/>
      <c r="EC170" s="4357"/>
      <c r="ED170" s="4357"/>
      <c r="EE170" s="4357"/>
      <c r="EF170" s="4357"/>
    </row>
    <row r="171" spans="1:136" ht="16" x14ac:dyDescent="0.2">
      <c r="A171" t="s">
        <v>2121</v>
      </c>
      <c r="B171" t="s">
        <v>3237</v>
      </c>
      <c r="D171" t="str">
        <f>'7.Coastal wetlands'!C12</f>
        <v>Please select</v>
      </c>
      <c r="E171">
        <f>'7.Coastal wetlands'!AI12</f>
        <v>0</v>
      </c>
      <c r="F171">
        <f>Coastal!J18*(Coastal!G18-Coastal!E18)-Coastal!J18*(Coastal!F18-Coastal!E18)</f>
        <v>0</v>
      </c>
      <c r="G171">
        <f>Coastal!M18*(Coastal!G18-Coastal!E18)-Coastal!M18*(Coastal!F18-Coastal!E18)</f>
        <v>0</v>
      </c>
      <c r="AB171" t="str">
        <f t="shared" si="340"/>
        <v>ok</v>
      </c>
      <c r="AC171">
        <f>IF('7.Coastal wetlands'!CN12&lt;&gt;0,'7.Coastal wetlands'!CN12,'7.Coastal wetlands'!CM12)</f>
        <v>1</v>
      </c>
      <c r="AD171">
        <f t="shared" si="371"/>
        <v>5</v>
      </c>
      <c r="AE171" s="4357" t="s">
        <v>86</v>
      </c>
      <c r="AF171" s="4357" t="s">
        <v>86</v>
      </c>
      <c r="AG171" s="4357" t="str">
        <f t="shared" si="374"/>
        <v>D</v>
      </c>
      <c r="AH171" s="4357">
        <f>((E171/(time_cap+((AD171-AC171+1)*VLOOKUP(AG171,list!$I$48:$K$50,3, FALSE))))*(AD171-AC171+1)*VLOOKUP(AG171,list!$I$48:$K$50,3, FALSE))</f>
        <v>0</v>
      </c>
      <c r="AI171" s="4357">
        <f>((E171/(time_cap+((AD171-AC171+1)*VLOOKUP(AG171,list!$I$48:$K$50,3, FALSE))))*time_cap)</f>
        <v>0</v>
      </c>
      <c r="AK171" s="4357">
        <f t="shared" ref="AK171:BP171" si="405">IFERROR(IF((time+time_cap)&lt;AK$2, 0,IF(AND(time+1&gt;=AL$2, $AC171&lt;AL$2), IF($AG171= "I", $AH171/($AD171-$AC171+1), $AH171/(($AD171*($AD171+1)/2)-(($AC171-1)*($AC171-1+1)/2))*AK$2), 0)+IF(IF(time+1&gt;=AL$2, $AI171/time_cap/(time+1)*AK$2, 0) = 0, $AI171/(time_cap),0)),0)</f>
        <v>0</v>
      </c>
      <c r="AL171" s="4357">
        <f t="shared" si="405"/>
        <v>0</v>
      </c>
      <c r="AM171" s="4357">
        <f t="shared" si="405"/>
        <v>0</v>
      </c>
      <c r="AN171" s="4357">
        <f t="shared" si="405"/>
        <v>0</v>
      </c>
      <c r="AO171" s="4357">
        <f t="shared" si="405"/>
        <v>0</v>
      </c>
      <c r="AP171" s="4357">
        <f t="shared" si="405"/>
        <v>0</v>
      </c>
      <c r="AQ171" s="4357">
        <f t="shared" si="405"/>
        <v>0</v>
      </c>
      <c r="AR171" s="4357">
        <f t="shared" si="405"/>
        <v>0</v>
      </c>
      <c r="AS171" s="4357">
        <f t="shared" si="405"/>
        <v>0</v>
      </c>
      <c r="AT171" s="4357">
        <f t="shared" si="405"/>
        <v>0</v>
      </c>
      <c r="AU171" s="4357">
        <f t="shared" si="405"/>
        <v>0</v>
      </c>
      <c r="AV171" s="4357">
        <f t="shared" si="405"/>
        <v>0</v>
      </c>
      <c r="AW171" s="4357">
        <f t="shared" si="405"/>
        <v>0</v>
      </c>
      <c r="AX171" s="4357">
        <f t="shared" si="405"/>
        <v>0</v>
      </c>
      <c r="AY171" s="4357">
        <f t="shared" si="405"/>
        <v>0</v>
      </c>
      <c r="AZ171" s="4357">
        <f t="shared" si="405"/>
        <v>0</v>
      </c>
      <c r="BA171" s="4357">
        <f t="shared" si="405"/>
        <v>0</v>
      </c>
      <c r="BB171" s="4357">
        <f t="shared" si="405"/>
        <v>0</v>
      </c>
      <c r="BC171" s="4357">
        <f t="shared" si="405"/>
        <v>0</v>
      </c>
      <c r="BD171" s="4357">
        <f t="shared" si="405"/>
        <v>0</v>
      </c>
      <c r="BE171" s="4357">
        <f t="shared" si="405"/>
        <v>0</v>
      </c>
      <c r="BF171" s="4357">
        <f t="shared" si="405"/>
        <v>0</v>
      </c>
      <c r="BG171" s="4357">
        <f t="shared" si="405"/>
        <v>0</v>
      </c>
      <c r="BH171" s="4357">
        <f t="shared" si="405"/>
        <v>0</v>
      </c>
      <c r="BI171" s="4357">
        <f t="shared" si="405"/>
        <v>0</v>
      </c>
      <c r="BJ171" s="4357">
        <f t="shared" si="405"/>
        <v>0</v>
      </c>
      <c r="BK171" s="4357">
        <f t="shared" si="405"/>
        <v>0</v>
      </c>
      <c r="BL171" s="4357">
        <f t="shared" si="405"/>
        <v>0</v>
      </c>
      <c r="BM171" s="4357">
        <f t="shared" si="405"/>
        <v>0</v>
      </c>
      <c r="BN171" s="4357">
        <f t="shared" si="405"/>
        <v>0</v>
      </c>
      <c r="BO171" s="4357">
        <f t="shared" si="405"/>
        <v>0</v>
      </c>
      <c r="BP171" s="4357">
        <f t="shared" si="405"/>
        <v>0</v>
      </c>
      <c r="BQ171" s="4357">
        <f t="shared" ref="BQ171:CH171" si="406">IFERROR(IF((time+time_cap)&lt;BQ$2, 0,IF(AND(time+1&gt;=BR$2, $AC171&lt;BR$2), IF($AG171= "I", $AH171/($AD171-$AC171+1), $AH171/(($AD171*($AD171+1)/2)-(($AC171-1)*($AC171-1+1)/2))*BQ$2), 0)+IF(IF(time+1&gt;=BR$2, $AI171/time_cap/(time+1)*BQ$2, 0) = 0, $AI171/(time_cap),0)),0)</f>
        <v>0</v>
      </c>
      <c r="BR171" s="4357">
        <f t="shared" si="406"/>
        <v>0</v>
      </c>
      <c r="BS171" s="4357">
        <f t="shared" si="406"/>
        <v>0</v>
      </c>
      <c r="BT171" s="4357">
        <f t="shared" si="406"/>
        <v>0</v>
      </c>
      <c r="BU171" s="4357">
        <f t="shared" si="406"/>
        <v>0</v>
      </c>
      <c r="BV171" s="4357">
        <f t="shared" si="406"/>
        <v>0</v>
      </c>
      <c r="BW171" s="4357">
        <f t="shared" si="406"/>
        <v>0</v>
      </c>
      <c r="BX171" s="4357">
        <f t="shared" si="406"/>
        <v>0</v>
      </c>
      <c r="BY171" s="4357">
        <f t="shared" si="406"/>
        <v>0</v>
      </c>
      <c r="BZ171" s="4357">
        <f t="shared" si="406"/>
        <v>0</v>
      </c>
      <c r="CA171" s="4357">
        <f t="shared" si="406"/>
        <v>0</v>
      </c>
      <c r="CB171" s="4357">
        <f t="shared" si="406"/>
        <v>0</v>
      </c>
      <c r="CC171" s="4357">
        <f t="shared" si="406"/>
        <v>0</v>
      </c>
      <c r="CD171" s="4357">
        <f t="shared" si="406"/>
        <v>0</v>
      </c>
      <c r="CE171" s="4357">
        <f t="shared" si="406"/>
        <v>0</v>
      </c>
      <c r="CF171" s="4357">
        <f t="shared" si="406"/>
        <v>0</v>
      </c>
      <c r="CG171" s="4357">
        <f t="shared" si="406"/>
        <v>0</v>
      </c>
      <c r="CH171" s="4357">
        <f t="shared" si="406"/>
        <v>0</v>
      </c>
      <c r="CI171" s="4357"/>
      <c r="CJ171" s="4357"/>
      <c r="CK171" s="4357"/>
      <c r="CL171" s="4357"/>
      <c r="CM171" s="4357"/>
      <c r="CN171" s="4357"/>
      <c r="CO171" s="4357"/>
      <c r="CP171" s="4357"/>
      <c r="CQ171" s="4357"/>
      <c r="CR171" s="4357"/>
      <c r="CS171" s="4357"/>
      <c r="CT171" s="4357"/>
      <c r="CU171" s="4357"/>
      <c r="CV171" s="4357"/>
      <c r="CW171" s="4357"/>
      <c r="CX171" s="4357"/>
      <c r="CY171" s="4357"/>
      <c r="CZ171" s="4357"/>
      <c r="DA171" s="4357"/>
      <c r="DB171" s="4357"/>
      <c r="DC171" s="4357"/>
      <c r="DD171" s="4357"/>
      <c r="DE171" s="4357"/>
      <c r="DF171" s="4357"/>
      <c r="DG171" s="4357"/>
      <c r="DH171" s="4357"/>
      <c r="DI171" s="4357"/>
      <c r="DJ171" s="4357"/>
      <c r="DK171" s="4357"/>
      <c r="DL171" s="4357"/>
      <c r="DM171" s="4357"/>
      <c r="DN171" s="4357"/>
      <c r="DO171" s="4357"/>
      <c r="DP171" s="4357"/>
      <c r="DQ171" s="4357"/>
      <c r="DR171" s="4357"/>
      <c r="DS171" s="4357"/>
      <c r="DT171" s="4357"/>
      <c r="DU171" s="4357"/>
      <c r="DV171" s="4357"/>
      <c r="DW171" s="4357"/>
      <c r="DX171" s="4357"/>
      <c r="DY171" s="4357"/>
      <c r="DZ171" s="4357"/>
      <c r="EA171" s="4357"/>
      <c r="EB171" s="4357"/>
      <c r="EC171" s="4357"/>
      <c r="ED171" s="4357"/>
      <c r="EE171" s="4357"/>
      <c r="EF171" s="4357"/>
    </row>
    <row r="172" spans="1:136" ht="16" x14ac:dyDescent="0.2">
      <c r="A172" t="s">
        <v>2121</v>
      </c>
      <c r="B172" t="s">
        <v>3237</v>
      </c>
      <c r="D172" t="str">
        <f>'7.Coastal wetlands'!C13</f>
        <v>Please select</v>
      </c>
      <c r="E172">
        <f>'7.Coastal wetlands'!AI13</f>
        <v>0</v>
      </c>
      <c r="F172">
        <f>Coastal!J19*(Coastal!G19-Coastal!E19)-Coastal!J19*(Coastal!F19-Coastal!E19)</f>
        <v>0</v>
      </c>
      <c r="G172">
        <f>Coastal!M19*(Coastal!G19-Coastal!E19)-Coastal!M19*(Coastal!F19-Coastal!E19)</f>
        <v>0</v>
      </c>
      <c r="AB172" t="str">
        <f t="shared" si="340"/>
        <v>ok</v>
      </c>
      <c r="AC172">
        <f>IF('7.Coastal wetlands'!CN13&lt;&gt;0,'7.Coastal wetlands'!CN13,'7.Coastal wetlands'!CM13)</f>
        <v>1</v>
      </c>
      <c r="AD172">
        <f t="shared" si="371"/>
        <v>5</v>
      </c>
      <c r="AE172" s="4357" t="s">
        <v>86</v>
      </c>
      <c r="AF172" s="4357" t="s">
        <v>86</v>
      </c>
      <c r="AG172" s="4357" t="str">
        <f t="shared" si="374"/>
        <v>D</v>
      </c>
      <c r="AH172" s="4357">
        <f>((E172/(time_cap+((AD172-AC172+1)*VLOOKUP(AG172,list!$I$48:$K$50,3, FALSE))))*(AD172-AC172+1)*VLOOKUP(AG172,list!$I$48:$K$50,3, FALSE))</f>
        <v>0</v>
      </c>
      <c r="AI172" s="4357">
        <f>((E172/(time_cap+((AD172-AC172+1)*VLOOKUP(AG172,list!$I$48:$K$50,3, FALSE))))*time_cap)</f>
        <v>0</v>
      </c>
      <c r="AK172" s="4357">
        <f t="shared" ref="AK172:BP172" si="407">IFERROR(IF((time+time_cap)&lt;AK$2, 0,IF(AND(time+1&gt;=AL$2, $AC172&lt;AL$2), IF($AG172= "I", $AH172/($AD172-$AC172+1), $AH172/(($AD172*($AD172+1)/2)-(($AC172-1)*($AC172-1+1)/2))*AK$2), 0)+IF(IF(time+1&gt;=AL$2, $AI172/time_cap/(time+1)*AK$2, 0) = 0, $AI172/(time_cap),0)),0)</f>
        <v>0</v>
      </c>
      <c r="AL172" s="4357">
        <f t="shared" si="407"/>
        <v>0</v>
      </c>
      <c r="AM172" s="4357">
        <f t="shared" si="407"/>
        <v>0</v>
      </c>
      <c r="AN172" s="4357">
        <f t="shared" si="407"/>
        <v>0</v>
      </c>
      <c r="AO172" s="4357">
        <f t="shared" si="407"/>
        <v>0</v>
      </c>
      <c r="AP172" s="4357">
        <f t="shared" si="407"/>
        <v>0</v>
      </c>
      <c r="AQ172" s="4357">
        <f t="shared" si="407"/>
        <v>0</v>
      </c>
      <c r="AR172" s="4357">
        <f t="shared" si="407"/>
        <v>0</v>
      </c>
      <c r="AS172" s="4357">
        <f t="shared" si="407"/>
        <v>0</v>
      </c>
      <c r="AT172" s="4357">
        <f t="shared" si="407"/>
        <v>0</v>
      </c>
      <c r="AU172" s="4357">
        <f t="shared" si="407"/>
        <v>0</v>
      </c>
      <c r="AV172" s="4357">
        <f t="shared" si="407"/>
        <v>0</v>
      </c>
      <c r="AW172" s="4357">
        <f t="shared" si="407"/>
        <v>0</v>
      </c>
      <c r="AX172" s="4357">
        <f t="shared" si="407"/>
        <v>0</v>
      </c>
      <c r="AY172" s="4357">
        <f t="shared" si="407"/>
        <v>0</v>
      </c>
      <c r="AZ172" s="4357">
        <f t="shared" si="407"/>
        <v>0</v>
      </c>
      <c r="BA172" s="4357">
        <f t="shared" si="407"/>
        <v>0</v>
      </c>
      <c r="BB172" s="4357">
        <f t="shared" si="407"/>
        <v>0</v>
      </c>
      <c r="BC172" s="4357">
        <f t="shared" si="407"/>
        <v>0</v>
      </c>
      <c r="BD172" s="4357">
        <f t="shared" si="407"/>
        <v>0</v>
      </c>
      <c r="BE172" s="4357">
        <f t="shared" si="407"/>
        <v>0</v>
      </c>
      <c r="BF172" s="4357">
        <f t="shared" si="407"/>
        <v>0</v>
      </c>
      <c r="BG172" s="4357">
        <f t="shared" si="407"/>
        <v>0</v>
      </c>
      <c r="BH172" s="4357">
        <f t="shared" si="407"/>
        <v>0</v>
      </c>
      <c r="BI172" s="4357">
        <f t="shared" si="407"/>
        <v>0</v>
      </c>
      <c r="BJ172" s="4357">
        <f t="shared" si="407"/>
        <v>0</v>
      </c>
      <c r="BK172" s="4357">
        <f t="shared" si="407"/>
        <v>0</v>
      </c>
      <c r="BL172" s="4357">
        <f t="shared" si="407"/>
        <v>0</v>
      </c>
      <c r="BM172" s="4357">
        <f t="shared" si="407"/>
        <v>0</v>
      </c>
      <c r="BN172" s="4357">
        <f t="shared" si="407"/>
        <v>0</v>
      </c>
      <c r="BO172" s="4357">
        <f t="shared" si="407"/>
        <v>0</v>
      </c>
      <c r="BP172" s="4357">
        <f t="shared" si="407"/>
        <v>0</v>
      </c>
      <c r="BQ172" s="4357">
        <f t="shared" ref="BQ172:CH172" si="408">IFERROR(IF((time+time_cap)&lt;BQ$2, 0,IF(AND(time+1&gt;=BR$2, $AC172&lt;BR$2), IF($AG172= "I", $AH172/($AD172-$AC172+1), $AH172/(($AD172*($AD172+1)/2)-(($AC172-1)*($AC172-1+1)/2))*BQ$2), 0)+IF(IF(time+1&gt;=BR$2, $AI172/time_cap/(time+1)*BQ$2, 0) = 0, $AI172/(time_cap),0)),0)</f>
        <v>0</v>
      </c>
      <c r="BR172" s="4357">
        <f t="shared" si="408"/>
        <v>0</v>
      </c>
      <c r="BS172" s="4357">
        <f t="shared" si="408"/>
        <v>0</v>
      </c>
      <c r="BT172" s="4357">
        <f t="shared" si="408"/>
        <v>0</v>
      </c>
      <c r="BU172" s="4357">
        <f t="shared" si="408"/>
        <v>0</v>
      </c>
      <c r="BV172" s="4357">
        <f t="shared" si="408"/>
        <v>0</v>
      </c>
      <c r="BW172" s="4357">
        <f t="shared" si="408"/>
        <v>0</v>
      </c>
      <c r="BX172" s="4357">
        <f t="shared" si="408"/>
        <v>0</v>
      </c>
      <c r="BY172" s="4357">
        <f t="shared" si="408"/>
        <v>0</v>
      </c>
      <c r="BZ172" s="4357">
        <f t="shared" si="408"/>
        <v>0</v>
      </c>
      <c r="CA172" s="4357">
        <f t="shared" si="408"/>
        <v>0</v>
      </c>
      <c r="CB172" s="4357">
        <f t="shared" si="408"/>
        <v>0</v>
      </c>
      <c r="CC172" s="4357">
        <f t="shared" si="408"/>
        <v>0</v>
      </c>
      <c r="CD172" s="4357">
        <f t="shared" si="408"/>
        <v>0</v>
      </c>
      <c r="CE172" s="4357">
        <f t="shared" si="408"/>
        <v>0</v>
      </c>
      <c r="CF172" s="4357">
        <f t="shared" si="408"/>
        <v>0</v>
      </c>
      <c r="CG172" s="4357">
        <f t="shared" si="408"/>
        <v>0</v>
      </c>
      <c r="CH172" s="4357">
        <f t="shared" si="408"/>
        <v>0</v>
      </c>
      <c r="CI172" s="4357"/>
      <c r="CJ172" s="4357"/>
      <c r="CK172" s="4357"/>
      <c r="CL172" s="4357"/>
      <c r="CM172" s="4357"/>
      <c r="CN172" s="4357"/>
      <c r="CO172" s="4357"/>
      <c r="CP172" s="4357"/>
      <c r="CQ172" s="4357"/>
      <c r="CR172" s="4357"/>
      <c r="CS172" s="4357"/>
      <c r="CT172" s="4357"/>
      <c r="CU172" s="4357"/>
      <c r="CV172" s="4357"/>
      <c r="CW172" s="4357"/>
      <c r="CX172" s="4357"/>
      <c r="CY172" s="4357"/>
      <c r="CZ172" s="4357"/>
      <c r="DA172" s="4357"/>
      <c r="DB172" s="4357"/>
      <c r="DC172" s="4357"/>
      <c r="DD172" s="4357"/>
      <c r="DE172" s="4357"/>
      <c r="DF172" s="4357"/>
      <c r="DG172" s="4357"/>
      <c r="DH172" s="4357"/>
      <c r="DI172" s="4357"/>
      <c r="DJ172" s="4357"/>
      <c r="DK172" s="4357"/>
      <c r="DL172" s="4357"/>
      <c r="DM172" s="4357"/>
      <c r="DN172" s="4357"/>
      <c r="DO172" s="4357"/>
      <c r="DP172" s="4357"/>
      <c r="DQ172" s="4357"/>
      <c r="DR172" s="4357"/>
      <c r="DS172" s="4357"/>
      <c r="DT172" s="4357"/>
      <c r="DU172" s="4357"/>
      <c r="DV172" s="4357"/>
      <c r="DW172" s="4357"/>
      <c r="DX172" s="4357"/>
      <c r="DY172" s="4357"/>
      <c r="DZ172" s="4357"/>
      <c r="EA172" s="4357"/>
      <c r="EB172" s="4357"/>
      <c r="EC172" s="4357"/>
      <c r="ED172" s="4357"/>
      <c r="EE172" s="4357"/>
      <c r="EF172" s="4357"/>
    </row>
    <row r="173" spans="1:136" ht="16" x14ac:dyDescent="0.2">
      <c r="A173" t="s">
        <v>2121</v>
      </c>
      <c r="B173" t="s">
        <v>3237</v>
      </c>
      <c r="D173" t="str">
        <f>'7.Coastal wetlands'!C14</f>
        <v>Please select</v>
      </c>
      <c r="E173">
        <f>'7.Coastal wetlands'!AI14</f>
        <v>0</v>
      </c>
      <c r="F173">
        <f>Coastal!J20*(Coastal!G20-Coastal!E20)-Coastal!J20*(Coastal!F20-Coastal!E20)</f>
        <v>0</v>
      </c>
      <c r="G173">
        <f>Coastal!M20*(Coastal!G20-Coastal!E20)-Coastal!M20*(Coastal!F20-Coastal!E20)</f>
        <v>0</v>
      </c>
      <c r="AB173" t="str">
        <f t="shared" si="340"/>
        <v>ok</v>
      </c>
      <c r="AC173">
        <f>IF('7.Coastal wetlands'!CN14&lt;&gt;0,'7.Coastal wetlands'!CN14,'7.Coastal wetlands'!CM14)</f>
        <v>1</v>
      </c>
      <c r="AD173">
        <f t="shared" si="371"/>
        <v>5</v>
      </c>
      <c r="AE173" s="4357" t="s">
        <v>86</v>
      </c>
      <c r="AF173" s="4357" t="s">
        <v>86</v>
      </c>
      <c r="AG173" s="4357" t="str">
        <f t="shared" si="374"/>
        <v>D</v>
      </c>
      <c r="AH173" s="4357">
        <f>((E173/(time_cap+((AD173-AC173+1)*VLOOKUP(AG173,list!$I$48:$K$50,3, FALSE))))*(AD173-AC173+1)*VLOOKUP(AG173,list!$I$48:$K$50,3, FALSE))</f>
        <v>0</v>
      </c>
      <c r="AI173" s="4357">
        <f>((E173/(time_cap+((AD173-AC173+1)*VLOOKUP(AG173,list!$I$48:$K$50,3, FALSE))))*time_cap)</f>
        <v>0</v>
      </c>
      <c r="AK173" s="4357">
        <f t="shared" ref="AK173:BP173" si="409">IFERROR(IF((time+time_cap)&lt;AK$2, 0,IF(AND(time+1&gt;=AL$2, $AC173&lt;AL$2), IF($AG173= "I", $AH173/($AD173-$AC173+1), $AH173/(($AD173*($AD173+1)/2)-(($AC173-1)*($AC173-1+1)/2))*AK$2), 0)+IF(IF(time+1&gt;=AL$2, $AI173/time_cap/(time+1)*AK$2, 0) = 0, $AI173/(time_cap),0)),0)</f>
        <v>0</v>
      </c>
      <c r="AL173" s="4357">
        <f t="shared" si="409"/>
        <v>0</v>
      </c>
      <c r="AM173" s="4357">
        <f t="shared" si="409"/>
        <v>0</v>
      </c>
      <c r="AN173" s="4357">
        <f t="shared" si="409"/>
        <v>0</v>
      </c>
      <c r="AO173" s="4357">
        <f t="shared" si="409"/>
        <v>0</v>
      </c>
      <c r="AP173" s="4357">
        <f t="shared" si="409"/>
        <v>0</v>
      </c>
      <c r="AQ173" s="4357">
        <f t="shared" si="409"/>
        <v>0</v>
      </c>
      <c r="AR173" s="4357">
        <f t="shared" si="409"/>
        <v>0</v>
      </c>
      <c r="AS173" s="4357">
        <f t="shared" si="409"/>
        <v>0</v>
      </c>
      <c r="AT173" s="4357">
        <f t="shared" si="409"/>
        <v>0</v>
      </c>
      <c r="AU173" s="4357">
        <f t="shared" si="409"/>
        <v>0</v>
      </c>
      <c r="AV173" s="4357">
        <f t="shared" si="409"/>
        <v>0</v>
      </c>
      <c r="AW173" s="4357">
        <f t="shared" si="409"/>
        <v>0</v>
      </c>
      <c r="AX173" s="4357">
        <f t="shared" si="409"/>
        <v>0</v>
      </c>
      <c r="AY173" s="4357">
        <f t="shared" si="409"/>
        <v>0</v>
      </c>
      <c r="AZ173" s="4357">
        <f t="shared" si="409"/>
        <v>0</v>
      </c>
      <c r="BA173" s="4357">
        <f t="shared" si="409"/>
        <v>0</v>
      </c>
      <c r="BB173" s="4357">
        <f t="shared" si="409"/>
        <v>0</v>
      </c>
      <c r="BC173" s="4357">
        <f t="shared" si="409"/>
        <v>0</v>
      </c>
      <c r="BD173" s="4357">
        <f t="shared" si="409"/>
        <v>0</v>
      </c>
      <c r="BE173" s="4357">
        <f t="shared" si="409"/>
        <v>0</v>
      </c>
      <c r="BF173" s="4357">
        <f t="shared" si="409"/>
        <v>0</v>
      </c>
      <c r="BG173" s="4357">
        <f t="shared" si="409"/>
        <v>0</v>
      </c>
      <c r="BH173" s="4357">
        <f t="shared" si="409"/>
        <v>0</v>
      </c>
      <c r="BI173" s="4357">
        <f t="shared" si="409"/>
        <v>0</v>
      </c>
      <c r="BJ173" s="4357">
        <f t="shared" si="409"/>
        <v>0</v>
      </c>
      <c r="BK173" s="4357">
        <f t="shared" si="409"/>
        <v>0</v>
      </c>
      <c r="BL173" s="4357">
        <f t="shared" si="409"/>
        <v>0</v>
      </c>
      <c r="BM173" s="4357">
        <f t="shared" si="409"/>
        <v>0</v>
      </c>
      <c r="BN173" s="4357">
        <f t="shared" si="409"/>
        <v>0</v>
      </c>
      <c r="BO173" s="4357">
        <f t="shared" si="409"/>
        <v>0</v>
      </c>
      <c r="BP173" s="4357">
        <f t="shared" si="409"/>
        <v>0</v>
      </c>
      <c r="BQ173" s="4357">
        <f t="shared" ref="BQ173:CH173" si="410">IFERROR(IF((time+time_cap)&lt;BQ$2, 0,IF(AND(time+1&gt;=BR$2, $AC173&lt;BR$2), IF($AG173= "I", $AH173/($AD173-$AC173+1), $AH173/(($AD173*($AD173+1)/2)-(($AC173-1)*($AC173-1+1)/2))*BQ$2), 0)+IF(IF(time+1&gt;=BR$2, $AI173/time_cap/(time+1)*BQ$2, 0) = 0, $AI173/(time_cap),0)),0)</f>
        <v>0</v>
      </c>
      <c r="BR173" s="4357">
        <f t="shared" si="410"/>
        <v>0</v>
      </c>
      <c r="BS173" s="4357">
        <f t="shared" si="410"/>
        <v>0</v>
      </c>
      <c r="BT173" s="4357">
        <f t="shared" si="410"/>
        <v>0</v>
      </c>
      <c r="BU173" s="4357">
        <f t="shared" si="410"/>
        <v>0</v>
      </c>
      <c r="BV173" s="4357">
        <f t="shared" si="410"/>
        <v>0</v>
      </c>
      <c r="BW173" s="4357">
        <f t="shared" si="410"/>
        <v>0</v>
      </c>
      <c r="BX173" s="4357">
        <f t="shared" si="410"/>
        <v>0</v>
      </c>
      <c r="BY173" s="4357">
        <f t="shared" si="410"/>
        <v>0</v>
      </c>
      <c r="BZ173" s="4357">
        <f t="shared" si="410"/>
        <v>0</v>
      </c>
      <c r="CA173" s="4357">
        <f t="shared" si="410"/>
        <v>0</v>
      </c>
      <c r="CB173" s="4357">
        <f t="shared" si="410"/>
        <v>0</v>
      </c>
      <c r="CC173" s="4357">
        <f t="shared" si="410"/>
        <v>0</v>
      </c>
      <c r="CD173" s="4357">
        <f t="shared" si="410"/>
        <v>0</v>
      </c>
      <c r="CE173" s="4357">
        <f t="shared" si="410"/>
        <v>0</v>
      </c>
      <c r="CF173" s="4357">
        <f t="shared" si="410"/>
        <v>0</v>
      </c>
      <c r="CG173" s="4357">
        <f t="shared" si="410"/>
        <v>0</v>
      </c>
      <c r="CH173" s="4357">
        <f t="shared" si="410"/>
        <v>0</v>
      </c>
      <c r="CI173" s="4357"/>
      <c r="CJ173" s="4357"/>
      <c r="CK173" s="4357"/>
      <c r="CL173" s="4357"/>
      <c r="CM173" s="4357"/>
      <c r="CN173" s="4357"/>
      <c r="CO173" s="4357"/>
      <c r="CP173" s="4357"/>
      <c r="CQ173" s="4357"/>
      <c r="CR173" s="4357"/>
      <c r="CS173" s="4357"/>
      <c r="CT173" s="4357"/>
      <c r="CU173" s="4357"/>
      <c r="CV173" s="4357"/>
      <c r="CW173" s="4357"/>
      <c r="CX173" s="4357"/>
      <c r="CY173" s="4357"/>
      <c r="CZ173" s="4357"/>
      <c r="DA173" s="4357"/>
      <c r="DB173" s="4357"/>
      <c r="DC173" s="4357"/>
      <c r="DD173" s="4357"/>
      <c r="DE173" s="4357"/>
      <c r="DF173" s="4357"/>
      <c r="DG173" s="4357"/>
      <c r="DH173" s="4357"/>
      <c r="DI173" s="4357"/>
      <c r="DJ173" s="4357"/>
      <c r="DK173" s="4357"/>
      <c r="DL173" s="4357"/>
      <c r="DM173" s="4357"/>
      <c r="DN173" s="4357"/>
      <c r="DO173" s="4357"/>
      <c r="DP173" s="4357"/>
      <c r="DQ173" s="4357"/>
      <c r="DR173" s="4357"/>
      <c r="DS173" s="4357"/>
      <c r="DT173" s="4357"/>
      <c r="DU173" s="4357"/>
      <c r="DV173" s="4357"/>
      <c r="DW173" s="4357"/>
      <c r="DX173" s="4357"/>
      <c r="DY173" s="4357"/>
      <c r="DZ173" s="4357"/>
      <c r="EA173" s="4357"/>
      <c r="EB173" s="4357"/>
      <c r="EC173" s="4357"/>
      <c r="ED173" s="4357"/>
      <c r="EE173" s="4357"/>
      <c r="EF173" s="4357"/>
    </row>
    <row r="174" spans="1:136" ht="16" x14ac:dyDescent="0.2">
      <c r="A174" t="s">
        <v>2121</v>
      </c>
      <c r="B174" t="s">
        <v>3237</v>
      </c>
      <c r="D174" t="str">
        <f>'7.Coastal wetlands'!C15</f>
        <v>Please select</v>
      </c>
      <c r="E174">
        <f>'7.Coastal wetlands'!AI15</f>
        <v>0</v>
      </c>
      <c r="F174">
        <f>Coastal!J21*(Coastal!G21-Coastal!E21)-Coastal!J21*(Coastal!F21-Coastal!E21)</f>
        <v>0</v>
      </c>
      <c r="G174">
        <f>Coastal!M21*(Coastal!G21-Coastal!E21)-Coastal!M21*(Coastal!F21-Coastal!E21)</f>
        <v>0</v>
      </c>
      <c r="AB174" t="str">
        <f t="shared" si="340"/>
        <v>ok</v>
      </c>
      <c r="AC174">
        <f>IF('7.Coastal wetlands'!CN15&lt;&gt;0,'7.Coastal wetlands'!CN15,'7.Coastal wetlands'!CM15)</f>
        <v>1</v>
      </c>
      <c r="AD174">
        <f t="shared" si="371"/>
        <v>5</v>
      </c>
      <c r="AE174" s="4357" t="s">
        <v>86</v>
      </c>
      <c r="AF174" s="4357" t="s">
        <v>86</v>
      </c>
      <c r="AG174" s="4357" t="str">
        <f t="shared" si="374"/>
        <v>D</v>
      </c>
      <c r="AH174" s="4357">
        <f>((E174/(time_cap+((AD174-AC174+1)*VLOOKUP(AG174,list!$I$48:$K$50,3, FALSE))))*(AD174-AC174+1)*VLOOKUP(AG174,list!$I$48:$K$50,3, FALSE))</f>
        <v>0</v>
      </c>
      <c r="AI174" s="4357">
        <f>((E174/(time_cap+((AD174-AC174+1)*VLOOKUP(AG174,list!$I$48:$K$50,3, FALSE))))*time_cap)</f>
        <v>0</v>
      </c>
      <c r="AK174" s="4357">
        <f t="shared" ref="AK174:BP174" si="411">IFERROR(IF((time+time_cap)&lt;AK$2, 0,IF(AND(time+1&gt;=AL$2, $AC174&lt;AL$2), IF($AG174= "I", $AH174/($AD174-$AC174+1), $AH174/(($AD174*($AD174+1)/2)-(($AC174-1)*($AC174-1+1)/2))*AK$2), 0)+IF(IF(time+1&gt;=AL$2, $AI174/time_cap/(time+1)*AK$2, 0) = 0, $AI174/(time_cap),0)),0)</f>
        <v>0</v>
      </c>
      <c r="AL174" s="4357">
        <f t="shared" si="411"/>
        <v>0</v>
      </c>
      <c r="AM174" s="4357">
        <f t="shared" si="411"/>
        <v>0</v>
      </c>
      <c r="AN174" s="4357">
        <f t="shared" si="411"/>
        <v>0</v>
      </c>
      <c r="AO174" s="4357">
        <f t="shared" si="411"/>
        <v>0</v>
      </c>
      <c r="AP174" s="4357">
        <f t="shared" si="411"/>
        <v>0</v>
      </c>
      <c r="AQ174" s="4357">
        <f t="shared" si="411"/>
        <v>0</v>
      </c>
      <c r="AR174" s="4357">
        <f t="shared" si="411"/>
        <v>0</v>
      </c>
      <c r="AS174" s="4357">
        <f t="shared" si="411"/>
        <v>0</v>
      </c>
      <c r="AT174" s="4357">
        <f t="shared" si="411"/>
        <v>0</v>
      </c>
      <c r="AU174" s="4357">
        <f t="shared" si="411"/>
        <v>0</v>
      </c>
      <c r="AV174" s="4357">
        <f t="shared" si="411"/>
        <v>0</v>
      </c>
      <c r="AW174" s="4357">
        <f t="shared" si="411"/>
        <v>0</v>
      </c>
      <c r="AX174" s="4357">
        <f t="shared" si="411"/>
        <v>0</v>
      </c>
      <c r="AY174" s="4357">
        <f t="shared" si="411"/>
        <v>0</v>
      </c>
      <c r="AZ174" s="4357">
        <f t="shared" si="411"/>
        <v>0</v>
      </c>
      <c r="BA174" s="4357">
        <f t="shared" si="411"/>
        <v>0</v>
      </c>
      <c r="BB174" s="4357">
        <f t="shared" si="411"/>
        <v>0</v>
      </c>
      <c r="BC174" s="4357">
        <f t="shared" si="411"/>
        <v>0</v>
      </c>
      <c r="BD174" s="4357">
        <f t="shared" si="411"/>
        <v>0</v>
      </c>
      <c r="BE174" s="4357">
        <f t="shared" si="411"/>
        <v>0</v>
      </c>
      <c r="BF174" s="4357">
        <f t="shared" si="411"/>
        <v>0</v>
      </c>
      <c r="BG174" s="4357">
        <f t="shared" si="411"/>
        <v>0</v>
      </c>
      <c r="BH174" s="4357">
        <f t="shared" si="411"/>
        <v>0</v>
      </c>
      <c r="BI174" s="4357">
        <f t="shared" si="411"/>
        <v>0</v>
      </c>
      <c r="BJ174" s="4357">
        <f t="shared" si="411"/>
        <v>0</v>
      </c>
      <c r="BK174" s="4357">
        <f t="shared" si="411"/>
        <v>0</v>
      </c>
      <c r="BL174" s="4357">
        <f t="shared" si="411"/>
        <v>0</v>
      </c>
      <c r="BM174" s="4357">
        <f t="shared" si="411"/>
        <v>0</v>
      </c>
      <c r="BN174" s="4357">
        <f t="shared" si="411"/>
        <v>0</v>
      </c>
      <c r="BO174" s="4357">
        <f t="shared" si="411"/>
        <v>0</v>
      </c>
      <c r="BP174" s="4357">
        <f t="shared" si="411"/>
        <v>0</v>
      </c>
      <c r="BQ174" s="4357">
        <f t="shared" ref="BQ174:CH174" si="412">IFERROR(IF((time+time_cap)&lt;BQ$2, 0,IF(AND(time+1&gt;=BR$2, $AC174&lt;BR$2), IF($AG174= "I", $AH174/($AD174-$AC174+1), $AH174/(($AD174*($AD174+1)/2)-(($AC174-1)*($AC174-1+1)/2))*BQ$2), 0)+IF(IF(time+1&gt;=BR$2, $AI174/time_cap/(time+1)*BQ$2, 0) = 0, $AI174/(time_cap),0)),0)</f>
        <v>0</v>
      </c>
      <c r="BR174" s="4357">
        <f t="shared" si="412"/>
        <v>0</v>
      </c>
      <c r="BS174" s="4357">
        <f t="shared" si="412"/>
        <v>0</v>
      </c>
      <c r="BT174" s="4357">
        <f t="shared" si="412"/>
        <v>0</v>
      </c>
      <c r="BU174" s="4357">
        <f t="shared" si="412"/>
        <v>0</v>
      </c>
      <c r="BV174" s="4357">
        <f t="shared" si="412"/>
        <v>0</v>
      </c>
      <c r="BW174" s="4357">
        <f t="shared" si="412"/>
        <v>0</v>
      </c>
      <c r="BX174" s="4357">
        <f t="shared" si="412"/>
        <v>0</v>
      </c>
      <c r="BY174" s="4357">
        <f t="shared" si="412"/>
        <v>0</v>
      </c>
      <c r="BZ174" s="4357">
        <f t="shared" si="412"/>
        <v>0</v>
      </c>
      <c r="CA174" s="4357">
        <f t="shared" si="412"/>
        <v>0</v>
      </c>
      <c r="CB174" s="4357">
        <f t="shared" si="412"/>
        <v>0</v>
      </c>
      <c r="CC174" s="4357">
        <f t="shared" si="412"/>
        <v>0</v>
      </c>
      <c r="CD174" s="4357">
        <f t="shared" si="412"/>
        <v>0</v>
      </c>
      <c r="CE174" s="4357">
        <f t="shared" si="412"/>
        <v>0</v>
      </c>
      <c r="CF174" s="4357">
        <f t="shared" si="412"/>
        <v>0</v>
      </c>
      <c r="CG174" s="4357">
        <f t="shared" si="412"/>
        <v>0</v>
      </c>
      <c r="CH174" s="4357">
        <f t="shared" si="412"/>
        <v>0</v>
      </c>
      <c r="CI174" s="4357"/>
      <c r="CJ174" s="4357"/>
      <c r="CK174" s="4357"/>
      <c r="CL174" s="4357"/>
      <c r="CM174" s="4357"/>
      <c r="CN174" s="4357"/>
      <c r="CO174" s="4357"/>
      <c r="CP174" s="4357"/>
      <c r="CQ174" s="4357"/>
      <c r="CR174" s="4357"/>
      <c r="CS174" s="4357"/>
      <c r="CT174" s="4357"/>
      <c r="CU174" s="4357"/>
      <c r="CV174" s="4357"/>
      <c r="CW174" s="4357"/>
      <c r="CX174" s="4357"/>
      <c r="CY174" s="4357"/>
      <c r="CZ174" s="4357"/>
      <c r="DA174" s="4357"/>
      <c r="DB174" s="4357"/>
      <c r="DC174" s="4357"/>
      <c r="DD174" s="4357"/>
      <c r="DE174" s="4357"/>
      <c r="DF174" s="4357"/>
      <c r="DG174" s="4357"/>
      <c r="DH174" s="4357"/>
      <c r="DI174" s="4357"/>
      <c r="DJ174" s="4357"/>
      <c r="DK174" s="4357"/>
      <c r="DL174" s="4357"/>
      <c r="DM174" s="4357"/>
      <c r="DN174" s="4357"/>
      <c r="DO174" s="4357"/>
      <c r="DP174" s="4357"/>
      <c r="DQ174" s="4357"/>
      <c r="DR174" s="4357"/>
      <c r="DS174" s="4357"/>
      <c r="DT174" s="4357"/>
      <c r="DU174" s="4357"/>
      <c r="DV174" s="4357"/>
      <c r="DW174" s="4357"/>
      <c r="DX174" s="4357"/>
      <c r="DY174" s="4357"/>
      <c r="DZ174" s="4357"/>
      <c r="EA174" s="4357"/>
      <c r="EB174" s="4357"/>
      <c r="EC174" s="4357"/>
      <c r="ED174" s="4357"/>
      <c r="EE174" s="4357"/>
      <c r="EF174" s="4357"/>
    </row>
    <row r="175" spans="1:136" ht="16" x14ac:dyDescent="0.2">
      <c r="A175" t="s">
        <v>2121</v>
      </c>
      <c r="B175" t="s">
        <v>3237</v>
      </c>
      <c r="D175" t="str">
        <f>'7.Coastal wetlands'!C16</f>
        <v>Please select</v>
      </c>
      <c r="E175">
        <f>'7.Coastal wetlands'!AI16</f>
        <v>0</v>
      </c>
      <c r="F175">
        <f>Coastal!J22*(Coastal!G22-Coastal!E22)-Coastal!J22*(Coastal!F22-Coastal!E22)</f>
        <v>0</v>
      </c>
      <c r="G175">
        <f>Coastal!M22*(Coastal!G22-Coastal!E22)-Coastal!M22*(Coastal!F22-Coastal!E22)</f>
        <v>0</v>
      </c>
      <c r="AB175" t="str">
        <f t="shared" si="340"/>
        <v>ok</v>
      </c>
      <c r="AC175">
        <f>IF('7.Coastal wetlands'!CN16&lt;&gt;0,'7.Coastal wetlands'!CN16,'7.Coastal wetlands'!CM16)</f>
        <v>1</v>
      </c>
      <c r="AD175">
        <f t="shared" si="371"/>
        <v>5</v>
      </c>
      <c r="AE175" s="4357" t="s">
        <v>86</v>
      </c>
      <c r="AF175" s="4357" t="s">
        <v>86</v>
      </c>
      <c r="AG175" s="4357" t="str">
        <f t="shared" si="374"/>
        <v>D</v>
      </c>
      <c r="AH175" s="4357">
        <f>((E175/(time_cap+((AD175-AC175+1)*VLOOKUP(AG175,list!$I$48:$K$50,3, FALSE))))*(AD175-AC175+1)*VLOOKUP(AG175,list!$I$48:$K$50,3, FALSE))</f>
        <v>0</v>
      </c>
      <c r="AI175" s="4357">
        <f>((E175/(time_cap+((AD175-AC175+1)*VLOOKUP(AG175,list!$I$48:$K$50,3, FALSE))))*time_cap)</f>
        <v>0</v>
      </c>
      <c r="AK175" s="4357">
        <f t="shared" ref="AK175:BP175" si="413">IFERROR(IF((time+time_cap)&lt;AK$2, 0,IF(AND(time+1&gt;=AL$2, $AC175&lt;AL$2), IF($AG175= "I", $AH175/($AD175-$AC175+1), $AH175/(($AD175*($AD175+1)/2)-(($AC175-1)*($AC175-1+1)/2))*AK$2), 0)+IF(IF(time+1&gt;=AL$2, $AI175/time_cap/(time+1)*AK$2, 0) = 0, $AI175/(time_cap),0)),0)</f>
        <v>0</v>
      </c>
      <c r="AL175" s="4357">
        <f t="shared" si="413"/>
        <v>0</v>
      </c>
      <c r="AM175" s="4357">
        <f t="shared" si="413"/>
        <v>0</v>
      </c>
      <c r="AN175" s="4357">
        <f t="shared" si="413"/>
        <v>0</v>
      </c>
      <c r="AO175" s="4357">
        <f t="shared" si="413"/>
        <v>0</v>
      </c>
      <c r="AP175" s="4357">
        <f t="shared" si="413"/>
        <v>0</v>
      </c>
      <c r="AQ175" s="4357">
        <f t="shared" si="413"/>
        <v>0</v>
      </c>
      <c r="AR175" s="4357">
        <f t="shared" si="413"/>
        <v>0</v>
      </c>
      <c r="AS175" s="4357">
        <f t="shared" si="413"/>
        <v>0</v>
      </c>
      <c r="AT175" s="4357">
        <f t="shared" si="413"/>
        <v>0</v>
      </c>
      <c r="AU175" s="4357">
        <f t="shared" si="413"/>
        <v>0</v>
      </c>
      <c r="AV175" s="4357">
        <f t="shared" si="413"/>
        <v>0</v>
      </c>
      <c r="AW175" s="4357">
        <f t="shared" si="413"/>
        <v>0</v>
      </c>
      <c r="AX175" s="4357">
        <f t="shared" si="413"/>
        <v>0</v>
      </c>
      <c r="AY175" s="4357">
        <f t="shared" si="413"/>
        <v>0</v>
      </c>
      <c r="AZ175" s="4357">
        <f t="shared" si="413"/>
        <v>0</v>
      </c>
      <c r="BA175" s="4357">
        <f t="shared" si="413"/>
        <v>0</v>
      </c>
      <c r="BB175" s="4357">
        <f t="shared" si="413"/>
        <v>0</v>
      </c>
      <c r="BC175" s="4357">
        <f t="shared" si="413"/>
        <v>0</v>
      </c>
      <c r="BD175" s="4357">
        <f t="shared" si="413"/>
        <v>0</v>
      </c>
      <c r="BE175" s="4357">
        <f t="shared" si="413"/>
        <v>0</v>
      </c>
      <c r="BF175" s="4357">
        <f t="shared" si="413"/>
        <v>0</v>
      </c>
      <c r="BG175" s="4357">
        <f t="shared" si="413"/>
        <v>0</v>
      </c>
      <c r="BH175" s="4357">
        <f t="shared" si="413"/>
        <v>0</v>
      </c>
      <c r="BI175" s="4357">
        <f t="shared" si="413"/>
        <v>0</v>
      </c>
      <c r="BJ175" s="4357">
        <f t="shared" si="413"/>
        <v>0</v>
      </c>
      <c r="BK175" s="4357">
        <f t="shared" si="413"/>
        <v>0</v>
      </c>
      <c r="BL175" s="4357">
        <f t="shared" si="413"/>
        <v>0</v>
      </c>
      <c r="BM175" s="4357">
        <f t="shared" si="413"/>
        <v>0</v>
      </c>
      <c r="BN175" s="4357">
        <f t="shared" si="413"/>
        <v>0</v>
      </c>
      <c r="BO175" s="4357">
        <f t="shared" si="413"/>
        <v>0</v>
      </c>
      <c r="BP175" s="4357">
        <f t="shared" si="413"/>
        <v>0</v>
      </c>
      <c r="BQ175" s="4357">
        <f t="shared" ref="BQ175:CH175" si="414">IFERROR(IF((time+time_cap)&lt;BQ$2, 0,IF(AND(time+1&gt;=BR$2, $AC175&lt;BR$2), IF($AG175= "I", $AH175/($AD175-$AC175+1), $AH175/(($AD175*($AD175+1)/2)-(($AC175-1)*($AC175-1+1)/2))*BQ$2), 0)+IF(IF(time+1&gt;=BR$2, $AI175/time_cap/(time+1)*BQ$2, 0) = 0, $AI175/(time_cap),0)),0)</f>
        <v>0</v>
      </c>
      <c r="BR175" s="4357">
        <f t="shared" si="414"/>
        <v>0</v>
      </c>
      <c r="BS175" s="4357">
        <f t="shared" si="414"/>
        <v>0</v>
      </c>
      <c r="BT175" s="4357">
        <f t="shared" si="414"/>
        <v>0</v>
      </c>
      <c r="BU175" s="4357">
        <f t="shared" si="414"/>
        <v>0</v>
      </c>
      <c r="BV175" s="4357">
        <f t="shared" si="414"/>
        <v>0</v>
      </c>
      <c r="BW175" s="4357">
        <f t="shared" si="414"/>
        <v>0</v>
      </c>
      <c r="BX175" s="4357">
        <f t="shared" si="414"/>
        <v>0</v>
      </c>
      <c r="BY175" s="4357">
        <f t="shared" si="414"/>
        <v>0</v>
      </c>
      <c r="BZ175" s="4357">
        <f t="shared" si="414"/>
        <v>0</v>
      </c>
      <c r="CA175" s="4357">
        <f t="shared" si="414"/>
        <v>0</v>
      </c>
      <c r="CB175" s="4357">
        <f t="shared" si="414"/>
        <v>0</v>
      </c>
      <c r="CC175" s="4357">
        <f t="shared" si="414"/>
        <v>0</v>
      </c>
      <c r="CD175" s="4357">
        <f t="shared" si="414"/>
        <v>0</v>
      </c>
      <c r="CE175" s="4357">
        <f t="shared" si="414"/>
        <v>0</v>
      </c>
      <c r="CF175" s="4357">
        <f t="shared" si="414"/>
        <v>0</v>
      </c>
      <c r="CG175" s="4357">
        <f t="shared" si="414"/>
        <v>0</v>
      </c>
      <c r="CH175" s="4357">
        <f t="shared" si="414"/>
        <v>0</v>
      </c>
      <c r="CI175" s="4357"/>
      <c r="CJ175" s="4357"/>
      <c r="CK175" s="4357"/>
      <c r="CL175" s="4357"/>
      <c r="CM175" s="4357"/>
      <c r="CN175" s="4357"/>
      <c r="CO175" s="4357"/>
      <c r="CP175" s="4357"/>
      <c r="CQ175" s="4357"/>
      <c r="CR175" s="4357"/>
      <c r="CS175" s="4357"/>
      <c r="CT175" s="4357"/>
      <c r="CU175" s="4357"/>
      <c r="CV175" s="4357"/>
      <c r="CW175" s="4357"/>
      <c r="CX175" s="4357"/>
      <c r="CY175" s="4357"/>
      <c r="CZ175" s="4357"/>
      <c r="DA175" s="4357"/>
      <c r="DB175" s="4357"/>
      <c r="DC175" s="4357"/>
      <c r="DD175" s="4357"/>
      <c r="DE175" s="4357"/>
      <c r="DF175" s="4357"/>
      <c r="DG175" s="4357"/>
      <c r="DH175" s="4357"/>
      <c r="DI175" s="4357"/>
      <c r="DJ175" s="4357"/>
      <c r="DK175" s="4357"/>
      <c r="DL175" s="4357"/>
      <c r="DM175" s="4357"/>
      <c r="DN175" s="4357"/>
      <c r="DO175" s="4357"/>
      <c r="DP175" s="4357"/>
      <c r="DQ175" s="4357"/>
      <c r="DR175" s="4357"/>
      <c r="DS175" s="4357"/>
      <c r="DT175" s="4357"/>
      <c r="DU175" s="4357"/>
      <c r="DV175" s="4357"/>
      <c r="DW175" s="4357"/>
      <c r="DX175" s="4357"/>
      <c r="DY175" s="4357"/>
      <c r="DZ175" s="4357"/>
      <c r="EA175" s="4357"/>
      <c r="EB175" s="4357"/>
      <c r="EC175" s="4357"/>
      <c r="ED175" s="4357"/>
      <c r="EE175" s="4357"/>
      <c r="EF175" s="4357"/>
    </row>
    <row r="176" spans="1:136" ht="16" x14ac:dyDescent="0.2">
      <c r="A176" t="s">
        <v>2121</v>
      </c>
      <c r="B176" t="s">
        <v>3238</v>
      </c>
      <c r="D176" t="str">
        <f>'7.Coastal wetlands'!C29</f>
        <v>Tidal marsh</v>
      </c>
      <c r="E176">
        <f>'7.Coastal wetlands'!AI29</f>
        <v>0</v>
      </c>
      <c r="F176" s="388">
        <f>Coastal!P41-Coastal!O41</f>
        <v>0</v>
      </c>
      <c r="G176" s="388">
        <f>Coastal!P51-Coastal!O51</f>
        <v>0</v>
      </c>
      <c r="AB176" t="str">
        <f t="shared" si="340"/>
        <v>ok</v>
      </c>
      <c r="AC176">
        <f>IF('7.Coastal wetlands'!CN29&lt;&gt;0,'7.Coastal wetlands'!CN29,'7.Coastal wetlands'!CM29)</f>
        <v>1</v>
      </c>
      <c r="AD176">
        <f t="shared" si="371"/>
        <v>5</v>
      </c>
      <c r="AE176" s="4357" t="str">
        <f>'7.Coastal wetlands'!Q29</f>
        <v>D</v>
      </c>
      <c r="AF176" s="4357" t="str">
        <f>'7.Coastal wetlands'!S29</f>
        <v>D</v>
      </c>
      <c r="AG176" s="4357" t="str">
        <f t="shared" si="374"/>
        <v>D</v>
      </c>
      <c r="AH176" s="4357">
        <f>((E176/(time_cap+((AD176-AC176+1)*VLOOKUP(AG176,list!$I$48:$K$50,3, FALSE))))*(AD176-AC176+1)*VLOOKUP(AG176,list!$I$48:$K$50,3, FALSE))</f>
        <v>0</v>
      </c>
      <c r="AI176" s="4357">
        <f>((E176/(time_cap+((AD176-AC176+1)*VLOOKUP(AG176,list!$I$48:$K$50,3, FALSE))))*time_cap)</f>
        <v>0</v>
      </c>
      <c r="AK176" s="4357">
        <f t="shared" ref="AK176:BP176" si="415">IFERROR(IF((time+time_cap)&lt;AK$2, 0,IF(AND(time+1&gt;=AL$2, $AC176&lt;AL$2), IF($AG176= "I", $AH176/($AD176-$AC176+1), $AH176/(($AD176*($AD176+1)/2)-(($AC176-1)*($AC176-1+1)/2))*AK$2), 0)+IF(IF(time+1&gt;=AL$2, $AI176/time_cap/(time+1)*AK$2, 0) = 0, $AI176/(time_cap),0)),0)</f>
        <v>0</v>
      </c>
      <c r="AL176" s="4357">
        <f t="shared" si="415"/>
        <v>0</v>
      </c>
      <c r="AM176" s="4357">
        <f t="shared" si="415"/>
        <v>0</v>
      </c>
      <c r="AN176" s="4357">
        <f t="shared" si="415"/>
        <v>0</v>
      </c>
      <c r="AO176" s="4357">
        <f t="shared" si="415"/>
        <v>0</v>
      </c>
      <c r="AP176" s="4357">
        <f t="shared" si="415"/>
        <v>0</v>
      </c>
      <c r="AQ176" s="4357">
        <f t="shared" si="415"/>
        <v>0</v>
      </c>
      <c r="AR176" s="4357">
        <f t="shared" si="415"/>
        <v>0</v>
      </c>
      <c r="AS176" s="4357">
        <f t="shared" si="415"/>
        <v>0</v>
      </c>
      <c r="AT176" s="4357">
        <f t="shared" si="415"/>
        <v>0</v>
      </c>
      <c r="AU176" s="4357">
        <f t="shared" si="415"/>
        <v>0</v>
      </c>
      <c r="AV176" s="4357">
        <f t="shared" si="415"/>
        <v>0</v>
      </c>
      <c r="AW176" s="4357">
        <f t="shared" si="415"/>
        <v>0</v>
      </c>
      <c r="AX176" s="4357">
        <f t="shared" si="415"/>
        <v>0</v>
      </c>
      <c r="AY176" s="4357">
        <f t="shared" si="415"/>
        <v>0</v>
      </c>
      <c r="AZ176" s="4357">
        <f t="shared" si="415"/>
        <v>0</v>
      </c>
      <c r="BA176" s="4357">
        <f t="shared" si="415"/>
        <v>0</v>
      </c>
      <c r="BB176" s="4357">
        <f t="shared" si="415"/>
        <v>0</v>
      </c>
      <c r="BC176" s="4357">
        <f t="shared" si="415"/>
        <v>0</v>
      </c>
      <c r="BD176" s="4357">
        <f t="shared" si="415"/>
        <v>0</v>
      </c>
      <c r="BE176" s="4357">
        <f t="shared" si="415"/>
        <v>0</v>
      </c>
      <c r="BF176" s="4357">
        <f t="shared" si="415"/>
        <v>0</v>
      </c>
      <c r="BG176" s="4357">
        <f t="shared" si="415"/>
        <v>0</v>
      </c>
      <c r="BH176" s="4357">
        <f t="shared" si="415"/>
        <v>0</v>
      </c>
      <c r="BI176" s="4357">
        <f t="shared" si="415"/>
        <v>0</v>
      </c>
      <c r="BJ176" s="4357">
        <f t="shared" si="415"/>
        <v>0</v>
      </c>
      <c r="BK176" s="4357">
        <f t="shared" si="415"/>
        <v>0</v>
      </c>
      <c r="BL176" s="4357">
        <f t="shared" si="415"/>
        <v>0</v>
      </c>
      <c r="BM176" s="4357">
        <f t="shared" si="415"/>
        <v>0</v>
      </c>
      <c r="BN176" s="4357">
        <f t="shared" si="415"/>
        <v>0</v>
      </c>
      <c r="BO176" s="4357">
        <f t="shared" si="415"/>
        <v>0</v>
      </c>
      <c r="BP176" s="4357">
        <f t="shared" si="415"/>
        <v>0</v>
      </c>
      <c r="BQ176" s="4357">
        <f t="shared" ref="BQ176:CH176" si="416">IFERROR(IF((time+time_cap)&lt;BQ$2, 0,IF(AND(time+1&gt;=BR$2, $AC176&lt;BR$2), IF($AG176= "I", $AH176/($AD176-$AC176+1), $AH176/(($AD176*($AD176+1)/2)-(($AC176-1)*($AC176-1+1)/2))*BQ$2), 0)+IF(IF(time+1&gt;=BR$2, $AI176/time_cap/(time+1)*BQ$2, 0) = 0, $AI176/(time_cap),0)),0)</f>
        <v>0</v>
      </c>
      <c r="BR176" s="4357">
        <f t="shared" si="416"/>
        <v>0</v>
      </c>
      <c r="BS176" s="4357">
        <f t="shared" si="416"/>
        <v>0</v>
      </c>
      <c r="BT176" s="4357">
        <f t="shared" si="416"/>
        <v>0</v>
      </c>
      <c r="BU176" s="4357">
        <f t="shared" si="416"/>
        <v>0</v>
      </c>
      <c r="BV176" s="4357">
        <f t="shared" si="416"/>
        <v>0</v>
      </c>
      <c r="BW176" s="4357">
        <f t="shared" si="416"/>
        <v>0</v>
      </c>
      <c r="BX176" s="4357">
        <f t="shared" si="416"/>
        <v>0</v>
      </c>
      <c r="BY176" s="4357">
        <f t="shared" si="416"/>
        <v>0</v>
      </c>
      <c r="BZ176" s="4357">
        <f t="shared" si="416"/>
        <v>0</v>
      </c>
      <c r="CA176" s="4357">
        <f t="shared" si="416"/>
        <v>0</v>
      </c>
      <c r="CB176" s="4357">
        <f t="shared" si="416"/>
        <v>0</v>
      </c>
      <c r="CC176" s="4357">
        <f t="shared" si="416"/>
        <v>0</v>
      </c>
      <c r="CD176" s="4357">
        <f t="shared" si="416"/>
        <v>0</v>
      </c>
      <c r="CE176" s="4357">
        <f t="shared" si="416"/>
        <v>0</v>
      </c>
      <c r="CF176" s="4357">
        <f t="shared" si="416"/>
        <v>0</v>
      </c>
      <c r="CG176" s="4357">
        <f t="shared" si="416"/>
        <v>0</v>
      </c>
      <c r="CH176" s="4357">
        <f t="shared" si="416"/>
        <v>0</v>
      </c>
      <c r="CI176" s="4357"/>
      <c r="CJ176" s="4357"/>
      <c r="CK176" s="4357"/>
      <c r="CL176" s="4357"/>
      <c r="CM176" s="4357"/>
      <c r="CN176" s="4357"/>
      <c r="CO176" s="4357"/>
      <c r="CP176" s="4357"/>
      <c r="CQ176" s="4357"/>
      <c r="CR176" s="4357"/>
      <c r="CS176" s="4357"/>
      <c r="CT176" s="4357"/>
      <c r="CU176" s="4357"/>
      <c r="CV176" s="4357"/>
      <c r="CW176" s="4357"/>
      <c r="CX176" s="4357"/>
      <c r="CY176" s="4357"/>
      <c r="CZ176" s="4357"/>
      <c r="DA176" s="4357"/>
      <c r="DB176" s="4357"/>
      <c r="DC176" s="4357"/>
      <c r="DD176" s="4357"/>
      <c r="DE176" s="4357"/>
      <c r="DF176" s="4357"/>
      <c r="DG176" s="4357"/>
      <c r="DH176" s="4357"/>
      <c r="DI176" s="4357"/>
      <c r="DJ176" s="4357"/>
      <c r="DK176" s="4357"/>
      <c r="DL176" s="4357"/>
      <c r="DM176" s="4357"/>
      <c r="DN176" s="4357"/>
      <c r="DO176" s="4357"/>
      <c r="DP176" s="4357"/>
      <c r="DQ176" s="4357"/>
      <c r="DR176" s="4357"/>
      <c r="DS176" s="4357"/>
      <c r="DT176" s="4357"/>
      <c r="DU176" s="4357"/>
      <c r="DV176" s="4357"/>
      <c r="DW176" s="4357"/>
      <c r="DX176" s="4357"/>
      <c r="DY176" s="4357"/>
      <c r="DZ176" s="4357"/>
      <c r="EA176" s="4357"/>
      <c r="EB176" s="4357"/>
      <c r="EC176" s="4357"/>
      <c r="ED176" s="4357"/>
      <c r="EE176" s="4357"/>
      <c r="EF176" s="4357"/>
    </row>
    <row r="177" spans="1:136" ht="16" x14ac:dyDescent="0.2">
      <c r="A177" t="s">
        <v>2121</v>
      </c>
      <c r="B177" t="s">
        <v>3238</v>
      </c>
      <c r="D177" t="str">
        <f>'7.Coastal wetlands'!C30</f>
        <v>Please select</v>
      </c>
      <c r="E177">
        <f>'7.Coastal wetlands'!AI30</f>
        <v>0</v>
      </c>
      <c r="F177" s="388">
        <f>Coastal!P42-Coastal!O42</f>
        <v>0</v>
      </c>
      <c r="G177" s="388">
        <f>Coastal!P52-Coastal!O52</f>
        <v>0</v>
      </c>
      <c r="AB177" t="str">
        <f t="shared" si="340"/>
        <v>ok</v>
      </c>
      <c r="AC177">
        <f>IF('7.Coastal wetlands'!CN30&lt;&gt;0,'7.Coastal wetlands'!CN30,'7.Coastal wetlands'!CM30)</f>
        <v>1</v>
      </c>
      <c r="AD177">
        <f t="shared" si="371"/>
        <v>5</v>
      </c>
      <c r="AE177" s="4357" t="str">
        <f>'7.Coastal wetlands'!Q30</f>
        <v>D</v>
      </c>
      <c r="AF177" s="4357" t="str">
        <f>'7.Coastal wetlands'!S30</f>
        <v>D</v>
      </c>
      <c r="AG177" s="4357" t="str">
        <f t="shared" si="374"/>
        <v>D</v>
      </c>
      <c r="AH177" s="4357">
        <f>((E177/(time_cap+((AD177-AC177+1)*VLOOKUP(AG177,list!$I$48:$K$50,3, FALSE))))*(AD177-AC177+1)*VLOOKUP(AG177,list!$I$48:$K$50,3, FALSE))</f>
        <v>0</v>
      </c>
      <c r="AI177" s="4357">
        <f>((E177/(time_cap+((AD177-AC177+1)*VLOOKUP(AG177,list!$I$48:$K$50,3, FALSE))))*time_cap)</f>
        <v>0</v>
      </c>
      <c r="AK177" s="4357">
        <f t="shared" ref="AK177:BP177" si="417">IFERROR(IF((time+time_cap)&lt;AK$2, 0,IF(AND(time+1&gt;=AL$2, $AC177&lt;AL$2), IF($AG177= "I", $AH177/($AD177-$AC177+1), $AH177/(($AD177*($AD177+1)/2)-(($AC177-1)*($AC177-1+1)/2))*AK$2), 0)+IF(IF(time+1&gt;=AL$2, $AI177/time_cap/(time+1)*AK$2, 0) = 0, $AI177/(time_cap),0)),0)</f>
        <v>0</v>
      </c>
      <c r="AL177" s="4357">
        <f t="shared" si="417"/>
        <v>0</v>
      </c>
      <c r="AM177" s="4357">
        <f t="shared" si="417"/>
        <v>0</v>
      </c>
      <c r="AN177" s="4357">
        <f t="shared" si="417"/>
        <v>0</v>
      </c>
      <c r="AO177" s="4357">
        <f t="shared" si="417"/>
        <v>0</v>
      </c>
      <c r="AP177" s="4357">
        <f t="shared" si="417"/>
        <v>0</v>
      </c>
      <c r="AQ177" s="4357">
        <f t="shared" si="417"/>
        <v>0</v>
      </c>
      <c r="AR177" s="4357">
        <f t="shared" si="417"/>
        <v>0</v>
      </c>
      <c r="AS177" s="4357">
        <f t="shared" si="417"/>
        <v>0</v>
      </c>
      <c r="AT177" s="4357">
        <f t="shared" si="417"/>
        <v>0</v>
      </c>
      <c r="AU177" s="4357">
        <f t="shared" si="417"/>
        <v>0</v>
      </c>
      <c r="AV177" s="4357">
        <f t="shared" si="417"/>
        <v>0</v>
      </c>
      <c r="AW177" s="4357">
        <f t="shared" si="417"/>
        <v>0</v>
      </c>
      <c r="AX177" s="4357">
        <f t="shared" si="417"/>
        <v>0</v>
      </c>
      <c r="AY177" s="4357">
        <f t="shared" si="417"/>
        <v>0</v>
      </c>
      <c r="AZ177" s="4357">
        <f t="shared" si="417"/>
        <v>0</v>
      </c>
      <c r="BA177" s="4357">
        <f t="shared" si="417"/>
        <v>0</v>
      </c>
      <c r="BB177" s="4357">
        <f t="shared" si="417"/>
        <v>0</v>
      </c>
      <c r="BC177" s="4357">
        <f t="shared" si="417"/>
        <v>0</v>
      </c>
      <c r="BD177" s="4357">
        <f t="shared" si="417"/>
        <v>0</v>
      </c>
      <c r="BE177" s="4357">
        <f t="shared" si="417"/>
        <v>0</v>
      </c>
      <c r="BF177" s="4357">
        <f t="shared" si="417"/>
        <v>0</v>
      </c>
      <c r="BG177" s="4357">
        <f t="shared" si="417"/>
        <v>0</v>
      </c>
      <c r="BH177" s="4357">
        <f t="shared" si="417"/>
        <v>0</v>
      </c>
      <c r="BI177" s="4357">
        <f t="shared" si="417"/>
        <v>0</v>
      </c>
      <c r="BJ177" s="4357">
        <f t="shared" si="417"/>
        <v>0</v>
      </c>
      <c r="BK177" s="4357">
        <f t="shared" si="417"/>
        <v>0</v>
      </c>
      <c r="BL177" s="4357">
        <f t="shared" si="417"/>
        <v>0</v>
      </c>
      <c r="BM177" s="4357">
        <f t="shared" si="417"/>
        <v>0</v>
      </c>
      <c r="BN177" s="4357">
        <f t="shared" si="417"/>
        <v>0</v>
      </c>
      <c r="BO177" s="4357">
        <f t="shared" si="417"/>
        <v>0</v>
      </c>
      <c r="BP177" s="4357">
        <f t="shared" si="417"/>
        <v>0</v>
      </c>
      <c r="BQ177" s="4357">
        <f t="shared" ref="BQ177:CH177" si="418">IFERROR(IF((time+time_cap)&lt;BQ$2, 0,IF(AND(time+1&gt;=BR$2, $AC177&lt;BR$2), IF($AG177= "I", $AH177/($AD177-$AC177+1), $AH177/(($AD177*($AD177+1)/2)-(($AC177-1)*($AC177-1+1)/2))*BQ$2), 0)+IF(IF(time+1&gt;=BR$2, $AI177/time_cap/(time+1)*BQ$2, 0) = 0, $AI177/(time_cap),0)),0)</f>
        <v>0</v>
      </c>
      <c r="BR177" s="4357">
        <f t="shared" si="418"/>
        <v>0</v>
      </c>
      <c r="BS177" s="4357">
        <f t="shared" si="418"/>
        <v>0</v>
      </c>
      <c r="BT177" s="4357">
        <f t="shared" si="418"/>
        <v>0</v>
      </c>
      <c r="BU177" s="4357">
        <f t="shared" si="418"/>
        <v>0</v>
      </c>
      <c r="BV177" s="4357">
        <f t="shared" si="418"/>
        <v>0</v>
      </c>
      <c r="BW177" s="4357">
        <f t="shared" si="418"/>
        <v>0</v>
      </c>
      <c r="BX177" s="4357">
        <f t="shared" si="418"/>
        <v>0</v>
      </c>
      <c r="BY177" s="4357">
        <f t="shared" si="418"/>
        <v>0</v>
      </c>
      <c r="BZ177" s="4357">
        <f t="shared" si="418"/>
        <v>0</v>
      </c>
      <c r="CA177" s="4357">
        <f t="shared" si="418"/>
        <v>0</v>
      </c>
      <c r="CB177" s="4357">
        <f t="shared" si="418"/>
        <v>0</v>
      </c>
      <c r="CC177" s="4357">
        <f t="shared" si="418"/>
        <v>0</v>
      </c>
      <c r="CD177" s="4357">
        <f t="shared" si="418"/>
        <v>0</v>
      </c>
      <c r="CE177" s="4357">
        <f t="shared" si="418"/>
        <v>0</v>
      </c>
      <c r="CF177" s="4357">
        <f t="shared" si="418"/>
        <v>0</v>
      </c>
      <c r="CG177" s="4357">
        <f t="shared" si="418"/>
        <v>0</v>
      </c>
      <c r="CH177" s="4357">
        <f t="shared" si="418"/>
        <v>0</v>
      </c>
      <c r="CI177" s="4357"/>
      <c r="CJ177" s="4357"/>
      <c r="CK177" s="4357"/>
      <c r="CL177" s="4357"/>
      <c r="CM177" s="4357"/>
      <c r="CN177" s="4357"/>
      <c r="CO177" s="4357"/>
      <c r="CP177" s="4357"/>
      <c r="CQ177" s="4357"/>
      <c r="CR177" s="4357"/>
      <c r="CS177" s="4357"/>
      <c r="CT177" s="4357"/>
      <c r="CU177" s="4357"/>
      <c r="CV177" s="4357"/>
      <c r="CW177" s="4357"/>
      <c r="CX177" s="4357"/>
      <c r="CY177" s="4357"/>
      <c r="CZ177" s="4357"/>
      <c r="DA177" s="4357"/>
      <c r="DB177" s="4357"/>
      <c r="DC177" s="4357"/>
      <c r="DD177" s="4357"/>
      <c r="DE177" s="4357"/>
      <c r="DF177" s="4357"/>
      <c r="DG177" s="4357"/>
      <c r="DH177" s="4357"/>
      <c r="DI177" s="4357"/>
      <c r="DJ177" s="4357"/>
      <c r="DK177" s="4357"/>
      <c r="DL177" s="4357"/>
      <c r="DM177" s="4357"/>
      <c r="DN177" s="4357"/>
      <c r="DO177" s="4357"/>
      <c r="DP177" s="4357"/>
      <c r="DQ177" s="4357"/>
      <c r="DR177" s="4357"/>
      <c r="DS177" s="4357"/>
      <c r="DT177" s="4357"/>
      <c r="DU177" s="4357"/>
      <c r="DV177" s="4357"/>
      <c r="DW177" s="4357"/>
      <c r="DX177" s="4357"/>
      <c r="DY177" s="4357"/>
      <c r="DZ177" s="4357"/>
      <c r="EA177" s="4357"/>
      <c r="EB177" s="4357"/>
      <c r="EC177" s="4357"/>
      <c r="ED177" s="4357"/>
      <c r="EE177" s="4357"/>
      <c r="EF177" s="4357"/>
    </row>
    <row r="178" spans="1:136" ht="16" x14ac:dyDescent="0.2">
      <c r="A178" t="s">
        <v>2121</v>
      </c>
      <c r="B178" t="s">
        <v>3238</v>
      </c>
      <c r="D178" t="str">
        <f>'7.Coastal wetlands'!C31</f>
        <v>Please select</v>
      </c>
      <c r="E178">
        <f>'7.Coastal wetlands'!AI31</f>
        <v>0</v>
      </c>
      <c r="F178" s="388">
        <f>Coastal!P43-Coastal!O43</f>
        <v>0</v>
      </c>
      <c r="G178" s="388">
        <f>Coastal!P53-Coastal!O53</f>
        <v>0</v>
      </c>
      <c r="AB178" t="str">
        <f t="shared" si="340"/>
        <v>ok</v>
      </c>
      <c r="AC178">
        <f>IF('7.Coastal wetlands'!CN31&lt;&gt;0,'7.Coastal wetlands'!CN31,'7.Coastal wetlands'!CM31)</f>
        <v>1</v>
      </c>
      <c r="AD178">
        <f t="shared" si="371"/>
        <v>5</v>
      </c>
      <c r="AE178" s="4357" t="str">
        <f>'7.Coastal wetlands'!Q31</f>
        <v>D</v>
      </c>
      <c r="AF178" s="4357" t="str">
        <f>'7.Coastal wetlands'!S31</f>
        <v>D</v>
      </c>
      <c r="AG178" s="4357" t="str">
        <f t="shared" si="374"/>
        <v>D</v>
      </c>
      <c r="AH178" s="4357">
        <f>((E178/(time_cap+((AD178-AC178+1)*VLOOKUP(AG178,list!$I$48:$K$50,3, FALSE))))*(AD178-AC178+1)*VLOOKUP(AG178,list!$I$48:$K$50,3, FALSE))</f>
        <v>0</v>
      </c>
      <c r="AI178" s="4357">
        <f>((E178/(time_cap+((AD178-AC178+1)*VLOOKUP(AG178,list!$I$48:$K$50,3, FALSE))))*time_cap)</f>
        <v>0</v>
      </c>
      <c r="AK178" s="4357">
        <f t="shared" ref="AK178:BP178" si="419">IFERROR(IF((time+time_cap)&lt;AK$2, 0,IF(AND(time+1&gt;=AL$2, $AC178&lt;AL$2), IF($AG178= "I", $AH178/($AD178-$AC178+1), $AH178/(($AD178*($AD178+1)/2)-(($AC178-1)*($AC178-1+1)/2))*AK$2), 0)+IF(IF(time+1&gt;=AL$2, $AI178/time_cap/(time+1)*AK$2, 0) = 0, $AI178/(time_cap),0)),0)</f>
        <v>0</v>
      </c>
      <c r="AL178" s="4357">
        <f t="shared" si="419"/>
        <v>0</v>
      </c>
      <c r="AM178" s="4357">
        <f t="shared" si="419"/>
        <v>0</v>
      </c>
      <c r="AN178" s="4357">
        <f t="shared" si="419"/>
        <v>0</v>
      </c>
      <c r="AO178" s="4357">
        <f t="shared" si="419"/>
        <v>0</v>
      </c>
      <c r="AP178" s="4357">
        <f t="shared" si="419"/>
        <v>0</v>
      </c>
      <c r="AQ178" s="4357">
        <f t="shared" si="419"/>
        <v>0</v>
      </c>
      <c r="AR178" s="4357">
        <f t="shared" si="419"/>
        <v>0</v>
      </c>
      <c r="AS178" s="4357">
        <f t="shared" si="419"/>
        <v>0</v>
      </c>
      <c r="AT178" s="4357">
        <f t="shared" si="419"/>
        <v>0</v>
      </c>
      <c r="AU178" s="4357">
        <f t="shared" si="419"/>
        <v>0</v>
      </c>
      <c r="AV178" s="4357">
        <f t="shared" si="419"/>
        <v>0</v>
      </c>
      <c r="AW178" s="4357">
        <f t="shared" si="419"/>
        <v>0</v>
      </c>
      <c r="AX178" s="4357">
        <f t="shared" si="419"/>
        <v>0</v>
      </c>
      <c r="AY178" s="4357">
        <f t="shared" si="419"/>
        <v>0</v>
      </c>
      <c r="AZ178" s="4357">
        <f t="shared" si="419"/>
        <v>0</v>
      </c>
      <c r="BA178" s="4357">
        <f t="shared" si="419"/>
        <v>0</v>
      </c>
      <c r="BB178" s="4357">
        <f t="shared" si="419"/>
        <v>0</v>
      </c>
      <c r="BC178" s="4357">
        <f t="shared" si="419"/>
        <v>0</v>
      </c>
      <c r="BD178" s="4357">
        <f t="shared" si="419"/>
        <v>0</v>
      </c>
      <c r="BE178" s="4357">
        <f t="shared" si="419"/>
        <v>0</v>
      </c>
      <c r="BF178" s="4357">
        <f t="shared" si="419"/>
        <v>0</v>
      </c>
      <c r="BG178" s="4357">
        <f t="shared" si="419"/>
        <v>0</v>
      </c>
      <c r="BH178" s="4357">
        <f t="shared" si="419"/>
        <v>0</v>
      </c>
      <c r="BI178" s="4357">
        <f t="shared" si="419"/>
        <v>0</v>
      </c>
      <c r="BJ178" s="4357">
        <f t="shared" si="419"/>
        <v>0</v>
      </c>
      <c r="BK178" s="4357">
        <f t="shared" si="419"/>
        <v>0</v>
      </c>
      <c r="BL178" s="4357">
        <f t="shared" si="419"/>
        <v>0</v>
      </c>
      <c r="BM178" s="4357">
        <f t="shared" si="419"/>
        <v>0</v>
      </c>
      <c r="BN178" s="4357">
        <f t="shared" si="419"/>
        <v>0</v>
      </c>
      <c r="BO178" s="4357">
        <f t="shared" si="419"/>
        <v>0</v>
      </c>
      <c r="BP178" s="4357">
        <f t="shared" si="419"/>
        <v>0</v>
      </c>
      <c r="BQ178" s="4357">
        <f t="shared" ref="BQ178:CH178" si="420">IFERROR(IF((time+time_cap)&lt;BQ$2, 0,IF(AND(time+1&gt;=BR$2, $AC178&lt;BR$2), IF($AG178= "I", $AH178/($AD178-$AC178+1), $AH178/(($AD178*($AD178+1)/2)-(($AC178-1)*($AC178-1+1)/2))*BQ$2), 0)+IF(IF(time+1&gt;=BR$2, $AI178/time_cap/(time+1)*BQ$2, 0) = 0, $AI178/(time_cap),0)),0)</f>
        <v>0</v>
      </c>
      <c r="BR178" s="4357">
        <f t="shared" si="420"/>
        <v>0</v>
      </c>
      <c r="BS178" s="4357">
        <f t="shared" si="420"/>
        <v>0</v>
      </c>
      <c r="BT178" s="4357">
        <f t="shared" si="420"/>
        <v>0</v>
      </c>
      <c r="BU178" s="4357">
        <f t="shared" si="420"/>
        <v>0</v>
      </c>
      <c r="BV178" s="4357">
        <f t="shared" si="420"/>
        <v>0</v>
      </c>
      <c r="BW178" s="4357">
        <f t="shared" si="420"/>
        <v>0</v>
      </c>
      <c r="BX178" s="4357">
        <f t="shared" si="420"/>
        <v>0</v>
      </c>
      <c r="BY178" s="4357">
        <f t="shared" si="420"/>
        <v>0</v>
      </c>
      <c r="BZ178" s="4357">
        <f t="shared" si="420"/>
        <v>0</v>
      </c>
      <c r="CA178" s="4357">
        <f t="shared" si="420"/>
        <v>0</v>
      </c>
      <c r="CB178" s="4357">
        <f t="shared" si="420"/>
        <v>0</v>
      </c>
      <c r="CC178" s="4357">
        <f t="shared" si="420"/>
        <v>0</v>
      </c>
      <c r="CD178" s="4357">
        <f t="shared" si="420"/>
        <v>0</v>
      </c>
      <c r="CE178" s="4357">
        <f t="shared" si="420"/>
        <v>0</v>
      </c>
      <c r="CF178" s="4357">
        <f t="shared" si="420"/>
        <v>0</v>
      </c>
      <c r="CG178" s="4357">
        <f t="shared" si="420"/>
        <v>0</v>
      </c>
      <c r="CH178" s="4357">
        <f t="shared" si="420"/>
        <v>0</v>
      </c>
      <c r="CI178" s="4357"/>
      <c r="CJ178" s="4357"/>
      <c r="CK178" s="4357"/>
      <c r="CL178" s="4357"/>
      <c r="CM178" s="4357"/>
      <c r="CN178" s="4357"/>
      <c r="CO178" s="4357"/>
      <c r="CP178" s="4357"/>
      <c r="CQ178" s="4357"/>
      <c r="CR178" s="4357"/>
      <c r="CS178" s="4357"/>
      <c r="CT178" s="4357"/>
      <c r="CU178" s="4357"/>
      <c r="CV178" s="4357"/>
      <c r="CW178" s="4357"/>
      <c r="CX178" s="4357"/>
      <c r="CY178" s="4357"/>
      <c r="CZ178" s="4357"/>
      <c r="DA178" s="4357"/>
      <c r="DB178" s="4357"/>
      <c r="DC178" s="4357"/>
      <c r="DD178" s="4357"/>
      <c r="DE178" s="4357"/>
      <c r="DF178" s="4357"/>
      <c r="DG178" s="4357"/>
      <c r="DH178" s="4357"/>
      <c r="DI178" s="4357"/>
      <c r="DJ178" s="4357"/>
      <c r="DK178" s="4357"/>
      <c r="DL178" s="4357"/>
      <c r="DM178" s="4357"/>
      <c r="DN178" s="4357"/>
      <c r="DO178" s="4357"/>
      <c r="DP178" s="4357"/>
      <c r="DQ178" s="4357"/>
      <c r="DR178" s="4357"/>
      <c r="DS178" s="4357"/>
      <c r="DT178" s="4357"/>
      <c r="DU178" s="4357"/>
      <c r="DV178" s="4357"/>
      <c r="DW178" s="4357"/>
      <c r="DX178" s="4357"/>
      <c r="DY178" s="4357"/>
      <c r="DZ178" s="4357"/>
      <c r="EA178" s="4357"/>
      <c r="EB178" s="4357"/>
      <c r="EC178" s="4357"/>
      <c r="ED178" s="4357"/>
      <c r="EE178" s="4357"/>
      <c r="EF178" s="4357"/>
    </row>
    <row r="179" spans="1:136" ht="16" x14ac:dyDescent="0.2">
      <c r="A179" t="s">
        <v>2121</v>
      </c>
      <c r="B179" t="s">
        <v>3238</v>
      </c>
      <c r="D179" t="str">
        <f>'7.Coastal wetlands'!C32</f>
        <v>Please select</v>
      </c>
      <c r="E179">
        <f>'7.Coastal wetlands'!AI32</f>
        <v>0</v>
      </c>
      <c r="F179" s="388">
        <f>Coastal!P44-Coastal!O44</f>
        <v>0</v>
      </c>
      <c r="G179" s="388">
        <f>Coastal!P54-Coastal!O54</f>
        <v>0</v>
      </c>
      <c r="AB179" t="str">
        <f t="shared" si="340"/>
        <v>ok</v>
      </c>
      <c r="AC179">
        <f>IF('7.Coastal wetlands'!CN32&lt;&gt;0,'7.Coastal wetlands'!CN32,'7.Coastal wetlands'!CM32)</f>
        <v>1</v>
      </c>
      <c r="AD179">
        <f t="shared" si="371"/>
        <v>5</v>
      </c>
      <c r="AE179" s="4357" t="str">
        <f>'7.Coastal wetlands'!Q32</f>
        <v>D</v>
      </c>
      <c r="AF179" s="4357" t="str">
        <f>'7.Coastal wetlands'!S32</f>
        <v>D</v>
      </c>
      <c r="AG179" s="4357" t="str">
        <f t="shared" si="374"/>
        <v>D</v>
      </c>
      <c r="AH179" s="4357">
        <f>((E179/(time_cap+((AD179-AC179+1)*VLOOKUP(AG179,list!$I$48:$K$50,3, FALSE))))*(AD179-AC179+1)*VLOOKUP(AG179,list!$I$48:$K$50,3, FALSE))</f>
        <v>0</v>
      </c>
      <c r="AI179" s="4357">
        <f>((E179/(time_cap+((AD179-AC179+1)*VLOOKUP(AG179,list!$I$48:$K$50,3, FALSE))))*time_cap)</f>
        <v>0</v>
      </c>
      <c r="AK179" s="4357">
        <f t="shared" ref="AK179:BP179" si="421">IFERROR(IF((time+time_cap)&lt;AK$2, 0,IF(AND(time+1&gt;=AL$2, $AC179&lt;AL$2), IF($AG179= "I", $AH179/($AD179-$AC179+1), $AH179/(($AD179*($AD179+1)/2)-(($AC179-1)*($AC179-1+1)/2))*AK$2), 0)+IF(IF(time+1&gt;=AL$2, $AI179/time_cap/(time+1)*AK$2, 0) = 0, $AI179/(time_cap),0)),0)</f>
        <v>0</v>
      </c>
      <c r="AL179" s="4357">
        <f t="shared" si="421"/>
        <v>0</v>
      </c>
      <c r="AM179" s="4357">
        <f t="shared" si="421"/>
        <v>0</v>
      </c>
      <c r="AN179" s="4357">
        <f t="shared" si="421"/>
        <v>0</v>
      </c>
      <c r="AO179" s="4357">
        <f t="shared" si="421"/>
        <v>0</v>
      </c>
      <c r="AP179" s="4357">
        <f t="shared" si="421"/>
        <v>0</v>
      </c>
      <c r="AQ179" s="4357">
        <f t="shared" si="421"/>
        <v>0</v>
      </c>
      <c r="AR179" s="4357">
        <f t="shared" si="421"/>
        <v>0</v>
      </c>
      <c r="AS179" s="4357">
        <f t="shared" si="421"/>
        <v>0</v>
      </c>
      <c r="AT179" s="4357">
        <f t="shared" si="421"/>
        <v>0</v>
      </c>
      <c r="AU179" s="4357">
        <f t="shared" si="421"/>
        <v>0</v>
      </c>
      <c r="AV179" s="4357">
        <f t="shared" si="421"/>
        <v>0</v>
      </c>
      <c r="AW179" s="4357">
        <f t="shared" si="421"/>
        <v>0</v>
      </c>
      <c r="AX179" s="4357">
        <f t="shared" si="421"/>
        <v>0</v>
      </c>
      <c r="AY179" s="4357">
        <f t="shared" si="421"/>
        <v>0</v>
      </c>
      <c r="AZ179" s="4357">
        <f t="shared" si="421"/>
        <v>0</v>
      </c>
      <c r="BA179" s="4357">
        <f t="shared" si="421"/>
        <v>0</v>
      </c>
      <c r="BB179" s="4357">
        <f t="shared" si="421"/>
        <v>0</v>
      </c>
      <c r="BC179" s="4357">
        <f t="shared" si="421"/>
        <v>0</v>
      </c>
      <c r="BD179" s="4357">
        <f t="shared" si="421"/>
        <v>0</v>
      </c>
      <c r="BE179" s="4357">
        <f t="shared" si="421"/>
        <v>0</v>
      </c>
      <c r="BF179" s="4357">
        <f t="shared" si="421"/>
        <v>0</v>
      </c>
      <c r="BG179" s="4357">
        <f t="shared" si="421"/>
        <v>0</v>
      </c>
      <c r="BH179" s="4357">
        <f t="shared" si="421"/>
        <v>0</v>
      </c>
      <c r="BI179" s="4357">
        <f t="shared" si="421"/>
        <v>0</v>
      </c>
      <c r="BJ179" s="4357">
        <f t="shared" si="421"/>
        <v>0</v>
      </c>
      <c r="BK179" s="4357">
        <f t="shared" si="421"/>
        <v>0</v>
      </c>
      <c r="BL179" s="4357">
        <f t="shared" si="421"/>
        <v>0</v>
      </c>
      <c r="BM179" s="4357">
        <f t="shared" si="421"/>
        <v>0</v>
      </c>
      <c r="BN179" s="4357">
        <f t="shared" si="421"/>
        <v>0</v>
      </c>
      <c r="BO179" s="4357">
        <f t="shared" si="421"/>
        <v>0</v>
      </c>
      <c r="BP179" s="4357">
        <f t="shared" si="421"/>
        <v>0</v>
      </c>
      <c r="BQ179" s="4357">
        <f t="shared" ref="BQ179:CH179" si="422">IFERROR(IF((time+time_cap)&lt;BQ$2, 0,IF(AND(time+1&gt;=BR$2, $AC179&lt;BR$2), IF($AG179= "I", $AH179/($AD179-$AC179+1), $AH179/(($AD179*($AD179+1)/2)-(($AC179-1)*($AC179-1+1)/2))*BQ$2), 0)+IF(IF(time+1&gt;=BR$2, $AI179/time_cap/(time+1)*BQ$2, 0) = 0, $AI179/(time_cap),0)),0)</f>
        <v>0</v>
      </c>
      <c r="BR179" s="4357">
        <f t="shared" si="422"/>
        <v>0</v>
      </c>
      <c r="BS179" s="4357">
        <f t="shared" si="422"/>
        <v>0</v>
      </c>
      <c r="BT179" s="4357">
        <f t="shared" si="422"/>
        <v>0</v>
      </c>
      <c r="BU179" s="4357">
        <f t="shared" si="422"/>
        <v>0</v>
      </c>
      <c r="BV179" s="4357">
        <f t="shared" si="422"/>
        <v>0</v>
      </c>
      <c r="BW179" s="4357">
        <f t="shared" si="422"/>
        <v>0</v>
      </c>
      <c r="BX179" s="4357">
        <f t="shared" si="422"/>
        <v>0</v>
      </c>
      <c r="BY179" s="4357">
        <f t="shared" si="422"/>
        <v>0</v>
      </c>
      <c r="BZ179" s="4357">
        <f t="shared" si="422"/>
        <v>0</v>
      </c>
      <c r="CA179" s="4357">
        <f t="shared" si="422"/>
        <v>0</v>
      </c>
      <c r="CB179" s="4357">
        <f t="shared" si="422"/>
        <v>0</v>
      </c>
      <c r="CC179" s="4357">
        <f t="shared" si="422"/>
        <v>0</v>
      </c>
      <c r="CD179" s="4357">
        <f t="shared" si="422"/>
        <v>0</v>
      </c>
      <c r="CE179" s="4357">
        <f t="shared" si="422"/>
        <v>0</v>
      </c>
      <c r="CF179" s="4357">
        <f t="shared" si="422"/>
        <v>0</v>
      </c>
      <c r="CG179" s="4357">
        <f t="shared" si="422"/>
        <v>0</v>
      </c>
      <c r="CH179" s="4357">
        <f t="shared" si="422"/>
        <v>0</v>
      </c>
      <c r="CI179" s="4357"/>
      <c r="CJ179" s="4357"/>
      <c r="CK179" s="4357"/>
      <c r="CL179" s="4357"/>
      <c r="CM179" s="4357"/>
      <c r="CN179" s="4357"/>
      <c r="CO179" s="4357"/>
      <c r="CP179" s="4357"/>
      <c r="CQ179" s="4357"/>
      <c r="CR179" s="4357"/>
      <c r="CS179" s="4357"/>
      <c r="CT179" s="4357"/>
      <c r="CU179" s="4357"/>
      <c r="CV179" s="4357"/>
      <c r="CW179" s="4357"/>
      <c r="CX179" s="4357"/>
      <c r="CY179" s="4357"/>
      <c r="CZ179" s="4357"/>
      <c r="DA179" s="4357"/>
      <c r="DB179" s="4357"/>
      <c r="DC179" s="4357"/>
      <c r="DD179" s="4357"/>
      <c r="DE179" s="4357"/>
      <c r="DF179" s="4357"/>
      <c r="DG179" s="4357"/>
      <c r="DH179" s="4357"/>
      <c r="DI179" s="4357"/>
      <c r="DJ179" s="4357"/>
      <c r="DK179" s="4357"/>
      <c r="DL179" s="4357"/>
      <c r="DM179" s="4357"/>
      <c r="DN179" s="4357"/>
      <c r="DO179" s="4357"/>
      <c r="DP179" s="4357"/>
      <c r="DQ179" s="4357"/>
      <c r="DR179" s="4357"/>
      <c r="DS179" s="4357"/>
      <c r="DT179" s="4357"/>
      <c r="DU179" s="4357"/>
      <c r="DV179" s="4357"/>
      <c r="DW179" s="4357"/>
      <c r="DX179" s="4357"/>
      <c r="DY179" s="4357"/>
      <c r="DZ179" s="4357"/>
      <c r="EA179" s="4357"/>
      <c r="EB179" s="4357"/>
      <c r="EC179" s="4357"/>
      <c r="ED179" s="4357"/>
      <c r="EE179" s="4357"/>
      <c r="EF179" s="4357"/>
    </row>
    <row r="180" spans="1:136" ht="16" x14ac:dyDescent="0.2">
      <c r="A180" t="s">
        <v>2121</v>
      </c>
      <c r="B180" t="s">
        <v>3238</v>
      </c>
      <c r="D180" t="str">
        <f>'7.Coastal wetlands'!C33</f>
        <v>Please select</v>
      </c>
      <c r="E180">
        <f>'7.Coastal wetlands'!AI33</f>
        <v>0</v>
      </c>
      <c r="F180" s="388">
        <f>Coastal!P45-Coastal!O45</f>
        <v>0</v>
      </c>
      <c r="G180" s="388">
        <f>Coastal!P55-Coastal!O55</f>
        <v>0</v>
      </c>
      <c r="AB180" t="str">
        <f t="shared" si="340"/>
        <v>ok</v>
      </c>
      <c r="AC180">
        <f>IF('7.Coastal wetlands'!CN33&lt;&gt;0,'7.Coastal wetlands'!CN33,'7.Coastal wetlands'!CM33)</f>
        <v>1</v>
      </c>
      <c r="AD180">
        <f t="shared" si="371"/>
        <v>5</v>
      </c>
      <c r="AE180" s="4357" t="str">
        <f>'7.Coastal wetlands'!Q33</f>
        <v>D</v>
      </c>
      <c r="AF180" s="4357" t="str">
        <f>'7.Coastal wetlands'!S33</f>
        <v>D</v>
      </c>
      <c r="AG180" s="4357" t="str">
        <f t="shared" si="374"/>
        <v>D</v>
      </c>
      <c r="AH180" s="4357">
        <f>((E180/(time_cap+((AD180-AC180+1)*VLOOKUP(AG180,list!$I$48:$K$50,3, FALSE))))*(AD180-AC180+1)*VLOOKUP(AG180,list!$I$48:$K$50,3, FALSE))</f>
        <v>0</v>
      </c>
      <c r="AI180" s="4357">
        <f>((E180/(time_cap+((AD180-AC180+1)*VLOOKUP(AG180,list!$I$48:$K$50,3, FALSE))))*time_cap)</f>
        <v>0</v>
      </c>
      <c r="AK180" s="4357">
        <f t="shared" ref="AK180:BP180" si="423">IFERROR(IF((time+time_cap)&lt;AK$2, 0,IF(AND(time+1&gt;=AL$2, $AC180&lt;AL$2), IF($AG180= "I", $AH180/($AD180-$AC180+1), $AH180/(($AD180*($AD180+1)/2)-(($AC180-1)*($AC180-1+1)/2))*AK$2), 0)+IF(IF(time+1&gt;=AL$2, $AI180/time_cap/(time+1)*AK$2, 0) = 0, $AI180/(time_cap),0)),0)</f>
        <v>0</v>
      </c>
      <c r="AL180" s="4357">
        <f t="shared" si="423"/>
        <v>0</v>
      </c>
      <c r="AM180" s="4357">
        <f t="shared" si="423"/>
        <v>0</v>
      </c>
      <c r="AN180" s="4357">
        <f t="shared" si="423"/>
        <v>0</v>
      </c>
      <c r="AO180" s="4357">
        <f t="shared" si="423"/>
        <v>0</v>
      </c>
      <c r="AP180" s="4357">
        <f t="shared" si="423"/>
        <v>0</v>
      </c>
      <c r="AQ180" s="4357">
        <f t="shared" si="423"/>
        <v>0</v>
      </c>
      <c r="AR180" s="4357">
        <f t="shared" si="423"/>
        <v>0</v>
      </c>
      <c r="AS180" s="4357">
        <f t="shared" si="423"/>
        <v>0</v>
      </c>
      <c r="AT180" s="4357">
        <f t="shared" si="423"/>
        <v>0</v>
      </c>
      <c r="AU180" s="4357">
        <f t="shared" si="423"/>
        <v>0</v>
      </c>
      <c r="AV180" s="4357">
        <f t="shared" si="423"/>
        <v>0</v>
      </c>
      <c r="AW180" s="4357">
        <f t="shared" si="423"/>
        <v>0</v>
      </c>
      <c r="AX180" s="4357">
        <f t="shared" si="423"/>
        <v>0</v>
      </c>
      <c r="AY180" s="4357">
        <f t="shared" si="423"/>
        <v>0</v>
      </c>
      <c r="AZ180" s="4357">
        <f t="shared" si="423"/>
        <v>0</v>
      </c>
      <c r="BA180" s="4357">
        <f t="shared" si="423"/>
        <v>0</v>
      </c>
      <c r="BB180" s="4357">
        <f t="shared" si="423"/>
        <v>0</v>
      </c>
      <c r="BC180" s="4357">
        <f t="shared" si="423"/>
        <v>0</v>
      </c>
      <c r="BD180" s="4357">
        <f t="shared" si="423"/>
        <v>0</v>
      </c>
      <c r="BE180" s="4357">
        <f t="shared" si="423"/>
        <v>0</v>
      </c>
      <c r="BF180" s="4357">
        <f t="shared" si="423"/>
        <v>0</v>
      </c>
      <c r="BG180" s="4357">
        <f t="shared" si="423"/>
        <v>0</v>
      </c>
      <c r="BH180" s="4357">
        <f t="shared" si="423"/>
        <v>0</v>
      </c>
      <c r="BI180" s="4357">
        <f t="shared" si="423"/>
        <v>0</v>
      </c>
      <c r="BJ180" s="4357">
        <f t="shared" si="423"/>
        <v>0</v>
      </c>
      <c r="BK180" s="4357">
        <f t="shared" si="423"/>
        <v>0</v>
      </c>
      <c r="BL180" s="4357">
        <f t="shared" si="423"/>
        <v>0</v>
      </c>
      <c r="BM180" s="4357">
        <f t="shared" si="423"/>
        <v>0</v>
      </c>
      <c r="BN180" s="4357">
        <f t="shared" si="423"/>
        <v>0</v>
      </c>
      <c r="BO180" s="4357">
        <f t="shared" si="423"/>
        <v>0</v>
      </c>
      <c r="BP180" s="4357">
        <f t="shared" si="423"/>
        <v>0</v>
      </c>
      <c r="BQ180" s="4357">
        <f t="shared" ref="BQ180:CH180" si="424">IFERROR(IF((time+time_cap)&lt;BQ$2, 0,IF(AND(time+1&gt;=BR$2, $AC180&lt;BR$2), IF($AG180= "I", $AH180/($AD180-$AC180+1), $AH180/(($AD180*($AD180+1)/2)-(($AC180-1)*($AC180-1+1)/2))*BQ$2), 0)+IF(IF(time+1&gt;=BR$2, $AI180/time_cap/(time+1)*BQ$2, 0) = 0, $AI180/(time_cap),0)),0)</f>
        <v>0</v>
      </c>
      <c r="BR180" s="4357">
        <f t="shared" si="424"/>
        <v>0</v>
      </c>
      <c r="BS180" s="4357">
        <f t="shared" si="424"/>
        <v>0</v>
      </c>
      <c r="BT180" s="4357">
        <f t="shared" si="424"/>
        <v>0</v>
      </c>
      <c r="BU180" s="4357">
        <f t="shared" si="424"/>
        <v>0</v>
      </c>
      <c r="BV180" s="4357">
        <f t="shared" si="424"/>
        <v>0</v>
      </c>
      <c r="BW180" s="4357">
        <f t="shared" si="424"/>
        <v>0</v>
      </c>
      <c r="BX180" s="4357">
        <f t="shared" si="424"/>
        <v>0</v>
      </c>
      <c r="BY180" s="4357">
        <f t="shared" si="424"/>
        <v>0</v>
      </c>
      <c r="BZ180" s="4357">
        <f t="shared" si="424"/>
        <v>0</v>
      </c>
      <c r="CA180" s="4357">
        <f t="shared" si="424"/>
        <v>0</v>
      </c>
      <c r="CB180" s="4357">
        <f t="shared" si="424"/>
        <v>0</v>
      </c>
      <c r="CC180" s="4357">
        <f t="shared" si="424"/>
        <v>0</v>
      </c>
      <c r="CD180" s="4357">
        <f t="shared" si="424"/>
        <v>0</v>
      </c>
      <c r="CE180" s="4357">
        <f t="shared" si="424"/>
        <v>0</v>
      </c>
      <c r="CF180" s="4357">
        <f t="shared" si="424"/>
        <v>0</v>
      </c>
      <c r="CG180" s="4357">
        <f t="shared" si="424"/>
        <v>0</v>
      </c>
      <c r="CH180" s="4357">
        <f t="shared" si="424"/>
        <v>0</v>
      </c>
      <c r="CI180" s="4357"/>
      <c r="CJ180" s="4357"/>
      <c r="CK180" s="4357"/>
      <c r="CL180" s="4357"/>
      <c r="CM180" s="4357"/>
      <c r="CN180" s="4357"/>
      <c r="CO180" s="4357"/>
      <c r="CP180" s="4357"/>
      <c r="CQ180" s="4357"/>
      <c r="CR180" s="4357"/>
      <c r="CS180" s="4357"/>
      <c r="CT180" s="4357"/>
      <c r="CU180" s="4357"/>
      <c r="CV180" s="4357"/>
      <c r="CW180" s="4357"/>
      <c r="CX180" s="4357"/>
      <c r="CY180" s="4357"/>
      <c r="CZ180" s="4357"/>
      <c r="DA180" s="4357"/>
      <c r="DB180" s="4357"/>
      <c r="DC180" s="4357"/>
      <c r="DD180" s="4357"/>
      <c r="DE180" s="4357"/>
      <c r="DF180" s="4357"/>
      <c r="DG180" s="4357"/>
      <c r="DH180" s="4357"/>
      <c r="DI180" s="4357"/>
      <c r="DJ180" s="4357"/>
      <c r="DK180" s="4357"/>
      <c r="DL180" s="4357"/>
      <c r="DM180" s="4357"/>
      <c r="DN180" s="4357"/>
      <c r="DO180" s="4357"/>
      <c r="DP180" s="4357"/>
      <c r="DQ180" s="4357"/>
      <c r="DR180" s="4357"/>
      <c r="DS180" s="4357"/>
      <c r="DT180" s="4357"/>
      <c r="DU180" s="4357"/>
      <c r="DV180" s="4357"/>
      <c r="DW180" s="4357"/>
      <c r="DX180" s="4357"/>
      <c r="DY180" s="4357"/>
      <c r="DZ180" s="4357"/>
      <c r="EA180" s="4357"/>
      <c r="EB180" s="4357"/>
      <c r="EC180" s="4357"/>
      <c r="ED180" s="4357"/>
      <c r="EE180" s="4357"/>
      <c r="EF180" s="4357"/>
    </row>
    <row r="181" spans="1:136" ht="16" x14ac:dyDescent="0.2">
      <c r="A181" t="s">
        <v>2121</v>
      </c>
      <c r="B181" t="s">
        <v>3238</v>
      </c>
      <c r="D181" t="str">
        <f>'7.Coastal wetlands'!C34</f>
        <v>Please select</v>
      </c>
      <c r="E181">
        <f>'7.Coastal wetlands'!AI34</f>
        <v>0</v>
      </c>
      <c r="F181" s="388">
        <f>Coastal!P46-Coastal!O46</f>
        <v>0</v>
      </c>
      <c r="G181" s="388">
        <f>Coastal!P56-Coastal!O56</f>
        <v>0</v>
      </c>
      <c r="AB181" t="str">
        <f t="shared" si="340"/>
        <v>ok</v>
      </c>
      <c r="AC181">
        <f>IF('7.Coastal wetlands'!CN34&lt;&gt;0,'7.Coastal wetlands'!CN34,'7.Coastal wetlands'!CM34)</f>
        <v>1</v>
      </c>
      <c r="AD181">
        <f t="shared" si="371"/>
        <v>5</v>
      </c>
      <c r="AE181" s="4357" t="str">
        <f>'7.Coastal wetlands'!Q34</f>
        <v>D</v>
      </c>
      <c r="AF181" s="4357" t="str">
        <f>'7.Coastal wetlands'!S34</f>
        <v>D</v>
      </c>
      <c r="AG181" s="4357" t="str">
        <f t="shared" si="374"/>
        <v>D</v>
      </c>
      <c r="AH181" s="4357">
        <f>((E181/(time_cap+((AD181-AC181+1)*VLOOKUP(AG181,list!$I$48:$K$50,3, FALSE))))*(AD181-AC181+1)*VLOOKUP(AG181,list!$I$48:$K$50,3, FALSE))</f>
        <v>0</v>
      </c>
      <c r="AI181" s="4357">
        <f>((E181/(time_cap+((AD181-AC181+1)*VLOOKUP(AG181,list!$I$48:$K$50,3, FALSE))))*time_cap)</f>
        <v>0</v>
      </c>
      <c r="AK181" s="4357">
        <f t="shared" ref="AK181:BP181" si="425">IFERROR(IF((time+time_cap)&lt;AK$2, 0,IF(AND(time+1&gt;=AL$2, $AC181&lt;AL$2), IF($AG181= "I", $AH181/($AD181-$AC181+1), $AH181/(($AD181*($AD181+1)/2)-(($AC181-1)*($AC181-1+1)/2))*AK$2), 0)+IF(IF(time+1&gt;=AL$2, $AI181/time_cap/(time+1)*AK$2, 0) = 0, $AI181/(time_cap),0)),0)</f>
        <v>0</v>
      </c>
      <c r="AL181" s="4357">
        <f t="shared" si="425"/>
        <v>0</v>
      </c>
      <c r="AM181" s="4357">
        <f t="shared" si="425"/>
        <v>0</v>
      </c>
      <c r="AN181" s="4357">
        <f t="shared" si="425"/>
        <v>0</v>
      </c>
      <c r="AO181" s="4357">
        <f t="shared" si="425"/>
        <v>0</v>
      </c>
      <c r="AP181" s="4357">
        <f t="shared" si="425"/>
        <v>0</v>
      </c>
      <c r="AQ181" s="4357">
        <f t="shared" si="425"/>
        <v>0</v>
      </c>
      <c r="AR181" s="4357">
        <f t="shared" si="425"/>
        <v>0</v>
      </c>
      <c r="AS181" s="4357">
        <f t="shared" si="425"/>
        <v>0</v>
      </c>
      <c r="AT181" s="4357">
        <f t="shared" si="425"/>
        <v>0</v>
      </c>
      <c r="AU181" s="4357">
        <f t="shared" si="425"/>
        <v>0</v>
      </c>
      <c r="AV181" s="4357">
        <f t="shared" si="425"/>
        <v>0</v>
      </c>
      <c r="AW181" s="4357">
        <f t="shared" si="425"/>
        <v>0</v>
      </c>
      <c r="AX181" s="4357">
        <f t="shared" si="425"/>
        <v>0</v>
      </c>
      <c r="AY181" s="4357">
        <f t="shared" si="425"/>
        <v>0</v>
      </c>
      <c r="AZ181" s="4357">
        <f t="shared" si="425"/>
        <v>0</v>
      </c>
      <c r="BA181" s="4357">
        <f t="shared" si="425"/>
        <v>0</v>
      </c>
      <c r="BB181" s="4357">
        <f t="shared" si="425"/>
        <v>0</v>
      </c>
      <c r="BC181" s="4357">
        <f t="shared" si="425"/>
        <v>0</v>
      </c>
      <c r="BD181" s="4357">
        <f t="shared" si="425"/>
        <v>0</v>
      </c>
      <c r="BE181" s="4357">
        <f t="shared" si="425"/>
        <v>0</v>
      </c>
      <c r="BF181" s="4357">
        <f t="shared" si="425"/>
        <v>0</v>
      </c>
      <c r="BG181" s="4357">
        <f t="shared" si="425"/>
        <v>0</v>
      </c>
      <c r="BH181" s="4357">
        <f t="shared" si="425"/>
        <v>0</v>
      </c>
      <c r="BI181" s="4357">
        <f t="shared" si="425"/>
        <v>0</v>
      </c>
      <c r="BJ181" s="4357">
        <f t="shared" si="425"/>
        <v>0</v>
      </c>
      <c r="BK181" s="4357">
        <f t="shared" si="425"/>
        <v>0</v>
      </c>
      <c r="BL181" s="4357">
        <f t="shared" si="425"/>
        <v>0</v>
      </c>
      <c r="BM181" s="4357">
        <f t="shared" si="425"/>
        <v>0</v>
      </c>
      <c r="BN181" s="4357">
        <f t="shared" si="425"/>
        <v>0</v>
      </c>
      <c r="BO181" s="4357">
        <f t="shared" si="425"/>
        <v>0</v>
      </c>
      <c r="BP181" s="4357">
        <f t="shared" si="425"/>
        <v>0</v>
      </c>
      <c r="BQ181" s="4357">
        <f t="shared" ref="BQ181:CH181" si="426">IFERROR(IF((time+time_cap)&lt;BQ$2, 0,IF(AND(time+1&gt;=BR$2, $AC181&lt;BR$2), IF($AG181= "I", $AH181/($AD181-$AC181+1), $AH181/(($AD181*($AD181+1)/2)-(($AC181-1)*($AC181-1+1)/2))*BQ$2), 0)+IF(IF(time+1&gt;=BR$2, $AI181/time_cap/(time+1)*BQ$2, 0) = 0, $AI181/(time_cap),0)),0)</f>
        <v>0</v>
      </c>
      <c r="BR181" s="4357">
        <f t="shared" si="426"/>
        <v>0</v>
      </c>
      <c r="BS181" s="4357">
        <f t="shared" si="426"/>
        <v>0</v>
      </c>
      <c r="BT181" s="4357">
        <f t="shared" si="426"/>
        <v>0</v>
      </c>
      <c r="BU181" s="4357">
        <f t="shared" si="426"/>
        <v>0</v>
      </c>
      <c r="BV181" s="4357">
        <f t="shared" si="426"/>
        <v>0</v>
      </c>
      <c r="BW181" s="4357">
        <f t="shared" si="426"/>
        <v>0</v>
      </c>
      <c r="BX181" s="4357">
        <f t="shared" si="426"/>
        <v>0</v>
      </c>
      <c r="BY181" s="4357">
        <f t="shared" si="426"/>
        <v>0</v>
      </c>
      <c r="BZ181" s="4357">
        <f t="shared" si="426"/>
        <v>0</v>
      </c>
      <c r="CA181" s="4357">
        <f t="shared" si="426"/>
        <v>0</v>
      </c>
      <c r="CB181" s="4357">
        <f t="shared" si="426"/>
        <v>0</v>
      </c>
      <c r="CC181" s="4357">
        <f t="shared" si="426"/>
        <v>0</v>
      </c>
      <c r="CD181" s="4357">
        <f t="shared" si="426"/>
        <v>0</v>
      </c>
      <c r="CE181" s="4357">
        <f t="shared" si="426"/>
        <v>0</v>
      </c>
      <c r="CF181" s="4357">
        <f t="shared" si="426"/>
        <v>0</v>
      </c>
      <c r="CG181" s="4357">
        <f t="shared" si="426"/>
        <v>0</v>
      </c>
      <c r="CH181" s="4357">
        <f t="shared" si="426"/>
        <v>0</v>
      </c>
      <c r="CI181" s="4357"/>
      <c r="CJ181" s="4357"/>
      <c r="CK181" s="4357"/>
      <c r="CL181" s="4357"/>
      <c r="CM181" s="4357"/>
      <c r="CN181" s="4357"/>
      <c r="CO181" s="4357"/>
      <c r="CP181" s="4357"/>
      <c r="CQ181" s="4357"/>
      <c r="CR181" s="4357"/>
      <c r="CS181" s="4357"/>
      <c r="CT181" s="4357"/>
      <c r="CU181" s="4357"/>
      <c r="CV181" s="4357"/>
      <c r="CW181" s="4357"/>
      <c r="CX181" s="4357"/>
      <c r="CY181" s="4357"/>
      <c r="CZ181" s="4357"/>
      <c r="DA181" s="4357"/>
      <c r="DB181" s="4357"/>
      <c r="DC181" s="4357"/>
      <c r="DD181" s="4357"/>
      <c r="DE181" s="4357"/>
      <c r="DF181" s="4357"/>
      <c r="DG181" s="4357"/>
      <c r="DH181" s="4357"/>
      <c r="DI181" s="4357"/>
      <c r="DJ181" s="4357"/>
      <c r="DK181" s="4357"/>
      <c r="DL181" s="4357"/>
      <c r="DM181" s="4357"/>
      <c r="DN181" s="4357"/>
      <c r="DO181" s="4357"/>
      <c r="DP181" s="4357"/>
      <c r="DQ181" s="4357"/>
      <c r="DR181" s="4357"/>
      <c r="DS181" s="4357"/>
      <c r="DT181" s="4357"/>
      <c r="DU181" s="4357"/>
      <c r="DV181" s="4357"/>
      <c r="DW181" s="4357"/>
      <c r="DX181" s="4357"/>
      <c r="DY181" s="4357"/>
      <c r="DZ181" s="4357"/>
      <c r="EA181" s="4357"/>
      <c r="EB181" s="4357"/>
      <c r="EC181" s="4357"/>
      <c r="ED181" s="4357"/>
      <c r="EE181" s="4357"/>
      <c r="EF181" s="4357"/>
    </row>
    <row r="182" spans="1:136" ht="16" x14ac:dyDescent="0.2">
      <c r="A182" t="s">
        <v>2121</v>
      </c>
      <c r="B182" t="s">
        <v>3239</v>
      </c>
      <c r="D182" t="str">
        <f>'7.Coastal wetlands'!C46</f>
        <v>Tidal marsh</v>
      </c>
      <c r="E182">
        <f>'7.Coastal wetlands'!AI46</f>
        <v>0</v>
      </c>
      <c r="F182" s="388">
        <f>Coastal!P79-Coastal!O79</f>
        <v>0</v>
      </c>
      <c r="I182" s="388">
        <f>Coastal!P89-Coastal!O89</f>
        <v>0</v>
      </c>
      <c r="Z182" s="388">
        <f>Coastal!P100-Coastal!O100</f>
        <v>0</v>
      </c>
      <c r="AB182" t="str">
        <f t="shared" si="340"/>
        <v>ok</v>
      </c>
      <c r="AC182">
        <f>IF('7.Coastal wetlands'!CN46&lt;&gt;0,'7.Coastal wetlands'!CN46,'7.Coastal wetlands'!CM46)</f>
        <v>1</v>
      </c>
      <c r="AD182">
        <f t="shared" si="371"/>
        <v>5</v>
      </c>
      <c r="AE182" s="4357" t="str">
        <f>'7.Coastal wetlands'!I46</f>
        <v>D</v>
      </c>
      <c r="AF182" s="4357" t="str">
        <f>'7.Coastal wetlands'!K46</f>
        <v>D</v>
      </c>
      <c r="AG182" s="4357" t="str">
        <f t="shared" si="374"/>
        <v>D</v>
      </c>
      <c r="AH182" s="4357">
        <f>((E182/(time_cap+((AD182-AC182+1)*VLOOKUP(AG182,list!$I$48:$K$50,3, FALSE))))*(AD182-AC182+1)*VLOOKUP(AG182,list!$I$48:$K$50,3, FALSE))</f>
        <v>0</v>
      </c>
      <c r="AI182" s="4357">
        <f>((E182/(time_cap+((AD182-AC182+1)*VLOOKUP(AG182,list!$I$48:$K$50,3, FALSE))))*time_cap)</f>
        <v>0</v>
      </c>
      <c r="AK182" s="4357">
        <f t="shared" ref="AK182:BP182" si="427">IFERROR(IF((time+time_cap)&lt;AK$2, 0,IF(AND(time+1&gt;=AL$2, $AC182&lt;AL$2), IF($AG182= "I", $AH182/($AD182-$AC182+1), $AH182/(($AD182*($AD182+1)/2)-(($AC182-1)*($AC182-1+1)/2))*AK$2), 0)+IF(IF(time+1&gt;=AL$2, $AI182/time_cap/(time+1)*AK$2, 0) = 0, $AI182/(time_cap),0)),0)</f>
        <v>0</v>
      </c>
      <c r="AL182" s="4357">
        <f t="shared" si="427"/>
        <v>0</v>
      </c>
      <c r="AM182" s="4357">
        <f t="shared" si="427"/>
        <v>0</v>
      </c>
      <c r="AN182" s="4357">
        <f t="shared" si="427"/>
        <v>0</v>
      </c>
      <c r="AO182" s="4357">
        <f t="shared" si="427"/>
        <v>0</v>
      </c>
      <c r="AP182" s="4357">
        <f t="shared" si="427"/>
        <v>0</v>
      </c>
      <c r="AQ182" s="4357">
        <f t="shared" si="427"/>
        <v>0</v>
      </c>
      <c r="AR182" s="4357">
        <f t="shared" si="427"/>
        <v>0</v>
      </c>
      <c r="AS182" s="4357">
        <f t="shared" si="427"/>
        <v>0</v>
      </c>
      <c r="AT182" s="4357">
        <f t="shared" si="427"/>
        <v>0</v>
      </c>
      <c r="AU182" s="4357">
        <f t="shared" si="427"/>
        <v>0</v>
      </c>
      <c r="AV182" s="4357">
        <f t="shared" si="427"/>
        <v>0</v>
      </c>
      <c r="AW182" s="4357">
        <f t="shared" si="427"/>
        <v>0</v>
      </c>
      <c r="AX182" s="4357">
        <f t="shared" si="427"/>
        <v>0</v>
      </c>
      <c r="AY182" s="4357">
        <f t="shared" si="427"/>
        <v>0</v>
      </c>
      <c r="AZ182" s="4357">
        <f t="shared" si="427"/>
        <v>0</v>
      </c>
      <c r="BA182" s="4357">
        <f t="shared" si="427"/>
        <v>0</v>
      </c>
      <c r="BB182" s="4357">
        <f t="shared" si="427"/>
        <v>0</v>
      </c>
      <c r="BC182" s="4357">
        <f t="shared" si="427"/>
        <v>0</v>
      </c>
      <c r="BD182" s="4357">
        <f t="shared" si="427"/>
        <v>0</v>
      </c>
      <c r="BE182" s="4357">
        <f t="shared" si="427"/>
        <v>0</v>
      </c>
      <c r="BF182" s="4357">
        <f t="shared" si="427"/>
        <v>0</v>
      </c>
      <c r="BG182" s="4357">
        <f t="shared" si="427"/>
        <v>0</v>
      </c>
      <c r="BH182" s="4357">
        <f t="shared" si="427"/>
        <v>0</v>
      </c>
      <c r="BI182" s="4357">
        <f t="shared" si="427"/>
        <v>0</v>
      </c>
      <c r="BJ182" s="4357">
        <f t="shared" si="427"/>
        <v>0</v>
      </c>
      <c r="BK182" s="4357">
        <f t="shared" si="427"/>
        <v>0</v>
      </c>
      <c r="BL182" s="4357">
        <f t="shared" si="427"/>
        <v>0</v>
      </c>
      <c r="BM182" s="4357">
        <f t="shared" si="427"/>
        <v>0</v>
      </c>
      <c r="BN182" s="4357">
        <f t="shared" si="427"/>
        <v>0</v>
      </c>
      <c r="BO182" s="4357">
        <f t="shared" si="427"/>
        <v>0</v>
      </c>
      <c r="BP182" s="4357">
        <f t="shared" si="427"/>
        <v>0</v>
      </c>
      <c r="BQ182" s="4357">
        <f t="shared" ref="BQ182:CH182" si="428">IFERROR(IF((time+time_cap)&lt;BQ$2, 0,IF(AND(time+1&gt;=BR$2, $AC182&lt;BR$2), IF($AG182= "I", $AH182/($AD182-$AC182+1), $AH182/(($AD182*($AD182+1)/2)-(($AC182-1)*($AC182-1+1)/2))*BQ$2), 0)+IF(IF(time+1&gt;=BR$2, $AI182/time_cap/(time+1)*BQ$2, 0) = 0, $AI182/(time_cap),0)),0)</f>
        <v>0</v>
      </c>
      <c r="BR182" s="4357">
        <f t="shared" si="428"/>
        <v>0</v>
      </c>
      <c r="BS182" s="4357">
        <f t="shared" si="428"/>
        <v>0</v>
      </c>
      <c r="BT182" s="4357">
        <f t="shared" si="428"/>
        <v>0</v>
      </c>
      <c r="BU182" s="4357">
        <f t="shared" si="428"/>
        <v>0</v>
      </c>
      <c r="BV182" s="4357">
        <f t="shared" si="428"/>
        <v>0</v>
      </c>
      <c r="BW182" s="4357">
        <f t="shared" si="428"/>
        <v>0</v>
      </c>
      <c r="BX182" s="4357">
        <f t="shared" si="428"/>
        <v>0</v>
      </c>
      <c r="BY182" s="4357">
        <f t="shared" si="428"/>
        <v>0</v>
      </c>
      <c r="BZ182" s="4357">
        <f t="shared" si="428"/>
        <v>0</v>
      </c>
      <c r="CA182" s="4357">
        <f t="shared" si="428"/>
        <v>0</v>
      </c>
      <c r="CB182" s="4357">
        <f t="shared" si="428"/>
        <v>0</v>
      </c>
      <c r="CC182" s="4357">
        <f t="shared" si="428"/>
        <v>0</v>
      </c>
      <c r="CD182" s="4357">
        <f t="shared" si="428"/>
        <v>0</v>
      </c>
      <c r="CE182" s="4357">
        <f t="shared" si="428"/>
        <v>0</v>
      </c>
      <c r="CF182" s="4357">
        <f t="shared" si="428"/>
        <v>0</v>
      </c>
      <c r="CG182" s="4357">
        <f t="shared" si="428"/>
        <v>0</v>
      </c>
      <c r="CH182" s="4357">
        <f t="shared" si="428"/>
        <v>0</v>
      </c>
      <c r="CI182" s="4357"/>
      <c r="CJ182" s="4357"/>
      <c r="CK182" s="4357"/>
      <c r="CL182" s="4357"/>
      <c r="CM182" s="4357"/>
      <c r="CN182" s="4357"/>
      <c r="CO182" s="4357"/>
      <c r="CP182" s="4357"/>
      <c r="CQ182" s="4357"/>
      <c r="CR182" s="4357"/>
      <c r="CS182" s="4357"/>
      <c r="CT182" s="4357"/>
      <c r="CU182" s="4357"/>
      <c r="CV182" s="4357"/>
      <c r="CW182" s="4357"/>
      <c r="CX182" s="4357"/>
      <c r="CY182" s="4357"/>
      <c r="CZ182" s="4357"/>
      <c r="DA182" s="4357"/>
      <c r="DB182" s="4357"/>
      <c r="DC182" s="4357"/>
      <c r="DD182" s="4357"/>
      <c r="DE182" s="4357"/>
      <c r="DF182" s="4357"/>
      <c r="DG182" s="4357"/>
      <c r="DH182" s="4357"/>
      <c r="DI182" s="4357"/>
      <c r="DJ182" s="4357"/>
      <c r="DK182" s="4357"/>
      <c r="DL182" s="4357"/>
      <c r="DM182" s="4357"/>
      <c r="DN182" s="4357"/>
      <c r="DO182" s="4357"/>
      <c r="DP182" s="4357"/>
      <c r="DQ182" s="4357"/>
      <c r="DR182" s="4357"/>
      <c r="DS182" s="4357"/>
      <c r="DT182" s="4357"/>
      <c r="DU182" s="4357"/>
      <c r="DV182" s="4357"/>
      <c r="DW182" s="4357"/>
      <c r="DX182" s="4357"/>
      <c r="DY182" s="4357"/>
      <c r="DZ182" s="4357"/>
      <c r="EA182" s="4357"/>
      <c r="EB182" s="4357"/>
      <c r="EC182" s="4357"/>
      <c r="ED182" s="4357"/>
      <c r="EE182" s="4357"/>
      <c r="EF182" s="4357"/>
    </row>
    <row r="183" spans="1:136" ht="16" x14ac:dyDescent="0.2">
      <c r="A183" t="s">
        <v>2121</v>
      </c>
      <c r="B183" t="s">
        <v>3239</v>
      </c>
      <c r="D183" t="str">
        <f>'7.Coastal wetlands'!C47</f>
        <v>Please select</v>
      </c>
      <c r="E183">
        <f>'7.Coastal wetlands'!AI47</f>
        <v>0</v>
      </c>
      <c r="F183" s="388">
        <f>Coastal!P80-Coastal!O80</f>
        <v>0</v>
      </c>
      <c r="I183" s="388">
        <f>Coastal!P90-Coastal!O90</f>
        <v>0</v>
      </c>
      <c r="Z183" s="388">
        <f>Coastal!P101-Coastal!O101</f>
        <v>0</v>
      </c>
      <c r="AB183" t="str">
        <f t="shared" si="340"/>
        <v>ok</v>
      </c>
      <c r="AC183">
        <f>IF('7.Coastal wetlands'!CN47&lt;&gt;0,'7.Coastal wetlands'!CN47,'7.Coastal wetlands'!CM47)</f>
        <v>1</v>
      </c>
      <c r="AD183">
        <f t="shared" si="371"/>
        <v>5</v>
      </c>
      <c r="AE183" s="4357" t="str">
        <f>'7.Coastal wetlands'!I47</f>
        <v>D</v>
      </c>
      <c r="AF183" s="4357" t="str">
        <f>'7.Coastal wetlands'!K47</f>
        <v>D</v>
      </c>
      <c r="AG183" s="4357" t="str">
        <f t="shared" si="374"/>
        <v>D</v>
      </c>
      <c r="AH183" s="4357">
        <f>((E183/(time_cap+((AD183-AC183+1)*VLOOKUP(AG183,list!$I$48:$K$50,3, FALSE))))*(AD183-AC183+1)*VLOOKUP(AG183,list!$I$48:$K$50,3, FALSE))</f>
        <v>0</v>
      </c>
      <c r="AI183" s="4357">
        <f>((E183/(time_cap+((AD183-AC183+1)*VLOOKUP(AG183,list!$I$48:$K$50,3, FALSE))))*time_cap)</f>
        <v>0</v>
      </c>
      <c r="AK183" s="4357">
        <f t="shared" ref="AK183:BP183" si="429">IFERROR(IF((time+time_cap)&lt;AK$2, 0,IF(AND(time+1&gt;=AL$2, $AC183&lt;AL$2), IF($AG183= "I", $AH183/($AD183-$AC183+1), $AH183/(($AD183*($AD183+1)/2)-(($AC183-1)*($AC183-1+1)/2))*AK$2), 0)+IF(IF(time+1&gt;=AL$2, $AI183/time_cap/(time+1)*AK$2, 0) = 0, $AI183/(time_cap),0)),0)</f>
        <v>0</v>
      </c>
      <c r="AL183" s="4357">
        <f t="shared" si="429"/>
        <v>0</v>
      </c>
      <c r="AM183" s="4357">
        <f t="shared" si="429"/>
        <v>0</v>
      </c>
      <c r="AN183" s="4357">
        <f t="shared" si="429"/>
        <v>0</v>
      </c>
      <c r="AO183" s="4357">
        <f t="shared" si="429"/>
        <v>0</v>
      </c>
      <c r="AP183" s="4357">
        <f t="shared" si="429"/>
        <v>0</v>
      </c>
      <c r="AQ183" s="4357">
        <f t="shared" si="429"/>
        <v>0</v>
      </c>
      <c r="AR183" s="4357">
        <f t="shared" si="429"/>
        <v>0</v>
      </c>
      <c r="AS183" s="4357">
        <f t="shared" si="429"/>
        <v>0</v>
      </c>
      <c r="AT183" s="4357">
        <f t="shared" si="429"/>
        <v>0</v>
      </c>
      <c r="AU183" s="4357">
        <f t="shared" si="429"/>
        <v>0</v>
      </c>
      <c r="AV183" s="4357">
        <f t="shared" si="429"/>
        <v>0</v>
      </c>
      <c r="AW183" s="4357">
        <f t="shared" si="429"/>
        <v>0</v>
      </c>
      <c r="AX183" s="4357">
        <f t="shared" si="429"/>
        <v>0</v>
      </c>
      <c r="AY183" s="4357">
        <f t="shared" si="429"/>
        <v>0</v>
      </c>
      <c r="AZ183" s="4357">
        <f t="shared" si="429"/>
        <v>0</v>
      </c>
      <c r="BA183" s="4357">
        <f t="shared" si="429"/>
        <v>0</v>
      </c>
      <c r="BB183" s="4357">
        <f t="shared" si="429"/>
        <v>0</v>
      </c>
      <c r="BC183" s="4357">
        <f t="shared" si="429"/>
        <v>0</v>
      </c>
      <c r="BD183" s="4357">
        <f t="shared" si="429"/>
        <v>0</v>
      </c>
      <c r="BE183" s="4357">
        <f t="shared" si="429"/>
        <v>0</v>
      </c>
      <c r="BF183" s="4357">
        <f t="shared" si="429"/>
        <v>0</v>
      </c>
      <c r="BG183" s="4357">
        <f t="shared" si="429"/>
        <v>0</v>
      </c>
      <c r="BH183" s="4357">
        <f t="shared" si="429"/>
        <v>0</v>
      </c>
      <c r="BI183" s="4357">
        <f t="shared" si="429"/>
        <v>0</v>
      </c>
      <c r="BJ183" s="4357">
        <f t="shared" si="429"/>
        <v>0</v>
      </c>
      <c r="BK183" s="4357">
        <f t="shared" si="429"/>
        <v>0</v>
      </c>
      <c r="BL183" s="4357">
        <f t="shared" si="429"/>
        <v>0</v>
      </c>
      <c r="BM183" s="4357">
        <f t="shared" si="429"/>
        <v>0</v>
      </c>
      <c r="BN183" s="4357">
        <f t="shared" si="429"/>
        <v>0</v>
      </c>
      <c r="BO183" s="4357">
        <f t="shared" si="429"/>
        <v>0</v>
      </c>
      <c r="BP183" s="4357">
        <f t="shared" si="429"/>
        <v>0</v>
      </c>
      <c r="BQ183" s="4357">
        <f t="shared" ref="BQ183:CH183" si="430">IFERROR(IF((time+time_cap)&lt;BQ$2, 0,IF(AND(time+1&gt;=BR$2, $AC183&lt;BR$2), IF($AG183= "I", $AH183/($AD183-$AC183+1), $AH183/(($AD183*($AD183+1)/2)-(($AC183-1)*($AC183-1+1)/2))*BQ$2), 0)+IF(IF(time+1&gt;=BR$2, $AI183/time_cap/(time+1)*BQ$2, 0) = 0, $AI183/(time_cap),0)),0)</f>
        <v>0</v>
      </c>
      <c r="BR183" s="4357">
        <f t="shared" si="430"/>
        <v>0</v>
      </c>
      <c r="BS183" s="4357">
        <f t="shared" si="430"/>
        <v>0</v>
      </c>
      <c r="BT183" s="4357">
        <f t="shared" si="430"/>
        <v>0</v>
      </c>
      <c r="BU183" s="4357">
        <f t="shared" si="430"/>
        <v>0</v>
      </c>
      <c r="BV183" s="4357">
        <f t="shared" si="430"/>
        <v>0</v>
      </c>
      <c r="BW183" s="4357">
        <f t="shared" si="430"/>
        <v>0</v>
      </c>
      <c r="BX183" s="4357">
        <f t="shared" si="430"/>
        <v>0</v>
      </c>
      <c r="BY183" s="4357">
        <f t="shared" si="430"/>
        <v>0</v>
      </c>
      <c r="BZ183" s="4357">
        <f t="shared" si="430"/>
        <v>0</v>
      </c>
      <c r="CA183" s="4357">
        <f t="shared" si="430"/>
        <v>0</v>
      </c>
      <c r="CB183" s="4357">
        <f t="shared" si="430"/>
        <v>0</v>
      </c>
      <c r="CC183" s="4357">
        <f t="shared" si="430"/>
        <v>0</v>
      </c>
      <c r="CD183" s="4357">
        <f t="shared" si="430"/>
        <v>0</v>
      </c>
      <c r="CE183" s="4357">
        <f t="shared" si="430"/>
        <v>0</v>
      </c>
      <c r="CF183" s="4357">
        <f t="shared" si="430"/>
        <v>0</v>
      </c>
      <c r="CG183" s="4357">
        <f t="shared" si="430"/>
        <v>0</v>
      </c>
      <c r="CH183" s="4357">
        <f t="shared" si="430"/>
        <v>0</v>
      </c>
      <c r="CI183" s="4357"/>
      <c r="CJ183" s="4357"/>
      <c r="CK183" s="4357"/>
      <c r="CL183" s="4357"/>
      <c r="CM183" s="4357"/>
      <c r="CN183" s="4357"/>
      <c r="CO183" s="4357"/>
      <c r="CP183" s="4357"/>
      <c r="CQ183" s="4357"/>
      <c r="CR183" s="4357"/>
      <c r="CS183" s="4357"/>
      <c r="CT183" s="4357"/>
      <c r="CU183" s="4357"/>
      <c r="CV183" s="4357"/>
      <c r="CW183" s="4357"/>
      <c r="CX183" s="4357"/>
      <c r="CY183" s="4357"/>
      <c r="CZ183" s="4357"/>
      <c r="DA183" s="4357"/>
      <c r="DB183" s="4357"/>
      <c r="DC183" s="4357"/>
      <c r="DD183" s="4357"/>
      <c r="DE183" s="4357"/>
      <c r="DF183" s="4357"/>
      <c r="DG183" s="4357"/>
      <c r="DH183" s="4357"/>
      <c r="DI183" s="4357"/>
      <c r="DJ183" s="4357"/>
      <c r="DK183" s="4357"/>
      <c r="DL183" s="4357"/>
      <c r="DM183" s="4357"/>
      <c r="DN183" s="4357"/>
      <c r="DO183" s="4357"/>
      <c r="DP183" s="4357"/>
      <c r="DQ183" s="4357"/>
      <c r="DR183" s="4357"/>
      <c r="DS183" s="4357"/>
      <c r="DT183" s="4357"/>
      <c r="DU183" s="4357"/>
      <c r="DV183" s="4357"/>
      <c r="DW183" s="4357"/>
      <c r="DX183" s="4357"/>
      <c r="DY183" s="4357"/>
      <c r="DZ183" s="4357"/>
      <c r="EA183" s="4357"/>
      <c r="EB183" s="4357"/>
      <c r="EC183" s="4357"/>
      <c r="ED183" s="4357"/>
      <c r="EE183" s="4357"/>
      <c r="EF183" s="4357"/>
    </row>
    <row r="184" spans="1:136" ht="16" x14ac:dyDescent="0.2">
      <c r="A184" t="s">
        <v>2121</v>
      </c>
      <c r="B184" t="s">
        <v>3239</v>
      </c>
      <c r="D184" t="str">
        <f>'7.Coastal wetlands'!C48</f>
        <v>Please select</v>
      </c>
      <c r="E184">
        <f>'7.Coastal wetlands'!AI48</f>
        <v>0</v>
      </c>
      <c r="F184" s="388">
        <f>Coastal!P81-Coastal!O81</f>
        <v>0</v>
      </c>
      <c r="I184" s="388">
        <f>Coastal!P91-Coastal!O91</f>
        <v>0</v>
      </c>
      <c r="Z184" s="388">
        <f>Coastal!P102-Coastal!O102</f>
        <v>0</v>
      </c>
      <c r="AB184" t="str">
        <f t="shared" si="340"/>
        <v>ok</v>
      </c>
      <c r="AC184">
        <f>IF('7.Coastal wetlands'!CN48&lt;&gt;0,'7.Coastal wetlands'!CN48,'7.Coastal wetlands'!CM48)</f>
        <v>1</v>
      </c>
      <c r="AD184">
        <f t="shared" si="371"/>
        <v>5</v>
      </c>
      <c r="AE184" s="4357" t="str">
        <f>'7.Coastal wetlands'!I48</f>
        <v>D</v>
      </c>
      <c r="AF184" s="4357" t="str">
        <f>'7.Coastal wetlands'!K48</f>
        <v>D</v>
      </c>
      <c r="AG184" s="4357" t="str">
        <f t="shared" si="374"/>
        <v>D</v>
      </c>
      <c r="AH184" s="4357">
        <f>((E184/(time_cap+((AD184-AC184+1)*VLOOKUP(AG184,list!$I$48:$K$50,3, FALSE))))*(AD184-AC184+1)*VLOOKUP(AG184,list!$I$48:$K$50,3, FALSE))</f>
        <v>0</v>
      </c>
      <c r="AI184" s="4357">
        <f>((E184/(time_cap+((AD184-AC184+1)*VLOOKUP(AG184,list!$I$48:$K$50,3, FALSE))))*time_cap)</f>
        <v>0</v>
      </c>
      <c r="AK184" s="4357">
        <f t="shared" ref="AK184:BP184" si="431">IFERROR(IF((time+time_cap)&lt;AK$2, 0,IF(AND(time+1&gt;=AL$2, $AC184&lt;AL$2), IF($AG184= "I", $AH184/($AD184-$AC184+1), $AH184/(($AD184*($AD184+1)/2)-(($AC184-1)*($AC184-1+1)/2))*AK$2), 0)+IF(IF(time+1&gt;=AL$2, $AI184/time_cap/(time+1)*AK$2, 0) = 0, $AI184/(time_cap),0)),0)</f>
        <v>0</v>
      </c>
      <c r="AL184" s="4357">
        <f t="shared" si="431"/>
        <v>0</v>
      </c>
      <c r="AM184" s="4357">
        <f t="shared" si="431"/>
        <v>0</v>
      </c>
      <c r="AN184" s="4357">
        <f t="shared" si="431"/>
        <v>0</v>
      </c>
      <c r="AO184" s="4357">
        <f t="shared" si="431"/>
        <v>0</v>
      </c>
      <c r="AP184" s="4357">
        <f t="shared" si="431"/>
        <v>0</v>
      </c>
      <c r="AQ184" s="4357">
        <f t="shared" si="431"/>
        <v>0</v>
      </c>
      <c r="AR184" s="4357">
        <f t="shared" si="431"/>
        <v>0</v>
      </c>
      <c r="AS184" s="4357">
        <f t="shared" si="431"/>
        <v>0</v>
      </c>
      <c r="AT184" s="4357">
        <f t="shared" si="431"/>
        <v>0</v>
      </c>
      <c r="AU184" s="4357">
        <f t="shared" si="431"/>
        <v>0</v>
      </c>
      <c r="AV184" s="4357">
        <f t="shared" si="431"/>
        <v>0</v>
      </c>
      <c r="AW184" s="4357">
        <f t="shared" si="431"/>
        <v>0</v>
      </c>
      <c r="AX184" s="4357">
        <f t="shared" si="431"/>
        <v>0</v>
      </c>
      <c r="AY184" s="4357">
        <f t="shared" si="431"/>
        <v>0</v>
      </c>
      <c r="AZ184" s="4357">
        <f t="shared" si="431"/>
        <v>0</v>
      </c>
      <c r="BA184" s="4357">
        <f t="shared" si="431"/>
        <v>0</v>
      </c>
      <c r="BB184" s="4357">
        <f t="shared" si="431"/>
        <v>0</v>
      </c>
      <c r="BC184" s="4357">
        <f t="shared" si="431"/>
        <v>0</v>
      </c>
      <c r="BD184" s="4357">
        <f t="shared" si="431"/>
        <v>0</v>
      </c>
      <c r="BE184" s="4357">
        <f t="shared" si="431"/>
        <v>0</v>
      </c>
      <c r="BF184" s="4357">
        <f t="shared" si="431"/>
        <v>0</v>
      </c>
      <c r="BG184" s="4357">
        <f t="shared" si="431"/>
        <v>0</v>
      </c>
      <c r="BH184" s="4357">
        <f t="shared" si="431"/>
        <v>0</v>
      </c>
      <c r="BI184" s="4357">
        <f t="shared" si="431"/>
        <v>0</v>
      </c>
      <c r="BJ184" s="4357">
        <f t="shared" si="431"/>
        <v>0</v>
      </c>
      <c r="BK184" s="4357">
        <f t="shared" si="431"/>
        <v>0</v>
      </c>
      <c r="BL184" s="4357">
        <f t="shared" si="431"/>
        <v>0</v>
      </c>
      <c r="BM184" s="4357">
        <f t="shared" si="431"/>
        <v>0</v>
      </c>
      <c r="BN184" s="4357">
        <f t="shared" si="431"/>
        <v>0</v>
      </c>
      <c r="BO184" s="4357">
        <f t="shared" si="431"/>
        <v>0</v>
      </c>
      <c r="BP184" s="4357">
        <f t="shared" si="431"/>
        <v>0</v>
      </c>
      <c r="BQ184" s="4357">
        <f t="shared" ref="BQ184:CH184" si="432">IFERROR(IF((time+time_cap)&lt;BQ$2, 0,IF(AND(time+1&gt;=BR$2, $AC184&lt;BR$2), IF($AG184= "I", $AH184/($AD184-$AC184+1), $AH184/(($AD184*($AD184+1)/2)-(($AC184-1)*($AC184-1+1)/2))*BQ$2), 0)+IF(IF(time+1&gt;=BR$2, $AI184/time_cap/(time+1)*BQ$2, 0) = 0, $AI184/(time_cap),0)),0)</f>
        <v>0</v>
      </c>
      <c r="BR184" s="4357">
        <f t="shared" si="432"/>
        <v>0</v>
      </c>
      <c r="BS184" s="4357">
        <f t="shared" si="432"/>
        <v>0</v>
      </c>
      <c r="BT184" s="4357">
        <f t="shared" si="432"/>
        <v>0</v>
      </c>
      <c r="BU184" s="4357">
        <f t="shared" si="432"/>
        <v>0</v>
      </c>
      <c r="BV184" s="4357">
        <f t="shared" si="432"/>
        <v>0</v>
      </c>
      <c r="BW184" s="4357">
        <f t="shared" si="432"/>
        <v>0</v>
      </c>
      <c r="BX184" s="4357">
        <f t="shared" si="432"/>
        <v>0</v>
      </c>
      <c r="BY184" s="4357">
        <f t="shared" si="432"/>
        <v>0</v>
      </c>
      <c r="BZ184" s="4357">
        <f t="shared" si="432"/>
        <v>0</v>
      </c>
      <c r="CA184" s="4357">
        <f t="shared" si="432"/>
        <v>0</v>
      </c>
      <c r="CB184" s="4357">
        <f t="shared" si="432"/>
        <v>0</v>
      </c>
      <c r="CC184" s="4357">
        <f t="shared" si="432"/>
        <v>0</v>
      </c>
      <c r="CD184" s="4357">
        <f t="shared" si="432"/>
        <v>0</v>
      </c>
      <c r="CE184" s="4357">
        <f t="shared" si="432"/>
        <v>0</v>
      </c>
      <c r="CF184" s="4357">
        <f t="shared" si="432"/>
        <v>0</v>
      </c>
      <c r="CG184" s="4357">
        <f t="shared" si="432"/>
        <v>0</v>
      </c>
      <c r="CH184" s="4357">
        <f t="shared" si="432"/>
        <v>0</v>
      </c>
      <c r="CI184" s="4357"/>
      <c r="CJ184" s="4357"/>
      <c r="CK184" s="4357"/>
      <c r="CL184" s="4357"/>
      <c r="CM184" s="4357"/>
      <c r="CN184" s="4357"/>
      <c r="CO184" s="4357"/>
      <c r="CP184" s="4357"/>
      <c r="CQ184" s="4357"/>
      <c r="CR184" s="4357"/>
      <c r="CS184" s="4357"/>
      <c r="CT184" s="4357"/>
      <c r="CU184" s="4357"/>
      <c r="CV184" s="4357"/>
      <c r="CW184" s="4357"/>
      <c r="CX184" s="4357"/>
      <c r="CY184" s="4357"/>
      <c r="CZ184" s="4357"/>
      <c r="DA184" s="4357"/>
      <c r="DB184" s="4357"/>
      <c r="DC184" s="4357"/>
      <c r="DD184" s="4357"/>
      <c r="DE184" s="4357"/>
      <c r="DF184" s="4357"/>
      <c r="DG184" s="4357"/>
      <c r="DH184" s="4357"/>
      <c r="DI184" s="4357"/>
      <c r="DJ184" s="4357"/>
      <c r="DK184" s="4357"/>
      <c r="DL184" s="4357"/>
      <c r="DM184" s="4357"/>
      <c r="DN184" s="4357"/>
      <c r="DO184" s="4357"/>
      <c r="DP184" s="4357"/>
      <c r="DQ184" s="4357"/>
      <c r="DR184" s="4357"/>
      <c r="DS184" s="4357"/>
      <c r="DT184" s="4357"/>
      <c r="DU184" s="4357"/>
      <c r="DV184" s="4357"/>
      <c r="DW184" s="4357"/>
      <c r="DX184" s="4357"/>
      <c r="DY184" s="4357"/>
      <c r="DZ184" s="4357"/>
      <c r="EA184" s="4357"/>
      <c r="EB184" s="4357"/>
      <c r="EC184" s="4357"/>
      <c r="ED184" s="4357"/>
      <c r="EE184" s="4357"/>
      <c r="EF184" s="4357"/>
    </row>
    <row r="185" spans="1:136" ht="16" x14ac:dyDescent="0.2">
      <c r="A185" t="s">
        <v>2121</v>
      </c>
      <c r="B185" t="s">
        <v>3239</v>
      </c>
      <c r="D185" t="str">
        <f>'7.Coastal wetlands'!C49</f>
        <v>Please select</v>
      </c>
      <c r="E185">
        <f>'7.Coastal wetlands'!AI49</f>
        <v>0</v>
      </c>
      <c r="F185" s="388">
        <f>Coastal!P82-Coastal!O82</f>
        <v>0</v>
      </c>
      <c r="I185" s="388">
        <f>Coastal!P92-Coastal!O92</f>
        <v>0</v>
      </c>
      <c r="Z185" s="388">
        <f>Coastal!P103-Coastal!O103</f>
        <v>0</v>
      </c>
      <c r="AB185" t="str">
        <f t="shared" si="340"/>
        <v>ok</v>
      </c>
      <c r="AC185">
        <f>IF('7.Coastal wetlands'!CN49&lt;&gt;0,'7.Coastal wetlands'!CN49,'7.Coastal wetlands'!CM49)</f>
        <v>1</v>
      </c>
      <c r="AD185">
        <f t="shared" si="371"/>
        <v>5</v>
      </c>
      <c r="AE185" s="4357" t="str">
        <f>'7.Coastal wetlands'!I49</f>
        <v>D</v>
      </c>
      <c r="AF185" s="4357" t="str">
        <f>'7.Coastal wetlands'!K49</f>
        <v>D</v>
      </c>
      <c r="AG185" s="4357" t="str">
        <f t="shared" si="374"/>
        <v>D</v>
      </c>
      <c r="AH185" s="4357">
        <f>((E185/(time_cap+((AD185-AC185+1)*VLOOKUP(AG185,list!$I$48:$K$50,3, FALSE))))*(AD185-AC185+1)*VLOOKUP(AG185,list!$I$48:$K$50,3, FALSE))</f>
        <v>0</v>
      </c>
      <c r="AI185" s="4357">
        <f>((E185/(time_cap+((AD185-AC185+1)*VLOOKUP(AG185,list!$I$48:$K$50,3, FALSE))))*time_cap)</f>
        <v>0</v>
      </c>
      <c r="AK185" s="4357">
        <f t="shared" ref="AK185:BP185" si="433">IFERROR(IF((time+time_cap)&lt;AK$2, 0,IF(AND(time+1&gt;=AL$2, $AC185&lt;AL$2), IF($AG185= "I", $AH185/($AD185-$AC185+1), $AH185/(($AD185*($AD185+1)/2)-(($AC185-1)*($AC185-1+1)/2))*AK$2), 0)+IF(IF(time+1&gt;=AL$2, $AI185/time_cap/(time+1)*AK$2, 0) = 0, $AI185/(time_cap),0)),0)</f>
        <v>0</v>
      </c>
      <c r="AL185" s="4357">
        <f t="shared" si="433"/>
        <v>0</v>
      </c>
      <c r="AM185" s="4357">
        <f t="shared" si="433"/>
        <v>0</v>
      </c>
      <c r="AN185" s="4357">
        <f t="shared" si="433"/>
        <v>0</v>
      </c>
      <c r="AO185" s="4357">
        <f t="shared" si="433"/>
        <v>0</v>
      </c>
      <c r="AP185" s="4357">
        <f t="shared" si="433"/>
        <v>0</v>
      </c>
      <c r="AQ185" s="4357">
        <f t="shared" si="433"/>
        <v>0</v>
      </c>
      <c r="AR185" s="4357">
        <f t="shared" si="433"/>
        <v>0</v>
      </c>
      <c r="AS185" s="4357">
        <f t="shared" si="433"/>
        <v>0</v>
      </c>
      <c r="AT185" s="4357">
        <f t="shared" si="433"/>
        <v>0</v>
      </c>
      <c r="AU185" s="4357">
        <f t="shared" si="433"/>
        <v>0</v>
      </c>
      <c r="AV185" s="4357">
        <f t="shared" si="433"/>
        <v>0</v>
      </c>
      <c r="AW185" s="4357">
        <f t="shared" si="433"/>
        <v>0</v>
      </c>
      <c r="AX185" s="4357">
        <f t="shared" si="433"/>
        <v>0</v>
      </c>
      <c r="AY185" s="4357">
        <f t="shared" si="433"/>
        <v>0</v>
      </c>
      <c r="AZ185" s="4357">
        <f t="shared" si="433"/>
        <v>0</v>
      </c>
      <c r="BA185" s="4357">
        <f t="shared" si="433"/>
        <v>0</v>
      </c>
      <c r="BB185" s="4357">
        <f t="shared" si="433"/>
        <v>0</v>
      </c>
      <c r="BC185" s="4357">
        <f t="shared" si="433"/>
        <v>0</v>
      </c>
      <c r="BD185" s="4357">
        <f t="shared" si="433"/>
        <v>0</v>
      </c>
      <c r="BE185" s="4357">
        <f t="shared" si="433"/>
        <v>0</v>
      </c>
      <c r="BF185" s="4357">
        <f t="shared" si="433"/>
        <v>0</v>
      </c>
      <c r="BG185" s="4357">
        <f t="shared" si="433"/>
        <v>0</v>
      </c>
      <c r="BH185" s="4357">
        <f t="shared" si="433"/>
        <v>0</v>
      </c>
      <c r="BI185" s="4357">
        <f t="shared" si="433"/>
        <v>0</v>
      </c>
      <c r="BJ185" s="4357">
        <f t="shared" si="433"/>
        <v>0</v>
      </c>
      <c r="BK185" s="4357">
        <f t="shared" si="433"/>
        <v>0</v>
      </c>
      <c r="BL185" s="4357">
        <f t="shared" si="433"/>
        <v>0</v>
      </c>
      <c r="BM185" s="4357">
        <f t="shared" si="433"/>
        <v>0</v>
      </c>
      <c r="BN185" s="4357">
        <f t="shared" si="433"/>
        <v>0</v>
      </c>
      <c r="BO185" s="4357">
        <f t="shared" si="433"/>
        <v>0</v>
      </c>
      <c r="BP185" s="4357">
        <f t="shared" si="433"/>
        <v>0</v>
      </c>
      <c r="BQ185" s="4357">
        <f t="shared" ref="BQ185:CH185" si="434">IFERROR(IF((time+time_cap)&lt;BQ$2, 0,IF(AND(time+1&gt;=BR$2, $AC185&lt;BR$2), IF($AG185= "I", $AH185/($AD185-$AC185+1), $AH185/(($AD185*($AD185+1)/2)-(($AC185-1)*($AC185-1+1)/2))*BQ$2), 0)+IF(IF(time+1&gt;=BR$2, $AI185/time_cap/(time+1)*BQ$2, 0) = 0, $AI185/(time_cap),0)),0)</f>
        <v>0</v>
      </c>
      <c r="BR185" s="4357">
        <f t="shared" si="434"/>
        <v>0</v>
      </c>
      <c r="BS185" s="4357">
        <f t="shared" si="434"/>
        <v>0</v>
      </c>
      <c r="BT185" s="4357">
        <f t="shared" si="434"/>
        <v>0</v>
      </c>
      <c r="BU185" s="4357">
        <f t="shared" si="434"/>
        <v>0</v>
      </c>
      <c r="BV185" s="4357">
        <f t="shared" si="434"/>
        <v>0</v>
      </c>
      <c r="BW185" s="4357">
        <f t="shared" si="434"/>
        <v>0</v>
      </c>
      <c r="BX185" s="4357">
        <f t="shared" si="434"/>
        <v>0</v>
      </c>
      <c r="BY185" s="4357">
        <f t="shared" si="434"/>
        <v>0</v>
      </c>
      <c r="BZ185" s="4357">
        <f t="shared" si="434"/>
        <v>0</v>
      </c>
      <c r="CA185" s="4357">
        <f t="shared" si="434"/>
        <v>0</v>
      </c>
      <c r="CB185" s="4357">
        <f t="shared" si="434"/>
        <v>0</v>
      </c>
      <c r="CC185" s="4357">
        <f t="shared" si="434"/>
        <v>0</v>
      </c>
      <c r="CD185" s="4357">
        <f t="shared" si="434"/>
        <v>0</v>
      </c>
      <c r="CE185" s="4357">
        <f t="shared" si="434"/>
        <v>0</v>
      </c>
      <c r="CF185" s="4357">
        <f t="shared" si="434"/>
        <v>0</v>
      </c>
      <c r="CG185" s="4357">
        <f t="shared" si="434"/>
        <v>0</v>
      </c>
      <c r="CH185" s="4357">
        <f t="shared" si="434"/>
        <v>0</v>
      </c>
      <c r="CI185" s="4357"/>
      <c r="CJ185" s="4357"/>
      <c r="CK185" s="4357"/>
      <c r="CL185" s="4357"/>
      <c r="CM185" s="4357"/>
      <c r="CN185" s="4357"/>
      <c r="CO185" s="4357"/>
      <c r="CP185" s="4357"/>
      <c r="CQ185" s="4357"/>
      <c r="CR185" s="4357"/>
      <c r="CS185" s="4357"/>
      <c r="CT185" s="4357"/>
      <c r="CU185" s="4357"/>
      <c r="CV185" s="4357"/>
      <c r="CW185" s="4357"/>
      <c r="CX185" s="4357"/>
      <c r="CY185" s="4357"/>
      <c r="CZ185" s="4357"/>
      <c r="DA185" s="4357"/>
      <c r="DB185" s="4357"/>
      <c r="DC185" s="4357"/>
      <c r="DD185" s="4357"/>
      <c r="DE185" s="4357"/>
      <c r="DF185" s="4357"/>
      <c r="DG185" s="4357"/>
      <c r="DH185" s="4357"/>
      <c r="DI185" s="4357"/>
      <c r="DJ185" s="4357"/>
      <c r="DK185" s="4357"/>
      <c r="DL185" s="4357"/>
      <c r="DM185" s="4357"/>
      <c r="DN185" s="4357"/>
      <c r="DO185" s="4357"/>
      <c r="DP185" s="4357"/>
      <c r="DQ185" s="4357"/>
      <c r="DR185" s="4357"/>
      <c r="DS185" s="4357"/>
      <c r="DT185" s="4357"/>
      <c r="DU185" s="4357"/>
      <c r="DV185" s="4357"/>
      <c r="DW185" s="4357"/>
      <c r="DX185" s="4357"/>
      <c r="DY185" s="4357"/>
      <c r="DZ185" s="4357"/>
      <c r="EA185" s="4357"/>
      <c r="EB185" s="4357"/>
      <c r="EC185" s="4357"/>
      <c r="ED185" s="4357"/>
      <c r="EE185" s="4357"/>
      <c r="EF185" s="4357"/>
    </row>
    <row r="186" spans="1:136" ht="16" x14ac:dyDescent="0.2">
      <c r="A186" t="s">
        <v>2121</v>
      </c>
      <c r="B186" t="s">
        <v>3239</v>
      </c>
      <c r="D186" t="str">
        <f>'7.Coastal wetlands'!C50</f>
        <v>Please select</v>
      </c>
      <c r="E186">
        <f>'7.Coastal wetlands'!AI50</f>
        <v>0</v>
      </c>
      <c r="F186" s="388">
        <f>Coastal!P83-Coastal!O83</f>
        <v>0</v>
      </c>
      <c r="I186" s="388">
        <f>Coastal!P93-Coastal!O93</f>
        <v>0</v>
      </c>
      <c r="Z186" s="388">
        <f>Coastal!P104-Coastal!O104</f>
        <v>0</v>
      </c>
      <c r="AB186" t="str">
        <f t="shared" si="340"/>
        <v>ok</v>
      </c>
      <c r="AC186">
        <f>IF('7.Coastal wetlands'!CN50&lt;&gt;0,'7.Coastal wetlands'!CN50,'7.Coastal wetlands'!CM50)</f>
        <v>1</v>
      </c>
      <c r="AD186">
        <f t="shared" si="371"/>
        <v>5</v>
      </c>
      <c r="AE186" s="4357" t="str">
        <f>'7.Coastal wetlands'!I50</f>
        <v>D</v>
      </c>
      <c r="AF186" s="4357" t="str">
        <f>'7.Coastal wetlands'!K50</f>
        <v>D</v>
      </c>
      <c r="AG186" s="4357" t="str">
        <f t="shared" si="374"/>
        <v>D</v>
      </c>
      <c r="AH186" s="4357">
        <f>((E186/(time_cap+((AD186-AC186+1)*VLOOKUP(AG186,list!$I$48:$K$50,3, FALSE))))*(AD186-AC186+1)*VLOOKUP(AG186,list!$I$48:$K$50,3, FALSE))</f>
        <v>0</v>
      </c>
      <c r="AI186" s="4357">
        <f>((E186/(time_cap+((AD186-AC186+1)*VLOOKUP(AG186,list!$I$48:$K$50,3, FALSE))))*time_cap)</f>
        <v>0</v>
      </c>
      <c r="AK186" s="4357">
        <f t="shared" ref="AK186:BP186" si="435">IFERROR(IF((time+time_cap)&lt;AK$2, 0,IF(AND(time+1&gt;=AL$2, $AC186&lt;AL$2), IF($AG186= "I", $AH186/($AD186-$AC186+1), $AH186/(($AD186*($AD186+1)/2)-(($AC186-1)*($AC186-1+1)/2))*AK$2), 0)+IF(IF(time+1&gt;=AL$2, $AI186/time_cap/(time+1)*AK$2, 0) = 0, $AI186/(time_cap),0)),0)</f>
        <v>0</v>
      </c>
      <c r="AL186" s="4357">
        <f t="shared" si="435"/>
        <v>0</v>
      </c>
      <c r="AM186" s="4357">
        <f t="shared" si="435"/>
        <v>0</v>
      </c>
      <c r="AN186" s="4357">
        <f t="shared" si="435"/>
        <v>0</v>
      </c>
      <c r="AO186" s="4357">
        <f t="shared" si="435"/>
        <v>0</v>
      </c>
      <c r="AP186" s="4357">
        <f t="shared" si="435"/>
        <v>0</v>
      </c>
      <c r="AQ186" s="4357">
        <f t="shared" si="435"/>
        <v>0</v>
      </c>
      <c r="AR186" s="4357">
        <f t="shared" si="435"/>
        <v>0</v>
      </c>
      <c r="AS186" s="4357">
        <f t="shared" si="435"/>
        <v>0</v>
      </c>
      <c r="AT186" s="4357">
        <f t="shared" si="435"/>
        <v>0</v>
      </c>
      <c r="AU186" s="4357">
        <f t="shared" si="435"/>
        <v>0</v>
      </c>
      <c r="AV186" s="4357">
        <f t="shared" si="435"/>
        <v>0</v>
      </c>
      <c r="AW186" s="4357">
        <f t="shared" si="435"/>
        <v>0</v>
      </c>
      <c r="AX186" s="4357">
        <f t="shared" si="435"/>
        <v>0</v>
      </c>
      <c r="AY186" s="4357">
        <f t="shared" si="435"/>
        <v>0</v>
      </c>
      <c r="AZ186" s="4357">
        <f t="shared" si="435"/>
        <v>0</v>
      </c>
      <c r="BA186" s="4357">
        <f t="shared" si="435"/>
        <v>0</v>
      </c>
      <c r="BB186" s="4357">
        <f t="shared" si="435"/>
        <v>0</v>
      </c>
      <c r="BC186" s="4357">
        <f t="shared" si="435"/>
        <v>0</v>
      </c>
      <c r="BD186" s="4357">
        <f t="shared" si="435"/>
        <v>0</v>
      </c>
      <c r="BE186" s="4357">
        <f t="shared" si="435"/>
        <v>0</v>
      </c>
      <c r="BF186" s="4357">
        <f t="shared" si="435"/>
        <v>0</v>
      </c>
      <c r="BG186" s="4357">
        <f t="shared" si="435"/>
        <v>0</v>
      </c>
      <c r="BH186" s="4357">
        <f t="shared" si="435"/>
        <v>0</v>
      </c>
      <c r="BI186" s="4357">
        <f t="shared" si="435"/>
        <v>0</v>
      </c>
      <c r="BJ186" s="4357">
        <f t="shared" si="435"/>
        <v>0</v>
      </c>
      <c r="BK186" s="4357">
        <f t="shared" si="435"/>
        <v>0</v>
      </c>
      <c r="BL186" s="4357">
        <f t="shared" si="435"/>
        <v>0</v>
      </c>
      <c r="BM186" s="4357">
        <f t="shared" si="435"/>
        <v>0</v>
      </c>
      <c r="BN186" s="4357">
        <f t="shared" si="435"/>
        <v>0</v>
      </c>
      <c r="BO186" s="4357">
        <f t="shared" si="435"/>
        <v>0</v>
      </c>
      <c r="BP186" s="4357">
        <f t="shared" si="435"/>
        <v>0</v>
      </c>
      <c r="BQ186" s="4357">
        <f t="shared" ref="BQ186:CH186" si="436">IFERROR(IF((time+time_cap)&lt;BQ$2, 0,IF(AND(time+1&gt;=BR$2, $AC186&lt;BR$2), IF($AG186= "I", $AH186/($AD186-$AC186+1), $AH186/(($AD186*($AD186+1)/2)-(($AC186-1)*($AC186-1+1)/2))*BQ$2), 0)+IF(IF(time+1&gt;=BR$2, $AI186/time_cap/(time+1)*BQ$2, 0) = 0, $AI186/(time_cap),0)),0)</f>
        <v>0</v>
      </c>
      <c r="BR186" s="4357">
        <f t="shared" si="436"/>
        <v>0</v>
      </c>
      <c r="BS186" s="4357">
        <f t="shared" si="436"/>
        <v>0</v>
      </c>
      <c r="BT186" s="4357">
        <f t="shared" si="436"/>
        <v>0</v>
      </c>
      <c r="BU186" s="4357">
        <f t="shared" si="436"/>
        <v>0</v>
      </c>
      <c r="BV186" s="4357">
        <f t="shared" si="436"/>
        <v>0</v>
      </c>
      <c r="BW186" s="4357">
        <f t="shared" si="436"/>
        <v>0</v>
      </c>
      <c r="BX186" s="4357">
        <f t="shared" si="436"/>
        <v>0</v>
      </c>
      <c r="BY186" s="4357">
        <f t="shared" si="436"/>
        <v>0</v>
      </c>
      <c r="BZ186" s="4357">
        <f t="shared" si="436"/>
        <v>0</v>
      </c>
      <c r="CA186" s="4357">
        <f t="shared" si="436"/>
        <v>0</v>
      </c>
      <c r="CB186" s="4357">
        <f t="shared" si="436"/>
        <v>0</v>
      </c>
      <c r="CC186" s="4357">
        <f t="shared" si="436"/>
        <v>0</v>
      </c>
      <c r="CD186" s="4357">
        <f t="shared" si="436"/>
        <v>0</v>
      </c>
      <c r="CE186" s="4357">
        <f t="shared" si="436"/>
        <v>0</v>
      </c>
      <c r="CF186" s="4357">
        <f t="shared" si="436"/>
        <v>0</v>
      </c>
      <c r="CG186" s="4357">
        <f t="shared" si="436"/>
        <v>0</v>
      </c>
      <c r="CH186" s="4357">
        <f t="shared" si="436"/>
        <v>0</v>
      </c>
      <c r="CI186" s="4357"/>
      <c r="CJ186" s="4357"/>
      <c r="CK186" s="4357"/>
      <c r="CL186" s="4357"/>
      <c r="CM186" s="4357"/>
      <c r="CN186" s="4357"/>
      <c r="CO186" s="4357"/>
      <c r="CP186" s="4357"/>
      <c r="CQ186" s="4357"/>
      <c r="CR186" s="4357"/>
      <c r="CS186" s="4357"/>
      <c r="CT186" s="4357"/>
      <c r="CU186" s="4357"/>
      <c r="CV186" s="4357"/>
      <c r="CW186" s="4357"/>
      <c r="CX186" s="4357"/>
      <c r="CY186" s="4357"/>
      <c r="CZ186" s="4357"/>
      <c r="DA186" s="4357"/>
      <c r="DB186" s="4357"/>
      <c r="DC186" s="4357"/>
      <c r="DD186" s="4357"/>
      <c r="DE186" s="4357"/>
      <c r="DF186" s="4357"/>
      <c r="DG186" s="4357"/>
      <c r="DH186" s="4357"/>
      <c r="DI186" s="4357"/>
      <c r="DJ186" s="4357"/>
      <c r="DK186" s="4357"/>
      <c r="DL186" s="4357"/>
      <c r="DM186" s="4357"/>
      <c r="DN186" s="4357"/>
      <c r="DO186" s="4357"/>
      <c r="DP186" s="4357"/>
      <c r="DQ186" s="4357"/>
      <c r="DR186" s="4357"/>
      <c r="DS186" s="4357"/>
      <c r="DT186" s="4357"/>
      <c r="DU186" s="4357"/>
      <c r="DV186" s="4357"/>
      <c r="DW186" s="4357"/>
      <c r="DX186" s="4357"/>
      <c r="DY186" s="4357"/>
      <c r="DZ186" s="4357"/>
      <c r="EA186" s="4357"/>
      <c r="EB186" s="4357"/>
      <c r="EC186" s="4357"/>
      <c r="ED186" s="4357"/>
      <c r="EE186" s="4357"/>
      <c r="EF186" s="4357"/>
    </row>
    <row r="187" spans="1:136" ht="16" x14ac:dyDescent="0.2">
      <c r="A187" t="s">
        <v>2121</v>
      </c>
      <c r="B187" t="s">
        <v>3239</v>
      </c>
      <c r="D187" t="str">
        <f>'7.Coastal wetlands'!C51</f>
        <v>Please select</v>
      </c>
      <c r="E187">
        <f>'7.Coastal wetlands'!AI51</f>
        <v>0</v>
      </c>
      <c r="F187" s="388">
        <f>Coastal!P84-Coastal!O84</f>
        <v>0</v>
      </c>
      <c r="I187" s="388">
        <f>Coastal!P94-Coastal!O94</f>
        <v>0</v>
      </c>
      <c r="Z187" s="388">
        <f>Coastal!P105-Coastal!O105</f>
        <v>0</v>
      </c>
      <c r="AB187" t="str">
        <f t="shared" si="340"/>
        <v>ok</v>
      </c>
      <c r="AC187">
        <f>IF('7.Coastal wetlands'!CN51&lt;&gt;0,'7.Coastal wetlands'!CN51,'7.Coastal wetlands'!CM51)</f>
        <v>1</v>
      </c>
      <c r="AD187">
        <f t="shared" si="371"/>
        <v>5</v>
      </c>
      <c r="AE187" s="4357" t="str">
        <f>'7.Coastal wetlands'!I51</f>
        <v>D</v>
      </c>
      <c r="AF187" s="4357" t="str">
        <f>'7.Coastal wetlands'!K51</f>
        <v>D</v>
      </c>
      <c r="AG187" s="4357" t="str">
        <f t="shared" si="374"/>
        <v>D</v>
      </c>
      <c r="AH187" s="4357">
        <f>((E187/(time_cap+((AD187-AC187+1)*VLOOKUP(AG187,list!$I$48:$K$50,3, FALSE))))*(AD187-AC187+1)*VLOOKUP(AG187,list!$I$48:$K$50,3, FALSE))</f>
        <v>0</v>
      </c>
      <c r="AI187" s="4357">
        <f>((E187/(time_cap+((AD187-AC187+1)*VLOOKUP(AG187,list!$I$48:$K$50,3, FALSE))))*time_cap)</f>
        <v>0</v>
      </c>
      <c r="AK187" s="4357">
        <f t="shared" ref="AK187:BP187" si="437">IFERROR(IF((time+time_cap)&lt;AK$2, 0,IF(AND(time+1&gt;=AL$2, $AC187&lt;AL$2), IF($AG187= "I", $AH187/($AD187-$AC187+1), $AH187/(($AD187*($AD187+1)/2)-(($AC187-1)*($AC187-1+1)/2))*AK$2), 0)+IF(IF(time+1&gt;=AL$2, $AI187/time_cap/(time+1)*AK$2, 0) = 0, $AI187/(time_cap),0)),0)</f>
        <v>0</v>
      </c>
      <c r="AL187" s="4357">
        <f t="shared" si="437"/>
        <v>0</v>
      </c>
      <c r="AM187" s="4357">
        <f t="shared" si="437"/>
        <v>0</v>
      </c>
      <c r="AN187" s="4357">
        <f t="shared" si="437"/>
        <v>0</v>
      </c>
      <c r="AO187" s="4357">
        <f t="shared" si="437"/>
        <v>0</v>
      </c>
      <c r="AP187" s="4357">
        <f t="shared" si="437"/>
        <v>0</v>
      </c>
      <c r="AQ187" s="4357">
        <f t="shared" si="437"/>
        <v>0</v>
      </c>
      <c r="AR187" s="4357">
        <f t="shared" si="437"/>
        <v>0</v>
      </c>
      <c r="AS187" s="4357">
        <f t="shared" si="437"/>
        <v>0</v>
      </c>
      <c r="AT187" s="4357">
        <f t="shared" si="437"/>
        <v>0</v>
      </c>
      <c r="AU187" s="4357">
        <f t="shared" si="437"/>
        <v>0</v>
      </c>
      <c r="AV187" s="4357">
        <f t="shared" si="437"/>
        <v>0</v>
      </c>
      <c r="AW187" s="4357">
        <f t="shared" si="437"/>
        <v>0</v>
      </c>
      <c r="AX187" s="4357">
        <f t="shared" si="437"/>
        <v>0</v>
      </c>
      <c r="AY187" s="4357">
        <f t="shared" si="437"/>
        <v>0</v>
      </c>
      <c r="AZ187" s="4357">
        <f t="shared" si="437"/>
        <v>0</v>
      </c>
      <c r="BA187" s="4357">
        <f t="shared" si="437"/>
        <v>0</v>
      </c>
      <c r="BB187" s="4357">
        <f t="shared" si="437"/>
        <v>0</v>
      </c>
      <c r="BC187" s="4357">
        <f t="shared" si="437"/>
        <v>0</v>
      </c>
      <c r="BD187" s="4357">
        <f t="shared" si="437"/>
        <v>0</v>
      </c>
      <c r="BE187" s="4357">
        <f t="shared" si="437"/>
        <v>0</v>
      </c>
      <c r="BF187" s="4357">
        <f t="shared" si="437"/>
        <v>0</v>
      </c>
      <c r="BG187" s="4357">
        <f t="shared" si="437"/>
        <v>0</v>
      </c>
      <c r="BH187" s="4357">
        <f t="shared" si="437"/>
        <v>0</v>
      </c>
      <c r="BI187" s="4357">
        <f t="shared" si="437"/>
        <v>0</v>
      </c>
      <c r="BJ187" s="4357">
        <f t="shared" si="437"/>
        <v>0</v>
      </c>
      <c r="BK187" s="4357">
        <f t="shared" si="437"/>
        <v>0</v>
      </c>
      <c r="BL187" s="4357">
        <f t="shared" si="437"/>
        <v>0</v>
      </c>
      <c r="BM187" s="4357">
        <f t="shared" si="437"/>
        <v>0</v>
      </c>
      <c r="BN187" s="4357">
        <f t="shared" si="437"/>
        <v>0</v>
      </c>
      <c r="BO187" s="4357">
        <f t="shared" si="437"/>
        <v>0</v>
      </c>
      <c r="BP187" s="4357">
        <f t="shared" si="437"/>
        <v>0</v>
      </c>
      <c r="BQ187" s="4357">
        <f t="shared" ref="BQ187:CH187" si="438">IFERROR(IF((time+time_cap)&lt;BQ$2, 0,IF(AND(time+1&gt;=BR$2, $AC187&lt;BR$2), IF($AG187= "I", $AH187/($AD187-$AC187+1), $AH187/(($AD187*($AD187+1)/2)-(($AC187-1)*($AC187-1+1)/2))*BQ$2), 0)+IF(IF(time+1&gt;=BR$2, $AI187/time_cap/(time+1)*BQ$2, 0) = 0, $AI187/(time_cap),0)),0)</f>
        <v>0</v>
      </c>
      <c r="BR187" s="4357">
        <f t="shared" si="438"/>
        <v>0</v>
      </c>
      <c r="BS187" s="4357">
        <f t="shared" si="438"/>
        <v>0</v>
      </c>
      <c r="BT187" s="4357">
        <f t="shared" si="438"/>
        <v>0</v>
      </c>
      <c r="BU187" s="4357">
        <f t="shared" si="438"/>
        <v>0</v>
      </c>
      <c r="BV187" s="4357">
        <f t="shared" si="438"/>
        <v>0</v>
      </c>
      <c r="BW187" s="4357">
        <f t="shared" si="438"/>
        <v>0</v>
      </c>
      <c r="BX187" s="4357">
        <f t="shared" si="438"/>
        <v>0</v>
      </c>
      <c r="BY187" s="4357">
        <f t="shared" si="438"/>
        <v>0</v>
      </c>
      <c r="BZ187" s="4357">
        <f t="shared" si="438"/>
        <v>0</v>
      </c>
      <c r="CA187" s="4357">
        <f t="shared" si="438"/>
        <v>0</v>
      </c>
      <c r="CB187" s="4357">
        <f t="shared" si="438"/>
        <v>0</v>
      </c>
      <c r="CC187" s="4357">
        <f t="shared" si="438"/>
        <v>0</v>
      </c>
      <c r="CD187" s="4357">
        <f t="shared" si="438"/>
        <v>0</v>
      </c>
      <c r="CE187" s="4357">
        <f t="shared" si="438"/>
        <v>0</v>
      </c>
      <c r="CF187" s="4357">
        <f t="shared" si="438"/>
        <v>0</v>
      </c>
      <c r="CG187" s="4357">
        <f t="shared" si="438"/>
        <v>0</v>
      </c>
      <c r="CH187" s="4357">
        <f t="shared" si="438"/>
        <v>0</v>
      </c>
      <c r="CI187" s="4357"/>
      <c r="CJ187" s="4357"/>
      <c r="CK187" s="4357"/>
      <c r="CL187" s="4357"/>
      <c r="CM187" s="4357"/>
      <c r="CN187" s="4357"/>
      <c r="CO187" s="4357"/>
      <c r="CP187" s="4357"/>
      <c r="CQ187" s="4357"/>
      <c r="CR187" s="4357"/>
      <c r="CS187" s="4357"/>
      <c r="CT187" s="4357"/>
      <c r="CU187" s="4357"/>
      <c r="CV187" s="4357"/>
      <c r="CW187" s="4357"/>
      <c r="CX187" s="4357"/>
      <c r="CY187" s="4357"/>
      <c r="CZ187" s="4357"/>
      <c r="DA187" s="4357"/>
      <c r="DB187" s="4357"/>
      <c r="DC187" s="4357"/>
      <c r="DD187" s="4357"/>
      <c r="DE187" s="4357"/>
      <c r="DF187" s="4357"/>
      <c r="DG187" s="4357"/>
      <c r="DH187" s="4357"/>
      <c r="DI187" s="4357"/>
      <c r="DJ187" s="4357"/>
      <c r="DK187" s="4357"/>
      <c r="DL187" s="4357"/>
      <c r="DM187" s="4357"/>
      <c r="DN187" s="4357"/>
      <c r="DO187" s="4357"/>
      <c r="DP187" s="4357"/>
      <c r="DQ187" s="4357"/>
      <c r="DR187" s="4357"/>
      <c r="DS187" s="4357"/>
      <c r="DT187" s="4357"/>
      <c r="DU187" s="4357"/>
      <c r="DV187" s="4357"/>
      <c r="DW187" s="4357"/>
      <c r="DX187" s="4357"/>
      <c r="DY187" s="4357"/>
      <c r="DZ187" s="4357"/>
      <c r="EA187" s="4357"/>
      <c r="EB187" s="4357"/>
      <c r="EC187" s="4357"/>
      <c r="ED187" s="4357"/>
      <c r="EE187" s="4357"/>
      <c r="EF187" s="4357"/>
    </row>
    <row r="188" spans="1:136" ht="16" x14ac:dyDescent="0.2">
      <c r="A188" t="s">
        <v>2121</v>
      </c>
      <c r="B188" t="s">
        <v>3240</v>
      </c>
      <c r="D188" t="str">
        <f>'7.Coastal wetlands'!C65</f>
        <v>Saline pond</v>
      </c>
      <c r="E188">
        <f>'7.Coastal wetlands'!AI65</f>
        <v>0</v>
      </c>
      <c r="F188" s="388">
        <v>0</v>
      </c>
      <c r="G188" s="388">
        <v>0</v>
      </c>
      <c r="AA188" s="388">
        <f>Coastal!P115-Coastal!O115</f>
        <v>0</v>
      </c>
      <c r="AB188" t="str">
        <f t="shared" si="340"/>
        <v>ok</v>
      </c>
      <c r="AC188">
        <f>IF('7.Coastal wetlands'!CN65&lt;&gt;0,'7.Coastal wetlands'!CN65,'7.Coastal wetlands'!CM65)</f>
        <v>1</v>
      </c>
      <c r="AD188">
        <f t="shared" si="371"/>
        <v>5</v>
      </c>
      <c r="AE188" s="4357" t="str">
        <f>'7.Coastal wetlands'!O65</f>
        <v>D</v>
      </c>
      <c r="AF188" s="4357" t="str">
        <f>'7.Coastal wetlands'!Q65</f>
        <v>D</v>
      </c>
      <c r="AG188" s="4357" t="str">
        <f t="shared" si="374"/>
        <v>D</v>
      </c>
      <c r="AH188" s="4357">
        <f>((E188/(time_cap+((AD188-AC188+1)*VLOOKUP(AG188,list!$I$48:$K$50,3, FALSE))))*(AD188-AC188+1)*VLOOKUP(AG188,list!$I$48:$K$50,3, FALSE))</f>
        <v>0</v>
      </c>
      <c r="AI188" s="4357">
        <f>((E188/(time_cap+((AD188-AC188+1)*VLOOKUP(AG188,list!$I$48:$K$50,3, FALSE))))*time_cap)</f>
        <v>0</v>
      </c>
      <c r="AK188" s="4357">
        <f t="shared" ref="AK188:BP188" si="439">IFERROR(IF((time+time_cap)&lt;AK$2, 0,IF(AND(time+1&gt;=AL$2, $AC188&lt;AL$2), IF($AG188= "I", $AH188/($AD188-$AC188+1), $AH188/(($AD188*($AD188+1)/2)-(($AC188-1)*($AC188-1+1)/2))*AK$2), 0)+IF(IF(time+1&gt;=AL$2, $AI188/time_cap/(time+1)*AK$2, 0) = 0, $AI188/(time_cap),0)),0)</f>
        <v>0</v>
      </c>
      <c r="AL188" s="4357">
        <f t="shared" si="439"/>
        <v>0</v>
      </c>
      <c r="AM188" s="4357">
        <f t="shared" si="439"/>
        <v>0</v>
      </c>
      <c r="AN188" s="4357">
        <f t="shared" si="439"/>
        <v>0</v>
      </c>
      <c r="AO188" s="4357">
        <f t="shared" si="439"/>
        <v>0</v>
      </c>
      <c r="AP188" s="4357">
        <f t="shared" si="439"/>
        <v>0</v>
      </c>
      <c r="AQ188" s="4357">
        <f t="shared" si="439"/>
        <v>0</v>
      </c>
      <c r="AR188" s="4357">
        <f t="shared" si="439"/>
        <v>0</v>
      </c>
      <c r="AS188" s="4357">
        <f t="shared" si="439"/>
        <v>0</v>
      </c>
      <c r="AT188" s="4357">
        <f t="shared" si="439"/>
        <v>0</v>
      </c>
      <c r="AU188" s="4357">
        <f t="shared" si="439"/>
        <v>0</v>
      </c>
      <c r="AV188" s="4357">
        <f t="shared" si="439"/>
        <v>0</v>
      </c>
      <c r="AW188" s="4357">
        <f t="shared" si="439"/>
        <v>0</v>
      </c>
      <c r="AX188" s="4357">
        <f t="shared" si="439"/>
        <v>0</v>
      </c>
      <c r="AY188" s="4357">
        <f t="shared" si="439"/>
        <v>0</v>
      </c>
      <c r="AZ188" s="4357">
        <f t="shared" si="439"/>
        <v>0</v>
      </c>
      <c r="BA188" s="4357">
        <f t="shared" si="439"/>
        <v>0</v>
      </c>
      <c r="BB188" s="4357">
        <f t="shared" si="439"/>
        <v>0</v>
      </c>
      <c r="BC188" s="4357">
        <f t="shared" si="439"/>
        <v>0</v>
      </c>
      <c r="BD188" s="4357">
        <f t="shared" si="439"/>
        <v>0</v>
      </c>
      <c r="BE188" s="4357">
        <f t="shared" si="439"/>
        <v>0</v>
      </c>
      <c r="BF188" s="4357">
        <f t="shared" si="439"/>
        <v>0</v>
      </c>
      <c r="BG188" s="4357">
        <f t="shared" si="439"/>
        <v>0</v>
      </c>
      <c r="BH188" s="4357">
        <f t="shared" si="439"/>
        <v>0</v>
      </c>
      <c r="BI188" s="4357">
        <f t="shared" si="439"/>
        <v>0</v>
      </c>
      <c r="BJ188" s="4357">
        <f t="shared" si="439"/>
        <v>0</v>
      </c>
      <c r="BK188" s="4357">
        <f t="shared" si="439"/>
        <v>0</v>
      </c>
      <c r="BL188" s="4357">
        <f t="shared" si="439"/>
        <v>0</v>
      </c>
      <c r="BM188" s="4357">
        <f t="shared" si="439"/>
        <v>0</v>
      </c>
      <c r="BN188" s="4357">
        <f t="shared" si="439"/>
        <v>0</v>
      </c>
      <c r="BO188" s="4357">
        <f t="shared" si="439"/>
        <v>0</v>
      </c>
      <c r="BP188" s="4357">
        <f t="shared" si="439"/>
        <v>0</v>
      </c>
      <c r="BQ188" s="4357">
        <f t="shared" ref="BQ188:CH188" si="440">IFERROR(IF((time+time_cap)&lt;BQ$2, 0,IF(AND(time+1&gt;=BR$2, $AC188&lt;BR$2), IF($AG188= "I", $AH188/($AD188-$AC188+1), $AH188/(($AD188*($AD188+1)/2)-(($AC188-1)*($AC188-1+1)/2))*BQ$2), 0)+IF(IF(time+1&gt;=BR$2, $AI188/time_cap/(time+1)*BQ$2, 0) = 0, $AI188/(time_cap),0)),0)</f>
        <v>0</v>
      </c>
      <c r="BR188" s="4357">
        <f t="shared" si="440"/>
        <v>0</v>
      </c>
      <c r="BS188" s="4357">
        <f t="shared" si="440"/>
        <v>0</v>
      </c>
      <c r="BT188" s="4357">
        <f t="shared" si="440"/>
        <v>0</v>
      </c>
      <c r="BU188" s="4357">
        <f t="shared" si="440"/>
        <v>0</v>
      </c>
      <c r="BV188" s="4357">
        <f t="shared" si="440"/>
        <v>0</v>
      </c>
      <c r="BW188" s="4357">
        <f t="shared" si="440"/>
        <v>0</v>
      </c>
      <c r="BX188" s="4357">
        <f t="shared" si="440"/>
        <v>0</v>
      </c>
      <c r="BY188" s="4357">
        <f t="shared" si="440"/>
        <v>0</v>
      </c>
      <c r="BZ188" s="4357">
        <f t="shared" si="440"/>
        <v>0</v>
      </c>
      <c r="CA188" s="4357">
        <f t="shared" si="440"/>
        <v>0</v>
      </c>
      <c r="CB188" s="4357">
        <f t="shared" si="440"/>
        <v>0</v>
      </c>
      <c r="CC188" s="4357">
        <f t="shared" si="440"/>
        <v>0</v>
      </c>
      <c r="CD188" s="4357">
        <f t="shared" si="440"/>
        <v>0</v>
      </c>
      <c r="CE188" s="4357">
        <f t="shared" si="440"/>
        <v>0</v>
      </c>
      <c r="CF188" s="4357">
        <f t="shared" si="440"/>
        <v>0</v>
      </c>
      <c r="CG188" s="4357">
        <f t="shared" si="440"/>
        <v>0</v>
      </c>
      <c r="CH188" s="4357">
        <f t="shared" si="440"/>
        <v>0</v>
      </c>
      <c r="CI188" s="4357"/>
      <c r="CJ188" s="4357"/>
      <c r="CK188" s="4357"/>
      <c r="CL188" s="4357"/>
      <c r="CM188" s="4357"/>
      <c r="CN188" s="4357"/>
      <c r="CO188" s="4357"/>
      <c r="CP188" s="4357"/>
      <c r="CQ188" s="4357"/>
      <c r="CR188" s="4357"/>
      <c r="CS188" s="4357"/>
      <c r="CT188" s="4357"/>
      <c r="CU188" s="4357"/>
      <c r="CV188" s="4357"/>
      <c r="CW188" s="4357"/>
      <c r="CX188" s="4357"/>
      <c r="CY188" s="4357"/>
      <c r="CZ188" s="4357"/>
      <c r="DA188" s="4357"/>
      <c r="DB188" s="4357"/>
      <c r="DC188" s="4357"/>
      <c r="DD188" s="4357"/>
      <c r="DE188" s="4357"/>
      <c r="DF188" s="4357"/>
      <c r="DG188" s="4357"/>
      <c r="DH188" s="4357"/>
      <c r="DI188" s="4357"/>
      <c r="DJ188" s="4357"/>
      <c r="DK188" s="4357"/>
      <c r="DL188" s="4357"/>
      <c r="DM188" s="4357"/>
      <c r="DN188" s="4357"/>
      <c r="DO188" s="4357"/>
      <c r="DP188" s="4357"/>
      <c r="DQ188" s="4357"/>
      <c r="DR188" s="4357"/>
      <c r="DS188" s="4357"/>
      <c r="DT188" s="4357"/>
      <c r="DU188" s="4357"/>
      <c r="DV188" s="4357"/>
      <c r="DW188" s="4357"/>
      <c r="DX188" s="4357"/>
      <c r="DY188" s="4357"/>
      <c r="DZ188" s="4357"/>
      <c r="EA188" s="4357"/>
      <c r="EB188" s="4357"/>
      <c r="EC188" s="4357"/>
      <c r="ED188" s="4357"/>
      <c r="EE188" s="4357"/>
      <c r="EF188" s="4357"/>
    </row>
    <row r="189" spans="1:136" ht="16" x14ac:dyDescent="0.2">
      <c r="A189" t="s">
        <v>2121</v>
      </c>
      <c r="B189" t="s">
        <v>3240</v>
      </c>
      <c r="D189" t="str">
        <f>'7.Coastal wetlands'!C66</f>
        <v>Saline pond</v>
      </c>
      <c r="E189">
        <f>'7.Coastal wetlands'!AI66</f>
        <v>-1575</v>
      </c>
      <c r="F189" s="388">
        <v>0</v>
      </c>
      <c r="G189" s="388">
        <v>0</v>
      </c>
      <c r="AA189" s="388">
        <f>Coastal!P116-Coastal!O116</f>
        <v>-1575</v>
      </c>
      <c r="AB189" t="str">
        <f t="shared" si="340"/>
        <v>ok</v>
      </c>
      <c r="AC189">
        <f>IF('7.Coastal wetlands'!CN66&lt;&gt;0,'7.Coastal wetlands'!CN66,'7.Coastal wetlands'!CM66)</f>
        <v>1</v>
      </c>
      <c r="AD189">
        <f t="shared" si="371"/>
        <v>5</v>
      </c>
      <c r="AE189" s="4357" t="str">
        <f>'7.Coastal wetlands'!O66</f>
        <v>D</v>
      </c>
      <c r="AF189" s="4357" t="str">
        <f>'7.Coastal wetlands'!Q66</f>
        <v>D</v>
      </c>
      <c r="AG189" s="4357" t="str">
        <f t="shared" si="374"/>
        <v>D</v>
      </c>
      <c r="AH189" s="4357">
        <f>((E189/(time_cap+((AD189-AC189+1)*VLOOKUP(AG189,list!$I$48:$K$50,3, FALSE))))*(AD189-AC189+1)*VLOOKUP(AG189,list!$I$48:$K$50,3, FALSE))</f>
        <v>-315</v>
      </c>
      <c r="AI189" s="4357">
        <f>((E189/(time_cap+((AD189-AC189+1)*VLOOKUP(AG189,list!$I$48:$K$50,3, FALSE))))*time_cap)</f>
        <v>-1260</v>
      </c>
      <c r="AK189" s="4357">
        <f t="shared" ref="AK189:BP189" si="441">IFERROR(IF((time+time_cap)&lt;AK$2, 0,IF(AND(time+1&gt;=AL$2, $AC189&lt;AL$2), IF($AG189= "I", $AH189/($AD189-$AC189+1), $AH189/(($AD189*($AD189+1)/2)-(($AC189-1)*($AC189-1+1)/2))*AK$2), 0)+IF(IF(time+1&gt;=AL$2, $AI189/time_cap/(time+1)*AK$2, 0) = 0, $AI189/(time_cap),0)),0)</f>
        <v>-21</v>
      </c>
      <c r="AL189" s="4357">
        <f t="shared" si="441"/>
        <v>-42</v>
      </c>
      <c r="AM189" s="4357">
        <f t="shared" si="441"/>
        <v>-63</v>
      </c>
      <c r="AN189" s="4357">
        <f t="shared" si="441"/>
        <v>-84</v>
      </c>
      <c r="AO189" s="4357">
        <f t="shared" si="441"/>
        <v>-105</v>
      </c>
      <c r="AP189" s="4357">
        <f t="shared" si="441"/>
        <v>-126</v>
      </c>
      <c r="AQ189" s="4357">
        <f t="shared" si="441"/>
        <v>-126</v>
      </c>
      <c r="AR189" s="4357">
        <f t="shared" si="441"/>
        <v>-126</v>
      </c>
      <c r="AS189" s="4357">
        <f t="shared" si="441"/>
        <v>-126</v>
      </c>
      <c r="AT189" s="4357">
        <f t="shared" si="441"/>
        <v>-126</v>
      </c>
      <c r="AU189" s="4357">
        <f t="shared" si="441"/>
        <v>-126</v>
      </c>
      <c r="AV189" s="4357">
        <f t="shared" si="441"/>
        <v>-126</v>
      </c>
      <c r="AW189" s="4357">
        <f t="shared" si="441"/>
        <v>-126</v>
      </c>
      <c r="AX189" s="4357">
        <f t="shared" si="441"/>
        <v>-126</v>
      </c>
      <c r="AY189" s="4357">
        <f t="shared" si="441"/>
        <v>-126</v>
      </c>
      <c r="AZ189" s="4357">
        <f t="shared" si="441"/>
        <v>0</v>
      </c>
      <c r="BA189" s="4357">
        <f t="shared" si="441"/>
        <v>0</v>
      </c>
      <c r="BB189" s="4357">
        <f t="shared" si="441"/>
        <v>0</v>
      </c>
      <c r="BC189" s="4357">
        <f t="shared" si="441"/>
        <v>0</v>
      </c>
      <c r="BD189" s="4357">
        <f t="shared" si="441"/>
        <v>0</v>
      </c>
      <c r="BE189" s="4357">
        <f t="shared" si="441"/>
        <v>0</v>
      </c>
      <c r="BF189" s="4357">
        <f t="shared" si="441"/>
        <v>0</v>
      </c>
      <c r="BG189" s="4357">
        <f t="shared" si="441"/>
        <v>0</v>
      </c>
      <c r="BH189" s="4357">
        <f t="shared" si="441"/>
        <v>0</v>
      </c>
      <c r="BI189" s="4357">
        <f t="shared" si="441"/>
        <v>0</v>
      </c>
      <c r="BJ189" s="4357">
        <f t="shared" si="441"/>
        <v>0</v>
      </c>
      <c r="BK189" s="4357">
        <f t="shared" si="441"/>
        <v>0</v>
      </c>
      <c r="BL189" s="4357">
        <f t="shared" si="441"/>
        <v>0</v>
      </c>
      <c r="BM189" s="4357">
        <f t="shared" si="441"/>
        <v>0</v>
      </c>
      <c r="BN189" s="4357">
        <f t="shared" si="441"/>
        <v>0</v>
      </c>
      <c r="BO189" s="4357">
        <f t="shared" si="441"/>
        <v>0</v>
      </c>
      <c r="BP189" s="4357">
        <f t="shared" si="441"/>
        <v>0</v>
      </c>
      <c r="BQ189" s="4357">
        <f t="shared" ref="BQ189:CH189" si="442">IFERROR(IF((time+time_cap)&lt;BQ$2, 0,IF(AND(time+1&gt;=BR$2, $AC189&lt;BR$2), IF($AG189= "I", $AH189/($AD189-$AC189+1), $AH189/(($AD189*($AD189+1)/2)-(($AC189-1)*($AC189-1+1)/2))*BQ$2), 0)+IF(IF(time+1&gt;=BR$2, $AI189/time_cap/(time+1)*BQ$2, 0) = 0, $AI189/(time_cap),0)),0)</f>
        <v>0</v>
      </c>
      <c r="BR189" s="4357">
        <f t="shared" si="442"/>
        <v>0</v>
      </c>
      <c r="BS189" s="4357">
        <f t="shared" si="442"/>
        <v>0</v>
      </c>
      <c r="BT189" s="4357">
        <f t="shared" si="442"/>
        <v>0</v>
      </c>
      <c r="BU189" s="4357">
        <f t="shared" si="442"/>
        <v>0</v>
      </c>
      <c r="BV189" s="4357">
        <f t="shared" si="442"/>
        <v>0</v>
      </c>
      <c r="BW189" s="4357">
        <f t="shared" si="442"/>
        <v>0</v>
      </c>
      <c r="BX189" s="4357">
        <f t="shared" si="442"/>
        <v>0</v>
      </c>
      <c r="BY189" s="4357">
        <f t="shared" si="442"/>
        <v>0</v>
      </c>
      <c r="BZ189" s="4357">
        <f t="shared" si="442"/>
        <v>0</v>
      </c>
      <c r="CA189" s="4357">
        <f t="shared" si="442"/>
        <v>0</v>
      </c>
      <c r="CB189" s="4357">
        <f t="shared" si="442"/>
        <v>0</v>
      </c>
      <c r="CC189" s="4357">
        <f t="shared" si="442"/>
        <v>0</v>
      </c>
      <c r="CD189" s="4357">
        <f t="shared" si="442"/>
        <v>0</v>
      </c>
      <c r="CE189" s="4357">
        <f t="shared" si="442"/>
        <v>0</v>
      </c>
      <c r="CF189" s="4357">
        <f t="shared" si="442"/>
        <v>0</v>
      </c>
      <c r="CG189" s="4357">
        <f t="shared" si="442"/>
        <v>0</v>
      </c>
      <c r="CH189" s="4357">
        <f t="shared" si="442"/>
        <v>0</v>
      </c>
      <c r="CI189" s="4357"/>
      <c r="CJ189" s="4357"/>
      <c r="CK189" s="4357"/>
      <c r="CL189" s="4357"/>
      <c r="CM189" s="4357"/>
      <c r="CN189" s="4357"/>
      <c r="CO189" s="4357"/>
      <c r="CP189" s="4357"/>
      <c r="CQ189" s="4357"/>
      <c r="CR189" s="4357"/>
      <c r="CS189" s="4357"/>
      <c r="CT189" s="4357"/>
      <c r="CU189" s="4357"/>
      <c r="CV189" s="4357"/>
      <c r="CW189" s="4357"/>
      <c r="CX189" s="4357"/>
      <c r="CY189" s="4357"/>
      <c r="CZ189" s="4357"/>
      <c r="DA189" s="4357"/>
      <c r="DB189" s="4357"/>
      <c r="DC189" s="4357"/>
      <c r="DD189" s="4357"/>
      <c r="DE189" s="4357"/>
      <c r="DF189" s="4357"/>
      <c r="DG189" s="4357"/>
      <c r="DH189" s="4357"/>
      <c r="DI189" s="4357"/>
      <c r="DJ189" s="4357"/>
      <c r="DK189" s="4357"/>
      <c r="DL189" s="4357"/>
      <c r="DM189" s="4357"/>
      <c r="DN189" s="4357"/>
      <c r="DO189" s="4357"/>
      <c r="DP189" s="4357"/>
      <c r="DQ189" s="4357"/>
      <c r="DR189" s="4357"/>
      <c r="DS189" s="4357"/>
      <c r="DT189" s="4357"/>
      <c r="DU189" s="4357"/>
      <c r="DV189" s="4357"/>
      <c r="DW189" s="4357"/>
      <c r="DX189" s="4357"/>
      <c r="DY189" s="4357"/>
      <c r="DZ189" s="4357"/>
      <c r="EA189" s="4357"/>
      <c r="EB189" s="4357"/>
      <c r="EC189" s="4357"/>
      <c r="ED189" s="4357"/>
      <c r="EE189" s="4357"/>
      <c r="EF189" s="4357"/>
    </row>
    <row r="190" spans="1:136" ht="16" x14ac:dyDescent="0.2">
      <c r="A190" t="s">
        <v>2121</v>
      </c>
      <c r="B190" t="s">
        <v>3240</v>
      </c>
      <c r="D190" t="str">
        <f>'7.Coastal wetlands'!C67</f>
        <v>Saline pond</v>
      </c>
      <c r="E190">
        <f>'7.Coastal wetlands'!AI67</f>
        <v>5197.5</v>
      </c>
      <c r="F190" s="388">
        <v>0</v>
      </c>
      <c r="G190" s="388">
        <v>0</v>
      </c>
      <c r="AA190" s="388">
        <f>Coastal!P117-Coastal!O117</f>
        <v>5197.5</v>
      </c>
      <c r="AB190" t="str">
        <f t="shared" si="340"/>
        <v>ok</v>
      </c>
      <c r="AC190">
        <f>IF('7.Coastal wetlands'!CN67&lt;&gt;0,'7.Coastal wetlands'!CN67,'7.Coastal wetlands'!CM67)</f>
        <v>1</v>
      </c>
      <c r="AD190">
        <f t="shared" si="371"/>
        <v>5</v>
      </c>
      <c r="AE190" s="4357" t="str">
        <f>'7.Coastal wetlands'!O67</f>
        <v>D</v>
      </c>
      <c r="AF190" s="4357" t="str">
        <f>'7.Coastal wetlands'!Q67</f>
        <v>D</v>
      </c>
      <c r="AG190" s="4357" t="str">
        <f t="shared" si="374"/>
        <v>D</v>
      </c>
      <c r="AH190" s="4357">
        <f>((E190/(time_cap+((AD190-AC190+1)*VLOOKUP(AG190,list!$I$48:$K$50,3, FALSE))))*(AD190-AC190+1)*VLOOKUP(AG190,list!$I$48:$K$50,3, FALSE))</f>
        <v>1039.5</v>
      </c>
      <c r="AI190" s="4357">
        <f>((E190/(time_cap+((AD190-AC190+1)*VLOOKUP(AG190,list!$I$48:$K$50,3, FALSE))))*time_cap)</f>
        <v>4158</v>
      </c>
      <c r="AK190" s="4357">
        <f t="shared" ref="AK190:BP190" si="443">IFERROR(IF((time+time_cap)&lt;AK$2, 0,IF(AND(time+1&gt;=AL$2, $AC190&lt;AL$2), IF($AG190= "I", $AH190/($AD190-$AC190+1), $AH190/(($AD190*($AD190+1)/2)-(($AC190-1)*($AC190-1+1)/2))*AK$2), 0)+IF(IF(time+1&gt;=AL$2, $AI190/time_cap/(time+1)*AK$2, 0) = 0, $AI190/(time_cap),0)),0)</f>
        <v>69.3</v>
      </c>
      <c r="AL190" s="4357">
        <f t="shared" si="443"/>
        <v>138.6</v>
      </c>
      <c r="AM190" s="4357">
        <f t="shared" si="443"/>
        <v>207.89999999999998</v>
      </c>
      <c r="AN190" s="4357">
        <f t="shared" si="443"/>
        <v>277.2</v>
      </c>
      <c r="AO190" s="4357">
        <f t="shared" si="443"/>
        <v>346.5</v>
      </c>
      <c r="AP190" s="4357">
        <f t="shared" si="443"/>
        <v>415.8</v>
      </c>
      <c r="AQ190" s="4357">
        <f t="shared" si="443"/>
        <v>415.8</v>
      </c>
      <c r="AR190" s="4357">
        <f t="shared" si="443"/>
        <v>415.8</v>
      </c>
      <c r="AS190" s="4357">
        <f t="shared" si="443"/>
        <v>415.8</v>
      </c>
      <c r="AT190" s="4357">
        <f t="shared" si="443"/>
        <v>415.8</v>
      </c>
      <c r="AU190" s="4357">
        <f t="shared" si="443"/>
        <v>415.8</v>
      </c>
      <c r="AV190" s="4357">
        <f t="shared" si="443"/>
        <v>415.8</v>
      </c>
      <c r="AW190" s="4357">
        <f t="shared" si="443"/>
        <v>415.8</v>
      </c>
      <c r="AX190" s="4357">
        <f t="shared" si="443"/>
        <v>415.8</v>
      </c>
      <c r="AY190" s="4357">
        <f t="shared" si="443"/>
        <v>415.8</v>
      </c>
      <c r="AZ190" s="4357">
        <f t="shared" si="443"/>
        <v>0</v>
      </c>
      <c r="BA190" s="4357">
        <f t="shared" si="443"/>
        <v>0</v>
      </c>
      <c r="BB190" s="4357">
        <f t="shared" si="443"/>
        <v>0</v>
      </c>
      <c r="BC190" s="4357">
        <f t="shared" si="443"/>
        <v>0</v>
      </c>
      <c r="BD190" s="4357">
        <f t="shared" si="443"/>
        <v>0</v>
      </c>
      <c r="BE190" s="4357">
        <f t="shared" si="443"/>
        <v>0</v>
      </c>
      <c r="BF190" s="4357">
        <f t="shared" si="443"/>
        <v>0</v>
      </c>
      <c r="BG190" s="4357">
        <f t="shared" si="443"/>
        <v>0</v>
      </c>
      <c r="BH190" s="4357">
        <f t="shared" si="443"/>
        <v>0</v>
      </c>
      <c r="BI190" s="4357">
        <f t="shared" si="443"/>
        <v>0</v>
      </c>
      <c r="BJ190" s="4357">
        <f t="shared" si="443"/>
        <v>0</v>
      </c>
      <c r="BK190" s="4357">
        <f t="shared" si="443"/>
        <v>0</v>
      </c>
      <c r="BL190" s="4357">
        <f t="shared" si="443"/>
        <v>0</v>
      </c>
      <c r="BM190" s="4357">
        <f t="shared" si="443"/>
        <v>0</v>
      </c>
      <c r="BN190" s="4357">
        <f t="shared" si="443"/>
        <v>0</v>
      </c>
      <c r="BO190" s="4357">
        <f t="shared" si="443"/>
        <v>0</v>
      </c>
      <c r="BP190" s="4357">
        <f t="shared" si="443"/>
        <v>0</v>
      </c>
      <c r="BQ190" s="4357">
        <f t="shared" ref="BQ190:CH190" si="444">IFERROR(IF((time+time_cap)&lt;BQ$2, 0,IF(AND(time+1&gt;=BR$2, $AC190&lt;BR$2), IF($AG190= "I", $AH190/($AD190-$AC190+1), $AH190/(($AD190*($AD190+1)/2)-(($AC190-1)*($AC190-1+1)/2))*BQ$2), 0)+IF(IF(time+1&gt;=BR$2, $AI190/time_cap/(time+1)*BQ$2, 0) = 0, $AI190/(time_cap),0)),0)</f>
        <v>0</v>
      </c>
      <c r="BR190" s="4357">
        <f t="shared" si="444"/>
        <v>0</v>
      </c>
      <c r="BS190" s="4357">
        <f t="shared" si="444"/>
        <v>0</v>
      </c>
      <c r="BT190" s="4357">
        <f t="shared" si="444"/>
        <v>0</v>
      </c>
      <c r="BU190" s="4357">
        <f t="shared" si="444"/>
        <v>0</v>
      </c>
      <c r="BV190" s="4357">
        <f t="shared" si="444"/>
        <v>0</v>
      </c>
      <c r="BW190" s="4357">
        <f t="shared" si="444"/>
        <v>0</v>
      </c>
      <c r="BX190" s="4357">
        <f t="shared" si="444"/>
        <v>0</v>
      </c>
      <c r="BY190" s="4357">
        <f t="shared" si="444"/>
        <v>0</v>
      </c>
      <c r="BZ190" s="4357">
        <f t="shared" si="444"/>
        <v>0</v>
      </c>
      <c r="CA190" s="4357">
        <f t="shared" si="444"/>
        <v>0</v>
      </c>
      <c r="CB190" s="4357">
        <f t="shared" si="444"/>
        <v>0</v>
      </c>
      <c r="CC190" s="4357">
        <f t="shared" si="444"/>
        <v>0</v>
      </c>
      <c r="CD190" s="4357">
        <f t="shared" si="444"/>
        <v>0</v>
      </c>
      <c r="CE190" s="4357">
        <f t="shared" si="444"/>
        <v>0</v>
      </c>
      <c r="CF190" s="4357">
        <f t="shared" si="444"/>
        <v>0</v>
      </c>
      <c r="CG190" s="4357">
        <f t="shared" si="444"/>
        <v>0</v>
      </c>
      <c r="CH190" s="4357">
        <f t="shared" si="444"/>
        <v>0</v>
      </c>
      <c r="CI190" s="4357"/>
      <c r="CJ190" s="4357"/>
      <c r="CK190" s="4357"/>
      <c r="CL190" s="4357"/>
      <c r="CM190" s="4357"/>
      <c r="CN190" s="4357"/>
      <c r="CO190" s="4357"/>
      <c r="CP190" s="4357"/>
      <c r="CQ190" s="4357"/>
      <c r="CR190" s="4357"/>
      <c r="CS190" s="4357"/>
      <c r="CT190" s="4357"/>
      <c r="CU190" s="4357"/>
      <c r="CV190" s="4357"/>
      <c r="CW190" s="4357"/>
      <c r="CX190" s="4357"/>
      <c r="CY190" s="4357"/>
      <c r="CZ190" s="4357"/>
      <c r="DA190" s="4357"/>
      <c r="DB190" s="4357"/>
      <c r="DC190" s="4357"/>
      <c r="DD190" s="4357"/>
      <c r="DE190" s="4357"/>
      <c r="DF190" s="4357"/>
      <c r="DG190" s="4357"/>
      <c r="DH190" s="4357"/>
      <c r="DI190" s="4357"/>
      <c r="DJ190" s="4357"/>
      <c r="DK190" s="4357"/>
      <c r="DL190" s="4357"/>
      <c r="DM190" s="4357"/>
      <c r="DN190" s="4357"/>
      <c r="DO190" s="4357"/>
      <c r="DP190" s="4357"/>
      <c r="DQ190" s="4357"/>
      <c r="DR190" s="4357"/>
      <c r="DS190" s="4357"/>
      <c r="DT190" s="4357"/>
      <c r="DU190" s="4357"/>
      <c r="DV190" s="4357"/>
      <c r="DW190" s="4357"/>
      <c r="DX190" s="4357"/>
      <c r="DY190" s="4357"/>
      <c r="DZ190" s="4357"/>
      <c r="EA190" s="4357"/>
      <c r="EB190" s="4357"/>
      <c r="EC190" s="4357"/>
      <c r="ED190" s="4357"/>
      <c r="EE190" s="4357"/>
      <c r="EF190" s="4357"/>
    </row>
    <row r="191" spans="1:136" ht="16" x14ac:dyDescent="0.2">
      <c r="A191" t="s">
        <v>2121</v>
      </c>
      <c r="B191" t="s">
        <v>3240</v>
      </c>
      <c r="D191" t="str">
        <f>'7.Coastal wetlands'!C68</f>
        <v>Please select</v>
      </c>
      <c r="E191">
        <f>'7.Coastal wetlands'!AI68</f>
        <v>0</v>
      </c>
      <c r="F191" s="388">
        <v>0</v>
      </c>
      <c r="G191" s="388">
        <v>0</v>
      </c>
      <c r="AA191" s="388">
        <f>Coastal!P118-Coastal!O118</f>
        <v>0</v>
      </c>
      <c r="AB191" t="str">
        <f t="shared" si="340"/>
        <v>ok</v>
      </c>
      <c r="AC191">
        <f>IF('7.Coastal wetlands'!CN68&lt;&gt;0,'7.Coastal wetlands'!CN68,'7.Coastal wetlands'!CM68)</f>
        <v>1</v>
      </c>
      <c r="AD191">
        <f t="shared" si="371"/>
        <v>5</v>
      </c>
      <c r="AE191" s="4357" t="str">
        <f>'7.Coastal wetlands'!O68</f>
        <v>D</v>
      </c>
      <c r="AF191" s="4357" t="str">
        <f>'7.Coastal wetlands'!Q68</f>
        <v>D</v>
      </c>
      <c r="AG191" s="4357" t="str">
        <f t="shared" si="374"/>
        <v>D</v>
      </c>
      <c r="AH191" s="4357">
        <f>((E191/(time_cap+((AD191-AC191+1)*VLOOKUP(AG191,list!$I$48:$K$50,3, FALSE))))*(AD191-AC191+1)*VLOOKUP(AG191,list!$I$48:$K$50,3, FALSE))</f>
        <v>0</v>
      </c>
      <c r="AI191" s="4357">
        <f>((E191/(time_cap+((AD191-AC191+1)*VLOOKUP(AG191,list!$I$48:$K$50,3, FALSE))))*time_cap)</f>
        <v>0</v>
      </c>
      <c r="AK191" s="4357">
        <f t="shared" ref="AK191:BP191" si="445">IFERROR(IF((time+time_cap)&lt;AK$2, 0,IF(AND(time+1&gt;=AL$2, $AC191&lt;AL$2), IF($AG191= "I", $AH191/($AD191-$AC191+1), $AH191/(($AD191*($AD191+1)/2)-(($AC191-1)*($AC191-1+1)/2))*AK$2), 0)+IF(IF(time+1&gt;=AL$2, $AI191/time_cap/(time+1)*AK$2, 0) = 0, $AI191/(time_cap),0)),0)</f>
        <v>0</v>
      </c>
      <c r="AL191" s="4357">
        <f t="shared" si="445"/>
        <v>0</v>
      </c>
      <c r="AM191" s="4357">
        <f t="shared" si="445"/>
        <v>0</v>
      </c>
      <c r="AN191" s="4357">
        <f t="shared" si="445"/>
        <v>0</v>
      </c>
      <c r="AO191" s="4357">
        <f t="shared" si="445"/>
        <v>0</v>
      </c>
      <c r="AP191" s="4357">
        <f t="shared" si="445"/>
        <v>0</v>
      </c>
      <c r="AQ191" s="4357">
        <f t="shared" si="445"/>
        <v>0</v>
      </c>
      <c r="AR191" s="4357">
        <f t="shared" si="445"/>
        <v>0</v>
      </c>
      <c r="AS191" s="4357">
        <f t="shared" si="445"/>
        <v>0</v>
      </c>
      <c r="AT191" s="4357">
        <f t="shared" si="445"/>
        <v>0</v>
      </c>
      <c r="AU191" s="4357">
        <f t="shared" si="445"/>
        <v>0</v>
      </c>
      <c r="AV191" s="4357">
        <f t="shared" si="445"/>
        <v>0</v>
      </c>
      <c r="AW191" s="4357">
        <f t="shared" si="445"/>
        <v>0</v>
      </c>
      <c r="AX191" s="4357">
        <f t="shared" si="445"/>
        <v>0</v>
      </c>
      <c r="AY191" s="4357">
        <f t="shared" si="445"/>
        <v>0</v>
      </c>
      <c r="AZ191" s="4357">
        <f t="shared" si="445"/>
        <v>0</v>
      </c>
      <c r="BA191" s="4357">
        <f t="shared" si="445"/>
        <v>0</v>
      </c>
      <c r="BB191" s="4357">
        <f t="shared" si="445"/>
        <v>0</v>
      </c>
      <c r="BC191" s="4357">
        <f t="shared" si="445"/>
        <v>0</v>
      </c>
      <c r="BD191" s="4357">
        <f t="shared" si="445"/>
        <v>0</v>
      </c>
      <c r="BE191" s="4357">
        <f t="shared" si="445"/>
        <v>0</v>
      </c>
      <c r="BF191" s="4357">
        <f t="shared" si="445"/>
        <v>0</v>
      </c>
      <c r="BG191" s="4357">
        <f t="shared" si="445"/>
        <v>0</v>
      </c>
      <c r="BH191" s="4357">
        <f t="shared" si="445"/>
        <v>0</v>
      </c>
      <c r="BI191" s="4357">
        <f t="shared" si="445"/>
        <v>0</v>
      </c>
      <c r="BJ191" s="4357">
        <f t="shared" si="445"/>
        <v>0</v>
      </c>
      <c r="BK191" s="4357">
        <f t="shared" si="445"/>
        <v>0</v>
      </c>
      <c r="BL191" s="4357">
        <f t="shared" si="445"/>
        <v>0</v>
      </c>
      <c r="BM191" s="4357">
        <f t="shared" si="445"/>
        <v>0</v>
      </c>
      <c r="BN191" s="4357">
        <f t="shared" si="445"/>
        <v>0</v>
      </c>
      <c r="BO191" s="4357">
        <f t="shared" si="445"/>
        <v>0</v>
      </c>
      <c r="BP191" s="4357">
        <f t="shared" si="445"/>
        <v>0</v>
      </c>
      <c r="BQ191" s="4357">
        <f t="shared" ref="BQ191:CH191" si="446">IFERROR(IF((time+time_cap)&lt;BQ$2, 0,IF(AND(time+1&gt;=BR$2, $AC191&lt;BR$2), IF($AG191= "I", $AH191/($AD191-$AC191+1), $AH191/(($AD191*($AD191+1)/2)-(($AC191-1)*($AC191-1+1)/2))*BQ$2), 0)+IF(IF(time+1&gt;=BR$2, $AI191/time_cap/(time+1)*BQ$2, 0) = 0, $AI191/(time_cap),0)),0)</f>
        <v>0</v>
      </c>
      <c r="BR191" s="4357">
        <f t="shared" si="446"/>
        <v>0</v>
      </c>
      <c r="BS191" s="4357">
        <f t="shared" si="446"/>
        <v>0</v>
      </c>
      <c r="BT191" s="4357">
        <f t="shared" si="446"/>
        <v>0</v>
      </c>
      <c r="BU191" s="4357">
        <f t="shared" si="446"/>
        <v>0</v>
      </c>
      <c r="BV191" s="4357">
        <f t="shared" si="446"/>
        <v>0</v>
      </c>
      <c r="BW191" s="4357">
        <f t="shared" si="446"/>
        <v>0</v>
      </c>
      <c r="BX191" s="4357">
        <f t="shared" si="446"/>
        <v>0</v>
      </c>
      <c r="BY191" s="4357">
        <f t="shared" si="446"/>
        <v>0</v>
      </c>
      <c r="BZ191" s="4357">
        <f t="shared" si="446"/>
        <v>0</v>
      </c>
      <c r="CA191" s="4357">
        <f t="shared" si="446"/>
        <v>0</v>
      </c>
      <c r="CB191" s="4357">
        <f t="shared" si="446"/>
        <v>0</v>
      </c>
      <c r="CC191" s="4357">
        <f t="shared" si="446"/>
        <v>0</v>
      </c>
      <c r="CD191" s="4357">
        <f t="shared" si="446"/>
        <v>0</v>
      </c>
      <c r="CE191" s="4357">
        <f t="shared" si="446"/>
        <v>0</v>
      </c>
      <c r="CF191" s="4357">
        <f t="shared" si="446"/>
        <v>0</v>
      </c>
      <c r="CG191" s="4357">
        <f t="shared" si="446"/>
        <v>0</v>
      </c>
      <c r="CH191" s="4357">
        <f t="shared" si="446"/>
        <v>0</v>
      </c>
      <c r="CI191" s="4357"/>
      <c r="CJ191" s="4357"/>
      <c r="CK191" s="4357"/>
      <c r="CL191" s="4357"/>
      <c r="CM191" s="4357"/>
      <c r="CN191" s="4357"/>
      <c r="CO191" s="4357"/>
      <c r="CP191" s="4357"/>
      <c r="CQ191" s="4357"/>
      <c r="CR191" s="4357"/>
      <c r="CS191" s="4357"/>
      <c r="CT191" s="4357"/>
      <c r="CU191" s="4357"/>
      <c r="CV191" s="4357"/>
      <c r="CW191" s="4357"/>
      <c r="CX191" s="4357"/>
      <c r="CY191" s="4357"/>
      <c r="CZ191" s="4357"/>
      <c r="DA191" s="4357"/>
      <c r="DB191" s="4357"/>
      <c r="DC191" s="4357"/>
      <c r="DD191" s="4357"/>
      <c r="DE191" s="4357"/>
      <c r="DF191" s="4357"/>
      <c r="DG191" s="4357"/>
      <c r="DH191" s="4357"/>
      <c r="DI191" s="4357"/>
      <c r="DJ191" s="4357"/>
      <c r="DK191" s="4357"/>
      <c r="DL191" s="4357"/>
      <c r="DM191" s="4357"/>
      <c r="DN191" s="4357"/>
      <c r="DO191" s="4357"/>
      <c r="DP191" s="4357"/>
      <c r="DQ191" s="4357"/>
      <c r="DR191" s="4357"/>
      <c r="DS191" s="4357"/>
      <c r="DT191" s="4357"/>
      <c r="DU191" s="4357"/>
      <c r="DV191" s="4357"/>
      <c r="DW191" s="4357"/>
      <c r="DX191" s="4357"/>
      <c r="DY191" s="4357"/>
      <c r="DZ191" s="4357"/>
      <c r="EA191" s="4357"/>
      <c r="EB191" s="4357"/>
      <c r="EC191" s="4357"/>
      <c r="ED191" s="4357"/>
      <c r="EE191" s="4357"/>
      <c r="EF191" s="4357"/>
    </row>
    <row r="192" spans="1:136" ht="16" x14ac:dyDescent="0.2">
      <c r="A192" t="s">
        <v>2121</v>
      </c>
      <c r="B192" t="s">
        <v>3240</v>
      </c>
      <c r="D192" t="str">
        <f>'7.Coastal wetlands'!C69</f>
        <v>Please select</v>
      </c>
      <c r="E192">
        <f>'7.Coastal wetlands'!AI69</f>
        <v>0</v>
      </c>
      <c r="F192" s="388">
        <v>0</v>
      </c>
      <c r="G192" s="388">
        <v>0</v>
      </c>
      <c r="AA192" s="388">
        <f>Coastal!P119-Coastal!O119</f>
        <v>0</v>
      </c>
      <c r="AB192" t="str">
        <f t="shared" si="340"/>
        <v>ok</v>
      </c>
      <c r="AC192">
        <f>IF('7.Coastal wetlands'!CN69&lt;&gt;0,'7.Coastal wetlands'!CN69,'7.Coastal wetlands'!CM69)</f>
        <v>1</v>
      </c>
      <c r="AD192">
        <f t="shared" si="371"/>
        <v>5</v>
      </c>
      <c r="AE192" s="4357" t="str">
        <f>'7.Coastal wetlands'!O69</f>
        <v>D</v>
      </c>
      <c r="AF192" s="4357" t="str">
        <f>'7.Coastal wetlands'!Q69</f>
        <v>D</v>
      </c>
      <c r="AG192" s="4357" t="str">
        <f t="shared" si="374"/>
        <v>D</v>
      </c>
      <c r="AH192" s="4357">
        <f>((E192/(time_cap+((AD192-AC192+1)*VLOOKUP(AG192,list!$I$48:$K$50,3, FALSE))))*(AD192-AC192+1)*VLOOKUP(AG192,list!$I$48:$K$50,3, FALSE))</f>
        <v>0</v>
      </c>
      <c r="AI192" s="4357">
        <f>((E192/(time_cap+((AD192-AC192+1)*VLOOKUP(AG192,list!$I$48:$K$50,3, FALSE))))*time_cap)</f>
        <v>0</v>
      </c>
      <c r="AK192" s="4357">
        <f t="shared" ref="AK192:BP192" si="447">IFERROR(IF((time+time_cap)&lt;AK$2, 0,IF(AND(time+1&gt;=AL$2, $AC192&lt;AL$2), IF($AG192= "I", $AH192/($AD192-$AC192+1), $AH192/(($AD192*($AD192+1)/2)-(($AC192-1)*($AC192-1+1)/2))*AK$2), 0)+IF(IF(time+1&gt;=AL$2, $AI192/time_cap/(time+1)*AK$2, 0) = 0, $AI192/(time_cap),0)),0)</f>
        <v>0</v>
      </c>
      <c r="AL192" s="4357">
        <f t="shared" si="447"/>
        <v>0</v>
      </c>
      <c r="AM192" s="4357">
        <f t="shared" si="447"/>
        <v>0</v>
      </c>
      <c r="AN192" s="4357">
        <f t="shared" si="447"/>
        <v>0</v>
      </c>
      <c r="AO192" s="4357">
        <f t="shared" si="447"/>
        <v>0</v>
      </c>
      <c r="AP192" s="4357">
        <f t="shared" si="447"/>
        <v>0</v>
      </c>
      <c r="AQ192" s="4357">
        <f t="shared" si="447"/>
        <v>0</v>
      </c>
      <c r="AR192" s="4357">
        <f t="shared" si="447"/>
        <v>0</v>
      </c>
      <c r="AS192" s="4357">
        <f t="shared" si="447"/>
        <v>0</v>
      </c>
      <c r="AT192" s="4357">
        <f t="shared" si="447"/>
        <v>0</v>
      </c>
      <c r="AU192" s="4357">
        <f t="shared" si="447"/>
        <v>0</v>
      </c>
      <c r="AV192" s="4357">
        <f t="shared" si="447"/>
        <v>0</v>
      </c>
      <c r="AW192" s="4357">
        <f t="shared" si="447"/>
        <v>0</v>
      </c>
      <c r="AX192" s="4357">
        <f t="shared" si="447"/>
        <v>0</v>
      </c>
      <c r="AY192" s="4357">
        <f t="shared" si="447"/>
        <v>0</v>
      </c>
      <c r="AZ192" s="4357">
        <f t="shared" si="447"/>
        <v>0</v>
      </c>
      <c r="BA192" s="4357">
        <f t="shared" si="447"/>
        <v>0</v>
      </c>
      <c r="BB192" s="4357">
        <f t="shared" si="447"/>
        <v>0</v>
      </c>
      <c r="BC192" s="4357">
        <f t="shared" si="447"/>
        <v>0</v>
      </c>
      <c r="BD192" s="4357">
        <f t="shared" si="447"/>
        <v>0</v>
      </c>
      <c r="BE192" s="4357">
        <f t="shared" si="447"/>
        <v>0</v>
      </c>
      <c r="BF192" s="4357">
        <f t="shared" si="447"/>
        <v>0</v>
      </c>
      <c r="BG192" s="4357">
        <f t="shared" si="447"/>
        <v>0</v>
      </c>
      <c r="BH192" s="4357">
        <f t="shared" si="447"/>
        <v>0</v>
      </c>
      <c r="BI192" s="4357">
        <f t="shared" si="447"/>
        <v>0</v>
      </c>
      <c r="BJ192" s="4357">
        <f t="shared" si="447"/>
        <v>0</v>
      </c>
      <c r="BK192" s="4357">
        <f t="shared" si="447"/>
        <v>0</v>
      </c>
      <c r="BL192" s="4357">
        <f t="shared" si="447"/>
        <v>0</v>
      </c>
      <c r="BM192" s="4357">
        <f t="shared" si="447"/>
        <v>0</v>
      </c>
      <c r="BN192" s="4357">
        <f t="shared" si="447"/>
        <v>0</v>
      </c>
      <c r="BO192" s="4357">
        <f t="shared" si="447"/>
        <v>0</v>
      </c>
      <c r="BP192" s="4357">
        <f t="shared" si="447"/>
        <v>0</v>
      </c>
      <c r="BQ192" s="4357">
        <f t="shared" ref="BQ192:CH192" si="448">IFERROR(IF((time+time_cap)&lt;BQ$2, 0,IF(AND(time+1&gt;=BR$2, $AC192&lt;BR$2), IF($AG192= "I", $AH192/($AD192-$AC192+1), $AH192/(($AD192*($AD192+1)/2)-(($AC192-1)*($AC192-1+1)/2))*BQ$2), 0)+IF(IF(time+1&gt;=BR$2, $AI192/time_cap/(time+1)*BQ$2, 0) = 0, $AI192/(time_cap),0)),0)</f>
        <v>0</v>
      </c>
      <c r="BR192" s="4357">
        <f t="shared" si="448"/>
        <v>0</v>
      </c>
      <c r="BS192" s="4357">
        <f t="shared" si="448"/>
        <v>0</v>
      </c>
      <c r="BT192" s="4357">
        <f t="shared" si="448"/>
        <v>0</v>
      </c>
      <c r="BU192" s="4357">
        <f t="shared" si="448"/>
        <v>0</v>
      </c>
      <c r="BV192" s="4357">
        <f t="shared" si="448"/>
        <v>0</v>
      </c>
      <c r="BW192" s="4357">
        <f t="shared" si="448"/>
        <v>0</v>
      </c>
      <c r="BX192" s="4357">
        <f t="shared" si="448"/>
        <v>0</v>
      </c>
      <c r="BY192" s="4357">
        <f t="shared" si="448"/>
        <v>0</v>
      </c>
      <c r="BZ192" s="4357">
        <f t="shared" si="448"/>
        <v>0</v>
      </c>
      <c r="CA192" s="4357">
        <f t="shared" si="448"/>
        <v>0</v>
      </c>
      <c r="CB192" s="4357">
        <f t="shared" si="448"/>
        <v>0</v>
      </c>
      <c r="CC192" s="4357">
        <f t="shared" si="448"/>
        <v>0</v>
      </c>
      <c r="CD192" s="4357">
        <f t="shared" si="448"/>
        <v>0</v>
      </c>
      <c r="CE192" s="4357">
        <f t="shared" si="448"/>
        <v>0</v>
      </c>
      <c r="CF192" s="4357">
        <f t="shared" si="448"/>
        <v>0</v>
      </c>
      <c r="CG192" s="4357">
        <f t="shared" si="448"/>
        <v>0</v>
      </c>
      <c r="CH192" s="4357">
        <f t="shared" si="448"/>
        <v>0</v>
      </c>
      <c r="CI192" s="4357"/>
      <c r="CJ192" s="4357"/>
      <c r="CK192" s="4357"/>
      <c r="CL192" s="4357"/>
      <c r="CM192" s="4357"/>
      <c r="CN192" s="4357"/>
      <c r="CO192" s="4357"/>
      <c r="CP192" s="4357"/>
      <c r="CQ192" s="4357"/>
      <c r="CR192" s="4357"/>
      <c r="CS192" s="4357"/>
      <c r="CT192" s="4357"/>
      <c r="CU192" s="4357"/>
      <c r="CV192" s="4357"/>
      <c r="CW192" s="4357"/>
      <c r="CX192" s="4357"/>
      <c r="CY192" s="4357"/>
      <c r="CZ192" s="4357"/>
      <c r="DA192" s="4357"/>
      <c r="DB192" s="4357"/>
      <c r="DC192" s="4357"/>
      <c r="DD192" s="4357"/>
      <c r="DE192" s="4357"/>
      <c r="DF192" s="4357"/>
      <c r="DG192" s="4357"/>
      <c r="DH192" s="4357"/>
      <c r="DI192" s="4357"/>
      <c r="DJ192" s="4357"/>
      <c r="DK192" s="4357"/>
      <c r="DL192" s="4357"/>
      <c r="DM192" s="4357"/>
      <c r="DN192" s="4357"/>
      <c r="DO192" s="4357"/>
      <c r="DP192" s="4357"/>
      <c r="DQ192" s="4357"/>
      <c r="DR192" s="4357"/>
      <c r="DS192" s="4357"/>
      <c r="DT192" s="4357"/>
      <c r="DU192" s="4357"/>
      <c r="DV192" s="4357"/>
      <c r="DW192" s="4357"/>
      <c r="DX192" s="4357"/>
      <c r="DY192" s="4357"/>
      <c r="DZ192" s="4357"/>
      <c r="EA192" s="4357"/>
      <c r="EB192" s="4357"/>
      <c r="EC192" s="4357"/>
      <c r="ED192" s="4357"/>
      <c r="EE192" s="4357"/>
      <c r="EF192" s="4357"/>
    </row>
    <row r="193" spans="1:136" ht="16" x14ac:dyDescent="0.2">
      <c r="A193" t="s">
        <v>2121</v>
      </c>
      <c r="B193" t="s">
        <v>3240</v>
      </c>
      <c r="D193" t="str">
        <f>'7.Coastal wetlands'!C70</f>
        <v>Please select</v>
      </c>
      <c r="E193">
        <f>'7.Coastal wetlands'!AI70</f>
        <v>0</v>
      </c>
      <c r="F193" s="388">
        <v>0</v>
      </c>
      <c r="G193" s="388">
        <v>0</v>
      </c>
      <c r="AA193" s="388">
        <f>Coastal!P120-Coastal!O120</f>
        <v>0</v>
      </c>
      <c r="AB193" t="str">
        <f t="shared" si="340"/>
        <v>ok</v>
      </c>
      <c r="AC193">
        <f>IF('7.Coastal wetlands'!CN70&lt;&gt;0,'7.Coastal wetlands'!CN70,'7.Coastal wetlands'!CM70)</f>
        <v>1</v>
      </c>
      <c r="AD193">
        <f t="shared" si="371"/>
        <v>5</v>
      </c>
      <c r="AE193" s="4357" t="str">
        <f>'7.Coastal wetlands'!O70</f>
        <v>D</v>
      </c>
      <c r="AF193" s="4357" t="str">
        <f>'7.Coastal wetlands'!Q70</f>
        <v>D</v>
      </c>
      <c r="AG193" s="4357" t="str">
        <f t="shared" si="374"/>
        <v>D</v>
      </c>
      <c r="AH193" s="4357">
        <f>((E193/(time_cap+((AD193-AC193+1)*VLOOKUP(AG193,list!$I$48:$K$50,3, FALSE))))*(AD193-AC193+1)*VLOOKUP(AG193,list!$I$48:$K$50,3, FALSE))</f>
        <v>0</v>
      </c>
      <c r="AI193" s="4357">
        <f>((E193/(time_cap+((AD193-AC193+1)*VLOOKUP(AG193,list!$I$48:$K$50,3, FALSE))))*time_cap)</f>
        <v>0</v>
      </c>
      <c r="AK193" s="4357">
        <f t="shared" ref="AK193:BP193" si="449">IFERROR(IF((time+time_cap)&lt;AK$2, 0,IF(AND(time+1&gt;=AL$2, $AC193&lt;AL$2), IF($AG193= "I", $AH193/($AD193-$AC193+1), $AH193/(($AD193*($AD193+1)/2)-(($AC193-1)*($AC193-1+1)/2))*AK$2), 0)+IF(IF(time+1&gt;=AL$2, $AI193/time_cap/(time+1)*AK$2, 0) = 0, $AI193/(time_cap),0)),0)</f>
        <v>0</v>
      </c>
      <c r="AL193" s="4357">
        <f t="shared" si="449"/>
        <v>0</v>
      </c>
      <c r="AM193" s="4357">
        <f t="shared" si="449"/>
        <v>0</v>
      </c>
      <c r="AN193" s="4357">
        <f t="shared" si="449"/>
        <v>0</v>
      </c>
      <c r="AO193" s="4357">
        <f t="shared" si="449"/>
        <v>0</v>
      </c>
      <c r="AP193" s="4357">
        <f t="shared" si="449"/>
        <v>0</v>
      </c>
      <c r="AQ193" s="4357">
        <f t="shared" si="449"/>
        <v>0</v>
      </c>
      <c r="AR193" s="4357">
        <f t="shared" si="449"/>
        <v>0</v>
      </c>
      <c r="AS193" s="4357">
        <f t="shared" si="449"/>
        <v>0</v>
      </c>
      <c r="AT193" s="4357">
        <f t="shared" si="449"/>
        <v>0</v>
      </c>
      <c r="AU193" s="4357">
        <f t="shared" si="449"/>
        <v>0</v>
      </c>
      <c r="AV193" s="4357">
        <f t="shared" si="449"/>
        <v>0</v>
      </c>
      <c r="AW193" s="4357">
        <f t="shared" si="449"/>
        <v>0</v>
      </c>
      <c r="AX193" s="4357">
        <f t="shared" si="449"/>
        <v>0</v>
      </c>
      <c r="AY193" s="4357">
        <f t="shared" si="449"/>
        <v>0</v>
      </c>
      <c r="AZ193" s="4357">
        <f t="shared" si="449"/>
        <v>0</v>
      </c>
      <c r="BA193" s="4357">
        <f t="shared" si="449"/>
        <v>0</v>
      </c>
      <c r="BB193" s="4357">
        <f t="shared" si="449"/>
        <v>0</v>
      </c>
      <c r="BC193" s="4357">
        <f t="shared" si="449"/>
        <v>0</v>
      </c>
      <c r="BD193" s="4357">
        <f t="shared" si="449"/>
        <v>0</v>
      </c>
      <c r="BE193" s="4357">
        <f t="shared" si="449"/>
        <v>0</v>
      </c>
      <c r="BF193" s="4357">
        <f t="shared" si="449"/>
        <v>0</v>
      </c>
      <c r="BG193" s="4357">
        <f t="shared" si="449"/>
        <v>0</v>
      </c>
      <c r="BH193" s="4357">
        <f t="shared" si="449"/>
        <v>0</v>
      </c>
      <c r="BI193" s="4357">
        <f t="shared" si="449"/>
        <v>0</v>
      </c>
      <c r="BJ193" s="4357">
        <f t="shared" si="449"/>
        <v>0</v>
      </c>
      <c r="BK193" s="4357">
        <f t="shared" si="449"/>
        <v>0</v>
      </c>
      <c r="BL193" s="4357">
        <f t="shared" si="449"/>
        <v>0</v>
      </c>
      <c r="BM193" s="4357">
        <f t="shared" si="449"/>
        <v>0</v>
      </c>
      <c r="BN193" s="4357">
        <f t="shared" si="449"/>
        <v>0</v>
      </c>
      <c r="BO193" s="4357">
        <f t="shared" si="449"/>
        <v>0</v>
      </c>
      <c r="BP193" s="4357">
        <f t="shared" si="449"/>
        <v>0</v>
      </c>
      <c r="BQ193" s="4357">
        <f t="shared" ref="BQ193:CH193" si="450">IFERROR(IF((time+time_cap)&lt;BQ$2, 0,IF(AND(time+1&gt;=BR$2, $AC193&lt;BR$2), IF($AG193= "I", $AH193/($AD193-$AC193+1), $AH193/(($AD193*($AD193+1)/2)-(($AC193-1)*($AC193-1+1)/2))*BQ$2), 0)+IF(IF(time+1&gt;=BR$2, $AI193/time_cap/(time+1)*BQ$2, 0) = 0, $AI193/(time_cap),0)),0)</f>
        <v>0</v>
      </c>
      <c r="BR193" s="4357">
        <f t="shared" si="450"/>
        <v>0</v>
      </c>
      <c r="BS193" s="4357">
        <f t="shared" si="450"/>
        <v>0</v>
      </c>
      <c r="BT193" s="4357">
        <f t="shared" si="450"/>
        <v>0</v>
      </c>
      <c r="BU193" s="4357">
        <f t="shared" si="450"/>
        <v>0</v>
      </c>
      <c r="BV193" s="4357">
        <f t="shared" si="450"/>
        <v>0</v>
      </c>
      <c r="BW193" s="4357">
        <f t="shared" si="450"/>
        <v>0</v>
      </c>
      <c r="BX193" s="4357">
        <f t="shared" si="450"/>
        <v>0</v>
      </c>
      <c r="BY193" s="4357">
        <f t="shared" si="450"/>
        <v>0</v>
      </c>
      <c r="BZ193" s="4357">
        <f t="shared" si="450"/>
        <v>0</v>
      </c>
      <c r="CA193" s="4357">
        <f t="shared" si="450"/>
        <v>0</v>
      </c>
      <c r="CB193" s="4357">
        <f t="shared" si="450"/>
        <v>0</v>
      </c>
      <c r="CC193" s="4357">
        <f t="shared" si="450"/>
        <v>0</v>
      </c>
      <c r="CD193" s="4357">
        <f t="shared" si="450"/>
        <v>0</v>
      </c>
      <c r="CE193" s="4357">
        <f t="shared" si="450"/>
        <v>0</v>
      </c>
      <c r="CF193" s="4357">
        <f t="shared" si="450"/>
        <v>0</v>
      </c>
      <c r="CG193" s="4357">
        <f t="shared" si="450"/>
        <v>0</v>
      </c>
      <c r="CH193" s="4357">
        <f t="shared" si="450"/>
        <v>0</v>
      </c>
      <c r="CI193" s="4357"/>
      <c r="CJ193" s="4357"/>
      <c r="CK193" s="4357"/>
      <c r="CL193" s="4357"/>
      <c r="CM193" s="4357"/>
      <c r="CN193" s="4357"/>
      <c r="CO193" s="4357"/>
      <c r="CP193" s="4357"/>
      <c r="CQ193" s="4357"/>
      <c r="CR193" s="4357"/>
      <c r="CS193" s="4357"/>
      <c r="CT193" s="4357"/>
      <c r="CU193" s="4357"/>
      <c r="CV193" s="4357"/>
      <c r="CW193" s="4357"/>
      <c r="CX193" s="4357"/>
      <c r="CY193" s="4357"/>
      <c r="CZ193" s="4357"/>
      <c r="DA193" s="4357"/>
      <c r="DB193" s="4357"/>
      <c r="DC193" s="4357"/>
      <c r="DD193" s="4357"/>
      <c r="DE193" s="4357"/>
      <c r="DF193" s="4357"/>
      <c r="DG193" s="4357"/>
      <c r="DH193" s="4357"/>
      <c r="DI193" s="4357"/>
      <c r="DJ193" s="4357"/>
      <c r="DK193" s="4357"/>
      <c r="DL193" s="4357"/>
      <c r="DM193" s="4357"/>
      <c r="DN193" s="4357"/>
      <c r="DO193" s="4357"/>
      <c r="DP193" s="4357"/>
      <c r="DQ193" s="4357"/>
      <c r="DR193" s="4357"/>
      <c r="DS193" s="4357"/>
      <c r="DT193" s="4357"/>
      <c r="DU193" s="4357"/>
      <c r="DV193" s="4357"/>
      <c r="DW193" s="4357"/>
      <c r="DX193" s="4357"/>
      <c r="DY193" s="4357"/>
      <c r="DZ193" s="4357"/>
      <c r="EA193" s="4357"/>
      <c r="EB193" s="4357"/>
      <c r="EC193" s="4357"/>
      <c r="ED193" s="4357"/>
      <c r="EE193" s="4357"/>
      <c r="EF193" s="4357"/>
    </row>
    <row r="194" spans="1:136" ht="16" x14ac:dyDescent="0.2">
      <c r="A194" t="s">
        <v>3025</v>
      </c>
      <c r="B194" t="s">
        <v>2311</v>
      </c>
      <c r="D194" t="str">
        <f>'8. Fisheries and aquaculture'!C13</f>
        <v>Marine</v>
      </c>
      <c r="E194" s="388">
        <f>'Fish and aqua'!Q16+'Fish and aqua'!Q27+'Fish and aqua'!Q39</f>
        <v>-2547.7983574329992</v>
      </c>
      <c r="F194" s="388">
        <v>0</v>
      </c>
      <c r="G194" s="388">
        <v>0</v>
      </c>
      <c r="K194" s="388">
        <f>'Fish and aqua'!P16-'Fish and aqua'!O16+'Fish and aqua'!P27-'Fish and aqua'!O27+'Fish and aqua'!P39-'Fish and aqua'!O39</f>
        <v>-2547.7983574329992</v>
      </c>
      <c r="AB194" t="str">
        <f t="shared" si="340"/>
        <v>ok</v>
      </c>
      <c r="AC194">
        <f>IF('8. Fisheries and aquaculture'!CN13&lt;&gt;0,'8. Fisheries and aquaculture'!CN13,'8. Fisheries and aquaculture'!CM13)</f>
        <v>1</v>
      </c>
      <c r="AD194">
        <f t="shared" si="371"/>
        <v>5</v>
      </c>
      <c r="AE194" s="4357" t="str">
        <f>'8. Fisheries and aquaculture'!AA13</f>
        <v>D</v>
      </c>
      <c r="AF194" s="4357" t="str">
        <f>'8. Fisheries and aquaculture'!AC13</f>
        <v>D</v>
      </c>
      <c r="AG194" s="4357" t="str">
        <f t="shared" si="374"/>
        <v>D</v>
      </c>
      <c r="AH194" s="4357">
        <f>((E194/(time_cap+((AD194-AC194+1)*VLOOKUP(AG194,list!$I$48:$K$50,3, FALSE))))*(AD194-AC194+1)*VLOOKUP(AG194,list!$I$48:$K$50,3, FALSE))</f>
        <v>-509.55967148659988</v>
      </c>
      <c r="AI194" s="4357">
        <f>((E194/(time_cap+((AD194-AC194+1)*VLOOKUP(AG194,list!$I$48:$K$50,3, FALSE))))*time_cap)</f>
        <v>-2038.2386859463995</v>
      </c>
      <c r="AK194" s="4357">
        <f t="shared" ref="AK194:BP194" si="451">IFERROR(IF((time+time_cap)&lt;AK$2, 0,IF(AND(time+1&gt;=AL$2, $AC194&lt;AL$2), IF($AG194= "I", $AH194/($AD194-$AC194+1), $AH194/(($AD194*($AD194+1)/2)-(($AC194-1)*($AC194-1+1)/2))*AK$2), 0)+IF(IF(time+1&gt;=AL$2, $AI194/time_cap/(time+1)*AK$2, 0) = 0, $AI194/(time_cap),0)),0)</f>
        <v>-33.970644765773322</v>
      </c>
      <c r="AL194" s="4357">
        <f t="shared" si="451"/>
        <v>-67.941289531546644</v>
      </c>
      <c r="AM194" s="4357">
        <f t="shared" si="451"/>
        <v>-101.91193429731996</v>
      </c>
      <c r="AN194" s="4357">
        <f t="shared" si="451"/>
        <v>-135.88257906309329</v>
      </c>
      <c r="AO194" s="4357">
        <f t="shared" si="451"/>
        <v>-169.85322382886662</v>
      </c>
      <c r="AP194" s="4357">
        <f t="shared" si="451"/>
        <v>-203.82386859463995</v>
      </c>
      <c r="AQ194" s="4357">
        <f t="shared" si="451"/>
        <v>-203.82386859463995</v>
      </c>
      <c r="AR194" s="4357">
        <f t="shared" si="451"/>
        <v>-203.82386859463995</v>
      </c>
      <c r="AS194" s="4357">
        <f t="shared" si="451"/>
        <v>-203.82386859463995</v>
      </c>
      <c r="AT194" s="4357">
        <f t="shared" si="451"/>
        <v>-203.82386859463995</v>
      </c>
      <c r="AU194" s="4357">
        <f t="shared" si="451"/>
        <v>-203.82386859463995</v>
      </c>
      <c r="AV194" s="4357">
        <f t="shared" si="451"/>
        <v>-203.82386859463995</v>
      </c>
      <c r="AW194" s="4357">
        <f t="shared" si="451"/>
        <v>-203.82386859463995</v>
      </c>
      <c r="AX194" s="4357">
        <f t="shared" si="451"/>
        <v>-203.82386859463995</v>
      </c>
      <c r="AY194" s="4357">
        <f t="shared" si="451"/>
        <v>-203.82386859463995</v>
      </c>
      <c r="AZ194" s="4357">
        <f t="shared" si="451"/>
        <v>0</v>
      </c>
      <c r="BA194" s="4357">
        <f t="shared" si="451"/>
        <v>0</v>
      </c>
      <c r="BB194" s="4357">
        <f t="shared" si="451"/>
        <v>0</v>
      </c>
      <c r="BC194" s="4357">
        <f t="shared" si="451"/>
        <v>0</v>
      </c>
      <c r="BD194" s="4357">
        <f t="shared" si="451"/>
        <v>0</v>
      </c>
      <c r="BE194" s="4357">
        <f t="shared" si="451"/>
        <v>0</v>
      </c>
      <c r="BF194" s="4357">
        <f t="shared" si="451"/>
        <v>0</v>
      </c>
      <c r="BG194" s="4357">
        <f t="shared" si="451"/>
        <v>0</v>
      </c>
      <c r="BH194" s="4357">
        <f t="shared" si="451"/>
        <v>0</v>
      </c>
      <c r="BI194" s="4357">
        <f t="shared" si="451"/>
        <v>0</v>
      </c>
      <c r="BJ194" s="4357">
        <f t="shared" si="451"/>
        <v>0</v>
      </c>
      <c r="BK194" s="4357">
        <f t="shared" si="451"/>
        <v>0</v>
      </c>
      <c r="BL194" s="4357">
        <f t="shared" si="451"/>
        <v>0</v>
      </c>
      <c r="BM194" s="4357">
        <f t="shared" si="451"/>
        <v>0</v>
      </c>
      <c r="BN194" s="4357">
        <f t="shared" si="451"/>
        <v>0</v>
      </c>
      <c r="BO194" s="4357">
        <f t="shared" si="451"/>
        <v>0</v>
      </c>
      <c r="BP194" s="4357">
        <f t="shared" si="451"/>
        <v>0</v>
      </c>
      <c r="BQ194" s="4357">
        <f t="shared" ref="BQ194:CH194" si="452">IFERROR(IF((time+time_cap)&lt;BQ$2, 0,IF(AND(time+1&gt;=BR$2, $AC194&lt;BR$2), IF($AG194= "I", $AH194/($AD194-$AC194+1), $AH194/(($AD194*($AD194+1)/2)-(($AC194-1)*($AC194-1+1)/2))*BQ$2), 0)+IF(IF(time+1&gt;=BR$2, $AI194/time_cap/(time+1)*BQ$2, 0) = 0, $AI194/(time_cap),0)),0)</f>
        <v>0</v>
      </c>
      <c r="BR194" s="4357">
        <f t="shared" si="452"/>
        <v>0</v>
      </c>
      <c r="BS194" s="4357">
        <f t="shared" si="452"/>
        <v>0</v>
      </c>
      <c r="BT194" s="4357">
        <f t="shared" si="452"/>
        <v>0</v>
      </c>
      <c r="BU194" s="4357">
        <f t="shared" si="452"/>
        <v>0</v>
      </c>
      <c r="BV194" s="4357">
        <f t="shared" si="452"/>
        <v>0</v>
      </c>
      <c r="BW194" s="4357">
        <f t="shared" si="452"/>
        <v>0</v>
      </c>
      <c r="BX194" s="4357">
        <f t="shared" si="452"/>
        <v>0</v>
      </c>
      <c r="BY194" s="4357">
        <f t="shared" si="452"/>
        <v>0</v>
      </c>
      <c r="BZ194" s="4357">
        <f t="shared" si="452"/>
        <v>0</v>
      </c>
      <c r="CA194" s="4357">
        <f t="shared" si="452"/>
        <v>0</v>
      </c>
      <c r="CB194" s="4357">
        <f t="shared" si="452"/>
        <v>0</v>
      </c>
      <c r="CC194" s="4357">
        <f t="shared" si="452"/>
        <v>0</v>
      </c>
      <c r="CD194" s="4357">
        <f t="shared" si="452"/>
        <v>0</v>
      </c>
      <c r="CE194" s="4357">
        <f t="shared" si="452"/>
        <v>0</v>
      </c>
      <c r="CF194" s="4357">
        <f t="shared" si="452"/>
        <v>0</v>
      </c>
      <c r="CG194" s="4357">
        <f t="shared" si="452"/>
        <v>0</v>
      </c>
      <c r="CH194" s="4357">
        <f t="shared" si="452"/>
        <v>0</v>
      </c>
      <c r="CI194" s="4357"/>
      <c r="CJ194" s="4357"/>
      <c r="CK194" s="4357"/>
      <c r="CL194" s="4357"/>
      <c r="CM194" s="4357"/>
      <c r="CN194" s="4357"/>
      <c r="CO194" s="4357"/>
      <c r="CP194" s="4357"/>
      <c r="CQ194" s="4357"/>
      <c r="CR194" s="4357"/>
      <c r="CS194" s="4357"/>
      <c r="CT194" s="4357"/>
      <c r="CU194" s="4357"/>
      <c r="CV194" s="4357"/>
      <c r="CW194" s="4357"/>
      <c r="CX194" s="4357"/>
      <c r="CY194" s="4357"/>
      <c r="CZ194" s="4357"/>
      <c r="DA194" s="4357"/>
      <c r="DB194" s="4357"/>
      <c r="DC194" s="4357"/>
      <c r="DD194" s="4357"/>
      <c r="DE194" s="4357"/>
      <c r="DF194" s="4357"/>
      <c r="DG194" s="4357"/>
      <c r="DH194" s="4357"/>
      <c r="DI194" s="4357"/>
      <c r="DJ194" s="4357"/>
      <c r="DK194" s="4357"/>
      <c r="DL194" s="4357"/>
      <c r="DM194" s="4357"/>
      <c r="DN194" s="4357"/>
      <c r="DO194" s="4357"/>
      <c r="DP194" s="4357"/>
      <c r="DQ194" s="4357"/>
      <c r="DR194" s="4357"/>
      <c r="DS194" s="4357"/>
      <c r="DT194" s="4357"/>
      <c r="DU194" s="4357"/>
      <c r="DV194" s="4357"/>
      <c r="DW194" s="4357"/>
      <c r="DX194" s="4357"/>
      <c r="DY194" s="4357"/>
      <c r="DZ194" s="4357"/>
      <c r="EA194" s="4357"/>
      <c r="EB194" s="4357"/>
      <c r="EC194" s="4357"/>
      <c r="ED194" s="4357"/>
      <c r="EE194" s="4357"/>
      <c r="EF194" s="4357"/>
    </row>
    <row r="195" spans="1:136" ht="16" x14ac:dyDescent="0.2">
      <c r="A195" t="s">
        <v>3025</v>
      </c>
      <c r="B195" t="s">
        <v>2311</v>
      </c>
      <c r="D195" t="str">
        <f>'8. Fisheries and aquaculture'!C14</f>
        <v>Marine</v>
      </c>
      <c r="E195" s="388">
        <f>'Fish and aqua'!Q17+'Fish and aqua'!Q28+'Fish and aqua'!Q40</f>
        <v>0</v>
      </c>
      <c r="F195" s="388">
        <v>0</v>
      </c>
      <c r="G195" s="388">
        <v>0</v>
      </c>
      <c r="K195" s="388">
        <f>'Fish and aqua'!P17-'Fish and aqua'!O17+'Fish and aqua'!P28-'Fish and aqua'!O28+'Fish and aqua'!P40-'Fish and aqua'!O40</f>
        <v>0</v>
      </c>
      <c r="AB195" t="str">
        <f t="shared" si="340"/>
        <v>ok</v>
      </c>
      <c r="AC195">
        <f>IF('8. Fisheries and aquaculture'!CN14&lt;&gt;0,'8. Fisheries and aquaculture'!CN14,'8. Fisheries and aquaculture'!CM14)</f>
        <v>1</v>
      </c>
      <c r="AD195">
        <f t="shared" si="371"/>
        <v>5</v>
      </c>
      <c r="AE195" s="4357" t="str">
        <f>'8. Fisheries and aquaculture'!AA14</f>
        <v>D</v>
      </c>
      <c r="AF195" s="4357" t="str">
        <f>'8. Fisheries and aquaculture'!AC14</f>
        <v>D</v>
      </c>
      <c r="AG195" s="4357" t="str">
        <f t="shared" si="374"/>
        <v>D</v>
      </c>
      <c r="AH195" s="4357">
        <f>((E195/(time_cap+((AD195-AC195+1)*VLOOKUP(AG195,list!$I$48:$K$50,3, FALSE))))*(AD195-AC195+1)*VLOOKUP(AG195,list!$I$48:$K$50,3, FALSE))</f>
        <v>0</v>
      </c>
      <c r="AI195" s="4357">
        <f>((E195/(time_cap+((AD195-AC195+1)*VLOOKUP(AG195,list!$I$48:$K$50,3, FALSE))))*time_cap)</f>
        <v>0</v>
      </c>
      <c r="AK195" s="4357">
        <f t="shared" ref="AK195:BP195" si="453">IFERROR(IF((time+time_cap)&lt;AK$2, 0,IF(AND(time+1&gt;=AL$2, $AC195&lt;AL$2), IF($AG195= "I", $AH195/($AD195-$AC195+1), $AH195/(($AD195*($AD195+1)/2)-(($AC195-1)*($AC195-1+1)/2))*AK$2), 0)+IF(IF(time+1&gt;=AL$2, $AI195/time_cap/(time+1)*AK$2, 0) = 0, $AI195/(time_cap),0)),0)</f>
        <v>0</v>
      </c>
      <c r="AL195" s="4357">
        <f t="shared" si="453"/>
        <v>0</v>
      </c>
      <c r="AM195" s="4357">
        <f t="shared" si="453"/>
        <v>0</v>
      </c>
      <c r="AN195" s="4357">
        <f t="shared" si="453"/>
        <v>0</v>
      </c>
      <c r="AO195" s="4357">
        <f t="shared" si="453"/>
        <v>0</v>
      </c>
      <c r="AP195" s="4357">
        <f t="shared" si="453"/>
        <v>0</v>
      </c>
      <c r="AQ195" s="4357">
        <f t="shared" si="453"/>
        <v>0</v>
      </c>
      <c r="AR195" s="4357">
        <f t="shared" si="453"/>
        <v>0</v>
      </c>
      <c r="AS195" s="4357">
        <f t="shared" si="453"/>
        <v>0</v>
      </c>
      <c r="AT195" s="4357">
        <f t="shared" si="453"/>
        <v>0</v>
      </c>
      <c r="AU195" s="4357">
        <f t="shared" si="453"/>
        <v>0</v>
      </c>
      <c r="AV195" s="4357">
        <f t="shared" si="453"/>
        <v>0</v>
      </c>
      <c r="AW195" s="4357">
        <f t="shared" si="453"/>
        <v>0</v>
      </c>
      <c r="AX195" s="4357">
        <f t="shared" si="453"/>
        <v>0</v>
      </c>
      <c r="AY195" s="4357">
        <f t="shared" si="453"/>
        <v>0</v>
      </c>
      <c r="AZ195" s="4357">
        <f t="shared" si="453"/>
        <v>0</v>
      </c>
      <c r="BA195" s="4357">
        <f t="shared" si="453"/>
        <v>0</v>
      </c>
      <c r="BB195" s="4357">
        <f t="shared" si="453"/>
        <v>0</v>
      </c>
      <c r="BC195" s="4357">
        <f t="shared" si="453"/>
        <v>0</v>
      </c>
      <c r="BD195" s="4357">
        <f t="shared" si="453"/>
        <v>0</v>
      </c>
      <c r="BE195" s="4357">
        <f t="shared" si="453"/>
        <v>0</v>
      </c>
      <c r="BF195" s="4357">
        <f t="shared" si="453"/>
        <v>0</v>
      </c>
      <c r="BG195" s="4357">
        <f t="shared" si="453"/>
        <v>0</v>
      </c>
      <c r="BH195" s="4357">
        <f t="shared" si="453"/>
        <v>0</v>
      </c>
      <c r="BI195" s="4357">
        <f t="shared" si="453"/>
        <v>0</v>
      </c>
      <c r="BJ195" s="4357">
        <f t="shared" si="453"/>
        <v>0</v>
      </c>
      <c r="BK195" s="4357">
        <f t="shared" si="453"/>
        <v>0</v>
      </c>
      <c r="BL195" s="4357">
        <f t="shared" si="453"/>
        <v>0</v>
      </c>
      <c r="BM195" s="4357">
        <f t="shared" si="453"/>
        <v>0</v>
      </c>
      <c r="BN195" s="4357">
        <f t="shared" si="453"/>
        <v>0</v>
      </c>
      <c r="BO195" s="4357">
        <f t="shared" si="453"/>
        <v>0</v>
      </c>
      <c r="BP195" s="4357">
        <f t="shared" si="453"/>
        <v>0</v>
      </c>
      <c r="BQ195" s="4357">
        <f t="shared" ref="BQ195:CH195" si="454">IFERROR(IF((time+time_cap)&lt;BQ$2, 0,IF(AND(time+1&gt;=BR$2, $AC195&lt;BR$2), IF($AG195= "I", $AH195/($AD195-$AC195+1), $AH195/(($AD195*($AD195+1)/2)-(($AC195-1)*($AC195-1+1)/2))*BQ$2), 0)+IF(IF(time+1&gt;=BR$2, $AI195/time_cap/(time+1)*BQ$2, 0) = 0, $AI195/(time_cap),0)),0)</f>
        <v>0</v>
      </c>
      <c r="BR195" s="4357">
        <f t="shared" si="454"/>
        <v>0</v>
      </c>
      <c r="BS195" s="4357">
        <f t="shared" si="454"/>
        <v>0</v>
      </c>
      <c r="BT195" s="4357">
        <f t="shared" si="454"/>
        <v>0</v>
      </c>
      <c r="BU195" s="4357">
        <f t="shared" si="454"/>
        <v>0</v>
      </c>
      <c r="BV195" s="4357">
        <f t="shared" si="454"/>
        <v>0</v>
      </c>
      <c r="BW195" s="4357">
        <f t="shared" si="454"/>
        <v>0</v>
      </c>
      <c r="BX195" s="4357">
        <f t="shared" si="454"/>
        <v>0</v>
      </c>
      <c r="BY195" s="4357">
        <f t="shared" si="454"/>
        <v>0</v>
      </c>
      <c r="BZ195" s="4357">
        <f t="shared" si="454"/>
        <v>0</v>
      </c>
      <c r="CA195" s="4357">
        <f t="shared" si="454"/>
        <v>0</v>
      </c>
      <c r="CB195" s="4357">
        <f t="shared" si="454"/>
        <v>0</v>
      </c>
      <c r="CC195" s="4357">
        <f t="shared" si="454"/>
        <v>0</v>
      </c>
      <c r="CD195" s="4357">
        <f t="shared" si="454"/>
        <v>0</v>
      </c>
      <c r="CE195" s="4357">
        <f t="shared" si="454"/>
        <v>0</v>
      </c>
      <c r="CF195" s="4357">
        <f t="shared" si="454"/>
        <v>0</v>
      </c>
      <c r="CG195" s="4357">
        <f t="shared" si="454"/>
        <v>0</v>
      </c>
      <c r="CH195" s="4357">
        <f t="shared" si="454"/>
        <v>0</v>
      </c>
      <c r="CI195" s="4357"/>
      <c r="CJ195" s="4357"/>
      <c r="CK195" s="4357"/>
      <c r="CL195" s="4357"/>
      <c r="CM195" s="4357"/>
      <c r="CN195" s="4357"/>
      <c r="CO195" s="4357"/>
      <c r="CP195" s="4357"/>
      <c r="CQ195" s="4357"/>
      <c r="CR195" s="4357"/>
      <c r="CS195" s="4357"/>
      <c r="CT195" s="4357"/>
      <c r="CU195" s="4357"/>
      <c r="CV195" s="4357"/>
      <c r="CW195" s="4357"/>
      <c r="CX195" s="4357"/>
      <c r="CY195" s="4357"/>
      <c r="CZ195" s="4357"/>
      <c r="DA195" s="4357"/>
      <c r="DB195" s="4357"/>
      <c r="DC195" s="4357"/>
      <c r="DD195" s="4357"/>
      <c r="DE195" s="4357"/>
      <c r="DF195" s="4357"/>
      <c r="DG195" s="4357"/>
      <c r="DH195" s="4357"/>
      <c r="DI195" s="4357"/>
      <c r="DJ195" s="4357"/>
      <c r="DK195" s="4357"/>
      <c r="DL195" s="4357"/>
      <c r="DM195" s="4357"/>
      <c r="DN195" s="4357"/>
      <c r="DO195" s="4357"/>
      <c r="DP195" s="4357"/>
      <c r="DQ195" s="4357"/>
      <c r="DR195" s="4357"/>
      <c r="DS195" s="4357"/>
      <c r="DT195" s="4357"/>
      <c r="DU195" s="4357"/>
      <c r="DV195" s="4357"/>
      <c r="DW195" s="4357"/>
      <c r="DX195" s="4357"/>
      <c r="DY195" s="4357"/>
      <c r="DZ195" s="4357"/>
      <c r="EA195" s="4357"/>
      <c r="EB195" s="4357"/>
      <c r="EC195" s="4357"/>
      <c r="ED195" s="4357"/>
      <c r="EE195" s="4357"/>
      <c r="EF195" s="4357"/>
    </row>
    <row r="196" spans="1:136" ht="16" x14ac:dyDescent="0.2">
      <c r="A196" t="s">
        <v>3025</v>
      </c>
      <c r="B196" t="s">
        <v>2311</v>
      </c>
      <c r="D196" t="str">
        <f>'8. Fisheries and aquaculture'!C15</f>
        <v>Marine</v>
      </c>
      <c r="E196" s="388">
        <f>'Fish and aqua'!Q18+'Fish and aqua'!Q29+'Fish and aqua'!Q41</f>
        <v>0</v>
      </c>
      <c r="F196" s="388">
        <v>0</v>
      </c>
      <c r="G196" s="388">
        <v>0</v>
      </c>
      <c r="K196" s="388">
        <f>'Fish and aqua'!P18-'Fish and aqua'!O18+'Fish and aqua'!P29-'Fish and aqua'!O29+'Fish and aqua'!P41-'Fish and aqua'!O41</f>
        <v>0</v>
      </c>
      <c r="AB196" t="str">
        <f t="shared" si="340"/>
        <v>ok</v>
      </c>
      <c r="AC196">
        <f>IF('8. Fisheries and aquaculture'!CN15&lt;&gt;0,'8. Fisheries and aquaculture'!CN15,'8. Fisheries and aquaculture'!CM15)</f>
        <v>1</v>
      </c>
      <c r="AD196">
        <f t="shared" si="371"/>
        <v>5</v>
      </c>
      <c r="AE196" s="4357" t="str">
        <f>'8. Fisheries and aquaculture'!AA15</f>
        <v>D</v>
      </c>
      <c r="AF196" s="4357" t="str">
        <f>'8. Fisheries and aquaculture'!AC15</f>
        <v>D</v>
      </c>
      <c r="AG196" s="4357" t="str">
        <f t="shared" si="374"/>
        <v>D</v>
      </c>
      <c r="AH196" s="4357">
        <f>((E196/(time_cap+((AD196-AC196+1)*VLOOKUP(AG196,list!$I$48:$K$50,3, FALSE))))*(AD196-AC196+1)*VLOOKUP(AG196,list!$I$48:$K$50,3, FALSE))</f>
        <v>0</v>
      </c>
      <c r="AI196" s="4357">
        <f>((E196/(time_cap+((AD196-AC196+1)*VLOOKUP(AG196,list!$I$48:$K$50,3, FALSE))))*time_cap)</f>
        <v>0</v>
      </c>
      <c r="AK196" s="4357">
        <f t="shared" ref="AK196:BP196" si="455">IFERROR(IF((time+time_cap)&lt;AK$2, 0,IF(AND(time+1&gt;=AL$2, $AC196&lt;AL$2), IF($AG196= "I", $AH196/($AD196-$AC196+1), $AH196/(($AD196*($AD196+1)/2)-(($AC196-1)*($AC196-1+1)/2))*AK$2), 0)+IF(IF(time+1&gt;=AL$2, $AI196/time_cap/(time+1)*AK$2, 0) = 0, $AI196/(time_cap),0)),0)</f>
        <v>0</v>
      </c>
      <c r="AL196" s="4357">
        <f t="shared" si="455"/>
        <v>0</v>
      </c>
      <c r="AM196" s="4357">
        <f t="shared" si="455"/>
        <v>0</v>
      </c>
      <c r="AN196" s="4357">
        <f t="shared" si="455"/>
        <v>0</v>
      </c>
      <c r="AO196" s="4357">
        <f t="shared" si="455"/>
        <v>0</v>
      </c>
      <c r="AP196" s="4357">
        <f t="shared" si="455"/>
        <v>0</v>
      </c>
      <c r="AQ196" s="4357">
        <f t="shared" si="455"/>
        <v>0</v>
      </c>
      <c r="AR196" s="4357">
        <f t="shared" si="455"/>
        <v>0</v>
      </c>
      <c r="AS196" s="4357">
        <f t="shared" si="455"/>
        <v>0</v>
      </c>
      <c r="AT196" s="4357">
        <f t="shared" si="455"/>
        <v>0</v>
      </c>
      <c r="AU196" s="4357">
        <f t="shared" si="455"/>
        <v>0</v>
      </c>
      <c r="AV196" s="4357">
        <f t="shared" si="455"/>
        <v>0</v>
      </c>
      <c r="AW196" s="4357">
        <f t="shared" si="455"/>
        <v>0</v>
      </c>
      <c r="AX196" s="4357">
        <f t="shared" si="455"/>
        <v>0</v>
      </c>
      <c r="AY196" s="4357">
        <f t="shared" si="455"/>
        <v>0</v>
      </c>
      <c r="AZ196" s="4357">
        <f t="shared" si="455"/>
        <v>0</v>
      </c>
      <c r="BA196" s="4357">
        <f t="shared" si="455"/>
        <v>0</v>
      </c>
      <c r="BB196" s="4357">
        <f t="shared" si="455"/>
        <v>0</v>
      </c>
      <c r="BC196" s="4357">
        <f t="shared" si="455"/>
        <v>0</v>
      </c>
      <c r="BD196" s="4357">
        <f t="shared" si="455"/>
        <v>0</v>
      </c>
      <c r="BE196" s="4357">
        <f t="shared" si="455"/>
        <v>0</v>
      </c>
      <c r="BF196" s="4357">
        <f t="shared" si="455"/>
        <v>0</v>
      </c>
      <c r="BG196" s="4357">
        <f t="shared" si="455"/>
        <v>0</v>
      </c>
      <c r="BH196" s="4357">
        <f t="shared" si="455"/>
        <v>0</v>
      </c>
      <c r="BI196" s="4357">
        <f t="shared" si="455"/>
        <v>0</v>
      </c>
      <c r="BJ196" s="4357">
        <f t="shared" si="455"/>
        <v>0</v>
      </c>
      <c r="BK196" s="4357">
        <f t="shared" si="455"/>
        <v>0</v>
      </c>
      <c r="BL196" s="4357">
        <f t="shared" si="455"/>
        <v>0</v>
      </c>
      <c r="BM196" s="4357">
        <f t="shared" si="455"/>
        <v>0</v>
      </c>
      <c r="BN196" s="4357">
        <f t="shared" si="455"/>
        <v>0</v>
      </c>
      <c r="BO196" s="4357">
        <f t="shared" si="455"/>
        <v>0</v>
      </c>
      <c r="BP196" s="4357">
        <f t="shared" si="455"/>
        <v>0</v>
      </c>
      <c r="BQ196" s="4357">
        <f t="shared" ref="BQ196:CH196" si="456">IFERROR(IF((time+time_cap)&lt;BQ$2, 0,IF(AND(time+1&gt;=BR$2, $AC196&lt;BR$2), IF($AG196= "I", $AH196/($AD196-$AC196+1), $AH196/(($AD196*($AD196+1)/2)-(($AC196-1)*($AC196-1+1)/2))*BQ$2), 0)+IF(IF(time+1&gt;=BR$2, $AI196/time_cap/(time+1)*BQ$2, 0) = 0, $AI196/(time_cap),0)),0)</f>
        <v>0</v>
      </c>
      <c r="BR196" s="4357">
        <f t="shared" si="456"/>
        <v>0</v>
      </c>
      <c r="BS196" s="4357">
        <f t="shared" si="456"/>
        <v>0</v>
      </c>
      <c r="BT196" s="4357">
        <f t="shared" si="456"/>
        <v>0</v>
      </c>
      <c r="BU196" s="4357">
        <f t="shared" si="456"/>
        <v>0</v>
      </c>
      <c r="BV196" s="4357">
        <f t="shared" si="456"/>
        <v>0</v>
      </c>
      <c r="BW196" s="4357">
        <f t="shared" si="456"/>
        <v>0</v>
      </c>
      <c r="BX196" s="4357">
        <f t="shared" si="456"/>
        <v>0</v>
      </c>
      <c r="BY196" s="4357">
        <f t="shared" si="456"/>
        <v>0</v>
      </c>
      <c r="BZ196" s="4357">
        <f t="shared" si="456"/>
        <v>0</v>
      </c>
      <c r="CA196" s="4357">
        <f t="shared" si="456"/>
        <v>0</v>
      </c>
      <c r="CB196" s="4357">
        <f t="shared" si="456"/>
        <v>0</v>
      </c>
      <c r="CC196" s="4357">
        <f t="shared" si="456"/>
        <v>0</v>
      </c>
      <c r="CD196" s="4357">
        <f t="shared" si="456"/>
        <v>0</v>
      </c>
      <c r="CE196" s="4357">
        <f t="shared" si="456"/>
        <v>0</v>
      </c>
      <c r="CF196" s="4357">
        <f t="shared" si="456"/>
        <v>0</v>
      </c>
      <c r="CG196" s="4357">
        <f t="shared" si="456"/>
        <v>0</v>
      </c>
      <c r="CH196" s="4357">
        <f t="shared" si="456"/>
        <v>0</v>
      </c>
      <c r="CI196" s="4357"/>
      <c r="CJ196" s="4357"/>
      <c r="CK196" s="4357"/>
      <c r="CL196" s="4357"/>
      <c r="CM196" s="4357"/>
      <c r="CN196" s="4357"/>
      <c r="CO196" s="4357"/>
      <c r="CP196" s="4357"/>
      <c r="CQ196" s="4357"/>
      <c r="CR196" s="4357"/>
      <c r="CS196" s="4357"/>
      <c r="CT196" s="4357"/>
      <c r="CU196" s="4357"/>
      <c r="CV196" s="4357"/>
      <c r="CW196" s="4357"/>
      <c r="CX196" s="4357"/>
      <c r="CY196" s="4357"/>
      <c r="CZ196" s="4357"/>
      <c r="DA196" s="4357"/>
      <c r="DB196" s="4357"/>
      <c r="DC196" s="4357"/>
      <c r="DD196" s="4357"/>
      <c r="DE196" s="4357"/>
      <c r="DF196" s="4357"/>
      <c r="DG196" s="4357"/>
      <c r="DH196" s="4357"/>
      <c r="DI196" s="4357"/>
      <c r="DJ196" s="4357"/>
      <c r="DK196" s="4357"/>
      <c r="DL196" s="4357"/>
      <c r="DM196" s="4357"/>
      <c r="DN196" s="4357"/>
      <c r="DO196" s="4357"/>
      <c r="DP196" s="4357"/>
      <c r="DQ196" s="4357"/>
      <c r="DR196" s="4357"/>
      <c r="DS196" s="4357"/>
      <c r="DT196" s="4357"/>
      <c r="DU196" s="4357"/>
      <c r="DV196" s="4357"/>
      <c r="DW196" s="4357"/>
      <c r="DX196" s="4357"/>
      <c r="DY196" s="4357"/>
      <c r="DZ196" s="4357"/>
      <c r="EA196" s="4357"/>
      <c r="EB196" s="4357"/>
      <c r="EC196" s="4357"/>
      <c r="ED196" s="4357"/>
      <c r="EE196" s="4357"/>
      <c r="EF196" s="4357"/>
    </row>
    <row r="197" spans="1:136" ht="16" x14ac:dyDescent="0.2">
      <c r="A197" t="s">
        <v>3025</v>
      </c>
      <c r="B197" t="s">
        <v>2311</v>
      </c>
      <c r="D197" t="str">
        <f>'8. Fisheries and aquaculture'!C16</f>
        <v>Please select</v>
      </c>
      <c r="E197" s="388">
        <f>'Fish and aqua'!Q19+'Fish and aqua'!Q30+'Fish and aqua'!Q42</f>
        <v>0</v>
      </c>
      <c r="F197" s="388">
        <v>0</v>
      </c>
      <c r="G197" s="388">
        <v>0</v>
      </c>
      <c r="K197" s="388">
        <f>'Fish and aqua'!P19-'Fish and aqua'!O19+'Fish and aqua'!P30-'Fish and aqua'!O30+'Fish and aqua'!P42-'Fish and aqua'!O42</f>
        <v>0</v>
      </c>
      <c r="AB197" t="str">
        <f t="shared" si="340"/>
        <v>ok</v>
      </c>
      <c r="AC197">
        <f>IF('8. Fisheries and aquaculture'!CN16&lt;&gt;0,'8. Fisheries and aquaculture'!CN16,'8. Fisheries and aquaculture'!CM16)</f>
        <v>1</v>
      </c>
      <c r="AD197">
        <f t="shared" si="371"/>
        <v>5</v>
      </c>
      <c r="AE197" s="4357" t="str">
        <f>'8. Fisheries and aquaculture'!AA16</f>
        <v>D</v>
      </c>
      <c r="AF197" s="4357" t="str">
        <f>'8. Fisheries and aquaculture'!AC16</f>
        <v>D</v>
      </c>
      <c r="AG197" s="4357" t="str">
        <f t="shared" si="374"/>
        <v>D</v>
      </c>
      <c r="AH197" s="4357">
        <f>((E197/(time_cap+((AD197-AC197+1)*VLOOKUP(AG197,list!$I$48:$K$50,3, FALSE))))*(AD197-AC197+1)*VLOOKUP(AG197,list!$I$48:$K$50,3, FALSE))</f>
        <v>0</v>
      </c>
      <c r="AI197" s="4357">
        <f>((E197/(time_cap+((AD197-AC197+1)*VLOOKUP(AG197,list!$I$48:$K$50,3, FALSE))))*time_cap)</f>
        <v>0</v>
      </c>
      <c r="AK197" s="4357">
        <f t="shared" ref="AK197:BP197" si="457">IFERROR(IF((time+time_cap)&lt;AK$2, 0,IF(AND(time+1&gt;=AL$2, $AC197&lt;AL$2), IF($AG197= "I", $AH197/($AD197-$AC197+1), $AH197/(($AD197*($AD197+1)/2)-(($AC197-1)*($AC197-1+1)/2))*AK$2), 0)+IF(IF(time+1&gt;=AL$2, $AI197/time_cap/(time+1)*AK$2, 0) = 0, $AI197/(time_cap),0)),0)</f>
        <v>0</v>
      </c>
      <c r="AL197" s="4357">
        <f t="shared" si="457"/>
        <v>0</v>
      </c>
      <c r="AM197" s="4357">
        <f t="shared" si="457"/>
        <v>0</v>
      </c>
      <c r="AN197" s="4357">
        <f t="shared" si="457"/>
        <v>0</v>
      </c>
      <c r="AO197" s="4357">
        <f t="shared" si="457"/>
        <v>0</v>
      </c>
      <c r="AP197" s="4357">
        <f t="shared" si="457"/>
        <v>0</v>
      </c>
      <c r="AQ197" s="4357">
        <f t="shared" si="457"/>
        <v>0</v>
      </c>
      <c r="AR197" s="4357">
        <f t="shared" si="457"/>
        <v>0</v>
      </c>
      <c r="AS197" s="4357">
        <f t="shared" si="457"/>
        <v>0</v>
      </c>
      <c r="AT197" s="4357">
        <f t="shared" si="457"/>
        <v>0</v>
      </c>
      <c r="AU197" s="4357">
        <f t="shared" si="457"/>
        <v>0</v>
      </c>
      <c r="AV197" s="4357">
        <f t="shared" si="457"/>
        <v>0</v>
      </c>
      <c r="AW197" s="4357">
        <f t="shared" si="457"/>
        <v>0</v>
      </c>
      <c r="AX197" s="4357">
        <f t="shared" si="457"/>
        <v>0</v>
      </c>
      <c r="AY197" s="4357">
        <f t="shared" si="457"/>
        <v>0</v>
      </c>
      <c r="AZ197" s="4357">
        <f t="shared" si="457"/>
        <v>0</v>
      </c>
      <c r="BA197" s="4357">
        <f t="shared" si="457"/>
        <v>0</v>
      </c>
      <c r="BB197" s="4357">
        <f t="shared" si="457"/>
        <v>0</v>
      </c>
      <c r="BC197" s="4357">
        <f t="shared" si="457"/>
        <v>0</v>
      </c>
      <c r="BD197" s="4357">
        <f t="shared" si="457"/>
        <v>0</v>
      </c>
      <c r="BE197" s="4357">
        <f t="shared" si="457"/>
        <v>0</v>
      </c>
      <c r="BF197" s="4357">
        <f t="shared" si="457"/>
        <v>0</v>
      </c>
      <c r="BG197" s="4357">
        <f t="shared" si="457"/>
        <v>0</v>
      </c>
      <c r="BH197" s="4357">
        <f t="shared" si="457"/>
        <v>0</v>
      </c>
      <c r="BI197" s="4357">
        <f t="shared" si="457"/>
        <v>0</v>
      </c>
      <c r="BJ197" s="4357">
        <f t="shared" si="457"/>
        <v>0</v>
      </c>
      <c r="BK197" s="4357">
        <f t="shared" si="457"/>
        <v>0</v>
      </c>
      <c r="BL197" s="4357">
        <f t="shared" si="457"/>
        <v>0</v>
      </c>
      <c r="BM197" s="4357">
        <f t="shared" si="457"/>
        <v>0</v>
      </c>
      <c r="BN197" s="4357">
        <f t="shared" si="457"/>
        <v>0</v>
      </c>
      <c r="BO197" s="4357">
        <f t="shared" si="457"/>
        <v>0</v>
      </c>
      <c r="BP197" s="4357">
        <f t="shared" si="457"/>
        <v>0</v>
      </c>
      <c r="BQ197" s="4357">
        <f t="shared" ref="BQ197:CH197" si="458">IFERROR(IF((time+time_cap)&lt;BQ$2, 0,IF(AND(time+1&gt;=BR$2, $AC197&lt;BR$2), IF($AG197= "I", $AH197/($AD197-$AC197+1), $AH197/(($AD197*($AD197+1)/2)-(($AC197-1)*($AC197-1+1)/2))*BQ$2), 0)+IF(IF(time+1&gt;=BR$2, $AI197/time_cap/(time+1)*BQ$2, 0) = 0, $AI197/(time_cap),0)),0)</f>
        <v>0</v>
      </c>
      <c r="BR197" s="4357">
        <f t="shared" si="458"/>
        <v>0</v>
      </c>
      <c r="BS197" s="4357">
        <f t="shared" si="458"/>
        <v>0</v>
      </c>
      <c r="BT197" s="4357">
        <f t="shared" si="458"/>
        <v>0</v>
      </c>
      <c r="BU197" s="4357">
        <f t="shared" si="458"/>
        <v>0</v>
      </c>
      <c r="BV197" s="4357">
        <f t="shared" si="458"/>
        <v>0</v>
      </c>
      <c r="BW197" s="4357">
        <f t="shared" si="458"/>
        <v>0</v>
      </c>
      <c r="BX197" s="4357">
        <f t="shared" si="458"/>
        <v>0</v>
      </c>
      <c r="BY197" s="4357">
        <f t="shared" si="458"/>
        <v>0</v>
      </c>
      <c r="BZ197" s="4357">
        <f t="shared" si="458"/>
        <v>0</v>
      </c>
      <c r="CA197" s="4357">
        <f t="shared" si="458"/>
        <v>0</v>
      </c>
      <c r="CB197" s="4357">
        <f t="shared" si="458"/>
        <v>0</v>
      </c>
      <c r="CC197" s="4357">
        <f t="shared" si="458"/>
        <v>0</v>
      </c>
      <c r="CD197" s="4357">
        <f t="shared" si="458"/>
        <v>0</v>
      </c>
      <c r="CE197" s="4357">
        <f t="shared" si="458"/>
        <v>0</v>
      </c>
      <c r="CF197" s="4357">
        <f t="shared" si="458"/>
        <v>0</v>
      </c>
      <c r="CG197" s="4357">
        <f t="shared" si="458"/>
        <v>0</v>
      </c>
      <c r="CH197" s="4357">
        <f t="shared" si="458"/>
        <v>0</v>
      </c>
      <c r="CI197" s="4357"/>
      <c r="CJ197" s="4357"/>
      <c r="CK197" s="4357"/>
      <c r="CL197" s="4357"/>
      <c r="CM197" s="4357"/>
      <c r="CN197" s="4357"/>
      <c r="CO197" s="4357"/>
      <c r="CP197" s="4357"/>
      <c r="CQ197" s="4357"/>
      <c r="CR197" s="4357"/>
      <c r="CS197" s="4357"/>
      <c r="CT197" s="4357"/>
      <c r="CU197" s="4357"/>
      <c r="CV197" s="4357"/>
      <c r="CW197" s="4357"/>
      <c r="CX197" s="4357"/>
      <c r="CY197" s="4357"/>
      <c r="CZ197" s="4357"/>
      <c r="DA197" s="4357"/>
      <c r="DB197" s="4357"/>
      <c r="DC197" s="4357"/>
      <c r="DD197" s="4357"/>
      <c r="DE197" s="4357"/>
      <c r="DF197" s="4357"/>
      <c r="DG197" s="4357"/>
      <c r="DH197" s="4357"/>
      <c r="DI197" s="4357"/>
      <c r="DJ197" s="4357"/>
      <c r="DK197" s="4357"/>
      <c r="DL197" s="4357"/>
      <c r="DM197" s="4357"/>
      <c r="DN197" s="4357"/>
      <c r="DO197" s="4357"/>
      <c r="DP197" s="4357"/>
      <c r="DQ197" s="4357"/>
      <c r="DR197" s="4357"/>
      <c r="DS197" s="4357"/>
      <c r="DT197" s="4357"/>
      <c r="DU197" s="4357"/>
      <c r="DV197" s="4357"/>
      <c r="DW197" s="4357"/>
      <c r="DX197" s="4357"/>
      <c r="DY197" s="4357"/>
      <c r="DZ197" s="4357"/>
      <c r="EA197" s="4357"/>
      <c r="EB197" s="4357"/>
      <c r="EC197" s="4357"/>
      <c r="ED197" s="4357"/>
      <c r="EE197" s="4357"/>
      <c r="EF197" s="4357"/>
    </row>
    <row r="198" spans="1:136" ht="16" x14ac:dyDescent="0.2">
      <c r="A198" t="s">
        <v>3025</v>
      </c>
      <c r="B198" t="s">
        <v>2311</v>
      </c>
      <c r="D198" t="str">
        <f>'8. Fisheries and aquaculture'!C17</f>
        <v>Please select</v>
      </c>
      <c r="E198" s="388">
        <f>'Fish and aqua'!Q20+'Fish and aqua'!Q31+'Fish and aqua'!Q43</f>
        <v>0</v>
      </c>
      <c r="F198" s="388">
        <v>0</v>
      </c>
      <c r="G198" s="388">
        <v>0</v>
      </c>
      <c r="K198" s="388">
        <f>'Fish and aqua'!P20-'Fish and aqua'!O20+'Fish and aqua'!P31-'Fish and aqua'!O31+'Fish and aqua'!P43-'Fish and aqua'!O43</f>
        <v>0</v>
      </c>
      <c r="AB198" t="str">
        <f t="shared" si="340"/>
        <v>ok</v>
      </c>
      <c r="AC198">
        <f>IF('8. Fisheries and aquaculture'!CN17&lt;&gt;0,'8. Fisheries and aquaculture'!CN17,'8. Fisheries and aquaculture'!CM17)</f>
        <v>1</v>
      </c>
      <c r="AD198">
        <f t="shared" si="371"/>
        <v>5</v>
      </c>
      <c r="AE198" s="4357" t="str">
        <f>'8. Fisheries and aquaculture'!AA17</f>
        <v>D</v>
      </c>
      <c r="AF198" s="4357" t="str">
        <f>'8. Fisheries and aquaculture'!AC17</f>
        <v>D</v>
      </c>
      <c r="AG198" s="4357" t="str">
        <f t="shared" si="374"/>
        <v>D</v>
      </c>
      <c r="AH198" s="4357">
        <f>((E198/(time_cap+((AD198-AC198+1)*VLOOKUP(AG198,list!$I$48:$K$50,3, FALSE))))*(AD198-AC198+1)*VLOOKUP(AG198,list!$I$48:$K$50,3, FALSE))</f>
        <v>0</v>
      </c>
      <c r="AI198" s="4357">
        <f>((E198/(time_cap+((AD198-AC198+1)*VLOOKUP(AG198,list!$I$48:$K$50,3, FALSE))))*time_cap)</f>
        <v>0</v>
      </c>
      <c r="AK198" s="4357">
        <f t="shared" ref="AK198:BP198" si="459">IFERROR(IF((time+time_cap)&lt;AK$2, 0,IF(AND(time+1&gt;=AL$2, $AC198&lt;AL$2), IF($AG198= "I", $AH198/($AD198-$AC198+1), $AH198/(($AD198*($AD198+1)/2)-(($AC198-1)*($AC198-1+1)/2))*AK$2), 0)+IF(IF(time+1&gt;=AL$2, $AI198/time_cap/(time+1)*AK$2, 0) = 0, $AI198/(time_cap),0)),0)</f>
        <v>0</v>
      </c>
      <c r="AL198" s="4357">
        <f t="shared" si="459"/>
        <v>0</v>
      </c>
      <c r="AM198" s="4357">
        <f t="shared" si="459"/>
        <v>0</v>
      </c>
      <c r="AN198" s="4357">
        <f t="shared" si="459"/>
        <v>0</v>
      </c>
      <c r="AO198" s="4357">
        <f t="shared" si="459"/>
        <v>0</v>
      </c>
      <c r="AP198" s="4357">
        <f t="shared" si="459"/>
        <v>0</v>
      </c>
      <c r="AQ198" s="4357">
        <f t="shared" si="459"/>
        <v>0</v>
      </c>
      <c r="AR198" s="4357">
        <f t="shared" si="459"/>
        <v>0</v>
      </c>
      <c r="AS198" s="4357">
        <f t="shared" si="459"/>
        <v>0</v>
      </c>
      <c r="AT198" s="4357">
        <f t="shared" si="459"/>
        <v>0</v>
      </c>
      <c r="AU198" s="4357">
        <f t="shared" si="459"/>
        <v>0</v>
      </c>
      <c r="AV198" s="4357">
        <f t="shared" si="459"/>
        <v>0</v>
      </c>
      <c r="AW198" s="4357">
        <f t="shared" si="459"/>
        <v>0</v>
      </c>
      <c r="AX198" s="4357">
        <f t="shared" si="459"/>
        <v>0</v>
      </c>
      <c r="AY198" s="4357">
        <f t="shared" si="459"/>
        <v>0</v>
      </c>
      <c r="AZ198" s="4357">
        <f t="shared" si="459"/>
        <v>0</v>
      </c>
      <c r="BA198" s="4357">
        <f t="shared" si="459"/>
        <v>0</v>
      </c>
      <c r="BB198" s="4357">
        <f t="shared" si="459"/>
        <v>0</v>
      </c>
      <c r="BC198" s="4357">
        <f t="shared" si="459"/>
        <v>0</v>
      </c>
      <c r="BD198" s="4357">
        <f t="shared" si="459"/>
        <v>0</v>
      </c>
      <c r="BE198" s="4357">
        <f t="shared" si="459"/>
        <v>0</v>
      </c>
      <c r="BF198" s="4357">
        <f t="shared" si="459"/>
        <v>0</v>
      </c>
      <c r="BG198" s="4357">
        <f t="shared" si="459"/>
        <v>0</v>
      </c>
      <c r="BH198" s="4357">
        <f t="shared" si="459"/>
        <v>0</v>
      </c>
      <c r="BI198" s="4357">
        <f t="shared" si="459"/>
        <v>0</v>
      </c>
      <c r="BJ198" s="4357">
        <f t="shared" si="459"/>
        <v>0</v>
      </c>
      <c r="BK198" s="4357">
        <f t="shared" si="459"/>
        <v>0</v>
      </c>
      <c r="BL198" s="4357">
        <f t="shared" si="459"/>
        <v>0</v>
      </c>
      <c r="BM198" s="4357">
        <f t="shared" si="459"/>
        <v>0</v>
      </c>
      <c r="BN198" s="4357">
        <f t="shared" si="459"/>
        <v>0</v>
      </c>
      <c r="BO198" s="4357">
        <f t="shared" si="459"/>
        <v>0</v>
      </c>
      <c r="BP198" s="4357">
        <f t="shared" si="459"/>
        <v>0</v>
      </c>
      <c r="BQ198" s="4357">
        <f t="shared" ref="BQ198:CH198" si="460">IFERROR(IF((time+time_cap)&lt;BQ$2, 0,IF(AND(time+1&gt;=BR$2, $AC198&lt;BR$2), IF($AG198= "I", $AH198/($AD198-$AC198+1), $AH198/(($AD198*($AD198+1)/2)-(($AC198-1)*($AC198-1+1)/2))*BQ$2), 0)+IF(IF(time+1&gt;=BR$2, $AI198/time_cap/(time+1)*BQ$2, 0) = 0, $AI198/(time_cap),0)),0)</f>
        <v>0</v>
      </c>
      <c r="BR198" s="4357">
        <f t="shared" si="460"/>
        <v>0</v>
      </c>
      <c r="BS198" s="4357">
        <f t="shared" si="460"/>
        <v>0</v>
      </c>
      <c r="BT198" s="4357">
        <f t="shared" si="460"/>
        <v>0</v>
      </c>
      <c r="BU198" s="4357">
        <f t="shared" si="460"/>
        <v>0</v>
      </c>
      <c r="BV198" s="4357">
        <f t="shared" si="460"/>
        <v>0</v>
      </c>
      <c r="BW198" s="4357">
        <f t="shared" si="460"/>
        <v>0</v>
      </c>
      <c r="BX198" s="4357">
        <f t="shared" si="460"/>
        <v>0</v>
      </c>
      <c r="BY198" s="4357">
        <f t="shared" si="460"/>
        <v>0</v>
      </c>
      <c r="BZ198" s="4357">
        <f t="shared" si="460"/>
        <v>0</v>
      </c>
      <c r="CA198" s="4357">
        <f t="shared" si="460"/>
        <v>0</v>
      </c>
      <c r="CB198" s="4357">
        <f t="shared" si="460"/>
        <v>0</v>
      </c>
      <c r="CC198" s="4357">
        <f t="shared" si="460"/>
        <v>0</v>
      </c>
      <c r="CD198" s="4357">
        <f t="shared" si="460"/>
        <v>0</v>
      </c>
      <c r="CE198" s="4357">
        <f t="shared" si="460"/>
        <v>0</v>
      </c>
      <c r="CF198" s="4357">
        <f t="shared" si="460"/>
        <v>0</v>
      </c>
      <c r="CG198" s="4357">
        <f t="shared" si="460"/>
        <v>0</v>
      </c>
      <c r="CH198" s="4357">
        <f t="shared" si="460"/>
        <v>0</v>
      </c>
      <c r="CI198" s="4357"/>
      <c r="CJ198" s="4357"/>
      <c r="CK198" s="4357"/>
      <c r="CL198" s="4357"/>
      <c r="CM198" s="4357"/>
      <c r="CN198" s="4357"/>
      <c r="CO198" s="4357"/>
      <c r="CP198" s="4357"/>
      <c r="CQ198" s="4357"/>
      <c r="CR198" s="4357"/>
      <c r="CS198" s="4357"/>
      <c r="CT198" s="4357"/>
      <c r="CU198" s="4357"/>
      <c r="CV198" s="4357"/>
      <c r="CW198" s="4357"/>
      <c r="CX198" s="4357"/>
      <c r="CY198" s="4357"/>
      <c r="CZ198" s="4357"/>
      <c r="DA198" s="4357"/>
      <c r="DB198" s="4357"/>
      <c r="DC198" s="4357"/>
      <c r="DD198" s="4357"/>
      <c r="DE198" s="4357"/>
      <c r="DF198" s="4357"/>
      <c r="DG198" s="4357"/>
      <c r="DH198" s="4357"/>
      <c r="DI198" s="4357"/>
      <c r="DJ198" s="4357"/>
      <c r="DK198" s="4357"/>
      <c r="DL198" s="4357"/>
      <c r="DM198" s="4357"/>
      <c r="DN198" s="4357"/>
      <c r="DO198" s="4357"/>
      <c r="DP198" s="4357"/>
      <c r="DQ198" s="4357"/>
      <c r="DR198" s="4357"/>
      <c r="DS198" s="4357"/>
      <c r="DT198" s="4357"/>
      <c r="DU198" s="4357"/>
      <c r="DV198" s="4357"/>
      <c r="DW198" s="4357"/>
      <c r="DX198" s="4357"/>
      <c r="DY198" s="4357"/>
      <c r="DZ198" s="4357"/>
      <c r="EA198" s="4357"/>
      <c r="EB198" s="4357"/>
      <c r="EC198" s="4357"/>
      <c r="ED198" s="4357"/>
      <c r="EE198" s="4357"/>
      <c r="EF198" s="4357"/>
    </row>
    <row r="199" spans="1:136" ht="16" x14ac:dyDescent="0.2">
      <c r="A199" t="s">
        <v>3025</v>
      </c>
      <c r="B199" t="s">
        <v>2311</v>
      </c>
      <c r="D199" t="str">
        <f>'8. Fisheries and aquaculture'!C18</f>
        <v>Please select</v>
      </c>
      <c r="E199" s="388">
        <f>'Fish and aqua'!Q21+'Fish and aqua'!Q32+'Fish and aqua'!Q44</f>
        <v>0</v>
      </c>
      <c r="F199" s="388">
        <v>0</v>
      </c>
      <c r="G199" s="388">
        <v>0</v>
      </c>
      <c r="K199" s="388">
        <f>'Fish and aqua'!P21-'Fish and aqua'!O21+'Fish and aqua'!P32-'Fish and aqua'!O32+'Fish and aqua'!P44-'Fish and aqua'!O44</f>
        <v>0</v>
      </c>
      <c r="AB199" t="str">
        <f t="shared" si="340"/>
        <v>ok</v>
      </c>
      <c r="AC199">
        <f>IF('8. Fisheries and aquaculture'!CN18&lt;&gt;0,'8. Fisheries and aquaculture'!CN18,'8. Fisheries and aquaculture'!CM18)</f>
        <v>1</v>
      </c>
      <c r="AD199">
        <f t="shared" si="371"/>
        <v>5</v>
      </c>
      <c r="AE199" s="4357" t="str">
        <f>'8. Fisheries and aquaculture'!AA18</f>
        <v>D</v>
      </c>
      <c r="AF199" s="4357" t="str">
        <f>'8. Fisheries and aquaculture'!AC18</f>
        <v>D</v>
      </c>
      <c r="AG199" s="4357" t="str">
        <f t="shared" si="374"/>
        <v>D</v>
      </c>
      <c r="AH199" s="4357">
        <f>((E199/(time_cap+((AD199-AC199+1)*VLOOKUP(AG199,list!$I$48:$K$50,3, FALSE))))*(AD199-AC199+1)*VLOOKUP(AG199,list!$I$48:$K$50,3, FALSE))</f>
        <v>0</v>
      </c>
      <c r="AI199" s="4357">
        <f>((E199/(time_cap+((AD199-AC199+1)*VLOOKUP(AG199,list!$I$48:$K$50,3, FALSE))))*time_cap)</f>
        <v>0</v>
      </c>
      <c r="AK199" s="4357">
        <f t="shared" ref="AK199:BP199" si="461">IFERROR(IF((time+time_cap)&lt;AK$2, 0,IF(AND(time+1&gt;=AL$2, $AC199&lt;AL$2), IF($AG199= "I", $AH199/($AD199-$AC199+1), $AH199/(($AD199*($AD199+1)/2)-(($AC199-1)*($AC199-1+1)/2))*AK$2), 0)+IF(IF(time+1&gt;=AL$2, $AI199/time_cap/(time+1)*AK$2, 0) = 0, $AI199/(time_cap),0)),0)</f>
        <v>0</v>
      </c>
      <c r="AL199" s="4357">
        <f t="shared" si="461"/>
        <v>0</v>
      </c>
      <c r="AM199" s="4357">
        <f t="shared" si="461"/>
        <v>0</v>
      </c>
      <c r="AN199" s="4357">
        <f t="shared" si="461"/>
        <v>0</v>
      </c>
      <c r="AO199" s="4357">
        <f t="shared" si="461"/>
        <v>0</v>
      </c>
      <c r="AP199" s="4357">
        <f t="shared" si="461"/>
        <v>0</v>
      </c>
      <c r="AQ199" s="4357">
        <f t="shared" si="461"/>
        <v>0</v>
      </c>
      <c r="AR199" s="4357">
        <f t="shared" si="461"/>
        <v>0</v>
      </c>
      <c r="AS199" s="4357">
        <f t="shared" si="461"/>
        <v>0</v>
      </c>
      <c r="AT199" s="4357">
        <f t="shared" si="461"/>
        <v>0</v>
      </c>
      <c r="AU199" s="4357">
        <f t="shared" si="461"/>
        <v>0</v>
      </c>
      <c r="AV199" s="4357">
        <f t="shared" si="461"/>
        <v>0</v>
      </c>
      <c r="AW199" s="4357">
        <f t="shared" si="461"/>
        <v>0</v>
      </c>
      <c r="AX199" s="4357">
        <f t="shared" si="461"/>
        <v>0</v>
      </c>
      <c r="AY199" s="4357">
        <f t="shared" si="461"/>
        <v>0</v>
      </c>
      <c r="AZ199" s="4357">
        <f t="shared" si="461"/>
        <v>0</v>
      </c>
      <c r="BA199" s="4357">
        <f t="shared" si="461"/>
        <v>0</v>
      </c>
      <c r="BB199" s="4357">
        <f t="shared" si="461"/>
        <v>0</v>
      </c>
      <c r="BC199" s="4357">
        <f t="shared" si="461"/>
        <v>0</v>
      </c>
      <c r="BD199" s="4357">
        <f t="shared" si="461"/>
        <v>0</v>
      </c>
      <c r="BE199" s="4357">
        <f t="shared" si="461"/>
        <v>0</v>
      </c>
      <c r="BF199" s="4357">
        <f t="shared" si="461"/>
        <v>0</v>
      </c>
      <c r="BG199" s="4357">
        <f t="shared" si="461"/>
        <v>0</v>
      </c>
      <c r="BH199" s="4357">
        <f t="shared" si="461"/>
        <v>0</v>
      </c>
      <c r="BI199" s="4357">
        <f t="shared" si="461"/>
        <v>0</v>
      </c>
      <c r="BJ199" s="4357">
        <f t="shared" si="461"/>
        <v>0</v>
      </c>
      <c r="BK199" s="4357">
        <f t="shared" si="461"/>
        <v>0</v>
      </c>
      <c r="BL199" s="4357">
        <f t="shared" si="461"/>
        <v>0</v>
      </c>
      <c r="BM199" s="4357">
        <f t="shared" si="461"/>
        <v>0</v>
      </c>
      <c r="BN199" s="4357">
        <f t="shared" si="461"/>
        <v>0</v>
      </c>
      <c r="BO199" s="4357">
        <f t="shared" si="461"/>
        <v>0</v>
      </c>
      <c r="BP199" s="4357">
        <f t="shared" si="461"/>
        <v>0</v>
      </c>
      <c r="BQ199" s="4357">
        <f t="shared" ref="BQ199:CH199" si="462">IFERROR(IF((time+time_cap)&lt;BQ$2, 0,IF(AND(time+1&gt;=BR$2, $AC199&lt;BR$2), IF($AG199= "I", $AH199/($AD199-$AC199+1), $AH199/(($AD199*($AD199+1)/2)-(($AC199-1)*($AC199-1+1)/2))*BQ$2), 0)+IF(IF(time+1&gt;=BR$2, $AI199/time_cap/(time+1)*BQ$2, 0) = 0, $AI199/(time_cap),0)),0)</f>
        <v>0</v>
      </c>
      <c r="BR199" s="4357">
        <f t="shared" si="462"/>
        <v>0</v>
      </c>
      <c r="BS199" s="4357">
        <f t="shared" si="462"/>
        <v>0</v>
      </c>
      <c r="BT199" s="4357">
        <f t="shared" si="462"/>
        <v>0</v>
      </c>
      <c r="BU199" s="4357">
        <f t="shared" si="462"/>
        <v>0</v>
      </c>
      <c r="BV199" s="4357">
        <f t="shared" si="462"/>
        <v>0</v>
      </c>
      <c r="BW199" s="4357">
        <f t="shared" si="462"/>
        <v>0</v>
      </c>
      <c r="BX199" s="4357">
        <f t="shared" si="462"/>
        <v>0</v>
      </c>
      <c r="BY199" s="4357">
        <f t="shared" si="462"/>
        <v>0</v>
      </c>
      <c r="BZ199" s="4357">
        <f t="shared" si="462"/>
        <v>0</v>
      </c>
      <c r="CA199" s="4357">
        <f t="shared" si="462"/>
        <v>0</v>
      </c>
      <c r="CB199" s="4357">
        <f t="shared" si="462"/>
        <v>0</v>
      </c>
      <c r="CC199" s="4357">
        <f t="shared" si="462"/>
        <v>0</v>
      </c>
      <c r="CD199" s="4357">
        <f t="shared" si="462"/>
        <v>0</v>
      </c>
      <c r="CE199" s="4357">
        <f t="shared" si="462"/>
        <v>0</v>
      </c>
      <c r="CF199" s="4357">
        <f t="shared" si="462"/>
        <v>0</v>
      </c>
      <c r="CG199" s="4357">
        <f t="shared" si="462"/>
        <v>0</v>
      </c>
      <c r="CH199" s="4357">
        <f t="shared" si="462"/>
        <v>0</v>
      </c>
      <c r="CI199" s="4357"/>
      <c r="CJ199" s="4357"/>
      <c r="CK199" s="4357"/>
      <c r="CL199" s="4357"/>
      <c r="CM199" s="4357"/>
      <c r="CN199" s="4357"/>
      <c r="CO199" s="4357"/>
      <c r="CP199" s="4357"/>
      <c r="CQ199" s="4357"/>
      <c r="CR199" s="4357"/>
      <c r="CS199" s="4357"/>
      <c r="CT199" s="4357"/>
      <c r="CU199" s="4357"/>
      <c r="CV199" s="4357"/>
      <c r="CW199" s="4357"/>
      <c r="CX199" s="4357"/>
      <c r="CY199" s="4357"/>
      <c r="CZ199" s="4357"/>
      <c r="DA199" s="4357"/>
      <c r="DB199" s="4357"/>
      <c r="DC199" s="4357"/>
      <c r="DD199" s="4357"/>
      <c r="DE199" s="4357"/>
      <c r="DF199" s="4357"/>
      <c r="DG199" s="4357"/>
      <c r="DH199" s="4357"/>
      <c r="DI199" s="4357"/>
      <c r="DJ199" s="4357"/>
      <c r="DK199" s="4357"/>
      <c r="DL199" s="4357"/>
      <c r="DM199" s="4357"/>
      <c r="DN199" s="4357"/>
      <c r="DO199" s="4357"/>
      <c r="DP199" s="4357"/>
      <c r="DQ199" s="4357"/>
      <c r="DR199" s="4357"/>
      <c r="DS199" s="4357"/>
      <c r="DT199" s="4357"/>
      <c r="DU199" s="4357"/>
      <c r="DV199" s="4357"/>
      <c r="DW199" s="4357"/>
      <c r="DX199" s="4357"/>
      <c r="DY199" s="4357"/>
      <c r="DZ199" s="4357"/>
      <c r="EA199" s="4357"/>
      <c r="EB199" s="4357"/>
      <c r="EC199" s="4357"/>
      <c r="ED199" s="4357"/>
      <c r="EE199" s="4357"/>
      <c r="EF199" s="4357"/>
    </row>
    <row r="200" spans="1:136" ht="16" x14ac:dyDescent="0.2">
      <c r="A200" t="s">
        <v>3025</v>
      </c>
      <c r="B200" t="s">
        <v>2333</v>
      </c>
      <c r="D200" t="str">
        <f>'8. Fisheries and aquaculture'!C44</f>
        <v>Please select</v>
      </c>
      <c r="E200" s="388">
        <f>'Fish and aqua'!Q68+'Fish and aqua'!Q79+'Fish and aqua'!Q94</f>
        <v>0</v>
      </c>
      <c r="F200" s="388">
        <v>0</v>
      </c>
      <c r="G200" s="388">
        <v>0</v>
      </c>
      <c r="K200" s="388">
        <f>'Fish and aqua'!P68-'Fish and aqua'!O68+'Fish and aqua'!P79-'Fish and aqua'!O79+'Fish and aqua'!P94-'Fish and aqua'!O94</f>
        <v>0</v>
      </c>
      <c r="AB200" t="str">
        <f t="shared" si="340"/>
        <v>ok</v>
      </c>
      <c r="AC200">
        <f>IF('8. Fisheries and aquaculture'!CN44&lt;&gt;0,'8. Fisheries and aquaculture'!CN44,'8. Fisheries and aquaculture'!CM44)</f>
        <v>1</v>
      </c>
      <c r="AD200">
        <f t="shared" si="371"/>
        <v>5</v>
      </c>
      <c r="AE200" s="4357" t="str">
        <f>'8. Fisheries and aquaculture'!AA44</f>
        <v>D</v>
      </c>
      <c r="AF200" s="4357" t="str">
        <f>'8. Fisheries and aquaculture'!AC44</f>
        <v>D</v>
      </c>
      <c r="AG200" s="4357" t="str">
        <f t="shared" si="374"/>
        <v>D</v>
      </c>
      <c r="AH200" s="4357">
        <f>((E200/(time_cap+((AD200-AC200+1)*VLOOKUP(AG200,list!$I$48:$K$50,3, FALSE))))*(AD200-AC200+1)*VLOOKUP(AG200,list!$I$48:$K$50,3, FALSE))</f>
        <v>0</v>
      </c>
      <c r="AI200" s="4357">
        <f>((E200/(time_cap+((AD200-AC200+1)*VLOOKUP(AG200,list!$I$48:$K$50,3, FALSE))))*time_cap)</f>
        <v>0</v>
      </c>
      <c r="AK200" s="4357">
        <f t="shared" ref="AK200:BP200" si="463">IFERROR(IF((time+time_cap)&lt;AK$2, 0,IF(AND(time+1&gt;=AL$2, $AC200&lt;AL$2), IF($AG200= "I", $AH200/($AD200-$AC200+1), $AH200/(($AD200*($AD200+1)/2)-(($AC200-1)*($AC200-1+1)/2))*AK$2), 0)+IF(IF(time+1&gt;=AL$2, $AI200/time_cap/(time+1)*AK$2, 0) = 0, $AI200/(time_cap),0)),0)</f>
        <v>0</v>
      </c>
      <c r="AL200" s="4357">
        <f t="shared" si="463"/>
        <v>0</v>
      </c>
      <c r="AM200" s="4357">
        <f t="shared" si="463"/>
        <v>0</v>
      </c>
      <c r="AN200" s="4357">
        <f t="shared" si="463"/>
        <v>0</v>
      </c>
      <c r="AO200" s="4357">
        <f t="shared" si="463"/>
        <v>0</v>
      </c>
      <c r="AP200" s="4357">
        <f t="shared" si="463"/>
        <v>0</v>
      </c>
      <c r="AQ200" s="4357">
        <f t="shared" si="463"/>
        <v>0</v>
      </c>
      <c r="AR200" s="4357">
        <f t="shared" si="463"/>
        <v>0</v>
      </c>
      <c r="AS200" s="4357">
        <f t="shared" si="463"/>
        <v>0</v>
      </c>
      <c r="AT200" s="4357">
        <f t="shared" si="463"/>
        <v>0</v>
      </c>
      <c r="AU200" s="4357">
        <f t="shared" si="463"/>
        <v>0</v>
      </c>
      <c r="AV200" s="4357">
        <f t="shared" si="463"/>
        <v>0</v>
      </c>
      <c r="AW200" s="4357">
        <f t="shared" si="463"/>
        <v>0</v>
      </c>
      <c r="AX200" s="4357">
        <f t="shared" si="463"/>
        <v>0</v>
      </c>
      <c r="AY200" s="4357">
        <f t="shared" si="463"/>
        <v>0</v>
      </c>
      <c r="AZ200" s="4357">
        <f t="shared" si="463"/>
        <v>0</v>
      </c>
      <c r="BA200" s="4357">
        <f t="shared" si="463"/>
        <v>0</v>
      </c>
      <c r="BB200" s="4357">
        <f t="shared" si="463"/>
        <v>0</v>
      </c>
      <c r="BC200" s="4357">
        <f t="shared" si="463"/>
        <v>0</v>
      </c>
      <c r="BD200" s="4357">
        <f t="shared" si="463"/>
        <v>0</v>
      </c>
      <c r="BE200" s="4357">
        <f t="shared" si="463"/>
        <v>0</v>
      </c>
      <c r="BF200" s="4357">
        <f t="shared" si="463"/>
        <v>0</v>
      </c>
      <c r="BG200" s="4357">
        <f t="shared" si="463"/>
        <v>0</v>
      </c>
      <c r="BH200" s="4357">
        <f t="shared" si="463"/>
        <v>0</v>
      </c>
      <c r="BI200" s="4357">
        <f t="shared" si="463"/>
        <v>0</v>
      </c>
      <c r="BJ200" s="4357">
        <f t="shared" si="463"/>
        <v>0</v>
      </c>
      <c r="BK200" s="4357">
        <f t="shared" si="463"/>
        <v>0</v>
      </c>
      <c r="BL200" s="4357">
        <f t="shared" si="463"/>
        <v>0</v>
      </c>
      <c r="BM200" s="4357">
        <f t="shared" si="463"/>
        <v>0</v>
      </c>
      <c r="BN200" s="4357">
        <f t="shared" si="463"/>
        <v>0</v>
      </c>
      <c r="BO200" s="4357">
        <f t="shared" si="463"/>
        <v>0</v>
      </c>
      <c r="BP200" s="4357">
        <f t="shared" si="463"/>
        <v>0</v>
      </c>
      <c r="BQ200" s="4357">
        <f t="shared" ref="BQ200:CH200" si="464">IFERROR(IF((time+time_cap)&lt;BQ$2, 0,IF(AND(time+1&gt;=BR$2, $AC200&lt;BR$2), IF($AG200= "I", $AH200/($AD200-$AC200+1), $AH200/(($AD200*($AD200+1)/2)-(($AC200-1)*($AC200-1+1)/2))*BQ$2), 0)+IF(IF(time+1&gt;=BR$2, $AI200/time_cap/(time+1)*BQ$2, 0) = 0, $AI200/(time_cap),0)),0)</f>
        <v>0</v>
      </c>
      <c r="BR200" s="4357">
        <f t="shared" si="464"/>
        <v>0</v>
      </c>
      <c r="BS200" s="4357">
        <f t="shared" si="464"/>
        <v>0</v>
      </c>
      <c r="BT200" s="4357">
        <f t="shared" si="464"/>
        <v>0</v>
      </c>
      <c r="BU200" s="4357">
        <f t="shared" si="464"/>
        <v>0</v>
      </c>
      <c r="BV200" s="4357">
        <f t="shared" si="464"/>
        <v>0</v>
      </c>
      <c r="BW200" s="4357">
        <f t="shared" si="464"/>
        <v>0</v>
      </c>
      <c r="BX200" s="4357">
        <f t="shared" si="464"/>
        <v>0</v>
      </c>
      <c r="BY200" s="4357">
        <f t="shared" si="464"/>
        <v>0</v>
      </c>
      <c r="BZ200" s="4357">
        <f t="shared" si="464"/>
        <v>0</v>
      </c>
      <c r="CA200" s="4357">
        <f t="shared" si="464"/>
        <v>0</v>
      </c>
      <c r="CB200" s="4357">
        <f t="shared" si="464"/>
        <v>0</v>
      </c>
      <c r="CC200" s="4357">
        <f t="shared" si="464"/>
        <v>0</v>
      </c>
      <c r="CD200" s="4357">
        <f t="shared" si="464"/>
        <v>0</v>
      </c>
      <c r="CE200" s="4357">
        <f t="shared" si="464"/>
        <v>0</v>
      </c>
      <c r="CF200" s="4357">
        <f t="shared" si="464"/>
        <v>0</v>
      </c>
      <c r="CG200" s="4357">
        <f t="shared" si="464"/>
        <v>0</v>
      </c>
      <c r="CH200" s="4357">
        <f t="shared" si="464"/>
        <v>0</v>
      </c>
      <c r="CI200" s="4357"/>
      <c r="CJ200" s="4357"/>
      <c r="CK200" s="4357"/>
      <c r="CL200" s="4357"/>
      <c r="CM200" s="4357"/>
      <c r="CN200" s="4357"/>
      <c r="CO200" s="4357"/>
      <c r="CP200" s="4357"/>
      <c r="CQ200" s="4357"/>
      <c r="CR200" s="4357"/>
      <c r="CS200" s="4357"/>
      <c r="CT200" s="4357"/>
      <c r="CU200" s="4357"/>
      <c r="CV200" s="4357"/>
      <c r="CW200" s="4357"/>
      <c r="CX200" s="4357"/>
      <c r="CY200" s="4357"/>
      <c r="CZ200" s="4357"/>
      <c r="DA200" s="4357"/>
      <c r="DB200" s="4357"/>
      <c r="DC200" s="4357"/>
      <c r="DD200" s="4357"/>
      <c r="DE200" s="4357"/>
      <c r="DF200" s="4357"/>
      <c r="DG200" s="4357"/>
      <c r="DH200" s="4357"/>
      <c r="DI200" s="4357"/>
      <c r="DJ200" s="4357"/>
      <c r="DK200" s="4357"/>
      <c r="DL200" s="4357"/>
      <c r="DM200" s="4357"/>
      <c r="DN200" s="4357"/>
      <c r="DO200" s="4357"/>
      <c r="DP200" s="4357"/>
      <c r="DQ200" s="4357"/>
      <c r="DR200" s="4357"/>
      <c r="DS200" s="4357"/>
      <c r="DT200" s="4357"/>
      <c r="DU200" s="4357"/>
      <c r="DV200" s="4357"/>
      <c r="DW200" s="4357"/>
      <c r="DX200" s="4357"/>
      <c r="DY200" s="4357"/>
      <c r="DZ200" s="4357"/>
      <c r="EA200" s="4357"/>
      <c r="EB200" s="4357"/>
      <c r="EC200" s="4357"/>
      <c r="ED200" s="4357"/>
      <c r="EE200" s="4357"/>
      <c r="EF200" s="4357"/>
    </row>
    <row r="201" spans="1:136" ht="16" x14ac:dyDescent="0.2">
      <c r="A201" t="s">
        <v>3025</v>
      </c>
      <c r="B201" t="s">
        <v>2333</v>
      </c>
      <c r="D201" t="str">
        <f>'8. Fisheries and aquaculture'!C45</f>
        <v>Please select</v>
      </c>
      <c r="E201" s="388">
        <f>'Fish and aqua'!Q69+'Fish and aqua'!Q80+'Fish and aqua'!Q95</f>
        <v>0</v>
      </c>
      <c r="F201" s="388">
        <v>0</v>
      </c>
      <c r="G201" s="388">
        <v>0</v>
      </c>
      <c r="K201" s="388">
        <f>'Fish and aqua'!P69-'Fish and aqua'!O69+'Fish and aqua'!P80-'Fish and aqua'!O80+'Fish and aqua'!P95-'Fish and aqua'!O95</f>
        <v>0</v>
      </c>
      <c r="AB201" t="str">
        <f t="shared" si="340"/>
        <v>ok</v>
      </c>
      <c r="AC201">
        <f>IF('8. Fisheries and aquaculture'!CN45&lt;&gt;0,'8. Fisheries and aquaculture'!CN45,'8. Fisheries and aquaculture'!CM45)</f>
        <v>1</v>
      </c>
      <c r="AD201">
        <f t="shared" si="371"/>
        <v>5</v>
      </c>
      <c r="AE201" s="4357" t="str">
        <f>'8. Fisheries and aquaculture'!AA45</f>
        <v>D</v>
      </c>
      <c r="AF201" s="4357" t="str">
        <f>'8. Fisheries and aquaculture'!AC45</f>
        <v>D</v>
      </c>
      <c r="AG201" s="4357" t="str">
        <f t="shared" si="374"/>
        <v>D</v>
      </c>
      <c r="AH201" s="4357">
        <f>((E201/(time_cap+((AD201-AC201+1)*VLOOKUP(AG201,list!$I$48:$K$50,3, FALSE))))*(AD201-AC201+1)*VLOOKUP(AG201,list!$I$48:$K$50,3, FALSE))</f>
        <v>0</v>
      </c>
      <c r="AI201" s="4357">
        <f>((E201/(time_cap+((AD201-AC201+1)*VLOOKUP(AG201,list!$I$48:$K$50,3, FALSE))))*time_cap)</f>
        <v>0</v>
      </c>
      <c r="AK201" s="4357">
        <f t="shared" ref="AK201:BP201" si="465">IFERROR(IF((time+time_cap)&lt;AK$2, 0,IF(AND(time+1&gt;=AL$2, $AC201&lt;AL$2), IF($AG201= "I", $AH201/($AD201-$AC201+1), $AH201/(($AD201*($AD201+1)/2)-(($AC201-1)*($AC201-1+1)/2))*AK$2), 0)+IF(IF(time+1&gt;=AL$2, $AI201/time_cap/(time+1)*AK$2, 0) = 0, $AI201/(time_cap),0)),0)</f>
        <v>0</v>
      </c>
      <c r="AL201" s="4357">
        <f t="shared" si="465"/>
        <v>0</v>
      </c>
      <c r="AM201" s="4357">
        <f t="shared" si="465"/>
        <v>0</v>
      </c>
      <c r="AN201" s="4357">
        <f t="shared" si="465"/>
        <v>0</v>
      </c>
      <c r="AO201" s="4357">
        <f t="shared" si="465"/>
        <v>0</v>
      </c>
      <c r="AP201" s="4357">
        <f t="shared" si="465"/>
        <v>0</v>
      </c>
      <c r="AQ201" s="4357">
        <f t="shared" si="465"/>
        <v>0</v>
      </c>
      <c r="AR201" s="4357">
        <f t="shared" si="465"/>
        <v>0</v>
      </c>
      <c r="AS201" s="4357">
        <f t="shared" si="465"/>
        <v>0</v>
      </c>
      <c r="AT201" s="4357">
        <f t="shared" si="465"/>
        <v>0</v>
      </c>
      <c r="AU201" s="4357">
        <f t="shared" si="465"/>
        <v>0</v>
      </c>
      <c r="AV201" s="4357">
        <f t="shared" si="465"/>
        <v>0</v>
      </c>
      <c r="AW201" s="4357">
        <f t="shared" si="465"/>
        <v>0</v>
      </c>
      <c r="AX201" s="4357">
        <f t="shared" si="465"/>
        <v>0</v>
      </c>
      <c r="AY201" s="4357">
        <f t="shared" si="465"/>
        <v>0</v>
      </c>
      <c r="AZ201" s="4357">
        <f t="shared" si="465"/>
        <v>0</v>
      </c>
      <c r="BA201" s="4357">
        <f t="shared" si="465"/>
        <v>0</v>
      </c>
      <c r="BB201" s="4357">
        <f t="shared" si="465"/>
        <v>0</v>
      </c>
      <c r="BC201" s="4357">
        <f t="shared" si="465"/>
        <v>0</v>
      </c>
      <c r="BD201" s="4357">
        <f t="shared" si="465"/>
        <v>0</v>
      </c>
      <c r="BE201" s="4357">
        <f t="shared" si="465"/>
        <v>0</v>
      </c>
      <c r="BF201" s="4357">
        <f t="shared" si="465"/>
        <v>0</v>
      </c>
      <c r="BG201" s="4357">
        <f t="shared" si="465"/>
        <v>0</v>
      </c>
      <c r="BH201" s="4357">
        <f t="shared" si="465"/>
        <v>0</v>
      </c>
      <c r="BI201" s="4357">
        <f t="shared" si="465"/>
        <v>0</v>
      </c>
      <c r="BJ201" s="4357">
        <f t="shared" si="465"/>
        <v>0</v>
      </c>
      <c r="BK201" s="4357">
        <f t="shared" si="465"/>
        <v>0</v>
      </c>
      <c r="BL201" s="4357">
        <f t="shared" si="465"/>
        <v>0</v>
      </c>
      <c r="BM201" s="4357">
        <f t="shared" si="465"/>
        <v>0</v>
      </c>
      <c r="BN201" s="4357">
        <f t="shared" si="465"/>
        <v>0</v>
      </c>
      <c r="BO201" s="4357">
        <f t="shared" si="465"/>
        <v>0</v>
      </c>
      <c r="BP201" s="4357">
        <f t="shared" si="465"/>
        <v>0</v>
      </c>
      <c r="BQ201" s="4357">
        <f t="shared" ref="BQ201:CH201" si="466">IFERROR(IF((time+time_cap)&lt;BQ$2, 0,IF(AND(time+1&gt;=BR$2, $AC201&lt;BR$2), IF($AG201= "I", $AH201/($AD201-$AC201+1), $AH201/(($AD201*($AD201+1)/2)-(($AC201-1)*($AC201-1+1)/2))*BQ$2), 0)+IF(IF(time+1&gt;=BR$2, $AI201/time_cap/(time+1)*BQ$2, 0) = 0, $AI201/(time_cap),0)),0)</f>
        <v>0</v>
      </c>
      <c r="BR201" s="4357">
        <f t="shared" si="466"/>
        <v>0</v>
      </c>
      <c r="BS201" s="4357">
        <f t="shared" si="466"/>
        <v>0</v>
      </c>
      <c r="BT201" s="4357">
        <f t="shared" si="466"/>
        <v>0</v>
      </c>
      <c r="BU201" s="4357">
        <f t="shared" si="466"/>
        <v>0</v>
      </c>
      <c r="BV201" s="4357">
        <f t="shared" si="466"/>
        <v>0</v>
      </c>
      <c r="BW201" s="4357">
        <f t="shared" si="466"/>
        <v>0</v>
      </c>
      <c r="BX201" s="4357">
        <f t="shared" si="466"/>
        <v>0</v>
      </c>
      <c r="BY201" s="4357">
        <f t="shared" si="466"/>
        <v>0</v>
      </c>
      <c r="BZ201" s="4357">
        <f t="shared" si="466"/>
        <v>0</v>
      </c>
      <c r="CA201" s="4357">
        <f t="shared" si="466"/>
        <v>0</v>
      </c>
      <c r="CB201" s="4357">
        <f t="shared" si="466"/>
        <v>0</v>
      </c>
      <c r="CC201" s="4357">
        <f t="shared" si="466"/>
        <v>0</v>
      </c>
      <c r="CD201" s="4357">
        <f t="shared" si="466"/>
        <v>0</v>
      </c>
      <c r="CE201" s="4357">
        <f t="shared" si="466"/>
        <v>0</v>
      </c>
      <c r="CF201" s="4357">
        <f t="shared" si="466"/>
        <v>0</v>
      </c>
      <c r="CG201" s="4357">
        <f t="shared" si="466"/>
        <v>0</v>
      </c>
      <c r="CH201" s="4357">
        <f t="shared" si="466"/>
        <v>0</v>
      </c>
      <c r="CI201" s="4357"/>
      <c r="CJ201" s="4357"/>
      <c r="CK201" s="4357"/>
      <c r="CL201" s="4357"/>
      <c r="CM201" s="4357"/>
      <c r="CN201" s="4357"/>
      <c r="CO201" s="4357"/>
      <c r="CP201" s="4357"/>
      <c r="CQ201" s="4357"/>
      <c r="CR201" s="4357"/>
      <c r="CS201" s="4357"/>
      <c r="CT201" s="4357"/>
      <c r="CU201" s="4357"/>
      <c r="CV201" s="4357"/>
      <c r="CW201" s="4357"/>
      <c r="CX201" s="4357"/>
      <c r="CY201" s="4357"/>
      <c r="CZ201" s="4357"/>
      <c r="DA201" s="4357"/>
      <c r="DB201" s="4357"/>
      <c r="DC201" s="4357"/>
      <c r="DD201" s="4357"/>
      <c r="DE201" s="4357"/>
      <c r="DF201" s="4357"/>
      <c r="DG201" s="4357"/>
      <c r="DH201" s="4357"/>
      <c r="DI201" s="4357"/>
      <c r="DJ201" s="4357"/>
      <c r="DK201" s="4357"/>
      <c r="DL201" s="4357"/>
      <c r="DM201" s="4357"/>
      <c r="DN201" s="4357"/>
      <c r="DO201" s="4357"/>
      <c r="DP201" s="4357"/>
      <c r="DQ201" s="4357"/>
      <c r="DR201" s="4357"/>
      <c r="DS201" s="4357"/>
      <c r="DT201" s="4357"/>
      <c r="DU201" s="4357"/>
      <c r="DV201" s="4357"/>
      <c r="DW201" s="4357"/>
      <c r="DX201" s="4357"/>
      <c r="DY201" s="4357"/>
      <c r="DZ201" s="4357"/>
      <c r="EA201" s="4357"/>
      <c r="EB201" s="4357"/>
      <c r="EC201" s="4357"/>
      <c r="ED201" s="4357"/>
      <c r="EE201" s="4357"/>
      <c r="EF201" s="4357"/>
    </row>
    <row r="202" spans="1:136" ht="16" x14ac:dyDescent="0.2">
      <c r="A202" t="s">
        <v>3025</v>
      </c>
      <c r="B202" t="s">
        <v>2333</v>
      </c>
      <c r="D202" t="str">
        <f>'8. Fisheries and aquaculture'!C46</f>
        <v>Please select</v>
      </c>
      <c r="E202" s="388">
        <f>'Fish and aqua'!Q70+'Fish and aqua'!Q81+'Fish and aqua'!Q96</f>
        <v>0</v>
      </c>
      <c r="F202" s="388">
        <v>0</v>
      </c>
      <c r="G202" s="388">
        <v>0</v>
      </c>
      <c r="K202" s="388">
        <f>'Fish and aqua'!P70-'Fish and aqua'!O70+'Fish and aqua'!P81-'Fish and aqua'!O81+'Fish and aqua'!P96-'Fish and aqua'!O96</f>
        <v>0</v>
      </c>
      <c r="AB202" t="str">
        <f t="shared" si="340"/>
        <v>ok</v>
      </c>
      <c r="AC202">
        <f>IF('8. Fisheries and aquaculture'!CN46&lt;&gt;0,'8. Fisheries and aquaculture'!CN46,'8. Fisheries and aquaculture'!CM46)</f>
        <v>1</v>
      </c>
      <c r="AD202">
        <f t="shared" si="371"/>
        <v>5</v>
      </c>
      <c r="AE202" s="4357" t="str">
        <f>'8. Fisheries and aquaculture'!AA46</f>
        <v>D</v>
      </c>
      <c r="AF202" s="4357" t="str">
        <f>'8. Fisheries and aquaculture'!AC46</f>
        <v>D</v>
      </c>
      <c r="AG202" s="4357" t="str">
        <f t="shared" si="374"/>
        <v>D</v>
      </c>
      <c r="AH202" s="4357">
        <f>((E202/(time_cap+((AD202-AC202+1)*VLOOKUP(AG202,list!$I$48:$K$50,3, FALSE))))*(AD202-AC202+1)*VLOOKUP(AG202,list!$I$48:$K$50,3, FALSE))</f>
        <v>0</v>
      </c>
      <c r="AI202" s="4357">
        <f>((E202/(time_cap+((AD202-AC202+1)*VLOOKUP(AG202,list!$I$48:$K$50,3, FALSE))))*time_cap)</f>
        <v>0</v>
      </c>
      <c r="AK202" s="4357">
        <f t="shared" ref="AK202:BP202" si="467">IFERROR(IF((time+time_cap)&lt;AK$2, 0,IF(AND(time+1&gt;=AL$2, $AC202&lt;AL$2), IF($AG202= "I", $AH202/($AD202-$AC202+1), $AH202/(($AD202*($AD202+1)/2)-(($AC202-1)*($AC202-1+1)/2))*AK$2), 0)+IF(IF(time+1&gt;=AL$2, $AI202/time_cap/(time+1)*AK$2, 0) = 0, $AI202/(time_cap),0)),0)</f>
        <v>0</v>
      </c>
      <c r="AL202" s="4357">
        <f t="shared" si="467"/>
        <v>0</v>
      </c>
      <c r="AM202" s="4357">
        <f t="shared" si="467"/>
        <v>0</v>
      </c>
      <c r="AN202" s="4357">
        <f t="shared" si="467"/>
        <v>0</v>
      </c>
      <c r="AO202" s="4357">
        <f t="shared" si="467"/>
        <v>0</v>
      </c>
      <c r="AP202" s="4357">
        <f t="shared" si="467"/>
        <v>0</v>
      </c>
      <c r="AQ202" s="4357">
        <f t="shared" si="467"/>
        <v>0</v>
      </c>
      <c r="AR202" s="4357">
        <f t="shared" si="467"/>
        <v>0</v>
      </c>
      <c r="AS202" s="4357">
        <f t="shared" si="467"/>
        <v>0</v>
      </c>
      <c r="AT202" s="4357">
        <f t="shared" si="467"/>
        <v>0</v>
      </c>
      <c r="AU202" s="4357">
        <f t="shared" si="467"/>
        <v>0</v>
      </c>
      <c r="AV202" s="4357">
        <f t="shared" si="467"/>
        <v>0</v>
      </c>
      <c r="AW202" s="4357">
        <f t="shared" si="467"/>
        <v>0</v>
      </c>
      <c r="AX202" s="4357">
        <f t="shared" si="467"/>
        <v>0</v>
      </c>
      <c r="AY202" s="4357">
        <f t="shared" si="467"/>
        <v>0</v>
      </c>
      <c r="AZ202" s="4357">
        <f t="shared" si="467"/>
        <v>0</v>
      </c>
      <c r="BA202" s="4357">
        <f t="shared" si="467"/>
        <v>0</v>
      </c>
      <c r="BB202" s="4357">
        <f t="shared" si="467"/>
        <v>0</v>
      </c>
      <c r="BC202" s="4357">
        <f t="shared" si="467"/>
        <v>0</v>
      </c>
      <c r="BD202" s="4357">
        <f t="shared" si="467"/>
        <v>0</v>
      </c>
      <c r="BE202" s="4357">
        <f t="shared" si="467"/>
        <v>0</v>
      </c>
      <c r="BF202" s="4357">
        <f t="shared" si="467"/>
        <v>0</v>
      </c>
      <c r="BG202" s="4357">
        <f t="shared" si="467"/>
        <v>0</v>
      </c>
      <c r="BH202" s="4357">
        <f t="shared" si="467"/>
        <v>0</v>
      </c>
      <c r="BI202" s="4357">
        <f t="shared" si="467"/>
        <v>0</v>
      </c>
      <c r="BJ202" s="4357">
        <f t="shared" si="467"/>
        <v>0</v>
      </c>
      <c r="BK202" s="4357">
        <f t="shared" si="467"/>
        <v>0</v>
      </c>
      <c r="BL202" s="4357">
        <f t="shared" si="467"/>
        <v>0</v>
      </c>
      <c r="BM202" s="4357">
        <f t="shared" si="467"/>
        <v>0</v>
      </c>
      <c r="BN202" s="4357">
        <f t="shared" si="467"/>
        <v>0</v>
      </c>
      <c r="BO202" s="4357">
        <f t="shared" si="467"/>
        <v>0</v>
      </c>
      <c r="BP202" s="4357">
        <f t="shared" si="467"/>
        <v>0</v>
      </c>
      <c r="BQ202" s="4357">
        <f t="shared" ref="BQ202:CH202" si="468">IFERROR(IF((time+time_cap)&lt;BQ$2, 0,IF(AND(time+1&gt;=BR$2, $AC202&lt;BR$2), IF($AG202= "I", $AH202/($AD202-$AC202+1), $AH202/(($AD202*($AD202+1)/2)-(($AC202-1)*($AC202-1+1)/2))*BQ$2), 0)+IF(IF(time+1&gt;=BR$2, $AI202/time_cap/(time+1)*BQ$2, 0) = 0, $AI202/(time_cap),0)),0)</f>
        <v>0</v>
      </c>
      <c r="BR202" s="4357">
        <f t="shared" si="468"/>
        <v>0</v>
      </c>
      <c r="BS202" s="4357">
        <f t="shared" si="468"/>
        <v>0</v>
      </c>
      <c r="BT202" s="4357">
        <f t="shared" si="468"/>
        <v>0</v>
      </c>
      <c r="BU202" s="4357">
        <f t="shared" si="468"/>
        <v>0</v>
      </c>
      <c r="BV202" s="4357">
        <f t="shared" si="468"/>
        <v>0</v>
      </c>
      <c r="BW202" s="4357">
        <f t="shared" si="468"/>
        <v>0</v>
      </c>
      <c r="BX202" s="4357">
        <f t="shared" si="468"/>
        <v>0</v>
      </c>
      <c r="BY202" s="4357">
        <f t="shared" si="468"/>
        <v>0</v>
      </c>
      <c r="BZ202" s="4357">
        <f t="shared" si="468"/>
        <v>0</v>
      </c>
      <c r="CA202" s="4357">
        <f t="shared" si="468"/>
        <v>0</v>
      </c>
      <c r="CB202" s="4357">
        <f t="shared" si="468"/>
        <v>0</v>
      </c>
      <c r="CC202" s="4357">
        <f t="shared" si="468"/>
        <v>0</v>
      </c>
      <c r="CD202" s="4357">
        <f t="shared" si="468"/>
        <v>0</v>
      </c>
      <c r="CE202" s="4357">
        <f t="shared" si="468"/>
        <v>0</v>
      </c>
      <c r="CF202" s="4357">
        <f t="shared" si="468"/>
        <v>0</v>
      </c>
      <c r="CG202" s="4357">
        <f t="shared" si="468"/>
        <v>0</v>
      </c>
      <c r="CH202" s="4357">
        <f t="shared" si="468"/>
        <v>0</v>
      </c>
      <c r="CI202" s="4357"/>
      <c r="CJ202" s="4357"/>
      <c r="CK202" s="4357"/>
      <c r="CL202" s="4357"/>
      <c r="CM202" s="4357"/>
      <c r="CN202" s="4357"/>
      <c r="CO202" s="4357"/>
      <c r="CP202" s="4357"/>
      <c r="CQ202" s="4357"/>
      <c r="CR202" s="4357"/>
      <c r="CS202" s="4357"/>
      <c r="CT202" s="4357"/>
      <c r="CU202" s="4357"/>
      <c r="CV202" s="4357"/>
      <c r="CW202" s="4357"/>
      <c r="CX202" s="4357"/>
      <c r="CY202" s="4357"/>
      <c r="CZ202" s="4357"/>
      <c r="DA202" s="4357"/>
      <c r="DB202" s="4357"/>
      <c r="DC202" s="4357"/>
      <c r="DD202" s="4357"/>
      <c r="DE202" s="4357"/>
      <c r="DF202" s="4357"/>
      <c r="DG202" s="4357"/>
      <c r="DH202" s="4357"/>
      <c r="DI202" s="4357"/>
      <c r="DJ202" s="4357"/>
      <c r="DK202" s="4357"/>
      <c r="DL202" s="4357"/>
      <c r="DM202" s="4357"/>
      <c r="DN202" s="4357"/>
      <c r="DO202" s="4357"/>
      <c r="DP202" s="4357"/>
      <c r="DQ202" s="4357"/>
      <c r="DR202" s="4357"/>
      <c r="DS202" s="4357"/>
      <c r="DT202" s="4357"/>
      <c r="DU202" s="4357"/>
      <c r="DV202" s="4357"/>
      <c r="DW202" s="4357"/>
      <c r="DX202" s="4357"/>
      <c r="DY202" s="4357"/>
      <c r="DZ202" s="4357"/>
      <c r="EA202" s="4357"/>
      <c r="EB202" s="4357"/>
      <c r="EC202" s="4357"/>
      <c r="ED202" s="4357"/>
      <c r="EE202" s="4357"/>
      <c r="EF202" s="4357"/>
    </row>
    <row r="203" spans="1:136" ht="16" x14ac:dyDescent="0.2">
      <c r="A203" t="s">
        <v>3025</v>
      </c>
      <c r="B203" t="s">
        <v>2333</v>
      </c>
      <c r="D203" t="str">
        <f>'8. Fisheries and aquaculture'!C47</f>
        <v>Please select</v>
      </c>
      <c r="E203" s="388">
        <f>'Fish and aqua'!Q71+'Fish and aqua'!Q82+'Fish and aqua'!Q97</f>
        <v>0</v>
      </c>
      <c r="F203" s="388">
        <v>0</v>
      </c>
      <c r="G203" s="388">
        <v>0</v>
      </c>
      <c r="K203" s="388">
        <f>'Fish and aqua'!P71-'Fish and aqua'!O71+'Fish and aqua'!P82-'Fish and aqua'!O82+'Fish and aqua'!P97-'Fish and aqua'!O97</f>
        <v>0</v>
      </c>
      <c r="AB203" t="str">
        <f t="shared" si="340"/>
        <v>ok</v>
      </c>
      <c r="AC203">
        <f>IF('8. Fisheries and aquaculture'!CN47&lt;&gt;0,'8. Fisheries and aquaculture'!CN47,'8. Fisheries and aquaculture'!CM47)</f>
        <v>1</v>
      </c>
      <c r="AD203">
        <f t="shared" si="371"/>
        <v>5</v>
      </c>
      <c r="AE203" s="4357" t="str">
        <f>'8. Fisheries and aquaculture'!AA47</f>
        <v>D</v>
      </c>
      <c r="AF203" s="4357" t="str">
        <f>'8. Fisheries and aquaculture'!AC47</f>
        <v>D</v>
      </c>
      <c r="AG203" s="4357" t="str">
        <f t="shared" si="374"/>
        <v>D</v>
      </c>
      <c r="AH203" s="4357">
        <f>((E203/(time_cap+((AD203-AC203+1)*VLOOKUP(AG203,list!$I$48:$K$50,3, FALSE))))*(AD203-AC203+1)*VLOOKUP(AG203,list!$I$48:$K$50,3, FALSE))</f>
        <v>0</v>
      </c>
      <c r="AI203" s="4357">
        <f>((E203/(time_cap+((AD203-AC203+1)*VLOOKUP(AG203,list!$I$48:$K$50,3, FALSE))))*time_cap)</f>
        <v>0</v>
      </c>
      <c r="AK203" s="4357">
        <f t="shared" ref="AK203:BP203" si="469">IFERROR(IF((time+time_cap)&lt;AK$2, 0,IF(AND(time+1&gt;=AL$2, $AC203&lt;AL$2), IF($AG203= "I", $AH203/($AD203-$AC203+1), $AH203/(($AD203*($AD203+1)/2)-(($AC203-1)*($AC203-1+1)/2))*AK$2), 0)+IF(IF(time+1&gt;=AL$2, $AI203/time_cap/(time+1)*AK$2, 0) = 0, $AI203/(time_cap),0)),0)</f>
        <v>0</v>
      </c>
      <c r="AL203" s="4357">
        <f t="shared" si="469"/>
        <v>0</v>
      </c>
      <c r="AM203" s="4357">
        <f t="shared" si="469"/>
        <v>0</v>
      </c>
      <c r="AN203" s="4357">
        <f t="shared" si="469"/>
        <v>0</v>
      </c>
      <c r="AO203" s="4357">
        <f t="shared" si="469"/>
        <v>0</v>
      </c>
      <c r="AP203" s="4357">
        <f t="shared" si="469"/>
        <v>0</v>
      </c>
      <c r="AQ203" s="4357">
        <f t="shared" si="469"/>
        <v>0</v>
      </c>
      <c r="AR203" s="4357">
        <f t="shared" si="469"/>
        <v>0</v>
      </c>
      <c r="AS203" s="4357">
        <f t="shared" si="469"/>
        <v>0</v>
      </c>
      <c r="AT203" s="4357">
        <f t="shared" si="469"/>
        <v>0</v>
      </c>
      <c r="AU203" s="4357">
        <f t="shared" si="469"/>
        <v>0</v>
      </c>
      <c r="AV203" s="4357">
        <f t="shared" si="469"/>
        <v>0</v>
      </c>
      <c r="AW203" s="4357">
        <f t="shared" si="469"/>
        <v>0</v>
      </c>
      <c r="AX203" s="4357">
        <f t="shared" si="469"/>
        <v>0</v>
      </c>
      <c r="AY203" s="4357">
        <f t="shared" si="469"/>
        <v>0</v>
      </c>
      <c r="AZ203" s="4357">
        <f t="shared" si="469"/>
        <v>0</v>
      </c>
      <c r="BA203" s="4357">
        <f t="shared" si="469"/>
        <v>0</v>
      </c>
      <c r="BB203" s="4357">
        <f t="shared" si="469"/>
        <v>0</v>
      </c>
      <c r="BC203" s="4357">
        <f t="shared" si="469"/>
        <v>0</v>
      </c>
      <c r="BD203" s="4357">
        <f t="shared" si="469"/>
        <v>0</v>
      </c>
      <c r="BE203" s="4357">
        <f t="shared" si="469"/>
        <v>0</v>
      </c>
      <c r="BF203" s="4357">
        <f t="shared" si="469"/>
        <v>0</v>
      </c>
      <c r="BG203" s="4357">
        <f t="shared" si="469"/>
        <v>0</v>
      </c>
      <c r="BH203" s="4357">
        <f t="shared" si="469"/>
        <v>0</v>
      </c>
      <c r="BI203" s="4357">
        <f t="shared" si="469"/>
        <v>0</v>
      </c>
      <c r="BJ203" s="4357">
        <f t="shared" si="469"/>
        <v>0</v>
      </c>
      <c r="BK203" s="4357">
        <f t="shared" si="469"/>
        <v>0</v>
      </c>
      <c r="BL203" s="4357">
        <f t="shared" si="469"/>
        <v>0</v>
      </c>
      <c r="BM203" s="4357">
        <f t="shared" si="469"/>
        <v>0</v>
      </c>
      <c r="BN203" s="4357">
        <f t="shared" si="469"/>
        <v>0</v>
      </c>
      <c r="BO203" s="4357">
        <f t="shared" si="469"/>
        <v>0</v>
      </c>
      <c r="BP203" s="4357">
        <f t="shared" si="469"/>
        <v>0</v>
      </c>
      <c r="BQ203" s="4357">
        <f t="shared" ref="BQ203:CH203" si="470">IFERROR(IF((time+time_cap)&lt;BQ$2, 0,IF(AND(time+1&gt;=BR$2, $AC203&lt;BR$2), IF($AG203= "I", $AH203/($AD203-$AC203+1), $AH203/(($AD203*($AD203+1)/2)-(($AC203-1)*($AC203-1+1)/2))*BQ$2), 0)+IF(IF(time+1&gt;=BR$2, $AI203/time_cap/(time+1)*BQ$2, 0) = 0, $AI203/(time_cap),0)),0)</f>
        <v>0</v>
      </c>
      <c r="BR203" s="4357">
        <f t="shared" si="470"/>
        <v>0</v>
      </c>
      <c r="BS203" s="4357">
        <f t="shared" si="470"/>
        <v>0</v>
      </c>
      <c r="BT203" s="4357">
        <f t="shared" si="470"/>
        <v>0</v>
      </c>
      <c r="BU203" s="4357">
        <f t="shared" si="470"/>
        <v>0</v>
      </c>
      <c r="BV203" s="4357">
        <f t="shared" si="470"/>
        <v>0</v>
      </c>
      <c r="BW203" s="4357">
        <f t="shared" si="470"/>
        <v>0</v>
      </c>
      <c r="BX203" s="4357">
        <f t="shared" si="470"/>
        <v>0</v>
      </c>
      <c r="BY203" s="4357">
        <f t="shared" si="470"/>
        <v>0</v>
      </c>
      <c r="BZ203" s="4357">
        <f t="shared" si="470"/>
        <v>0</v>
      </c>
      <c r="CA203" s="4357">
        <f t="shared" si="470"/>
        <v>0</v>
      </c>
      <c r="CB203" s="4357">
        <f t="shared" si="470"/>
        <v>0</v>
      </c>
      <c r="CC203" s="4357">
        <f t="shared" si="470"/>
        <v>0</v>
      </c>
      <c r="CD203" s="4357">
        <f t="shared" si="470"/>
        <v>0</v>
      </c>
      <c r="CE203" s="4357">
        <f t="shared" si="470"/>
        <v>0</v>
      </c>
      <c r="CF203" s="4357">
        <f t="shared" si="470"/>
        <v>0</v>
      </c>
      <c r="CG203" s="4357">
        <f t="shared" si="470"/>
        <v>0</v>
      </c>
      <c r="CH203" s="4357">
        <f t="shared" si="470"/>
        <v>0</v>
      </c>
      <c r="CI203" s="4357"/>
      <c r="CJ203" s="4357"/>
      <c r="CK203" s="4357"/>
      <c r="CL203" s="4357"/>
      <c r="CM203" s="4357"/>
      <c r="CN203" s="4357"/>
      <c r="CO203" s="4357"/>
      <c r="CP203" s="4357"/>
      <c r="CQ203" s="4357"/>
      <c r="CR203" s="4357"/>
      <c r="CS203" s="4357"/>
      <c r="CT203" s="4357"/>
      <c r="CU203" s="4357"/>
      <c r="CV203" s="4357"/>
      <c r="CW203" s="4357"/>
      <c r="CX203" s="4357"/>
      <c r="CY203" s="4357"/>
      <c r="CZ203" s="4357"/>
      <c r="DA203" s="4357"/>
      <c r="DB203" s="4357"/>
      <c r="DC203" s="4357"/>
      <c r="DD203" s="4357"/>
      <c r="DE203" s="4357"/>
      <c r="DF203" s="4357"/>
      <c r="DG203" s="4357"/>
      <c r="DH203" s="4357"/>
      <c r="DI203" s="4357"/>
      <c r="DJ203" s="4357"/>
      <c r="DK203" s="4357"/>
      <c r="DL203" s="4357"/>
      <c r="DM203" s="4357"/>
      <c r="DN203" s="4357"/>
      <c r="DO203" s="4357"/>
      <c r="DP203" s="4357"/>
      <c r="DQ203" s="4357"/>
      <c r="DR203" s="4357"/>
      <c r="DS203" s="4357"/>
      <c r="DT203" s="4357"/>
      <c r="DU203" s="4357"/>
      <c r="DV203" s="4357"/>
      <c r="DW203" s="4357"/>
      <c r="DX203" s="4357"/>
      <c r="DY203" s="4357"/>
      <c r="DZ203" s="4357"/>
      <c r="EA203" s="4357"/>
      <c r="EB203" s="4357"/>
      <c r="EC203" s="4357"/>
      <c r="ED203" s="4357"/>
      <c r="EE203" s="4357"/>
      <c r="EF203" s="4357"/>
    </row>
    <row r="204" spans="1:136" ht="16" x14ac:dyDescent="0.2">
      <c r="A204" t="s">
        <v>3025</v>
      </c>
      <c r="B204" t="s">
        <v>2333</v>
      </c>
      <c r="D204" t="str">
        <f>'8. Fisheries and aquaculture'!C48</f>
        <v>Please select</v>
      </c>
      <c r="E204" s="388">
        <f>'Fish and aqua'!Q72+'Fish and aqua'!Q83+'Fish and aqua'!Q98</f>
        <v>0</v>
      </c>
      <c r="F204" s="388">
        <v>0</v>
      </c>
      <c r="G204" s="388">
        <v>0</v>
      </c>
      <c r="K204" s="388">
        <f>'Fish and aqua'!P72-'Fish and aqua'!O72+'Fish and aqua'!P83-'Fish and aqua'!O83+'Fish and aqua'!P98-'Fish and aqua'!O98</f>
        <v>0</v>
      </c>
      <c r="AB204" t="str">
        <f t="shared" ref="AB204:AB257" si="471">IF(ABS(E204-SUM(F204:AA204))&gt;1, "ERROR", "ok")</f>
        <v>ok</v>
      </c>
      <c r="AC204">
        <f>IF('8. Fisheries and aquaculture'!CN48&lt;&gt;0,'8. Fisheries and aquaculture'!CN48,'8. Fisheries and aquaculture'!CM48)</f>
        <v>1</v>
      </c>
      <c r="AD204">
        <f t="shared" si="371"/>
        <v>5</v>
      </c>
      <c r="AE204" s="4357" t="str">
        <f>'8. Fisheries and aquaculture'!AA48</f>
        <v>D</v>
      </c>
      <c r="AF204" s="4357" t="str">
        <f>'8. Fisheries and aquaculture'!AC48</f>
        <v>D</v>
      </c>
      <c r="AG204" s="4357" t="str">
        <f t="shared" si="374"/>
        <v>D</v>
      </c>
      <c r="AH204" s="4357">
        <f>((E204/(time_cap+((AD204-AC204+1)*VLOOKUP(AG204,list!$I$48:$K$50,3, FALSE))))*(AD204-AC204+1)*VLOOKUP(AG204,list!$I$48:$K$50,3, FALSE))</f>
        <v>0</v>
      </c>
      <c r="AI204" s="4357">
        <f>((E204/(time_cap+((AD204-AC204+1)*VLOOKUP(AG204,list!$I$48:$K$50,3, FALSE))))*time_cap)</f>
        <v>0</v>
      </c>
      <c r="AK204" s="4357">
        <f t="shared" ref="AK204:BP204" si="472">IFERROR(IF((time+time_cap)&lt;AK$2, 0,IF(AND(time+1&gt;=AL$2, $AC204&lt;AL$2), IF($AG204= "I", $AH204/($AD204-$AC204+1), $AH204/(($AD204*($AD204+1)/2)-(($AC204-1)*($AC204-1+1)/2))*AK$2), 0)+IF(IF(time+1&gt;=AL$2, $AI204/time_cap/(time+1)*AK$2, 0) = 0, $AI204/(time_cap),0)),0)</f>
        <v>0</v>
      </c>
      <c r="AL204" s="4357">
        <f t="shared" si="472"/>
        <v>0</v>
      </c>
      <c r="AM204" s="4357">
        <f t="shared" si="472"/>
        <v>0</v>
      </c>
      <c r="AN204" s="4357">
        <f t="shared" si="472"/>
        <v>0</v>
      </c>
      <c r="AO204" s="4357">
        <f t="shared" si="472"/>
        <v>0</v>
      </c>
      <c r="AP204" s="4357">
        <f t="shared" si="472"/>
        <v>0</v>
      </c>
      <c r="AQ204" s="4357">
        <f t="shared" si="472"/>
        <v>0</v>
      </c>
      <c r="AR204" s="4357">
        <f t="shared" si="472"/>
        <v>0</v>
      </c>
      <c r="AS204" s="4357">
        <f t="shared" si="472"/>
        <v>0</v>
      </c>
      <c r="AT204" s="4357">
        <f t="shared" si="472"/>
        <v>0</v>
      </c>
      <c r="AU204" s="4357">
        <f t="shared" si="472"/>
        <v>0</v>
      </c>
      <c r="AV204" s="4357">
        <f t="shared" si="472"/>
        <v>0</v>
      </c>
      <c r="AW204" s="4357">
        <f t="shared" si="472"/>
        <v>0</v>
      </c>
      <c r="AX204" s="4357">
        <f t="shared" si="472"/>
        <v>0</v>
      </c>
      <c r="AY204" s="4357">
        <f t="shared" si="472"/>
        <v>0</v>
      </c>
      <c r="AZ204" s="4357">
        <f t="shared" si="472"/>
        <v>0</v>
      </c>
      <c r="BA204" s="4357">
        <f t="shared" si="472"/>
        <v>0</v>
      </c>
      <c r="BB204" s="4357">
        <f t="shared" si="472"/>
        <v>0</v>
      </c>
      <c r="BC204" s="4357">
        <f t="shared" si="472"/>
        <v>0</v>
      </c>
      <c r="BD204" s="4357">
        <f t="shared" si="472"/>
        <v>0</v>
      </c>
      <c r="BE204" s="4357">
        <f t="shared" si="472"/>
        <v>0</v>
      </c>
      <c r="BF204" s="4357">
        <f t="shared" si="472"/>
        <v>0</v>
      </c>
      <c r="BG204" s="4357">
        <f t="shared" si="472"/>
        <v>0</v>
      </c>
      <c r="BH204" s="4357">
        <f t="shared" si="472"/>
        <v>0</v>
      </c>
      <c r="BI204" s="4357">
        <f t="shared" si="472"/>
        <v>0</v>
      </c>
      <c r="BJ204" s="4357">
        <f t="shared" si="472"/>
        <v>0</v>
      </c>
      <c r="BK204" s="4357">
        <f t="shared" si="472"/>
        <v>0</v>
      </c>
      <c r="BL204" s="4357">
        <f t="shared" si="472"/>
        <v>0</v>
      </c>
      <c r="BM204" s="4357">
        <f t="shared" si="472"/>
        <v>0</v>
      </c>
      <c r="BN204" s="4357">
        <f t="shared" si="472"/>
        <v>0</v>
      </c>
      <c r="BO204" s="4357">
        <f t="shared" si="472"/>
        <v>0</v>
      </c>
      <c r="BP204" s="4357">
        <f t="shared" si="472"/>
        <v>0</v>
      </c>
      <c r="BQ204" s="4357">
        <f t="shared" ref="BQ204:CH204" si="473">IFERROR(IF((time+time_cap)&lt;BQ$2, 0,IF(AND(time+1&gt;=BR$2, $AC204&lt;BR$2), IF($AG204= "I", $AH204/($AD204-$AC204+1), $AH204/(($AD204*($AD204+1)/2)-(($AC204-1)*($AC204-1+1)/2))*BQ$2), 0)+IF(IF(time+1&gt;=BR$2, $AI204/time_cap/(time+1)*BQ$2, 0) = 0, $AI204/(time_cap),0)),0)</f>
        <v>0</v>
      </c>
      <c r="BR204" s="4357">
        <f t="shared" si="473"/>
        <v>0</v>
      </c>
      <c r="BS204" s="4357">
        <f t="shared" si="473"/>
        <v>0</v>
      </c>
      <c r="BT204" s="4357">
        <f t="shared" si="473"/>
        <v>0</v>
      </c>
      <c r="BU204" s="4357">
        <f t="shared" si="473"/>
        <v>0</v>
      </c>
      <c r="BV204" s="4357">
        <f t="shared" si="473"/>
        <v>0</v>
      </c>
      <c r="BW204" s="4357">
        <f t="shared" si="473"/>
        <v>0</v>
      </c>
      <c r="BX204" s="4357">
        <f t="shared" si="473"/>
        <v>0</v>
      </c>
      <c r="BY204" s="4357">
        <f t="shared" si="473"/>
        <v>0</v>
      </c>
      <c r="BZ204" s="4357">
        <f t="shared" si="473"/>
        <v>0</v>
      </c>
      <c r="CA204" s="4357">
        <f t="shared" si="473"/>
        <v>0</v>
      </c>
      <c r="CB204" s="4357">
        <f t="shared" si="473"/>
        <v>0</v>
      </c>
      <c r="CC204" s="4357">
        <f t="shared" si="473"/>
        <v>0</v>
      </c>
      <c r="CD204" s="4357">
        <f t="shared" si="473"/>
        <v>0</v>
      </c>
      <c r="CE204" s="4357">
        <f t="shared" si="473"/>
        <v>0</v>
      </c>
      <c r="CF204" s="4357">
        <f t="shared" si="473"/>
        <v>0</v>
      </c>
      <c r="CG204" s="4357">
        <f t="shared" si="473"/>
        <v>0</v>
      </c>
      <c r="CH204" s="4357">
        <f t="shared" si="473"/>
        <v>0</v>
      </c>
      <c r="CI204" s="4357"/>
      <c r="CJ204" s="4357"/>
      <c r="CK204" s="4357"/>
      <c r="CL204" s="4357"/>
      <c r="CM204" s="4357"/>
      <c r="CN204" s="4357"/>
      <c r="CO204" s="4357"/>
      <c r="CP204" s="4357"/>
      <c r="CQ204" s="4357"/>
      <c r="CR204" s="4357"/>
      <c r="CS204" s="4357"/>
      <c r="CT204" s="4357"/>
      <c r="CU204" s="4357"/>
      <c r="CV204" s="4357"/>
      <c r="CW204" s="4357"/>
      <c r="CX204" s="4357"/>
      <c r="CY204" s="4357"/>
      <c r="CZ204" s="4357"/>
      <c r="DA204" s="4357"/>
      <c r="DB204" s="4357"/>
      <c r="DC204" s="4357"/>
      <c r="DD204" s="4357"/>
      <c r="DE204" s="4357"/>
      <c r="DF204" s="4357"/>
      <c r="DG204" s="4357"/>
      <c r="DH204" s="4357"/>
      <c r="DI204" s="4357"/>
      <c r="DJ204" s="4357"/>
      <c r="DK204" s="4357"/>
      <c r="DL204" s="4357"/>
      <c r="DM204" s="4357"/>
      <c r="DN204" s="4357"/>
      <c r="DO204" s="4357"/>
      <c r="DP204" s="4357"/>
      <c r="DQ204" s="4357"/>
      <c r="DR204" s="4357"/>
      <c r="DS204" s="4357"/>
      <c r="DT204" s="4357"/>
      <c r="DU204" s="4357"/>
      <c r="DV204" s="4357"/>
      <c r="DW204" s="4357"/>
      <c r="DX204" s="4357"/>
      <c r="DY204" s="4357"/>
      <c r="DZ204" s="4357"/>
      <c r="EA204" s="4357"/>
      <c r="EB204" s="4357"/>
      <c r="EC204" s="4357"/>
      <c r="ED204" s="4357"/>
      <c r="EE204" s="4357"/>
      <c r="EF204" s="4357"/>
    </row>
    <row r="205" spans="1:136" ht="16" x14ac:dyDescent="0.2">
      <c r="A205" t="s">
        <v>3025</v>
      </c>
      <c r="B205" t="s">
        <v>2333</v>
      </c>
      <c r="D205" t="str">
        <f>'8. Fisheries and aquaculture'!C49</f>
        <v>Please select</v>
      </c>
      <c r="E205" s="388">
        <f>'Fish and aqua'!Q73+'Fish and aqua'!Q84+'Fish and aqua'!Q99</f>
        <v>0</v>
      </c>
      <c r="F205" s="388">
        <v>0</v>
      </c>
      <c r="G205" s="388">
        <v>0</v>
      </c>
      <c r="K205" s="388">
        <f>'Fish and aqua'!P73-'Fish and aqua'!O73+'Fish and aqua'!P84-'Fish and aqua'!O84+'Fish and aqua'!P99-'Fish and aqua'!O99</f>
        <v>0</v>
      </c>
      <c r="AB205" t="str">
        <f t="shared" si="471"/>
        <v>ok</v>
      </c>
      <c r="AC205">
        <f>IF('8. Fisheries and aquaculture'!CN49&lt;&gt;0,'8. Fisheries and aquaculture'!CN49,'8. Fisheries and aquaculture'!CM49)</f>
        <v>1</v>
      </c>
      <c r="AD205">
        <f t="shared" si="371"/>
        <v>5</v>
      </c>
      <c r="AE205" s="4357" t="str">
        <f>'8. Fisheries and aquaculture'!AA49</f>
        <v>D</v>
      </c>
      <c r="AF205" s="4357" t="str">
        <f>'8. Fisheries and aquaculture'!AC49</f>
        <v>D</v>
      </c>
      <c r="AG205" s="4357" t="str">
        <f t="shared" si="374"/>
        <v>D</v>
      </c>
      <c r="AH205" s="4357">
        <f>((E205/(time_cap+((AD205-AC205+1)*VLOOKUP(AG205,list!$I$48:$K$50,3, FALSE))))*(AD205-AC205+1)*VLOOKUP(AG205,list!$I$48:$K$50,3, FALSE))</f>
        <v>0</v>
      </c>
      <c r="AI205" s="4357">
        <f>((E205/(time_cap+((AD205-AC205+1)*VLOOKUP(AG205,list!$I$48:$K$50,3, FALSE))))*time_cap)</f>
        <v>0</v>
      </c>
      <c r="AK205" s="4357">
        <f t="shared" ref="AK205:BP205" si="474">IFERROR(IF((time+time_cap)&lt;AK$2, 0,IF(AND(time+1&gt;=AL$2, $AC205&lt;AL$2), IF($AG205= "I", $AH205/($AD205-$AC205+1), $AH205/(($AD205*($AD205+1)/2)-(($AC205-1)*($AC205-1+1)/2))*AK$2), 0)+IF(IF(time+1&gt;=AL$2, $AI205/time_cap/(time+1)*AK$2, 0) = 0, $AI205/(time_cap),0)),0)</f>
        <v>0</v>
      </c>
      <c r="AL205" s="4357">
        <f t="shared" si="474"/>
        <v>0</v>
      </c>
      <c r="AM205" s="4357">
        <f t="shared" si="474"/>
        <v>0</v>
      </c>
      <c r="AN205" s="4357">
        <f t="shared" si="474"/>
        <v>0</v>
      </c>
      <c r="AO205" s="4357">
        <f t="shared" si="474"/>
        <v>0</v>
      </c>
      <c r="AP205" s="4357">
        <f t="shared" si="474"/>
        <v>0</v>
      </c>
      <c r="AQ205" s="4357">
        <f t="shared" si="474"/>
        <v>0</v>
      </c>
      <c r="AR205" s="4357">
        <f t="shared" si="474"/>
        <v>0</v>
      </c>
      <c r="AS205" s="4357">
        <f t="shared" si="474"/>
        <v>0</v>
      </c>
      <c r="AT205" s="4357">
        <f t="shared" si="474"/>
        <v>0</v>
      </c>
      <c r="AU205" s="4357">
        <f t="shared" si="474"/>
        <v>0</v>
      </c>
      <c r="AV205" s="4357">
        <f t="shared" si="474"/>
        <v>0</v>
      </c>
      <c r="AW205" s="4357">
        <f t="shared" si="474"/>
        <v>0</v>
      </c>
      <c r="AX205" s="4357">
        <f t="shared" si="474"/>
        <v>0</v>
      </c>
      <c r="AY205" s="4357">
        <f t="shared" si="474"/>
        <v>0</v>
      </c>
      <c r="AZ205" s="4357">
        <f t="shared" si="474"/>
        <v>0</v>
      </c>
      <c r="BA205" s="4357">
        <f t="shared" si="474"/>
        <v>0</v>
      </c>
      <c r="BB205" s="4357">
        <f t="shared" si="474"/>
        <v>0</v>
      </c>
      <c r="BC205" s="4357">
        <f t="shared" si="474"/>
        <v>0</v>
      </c>
      <c r="BD205" s="4357">
        <f t="shared" si="474"/>
        <v>0</v>
      </c>
      <c r="BE205" s="4357">
        <f t="shared" si="474"/>
        <v>0</v>
      </c>
      <c r="BF205" s="4357">
        <f t="shared" si="474"/>
        <v>0</v>
      </c>
      <c r="BG205" s="4357">
        <f t="shared" si="474"/>
        <v>0</v>
      </c>
      <c r="BH205" s="4357">
        <f t="shared" si="474"/>
        <v>0</v>
      </c>
      <c r="BI205" s="4357">
        <f t="shared" si="474"/>
        <v>0</v>
      </c>
      <c r="BJ205" s="4357">
        <f t="shared" si="474"/>
        <v>0</v>
      </c>
      <c r="BK205" s="4357">
        <f t="shared" si="474"/>
        <v>0</v>
      </c>
      <c r="BL205" s="4357">
        <f t="shared" si="474"/>
        <v>0</v>
      </c>
      <c r="BM205" s="4357">
        <f t="shared" si="474"/>
        <v>0</v>
      </c>
      <c r="BN205" s="4357">
        <f t="shared" si="474"/>
        <v>0</v>
      </c>
      <c r="BO205" s="4357">
        <f t="shared" si="474"/>
        <v>0</v>
      </c>
      <c r="BP205" s="4357">
        <f t="shared" si="474"/>
        <v>0</v>
      </c>
      <c r="BQ205" s="4357">
        <f t="shared" ref="BQ205:CH205" si="475">IFERROR(IF((time+time_cap)&lt;BQ$2, 0,IF(AND(time+1&gt;=BR$2, $AC205&lt;BR$2), IF($AG205= "I", $AH205/($AD205-$AC205+1), $AH205/(($AD205*($AD205+1)/2)-(($AC205-1)*($AC205-1+1)/2))*BQ$2), 0)+IF(IF(time+1&gt;=BR$2, $AI205/time_cap/(time+1)*BQ$2, 0) = 0, $AI205/(time_cap),0)),0)</f>
        <v>0</v>
      </c>
      <c r="BR205" s="4357">
        <f t="shared" si="475"/>
        <v>0</v>
      </c>
      <c r="BS205" s="4357">
        <f t="shared" si="475"/>
        <v>0</v>
      </c>
      <c r="BT205" s="4357">
        <f t="shared" si="475"/>
        <v>0</v>
      </c>
      <c r="BU205" s="4357">
        <f t="shared" si="475"/>
        <v>0</v>
      </c>
      <c r="BV205" s="4357">
        <f t="shared" si="475"/>
        <v>0</v>
      </c>
      <c r="BW205" s="4357">
        <f t="shared" si="475"/>
        <v>0</v>
      </c>
      <c r="BX205" s="4357">
        <f t="shared" si="475"/>
        <v>0</v>
      </c>
      <c r="BY205" s="4357">
        <f t="shared" si="475"/>
        <v>0</v>
      </c>
      <c r="BZ205" s="4357">
        <f t="shared" si="475"/>
        <v>0</v>
      </c>
      <c r="CA205" s="4357">
        <f t="shared" si="475"/>
        <v>0</v>
      </c>
      <c r="CB205" s="4357">
        <f t="shared" si="475"/>
        <v>0</v>
      </c>
      <c r="CC205" s="4357">
        <f t="shared" si="475"/>
        <v>0</v>
      </c>
      <c r="CD205" s="4357">
        <f t="shared" si="475"/>
        <v>0</v>
      </c>
      <c r="CE205" s="4357">
        <f t="shared" si="475"/>
        <v>0</v>
      </c>
      <c r="CF205" s="4357">
        <f t="shared" si="475"/>
        <v>0</v>
      </c>
      <c r="CG205" s="4357">
        <f t="shared" si="475"/>
        <v>0</v>
      </c>
      <c r="CH205" s="4357">
        <f t="shared" si="475"/>
        <v>0</v>
      </c>
      <c r="CI205" s="4357"/>
      <c r="CJ205" s="4357"/>
      <c r="CK205" s="4357"/>
      <c r="CL205" s="4357"/>
      <c r="CM205" s="4357"/>
      <c r="CN205" s="4357"/>
      <c r="CO205" s="4357"/>
      <c r="CP205" s="4357"/>
      <c r="CQ205" s="4357"/>
      <c r="CR205" s="4357"/>
      <c r="CS205" s="4357"/>
      <c r="CT205" s="4357"/>
      <c r="CU205" s="4357"/>
      <c r="CV205" s="4357"/>
      <c r="CW205" s="4357"/>
      <c r="CX205" s="4357"/>
      <c r="CY205" s="4357"/>
      <c r="CZ205" s="4357"/>
      <c r="DA205" s="4357"/>
      <c r="DB205" s="4357"/>
      <c r="DC205" s="4357"/>
      <c r="DD205" s="4357"/>
      <c r="DE205" s="4357"/>
      <c r="DF205" s="4357"/>
      <c r="DG205" s="4357"/>
      <c r="DH205" s="4357"/>
      <c r="DI205" s="4357"/>
      <c r="DJ205" s="4357"/>
      <c r="DK205" s="4357"/>
      <c r="DL205" s="4357"/>
      <c r="DM205" s="4357"/>
      <c r="DN205" s="4357"/>
      <c r="DO205" s="4357"/>
      <c r="DP205" s="4357"/>
      <c r="DQ205" s="4357"/>
      <c r="DR205" s="4357"/>
      <c r="DS205" s="4357"/>
      <c r="DT205" s="4357"/>
      <c r="DU205" s="4357"/>
      <c r="DV205" s="4357"/>
      <c r="DW205" s="4357"/>
      <c r="DX205" s="4357"/>
      <c r="DY205" s="4357"/>
      <c r="DZ205" s="4357"/>
      <c r="EA205" s="4357"/>
      <c r="EB205" s="4357"/>
      <c r="EC205" s="4357"/>
      <c r="ED205" s="4357"/>
      <c r="EE205" s="4357"/>
      <c r="EF205" s="4357"/>
    </row>
    <row r="206" spans="1:136" ht="16" x14ac:dyDescent="0.2">
      <c r="A206" t="s">
        <v>3025</v>
      </c>
      <c r="B206" t="s">
        <v>3241</v>
      </c>
      <c r="C206">
        <f>'8. Fisheries and aquaculture'!C74</f>
        <v>0</v>
      </c>
      <c r="D206">
        <f>'8. Fisheries and aquaculture'!J74</f>
        <v>0</v>
      </c>
      <c r="E206">
        <f>'8. Fisheries and aquaculture'!AI74</f>
        <v>193.53517857142867</v>
      </c>
      <c r="F206" s="388">
        <v>0</v>
      </c>
      <c r="G206" s="388">
        <v>0</v>
      </c>
      <c r="K206" s="388">
        <f>'Fish and aqua'!P134-'Fish and aqua'!O134</f>
        <v>0</v>
      </c>
      <c r="S206" s="388">
        <f>'Fish and aqua'!P123-'Fish and aqua'!O123</f>
        <v>193.53517857142867</v>
      </c>
      <c r="AB206" t="str">
        <f t="shared" si="471"/>
        <v>ok</v>
      </c>
      <c r="AC206">
        <f>IF('8. Fisheries and aquaculture'!CN74&lt;&gt;0,'8. Fisheries and aquaculture'!CN74,'8. Fisheries and aquaculture'!CM74)</f>
        <v>1</v>
      </c>
      <c r="AD206">
        <f t="shared" si="371"/>
        <v>5</v>
      </c>
      <c r="AE206" s="4357" t="str">
        <f>'8. Fisheries and aquaculture'!AA74</f>
        <v>D</v>
      </c>
      <c r="AF206" s="4357" t="str">
        <f>'8. Fisheries and aquaculture'!AC74</f>
        <v>D</v>
      </c>
      <c r="AG206" s="4357" t="str">
        <f t="shared" si="374"/>
        <v>D</v>
      </c>
      <c r="AH206" s="4357">
        <f>((E206/(time_cap+((AD206-AC206+1)*VLOOKUP(AG206,list!$I$48:$K$50,3, FALSE))))*(AD206-AC206+1)*VLOOKUP(AG206,list!$I$48:$K$50,3, FALSE))</f>
        <v>38.707035714285738</v>
      </c>
      <c r="AI206" s="4357">
        <f>((E206/(time_cap+((AD206-AC206+1)*VLOOKUP(AG206,list!$I$48:$K$50,3, FALSE))))*time_cap)</f>
        <v>154.82814285714295</v>
      </c>
      <c r="AK206" s="4357">
        <f t="shared" ref="AK206:BP206" si="476">IFERROR(IF((time+time_cap)&lt;AK$2, 0,IF(AND(time+1&gt;=AL$2, $AC206&lt;AL$2), IF($AG206= "I", $AH206/($AD206-$AC206+1), $AH206/(($AD206*($AD206+1)/2)-(($AC206-1)*($AC206-1+1)/2))*AK$2), 0)+IF(IF(time+1&gt;=AL$2, $AI206/time_cap/(time+1)*AK$2, 0) = 0, $AI206/(time_cap),0)),0)</f>
        <v>2.5804690476190491</v>
      </c>
      <c r="AL206" s="4357">
        <f t="shared" si="476"/>
        <v>5.1609380952380981</v>
      </c>
      <c r="AM206" s="4357">
        <f t="shared" si="476"/>
        <v>7.7414071428571472</v>
      </c>
      <c r="AN206" s="4357">
        <f t="shared" si="476"/>
        <v>10.321876190476196</v>
      </c>
      <c r="AO206" s="4357">
        <f t="shared" si="476"/>
        <v>12.902345238095245</v>
      </c>
      <c r="AP206" s="4357">
        <f t="shared" si="476"/>
        <v>15.482814285714294</v>
      </c>
      <c r="AQ206" s="4357">
        <f t="shared" si="476"/>
        <v>15.482814285714294</v>
      </c>
      <c r="AR206" s="4357">
        <f t="shared" si="476"/>
        <v>15.482814285714294</v>
      </c>
      <c r="AS206" s="4357">
        <f t="shared" si="476"/>
        <v>15.482814285714294</v>
      </c>
      <c r="AT206" s="4357">
        <f t="shared" si="476"/>
        <v>15.482814285714294</v>
      </c>
      <c r="AU206" s="4357">
        <f t="shared" si="476"/>
        <v>15.482814285714294</v>
      </c>
      <c r="AV206" s="4357">
        <f t="shared" si="476"/>
        <v>15.482814285714294</v>
      </c>
      <c r="AW206" s="4357">
        <f t="shared" si="476"/>
        <v>15.482814285714294</v>
      </c>
      <c r="AX206" s="4357">
        <f t="shared" si="476"/>
        <v>15.482814285714294</v>
      </c>
      <c r="AY206" s="4357">
        <f t="shared" si="476"/>
        <v>15.482814285714294</v>
      </c>
      <c r="AZ206" s="4357">
        <f t="shared" si="476"/>
        <v>0</v>
      </c>
      <c r="BA206" s="4357">
        <f t="shared" si="476"/>
        <v>0</v>
      </c>
      <c r="BB206" s="4357">
        <f t="shared" si="476"/>
        <v>0</v>
      </c>
      <c r="BC206" s="4357">
        <f t="shared" si="476"/>
        <v>0</v>
      </c>
      <c r="BD206" s="4357">
        <f t="shared" si="476"/>
        <v>0</v>
      </c>
      <c r="BE206" s="4357">
        <f t="shared" si="476"/>
        <v>0</v>
      </c>
      <c r="BF206" s="4357">
        <f t="shared" si="476"/>
        <v>0</v>
      </c>
      <c r="BG206" s="4357">
        <f t="shared" si="476"/>
        <v>0</v>
      </c>
      <c r="BH206" s="4357">
        <f t="shared" si="476"/>
        <v>0</v>
      </c>
      <c r="BI206" s="4357">
        <f t="shared" si="476"/>
        <v>0</v>
      </c>
      <c r="BJ206" s="4357">
        <f t="shared" si="476"/>
        <v>0</v>
      </c>
      <c r="BK206" s="4357">
        <f t="shared" si="476"/>
        <v>0</v>
      </c>
      <c r="BL206" s="4357">
        <f t="shared" si="476"/>
        <v>0</v>
      </c>
      <c r="BM206" s="4357">
        <f t="shared" si="476"/>
        <v>0</v>
      </c>
      <c r="BN206" s="4357">
        <f t="shared" si="476"/>
        <v>0</v>
      </c>
      <c r="BO206" s="4357">
        <f t="shared" si="476"/>
        <v>0</v>
      </c>
      <c r="BP206" s="4357">
        <f t="shared" si="476"/>
        <v>0</v>
      </c>
      <c r="BQ206" s="4357">
        <f t="shared" ref="BQ206:CH206" si="477">IFERROR(IF((time+time_cap)&lt;BQ$2, 0,IF(AND(time+1&gt;=BR$2, $AC206&lt;BR$2), IF($AG206= "I", $AH206/($AD206-$AC206+1), $AH206/(($AD206*($AD206+1)/2)-(($AC206-1)*($AC206-1+1)/2))*BQ$2), 0)+IF(IF(time+1&gt;=BR$2, $AI206/time_cap/(time+1)*BQ$2, 0) = 0, $AI206/(time_cap),0)),0)</f>
        <v>0</v>
      </c>
      <c r="BR206" s="4357">
        <f t="shared" si="477"/>
        <v>0</v>
      </c>
      <c r="BS206" s="4357">
        <f t="shared" si="477"/>
        <v>0</v>
      </c>
      <c r="BT206" s="4357">
        <f t="shared" si="477"/>
        <v>0</v>
      </c>
      <c r="BU206" s="4357">
        <f t="shared" si="477"/>
        <v>0</v>
      </c>
      <c r="BV206" s="4357">
        <f t="shared" si="477"/>
        <v>0</v>
      </c>
      <c r="BW206" s="4357">
        <f t="shared" si="477"/>
        <v>0</v>
      </c>
      <c r="BX206" s="4357">
        <f t="shared" si="477"/>
        <v>0</v>
      </c>
      <c r="BY206" s="4357">
        <f t="shared" si="477"/>
        <v>0</v>
      </c>
      <c r="BZ206" s="4357">
        <f t="shared" si="477"/>
        <v>0</v>
      </c>
      <c r="CA206" s="4357">
        <f t="shared" si="477"/>
        <v>0</v>
      </c>
      <c r="CB206" s="4357">
        <f t="shared" si="477"/>
        <v>0</v>
      </c>
      <c r="CC206" s="4357">
        <f t="shared" si="477"/>
        <v>0</v>
      </c>
      <c r="CD206" s="4357">
        <f t="shared" si="477"/>
        <v>0</v>
      </c>
      <c r="CE206" s="4357">
        <f t="shared" si="477"/>
        <v>0</v>
      </c>
      <c r="CF206" s="4357">
        <f t="shared" si="477"/>
        <v>0</v>
      </c>
      <c r="CG206" s="4357">
        <f t="shared" si="477"/>
        <v>0</v>
      </c>
      <c r="CH206" s="4357">
        <f t="shared" si="477"/>
        <v>0</v>
      </c>
      <c r="CI206" s="4357"/>
      <c r="CJ206" s="4357"/>
      <c r="CK206" s="4357"/>
      <c r="CL206" s="4357"/>
      <c r="CM206" s="4357"/>
      <c r="CN206" s="4357"/>
      <c r="CO206" s="4357"/>
      <c r="CP206" s="4357"/>
      <c r="CQ206" s="4357"/>
      <c r="CR206" s="4357"/>
      <c r="CS206" s="4357"/>
      <c r="CT206" s="4357"/>
      <c r="CU206" s="4357"/>
      <c r="CV206" s="4357"/>
      <c r="CW206" s="4357"/>
      <c r="CX206" s="4357"/>
      <c r="CY206" s="4357"/>
      <c r="CZ206" s="4357"/>
      <c r="DA206" s="4357"/>
      <c r="DB206" s="4357"/>
      <c r="DC206" s="4357"/>
      <c r="DD206" s="4357"/>
      <c r="DE206" s="4357"/>
      <c r="DF206" s="4357"/>
      <c r="DG206" s="4357"/>
      <c r="DH206" s="4357"/>
      <c r="DI206" s="4357"/>
      <c r="DJ206" s="4357"/>
      <c r="DK206" s="4357"/>
      <c r="DL206" s="4357"/>
      <c r="DM206" s="4357"/>
      <c r="DN206" s="4357"/>
      <c r="DO206" s="4357"/>
      <c r="DP206" s="4357"/>
      <c r="DQ206" s="4357"/>
      <c r="DR206" s="4357"/>
      <c r="DS206" s="4357"/>
      <c r="DT206" s="4357"/>
      <c r="DU206" s="4357"/>
      <c r="DV206" s="4357"/>
      <c r="DW206" s="4357"/>
      <c r="DX206" s="4357"/>
      <c r="DY206" s="4357"/>
      <c r="DZ206" s="4357"/>
      <c r="EA206" s="4357"/>
      <c r="EB206" s="4357"/>
      <c r="EC206" s="4357"/>
      <c r="ED206" s="4357"/>
      <c r="EE206" s="4357"/>
      <c r="EF206" s="4357"/>
    </row>
    <row r="207" spans="1:136" ht="16" x14ac:dyDescent="0.2">
      <c r="A207" t="s">
        <v>3025</v>
      </c>
      <c r="B207" t="s">
        <v>3241</v>
      </c>
      <c r="C207">
        <f>'8. Fisheries and aquaculture'!C75</f>
        <v>0</v>
      </c>
      <c r="D207">
        <f>'8. Fisheries and aquaculture'!J75</f>
        <v>0</v>
      </c>
      <c r="E207">
        <f>'8. Fisheries and aquaculture'!AI75</f>
        <v>0</v>
      </c>
      <c r="F207" s="388">
        <v>0</v>
      </c>
      <c r="G207" s="388">
        <v>0</v>
      </c>
      <c r="K207" s="388">
        <f>'Fish and aqua'!P135-'Fish and aqua'!O135</f>
        <v>0</v>
      </c>
      <c r="S207" s="388">
        <f>'Fish and aqua'!P124-'Fish and aqua'!O124</f>
        <v>0</v>
      </c>
      <c r="AB207" t="str">
        <f t="shared" si="471"/>
        <v>ok</v>
      </c>
      <c r="AC207">
        <f>IF('8. Fisheries and aquaculture'!CN75&lt;&gt;0,'8. Fisheries and aquaculture'!CN75,'8. Fisheries and aquaculture'!CM75)</f>
        <v>1</v>
      </c>
      <c r="AD207">
        <f t="shared" si="371"/>
        <v>5</v>
      </c>
      <c r="AE207" s="4357" t="str">
        <f>'8. Fisheries and aquaculture'!AA75</f>
        <v>D</v>
      </c>
      <c r="AF207" s="4357" t="str">
        <f>'8. Fisheries and aquaculture'!AC75</f>
        <v>D</v>
      </c>
      <c r="AG207" s="4357" t="str">
        <f t="shared" si="374"/>
        <v>D</v>
      </c>
      <c r="AH207" s="4357">
        <f>((E207/(time_cap+((AD207-AC207+1)*VLOOKUP(AG207,list!$I$48:$K$50,3, FALSE))))*(AD207-AC207+1)*VLOOKUP(AG207,list!$I$48:$K$50,3, FALSE))</f>
        <v>0</v>
      </c>
      <c r="AI207" s="4357">
        <f>((E207/(time_cap+((AD207-AC207+1)*VLOOKUP(AG207,list!$I$48:$K$50,3, FALSE))))*time_cap)</f>
        <v>0</v>
      </c>
      <c r="AK207" s="4357">
        <f t="shared" ref="AK207:BP207" si="478">IFERROR(IF((time+time_cap)&lt;AK$2, 0,IF(AND(time+1&gt;=AL$2, $AC207&lt;AL$2), IF($AG207= "I", $AH207/($AD207-$AC207+1), $AH207/(($AD207*($AD207+1)/2)-(($AC207-1)*($AC207-1+1)/2))*AK$2), 0)+IF(IF(time+1&gt;=AL$2, $AI207/time_cap/(time+1)*AK$2, 0) = 0, $AI207/(time_cap),0)),0)</f>
        <v>0</v>
      </c>
      <c r="AL207" s="4357">
        <f t="shared" si="478"/>
        <v>0</v>
      </c>
      <c r="AM207" s="4357">
        <f t="shared" si="478"/>
        <v>0</v>
      </c>
      <c r="AN207" s="4357">
        <f t="shared" si="478"/>
        <v>0</v>
      </c>
      <c r="AO207" s="4357">
        <f t="shared" si="478"/>
        <v>0</v>
      </c>
      <c r="AP207" s="4357">
        <f t="shared" si="478"/>
        <v>0</v>
      </c>
      <c r="AQ207" s="4357">
        <f t="shared" si="478"/>
        <v>0</v>
      </c>
      <c r="AR207" s="4357">
        <f t="shared" si="478"/>
        <v>0</v>
      </c>
      <c r="AS207" s="4357">
        <f t="shared" si="478"/>
        <v>0</v>
      </c>
      <c r="AT207" s="4357">
        <f t="shared" si="478"/>
        <v>0</v>
      </c>
      <c r="AU207" s="4357">
        <f t="shared" si="478"/>
        <v>0</v>
      </c>
      <c r="AV207" s="4357">
        <f t="shared" si="478"/>
        <v>0</v>
      </c>
      <c r="AW207" s="4357">
        <f t="shared" si="478"/>
        <v>0</v>
      </c>
      <c r="AX207" s="4357">
        <f t="shared" si="478"/>
        <v>0</v>
      </c>
      <c r="AY207" s="4357">
        <f t="shared" si="478"/>
        <v>0</v>
      </c>
      <c r="AZ207" s="4357">
        <f t="shared" si="478"/>
        <v>0</v>
      </c>
      <c r="BA207" s="4357">
        <f t="shared" si="478"/>
        <v>0</v>
      </c>
      <c r="BB207" s="4357">
        <f t="shared" si="478"/>
        <v>0</v>
      </c>
      <c r="BC207" s="4357">
        <f t="shared" si="478"/>
        <v>0</v>
      </c>
      <c r="BD207" s="4357">
        <f t="shared" si="478"/>
        <v>0</v>
      </c>
      <c r="BE207" s="4357">
        <f t="shared" si="478"/>
        <v>0</v>
      </c>
      <c r="BF207" s="4357">
        <f t="shared" si="478"/>
        <v>0</v>
      </c>
      <c r="BG207" s="4357">
        <f t="shared" si="478"/>
        <v>0</v>
      </c>
      <c r="BH207" s="4357">
        <f t="shared" si="478"/>
        <v>0</v>
      </c>
      <c r="BI207" s="4357">
        <f t="shared" si="478"/>
        <v>0</v>
      </c>
      <c r="BJ207" s="4357">
        <f t="shared" si="478"/>
        <v>0</v>
      </c>
      <c r="BK207" s="4357">
        <f t="shared" si="478"/>
        <v>0</v>
      </c>
      <c r="BL207" s="4357">
        <f t="shared" si="478"/>
        <v>0</v>
      </c>
      <c r="BM207" s="4357">
        <f t="shared" si="478"/>
        <v>0</v>
      </c>
      <c r="BN207" s="4357">
        <f t="shared" si="478"/>
        <v>0</v>
      </c>
      <c r="BO207" s="4357">
        <f t="shared" si="478"/>
        <v>0</v>
      </c>
      <c r="BP207" s="4357">
        <f t="shared" si="478"/>
        <v>0</v>
      </c>
      <c r="BQ207" s="4357">
        <f t="shared" ref="BQ207:CH207" si="479">IFERROR(IF((time+time_cap)&lt;BQ$2, 0,IF(AND(time+1&gt;=BR$2, $AC207&lt;BR$2), IF($AG207= "I", $AH207/($AD207-$AC207+1), $AH207/(($AD207*($AD207+1)/2)-(($AC207-1)*($AC207-1+1)/2))*BQ$2), 0)+IF(IF(time+1&gt;=BR$2, $AI207/time_cap/(time+1)*BQ$2, 0) = 0, $AI207/(time_cap),0)),0)</f>
        <v>0</v>
      </c>
      <c r="BR207" s="4357">
        <f t="shared" si="479"/>
        <v>0</v>
      </c>
      <c r="BS207" s="4357">
        <f t="shared" si="479"/>
        <v>0</v>
      </c>
      <c r="BT207" s="4357">
        <f t="shared" si="479"/>
        <v>0</v>
      </c>
      <c r="BU207" s="4357">
        <f t="shared" si="479"/>
        <v>0</v>
      </c>
      <c r="BV207" s="4357">
        <f t="shared" si="479"/>
        <v>0</v>
      </c>
      <c r="BW207" s="4357">
        <f t="shared" si="479"/>
        <v>0</v>
      </c>
      <c r="BX207" s="4357">
        <f t="shared" si="479"/>
        <v>0</v>
      </c>
      <c r="BY207" s="4357">
        <f t="shared" si="479"/>
        <v>0</v>
      </c>
      <c r="BZ207" s="4357">
        <f t="shared" si="479"/>
        <v>0</v>
      </c>
      <c r="CA207" s="4357">
        <f t="shared" si="479"/>
        <v>0</v>
      </c>
      <c r="CB207" s="4357">
        <f t="shared" si="479"/>
        <v>0</v>
      </c>
      <c r="CC207" s="4357">
        <f t="shared" si="479"/>
        <v>0</v>
      </c>
      <c r="CD207" s="4357">
        <f t="shared" si="479"/>
        <v>0</v>
      </c>
      <c r="CE207" s="4357">
        <f t="shared" si="479"/>
        <v>0</v>
      </c>
      <c r="CF207" s="4357">
        <f t="shared" si="479"/>
        <v>0</v>
      </c>
      <c r="CG207" s="4357">
        <f t="shared" si="479"/>
        <v>0</v>
      </c>
      <c r="CH207" s="4357">
        <f t="shared" si="479"/>
        <v>0</v>
      </c>
      <c r="CI207" s="4357"/>
      <c r="CJ207" s="4357"/>
      <c r="CK207" s="4357"/>
      <c r="CL207" s="4357"/>
      <c r="CM207" s="4357"/>
      <c r="CN207" s="4357"/>
      <c r="CO207" s="4357"/>
      <c r="CP207" s="4357"/>
      <c r="CQ207" s="4357"/>
      <c r="CR207" s="4357"/>
      <c r="CS207" s="4357"/>
      <c r="CT207" s="4357"/>
      <c r="CU207" s="4357"/>
      <c r="CV207" s="4357"/>
      <c r="CW207" s="4357"/>
      <c r="CX207" s="4357"/>
      <c r="CY207" s="4357"/>
      <c r="CZ207" s="4357"/>
      <c r="DA207" s="4357"/>
      <c r="DB207" s="4357"/>
      <c r="DC207" s="4357"/>
      <c r="DD207" s="4357"/>
      <c r="DE207" s="4357"/>
      <c r="DF207" s="4357"/>
      <c r="DG207" s="4357"/>
      <c r="DH207" s="4357"/>
      <c r="DI207" s="4357"/>
      <c r="DJ207" s="4357"/>
      <c r="DK207" s="4357"/>
      <c r="DL207" s="4357"/>
      <c r="DM207" s="4357"/>
      <c r="DN207" s="4357"/>
      <c r="DO207" s="4357"/>
      <c r="DP207" s="4357"/>
      <c r="DQ207" s="4357"/>
      <c r="DR207" s="4357"/>
      <c r="DS207" s="4357"/>
      <c r="DT207" s="4357"/>
      <c r="DU207" s="4357"/>
      <c r="DV207" s="4357"/>
      <c r="DW207" s="4357"/>
      <c r="DX207" s="4357"/>
      <c r="DY207" s="4357"/>
      <c r="DZ207" s="4357"/>
      <c r="EA207" s="4357"/>
      <c r="EB207" s="4357"/>
      <c r="EC207" s="4357"/>
      <c r="ED207" s="4357"/>
      <c r="EE207" s="4357"/>
      <c r="EF207" s="4357"/>
    </row>
    <row r="208" spans="1:136" ht="16" x14ac:dyDescent="0.2">
      <c r="A208" t="s">
        <v>3025</v>
      </c>
      <c r="B208" t="s">
        <v>3241</v>
      </c>
      <c r="C208">
        <f>'8. Fisheries and aquaculture'!C76</f>
        <v>0</v>
      </c>
      <c r="D208">
        <f>'8. Fisheries and aquaculture'!J76</f>
        <v>0</v>
      </c>
      <c r="E208">
        <f>'8. Fisheries and aquaculture'!AI76</f>
        <v>0</v>
      </c>
      <c r="F208" s="388">
        <v>0</v>
      </c>
      <c r="G208" s="388">
        <v>0</v>
      </c>
      <c r="K208" s="388">
        <f>'Fish and aqua'!P136-'Fish and aqua'!O136</f>
        <v>0</v>
      </c>
      <c r="S208" s="388">
        <f>'Fish and aqua'!P125-'Fish and aqua'!O125</f>
        <v>0</v>
      </c>
      <c r="AB208" t="str">
        <f t="shared" si="471"/>
        <v>ok</v>
      </c>
      <c r="AC208">
        <f>IF('8. Fisheries and aquaculture'!CN76&lt;&gt;0,'8. Fisheries and aquaculture'!CN76,'8. Fisheries and aquaculture'!CM76)</f>
        <v>1</v>
      </c>
      <c r="AD208">
        <f t="shared" si="371"/>
        <v>5</v>
      </c>
      <c r="AE208" s="4357" t="str">
        <f>'8. Fisheries and aquaculture'!AA76</f>
        <v>D</v>
      </c>
      <c r="AF208" s="4357" t="str">
        <f>'8. Fisheries and aquaculture'!AC76</f>
        <v>D</v>
      </c>
      <c r="AG208" s="4357" t="str">
        <f t="shared" si="374"/>
        <v>D</v>
      </c>
      <c r="AH208" s="4357">
        <f>((E208/(time_cap+((AD208-AC208+1)*VLOOKUP(AG208,list!$I$48:$K$50,3, FALSE))))*(AD208-AC208+1)*VLOOKUP(AG208,list!$I$48:$K$50,3, FALSE))</f>
        <v>0</v>
      </c>
      <c r="AI208" s="4357">
        <f>((E208/(time_cap+((AD208-AC208+1)*VLOOKUP(AG208,list!$I$48:$K$50,3, FALSE))))*time_cap)</f>
        <v>0</v>
      </c>
      <c r="AK208" s="4357">
        <f t="shared" ref="AK208:BP208" si="480">IFERROR(IF((time+time_cap)&lt;AK$2, 0,IF(AND(time+1&gt;=AL$2, $AC208&lt;AL$2), IF($AG208= "I", $AH208/($AD208-$AC208+1), $AH208/(($AD208*($AD208+1)/2)-(($AC208-1)*($AC208-1+1)/2))*AK$2), 0)+IF(IF(time+1&gt;=AL$2, $AI208/time_cap/(time+1)*AK$2, 0) = 0, $AI208/(time_cap),0)),0)</f>
        <v>0</v>
      </c>
      <c r="AL208" s="4357">
        <f t="shared" si="480"/>
        <v>0</v>
      </c>
      <c r="AM208" s="4357">
        <f t="shared" si="480"/>
        <v>0</v>
      </c>
      <c r="AN208" s="4357">
        <f t="shared" si="480"/>
        <v>0</v>
      </c>
      <c r="AO208" s="4357">
        <f t="shared" si="480"/>
        <v>0</v>
      </c>
      <c r="AP208" s="4357">
        <f t="shared" si="480"/>
        <v>0</v>
      </c>
      <c r="AQ208" s="4357">
        <f t="shared" si="480"/>
        <v>0</v>
      </c>
      <c r="AR208" s="4357">
        <f t="shared" si="480"/>
        <v>0</v>
      </c>
      <c r="AS208" s="4357">
        <f t="shared" si="480"/>
        <v>0</v>
      </c>
      <c r="AT208" s="4357">
        <f t="shared" si="480"/>
        <v>0</v>
      </c>
      <c r="AU208" s="4357">
        <f t="shared" si="480"/>
        <v>0</v>
      </c>
      <c r="AV208" s="4357">
        <f t="shared" si="480"/>
        <v>0</v>
      </c>
      <c r="AW208" s="4357">
        <f t="shared" si="480"/>
        <v>0</v>
      </c>
      <c r="AX208" s="4357">
        <f t="shared" si="480"/>
        <v>0</v>
      </c>
      <c r="AY208" s="4357">
        <f t="shared" si="480"/>
        <v>0</v>
      </c>
      <c r="AZ208" s="4357">
        <f t="shared" si="480"/>
        <v>0</v>
      </c>
      <c r="BA208" s="4357">
        <f t="shared" si="480"/>
        <v>0</v>
      </c>
      <c r="BB208" s="4357">
        <f t="shared" si="480"/>
        <v>0</v>
      </c>
      <c r="BC208" s="4357">
        <f t="shared" si="480"/>
        <v>0</v>
      </c>
      <c r="BD208" s="4357">
        <f t="shared" si="480"/>
        <v>0</v>
      </c>
      <c r="BE208" s="4357">
        <f t="shared" si="480"/>
        <v>0</v>
      </c>
      <c r="BF208" s="4357">
        <f t="shared" si="480"/>
        <v>0</v>
      </c>
      <c r="BG208" s="4357">
        <f t="shared" si="480"/>
        <v>0</v>
      </c>
      <c r="BH208" s="4357">
        <f t="shared" si="480"/>
        <v>0</v>
      </c>
      <c r="BI208" s="4357">
        <f t="shared" si="480"/>
        <v>0</v>
      </c>
      <c r="BJ208" s="4357">
        <f t="shared" si="480"/>
        <v>0</v>
      </c>
      <c r="BK208" s="4357">
        <f t="shared" si="480"/>
        <v>0</v>
      </c>
      <c r="BL208" s="4357">
        <f t="shared" si="480"/>
        <v>0</v>
      </c>
      <c r="BM208" s="4357">
        <f t="shared" si="480"/>
        <v>0</v>
      </c>
      <c r="BN208" s="4357">
        <f t="shared" si="480"/>
        <v>0</v>
      </c>
      <c r="BO208" s="4357">
        <f t="shared" si="480"/>
        <v>0</v>
      </c>
      <c r="BP208" s="4357">
        <f t="shared" si="480"/>
        <v>0</v>
      </c>
      <c r="BQ208" s="4357">
        <f t="shared" ref="BQ208:CH208" si="481">IFERROR(IF((time+time_cap)&lt;BQ$2, 0,IF(AND(time+1&gt;=BR$2, $AC208&lt;BR$2), IF($AG208= "I", $AH208/($AD208-$AC208+1), $AH208/(($AD208*($AD208+1)/2)-(($AC208-1)*($AC208-1+1)/2))*BQ$2), 0)+IF(IF(time+1&gt;=BR$2, $AI208/time_cap/(time+1)*BQ$2, 0) = 0, $AI208/(time_cap),0)),0)</f>
        <v>0</v>
      </c>
      <c r="BR208" s="4357">
        <f t="shared" si="481"/>
        <v>0</v>
      </c>
      <c r="BS208" s="4357">
        <f t="shared" si="481"/>
        <v>0</v>
      </c>
      <c r="BT208" s="4357">
        <f t="shared" si="481"/>
        <v>0</v>
      </c>
      <c r="BU208" s="4357">
        <f t="shared" si="481"/>
        <v>0</v>
      </c>
      <c r="BV208" s="4357">
        <f t="shared" si="481"/>
        <v>0</v>
      </c>
      <c r="BW208" s="4357">
        <f t="shared" si="481"/>
        <v>0</v>
      </c>
      <c r="BX208" s="4357">
        <f t="shared" si="481"/>
        <v>0</v>
      </c>
      <c r="BY208" s="4357">
        <f t="shared" si="481"/>
        <v>0</v>
      </c>
      <c r="BZ208" s="4357">
        <f t="shared" si="481"/>
        <v>0</v>
      </c>
      <c r="CA208" s="4357">
        <f t="shared" si="481"/>
        <v>0</v>
      </c>
      <c r="CB208" s="4357">
        <f t="shared" si="481"/>
        <v>0</v>
      </c>
      <c r="CC208" s="4357">
        <f t="shared" si="481"/>
        <v>0</v>
      </c>
      <c r="CD208" s="4357">
        <f t="shared" si="481"/>
        <v>0</v>
      </c>
      <c r="CE208" s="4357">
        <f t="shared" si="481"/>
        <v>0</v>
      </c>
      <c r="CF208" s="4357">
        <f t="shared" si="481"/>
        <v>0</v>
      </c>
      <c r="CG208" s="4357">
        <f t="shared" si="481"/>
        <v>0</v>
      </c>
      <c r="CH208" s="4357">
        <f t="shared" si="481"/>
        <v>0</v>
      </c>
      <c r="CI208" s="4357"/>
      <c r="CJ208" s="4357"/>
      <c r="CK208" s="4357"/>
      <c r="CL208" s="4357"/>
      <c r="CM208" s="4357"/>
      <c r="CN208" s="4357"/>
      <c r="CO208" s="4357"/>
      <c r="CP208" s="4357"/>
      <c r="CQ208" s="4357"/>
      <c r="CR208" s="4357"/>
      <c r="CS208" s="4357"/>
      <c r="CT208" s="4357"/>
      <c r="CU208" s="4357"/>
      <c r="CV208" s="4357"/>
      <c r="CW208" s="4357"/>
      <c r="CX208" s="4357"/>
      <c r="CY208" s="4357"/>
      <c r="CZ208" s="4357"/>
      <c r="DA208" s="4357"/>
      <c r="DB208" s="4357"/>
      <c r="DC208" s="4357"/>
      <c r="DD208" s="4357"/>
      <c r="DE208" s="4357"/>
      <c r="DF208" s="4357"/>
      <c r="DG208" s="4357"/>
      <c r="DH208" s="4357"/>
      <c r="DI208" s="4357"/>
      <c r="DJ208" s="4357"/>
      <c r="DK208" s="4357"/>
      <c r="DL208" s="4357"/>
      <c r="DM208" s="4357"/>
      <c r="DN208" s="4357"/>
      <c r="DO208" s="4357"/>
      <c r="DP208" s="4357"/>
      <c r="DQ208" s="4357"/>
      <c r="DR208" s="4357"/>
      <c r="DS208" s="4357"/>
      <c r="DT208" s="4357"/>
      <c r="DU208" s="4357"/>
      <c r="DV208" s="4357"/>
      <c r="DW208" s="4357"/>
      <c r="DX208" s="4357"/>
      <c r="DY208" s="4357"/>
      <c r="DZ208" s="4357"/>
      <c r="EA208" s="4357"/>
      <c r="EB208" s="4357"/>
      <c r="EC208" s="4357"/>
      <c r="ED208" s="4357"/>
      <c r="EE208" s="4357"/>
      <c r="EF208" s="4357"/>
    </row>
    <row r="209" spans="1:136" ht="16" x14ac:dyDescent="0.2">
      <c r="A209" t="s">
        <v>3025</v>
      </c>
      <c r="B209" t="s">
        <v>3241</v>
      </c>
      <c r="C209">
        <f>'8. Fisheries and aquaculture'!C77</f>
        <v>0</v>
      </c>
      <c r="D209">
        <f>'8. Fisheries and aquaculture'!J77</f>
        <v>0</v>
      </c>
      <c r="E209">
        <f>'8. Fisheries and aquaculture'!AI77</f>
        <v>0</v>
      </c>
      <c r="F209" s="388">
        <v>0</v>
      </c>
      <c r="G209" s="388">
        <v>0</v>
      </c>
      <c r="K209" s="388">
        <f>'Fish and aqua'!P137-'Fish and aqua'!O137</f>
        <v>0</v>
      </c>
      <c r="S209" s="388">
        <f>'Fish and aqua'!P126-'Fish and aqua'!O126</f>
        <v>0</v>
      </c>
      <c r="AB209" t="str">
        <f t="shared" si="471"/>
        <v>ok</v>
      </c>
      <c r="AC209">
        <f>IF('8. Fisheries and aquaculture'!CN77&lt;&gt;0,'8. Fisheries and aquaculture'!CN77,'8. Fisheries and aquaculture'!CM77)</f>
        <v>1</v>
      </c>
      <c r="AD209">
        <f t="shared" si="371"/>
        <v>5</v>
      </c>
      <c r="AE209" s="4357" t="str">
        <f>'8. Fisheries and aquaculture'!AA77</f>
        <v>D</v>
      </c>
      <c r="AF209" s="4357" t="str">
        <f>'8. Fisheries and aquaculture'!AC77</f>
        <v>D</v>
      </c>
      <c r="AG209" s="4357" t="str">
        <f t="shared" si="374"/>
        <v>D</v>
      </c>
      <c r="AH209" s="4357">
        <f>((E209/(time_cap+((AD209-AC209+1)*VLOOKUP(AG209,list!$I$48:$K$50,3, FALSE))))*(AD209-AC209+1)*VLOOKUP(AG209,list!$I$48:$K$50,3, FALSE))</f>
        <v>0</v>
      </c>
      <c r="AI209" s="4357">
        <f>((E209/(time_cap+((AD209-AC209+1)*VLOOKUP(AG209,list!$I$48:$K$50,3, FALSE))))*time_cap)</f>
        <v>0</v>
      </c>
      <c r="AK209" s="4357">
        <f t="shared" ref="AK209:BP209" si="482">IFERROR(IF((time+time_cap)&lt;AK$2, 0,IF(AND(time+1&gt;=AL$2, $AC209&lt;AL$2), IF($AG209= "I", $AH209/($AD209-$AC209+1), $AH209/(($AD209*($AD209+1)/2)-(($AC209-1)*($AC209-1+1)/2))*AK$2), 0)+IF(IF(time+1&gt;=AL$2, $AI209/time_cap/(time+1)*AK$2, 0) = 0, $AI209/(time_cap),0)),0)</f>
        <v>0</v>
      </c>
      <c r="AL209" s="4357">
        <f t="shared" si="482"/>
        <v>0</v>
      </c>
      <c r="AM209" s="4357">
        <f t="shared" si="482"/>
        <v>0</v>
      </c>
      <c r="AN209" s="4357">
        <f t="shared" si="482"/>
        <v>0</v>
      </c>
      <c r="AO209" s="4357">
        <f t="shared" si="482"/>
        <v>0</v>
      </c>
      <c r="AP209" s="4357">
        <f t="shared" si="482"/>
        <v>0</v>
      </c>
      <c r="AQ209" s="4357">
        <f t="shared" si="482"/>
        <v>0</v>
      </c>
      <c r="AR209" s="4357">
        <f t="shared" si="482"/>
        <v>0</v>
      </c>
      <c r="AS209" s="4357">
        <f t="shared" si="482"/>
        <v>0</v>
      </c>
      <c r="AT209" s="4357">
        <f t="shared" si="482"/>
        <v>0</v>
      </c>
      <c r="AU209" s="4357">
        <f t="shared" si="482"/>
        <v>0</v>
      </c>
      <c r="AV209" s="4357">
        <f t="shared" si="482"/>
        <v>0</v>
      </c>
      <c r="AW209" s="4357">
        <f t="shared" si="482"/>
        <v>0</v>
      </c>
      <c r="AX209" s="4357">
        <f t="shared" si="482"/>
        <v>0</v>
      </c>
      <c r="AY209" s="4357">
        <f t="shared" si="482"/>
        <v>0</v>
      </c>
      <c r="AZ209" s="4357">
        <f t="shared" si="482"/>
        <v>0</v>
      </c>
      <c r="BA209" s="4357">
        <f t="shared" si="482"/>
        <v>0</v>
      </c>
      <c r="BB209" s="4357">
        <f t="shared" si="482"/>
        <v>0</v>
      </c>
      <c r="BC209" s="4357">
        <f t="shared" si="482"/>
        <v>0</v>
      </c>
      <c r="BD209" s="4357">
        <f t="shared" si="482"/>
        <v>0</v>
      </c>
      <c r="BE209" s="4357">
        <f t="shared" si="482"/>
        <v>0</v>
      </c>
      <c r="BF209" s="4357">
        <f t="shared" si="482"/>
        <v>0</v>
      </c>
      <c r="BG209" s="4357">
        <f t="shared" si="482"/>
        <v>0</v>
      </c>
      <c r="BH209" s="4357">
        <f t="shared" si="482"/>
        <v>0</v>
      </c>
      <c r="BI209" s="4357">
        <f t="shared" si="482"/>
        <v>0</v>
      </c>
      <c r="BJ209" s="4357">
        <f t="shared" si="482"/>
        <v>0</v>
      </c>
      <c r="BK209" s="4357">
        <f t="shared" si="482"/>
        <v>0</v>
      </c>
      <c r="BL209" s="4357">
        <f t="shared" si="482"/>
        <v>0</v>
      </c>
      <c r="BM209" s="4357">
        <f t="shared" si="482"/>
        <v>0</v>
      </c>
      <c r="BN209" s="4357">
        <f t="shared" si="482"/>
        <v>0</v>
      </c>
      <c r="BO209" s="4357">
        <f t="shared" si="482"/>
        <v>0</v>
      </c>
      <c r="BP209" s="4357">
        <f t="shared" si="482"/>
        <v>0</v>
      </c>
      <c r="BQ209" s="4357">
        <f t="shared" ref="BQ209:CH209" si="483">IFERROR(IF((time+time_cap)&lt;BQ$2, 0,IF(AND(time+1&gt;=BR$2, $AC209&lt;BR$2), IF($AG209= "I", $AH209/($AD209-$AC209+1), $AH209/(($AD209*($AD209+1)/2)-(($AC209-1)*($AC209-1+1)/2))*BQ$2), 0)+IF(IF(time+1&gt;=BR$2, $AI209/time_cap/(time+1)*BQ$2, 0) = 0, $AI209/(time_cap),0)),0)</f>
        <v>0</v>
      </c>
      <c r="BR209" s="4357">
        <f t="shared" si="483"/>
        <v>0</v>
      </c>
      <c r="BS209" s="4357">
        <f t="shared" si="483"/>
        <v>0</v>
      </c>
      <c r="BT209" s="4357">
        <f t="shared" si="483"/>
        <v>0</v>
      </c>
      <c r="BU209" s="4357">
        <f t="shared" si="483"/>
        <v>0</v>
      </c>
      <c r="BV209" s="4357">
        <f t="shared" si="483"/>
        <v>0</v>
      </c>
      <c r="BW209" s="4357">
        <f t="shared" si="483"/>
        <v>0</v>
      </c>
      <c r="BX209" s="4357">
        <f t="shared" si="483"/>
        <v>0</v>
      </c>
      <c r="BY209" s="4357">
        <f t="shared" si="483"/>
        <v>0</v>
      </c>
      <c r="BZ209" s="4357">
        <f t="shared" si="483"/>
        <v>0</v>
      </c>
      <c r="CA209" s="4357">
        <f t="shared" si="483"/>
        <v>0</v>
      </c>
      <c r="CB209" s="4357">
        <f t="shared" si="483"/>
        <v>0</v>
      </c>
      <c r="CC209" s="4357">
        <f t="shared" si="483"/>
        <v>0</v>
      </c>
      <c r="CD209" s="4357">
        <f t="shared" si="483"/>
        <v>0</v>
      </c>
      <c r="CE209" s="4357">
        <f t="shared" si="483"/>
        <v>0</v>
      </c>
      <c r="CF209" s="4357">
        <f t="shared" si="483"/>
        <v>0</v>
      </c>
      <c r="CG209" s="4357">
        <f t="shared" si="483"/>
        <v>0</v>
      </c>
      <c r="CH209" s="4357">
        <f t="shared" si="483"/>
        <v>0</v>
      </c>
      <c r="CI209" s="4357"/>
      <c r="CJ209" s="4357"/>
      <c r="CK209" s="4357"/>
      <c r="CL209" s="4357"/>
      <c r="CM209" s="4357"/>
      <c r="CN209" s="4357"/>
      <c r="CO209" s="4357"/>
      <c r="CP209" s="4357"/>
      <c r="CQ209" s="4357"/>
      <c r="CR209" s="4357"/>
      <c r="CS209" s="4357"/>
      <c r="CT209" s="4357"/>
      <c r="CU209" s="4357"/>
      <c r="CV209" s="4357"/>
      <c r="CW209" s="4357"/>
      <c r="CX209" s="4357"/>
      <c r="CY209" s="4357"/>
      <c r="CZ209" s="4357"/>
      <c r="DA209" s="4357"/>
      <c r="DB209" s="4357"/>
      <c r="DC209" s="4357"/>
      <c r="DD209" s="4357"/>
      <c r="DE209" s="4357"/>
      <c r="DF209" s="4357"/>
      <c r="DG209" s="4357"/>
      <c r="DH209" s="4357"/>
      <c r="DI209" s="4357"/>
      <c r="DJ209" s="4357"/>
      <c r="DK209" s="4357"/>
      <c r="DL209" s="4357"/>
      <c r="DM209" s="4357"/>
      <c r="DN209" s="4357"/>
      <c r="DO209" s="4357"/>
      <c r="DP209" s="4357"/>
      <c r="DQ209" s="4357"/>
      <c r="DR209" s="4357"/>
      <c r="DS209" s="4357"/>
      <c r="DT209" s="4357"/>
      <c r="DU209" s="4357"/>
      <c r="DV209" s="4357"/>
      <c r="DW209" s="4357"/>
      <c r="DX209" s="4357"/>
      <c r="DY209" s="4357"/>
      <c r="DZ209" s="4357"/>
      <c r="EA209" s="4357"/>
      <c r="EB209" s="4357"/>
      <c r="EC209" s="4357"/>
      <c r="ED209" s="4357"/>
      <c r="EE209" s="4357"/>
      <c r="EF209" s="4357"/>
    </row>
    <row r="210" spans="1:136" ht="16" x14ac:dyDescent="0.2">
      <c r="A210" t="s">
        <v>3025</v>
      </c>
      <c r="B210" t="s">
        <v>3241</v>
      </c>
      <c r="C210">
        <f>'8. Fisheries and aquaculture'!C78</f>
        <v>0</v>
      </c>
      <c r="D210">
        <f>'8. Fisheries and aquaculture'!J78</f>
        <v>0</v>
      </c>
      <c r="E210">
        <f>'8. Fisheries and aquaculture'!AI78</f>
        <v>0</v>
      </c>
      <c r="F210" s="388">
        <v>0</v>
      </c>
      <c r="G210" s="388">
        <v>0</v>
      </c>
      <c r="K210" s="388">
        <f>'Fish and aqua'!P138-'Fish and aqua'!O138</f>
        <v>0</v>
      </c>
      <c r="S210" s="388">
        <f>'Fish and aqua'!P127-'Fish and aqua'!O127</f>
        <v>0</v>
      </c>
      <c r="AB210" t="str">
        <f t="shared" si="471"/>
        <v>ok</v>
      </c>
      <c r="AC210">
        <f>IF('8. Fisheries and aquaculture'!CN78&lt;&gt;0,'8. Fisheries and aquaculture'!CN78,'8. Fisheries and aquaculture'!CM78)</f>
        <v>1</v>
      </c>
      <c r="AD210">
        <f t="shared" si="371"/>
        <v>5</v>
      </c>
      <c r="AE210" s="4357" t="str">
        <f>'8. Fisheries and aquaculture'!AA78</f>
        <v>D</v>
      </c>
      <c r="AF210" s="4357" t="str">
        <f>'8. Fisheries and aquaculture'!AC78</f>
        <v>D</v>
      </c>
      <c r="AG210" s="4357" t="str">
        <f t="shared" si="374"/>
        <v>D</v>
      </c>
      <c r="AH210" s="4357">
        <f>((E210/(time_cap+((AD210-AC210+1)*VLOOKUP(AG210,list!$I$48:$K$50,3, FALSE))))*(AD210-AC210+1)*VLOOKUP(AG210,list!$I$48:$K$50,3, FALSE))</f>
        <v>0</v>
      </c>
      <c r="AI210" s="4357">
        <f>((E210/(time_cap+((AD210-AC210+1)*VLOOKUP(AG210,list!$I$48:$K$50,3, FALSE))))*time_cap)</f>
        <v>0</v>
      </c>
      <c r="AK210" s="4357">
        <f t="shared" ref="AK210:BP210" si="484">IFERROR(IF((time+time_cap)&lt;AK$2, 0,IF(AND(time+1&gt;=AL$2, $AC210&lt;AL$2), IF($AG210= "I", $AH210/($AD210-$AC210+1), $AH210/(($AD210*($AD210+1)/2)-(($AC210-1)*($AC210-1+1)/2))*AK$2), 0)+IF(IF(time+1&gt;=AL$2, $AI210/time_cap/(time+1)*AK$2, 0) = 0, $AI210/(time_cap),0)),0)</f>
        <v>0</v>
      </c>
      <c r="AL210" s="4357">
        <f t="shared" si="484"/>
        <v>0</v>
      </c>
      <c r="AM210" s="4357">
        <f t="shared" si="484"/>
        <v>0</v>
      </c>
      <c r="AN210" s="4357">
        <f t="shared" si="484"/>
        <v>0</v>
      </c>
      <c r="AO210" s="4357">
        <f t="shared" si="484"/>
        <v>0</v>
      </c>
      <c r="AP210" s="4357">
        <f t="shared" si="484"/>
        <v>0</v>
      </c>
      <c r="AQ210" s="4357">
        <f t="shared" si="484"/>
        <v>0</v>
      </c>
      <c r="AR210" s="4357">
        <f t="shared" si="484"/>
        <v>0</v>
      </c>
      <c r="AS210" s="4357">
        <f t="shared" si="484"/>
        <v>0</v>
      </c>
      <c r="AT210" s="4357">
        <f t="shared" si="484"/>
        <v>0</v>
      </c>
      <c r="AU210" s="4357">
        <f t="shared" si="484"/>
        <v>0</v>
      </c>
      <c r="AV210" s="4357">
        <f t="shared" si="484"/>
        <v>0</v>
      </c>
      <c r="AW210" s="4357">
        <f t="shared" si="484"/>
        <v>0</v>
      </c>
      <c r="AX210" s="4357">
        <f t="shared" si="484"/>
        <v>0</v>
      </c>
      <c r="AY210" s="4357">
        <f t="shared" si="484"/>
        <v>0</v>
      </c>
      <c r="AZ210" s="4357">
        <f t="shared" si="484"/>
        <v>0</v>
      </c>
      <c r="BA210" s="4357">
        <f t="shared" si="484"/>
        <v>0</v>
      </c>
      <c r="BB210" s="4357">
        <f t="shared" si="484"/>
        <v>0</v>
      </c>
      <c r="BC210" s="4357">
        <f t="shared" si="484"/>
        <v>0</v>
      </c>
      <c r="BD210" s="4357">
        <f t="shared" si="484"/>
        <v>0</v>
      </c>
      <c r="BE210" s="4357">
        <f t="shared" si="484"/>
        <v>0</v>
      </c>
      <c r="BF210" s="4357">
        <f t="shared" si="484"/>
        <v>0</v>
      </c>
      <c r="BG210" s="4357">
        <f t="shared" si="484"/>
        <v>0</v>
      </c>
      <c r="BH210" s="4357">
        <f t="shared" si="484"/>
        <v>0</v>
      </c>
      <c r="BI210" s="4357">
        <f t="shared" si="484"/>
        <v>0</v>
      </c>
      <c r="BJ210" s="4357">
        <f t="shared" si="484"/>
        <v>0</v>
      </c>
      <c r="BK210" s="4357">
        <f t="shared" si="484"/>
        <v>0</v>
      </c>
      <c r="BL210" s="4357">
        <f t="shared" si="484"/>
        <v>0</v>
      </c>
      <c r="BM210" s="4357">
        <f t="shared" si="484"/>
        <v>0</v>
      </c>
      <c r="BN210" s="4357">
        <f t="shared" si="484"/>
        <v>0</v>
      </c>
      <c r="BO210" s="4357">
        <f t="shared" si="484"/>
        <v>0</v>
      </c>
      <c r="BP210" s="4357">
        <f t="shared" si="484"/>
        <v>0</v>
      </c>
      <c r="BQ210" s="4357">
        <f t="shared" ref="BQ210:CH210" si="485">IFERROR(IF((time+time_cap)&lt;BQ$2, 0,IF(AND(time+1&gt;=BR$2, $AC210&lt;BR$2), IF($AG210= "I", $AH210/($AD210-$AC210+1), $AH210/(($AD210*($AD210+1)/2)-(($AC210-1)*($AC210-1+1)/2))*BQ$2), 0)+IF(IF(time+1&gt;=BR$2, $AI210/time_cap/(time+1)*BQ$2, 0) = 0, $AI210/(time_cap),0)),0)</f>
        <v>0</v>
      </c>
      <c r="BR210" s="4357">
        <f t="shared" si="485"/>
        <v>0</v>
      </c>
      <c r="BS210" s="4357">
        <f t="shared" si="485"/>
        <v>0</v>
      </c>
      <c r="BT210" s="4357">
        <f t="shared" si="485"/>
        <v>0</v>
      </c>
      <c r="BU210" s="4357">
        <f t="shared" si="485"/>
        <v>0</v>
      </c>
      <c r="BV210" s="4357">
        <f t="shared" si="485"/>
        <v>0</v>
      </c>
      <c r="BW210" s="4357">
        <f t="shared" si="485"/>
        <v>0</v>
      </c>
      <c r="BX210" s="4357">
        <f t="shared" si="485"/>
        <v>0</v>
      </c>
      <c r="BY210" s="4357">
        <f t="shared" si="485"/>
        <v>0</v>
      </c>
      <c r="BZ210" s="4357">
        <f t="shared" si="485"/>
        <v>0</v>
      </c>
      <c r="CA210" s="4357">
        <f t="shared" si="485"/>
        <v>0</v>
      </c>
      <c r="CB210" s="4357">
        <f t="shared" si="485"/>
        <v>0</v>
      </c>
      <c r="CC210" s="4357">
        <f t="shared" si="485"/>
        <v>0</v>
      </c>
      <c r="CD210" s="4357">
        <f t="shared" si="485"/>
        <v>0</v>
      </c>
      <c r="CE210" s="4357">
        <f t="shared" si="485"/>
        <v>0</v>
      </c>
      <c r="CF210" s="4357">
        <f t="shared" si="485"/>
        <v>0</v>
      </c>
      <c r="CG210" s="4357">
        <f t="shared" si="485"/>
        <v>0</v>
      </c>
      <c r="CH210" s="4357">
        <f t="shared" si="485"/>
        <v>0</v>
      </c>
      <c r="CI210" s="4357"/>
      <c r="CJ210" s="4357"/>
      <c r="CK210" s="4357"/>
      <c r="CL210" s="4357"/>
      <c r="CM210" s="4357"/>
      <c r="CN210" s="4357"/>
      <c r="CO210" s="4357"/>
      <c r="CP210" s="4357"/>
      <c r="CQ210" s="4357"/>
      <c r="CR210" s="4357"/>
      <c r="CS210" s="4357"/>
      <c r="CT210" s="4357"/>
      <c r="CU210" s="4357"/>
      <c r="CV210" s="4357"/>
      <c r="CW210" s="4357"/>
      <c r="CX210" s="4357"/>
      <c r="CY210" s="4357"/>
      <c r="CZ210" s="4357"/>
      <c r="DA210" s="4357"/>
      <c r="DB210" s="4357"/>
      <c r="DC210" s="4357"/>
      <c r="DD210" s="4357"/>
      <c r="DE210" s="4357"/>
      <c r="DF210" s="4357"/>
      <c r="DG210" s="4357"/>
      <c r="DH210" s="4357"/>
      <c r="DI210" s="4357"/>
      <c r="DJ210" s="4357"/>
      <c r="DK210" s="4357"/>
      <c r="DL210" s="4357"/>
      <c r="DM210" s="4357"/>
      <c r="DN210" s="4357"/>
      <c r="DO210" s="4357"/>
      <c r="DP210" s="4357"/>
      <c r="DQ210" s="4357"/>
      <c r="DR210" s="4357"/>
      <c r="DS210" s="4357"/>
      <c r="DT210" s="4357"/>
      <c r="DU210" s="4357"/>
      <c r="DV210" s="4357"/>
      <c r="DW210" s="4357"/>
      <c r="DX210" s="4357"/>
      <c r="DY210" s="4357"/>
      <c r="DZ210" s="4357"/>
      <c r="EA210" s="4357"/>
      <c r="EB210" s="4357"/>
      <c r="EC210" s="4357"/>
      <c r="ED210" s="4357"/>
      <c r="EE210" s="4357"/>
      <c r="EF210" s="4357"/>
    </row>
    <row r="211" spans="1:136" ht="16" x14ac:dyDescent="0.2">
      <c r="A211" t="s">
        <v>3025</v>
      </c>
      <c r="B211" t="s">
        <v>3241</v>
      </c>
      <c r="C211">
        <f>'8. Fisheries and aquaculture'!C79</f>
        <v>0</v>
      </c>
      <c r="D211">
        <f>'8. Fisheries and aquaculture'!J79</f>
        <v>0</v>
      </c>
      <c r="E211">
        <f>'8. Fisheries and aquaculture'!AI79</f>
        <v>0</v>
      </c>
      <c r="F211" s="388">
        <v>0</v>
      </c>
      <c r="G211" s="388">
        <v>0</v>
      </c>
      <c r="K211" s="388">
        <f>'Fish and aqua'!P139-'Fish and aqua'!O139</f>
        <v>0</v>
      </c>
      <c r="S211" s="388">
        <f>'Fish and aqua'!P128-'Fish and aqua'!O128</f>
        <v>0</v>
      </c>
      <c r="AB211" t="str">
        <f t="shared" si="471"/>
        <v>ok</v>
      </c>
      <c r="AC211">
        <f>IF('8. Fisheries and aquaculture'!CN79&lt;&gt;0,'8. Fisheries and aquaculture'!CN79,'8. Fisheries and aquaculture'!CM79)</f>
        <v>1</v>
      </c>
      <c r="AD211">
        <f t="shared" si="371"/>
        <v>5</v>
      </c>
      <c r="AE211" s="4357" t="str">
        <f>'8. Fisheries and aquaculture'!AA79</f>
        <v>D</v>
      </c>
      <c r="AF211" s="4357" t="str">
        <f>'8. Fisheries and aquaculture'!AC79</f>
        <v>D</v>
      </c>
      <c r="AG211" s="4357" t="str">
        <f t="shared" si="374"/>
        <v>D</v>
      </c>
      <c r="AH211" s="4357">
        <f>((E211/(time_cap+((AD211-AC211+1)*VLOOKUP(AG211,list!$I$48:$K$50,3, FALSE))))*(AD211-AC211+1)*VLOOKUP(AG211,list!$I$48:$K$50,3, FALSE))</f>
        <v>0</v>
      </c>
      <c r="AI211" s="4357">
        <f>((E211/(time_cap+((AD211-AC211+1)*VLOOKUP(AG211,list!$I$48:$K$50,3, FALSE))))*time_cap)</f>
        <v>0</v>
      </c>
      <c r="AK211" s="4357">
        <f t="shared" ref="AK211:BP211" si="486">IFERROR(IF((time+time_cap)&lt;AK$2, 0,IF(AND(time+1&gt;=AL$2, $AC211&lt;AL$2), IF($AG211= "I", $AH211/($AD211-$AC211+1), $AH211/(($AD211*($AD211+1)/2)-(($AC211-1)*($AC211-1+1)/2))*AK$2), 0)+IF(IF(time+1&gt;=AL$2, $AI211/time_cap/(time+1)*AK$2, 0) = 0, $AI211/(time_cap),0)),0)</f>
        <v>0</v>
      </c>
      <c r="AL211" s="4357">
        <f t="shared" si="486"/>
        <v>0</v>
      </c>
      <c r="AM211" s="4357">
        <f t="shared" si="486"/>
        <v>0</v>
      </c>
      <c r="AN211" s="4357">
        <f t="shared" si="486"/>
        <v>0</v>
      </c>
      <c r="AO211" s="4357">
        <f t="shared" si="486"/>
        <v>0</v>
      </c>
      <c r="AP211" s="4357">
        <f t="shared" si="486"/>
        <v>0</v>
      </c>
      <c r="AQ211" s="4357">
        <f t="shared" si="486"/>
        <v>0</v>
      </c>
      <c r="AR211" s="4357">
        <f t="shared" si="486"/>
        <v>0</v>
      </c>
      <c r="AS211" s="4357">
        <f t="shared" si="486"/>
        <v>0</v>
      </c>
      <c r="AT211" s="4357">
        <f t="shared" si="486"/>
        <v>0</v>
      </c>
      <c r="AU211" s="4357">
        <f t="shared" si="486"/>
        <v>0</v>
      </c>
      <c r="AV211" s="4357">
        <f t="shared" si="486"/>
        <v>0</v>
      </c>
      <c r="AW211" s="4357">
        <f t="shared" si="486"/>
        <v>0</v>
      </c>
      <c r="AX211" s="4357">
        <f t="shared" si="486"/>
        <v>0</v>
      </c>
      <c r="AY211" s="4357">
        <f t="shared" si="486"/>
        <v>0</v>
      </c>
      <c r="AZ211" s="4357">
        <f t="shared" si="486"/>
        <v>0</v>
      </c>
      <c r="BA211" s="4357">
        <f t="shared" si="486"/>
        <v>0</v>
      </c>
      <c r="BB211" s="4357">
        <f t="shared" si="486"/>
        <v>0</v>
      </c>
      <c r="BC211" s="4357">
        <f t="shared" si="486"/>
        <v>0</v>
      </c>
      <c r="BD211" s="4357">
        <f t="shared" si="486"/>
        <v>0</v>
      </c>
      <c r="BE211" s="4357">
        <f t="shared" si="486"/>
        <v>0</v>
      </c>
      <c r="BF211" s="4357">
        <f t="shared" si="486"/>
        <v>0</v>
      </c>
      <c r="BG211" s="4357">
        <f t="shared" si="486"/>
        <v>0</v>
      </c>
      <c r="BH211" s="4357">
        <f t="shared" si="486"/>
        <v>0</v>
      </c>
      <c r="BI211" s="4357">
        <f t="shared" si="486"/>
        <v>0</v>
      </c>
      <c r="BJ211" s="4357">
        <f t="shared" si="486"/>
        <v>0</v>
      </c>
      <c r="BK211" s="4357">
        <f t="shared" si="486"/>
        <v>0</v>
      </c>
      <c r="BL211" s="4357">
        <f t="shared" si="486"/>
        <v>0</v>
      </c>
      <c r="BM211" s="4357">
        <f t="shared" si="486"/>
        <v>0</v>
      </c>
      <c r="BN211" s="4357">
        <f t="shared" si="486"/>
        <v>0</v>
      </c>
      <c r="BO211" s="4357">
        <f t="shared" si="486"/>
        <v>0</v>
      </c>
      <c r="BP211" s="4357">
        <f t="shared" si="486"/>
        <v>0</v>
      </c>
      <c r="BQ211" s="4357">
        <f t="shared" ref="BQ211:CH211" si="487">IFERROR(IF((time+time_cap)&lt;BQ$2, 0,IF(AND(time+1&gt;=BR$2, $AC211&lt;BR$2), IF($AG211= "I", $AH211/($AD211-$AC211+1), $AH211/(($AD211*($AD211+1)/2)-(($AC211-1)*($AC211-1+1)/2))*BQ$2), 0)+IF(IF(time+1&gt;=BR$2, $AI211/time_cap/(time+1)*BQ$2, 0) = 0, $AI211/(time_cap),0)),0)</f>
        <v>0</v>
      </c>
      <c r="BR211" s="4357">
        <f t="shared" si="487"/>
        <v>0</v>
      </c>
      <c r="BS211" s="4357">
        <f t="shared" si="487"/>
        <v>0</v>
      </c>
      <c r="BT211" s="4357">
        <f t="shared" si="487"/>
        <v>0</v>
      </c>
      <c r="BU211" s="4357">
        <f t="shared" si="487"/>
        <v>0</v>
      </c>
      <c r="BV211" s="4357">
        <f t="shared" si="487"/>
        <v>0</v>
      </c>
      <c r="BW211" s="4357">
        <f t="shared" si="487"/>
        <v>0</v>
      </c>
      <c r="BX211" s="4357">
        <f t="shared" si="487"/>
        <v>0</v>
      </c>
      <c r="BY211" s="4357">
        <f t="shared" si="487"/>
        <v>0</v>
      </c>
      <c r="BZ211" s="4357">
        <f t="shared" si="487"/>
        <v>0</v>
      </c>
      <c r="CA211" s="4357">
        <f t="shared" si="487"/>
        <v>0</v>
      </c>
      <c r="CB211" s="4357">
        <f t="shared" si="487"/>
        <v>0</v>
      </c>
      <c r="CC211" s="4357">
        <f t="shared" si="487"/>
        <v>0</v>
      </c>
      <c r="CD211" s="4357">
        <f t="shared" si="487"/>
        <v>0</v>
      </c>
      <c r="CE211" s="4357">
        <f t="shared" si="487"/>
        <v>0</v>
      </c>
      <c r="CF211" s="4357">
        <f t="shared" si="487"/>
        <v>0</v>
      </c>
      <c r="CG211" s="4357">
        <f t="shared" si="487"/>
        <v>0</v>
      </c>
      <c r="CH211" s="4357">
        <f t="shared" si="487"/>
        <v>0</v>
      </c>
      <c r="CI211" s="4357"/>
      <c r="CJ211" s="4357"/>
      <c r="CK211" s="4357"/>
      <c r="CL211" s="4357"/>
      <c r="CM211" s="4357"/>
      <c r="CN211" s="4357"/>
      <c r="CO211" s="4357"/>
      <c r="CP211" s="4357"/>
      <c r="CQ211" s="4357"/>
      <c r="CR211" s="4357"/>
      <c r="CS211" s="4357"/>
      <c r="CT211" s="4357"/>
      <c r="CU211" s="4357"/>
      <c r="CV211" s="4357"/>
      <c r="CW211" s="4357"/>
      <c r="CX211" s="4357"/>
      <c r="CY211" s="4357"/>
      <c r="CZ211" s="4357"/>
      <c r="DA211" s="4357"/>
      <c r="DB211" s="4357"/>
      <c r="DC211" s="4357"/>
      <c r="DD211" s="4357"/>
      <c r="DE211" s="4357"/>
      <c r="DF211" s="4357"/>
      <c r="DG211" s="4357"/>
      <c r="DH211" s="4357"/>
      <c r="DI211" s="4357"/>
      <c r="DJ211" s="4357"/>
      <c r="DK211" s="4357"/>
      <c r="DL211" s="4357"/>
      <c r="DM211" s="4357"/>
      <c r="DN211" s="4357"/>
      <c r="DO211" s="4357"/>
      <c r="DP211" s="4357"/>
      <c r="DQ211" s="4357"/>
      <c r="DR211" s="4357"/>
      <c r="DS211" s="4357"/>
      <c r="DT211" s="4357"/>
      <c r="DU211" s="4357"/>
      <c r="DV211" s="4357"/>
      <c r="DW211" s="4357"/>
      <c r="DX211" s="4357"/>
      <c r="DY211" s="4357"/>
      <c r="DZ211" s="4357"/>
      <c r="EA211" s="4357"/>
      <c r="EB211" s="4357"/>
      <c r="EC211" s="4357"/>
      <c r="ED211" s="4357"/>
      <c r="EE211" s="4357"/>
      <c r="EF211" s="4357"/>
    </row>
    <row r="212" spans="1:136" ht="16" x14ac:dyDescent="0.2">
      <c r="A212" t="str">
        <f>Languages!$B$655</f>
        <v>Inputs &amp; Invest.</v>
      </c>
      <c r="B212" t="s">
        <v>3242</v>
      </c>
      <c r="D212" t="str">
        <f>'9.Inputs'!C12</f>
        <v>Limestone (tonnes per year)</v>
      </c>
      <c r="E212">
        <f>'9.Inputs'!V12</f>
        <v>0</v>
      </c>
      <c r="F212" s="388">
        <v>0</v>
      </c>
      <c r="G212" s="388">
        <v>0</v>
      </c>
      <c r="L212" s="388">
        <f>Inputs!P8-Inputs!O8+Inputs!P47-Inputs!O47</f>
        <v>0</v>
      </c>
      <c r="S212" s="388"/>
      <c r="AB212" t="str">
        <f t="shared" si="471"/>
        <v>ok</v>
      </c>
      <c r="AC212">
        <f>IF('9.Inputs'!BE12&lt;&gt;0,'9.Inputs'!BE12,'9.Inputs'!BD12)</f>
        <v>1</v>
      </c>
      <c r="AD212">
        <f t="shared" si="371"/>
        <v>5</v>
      </c>
      <c r="AE212" s="4357" t="str">
        <f>'9.Inputs'!F12</f>
        <v>D</v>
      </c>
      <c r="AF212" s="4357" t="str">
        <f>'9.Inputs'!H12</f>
        <v>D</v>
      </c>
      <c r="AG212" s="4357" t="str">
        <f t="shared" si="374"/>
        <v>D</v>
      </c>
      <c r="AH212" s="4357">
        <f>((E212/(time_cap+((AD212-AC212+1)*VLOOKUP(AG212,list!$I$48:$K$50,3, FALSE))))*(AD212-AC212+1)*VLOOKUP(AG212,list!$I$48:$K$50,3, FALSE))</f>
        <v>0</v>
      </c>
      <c r="AI212" s="4357">
        <f>((E212/(time_cap+((AD212-AC212+1)*VLOOKUP(AG212,list!$I$48:$K$50,3, FALSE))))*time_cap)</f>
        <v>0</v>
      </c>
      <c r="AK212" s="4357">
        <f t="shared" ref="AK212:BP212" si="488">IFERROR(IF((time+time_cap)&lt;AK$2, 0,IF(AND(time+1&gt;=AL$2, $AC212&lt;AL$2), IF($AG212= "I", $AH212/($AD212-$AC212+1), $AH212/(($AD212*($AD212+1)/2)-(($AC212-1)*($AC212-1+1)/2))*AK$2), 0)+IF(IF(time+1&gt;=AL$2, $AI212/time_cap/(time+1)*AK$2, 0) = 0, $AI212/(time_cap),0)),0)</f>
        <v>0</v>
      </c>
      <c r="AL212" s="4357">
        <f t="shared" si="488"/>
        <v>0</v>
      </c>
      <c r="AM212" s="4357">
        <f t="shared" si="488"/>
        <v>0</v>
      </c>
      <c r="AN212" s="4357">
        <f t="shared" si="488"/>
        <v>0</v>
      </c>
      <c r="AO212" s="4357">
        <f t="shared" si="488"/>
        <v>0</v>
      </c>
      <c r="AP212" s="4357">
        <f t="shared" si="488"/>
        <v>0</v>
      </c>
      <c r="AQ212" s="4357">
        <f t="shared" si="488"/>
        <v>0</v>
      </c>
      <c r="AR212" s="4357">
        <f t="shared" si="488"/>
        <v>0</v>
      </c>
      <c r="AS212" s="4357">
        <f t="shared" si="488"/>
        <v>0</v>
      </c>
      <c r="AT212" s="4357">
        <f t="shared" si="488"/>
        <v>0</v>
      </c>
      <c r="AU212" s="4357">
        <f t="shared" si="488"/>
        <v>0</v>
      </c>
      <c r="AV212" s="4357">
        <f t="shared" si="488"/>
        <v>0</v>
      </c>
      <c r="AW212" s="4357">
        <f t="shared" si="488"/>
        <v>0</v>
      </c>
      <c r="AX212" s="4357">
        <f t="shared" si="488"/>
        <v>0</v>
      </c>
      <c r="AY212" s="4357">
        <f t="shared" si="488"/>
        <v>0</v>
      </c>
      <c r="AZ212" s="4357">
        <f t="shared" si="488"/>
        <v>0</v>
      </c>
      <c r="BA212" s="4357">
        <f t="shared" si="488"/>
        <v>0</v>
      </c>
      <c r="BB212" s="4357">
        <f t="shared" si="488"/>
        <v>0</v>
      </c>
      <c r="BC212" s="4357">
        <f t="shared" si="488"/>
        <v>0</v>
      </c>
      <c r="BD212" s="4357">
        <f t="shared" si="488"/>
        <v>0</v>
      </c>
      <c r="BE212" s="4357">
        <f t="shared" si="488"/>
        <v>0</v>
      </c>
      <c r="BF212" s="4357">
        <f t="shared" si="488"/>
        <v>0</v>
      </c>
      <c r="BG212" s="4357">
        <f t="shared" si="488"/>
        <v>0</v>
      </c>
      <c r="BH212" s="4357">
        <f t="shared" si="488"/>
        <v>0</v>
      </c>
      <c r="BI212" s="4357">
        <f t="shared" si="488"/>
        <v>0</v>
      </c>
      <c r="BJ212" s="4357">
        <f t="shared" si="488"/>
        <v>0</v>
      </c>
      <c r="BK212" s="4357">
        <f t="shared" si="488"/>
        <v>0</v>
      </c>
      <c r="BL212" s="4357">
        <f t="shared" si="488"/>
        <v>0</v>
      </c>
      <c r="BM212" s="4357">
        <f t="shared" si="488"/>
        <v>0</v>
      </c>
      <c r="BN212" s="4357">
        <f t="shared" si="488"/>
        <v>0</v>
      </c>
      <c r="BO212" s="4357">
        <f t="shared" si="488"/>
        <v>0</v>
      </c>
      <c r="BP212" s="4357">
        <f t="shared" si="488"/>
        <v>0</v>
      </c>
      <c r="BQ212" s="4357">
        <f t="shared" ref="BQ212:CH212" si="489">IFERROR(IF((time+time_cap)&lt;BQ$2, 0,IF(AND(time+1&gt;=BR$2, $AC212&lt;BR$2), IF($AG212= "I", $AH212/($AD212-$AC212+1), $AH212/(($AD212*($AD212+1)/2)-(($AC212-1)*($AC212-1+1)/2))*BQ$2), 0)+IF(IF(time+1&gt;=BR$2, $AI212/time_cap/(time+1)*BQ$2, 0) = 0, $AI212/(time_cap),0)),0)</f>
        <v>0</v>
      </c>
      <c r="BR212" s="4357">
        <f t="shared" si="489"/>
        <v>0</v>
      </c>
      <c r="BS212" s="4357">
        <f t="shared" si="489"/>
        <v>0</v>
      </c>
      <c r="BT212" s="4357">
        <f t="shared" si="489"/>
        <v>0</v>
      </c>
      <c r="BU212" s="4357">
        <f t="shared" si="489"/>
        <v>0</v>
      </c>
      <c r="BV212" s="4357">
        <f t="shared" si="489"/>
        <v>0</v>
      </c>
      <c r="BW212" s="4357">
        <f t="shared" si="489"/>
        <v>0</v>
      </c>
      <c r="BX212" s="4357">
        <f t="shared" si="489"/>
        <v>0</v>
      </c>
      <c r="BY212" s="4357">
        <f t="shared" si="489"/>
        <v>0</v>
      </c>
      <c r="BZ212" s="4357">
        <f t="shared" si="489"/>
        <v>0</v>
      </c>
      <c r="CA212" s="4357">
        <f t="shared" si="489"/>
        <v>0</v>
      </c>
      <c r="CB212" s="4357">
        <f t="shared" si="489"/>
        <v>0</v>
      </c>
      <c r="CC212" s="4357">
        <f t="shared" si="489"/>
        <v>0</v>
      </c>
      <c r="CD212" s="4357">
        <f t="shared" si="489"/>
        <v>0</v>
      </c>
      <c r="CE212" s="4357">
        <f t="shared" si="489"/>
        <v>0</v>
      </c>
      <c r="CF212" s="4357">
        <f t="shared" si="489"/>
        <v>0</v>
      </c>
      <c r="CG212" s="4357">
        <f t="shared" si="489"/>
        <v>0</v>
      </c>
      <c r="CH212" s="4357">
        <f t="shared" si="489"/>
        <v>0</v>
      </c>
      <c r="CI212" s="4357"/>
      <c r="CJ212" s="4357"/>
      <c r="CK212" s="4357"/>
      <c r="CL212" s="4357"/>
      <c r="CM212" s="4357"/>
      <c r="CN212" s="4357"/>
      <c r="CO212" s="4357"/>
      <c r="CP212" s="4357"/>
      <c r="CQ212" s="4357"/>
      <c r="CR212" s="4357"/>
      <c r="CS212" s="4357"/>
      <c r="CT212" s="4357"/>
      <c r="CU212" s="4357"/>
      <c r="CV212" s="4357"/>
      <c r="CW212" s="4357"/>
      <c r="CX212" s="4357"/>
      <c r="CY212" s="4357"/>
      <c r="CZ212" s="4357"/>
      <c r="DA212" s="4357"/>
      <c r="DB212" s="4357"/>
      <c r="DC212" s="4357"/>
      <c r="DD212" s="4357"/>
      <c r="DE212" s="4357"/>
      <c r="DF212" s="4357"/>
      <c r="DG212" s="4357"/>
      <c r="DH212" s="4357"/>
      <c r="DI212" s="4357"/>
      <c r="DJ212" s="4357"/>
      <c r="DK212" s="4357"/>
      <c r="DL212" s="4357"/>
      <c r="DM212" s="4357"/>
      <c r="DN212" s="4357"/>
      <c r="DO212" s="4357"/>
      <c r="DP212" s="4357"/>
      <c r="DQ212" s="4357"/>
      <c r="DR212" s="4357"/>
      <c r="DS212" s="4357"/>
      <c r="DT212" s="4357"/>
      <c r="DU212" s="4357"/>
      <c r="DV212" s="4357"/>
      <c r="DW212" s="4357"/>
      <c r="DX212" s="4357"/>
      <c r="DY212" s="4357"/>
      <c r="DZ212" s="4357"/>
      <c r="EA212" s="4357"/>
      <c r="EB212" s="4357"/>
      <c r="EC212" s="4357"/>
      <c r="ED212" s="4357"/>
      <c r="EE212" s="4357"/>
      <c r="EF212" s="4357"/>
    </row>
    <row r="213" spans="1:136" ht="16" x14ac:dyDescent="0.2">
      <c r="A213" t="str">
        <f>Languages!$B$655</f>
        <v>Inputs &amp; Invest.</v>
      </c>
      <c r="B213" t="s">
        <v>3242</v>
      </c>
      <c r="D213" t="str">
        <f>'9.Inputs'!C13</f>
        <v>Dolomite (tonne per year)</v>
      </c>
      <c r="E213">
        <f>'9.Inputs'!V13</f>
        <v>0</v>
      </c>
      <c r="F213" s="388">
        <v>0</v>
      </c>
      <c r="G213" s="388">
        <v>0</v>
      </c>
      <c r="L213" s="388">
        <f>Inputs!P9-Inputs!O9+Inputs!P48-Inputs!O48</f>
        <v>0</v>
      </c>
      <c r="AB213" t="str">
        <f t="shared" si="471"/>
        <v>ok</v>
      </c>
      <c r="AC213">
        <f>IF('9.Inputs'!BE13&lt;&gt;0,'9.Inputs'!BE13,'9.Inputs'!BD13)</f>
        <v>1</v>
      </c>
      <c r="AD213">
        <f t="shared" si="371"/>
        <v>5</v>
      </c>
      <c r="AE213" s="4357" t="str">
        <f>'9.Inputs'!F13</f>
        <v>D</v>
      </c>
      <c r="AF213" s="4357" t="str">
        <f>'9.Inputs'!H13</f>
        <v>D</v>
      </c>
      <c r="AG213" s="4357" t="str">
        <f t="shared" si="374"/>
        <v>D</v>
      </c>
      <c r="AH213" s="4357">
        <f>((E213/(time_cap+((AD213-AC213+1)*VLOOKUP(AG213,list!$I$48:$K$50,3, FALSE))))*(AD213-AC213+1)*VLOOKUP(AG213,list!$I$48:$K$50,3, FALSE))</f>
        <v>0</v>
      </c>
      <c r="AI213" s="4357">
        <f>((E213/(time_cap+((AD213-AC213+1)*VLOOKUP(AG213,list!$I$48:$K$50,3, FALSE))))*time_cap)</f>
        <v>0</v>
      </c>
      <c r="AK213" s="4357">
        <f t="shared" ref="AK213:BP213" si="490">IFERROR(IF((time+time_cap)&lt;AK$2, 0,IF(AND(time+1&gt;=AL$2, $AC213&lt;AL$2), IF($AG213= "I", $AH213/($AD213-$AC213+1), $AH213/(($AD213*($AD213+1)/2)-(($AC213-1)*($AC213-1+1)/2))*AK$2), 0)+IF(IF(time+1&gt;=AL$2, $AI213/time_cap/(time+1)*AK$2, 0) = 0, $AI213/(time_cap),0)),0)</f>
        <v>0</v>
      </c>
      <c r="AL213" s="4357">
        <f t="shared" si="490"/>
        <v>0</v>
      </c>
      <c r="AM213" s="4357">
        <f t="shared" si="490"/>
        <v>0</v>
      </c>
      <c r="AN213" s="4357">
        <f t="shared" si="490"/>
        <v>0</v>
      </c>
      <c r="AO213" s="4357">
        <f t="shared" si="490"/>
        <v>0</v>
      </c>
      <c r="AP213" s="4357">
        <f t="shared" si="490"/>
        <v>0</v>
      </c>
      <c r="AQ213" s="4357">
        <f t="shared" si="490"/>
        <v>0</v>
      </c>
      <c r="AR213" s="4357">
        <f t="shared" si="490"/>
        <v>0</v>
      </c>
      <c r="AS213" s="4357">
        <f t="shared" si="490"/>
        <v>0</v>
      </c>
      <c r="AT213" s="4357">
        <f t="shared" si="490"/>
        <v>0</v>
      </c>
      <c r="AU213" s="4357">
        <f t="shared" si="490"/>
        <v>0</v>
      </c>
      <c r="AV213" s="4357">
        <f t="shared" si="490"/>
        <v>0</v>
      </c>
      <c r="AW213" s="4357">
        <f t="shared" si="490"/>
        <v>0</v>
      </c>
      <c r="AX213" s="4357">
        <f t="shared" si="490"/>
        <v>0</v>
      </c>
      <c r="AY213" s="4357">
        <f t="shared" si="490"/>
        <v>0</v>
      </c>
      <c r="AZ213" s="4357">
        <f t="shared" si="490"/>
        <v>0</v>
      </c>
      <c r="BA213" s="4357">
        <f t="shared" si="490"/>
        <v>0</v>
      </c>
      <c r="BB213" s="4357">
        <f t="shared" si="490"/>
        <v>0</v>
      </c>
      <c r="BC213" s="4357">
        <f t="shared" si="490"/>
        <v>0</v>
      </c>
      <c r="BD213" s="4357">
        <f t="shared" si="490"/>
        <v>0</v>
      </c>
      <c r="BE213" s="4357">
        <f t="shared" si="490"/>
        <v>0</v>
      </c>
      <c r="BF213" s="4357">
        <f t="shared" si="490"/>
        <v>0</v>
      </c>
      <c r="BG213" s="4357">
        <f t="shared" si="490"/>
        <v>0</v>
      </c>
      <c r="BH213" s="4357">
        <f t="shared" si="490"/>
        <v>0</v>
      </c>
      <c r="BI213" s="4357">
        <f t="shared" si="490"/>
        <v>0</v>
      </c>
      <c r="BJ213" s="4357">
        <f t="shared" si="490"/>
        <v>0</v>
      </c>
      <c r="BK213" s="4357">
        <f t="shared" si="490"/>
        <v>0</v>
      </c>
      <c r="BL213" s="4357">
        <f t="shared" si="490"/>
        <v>0</v>
      </c>
      <c r="BM213" s="4357">
        <f t="shared" si="490"/>
        <v>0</v>
      </c>
      <c r="BN213" s="4357">
        <f t="shared" si="490"/>
        <v>0</v>
      </c>
      <c r="BO213" s="4357">
        <f t="shared" si="490"/>
        <v>0</v>
      </c>
      <c r="BP213" s="4357">
        <f t="shared" si="490"/>
        <v>0</v>
      </c>
      <c r="BQ213" s="4357">
        <f t="shared" ref="BQ213:CH213" si="491">IFERROR(IF((time+time_cap)&lt;BQ$2, 0,IF(AND(time+1&gt;=BR$2, $AC213&lt;BR$2), IF($AG213= "I", $AH213/($AD213-$AC213+1), $AH213/(($AD213*($AD213+1)/2)-(($AC213-1)*($AC213-1+1)/2))*BQ$2), 0)+IF(IF(time+1&gt;=BR$2, $AI213/time_cap/(time+1)*BQ$2, 0) = 0, $AI213/(time_cap),0)),0)</f>
        <v>0</v>
      </c>
      <c r="BR213" s="4357">
        <f t="shared" si="491"/>
        <v>0</v>
      </c>
      <c r="BS213" s="4357">
        <f t="shared" si="491"/>
        <v>0</v>
      </c>
      <c r="BT213" s="4357">
        <f t="shared" si="491"/>
        <v>0</v>
      </c>
      <c r="BU213" s="4357">
        <f t="shared" si="491"/>
        <v>0</v>
      </c>
      <c r="BV213" s="4357">
        <f t="shared" si="491"/>
        <v>0</v>
      </c>
      <c r="BW213" s="4357">
        <f t="shared" si="491"/>
        <v>0</v>
      </c>
      <c r="BX213" s="4357">
        <f t="shared" si="491"/>
        <v>0</v>
      </c>
      <c r="BY213" s="4357">
        <f t="shared" si="491"/>
        <v>0</v>
      </c>
      <c r="BZ213" s="4357">
        <f t="shared" si="491"/>
        <v>0</v>
      </c>
      <c r="CA213" s="4357">
        <f t="shared" si="491"/>
        <v>0</v>
      </c>
      <c r="CB213" s="4357">
        <f t="shared" si="491"/>
        <v>0</v>
      </c>
      <c r="CC213" s="4357">
        <f t="shared" si="491"/>
        <v>0</v>
      </c>
      <c r="CD213" s="4357">
        <f t="shared" si="491"/>
        <v>0</v>
      </c>
      <c r="CE213" s="4357">
        <f t="shared" si="491"/>
        <v>0</v>
      </c>
      <c r="CF213" s="4357">
        <f t="shared" si="491"/>
        <v>0</v>
      </c>
      <c r="CG213" s="4357">
        <f t="shared" si="491"/>
        <v>0</v>
      </c>
      <c r="CH213" s="4357">
        <f t="shared" si="491"/>
        <v>0</v>
      </c>
      <c r="CI213" s="4357"/>
      <c r="CJ213" s="4357"/>
      <c r="CK213" s="4357"/>
      <c r="CL213" s="4357"/>
      <c r="CM213" s="4357"/>
      <c r="CN213" s="4357"/>
      <c r="CO213" s="4357"/>
      <c r="CP213" s="4357"/>
      <c r="CQ213" s="4357"/>
      <c r="CR213" s="4357"/>
      <c r="CS213" s="4357"/>
      <c r="CT213" s="4357"/>
      <c r="CU213" s="4357"/>
      <c r="CV213" s="4357"/>
      <c r="CW213" s="4357"/>
      <c r="CX213" s="4357"/>
      <c r="CY213" s="4357"/>
      <c r="CZ213" s="4357"/>
      <c r="DA213" s="4357"/>
      <c r="DB213" s="4357"/>
      <c r="DC213" s="4357"/>
      <c r="DD213" s="4357"/>
      <c r="DE213" s="4357"/>
      <c r="DF213" s="4357"/>
      <c r="DG213" s="4357"/>
      <c r="DH213" s="4357"/>
      <c r="DI213" s="4357"/>
      <c r="DJ213" s="4357"/>
      <c r="DK213" s="4357"/>
      <c r="DL213" s="4357"/>
      <c r="DM213" s="4357"/>
      <c r="DN213" s="4357"/>
      <c r="DO213" s="4357"/>
      <c r="DP213" s="4357"/>
      <c r="DQ213" s="4357"/>
      <c r="DR213" s="4357"/>
      <c r="DS213" s="4357"/>
      <c r="DT213" s="4357"/>
      <c r="DU213" s="4357"/>
      <c r="DV213" s="4357"/>
      <c r="DW213" s="4357"/>
      <c r="DX213" s="4357"/>
      <c r="DY213" s="4357"/>
      <c r="DZ213" s="4357"/>
      <c r="EA213" s="4357"/>
      <c r="EB213" s="4357"/>
      <c r="EC213" s="4357"/>
      <c r="ED213" s="4357"/>
      <c r="EE213" s="4357"/>
      <c r="EF213" s="4357"/>
    </row>
    <row r="214" spans="1:136" ht="16" x14ac:dyDescent="0.2">
      <c r="A214" t="str">
        <f>Languages!$B$655</f>
        <v>Inputs &amp; Invest.</v>
      </c>
      <c r="B214" t="s">
        <v>3242</v>
      </c>
      <c r="D214" t="str">
        <f>'9.Inputs'!C14</f>
        <v>Not-specified (tonnes per year)</v>
      </c>
      <c r="E214">
        <f>'9.Inputs'!V14</f>
        <v>0</v>
      </c>
      <c r="F214" s="388">
        <v>0</v>
      </c>
      <c r="G214" s="388">
        <v>0</v>
      </c>
      <c r="L214" s="388">
        <f>Inputs!P10-Inputs!O10+Inputs!P49-Inputs!O49</f>
        <v>0</v>
      </c>
      <c r="AB214" t="str">
        <f t="shared" si="471"/>
        <v>ok</v>
      </c>
      <c r="AC214">
        <f>IF('9.Inputs'!BE14&lt;&gt;0,'9.Inputs'!BE14,'9.Inputs'!BD14)</f>
        <v>1</v>
      </c>
      <c r="AD214">
        <f t="shared" si="371"/>
        <v>5</v>
      </c>
      <c r="AE214" s="4357" t="str">
        <f>'9.Inputs'!F14</f>
        <v>D</v>
      </c>
      <c r="AF214" s="4357" t="str">
        <f>'9.Inputs'!H14</f>
        <v>D</v>
      </c>
      <c r="AG214" s="4357" t="str">
        <f t="shared" si="374"/>
        <v>D</v>
      </c>
      <c r="AH214" s="4357">
        <f>((E214/(time_cap+((AD214-AC214+1)*VLOOKUP(AG214,list!$I$48:$K$50,3, FALSE))))*(AD214-AC214+1)*VLOOKUP(AG214,list!$I$48:$K$50,3, FALSE))</f>
        <v>0</v>
      </c>
      <c r="AI214" s="4357">
        <f>((E214/(time_cap+((AD214-AC214+1)*VLOOKUP(AG214,list!$I$48:$K$50,3, FALSE))))*time_cap)</f>
        <v>0</v>
      </c>
      <c r="AK214" s="4357">
        <f t="shared" ref="AK214:BP214" si="492">IFERROR(IF((time+time_cap)&lt;AK$2, 0,IF(AND(time+1&gt;=AL$2, $AC214&lt;AL$2), IF($AG214= "I", $AH214/($AD214-$AC214+1), $AH214/(($AD214*($AD214+1)/2)-(($AC214-1)*($AC214-1+1)/2))*AK$2), 0)+IF(IF(time+1&gt;=AL$2, $AI214/time_cap/(time+1)*AK$2, 0) = 0, $AI214/(time_cap),0)),0)</f>
        <v>0</v>
      </c>
      <c r="AL214" s="4357">
        <f t="shared" si="492"/>
        <v>0</v>
      </c>
      <c r="AM214" s="4357">
        <f t="shared" si="492"/>
        <v>0</v>
      </c>
      <c r="AN214" s="4357">
        <f t="shared" si="492"/>
        <v>0</v>
      </c>
      <c r="AO214" s="4357">
        <f t="shared" si="492"/>
        <v>0</v>
      </c>
      <c r="AP214" s="4357">
        <f t="shared" si="492"/>
        <v>0</v>
      </c>
      <c r="AQ214" s="4357">
        <f t="shared" si="492"/>
        <v>0</v>
      </c>
      <c r="AR214" s="4357">
        <f t="shared" si="492"/>
        <v>0</v>
      </c>
      <c r="AS214" s="4357">
        <f t="shared" si="492"/>
        <v>0</v>
      </c>
      <c r="AT214" s="4357">
        <f t="shared" si="492"/>
        <v>0</v>
      </c>
      <c r="AU214" s="4357">
        <f t="shared" si="492"/>
        <v>0</v>
      </c>
      <c r="AV214" s="4357">
        <f t="shared" si="492"/>
        <v>0</v>
      </c>
      <c r="AW214" s="4357">
        <f t="shared" si="492"/>
        <v>0</v>
      </c>
      <c r="AX214" s="4357">
        <f t="shared" si="492"/>
        <v>0</v>
      </c>
      <c r="AY214" s="4357">
        <f t="shared" si="492"/>
        <v>0</v>
      </c>
      <c r="AZ214" s="4357">
        <f t="shared" si="492"/>
        <v>0</v>
      </c>
      <c r="BA214" s="4357">
        <f t="shared" si="492"/>
        <v>0</v>
      </c>
      <c r="BB214" s="4357">
        <f t="shared" si="492"/>
        <v>0</v>
      </c>
      <c r="BC214" s="4357">
        <f t="shared" si="492"/>
        <v>0</v>
      </c>
      <c r="BD214" s="4357">
        <f t="shared" si="492"/>
        <v>0</v>
      </c>
      <c r="BE214" s="4357">
        <f t="shared" si="492"/>
        <v>0</v>
      </c>
      <c r="BF214" s="4357">
        <f t="shared" si="492"/>
        <v>0</v>
      </c>
      <c r="BG214" s="4357">
        <f t="shared" si="492"/>
        <v>0</v>
      </c>
      <c r="BH214" s="4357">
        <f t="shared" si="492"/>
        <v>0</v>
      </c>
      <c r="BI214" s="4357">
        <f t="shared" si="492"/>
        <v>0</v>
      </c>
      <c r="BJ214" s="4357">
        <f t="shared" si="492"/>
        <v>0</v>
      </c>
      <c r="BK214" s="4357">
        <f t="shared" si="492"/>
        <v>0</v>
      </c>
      <c r="BL214" s="4357">
        <f t="shared" si="492"/>
        <v>0</v>
      </c>
      <c r="BM214" s="4357">
        <f t="shared" si="492"/>
        <v>0</v>
      </c>
      <c r="BN214" s="4357">
        <f t="shared" si="492"/>
        <v>0</v>
      </c>
      <c r="BO214" s="4357">
        <f t="shared" si="492"/>
        <v>0</v>
      </c>
      <c r="BP214" s="4357">
        <f t="shared" si="492"/>
        <v>0</v>
      </c>
      <c r="BQ214" s="4357">
        <f t="shared" ref="BQ214:CH214" si="493">IFERROR(IF((time+time_cap)&lt;BQ$2, 0,IF(AND(time+1&gt;=BR$2, $AC214&lt;BR$2), IF($AG214= "I", $AH214/($AD214-$AC214+1), $AH214/(($AD214*($AD214+1)/2)-(($AC214-1)*($AC214-1+1)/2))*BQ$2), 0)+IF(IF(time+1&gt;=BR$2, $AI214/time_cap/(time+1)*BQ$2, 0) = 0, $AI214/(time_cap),0)),0)</f>
        <v>0</v>
      </c>
      <c r="BR214" s="4357">
        <f t="shared" si="493"/>
        <v>0</v>
      </c>
      <c r="BS214" s="4357">
        <f t="shared" si="493"/>
        <v>0</v>
      </c>
      <c r="BT214" s="4357">
        <f t="shared" si="493"/>
        <v>0</v>
      </c>
      <c r="BU214" s="4357">
        <f t="shared" si="493"/>
        <v>0</v>
      </c>
      <c r="BV214" s="4357">
        <f t="shared" si="493"/>
        <v>0</v>
      </c>
      <c r="BW214" s="4357">
        <f t="shared" si="493"/>
        <v>0</v>
      </c>
      <c r="BX214" s="4357">
        <f t="shared" si="493"/>
        <v>0</v>
      </c>
      <c r="BY214" s="4357">
        <f t="shared" si="493"/>
        <v>0</v>
      </c>
      <c r="BZ214" s="4357">
        <f t="shared" si="493"/>
        <v>0</v>
      </c>
      <c r="CA214" s="4357">
        <f t="shared" si="493"/>
        <v>0</v>
      </c>
      <c r="CB214" s="4357">
        <f t="shared" si="493"/>
        <v>0</v>
      </c>
      <c r="CC214" s="4357">
        <f t="shared" si="493"/>
        <v>0</v>
      </c>
      <c r="CD214" s="4357">
        <f t="shared" si="493"/>
        <v>0</v>
      </c>
      <c r="CE214" s="4357">
        <f t="shared" si="493"/>
        <v>0</v>
      </c>
      <c r="CF214" s="4357">
        <f t="shared" si="493"/>
        <v>0</v>
      </c>
      <c r="CG214" s="4357">
        <f t="shared" si="493"/>
        <v>0</v>
      </c>
      <c r="CH214" s="4357">
        <f t="shared" si="493"/>
        <v>0</v>
      </c>
      <c r="CI214" s="4357"/>
      <c r="CJ214" s="4357"/>
      <c r="CK214" s="4357"/>
      <c r="CL214" s="4357"/>
      <c r="CM214" s="4357"/>
      <c r="CN214" s="4357"/>
      <c r="CO214" s="4357"/>
      <c r="CP214" s="4357"/>
      <c r="CQ214" s="4357"/>
      <c r="CR214" s="4357"/>
      <c r="CS214" s="4357"/>
      <c r="CT214" s="4357"/>
      <c r="CU214" s="4357"/>
      <c r="CV214" s="4357"/>
      <c r="CW214" s="4357"/>
      <c r="CX214" s="4357"/>
      <c r="CY214" s="4357"/>
      <c r="CZ214" s="4357"/>
      <c r="DA214" s="4357"/>
      <c r="DB214" s="4357"/>
      <c r="DC214" s="4357"/>
      <c r="DD214" s="4357"/>
      <c r="DE214" s="4357"/>
      <c r="DF214" s="4357"/>
      <c r="DG214" s="4357"/>
      <c r="DH214" s="4357"/>
      <c r="DI214" s="4357"/>
      <c r="DJ214" s="4357"/>
      <c r="DK214" s="4357"/>
      <c r="DL214" s="4357"/>
      <c r="DM214" s="4357"/>
      <c r="DN214" s="4357"/>
      <c r="DO214" s="4357"/>
      <c r="DP214" s="4357"/>
      <c r="DQ214" s="4357"/>
      <c r="DR214" s="4357"/>
      <c r="DS214" s="4357"/>
      <c r="DT214" s="4357"/>
      <c r="DU214" s="4357"/>
      <c r="DV214" s="4357"/>
      <c r="DW214" s="4357"/>
      <c r="DX214" s="4357"/>
      <c r="DY214" s="4357"/>
      <c r="DZ214" s="4357"/>
      <c r="EA214" s="4357"/>
      <c r="EB214" s="4357"/>
      <c r="EC214" s="4357"/>
      <c r="ED214" s="4357"/>
      <c r="EE214" s="4357"/>
      <c r="EF214" s="4357"/>
    </row>
    <row r="215" spans="1:136" ht="16" x14ac:dyDescent="0.2">
      <c r="A215" t="str">
        <f>Languages!$B$655</f>
        <v>Inputs &amp; Invest.</v>
      </c>
      <c r="B215" t="s">
        <v>3242</v>
      </c>
      <c r="D215" t="str">
        <f>'9.Inputs'!C16</f>
        <v>Urea (tonnes of Urea per year)</v>
      </c>
      <c r="E215">
        <f>'9.Inputs'!V16</f>
        <v>0</v>
      </c>
      <c r="F215" s="388">
        <v>0</v>
      </c>
      <c r="G215" s="388">
        <v>0</v>
      </c>
      <c r="L215" s="388">
        <f>Inputs!P19-Inputs!O19+Inputs!P51-Inputs!O51</f>
        <v>0</v>
      </c>
      <c r="T215" s="388">
        <f>Inputs!P28-Inputs!O28</f>
        <v>0</v>
      </c>
      <c r="AB215" t="str">
        <f t="shared" si="471"/>
        <v>ok</v>
      </c>
      <c r="AC215">
        <f>IF('9.Inputs'!BE16&lt;&gt;0,'9.Inputs'!BE16,'9.Inputs'!BD16)</f>
        <v>1</v>
      </c>
      <c r="AD215">
        <f t="shared" si="371"/>
        <v>5</v>
      </c>
      <c r="AE215" s="4357" t="str">
        <f>'9.Inputs'!F16</f>
        <v>D</v>
      </c>
      <c r="AF215" s="4357" t="str">
        <f>'9.Inputs'!H16</f>
        <v>D</v>
      </c>
      <c r="AG215" s="4357" t="str">
        <f t="shared" si="374"/>
        <v>D</v>
      </c>
      <c r="AH215" s="4357">
        <f>((E215/(time_cap+((AD215-AC215+1)*VLOOKUP(AG215,list!$I$48:$K$50,3, FALSE))))*(AD215-AC215+1)*VLOOKUP(AG215,list!$I$48:$K$50,3, FALSE))</f>
        <v>0</v>
      </c>
      <c r="AI215" s="4357">
        <f>((E215/(time_cap+((AD215-AC215+1)*VLOOKUP(AG215,list!$I$48:$K$50,3, FALSE))))*time_cap)</f>
        <v>0</v>
      </c>
      <c r="AK215" s="4357">
        <f t="shared" ref="AK215:BP215" si="494">IFERROR(IF((time+time_cap)&lt;AK$2, 0,IF(AND(time+1&gt;=AL$2, $AC215&lt;AL$2), IF($AG215= "I", $AH215/($AD215-$AC215+1), $AH215/(($AD215*($AD215+1)/2)-(($AC215-1)*($AC215-1+1)/2))*AK$2), 0)+IF(IF(time+1&gt;=AL$2, $AI215/time_cap/(time+1)*AK$2, 0) = 0, $AI215/(time_cap),0)),0)</f>
        <v>0</v>
      </c>
      <c r="AL215" s="4357">
        <f t="shared" si="494"/>
        <v>0</v>
      </c>
      <c r="AM215" s="4357">
        <f t="shared" si="494"/>
        <v>0</v>
      </c>
      <c r="AN215" s="4357">
        <f t="shared" si="494"/>
        <v>0</v>
      </c>
      <c r="AO215" s="4357">
        <f t="shared" si="494"/>
        <v>0</v>
      </c>
      <c r="AP215" s="4357">
        <f t="shared" si="494"/>
        <v>0</v>
      </c>
      <c r="AQ215" s="4357">
        <f t="shared" si="494"/>
        <v>0</v>
      </c>
      <c r="AR215" s="4357">
        <f t="shared" si="494"/>
        <v>0</v>
      </c>
      <c r="AS215" s="4357">
        <f t="shared" si="494"/>
        <v>0</v>
      </c>
      <c r="AT215" s="4357">
        <f t="shared" si="494"/>
        <v>0</v>
      </c>
      <c r="AU215" s="4357">
        <f t="shared" si="494"/>
        <v>0</v>
      </c>
      <c r="AV215" s="4357">
        <f t="shared" si="494"/>
        <v>0</v>
      </c>
      <c r="AW215" s="4357">
        <f t="shared" si="494"/>
        <v>0</v>
      </c>
      <c r="AX215" s="4357">
        <f t="shared" si="494"/>
        <v>0</v>
      </c>
      <c r="AY215" s="4357">
        <f t="shared" si="494"/>
        <v>0</v>
      </c>
      <c r="AZ215" s="4357">
        <f t="shared" si="494"/>
        <v>0</v>
      </c>
      <c r="BA215" s="4357">
        <f t="shared" si="494"/>
        <v>0</v>
      </c>
      <c r="BB215" s="4357">
        <f t="shared" si="494"/>
        <v>0</v>
      </c>
      <c r="BC215" s="4357">
        <f t="shared" si="494"/>
        <v>0</v>
      </c>
      <c r="BD215" s="4357">
        <f t="shared" si="494"/>
        <v>0</v>
      </c>
      <c r="BE215" s="4357">
        <f t="shared" si="494"/>
        <v>0</v>
      </c>
      <c r="BF215" s="4357">
        <f t="shared" si="494"/>
        <v>0</v>
      </c>
      <c r="BG215" s="4357">
        <f t="shared" si="494"/>
        <v>0</v>
      </c>
      <c r="BH215" s="4357">
        <f t="shared" si="494"/>
        <v>0</v>
      </c>
      <c r="BI215" s="4357">
        <f t="shared" si="494"/>
        <v>0</v>
      </c>
      <c r="BJ215" s="4357">
        <f t="shared" si="494"/>
        <v>0</v>
      </c>
      <c r="BK215" s="4357">
        <f t="shared" si="494"/>
        <v>0</v>
      </c>
      <c r="BL215" s="4357">
        <f t="shared" si="494"/>
        <v>0</v>
      </c>
      <c r="BM215" s="4357">
        <f t="shared" si="494"/>
        <v>0</v>
      </c>
      <c r="BN215" s="4357">
        <f t="shared" si="494"/>
        <v>0</v>
      </c>
      <c r="BO215" s="4357">
        <f t="shared" si="494"/>
        <v>0</v>
      </c>
      <c r="BP215" s="4357">
        <f t="shared" si="494"/>
        <v>0</v>
      </c>
      <c r="BQ215" s="4357">
        <f t="shared" ref="BQ215:CH215" si="495">IFERROR(IF((time+time_cap)&lt;BQ$2, 0,IF(AND(time+1&gt;=BR$2, $AC215&lt;BR$2), IF($AG215= "I", $AH215/($AD215-$AC215+1), $AH215/(($AD215*($AD215+1)/2)-(($AC215-1)*($AC215-1+1)/2))*BQ$2), 0)+IF(IF(time+1&gt;=BR$2, $AI215/time_cap/(time+1)*BQ$2, 0) = 0, $AI215/(time_cap),0)),0)</f>
        <v>0</v>
      </c>
      <c r="BR215" s="4357">
        <f t="shared" si="495"/>
        <v>0</v>
      </c>
      <c r="BS215" s="4357">
        <f t="shared" si="495"/>
        <v>0</v>
      </c>
      <c r="BT215" s="4357">
        <f t="shared" si="495"/>
        <v>0</v>
      </c>
      <c r="BU215" s="4357">
        <f t="shared" si="495"/>
        <v>0</v>
      </c>
      <c r="BV215" s="4357">
        <f t="shared" si="495"/>
        <v>0</v>
      </c>
      <c r="BW215" s="4357">
        <f t="shared" si="495"/>
        <v>0</v>
      </c>
      <c r="BX215" s="4357">
        <f t="shared" si="495"/>
        <v>0</v>
      </c>
      <c r="BY215" s="4357">
        <f t="shared" si="495"/>
        <v>0</v>
      </c>
      <c r="BZ215" s="4357">
        <f t="shared" si="495"/>
        <v>0</v>
      </c>
      <c r="CA215" s="4357">
        <f t="shared" si="495"/>
        <v>0</v>
      </c>
      <c r="CB215" s="4357">
        <f t="shared" si="495"/>
        <v>0</v>
      </c>
      <c r="CC215" s="4357">
        <f t="shared" si="495"/>
        <v>0</v>
      </c>
      <c r="CD215" s="4357">
        <f t="shared" si="495"/>
        <v>0</v>
      </c>
      <c r="CE215" s="4357">
        <f t="shared" si="495"/>
        <v>0</v>
      </c>
      <c r="CF215" s="4357">
        <f t="shared" si="495"/>
        <v>0</v>
      </c>
      <c r="CG215" s="4357">
        <f t="shared" si="495"/>
        <v>0</v>
      </c>
      <c r="CH215" s="4357">
        <f t="shared" si="495"/>
        <v>0</v>
      </c>
      <c r="CI215" s="4357"/>
      <c r="CJ215" s="4357"/>
      <c r="CK215" s="4357"/>
      <c r="CL215" s="4357"/>
      <c r="CM215" s="4357"/>
      <c r="CN215" s="4357"/>
      <c r="CO215" s="4357"/>
      <c r="CP215" s="4357"/>
      <c r="CQ215" s="4357"/>
      <c r="CR215" s="4357"/>
      <c r="CS215" s="4357"/>
      <c r="CT215" s="4357"/>
      <c r="CU215" s="4357"/>
      <c r="CV215" s="4357"/>
      <c r="CW215" s="4357"/>
      <c r="CX215" s="4357"/>
      <c r="CY215" s="4357"/>
      <c r="CZ215" s="4357"/>
      <c r="DA215" s="4357"/>
      <c r="DB215" s="4357"/>
      <c r="DC215" s="4357"/>
      <c r="DD215" s="4357"/>
      <c r="DE215" s="4357"/>
      <c r="DF215" s="4357"/>
      <c r="DG215" s="4357"/>
      <c r="DH215" s="4357"/>
      <c r="DI215" s="4357"/>
      <c r="DJ215" s="4357"/>
      <c r="DK215" s="4357"/>
      <c r="DL215" s="4357"/>
      <c r="DM215" s="4357"/>
      <c r="DN215" s="4357"/>
      <c r="DO215" s="4357"/>
      <c r="DP215" s="4357"/>
      <c r="DQ215" s="4357"/>
      <c r="DR215" s="4357"/>
      <c r="DS215" s="4357"/>
      <c r="DT215" s="4357"/>
      <c r="DU215" s="4357"/>
      <c r="DV215" s="4357"/>
      <c r="DW215" s="4357"/>
      <c r="DX215" s="4357"/>
      <c r="DY215" s="4357"/>
      <c r="DZ215" s="4357"/>
      <c r="EA215" s="4357"/>
      <c r="EB215" s="4357"/>
      <c r="EC215" s="4357"/>
      <c r="ED215" s="4357"/>
      <c r="EE215" s="4357"/>
      <c r="EF215" s="4357"/>
    </row>
    <row r="216" spans="1:136" ht="16" x14ac:dyDescent="0.2">
      <c r="A216" t="str">
        <f>Languages!$B$655</f>
        <v>Inputs &amp; Invest.</v>
      </c>
      <c r="B216" t="s">
        <v>3242</v>
      </c>
      <c r="D216" t="str">
        <f>'9.Inputs'!C17</f>
        <v>Synthetic N-fertilizers other than Urea (tonnes of N per year)</v>
      </c>
      <c r="E216">
        <f>'9.Inputs'!V17</f>
        <v>0</v>
      </c>
      <c r="F216" s="388">
        <v>0</v>
      </c>
      <c r="G216" s="388">
        <v>0</v>
      </c>
      <c r="L216" s="388">
        <f>Inputs!P52-Inputs!O52</f>
        <v>0</v>
      </c>
      <c r="T216" s="388">
        <f>Inputs!P29-Inputs!O29</f>
        <v>0</v>
      </c>
      <c r="AB216" t="str">
        <f t="shared" si="471"/>
        <v>ok</v>
      </c>
      <c r="AC216">
        <f>IF('9.Inputs'!BE17&lt;&gt;0,'9.Inputs'!BE17,'9.Inputs'!BD17)</f>
        <v>1</v>
      </c>
      <c r="AD216">
        <f t="shared" si="371"/>
        <v>5</v>
      </c>
      <c r="AE216" s="4357" t="str">
        <f>'9.Inputs'!F17</f>
        <v>D</v>
      </c>
      <c r="AF216" s="4357" t="str">
        <f>'9.Inputs'!H17</f>
        <v>D</v>
      </c>
      <c r="AG216" s="4357" t="str">
        <f t="shared" si="374"/>
        <v>D</v>
      </c>
      <c r="AH216" s="4357">
        <f>((E216/(time_cap+((AD216-AC216+1)*VLOOKUP(AG216,list!$I$48:$K$50,3, FALSE))))*(AD216-AC216+1)*VLOOKUP(AG216,list!$I$48:$K$50,3, FALSE))</f>
        <v>0</v>
      </c>
      <c r="AI216" s="4357">
        <f>((E216/(time_cap+((AD216-AC216+1)*VLOOKUP(AG216,list!$I$48:$K$50,3, FALSE))))*time_cap)</f>
        <v>0</v>
      </c>
      <c r="AK216" s="4357">
        <f t="shared" ref="AK216:BP216" si="496">IFERROR(IF((time+time_cap)&lt;AK$2, 0,IF(AND(time+1&gt;=AL$2, $AC216&lt;AL$2), IF($AG216= "I", $AH216/($AD216-$AC216+1), $AH216/(($AD216*($AD216+1)/2)-(($AC216-1)*($AC216-1+1)/2))*AK$2), 0)+IF(IF(time+1&gt;=AL$2, $AI216/time_cap/(time+1)*AK$2, 0) = 0, $AI216/(time_cap),0)),0)</f>
        <v>0</v>
      </c>
      <c r="AL216" s="4357">
        <f t="shared" si="496"/>
        <v>0</v>
      </c>
      <c r="AM216" s="4357">
        <f t="shared" si="496"/>
        <v>0</v>
      </c>
      <c r="AN216" s="4357">
        <f t="shared" si="496"/>
        <v>0</v>
      </c>
      <c r="AO216" s="4357">
        <f t="shared" si="496"/>
        <v>0</v>
      </c>
      <c r="AP216" s="4357">
        <f t="shared" si="496"/>
        <v>0</v>
      </c>
      <c r="AQ216" s="4357">
        <f t="shared" si="496"/>
        <v>0</v>
      </c>
      <c r="AR216" s="4357">
        <f t="shared" si="496"/>
        <v>0</v>
      </c>
      <c r="AS216" s="4357">
        <f t="shared" si="496"/>
        <v>0</v>
      </c>
      <c r="AT216" s="4357">
        <f t="shared" si="496"/>
        <v>0</v>
      </c>
      <c r="AU216" s="4357">
        <f t="shared" si="496"/>
        <v>0</v>
      </c>
      <c r="AV216" s="4357">
        <f t="shared" si="496"/>
        <v>0</v>
      </c>
      <c r="AW216" s="4357">
        <f t="shared" si="496"/>
        <v>0</v>
      </c>
      <c r="AX216" s="4357">
        <f t="shared" si="496"/>
        <v>0</v>
      </c>
      <c r="AY216" s="4357">
        <f t="shared" si="496"/>
        <v>0</v>
      </c>
      <c r="AZ216" s="4357">
        <f t="shared" si="496"/>
        <v>0</v>
      </c>
      <c r="BA216" s="4357">
        <f t="shared" si="496"/>
        <v>0</v>
      </c>
      <c r="BB216" s="4357">
        <f t="shared" si="496"/>
        <v>0</v>
      </c>
      <c r="BC216" s="4357">
        <f t="shared" si="496"/>
        <v>0</v>
      </c>
      <c r="BD216" s="4357">
        <f t="shared" si="496"/>
        <v>0</v>
      </c>
      <c r="BE216" s="4357">
        <f t="shared" si="496"/>
        <v>0</v>
      </c>
      <c r="BF216" s="4357">
        <f t="shared" si="496"/>
        <v>0</v>
      </c>
      <c r="BG216" s="4357">
        <f t="shared" si="496"/>
        <v>0</v>
      </c>
      <c r="BH216" s="4357">
        <f t="shared" si="496"/>
        <v>0</v>
      </c>
      <c r="BI216" s="4357">
        <f t="shared" si="496"/>
        <v>0</v>
      </c>
      <c r="BJ216" s="4357">
        <f t="shared" si="496"/>
        <v>0</v>
      </c>
      <c r="BK216" s="4357">
        <f t="shared" si="496"/>
        <v>0</v>
      </c>
      <c r="BL216" s="4357">
        <f t="shared" si="496"/>
        <v>0</v>
      </c>
      <c r="BM216" s="4357">
        <f t="shared" si="496"/>
        <v>0</v>
      </c>
      <c r="BN216" s="4357">
        <f t="shared" si="496"/>
        <v>0</v>
      </c>
      <c r="BO216" s="4357">
        <f t="shared" si="496"/>
        <v>0</v>
      </c>
      <c r="BP216" s="4357">
        <f t="shared" si="496"/>
        <v>0</v>
      </c>
      <c r="BQ216" s="4357">
        <f t="shared" ref="BQ216:CH216" si="497">IFERROR(IF((time+time_cap)&lt;BQ$2, 0,IF(AND(time+1&gt;=BR$2, $AC216&lt;BR$2), IF($AG216= "I", $AH216/($AD216-$AC216+1), $AH216/(($AD216*($AD216+1)/2)-(($AC216-1)*($AC216-1+1)/2))*BQ$2), 0)+IF(IF(time+1&gt;=BR$2, $AI216/time_cap/(time+1)*BQ$2, 0) = 0, $AI216/(time_cap),0)),0)</f>
        <v>0</v>
      </c>
      <c r="BR216" s="4357">
        <f t="shared" si="497"/>
        <v>0</v>
      </c>
      <c r="BS216" s="4357">
        <f t="shared" si="497"/>
        <v>0</v>
      </c>
      <c r="BT216" s="4357">
        <f t="shared" si="497"/>
        <v>0</v>
      </c>
      <c r="BU216" s="4357">
        <f t="shared" si="497"/>
        <v>0</v>
      </c>
      <c r="BV216" s="4357">
        <f t="shared" si="497"/>
        <v>0</v>
      </c>
      <c r="BW216" s="4357">
        <f t="shared" si="497"/>
        <v>0</v>
      </c>
      <c r="BX216" s="4357">
        <f t="shared" si="497"/>
        <v>0</v>
      </c>
      <c r="BY216" s="4357">
        <f t="shared" si="497"/>
        <v>0</v>
      </c>
      <c r="BZ216" s="4357">
        <f t="shared" si="497"/>
        <v>0</v>
      </c>
      <c r="CA216" s="4357">
        <f t="shared" si="497"/>
        <v>0</v>
      </c>
      <c r="CB216" s="4357">
        <f t="shared" si="497"/>
        <v>0</v>
      </c>
      <c r="CC216" s="4357">
        <f t="shared" si="497"/>
        <v>0</v>
      </c>
      <c r="CD216" s="4357">
        <f t="shared" si="497"/>
        <v>0</v>
      </c>
      <c r="CE216" s="4357">
        <f t="shared" si="497"/>
        <v>0</v>
      </c>
      <c r="CF216" s="4357">
        <f t="shared" si="497"/>
        <v>0</v>
      </c>
      <c r="CG216" s="4357">
        <f t="shared" si="497"/>
        <v>0</v>
      </c>
      <c r="CH216" s="4357">
        <f t="shared" si="497"/>
        <v>0</v>
      </c>
      <c r="CI216" s="4357"/>
      <c r="CJ216" s="4357"/>
      <c r="CK216" s="4357"/>
      <c r="CL216" s="4357"/>
      <c r="CM216" s="4357"/>
      <c r="CN216" s="4357"/>
      <c r="CO216" s="4357"/>
      <c r="CP216" s="4357"/>
      <c r="CQ216" s="4357"/>
      <c r="CR216" s="4357"/>
      <c r="CS216" s="4357"/>
      <c r="CT216" s="4357"/>
      <c r="CU216" s="4357"/>
      <c r="CV216" s="4357"/>
      <c r="CW216" s="4357"/>
      <c r="CX216" s="4357"/>
      <c r="CY216" s="4357"/>
      <c r="CZ216" s="4357"/>
      <c r="DA216" s="4357"/>
      <c r="DB216" s="4357"/>
      <c r="DC216" s="4357"/>
      <c r="DD216" s="4357"/>
      <c r="DE216" s="4357"/>
      <c r="DF216" s="4357"/>
      <c r="DG216" s="4357"/>
      <c r="DH216" s="4357"/>
      <c r="DI216" s="4357"/>
      <c r="DJ216" s="4357"/>
      <c r="DK216" s="4357"/>
      <c r="DL216" s="4357"/>
      <c r="DM216" s="4357"/>
      <c r="DN216" s="4357"/>
      <c r="DO216" s="4357"/>
      <c r="DP216" s="4357"/>
      <c r="DQ216" s="4357"/>
      <c r="DR216" s="4357"/>
      <c r="DS216" s="4357"/>
      <c r="DT216" s="4357"/>
      <c r="DU216" s="4357"/>
      <c r="DV216" s="4357"/>
      <c r="DW216" s="4357"/>
      <c r="DX216" s="4357"/>
      <c r="DY216" s="4357"/>
      <c r="DZ216" s="4357"/>
      <c r="EA216" s="4357"/>
      <c r="EB216" s="4357"/>
      <c r="EC216" s="4357"/>
      <c r="ED216" s="4357"/>
      <c r="EE216" s="4357"/>
      <c r="EF216" s="4357"/>
    </row>
    <row r="217" spans="1:136" ht="16" x14ac:dyDescent="0.2">
      <c r="A217" t="str">
        <f>Languages!$B$655</f>
        <v>Inputs &amp; Invest.</v>
      </c>
      <c r="B217" t="s">
        <v>3242</v>
      </c>
      <c r="D217" t="str">
        <f>'9.Inputs'!C18</f>
        <v>Phosphorus (tonnes of P2O5 per year)</v>
      </c>
      <c r="E217">
        <f>'9.Inputs'!V18</f>
        <v>0</v>
      </c>
      <c r="F217" s="388">
        <v>0</v>
      </c>
      <c r="G217" s="388">
        <v>0</v>
      </c>
      <c r="L217" s="388">
        <f>Inputs!P53-Inputs!O53</f>
        <v>0</v>
      </c>
      <c r="AB217" t="str">
        <f t="shared" si="471"/>
        <v>ok</v>
      </c>
      <c r="AC217">
        <f>IF('9.Inputs'!BE18&lt;&gt;0,'9.Inputs'!BE18,'9.Inputs'!BD18)</f>
        <v>1</v>
      </c>
      <c r="AD217">
        <f t="shared" si="371"/>
        <v>5</v>
      </c>
      <c r="AE217" s="4357" t="str">
        <f>'9.Inputs'!F18</f>
        <v>D</v>
      </c>
      <c r="AF217" s="4357" t="str">
        <f>'9.Inputs'!H18</f>
        <v>D</v>
      </c>
      <c r="AG217" s="4357" t="str">
        <f t="shared" si="374"/>
        <v>D</v>
      </c>
      <c r="AH217" s="4357">
        <f>((E217/(time_cap+((AD217-AC217+1)*VLOOKUP(AG217,list!$I$48:$K$50,3, FALSE))))*(AD217-AC217+1)*VLOOKUP(AG217,list!$I$48:$K$50,3, FALSE))</f>
        <v>0</v>
      </c>
      <c r="AI217" s="4357">
        <f>((E217/(time_cap+((AD217-AC217+1)*VLOOKUP(AG217,list!$I$48:$K$50,3, FALSE))))*time_cap)</f>
        <v>0</v>
      </c>
      <c r="AK217" s="4357">
        <f t="shared" ref="AK217:BP217" si="498">IFERROR(IF((time+time_cap)&lt;AK$2, 0,IF(AND(time+1&gt;=AL$2, $AC217&lt;AL$2), IF($AG217= "I", $AH217/($AD217-$AC217+1), $AH217/(($AD217*($AD217+1)/2)-(($AC217-1)*($AC217-1+1)/2))*AK$2), 0)+IF(IF(time+1&gt;=AL$2, $AI217/time_cap/(time+1)*AK$2, 0) = 0, $AI217/(time_cap),0)),0)</f>
        <v>0</v>
      </c>
      <c r="AL217" s="4357">
        <f t="shared" si="498"/>
        <v>0</v>
      </c>
      <c r="AM217" s="4357">
        <f t="shared" si="498"/>
        <v>0</v>
      </c>
      <c r="AN217" s="4357">
        <f t="shared" si="498"/>
        <v>0</v>
      </c>
      <c r="AO217" s="4357">
        <f t="shared" si="498"/>
        <v>0</v>
      </c>
      <c r="AP217" s="4357">
        <f t="shared" si="498"/>
        <v>0</v>
      </c>
      <c r="AQ217" s="4357">
        <f t="shared" si="498"/>
        <v>0</v>
      </c>
      <c r="AR217" s="4357">
        <f t="shared" si="498"/>
        <v>0</v>
      </c>
      <c r="AS217" s="4357">
        <f t="shared" si="498"/>
        <v>0</v>
      </c>
      <c r="AT217" s="4357">
        <f t="shared" si="498"/>
        <v>0</v>
      </c>
      <c r="AU217" s="4357">
        <f t="shared" si="498"/>
        <v>0</v>
      </c>
      <c r="AV217" s="4357">
        <f t="shared" si="498"/>
        <v>0</v>
      </c>
      <c r="AW217" s="4357">
        <f t="shared" si="498"/>
        <v>0</v>
      </c>
      <c r="AX217" s="4357">
        <f t="shared" si="498"/>
        <v>0</v>
      </c>
      <c r="AY217" s="4357">
        <f t="shared" si="498"/>
        <v>0</v>
      </c>
      <c r="AZ217" s="4357">
        <f t="shared" si="498"/>
        <v>0</v>
      </c>
      <c r="BA217" s="4357">
        <f t="shared" si="498"/>
        <v>0</v>
      </c>
      <c r="BB217" s="4357">
        <f t="shared" si="498"/>
        <v>0</v>
      </c>
      <c r="BC217" s="4357">
        <f t="shared" si="498"/>
        <v>0</v>
      </c>
      <c r="BD217" s="4357">
        <f t="shared" si="498"/>
        <v>0</v>
      </c>
      <c r="BE217" s="4357">
        <f t="shared" si="498"/>
        <v>0</v>
      </c>
      <c r="BF217" s="4357">
        <f t="shared" si="498"/>
        <v>0</v>
      </c>
      <c r="BG217" s="4357">
        <f t="shared" si="498"/>
        <v>0</v>
      </c>
      <c r="BH217" s="4357">
        <f t="shared" si="498"/>
        <v>0</v>
      </c>
      <c r="BI217" s="4357">
        <f t="shared" si="498"/>
        <v>0</v>
      </c>
      <c r="BJ217" s="4357">
        <f t="shared" si="498"/>
        <v>0</v>
      </c>
      <c r="BK217" s="4357">
        <f t="shared" si="498"/>
        <v>0</v>
      </c>
      <c r="BL217" s="4357">
        <f t="shared" si="498"/>
        <v>0</v>
      </c>
      <c r="BM217" s="4357">
        <f t="shared" si="498"/>
        <v>0</v>
      </c>
      <c r="BN217" s="4357">
        <f t="shared" si="498"/>
        <v>0</v>
      </c>
      <c r="BO217" s="4357">
        <f t="shared" si="498"/>
        <v>0</v>
      </c>
      <c r="BP217" s="4357">
        <f t="shared" si="498"/>
        <v>0</v>
      </c>
      <c r="BQ217" s="4357">
        <f t="shared" ref="BQ217:CH217" si="499">IFERROR(IF((time+time_cap)&lt;BQ$2, 0,IF(AND(time+1&gt;=BR$2, $AC217&lt;BR$2), IF($AG217= "I", $AH217/($AD217-$AC217+1), $AH217/(($AD217*($AD217+1)/2)-(($AC217-1)*($AC217-1+1)/2))*BQ$2), 0)+IF(IF(time+1&gt;=BR$2, $AI217/time_cap/(time+1)*BQ$2, 0) = 0, $AI217/(time_cap),0)),0)</f>
        <v>0</v>
      </c>
      <c r="BR217" s="4357">
        <f t="shared" si="499"/>
        <v>0</v>
      </c>
      <c r="BS217" s="4357">
        <f t="shared" si="499"/>
        <v>0</v>
      </c>
      <c r="BT217" s="4357">
        <f t="shared" si="499"/>
        <v>0</v>
      </c>
      <c r="BU217" s="4357">
        <f t="shared" si="499"/>
        <v>0</v>
      </c>
      <c r="BV217" s="4357">
        <f t="shared" si="499"/>
        <v>0</v>
      </c>
      <c r="BW217" s="4357">
        <f t="shared" si="499"/>
        <v>0</v>
      </c>
      <c r="BX217" s="4357">
        <f t="shared" si="499"/>
        <v>0</v>
      </c>
      <c r="BY217" s="4357">
        <f t="shared" si="499"/>
        <v>0</v>
      </c>
      <c r="BZ217" s="4357">
        <f t="shared" si="499"/>
        <v>0</v>
      </c>
      <c r="CA217" s="4357">
        <f t="shared" si="499"/>
        <v>0</v>
      </c>
      <c r="CB217" s="4357">
        <f t="shared" si="499"/>
        <v>0</v>
      </c>
      <c r="CC217" s="4357">
        <f t="shared" si="499"/>
        <v>0</v>
      </c>
      <c r="CD217" s="4357">
        <f t="shared" si="499"/>
        <v>0</v>
      </c>
      <c r="CE217" s="4357">
        <f t="shared" si="499"/>
        <v>0</v>
      </c>
      <c r="CF217" s="4357">
        <f t="shared" si="499"/>
        <v>0</v>
      </c>
      <c r="CG217" s="4357">
        <f t="shared" si="499"/>
        <v>0</v>
      </c>
      <c r="CH217" s="4357">
        <f t="shared" si="499"/>
        <v>0</v>
      </c>
      <c r="CI217" s="4357"/>
      <c r="CJ217" s="4357"/>
      <c r="CK217" s="4357"/>
      <c r="CL217" s="4357"/>
      <c r="CM217" s="4357"/>
      <c r="CN217" s="4357"/>
      <c r="CO217" s="4357"/>
      <c r="CP217" s="4357"/>
      <c r="CQ217" s="4357"/>
      <c r="CR217" s="4357"/>
      <c r="CS217" s="4357"/>
      <c r="CT217" s="4357"/>
      <c r="CU217" s="4357"/>
      <c r="CV217" s="4357"/>
      <c r="CW217" s="4357"/>
      <c r="CX217" s="4357"/>
      <c r="CY217" s="4357"/>
      <c r="CZ217" s="4357"/>
      <c r="DA217" s="4357"/>
      <c r="DB217" s="4357"/>
      <c r="DC217" s="4357"/>
      <c r="DD217" s="4357"/>
      <c r="DE217" s="4357"/>
      <c r="DF217" s="4357"/>
      <c r="DG217" s="4357"/>
      <c r="DH217" s="4357"/>
      <c r="DI217" s="4357"/>
      <c r="DJ217" s="4357"/>
      <c r="DK217" s="4357"/>
      <c r="DL217" s="4357"/>
      <c r="DM217" s="4357"/>
      <c r="DN217" s="4357"/>
      <c r="DO217" s="4357"/>
      <c r="DP217" s="4357"/>
      <c r="DQ217" s="4357"/>
      <c r="DR217" s="4357"/>
      <c r="DS217" s="4357"/>
      <c r="DT217" s="4357"/>
      <c r="DU217" s="4357"/>
      <c r="DV217" s="4357"/>
      <c r="DW217" s="4357"/>
      <c r="DX217" s="4357"/>
      <c r="DY217" s="4357"/>
      <c r="DZ217" s="4357"/>
      <c r="EA217" s="4357"/>
      <c r="EB217" s="4357"/>
      <c r="EC217" s="4357"/>
      <c r="ED217" s="4357"/>
      <c r="EE217" s="4357"/>
      <c r="EF217" s="4357"/>
    </row>
    <row r="218" spans="1:136" ht="16" x14ac:dyDescent="0.2">
      <c r="A218" t="str">
        <f>Languages!$B$655</f>
        <v>Inputs &amp; Invest.</v>
      </c>
      <c r="B218" t="s">
        <v>3242</v>
      </c>
      <c r="D218" t="str">
        <f>'9.Inputs'!C19</f>
        <v>Potassium (tonnes of K2O per year)</v>
      </c>
      <c r="E218">
        <f>'9.Inputs'!V19</f>
        <v>0</v>
      </c>
      <c r="F218" s="388">
        <v>0</v>
      </c>
      <c r="G218" s="388">
        <v>0</v>
      </c>
      <c r="L218" s="388">
        <f>Inputs!P54-Inputs!O54</f>
        <v>0</v>
      </c>
      <c r="AB218" t="str">
        <f t="shared" si="471"/>
        <v>ok</v>
      </c>
      <c r="AC218">
        <f>IF('9.Inputs'!BE19&lt;&gt;0,'9.Inputs'!BE19,'9.Inputs'!BD19)</f>
        <v>1</v>
      </c>
      <c r="AD218">
        <f t="shared" si="371"/>
        <v>5</v>
      </c>
      <c r="AE218" s="4357" t="str">
        <f>'9.Inputs'!F19</f>
        <v>D</v>
      </c>
      <c r="AF218" s="4357" t="str">
        <f>'9.Inputs'!H19</f>
        <v>D</v>
      </c>
      <c r="AG218" s="4357" t="str">
        <f t="shared" si="374"/>
        <v>D</v>
      </c>
      <c r="AH218" s="4357">
        <f>((E218/(time_cap+((AD218-AC218+1)*VLOOKUP(AG218,list!$I$48:$K$50,3, FALSE))))*(AD218-AC218+1)*VLOOKUP(AG218,list!$I$48:$K$50,3, FALSE))</f>
        <v>0</v>
      </c>
      <c r="AI218" s="4357">
        <f>((E218/(time_cap+((AD218-AC218+1)*VLOOKUP(AG218,list!$I$48:$K$50,3, FALSE))))*time_cap)</f>
        <v>0</v>
      </c>
      <c r="AK218" s="4357">
        <f t="shared" ref="AK218:BP218" si="500">IFERROR(IF((time+time_cap)&lt;AK$2, 0,IF(AND(time+1&gt;=AL$2, $AC218&lt;AL$2), IF($AG218= "I", $AH218/($AD218-$AC218+1), $AH218/(($AD218*($AD218+1)/2)-(($AC218-1)*($AC218-1+1)/2))*AK$2), 0)+IF(IF(time+1&gt;=AL$2, $AI218/time_cap/(time+1)*AK$2, 0) = 0, $AI218/(time_cap),0)),0)</f>
        <v>0</v>
      </c>
      <c r="AL218" s="4357">
        <f t="shared" si="500"/>
        <v>0</v>
      </c>
      <c r="AM218" s="4357">
        <f t="shared" si="500"/>
        <v>0</v>
      </c>
      <c r="AN218" s="4357">
        <f t="shared" si="500"/>
        <v>0</v>
      </c>
      <c r="AO218" s="4357">
        <f t="shared" si="500"/>
        <v>0</v>
      </c>
      <c r="AP218" s="4357">
        <f t="shared" si="500"/>
        <v>0</v>
      </c>
      <c r="AQ218" s="4357">
        <f t="shared" si="500"/>
        <v>0</v>
      </c>
      <c r="AR218" s="4357">
        <f t="shared" si="500"/>
        <v>0</v>
      </c>
      <c r="AS218" s="4357">
        <f t="shared" si="500"/>
        <v>0</v>
      </c>
      <c r="AT218" s="4357">
        <f t="shared" si="500"/>
        <v>0</v>
      </c>
      <c r="AU218" s="4357">
        <f t="shared" si="500"/>
        <v>0</v>
      </c>
      <c r="AV218" s="4357">
        <f t="shared" si="500"/>
        <v>0</v>
      </c>
      <c r="AW218" s="4357">
        <f t="shared" si="500"/>
        <v>0</v>
      </c>
      <c r="AX218" s="4357">
        <f t="shared" si="500"/>
        <v>0</v>
      </c>
      <c r="AY218" s="4357">
        <f t="shared" si="500"/>
        <v>0</v>
      </c>
      <c r="AZ218" s="4357">
        <f t="shared" si="500"/>
        <v>0</v>
      </c>
      <c r="BA218" s="4357">
        <f t="shared" si="500"/>
        <v>0</v>
      </c>
      <c r="BB218" s="4357">
        <f t="shared" si="500"/>
        <v>0</v>
      </c>
      <c r="BC218" s="4357">
        <f t="shared" si="500"/>
        <v>0</v>
      </c>
      <c r="BD218" s="4357">
        <f t="shared" si="500"/>
        <v>0</v>
      </c>
      <c r="BE218" s="4357">
        <f t="shared" si="500"/>
        <v>0</v>
      </c>
      <c r="BF218" s="4357">
        <f t="shared" si="500"/>
        <v>0</v>
      </c>
      <c r="BG218" s="4357">
        <f t="shared" si="500"/>
        <v>0</v>
      </c>
      <c r="BH218" s="4357">
        <f t="shared" si="500"/>
        <v>0</v>
      </c>
      <c r="BI218" s="4357">
        <f t="shared" si="500"/>
        <v>0</v>
      </c>
      <c r="BJ218" s="4357">
        <f t="shared" si="500"/>
        <v>0</v>
      </c>
      <c r="BK218" s="4357">
        <f t="shared" si="500"/>
        <v>0</v>
      </c>
      <c r="BL218" s="4357">
        <f t="shared" si="500"/>
        <v>0</v>
      </c>
      <c r="BM218" s="4357">
        <f t="shared" si="500"/>
        <v>0</v>
      </c>
      <c r="BN218" s="4357">
        <f t="shared" si="500"/>
        <v>0</v>
      </c>
      <c r="BO218" s="4357">
        <f t="shared" si="500"/>
        <v>0</v>
      </c>
      <c r="BP218" s="4357">
        <f t="shared" si="500"/>
        <v>0</v>
      </c>
      <c r="BQ218" s="4357">
        <f t="shared" ref="BQ218:CH218" si="501">IFERROR(IF((time+time_cap)&lt;BQ$2, 0,IF(AND(time+1&gt;=BR$2, $AC218&lt;BR$2), IF($AG218= "I", $AH218/($AD218-$AC218+1), $AH218/(($AD218*($AD218+1)/2)-(($AC218-1)*($AC218-1+1)/2))*BQ$2), 0)+IF(IF(time+1&gt;=BR$2, $AI218/time_cap/(time+1)*BQ$2, 0) = 0, $AI218/(time_cap),0)),0)</f>
        <v>0</v>
      </c>
      <c r="BR218" s="4357">
        <f t="shared" si="501"/>
        <v>0</v>
      </c>
      <c r="BS218" s="4357">
        <f t="shared" si="501"/>
        <v>0</v>
      </c>
      <c r="BT218" s="4357">
        <f t="shared" si="501"/>
        <v>0</v>
      </c>
      <c r="BU218" s="4357">
        <f t="shared" si="501"/>
        <v>0</v>
      </c>
      <c r="BV218" s="4357">
        <f t="shared" si="501"/>
        <v>0</v>
      </c>
      <c r="BW218" s="4357">
        <f t="shared" si="501"/>
        <v>0</v>
      </c>
      <c r="BX218" s="4357">
        <f t="shared" si="501"/>
        <v>0</v>
      </c>
      <c r="BY218" s="4357">
        <f t="shared" si="501"/>
        <v>0</v>
      </c>
      <c r="BZ218" s="4357">
        <f t="shared" si="501"/>
        <v>0</v>
      </c>
      <c r="CA218" s="4357">
        <f t="shared" si="501"/>
        <v>0</v>
      </c>
      <c r="CB218" s="4357">
        <f t="shared" si="501"/>
        <v>0</v>
      </c>
      <c r="CC218" s="4357">
        <f t="shared" si="501"/>
        <v>0</v>
      </c>
      <c r="CD218" s="4357">
        <f t="shared" si="501"/>
        <v>0</v>
      </c>
      <c r="CE218" s="4357">
        <f t="shared" si="501"/>
        <v>0</v>
      </c>
      <c r="CF218" s="4357">
        <f t="shared" si="501"/>
        <v>0</v>
      </c>
      <c r="CG218" s="4357">
        <f t="shared" si="501"/>
        <v>0</v>
      </c>
      <c r="CH218" s="4357">
        <f t="shared" si="501"/>
        <v>0</v>
      </c>
      <c r="CI218" s="4357"/>
      <c r="CJ218" s="4357"/>
      <c r="CK218" s="4357"/>
      <c r="CL218" s="4357"/>
      <c r="CM218" s="4357"/>
      <c r="CN218" s="4357"/>
      <c r="CO218" s="4357"/>
      <c r="CP218" s="4357"/>
      <c r="CQ218" s="4357"/>
      <c r="CR218" s="4357"/>
      <c r="CS218" s="4357"/>
      <c r="CT218" s="4357"/>
      <c r="CU218" s="4357"/>
      <c r="CV218" s="4357"/>
      <c r="CW218" s="4357"/>
      <c r="CX218" s="4357"/>
      <c r="CY218" s="4357"/>
      <c r="CZ218" s="4357"/>
      <c r="DA218" s="4357"/>
      <c r="DB218" s="4357"/>
      <c r="DC218" s="4357"/>
      <c r="DD218" s="4357"/>
      <c r="DE218" s="4357"/>
      <c r="DF218" s="4357"/>
      <c r="DG218" s="4357"/>
      <c r="DH218" s="4357"/>
      <c r="DI218" s="4357"/>
      <c r="DJ218" s="4357"/>
      <c r="DK218" s="4357"/>
      <c r="DL218" s="4357"/>
      <c r="DM218" s="4357"/>
      <c r="DN218" s="4357"/>
      <c r="DO218" s="4357"/>
      <c r="DP218" s="4357"/>
      <c r="DQ218" s="4357"/>
      <c r="DR218" s="4357"/>
      <c r="DS218" s="4357"/>
      <c r="DT218" s="4357"/>
      <c r="DU218" s="4357"/>
      <c r="DV218" s="4357"/>
      <c r="DW218" s="4357"/>
      <c r="DX218" s="4357"/>
      <c r="DY218" s="4357"/>
      <c r="DZ218" s="4357"/>
      <c r="EA218" s="4357"/>
      <c r="EB218" s="4357"/>
      <c r="EC218" s="4357"/>
      <c r="ED218" s="4357"/>
      <c r="EE218" s="4357"/>
      <c r="EF218" s="4357"/>
    </row>
    <row r="219" spans="1:136" ht="16" x14ac:dyDescent="0.2">
      <c r="A219" t="str">
        <f>Languages!$B$655</f>
        <v>Inputs &amp; Invest.</v>
      </c>
      <c r="B219" t="s">
        <v>3242</v>
      </c>
      <c r="D219" t="str">
        <f>'9.Inputs'!C21</f>
        <v>N-fertilizer in continuously irrigated rice (tonnes of N per year)</v>
      </c>
      <c r="E219">
        <f>'9.Inputs'!V21</f>
        <v>0</v>
      </c>
      <c r="F219" s="388">
        <v>0</v>
      </c>
      <c r="G219" s="388">
        <v>0</v>
      </c>
      <c r="L219" s="388">
        <f>Inputs!P56-Inputs!O56</f>
        <v>0</v>
      </c>
      <c r="T219" s="388">
        <f>Inputs!P33-Inputs!O33</f>
        <v>0</v>
      </c>
      <c r="AB219" t="str">
        <f t="shared" si="471"/>
        <v>ok</v>
      </c>
      <c r="AC219">
        <f>IF('9.Inputs'!BE21&lt;&gt;0,'9.Inputs'!BE21,'9.Inputs'!BD21)</f>
        <v>1</v>
      </c>
      <c r="AD219">
        <f t="shared" ref="AD219:AD257" si="502">time</f>
        <v>5</v>
      </c>
      <c r="AE219" s="4357" t="str">
        <f>'9.Inputs'!F21</f>
        <v>D</v>
      </c>
      <c r="AF219" s="4357" t="str">
        <f>'9.Inputs'!H21</f>
        <v>D</v>
      </c>
      <c r="AG219" s="4357" t="str">
        <f t="shared" si="374"/>
        <v>D</v>
      </c>
      <c r="AH219" s="4357">
        <f>((E219/(time_cap+((AD219-AC219+1)*VLOOKUP(AG219,list!$I$48:$K$50,3, FALSE))))*(AD219-AC219+1)*VLOOKUP(AG219,list!$I$48:$K$50,3, FALSE))</f>
        <v>0</v>
      </c>
      <c r="AI219" s="4357">
        <f>((E219/(time_cap+((AD219-AC219+1)*VLOOKUP(AG219,list!$I$48:$K$50,3, FALSE))))*time_cap)</f>
        <v>0</v>
      </c>
      <c r="AK219" s="4357">
        <f t="shared" ref="AK219:BP219" si="503">IFERROR(IF((time+time_cap)&lt;AK$2, 0,IF(AND(time+1&gt;=AL$2, $AC219&lt;AL$2), IF($AG219= "I", $AH219/($AD219-$AC219+1), $AH219/(($AD219*($AD219+1)/2)-(($AC219-1)*($AC219-1+1)/2))*AK$2), 0)+IF(IF(time+1&gt;=AL$2, $AI219/time_cap/(time+1)*AK$2, 0) = 0, $AI219/(time_cap),0)),0)</f>
        <v>0</v>
      </c>
      <c r="AL219" s="4357">
        <f t="shared" si="503"/>
        <v>0</v>
      </c>
      <c r="AM219" s="4357">
        <f t="shared" si="503"/>
        <v>0</v>
      </c>
      <c r="AN219" s="4357">
        <f t="shared" si="503"/>
        <v>0</v>
      </c>
      <c r="AO219" s="4357">
        <f t="shared" si="503"/>
        <v>0</v>
      </c>
      <c r="AP219" s="4357">
        <f t="shared" si="503"/>
        <v>0</v>
      </c>
      <c r="AQ219" s="4357">
        <f t="shared" si="503"/>
        <v>0</v>
      </c>
      <c r="AR219" s="4357">
        <f t="shared" si="503"/>
        <v>0</v>
      </c>
      <c r="AS219" s="4357">
        <f t="shared" si="503"/>
        <v>0</v>
      </c>
      <c r="AT219" s="4357">
        <f t="shared" si="503"/>
        <v>0</v>
      </c>
      <c r="AU219" s="4357">
        <f t="shared" si="503"/>
        <v>0</v>
      </c>
      <c r="AV219" s="4357">
        <f t="shared" si="503"/>
        <v>0</v>
      </c>
      <c r="AW219" s="4357">
        <f t="shared" si="503"/>
        <v>0</v>
      </c>
      <c r="AX219" s="4357">
        <f t="shared" si="503"/>
        <v>0</v>
      </c>
      <c r="AY219" s="4357">
        <f t="shared" si="503"/>
        <v>0</v>
      </c>
      <c r="AZ219" s="4357">
        <f t="shared" si="503"/>
        <v>0</v>
      </c>
      <c r="BA219" s="4357">
        <f t="shared" si="503"/>
        <v>0</v>
      </c>
      <c r="BB219" s="4357">
        <f t="shared" si="503"/>
        <v>0</v>
      </c>
      <c r="BC219" s="4357">
        <f t="shared" si="503"/>
        <v>0</v>
      </c>
      <c r="BD219" s="4357">
        <f t="shared" si="503"/>
        <v>0</v>
      </c>
      <c r="BE219" s="4357">
        <f t="shared" si="503"/>
        <v>0</v>
      </c>
      <c r="BF219" s="4357">
        <f t="shared" si="503"/>
        <v>0</v>
      </c>
      <c r="BG219" s="4357">
        <f t="shared" si="503"/>
        <v>0</v>
      </c>
      <c r="BH219" s="4357">
        <f t="shared" si="503"/>
        <v>0</v>
      </c>
      <c r="BI219" s="4357">
        <f t="shared" si="503"/>
        <v>0</v>
      </c>
      <c r="BJ219" s="4357">
        <f t="shared" si="503"/>
        <v>0</v>
      </c>
      <c r="BK219" s="4357">
        <f t="shared" si="503"/>
        <v>0</v>
      </c>
      <c r="BL219" s="4357">
        <f t="shared" si="503"/>
        <v>0</v>
      </c>
      <c r="BM219" s="4357">
        <f t="shared" si="503"/>
        <v>0</v>
      </c>
      <c r="BN219" s="4357">
        <f t="shared" si="503"/>
        <v>0</v>
      </c>
      <c r="BO219" s="4357">
        <f t="shared" si="503"/>
        <v>0</v>
      </c>
      <c r="BP219" s="4357">
        <f t="shared" si="503"/>
        <v>0</v>
      </c>
      <c r="BQ219" s="4357">
        <f t="shared" ref="BQ219:CH219" si="504">IFERROR(IF((time+time_cap)&lt;BQ$2, 0,IF(AND(time+1&gt;=BR$2, $AC219&lt;BR$2), IF($AG219= "I", $AH219/($AD219-$AC219+1), $AH219/(($AD219*($AD219+1)/2)-(($AC219-1)*($AC219-1+1)/2))*BQ$2), 0)+IF(IF(time+1&gt;=BR$2, $AI219/time_cap/(time+1)*BQ$2, 0) = 0, $AI219/(time_cap),0)),0)</f>
        <v>0</v>
      </c>
      <c r="BR219" s="4357">
        <f t="shared" si="504"/>
        <v>0</v>
      </c>
      <c r="BS219" s="4357">
        <f t="shared" si="504"/>
        <v>0</v>
      </c>
      <c r="BT219" s="4357">
        <f t="shared" si="504"/>
        <v>0</v>
      </c>
      <c r="BU219" s="4357">
        <f t="shared" si="504"/>
        <v>0</v>
      </c>
      <c r="BV219" s="4357">
        <f t="shared" si="504"/>
        <v>0</v>
      </c>
      <c r="BW219" s="4357">
        <f t="shared" si="504"/>
        <v>0</v>
      </c>
      <c r="BX219" s="4357">
        <f t="shared" si="504"/>
        <v>0</v>
      </c>
      <c r="BY219" s="4357">
        <f t="shared" si="504"/>
        <v>0</v>
      </c>
      <c r="BZ219" s="4357">
        <f t="shared" si="504"/>
        <v>0</v>
      </c>
      <c r="CA219" s="4357">
        <f t="shared" si="504"/>
        <v>0</v>
      </c>
      <c r="CB219" s="4357">
        <f t="shared" si="504"/>
        <v>0</v>
      </c>
      <c r="CC219" s="4357">
        <f t="shared" si="504"/>
        <v>0</v>
      </c>
      <c r="CD219" s="4357">
        <f t="shared" si="504"/>
        <v>0</v>
      </c>
      <c r="CE219" s="4357">
        <f t="shared" si="504"/>
        <v>0</v>
      </c>
      <c r="CF219" s="4357">
        <f t="shared" si="504"/>
        <v>0</v>
      </c>
      <c r="CG219" s="4357">
        <f t="shared" si="504"/>
        <v>0</v>
      </c>
      <c r="CH219" s="4357">
        <f t="shared" si="504"/>
        <v>0</v>
      </c>
      <c r="CI219" s="4357"/>
      <c r="CJ219" s="4357"/>
      <c r="CK219" s="4357"/>
      <c r="CL219" s="4357"/>
      <c r="CM219" s="4357"/>
      <c r="CN219" s="4357"/>
      <c r="CO219" s="4357"/>
      <c r="CP219" s="4357"/>
      <c r="CQ219" s="4357"/>
      <c r="CR219" s="4357"/>
      <c r="CS219" s="4357"/>
      <c r="CT219" s="4357"/>
      <c r="CU219" s="4357"/>
      <c r="CV219" s="4357"/>
      <c r="CW219" s="4357"/>
      <c r="CX219" s="4357"/>
      <c r="CY219" s="4357"/>
      <c r="CZ219" s="4357"/>
      <c r="DA219" s="4357"/>
      <c r="DB219" s="4357"/>
      <c r="DC219" s="4357"/>
      <c r="DD219" s="4357"/>
      <c r="DE219" s="4357"/>
      <c r="DF219" s="4357"/>
      <c r="DG219" s="4357"/>
      <c r="DH219" s="4357"/>
      <c r="DI219" s="4357"/>
      <c r="DJ219" s="4357"/>
      <c r="DK219" s="4357"/>
      <c r="DL219" s="4357"/>
      <c r="DM219" s="4357"/>
      <c r="DN219" s="4357"/>
      <c r="DO219" s="4357"/>
      <c r="DP219" s="4357"/>
      <c r="DQ219" s="4357"/>
      <c r="DR219" s="4357"/>
      <c r="DS219" s="4357"/>
      <c r="DT219" s="4357"/>
      <c r="DU219" s="4357"/>
      <c r="DV219" s="4357"/>
      <c r="DW219" s="4357"/>
      <c r="DX219" s="4357"/>
      <c r="DY219" s="4357"/>
      <c r="DZ219" s="4357"/>
      <c r="EA219" s="4357"/>
      <c r="EB219" s="4357"/>
      <c r="EC219" s="4357"/>
      <c r="ED219" s="4357"/>
      <c r="EE219" s="4357"/>
      <c r="EF219" s="4357"/>
    </row>
    <row r="220" spans="1:136" ht="16" x14ac:dyDescent="0.2">
      <c r="A220" t="str">
        <f>Languages!$B$655</f>
        <v>Inputs &amp; Invest.</v>
      </c>
      <c r="B220" t="s">
        <v>3242</v>
      </c>
      <c r="D220" t="str">
        <f>'9.Inputs'!C22</f>
        <v>N-fertilizer in wet and dry irrigated rice (tonnes of N per year)</v>
      </c>
      <c r="E220">
        <f>'9.Inputs'!V22</f>
        <v>0</v>
      </c>
      <c r="F220" s="388">
        <v>0</v>
      </c>
      <c r="G220" s="388">
        <v>0</v>
      </c>
      <c r="L220" s="388">
        <f>Inputs!P57-Inputs!O57</f>
        <v>0</v>
      </c>
      <c r="T220" s="388">
        <f>Inputs!P34-Inputs!O34</f>
        <v>0</v>
      </c>
      <c r="AB220" t="str">
        <f t="shared" si="471"/>
        <v>ok</v>
      </c>
      <c r="AC220">
        <f>IF('9.Inputs'!BE22&lt;&gt;0,'9.Inputs'!BE22,'9.Inputs'!BD22)</f>
        <v>1</v>
      </c>
      <c r="AD220">
        <f t="shared" si="502"/>
        <v>5</v>
      </c>
      <c r="AE220" s="4357" t="str">
        <f>'9.Inputs'!F22</f>
        <v>D</v>
      </c>
      <c r="AF220" s="4357" t="str">
        <f>'9.Inputs'!H22</f>
        <v>D</v>
      </c>
      <c r="AG220" s="4357" t="str">
        <f t="shared" ref="AG220:AG257" si="505">IF(OR(AF220="I", AE220="I"), "I", IF(OR(AF220="E", AE220="E"), "E", "D"))</f>
        <v>D</v>
      </c>
      <c r="AH220" s="4357">
        <f>((E220/(time_cap+((AD220-AC220+1)*VLOOKUP(AG220,list!$I$48:$K$50,3, FALSE))))*(AD220-AC220+1)*VLOOKUP(AG220,list!$I$48:$K$50,3, FALSE))</f>
        <v>0</v>
      </c>
      <c r="AI220" s="4357">
        <f>((E220/(time_cap+((AD220-AC220+1)*VLOOKUP(AG220,list!$I$48:$K$50,3, FALSE))))*time_cap)</f>
        <v>0</v>
      </c>
      <c r="AK220" s="4357">
        <f t="shared" ref="AK220:BP220" si="506">IFERROR(IF((time+time_cap)&lt;AK$2, 0,IF(AND(time+1&gt;=AL$2, $AC220&lt;AL$2), IF($AG220= "I", $AH220/($AD220-$AC220+1), $AH220/(($AD220*($AD220+1)/2)-(($AC220-1)*($AC220-1+1)/2))*AK$2), 0)+IF(IF(time+1&gt;=AL$2, $AI220/time_cap/(time+1)*AK$2, 0) = 0, $AI220/(time_cap),0)),0)</f>
        <v>0</v>
      </c>
      <c r="AL220" s="4357">
        <f t="shared" si="506"/>
        <v>0</v>
      </c>
      <c r="AM220" s="4357">
        <f t="shared" si="506"/>
        <v>0</v>
      </c>
      <c r="AN220" s="4357">
        <f t="shared" si="506"/>
        <v>0</v>
      </c>
      <c r="AO220" s="4357">
        <f t="shared" si="506"/>
        <v>0</v>
      </c>
      <c r="AP220" s="4357">
        <f t="shared" si="506"/>
        <v>0</v>
      </c>
      <c r="AQ220" s="4357">
        <f t="shared" si="506"/>
        <v>0</v>
      </c>
      <c r="AR220" s="4357">
        <f t="shared" si="506"/>
        <v>0</v>
      </c>
      <c r="AS220" s="4357">
        <f t="shared" si="506"/>
        <v>0</v>
      </c>
      <c r="AT220" s="4357">
        <f t="shared" si="506"/>
        <v>0</v>
      </c>
      <c r="AU220" s="4357">
        <f t="shared" si="506"/>
        <v>0</v>
      </c>
      <c r="AV220" s="4357">
        <f t="shared" si="506"/>
        <v>0</v>
      </c>
      <c r="AW220" s="4357">
        <f t="shared" si="506"/>
        <v>0</v>
      </c>
      <c r="AX220" s="4357">
        <f t="shared" si="506"/>
        <v>0</v>
      </c>
      <c r="AY220" s="4357">
        <f t="shared" si="506"/>
        <v>0</v>
      </c>
      <c r="AZ220" s="4357">
        <f t="shared" si="506"/>
        <v>0</v>
      </c>
      <c r="BA220" s="4357">
        <f t="shared" si="506"/>
        <v>0</v>
      </c>
      <c r="BB220" s="4357">
        <f t="shared" si="506"/>
        <v>0</v>
      </c>
      <c r="BC220" s="4357">
        <f t="shared" si="506"/>
        <v>0</v>
      </c>
      <c r="BD220" s="4357">
        <f t="shared" si="506"/>
        <v>0</v>
      </c>
      <c r="BE220" s="4357">
        <f t="shared" si="506"/>
        <v>0</v>
      </c>
      <c r="BF220" s="4357">
        <f t="shared" si="506"/>
        <v>0</v>
      </c>
      <c r="BG220" s="4357">
        <f t="shared" si="506"/>
        <v>0</v>
      </c>
      <c r="BH220" s="4357">
        <f t="shared" si="506"/>
        <v>0</v>
      </c>
      <c r="BI220" s="4357">
        <f t="shared" si="506"/>
        <v>0</v>
      </c>
      <c r="BJ220" s="4357">
        <f t="shared" si="506"/>
        <v>0</v>
      </c>
      <c r="BK220" s="4357">
        <f t="shared" si="506"/>
        <v>0</v>
      </c>
      <c r="BL220" s="4357">
        <f t="shared" si="506"/>
        <v>0</v>
      </c>
      <c r="BM220" s="4357">
        <f t="shared" si="506"/>
        <v>0</v>
      </c>
      <c r="BN220" s="4357">
        <f t="shared" si="506"/>
        <v>0</v>
      </c>
      <c r="BO220" s="4357">
        <f t="shared" si="506"/>
        <v>0</v>
      </c>
      <c r="BP220" s="4357">
        <f t="shared" si="506"/>
        <v>0</v>
      </c>
      <c r="BQ220" s="4357">
        <f t="shared" ref="BQ220:CH220" si="507">IFERROR(IF((time+time_cap)&lt;BQ$2, 0,IF(AND(time+1&gt;=BR$2, $AC220&lt;BR$2), IF($AG220= "I", $AH220/($AD220-$AC220+1), $AH220/(($AD220*($AD220+1)/2)-(($AC220-1)*($AC220-1+1)/2))*BQ$2), 0)+IF(IF(time+1&gt;=BR$2, $AI220/time_cap/(time+1)*BQ$2, 0) = 0, $AI220/(time_cap),0)),0)</f>
        <v>0</v>
      </c>
      <c r="BR220" s="4357">
        <f t="shared" si="507"/>
        <v>0</v>
      </c>
      <c r="BS220" s="4357">
        <f t="shared" si="507"/>
        <v>0</v>
      </c>
      <c r="BT220" s="4357">
        <f t="shared" si="507"/>
        <v>0</v>
      </c>
      <c r="BU220" s="4357">
        <f t="shared" si="507"/>
        <v>0</v>
      </c>
      <c r="BV220" s="4357">
        <f t="shared" si="507"/>
        <v>0</v>
      </c>
      <c r="BW220" s="4357">
        <f t="shared" si="507"/>
        <v>0</v>
      </c>
      <c r="BX220" s="4357">
        <f t="shared" si="507"/>
        <v>0</v>
      </c>
      <c r="BY220" s="4357">
        <f t="shared" si="507"/>
        <v>0</v>
      </c>
      <c r="BZ220" s="4357">
        <f t="shared" si="507"/>
        <v>0</v>
      </c>
      <c r="CA220" s="4357">
        <f t="shared" si="507"/>
        <v>0</v>
      </c>
      <c r="CB220" s="4357">
        <f t="shared" si="507"/>
        <v>0</v>
      </c>
      <c r="CC220" s="4357">
        <f t="shared" si="507"/>
        <v>0</v>
      </c>
      <c r="CD220" s="4357">
        <f t="shared" si="507"/>
        <v>0</v>
      </c>
      <c r="CE220" s="4357">
        <f t="shared" si="507"/>
        <v>0</v>
      </c>
      <c r="CF220" s="4357">
        <f t="shared" si="507"/>
        <v>0</v>
      </c>
      <c r="CG220" s="4357">
        <f t="shared" si="507"/>
        <v>0</v>
      </c>
      <c r="CH220" s="4357">
        <f t="shared" si="507"/>
        <v>0</v>
      </c>
      <c r="CI220" s="4357"/>
      <c r="CJ220" s="4357"/>
      <c r="CK220" s="4357"/>
      <c r="CL220" s="4357"/>
      <c r="CM220" s="4357"/>
      <c r="CN220" s="4357"/>
      <c r="CO220" s="4357"/>
      <c r="CP220" s="4357"/>
      <c r="CQ220" s="4357"/>
      <c r="CR220" s="4357"/>
      <c r="CS220" s="4357"/>
      <c r="CT220" s="4357"/>
      <c r="CU220" s="4357"/>
      <c r="CV220" s="4357"/>
      <c r="CW220" s="4357"/>
      <c r="CX220" s="4357"/>
      <c r="CY220" s="4357"/>
      <c r="CZ220" s="4357"/>
      <c r="DA220" s="4357"/>
      <c r="DB220" s="4357"/>
      <c r="DC220" s="4357"/>
      <c r="DD220" s="4357"/>
      <c r="DE220" s="4357"/>
      <c r="DF220" s="4357"/>
      <c r="DG220" s="4357"/>
      <c r="DH220" s="4357"/>
      <c r="DI220" s="4357"/>
      <c r="DJ220" s="4357"/>
      <c r="DK220" s="4357"/>
      <c r="DL220" s="4357"/>
      <c r="DM220" s="4357"/>
      <c r="DN220" s="4357"/>
      <c r="DO220" s="4357"/>
      <c r="DP220" s="4357"/>
      <c r="DQ220" s="4357"/>
      <c r="DR220" s="4357"/>
      <c r="DS220" s="4357"/>
      <c r="DT220" s="4357"/>
      <c r="DU220" s="4357"/>
      <c r="DV220" s="4357"/>
      <c r="DW220" s="4357"/>
      <c r="DX220" s="4357"/>
      <c r="DY220" s="4357"/>
      <c r="DZ220" s="4357"/>
      <c r="EA220" s="4357"/>
      <c r="EB220" s="4357"/>
      <c r="EC220" s="4357"/>
      <c r="ED220" s="4357"/>
      <c r="EE220" s="4357"/>
      <c r="EF220" s="4357"/>
    </row>
    <row r="221" spans="1:136" ht="16" x14ac:dyDescent="0.2">
      <c r="A221" t="str">
        <f>Languages!$B$655</f>
        <v>Inputs &amp; Invest.</v>
      </c>
      <c r="B221" t="s">
        <v>3242</v>
      </c>
      <c r="D221" t="str">
        <f>'9.Inputs'!C24</f>
        <v>Sewage (tonnes of N per year)</v>
      </c>
      <c r="E221">
        <f>'9.Inputs'!V24</f>
        <v>0</v>
      </c>
      <c r="F221" s="388">
        <v>0</v>
      </c>
      <c r="G221" s="388">
        <v>0</v>
      </c>
      <c r="T221" s="388">
        <f>Inputs!P36-Inputs!O36</f>
        <v>0</v>
      </c>
      <c r="AB221" t="str">
        <f t="shared" si="471"/>
        <v>ok</v>
      </c>
      <c r="AC221">
        <f>IF('9.Inputs'!BE24&lt;&gt;0,'9.Inputs'!BE24,'9.Inputs'!BD24)</f>
        <v>1</v>
      </c>
      <c r="AD221">
        <f t="shared" si="502"/>
        <v>5</v>
      </c>
      <c r="AE221" s="4357" t="str">
        <f>'9.Inputs'!F24</f>
        <v>D</v>
      </c>
      <c r="AF221" s="4357" t="str">
        <f>'9.Inputs'!H24</f>
        <v>D</v>
      </c>
      <c r="AG221" s="4357" t="str">
        <f t="shared" si="505"/>
        <v>D</v>
      </c>
      <c r="AH221" s="4357">
        <f>((E221/(time_cap+((AD221-AC221+1)*VLOOKUP(AG221,list!$I$48:$K$50,3, FALSE))))*(AD221-AC221+1)*VLOOKUP(AG221,list!$I$48:$K$50,3, FALSE))</f>
        <v>0</v>
      </c>
      <c r="AI221" s="4357">
        <f>((E221/(time_cap+((AD221-AC221+1)*VLOOKUP(AG221,list!$I$48:$K$50,3, FALSE))))*time_cap)</f>
        <v>0</v>
      </c>
      <c r="AK221" s="4357">
        <f t="shared" ref="AK221:BP221" si="508">IFERROR(IF((time+time_cap)&lt;AK$2, 0,IF(AND(time+1&gt;=AL$2, $AC221&lt;AL$2), IF($AG221= "I", $AH221/($AD221-$AC221+1), $AH221/(($AD221*($AD221+1)/2)-(($AC221-1)*($AC221-1+1)/2))*AK$2), 0)+IF(IF(time+1&gt;=AL$2, $AI221/time_cap/(time+1)*AK$2, 0) = 0, $AI221/(time_cap),0)),0)</f>
        <v>0</v>
      </c>
      <c r="AL221" s="4357">
        <f t="shared" si="508"/>
        <v>0</v>
      </c>
      <c r="AM221" s="4357">
        <f t="shared" si="508"/>
        <v>0</v>
      </c>
      <c r="AN221" s="4357">
        <f t="shared" si="508"/>
        <v>0</v>
      </c>
      <c r="AO221" s="4357">
        <f t="shared" si="508"/>
        <v>0</v>
      </c>
      <c r="AP221" s="4357">
        <f t="shared" si="508"/>
        <v>0</v>
      </c>
      <c r="AQ221" s="4357">
        <f t="shared" si="508"/>
        <v>0</v>
      </c>
      <c r="AR221" s="4357">
        <f t="shared" si="508"/>
        <v>0</v>
      </c>
      <c r="AS221" s="4357">
        <f t="shared" si="508"/>
        <v>0</v>
      </c>
      <c r="AT221" s="4357">
        <f t="shared" si="508"/>
        <v>0</v>
      </c>
      <c r="AU221" s="4357">
        <f t="shared" si="508"/>
        <v>0</v>
      </c>
      <c r="AV221" s="4357">
        <f t="shared" si="508"/>
        <v>0</v>
      </c>
      <c r="AW221" s="4357">
        <f t="shared" si="508"/>
        <v>0</v>
      </c>
      <c r="AX221" s="4357">
        <f t="shared" si="508"/>
        <v>0</v>
      </c>
      <c r="AY221" s="4357">
        <f t="shared" si="508"/>
        <v>0</v>
      </c>
      <c r="AZ221" s="4357">
        <f t="shared" si="508"/>
        <v>0</v>
      </c>
      <c r="BA221" s="4357">
        <f t="shared" si="508"/>
        <v>0</v>
      </c>
      <c r="BB221" s="4357">
        <f t="shared" si="508"/>
        <v>0</v>
      </c>
      <c r="BC221" s="4357">
        <f t="shared" si="508"/>
        <v>0</v>
      </c>
      <c r="BD221" s="4357">
        <f t="shared" si="508"/>
        <v>0</v>
      </c>
      <c r="BE221" s="4357">
        <f t="shared" si="508"/>
        <v>0</v>
      </c>
      <c r="BF221" s="4357">
        <f t="shared" si="508"/>
        <v>0</v>
      </c>
      <c r="BG221" s="4357">
        <f t="shared" si="508"/>
        <v>0</v>
      </c>
      <c r="BH221" s="4357">
        <f t="shared" si="508"/>
        <v>0</v>
      </c>
      <c r="BI221" s="4357">
        <f t="shared" si="508"/>
        <v>0</v>
      </c>
      <c r="BJ221" s="4357">
        <f t="shared" si="508"/>
        <v>0</v>
      </c>
      <c r="BK221" s="4357">
        <f t="shared" si="508"/>
        <v>0</v>
      </c>
      <c r="BL221" s="4357">
        <f t="shared" si="508"/>
        <v>0</v>
      </c>
      <c r="BM221" s="4357">
        <f t="shared" si="508"/>
        <v>0</v>
      </c>
      <c r="BN221" s="4357">
        <f t="shared" si="508"/>
        <v>0</v>
      </c>
      <c r="BO221" s="4357">
        <f t="shared" si="508"/>
        <v>0</v>
      </c>
      <c r="BP221" s="4357">
        <f t="shared" si="508"/>
        <v>0</v>
      </c>
      <c r="BQ221" s="4357">
        <f t="shared" ref="BQ221:CH221" si="509">IFERROR(IF((time+time_cap)&lt;BQ$2, 0,IF(AND(time+1&gt;=BR$2, $AC221&lt;BR$2), IF($AG221= "I", $AH221/($AD221-$AC221+1), $AH221/(($AD221*($AD221+1)/2)-(($AC221-1)*($AC221-1+1)/2))*BQ$2), 0)+IF(IF(time+1&gt;=BR$2, $AI221/time_cap/(time+1)*BQ$2, 0) = 0, $AI221/(time_cap),0)),0)</f>
        <v>0</v>
      </c>
      <c r="BR221" s="4357">
        <f t="shared" si="509"/>
        <v>0</v>
      </c>
      <c r="BS221" s="4357">
        <f t="shared" si="509"/>
        <v>0</v>
      </c>
      <c r="BT221" s="4357">
        <f t="shared" si="509"/>
        <v>0</v>
      </c>
      <c r="BU221" s="4357">
        <f t="shared" si="509"/>
        <v>0</v>
      </c>
      <c r="BV221" s="4357">
        <f t="shared" si="509"/>
        <v>0</v>
      </c>
      <c r="BW221" s="4357">
        <f t="shared" si="509"/>
        <v>0</v>
      </c>
      <c r="BX221" s="4357">
        <f t="shared" si="509"/>
        <v>0</v>
      </c>
      <c r="BY221" s="4357">
        <f t="shared" si="509"/>
        <v>0</v>
      </c>
      <c r="BZ221" s="4357">
        <f t="shared" si="509"/>
        <v>0</v>
      </c>
      <c r="CA221" s="4357">
        <f t="shared" si="509"/>
        <v>0</v>
      </c>
      <c r="CB221" s="4357">
        <f t="shared" si="509"/>
        <v>0</v>
      </c>
      <c r="CC221" s="4357">
        <f t="shared" si="509"/>
        <v>0</v>
      </c>
      <c r="CD221" s="4357">
        <f t="shared" si="509"/>
        <v>0</v>
      </c>
      <c r="CE221" s="4357">
        <f t="shared" si="509"/>
        <v>0</v>
      </c>
      <c r="CF221" s="4357">
        <f t="shared" si="509"/>
        <v>0</v>
      </c>
      <c r="CG221" s="4357">
        <f t="shared" si="509"/>
        <v>0</v>
      </c>
      <c r="CH221" s="4357">
        <f t="shared" si="509"/>
        <v>0</v>
      </c>
      <c r="CI221" s="4357"/>
      <c r="CJ221" s="4357"/>
      <c r="CK221" s="4357"/>
      <c r="CL221" s="4357"/>
      <c r="CM221" s="4357"/>
      <c r="CN221" s="4357"/>
      <c r="CO221" s="4357"/>
      <c r="CP221" s="4357"/>
      <c r="CQ221" s="4357"/>
      <c r="CR221" s="4357"/>
      <c r="CS221" s="4357"/>
      <c r="CT221" s="4357"/>
      <c r="CU221" s="4357"/>
      <c r="CV221" s="4357"/>
      <c r="CW221" s="4357"/>
      <c r="CX221" s="4357"/>
      <c r="CY221" s="4357"/>
      <c r="CZ221" s="4357"/>
      <c r="DA221" s="4357"/>
      <c r="DB221" s="4357"/>
      <c r="DC221" s="4357"/>
      <c r="DD221" s="4357"/>
      <c r="DE221" s="4357"/>
      <c r="DF221" s="4357"/>
      <c r="DG221" s="4357"/>
      <c r="DH221" s="4357"/>
      <c r="DI221" s="4357"/>
      <c r="DJ221" s="4357"/>
      <c r="DK221" s="4357"/>
      <c r="DL221" s="4357"/>
      <c r="DM221" s="4357"/>
      <c r="DN221" s="4357"/>
      <c r="DO221" s="4357"/>
      <c r="DP221" s="4357"/>
      <c r="DQ221" s="4357"/>
      <c r="DR221" s="4357"/>
      <c r="DS221" s="4357"/>
      <c r="DT221" s="4357"/>
      <c r="DU221" s="4357"/>
      <c r="DV221" s="4357"/>
      <c r="DW221" s="4357"/>
      <c r="DX221" s="4357"/>
      <c r="DY221" s="4357"/>
      <c r="DZ221" s="4357"/>
      <c r="EA221" s="4357"/>
      <c r="EB221" s="4357"/>
      <c r="EC221" s="4357"/>
      <c r="ED221" s="4357"/>
      <c r="EE221" s="4357"/>
      <c r="EF221" s="4357"/>
    </row>
    <row r="222" spans="1:136" ht="16" x14ac:dyDescent="0.2">
      <c r="A222" t="str">
        <f>Languages!$B$655</f>
        <v>Inputs &amp; Invest.</v>
      </c>
      <c r="B222" t="s">
        <v>3242</v>
      </c>
      <c r="D222" t="str">
        <f>'9.Inputs'!C25</f>
        <v>Compost (tonnes of N per year)</v>
      </c>
      <c r="E222">
        <f>'9.Inputs'!V25</f>
        <v>0</v>
      </c>
      <c r="F222" s="388">
        <v>0</v>
      </c>
      <c r="G222" s="388">
        <v>0</v>
      </c>
      <c r="T222" s="388">
        <f>Inputs!P37-Inputs!O37</f>
        <v>0</v>
      </c>
      <c r="AB222" t="str">
        <f t="shared" si="471"/>
        <v>ok</v>
      </c>
      <c r="AC222">
        <f>IF('9.Inputs'!BE25&lt;&gt;0,'9.Inputs'!BE25,'9.Inputs'!BD25)</f>
        <v>1</v>
      </c>
      <c r="AD222">
        <f t="shared" si="502"/>
        <v>5</v>
      </c>
      <c r="AE222" s="4357" t="str">
        <f>'9.Inputs'!F25</f>
        <v>D</v>
      </c>
      <c r="AF222" s="4357" t="str">
        <f>'9.Inputs'!H25</f>
        <v>D</v>
      </c>
      <c r="AG222" s="4357" t="str">
        <f t="shared" si="505"/>
        <v>D</v>
      </c>
      <c r="AH222" s="4357">
        <f>((E222/(time_cap+((AD222-AC222+1)*VLOOKUP(AG222,list!$I$48:$K$50,3, FALSE))))*(AD222-AC222+1)*VLOOKUP(AG222,list!$I$48:$K$50,3, FALSE))</f>
        <v>0</v>
      </c>
      <c r="AI222" s="4357">
        <f>((E222/(time_cap+((AD222-AC222+1)*VLOOKUP(AG222,list!$I$48:$K$50,3, FALSE))))*time_cap)</f>
        <v>0</v>
      </c>
      <c r="AK222" s="4357">
        <f t="shared" ref="AK222:BP222" si="510">IFERROR(IF((time+time_cap)&lt;AK$2, 0,IF(AND(time+1&gt;=AL$2, $AC222&lt;AL$2), IF($AG222= "I", $AH222/($AD222-$AC222+1), $AH222/(($AD222*($AD222+1)/2)-(($AC222-1)*($AC222-1+1)/2))*AK$2), 0)+IF(IF(time+1&gt;=AL$2, $AI222/time_cap/(time+1)*AK$2, 0) = 0, $AI222/(time_cap),0)),0)</f>
        <v>0</v>
      </c>
      <c r="AL222" s="4357">
        <f t="shared" si="510"/>
        <v>0</v>
      </c>
      <c r="AM222" s="4357">
        <f t="shared" si="510"/>
        <v>0</v>
      </c>
      <c r="AN222" s="4357">
        <f t="shared" si="510"/>
        <v>0</v>
      </c>
      <c r="AO222" s="4357">
        <f t="shared" si="510"/>
        <v>0</v>
      </c>
      <c r="AP222" s="4357">
        <f t="shared" si="510"/>
        <v>0</v>
      </c>
      <c r="AQ222" s="4357">
        <f t="shared" si="510"/>
        <v>0</v>
      </c>
      <c r="AR222" s="4357">
        <f t="shared" si="510"/>
        <v>0</v>
      </c>
      <c r="AS222" s="4357">
        <f t="shared" si="510"/>
        <v>0</v>
      </c>
      <c r="AT222" s="4357">
        <f t="shared" si="510"/>
        <v>0</v>
      </c>
      <c r="AU222" s="4357">
        <f t="shared" si="510"/>
        <v>0</v>
      </c>
      <c r="AV222" s="4357">
        <f t="shared" si="510"/>
        <v>0</v>
      </c>
      <c r="AW222" s="4357">
        <f t="shared" si="510"/>
        <v>0</v>
      </c>
      <c r="AX222" s="4357">
        <f t="shared" si="510"/>
        <v>0</v>
      </c>
      <c r="AY222" s="4357">
        <f t="shared" si="510"/>
        <v>0</v>
      </c>
      <c r="AZ222" s="4357">
        <f t="shared" si="510"/>
        <v>0</v>
      </c>
      <c r="BA222" s="4357">
        <f t="shared" si="510"/>
        <v>0</v>
      </c>
      <c r="BB222" s="4357">
        <f t="shared" si="510"/>
        <v>0</v>
      </c>
      <c r="BC222" s="4357">
        <f t="shared" si="510"/>
        <v>0</v>
      </c>
      <c r="BD222" s="4357">
        <f t="shared" si="510"/>
        <v>0</v>
      </c>
      <c r="BE222" s="4357">
        <f t="shared" si="510"/>
        <v>0</v>
      </c>
      <c r="BF222" s="4357">
        <f t="shared" si="510"/>
        <v>0</v>
      </c>
      <c r="BG222" s="4357">
        <f t="shared" si="510"/>
        <v>0</v>
      </c>
      <c r="BH222" s="4357">
        <f t="shared" si="510"/>
        <v>0</v>
      </c>
      <c r="BI222" s="4357">
        <f t="shared" si="510"/>
        <v>0</v>
      </c>
      <c r="BJ222" s="4357">
        <f t="shared" si="510"/>
        <v>0</v>
      </c>
      <c r="BK222" s="4357">
        <f t="shared" si="510"/>
        <v>0</v>
      </c>
      <c r="BL222" s="4357">
        <f t="shared" si="510"/>
        <v>0</v>
      </c>
      <c r="BM222" s="4357">
        <f t="shared" si="510"/>
        <v>0</v>
      </c>
      <c r="BN222" s="4357">
        <f t="shared" si="510"/>
        <v>0</v>
      </c>
      <c r="BO222" s="4357">
        <f t="shared" si="510"/>
        <v>0</v>
      </c>
      <c r="BP222" s="4357">
        <f t="shared" si="510"/>
        <v>0</v>
      </c>
      <c r="BQ222" s="4357">
        <f t="shared" ref="BQ222:CH222" si="511">IFERROR(IF((time+time_cap)&lt;BQ$2, 0,IF(AND(time+1&gt;=BR$2, $AC222&lt;BR$2), IF($AG222= "I", $AH222/($AD222-$AC222+1), $AH222/(($AD222*($AD222+1)/2)-(($AC222-1)*($AC222-1+1)/2))*BQ$2), 0)+IF(IF(time+1&gt;=BR$2, $AI222/time_cap/(time+1)*BQ$2, 0) = 0, $AI222/(time_cap),0)),0)</f>
        <v>0</v>
      </c>
      <c r="BR222" s="4357">
        <f t="shared" si="511"/>
        <v>0</v>
      </c>
      <c r="BS222" s="4357">
        <f t="shared" si="511"/>
        <v>0</v>
      </c>
      <c r="BT222" s="4357">
        <f t="shared" si="511"/>
        <v>0</v>
      </c>
      <c r="BU222" s="4357">
        <f t="shared" si="511"/>
        <v>0</v>
      </c>
      <c r="BV222" s="4357">
        <f t="shared" si="511"/>
        <v>0</v>
      </c>
      <c r="BW222" s="4357">
        <f t="shared" si="511"/>
        <v>0</v>
      </c>
      <c r="BX222" s="4357">
        <f t="shared" si="511"/>
        <v>0</v>
      </c>
      <c r="BY222" s="4357">
        <f t="shared" si="511"/>
        <v>0</v>
      </c>
      <c r="BZ222" s="4357">
        <f t="shared" si="511"/>
        <v>0</v>
      </c>
      <c r="CA222" s="4357">
        <f t="shared" si="511"/>
        <v>0</v>
      </c>
      <c r="CB222" s="4357">
        <f t="shared" si="511"/>
        <v>0</v>
      </c>
      <c r="CC222" s="4357">
        <f t="shared" si="511"/>
        <v>0</v>
      </c>
      <c r="CD222" s="4357">
        <f t="shared" si="511"/>
        <v>0</v>
      </c>
      <c r="CE222" s="4357">
        <f t="shared" si="511"/>
        <v>0</v>
      </c>
      <c r="CF222" s="4357">
        <f t="shared" si="511"/>
        <v>0</v>
      </c>
      <c r="CG222" s="4357">
        <f t="shared" si="511"/>
        <v>0</v>
      </c>
      <c r="CH222" s="4357">
        <f t="shared" si="511"/>
        <v>0</v>
      </c>
      <c r="CI222" s="4357"/>
      <c r="CJ222" s="4357"/>
      <c r="CK222" s="4357"/>
      <c r="CL222" s="4357"/>
      <c r="CM222" s="4357"/>
      <c r="CN222" s="4357"/>
      <c r="CO222" s="4357"/>
      <c r="CP222" s="4357"/>
      <c r="CQ222" s="4357"/>
      <c r="CR222" s="4357"/>
      <c r="CS222" s="4357"/>
      <c r="CT222" s="4357"/>
      <c r="CU222" s="4357"/>
      <c r="CV222" s="4357"/>
      <c r="CW222" s="4357"/>
      <c r="CX222" s="4357"/>
      <c r="CY222" s="4357"/>
      <c r="CZ222" s="4357"/>
      <c r="DA222" s="4357"/>
      <c r="DB222" s="4357"/>
      <c r="DC222" s="4357"/>
      <c r="DD222" s="4357"/>
      <c r="DE222" s="4357"/>
      <c r="DF222" s="4357"/>
      <c r="DG222" s="4357"/>
      <c r="DH222" s="4357"/>
      <c r="DI222" s="4357"/>
      <c r="DJ222" s="4357"/>
      <c r="DK222" s="4357"/>
      <c r="DL222" s="4357"/>
      <c r="DM222" s="4357"/>
      <c r="DN222" s="4357"/>
      <c r="DO222" s="4357"/>
      <c r="DP222" s="4357"/>
      <c r="DQ222" s="4357"/>
      <c r="DR222" s="4357"/>
      <c r="DS222" s="4357"/>
      <c r="DT222" s="4357"/>
      <c r="DU222" s="4357"/>
      <c r="DV222" s="4357"/>
      <c r="DW222" s="4357"/>
      <c r="DX222" s="4357"/>
      <c r="DY222" s="4357"/>
      <c r="DZ222" s="4357"/>
      <c r="EA222" s="4357"/>
      <c r="EB222" s="4357"/>
      <c r="EC222" s="4357"/>
      <c r="ED222" s="4357"/>
      <c r="EE222" s="4357"/>
      <c r="EF222" s="4357"/>
    </row>
    <row r="223" spans="1:136" ht="16" x14ac:dyDescent="0.2">
      <c r="A223" t="str">
        <f>Languages!$B$655</f>
        <v>Inputs &amp; Invest.</v>
      </c>
      <c r="B223" t="s">
        <v>3242</v>
      </c>
      <c r="D223" t="str">
        <f>'9.Inputs'!C26</f>
        <v>Rendering waste, brewery waste, guano (tonnes of N per year)</v>
      </c>
      <c r="E223">
        <f>'9.Inputs'!V26</f>
        <v>0</v>
      </c>
      <c r="F223" s="388">
        <v>0</v>
      </c>
      <c r="G223" s="388">
        <v>0</v>
      </c>
      <c r="T223" s="388">
        <f>Inputs!P38-Inputs!O38</f>
        <v>0</v>
      </c>
      <c r="AB223" t="str">
        <f t="shared" si="471"/>
        <v>ok</v>
      </c>
      <c r="AC223">
        <f>IF('9.Inputs'!BE26&lt;&gt;0,'9.Inputs'!BE26,'9.Inputs'!BD26)</f>
        <v>1</v>
      </c>
      <c r="AD223">
        <f t="shared" si="502"/>
        <v>5</v>
      </c>
      <c r="AE223" s="4357" t="str">
        <f>'9.Inputs'!F26</f>
        <v>D</v>
      </c>
      <c r="AF223" s="4357" t="str">
        <f>'9.Inputs'!H26</f>
        <v>D</v>
      </c>
      <c r="AG223" s="4357" t="str">
        <f t="shared" si="505"/>
        <v>D</v>
      </c>
      <c r="AH223" s="4357">
        <f>((E223/(time_cap+((AD223-AC223+1)*VLOOKUP(AG223,list!$I$48:$K$50,3, FALSE))))*(AD223-AC223+1)*VLOOKUP(AG223,list!$I$48:$K$50,3, FALSE))</f>
        <v>0</v>
      </c>
      <c r="AI223" s="4357">
        <f>((E223/(time_cap+((AD223-AC223+1)*VLOOKUP(AG223,list!$I$48:$K$50,3, FALSE))))*time_cap)</f>
        <v>0</v>
      </c>
      <c r="AK223" s="4357">
        <f t="shared" ref="AK223:BP223" si="512">IFERROR(IF((time+time_cap)&lt;AK$2, 0,IF(AND(time+1&gt;=AL$2, $AC223&lt;AL$2), IF($AG223= "I", $AH223/($AD223-$AC223+1), $AH223/(($AD223*($AD223+1)/2)-(($AC223-1)*($AC223-1+1)/2))*AK$2), 0)+IF(IF(time+1&gt;=AL$2, $AI223/time_cap/(time+1)*AK$2, 0) = 0, $AI223/(time_cap),0)),0)</f>
        <v>0</v>
      </c>
      <c r="AL223" s="4357">
        <f t="shared" si="512"/>
        <v>0</v>
      </c>
      <c r="AM223" s="4357">
        <f t="shared" si="512"/>
        <v>0</v>
      </c>
      <c r="AN223" s="4357">
        <f t="shared" si="512"/>
        <v>0</v>
      </c>
      <c r="AO223" s="4357">
        <f t="shared" si="512"/>
        <v>0</v>
      </c>
      <c r="AP223" s="4357">
        <f t="shared" si="512"/>
        <v>0</v>
      </c>
      <c r="AQ223" s="4357">
        <f t="shared" si="512"/>
        <v>0</v>
      </c>
      <c r="AR223" s="4357">
        <f t="shared" si="512"/>
        <v>0</v>
      </c>
      <c r="AS223" s="4357">
        <f t="shared" si="512"/>
        <v>0</v>
      </c>
      <c r="AT223" s="4357">
        <f t="shared" si="512"/>
        <v>0</v>
      </c>
      <c r="AU223" s="4357">
        <f t="shared" si="512"/>
        <v>0</v>
      </c>
      <c r="AV223" s="4357">
        <f t="shared" si="512"/>
        <v>0</v>
      </c>
      <c r="AW223" s="4357">
        <f t="shared" si="512"/>
        <v>0</v>
      </c>
      <c r="AX223" s="4357">
        <f t="shared" si="512"/>
        <v>0</v>
      </c>
      <c r="AY223" s="4357">
        <f t="shared" si="512"/>
        <v>0</v>
      </c>
      <c r="AZ223" s="4357">
        <f t="shared" si="512"/>
        <v>0</v>
      </c>
      <c r="BA223" s="4357">
        <f t="shared" si="512"/>
        <v>0</v>
      </c>
      <c r="BB223" s="4357">
        <f t="shared" si="512"/>
        <v>0</v>
      </c>
      <c r="BC223" s="4357">
        <f t="shared" si="512"/>
        <v>0</v>
      </c>
      <c r="BD223" s="4357">
        <f t="shared" si="512"/>
        <v>0</v>
      </c>
      <c r="BE223" s="4357">
        <f t="shared" si="512"/>
        <v>0</v>
      </c>
      <c r="BF223" s="4357">
        <f t="shared" si="512"/>
        <v>0</v>
      </c>
      <c r="BG223" s="4357">
        <f t="shared" si="512"/>
        <v>0</v>
      </c>
      <c r="BH223" s="4357">
        <f t="shared" si="512"/>
        <v>0</v>
      </c>
      <c r="BI223" s="4357">
        <f t="shared" si="512"/>
        <v>0</v>
      </c>
      <c r="BJ223" s="4357">
        <f t="shared" si="512"/>
        <v>0</v>
      </c>
      <c r="BK223" s="4357">
        <f t="shared" si="512"/>
        <v>0</v>
      </c>
      <c r="BL223" s="4357">
        <f t="shared" si="512"/>
        <v>0</v>
      </c>
      <c r="BM223" s="4357">
        <f t="shared" si="512"/>
        <v>0</v>
      </c>
      <c r="BN223" s="4357">
        <f t="shared" si="512"/>
        <v>0</v>
      </c>
      <c r="BO223" s="4357">
        <f t="shared" si="512"/>
        <v>0</v>
      </c>
      <c r="BP223" s="4357">
        <f t="shared" si="512"/>
        <v>0</v>
      </c>
      <c r="BQ223" s="4357">
        <f t="shared" ref="BQ223:CH223" si="513">IFERROR(IF((time+time_cap)&lt;BQ$2, 0,IF(AND(time+1&gt;=BR$2, $AC223&lt;BR$2), IF($AG223= "I", $AH223/($AD223-$AC223+1), $AH223/(($AD223*($AD223+1)/2)-(($AC223-1)*($AC223-1+1)/2))*BQ$2), 0)+IF(IF(time+1&gt;=BR$2, $AI223/time_cap/(time+1)*BQ$2, 0) = 0, $AI223/(time_cap),0)),0)</f>
        <v>0</v>
      </c>
      <c r="BR223" s="4357">
        <f t="shared" si="513"/>
        <v>0</v>
      </c>
      <c r="BS223" s="4357">
        <f t="shared" si="513"/>
        <v>0</v>
      </c>
      <c r="BT223" s="4357">
        <f t="shared" si="513"/>
        <v>0</v>
      </c>
      <c r="BU223" s="4357">
        <f t="shared" si="513"/>
        <v>0</v>
      </c>
      <c r="BV223" s="4357">
        <f t="shared" si="513"/>
        <v>0</v>
      </c>
      <c r="BW223" s="4357">
        <f t="shared" si="513"/>
        <v>0</v>
      </c>
      <c r="BX223" s="4357">
        <f t="shared" si="513"/>
        <v>0</v>
      </c>
      <c r="BY223" s="4357">
        <f t="shared" si="513"/>
        <v>0</v>
      </c>
      <c r="BZ223" s="4357">
        <f t="shared" si="513"/>
        <v>0</v>
      </c>
      <c r="CA223" s="4357">
        <f t="shared" si="513"/>
        <v>0</v>
      </c>
      <c r="CB223" s="4357">
        <f t="shared" si="513"/>
        <v>0</v>
      </c>
      <c r="CC223" s="4357">
        <f t="shared" si="513"/>
        <v>0</v>
      </c>
      <c r="CD223" s="4357">
        <f t="shared" si="513"/>
        <v>0</v>
      </c>
      <c r="CE223" s="4357">
        <f t="shared" si="513"/>
        <v>0</v>
      </c>
      <c r="CF223" s="4357">
        <f t="shared" si="513"/>
        <v>0</v>
      </c>
      <c r="CG223" s="4357">
        <f t="shared" si="513"/>
        <v>0</v>
      </c>
      <c r="CH223" s="4357">
        <f t="shared" si="513"/>
        <v>0</v>
      </c>
      <c r="CI223" s="4357"/>
      <c r="CJ223" s="4357"/>
      <c r="CK223" s="4357"/>
      <c r="CL223" s="4357"/>
      <c r="CM223" s="4357"/>
      <c r="CN223" s="4357"/>
      <c r="CO223" s="4357"/>
      <c r="CP223" s="4357"/>
      <c r="CQ223" s="4357"/>
      <c r="CR223" s="4357"/>
      <c r="CS223" s="4357"/>
      <c r="CT223" s="4357"/>
      <c r="CU223" s="4357"/>
      <c r="CV223" s="4357"/>
      <c r="CW223" s="4357"/>
      <c r="CX223" s="4357"/>
      <c r="CY223" s="4357"/>
      <c r="CZ223" s="4357"/>
      <c r="DA223" s="4357"/>
      <c r="DB223" s="4357"/>
      <c r="DC223" s="4357"/>
      <c r="DD223" s="4357"/>
      <c r="DE223" s="4357"/>
      <c r="DF223" s="4357"/>
      <c r="DG223" s="4357"/>
      <c r="DH223" s="4357"/>
      <c r="DI223" s="4357"/>
      <c r="DJ223" s="4357"/>
      <c r="DK223" s="4357"/>
      <c r="DL223" s="4357"/>
      <c r="DM223" s="4357"/>
      <c r="DN223" s="4357"/>
      <c r="DO223" s="4357"/>
      <c r="DP223" s="4357"/>
      <c r="DQ223" s="4357"/>
      <c r="DR223" s="4357"/>
      <c r="DS223" s="4357"/>
      <c r="DT223" s="4357"/>
      <c r="DU223" s="4357"/>
      <c r="DV223" s="4357"/>
      <c r="DW223" s="4357"/>
      <c r="DX223" s="4357"/>
      <c r="DY223" s="4357"/>
      <c r="DZ223" s="4357"/>
      <c r="EA223" s="4357"/>
      <c r="EB223" s="4357"/>
      <c r="EC223" s="4357"/>
      <c r="ED223" s="4357"/>
      <c r="EE223" s="4357"/>
      <c r="EF223" s="4357"/>
    </row>
    <row r="224" spans="1:136" ht="16" x14ac:dyDescent="0.2">
      <c r="A224" t="str">
        <f>Languages!$B$655</f>
        <v>Inputs &amp; Invest.</v>
      </c>
      <c r="B224" t="s">
        <v>3242</v>
      </c>
      <c r="D224" t="str">
        <f>'9.Inputs'!C29</f>
        <v>Fungicides (tonnes of active ingredient)</v>
      </c>
      <c r="E224">
        <f>'9.Inputs'!V29</f>
        <v>0</v>
      </c>
      <c r="F224" s="388">
        <v>0</v>
      </c>
      <c r="G224" s="388">
        <v>0</v>
      </c>
      <c r="L224" s="388">
        <f>Inputs!P65-Inputs!O65</f>
        <v>0</v>
      </c>
      <c r="AB224" t="str">
        <f t="shared" si="471"/>
        <v>ok</v>
      </c>
      <c r="AC224">
        <f>IF('9.Inputs'!BE29&lt;&gt;0,'9.Inputs'!BE29,'9.Inputs'!BD29)</f>
        <v>1</v>
      </c>
      <c r="AD224">
        <f t="shared" si="502"/>
        <v>5</v>
      </c>
      <c r="AE224" s="4357" t="str">
        <f>'9.Inputs'!F29</f>
        <v>D</v>
      </c>
      <c r="AF224" s="4357" t="str">
        <f>'9.Inputs'!H29</f>
        <v>D</v>
      </c>
      <c r="AG224" s="4357" t="str">
        <f t="shared" si="505"/>
        <v>D</v>
      </c>
      <c r="AH224" s="4357">
        <f>((E224/(time_cap+((AD224-AC224+1)*VLOOKUP(AG224,list!$I$48:$K$50,3, FALSE))))*(AD224-AC224+1)*VLOOKUP(AG224,list!$I$48:$K$50,3, FALSE))</f>
        <v>0</v>
      </c>
      <c r="AI224" s="4357">
        <f>((E224/(time_cap+((AD224-AC224+1)*VLOOKUP(AG224,list!$I$48:$K$50,3, FALSE))))*time_cap)</f>
        <v>0</v>
      </c>
      <c r="AK224" s="4357">
        <f t="shared" ref="AK224:BP224" si="514">IFERROR(IF((time+time_cap)&lt;AK$2, 0,IF(AND(time+1&gt;=AL$2, $AC224&lt;AL$2), IF($AG224= "I", $AH224/($AD224-$AC224+1), $AH224/(($AD224*($AD224+1)/2)-(($AC224-1)*($AC224-1+1)/2))*AK$2), 0)+IF(IF(time+1&gt;=AL$2, $AI224/time_cap/(time+1)*AK$2, 0) = 0, $AI224/(time_cap),0)),0)</f>
        <v>0</v>
      </c>
      <c r="AL224" s="4357">
        <f t="shared" si="514"/>
        <v>0</v>
      </c>
      <c r="AM224" s="4357">
        <f t="shared" si="514"/>
        <v>0</v>
      </c>
      <c r="AN224" s="4357">
        <f t="shared" si="514"/>
        <v>0</v>
      </c>
      <c r="AO224" s="4357">
        <f t="shared" si="514"/>
        <v>0</v>
      </c>
      <c r="AP224" s="4357">
        <f t="shared" si="514"/>
        <v>0</v>
      </c>
      <c r="AQ224" s="4357">
        <f t="shared" si="514"/>
        <v>0</v>
      </c>
      <c r="AR224" s="4357">
        <f t="shared" si="514"/>
        <v>0</v>
      </c>
      <c r="AS224" s="4357">
        <f t="shared" si="514"/>
        <v>0</v>
      </c>
      <c r="AT224" s="4357">
        <f t="shared" si="514"/>
        <v>0</v>
      </c>
      <c r="AU224" s="4357">
        <f t="shared" si="514"/>
        <v>0</v>
      </c>
      <c r="AV224" s="4357">
        <f t="shared" si="514"/>
        <v>0</v>
      </c>
      <c r="AW224" s="4357">
        <f t="shared" si="514"/>
        <v>0</v>
      </c>
      <c r="AX224" s="4357">
        <f t="shared" si="514"/>
        <v>0</v>
      </c>
      <c r="AY224" s="4357">
        <f t="shared" si="514"/>
        <v>0</v>
      </c>
      <c r="AZ224" s="4357">
        <f t="shared" si="514"/>
        <v>0</v>
      </c>
      <c r="BA224" s="4357">
        <f t="shared" si="514"/>
        <v>0</v>
      </c>
      <c r="BB224" s="4357">
        <f t="shared" si="514"/>
        <v>0</v>
      </c>
      <c r="BC224" s="4357">
        <f t="shared" si="514"/>
        <v>0</v>
      </c>
      <c r="BD224" s="4357">
        <f t="shared" si="514"/>
        <v>0</v>
      </c>
      <c r="BE224" s="4357">
        <f t="shared" si="514"/>
        <v>0</v>
      </c>
      <c r="BF224" s="4357">
        <f t="shared" si="514"/>
        <v>0</v>
      </c>
      <c r="BG224" s="4357">
        <f t="shared" si="514"/>
        <v>0</v>
      </c>
      <c r="BH224" s="4357">
        <f t="shared" si="514"/>
        <v>0</v>
      </c>
      <c r="BI224" s="4357">
        <f t="shared" si="514"/>
        <v>0</v>
      </c>
      <c r="BJ224" s="4357">
        <f t="shared" si="514"/>
        <v>0</v>
      </c>
      <c r="BK224" s="4357">
        <f t="shared" si="514"/>
        <v>0</v>
      </c>
      <c r="BL224" s="4357">
        <f t="shared" si="514"/>
        <v>0</v>
      </c>
      <c r="BM224" s="4357">
        <f t="shared" si="514"/>
        <v>0</v>
      </c>
      <c r="BN224" s="4357">
        <f t="shared" si="514"/>
        <v>0</v>
      </c>
      <c r="BO224" s="4357">
        <f t="shared" si="514"/>
        <v>0</v>
      </c>
      <c r="BP224" s="4357">
        <f t="shared" si="514"/>
        <v>0</v>
      </c>
      <c r="BQ224" s="4357">
        <f t="shared" ref="BQ224:CH224" si="515">IFERROR(IF((time+time_cap)&lt;BQ$2, 0,IF(AND(time+1&gt;=BR$2, $AC224&lt;BR$2), IF($AG224= "I", $AH224/($AD224-$AC224+1), $AH224/(($AD224*($AD224+1)/2)-(($AC224-1)*($AC224-1+1)/2))*BQ$2), 0)+IF(IF(time+1&gt;=BR$2, $AI224/time_cap/(time+1)*BQ$2, 0) = 0, $AI224/(time_cap),0)),0)</f>
        <v>0</v>
      </c>
      <c r="BR224" s="4357">
        <f t="shared" si="515"/>
        <v>0</v>
      </c>
      <c r="BS224" s="4357">
        <f t="shared" si="515"/>
        <v>0</v>
      </c>
      <c r="BT224" s="4357">
        <f t="shared" si="515"/>
        <v>0</v>
      </c>
      <c r="BU224" s="4357">
        <f t="shared" si="515"/>
        <v>0</v>
      </c>
      <c r="BV224" s="4357">
        <f t="shared" si="515"/>
        <v>0</v>
      </c>
      <c r="BW224" s="4357">
        <f t="shared" si="515"/>
        <v>0</v>
      </c>
      <c r="BX224" s="4357">
        <f t="shared" si="515"/>
        <v>0</v>
      </c>
      <c r="BY224" s="4357">
        <f t="shared" si="515"/>
        <v>0</v>
      </c>
      <c r="BZ224" s="4357">
        <f t="shared" si="515"/>
        <v>0</v>
      </c>
      <c r="CA224" s="4357">
        <f t="shared" si="515"/>
        <v>0</v>
      </c>
      <c r="CB224" s="4357">
        <f t="shared" si="515"/>
        <v>0</v>
      </c>
      <c r="CC224" s="4357">
        <f t="shared" si="515"/>
        <v>0</v>
      </c>
      <c r="CD224" s="4357">
        <f t="shared" si="515"/>
        <v>0</v>
      </c>
      <c r="CE224" s="4357">
        <f t="shared" si="515"/>
        <v>0</v>
      </c>
      <c r="CF224" s="4357">
        <f t="shared" si="515"/>
        <v>0</v>
      </c>
      <c r="CG224" s="4357">
        <f t="shared" si="515"/>
        <v>0</v>
      </c>
      <c r="CH224" s="4357">
        <f t="shared" si="515"/>
        <v>0</v>
      </c>
      <c r="CI224" s="4357"/>
      <c r="CJ224" s="4357"/>
      <c r="CK224" s="4357"/>
      <c r="CL224" s="4357"/>
      <c r="CM224" s="4357"/>
      <c r="CN224" s="4357"/>
      <c r="CO224" s="4357"/>
      <c r="CP224" s="4357"/>
      <c r="CQ224" s="4357"/>
      <c r="CR224" s="4357"/>
      <c r="CS224" s="4357"/>
      <c r="CT224" s="4357"/>
      <c r="CU224" s="4357"/>
      <c r="CV224" s="4357"/>
      <c r="CW224" s="4357"/>
      <c r="CX224" s="4357"/>
      <c r="CY224" s="4357"/>
      <c r="CZ224" s="4357"/>
      <c r="DA224" s="4357"/>
      <c r="DB224" s="4357"/>
      <c r="DC224" s="4357"/>
      <c r="DD224" s="4357"/>
      <c r="DE224" s="4357"/>
      <c r="DF224" s="4357"/>
      <c r="DG224" s="4357"/>
      <c r="DH224" s="4357"/>
      <c r="DI224" s="4357"/>
      <c r="DJ224" s="4357"/>
      <c r="DK224" s="4357"/>
      <c r="DL224" s="4357"/>
      <c r="DM224" s="4357"/>
      <c r="DN224" s="4357"/>
      <c r="DO224" s="4357"/>
      <c r="DP224" s="4357"/>
      <c r="DQ224" s="4357"/>
      <c r="DR224" s="4357"/>
      <c r="DS224" s="4357"/>
      <c r="DT224" s="4357"/>
      <c r="DU224" s="4357"/>
      <c r="DV224" s="4357"/>
      <c r="DW224" s="4357"/>
      <c r="DX224" s="4357"/>
      <c r="DY224" s="4357"/>
      <c r="DZ224" s="4357"/>
      <c r="EA224" s="4357"/>
      <c r="EB224" s="4357"/>
      <c r="EC224" s="4357"/>
      <c r="ED224" s="4357"/>
      <c r="EE224" s="4357"/>
      <c r="EF224" s="4357"/>
    </row>
    <row r="225" spans="1:136" ht="16" x14ac:dyDescent="0.2">
      <c r="A225" t="str">
        <f>Languages!$B$655</f>
        <v>Inputs &amp; Invest.</v>
      </c>
      <c r="B225" t="s">
        <v>3242</v>
      </c>
      <c r="D225" t="str">
        <f>'9.Inputs'!C30</f>
        <v>Herbicides (tonnes of active ingredient)</v>
      </c>
      <c r="E225">
        <f>'9.Inputs'!V30</f>
        <v>0</v>
      </c>
      <c r="F225" s="388">
        <v>0</v>
      </c>
      <c r="G225" s="388">
        <v>0</v>
      </c>
      <c r="L225" s="388">
        <f>Inputs!P66-Inputs!O66</f>
        <v>0</v>
      </c>
      <c r="AB225" t="str">
        <f t="shared" si="471"/>
        <v>ok</v>
      </c>
      <c r="AC225">
        <f>IF('9.Inputs'!BE30&lt;&gt;0,'9.Inputs'!BE30,'9.Inputs'!BD30)</f>
        <v>1</v>
      </c>
      <c r="AD225">
        <f t="shared" si="502"/>
        <v>5</v>
      </c>
      <c r="AE225" s="4357" t="str">
        <f>'9.Inputs'!F30</f>
        <v>D</v>
      </c>
      <c r="AF225" s="4357" t="str">
        <f>'9.Inputs'!H30</f>
        <v>D</v>
      </c>
      <c r="AG225" s="4357" t="str">
        <f t="shared" si="505"/>
        <v>D</v>
      </c>
      <c r="AH225" s="4357">
        <f>((E225/(time_cap+((AD225-AC225+1)*VLOOKUP(AG225,list!$I$48:$K$50,3, FALSE))))*(AD225-AC225+1)*VLOOKUP(AG225,list!$I$48:$K$50,3, FALSE))</f>
        <v>0</v>
      </c>
      <c r="AI225" s="4357">
        <f>((E225/(time_cap+((AD225-AC225+1)*VLOOKUP(AG225,list!$I$48:$K$50,3, FALSE))))*time_cap)</f>
        <v>0</v>
      </c>
      <c r="AK225" s="4357">
        <f t="shared" ref="AK225:BP225" si="516">IFERROR(IF((time+time_cap)&lt;AK$2, 0,IF(AND(time+1&gt;=AL$2, $AC225&lt;AL$2), IF($AG225= "I", $AH225/($AD225-$AC225+1), $AH225/(($AD225*($AD225+1)/2)-(($AC225-1)*($AC225-1+1)/2))*AK$2), 0)+IF(IF(time+1&gt;=AL$2, $AI225/time_cap/(time+1)*AK$2, 0) = 0, $AI225/(time_cap),0)),0)</f>
        <v>0</v>
      </c>
      <c r="AL225" s="4357">
        <f t="shared" si="516"/>
        <v>0</v>
      </c>
      <c r="AM225" s="4357">
        <f t="shared" si="516"/>
        <v>0</v>
      </c>
      <c r="AN225" s="4357">
        <f t="shared" si="516"/>
        <v>0</v>
      </c>
      <c r="AO225" s="4357">
        <f t="shared" si="516"/>
        <v>0</v>
      </c>
      <c r="AP225" s="4357">
        <f t="shared" si="516"/>
        <v>0</v>
      </c>
      <c r="AQ225" s="4357">
        <f t="shared" si="516"/>
        <v>0</v>
      </c>
      <c r="AR225" s="4357">
        <f t="shared" si="516"/>
        <v>0</v>
      </c>
      <c r="AS225" s="4357">
        <f t="shared" si="516"/>
        <v>0</v>
      </c>
      <c r="AT225" s="4357">
        <f t="shared" si="516"/>
        <v>0</v>
      </c>
      <c r="AU225" s="4357">
        <f t="shared" si="516"/>
        <v>0</v>
      </c>
      <c r="AV225" s="4357">
        <f t="shared" si="516"/>
        <v>0</v>
      </c>
      <c r="AW225" s="4357">
        <f t="shared" si="516"/>
        <v>0</v>
      </c>
      <c r="AX225" s="4357">
        <f t="shared" si="516"/>
        <v>0</v>
      </c>
      <c r="AY225" s="4357">
        <f t="shared" si="516"/>
        <v>0</v>
      </c>
      <c r="AZ225" s="4357">
        <f t="shared" si="516"/>
        <v>0</v>
      </c>
      <c r="BA225" s="4357">
        <f t="shared" si="516"/>
        <v>0</v>
      </c>
      <c r="BB225" s="4357">
        <f t="shared" si="516"/>
        <v>0</v>
      </c>
      <c r="BC225" s="4357">
        <f t="shared" si="516"/>
        <v>0</v>
      </c>
      <c r="BD225" s="4357">
        <f t="shared" si="516"/>
        <v>0</v>
      </c>
      <c r="BE225" s="4357">
        <f t="shared" si="516"/>
        <v>0</v>
      </c>
      <c r="BF225" s="4357">
        <f t="shared" si="516"/>
        <v>0</v>
      </c>
      <c r="BG225" s="4357">
        <f t="shared" si="516"/>
        <v>0</v>
      </c>
      <c r="BH225" s="4357">
        <f t="shared" si="516"/>
        <v>0</v>
      </c>
      <c r="BI225" s="4357">
        <f t="shared" si="516"/>
        <v>0</v>
      </c>
      <c r="BJ225" s="4357">
        <f t="shared" si="516"/>
        <v>0</v>
      </c>
      <c r="BK225" s="4357">
        <f t="shared" si="516"/>
        <v>0</v>
      </c>
      <c r="BL225" s="4357">
        <f t="shared" si="516"/>
        <v>0</v>
      </c>
      <c r="BM225" s="4357">
        <f t="shared" si="516"/>
        <v>0</v>
      </c>
      <c r="BN225" s="4357">
        <f t="shared" si="516"/>
        <v>0</v>
      </c>
      <c r="BO225" s="4357">
        <f t="shared" si="516"/>
        <v>0</v>
      </c>
      <c r="BP225" s="4357">
        <f t="shared" si="516"/>
        <v>0</v>
      </c>
      <c r="BQ225" s="4357">
        <f t="shared" ref="BQ225:CH225" si="517">IFERROR(IF((time+time_cap)&lt;BQ$2, 0,IF(AND(time+1&gt;=BR$2, $AC225&lt;BR$2), IF($AG225= "I", $AH225/($AD225-$AC225+1), $AH225/(($AD225*($AD225+1)/2)-(($AC225-1)*($AC225-1+1)/2))*BQ$2), 0)+IF(IF(time+1&gt;=BR$2, $AI225/time_cap/(time+1)*BQ$2, 0) = 0, $AI225/(time_cap),0)),0)</f>
        <v>0</v>
      </c>
      <c r="BR225" s="4357">
        <f t="shared" si="517"/>
        <v>0</v>
      </c>
      <c r="BS225" s="4357">
        <f t="shared" si="517"/>
        <v>0</v>
      </c>
      <c r="BT225" s="4357">
        <f t="shared" si="517"/>
        <v>0</v>
      </c>
      <c r="BU225" s="4357">
        <f t="shared" si="517"/>
        <v>0</v>
      </c>
      <c r="BV225" s="4357">
        <f t="shared" si="517"/>
        <v>0</v>
      </c>
      <c r="BW225" s="4357">
        <f t="shared" si="517"/>
        <v>0</v>
      </c>
      <c r="BX225" s="4357">
        <f t="shared" si="517"/>
        <v>0</v>
      </c>
      <c r="BY225" s="4357">
        <f t="shared" si="517"/>
        <v>0</v>
      </c>
      <c r="BZ225" s="4357">
        <f t="shared" si="517"/>
        <v>0</v>
      </c>
      <c r="CA225" s="4357">
        <f t="shared" si="517"/>
        <v>0</v>
      </c>
      <c r="CB225" s="4357">
        <f t="shared" si="517"/>
        <v>0</v>
      </c>
      <c r="CC225" s="4357">
        <f t="shared" si="517"/>
        <v>0</v>
      </c>
      <c r="CD225" s="4357">
        <f t="shared" si="517"/>
        <v>0</v>
      </c>
      <c r="CE225" s="4357">
        <f t="shared" si="517"/>
        <v>0</v>
      </c>
      <c r="CF225" s="4357">
        <f t="shared" si="517"/>
        <v>0</v>
      </c>
      <c r="CG225" s="4357">
        <f t="shared" si="517"/>
        <v>0</v>
      </c>
      <c r="CH225" s="4357">
        <f t="shared" si="517"/>
        <v>0</v>
      </c>
      <c r="CI225" s="4357"/>
      <c r="CJ225" s="4357"/>
      <c r="CK225" s="4357"/>
      <c r="CL225" s="4357"/>
      <c r="CM225" s="4357"/>
      <c r="CN225" s="4357"/>
      <c r="CO225" s="4357"/>
      <c r="CP225" s="4357"/>
      <c r="CQ225" s="4357"/>
      <c r="CR225" s="4357"/>
      <c r="CS225" s="4357"/>
      <c r="CT225" s="4357"/>
      <c r="CU225" s="4357"/>
      <c r="CV225" s="4357"/>
      <c r="CW225" s="4357"/>
      <c r="CX225" s="4357"/>
      <c r="CY225" s="4357"/>
      <c r="CZ225" s="4357"/>
      <c r="DA225" s="4357"/>
      <c r="DB225" s="4357"/>
      <c r="DC225" s="4357"/>
      <c r="DD225" s="4357"/>
      <c r="DE225" s="4357"/>
      <c r="DF225" s="4357"/>
      <c r="DG225" s="4357"/>
      <c r="DH225" s="4357"/>
      <c r="DI225" s="4357"/>
      <c r="DJ225" s="4357"/>
      <c r="DK225" s="4357"/>
      <c r="DL225" s="4357"/>
      <c r="DM225" s="4357"/>
      <c r="DN225" s="4357"/>
      <c r="DO225" s="4357"/>
      <c r="DP225" s="4357"/>
      <c r="DQ225" s="4357"/>
      <c r="DR225" s="4357"/>
      <c r="DS225" s="4357"/>
      <c r="DT225" s="4357"/>
      <c r="DU225" s="4357"/>
      <c r="DV225" s="4357"/>
      <c r="DW225" s="4357"/>
      <c r="DX225" s="4357"/>
      <c r="DY225" s="4357"/>
      <c r="DZ225" s="4357"/>
      <c r="EA225" s="4357"/>
      <c r="EB225" s="4357"/>
      <c r="EC225" s="4357"/>
      <c r="ED225" s="4357"/>
      <c r="EE225" s="4357"/>
      <c r="EF225" s="4357"/>
    </row>
    <row r="226" spans="1:136" ht="16" x14ac:dyDescent="0.2">
      <c r="A226" t="str">
        <f>Languages!$B$655</f>
        <v>Inputs &amp; Invest.</v>
      </c>
      <c r="B226" t="s">
        <v>3242</v>
      </c>
      <c r="D226" t="str">
        <f>'9.Inputs'!C31</f>
        <v>Insecticides (tonnes of active ingredient)</v>
      </c>
      <c r="E226">
        <f>'9.Inputs'!V31</f>
        <v>0</v>
      </c>
      <c r="F226" s="388">
        <v>0</v>
      </c>
      <c r="G226" s="388">
        <v>0</v>
      </c>
      <c r="L226" s="388">
        <f>Inputs!P67-Inputs!O67</f>
        <v>0</v>
      </c>
      <c r="AB226" t="str">
        <f t="shared" si="471"/>
        <v>ok</v>
      </c>
      <c r="AC226">
        <f>IF('9.Inputs'!BE31&lt;&gt;0,'9.Inputs'!BE31,'9.Inputs'!BD31)</f>
        <v>1</v>
      </c>
      <c r="AD226">
        <f t="shared" si="502"/>
        <v>5</v>
      </c>
      <c r="AE226" s="4357" t="str">
        <f>'9.Inputs'!F31</f>
        <v>D</v>
      </c>
      <c r="AF226" s="4357" t="str">
        <f>'9.Inputs'!H31</f>
        <v>D</v>
      </c>
      <c r="AG226" s="4357" t="str">
        <f t="shared" si="505"/>
        <v>D</v>
      </c>
      <c r="AH226" s="4357">
        <f>((E226/(time_cap+((AD226-AC226+1)*VLOOKUP(AG226,list!$I$48:$K$50,3, FALSE))))*(AD226-AC226+1)*VLOOKUP(AG226,list!$I$48:$K$50,3, FALSE))</f>
        <v>0</v>
      </c>
      <c r="AI226" s="4357">
        <f>((E226/(time_cap+((AD226-AC226+1)*VLOOKUP(AG226,list!$I$48:$K$50,3, FALSE))))*time_cap)</f>
        <v>0</v>
      </c>
      <c r="AK226" s="4357">
        <f t="shared" ref="AK226:BP226" si="518">IFERROR(IF((time+time_cap)&lt;AK$2, 0,IF(AND(time+1&gt;=AL$2, $AC226&lt;AL$2), IF($AG226= "I", $AH226/($AD226-$AC226+1), $AH226/(($AD226*($AD226+1)/2)-(($AC226-1)*($AC226-1+1)/2))*AK$2), 0)+IF(IF(time+1&gt;=AL$2, $AI226/time_cap/(time+1)*AK$2, 0) = 0, $AI226/(time_cap),0)),0)</f>
        <v>0</v>
      </c>
      <c r="AL226" s="4357">
        <f t="shared" si="518"/>
        <v>0</v>
      </c>
      <c r="AM226" s="4357">
        <f t="shared" si="518"/>
        <v>0</v>
      </c>
      <c r="AN226" s="4357">
        <f t="shared" si="518"/>
        <v>0</v>
      </c>
      <c r="AO226" s="4357">
        <f t="shared" si="518"/>
        <v>0</v>
      </c>
      <c r="AP226" s="4357">
        <f t="shared" si="518"/>
        <v>0</v>
      </c>
      <c r="AQ226" s="4357">
        <f t="shared" si="518"/>
        <v>0</v>
      </c>
      <c r="AR226" s="4357">
        <f t="shared" si="518"/>
        <v>0</v>
      </c>
      <c r="AS226" s="4357">
        <f t="shared" si="518"/>
        <v>0</v>
      </c>
      <c r="AT226" s="4357">
        <f t="shared" si="518"/>
        <v>0</v>
      </c>
      <c r="AU226" s="4357">
        <f t="shared" si="518"/>
        <v>0</v>
      </c>
      <c r="AV226" s="4357">
        <f t="shared" si="518"/>
        <v>0</v>
      </c>
      <c r="AW226" s="4357">
        <f t="shared" si="518"/>
        <v>0</v>
      </c>
      <c r="AX226" s="4357">
        <f t="shared" si="518"/>
        <v>0</v>
      </c>
      <c r="AY226" s="4357">
        <f t="shared" si="518"/>
        <v>0</v>
      </c>
      <c r="AZ226" s="4357">
        <f t="shared" si="518"/>
        <v>0</v>
      </c>
      <c r="BA226" s="4357">
        <f t="shared" si="518"/>
        <v>0</v>
      </c>
      <c r="BB226" s="4357">
        <f t="shared" si="518"/>
        <v>0</v>
      </c>
      <c r="BC226" s="4357">
        <f t="shared" si="518"/>
        <v>0</v>
      </c>
      <c r="BD226" s="4357">
        <f t="shared" si="518"/>
        <v>0</v>
      </c>
      <c r="BE226" s="4357">
        <f t="shared" si="518"/>
        <v>0</v>
      </c>
      <c r="BF226" s="4357">
        <f t="shared" si="518"/>
        <v>0</v>
      </c>
      <c r="BG226" s="4357">
        <f t="shared" si="518"/>
        <v>0</v>
      </c>
      <c r="BH226" s="4357">
        <f t="shared" si="518"/>
        <v>0</v>
      </c>
      <c r="BI226" s="4357">
        <f t="shared" si="518"/>
        <v>0</v>
      </c>
      <c r="BJ226" s="4357">
        <f t="shared" si="518"/>
        <v>0</v>
      </c>
      <c r="BK226" s="4357">
        <f t="shared" si="518"/>
        <v>0</v>
      </c>
      <c r="BL226" s="4357">
        <f t="shared" si="518"/>
        <v>0</v>
      </c>
      <c r="BM226" s="4357">
        <f t="shared" si="518"/>
        <v>0</v>
      </c>
      <c r="BN226" s="4357">
        <f t="shared" si="518"/>
        <v>0</v>
      </c>
      <c r="BO226" s="4357">
        <f t="shared" si="518"/>
        <v>0</v>
      </c>
      <c r="BP226" s="4357">
        <f t="shared" si="518"/>
        <v>0</v>
      </c>
      <c r="BQ226" s="4357">
        <f t="shared" ref="BQ226:CH226" si="519">IFERROR(IF((time+time_cap)&lt;BQ$2, 0,IF(AND(time+1&gt;=BR$2, $AC226&lt;BR$2), IF($AG226= "I", $AH226/($AD226-$AC226+1), $AH226/(($AD226*($AD226+1)/2)-(($AC226-1)*($AC226-1+1)/2))*BQ$2), 0)+IF(IF(time+1&gt;=BR$2, $AI226/time_cap/(time+1)*BQ$2, 0) = 0, $AI226/(time_cap),0)),0)</f>
        <v>0</v>
      </c>
      <c r="BR226" s="4357">
        <f t="shared" si="519"/>
        <v>0</v>
      </c>
      <c r="BS226" s="4357">
        <f t="shared" si="519"/>
        <v>0</v>
      </c>
      <c r="BT226" s="4357">
        <f t="shared" si="519"/>
        <v>0</v>
      </c>
      <c r="BU226" s="4357">
        <f t="shared" si="519"/>
        <v>0</v>
      </c>
      <c r="BV226" s="4357">
        <f t="shared" si="519"/>
        <v>0</v>
      </c>
      <c r="BW226" s="4357">
        <f t="shared" si="519"/>
        <v>0</v>
      </c>
      <c r="BX226" s="4357">
        <f t="shared" si="519"/>
        <v>0</v>
      </c>
      <c r="BY226" s="4357">
        <f t="shared" si="519"/>
        <v>0</v>
      </c>
      <c r="BZ226" s="4357">
        <f t="shared" si="519"/>
        <v>0</v>
      </c>
      <c r="CA226" s="4357">
        <f t="shared" si="519"/>
        <v>0</v>
      </c>
      <c r="CB226" s="4357">
        <f t="shared" si="519"/>
        <v>0</v>
      </c>
      <c r="CC226" s="4357">
        <f t="shared" si="519"/>
        <v>0</v>
      </c>
      <c r="CD226" s="4357">
        <f t="shared" si="519"/>
        <v>0</v>
      </c>
      <c r="CE226" s="4357">
        <f t="shared" si="519"/>
        <v>0</v>
      </c>
      <c r="CF226" s="4357">
        <f t="shared" si="519"/>
        <v>0</v>
      </c>
      <c r="CG226" s="4357">
        <f t="shared" si="519"/>
        <v>0</v>
      </c>
      <c r="CH226" s="4357">
        <f t="shared" si="519"/>
        <v>0</v>
      </c>
      <c r="CI226" s="4357"/>
      <c r="CJ226" s="4357"/>
      <c r="CK226" s="4357"/>
      <c r="CL226" s="4357"/>
      <c r="CM226" s="4357"/>
      <c r="CN226" s="4357"/>
      <c r="CO226" s="4357"/>
      <c r="CP226" s="4357"/>
      <c r="CQ226" s="4357"/>
      <c r="CR226" s="4357"/>
      <c r="CS226" s="4357"/>
      <c r="CT226" s="4357"/>
      <c r="CU226" s="4357"/>
      <c r="CV226" s="4357"/>
      <c r="CW226" s="4357"/>
      <c r="CX226" s="4357"/>
      <c r="CY226" s="4357"/>
      <c r="CZ226" s="4357"/>
      <c r="DA226" s="4357"/>
      <c r="DB226" s="4357"/>
      <c r="DC226" s="4357"/>
      <c r="DD226" s="4357"/>
      <c r="DE226" s="4357"/>
      <c r="DF226" s="4357"/>
      <c r="DG226" s="4357"/>
      <c r="DH226" s="4357"/>
      <c r="DI226" s="4357"/>
      <c r="DJ226" s="4357"/>
      <c r="DK226" s="4357"/>
      <c r="DL226" s="4357"/>
      <c r="DM226" s="4357"/>
      <c r="DN226" s="4357"/>
      <c r="DO226" s="4357"/>
      <c r="DP226" s="4357"/>
      <c r="DQ226" s="4357"/>
      <c r="DR226" s="4357"/>
      <c r="DS226" s="4357"/>
      <c r="DT226" s="4357"/>
      <c r="DU226" s="4357"/>
      <c r="DV226" s="4357"/>
      <c r="DW226" s="4357"/>
      <c r="DX226" s="4357"/>
      <c r="DY226" s="4357"/>
      <c r="DZ226" s="4357"/>
      <c r="EA226" s="4357"/>
      <c r="EB226" s="4357"/>
      <c r="EC226" s="4357"/>
      <c r="ED226" s="4357"/>
      <c r="EE226" s="4357"/>
      <c r="EF226" s="4357"/>
    </row>
    <row r="227" spans="1:136" ht="16" x14ac:dyDescent="0.2">
      <c r="A227" t="str">
        <f>Languages!$B$655</f>
        <v>Inputs &amp; Invest.</v>
      </c>
      <c r="B227" t="s">
        <v>3242</v>
      </c>
      <c r="D227" t="str">
        <f>'9.Inputs'!C33</f>
        <v>Animal feed (in tonnes per year)</v>
      </c>
      <c r="E227">
        <f>'9.Inputs'!V34</f>
        <v>0</v>
      </c>
      <c r="F227" s="388">
        <v>0</v>
      </c>
      <c r="G227" s="388">
        <v>0</v>
      </c>
      <c r="L227" s="388">
        <f>Inputs!P71-Inputs!O71</f>
        <v>0</v>
      </c>
      <c r="AB227" t="str">
        <f t="shared" si="471"/>
        <v>ok</v>
      </c>
      <c r="AC227">
        <f>IF('9.Inputs'!BE34&lt;&gt;0,'9.Inputs'!BE34,'9.Inputs'!BD34)</f>
        <v>1</v>
      </c>
      <c r="AD227">
        <f t="shared" si="502"/>
        <v>5</v>
      </c>
      <c r="AE227" s="4357" t="str">
        <f>'9.Inputs'!F34</f>
        <v>D</v>
      </c>
      <c r="AF227" s="4357" t="str">
        <f>'9.Inputs'!H34</f>
        <v>D</v>
      </c>
      <c r="AG227" s="4357" t="str">
        <f t="shared" si="505"/>
        <v>D</v>
      </c>
      <c r="AH227" s="4357">
        <f>((E227/(time_cap+((AD227-AC227+1)*VLOOKUP(AG227,list!$I$48:$K$50,3, FALSE))))*(AD227-AC227+1)*VLOOKUP(AG227,list!$I$48:$K$50,3, FALSE))</f>
        <v>0</v>
      </c>
      <c r="AI227" s="4357">
        <f>((E227/(time_cap+((AD227-AC227+1)*VLOOKUP(AG227,list!$I$48:$K$50,3, FALSE))))*time_cap)</f>
        <v>0</v>
      </c>
      <c r="AK227" s="4357">
        <f t="shared" ref="AK227:BP227" si="520">IFERROR(IF((time+time_cap)&lt;AK$2, 0,IF(AND(time+1&gt;=AL$2, $AC227&lt;AL$2), IF($AG227= "I", $AH227/($AD227-$AC227+1), $AH227/(($AD227*($AD227+1)/2)-(($AC227-1)*($AC227-1+1)/2))*AK$2), 0)+IF(IF(time+1&gt;=AL$2, $AI227/time_cap/(time+1)*AK$2, 0) = 0, $AI227/(time_cap),0)),0)</f>
        <v>0</v>
      </c>
      <c r="AL227" s="4357">
        <f t="shared" si="520"/>
        <v>0</v>
      </c>
      <c r="AM227" s="4357">
        <f t="shared" si="520"/>
        <v>0</v>
      </c>
      <c r="AN227" s="4357">
        <f t="shared" si="520"/>
        <v>0</v>
      </c>
      <c r="AO227" s="4357">
        <f t="shared" si="520"/>
        <v>0</v>
      </c>
      <c r="AP227" s="4357">
        <f t="shared" si="520"/>
        <v>0</v>
      </c>
      <c r="AQ227" s="4357">
        <f t="shared" si="520"/>
        <v>0</v>
      </c>
      <c r="AR227" s="4357">
        <f t="shared" si="520"/>
        <v>0</v>
      </c>
      <c r="AS227" s="4357">
        <f t="shared" si="520"/>
        <v>0</v>
      </c>
      <c r="AT227" s="4357">
        <f t="shared" si="520"/>
        <v>0</v>
      </c>
      <c r="AU227" s="4357">
        <f t="shared" si="520"/>
        <v>0</v>
      </c>
      <c r="AV227" s="4357">
        <f t="shared" si="520"/>
        <v>0</v>
      </c>
      <c r="AW227" s="4357">
        <f t="shared" si="520"/>
        <v>0</v>
      </c>
      <c r="AX227" s="4357">
        <f t="shared" si="520"/>
        <v>0</v>
      </c>
      <c r="AY227" s="4357">
        <f t="shared" si="520"/>
        <v>0</v>
      </c>
      <c r="AZ227" s="4357">
        <f t="shared" si="520"/>
        <v>0</v>
      </c>
      <c r="BA227" s="4357">
        <f t="shared" si="520"/>
        <v>0</v>
      </c>
      <c r="BB227" s="4357">
        <f t="shared" si="520"/>
        <v>0</v>
      </c>
      <c r="BC227" s="4357">
        <f t="shared" si="520"/>
        <v>0</v>
      </c>
      <c r="BD227" s="4357">
        <f t="shared" si="520"/>
        <v>0</v>
      </c>
      <c r="BE227" s="4357">
        <f t="shared" si="520"/>
        <v>0</v>
      </c>
      <c r="BF227" s="4357">
        <f t="shared" si="520"/>
        <v>0</v>
      </c>
      <c r="BG227" s="4357">
        <f t="shared" si="520"/>
        <v>0</v>
      </c>
      <c r="BH227" s="4357">
        <f t="shared" si="520"/>
        <v>0</v>
      </c>
      <c r="BI227" s="4357">
        <f t="shared" si="520"/>
        <v>0</v>
      </c>
      <c r="BJ227" s="4357">
        <f t="shared" si="520"/>
        <v>0</v>
      </c>
      <c r="BK227" s="4357">
        <f t="shared" si="520"/>
        <v>0</v>
      </c>
      <c r="BL227" s="4357">
        <f t="shared" si="520"/>
        <v>0</v>
      </c>
      <c r="BM227" s="4357">
        <f t="shared" si="520"/>
        <v>0</v>
      </c>
      <c r="BN227" s="4357">
        <f t="shared" si="520"/>
        <v>0</v>
      </c>
      <c r="BO227" s="4357">
        <f t="shared" si="520"/>
        <v>0</v>
      </c>
      <c r="BP227" s="4357">
        <f t="shared" si="520"/>
        <v>0</v>
      </c>
      <c r="BQ227" s="4357">
        <f t="shared" ref="BQ227:CH227" si="521">IFERROR(IF((time+time_cap)&lt;BQ$2, 0,IF(AND(time+1&gt;=BR$2, $AC227&lt;BR$2), IF($AG227= "I", $AH227/($AD227-$AC227+1), $AH227/(($AD227*($AD227+1)/2)-(($AC227-1)*($AC227-1+1)/2))*BQ$2), 0)+IF(IF(time+1&gt;=BR$2, $AI227/time_cap/(time+1)*BQ$2, 0) = 0, $AI227/(time_cap),0)),0)</f>
        <v>0</v>
      </c>
      <c r="BR227" s="4357">
        <f t="shared" si="521"/>
        <v>0</v>
      </c>
      <c r="BS227" s="4357">
        <f t="shared" si="521"/>
        <v>0</v>
      </c>
      <c r="BT227" s="4357">
        <f t="shared" si="521"/>
        <v>0</v>
      </c>
      <c r="BU227" s="4357">
        <f t="shared" si="521"/>
        <v>0</v>
      </c>
      <c r="BV227" s="4357">
        <f t="shared" si="521"/>
        <v>0</v>
      </c>
      <c r="BW227" s="4357">
        <f t="shared" si="521"/>
        <v>0</v>
      </c>
      <c r="BX227" s="4357">
        <f t="shared" si="521"/>
        <v>0</v>
      </c>
      <c r="BY227" s="4357">
        <f t="shared" si="521"/>
        <v>0</v>
      </c>
      <c r="BZ227" s="4357">
        <f t="shared" si="521"/>
        <v>0</v>
      </c>
      <c r="CA227" s="4357">
        <f t="shared" si="521"/>
        <v>0</v>
      </c>
      <c r="CB227" s="4357">
        <f t="shared" si="521"/>
        <v>0</v>
      </c>
      <c r="CC227" s="4357">
        <f t="shared" si="521"/>
        <v>0</v>
      </c>
      <c r="CD227" s="4357">
        <f t="shared" si="521"/>
        <v>0</v>
      </c>
      <c r="CE227" s="4357">
        <f t="shared" si="521"/>
        <v>0</v>
      </c>
      <c r="CF227" s="4357">
        <f t="shared" si="521"/>
        <v>0</v>
      </c>
      <c r="CG227" s="4357">
        <f t="shared" si="521"/>
        <v>0</v>
      </c>
      <c r="CH227" s="4357">
        <f t="shared" si="521"/>
        <v>0</v>
      </c>
      <c r="CI227" s="4357"/>
      <c r="CJ227" s="4357"/>
      <c r="CK227" s="4357"/>
      <c r="CL227" s="4357"/>
      <c r="CM227" s="4357"/>
      <c r="CN227" s="4357"/>
      <c r="CO227" s="4357"/>
      <c r="CP227" s="4357"/>
      <c r="CQ227" s="4357"/>
      <c r="CR227" s="4357"/>
      <c r="CS227" s="4357"/>
      <c r="CT227" s="4357"/>
      <c r="CU227" s="4357"/>
      <c r="CV227" s="4357"/>
      <c r="CW227" s="4357"/>
      <c r="CX227" s="4357"/>
      <c r="CY227" s="4357"/>
      <c r="CZ227" s="4357"/>
      <c r="DA227" s="4357"/>
      <c r="DB227" s="4357"/>
      <c r="DC227" s="4357"/>
      <c r="DD227" s="4357"/>
      <c r="DE227" s="4357"/>
      <c r="DF227" s="4357"/>
      <c r="DG227" s="4357"/>
      <c r="DH227" s="4357"/>
      <c r="DI227" s="4357"/>
      <c r="DJ227" s="4357"/>
      <c r="DK227" s="4357"/>
      <c r="DL227" s="4357"/>
      <c r="DM227" s="4357"/>
      <c r="DN227" s="4357"/>
      <c r="DO227" s="4357"/>
      <c r="DP227" s="4357"/>
      <c r="DQ227" s="4357"/>
      <c r="DR227" s="4357"/>
      <c r="DS227" s="4357"/>
      <c r="DT227" s="4357"/>
      <c r="DU227" s="4357"/>
      <c r="DV227" s="4357"/>
      <c r="DW227" s="4357"/>
      <c r="DX227" s="4357"/>
      <c r="DY227" s="4357"/>
      <c r="DZ227" s="4357"/>
      <c r="EA227" s="4357"/>
      <c r="EB227" s="4357"/>
      <c r="EC227" s="4357"/>
      <c r="ED227" s="4357"/>
      <c r="EE227" s="4357"/>
      <c r="EF227" s="4357"/>
    </row>
    <row r="228" spans="1:136" ht="16" x14ac:dyDescent="0.2">
      <c r="A228" t="str">
        <f>Languages!$B$655</f>
        <v>Inputs &amp; Invest.</v>
      </c>
      <c r="B228" t="s">
        <v>3243</v>
      </c>
      <c r="D228" t="str">
        <f>'9.Inputs'!$C$49</f>
        <v>Please select</v>
      </c>
      <c r="E228">
        <f>'9.Inputs'!V49</f>
        <v>0</v>
      </c>
      <c r="F228" s="388">
        <v>0</v>
      </c>
      <c r="G228" s="388">
        <v>0</v>
      </c>
      <c r="L228" s="388">
        <f>Inputs!P82-Inputs!O82</f>
        <v>0</v>
      </c>
      <c r="AB228" t="str">
        <f t="shared" si="471"/>
        <v>ok</v>
      </c>
      <c r="AC228">
        <f>IF('9.Inputs'!BE47&lt;&gt;0,'9.Inputs'!BE47,'9.Inputs'!BD47)</f>
        <v>1</v>
      </c>
      <c r="AD228">
        <f t="shared" si="502"/>
        <v>5</v>
      </c>
      <c r="AE228" s="4357" t="str">
        <f>'9.Inputs'!F49</f>
        <v>D</v>
      </c>
      <c r="AF228" s="4357" t="str">
        <f>'9.Inputs'!H49</f>
        <v>D</v>
      </c>
      <c r="AG228" s="4357" t="str">
        <f t="shared" si="505"/>
        <v>D</v>
      </c>
      <c r="AH228" s="4357">
        <f>((E228/(time_cap+((AD228-AC228+1)*VLOOKUP(AG228,list!$I$48:$K$50,3, FALSE))))*(AD228-AC228+1)*VLOOKUP(AG228,list!$I$48:$K$50,3, FALSE))</f>
        <v>0</v>
      </c>
      <c r="AI228" s="4357">
        <f>((E228/(time_cap+((AD228-AC228+1)*VLOOKUP(AG228,list!$I$48:$K$50,3, FALSE))))*time_cap)</f>
        <v>0</v>
      </c>
      <c r="AK228" s="4357">
        <f t="shared" ref="AK228:BP228" si="522">IFERROR(IF((time+time_cap)&lt;AK$2, 0,IF(AND(time+1&gt;=AL$2, $AC228&lt;AL$2), IF($AG228= "I", $AH228/($AD228-$AC228+1), $AH228/(($AD228*($AD228+1)/2)-(($AC228-1)*($AC228-1+1)/2))*AK$2), 0)+IF(IF(time+1&gt;=AL$2, $AI228/time_cap/(time+1)*AK$2, 0) = 0, $AI228/(time_cap),0)),0)</f>
        <v>0</v>
      </c>
      <c r="AL228" s="4357">
        <f t="shared" si="522"/>
        <v>0</v>
      </c>
      <c r="AM228" s="4357">
        <f t="shared" si="522"/>
        <v>0</v>
      </c>
      <c r="AN228" s="4357">
        <f t="shared" si="522"/>
        <v>0</v>
      </c>
      <c r="AO228" s="4357">
        <f t="shared" si="522"/>
        <v>0</v>
      </c>
      <c r="AP228" s="4357">
        <f t="shared" si="522"/>
        <v>0</v>
      </c>
      <c r="AQ228" s="4357">
        <f t="shared" si="522"/>
        <v>0</v>
      </c>
      <c r="AR228" s="4357">
        <f t="shared" si="522"/>
        <v>0</v>
      </c>
      <c r="AS228" s="4357">
        <f t="shared" si="522"/>
        <v>0</v>
      </c>
      <c r="AT228" s="4357">
        <f t="shared" si="522"/>
        <v>0</v>
      </c>
      <c r="AU228" s="4357">
        <f t="shared" si="522"/>
        <v>0</v>
      </c>
      <c r="AV228" s="4357">
        <f t="shared" si="522"/>
        <v>0</v>
      </c>
      <c r="AW228" s="4357">
        <f t="shared" si="522"/>
        <v>0</v>
      </c>
      <c r="AX228" s="4357">
        <f t="shared" si="522"/>
        <v>0</v>
      </c>
      <c r="AY228" s="4357">
        <f t="shared" si="522"/>
        <v>0</v>
      </c>
      <c r="AZ228" s="4357">
        <f t="shared" si="522"/>
        <v>0</v>
      </c>
      <c r="BA228" s="4357">
        <f t="shared" si="522"/>
        <v>0</v>
      </c>
      <c r="BB228" s="4357">
        <f t="shared" si="522"/>
        <v>0</v>
      </c>
      <c r="BC228" s="4357">
        <f t="shared" si="522"/>
        <v>0</v>
      </c>
      <c r="BD228" s="4357">
        <f t="shared" si="522"/>
        <v>0</v>
      </c>
      <c r="BE228" s="4357">
        <f t="shared" si="522"/>
        <v>0</v>
      </c>
      <c r="BF228" s="4357">
        <f t="shared" si="522"/>
        <v>0</v>
      </c>
      <c r="BG228" s="4357">
        <f t="shared" si="522"/>
        <v>0</v>
      </c>
      <c r="BH228" s="4357">
        <f t="shared" si="522"/>
        <v>0</v>
      </c>
      <c r="BI228" s="4357">
        <f t="shared" si="522"/>
        <v>0</v>
      </c>
      <c r="BJ228" s="4357">
        <f t="shared" si="522"/>
        <v>0</v>
      </c>
      <c r="BK228" s="4357">
        <f t="shared" si="522"/>
        <v>0</v>
      </c>
      <c r="BL228" s="4357">
        <f t="shared" si="522"/>
        <v>0</v>
      </c>
      <c r="BM228" s="4357">
        <f t="shared" si="522"/>
        <v>0</v>
      </c>
      <c r="BN228" s="4357">
        <f t="shared" si="522"/>
        <v>0</v>
      </c>
      <c r="BO228" s="4357">
        <f t="shared" si="522"/>
        <v>0</v>
      </c>
      <c r="BP228" s="4357">
        <f t="shared" si="522"/>
        <v>0</v>
      </c>
      <c r="BQ228" s="4357">
        <f t="shared" ref="BQ228:CH228" si="523">IFERROR(IF((time+time_cap)&lt;BQ$2, 0,IF(AND(time+1&gt;=BR$2, $AC228&lt;BR$2), IF($AG228= "I", $AH228/($AD228-$AC228+1), $AH228/(($AD228*($AD228+1)/2)-(($AC228-1)*($AC228-1+1)/2))*BQ$2), 0)+IF(IF(time+1&gt;=BR$2, $AI228/time_cap/(time+1)*BQ$2, 0) = 0, $AI228/(time_cap),0)),0)</f>
        <v>0</v>
      </c>
      <c r="BR228" s="4357">
        <f t="shared" si="523"/>
        <v>0</v>
      </c>
      <c r="BS228" s="4357">
        <f t="shared" si="523"/>
        <v>0</v>
      </c>
      <c r="BT228" s="4357">
        <f t="shared" si="523"/>
        <v>0</v>
      </c>
      <c r="BU228" s="4357">
        <f t="shared" si="523"/>
        <v>0</v>
      </c>
      <c r="BV228" s="4357">
        <f t="shared" si="523"/>
        <v>0</v>
      </c>
      <c r="BW228" s="4357">
        <f t="shared" si="523"/>
        <v>0</v>
      </c>
      <c r="BX228" s="4357">
        <f t="shared" si="523"/>
        <v>0</v>
      </c>
      <c r="BY228" s="4357">
        <f t="shared" si="523"/>
        <v>0</v>
      </c>
      <c r="BZ228" s="4357">
        <f t="shared" si="523"/>
        <v>0</v>
      </c>
      <c r="CA228" s="4357">
        <f t="shared" si="523"/>
        <v>0</v>
      </c>
      <c r="CB228" s="4357">
        <f t="shared" si="523"/>
        <v>0</v>
      </c>
      <c r="CC228" s="4357">
        <f t="shared" si="523"/>
        <v>0</v>
      </c>
      <c r="CD228" s="4357">
        <f t="shared" si="523"/>
        <v>0</v>
      </c>
      <c r="CE228" s="4357">
        <f t="shared" si="523"/>
        <v>0</v>
      </c>
      <c r="CF228" s="4357">
        <f t="shared" si="523"/>
        <v>0</v>
      </c>
      <c r="CG228" s="4357">
        <f t="shared" si="523"/>
        <v>0</v>
      </c>
      <c r="CH228" s="4357">
        <f t="shared" si="523"/>
        <v>0</v>
      </c>
      <c r="CI228" s="4357"/>
      <c r="CJ228" s="4357"/>
      <c r="CK228" s="4357"/>
      <c r="CL228" s="4357"/>
      <c r="CM228" s="4357"/>
      <c r="CN228" s="4357"/>
      <c r="CO228" s="4357"/>
      <c r="CP228" s="4357"/>
      <c r="CQ228" s="4357"/>
      <c r="CR228" s="4357"/>
      <c r="CS228" s="4357"/>
      <c r="CT228" s="4357"/>
      <c r="CU228" s="4357"/>
      <c r="CV228" s="4357"/>
      <c r="CW228" s="4357"/>
      <c r="CX228" s="4357"/>
      <c r="CY228" s="4357"/>
      <c r="CZ228" s="4357"/>
      <c r="DA228" s="4357"/>
      <c r="DB228" s="4357"/>
      <c r="DC228" s="4357"/>
      <c r="DD228" s="4357"/>
      <c r="DE228" s="4357"/>
      <c r="DF228" s="4357"/>
      <c r="DG228" s="4357"/>
      <c r="DH228" s="4357"/>
      <c r="DI228" s="4357"/>
      <c r="DJ228" s="4357"/>
      <c r="DK228" s="4357"/>
      <c r="DL228" s="4357"/>
      <c r="DM228" s="4357"/>
      <c r="DN228" s="4357"/>
      <c r="DO228" s="4357"/>
      <c r="DP228" s="4357"/>
      <c r="DQ228" s="4357"/>
      <c r="DR228" s="4357"/>
      <c r="DS228" s="4357"/>
      <c r="DT228" s="4357"/>
      <c r="DU228" s="4357"/>
      <c r="DV228" s="4357"/>
      <c r="DW228" s="4357"/>
      <c r="DX228" s="4357"/>
      <c r="DY228" s="4357"/>
      <c r="DZ228" s="4357"/>
      <c r="EA228" s="4357"/>
      <c r="EB228" s="4357"/>
      <c r="EC228" s="4357"/>
      <c r="ED228" s="4357"/>
      <c r="EE228" s="4357"/>
      <c r="EF228" s="4357"/>
    </row>
    <row r="229" spans="1:136" ht="16" x14ac:dyDescent="0.2">
      <c r="A229" t="str">
        <f>Languages!$B$655</f>
        <v>Inputs &amp; Invest.</v>
      </c>
      <c r="B229" t="s">
        <v>3243</v>
      </c>
      <c r="D229" t="str">
        <f>'9.Inputs'!$C$50</f>
        <v xml:space="preserve">User defined (Tier 2) </v>
      </c>
      <c r="E229">
        <f>'9.Inputs'!V50</f>
        <v>0</v>
      </c>
      <c r="F229" s="388">
        <v>0</v>
      </c>
      <c r="G229" s="388">
        <v>0</v>
      </c>
      <c r="L229" s="388">
        <f>Inputs!P84-Inputs!O84</f>
        <v>0</v>
      </c>
      <c r="AB229" t="str">
        <f t="shared" si="471"/>
        <v>ok</v>
      </c>
      <c r="AC229">
        <f>IF('9.Inputs'!BE49&lt;&gt;0,'9.Inputs'!BE49,'9.Inputs'!BD49)</f>
        <v>1</v>
      </c>
      <c r="AD229">
        <f t="shared" si="502"/>
        <v>5</v>
      </c>
      <c r="AE229" s="4357" t="str">
        <f>'9.Inputs'!F50</f>
        <v>D</v>
      </c>
      <c r="AF229" s="4357" t="str">
        <f>'9.Inputs'!H50</f>
        <v>D</v>
      </c>
      <c r="AG229" s="4357" t="str">
        <f t="shared" si="505"/>
        <v>D</v>
      </c>
      <c r="AH229" s="4357">
        <f>((E229/(time_cap+((AD229-AC229+1)*VLOOKUP(AG229,list!$I$48:$K$50,3, FALSE))))*(AD229-AC229+1)*VLOOKUP(AG229,list!$I$48:$K$50,3, FALSE))</f>
        <v>0</v>
      </c>
      <c r="AI229" s="4357">
        <f>((E229/(time_cap+((AD229-AC229+1)*VLOOKUP(AG229,list!$I$48:$K$50,3, FALSE))))*time_cap)</f>
        <v>0</v>
      </c>
      <c r="AK229" s="4357">
        <f t="shared" ref="AK229:BP229" si="524">IFERROR(IF((time+time_cap)&lt;AK$2, 0,IF(AND(time+1&gt;=AL$2, $AC229&lt;AL$2), IF($AG229= "I", $AH229/($AD229-$AC229+1), $AH229/(($AD229*($AD229+1)/2)-(($AC229-1)*($AC229-1+1)/2))*AK$2), 0)+IF(IF(time+1&gt;=AL$2, $AI229/time_cap/(time+1)*AK$2, 0) = 0, $AI229/(time_cap),0)),0)</f>
        <v>0</v>
      </c>
      <c r="AL229" s="4357">
        <f t="shared" si="524"/>
        <v>0</v>
      </c>
      <c r="AM229" s="4357">
        <f t="shared" si="524"/>
        <v>0</v>
      </c>
      <c r="AN229" s="4357">
        <f t="shared" si="524"/>
        <v>0</v>
      </c>
      <c r="AO229" s="4357">
        <f t="shared" si="524"/>
        <v>0</v>
      </c>
      <c r="AP229" s="4357">
        <f t="shared" si="524"/>
        <v>0</v>
      </c>
      <c r="AQ229" s="4357">
        <f t="shared" si="524"/>
        <v>0</v>
      </c>
      <c r="AR229" s="4357">
        <f t="shared" si="524"/>
        <v>0</v>
      </c>
      <c r="AS229" s="4357">
        <f t="shared" si="524"/>
        <v>0</v>
      </c>
      <c r="AT229" s="4357">
        <f t="shared" si="524"/>
        <v>0</v>
      </c>
      <c r="AU229" s="4357">
        <f t="shared" si="524"/>
        <v>0</v>
      </c>
      <c r="AV229" s="4357">
        <f t="shared" si="524"/>
        <v>0</v>
      </c>
      <c r="AW229" s="4357">
        <f t="shared" si="524"/>
        <v>0</v>
      </c>
      <c r="AX229" s="4357">
        <f t="shared" si="524"/>
        <v>0</v>
      </c>
      <c r="AY229" s="4357">
        <f t="shared" si="524"/>
        <v>0</v>
      </c>
      <c r="AZ229" s="4357">
        <f t="shared" si="524"/>
        <v>0</v>
      </c>
      <c r="BA229" s="4357">
        <f t="shared" si="524"/>
        <v>0</v>
      </c>
      <c r="BB229" s="4357">
        <f t="shared" si="524"/>
        <v>0</v>
      </c>
      <c r="BC229" s="4357">
        <f t="shared" si="524"/>
        <v>0</v>
      </c>
      <c r="BD229" s="4357">
        <f t="shared" si="524"/>
        <v>0</v>
      </c>
      <c r="BE229" s="4357">
        <f t="shared" si="524"/>
        <v>0</v>
      </c>
      <c r="BF229" s="4357">
        <f t="shared" si="524"/>
        <v>0</v>
      </c>
      <c r="BG229" s="4357">
        <f t="shared" si="524"/>
        <v>0</v>
      </c>
      <c r="BH229" s="4357">
        <f t="shared" si="524"/>
        <v>0</v>
      </c>
      <c r="BI229" s="4357">
        <f t="shared" si="524"/>
        <v>0</v>
      </c>
      <c r="BJ229" s="4357">
        <f t="shared" si="524"/>
        <v>0</v>
      </c>
      <c r="BK229" s="4357">
        <f t="shared" si="524"/>
        <v>0</v>
      </c>
      <c r="BL229" s="4357">
        <f t="shared" si="524"/>
        <v>0</v>
      </c>
      <c r="BM229" s="4357">
        <f t="shared" si="524"/>
        <v>0</v>
      </c>
      <c r="BN229" s="4357">
        <f t="shared" si="524"/>
        <v>0</v>
      </c>
      <c r="BO229" s="4357">
        <f t="shared" si="524"/>
        <v>0</v>
      </c>
      <c r="BP229" s="4357">
        <f t="shared" si="524"/>
        <v>0</v>
      </c>
      <c r="BQ229" s="4357">
        <f t="shared" ref="BQ229:CH229" si="525">IFERROR(IF((time+time_cap)&lt;BQ$2, 0,IF(AND(time+1&gt;=BR$2, $AC229&lt;BR$2), IF($AG229= "I", $AH229/($AD229-$AC229+1), $AH229/(($AD229*($AD229+1)/2)-(($AC229-1)*($AC229-1+1)/2))*BQ$2), 0)+IF(IF(time+1&gt;=BR$2, $AI229/time_cap/(time+1)*BQ$2, 0) = 0, $AI229/(time_cap),0)),0)</f>
        <v>0</v>
      </c>
      <c r="BR229" s="4357">
        <f t="shared" si="525"/>
        <v>0</v>
      </c>
      <c r="BS229" s="4357">
        <f t="shared" si="525"/>
        <v>0</v>
      </c>
      <c r="BT229" s="4357">
        <f t="shared" si="525"/>
        <v>0</v>
      </c>
      <c r="BU229" s="4357">
        <f t="shared" si="525"/>
        <v>0</v>
      </c>
      <c r="BV229" s="4357">
        <f t="shared" si="525"/>
        <v>0</v>
      </c>
      <c r="BW229" s="4357">
        <f t="shared" si="525"/>
        <v>0</v>
      </c>
      <c r="BX229" s="4357">
        <f t="shared" si="525"/>
        <v>0</v>
      </c>
      <c r="BY229" s="4357">
        <f t="shared" si="525"/>
        <v>0</v>
      </c>
      <c r="BZ229" s="4357">
        <f t="shared" si="525"/>
        <v>0</v>
      </c>
      <c r="CA229" s="4357">
        <f t="shared" si="525"/>
        <v>0</v>
      </c>
      <c r="CB229" s="4357">
        <f t="shared" si="525"/>
        <v>0</v>
      </c>
      <c r="CC229" s="4357">
        <f t="shared" si="525"/>
        <v>0</v>
      </c>
      <c r="CD229" s="4357">
        <f t="shared" si="525"/>
        <v>0</v>
      </c>
      <c r="CE229" s="4357">
        <f t="shared" si="525"/>
        <v>0</v>
      </c>
      <c r="CF229" s="4357">
        <f t="shared" si="525"/>
        <v>0</v>
      </c>
      <c r="CG229" s="4357">
        <f t="shared" si="525"/>
        <v>0</v>
      </c>
      <c r="CH229" s="4357">
        <f t="shared" si="525"/>
        <v>0</v>
      </c>
      <c r="CI229" s="4357"/>
      <c r="CJ229" s="4357"/>
      <c r="CK229" s="4357"/>
      <c r="CL229" s="4357"/>
      <c r="CM229" s="4357"/>
      <c r="CN229" s="4357"/>
      <c r="CO229" s="4357"/>
      <c r="CP229" s="4357"/>
      <c r="CQ229" s="4357"/>
      <c r="CR229" s="4357"/>
      <c r="CS229" s="4357"/>
      <c r="CT229" s="4357"/>
      <c r="CU229" s="4357"/>
      <c r="CV229" s="4357"/>
      <c r="CW229" s="4357"/>
      <c r="CX229" s="4357"/>
      <c r="CY229" s="4357"/>
      <c r="CZ229" s="4357"/>
      <c r="DA229" s="4357"/>
      <c r="DB229" s="4357"/>
      <c r="DC229" s="4357"/>
      <c r="DD229" s="4357"/>
      <c r="DE229" s="4357"/>
      <c r="DF229" s="4357"/>
      <c r="DG229" s="4357"/>
      <c r="DH229" s="4357"/>
      <c r="DI229" s="4357"/>
      <c r="DJ229" s="4357"/>
      <c r="DK229" s="4357"/>
      <c r="DL229" s="4357"/>
      <c r="DM229" s="4357"/>
      <c r="DN229" s="4357"/>
      <c r="DO229" s="4357"/>
      <c r="DP229" s="4357"/>
      <c r="DQ229" s="4357"/>
      <c r="DR229" s="4357"/>
      <c r="DS229" s="4357"/>
      <c r="DT229" s="4357"/>
      <c r="DU229" s="4357"/>
      <c r="DV229" s="4357"/>
      <c r="DW229" s="4357"/>
      <c r="DX229" s="4357"/>
      <c r="DY229" s="4357"/>
      <c r="DZ229" s="4357"/>
      <c r="EA229" s="4357"/>
      <c r="EB229" s="4357"/>
      <c r="EC229" s="4357"/>
      <c r="ED229" s="4357"/>
      <c r="EE229" s="4357"/>
      <c r="EF229" s="4357"/>
    </row>
    <row r="230" spans="1:136" ht="16" x14ac:dyDescent="0.2">
      <c r="A230" t="str">
        <f>Languages!$B$655</f>
        <v>Inputs &amp; Invest.</v>
      </c>
      <c r="B230" t="s">
        <v>3243</v>
      </c>
      <c r="D230" t="str">
        <f>'9.Inputs'!C53</f>
        <v>Please select</v>
      </c>
      <c r="E230">
        <f>'9.Inputs'!V53</f>
        <v>0</v>
      </c>
      <c r="F230" s="388">
        <v>0</v>
      </c>
      <c r="G230" s="388">
        <v>0</v>
      </c>
      <c r="L230" s="388">
        <f>Inputs!P88-Inputs!O88</f>
        <v>0</v>
      </c>
      <c r="AB230" t="str">
        <f t="shared" si="471"/>
        <v>ok</v>
      </c>
      <c r="AC230">
        <f>IF('9.Inputs'!BE53&lt;&gt;0,'9.Inputs'!BE53,'9.Inputs'!BD53)</f>
        <v>1</v>
      </c>
      <c r="AD230">
        <f t="shared" si="502"/>
        <v>5</v>
      </c>
      <c r="AE230" s="4357" t="str">
        <f>'9.Inputs'!F53</f>
        <v>D</v>
      </c>
      <c r="AF230" s="4357" t="str">
        <f>'9.Inputs'!H53</f>
        <v>D</v>
      </c>
      <c r="AG230" s="4357" t="str">
        <f t="shared" si="505"/>
        <v>D</v>
      </c>
      <c r="AH230" s="4357">
        <f>((E230/(time_cap+((AD230-AC230+1)*VLOOKUP(AG230,list!$I$48:$K$50,3, FALSE))))*(AD230-AC230+1)*VLOOKUP(AG230,list!$I$48:$K$50,3, FALSE))</f>
        <v>0</v>
      </c>
      <c r="AI230" s="4357">
        <f>((E230/(time_cap+((AD230-AC230+1)*VLOOKUP(AG230,list!$I$48:$K$50,3, FALSE))))*time_cap)</f>
        <v>0</v>
      </c>
      <c r="AK230" s="4357">
        <f t="shared" ref="AK230:BP230" si="526">IFERROR(IF((time+time_cap)&lt;AK$2, 0,IF(AND(time+1&gt;=AL$2, $AC230&lt;AL$2), IF($AG230= "I", $AH230/($AD230-$AC230+1), $AH230/(($AD230*($AD230+1)/2)-(($AC230-1)*($AC230-1+1)/2))*AK$2), 0)+IF(IF(time+1&gt;=AL$2, $AI230/time_cap/(time+1)*AK$2, 0) = 0, $AI230/(time_cap),0)),0)</f>
        <v>0</v>
      </c>
      <c r="AL230" s="4357">
        <f t="shared" si="526"/>
        <v>0</v>
      </c>
      <c r="AM230" s="4357">
        <f t="shared" si="526"/>
        <v>0</v>
      </c>
      <c r="AN230" s="4357">
        <f t="shared" si="526"/>
        <v>0</v>
      </c>
      <c r="AO230" s="4357">
        <f t="shared" si="526"/>
        <v>0</v>
      </c>
      <c r="AP230" s="4357">
        <f t="shared" si="526"/>
        <v>0</v>
      </c>
      <c r="AQ230" s="4357">
        <f t="shared" si="526"/>
        <v>0</v>
      </c>
      <c r="AR230" s="4357">
        <f t="shared" si="526"/>
        <v>0</v>
      </c>
      <c r="AS230" s="4357">
        <f t="shared" si="526"/>
        <v>0</v>
      </c>
      <c r="AT230" s="4357">
        <f t="shared" si="526"/>
        <v>0</v>
      </c>
      <c r="AU230" s="4357">
        <f t="shared" si="526"/>
        <v>0</v>
      </c>
      <c r="AV230" s="4357">
        <f t="shared" si="526"/>
        <v>0</v>
      </c>
      <c r="AW230" s="4357">
        <f t="shared" si="526"/>
        <v>0</v>
      </c>
      <c r="AX230" s="4357">
        <f t="shared" si="526"/>
        <v>0</v>
      </c>
      <c r="AY230" s="4357">
        <f t="shared" si="526"/>
        <v>0</v>
      </c>
      <c r="AZ230" s="4357">
        <f t="shared" si="526"/>
        <v>0</v>
      </c>
      <c r="BA230" s="4357">
        <f t="shared" si="526"/>
        <v>0</v>
      </c>
      <c r="BB230" s="4357">
        <f t="shared" si="526"/>
        <v>0</v>
      </c>
      <c r="BC230" s="4357">
        <f t="shared" si="526"/>
        <v>0</v>
      </c>
      <c r="BD230" s="4357">
        <f t="shared" si="526"/>
        <v>0</v>
      </c>
      <c r="BE230" s="4357">
        <f t="shared" si="526"/>
        <v>0</v>
      </c>
      <c r="BF230" s="4357">
        <f t="shared" si="526"/>
        <v>0</v>
      </c>
      <c r="BG230" s="4357">
        <f t="shared" si="526"/>
        <v>0</v>
      </c>
      <c r="BH230" s="4357">
        <f t="shared" si="526"/>
        <v>0</v>
      </c>
      <c r="BI230" s="4357">
        <f t="shared" si="526"/>
        <v>0</v>
      </c>
      <c r="BJ230" s="4357">
        <f t="shared" si="526"/>
        <v>0</v>
      </c>
      <c r="BK230" s="4357">
        <f t="shared" si="526"/>
        <v>0</v>
      </c>
      <c r="BL230" s="4357">
        <f t="shared" si="526"/>
        <v>0</v>
      </c>
      <c r="BM230" s="4357">
        <f t="shared" si="526"/>
        <v>0</v>
      </c>
      <c r="BN230" s="4357">
        <f t="shared" si="526"/>
        <v>0</v>
      </c>
      <c r="BO230" s="4357">
        <f t="shared" si="526"/>
        <v>0</v>
      </c>
      <c r="BP230" s="4357">
        <f t="shared" si="526"/>
        <v>0</v>
      </c>
      <c r="BQ230" s="4357">
        <f t="shared" ref="BQ230:CH230" si="527">IFERROR(IF((time+time_cap)&lt;BQ$2, 0,IF(AND(time+1&gt;=BR$2, $AC230&lt;BR$2), IF($AG230= "I", $AH230/($AD230-$AC230+1), $AH230/(($AD230*($AD230+1)/2)-(($AC230-1)*($AC230-1+1)/2))*BQ$2), 0)+IF(IF(time+1&gt;=BR$2, $AI230/time_cap/(time+1)*BQ$2, 0) = 0, $AI230/(time_cap),0)),0)</f>
        <v>0</v>
      </c>
      <c r="BR230" s="4357">
        <f t="shared" si="527"/>
        <v>0</v>
      </c>
      <c r="BS230" s="4357">
        <f t="shared" si="527"/>
        <v>0</v>
      </c>
      <c r="BT230" s="4357">
        <f t="shared" si="527"/>
        <v>0</v>
      </c>
      <c r="BU230" s="4357">
        <f t="shared" si="527"/>
        <v>0</v>
      </c>
      <c r="BV230" s="4357">
        <f t="shared" si="527"/>
        <v>0</v>
      </c>
      <c r="BW230" s="4357">
        <f t="shared" si="527"/>
        <v>0</v>
      </c>
      <c r="BX230" s="4357">
        <f t="shared" si="527"/>
        <v>0</v>
      </c>
      <c r="BY230" s="4357">
        <f t="shared" si="527"/>
        <v>0</v>
      </c>
      <c r="BZ230" s="4357">
        <f t="shared" si="527"/>
        <v>0</v>
      </c>
      <c r="CA230" s="4357">
        <f t="shared" si="527"/>
        <v>0</v>
      </c>
      <c r="CB230" s="4357">
        <f t="shared" si="527"/>
        <v>0</v>
      </c>
      <c r="CC230" s="4357">
        <f t="shared" si="527"/>
        <v>0</v>
      </c>
      <c r="CD230" s="4357">
        <f t="shared" si="527"/>
        <v>0</v>
      </c>
      <c r="CE230" s="4357">
        <f t="shared" si="527"/>
        <v>0</v>
      </c>
      <c r="CF230" s="4357">
        <f t="shared" si="527"/>
        <v>0</v>
      </c>
      <c r="CG230" s="4357">
        <f t="shared" si="527"/>
        <v>0</v>
      </c>
      <c r="CH230" s="4357">
        <f t="shared" si="527"/>
        <v>0</v>
      </c>
      <c r="CI230" s="4357"/>
      <c r="CJ230" s="4357"/>
      <c r="CK230" s="4357"/>
      <c r="CL230" s="4357"/>
      <c r="CM230" s="4357"/>
      <c r="CN230" s="4357"/>
      <c r="CO230" s="4357"/>
      <c r="CP230" s="4357"/>
      <c r="CQ230" s="4357"/>
      <c r="CR230" s="4357"/>
      <c r="CS230" s="4357"/>
      <c r="CT230" s="4357"/>
      <c r="CU230" s="4357"/>
      <c r="CV230" s="4357"/>
      <c r="CW230" s="4357"/>
      <c r="CX230" s="4357"/>
      <c r="CY230" s="4357"/>
      <c r="CZ230" s="4357"/>
      <c r="DA230" s="4357"/>
      <c r="DB230" s="4357"/>
      <c r="DC230" s="4357"/>
      <c r="DD230" s="4357"/>
      <c r="DE230" s="4357"/>
      <c r="DF230" s="4357"/>
      <c r="DG230" s="4357"/>
      <c r="DH230" s="4357"/>
      <c r="DI230" s="4357"/>
      <c r="DJ230" s="4357"/>
      <c r="DK230" s="4357"/>
      <c r="DL230" s="4357"/>
      <c r="DM230" s="4357"/>
      <c r="DN230" s="4357"/>
      <c r="DO230" s="4357"/>
      <c r="DP230" s="4357"/>
      <c r="DQ230" s="4357"/>
      <c r="DR230" s="4357"/>
      <c r="DS230" s="4357"/>
      <c r="DT230" s="4357"/>
      <c r="DU230" s="4357"/>
      <c r="DV230" s="4357"/>
      <c r="DW230" s="4357"/>
      <c r="DX230" s="4357"/>
      <c r="DY230" s="4357"/>
      <c r="DZ230" s="4357"/>
      <c r="EA230" s="4357"/>
      <c r="EB230" s="4357"/>
      <c r="EC230" s="4357"/>
      <c r="ED230" s="4357"/>
      <c r="EE230" s="4357"/>
      <c r="EF230" s="4357"/>
    </row>
    <row r="231" spans="1:136" ht="16" x14ac:dyDescent="0.2">
      <c r="A231" t="str">
        <f>Languages!$B$655</f>
        <v>Inputs &amp; Invest.</v>
      </c>
      <c r="B231" t="s">
        <v>3243</v>
      </c>
      <c r="D231" t="str">
        <f>'9.Inputs'!C54</f>
        <v>Please select</v>
      </c>
      <c r="E231">
        <f>'9.Inputs'!V54</f>
        <v>0</v>
      </c>
      <c r="F231" s="388">
        <v>0</v>
      </c>
      <c r="G231" s="388">
        <v>0</v>
      </c>
      <c r="L231" s="388">
        <f>Inputs!P89-Inputs!O89</f>
        <v>0</v>
      </c>
      <c r="AB231" t="str">
        <f t="shared" si="471"/>
        <v>ok</v>
      </c>
      <c r="AC231">
        <f>IF('9.Inputs'!BE54&lt;&gt;0,'9.Inputs'!BE54,'9.Inputs'!BD54)</f>
        <v>1</v>
      </c>
      <c r="AD231">
        <f t="shared" si="502"/>
        <v>5</v>
      </c>
      <c r="AE231" s="4357" t="str">
        <f>'9.Inputs'!F54</f>
        <v>D</v>
      </c>
      <c r="AF231" s="4357" t="str">
        <f>'9.Inputs'!H54</f>
        <v>D</v>
      </c>
      <c r="AG231" s="4357" t="str">
        <f t="shared" si="505"/>
        <v>D</v>
      </c>
      <c r="AH231" s="4357">
        <f>((E231/(time_cap+((AD231-AC231+1)*VLOOKUP(AG231,list!$I$48:$K$50,3, FALSE))))*(AD231-AC231+1)*VLOOKUP(AG231,list!$I$48:$K$50,3, FALSE))</f>
        <v>0</v>
      </c>
      <c r="AI231" s="4357">
        <f>((E231/(time_cap+((AD231-AC231+1)*VLOOKUP(AG231,list!$I$48:$K$50,3, FALSE))))*time_cap)</f>
        <v>0</v>
      </c>
      <c r="AK231" s="4357">
        <f t="shared" ref="AK231:BP231" si="528">IFERROR(IF((time+time_cap)&lt;AK$2, 0,IF(AND(time+1&gt;=AL$2, $AC231&lt;AL$2), IF($AG231= "I", $AH231/($AD231-$AC231+1), $AH231/(($AD231*($AD231+1)/2)-(($AC231-1)*($AC231-1+1)/2))*AK$2), 0)+IF(IF(time+1&gt;=AL$2, $AI231/time_cap/(time+1)*AK$2, 0) = 0, $AI231/(time_cap),0)),0)</f>
        <v>0</v>
      </c>
      <c r="AL231" s="4357">
        <f t="shared" si="528"/>
        <v>0</v>
      </c>
      <c r="AM231" s="4357">
        <f t="shared" si="528"/>
        <v>0</v>
      </c>
      <c r="AN231" s="4357">
        <f t="shared" si="528"/>
        <v>0</v>
      </c>
      <c r="AO231" s="4357">
        <f t="shared" si="528"/>
        <v>0</v>
      </c>
      <c r="AP231" s="4357">
        <f t="shared" si="528"/>
        <v>0</v>
      </c>
      <c r="AQ231" s="4357">
        <f t="shared" si="528"/>
        <v>0</v>
      </c>
      <c r="AR231" s="4357">
        <f t="shared" si="528"/>
        <v>0</v>
      </c>
      <c r="AS231" s="4357">
        <f t="shared" si="528"/>
        <v>0</v>
      </c>
      <c r="AT231" s="4357">
        <f t="shared" si="528"/>
        <v>0</v>
      </c>
      <c r="AU231" s="4357">
        <f t="shared" si="528"/>
        <v>0</v>
      </c>
      <c r="AV231" s="4357">
        <f t="shared" si="528"/>
        <v>0</v>
      </c>
      <c r="AW231" s="4357">
        <f t="shared" si="528"/>
        <v>0</v>
      </c>
      <c r="AX231" s="4357">
        <f t="shared" si="528"/>
        <v>0</v>
      </c>
      <c r="AY231" s="4357">
        <f t="shared" si="528"/>
        <v>0</v>
      </c>
      <c r="AZ231" s="4357">
        <f t="shared" si="528"/>
        <v>0</v>
      </c>
      <c r="BA231" s="4357">
        <f t="shared" si="528"/>
        <v>0</v>
      </c>
      <c r="BB231" s="4357">
        <f t="shared" si="528"/>
        <v>0</v>
      </c>
      <c r="BC231" s="4357">
        <f t="shared" si="528"/>
        <v>0</v>
      </c>
      <c r="BD231" s="4357">
        <f t="shared" si="528"/>
        <v>0</v>
      </c>
      <c r="BE231" s="4357">
        <f t="shared" si="528"/>
        <v>0</v>
      </c>
      <c r="BF231" s="4357">
        <f t="shared" si="528"/>
        <v>0</v>
      </c>
      <c r="BG231" s="4357">
        <f t="shared" si="528"/>
        <v>0</v>
      </c>
      <c r="BH231" s="4357">
        <f t="shared" si="528"/>
        <v>0</v>
      </c>
      <c r="BI231" s="4357">
        <f t="shared" si="528"/>
        <v>0</v>
      </c>
      <c r="BJ231" s="4357">
        <f t="shared" si="528"/>
        <v>0</v>
      </c>
      <c r="BK231" s="4357">
        <f t="shared" si="528"/>
        <v>0</v>
      </c>
      <c r="BL231" s="4357">
        <f t="shared" si="528"/>
        <v>0</v>
      </c>
      <c r="BM231" s="4357">
        <f t="shared" si="528"/>
        <v>0</v>
      </c>
      <c r="BN231" s="4357">
        <f t="shared" si="528"/>
        <v>0</v>
      </c>
      <c r="BO231" s="4357">
        <f t="shared" si="528"/>
        <v>0</v>
      </c>
      <c r="BP231" s="4357">
        <f t="shared" si="528"/>
        <v>0</v>
      </c>
      <c r="BQ231" s="4357">
        <f t="shared" ref="BQ231:CH231" si="529">IFERROR(IF((time+time_cap)&lt;BQ$2, 0,IF(AND(time+1&gt;=BR$2, $AC231&lt;BR$2), IF($AG231= "I", $AH231/($AD231-$AC231+1), $AH231/(($AD231*($AD231+1)/2)-(($AC231-1)*($AC231-1+1)/2))*BQ$2), 0)+IF(IF(time+1&gt;=BR$2, $AI231/time_cap/(time+1)*BQ$2, 0) = 0, $AI231/(time_cap),0)),0)</f>
        <v>0</v>
      </c>
      <c r="BR231" s="4357">
        <f t="shared" si="529"/>
        <v>0</v>
      </c>
      <c r="BS231" s="4357">
        <f t="shared" si="529"/>
        <v>0</v>
      </c>
      <c r="BT231" s="4357">
        <f t="shared" si="529"/>
        <v>0</v>
      </c>
      <c r="BU231" s="4357">
        <f t="shared" si="529"/>
        <v>0</v>
      </c>
      <c r="BV231" s="4357">
        <f t="shared" si="529"/>
        <v>0</v>
      </c>
      <c r="BW231" s="4357">
        <f t="shared" si="529"/>
        <v>0</v>
      </c>
      <c r="BX231" s="4357">
        <f t="shared" si="529"/>
        <v>0</v>
      </c>
      <c r="BY231" s="4357">
        <f t="shared" si="529"/>
        <v>0</v>
      </c>
      <c r="BZ231" s="4357">
        <f t="shared" si="529"/>
        <v>0</v>
      </c>
      <c r="CA231" s="4357">
        <f t="shared" si="529"/>
        <v>0</v>
      </c>
      <c r="CB231" s="4357">
        <f t="shared" si="529"/>
        <v>0</v>
      </c>
      <c r="CC231" s="4357">
        <f t="shared" si="529"/>
        <v>0</v>
      </c>
      <c r="CD231" s="4357">
        <f t="shared" si="529"/>
        <v>0</v>
      </c>
      <c r="CE231" s="4357">
        <f t="shared" si="529"/>
        <v>0</v>
      </c>
      <c r="CF231" s="4357">
        <f t="shared" si="529"/>
        <v>0</v>
      </c>
      <c r="CG231" s="4357">
        <f t="shared" si="529"/>
        <v>0</v>
      </c>
      <c r="CH231" s="4357">
        <f t="shared" si="529"/>
        <v>0</v>
      </c>
      <c r="CI231" s="4357"/>
      <c r="CJ231" s="4357"/>
      <c r="CK231" s="4357"/>
      <c r="CL231" s="4357"/>
      <c r="CM231" s="4357"/>
      <c r="CN231" s="4357"/>
      <c r="CO231" s="4357"/>
      <c r="CP231" s="4357"/>
      <c r="CQ231" s="4357"/>
      <c r="CR231" s="4357"/>
      <c r="CS231" s="4357"/>
      <c r="CT231" s="4357"/>
      <c r="CU231" s="4357"/>
      <c r="CV231" s="4357"/>
      <c r="CW231" s="4357"/>
      <c r="CX231" s="4357"/>
      <c r="CY231" s="4357"/>
      <c r="CZ231" s="4357"/>
      <c r="DA231" s="4357"/>
      <c r="DB231" s="4357"/>
      <c r="DC231" s="4357"/>
      <c r="DD231" s="4357"/>
      <c r="DE231" s="4357"/>
      <c r="DF231" s="4357"/>
      <c r="DG231" s="4357"/>
      <c r="DH231" s="4357"/>
      <c r="DI231" s="4357"/>
      <c r="DJ231" s="4357"/>
      <c r="DK231" s="4357"/>
      <c r="DL231" s="4357"/>
      <c r="DM231" s="4357"/>
      <c r="DN231" s="4357"/>
      <c r="DO231" s="4357"/>
      <c r="DP231" s="4357"/>
      <c r="DQ231" s="4357"/>
      <c r="DR231" s="4357"/>
      <c r="DS231" s="4357"/>
      <c r="DT231" s="4357"/>
      <c r="DU231" s="4357"/>
      <c r="DV231" s="4357"/>
      <c r="DW231" s="4357"/>
      <c r="DX231" s="4357"/>
      <c r="DY231" s="4357"/>
      <c r="DZ231" s="4357"/>
      <c r="EA231" s="4357"/>
      <c r="EB231" s="4357"/>
      <c r="EC231" s="4357"/>
      <c r="ED231" s="4357"/>
      <c r="EE231" s="4357"/>
      <c r="EF231" s="4357"/>
    </row>
    <row r="232" spans="1:136" ht="16" x14ac:dyDescent="0.2">
      <c r="A232" t="str">
        <f>Languages!$B$655</f>
        <v>Inputs &amp; Invest.</v>
      </c>
      <c r="B232" t="s">
        <v>3243</v>
      </c>
      <c r="D232" t="str">
        <f>'9.Inputs'!C55</f>
        <v>Please select</v>
      </c>
      <c r="E232">
        <f>'9.Inputs'!V55</f>
        <v>0</v>
      </c>
      <c r="F232" s="388">
        <v>0</v>
      </c>
      <c r="G232" s="388">
        <v>0</v>
      </c>
      <c r="L232" s="388">
        <f>Inputs!P90-Inputs!O90</f>
        <v>0</v>
      </c>
      <c r="AB232" t="str">
        <f t="shared" si="471"/>
        <v>ok</v>
      </c>
      <c r="AC232">
        <f>IF('9.Inputs'!BE55&lt;&gt;0,'9.Inputs'!BE55,'9.Inputs'!BD55)</f>
        <v>1</v>
      </c>
      <c r="AD232">
        <f t="shared" si="502"/>
        <v>5</v>
      </c>
      <c r="AE232" s="4357" t="str">
        <f>'9.Inputs'!F55</f>
        <v>D</v>
      </c>
      <c r="AF232" s="4357" t="str">
        <f>'9.Inputs'!H55</f>
        <v>D</v>
      </c>
      <c r="AG232" s="4357" t="str">
        <f t="shared" si="505"/>
        <v>D</v>
      </c>
      <c r="AH232" s="4357">
        <f>((E232/(time_cap+((AD232-AC232+1)*VLOOKUP(AG232,list!$I$48:$K$50,3, FALSE))))*(AD232-AC232+1)*VLOOKUP(AG232,list!$I$48:$K$50,3, FALSE))</f>
        <v>0</v>
      </c>
      <c r="AI232" s="4357">
        <f>((E232/(time_cap+((AD232-AC232+1)*VLOOKUP(AG232,list!$I$48:$K$50,3, FALSE))))*time_cap)</f>
        <v>0</v>
      </c>
      <c r="AK232" s="4357">
        <f t="shared" ref="AK232:BP232" si="530">IFERROR(IF((time+time_cap)&lt;AK$2, 0,IF(AND(time+1&gt;=AL$2, $AC232&lt;AL$2), IF($AG232= "I", $AH232/($AD232-$AC232+1), $AH232/(($AD232*($AD232+1)/2)-(($AC232-1)*($AC232-1+1)/2))*AK$2), 0)+IF(IF(time+1&gt;=AL$2, $AI232/time_cap/(time+1)*AK$2, 0) = 0, $AI232/(time_cap),0)),0)</f>
        <v>0</v>
      </c>
      <c r="AL232" s="4357">
        <f t="shared" si="530"/>
        <v>0</v>
      </c>
      <c r="AM232" s="4357">
        <f t="shared" si="530"/>
        <v>0</v>
      </c>
      <c r="AN232" s="4357">
        <f t="shared" si="530"/>
        <v>0</v>
      </c>
      <c r="AO232" s="4357">
        <f t="shared" si="530"/>
        <v>0</v>
      </c>
      <c r="AP232" s="4357">
        <f t="shared" si="530"/>
        <v>0</v>
      </c>
      <c r="AQ232" s="4357">
        <f t="shared" si="530"/>
        <v>0</v>
      </c>
      <c r="AR232" s="4357">
        <f t="shared" si="530"/>
        <v>0</v>
      </c>
      <c r="AS232" s="4357">
        <f t="shared" si="530"/>
        <v>0</v>
      </c>
      <c r="AT232" s="4357">
        <f t="shared" si="530"/>
        <v>0</v>
      </c>
      <c r="AU232" s="4357">
        <f t="shared" si="530"/>
        <v>0</v>
      </c>
      <c r="AV232" s="4357">
        <f t="shared" si="530"/>
        <v>0</v>
      </c>
      <c r="AW232" s="4357">
        <f t="shared" si="530"/>
        <v>0</v>
      </c>
      <c r="AX232" s="4357">
        <f t="shared" si="530"/>
        <v>0</v>
      </c>
      <c r="AY232" s="4357">
        <f t="shared" si="530"/>
        <v>0</v>
      </c>
      <c r="AZ232" s="4357">
        <f t="shared" si="530"/>
        <v>0</v>
      </c>
      <c r="BA232" s="4357">
        <f t="shared" si="530"/>
        <v>0</v>
      </c>
      <c r="BB232" s="4357">
        <f t="shared" si="530"/>
        <v>0</v>
      </c>
      <c r="BC232" s="4357">
        <f t="shared" si="530"/>
        <v>0</v>
      </c>
      <c r="BD232" s="4357">
        <f t="shared" si="530"/>
        <v>0</v>
      </c>
      <c r="BE232" s="4357">
        <f t="shared" si="530"/>
        <v>0</v>
      </c>
      <c r="BF232" s="4357">
        <f t="shared" si="530"/>
        <v>0</v>
      </c>
      <c r="BG232" s="4357">
        <f t="shared" si="530"/>
        <v>0</v>
      </c>
      <c r="BH232" s="4357">
        <f t="shared" si="530"/>
        <v>0</v>
      </c>
      <c r="BI232" s="4357">
        <f t="shared" si="530"/>
        <v>0</v>
      </c>
      <c r="BJ232" s="4357">
        <f t="shared" si="530"/>
        <v>0</v>
      </c>
      <c r="BK232" s="4357">
        <f t="shared" si="530"/>
        <v>0</v>
      </c>
      <c r="BL232" s="4357">
        <f t="shared" si="530"/>
        <v>0</v>
      </c>
      <c r="BM232" s="4357">
        <f t="shared" si="530"/>
        <v>0</v>
      </c>
      <c r="BN232" s="4357">
        <f t="shared" si="530"/>
        <v>0</v>
      </c>
      <c r="BO232" s="4357">
        <f t="shared" si="530"/>
        <v>0</v>
      </c>
      <c r="BP232" s="4357">
        <f t="shared" si="530"/>
        <v>0</v>
      </c>
      <c r="BQ232" s="4357">
        <f t="shared" ref="BQ232:CH232" si="531">IFERROR(IF((time+time_cap)&lt;BQ$2, 0,IF(AND(time+1&gt;=BR$2, $AC232&lt;BR$2), IF($AG232= "I", $AH232/($AD232-$AC232+1), $AH232/(($AD232*($AD232+1)/2)-(($AC232-1)*($AC232-1+1)/2))*BQ$2), 0)+IF(IF(time+1&gt;=BR$2, $AI232/time_cap/(time+1)*BQ$2, 0) = 0, $AI232/(time_cap),0)),0)</f>
        <v>0</v>
      </c>
      <c r="BR232" s="4357">
        <f t="shared" si="531"/>
        <v>0</v>
      </c>
      <c r="BS232" s="4357">
        <f t="shared" si="531"/>
        <v>0</v>
      </c>
      <c r="BT232" s="4357">
        <f t="shared" si="531"/>
        <v>0</v>
      </c>
      <c r="BU232" s="4357">
        <f t="shared" si="531"/>
        <v>0</v>
      </c>
      <c r="BV232" s="4357">
        <f t="shared" si="531"/>
        <v>0</v>
      </c>
      <c r="BW232" s="4357">
        <f t="shared" si="531"/>
        <v>0</v>
      </c>
      <c r="BX232" s="4357">
        <f t="shared" si="531"/>
        <v>0</v>
      </c>
      <c r="BY232" s="4357">
        <f t="shared" si="531"/>
        <v>0</v>
      </c>
      <c r="BZ232" s="4357">
        <f t="shared" si="531"/>
        <v>0</v>
      </c>
      <c r="CA232" s="4357">
        <f t="shared" si="531"/>
        <v>0</v>
      </c>
      <c r="CB232" s="4357">
        <f t="shared" si="531"/>
        <v>0</v>
      </c>
      <c r="CC232" s="4357">
        <f t="shared" si="531"/>
        <v>0</v>
      </c>
      <c r="CD232" s="4357">
        <f t="shared" si="531"/>
        <v>0</v>
      </c>
      <c r="CE232" s="4357">
        <f t="shared" si="531"/>
        <v>0</v>
      </c>
      <c r="CF232" s="4357">
        <f t="shared" si="531"/>
        <v>0</v>
      </c>
      <c r="CG232" s="4357">
        <f t="shared" si="531"/>
        <v>0</v>
      </c>
      <c r="CH232" s="4357">
        <f t="shared" si="531"/>
        <v>0</v>
      </c>
      <c r="CI232" s="4357"/>
      <c r="CJ232" s="4357"/>
      <c r="CK232" s="4357"/>
      <c r="CL232" s="4357"/>
      <c r="CM232" s="4357"/>
      <c r="CN232" s="4357"/>
      <c r="CO232" s="4357"/>
      <c r="CP232" s="4357"/>
      <c r="CQ232" s="4357"/>
      <c r="CR232" s="4357"/>
      <c r="CS232" s="4357"/>
      <c r="CT232" s="4357"/>
      <c r="CU232" s="4357"/>
      <c r="CV232" s="4357"/>
      <c r="CW232" s="4357"/>
      <c r="CX232" s="4357"/>
      <c r="CY232" s="4357"/>
      <c r="CZ232" s="4357"/>
      <c r="DA232" s="4357"/>
      <c r="DB232" s="4357"/>
      <c r="DC232" s="4357"/>
      <c r="DD232" s="4357"/>
      <c r="DE232" s="4357"/>
      <c r="DF232" s="4357"/>
      <c r="DG232" s="4357"/>
      <c r="DH232" s="4357"/>
      <c r="DI232" s="4357"/>
      <c r="DJ232" s="4357"/>
      <c r="DK232" s="4357"/>
      <c r="DL232" s="4357"/>
      <c r="DM232" s="4357"/>
      <c r="DN232" s="4357"/>
      <c r="DO232" s="4357"/>
      <c r="DP232" s="4357"/>
      <c r="DQ232" s="4357"/>
      <c r="DR232" s="4357"/>
      <c r="DS232" s="4357"/>
      <c r="DT232" s="4357"/>
      <c r="DU232" s="4357"/>
      <c r="DV232" s="4357"/>
      <c r="DW232" s="4357"/>
      <c r="DX232" s="4357"/>
      <c r="DY232" s="4357"/>
      <c r="DZ232" s="4357"/>
      <c r="EA232" s="4357"/>
      <c r="EB232" s="4357"/>
      <c r="EC232" s="4357"/>
      <c r="ED232" s="4357"/>
      <c r="EE232" s="4357"/>
      <c r="EF232" s="4357"/>
    </row>
    <row r="233" spans="1:136" ht="16" x14ac:dyDescent="0.2">
      <c r="A233" t="str">
        <f>Languages!$B$655</f>
        <v>Inputs &amp; Invest.</v>
      </c>
      <c r="B233" t="s">
        <v>3243</v>
      </c>
      <c r="D233" t="str">
        <f>'9.Inputs'!C56</f>
        <v>Please select</v>
      </c>
      <c r="E233">
        <f>'9.Inputs'!V56</f>
        <v>0</v>
      </c>
      <c r="F233" s="388">
        <v>0</v>
      </c>
      <c r="G233" s="388">
        <v>0</v>
      </c>
      <c r="L233" s="388">
        <f>Inputs!P91-Inputs!O91</f>
        <v>0</v>
      </c>
      <c r="AB233" t="str">
        <f t="shared" si="471"/>
        <v>ok</v>
      </c>
      <c r="AC233">
        <f>IF('9.Inputs'!BE56&lt;&gt;0,'9.Inputs'!BE56,'9.Inputs'!BD56)</f>
        <v>1</v>
      </c>
      <c r="AD233">
        <f t="shared" si="502"/>
        <v>5</v>
      </c>
      <c r="AE233" s="4357" t="str">
        <f>'9.Inputs'!F56</f>
        <v>D</v>
      </c>
      <c r="AF233" s="4357" t="str">
        <f>'9.Inputs'!H56</f>
        <v>D</v>
      </c>
      <c r="AG233" s="4357" t="str">
        <f t="shared" si="505"/>
        <v>D</v>
      </c>
      <c r="AH233" s="4357">
        <f>((E233/(time_cap+((AD233-AC233+1)*VLOOKUP(AG233,list!$I$48:$K$50,3, FALSE))))*(AD233-AC233+1)*VLOOKUP(AG233,list!$I$48:$K$50,3, FALSE))</f>
        <v>0</v>
      </c>
      <c r="AI233" s="4357">
        <f>((E233/(time_cap+((AD233-AC233+1)*VLOOKUP(AG233,list!$I$48:$K$50,3, FALSE))))*time_cap)</f>
        <v>0</v>
      </c>
      <c r="AK233" s="4357">
        <f t="shared" ref="AK233:BP233" si="532">IFERROR(IF((time+time_cap)&lt;AK$2, 0,IF(AND(time+1&gt;=AL$2, $AC233&lt;AL$2), IF($AG233= "I", $AH233/($AD233-$AC233+1), $AH233/(($AD233*($AD233+1)/2)-(($AC233-1)*($AC233-1+1)/2))*AK$2), 0)+IF(IF(time+1&gt;=AL$2, $AI233/time_cap/(time+1)*AK$2, 0) = 0, $AI233/(time_cap),0)),0)</f>
        <v>0</v>
      </c>
      <c r="AL233" s="4357">
        <f t="shared" si="532"/>
        <v>0</v>
      </c>
      <c r="AM233" s="4357">
        <f t="shared" si="532"/>
        <v>0</v>
      </c>
      <c r="AN233" s="4357">
        <f t="shared" si="532"/>
        <v>0</v>
      </c>
      <c r="AO233" s="4357">
        <f t="shared" si="532"/>
        <v>0</v>
      </c>
      <c r="AP233" s="4357">
        <f t="shared" si="532"/>
        <v>0</v>
      </c>
      <c r="AQ233" s="4357">
        <f t="shared" si="532"/>
        <v>0</v>
      </c>
      <c r="AR233" s="4357">
        <f t="shared" si="532"/>
        <v>0</v>
      </c>
      <c r="AS233" s="4357">
        <f t="shared" si="532"/>
        <v>0</v>
      </c>
      <c r="AT233" s="4357">
        <f t="shared" si="532"/>
        <v>0</v>
      </c>
      <c r="AU233" s="4357">
        <f t="shared" si="532"/>
        <v>0</v>
      </c>
      <c r="AV233" s="4357">
        <f t="shared" si="532"/>
        <v>0</v>
      </c>
      <c r="AW233" s="4357">
        <f t="shared" si="532"/>
        <v>0</v>
      </c>
      <c r="AX233" s="4357">
        <f t="shared" si="532"/>
        <v>0</v>
      </c>
      <c r="AY233" s="4357">
        <f t="shared" si="532"/>
        <v>0</v>
      </c>
      <c r="AZ233" s="4357">
        <f t="shared" si="532"/>
        <v>0</v>
      </c>
      <c r="BA233" s="4357">
        <f t="shared" si="532"/>
        <v>0</v>
      </c>
      <c r="BB233" s="4357">
        <f t="shared" si="532"/>
        <v>0</v>
      </c>
      <c r="BC233" s="4357">
        <f t="shared" si="532"/>
        <v>0</v>
      </c>
      <c r="BD233" s="4357">
        <f t="shared" si="532"/>
        <v>0</v>
      </c>
      <c r="BE233" s="4357">
        <f t="shared" si="532"/>
        <v>0</v>
      </c>
      <c r="BF233" s="4357">
        <f t="shared" si="532"/>
        <v>0</v>
      </c>
      <c r="BG233" s="4357">
        <f t="shared" si="532"/>
        <v>0</v>
      </c>
      <c r="BH233" s="4357">
        <f t="shared" si="532"/>
        <v>0</v>
      </c>
      <c r="BI233" s="4357">
        <f t="shared" si="532"/>
        <v>0</v>
      </c>
      <c r="BJ233" s="4357">
        <f t="shared" si="532"/>
        <v>0</v>
      </c>
      <c r="BK233" s="4357">
        <f t="shared" si="532"/>
        <v>0</v>
      </c>
      <c r="BL233" s="4357">
        <f t="shared" si="532"/>
        <v>0</v>
      </c>
      <c r="BM233" s="4357">
        <f t="shared" si="532"/>
        <v>0</v>
      </c>
      <c r="BN233" s="4357">
        <f t="shared" si="532"/>
        <v>0</v>
      </c>
      <c r="BO233" s="4357">
        <f t="shared" si="532"/>
        <v>0</v>
      </c>
      <c r="BP233" s="4357">
        <f t="shared" si="532"/>
        <v>0</v>
      </c>
      <c r="BQ233" s="4357">
        <f t="shared" ref="BQ233:CH233" si="533">IFERROR(IF((time+time_cap)&lt;BQ$2, 0,IF(AND(time+1&gt;=BR$2, $AC233&lt;BR$2), IF($AG233= "I", $AH233/($AD233-$AC233+1), $AH233/(($AD233*($AD233+1)/2)-(($AC233-1)*($AC233-1+1)/2))*BQ$2), 0)+IF(IF(time+1&gt;=BR$2, $AI233/time_cap/(time+1)*BQ$2, 0) = 0, $AI233/(time_cap),0)),0)</f>
        <v>0</v>
      </c>
      <c r="BR233" s="4357">
        <f t="shared" si="533"/>
        <v>0</v>
      </c>
      <c r="BS233" s="4357">
        <f t="shared" si="533"/>
        <v>0</v>
      </c>
      <c r="BT233" s="4357">
        <f t="shared" si="533"/>
        <v>0</v>
      </c>
      <c r="BU233" s="4357">
        <f t="shared" si="533"/>
        <v>0</v>
      </c>
      <c r="BV233" s="4357">
        <f t="shared" si="533"/>
        <v>0</v>
      </c>
      <c r="BW233" s="4357">
        <f t="shared" si="533"/>
        <v>0</v>
      </c>
      <c r="BX233" s="4357">
        <f t="shared" si="533"/>
        <v>0</v>
      </c>
      <c r="BY233" s="4357">
        <f t="shared" si="533"/>
        <v>0</v>
      </c>
      <c r="BZ233" s="4357">
        <f t="shared" si="533"/>
        <v>0</v>
      </c>
      <c r="CA233" s="4357">
        <f t="shared" si="533"/>
        <v>0</v>
      </c>
      <c r="CB233" s="4357">
        <f t="shared" si="533"/>
        <v>0</v>
      </c>
      <c r="CC233" s="4357">
        <f t="shared" si="533"/>
        <v>0</v>
      </c>
      <c r="CD233" s="4357">
        <f t="shared" si="533"/>
        <v>0</v>
      </c>
      <c r="CE233" s="4357">
        <f t="shared" si="533"/>
        <v>0</v>
      </c>
      <c r="CF233" s="4357">
        <f t="shared" si="533"/>
        <v>0</v>
      </c>
      <c r="CG233" s="4357">
        <f t="shared" si="533"/>
        <v>0</v>
      </c>
      <c r="CH233" s="4357">
        <f t="shared" si="533"/>
        <v>0</v>
      </c>
      <c r="CI233" s="4357"/>
      <c r="CJ233" s="4357"/>
      <c r="CK233" s="4357"/>
      <c r="CL233" s="4357"/>
      <c r="CM233" s="4357"/>
      <c r="CN233" s="4357"/>
      <c r="CO233" s="4357"/>
      <c r="CP233" s="4357"/>
      <c r="CQ233" s="4357"/>
      <c r="CR233" s="4357"/>
      <c r="CS233" s="4357"/>
      <c r="CT233" s="4357"/>
      <c r="CU233" s="4357"/>
      <c r="CV233" s="4357"/>
      <c r="CW233" s="4357"/>
      <c r="CX233" s="4357"/>
      <c r="CY233" s="4357"/>
      <c r="CZ233" s="4357"/>
      <c r="DA233" s="4357"/>
      <c r="DB233" s="4357"/>
      <c r="DC233" s="4357"/>
      <c r="DD233" s="4357"/>
      <c r="DE233" s="4357"/>
      <c r="DF233" s="4357"/>
      <c r="DG233" s="4357"/>
      <c r="DH233" s="4357"/>
      <c r="DI233" s="4357"/>
      <c r="DJ233" s="4357"/>
      <c r="DK233" s="4357"/>
      <c r="DL233" s="4357"/>
      <c r="DM233" s="4357"/>
      <c r="DN233" s="4357"/>
      <c r="DO233" s="4357"/>
      <c r="DP233" s="4357"/>
      <c r="DQ233" s="4357"/>
      <c r="DR233" s="4357"/>
      <c r="DS233" s="4357"/>
      <c r="DT233" s="4357"/>
      <c r="DU233" s="4357"/>
      <c r="DV233" s="4357"/>
      <c r="DW233" s="4357"/>
      <c r="DX233" s="4357"/>
      <c r="DY233" s="4357"/>
      <c r="DZ233" s="4357"/>
      <c r="EA233" s="4357"/>
      <c r="EB233" s="4357"/>
      <c r="EC233" s="4357"/>
      <c r="ED233" s="4357"/>
      <c r="EE233" s="4357"/>
      <c r="EF233" s="4357"/>
    </row>
    <row r="234" spans="1:136" ht="16" x14ac:dyDescent="0.2">
      <c r="A234" t="str">
        <f>Languages!$B$655</f>
        <v>Inputs &amp; Invest.</v>
      </c>
      <c r="B234" t="s">
        <v>3243</v>
      </c>
      <c r="D234" t="str">
        <f>'9.Inputs'!C57</f>
        <v xml:space="preserve">User defined (Tier 2) </v>
      </c>
      <c r="E234">
        <f>'9.Inputs'!V57</f>
        <v>0</v>
      </c>
      <c r="F234" s="388">
        <v>0</v>
      </c>
      <c r="G234" s="388">
        <v>0</v>
      </c>
      <c r="L234" s="388">
        <f>Inputs!P92-Inputs!O92</f>
        <v>0</v>
      </c>
      <c r="AB234" t="str">
        <f t="shared" si="471"/>
        <v>ok</v>
      </c>
      <c r="AC234">
        <f>IF('9.Inputs'!BE57&lt;&gt;0,'9.Inputs'!BE57,'9.Inputs'!BD57)</f>
        <v>1</v>
      </c>
      <c r="AD234">
        <f t="shared" si="502"/>
        <v>5</v>
      </c>
      <c r="AE234" s="4357" t="str">
        <f>'9.Inputs'!F57</f>
        <v>D</v>
      </c>
      <c r="AF234" s="4357" t="str">
        <f>'9.Inputs'!H57</f>
        <v>D</v>
      </c>
      <c r="AG234" s="4357" t="str">
        <f t="shared" si="505"/>
        <v>D</v>
      </c>
      <c r="AH234" s="4357">
        <f>((E234/(time_cap+((AD234-AC234+1)*VLOOKUP(AG234,list!$I$48:$K$50,3, FALSE))))*(AD234-AC234+1)*VLOOKUP(AG234,list!$I$48:$K$50,3, FALSE))</f>
        <v>0</v>
      </c>
      <c r="AI234" s="4357">
        <f>((E234/(time_cap+((AD234-AC234+1)*VLOOKUP(AG234,list!$I$48:$K$50,3, FALSE))))*time_cap)</f>
        <v>0</v>
      </c>
      <c r="AK234" s="4357">
        <f t="shared" ref="AK234:BP234" si="534">IFERROR(IF((time+time_cap)&lt;AK$2, 0,IF(AND(time+1&gt;=AL$2, $AC234&lt;AL$2), IF($AG234= "I", $AH234/($AD234-$AC234+1), $AH234/(($AD234*($AD234+1)/2)-(($AC234-1)*($AC234-1+1)/2))*AK$2), 0)+IF(IF(time+1&gt;=AL$2, $AI234/time_cap/(time+1)*AK$2, 0) = 0, $AI234/(time_cap),0)),0)</f>
        <v>0</v>
      </c>
      <c r="AL234" s="4357">
        <f t="shared" si="534"/>
        <v>0</v>
      </c>
      <c r="AM234" s="4357">
        <f t="shared" si="534"/>
        <v>0</v>
      </c>
      <c r="AN234" s="4357">
        <f t="shared" si="534"/>
        <v>0</v>
      </c>
      <c r="AO234" s="4357">
        <f t="shared" si="534"/>
        <v>0</v>
      </c>
      <c r="AP234" s="4357">
        <f t="shared" si="534"/>
        <v>0</v>
      </c>
      <c r="AQ234" s="4357">
        <f t="shared" si="534"/>
        <v>0</v>
      </c>
      <c r="AR234" s="4357">
        <f t="shared" si="534"/>
        <v>0</v>
      </c>
      <c r="AS234" s="4357">
        <f t="shared" si="534"/>
        <v>0</v>
      </c>
      <c r="AT234" s="4357">
        <f t="shared" si="534"/>
        <v>0</v>
      </c>
      <c r="AU234" s="4357">
        <f t="shared" si="534"/>
        <v>0</v>
      </c>
      <c r="AV234" s="4357">
        <f t="shared" si="534"/>
        <v>0</v>
      </c>
      <c r="AW234" s="4357">
        <f t="shared" si="534"/>
        <v>0</v>
      </c>
      <c r="AX234" s="4357">
        <f t="shared" si="534"/>
        <v>0</v>
      </c>
      <c r="AY234" s="4357">
        <f t="shared" si="534"/>
        <v>0</v>
      </c>
      <c r="AZ234" s="4357">
        <f t="shared" si="534"/>
        <v>0</v>
      </c>
      <c r="BA234" s="4357">
        <f t="shared" si="534"/>
        <v>0</v>
      </c>
      <c r="BB234" s="4357">
        <f t="shared" si="534"/>
        <v>0</v>
      </c>
      <c r="BC234" s="4357">
        <f t="shared" si="534"/>
        <v>0</v>
      </c>
      <c r="BD234" s="4357">
        <f t="shared" si="534"/>
        <v>0</v>
      </c>
      <c r="BE234" s="4357">
        <f t="shared" si="534"/>
        <v>0</v>
      </c>
      <c r="BF234" s="4357">
        <f t="shared" si="534"/>
        <v>0</v>
      </c>
      <c r="BG234" s="4357">
        <f t="shared" si="534"/>
        <v>0</v>
      </c>
      <c r="BH234" s="4357">
        <f t="shared" si="534"/>
        <v>0</v>
      </c>
      <c r="BI234" s="4357">
        <f t="shared" si="534"/>
        <v>0</v>
      </c>
      <c r="BJ234" s="4357">
        <f t="shared" si="534"/>
        <v>0</v>
      </c>
      <c r="BK234" s="4357">
        <f t="shared" si="534"/>
        <v>0</v>
      </c>
      <c r="BL234" s="4357">
        <f t="shared" si="534"/>
        <v>0</v>
      </c>
      <c r="BM234" s="4357">
        <f t="shared" si="534"/>
        <v>0</v>
      </c>
      <c r="BN234" s="4357">
        <f t="shared" si="534"/>
        <v>0</v>
      </c>
      <c r="BO234" s="4357">
        <f t="shared" si="534"/>
        <v>0</v>
      </c>
      <c r="BP234" s="4357">
        <f t="shared" si="534"/>
        <v>0</v>
      </c>
      <c r="BQ234" s="4357">
        <f t="shared" ref="BQ234:CH234" si="535">IFERROR(IF((time+time_cap)&lt;BQ$2, 0,IF(AND(time+1&gt;=BR$2, $AC234&lt;BR$2), IF($AG234= "I", $AH234/($AD234-$AC234+1), $AH234/(($AD234*($AD234+1)/2)-(($AC234-1)*($AC234-1+1)/2))*BQ$2), 0)+IF(IF(time+1&gt;=BR$2, $AI234/time_cap/(time+1)*BQ$2, 0) = 0, $AI234/(time_cap),0)),0)</f>
        <v>0</v>
      </c>
      <c r="BR234" s="4357">
        <f t="shared" si="535"/>
        <v>0</v>
      </c>
      <c r="BS234" s="4357">
        <f t="shared" si="535"/>
        <v>0</v>
      </c>
      <c r="BT234" s="4357">
        <f t="shared" si="535"/>
        <v>0</v>
      </c>
      <c r="BU234" s="4357">
        <f t="shared" si="535"/>
        <v>0</v>
      </c>
      <c r="BV234" s="4357">
        <f t="shared" si="535"/>
        <v>0</v>
      </c>
      <c r="BW234" s="4357">
        <f t="shared" si="535"/>
        <v>0</v>
      </c>
      <c r="BX234" s="4357">
        <f t="shared" si="535"/>
        <v>0</v>
      </c>
      <c r="BY234" s="4357">
        <f t="shared" si="535"/>
        <v>0</v>
      </c>
      <c r="BZ234" s="4357">
        <f t="shared" si="535"/>
        <v>0</v>
      </c>
      <c r="CA234" s="4357">
        <f t="shared" si="535"/>
        <v>0</v>
      </c>
      <c r="CB234" s="4357">
        <f t="shared" si="535"/>
        <v>0</v>
      </c>
      <c r="CC234" s="4357">
        <f t="shared" si="535"/>
        <v>0</v>
      </c>
      <c r="CD234" s="4357">
        <f t="shared" si="535"/>
        <v>0</v>
      </c>
      <c r="CE234" s="4357">
        <f t="shared" si="535"/>
        <v>0</v>
      </c>
      <c r="CF234" s="4357">
        <f t="shared" si="535"/>
        <v>0</v>
      </c>
      <c r="CG234" s="4357">
        <f t="shared" si="535"/>
        <v>0</v>
      </c>
      <c r="CH234" s="4357">
        <f t="shared" si="535"/>
        <v>0</v>
      </c>
      <c r="CI234" s="4357"/>
      <c r="CJ234" s="4357"/>
      <c r="CK234" s="4357"/>
      <c r="CL234" s="4357"/>
      <c r="CM234" s="4357"/>
      <c r="CN234" s="4357"/>
      <c r="CO234" s="4357"/>
      <c r="CP234" s="4357"/>
      <c r="CQ234" s="4357"/>
      <c r="CR234" s="4357"/>
      <c r="CS234" s="4357"/>
      <c r="CT234" s="4357"/>
      <c r="CU234" s="4357"/>
      <c r="CV234" s="4357"/>
      <c r="CW234" s="4357"/>
      <c r="CX234" s="4357"/>
      <c r="CY234" s="4357"/>
      <c r="CZ234" s="4357"/>
      <c r="DA234" s="4357"/>
      <c r="DB234" s="4357"/>
      <c r="DC234" s="4357"/>
      <c r="DD234" s="4357"/>
      <c r="DE234" s="4357"/>
      <c r="DF234" s="4357"/>
      <c r="DG234" s="4357"/>
      <c r="DH234" s="4357"/>
      <c r="DI234" s="4357"/>
      <c r="DJ234" s="4357"/>
      <c r="DK234" s="4357"/>
      <c r="DL234" s="4357"/>
      <c r="DM234" s="4357"/>
      <c r="DN234" s="4357"/>
      <c r="DO234" s="4357"/>
      <c r="DP234" s="4357"/>
      <c r="DQ234" s="4357"/>
      <c r="DR234" s="4357"/>
      <c r="DS234" s="4357"/>
      <c r="DT234" s="4357"/>
      <c r="DU234" s="4357"/>
      <c r="DV234" s="4357"/>
      <c r="DW234" s="4357"/>
      <c r="DX234" s="4357"/>
      <c r="DY234" s="4357"/>
      <c r="DZ234" s="4357"/>
      <c r="EA234" s="4357"/>
      <c r="EB234" s="4357"/>
      <c r="EC234" s="4357"/>
      <c r="ED234" s="4357"/>
      <c r="EE234" s="4357"/>
      <c r="EF234" s="4357"/>
    </row>
    <row r="235" spans="1:136" ht="16" x14ac:dyDescent="0.2">
      <c r="A235" t="str">
        <f>Languages!$B$655</f>
        <v>Inputs &amp; Invest.</v>
      </c>
      <c r="B235" t="s">
        <v>3243</v>
      </c>
      <c r="D235" t="str">
        <f>'9.Inputs'!C60</f>
        <v>Wood</v>
      </c>
      <c r="E235">
        <f>'9.Inputs'!V60</f>
        <v>0</v>
      </c>
      <c r="F235" s="388">
        <v>0</v>
      </c>
      <c r="G235" s="388">
        <v>0</v>
      </c>
      <c r="L235" s="388">
        <f>Inputs!P95-Inputs!O95</f>
        <v>0</v>
      </c>
      <c r="AB235" t="str">
        <f t="shared" si="471"/>
        <v>ok</v>
      </c>
      <c r="AC235">
        <f>IF('9.Inputs'!BE60&lt;&gt;0,'9.Inputs'!BE60,'9.Inputs'!BD60)</f>
        <v>1</v>
      </c>
      <c r="AD235">
        <f t="shared" si="502"/>
        <v>5</v>
      </c>
      <c r="AE235" s="4357" t="str">
        <f>'9.Inputs'!F60</f>
        <v>D</v>
      </c>
      <c r="AF235" s="4357" t="str">
        <f>'9.Inputs'!H60</f>
        <v>D</v>
      </c>
      <c r="AG235" s="4357" t="str">
        <f t="shared" si="505"/>
        <v>D</v>
      </c>
      <c r="AH235" s="4357">
        <f>((E235/(time_cap+((AD235-AC235+1)*VLOOKUP(AG235,list!$I$48:$K$50,3, FALSE))))*(AD235-AC235+1)*VLOOKUP(AG235,list!$I$48:$K$50,3, FALSE))</f>
        <v>0</v>
      </c>
      <c r="AI235" s="4357">
        <f>((E235/(time_cap+((AD235-AC235+1)*VLOOKUP(AG235,list!$I$48:$K$50,3, FALSE))))*time_cap)</f>
        <v>0</v>
      </c>
      <c r="AK235" s="4357">
        <f t="shared" ref="AK235:BP235" si="536">IFERROR(IF((time+time_cap)&lt;AK$2, 0,IF(AND(time+1&gt;=AL$2, $AC235&lt;AL$2), IF($AG235= "I", $AH235/($AD235-$AC235+1), $AH235/(($AD235*($AD235+1)/2)-(($AC235-1)*($AC235-1+1)/2))*AK$2), 0)+IF(IF(time+1&gt;=AL$2, $AI235/time_cap/(time+1)*AK$2, 0) = 0, $AI235/(time_cap),0)),0)</f>
        <v>0</v>
      </c>
      <c r="AL235" s="4357">
        <f t="shared" si="536"/>
        <v>0</v>
      </c>
      <c r="AM235" s="4357">
        <f t="shared" si="536"/>
        <v>0</v>
      </c>
      <c r="AN235" s="4357">
        <f t="shared" si="536"/>
        <v>0</v>
      </c>
      <c r="AO235" s="4357">
        <f t="shared" si="536"/>
        <v>0</v>
      </c>
      <c r="AP235" s="4357">
        <f t="shared" si="536"/>
        <v>0</v>
      </c>
      <c r="AQ235" s="4357">
        <f t="shared" si="536"/>
        <v>0</v>
      </c>
      <c r="AR235" s="4357">
        <f t="shared" si="536"/>
        <v>0</v>
      </c>
      <c r="AS235" s="4357">
        <f t="shared" si="536"/>
        <v>0</v>
      </c>
      <c r="AT235" s="4357">
        <f t="shared" si="536"/>
        <v>0</v>
      </c>
      <c r="AU235" s="4357">
        <f t="shared" si="536"/>
        <v>0</v>
      </c>
      <c r="AV235" s="4357">
        <f t="shared" si="536"/>
        <v>0</v>
      </c>
      <c r="AW235" s="4357">
        <f t="shared" si="536"/>
        <v>0</v>
      </c>
      <c r="AX235" s="4357">
        <f t="shared" si="536"/>
        <v>0</v>
      </c>
      <c r="AY235" s="4357">
        <f t="shared" si="536"/>
        <v>0</v>
      </c>
      <c r="AZ235" s="4357">
        <f t="shared" si="536"/>
        <v>0</v>
      </c>
      <c r="BA235" s="4357">
        <f t="shared" si="536"/>
        <v>0</v>
      </c>
      <c r="BB235" s="4357">
        <f t="shared" si="536"/>
        <v>0</v>
      </c>
      <c r="BC235" s="4357">
        <f t="shared" si="536"/>
        <v>0</v>
      </c>
      <c r="BD235" s="4357">
        <f t="shared" si="536"/>
        <v>0</v>
      </c>
      <c r="BE235" s="4357">
        <f t="shared" si="536"/>
        <v>0</v>
      </c>
      <c r="BF235" s="4357">
        <f t="shared" si="536"/>
        <v>0</v>
      </c>
      <c r="BG235" s="4357">
        <f t="shared" si="536"/>
        <v>0</v>
      </c>
      <c r="BH235" s="4357">
        <f t="shared" si="536"/>
        <v>0</v>
      </c>
      <c r="BI235" s="4357">
        <f t="shared" si="536"/>
        <v>0</v>
      </c>
      <c r="BJ235" s="4357">
        <f t="shared" si="536"/>
        <v>0</v>
      </c>
      <c r="BK235" s="4357">
        <f t="shared" si="536"/>
        <v>0</v>
      </c>
      <c r="BL235" s="4357">
        <f t="shared" si="536"/>
        <v>0</v>
      </c>
      <c r="BM235" s="4357">
        <f t="shared" si="536"/>
        <v>0</v>
      </c>
      <c r="BN235" s="4357">
        <f t="shared" si="536"/>
        <v>0</v>
      </c>
      <c r="BO235" s="4357">
        <f t="shared" si="536"/>
        <v>0</v>
      </c>
      <c r="BP235" s="4357">
        <f t="shared" si="536"/>
        <v>0</v>
      </c>
      <c r="BQ235" s="4357">
        <f t="shared" ref="BQ235:CH235" si="537">IFERROR(IF((time+time_cap)&lt;BQ$2, 0,IF(AND(time+1&gt;=BR$2, $AC235&lt;BR$2), IF($AG235= "I", $AH235/($AD235-$AC235+1), $AH235/(($AD235*($AD235+1)/2)-(($AC235-1)*($AC235-1+1)/2))*BQ$2), 0)+IF(IF(time+1&gt;=BR$2, $AI235/time_cap/(time+1)*BQ$2, 0) = 0, $AI235/(time_cap),0)),0)</f>
        <v>0</v>
      </c>
      <c r="BR235" s="4357">
        <f t="shared" si="537"/>
        <v>0</v>
      </c>
      <c r="BS235" s="4357">
        <f t="shared" si="537"/>
        <v>0</v>
      </c>
      <c r="BT235" s="4357">
        <f t="shared" si="537"/>
        <v>0</v>
      </c>
      <c r="BU235" s="4357">
        <f t="shared" si="537"/>
        <v>0</v>
      </c>
      <c r="BV235" s="4357">
        <f t="shared" si="537"/>
        <v>0</v>
      </c>
      <c r="BW235" s="4357">
        <f t="shared" si="537"/>
        <v>0</v>
      </c>
      <c r="BX235" s="4357">
        <f t="shared" si="537"/>
        <v>0</v>
      </c>
      <c r="BY235" s="4357">
        <f t="shared" si="537"/>
        <v>0</v>
      </c>
      <c r="BZ235" s="4357">
        <f t="shared" si="537"/>
        <v>0</v>
      </c>
      <c r="CA235" s="4357">
        <f t="shared" si="537"/>
        <v>0</v>
      </c>
      <c r="CB235" s="4357">
        <f t="shared" si="537"/>
        <v>0</v>
      </c>
      <c r="CC235" s="4357">
        <f t="shared" si="537"/>
        <v>0</v>
      </c>
      <c r="CD235" s="4357">
        <f t="shared" si="537"/>
        <v>0</v>
      </c>
      <c r="CE235" s="4357">
        <f t="shared" si="537"/>
        <v>0</v>
      </c>
      <c r="CF235" s="4357">
        <f t="shared" si="537"/>
        <v>0</v>
      </c>
      <c r="CG235" s="4357">
        <f t="shared" si="537"/>
        <v>0</v>
      </c>
      <c r="CH235" s="4357">
        <f t="shared" si="537"/>
        <v>0</v>
      </c>
      <c r="CI235" s="4357"/>
      <c r="CJ235" s="4357"/>
      <c r="CK235" s="4357"/>
      <c r="CL235" s="4357"/>
      <c r="CM235" s="4357"/>
      <c r="CN235" s="4357"/>
      <c r="CO235" s="4357"/>
      <c r="CP235" s="4357"/>
      <c r="CQ235" s="4357"/>
      <c r="CR235" s="4357"/>
      <c r="CS235" s="4357"/>
      <c r="CT235" s="4357"/>
      <c r="CU235" s="4357"/>
      <c r="CV235" s="4357"/>
      <c r="CW235" s="4357"/>
      <c r="CX235" s="4357"/>
      <c r="CY235" s="4357"/>
      <c r="CZ235" s="4357"/>
      <c r="DA235" s="4357"/>
      <c r="DB235" s="4357"/>
      <c r="DC235" s="4357"/>
      <c r="DD235" s="4357"/>
      <c r="DE235" s="4357"/>
      <c r="DF235" s="4357"/>
      <c r="DG235" s="4357"/>
      <c r="DH235" s="4357"/>
      <c r="DI235" s="4357"/>
      <c r="DJ235" s="4357"/>
      <c r="DK235" s="4357"/>
      <c r="DL235" s="4357"/>
      <c r="DM235" s="4357"/>
      <c r="DN235" s="4357"/>
      <c r="DO235" s="4357"/>
      <c r="DP235" s="4357"/>
      <c r="DQ235" s="4357"/>
      <c r="DR235" s="4357"/>
      <c r="DS235" s="4357"/>
      <c r="DT235" s="4357"/>
      <c r="DU235" s="4357"/>
      <c r="DV235" s="4357"/>
      <c r="DW235" s="4357"/>
      <c r="DX235" s="4357"/>
      <c r="DY235" s="4357"/>
      <c r="DZ235" s="4357"/>
      <c r="EA235" s="4357"/>
      <c r="EB235" s="4357"/>
      <c r="EC235" s="4357"/>
      <c r="ED235" s="4357"/>
      <c r="EE235" s="4357"/>
      <c r="EF235" s="4357"/>
    </row>
    <row r="236" spans="1:136" ht="16" x14ac:dyDescent="0.2">
      <c r="A236" t="str">
        <f>Languages!$B$655</f>
        <v>Inputs &amp; Invest.</v>
      </c>
      <c r="B236" t="s">
        <v>3243</v>
      </c>
      <c r="D236" t="str">
        <f>'9.Inputs'!C61</f>
        <v xml:space="preserve">Peat </v>
      </c>
      <c r="E236">
        <f>'9.Inputs'!V61</f>
        <v>0</v>
      </c>
      <c r="F236" s="388">
        <v>0</v>
      </c>
      <c r="G236" s="388">
        <v>0</v>
      </c>
      <c r="L236" s="388">
        <f>Inputs!P96-Inputs!O96</f>
        <v>0</v>
      </c>
      <c r="AB236" t="str">
        <f t="shared" si="471"/>
        <v>ok</v>
      </c>
      <c r="AC236">
        <f>IF('9.Inputs'!BE61&lt;&gt;0,'9.Inputs'!BE61,'9.Inputs'!BD61)</f>
        <v>1</v>
      </c>
      <c r="AD236">
        <f t="shared" si="502"/>
        <v>5</v>
      </c>
      <c r="AE236" s="4357" t="str">
        <f>'9.Inputs'!F61</f>
        <v>D</v>
      </c>
      <c r="AF236" s="4357" t="str">
        <f>'9.Inputs'!H61</f>
        <v>D</v>
      </c>
      <c r="AG236" s="4357" t="str">
        <f t="shared" si="505"/>
        <v>D</v>
      </c>
      <c r="AH236" s="4357">
        <f>((E236/(time_cap+((AD236-AC236+1)*VLOOKUP(AG236,list!$I$48:$K$50,3, FALSE))))*(AD236-AC236+1)*VLOOKUP(AG236,list!$I$48:$K$50,3, FALSE))</f>
        <v>0</v>
      </c>
      <c r="AI236" s="4357">
        <f>((E236/(time_cap+((AD236-AC236+1)*VLOOKUP(AG236,list!$I$48:$K$50,3, FALSE))))*time_cap)</f>
        <v>0</v>
      </c>
      <c r="AK236" s="4357">
        <f t="shared" ref="AK236:BP236" si="538">IFERROR(IF((time+time_cap)&lt;AK$2, 0,IF(AND(time+1&gt;=AL$2, $AC236&lt;AL$2), IF($AG236= "I", $AH236/($AD236-$AC236+1), $AH236/(($AD236*($AD236+1)/2)-(($AC236-1)*($AC236-1+1)/2))*AK$2), 0)+IF(IF(time+1&gt;=AL$2, $AI236/time_cap/(time+1)*AK$2, 0) = 0, $AI236/(time_cap),0)),0)</f>
        <v>0</v>
      </c>
      <c r="AL236" s="4357">
        <f t="shared" si="538"/>
        <v>0</v>
      </c>
      <c r="AM236" s="4357">
        <f t="shared" si="538"/>
        <v>0</v>
      </c>
      <c r="AN236" s="4357">
        <f t="shared" si="538"/>
        <v>0</v>
      </c>
      <c r="AO236" s="4357">
        <f t="shared" si="538"/>
        <v>0</v>
      </c>
      <c r="AP236" s="4357">
        <f t="shared" si="538"/>
        <v>0</v>
      </c>
      <c r="AQ236" s="4357">
        <f t="shared" si="538"/>
        <v>0</v>
      </c>
      <c r="AR236" s="4357">
        <f t="shared" si="538"/>
        <v>0</v>
      </c>
      <c r="AS236" s="4357">
        <f t="shared" si="538"/>
        <v>0</v>
      </c>
      <c r="AT236" s="4357">
        <f t="shared" si="538"/>
        <v>0</v>
      </c>
      <c r="AU236" s="4357">
        <f t="shared" si="538"/>
        <v>0</v>
      </c>
      <c r="AV236" s="4357">
        <f t="shared" si="538"/>
        <v>0</v>
      </c>
      <c r="AW236" s="4357">
        <f t="shared" si="538"/>
        <v>0</v>
      </c>
      <c r="AX236" s="4357">
        <f t="shared" si="538"/>
        <v>0</v>
      </c>
      <c r="AY236" s="4357">
        <f t="shared" si="538"/>
        <v>0</v>
      </c>
      <c r="AZ236" s="4357">
        <f t="shared" si="538"/>
        <v>0</v>
      </c>
      <c r="BA236" s="4357">
        <f t="shared" si="538"/>
        <v>0</v>
      </c>
      <c r="BB236" s="4357">
        <f t="shared" si="538"/>
        <v>0</v>
      </c>
      <c r="BC236" s="4357">
        <f t="shared" si="538"/>
        <v>0</v>
      </c>
      <c r="BD236" s="4357">
        <f t="shared" si="538"/>
        <v>0</v>
      </c>
      <c r="BE236" s="4357">
        <f t="shared" si="538"/>
        <v>0</v>
      </c>
      <c r="BF236" s="4357">
        <f t="shared" si="538"/>
        <v>0</v>
      </c>
      <c r="BG236" s="4357">
        <f t="shared" si="538"/>
        <v>0</v>
      </c>
      <c r="BH236" s="4357">
        <f t="shared" si="538"/>
        <v>0</v>
      </c>
      <c r="BI236" s="4357">
        <f t="shared" si="538"/>
        <v>0</v>
      </c>
      <c r="BJ236" s="4357">
        <f t="shared" si="538"/>
        <v>0</v>
      </c>
      <c r="BK236" s="4357">
        <f t="shared" si="538"/>
        <v>0</v>
      </c>
      <c r="BL236" s="4357">
        <f t="shared" si="538"/>
        <v>0</v>
      </c>
      <c r="BM236" s="4357">
        <f t="shared" si="538"/>
        <v>0</v>
      </c>
      <c r="BN236" s="4357">
        <f t="shared" si="538"/>
        <v>0</v>
      </c>
      <c r="BO236" s="4357">
        <f t="shared" si="538"/>
        <v>0</v>
      </c>
      <c r="BP236" s="4357">
        <f t="shared" si="538"/>
        <v>0</v>
      </c>
      <c r="BQ236" s="4357">
        <f t="shared" ref="BQ236:CH236" si="539">IFERROR(IF((time+time_cap)&lt;BQ$2, 0,IF(AND(time+1&gt;=BR$2, $AC236&lt;BR$2), IF($AG236= "I", $AH236/($AD236-$AC236+1), $AH236/(($AD236*($AD236+1)/2)-(($AC236-1)*($AC236-1+1)/2))*BQ$2), 0)+IF(IF(time+1&gt;=BR$2, $AI236/time_cap/(time+1)*BQ$2, 0) = 0, $AI236/(time_cap),0)),0)</f>
        <v>0</v>
      </c>
      <c r="BR236" s="4357">
        <f t="shared" si="539"/>
        <v>0</v>
      </c>
      <c r="BS236" s="4357">
        <f t="shared" si="539"/>
        <v>0</v>
      </c>
      <c r="BT236" s="4357">
        <f t="shared" si="539"/>
        <v>0</v>
      </c>
      <c r="BU236" s="4357">
        <f t="shared" si="539"/>
        <v>0</v>
      </c>
      <c r="BV236" s="4357">
        <f t="shared" si="539"/>
        <v>0</v>
      </c>
      <c r="BW236" s="4357">
        <f t="shared" si="539"/>
        <v>0</v>
      </c>
      <c r="BX236" s="4357">
        <f t="shared" si="539"/>
        <v>0</v>
      </c>
      <c r="BY236" s="4357">
        <f t="shared" si="539"/>
        <v>0</v>
      </c>
      <c r="BZ236" s="4357">
        <f t="shared" si="539"/>
        <v>0</v>
      </c>
      <c r="CA236" s="4357">
        <f t="shared" si="539"/>
        <v>0</v>
      </c>
      <c r="CB236" s="4357">
        <f t="shared" si="539"/>
        <v>0</v>
      </c>
      <c r="CC236" s="4357">
        <f t="shared" si="539"/>
        <v>0</v>
      </c>
      <c r="CD236" s="4357">
        <f t="shared" si="539"/>
        <v>0</v>
      </c>
      <c r="CE236" s="4357">
        <f t="shared" si="539"/>
        <v>0</v>
      </c>
      <c r="CF236" s="4357">
        <f t="shared" si="539"/>
        <v>0</v>
      </c>
      <c r="CG236" s="4357">
        <f t="shared" si="539"/>
        <v>0</v>
      </c>
      <c r="CH236" s="4357">
        <f t="shared" si="539"/>
        <v>0</v>
      </c>
      <c r="CI236" s="4357"/>
      <c r="CJ236" s="4357"/>
      <c r="CK236" s="4357"/>
      <c r="CL236" s="4357"/>
      <c r="CM236" s="4357"/>
      <c r="CN236" s="4357"/>
      <c r="CO236" s="4357"/>
      <c r="CP236" s="4357"/>
      <c r="CQ236" s="4357"/>
      <c r="CR236" s="4357"/>
      <c r="CS236" s="4357"/>
      <c r="CT236" s="4357"/>
      <c r="CU236" s="4357"/>
      <c r="CV236" s="4357"/>
      <c r="CW236" s="4357"/>
      <c r="CX236" s="4357"/>
      <c r="CY236" s="4357"/>
      <c r="CZ236" s="4357"/>
      <c r="DA236" s="4357"/>
      <c r="DB236" s="4357"/>
      <c r="DC236" s="4357"/>
      <c r="DD236" s="4357"/>
      <c r="DE236" s="4357"/>
      <c r="DF236" s="4357"/>
      <c r="DG236" s="4357"/>
      <c r="DH236" s="4357"/>
      <c r="DI236" s="4357"/>
      <c r="DJ236" s="4357"/>
      <c r="DK236" s="4357"/>
      <c r="DL236" s="4357"/>
      <c r="DM236" s="4357"/>
      <c r="DN236" s="4357"/>
      <c r="DO236" s="4357"/>
      <c r="DP236" s="4357"/>
      <c r="DQ236" s="4357"/>
      <c r="DR236" s="4357"/>
      <c r="DS236" s="4357"/>
      <c r="DT236" s="4357"/>
      <c r="DU236" s="4357"/>
      <c r="DV236" s="4357"/>
      <c r="DW236" s="4357"/>
      <c r="DX236" s="4357"/>
      <c r="DY236" s="4357"/>
      <c r="DZ236" s="4357"/>
      <c r="EA236" s="4357"/>
      <c r="EB236" s="4357"/>
      <c r="EC236" s="4357"/>
      <c r="ED236" s="4357"/>
      <c r="EE236" s="4357"/>
      <c r="EF236" s="4357"/>
    </row>
    <row r="237" spans="1:136" ht="16" x14ac:dyDescent="0.2">
      <c r="A237" t="str">
        <f>Languages!$B$655</f>
        <v>Inputs &amp; Invest.</v>
      </c>
      <c r="B237" t="s">
        <v>3243</v>
      </c>
      <c r="D237" t="str">
        <f>'9.Inputs'!C62</f>
        <v>Charcoal</v>
      </c>
      <c r="E237">
        <f>'9.Inputs'!V62</f>
        <v>0</v>
      </c>
      <c r="F237" s="388">
        <v>0</v>
      </c>
      <c r="G237" s="388">
        <v>0</v>
      </c>
      <c r="L237" s="388">
        <f>Inputs!P97-Inputs!O97</f>
        <v>0</v>
      </c>
      <c r="AB237" t="str">
        <f t="shared" si="471"/>
        <v>ok</v>
      </c>
      <c r="AC237">
        <f>IF('9.Inputs'!BE62&lt;&gt;0,'9.Inputs'!BE62,'9.Inputs'!BD62)</f>
        <v>1</v>
      </c>
      <c r="AD237">
        <f t="shared" si="502"/>
        <v>5</v>
      </c>
      <c r="AE237" s="4357" t="str">
        <f>'9.Inputs'!F62</f>
        <v>D</v>
      </c>
      <c r="AF237" s="4357" t="str">
        <f>'9.Inputs'!H62</f>
        <v>D</v>
      </c>
      <c r="AG237" s="4357" t="str">
        <f t="shared" si="505"/>
        <v>D</v>
      </c>
      <c r="AH237" s="4357">
        <f>((E237/(time_cap+((AD237-AC237+1)*VLOOKUP(AG237,list!$I$48:$K$50,3, FALSE))))*(AD237-AC237+1)*VLOOKUP(AG237,list!$I$48:$K$50,3, FALSE))</f>
        <v>0</v>
      </c>
      <c r="AI237" s="4357">
        <f>((E237/(time_cap+((AD237-AC237+1)*VLOOKUP(AG237,list!$I$48:$K$50,3, FALSE))))*time_cap)</f>
        <v>0</v>
      </c>
      <c r="AK237" s="4357">
        <f t="shared" ref="AK237:BP237" si="540">IFERROR(IF((time+time_cap)&lt;AK$2, 0,IF(AND(time+1&gt;=AL$2, $AC237&lt;AL$2), IF($AG237= "I", $AH237/($AD237-$AC237+1), $AH237/(($AD237*($AD237+1)/2)-(($AC237-1)*($AC237-1+1)/2))*AK$2), 0)+IF(IF(time+1&gt;=AL$2, $AI237/time_cap/(time+1)*AK$2, 0) = 0, $AI237/(time_cap),0)),0)</f>
        <v>0</v>
      </c>
      <c r="AL237" s="4357">
        <f t="shared" si="540"/>
        <v>0</v>
      </c>
      <c r="AM237" s="4357">
        <f t="shared" si="540"/>
        <v>0</v>
      </c>
      <c r="AN237" s="4357">
        <f t="shared" si="540"/>
        <v>0</v>
      </c>
      <c r="AO237" s="4357">
        <f t="shared" si="540"/>
        <v>0</v>
      </c>
      <c r="AP237" s="4357">
        <f t="shared" si="540"/>
        <v>0</v>
      </c>
      <c r="AQ237" s="4357">
        <f t="shared" si="540"/>
        <v>0</v>
      </c>
      <c r="AR237" s="4357">
        <f t="shared" si="540"/>
        <v>0</v>
      </c>
      <c r="AS237" s="4357">
        <f t="shared" si="540"/>
        <v>0</v>
      </c>
      <c r="AT237" s="4357">
        <f t="shared" si="540"/>
        <v>0</v>
      </c>
      <c r="AU237" s="4357">
        <f t="shared" si="540"/>
        <v>0</v>
      </c>
      <c r="AV237" s="4357">
        <f t="shared" si="540"/>
        <v>0</v>
      </c>
      <c r="AW237" s="4357">
        <f t="shared" si="540"/>
        <v>0</v>
      </c>
      <c r="AX237" s="4357">
        <f t="shared" si="540"/>
        <v>0</v>
      </c>
      <c r="AY237" s="4357">
        <f t="shared" si="540"/>
        <v>0</v>
      </c>
      <c r="AZ237" s="4357">
        <f t="shared" si="540"/>
        <v>0</v>
      </c>
      <c r="BA237" s="4357">
        <f t="shared" si="540"/>
        <v>0</v>
      </c>
      <c r="BB237" s="4357">
        <f t="shared" si="540"/>
        <v>0</v>
      </c>
      <c r="BC237" s="4357">
        <f t="shared" si="540"/>
        <v>0</v>
      </c>
      <c r="BD237" s="4357">
        <f t="shared" si="540"/>
        <v>0</v>
      </c>
      <c r="BE237" s="4357">
        <f t="shared" si="540"/>
        <v>0</v>
      </c>
      <c r="BF237" s="4357">
        <f t="shared" si="540"/>
        <v>0</v>
      </c>
      <c r="BG237" s="4357">
        <f t="shared" si="540"/>
        <v>0</v>
      </c>
      <c r="BH237" s="4357">
        <f t="shared" si="540"/>
        <v>0</v>
      </c>
      <c r="BI237" s="4357">
        <f t="shared" si="540"/>
        <v>0</v>
      </c>
      <c r="BJ237" s="4357">
        <f t="shared" si="540"/>
        <v>0</v>
      </c>
      <c r="BK237" s="4357">
        <f t="shared" si="540"/>
        <v>0</v>
      </c>
      <c r="BL237" s="4357">
        <f t="shared" si="540"/>
        <v>0</v>
      </c>
      <c r="BM237" s="4357">
        <f t="shared" si="540"/>
        <v>0</v>
      </c>
      <c r="BN237" s="4357">
        <f t="shared" si="540"/>
        <v>0</v>
      </c>
      <c r="BO237" s="4357">
        <f t="shared" si="540"/>
        <v>0</v>
      </c>
      <c r="BP237" s="4357">
        <f t="shared" si="540"/>
        <v>0</v>
      </c>
      <c r="BQ237" s="4357">
        <f t="shared" ref="BQ237:CH237" si="541">IFERROR(IF((time+time_cap)&lt;BQ$2, 0,IF(AND(time+1&gt;=BR$2, $AC237&lt;BR$2), IF($AG237= "I", $AH237/($AD237-$AC237+1), $AH237/(($AD237*($AD237+1)/2)-(($AC237-1)*($AC237-1+1)/2))*BQ$2), 0)+IF(IF(time+1&gt;=BR$2, $AI237/time_cap/(time+1)*BQ$2, 0) = 0, $AI237/(time_cap),0)),0)</f>
        <v>0</v>
      </c>
      <c r="BR237" s="4357">
        <f t="shared" si="541"/>
        <v>0</v>
      </c>
      <c r="BS237" s="4357">
        <f t="shared" si="541"/>
        <v>0</v>
      </c>
      <c r="BT237" s="4357">
        <f t="shared" si="541"/>
        <v>0</v>
      </c>
      <c r="BU237" s="4357">
        <f t="shared" si="541"/>
        <v>0</v>
      </c>
      <c r="BV237" s="4357">
        <f t="shared" si="541"/>
        <v>0</v>
      </c>
      <c r="BW237" s="4357">
        <f t="shared" si="541"/>
        <v>0</v>
      </c>
      <c r="BX237" s="4357">
        <f t="shared" si="541"/>
        <v>0</v>
      </c>
      <c r="BY237" s="4357">
        <f t="shared" si="541"/>
        <v>0</v>
      </c>
      <c r="BZ237" s="4357">
        <f t="shared" si="541"/>
        <v>0</v>
      </c>
      <c r="CA237" s="4357">
        <f t="shared" si="541"/>
        <v>0</v>
      </c>
      <c r="CB237" s="4357">
        <f t="shared" si="541"/>
        <v>0</v>
      </c>
      <c r="CC237" s="4357">
        <f t="shared" si="541"/>
        <v>0</v>
      </c>
      <c r="CD237" s="4357">
        <f t="shared" si="541"/>
        <v>0</v>
      </c>
      <c r="CE237" s="4357">
        <f t="shared" si="541"/>
        <v>0</v>
      </c>
      <c r="CF237" s="4357">
        <f t="shared" si="541"/>
        <v>0</v>
      </c>
      <c r="CG237" s="4357">
        <f t="shared" si="541"/>
        <v>0</v>
      </c>
      <c r="CH237" s="4357">
        <f t="shared" si="541"/>
        <v>0</v>
      </c>
      <c r="CI237" s="4357"/>
      <c r="CJ237" s="4357"/>
      <c r="CK237" s="4357"/>
      <c r="CL237" s="4357"/>
      <c r="CM237" s="4357"/>
      <c r="CN237" s="4357"/>
      <c r="CO237" s="4357"/>
      <c r="CP237" s="4357"/>
      <c r="CQ237" s="4357"/>
      <c r="CR237" s="4357"/>
      <c r="CS237" s="4357"/>
      <c r="CT237" s="4357"/>
      <c r="CU237" s="4357"/>
      <c r="CV237" s="4357"/>
      <c r="CW237" s="4357"/>
      <c r="CX237" s="4357"/>
      <c r="CY237" s="4357"/>
      <c r="CZ237" s="4357"/>
      <c r="DA237" s="4357"/>
      <c r="DB237" s="4357"/>
      <c r="DC237" s="4357"/>
      <c r="DD237" s="4357"/>
      <c r="DE237" s="4357"/>
      <c r="DF237" s="4357"/>
      <c r="DG237" s="4357"/>
      <c r="DH237" s="4357"/>
      <c r="DI237" s="4357"/>
      <c r="DJ237" s="4357"/>
      <c r="DK237" s="4357"/>
      <c r="DL237" s="4357"/>
      <c r="DM237" s="4357"/>
      <c r="DN237" s="4357"/>
      <c r="DO237" s="4357"/>
      <c r="DP237" s="4357"/>
      <c r="DQ237" s="4357"/>
      <c r="DR237" s="4357"/>
      <c r="DS237" s="4357"/>
      <c r="DT237" s="4357"/>
      <c r="DU237" s="4357"/>
      <c r="DV237" s="4357"/>
      <c r="DW237" s="4357"/>
      <c r="DX237" s="4357"/>
      <c r="DY237" s="4357"/>
      <c r="DZ237" s="4357"/>
      <c r="EA237" s="4357"/>
      <c r="EB237" s="4357"/>
      <c r="EC237" s="4357"/>
      <c r="ED237" s="4357"/>
      <c r="EE237" s="4357"/>
      <c r="EF237" s="4357"/>
    </row>
    <row r="238" spans="1:136" ht="16" x14ac:dyDescent="0.2">
      <c r="A238" t="str">
        <f>Languages!$B$655</f>
        <v>Inputs &amp; Invest.</v>
      </c>
      <c r="B238" t="s">
        <v>3243</v>
      </c>
      <c r="D238" t="str">
        <f>'9.Inputs'!C63</f>
        <v>Peat (from peatlands)</v>
      </c>
      <c r="E238">
        <f>'9.Inputs'!V63</f>
        <v>6420.3719999999739</v>
      </c>
      <c r="F238" s="388">
        <v>0</v>
      </c>
      <c r="G238" s="388">
        <v>0</v>
      </c>
      <c r="L238" s="388">
        <f>Inputs!P98-Inputs!O98</f>
        <v>6420.3719999999739</v>
      </c>
      <c r="AB238" t="str">
        <f t="shared" si="471"/>
        <v>ok</v>
      </c>
      <c r="AC238">
        <f>IF('9.Inputs'!BE63&lt;&gt;0,'9.Inputs'!BE63,'9.Inputs'!BD63)</f>
        <v>1</v>
      </c>
      <c r="AD238">
        <f t="shared" si="502"/>
        <v>5</v>
      </c>
      <c r="AE238" s="4357" t="str">
        <f>'9.Inputs'!F63</f>
        <v>D</v>
      </c>
      <c r="AF238" s="4357" t="str">
        <f>'9.Inputs'!H63</f>
        <v>D</v>
      </c>
      <c r="AG238" s="4357" t="str">
        <f t="shared" si="505"/>
        <v>D</v>
      </c>
      <c r="AH238" s="4357">
        <f>((E238/(time_cap+((AD238-AC238+1)*VLOOKUP(AG238,list!$I$48:$K$50,3, FALSE))))*(AD238-AC238+1)*VLOOKUP(AG238,list!$I$48:$K$50,3, FALSE))</f>
        <v>1284.0743999999947</v>
      </c>
      <c r="AI238" s="4357">
        <f>((E238/(time_cap+((AD238-AC238+1)*VLOOKUP(AG238,list!$I$48:$K$50,3, FALSE))))*time_cap)</f>
        <v>5136.297599999979</v>
      </c>
      <c r="AK238" s="4357">
        <f t="shared" ref="AK238:BP238" si="542">IFERROR(IF((time+time_cap)&lt;AK$2, 0,IF(AND(time+1&gt;=AL$2, $AC238&lt;AL$2), IF($AG238= "I", $AH238/($AD238-$AC238+1), $AH238/(($AD238*($AD238+1)/2)-(($AC238-1)*($AC238-1+1)/2))*AK$2), 0)+IF(IF(time+1&gt;=AL$2, $AI238/time_cap/(time+1)*AK$2, 0) = 0, $AI238/(time_cap),0)),0)</f>
        <v>85.60495999999965</v>
      </c>
      <c r="AL238" s="4357">
        <f t="shared" si="542"/>
        <v>171.2099199999993</v>
      </c>
      <c r="AM238" s="4357">
        <f t="shared" si="542"/>
        <v>256.81487999999894</v>
      </c>
      <c r="AN238" s="4357">
        <f t="shared" si="542"/>
        <v>342.4198399999986</v>
      </c>
      <c r="AO238" s="4357">
        <f t="shared" si="542"/>
        <v>428.02479999999827</v>
      </c>
      <c r="AP238" s="4357">
        <f t="shared" si="542"/>
        <v>513.62975999999787</v>
      </c>
      <c r="AQ238" s="4357">
        <f t="shared" si="542"/>
        <v>513.62975999999787</v>
      </c>
      <c r="AR238" s="4357">
        <f t="shared" si="542"/>
        <v>513.62975999999787</v>
      </c>
      <c r="AS238" s="4357">
        <f t="shared" si="542"/>
        <v>513.62975999999787</v>
      </c>
      <c r="AT238" s="4357">
        <f t="shared" si="542"/>
        <v>513.62975999999787</v>
      </c>
      <c r="AU238" s="4357">
        <f t="shared" si="542"/>
        <v>513.62975999999787</v>
      </c>
      <c r="AV238" s="4357">
        <f t="shared" si="542"/>
        <v>513.62975999999787</v>
      </c>
      <c r="AW238" s="4357">
        <f t="shared" si="542"/>
        <v>513.62975999999787</v>
      </c>
      <c r="AX238" s="4357">
        <f t="shared" si="542"/>
        <v>513.62975999999787</v>
      </c>
      <c r="AY238" s="4357">
        <f t="shared" si="542"/>
        <v>513.62975999999787</v>
      </c>
      <c r="AZ238" s="4357">
        <f t="shared" si="542"/>
        <v>0</v>
      </c>
      <c r="BA238" s="4357">
        <f t="shared" si="542"/>
        <v>0</v>
      </c>
      <c r="BB238" s="4357">
        <f t="shared" si="542"/>
        <v>0</v>
      </c>
      <c r="BC238" s="4357">
        <f t="shared" si="542"/>
        <v>0</v>
      </c>
      <c r="BD238" s="4357">
        <f t="shared" si="542"/>
        <v>0</v>
      </c>
      <c r="BE238" s="4357">
        <f t="shared" si="542"/>
        <v>0</v>
      </c>
      <c r="BF238" s="4357">
        <f t="shared" si="542"/>
        <v>0</v>
      </c>
      <c r="BG238" s="4357">
        <f t="shared" si="542"/>
        <v>0</v>
      </c>
      <c r="BH238" s="4357">
        <f t="shared" si="542"/>
        <v>0</v>
      </c>
      <c r="BI238" s="4357">
        <f t="shared" si="542"/>
        <v>0</v>
      </c>
      <c r="BJ238" s="4357">
        <f t="shared" si="542"/>
        <v>0</v>
      </c>
      <c r="BK238" s="4357">
        <f t="shared" si="542"/>
        <v>0</v>
      </c>
      <c r="BL238" s="4357">
        <f t="shared" si="542"/>
        <v>0</v>
      </c>
      <c r="BM238" s="4357">
        <f t="shared" si="542"/>
        <v>0</v>
      </c>
      <c r="BN238" s="4357">
        <f t="shared" si="542"/>
        <v>0</v>
      </c>
      <c r="BO238" s="4357">
        <f t="shared" si="542"/>
        <v>0</v>
      </c>
      <c r="BP238" s="4357">
        <f t="shared" si="542"/>
        <v>0</v>
      </c>
      <c r="BQ238" s="4357">
        <f t="shared" ref="BQ238:CH238" si="543">IFERROR(IF((time+time_cap)&lt;BQ$2, 0,IF(AND(time+1&gt;=BR$2, $AC238&lt;BR$2), IF($AG238= "I", $AH238/($AD238-$AC238+1), $AH238/(($AD238*($AD238+1)/2)-(($AC238-1)*($AC238-1+1)/2))*BQ$2), 0)+IF(IF(time+1&gt;=BR$2, $AI238/time_cap/(time+1)*BQ$2, 0) = 0, $AI238/(time_cap),0)),0)</f>
        <v>0</v>
      </c>
      <c r="BR238" s="4357">
        <f t="shared" si="543"/>
        <v>0</v>
      </c>
      <c r="BS238" s="4357">
        <f t="shared" si="543"/>
        <v>0</v>
      </c>
      <c r="BT238" s="4357">
        <f t="shared" si="543"/>
        <v>0</v>
      </c>
      <c r="BU238" s="4357">
        <f t="shared" si="543"/>
        <v>0</v>
      </c>
      <c r="BV238" s="4357">
        <f t="shared" si="543"/>
        <v>0</v>
      </c>
      <c r="BW238" s="4357">
        <f t="shared" si="543"/>
        <v>0</v>
      </c>
      <c r="BX238" s="4357">
        <f t="shared" si="543"/>
        <v>0</v>
      </c>
      <c r="BY238" s="4357">
        <f t="shared" si="543"/>
        <v>0</v>
      </c>
      <c r="BZ238" s="4357">
        <f t="shared" si="543"/>
        <v>0</v>
      </c>
      <c r="CA238" s="4357">
        <f t="shared" si="543"/>
        <v>0</v>
      </c>
      <c r="CB238" s="4357">
        <f t="shared" si="543"/>
        <v>0</v>
      </c>
      <c r="CC238" s="4357">
        <f t="shared" si="543"/>
        <v>0</v>
      </c>
      <c r="CD238" s="4357">
        <f t="shared" si="543"/>
        <v>0</v>
      </c>
      <c r="CE238" s="4357">
        <f t="shared" si="543"/>
        <v>0</v>
      </c>
      <c r="CF238" s="4357">
        <f t="shared" si="543"/>
        <v>0</v>
      </c>
      <c r="CG238" s="4357">
        <f t="shared" si="543"/>
        <v>0</v>
      </c>
      <c r="CH238" s="4357">
        <f t="shared" si="543"/>
        <v>0</v>
      </c>
      <c r="CI238" s="4357"/>
      <c r="CJ238" s="4357"/>
      <c r="CK238" s="4357"/>
      <c r="CL238" s="4357"/>
      <c r="CM238" s="4357"/>
      <c r="CN238" s="4357"/>
      <c r="CO238" s="4357"/>
      <c r="CP238" s="4357"/>
      <c r="CQ238" s="4357"/>
      <c r="CR238" s="4357"/>
      <c r="CS238" s="4357"/>
      <c r="CT238" s="4357"/>
      <c r="CU238" s="4357"/>
      <c r="CV238" s="4357"/>
      <c r="CW238" s="4357"/>
      <c r="CX238" s="4357"/>
      <c r="CY238" s="4357"/>
      <c r="CZ238" s="4357"/>
      <c r="DA238" s="4357"/>
      <c r="DB238" s="4357"/>
      <c r="DC238" s="4357"/>
      <c r="DD238" s="4357"/>
      <c r="DE238" s="4357"/>
      <c r="DF238" s="4357"/>
      <c r="DG238" s="4357"/>
      <c r="DH238" s="4357"/>
      <c r="DI238" s="4357"/>
      <c r="DJ238" s="4357"/>
      <c r="DK238" s="4357"/>
      <c r="DL238" s="4357"/>
      <c r="DM238" s="4357"/>
      <c r="DN238" s="4357"/>
      <c r="DO238" s="4357"/>
      <c r="DP238" s="4357"/>
      <c r="DQ238" s="4357"/>
      <c r="DR238" s="4357"/>
      <c r="DS238" s="4357"/>
      <c r="DT238" s="4357"/>
      <c r="DU238" s="4357"/>
      <c r="DV238" s="4357"/>
      <c r="DW238" s="4357"/>
      <c r="DX238" s="4357"/>
      <c r="DY238" s="4357"/>
      <c r="DZ238" s="4357"/>
      <c r="EA238" s="4357"/>
      <c r="EB238" s="4357"/>
      <c r="EC238" s="4357"/>
      <c r="ED238" s="4357"/>
      <c r="EE238" s="4357"/>
      <c r="EF238" s="4357"/>
    </row>
    <row r="239" spans="1:136" ht="16" x14ac:dyDescent="0.2">
      <c r="A239" t="str">
        <f>Languages!$B$655</f>
        <v>Inputs &amp; Invest.</v>
      </c>
      <c r="B239" t="s">
        <v>3243</v>
      </c>
      <c r="D239" t="str">
        <f>'9.Inputs'!C64</f>
        <v xml:space="preserve">User defined (Tier 2) </v>
      </c>
      <c r="E239">
        <f>'9.Inputs'!V64</f>
        <v>0</v>
      </c>
      <c r="F239" s="388">
        <v>0</v>
      </c>
      <c r="G239" s="388">
        <v>0</v>
      </c>
      <c r="L239" s="388">
        <f>Inputs!P99-Inputs!O99</f>
        <v>0</v>
      </c>
      <c r="AB239" t="str">
        <f t="shared" si="471"/>
        <v>ok</v>
      </c>
      <c r="AC239">
        <f>IF('9.Inputs'!BE64&lt;&gt;0,'9.Inputs'!BE64,'9.Inputs'!BD64)</f>
        <v>1</v>
      </c>
      <c r="AD239">
        <f t="shared" si="502"/>
        <v>5</v>
      </c>
      <c r="AE239" s="4357" t="str">
        <f>'9.Inputs'!F64</f>
        <v>D</v>
      </c>
      <c r="AF239" s="4357" t="str">
        <f>'9.Inputs'!H64</f>
        <v>D</v>
      </c>
      <c r="AG239" s="4357" t="str">
        <f t="shared" si="505"/>
        <v>D</v>
      </c>
      <c r="AH239" s="4357">
        <f>((E239/(time_cap+((AD239-AC239+1)*VLOOKUP(AG239,list!$I$48:$K$50,3, FALSE))))*(AD239-AC239+1)*VLOOKUP(AG239,list!$I$48:$K$50,3, FALSE))</f>
        <v>0</v>
      </c>
      <c r="AI239" s="4357">
        <f>((E239/(time_cap+((AD239-AC239+1)*VLOOKUP(AG239,list!$I$48:$K$50,3, FALSE))))*time_cap)</f>
        <v>0</v>
      </c>
      <c r="AK239" s="4357">
        <f t="shared" ref="AK239:BP239" si="544">IFERROR(IF((time+time_cap)&lt;AK$2, 0,IF(AND(time+1&gt;=AL$2, $AC239&lt;AL$2), IF($AG239= "I", $AH239/($AD239-$AC239+1), $AH239/(($AD239*($AD239+1)/2)-(($AC239-1)*($AC239-1+1)/2))*AK$2), 0)+IF(IF(time+1&gt;=AL$2, $AI239/time_cap/(time+1)*AK$2, 0) = 0, $AI239/(time_cap),0)),0)</f>
        <v>0</v>
      </c>
      <c r="AL239" s="4357">
        <f t="shared" si="544"/>
        <v>0</v>
      </c>
      <c r="AM239" s="4357">
        <f t="shared" si="544"/>
        <v>0</v>
      </c>
      <c r="AN239" s="4357">
        <f t="shared" si="544"/>
        <v>0</v>
      </c>
      <c r="AO239" s="4357">
        <f t="shared" si="544"/>
        <v>0</v>
      </c>
      <c r="AP239" s="4357">
        <f t="shared" si="544"/>
        <v>0</v>
      </c>
      <c r="AQ239" s="4357">
        <f t="shared" si="544"/>
        <v>0</v>
      </c>
      <c r="AR239" s="4357">
        <f t="shared" si="544"/>
        <v>0</v>
      </c>
      <c r="AS239" s="4357">
        <f t="shared" si="544"/>
        <v>0</v>
      </c>
      <c r="AT239" s="4357">
        <f t="shared" si="544"/>
        <v>0</v>
      </c>
      <c r="AU239" s="4357">
        <f t="shared" si="544"/>
        <v>0</v>
      </c>
      <c r="AV239" s="4357">
        <f t="shared" si="544"/>
        <v>0</v>
      </c>
      <c r="AW239" s="4357">
        <f t="shared" si="544"/>
        <v>0</v>
      </c>
      <c r="AX239" s="4357">
        <f t="shared" si="544"/>
        <v>0</v>
      </c>
      <c r="AY239" s="4357">
        <f t="shared" si="544"/>
        <v>0</v>
      </c>
      <c r="AZ239" s="4357">
        <f t="shared" si="544"/>
        <v>0</v>
      </c>
      <c r="BA239" s="4357">
        <f t="shared" si="544"/>
        <v>0</v>
      </c>
      <c r="BB239" s="4357">
        <f t="shared" si="544"/>
        <v>0</v>
      </c>
      <c r="BC239" s="4357">
        <f t="shared" si="544"/>
        <v>0</v>
      </c>
      <c r="BD239" s="4357">
        <f t="shared" si="544"/>
        <v>0</v>
      </c>
      <c r="BE239" s="4357">
        <f t="shared" si="544"/>
        <v>0</v>
      </c>
      <c r="BF239" s="4357">
        <f t="shared" si="544"/>
        <v>0</v>
      </c>
      <c r="BG239" s="4357">
        <f t="shared" si="544"/>
        <v>0</v>
      </c>
      <c r="BH239" s="4357">
        <f t="shared" si="544"/>
        <v>0</v>
      </c>
      <c r="BI239" s="4357">
        <f t="shared" si="544"/>
        <v>0</v>
      </c>
      <c r="BJ239" s="4357">
        <f t="shared" si="544"/>
        <v>0</v>
      </c>
      <c r="BK239" s="4357">
        <f t="shared" si="544"/>
        <v>0</v>
      </c>
      <c r="BL239" s="4357">
        <f t="shared" si="544"/>
        <v>0</v>
      </c>
      <c r="BM239" s="4357">
        <f t="shared" si="544"/>
        <v>0</v>
      </c>
      <c r="BN239" s="4357">
        <f t="shared" si="544"/>
        <v>0</v>
      </c>
      <c r="BO239" s="4357">
        <f t="shared" si="544"/>
        <v>0</v>
      </c>
      <c r="BP239" s="4357">
        <f t="shared" si="544"/>
        <v>0</v>
      </c>
      <c r="BQ239" s="4357">
        <f t="shared" ref="BQ239:CH239" si="545">IFERROR(IF((time+time_cap)&lt;BQ$2, 0,IF(AND(time+1&gt;=BR$2, $AC239&lt;BR$2), IF($AG239= "I", $AH239/($AD239-$AC239+1), $AH239/(($AD239*($AD239+1)/2)-(($AC239-1)*($AC239-1+1)/2))*BQ$2), 0)+IF(IF(time+1&gt;=BR$2, $AI239/time_cap/(time+1)*BQ$2, 0) = 0, $AI239/(time_cap),0)),0)</f>
        <v>0</v>
      </c>
      <c r="BR239" s="4357">
        <f t="shared" si="545"/>
        <v>0</v>
      </c>
      <c r="BS239" s="4357">
        <f t="shared" si="545"/>
        <v>0</v>
      </c>
      <c r="BT239" s="4357">
        <f t="shared" si="545"/>
        <v>0</v>
      </c>
      <c r="BU239" s="4357">
        <f t="shared" si="545"/>
        <v>0</v>
      </c>
      <c r="BV239" s="4357">
        <f t="shared" si="545"/>
        <v>0</v>
      </c>
      <c r="BW239" s="4357">
        <f t="shared" si="545"/>
        <v>0</v>
      </c>
      <c r="BX239" s="4357">
        <f t="shared" si="545"/>
        <v>0</v>
      </c>
      <c r="BY239" s="4357">
        <f t="shared" si="545"/>
        <v>0</v>
      </c>
      <c r="BZ239" s="4357">
        <f t="shared" si="545"/>
        <v>0</v>
      </c>
      <c r="CA239" s="4357">
        <f t="shared" si="545"/>
        <v>0</v>
      </c>
      <c r="CB239" s="4357">
        <f t="shared" si="545"/>
        <v>0</v>
      </c>
      <c r="CC239" s="4357">
        <f t="shared" si="545"/>
        <v>0</v>
      </c>
      <c r="CD239" s="4357">
        <f t="shared" si="545"/>
        <v>0</v>
      </c>
      <c r="CE239" s="4357">
        <f t="shared" si="545"/>
        <v>0</v>
      </c>
      <c r="CF239" s="4357">
        <f t="shared" si="545"/>
        <v>0</v>
      </c>
      <c r="CG239" s="4357">
        <f t="shared" si="545"/>
        <v>0</v>
      </c>
      <c r="CH239" s="4357">
        <f t="shared" si="545"/>
        <v>0</v>
      </c>
      <c r="CI239" s="4357"/>
      <c r="CJ239" s="4357"/>
      <c r="CK239" s="4357"/>
      <c r="CL239" s="4357"/>
      <c r="CM239" s="4357"/>
      <c r="CN239" s="4357"/>
      <c r="CO239" s="4357"/>
      <c r="CP239" s="4357"/>
      <c r="CQ239" s="4357"/>
      <c r="CR239" s="4357"/>
      <c r="CS239" s="4357"/>
      <c r="CT239" s="4357"/>
      <c r="CU239" s="4357"/>
      <c r="CV239" s="4357"/>
      <c r="CW239" s="4357"/>
      <c r="CX239" s="4357"/>
      <c r="CY239" s="4357"/>
      <c r="CZ239" s="4357"/>
      <c r="DA239" s="4357"/>
      <c r="DB239" s="4357"/>
      <c r="DC239" s="4357"/>
      <c r="DD239" s="4357"/>
      <c r="DE239" s="4357"/>
      <c r="DF239" s="4357"/>
      <c r="DG239" s="4357"/>
      <c r="DH239" s="4357"/>
      <c r="DI239" s="4357"/>
      <c r="DJ239" s="4357"/>
      <c r="DK239" s="4357"/>
      <c r="DL239" s="4357"/>
      <c r="DM239" s="4357"/>
      <c r="DN239" s="4357"/>
      <c r="DO239" s="4357"/>
      <c r="DP239" s="4357"/>
      <c r="DQ239" s="4357"/>
      <c r="DR239" s="4357"/>
      <c r="DS239" s="4357"/>
      <c r="DT239" s="4357"/>
      <c r="DU239" s="4357"/>
      <c r="DV239" s="4357"/>
      <c r="DW239" s="4357"/>
      <c r="DX239" s="4357"/>
      <c r="DY239" s="4357"/>
      <c r="DZ239" s="4357"/>
      <c r="EA239" s="4357"/>
      <c r="EB239" s="4357"/>
      <c r="EC239" s="4357"/>
      <c r="ED239" s="4357"/>
      <c r="EE239" s="4357"/>
      <c r="EF239" s="4357"/>
    </row>
    <row r="240" spans="1:136" ht="16" x14ac:dyDescent="0.2">
      <c r="A240" t="str">
        <f>Languages!$B$655</f>
        <v>Inputs &amp; Invest.</v>
      </c>
      <c r="B240" t="s">
        <v>2983</v>
      </c>
      <c r="D240" t="str">
        <f>'9.Inputs'!C78</f>
        <v>Please select</v>
      </c>
      <c r="E240">
        <f>'9.Inputs'!V78</f>
        <v>0</v>
      </c>
      <c r="F240" s="388">
        <v>0</v>
      </c>
      <c r="G240" s="388">
        <v>0</v>
      </c>
      <c r="L240" s="388">
        <f>Inputs!P110-Inputs!O110</f>
        <v>0</v>
      </c>
      <c r="AB240" t="str">
        <f t="shared" si="471"/>
        <v>ok</v>
      </c>
      <c r="AC240">
        <f>IF('9.Inputs'!BE78&lt;&gt;0,'9.Inputs'!BE78,'9.Inputs'!BD78)</f>
        <v>1</v>
      </c>
      <c r="AD240">
        <f t="shared" si="502"/>
        <v>5</v>
      </c>
      <c r="AE240" s="4357" t="s">
        <v>86</v>
      </c>
      <c r="AF240" s="4357" t="s">
        <v>86</v>
      </c>
      <c r="AG240" s="4357" t="str">
        <f t="shared" si="505"/>
        <v>D</v>
      </c>
      <c r="AH240" s="4357">
        <f>((E240/(time_cap+((AD240-AC240+1)*VLOOKUP(AG240,list!$I$48:$K$50,3, FALSE))))*(AD240-AC240+1)*VLOOKUP(AG240,list!$I$48:$K$50,3, FALSE))</f>
        <v>0</v>
      </c>
      <c r="AI240" s="4357">
        <f>((E240/(time_cap+((AD240-AC240+1)*VLOOKUP(AG240,list!$I$48:$K$50,3, FALSE))))*time_cap)</f>
        <v>0</v>
      </c>
      <c r="AK240" s="4357">
        <f t="shared" ref="AK240:BP240" si="546">IFERROR(IF((time+time_cap)&lt;AK$2, 0,IF(AND(time+1&gt;=AL$2, $AC240&lt;AL$2), IF($AG240= "I", $AH240/($AD240-$AC240+1), $AH240/(($AD240*($AD240+1)/2)-(($AC240-1)*($AC240-1+1)/2))*AK$2), 0)+IF(IF(time+1&gt;=AL$2, $AI240/time_cap/(time+1)*AK$2, 0) = 0, $AI240/(time_cap),0)),0)</f>
        <v>0</v>
      </c>
      <c r="AL240" s="4357">
        <f t="shared" si="546"/>
        <v>0</v>
      </c>
      <c r="AM240" s="4357">
        <f t="shared" si="546"/>
        <v>0</v>
      </c>
      <c r="AN240" s="4357">
        <f t="shared" si="546"/>
        <v>0</v>
      </c>
      <c r="AO240" s="4357">
        <f t="shared" si="546"/>
        <v>0</v>
      </c>
      <c r="AP240" s="4357">
        <f t="shared" si="546"/>
        <v>0</v>
      </c>
      <c r="AQ240" s="4357">
        <f t="shared" si="546"/>
        <v>0</v>
      </c>
      <c r="AR240" s="4357">
        <f t="shared" si="546"/>
        <v>0</v>
      </c>
      <c r="AS240" s="4357">
        <f t="shared" si="546"/>
        <v>0</v>
      </c>
      <c r="AT240" s="4357">
        <f t="shared" si="546"/>
        <v>0</v>
      </c>
      <c r="AU240" s="4357">
        <f t="shared" si="546"/>
        <v>0</v>
      </c>
      <c r="AV240" s="4357">
        <f t="shared" si="546"/>
        <v>0</v>
      </c>
      <c r="AW240" s="4357">
        <f t="shared" si="546"/>
        <v>0</v>
      </c>
      <c r="AX240" s="4357">
        <f t="shared" si="546"/>
        <v>0</v>
      </c>
      <c r="AY240" s="4357">
        <f t="shared" si="546"/>
        <v>0</v>
      </c>
      <c r="AZ240" s="4357">
        <f t="shared" si="546"/>
        <v>0</v>
      </c>
      <c r="BA240" s="4357">
        <f t="shared" si="546"/>
        <v>0</v>
      </c>
      <c r="BB240" s="4357">
        <f t="shared" si="546"/>
        <v>0</v>
      </c>
      <c r="BC240" s="4357">
        <f t="shared" si="546"/>
        <v>0</v>
      </c>
      <c r="BD240" s="4357">
        <f t="shared" si="546"/>
        <v>0</v>
      </c>
      <c r="BE240" s="4357">
        <f t="shared" si="546"/>
        <v>0</v>
      </c>
      <c r="BF240" s="4357">
        <f t="shared" si="546"/>
        <v>0</v>
      </c>
      <c r="BG240" s="4357">
        <f t="shared" si="546"/>
        <v>0</v>
      </c>
      <c r="BH240" s="4357">
        <f t="shared" si="546"/>
        <v>0</v>
      </c>
      <c r="BI240" s="4357">
        <f t="shared" si="546"/>
        <v>0</v>
      </c>
      <c r="BJ240" s="4357">
        <f t="shared" si="546"/>
        <v>0</v>
      </c>
      <c r="BK240" s="4357">
        <f t="shared" si="546"/>
        <v>0</v>
      </c>
      <c r="BL240" s="4357">
        <f t="shared" si="546"/>
        <v>0</v>
      </c>
      <c r="BM240" s="4357">
        <f t="shared" si="546"/>
        <v>0</v>
      </c>
      <c r="BN240" s="4357">
        <f t="shared" si="546"/>
        <v>0</v>
      </c>
      <c r="BO240" s="4357">
        <f t="shared" si="546"/>
        <v>0</v>
      </c>
      <c r="BP240" s="4357">
        <f t="shared" si="546"/>
        <v>0</v>
      </c>
      <c r="BQ240" s="4357">
        <f t="shared" ref="BQ240:CH240" si="547">IFERROR(IF((time+time_cap)&lt;BQ$2, 0,IF(AND(time+1&gt;=BR$2, $AC240&lt;BR$2), IF($AG240= "I", $AH240/($AD240-$AC240+1), $AH240/(($AD240*($AD240+1)/2)-(($AC240-1)*($AC240-1+1)/2))*BQ$2), 0)+IF(IF(time+1&gt;=BR$2, $AI240/time_cap/(time+1)*BQ$2, 0) = 0, $AI240/(time_cap),0)),0)</f>
        <v>0</v>
      </c>
      <c r="BR240" s="4357">
        <f t="shared" si="547"/>
        <v>0</v>
      </c>
      <c r="BS240" s="4357">
        <f t="shared" si="547"/>
        <v>0</v>
      </c>
      <c r="BT240" s="4357">
        <f t="shared" si="547"/>
        <v>0</v>
      </c>
      <c r="BU240" s="4357">
        <f t="shared" si="547"/>
        <v>0</v>
      </c>
      <c r="BV240" s="4357">
        <f t="shared" si="547"/>
        <v>0</v>
      </c>
      <c r="BW240" s="4357">
        <f t="shared" si="547"/>
        <v>0</v>
      </c>
      <c r="BX240" s="4357">
        <f t="shared" si="547"/>
        <v>0</v>
      </c>
      <c r="BY240" s="4357">
        <f t="shared" si="547"/>
        <v>0</v>
      </c>
      <c r="BZ240" s="4357">
        <f t="shared" si="547"/>
        <v>0</v>
      </c>
      <c r="CA240" s="4357">
        <f t="shared" si="547"/>
        <v>0</v>
      </c>
      <c r="CB240" s="4357">
        <f t="shared" si="547"/>
        <v>0</v>
      </c>
      <c r="CC240" s="4357">
        <f t="shared" si="547"/>
        <v>0</v>
      </c>
      <c r="CD240" s="4357">
        <f t="shared" si="547"/>
        <v>0</v>
      </c>
      <c r="CE240" s="4357">
        <f t="shared" si="547"/>
        <v>0</v>
      </c>
      <c r="CF240" s="4357">
        <f t="shared" si="547"/>
        <v>0</v>
      </c>
      <c r="CG240" s="4357">
        <f t="shared" si="547"/>
        <v>0</v>
      </c>
      <c r="CH240" s="4357">
        <f t="shared" si="547"/>
        <v>0</v>
      </c>
      <c r="CI240" s="4357"/>
      <c r="CJ240" s="4357"/>
      <c r="CK240" s="4357"/>
      <c r="CL240" s="4357"/>
      <c r="CM240" s="4357"/>
      <c r="CN240" s="4357"/>
      <c r="CO240" s="4357"/>
      <c r="CP240" s="4357"/>
      <c r="CQ240" s="4357"/>
      <c r="CR240" s="4357"/>
      <c r="CS240" s="4357"/>
      <c r="CT240" s="4357"/>
      <c r="CU240" s="4357"/>
      <c r="CV240" s="4357"/>
      <c r="CW240" s="4357"/>
      <c r="CX240" s="4357"/>
      <c r="CY240" s="4357"/>
      <c r="CZ240" s="4357"/>
      <c r="DA240" s="4357"/>
      <c r="DB240" s="4357"/>
      <c r="DC240" s="4357"/>
      <c r="DD240" s="4357"/>
      <c r="DE240" s="4357"/>
      <c r="DF240" s="4357"/>
      <c r="DG240" s="4357"/>
      <c r="DH240" s="4357"/>
      <c r="DI240" s="4357"/>
      <c r="DJ240" s="4357"/>
      <c r="DK240" s="4357"/>
      <c r="DL240" s="4357"/>
      <c r="DM240" s="4357"/>
      <c r="DN240" s="4357"/>
      <c r="DO240" s="4357"/>
      <c r="DP240" s="4357"/>
      <c r="DQ240" s="4357"/>
      <c r="DR240" s="4357"/>
      <c r="DS240" s="4357"/>
      <c r="DT240" s="4357"/>
      <c r="DU240" s="4357"/>
      <c r="DV240" s="4357"/>
      <c r="DW240" s="4357"/>
      <c r="DX240" s="4357"/>
      <c r="DY240" s="4357"/>
      <c r="DZ240" s="4357"/>
      <c r="EA240" s="4357"/>
      <c r="EB240" s="4357"/>
      <c r="EC240" s="4357"/>
      <c r="ED240" s="4357"/>
      <c r="EE240" s="4357"/>
      <c r="EF240" s="4357"/>
    </row>
    <row r="241" spans="1:136" ht="16" x14ac:dyDescent="0.2">
      <c r="A241" t="str">
        <f>Languages!$B$655</f>
        <v>Inputs &amp; Invest.</v>
      </c>
      <c r="B241" t="s">
        <v>2983</v>
      </c>
      <c r="D241" t="str">
        <f>'9.Inputs'!C79</f>
        <v>Please select</v>
      </c>
      <c r="E241">
        <f>'9.Inputs'!V79</f>
        <v>0</v>
      </c>
      <c r="F241" s="388">
        <v>0</v>
      </c>
      <c r="G241" s="388">
        <v>0</v>
      </c>
      <c r="L241" s="388">
        <f>Inputs!P111-Inputs!O111</f>
        <v>0</v>
      </c>
      <c r="AB241" t="str">
        <f t="shared" si="471"/>
        <v>ok</v>
      </c>
      <c r="AC241">
        <f>IF('9.Inputs'!BE79&lt;&gt;0,'9.Inputs'!BE79,'9.Inputs'!BD79)</f>
        <v>1</v>
      </c>
      <c r="AD241">
        <f t="shared" si="502"/>
        <v>5</v>
      </c>
      <c r="AE241" s="4357" t="s">
        <v>86</v>
      </c>
      <c r="AF241" s="4357" t="s">
        <v>86</v>
      </c>
      <c r="AG241" s="4357" t="str">
        <f t="shared" si="505"/>
        <v>D</v>
      </c>
      <c r="AH241" s="4357">
        <f>((E241/(time_cap+((AD241-AC241+1)*VLOOKUP(AG241,list!$I$48:$K$50,3, FALSE))))*(AD241-AC241+1)*VLOOKUP(AG241,list!$I$48:$K$50,3, FALSE))</f>
        <v>0</v>
      </c>
      <c r="AI241" s="4357">
        <f>((E241/(time_cap+((AD241-AC241+1)*VLOOKUP(AG241,list!$I$48:$K$50,3, FALSE))))*time_cap)</f>
        <v>0</v>
      </c>
      <c r="AK241" s="4357">
        <f t="shared" ref="AK241:BP241" si="548">IFERROR(IF((time+time_cap)&lt;AK$2, 0,IF(AND(time+1&gt;=AL$2, $AC241&lt;AL$2), IF($AG241= "I", $AH241/($AD241-$AC241+1), $AH241/(($AD241*($AD241+1)/2)-(($AC241-1)*($AC241-1+1)/2))*AK$2), 0)+IF(IF(time+1&gt;=AL$2, $AI241/time_cap/(time+1)*AK$2, 0) = 0, $AI241/(time_cap),0)),0)</f>
        <v>0</v>
      </c>
      <c r="AL241" s="4357">
        <f t="shared" si="548"/>
        <v>0</v>
      </c>
      <c r="AM241" s="4357">
        <f t="shared" si="548"/>
        <v>0</v>
      </c>
      <c r="AN241" s="4357">
        <f t="shared" si="548"/>
        <v>0</v>
      </c>
      <c r="AO241" s="4357">
        <f t="shared" si="548"/>
        <v>0</v>
      </c>
      <c r="AP241" s="4357">
        <f t="shared" si="548"/>
        <v>0</v>
      </c>
      <c r="AQ241" s="4357">
        <f t="shared" si="548"/>
        <v>0</v>
      </c>
      <c r="AR241" s="4357">
        <f t="shared" si="548"/>
        <v>0</v>
      </c>
      <c r="AS241" s="4357">
        <f t="shared" si="548"/>
        <v>0</v>
      </c>
      <c r="AT241" s="4357">
        <f t="shared" si="548"/>
        <v>0</v>
      </c>
      <c r="AU241" s="4357">
        <f t="shared" si="548"/>
        <v>0</v>
      </c>
      <c r="AV241" s="4357">
        <f t="shared" si="548"/>
        <v>0</v>
      </c>
      <c r="AW241" s="4357">
        <f t="shared" si="548"/>
        <v>0</v>
      </c>
      <c r="AX241" s="4357">
        <f t="shared" si="548"/>
        <v>0</v>
      </c>
      <c r="AY241" s="4357">
        <f t="shared" si="548"/>
        <v>0</v>
      </c>
      <c r="AZ241" s="4357">
        <f t="shared" si="548"/>
        <v>0</v>
      </c>
      <c r="BA241" s="4357">
        <f t="shared" si="548"/>
        <v>0</v>
      </c>
      <c r="BB241" s="4357">
        <f t="shared" si="548"/>
        <v>0</v>
      </c>
      <c r="BC241" s="4357">
        <f t="shared" si="548"/>
        <v>0</v>
      </c>
      <c r="BD241" s="4357">
        <f t="shared" si="548"/>
        <v>0</v>
      </c>
      <c r="BE241" s="4357">
        <f t="shared" si="548"/>
        <v>0</v>
      </c>
      <c r="BF241" s="4357">
        <f t="shared" si="548"/>
        <v>0</v>
      </c>
      <c r="BG241" s="4357">
        <f t="shared" si="548"/>
        <v>0</v>
      </c>
      <c r="BH241" s="4357">
        <f t="shared" si="548"/>
        <v>0</v>
      </c>
      <c r="BI241" s="4357">
        <f t="shared" si="548"/>
        <v>0</v>
      </c>
      <c r="BJ241" s="4357">
        <f t="shared" si="548"/>
        <v>0</v>
      </c>
      <c r="BK241" s="4357">
        <f t="shared" si="548"/>
        <v>0</v>
      </c>
      <c r="BL241" s="4357">
        <f t="shared" si="548"/>
        <v>0</v>
      </c>
      <c r="BM241" s="4357">
        <f t="shared" si="548"/>
        <v>0</v>
      </c>
      <c r="BN241" s="4357">
        <f t="shared" si="548"/>
        <v>0</v>
      </c>
      <c r="BO241" s="4357">
        <f t="shared" si="548"/>
        <v>0</v>
      </c>
      <c r="BP241" s="4357">
        <f t="shared" si="548"/>
        <v>0</v>
      </c>
      <c r="BQ241" s="4357">
        <f t="shared" ref="BQ241:CH241" si="549">IFERROR(IF((time+time_cap)&lt;BQ$2, 0,IF(AND(time+1&gt;=BR$2, $AC241&lt;BR$2), IF($AG241= "I", $AH241/($AD241-$AC241+1), $AH241/(($AD241*($AD241+1)/2)-(($AC241-1)*($AC241-1+1)/2))*BQ$2), 0)+IF(IF(time+1&gt;=BR$2, $AI241/time_cap/(time+1)*BQ$2, 0) = 0, $AI241/(time_cap),0)),0)</f>
        <v>0</v>
      </c>
      <c r="BR241" s="4357">
        <f t="shared" si="549"/>
        <v>0</v>
      </c>
      <c r="BS241" s="4357">
        <f t="shared" si="549"/>
        <v>0</v>
      </c>
      <c r="BT241" s="4357">
        <f t="shared" si="549"/>
        <v>0</v>
      </c>
      <c r="BU241" s="4357">
        <f t="shared" si="549"/>
        <v>0</v>
      </c>
      <c r="BV241" s="4357">
        <f t="shared" si="549"/>
        <v>0</v>
      </c>
      <c r="BW241" s="4357">
        <f t="shared" si="549"/>
        <v>0</v>
      </c>
      <c r="BX241" s="4357">
        <f t="shared" si="549"/>
        <v>0</v>
      </c>
      <c r="BY241" s="4357">
        <f t="shared" si="549"/>
        <v>0</v>
      </c>
      <c r="BZ241" s="4357">
        <f t="shared" si="549"/>
        <v>0</v>
      </c>
      <c r="CA241" s="4357">
        <f t="shared" si="549"/>
        <v>0</v>
      </c>
      <c r="CB241" s="4357">
        <f t="shared" si="549"/>
        <v>0</v>
      </c>
      <c r="CC241" s="4357">
        <f t="shared" si="549"/>
        <v>0</v>
      </c>
      <c r="CD241" s="4357">
        <f t="shared" si="549"/>
        <v>0</v>
      </c>
      <c r="CE241" s="4357">
        <f t="shared" si="549"/>
        <v>0</v>
      </c>
      <c r="CF241" s="4357">
        <f t="shared" si="549"/>
        <v>0</v>
      </c>
      <c r="CG241" s="4357">
        <f t="shared" si="549"/>
        <v>0</v>
      </c>
      <c r="CH241" s="4357">
        <f t="shared" si="549"/>
        <v>0</v>
      </c>
      <c r="CI241" s="4357"/>
      <c r="CJ241" s="4357"/>
      <c r="CK241" s="4357"/>
      <c r="CL241" s="4357"/>
      <c r="CM241" s="4357"/>
      <c r="CN241" s="4357"/>
      <c r="CO241" s="4357"/>
      <c r="CP241" s="4357"/>
      <c r="CQ241" s="4357"/>
      <c r="CR241" s="4357"/>
      <c r="CS241" s="4357"/>
      <c r="CT241" s="4357"/>
      <c r="CU241" s="4357"/>
      <c r="CV241" s="4357"/>
      <c r="CW241" s="4357"/>
      <c r="CX241" s="4357"/>
      <c r="CY241" s="4357"/>
      <c r="CZ241" s="4357"/>
      <c r="DA241" s="4357"/>
      <c r="DB241" s="4357"/>
      <c r="DC241" s="4357"/>
      <c r="DD241" s="4357"/>
      <c r="DE241" s="4357"/>
      <c r="DF241" s="4357"/>
      <c r="DG241" s="4357"/>
      <c r="DH241" s="4357"/>
      <c r="DI241" s="4357"/>
      <c r="DJ241" s="4357"/>
      <c r="DK241" s="4357"/>
      <c r="DL241" s="4357"/>
      <c r="DM241" s="4357"/>
      <c r="DN241" s="4357"/>
      <c r="DO241" s="4357"/>
      <c r="DP241" s="4357"/>
      <c r="DQ241" s="4357"/>
      <c r="DR241" s="4357"/>
      <c r="DS241" s="4357"/>
      <c r="DT241" s="4357"/>
      <c r="DU241" s="4357"/>
      <c r="DV241" s="4357"/>
      <c r="DW241" s="4357"/>
      <c r="DX241" s="4357"/>
      <c r="DY241" s="4357"/>
      <c r="DZ241" s="4357"/>
      <c r="EA241" s="4357"/>
      <c r="EB241" s="4357"/>
      <c r="EC241" s="4357"/>
      <c r="ED241" s="4357"/>
      <c r="EE241" s="4357"/>
      <c r="EF241" s="4357"/>
    </row>
    <row r="242" spans="1:136" ht="16" x14ac:dyDescent="0.2">
      <c r="A242" t="str">
        <f>Languages!$B$655</f>
        <v>Inputs &amp; Invest.</v>
      </c>
      <c r="B242" t="s">
        <v>2983</v>
      </c>
      <c r="D242" t="str">
        <f>'9.Inputs'!C80</f>
        <v>Please select</v>
      </c>
      <c r="E242">
        <f>'9.Inputs'!V80</f>
        <v>0</v>
      </c>
      <c r="F242" s="388">
        <v>0</v>
      </c>
      <c r="G242" s="388">
        <v>0</v>
      </c>
      <c r="L242" s="388">
        <f>Inputs!P112-Inputs!O112</f>
        <v>0</v>
      </c>
      <c r="AB242" t="str">
        <f t="shared" si="471"/>
        <v>ok</v>
      </c>
      <c r="AC242">
        <f>IF('9.Inputs'!BE80&lt;&gt;0,'9.Inputs'!BE80,'9.Inputs'!BD80)</f>
        <v>1</v>
      </c>
      <c r="AD242">
        <f t="shared" si="502"/>
        <v>5</v>
      </c>
      <c r="AE242" s="4357" t="s">
        <v>86</v>
      </c>
      <c r="AF242" s="4357" t="s">
        <v>86</v>
      </c>
      <c r="AG242" s="4357" t="str">
        <f t="shared" si="505"/>
        <v>D</v>
      </c>
      <c r="AH242" s="4357">
        <f>((E242/(time_cap+((AD242-AC242+1)*VLOOKUP(AG242,list!$I$48:$K$50,3, FALSE))))*(AD242-AC242+1)*VLOOKUP(AG242,list!$I$48:$K$50,3, FALSE))</f>
        <v>0</v>
      </c>
      <c r="AI242" s="4357">
        <f>((E242/(time_cap+((AD242-AC242+1)*VLOOKUP(AG242,list!$I$48:$K$50,3, FALSE))))*time_cap)</f>
        <v>0</v>
      </c>
      <c r="AK242" s="4357">
        <f t="shared" ref="AK242:BP242" si="550">IFERROR(IF((time+time_cap)&lt;AK$2, 0,IF(AND(time+1&gt;=AL$2, $AC242&lt;AL$2), IF($AG242= "I", $AH242/($AD242-$AC242+1), $AH242/(($AD242*($AD242+1)/2)-(($AC242-1)*($AC242-1+1)/2))*AK$2), 0)+IF(IF(time+1&gt;=AL$2, $AI242/time_cap/(time+1)*AK$2, 0) = 0, $AI242/(time_cap),0)),0)</f>
        <v>0</v>
      </c>
      <c r="AL242" s="4357">
        <f t="shared" si="550"/>
        <v>0</v>
      </c>
      <c r="AM242" s="4357">
        <f t="shared" si="550"/>
        <v>0</v>
      </c>
      <c r="AN242" s="4357">
        <f t="shared" si="550"/>
        <v>0</v>
      </c>
      <c r="AO242" s="4357">
        <f t="shared" si="550"/>
        <v>0</v>
      </c>
      <c r="AP242" s="4357">
        <f t="shared" si="550"/>
        <v>0</v>
      </c>
      <c r="AQ242" s="4357">
        <f t="shared" si="550"/>
        <v>0</v>
      </c>
      <c r="AR242" s="4357">
        <f t="shared" si="550"/>
        <v>0</v>
      </c>
      <c r="AS242" s="4357">
        <f t="shared" si="550"/>
        <v>0</v>
      </c>
      <c r="AT242" s="4357">
        <f t="shared" si="550"/>
        <v>0</v>
      </c>
      <c r="AU242" s="4357">
        <f t="shared" si="550"/>
        <v>0</v>
      </c>
      <c r="AV242" s="4357">
        <f t="shared" si="550"/>
        <v>0</v>
      </c>
      <c r="AW242" s="4357">
        <f t="shared" si="550"/>
        <v>0</v>
      </c>
      <c r="AX242" s="4357">
        <f t="shared" si="550"/>
        <v>0</v>
      </c>
      <c r="AY242" s="4357">
        <f t="shared" si="550"/>
        <v>0</v>
      </c>
      <c r="AZ242" s="4357">
        <f t="shared" si="550"/>
        <v>0</v>
      </c>
      <c r="BA242" s="4357">
        <f t="shared" si="550"/>
        <v>0</v>
      </c>
      <c r="BB242" s="4357">
        <f t="shared" si="550"/>
        <v>0</v>
      </c>
      <c r="BC242" s="4357">
        <f t="shared" si="550"/>
        <v>0</v>
      </c>
      <c r="BD242" s="4357">
        <f t="shared" si="550"/>
        <v>0</v>
      </c>
      <c r="BE242" s="4357">
        <f t="shared" si="550"/>
        <v>0</v>
      </c>
      <c r="BF242" s="4357">
        <f t="shared" si="550"/>
        <v>0</v>
      </c>
      <c r="BG242" s="4357">
        <f t="shared" si="550"/>
        <v>0</v>
      </c>
      <c r="BH242" s="4357">
        <f t="shared" si="550"/>
        <v>0</v>
      </c>
      <c r="BI242" s="4357">
        <f t="shared" si="550"/>
        <v>0</v>
      </c>
      <c r="BJ242" s="4357">
        <f t="shared" si="550"/>
        <v>0</v>
      </c>
      <c r="BK242" s="4357">
        <f t="shared" si="550"/>
        <v>0</v>
      </c>
      <c r="BL242" s="4357">
        <f t="shared" si="550"/>
        <v>0</v>
      </c>
      <c r="BM242" s="4357">
        <f t="shared" si="550"/>
        <v>0</v>
      </c>
      <c r="BN242" s="4357">
        <f t="shared" si="550"/>
        <v>0</v>
      </c>
      <c r="BO242" s="4357">
        <f t="shared" si="550"/>
        <v>0</v>
      </c>
      <c r="BP242" s="4357">
        <f t="shared" si="550"/>
        <v>0</v>
      </c>
      <c r="BQ242" s="4357">
        <f t="shared" ref="BQ242:CH242" si="551">IFERROR(IF((time+time_cap)&lt;BQ$2, 0,IF(AND(time+1&gt;=BR$2, $AC242&lt;BR$2), IF($AG242= "I", $AH242/($AD242-$AC242+1), $AH242/(($AD242*($AD242+1)/2)-(($AC242-1)*($AC242-1+1)/2))*BQ$2), 0)+IF(IF(time+1&gt;=BR$2, $AI242/time_cap/(time+1)*BQ$2, 0) = 0, $AI242/(time_cap),0)),0)</f>
        <v>0</v>
      </c>
      <c r="BR242" s="4357">
        <f t="shared" si="551"/>
        <v>0</v>
      </c>
      <c r="BS242" s="4357">
        <f t="shared" si="551"/>
        <v>0</v>
      </c>
      <c r="BT242" s="4357">
        <f t="shared" si="551"/>
        <v>0</v>
      </c>
      <c r="BU242" s="4357">
        <f t="shared" si="551"/>
        <v>0</v>
      </c>
      <c r="BV242" s="4357">
        <f t="shared" si="551"/>
        <v>0</v>
      </c>
      <c r="BW242" s="4357">
        <f t="shared" si="551"/>
        <v>0</v>
      </c>
      <c r="BX242" s="4357">
        <f t="shared" si="551"/>
        <v>0</v>
      </c>
      <c r="BY242" s="4357">
        <f t="shared" si="551"/>
        <v>0</v>
      </c>
      <c r="BZ242" s="4357">
        <f t="shared" si="551"/>
        <v>0</v>
      </c>
      <c r="CA242" s="4357">
        <f t="shared" si="551"/>
        <v>0</v>
      </c>
      <c r="CB242" s="4357">
        <f t="shared" si="551"/>
        <v>0</v>
      </c>
      <c r="CC242" s="4357">
        <f t="shared" si="551"/>
        <v>0</v>
      </c>
      <c r="CD242" s="4357">
        <f t="shared" si="551"/>
        <v>0</v>
      </c>
      <c r="CE242" s="4357">
        <f t="shared" si="551"/>
        <v>0</v>
      </c>
      <c r="CF242" s="4357">
        <f t="shared" si="551"/>
        <v>0</v>
      </c>
      <c r="CG242" s="4357">
        <f t="shared" si="551"/>
        <v>0</v>
      </c>
      <c r="CH242" s="4357">
        <f t="shared" si="551"/>
        <v>0</v>
      </c>
      <c r="CI242" s="4357"/>
      <c r="CJ242" s="4357"/>
      <c r="CK242" s="4357"/>
      <c r="CL242" s="4357"/>
      <c r="CM242" s="4357"/>
      <c r="CN242" s="4357"/>
      <c r="CO242" s="4357"/>
      <c r="CP242" s="4357"/>
      <c r="CQ242" s="4357"/>
      <c r="CR242" s="4357"/>
      <c r="CS242" s="4357"/>
      <c r="CT242" s="4357"/>
      <c r="CU242" s="4357"/>
      <c r="CV242" s="4357"/>
      <c r="CW242" s="4357"/>
      <c r="CX242" s="4357"/>
      <c r="CY242" s="4357"/>
      <c r="CZ242" s="4357"/>
      <c r="DA242" s="4357"/>
      <c r="DB242" s="4357"/>
      <c r="DC242" s="4357"/>
      <c r="DD242" s="4357"/>
      <c r="DE242" s="4357"/>
      <c r="DF242" s="4357"/>
      <c r="DG242" s="4357"/>
      <c r="DH242" s="4357"/>
      <c r="DI242" s="4357"/>
      <c r="DJ242" s="4357"/>
      <c r="DK242" s="4357"/>
      <c r="DL242" s="4357"/>
      <c r="DM242" s="4357"/>
      <c r="DN242" s="4357"/>
      <c r="DO242" s="4357"/>
      <c r="DP242" s="4357"/>
      <c r="DQ242" s="4357"/>
      <c r="DR242" s="4357"/>
      <c r="DS242" s="4357"/>
      <c r="DT242" s="4357"/>
      <c r="DU242" s="4357"/>
      <c r="DV242" s="4357"/>
      <c r="DW242" s="4357"/>
      <c r="DX242" s="4357"/>
      <c r="DY242" s="4357"/>
      <c r="DZ242" s="4357"/>
      <c r="EA242" s="4357"/>
      <c r="EB242" s="4357"/>
      <c r="EC242" s="4357"/>
      <c r="ED242" s="4357"/>
      <c r="EE242" s="4357"/>
      <c r="EF242" s="4357"/>
    </row>
    <row r="243" spans="1:136" ht="16" x14ac:dyDescent="0.2">
      <c r="A243" t="str">
        <f>Languages!$B$655</f>
        <v>Inputs &amp; Invest.</v>
      </c>
      <c r="B243" t="s">
        <v>2983</v>
      </c>
      <c r="D243" t="str">
        <f>'9.Inputs'!C81</f>
        <v>Please select</v>
      </c>
      <c r="E243">
        <f>'9.Inputs'!V81</f>
        <v>0</v>
      </c>
      <c r="F243" s="388">
        <v>0</v>
      </c>
      <c r="G243" s="388">
        <v>0</v>
      </c>
      <c r="L243" s="388">
        <f>Inputs!P113-Inputs!O113</f>
        <v>0</v>
      </c>
      <c r="AB243" t="str">
        <f t="shared" si="471"/>
        <v>ok</v>
      </c>
      <c r="AC243">
        <f>IF('9.Inputs'!BE81&lt;&gt;0,'9.Inputs'!BE81,'9.Inputs'!BD81)</f>
        <v>1</v>
      </c>
      <c r="AD243">
        <f t="shared" si="502"/>
        <v>5</v>
      </c>
      <c r="AE243" s="4357" t="s">
        <v>86</v>
      </c>
      <c r="AF243" s="4357" t="s">
        <v>86</v>
      </c>
      <c r="AG243" s="4357" t="str">
        <f t="shared" si="505"/>
        <v>D</v>
      </c>
      <c r="AH243" s="4357">
        <f>((E243/(time_cap+((AD243-AC243+1)*VLOOKUP(AG243,list!$I$48:$K$50,3, FALSE))))*(AD243-AC243+1)*VLOOKUP(AG243,list!$I$48:$K$50,3, FALSE))</f>
        <v>0</v>
      </c>
      <c r="AI243" s="4357">
        <f>((E243/(time_cap+((AD243-AC243+1)*VLOOKUP(AG243,list!$I$48:$K$50,3, FALSE))))*time_cap)</f>
        <v>0</v>
      </c>
      <c r="AK243" s="4357">
        <f t="shared" ref="AK243:BP243" si="552">IFERROR(IF((time+time_cap)&lt;AK$2, 0,IF(AND(time+1&gt;=AL$2, $AC243&lt;AL$2), IF($AG243= "I", $AH243/($AD243-$AC243+1), $AH243/(($AD243*($AD243+1)/2)-(($AC243-1)*($AC243-1+1)/2))*AK$2), 0)+IF(IF(time+1&gt;=AL$2, $AI243/time_cap/(time+1)*AK$2, 0) = 0, $AI243/(time_cap),0)),0)</f>
        <v>0</v>
      </c>
      <c r="AL243" s="4357">
        <f t="shared" si="552"/>
        <v>0</v>
      </c>
      <c r="AM243" s="4357">
        <f t="shared" si="552"/>
        <v>0</v>
      </c>
      <c r="AN243" s="4357">
        <f t="shared" si="552"/>
        <v>0</v>
      </c>
      <c r="AO243" s="4357">
        <f t="shared" si="552"/>
        <v>0</v>
      </c>
      <c r="AP243" s="4357">
        <f t="shared" si="552"/>
        <v>0</v>
      </c>
      <c r="AQ243" s="4357">
        <f t="shared" si="552"/>
        <v>0</v>
      </c>
      <c r="AR243" s="4357">
        <f t="shared" si="552"/>
        <v>0</v>
      </c>
      <c r="AS243" s="4357">
        <f t="shared" si="552"/>
        <v>0</v>
      </c>
      <c r="AT243" s="4357">
        <f t="shared" si="552"/>
        <v>0</v>
      </c>
      <c r="AU243" s="4357">
        <f t="shared" si="552"/>
        <v>0</v>
      </c>
      <c r="AV243" s="4357">
        <f t="shared" si="552"/>
        <v>0</v>
      </c>
      <c r="AW243" s="4357">
        <f t="shared" si="552"/>
        <v>0</v>
      </c>
      <c r="AX243" s="4357">
        <f t="shared" si="552"/>
        <v>0</v>
      </c>
      <c r="AY243" s="4357">
        <f t="shared" si="552"/>
        <v>0</v>
      </c>
      <c r="AZ243" s="4357">
        <f t="shared" si="552"/>
        <v>0</v>
      </c>
      <c r="BA243" s="4357">
        <f t="shared" si="552"/>
        <v>0</v>
      </c>
      <c r="BB243" s="4357">
        <f t="shared" si="552"/>
        <v>0</v>
      </c>
      <c r="BC243" s="4357">
        <f t="shared" si="552"/>
        <v>0</v>
      </c>
      <c r="BD243" s="4357">
        <f t="shared" si="552"/>
        <v>0</v>
      </c>
      <c r="BE243" s="4357">
        <f t="shared" si="552"/>
        <v>0</v>
      </c>
      <c r="BF243" s="4357">
        <f t="shared" si="552"/>
        <v>0</v>
      </c>
      <c r="BG243" s="4357">
        <f t="shared" si="552"/>
        <v>0</v>
      </c>
      <c r="BH243" s="4357">
        <f t="shared" si="552"/>
        <v>0</v>
      </c>
      <c r="BI243" s="4357">
        <f t="shared" si="552"/>
        <v>0</v>
      </c>
      <c r="BJ243" s="4357">
        <f t="shared" si="552"/>
        <v>0</v>
      </c>
      <c r="BK243" s="4357">
        <f t="shared" si="552"/>
        <v>0</v>
      </c>
      <c r="BL243" s="4357">
        <f t="shared" si="552"/>
        <v>0</v>
      </c>
      <c r="BM243" s="4357">
        <f t="shared" si="552"/>
        <v>0</v>
      </c>
      <c r="BN243" s="4357">
        <f t="shared" si="552"/>
        <v>0</v>
      </c>
      <c r="BO243" s="4357">
        <f t="shared" si="552"/>
        <v>0</v>
      </c>
      <c r="BP243" s="4357">
        <f t="shared" si="552"/>
        <v>0</v>
      </c>
      <c r="BQ243" s="4357">
        <f t="shared" ref="BQ243:CH243" si="553">IFERROR(IF((time+time_cap)&lt;BQ$2, 0,IF(AND(time+1&gt;=BR$2, $AC243&lt;BR$2), IF($AG243= "I", $AH243/($AD243-$AC243+1), $AH243/(($AD243*($AD243+1)/2)-(($AC243-1)*($AC243-1+1)/2))*BQ$2), 0)+IF(IF(time+1&gt;=BR$2, $AI243/time_cap/(time+1)*BQ$2, 0) = 0, $AI243/(time_cap),0)),0)</f>
        <v>0</v>
      </c>
      <c r="BR243" s="4357">
        <f t="shared" si="553"/>
        <v>0</v>
      </c>
      <c r="BS243" s="4357">
        <f t="shared" si="553"/>
        <v>0</v>
      </c>
      <c r="BT243" s="4357">
        <f t="shared" si="553"/>
        <v>0</v>
      </c>
      <c r="BU243" s="4357">
        <f t="shared" si="553"/>
        <v>0</v>
      </c>
      <c r="BV243" s="4357">
        <f t="shared" si="553"/>
        <v>0</v>
      </c>
      <c r="BW243" s="4357">
        <f t="shared" si="553"/>
        <v>0</v>
      </c>
      <c r="BX243" s="4357">
        <f t="shared" si="553"/>
        <v>0</v>
      </c>
      <c r="BY243" s="4357">
        <f t="shared" si="553"/>
        <v>0</v>
      </c>
      <c r="BZ243" s="4357">
        <f t="shared" si="553"/>
        <v>0</v>
      </c>
      <c r="CA243" s="4357">
        <f t="shared" si="553"/>
        <v>0</v>
      </c>
      <c r="CB243" s="4357">
        <f t="shared" si="553"/>
        <v>0</v>
      </c>
      <c r="CC243" s="4357">
        <f t="shared" si="553"/>
        <v>0</v>
      </c>
      <c r="CD243" s="4357">
        <f t="shared" si="553"/>
        <v>0</v>
      </c>
      <c r="CE243" s="4357">
        <f t="shared" si="553"/>
        <v>0</v>
      </c>
      <c r="CF243" s="4357">
        <f t="shared" si="553"/>
        <v>0</v>
      </c>
      <c r="CG243" s="4357">
        <f t="shared" si="553"/>
        <v>0</v>
      </c>
      <c r="CH243" s="4357">
        <f t="shared" si="553"/>
        <v>0</v>
      </c>
      <c r="CI243" s="4357"/>
      <c r="CJ243" s="4357"/>
      <c r="CK243" s="4357"/>
      <c r="CL243" s="4357"/>
      <c r="CM243" s="4357"/>
      <c r="CN243" s="4357"/>
      <c r="CO243" s="4357"/>
      <c r="CP243" s="4357"/>
      <c r="CQ243" s="4357"/>
      <c r="CR243" s="4357"/>
      <c r="CS243" s="4357"/>
      <c r="CT243" s="4357"/>
      <c r="CU243" s="4357"/>
      <c r="CV243" s="4357"/>
      <c r="CW243" s="4357"/>
      <c r="CX243" s="4357"/>
      <c r="CY243" s="4357"/>
      <c r="CZ243" s="4357"/>
      <c r="DA243" s="4357"/>
      <c r="DB243" s="4357"/>
      <c r="DC243" s="4357"/>
      <c r="DD243" s="4357"/>
      <c r="DE243" s="4357"/>
      <c r="DF243" s="4357"/>
      <c r="DG243" s="4357"/>
      <c r="DH243" s="4357"/>
      <c r="DI243" s="4357"/>
      <c r="DJ243" s="4357"/>
      <c r="DK243" s="4357"/>
      <c r="DL243" s="4357"/>
      <c r="DM243" s="4357"/>
      <c r="DN243" s="4357"/>
      <c r="DO243" s="4357"/>
      <c r="DP243" s="4357"/>
      <c r="DQ243" s="4357"/>
      <c r="DR243" s="4357"/>
      <c r="DS243" s="4357"/>
      <c r="DT243" s="4357"/>
      <c r="DU243" s="4357"/>
      <c r="DV243" s="4357"/>
      <c r="DW243" s="4357"/>
      <c r="DX243" s="4357"/>
      <c r="DY243" s="4357"/>
      <c r="DZ243" s="4357"/>
      <c r="EA243" s="4357"/>
      <c r="EB243" s="4357"/>
      <c r="EC243" s="4357"/>
      <c r="ED243" s="4357"/>
      <c r="EE243" s="4357"/>
      <c r="EF243" s="4357"/>
    </row>
    <row r="244" spans="1:136" ht="16" x14ac:dyDescent="0.2">
      <c r="A244" t="str">
        <f>Languages!$B$655</f>
        <v>Inputs &amp; Invest.</v>
      </c>
      <c r="B244" t="s">
        <v>2983</v>
      </c>
      <c r="D244" t="str">
        <f>'9.Inputs'!C86</f>
        <v>Trickle</v>
      </c>
      <c r="E244">
        <f>'9.Inputs'!V86</f>
        <v>0</v>
      </c>
      <c r="F244" s="388">
        <v>0</v>
      </c>
      <c r="G244" s="388">
        <v>0</v>
      </c>
      <c r="L244" s="388">
        <f>Inputs!P117-Inputs!O117+Inputs!P123-Inputs!O123</f>
        <v>0</v>
      </c>
      <c r="AB244" t="str">
        <f t="shared" si="471"/>
        <v>ok</v>
      </c>
      <c r="AC244">
        <f>IF('9.Inputs'!BE86&lt;&gt;0,'9.Inputs'!BE86,'9.Inputs'!BD86)</f>
        <v>1</v>
      </c>
      <c r="AD244">
        <f t="shared" si="502"/>
        <v>5</v>
      </c>
      <c r="AE244" s="4357" t="str">
        <f>'9.Inputs'!F86</f>
        <v>D</v>
      </c>
      <c r="AF244" s="4357" t="str">
        <f>'9.Inputs'!H86</f>
        <v>D</v>
      </c>
      <c r="AG244" s="4357" t="str">
        <f t="shared" si="505"/>
        <v>D</v>
      </c>
      <c r="AH244" s="4357">
        <f>((E244/(time_cap+((AD244-AC244+1)*VLOOKUP(AG244,list!$I$48:$K$50,3, FALSE))))*(AD244-AC244+1)*VLOOKUP(AG244,list!$I$48:$K$50,3, FALSE))</f>
        <v>0</v>
      </c>
      <c r="AI244" s="4357">
        <f>((E244/(time_cap+((AD244-AC244+1)*VLOOKUP(AG244,list!$I$48:$K$50,3, FALSE))))*time_cap)</f>
        <v>0</v>
      </c>
      <c r="AK244" s="4357">
        <f t="shared" ref="AK244:BP244" si="554">IFERROR(IF((time+time_cap)&lt;AK$2, 0,IF(AND(time+1&gt;=AL$2, $AC244&lt;AL$2), IF($AG244= "I", $AH244/($AD244-$AC244+1), $AH244/(($AD244*($AD244+1)/2)-(($AC244-1)*($AC244-1+1)/2))*AK$2), 0)+IF(IF(time+1&gt;=AL$2, $AI244/time_cap/(time+1)*AK$2, 0) = 0, $AI244/(time_cap),0)),0)</f>
        <v>0</v>
      </c>
      <c r="AL244" s="4357">
        <f t="shared" si="554"/>
        <v>0</v>
      </c>
      <c r="AM244" s="4357">
        <f t="shared" si="554"/>
        <v>0</v>
      </c>
      <c r="AN244" s="4357">
        <f t="shared" si="554"/>
        <v>0</v>
      </c>
      <c r="AO244" s="4357">
        <f t="shared" si="554"/>
        <v>0</v>
      </c>
      <c r="AP244" s="4357">
        <f t="shared" si="554"/>
        <v>0</v>
      </c>
      <c r="AQ244" s="4357">
        <f t="shared" si="554"/>
        <v>0</v>
      </c>
      <c r="AR244" s="4357">
        <f t="shared" si="554"/>
        <v>0</v>
      </c>
      <c r="AS244" s="4357">
        <f t="shared" si="554"/>
        <v>0</v>
      </c>
      <c r="AT244" s="4357">
        <f t="shared" si="554"/>
        <v>0</v>
      </c>
      <c r="AU244" s="4357">
        <f t="shared" si="554"/>
        <v>0</v>
      </c>
      <c r="AV244" s="4357">
        <f t="shared" si="554"/>
        <v>0</v>
      </c>
      <c r="AW244" s="4357">
        <f t="shared" si="554"/>
        <v>0</v>
      </c>
      <c r="AX244" s="4357">
        <f t="shared" si="554"/>
        <v>0</v>
      </c>
      <c r="AY244" s="4357">
        <f t="shared" si="554"/>
        <v>0</v>
      </c>
      <c r="AZ244" s="4357">
        <f t="shared" si="554"/>
        <v>0</v>
      </c>
      <c r="BA244" s="4357">
        <f t="shared" si="554"/>
        <v>0</v>
      </c>
      <c r="BB244" s="4357">
        <f t="shared" si="554"/>
        <v>0</v>
      </c>
      <c r="BC244" s="4357">
        <f t="shared" si="554"/>
        <v>0</v>
      </c>
      <c r="BD244" s="4357">
        <f t="shared" si="554"/>
        <v>0</v>
      </c>
      <c r="BE244" s="4357">
        <f t="shared" si="554"/>
        <v>0</v>
      </c>
      <c r="BF244" s="4357">
        <f t="shared" si="554"/>
        <v>0</v>
      </c>
      <c r="BG244" s="4357">
        <f t="shared" si="554"/>
        <v>0</v>
      </c>
      <c r="BH244" s="4357">
        <f t="shared" si="554"/>
        <v>0</v>
      </c>
      <c r="BI244" s="4357">
        <f t="shared" si="554"/>
        <v>0</v>
      </c>
      <c r="BJ244" s="4357">
        <f t="shared" si="554"/>
        <v>0</v>
      </c>
      <c r="BK244" s="4357">
        <f t="shared" si="554"/>
        <v>0</v>
      </c>
      <c r="BL244" s="4357">
        <f t="shared" si="554"/>
        <v>0</v>
      </c>
      <c r="BM244" s="4357">
        <f t="shared" si="554"/>
        <v>0</v>
      </c>
      <c r="BN244" s="4357">
        <f t="shared" si="554"/>
        <v>0</v>
      </c>
      <c r="BO244" s="4357">
        <f t="shared" si="554"/>
        <v>0</v>
      </c>
      <c r="BP244" s="4357">
        <f t="shared" si="554"/>
        <v>0</v>
      </c>
      <c r="BQ244" s="4357">
        <f t="shared" ref="BQ244:CH244" si="555">IFERROR(IF((time+time_cap)&lt;BQ$2, 0,IF(AND(time+1&gt;=BR$2, $AC244&lt;BR$2), IF($AG244= "I", $AH244/($AD244-$AC244+1), $AH244/(($AD244*($AD244+1)/2)-(($AC244-1)*($AC244-1+1)/2))*BQ$2), 0)+IF(IF(time+1&gt;=BR$2, $AI244/time_cap/(time+1)*BQ$2, 0) = 0, $AI244/(time_cap),0)),0)</f>
        <v>0</v>
      </c>
      <c r="BR244" s="4357">
        <f t="shared" si="555"/>
        <v>0</v>
      </c>
      <c r="BS244" s="4357">
        <f t="shared" si="555"/>
        <v>0</v>
      </c>
      <c r="BT244" s="4357">
        <f t="shared" si="555"/>
        <v>0</v>
      </c>
      <c r="BU244" s="4357">
        <f t="shared" si="555"/>
        <v>0</v>
      </c>
      <c r="BV244" s="4357">
        <f t="shared" si="555"/>
        <v>0</v>
      </c>
      <c r="BW244" s="4357">
        <f t="shared" si="555"/>
        <v>0</v>
      </c>
      <c r="BX244" s="4357">
        <f t="shared" si="555"/>
        <v>0</v>
      </c>
      <c r="BY244" s="4357">
        <f t="shared" si="555"/>
        <v>0</v>
      </c>
      <c r="BZ244" s="4357">
        <f t="shared" si="555"/>
        <v>0</v>
      </c>
      <c r="CA244" s="4357">
        <f t="shared" si="555"/>
        <v>0</v>
      </c>
      <c r="CB244" s="4357">
        <f t="shared" si="555"/>
        <v>0</v>
      </c>
      <c r="CC244" s="4357">
        <f t="shared" si="555"/>
        <v>0</v>
      </c>
      <c r="CD244" s="4357">
        <f t="shared" si="555"/>
        <v>0</v>
      </c>
      <c r="CE244" s="4357">
        <f t="shared" si="555"/>
        <v>0</v>
      </c>
      <c r="CF244" s="4357">
        <f t="shared" si="555"/>
        <v>0</v>
      </c>
      <c r="CG244" s="4357">
        <f t="shared" si="555"/>
        <v>0</v>
      </c>
      <c r="CH244" s="4357">
        <f t="shared" si="555"/>
        <v>0</v>
      </c>
      <c r="CI244" s="4357"/>
      <c r="CJ244" s="4357"/>
      <c r="CK244" s="4357"/>
      <c r="CL244" s="4357"/>
      <c r="CM244" s="4357"/>
      <c r="CN244" s="4357"/>
      <c r="CO244" s="4357"/>
      <c r="CP244" s="4357"/>
      <c r="CQ244" s="4357"/>
      <c r="CR244" s="4357"/>
      <c r="CS244" s="4357"/>
      <c r="CT244" s="4357"/>
      <c r="CU244" s="4357"/>
      <c r="CV244" s="4357"/>
      <c r="CW244" s="4357"/>
      <c r="CX244" s="4357"/>
      <c r="CY244" s="4357"/>
      <c r="CZ244" s="4357"/>
      <c r="DA244" s="4357"/>
      <c r="DB244" s="4357"/>
      <c r="DC244" s="4357"/>
      <c r="DD244" s="4357"/>
      <c r="DE244" s="4357"/>
      <c r="DF244" s="4357"/>
      <c r="DG244" s="4357"/>
      <c r="DH244" s="4357"/>
      <c r="DI244" s="4357"/>
      <c r="DJ244" s="4357"/>
      <c r="DK244" s="4357"/>
      <c r="DL244" s="4357"/>
      <c r="DM244" s="4357"/>
      <c r="DN244" s="4357"/>
      <c r="DO244" s="4357"/>
      <c r="DP244" s="4357"/>
      <c r="DQ244" s="4357"/>
      <c r="DR244" s="4357"/>
      <c r="DS244" s="4357"/>
      <c r="DT244" s="4357"/>
      <c r="DU244" s="4357"/>
      <c r="DV244" s="4357"/>
      <c r="DW244" s="4357"/>
      <c r="DX244" s="4357"/>
      <c r="DY244" s="4357"/>
      <c r="DZ244" s="4357"/>
      <c r="EA244" s="4357"/>
      <c r="EB244" s="4357"/>
      <c r="EC244" s="4357"/>
      <c r="ED244" s="4357"/>
      <c r="EE244" s="4357"/>
      <c r="EF244" s="4357"/>
    </row>
    <row r="245" spans="1:136" ht="16" x14ac:dyDescent="0.2">
      <c r="A245" t="str">
        <f>Languages!$B$655</f>
        <v>Inputs &amp; Invest.</v>
      </c>
      <c r="B245" t="s">
        <v>2983</v>
      </c>
      <c r="D245" t="str">
        <f>'9.Inputs'!C87</f>
        <v>Trickle</v>
      </c>
      <c r="E245">
        <f>'9.Inputs'!V87</f>
        <v>-5.5197427334462494</v>
      </c>
      <c r="F245" s="388">
        <v>0</v>
      </c>
      <c r="G245" s="388">
        <v>0</v>
      </c>
      <c r="L245" s="388">
        <f>Inputs!P118-Inputs!O118+Inputs!P124-Inputs!O124</f>
        <v>-5.5197427334462494</v>
      </c>
      <c r="AB245" t="str">
        <f t="shared" si="471"/>
        <v>ok</v>
      </c>
      <c r="AC245">
        <f>IF('9.Inputs'!BE87&lt;&gt;0,'9.Inputs'!BE87,'9.Inputs'!BD87)</f>
        <v>1</v>
      </c>
      <c r="AD245">
        <f t="shared" si="502"/>
        <v>5</v>
      </c>
      <c r="AE245" s="4357" t="str">
        <f>'9.Inputs'!F87</f>
        <v>D</v>
      </c>
      <c r="AF245" s="4357" t="str">
        <f>'9.Inputs'!H87</f>
        <v>D</v>
      </c>
      <c r="AG245" s="4357" t="str">
        <f t="shared" si="505"/>
        <v>D</v>
      </c>
      <c r="AH245" s="4357">
        <f>((E245/(time_cap+((AD245-AC245+1)*VLOOKUP(AG245,list!$I$48:$K$50,3, FALSE))))*(AD245-AC245+1)*VLOOKUP(AG245,list!$I$48:$K$50,3, FALSE))</f>
        <v>-1.1039485466892498</v>
      </c>
      <c r="AI245" s="4357">
        <f>((E245/(time_cap+((AD245-AC245+1)*VLOOKUP(AG245,list!$I$48:$K$50,3, FALSE))))*time_cap)</f>
        <v>-4.4157941867569992</v>
      </c>
      <c r="AK245" s="4357">
        <f t="shared" ref="AK245:BP245" si="556">IFERROR(IF((time+time_cap)&lt;AK$2, 0,IF(AND(time+1&gt;=AL$2, $AC245&lt;AL$2), IF($AG245= "I", $AH245/($AD245-$AC245+1), $AH245/(($AD245*($AD245+1)/2)-(($AC245-1)*($AC245-1+1)/2))*AK$2), 0)+IF(IF(time+1&gt;=AL$2, $AI245/time_cap/(time+1)*AK$2, 0) = 0, $AI245/(time_cap),0)),0)</f>
        <v>-7.3596569779283319E-2</v>
      </c>
      <c r="AL245" s="4357">
        <f t="shared" si="556"/>
        <v>-0.14719313955856664</v>
      </c>
      <c r="AM245" s="4357">
        <f t="shared" si="556"/>
        <v>-0.22078970933784997</v>
      </c>
      <c r="AN245" s="4357">
        <f t="shared" si="556"/>
        <v>-0.29438627911713328</v>
      </c>
      <c r="AO245" s="4357">
        <f t="shared" si="556"/>
        <v>-0.36798284889641658</v>
      </c>
      <c r="AP245" s="4357">
        <f t="shared" si="556"/>
        <v>-0.44157941867569994</v>
      </c>
      <c r="AQ245" s="4357">
        <f t="shared" si="556"/>
        <v>-0.44157941867569994</v>
      </c>
      <c r="AR245" s="4357">
        <f t="shared" si="556"/>
        <v>-0.44157941867569994</v>
      </c>
      <c r="AS245" s="4357">
        <f t="shared" si="556"/>
        <v>-0.44157941867569994</v>
      </c>
      <c r="AT245" s="4357">
        <f t="shared" si="556"/>
        <v>-0.44157941867569994</v>
      </c>
      <c r="AU245" s="4357">
        <f t="shared" si="556"/>
        <v>-0.44157941867569994</v>
      </c>
      <c r="AV245" s="4357">
        <f t="shared" si="556"/>
        <v>-0.44157941867569994</v>
      </c>
      <c r="AW245" s="4357">
        <f t="shared" si="556"/>
        <v>-0.44157941867569994</v>
      </c>
      <c r="AX245" s="4357">
        <f t="shared" si="556"/>
        <v>-0.44157941867569994</v>
      </c>
      <c r="AY245" s="4357">
        <f t="shared" si="556"/>
        <v>-0.44157941867569994</v>
      </c>
      <c r="AZ245" s="4357">
        <f t="shared" si="556"/>
        <v>0</v>
      </c>
      <c r="BA245" s="4357">
        <f t="shared" si="556"/>
        <v>0</v>
      </c>
      <c r="BB245" s="4357">
        <f t="shared" si="556"/>
        <v>0</v>
      </c>
      <c r="BC245" s="4357">
        <f t="shared" si="556"/>
        <v>0</v>
      </c>
      <c r="BD245" s="4357">
        <f t="shared" si="556"/>
        <v>0</v>
      </c>
      <c r="BE245" s="4357">
        <f t="shared" si="556"/>
        <v>0</v>
      </c>
      <c r="BF245" s="4357">
        <f t="shared" si="556"/>
        <v>0</v>
      </c>
      <c r="BG245" s="4357">
        <f t="shared" si="556"/>
        <v>0</v>
      </c>
      <c r="BH245" s="4357">
        <f t="shared" si="556"/>
        <v>0</v>
      </c>
      <c r="BI245" s="4357">
        <f t="shared" si="556"/>
        <v>0</v>
      </c>
      <c r="BJ245" s="4357">
        <f t="shared" si="556"/>
        <v>0</v>
      </c>
      <c r="BK245" s="4357">
        <f t="shared" si="556"/>
        <v>0</v>
      </c>
      <c r="BL245" s="4357">
        <f t="shared" si="556"/>
        <v>0</v>
      </c>
      <c r="BM245" s="4357">
        <f t="shared" si="556"/>
        <v>0</v>
      </c>
      <c r="BN245" s="4357">
        <f t="shared" si="556"/>
        <v>0</v>
      </c>
      <c r="BO245" s="4357">
        <f t="shared" si="556"/>
        <v>0</v>
      </c>
      <c r="BP245" s="4357">
        <f t="shared" si="556"/>
        <v>0</v>
      </c>
      <c r="BQ245" s="4357">
        <f t="shared" ref="BQ245:CH245" si="557">IFERROR(IF((time+time_cap)&lt;BQ$2, 0,IF(AND(time+1&gt;=BR$2, $AC245&lt;BR$2), IF($AG245= "I", $AH245/($AD245-$AC245+1), $AH245/(($AD245*($AD245+1)/2)-(($AC245-1)*($AC245-1+1)/2))*BQ$2), 0)+IF(IF(time+1&gt;=BR$2, $AI245/time_cap/(time+1)*BQ$2, 0) = 0, $AI245/(time_cap),0)),0)</f>
        <v>0</v>
      </c>
      <c r="BR245" s="4357">
        <f t="shared" si="557"/>
        <v>0</v>
      </c>
      <c r="BS245" s="4357">
        <f t="shared" si="557"/>
        <v>0</v>
      </c>
      <c r="BT245" s="4357">
        <f t="shared" si="557"/>
        <v>0</v>
      </c>
      <c r="BU245" s="4357">
        <f t="shared" si="557"/>
        <v>0</v>
      </c>
      <c r="BV245" s="4357">
        <f t="shared" si="557"/>
        <v>0</v>
      </c>
      <c r="BW245" s="4357">
        <f t="shared" si="557"/>
        <v>0</v>
      </c>
      <c r="BX245" s="4357">
        <f t="shared" si="557"/>
        <v>0</v>
      </c>
      <c r="BY245" s="4357">
        <f t="shared" si="557"/>
        <v>0</v>
      </c>
      <c r="BZ245" s="4357">
        <f t="shared" si="557"/>
        <v>0</v>
      </c>
      <c r="CA245" s="4357">
        <f t="shared" si="557"/>
        <v>0</v>
      </c>
      <c r="CB245" s="4357">
        <f t="shared" si="557"/>
        <v>0</v>
      </c>
      <c r="CC245" s="4357">
        <f t="shared" si="557"/>
        <v>0</v>
      </c>
      <c r="CD245" s="4357">
        <f t="shared" si="557"/>
        <v>0</v>
      </c>
      <c r="CE245" s="4357">
        <f t="shared" si="557"/>
        <v>0</v>
      </c>
      <c r="CF245" s="4357">
        <f t="shared" si="557"/>
        <v>0</v>
      </c>
      <c r="CG245" s="4357">
        <f t="shared" si="557"/>
        <v>0</v>
      </c>
      <c r="CH245" s="4357">
        <f t="shared" si="557"/>
        <v>0</v>
      </c>
      <c r="CI245" s="4357"/>
      <c r="CJ245" s="4357"/>
      <c r="CK245" s="4357"/>
      <c r="CL245" s="4357"/>
      <c r="CM245" s="4357"/>
      <c r="CN245" s="4357"/>
      <c r="CO245" s="4357"/>
      <c r="CP245" s="4357"/>
      <c r="CQ245" s="4357"/>
      <c r="CR245" s="4357"/>
      <c r="CS245" s="4357"/>
      <c r="CT245" s="4357"/>
      <c r="CU245" s="4357"/>
      <c r="CV245" s="4357"/>
      <c r="CW245" s="4357"/>
      <c r="CX245" s="4357"/>
      <c r="CY245" s="4357"/>
      <c r="CZ245" s="4357"/>
      <c r="DA245" s="4357"/>
      <c r="DB245" s="4357"/>
      <c r="DC245" s="4357"/>
      <c r="DD245" s="4357"/>
      <c r="DE245" s="4357"/>
      <c r="DF245" s="4357"/>
      <c r="DG245" s="4357"/>
      <c r="DH245" s="4357"/>
      <c r="DI245" s="4357"/>
      <c r="DJ245" s="4357"/>
      <c r="DK245" s="4357"/>
      <c r="DL245" s="4357"/>
      <c r="DM245" s="4357"/>
      <c r="DN245" s="4357"/>
      <c r="DO245" s="4357"/>
      <c r="DP245" s="4357"/>
      <c r="DQ245" s="4357"/>
      <c r="DR245" s="4357"/>
      <c r="DS245" s="4357"/>
      <c r="DT245" s="4357"/>
      <c r="DU245" s="4357"/>
      <c r="DV245" s="4357"/>
      <c r="DW245" s="4357"/>
      <c r="DX245" s="4357"/>
      <c r="DY245" s="4357"/>
      <c r="DZ245" s="4357"/>
      <c r="EA245" s="4357"/>
      <c r="EB245" s="4357"/>
      <c r="EC245" s="4357"/>
      <c r="ED245" s="4357"/>
      <c r="EE245" s="4357"/>
      <c r="EF245" s="4357"/>
    </row>
    <row r="246" spans="1:136" ht="16" x14ac:dyDescent="0.2">
      <c r="A246" t="str">
        <f>Languages!$B$655</f>
        <v>Inputs &amp; Invest.</v>
      </c>
      <c r="B246" t="s">
        <v>2983</v>
      </c>
      <c r="D246" t="str">
        <f>'9.Inputs'!C88</f>
        <v>Trickle</v>
      </c>
      <c r="E246">
        <f>'9.Inputs'!V88</f>
        <v>7.9873924260457487</v>
      </c>
      <c r="F246" s="388">
        <v>0</v>
      </c>
      <c r="G246" s="388">
        <v>0</v>
      </c>
      <c r="L246" s="388">
        <f>Inputs!P119-Inputs!O119+Inputs!P125-Inputs!O125</f>
        <v>7.9873924260457487</v>
      </c>
      <c r="AB246" t="str">
        <f t="shared" si="471"/>
        <v>ok</v>
      </c>
      <c r="AC246">
        <f>IF('9.Inputs'!BE88&lt;&gt;0,'9.Inputs'!BE88,'9.Inputs'!BD88)</f>
        <v>1</v>
      </c>
      <c r="AD246">
        <f t="shared" si="502"/>
        <v>5</v>
      </c>
      <c r="AE246" s="4357" t="str">
        <f>'9.Inputs'!F88</f>
        <v>D</v>
      </c>
      <c r="AF246" s="4357" t="str">
        <f>'9.Inputs'!H88</f>
        <v>D</v>
      </c>
      <c r="AG246" s="4357" t="str">
        <f t="shared" si="505"/>
        <v>D</v>
      </c>
      <c r="AH246" s="4357">
        <f>((E246/(time_cap+((AD246-AC246+1)*VLOOKUP(AG246,list!$I$48:$K$50,3, FALSE))))*(AD246-AC246+1)*VLOOKUP(AG246,list!$I$48:$K$50,3, FALSE))</f>
        <v>1.5974784852091497</v>
      </c>
      <c r="AI246" s="4357">
        <f>((E246/(time_cap+((AD246-AC246+1)*VLOOKUP(AG246,list!$I$48:$K$50,3, FALSE))))*time_cap)</f>
        <v>6.3899139408365988</v>
      </c>
      <c r="AK246" s="4357">
        <f t="shared" ref="AK246:BP246" si="558">IFERROR(IF((time+time_cap)&lt;AK$2, 0,IF(AND(time+1&gt;=AL$2, $AC246&lt;AL$2), IF($AG246= "I", $AH246/($AD246-$AC246+1), $AH246/(($AD246*($AD246+1)/2)-(($AC246-1)*($AC246-1+1)/2))*AK$2), 0)+IF(IF(time+1&gt;=AL$2, $AI246/time_cap/(time+1)*AK$2, 0) = 0, $AI246/(time_cap),0)),0)</f>
        <v>0.10649856568060997</v>
      </c>
      <c r="AL246" s="4357">
        <f t="shared" si="558"/>
        <v>0.21299713136121995</v>
      </c>
      <c r="AM246" s="4357">
        <f t="shared" si="558"/>
        <v>0.3194956970418299</v>
      </c>
      <c r="AN246" s="4357">
        <f t="shared" si="558"/>
        <v>0.4259942627224399</v>
      </c>
      <c r="AO246" s="4357">
        <f t="shared" si="558"/>
        <v>0.5324928284030499</v>
      </c>
      <c r="AP246" s="4357">
        <f t="shared" si="558"/>
        <v>0.6389913940836599</v>
      </c>
      <c r="AQ246" s="4357">
        <f t="shared" si="558"/>
        <v>0.6389913940836599</v>
      </c>
      <c r="AR246" s="4357">
        <f t="shared" si="558"/>
        <v>0.6389913940836599</v>
      </c>
      <c r="AS246" s="4357">
        <f t="shared" si="558"/>
        <v>0.6389913940836599</v>
      </c>
      <c r="AT246" s="4357">
        <f t="shared" si="558"/>
        <v>0.6389913940836599</v>
      </c>
      <c r="AU246" s="4357">
        <f t="shared" si="558"/>
        <v>0.6389913940836599</v>
      </c>
      <c r="AV246" s="4357">
        <f t="shared" si="558"/>
        <v>0.6389913940836599</v>
      </c>
      <c r="AW246" s="4357">
        <f t="shared" si="558"/>
        <v>0.6389913940836599</v>
      </c>
      <c r="AX246" s="4357">
        <f t="shared" si="558"/>
        <v>0.6389913940836599</v>
      </c>
      <c r="AY246" s="4357">
        <f t="shared" si="558"/>
        <v>0.6389913940836599</v>
      </c>
      <c r="AZ246" s="4357">
        <f t="shared" si="558"/>
        <v>0</v>
      </c>
      <c r="BA246" s="4357">
        <f t="shared" si="558"/>
        <v>0</v>
      </c>
      <c r="BB246" s="4357">
        <f t="shared" si="558"/>
        <v>0</v>
      </c>
      <c r="BC246" s="4357">
        <f t="shared" si="558"/>
        <v>0</v>
      </c>
      <c r="BD246" s="4357">
        <f t="shared" si="558"/>
        <v>0</v>
      </c>
      <c r="BE246" s="4357">
        <f t="shared" si="558"/>
        <v>0</v>
      </c>
      <c r="BF246" s="4357">
        <f t="shared" si="558"/>
        <v>0</v>
      </c>
      <c r="BG246" s="4357">
        <f t="shared" si="558"/>
        <v>0</v>
      </c>
      <c r="BH246" s="4357">
        <f t="shared" si="558"/>
        <v>0</v>
      </c>
      <c r="BI246" s="4357">
        <f t="shared" si="558"/>
        <v>0</v>
      </c>
      <c r="BJ246" s="4357">
        <f t="shared" si="558"/>
        <v>0</v>
      </c>
      <c r="BK246" s="4357">
        <f t="shared" si="558"/>
        <v>0</v>
      </c>
      <c r="BL246" s="4357">
        <f t="shared" si="558"/>
        <v>0</v>
      </c>
      <c r="BM246" s="4357">
        <f t="shared" si="558"/>
        <v>0</v>
      </c>
      <c r="BN246" s="4357">
        <f t="shared" si="558"/>
        <v>0</v>
      </c>
      <c r="BO246" s="4357">
        <f t="shared" si="558"/>
        <v>0</v>
      </c>
      <c r="BP246" s="4357">
        <f t="shared" si="558"/>
        <v>0</v>
      </c>
      <c r="BQ246" s="4357">
        <f t="shared" ref="BQ246:CH246" si="559">IFERROR(IF((time+time_cap)&lt;BQ$2, 0,IF(AND(time+1&gt;=BR$2, $AC246&lt;BR$2), IF($AG246= "I", $AH246/($AD246-$AC246+1), $AH246/(($AD246*($AD246+1)/2)-(($AC246-1)*($AC246-1+1)/2))*BQ$2), 0)+IF(IF(time+1&gt;=BR$2, $AI246/time_cap/(time+1)*BQ$2, 0) = 0, $AI246/(time_cap),0)),0)</f>
        <v>0</v>
      </c>
      <c r="BR246" s="4357">
        <f t="shared" si="559"/>
        <v>0</v>
      </c>
      <c r="BS246" s="4357">
        <f t="shared" si="559"/>
        <v>0</v>
      </c>
      <c r="BT246" s="4357">
        <f t="shared" si="559"/>
        <v>0</v>
      </c>
      <c r="BU246" s="4357">
        <f t="shared" si="559"/>
        <v>0</v>
      </c>
      <c r="BV246" s="4357">
        <f t="shared" si="559"/>
        <v>0</v>
      </c>
      <c r="BW246" s="4357">
        <f t="shared" si="559"/>
        <v>0</v>
      </c>
      <c r="BX246" s="4357">
        <f t="shared" si="559"/>
        <v>0</v>
      </c>
      <c r="BY246" s="4357">
        <f t="shared" si="559"/>
        <v>0</v>
      </c>
      <c r="BZ246" s="4357">
        <f t="shared" si="559"/>
        <v>0</v>
      </c>
      <c r="CA246" s="4357">
        <f t="shared" si="559"/>
        <v>0</v>
      </c>
      <c r="CB246" s="4357">
        <f t="shared" si="559"/>
        <v>0</v>
      </c>
      <c r="CC246" s="4357">
        <f t="shared" si="559"/>
        <v>0</v>
      </c>
      <c r="CD246" s="4357">
        <f t="shared" si="559"/>
        <v>0</v>
      </c>
      <c r="CE246" s="4357">
        <f t="shared" si="559"/>
        <v>0</v>
      </c>
      <c r="CF246" s="4357">
        <f t="shared" si="559"/>
        <v>0</v>
      </c>
      <c r="CG246" s="4357">
        <f t="shared" si="559"/>
        <v>0</v>
      </c>
      <c r="CH246" s="4357">
        <f t="shared" si="559"/>
        <v>0</v>
      </c>
      <c r="CI246" s="4357"/>
      <c r="CJ246" s="4357"/>
      <c r="CK246" s="4357"/>
      <c r="CL246" s="4357"/>
      <c r="CM246" s="4357"/>
      <c r="CN246" s="4357"/>
      <c r="CO246" s="4357"/>
      <c r="CP246" s="4357"/>
      <c r="CQ246" s="4357"/>
      <c r="CR246" s="4357"/>
      <c r="CS246" s="4357"/>
      <c r="CT246" s="4357"/>
      <c r="CU246" s="4357"/>
      <c r="CV246" s="4357"/>
      <c r="CW246" s="4357"/>
      <c r="CX246" s="4357"/>
      <c r="CY246" s="4357"/>
      <c r="CZ246" s="4357"/>
      <c r="DA246" s="4357"/>
      <c r="DB246" s="4357"/>
      <c r="DC246" s="4357"/>
      <c r="DD246" s="4357"/>
      <c r="DE246" s="4357"/>
      <c r="DF246" s="4357"/>
      <c r="DG246" s="4357"/>
      <c r="DH246" s="4357"/>
      <c r="DI246" s="4357"/>
      <c r="DJ246" s="4357"/>
      <c r="DK246" s="4357"/>
      <c r="DL246" s="4357"/>
      <c r="DM246" s="4357"/>
      <c r="DN246" s="4357"/>
      <c r="DO246" s="4357"/>
      <c r="DP246" s="4357"/>
      <c r="DQ246" s="4357"/>
      <c r="DR246" s="4357"/>
      <c r="DS246" s="4357"/>
      <c r="DT246" s="4357"/>
      <c r="DU246" s="4357"/>
      <c r="DV246" s="4357"/>
      <c r="DW246" s="4357"/>
      <c r="DX246" s="4357"/>
      <c r="DY246" s="4357"/>
      <c r="DZ246" s="4357"/>
      <c r="EA246" s="4357"/>
      <c r="EB246" s="4357"/>
      <c r="EC246" s="4357"/>
      <c r="ED246" s="4357"/>
      <c r="EE246" s="4357"/>
      <c r="EF246" s="4357"/>
    </row>
    <row r="247" spans="1:136" ht="16" x14ac:dyDescent="0.2">
      <c r="A247" t="str">
        <f>Languages!$B$655</f>
        <v>Inputs &amp; Invest.</v>
      </c>
      <c r="B247" t="s">
        <v>2983</v>
      </c>
      <c r="D247" t="str">
        <f>'9.Inputs'!C89</f>
        <v>Please select</v>
      </c>
      <c r="E247">
        <f>'9.Inputs'!V89</f>
        <v>0</v>
      </c>
      <c r="F247" s="388">
        <v>0</v>
      </c>
      <c r="G247" s="388">
        <v>0</v>
      </c>
      <c r="L247" s="388">
        <f>Inputs!P120-Inputs!O120+Inputs!P126-Inputs!O126</f>
        <v>0</v>
      </c>
      <c r="AB247" t="str">
        <f t="shared" si="471"/>
        <v>ok</v>
      </c>
      <c r="AC247">
        <f>IF('9.Inputs'!BE89&lt;&gt;0,'9.Inputs'!BE89,'9.Inputs'!BD89)</f>
        <v>1</v>
      </c>
      <c r="AD247">
        <f t="shared" si="502"/>
        <v>5</v>
      </c>
      <c r="AE247" s="4357" t="str">
        <f>'9.Inputs'!F89</f>
        <v>D</v>
      </c>
      <c r="AF247" s="4357" t="str">
        <f>'9.Inputs'!H89</f>
        <v>D</v>
      </c>
      <c r="AG247" s="4357" t="str">
        <f t="shared" si="505"/>
        <v>D</v>
      </c>
      <c r="AH247" s="4357">
        <f>((E247/(time_cap+((AD247-AC247+1)*VLOOKUP(AG247,list!$I$48:$K$50,3, FALSE))))*(AD247-AC247+1)*VLOOKUP(AG247,list!$I$48:$K$50,3, FALSE))</f>
        <v>0</v>
      </c>
      <c r="AI247" s="4357">
        <f>((E247/(time_cap+((AD247-AC247+1)*VLOOKUP(AG247,list!$I$48:$K$50,3, FALSE))))*time_cap)</f>
        <v>0</v>
      </c>
      <c r="AK247" s="4357">
        <f t="shared" ref="AK247:BP247" si="560">IFERROR(IF((time+time_cap)&lt;AK$2, 0,IF(AND(time+1&gt;=AL$2, $AC247&lt;AL$2), IF($AG247= "I", $AH247/($AD247-$AC247+1), $AH247/(($AD247*($AD247+1)/2)-(($AC247-1)*($AC247-1+1)/2))*AK$2), 0)+IF(IF(time+1&gt;=AL$2, $AI247/time_cap/(time+1)*AK$2, 0) = 0, $AI247/(time_cap),0)),0)</f>
        <v>0</v>
      </c>
      <c r="AL247" s="4357">
        <f t="shared" si="560"/>
        <v>0</v>
      </c>
      <c r="AM247" s="4357">
        <f t="shared" si="560"/>
        <v>0</v>
      </c>
      <c r="AN247" s="4357">
        <f t="shared" si="560"/>
        <v>0</v>
      </c>
      <c r="AO247" s="4357">
        <f t="shared" si="560"/>
        <v>0</v>
      </c>
      <c r="AP247" s="4357">
        <f t="shared" si="560"/>
        <v>0</v>
      </c>
      <c r="AQ247" s="4357">
        <f t="shared" si="560"/>
        <v>0</v>
      </c>
      <c r="AR247" s="4357">
        <f t="shared" si="560"/>
        <v>0</v>
      </c>
      <c r="AS247" s="4357">
        <f t="shared" si="560"/>
        <v>0</v>
      </c>
      <c r="AT247" s="4357">
        <f t="shared" si="560"/>
        <v>0</v>
      </c>
      <c r="AU247" s="4357">
        <f t="shared" si="560"/>
        <v>0</v>
      </c>
      <c r="AV247" s="4357">
        <f t="shared" si="560"/>
        <v>0</v>
      </c>
      <c r="AW247" s="4357">
        <f t="shared" si="560"/>
        <v>0</v>
      </c>
      <c r="AX247" s="4357">
        <f t="shared" si="560"/>
        <v>0</v>
      </c>
      <c r="AY247" s="4357">
        <f t="shared" si="560"/>
        <v>0</v>
      </c>
      <c r="AZ247" s="4357">
        <f t="shared" si="560"/>
        <v>0</v>
      </c>
      <c r="BA247" s="4357">
        <f t="shared" si="560"/>
        <v>0</v>
      </c>
      <c r="BB247" s="4357">
        <f t="shared" si="560"/>
        <v>0</v>
      </c>
      <c r="BC247" s="4357">
        <f t="shared" si="560"/>
        <v>0</v>
      </c>
      <c r="BD247" s="4357">
        <f t="shared" si="560"/>
        <v>0</v>
      </c>
      <c r="BE247" s="4357">
        <f t="shared" si="560"/>
        <v>0</v>
      </c>
      <c r="BF247" s="4357">
        <f t="shared" si="560"/>
        <v>0</v>
      </c>
      <c r="BG247" s="4357">
        <f t="shared" si="560"/>
        <v>0</v>
      </c>
      <c r="BH247" s="4357">
        <f t="shared" si="560"/>
        <v>0</v>
      </c>
      <c r="BI247" s="4357">
        <f t="shared" si="560"/>
        <v>0</v>
      </c>
      <c r="BJ247" s="4357">
        <f t="shared" si="560"/>
        <v>0</v>
      </c>
      <c r="BK247" s="4357">
        <f t="shared" si="560"/>
        <v>0</v>
      </c>
      <c r="BL247" s="4357">
        <f t="shared" si="560"/>
        <v>0</v>
      </c>
      <c r="BM247" s="4357">
        <f t="shared" si="560"/>
        <v>0</v>
      </c>
      <c r="BN247" s="4357">
        <f t="shared" si="560"/>
        <v>0</v>
      </c>
      <c r="BO247" s="4357">
        <f t="shared" si="560"/>
        <v>0</v>
      </c>
      <c r="BP247" s="4357">
        <f t="shared" si="560"/>
        <v>0</v>
      </c>
      <c r="BQ247" s="4357">
        <f t="shared" ref="BQ247:CH247" si="561">IFERROR(IF((time+time_cap)&lt;BQ$2, 0,IF(AND(time+1&gt;=BR$2, $AC247&lt;BR$2), IF($AG247= "I", $AH247/($AD247-$AC247+1), $AH247/(($AD247*($AD247+1)/2)-(($AC247-1)*($AC247-1+1)/2))*BQ$2), 0)+IF(IF(time+1&gt;=BR$2, $AI247/time_cap/(time+1)*BQ$2, 0) = 0, $AI247/(time_cap),0)),0)</f>
        <v>0</v>
      </c>
      <c r="BR247" s="4357">
        <f t="shared" si="561"/>
        <v>0</v>
      </c>
      <c r="BS247" s="4357">
        <f t="shared" si="561"/>
        <v>0</v>
      </c>
      <c r="BT247" s="4357">
        <f t="shared" si="561"/>
        <v>0</v>
      </c>
      <c r="BU247" s="4357">
        <f t="shared" si="561"/>
        <v>0</v>
      </c>
      <c r="BV247" s="4357">
        <f t="shared" si="561"/>
        <v>0</v>
      </c>
      <c r="BW247" s="4357">
        <f t="shared" si="561"/>
        <v>0</v>
      </c>
      <c r="BX247" s="4357">
        <f t="shared" si="561"/>
        <v>0</v>
      </c>
      <c r="BY247" s="4357">
        <f t="shared" si="561"/>
        <v>0</v>
      </c>
      <c r="BZ247" s="4357">
        <f t="shared" si="561"/>
        <v>0</v>
      </c>
      <c r="CA247" s="4357">
        <f t="shared" si="561"/>
        <v>0</v>
      </c>
      <c r="CB247" s="4357">
        <f t="shared" si="561"/>
        <v>0</v>
      </c>
      <c r="CC247" s="4357">
        <f t="shared" si="561"/>
        <v>0</v>
      </c>
      <c r="CD247" s="4357">
        <f t="shared" si="561"/>
        <v>0</v>
      </c>
      <c r="CE247" s="4357">
        <f t="shared" si="561"/>
        <v>0</v>
      </c>
      <c r="CF247" s="4357">
        <f t="shared" si="561"/>
        <v>0</v>
      </c>
      <c r="CG247" s="4357">
        <f t="shared" si="561"/>
        <v>0</v>
      </c>
      <c r="CH247" s="4357">
        <f t="shared" si="561"/>
        <v>0</v>
      </c>
      <c r="CI247" s="4357"/>
      <c r="CJ247" s="4357"/>
      <c r="CK247" s="4357"/>
      <c r="CL247" s="4357"/>
      <c r="CM247" s="4357"/>
      <c r="CN247" s="4357"/>
      <c r="CO247" s="4357"/>
      <c r="CP247" s="4357"/>
      <c r="CQ247" s="4357"/>
      <c r="CR247" s="4357"/>
      <c r="CS247" s="4357"/>
      <c r="CT247" s="4357"/>
      <c r="CU247" s="4357"/>
      <c r="CV247" s="4357"/>
      <c r="CW247" s="4357"/>
      <c r="CX247" s="4357"/>
      <c r="CY247" s="4357"/>
      <c r="CZ247" s="4357"/>
      <c r="DA247" s="4357"/>
      <c r="DB247" s="4357"/>
      <c r="DC247" s="4357"/>
      <c r="DD247" s="4357"/>
      <c r="DE247" s="4357"/>
      <c r="DF247" s="4357"/>
      <c r="DG247" s="4357"/>
      <c r="DH247" s="4357"/>
      <c r="DI247" s="4357"/>
      <c r="DJ247" s="4357"/>
      <c r="DK247" s="4357"/>
      <c r="DL247" s="4357"/>
      <c r="DM247" s="4357"/>
      <c r="DN247" s="4357"/>
      <c r="DO247" s="4357"/>
      <c r="DP247" s="4357"/>
      <c r="DQ247" s="4357"/>
      <c r="DR247" s="4357"/>
      <c r="DS247" s="4357"/>
      <c r="DT247" s="4357"/>
      <c r="DU247" s="4357"/>
      <c r="DV247" s="4357"/>
      <c r="DW247" s="4357"/>
      <c r="DX247" s="4357"/>
      <c r="DY247" s="4357"/>
      <c r="DZ247" s="4357"/>
      <c r="EA247" s="4357"/>
      <c r="EB247" s="4357"/>
      <c r="EC247" s="4357"/>
      <c r="ED247" s="4357"/>
      <c r="EE247" s="4357"/>
      <c r="EF247" s="4357"/>
    </row>
    <row r="248" spans="1:136" ht="16" x14ac:dyDescent="0.2">
      <c r="A248" t="str">
        <f>Languages!$B$655</f>
        <v>Inputs &amp; Invest.</v>
      </c>
      <c r="B248" t="s">
        <v>3244</v>
      </c>
      <c r="D248" t="str">
        <f>'9.Inputs'!C109</f>
        <v>Garage (concrete)</v>
      </c>
      <c r="E248">
        <f>'9.Inputs'!V109</f>
        <v>5.2480000000000002</v>
      </c>
      <c r="F248" s="388">
        <v>0</v>
      </c>
      <c r="G248" s="388">
        <v>0</v>
      </c>
      <c r="L248" s="388">
        <f>Inputs!P140-Inputs!O140</f>
        <v>5.2480000000000002</v>
      </c>
      <c r="AB248" t="str">
        <f t="shared" si="471"/>
        <v>ok</v>
      </c>
      <c r="AC248">
        <f>IF('9.Inputs'!AW109&lt;&gt;0,'9.Inputs'!AW109,'9.Inputs'!AV109)</f>
        <v>1</v>
      </c>
      <c r="AD248">
        <f t="shared" si="502"/>
        <v>5</v>
      </c>
      <c r="AE248" s="4357" t="s">
        <v>86</v>
      </c>
      <c r="AF248" s="4357" t="s">
        <v>86</v>
      </c>
      <c r="AG248" s="4357" t="str">
        <f t="shared" si="505"/>
        <v>D</v>
      </c>
      <c r="AH248" s="4357">
        <f>((E248/(time_cap+((AD248-AC248+1)*VLOOKUP(AG248,list!$I$48:$K$50,3, FALSE))))*(AD248-AC248+1)*VLOOKUP(AG248,list!$I$48:$K$50,3, FALSE))</f>
        <v>1.0495999999999999</v>
      </c>
      <c r="AI248" s="4357">
        <f>((E248/(time_cap+((AD248-AC248+1)*VLOOKUP(AG248,list!$I$48:$K$50,3, FALSE))))*time_cap)</f>
        <v>4.1983999999999995</v>
      </c>
      <c r="AK248" s="4357">
        <f t="shared" ref="AK248:BP248" si="562">IFERROR(IF((time+time_cap)&lt;AK$2, 0,IF(AND(time+1&gt;=AL$2, $AC248&lt;AL$2), IF($AG248= "I", $AH248/($AD248-$AC248+1), $AH248/(($AD248*($AD248+1)/2)-(($AC248-1)*($AC248-1+1)/2))*AK$2), 0)+IF(IF(time+1&gt;=AL$2, $AI248/time_cap/(time+1)*AK$2, 0) = 0, $AI248/(time_cap),0)),0)</f>
        <v>6.9973333333333318E-2</v>
      </c>
      <c r="AL248" s="4357">
        <f t="shared" si="562"/>
        <v>0.13994666666666664</v>
      </c>
      <c r="AM248" s="4357">
        <f t="shared" si="562"/>
        <v>0.20991999999999994</v>
      </c>
      <c r="AN248" s="4357">
        <f t="shared" si="562"/>
        <v>0.27989333333333327</v>
      </c>
      <c r="AO248" s="4357">
        <f t="shared" si="562"/>
        <v>0.3498666666666666</v>
      </c>
      <c r="AP248" s="4357">
        <f t="shared" si="562"/>
        <v>0.41983999999999994</v>
      </c>
      <c r="AQ248" s="4357">
        <f t="shared" si="562"/>
        <v>0.41983999999999994</v>
      </c>
      <c r="AR248" s="4357">
        <f t="shared" si="562"/>
        <v>0.41983999999999994</v>
      </c>
      <c r="AS248" s="4357">
        <f t="shared" si="562"/>
        <v>0.41983999999999994</v>
      </c>
      <c r="AT248" s="4357">
        <f t="shared" si="562"/>
        <v>0.41983999999999994</v>
      </c>
      <c r="AU248" s="4357">
        <f t="shared" si="562"/>
        <v>0.41983999999999994</v>
      </c>
      <c r="AV248" s="4357">
        <f t="shared" si="562"/>
        <v>0.41983999999999994</v>
      </c>
      <c r="AW248" s="4357">
        <f t="shared" si="562"/>
        <v>0.41983999999999994</v>
      </c>
      <c r="AX248" s="4357">
        <f t="shared" si="562"/>
        <v>0.41983999999999994</v>
      </c>
      <c r="AY248" s="4357">
        <f t="shared" si="562"/>
        <v>0.41983999999999994</v>
      </c>
      <c r="AZ248" s="4357">
        <f t="shared" si="562"/>
        <v>0</v>
      </c>
      <c r="BA248" s="4357">
        <f t="shared" si="562"/>
        <v>0</v>
      </c>
      <c r="BB248" s="4357">
        <f t="shared" si="562"/>
        <v>0</v>
      </c>
      <c r="BC248" s="4357">
        <f t="shared" si="562"/>
        <v>0</v>
      </c>
      <c r="BD248" s="4357">
        <f t="shared" si="562"/>
        <v>0</v>
      </c>
      <c r="BE248" s="4357">
        <f t="shared" si="562"/>
        <v>0</v>
      </c>
      <c r="BF248" s="4357">
        <f t="shared" si="562"/>
        <v>0</v>
      </c>
      <c r="BG248" s="4357">
        <f t="shared" si="562"/>
        <v>0</v>
      </c>
      <c r="BH248" s="4357">
        <f t="shared" si="562"/>
        <v>0</v>
      </c>
      <c r="BI248" s="4357">
        <f t="shared" si="562"/>
        <v>0</v>
      </c>
      <c r="BJ248" s="4357">
        <f t="shared" si="562"/>
        <v>0</v>
      </c>
      <c r="BK248" s="4357">
        <f t="shared" si="562"/>
        <v>0</v>
      </c>
      <c r="BL248" s="4357">
        <f t="shared" si="562"/>
        <v>0</v>
      </c>
      <c r="BM248" s="4357">
        <f t="shared" si="562"/>
        <v>0</v>
      </c>
      <c r="BN248" s="4357">
        <f t="shared" si="562"/>
        <v>0</v>
      </c>
      <c r="BO248" s="4357">
        <f t="shared" si="562"/>
        <v>0</v>
      </c>
      <c r="BP248" s="4357">
        <f t="shared" si="562"/>
        <v>0</v>
      </c>
      <c r="BQ248" s="4357">
        <f t="shared" ref="BQ248:CH248" si="563">IFERROR(IF((time+time_cap)&lt;BQ$2, 0,IF(AND(time+1&gt;=BR$2, $AC248&lt;BR$2), IF($AG248= "I", $AH248/($AD248-$AC248+1), $AH248/(($AD248*($AD248+1)/2)-(($AC248-1)*($AC248-1+1)/2))*BQ$2), 0)+IF(IF(time+1&gt;=BR$2, $AI248/time_cap/(time+1)*BQ$2, 0) = 0, $AI248/(time_cap),0)),0)</f>
        <v>0</v>
      </c>
      <c r="BR248" s="4357">
        <f t="shared" si="563"/>
        <v>0</v>
      </c>
      <c r="BS248" s="4357">
        <f t="shared" si="563"/>
        <v>0</v>
      </c>
      <c r="BT248" s="4357">
        <f t="shared" si="563"/>
        <v>0</v>
      </c>
      <c r="BU248" s="4357">
        <f t="shared" si="563"/>
        <v>0</v>
      </c>
      <c r="BV248" s="4357">
        <f t="shared" si="563"/>
        <v>0</v>
      </c>
      <c r="BW248" s="4357">
        <f t="shared" si="563"/>
        <v>0</v>
      </c>
      <c r="BX248" s="4357">
        <f t="shared" si="563"/>
        <v>0</v>
      </c>
      <c r="BY248" s="4357">
        <f t="shared" si="563"/>
        <v>0</v>
      </c>
      <c r="BZ248" s="4357">
        <f t="shared" si="563"/>
        <v>0</v>
      </c>
      <c r="CA248" s="4357">
        <f t="shared" si="563"/>
        <v>0</v>
      </c>
      <c r="CB248" s="4357">
        <f t="shared" si="563"/>
        <v>0</v>
      </c>
      <c r="CC248" s="4357">
        <f t="shared" si="563"/>
        <v>0</v>
      </c>
      <c r="CD248" s="4357">
        <f t="shared" si="563"/>
        <v>0</v>
      </c>
      <c r="CE248" s="4357">
        <f t="shared" si="563"/>
        <v>0</v>
      </c>
      <c r="CF248" s="4357">
        <f t="shared" si="563"/>
        <v>0</v>
      </c>
      <c r="CG248" s="4357">
        <f t="shared" si="563"/>
        <v>0</v>
      </c>
      <c r="CH248" s="4357">
        <f t="shared" si="563"/>
        <v>0</v>
      </c>
      <c r="CI248" s="4357"/>
      <c r="CJ248" s="4357"/>
      <c r="CK248" s="4357"/>
      <c r="CL248" s="4357"/>
      <c r="CM248" s="4357"/>
      <c r="CN248" s="4357"/>
      <c r="CO248" s="4357"/>
      <c r="CP248" s="4357"/>
      <c r="CQ248" s="4357"/>
      <c r="CR248" s="4357"/>
      <c r="CS248" s="4357"/>
      <c r="CT248" s="4357"/>
      <c r="CU248" s="4357"/>
      <c r="CV248" s="4357"/>
      <c r="CW248" s="4357"/>
      <c r="CX248" s="4357"/>
      <c r="CY248" s="4357"/>
      <c r="CZ248" s="4357"/>
      <c r="DA248" s="4357"/>
      <c r="DB248" s="4357"/>
      <c r="DC248" s="4357"/>
      <c r="DD248" s="4357"/>
      <c r="DE248" s="4357"/>
      <c r="DF248" s="4357"/>
      <c r="DG248" s="4357"/>
      <c r="DH248" s="4357"/>
      <c r="DI248" s="4357"/>
      <c r="DJ248" s="4357"/>
      <c r="DK248" s="4357"/>
      <c r="DL248" s="4357"/>
      <c r="DM248" s="4357"/>
      <c r="DN248" s="4357"/>
      <c r="DO248" s="4357"/>
      <c r="DP248" s="4357"/>
      <c r="DQ248" s="4357"/>
      <c r="DR248" s="4357"/>
      <c r="DS248" s="4357"/>
      <c r="DT248" s="4357"/>
      <c r="DU248" s="4357"/>
      <c r="DV248" s="4357"/>
      <c r="DW248" s="4357"/>
      <c r="DX248" s="4357"/>
      <c r="DY248" s="4357"/>
      <c r="DZ248" s="4357"/>
      <c r="EA248" s="4357"/>
      <c r="EB248" s="4357"/>
      <c r="EC248" s="4357"/>
      <c r="ED248" s="4357"/>
      <c r="EE248" s="4357"/>
      <c r="EF248" s="4357"/>
    </row>
    <row r="249" spans="1:136" ht="16" x14ac:dyDescent="0.2">
      <c r="A249" t="str">
        <f>Languages!$B$655</f>
        <v>Inputs &amp; Invest.</v>
      </c>
      <c r="B249" t="s">
        <v>3244</v>
      </c>
      <c r="D249" t="str">
        <f>'9.Inputs'!C110</f>
        <v>Please select</v>
      </c>
      <c r="E249">
        <f>'9.Inputs'!V110</f>
        <v>0</v>
      </c>
      <c r="F249" s="388">
        <v>0</v>
      </c>
      <c r="G249" s="388">
        <v>0</v>
      </c>
      <c r="L249" s="388">
        <f>Inputs!P141-Inputs!O141</f>
        <v>0</v>
      </c>
      <c r="AB249" t="str">
        <f t="shared" si="471"/>
        <v>ok</v>
      </c>
      <c r="AC249">
        <f>IF('9.Inputs'!AW110&lt;&gt;0,'9.Inputs'!AW110,'9.Inputs'!AV110)</f>
        <v>1</v>
      </c>
      <c r="AD249">
        <f t="shared" si="502"/>
        <v>5</v>
      </c>
      <c r="AE249" s="4357" t="s">
        <v>86</v>
      </c>
      <c r="AF249" s="4357" t="s">
        <v>86</v>
      </c>
      <c r="AG249" s="4357" t="str">
        <f t="shared" si="505"/>
        <v>D</v>
      </c>
      <c r="AH249" s="4357">
        <f>((E249/(time_cap+((AD249-AC249+1)*VLOOKUP(AG249,list!$I$48:$K$50,3, FALSE))))*(AD249-AC249+1)*VLOOKUP(AG249,list!$I$48:$K$50,3, FALSE))</f>
        <v>0</v>
      </c>
      <c r="AI249" s="4357">
        <f>((E249/(time_cap+((AD249-AC249+1)*VLOOKUP(AG249,list!$I$48:$K$50,3, FALSE))))*time_cap)</f>
        <v>0</v>
      </c>
      <c r="AK249" s="4357">
        <f t="shared" ref="AK249:BP249" si="564">IFERROR(IF((time+time_cap)&lt;AK$2, 0,IF(AND(time+1&gt;=AL$2, $AC249&lt;AL$2), IF($AG249= "I", $AH249/($AD249-$AC249+1), $AH249/(($AD249*($AD249+1)/2)-(($AC249-1)*($AC249-1+1)/2))*AK$2), 0)+IF(IF(time+1&gt;=AL$2, $AI249/time_cap/(time+1)*AK$2, 0) = 0, $AI249/(time_cap),0)),0)</f>
        <v>0</v>
      </c>
      <c r="AL249" s="4357">
        <f t="shared" si="564"/>
        <v>0</v>
      </c>
      <c r="AM249" s="4357">
        <f t="shared" si="564"/>
        <v>0</v>
      </c>
      <c r="AN249" s="4357">
        <f t="shared" si="564"/>
        <v>0</v>
      </c>
      <c r="AO249" s="4357">
        <f t="shared" si="564"/>
        <v>0</v>
      </c>
      <c r="AP249" s="4357">
        <f t="shared" si="564"/>
        <v>0</v>
      </c>
      <c r="AQ249" s="4357">
        <f t="shared" si="564"/>
        <v>0</v>
      </c>
      <c r="AR249" s="4357">
        <f t="shared" si="564"/>
        <v>0</v>
      </c>
      <c r="AS249" s="4357">
        <f t="shared" si="564"/>
        <v>0</v>
      </c>
      <c r="AT249" s="4357">
        <f t="shared" si="564"/>
        <v>0</v>
      </c>
      <c r="AU249" s="4357">
        <f t="shared" si="564"/>
        <v>0</v>
      </c>
      <c r="AV249" s="4357">
        <f t="shared" si="564"/>
        <v>0</v>
      </c>
      <c r="AW249" s="4357">
        <f t="shared" si="564"/>
        <v>0</v>
      </c>
      <c r="AX249" s="4357">
        <f t="shared" si="564"/>
        <v>0</v>
      </c>
      <c r="AY249" s="4357">
        <f t="shared" si="564"/>
        <v>0</v>
      </c>
      <c r="AZ249" s="4357">
        <f t="shared" si="564"/>
        <v>0</v>
      </c>
      <c r="BA249" s="4357">
        <f t="shared" si="564"/>
        <v>0</v>
      </c>
      <c r="BB249" s="4357">
        <f t="shared" si="564"/>
        <v>0</v>
      </c>
      <c r="BC249" s="4357">
        <f t="shared" si="564"/>
        <v>0</v>
      </c>
      <c r="BD249" s="4357">
        <f t="shared" si="564"/>
        <v>0</v>
      </c>
      <c r="BE249" s="4357">
        <f t="shared" si="564"/>
        <v>0</v>
      </c>
      <c r="BF249" s="4357">
        <f t="shared" si="564"/>
        <v>0</v>
      </c>
      <c r="BG249" s="4357">
        <f t="shared" si="564"/>
        <v>0</v>
      </c>
      <c r="BH249" s="4357">
        <f t="shared" si="564"/>
        <v>0</v>
      </c>
      <c r="BI249" s="4357">
        <f t="shared" si="564"/>
        <v>0</v>
      </c>
      <c r="BJ249" s="4357">
        <f t="shared" si="564"/>
        <v>0</v>
      </c>
      <c r="BK249" s="4357">
        <f t="shared" si="564"/>
        <v>0</v>
      </c>
      <c r="BL249" s="4357">
        <f t="shared" si="564"/>
        <v>0</v>
      </c>
      <c r="BM249" s="4357">
        <f t="shared" si="564"/>
        <v>0</v>
      </c>
      <c r="BN249" s="4357">
        <f t="shared" si="564"/>
        <v>0</v>
      </c>
      <c r="BO249" s="4357">
        <f t="shared" si="564"/>
        <v>0</v>
      </c>
      <c r="BP249" s="4357">
        <f t="shared" si="564"/>
        <v>0</v>
      </c>
      <c r="BQ249" s="4357">
        <f t="shared" ref="BQ249:CH249" si="565">IFERROR(IF((time+time_cap)&lt;BQ$2, 0,IF(AND(time+1&gt;=BR$2, $AC249&lt;BR$2), IF($AG249= "I", $AH249/($AD249-$AC249+1), $AH249/(($AD249*($AD249+1)/2)-(($AC249-1)*($AC249-1+1)/2))*BQ$2), 0)+IF(IF(time+1&gt;=BR$2, $AI249/time_cap/(time+1)*BQ$2, 0) = 0, $AI249/(time_cap),0)),0)</f>
        <v>0</v>
      </c>
      <c r="BR249" s="4357">
        <f t="shared" si="565"/>
        <v>0</v>
      </c>
      <c r="BS249" s="4357">
        <f t="shared" si="565"/>
        <v>0</v>
      </c>
      <c r="BT249" s="4357">
        <f t="shared" si="565"/>
        <v>0</v>
      </c>
      <c r="BU249" s="4357">
        <f t="shared" si="565"/>
        <v>0</v>
      </c>
      <c r="BV249" s="4357">
        <f t="shared" si="565"/>
        <v>0</v>
      </c>
      <c r="BW249" s="4357">
        <f t="shared" si="565"/>
        <v>0</v>
      </c>
      <c r="BX249" s="4357">
        <f t="shared" si="565"/>
        <v>0</v>
      </c>
      <c r="BY249" s="4357">
        <f t="shared" si="565"/>
        <v>0</v>
      </c>
      <c r="BZ249" s="4357">
        <f t="shared" si="565"/>
        <v>0</v>
      </c>
      <c r="CA249" s="4357">
        <f t="shared" si="565"/>
        <v>0</v>
      </c>
      <c r="CB249" s="4357">
        <f t="shared" si="565"/>
        <v>0</v>
      </c>
      <c r="CC249" s="4357">
        <f t="shared" si="565"/>
        <v>0</v>
      </c>
      <c r="CD249" s="4357">
        <f t="shared" si="565"/>
        <v>0</v>
      </c>
      <c r="CE249" s="4357">
        <f t="shared" si="565"/>
        <v>0</v>
      </c>
      <c r="CF249" s="4357">
        <f t="shared" si="565"/>
        <v>0</v>
      </c>
      <c r="CG249" s="4357">
        <f t="shared" si="565"/>
        <v>0</v>
      </c>
      <c r="CH249" s="4357">
        <f t="shared" si="565"/>
        <v>0</v>
      </c>
      <c r="CI249" s="4357"/>
      <c r="CJ249" s="4357"/>
      <c r="CK249" s="4357"/>
      <c r="CL249" s="4357"/>
      <c r="CM249" s="4357"/>
      <c r="CN249" s="4357"/>
      <c r="CO249" s="4357"/>
      <c r="CP249" s="4357"/>
      <c r="CQ249" s="4357"/>
      <c r="CR249" s="4357"/>
      <c r="CS249" s="4357"/>
      <c r="CT249" s="4357"/>
      <c r="CU249" s="4357"/>
      <c r="CV249" s="4357"/>
      <c r="CW249" s="4357"/>
      <c r="CX249" s="4357"/>
      <c r="CY249" s="4357"/>
      <c r="CZ249" s="4357"/>
      <c r="DA249" s="4357"/>
      <c r="DB249" s="4357"/>
      <c r="DC249" s="4357"/>
      <c r="DD249" s="4357"/>
      <c r="DE249" s="4357"/>
      <c r="DF249" s="4357"/>
      <c r="DG249" s="4357"/>
      <c r="DH249" s="4357"/>
      <c r="DI249" s="4357"/>
      <c r="DJ249" s="4357"/>
      <c r="DK249" s="4357"/>
      <c r="DL249" s="4357"/>
      <c r="DM249" s="4357"/>
      <c r="DN249" s="4357"/>
      <c r="DO249" s="4357"/>
      <c r="DP249" s="4357"/>
      <c r="DQ249" s="4357"/>
      <c r="DR249" s="4357"/>
      <c r="DS249" s="4357"/>
      <c r="DT249" s="4357"/>
      <c r="DU249" s="4357"/>
      <c r="DV249" s="4357"/>
      <c r="DW249" s="4357"/>
      <c r="DX249" s="4357"/>
      <c r="DY249" s="4357"/>
      <c r="DZ249" s="4357"/>
      <c r="EA249" s="4357"/>
      <c r="EB249" s="4357"/>
      <c r="EC249" s="4357"/>
      <c r="ED249" s="4357"/>
      <c r="EE249" s="4357"/>
      <c r="EF249" s="4357"/>
    </row>
    <row r="250" spans="1:136" ht="16" x14ac:dyDescent="0.2">
      <c r="A250" t="str">
        <f>Languages!$B$655</f>
        <v>Inputs &amp; Invest.</v>
      </c>
      <c r="B250" t="s">
        <v>3244</v>
      </c>
      <c r="D250" t="str">
        <f>'9.Inputs'!C111</f>
        <v>Please select</v>
      </c>
      <c r="E250">
        <f>'9.Inputs'!V111</f>
        <v>0</v>
      </c>
      <c r="F250" s="388">
        <v>0</v>
      </c>
      <c r="G250" s="388">
        <v>0</v>
      </c>
      <c r="L250" s="388">
        <f>Inputs!P142-Inputs!O142</f>
        <v>0</v>
      </c>
      <c r="AB250" t="str">
        <f t="shared" si="471"/>
        <v>ok</v>
      </c>
      <c r="AC250">
        <f>IF('9.Inputs'!AW111&lt;&gt;0,'9.Inputs'!AW111,'9.Inputs'!AV111)</f>
        <v>1</v>
      </c>
      <c r="AD250">
        <f t="shared" si="502"/>
        <v>5</v>
      </c>
      <c r="AE250" s="4357" t="s">
        <v>86</v>
      </c>
      <c r="AF250" s="4357" t="s">
        <v>86</v>
      </c>
      <c r="AG250" s="4357" t="str">
        <f t="shared" si="505"/>
        <v>D</v>
      </c>
      <c r="AH250" s="4357">
        <f>((E250/(time_cap+((AD250-AC250+1)*VLOOKUP(AG250,list!$I$48:$K$50,3, FALSE))))*(AD250-AC250+1)*VLOOKUP(AG250,list!$I$48:$K$50,3, FALSE))</f>
        <v>0</v>
      </c>
      <c r="AI250" s="4357">
        <f>((E250/(time_cap+((AD250-AC250+1)*VLOOKUP(AG250,list!$I$48:$K$50,3, FALSE))))*time_cap)</f>
        <v>0</v>
      </c>
      <c r="AK250" s="4357">
        <f t="shared" ref="AK250:BP250" si="566">IFERROR(IF((time+time_cap)&lt;AK$2, 0,IF(AND(time+1&gt;=AL$2, $AC250&lt;AL$2), IF($AG250= "I", $AH250/($AD250-$AC250+1), $AH250/(($AD250*($AD250+1)/2)-(($AC250-1)*($AC250-1+1)/2))*AK$2), 0)+IF(IF(time+1&gt;=AL$2, $AI250/time_cap/(time+1)*AK$2, 0) = 0, $AI250/(time_cap),0)),0)</f>
        <v>0</v>
      </c>
      <c r="AL250" s="4357">
        <f t="shared" si="566"/>
        <v>0</v>
      </c>
      <c r="AM250" s="4357">
        <f t="shared" si="566"/>
        <v>0</v>
      </c>
      <c r="AN250" s="4357">
        <f t="shared" si="566"/>
        <v>0</v>
      </c>
      <c r="AO250" s="4357">
        <f t="shared" si="566"/>
        <v>0</v>
      </c>
      <c r="AP250" s="4357">
        <f t="shared" si="566"/>
        <v>0</v>
      </c>
      <c r="AQ250" s="4357">
        <f t="shared" si="566"/>
        <v>0</v>
      </c>
      <c r="AR250" s="4357">
        <f t="shared" si="566"/>
        <v>0</v>
      </c>
      <c r="AS250" s="4357">
        <f t="shared" si="566"/>
        <v>0</v>
      </c>
      <c r="AT250" s="4357">
        <f t="shared" si="566"/>
        <v>0</v>
      </c>
      <c r="AU250" s="4357">
        <f t="shared" si="566"/>
        <v>0</v>
      </c>
      <c r="AV250" s="4357">
        <f t="shared" si="566"/>
        <v>0</v>
      </c>
      <c r="AW250" s="4357">
        <f t="shared" si="566"/>
        <v>0</v>
      </c>
      <c r="AX250" s="4357">
        <f t="shared" si="566"/>
        <v>0</v>
      </c>
      <c r="AY250" s="4357">
        <f t="shared" si="566"/>
        <v>0</v>
      </c>
      <c r="AZ250" s="4357">
        <f t="shared" si="566"/>
        <v>0</v>
      </c>
      <c r="BA250" s="4357">
        <f t="shared" si="566"/>
        <v>0</v>
      </c>
      <c r="BB250" s="4357">
        <f t="shared" si="566"/>
        <v>0</v>
      </c>
      <c r="BC250" s="4357">
        <f t="shared" si="566"/>
        <v>0</v>
      </c>
      <c r="BD250" s="4357">
        <f t="shared" si="566"/>
        <v>0</v>
      </c>
      <c r="BE250" s="4357">
        <f t="shared" si="566"/>
        <v>0</v>
      </c>
      <c r="BF250" s="4357">
        <f t="shared" si="566"/>
        <v>0</v>
      </c>
      <c r="BG250" s="4357">
        <f t="shared" si="566"/>
        <v>0</v>
      </c>
      <c r="BH250" s="4357">
        <f t="shared" si="566"/>
        <v>0</v>
      </c>
      <c r="BI250" s="4357">
        <f t="shared" si="566"/>
        <v>0</v>
      </c>
      <c r="BJ250" s="4357">
        <f t="shared" si="566"/>
        <v>0</v>
      </c>
      <c r="BK250" s="4357">
        <f t="shared" si="566"/>
        <v>0</v>
      </c>
      <c r="BL250" s="4357">
        <f t="shared" si="566"/>
        <v>0</v>
      </c>
      <c r="BM250" s="4357">
        <f t="shared" si="566"/>
        <v>0</v>
      </c>
      <c r="BN250" s="4357">
        <f t="shared" si="566"/>
        <v>0</v>
      </c>
      <c r="BO250" s="4357">
        <f t="shared" si="566"/>
        <v>0</v>
      </c>
      <c r="BP250" s="4357">
        <f t="shared" si="566"/>
        <v>0</v>
      </c>
      <c r="BQ250" s="4357">
        <f t="shared" ref="BQ250:CH250" si="567">IFERROR(IF((time+time_cap)&lt;BQ$2, 0,IF(AND(time+1&gt;=BR$2, $AC250&lt;BR$2), IF($AG250= "I", $AH250/($AD250-$AC250+1), $AH250/(($AD250*($AD250+1)/2)-(($AC250-1)*($AC250-1+1)/2))*BQ$2), 0)+IF(IF(time+1&gt;=BR$2, $AI250/time_cap/(time+1)*BQ$2, 0) = 0, $AI250/(time_cap),0)),0)</f>
        <v>0</v>
      </c>
      <c r="BR250" s="4357">
        <f t="shared" si="567"/>
        <v>0</v>
      </c>
      <c r="BS250" s="4357">
        <f t="shared" si="567"/>
        <v>0</v>
      </c>
      <c r="BT250" s="4357">
        <f t="shared" si="567"/>
        <v>0</v>
      </c>
      <c r="BU250" s="4357">
        <f t="shared" si="567"/>
        <v>0</v>
      </c>
      <c r="BV250" s="4357">
        <f t="shared" si="567"/>
        <v>0</v>
      </c>
      <c r="BW250" s="4357">
        <f t="shared" si="567"/>
        <v>0</v>
      </c>
      <c r="BX250" s="4357">
        <f t="shared" si="567"/>
        <v>0</v>
      </c>
      <c r="BY250" s="4357">
        <f t="shared" si="567"/>
        <v>0</v>
      </c>
      <c r="BZ250" s="4357">
        <f t="shared" si="567"/>
        <v>0</v>
      </c>
      <c r="CA250" s="4357">
        <f t="shared" si="567"/>
        <v>0</v>
      </c>
      <c r="CB250" s="4357">
        <f t="shared" si="567"/>
        <v>0</v>
      </c>
      <c r="CC250" s="4357">
        <f t="shared" si="567"/>
        <v>0</v>
      </c>
      <c r="CD250" s="4357">
        <f t="shared" si="567"/>
        <v>0</v>
      </c>
      <c r="CE250" s="4357">
        <f t="shared" si="567"/>
        <v>0</v>
      </c>
      <c r="CF250" s="4357">
        <f t="shared" si="567"/>
        <v>0</v>
      </c>
      <c r="CG250" s="4357">
        <f t="shared" si="567"/>
        <v>0</v>
      </c>
      <c r="CH250" s="4357">
        <f t="shared" si="567"/>
        <v>0</v>
      </c>
      <c r="CI250" s="4357"/>
      <c r="CJ250" s="4357"/>
      <c r="CK250" s="4357"/>
      <c r="CL250" s="4357"/>
      <c r="CM250" s="4357"/>
      <c r="CN250" s="4357"/>
      <c r="CO250" s="4357"/>
      <c r="CP250" s="4357"/>
      <c r="CQ250" s="4357"/>
      <c r="CR250" s="4357"/>
      <c r="CS250" s="4357"/>
      <c r="CT250" s="4357"/>
      <c r="CU250" s="4357"/>
      <c r="CV250" s="4357"/>
      <c r="CW250" s="4357"/>
      <c r="CX250" s="4357"/>
      <c r="CY250" s="4357"/>
      <c r="CZ250" s="4357"/>
      <c r="DA250" s="4357"/>
      <c r="DB250" s="4357"/>
      <c r="DC250" s="4357"/>
      <c r="DD250" s="4357"/>
      <c r="DE250" s="4357"/>
      <c r="DF250" s="4357"/>
      <c r="DG250" s="4357"/>
      <c r="DH250" s="4357"/>
      <c r="DI250" s="4357"/>
      <c r="DJ250" s="4357"/>
      <c r="DK250" s="4357"/>
      <c r="DL250" s="4357"/>
      <c r="DM250" s="4357"/>
      <c r="DN250" s="4357"/>
      <c r="DO250" s="4357"/>
      <c r="DP250" s="4357"/>
      <c r="DQ250" s="4357"/>
      <c r="DR250" s="4357"/>
      <c r="DS250" s="4357"/>
      <c r="DT250" s="4357"/>
      <c r="DU250" s="4357"/>
      <c r="DV250" s="4357"/>
      <c r="DW250" s="4357"/>
      <c r="DX250" s="4357"/>
      <c r="DY250" s="4357"/>
      <c r="DZ250" s="4357"/>
      <c r="EA250" s="4357"/>
      <c r="EB250" s="4357"/>
      <c r="EC250" s="4357"/>
      <c r="ED250" s="4357"/>
      <c r="EE250" s="4357"/>
      <c r="EF250" s="4357"/>
    </row>
    <row r="251" spans="1:136" ht="16" x14ac:dyDescent="0.2">
      <c r="A251" t="str">
        <f>Languages!$B$655</f>
        <v>Inputs &amp; Invest.</v>
      </c>
      <c r="B251" t="s">
        <v>3244</v>
      </c>
      <c r="D251" t="str">
        <f>'9.Inputs'!C112</f>
        <v>Please select</v>
      </c>
      <c r="E251">
        <f>'9.Inputs'!V112</f>
        <v>0</v>
      </c>
      <c r="F251" s="388">
        <v>0</v>
      </c>
      <c r="G251" s="388">
        <v>0</v>
      </c>
      <c r="L251" s="388">
        <f>Inputs!P143-Inputs!O143</f>
        <v>0</v>
      </c>
      <c r="AB251" t="str">
        <f t="shared" si="471"/>
        <v>ok</v>
      </c>
      <c r="AC251">
        <f>IF('9.Inputs'!AW112&lt;&gt;0,'9.Inputs'!AW112,'9.Inputs'!AV112)</f>
        <v>1</v>
      </c>
      <c r="AD251">
        <f t="shared" si="502"/>
        <v>5</v>
      </c>
      <c r="AE251" s="4357" t="s">
        <v>86</v>
      </c>
      <c r="AF251" s="4357" t="s">
        <v>86</v>
      </c>
      <c r="AG251" s="4357" t="str">
        <f t="shared" si="505"/>
        <v>D</v>
      </c>
      <c r="AH251" s="4357">
        <f>((E251/(time_cap+((AD251-AC251+1)*VLOOKUP(AG251,list!$I$48:$K$50,3, FALSE))))*(AD251-AC251+1)*VLOOKUP(AG251,list!$I$48:$K$50,3, FALSE))</f>
        <v>0</v>
      </c>
      <c r="AI251" s="4357">
        <f>((E251/(time_cap+((AD251-AC251+1)*VLOOKUP(AG251,list!$I$48:$K$50,3, FALSE))))*time_cap)</f>
        <v>0</v>
      </c>
      <c r="AK251" s="4357">
        <f t="shared" ref="AK251:BP251" si="568">IFERROR(IF((time+time_cap)&lt;AK$2, 0,IF(AND(time+1&gt;=AL$2, $AC251&lt;AL$2), IF($AG251= "I", $AH251/($AD251-$AC251+1), $AH251/(($AD251*($AD251+1)/2)-(($AC251-1)*($AC251-1+1)/2))*AK$2), 0)+IF(IF(time+1&gt;=AL$2, $AI251/time_cap/(time+1)*AK$2, 0) = 0, $AI251/(time_cap),0)),0)</f>
        <v>0</v>
      </c>
      <c r="AL251" s="4357">
        <f t="shared" si="568"/>
        <v>0</v>
      </c>
      <c r="AM251" s="4357">
        <f t="shared" si="568"/>
        <v>0</v>
      </c>
      <c r="AN251" s="4357">
        <f t="shared" si="568"/>
        <v>0</v>
      </c>
      <c r="AO251" s="4357">
        <f t="shared" si="568"/>
        <v>0</v>
      </c>
      <c r="AP251" s="4357">
        <f t="shared" si="568"/>
        <v>0</v>
      </c>
      <c r="AQ251" s="4357">
        <f t="shared" si="568"/>
        <v>0</v>
      </c>
      <c r="AR251" s="4357">
        <f t="shared" si="568"/>
        <v>0</v>
      </c>
      <c r="AS251" s="4357">
        <f t="shared" si="568"/>
        <v>0</v>
      </c>
      <c r="AT251" s="4357">
        <f t="shared" si="568"/>
        <v>0</v>
      </c>
      <c r="AU251" s="4357">
        <f t="shared" si="568"/>
        <v>0</v>
      </c>
      <c r="AV251" s="4357">
        <f t="shared" si="568"/>
        <v>0</v>
      </c>
      <c r="AW251" s="4357">
        <f t="shared" si="568"/>
        <v>0</v>
      </c>
      <c r="AX251" s="4357">
        <f t="shared" si="568"/>
        <v>0</v>
      </c>
      <c r="AY251" s="4357">
        <f t="shared" si="568"/>
        <v>0</v>
      </c>
      <c r="AZ251" s="4357">
        <f t="shared" si="568"/>
        <v>0</v>
      </c>
      <c r="BA251" s="4357">
        <f t="shared" si="568"/>
        <v>0</v>
      </c>
      <c r="BB251" s="4357">
        <f t="shared" si="568"/>
        <v>0</v>
      </c>
      <c r="BC251" s="4357">
        <f t="shared" si="568"/>
        <v>0</v>
      </c>
      <c r="BD251" s="4357">
        <f t="shared" si="568"/>
        <v>0</v>
      </c>
      <c r="BE251" s="4357">
        <f t="shared" si="568"/>
        <v>0</v>
      </c>
      <c r="BF251" s="4357">
        <f t="shared" si="568"/>
        <v>0</v>
      </c>
      <c r="BG251" s="4357">
        <f t="shared" si="568"/>
        <v>0</v>
      </c>
      <c r="BH251" s="4357">
        <f t="shared" si="568"/>
        <v>0</v>
      </c>
      <c r="BI251" s="4357">
        <f t="shared" si="568"/>
        <v>0</v>
      </c>
      <c r="BJ251" s="4357">
        <f t="shared" si="568"/>
        <v>0</v>
      </c>
      <c r="BK251" s="4357">
        <f t="shared" si="568"/>
        <v>0</v>
      </c>
      <c r="BL251" s="4357">
        <f t="shared" si="568"/>
        <v>0</v>
      </c>
      <c r="BM251" s="4357">
        <f t="shared" si="568"/>
        <v>0</v>
      </c>
      <c r="BN251" s="4357">
        <f t="shared" si="568"/>
        <v>0</v>
      </c>
      <c r="BO251" s="4357">
        <f t="shared" si="568"/>
        <v>0</v>
      </c>
      <c r="BP251" s="4357">
        <f t="shared" si="568"/>
        <v>0</v>
      </c>
      <c r="BQ251" s="4357">
        <f t="shared" ref="BQ251:CH251" si="569">IFERROR(IF((time+time_cap)&lt;BQ$2, 0,IF(AND(time+1&gt;=BR$2, $AC251&lt;BR$2), IF($AG251= "I", $AH251/($AD251-$AC251+1), $AH251/(($AD251*($AD251+1)/2)-(($AC251-1)*($AC251-1+1)/2))*BQ$2), 0)+IF(IF(time+1&gt;=BR$2, $AI251/time_cap/(time+1)*BQ$2, 0) = 0, $AI251/(time_cap),0)),0)</f>
        <v>0</v>
      </c>
      <c r="BR251" s="4357">
        <f t="shared" si="569"/>
        <v>0</v>
      </c>
      <c r="BS251" s="4357">
        <f t="shared" si="569"/>
        <v>0</v>
      </c>
      <c r="BT251" s="4357">
        <f t="shared" si="569"/>
        <v>0</v>
      </c>
      <c r="BU251" s="4357">
        <f t="shared" si="569"/>
        <v>0</v>
      </c>
      <c r="BV251" s="4357">
        <f t="shared" si="569"/>
        <v>0</v>
      </c>
      <c r="BW251" s="4357">
        <f t="shared" si="569"/>
        <v>0</v>
      </c>
      <c r="BX251" s="4357">
        <f t="shared" si="569"/>
        <v>0</v>
      </c>
      <c r="BY251" s="4357">
        <f t="shared" si="569"/>
        <v>0</v>
      </c>
      <c r="BZ251" s="4357">
        <f t="shared" si="569"/>
        <v>0</v>
      </c>
      <c r="CA251" s="4357">
        <f t="shared" si="569"/>
        <v>0</v>
      </c>
      <c r="CB251" s="4357">
        <f t="shared" si="569"/>
        <v>0</v>
      </c>
      <c r="CC251" s="4357">
        <f t="shared" si="569"/>
        <v>0</v>
      </c>
      <c r="CD251" s="4357">
        <f t="shared" si="569"/>
        <v>0</v>
      </c>
      <c r="CE251" s="4357">
        <f t="shared" si="569"/>
        <v>0</v>
      </c>
      <c r="CF251" s="4357">
        <f t="shared" si="569"/>
        <v>0</v>
      </c>
      <c r="CG251" s="4357">
        <f t="shared" si="569"/>
        <v>0</v>
      </c>
      <c r="CH251" s="4357">
        <f t="shared" si="569"/>
        <v>0</v>
      </c>
      <c r="CI251" s="4357"/>
      <c r="CJ251" s="4357"/>
      <c r="CK251" s="4357"/>
      <c r="CL251" s="4357"/>
      <c r="CM251" s="4357"/>
      <c r="CN251" s="4357"/>
      <c r="CO251" s="4357"/>
      <c r="CP251" s="4357"/>
      <c r="CQ251" s="4357"/>
      <c r="CR251" s="4357"/>
      <c r="CS251" s="4357"/>
      <c r="CT251" s="4357"/>
      <c r="CU251" s="4357"/>
      <c r="CV251" s="4357"/>
      <c r="CW251" s="4357"/>
      <c r="CX251" s="4357"/>
      <c r="CY251" s="4357"/>
      <c r="CZ251" s="4357"/>
      <c r="DA251" s="4357"/>
      <c r="DB251" s="4357"/>
      <c r="DC251" s="4357"/>
      <c r="DD251" s="4357"/>
      <c r="DE251" s="4357"/>
      <c r="DF251" s="4357"/>
      <c r="DG251" s="4357"/>
      <c r="DH251" s="4357"/>
      <c r="DI251" s="4357"/>
      <c r="DJ251" s="4357"/>
      <c r="DK251" s="4357"/>
      <c r="DL251" s="4357"/>
      <c r="DM251" s="4357"/>
      <c r="DN251" s="4357"/>
      <c r="DO251" s="4357"/>
      <c r="DP251" s="4357"/>
      <c r="DQ251" s="4357"/>
      <c r="DR251" s="4357"/>
      <c r="DS251" s="4357"/>
      <c r="DT251" s="4357"/>
      <c r="DU251" s="4357"/>
      <c r="DV251" s="4357"/>
      <c r="DW251" s="4357"/>
      <c r="DX251" s="4357"/>
      <c r="DY251" s="4357"/>
      <c r="DZ251" s="4357"/>
      <c r="EA251" s="4357"/>
      <c r="EB251" s="4357"/>
      <c r="EC251" s="4357"/>
      <c r="ED251" s="4357"/>
      <c r="EE251" s="4357"/>
      <c r="EF251" s="4357"/>
    </row>
    <row r="252" spans="1:136" ht="16" x14ac:dyDescent="0.2">
      <c r="A252" t="str">
        <f>Languages!$B$655</f>
        <v>Inputs &amp; Invest.</v>
      </c>
      <c r="B252" t="s">
        <v>3244</v>
      </c>
      <c r="D252" t="str">
        <f>'9.Inputs'!C113</f>
        <v>Please select</v>
      </c>
      <c r="E252">
        <f>'9.Inputs'!V113</f>
        <v>0</v>
      </c>
      <c r="F252" s="388">
        <v>0</v>
      </c>
      <c r="G252" s="388">
        <v>0</v>
      </c>
      <c r="L252" s="388">
        <f>Inputs!P144-Inputs!O144</f>
        <v>0</v>
      </c>
      <c r="AB252" t="str">
        <f t="shared" si="471"/>
        <v>ok</v>
      </c>
      <c r="AC252">
        <f>IF('9.Inputs'!AW113&lt;&gt;0,'9.Inputs'!AW113,'9.Inputs'!AV113)</f>
        <v>1</v>
      </c>
      <c r="AD252">
        <f t="shared" si="502"/>
        <v>5</v>
      </c>
      <c r="AE252" s="4357" t="s">
        <v>86</v>
      </c>
      <c r="AF252" s="4357" t="s">
        <v>86</v>
      </c>
      <c r="AG252" s="4357" t="str">
        <f t="shared" si="505"/>
        <v>D</v>
      </c>
      <c r="AH252" s="4357">
        <f>((E252/(time_cap+((AD252-AC252+1)*VLOOKUP(AG252,list!$I$48:$K$50,3, FALSE))))*(AD252-AC252+1)*VLOOKUP(AG252,list!$I$48:$K$50,3, FALSE))</f>
        <v>0</v>
      </c>
      <c r="AI252" s="4357">
        <f>((E252/(time_cap+((AD252-AC252+1)*VLOOKUP(AG252,list!$I$48:$K$50,3, FALSE))))*time_cap)</f>
        <v>0</v>
      </c>
      <c r="AK252" s="4357">
        <f t="shared" ref="AK252:AK257" si="570">IFERROR(IF((time+time_cap)&lt;AK$2, 0,IF(AND(time+1&gt;=AL$2, $AC252&lt;AL$2), IF($AG252= "I", $AH252/($AD252-$AC252+1), $AH252/(($AD252*($AD252+1)/2)-(($AC252-1)*($AC252-1+1)/2))*AK$2), 0)+IF(IF(time+1&gt;=AL$2, $AI252/time_cap/(time+1)*AK$2, 0) = 0, $AI252/(time_cap),0)),0)</f>
        <v>0</v>
      </c>
      <c r="AL252" s="4357">
        <f t="shared" ref="AL252:AL257" si="571">IFERROR(IF((time+time_cap)&lt;AL$2, 0,IF(AND(time+1&gt;=AM$2, $AC252&lt;AM$2), IF($AG252= "I", $AH252/($AD252-$AC252+1), $AH252/(($AD252*($AD252+1)/2)-(($AC252-1)*($AC252-1+1)/2))*AL$2), 0)+IF(IF(time+1&gt;=AM$2, $AI252/time_cap/(time+1)*AL$2, 0) = 0, $AI252/(time_cap),0)),0)</f>
        <v>0</v>
      </c>
      <c r="AM252" s="4357">
        <f t="shared" ref="AM252:AM257" si="572">IFERROR(IF((time+time_cap)&lt;AM$2, 0,IF(AND(time+1&gt;=AN$2, $AC252&lt;AN$2), IF($AG252= "I", $AH252/($AD252-$AC252+1), $AH252/(($AD252*($AD252+1)/2)-(($AC252-1)*($AC252-1+1)/2))*AM$2), 0)+IF(IF(time+1&gt;=AN$2, $AI252/time_cap/(time+1)*AM$2, 0) = 0, $AI252/(time_cap),0)),0)</f>
        <v>0</v>
      </c>
      <c r="AN252" s="4357">
        <f t="shared" ref="AN252:AN257" si="573">IFERROR(IF((time+time_cap)&lt;AN$2, 0,IF(AND(time+1&gt;=AO$2, $AC252&lt;AO$2), IF($AG252= "I", $AH252/($AD252-$AC252+1), $AH252/(($AD252*($AD252+1)/2)-(($AC252-1)*($AC252-1+1)/2))*AN$2), 0)+IF(IF(time+1&gt;=AO$2, $AI252/time_cap/(time+1)*AN$2, 0) = 0, $AI252/(time_cap),0)),0)</f>
        <v>0</v>
      </c>
      <c r="AO252" s="4357">
        <f t="shared" ref="AO252:AO257" si="574">IFERROR(IF((time+time_cap)&lt;AO$2, 0,IF(AND(time+1&gt;=AP$2, $AC252&lt;AP$2), IF($AG252= "I", $AH252/($AD252-$AC252+1), $AH252/(($AD252*($AD252+1)/2)-(($AC252-1)*($AC252-1+1)/2))*AO$2), 0)+IF(IF(time+1&gt;=AP$2, $AI252/time_cap/(time+1)*AO$2, 0) = 0, $AI252/(time_cap),0)),0)</f>
        <v>0</v>
      </c>
      <c r="AP252" s="4357">
        <f t="shared" ref="AP252:AP257" si="575">IFERROR(IF((time+time_cap)&lt;AP$2, 0,IF(AND(time+1&gt;=AQ$2, $AC252&lt;AQ$2), IF($AG252= "I", $AH252/($AD252-$AC252+1), $AH252/(($AD252*($AD252+1)/2)-(($AC252-1)*($AC252-1+1)/2))*AP$2), 0)+IF(IF(time+1&gt;=AQ$2, $AI252/time_cap/(time+1)*AP$2, 0) = 0, $AI252/(time_cap),0)),0)</f>
        <v>0</v>
      </c>
      <c r="AQ252" s="4357">
        <f t="shared" ref="AQ252:AQ257" si="576">IFERROR(IF((time+time_cap)&lt;AQ$2, 0,IF(AND(time+1&gt;=AR$2, $AC252&lt;AR$2), IF($AG252= "I", $AH252/($AD252-$AC252+1), $AH252/(($AD252*($AD252+1)/2)-(($AC252-1)*($AC252-1+1)/2))*AQ$2), 0)+IF(IF(time+1&gt;=AR$2, $AI252/time_cap/(time+1)*AQ$2, 0) = 0, $AI252/(time_cap),0)),0)</f>
        <v>0</v>
      </c>
      <c r="AR252" s="4357">
        <f t="shared" ref="AR252:AR257" si="577">IFERROR(IF((time+time_cap)&lt;AR$2, 0,IF(AND(time+1&gt;=AS$2, $AC252&lt;AS$2), IF($AG252= "I", $AH252/($AD252-$AC252+1), $AH252/(($AD252*($AD252+1)/2)-(($AC252-1)*($AC252-1+1)/2))*AR$2), 0)+IF(IF(time+1&gt;=AS$2, $AI252/time_cap/(time+1)*AR$2, 0) = 0, $AI252/(time_cap),0)),0)</f>
        <v>0</v>
      </c>
      <c r="AS252" s="4357">
        <f t="shared" ref="AS252:AS257" si="578">IFERROR(IF((time+time_cap)&lt;AS$2, 0,IF(AND(time+1&gt;=AT$2, $AC252&lt;AT$2), IF($AG252= "I", $AH252/($AD252-$AC252+1), $AH252/(($AD252*($AD252+1)/2)-(($AC252-1)*($AC252-1+1)/2))*AS$2), 0)+IF(IF(time+1&gt;=AT$2, $AI252/time_cap/(time+1)*AS$2, 0) = 0, $AI252/(time_cap),0)),0)</f>
        <v>0</v>
      </c>
      <c r="AT252" s="4357">
        <f t="shared" ref="AT252:AT257" si="579">IFERROR(IF((time+time_cap)&lt;AT$2, 0,IF(AND(time+1&gt;=AU$2, $AC252&lt;AU$2), IF($AG252= "I", $AH252/($AD252-$AC252+1), $AH252/(($AD252*($AD252+1)/2)-(($AC252-1)*($AC252-1+1)/2))*AT$2), 0)+IF(IF(time+1&gt;=AU$2, $AI252/time_cap/(time+1)*AT$2, 0) = 0, $AI252/(time_cap),0)),0)</f>
        <v>0</v>
      </c>
      <c r="AU252" s="4357">
        <f t="shared" ref="AU252:AU257" si="580">IFERROR(IF((time+time_cap)&lt;AU$2, 0,IF(AND(time+1&gt;=AV$2, $AC252&lt;AV$2), IF($AG252= "I", $AH252/($AD252-$AC252+1), $AH252/(($AD252*($AD252+1)/2)-(($AC252-1)*($AC252-1+1)/2))*AU$2), 0)+IF(IF(time+1&gt;=AV$2, $AI252/time_cap/(time+1)*AU$2, 0) = 0, $AI252/(time_cap),0)),0)</f>
        <v>0</v>
      </c>
      <c r="AV252" s="4357">
        <f t="shared" ref="AV252:AV257" si="581">IFERROR(IF((time+time_cap)&lt;AV$2, 0,IF(AND(time+1&gt;=AW$2, $AC252&lt;AW$2), IF($AG252= "I", $AH252/($AD252-$AC252+1), $AH252/(($AD252*($AD252+1)/2)-(($AC252-1)*($AC252-1+1)/2))*AV$2), 0)+IF(IF(time+1&gt;=AW$2, $AI252/time_cap/(time+1)*AV$2, 0) = 0, $AI252/(time_cap),0)),0)</f>
        <v>0</v>
      </c>
      <c r="AW252" s="4357">
        <f t="shared" ref="AW252:AW257" si="582">IFERROR(IF((time+time_cap)&lt;AW$2, 0,IF(AND(time+1&gt;=AX$2, $AC252&lt;AX$2), IF($AG252= "I", $AH252/($AD252-$AC252+1), $AH252/(($AD252*($AD252+1)/2)-(($AC252-1)*($AC252-1+1)/2))*AW$2), 0)+IF(IF(time+1&gt;=AX$2, $AI252/time_cap/(time+1)*AW$2, 0) = 0, $AI252/(time_cap),0)),0)</f>
        <v>0</v>
      </c>
      <c r="AX252" s="4357">
        <f t="shared" ref="AX252:AX257" si="583">IFERROR(IF((time+time_cap)&lt;AX$2, 0,IF(AND(time+1&gt;=AY$2, $AC252&lt;AY$2), IF($AG252= "I", $AH252/($AD252-$AC252+1), $AH252/(($AD252*($AD252+1)/2)-(($AC252-1)*($AC252-1+1)/2))*AX$2), 0)+IF(IF(time+1&gt;=AY$2, $AI252/time_cap/(time+1)*AX$2, 0) = 0, $AI252/(time_cap),0)),0)</f>
        <v>0</v>
      </c>
      <c r="AY252" s="4357">
        <f t="shared" ref="AY252:AY257" si="584">IFERROR(IF((time+time_cap)&lt;AY$2, 0,IF(AND(time+1&gt;=AZ$2, $AC252&lt;AZ$2), IF($AG252= "I", $AH252/($AD252-$AC252+1), $AH252/(($AD252*($AD252+1)/2)-(($AC252-1)*($AC252-1+1)/2))*AY$2), 0)+IF(IF(time+1&gt;=AZ$2, $AI252/time_cap/(time+1)*AY$2, 0) = 0, $AI252/(time_cap),0)),0)</f>
        <v>0</v>
      </c>
      <c r="AZ252" s="4357">
        <f t="shared" ref="AZ252:AZ257" si="585">IFERROR(IF((time+time_cap)&lt;AZ$2, 0,IF(AND(time+1&gt;=BA$2, $AC252&lt;BA$2), IF($AG252= "I", $AH252/($AD252-$AC252+1), $AH252/(($AD252*($AD252+1)/2)-(($AC252-1)*($AC252-1+1)/2))*AZ$2), 0)+IF(IF(time+1&gt;=BA$2, $AI252/time_cap/(time+1)*AZ$2, 0) = 0, $AI252/(time_cap),0)),0)</f>
        <v>0</v>
      </c>
      <c r="BA252" s="4357">
        <f t="shared" ref="BA252:BA257" si="586">IFERROR(IF((time+time_cap)&lt;BA$2, 0,IF(AND(time+1&gt;=BB$2, $AC252&lt;BB$2), IF($AG252= "I", $AH252/($AD252-$AC252+1), $AH252/(($AD252*($AD252+1)/2)-(($AC252-1)*($AC252-1+1)/2))*BA$2), 0)+IF(IF(time+1&gt;=BB$2, $AI252/time_cap/(time+1)*BA$2, 0) = 0, $AI252/(time_cap),0)),0)</f>
        <v>0</v>
      </c>
      <c r="BB252" s="4357">
        <f t="shared" ref="BB252:BB257" si="587">IFERROR(IF((time+time_cap)&lt;BB$2, 0,IF(AND(time+1&gt;=BC$2, $AC252&lt;BC$2), IF($AG252= "I", $AH252/($AD252-$AC252+1), $AH252/(($AD252*($AD252+1)/2)-(($AC252-1)*($AC252-1+1)/2))*BB$2), 0)+IF(IF(time+1&gt;=BC$2, $AI252/time_cap/(time+1)*BB$2, 0) = 0, $AI252/(time_cap),0)),0)</f>
        <v>0</v>
      </c>
      <c r="BC252" s="4357">
        <f t="shared" ref="BC252:BC257" si="588">IFERROR(IF((time+time_cap)&lt;BC$2, 0,IF(AND(time+1&gt;=BD$2, $AC252&lt;BD$2), IF($AG252= "I", $AH252/($AD252-$AC252+1), $AH252/(($AD252*($AD252+1)/2)-(($AC252-1)*($AC252-1+1)/2))*BC$2), 0)+IF(IF(time+1&gt;=BD$2, $AI252/time_cap/(time+1)*BC$2, 0) = 0, $AI252/(time_cap),0)),0)</f>
        <v>0</v>
      </c>
      <c r="BD252" s="4357">
        <f t="shared" ref="BD252:BD257" si="589">IFERROR(IF((time+time_cap)&lt;BD$2, 0,IF(AND(time+1&gt;=BE$2, $AC252&lt;BE$2), IF($AG252= "I", $AH252/($AD252-$AC252+1), $AH252/(($AD252*($AD252+1)/2)-(($AC252-1)*($AC252-1+1)/2))*BD$2), 0)+IF(IF(time+1&gt;=BE$2, $AI252/time_cap/(time+1)*BD$2, 0) = 0, $AI252/(time_cap),0)),0)</f>
        <v>0</v>
      </c>
      <c r="BE252" s="4357">
        <f t="shared" ref="BE252:BE257" si="590">IFERROR(IF((time+time_cap)&lt;BE$2, 0,IF(AND(time+1&gt;=BF$2, $AC252&lt;BF$2), IF($AG252= "I", $AH252/($AD252-$AC252+1), $AH252/(($AD252*($AD252+1)/2)-(($AC252-1)*($AC252-1+1)/2))*BE$2), 0)+IF(IF(time+1&gt;=BF$2, $AI252/time_cap/(time+1)*BE$2, 0) = 0, $AI252/(time_cap),0)),0)</f>
        <v>0</v>
      </c>
      <c r="BF252" s="4357">
        <f t="shared" ref="BF252:BF257" si="591">IFERROR(IF((time+time_cap)&lt;BF$2, 0,IF(AND(time+1&gt;=BG$2, $AC252&lt;BG$2), IF($AG252= "I", $AH252/($AD252-$AC252+1), $AH252/(($AD252*($AD252+1)/2)-(($AC252-1)*($AC252-1+1)/2))*BF$2), 0)+IF(IF(time+1&gt;=BG$2, $AI252/time_cap/(time+1)*BF$2, 0) = 0, $AI252/(time_cap),0)),0)</f>
        <v>0</v>
      </c>
      <c r="BG252" s="4357">
        <f t="shared" ref="BG252:BG257" si="592">IFERROR(IF((time+time_cap)&lt;BG$2, 0,IF(AND(time+1&gt;=BH$2, $AC252&lt;BH$2), IF($AG252= "I", $AH252/($AD252-$AC252+1), $AH252/(($AD252*($AD252+1)/2)-(($AC252-1)*($AC252-1+1)/2))*BG$2), 0)+IF(IF(time+1&gt;=BH$2, $AI252/time_cap/(time+1)*BG$2, 0) = 0, $AI252/(time_cap),0)),0)</f>
        <v>0</v>
      </c>
      <c r="BH252" s="4357">
        <f t="shared" ref="BH252:BH257" si="593">IFERROR(IF((time+time_cap)&lt;BH$2, 0,IF(AND(time+1&gt;=BI$2, $AC252&lt;BI$2), IF($AG252= "I", $AH252/($AD252-$AC252+1), $AH252/(($AD252*($AD252+1)/2)-(($AC252-1)*($AC252-1+1)/2))*BH$2), 0)+IF(IF(time+1&gt;=BI$2, $AI252/time_cap/(time+1)*BH$2, 0) = 0, $AI252/(time_cap),0)),0)</f>
        <v>0</v>
      </c>
      <c r="BI252" s="4357">
        <f t="shared" ref="BI252:BI257" si="594">IFERROR(IF((time+time_cap)&lt;BI$2, 0,IF(AND(time+1&gt;=BJ$2, $AC252&lt;BJ$2), IF($AG252= "I", $AH252/($AD252-$AC252+1), $AH252/(($AD252*($AD252+1)/2)-(($AC252-1)*($AC252-1+1)/2))*BI$2), 0)+IF(IF(time+1&gt;=BJ$2, $AI252/time_cap/(time+1)*BI$2, 0) = 0, $AI252/(time_cap),0)),0)</f>
        <v>0</v>
      </c>
      <c r="BJ252" s="4357">
        <f t="shared" ref="BJ252:BJ257" si="595">IFERROR(IF((time+time_cap)&lt;BJ$2, 0,IF(AND(time+1&gt;=BK$2, $AC252&lt;BK$2), IF($AG252= "I", $AH252/($AD252-$AC252+1), $AH252/(($AD252*($AD252+1)/2)-(($AC252-1)*($AC252-1+1)/2))*BJ$2), 0)+IF(IF(time+1&gt;=BK$2, $AI252/time_cap/(time+1)*BJ$2, 0) = 0, $AI252/(time_cap),0)),0)</f>
        <v>0</v>
      </c>
      <c r="BK252" s="4357">
        <f t="shared" ref="BK252:BK257" si="596">IFERROR(IF((time+time_cap)&lt;BK$2, 0,IF(AND(time+1&gt;=BL$2, $AC252&lt;BL$2), IF($AG252= "I", $AH252/($AD252-$AC252+1), $AH252/(($AD252*($AD252+1)/2)-(($AC252-1)*($AC252-1+1)/2))*BK$2), 0)+IF(IF(time+1&gt;=BL$2, $AI252/time_cap/(time+1)*BK$2, 0) = 0, $AI252/(time_cap),0)),0)</f>
        <v>0</v>
      </c>
      <c r="BL252" s="4357">
        <f t="shared" ref="BL252:BL257" si="597">IFERROR(IF((time+time_cap)&lt;BL$2, 0,IF(AND(time+1&gt;=BM$2, $AC252&lt;BM$2), IF($AG252= "I", $AH252/($AD252-$AC252+1), $AH252/(($AD252*($AD252+1)/2)-(($AC252-1)*($AC252-1+1)/2))*BL$2), 0)+IF(IF(time+1&gt;=BM$2, $AI252/time_cap/(time+1)*BL$2, 0) = 0, $AI252/(time_cap),0)),0)</f>
        <v>0</v>
      </c>
      <c r="BM252" s="4357">
        <f t="shared" ref="BM252:BM257" si="598">IFERROR(IF((time+time_cap)&lt;BM$2, 0,IF(AND(time+1&gt;=BN$2, $AC252&lt;BN$2), IF($AG252= "I", $AH252/($AD252-$AC252+1), $AH252/(($AD252*($AD252+1)/2)-(($AC252-1)*($AC252-1+1)/2))*BM$2), 0)+IF(IF(time+1&gt;=BN$2, $AI252/time_cap/(time+1)*BM$2, 0) = 0, $AI252/(time_cap),0)),0)</f>
        <v>0</v>
      </c>
      <c r="BN252" s="4357">
        <f t="shared" ref="BN252:BN257" si="599">IFERROR(IF((time+time_cap)&lt;BN$2, 0,IF(AND(time+1&gt;=BO$2, $AC252&lt;BO$2), IF($AG252= "I", $AH252/($AD252-$AC252+1), $AH252/(($AD252*($AD252+1)/2)-(($AC252-1)*($AC252-1+1)/2))*BN$2), 0)+IF(IF(time+1&gt;=BO$2, $AI252/time_cap/(time+1)*BN$2, 0) = 0, $AI252/(time_cap),0)),0)</f>
        <v>0</v>
      </c>
      <c r="BO252" s="4357">
        <f t="shared" ref="BO252:BO257" si="600">IFERROR(IF((time+time_cap)&lt;BO$2, 0,IF(AND(time+1&gt;=BP$2, $AC252&lt;BP$2), IF($AG252= "I", $AH252/($AD252-$AC252+1), $AH252/(($AD252*($AD252+1)/2)-(($AC252-1)*($AC252-1+1)/2))*BO$2), 0)+IF(IF(time+1&gt;=BP$2, $AI252/time_cap/(time+1)*BO$2, 0) = 0, $AI252/(time_cap),0)),0)</f>
        <v>0</v>
      </c>
      <c r="BP252" s="4357">
        <f t="shared" ref="BP252:BP257" si="601">IFERROR(IF((time+time_cap)&lt;BP$2, 0,IF(AND(time+1&gt;=BQ$2, $AC252&lt;BQ$2), IF($AG252= "I", $AH252/($AD252-$AC252+1), $AH252/(($AD252*($AD252+1)/2)-(($AC252-1)*($AC252-1+1)/2))*BP$2), 0)+IF(IF(time+1&gt;=BQ$2, $AI252/time_cap/(time+1)*BP$2, 0) = 0, $AI252/(time_cap),0)),0)</f>
        <v>0</v>
      </c>
      <c r="BQ252" s="4357">
        <f t="shared" ref="BQ252:BQ257" si="602">IFERROR(IF((time+time_cap)&lt;BQ$2, 0,IF(AND(time+1&gt;=BR$2, $AC252&lt;BR$2), IF($AG252= "I", $AH252/($AD252-$AC252+1), $AH252/(($AD252*($AD252+1)/2)-(($AC252-1)*($AC252-1+1)/2))*BQ$2), 0)+IF(IF(time+1&gt;=BR$2, $AI252/time_cap/(time+1)*BQ$2, 0) = 0, $AI252/(time_cap),0)),0)</f>
        <v>0</v>
      </c>
      <c r="BR252" s="4357">
        <f t="shared" ref="BR252:BR257" si="603">IFERROR(IF((time+time_cap)&lt;BR$2, 0,IF(AND(time+1&gt;=BS$2, $AC252&lt;BS$2), IF($AG252= "I", $AH252/($AD252-$AC252+1), $AH252/(($AD252*($AD252+1)/2)-(($AC252-1)*($AC252-1+1)/2))*BR$2), 0)+IF(IF(time+1&gt;=BS$2, $AI252/time_cap/(time+1)*BR$2, 0) = 0, $AI252/(time_cap),0)),0)</f>
        <v>0</v>
      </c>
      <c r="BS252" s="4357">
        <f t="shared" ref="BS252:BS257" si="604">IFERROR(IF((time+time_cap)&lt;BS$2, 0,IF(AND(time+1&gt;=BT$2, $AC252&lt;BT$2), IF($AG252= "I", $AH252/($AD252-$AC252+1), $AH252/(($AD252*($AD252+1)/2)-(($AC252-1)*($AC252-1+1)/2))*BS$2), 0)+IF(IF(time+1&gt;=BT$2, $AI252/time_cap/(time+1)*BS$2, 0) = 0, $AI252/(time_cap),0)),0)</f>
        <v>0</v>
      </c>
      <c r="BT252" s="4357">
        <f t="shared" ref="BT252:BT257" si="605">IFERROR(IF((time+time_cap)&lt;BT$2, 0,IF(AND(time+1&gt;=BU$2, $AC252&lt;BU$2), IF($AG252= "I", $AH252/($AD252-$AC252+1), $AH252/(($AD252*($AD252+1)/2)-(($AC252-1)*($AC252-1+1)/2))*BT$2), 0)+IF(IF(time+1&gt;=BU$2, $AI252/time_cap/(time+1)*BT$2, 0) = 0, $AI252/(time_cap),0)),0)</f>
        <v>0</v>
      </c>
      <c r="BU252" s="4357">
        <f t="shared" ref="BU252:BU257" si="606">IFERROR(IF((time+time_cap)&lt;BU$2, 0,IF(AND(time+1&gt;=BV$2, $AC252&lt;BV$2), IF($AG252= "I", $AH252/($AD252-$AC252+1), $AH252/(($AD252*($AD252+1)/2)-(($AC252-1)*($AC252-1+1)/2))*BU$2), 0)+IF(IF(time+1&gt;=BV$2, $AI252/time_cap/(time+1)*BU$2, 0) = 0, $AI252/(time_cap),0)),0)</f>
        <v>0</v>
      </c>
      <c r="BV252" s="4357">
        <f t="shared" ref="BV252:BV257" si="607">IFERROR(IF((time+time_cap)&lt;BV$2, 0,IF(AND(time+1&gt;=BW$2, $AC252&lt;BW$2), IF($AG252= "I", $AH252/($AD252-$AC252+1), $AH252/(($AD252*($AD252+1)/2)-(($AC252-1)*($AC252-1+1)/2))*BV$2), 0)+IF(IF(time+1&gt;=BW$2, $AI252/time_cap/(time+1)*BV$2, 0) = 0, $AI252/(time_cap),0)),0)</f>
        <v>0</v>
      </c>
      <c r="BW252" s="4357">
        <f t="shared" ref="BW252:BW257" si="608">IFERROR(IF((time+time_cap)&lt;BW$2, 0,IF(AND(time+1&gt;=BX$2, $AC252&lt;BX$2), IF($AG252= "I", $AH252/($AD252-$AC252+1), $AH252/(($AD252*($AD252+1)/2)-(($AC252-1)*($AC252-1+1)/2))*BW$2), 0)+IF(IF(time+1&gt;=BX$2, $AI252/time_cap/(time+1)*BW$2, 0) = 0, $AI252/(time_cap),0)),0)</f>
        <v>0</v>
      </c>
      <c r="BX252" s="4357">
        <f t="shared" ref="BX252:BX257" si="609">IFERROR(IF((time+time_cap)&lt;BX$2, 0,IF(AND(time+1&gt;=BY$2, $AC252&lt;BY$2), IF($AG252= "I", $AH252/($AD252-$AC252+1), $AH252/(($AD252*($AD252+1)/2)-(($AC252-1)*($AC252-1+1)/2))*BX$2), 0)+IF(IF(time+1&gt;=BY$2, $AI252/time_cap/(time+1)*BX$2, 0) = 0, $AI252/(time_cap),0)),0)</f>
        <v>0</v>
      </c>
      <c r="BY252" s="4357">
        <f t="shared" ref="BY252:BY257" si="610">IFERROR(IF((time+time_cap)&lt;BY$2, 0,IF(AND(time+1&gt;=BZ$2, $AC252&lt;BZ$2), IF($AG252= "I", $AH252/($AD252-$AC252+1), $AH252/(($AD252*($AD252+1)/2)-(($AC252-1)*($AC252-1+1)/2))*BY$2), 0)+IF(IF(time+1&gt;=BZ$2, $AI252/time_cap/(time+1)*BY$2, 0) = 0, $AI252/(time_cap),0)),0)</f>
        <v>0</v>
      </c>
      <c r="BZ252" s="4357">
        <f t="shared" ref="BZ252:BZ257" si="611">IFERROR(IF((time+time_cap)&lt;BZ$2, 0,IF(AND(time+1&gt;=CA$2, $AC252&lt;CA$2), IF($AG252= "I", $AH252/($AD252-$AC252+1), $AH252/(($AD252*($AD252+1)/2)-(($AC252-1)*($AC252-1+1)/2))*BZ$2), 0)+IF(IF(time+1&gt;=CA$2, $AI252/time_cap/(time+1)*BZ$2, 0) = 0, $AI252/(time_cap),0)),0)</f>
        <v>0</v>
      </c>
      <c r="CA252" s="4357">
        <f t="shared" ref="CA252:CA257" si="612">IFERROR(IF((time+time_cap)&lt;CA$2, 0,IF(AND(time+1&gt;=CB$2, $AC252&lt;CB$2), IF($AG252= "I", $AH252/($AD252-$AC252+1), $AH252/(($AD252*($AD252+1)/2)-(($AC252-1)*($AC252-1+1)/2))*CA$2), 0)+IF(IF(time+1&gt;=CB$2, $AI252/time_cap/(time+1)*CA$2, 0) = 0, $AI252/(time_cap),0)),0)</f>
        <v>0</v>
      </c>
      <c r="CB252" s="4357">
        <f t="shared" ref="CB252:CB257" si="613">IFERROR(IF((time+time_cap)&lt;CB$2, 0,IF(AND(time+1&gt;=CC$2, $AC252&lt;CC$2), IF($AG252= "I", $AH252/($AD252-$AC252+1), $AH252/(($AD252*($AD252+1)/2)-(($AC252-1)*($AC252-1+1)/2))*CB$2), 0)+IF(IF(time+1&gt;=CC$2, $AI252/time_cap/(time+1)*CB$2, 0) = 0, $AI252/(time_cap),0)),0)</f>
        <v>0</v>
      </c>
      <c r="CC252" s="4357">
        <f t="shared" ref="CC252:CC257" si="614">IFERROR(IF((time+time_cap)&lt;CC$2, 0,IF(AND(time+1&gt;=CD$2, $AC252&lt;CD$2), IF($AG252= "I", $AH252/($AD252-$AC252+1), $AH252/(($AD252*($AD252+1)/2)-(($AC252-1)*($AC252-1+1)/2))*CC$2), 0)+IF(IF(time+1&gt;=CD$2, $AI252/time_cap/(time+1)*CC$2, 0) = 0, $AI252/(time_cap),0)),0)</f>
        <v>0</v>
      </c>
      <c r="CD252" s="4357">
        <f t="shared" ref="CD252:CD257" si="615">IFERROR(IF((time+time_cap)&lt;CD$2, 0,IF(AND(time+1&gt;=CE$2, $AC252&lt;CE$2), IF($AG252= "I", $AH252/($AD252-$AC252+1), $AH252/(($AD252*($AD252+1)/2)-(($AC252-1)*($AC252-1+1)/2))*CD$2), 0)+IF(IF(time+1&gt;=CE$2, $AI252/time_cap/(time+1)*CD$2, 0) = 0, $AI252/(time_cap),0)),0)</f>
        <v>0</v>
      </c>
      <c r="CE252" s="4357">
        <f t="shared" ref="CE252:CE257" si="616">IFERROR(IF((time+time_cap)&lt;CE$2, 0,IF(AND(time+1&gt;=CF$2, $AC252&lt;CF$2), IF($AG252= "I", $AH252/($AD252-$AC252+1), $AH252/(($AD252*($AD252+1)/2)-(($AC252-1)*($AC252-1+1)/2))*CE$2), 0)+IF(IF(time+1&gt;=CF$2, $AI252/time_cap/(time+1)*CE$2, 0) = 0, $AI252/(time_cap),0)),0)</f>
        <v>0</v>
      </c>
      <c r="CF252" s="4357">
        <f t="shared" ref="CF252:CF257" si="617">IFERROR(IF((time+time_cap)&lt;CF$2, 0,IF(AND(time+1&gt;=CG$2, $AC252&lt;CG$2), IF($AG252= "I", $AH252/($AD252-$AC252+1), $AH252/(($AD252*($AD252+1)/2)-(($AC252-1)*($AC252-1+1)/2))*CF$2), 0)+IF(IF(time+1&gt;=CG$2, $AI252/time_cap/(time+1)*CF$2, 0) = 0, $AI252/(time_cap),0)),0)</f>
        <v>0</v>
      </c>
      <c r="CG252" s="4357">
        <f t="shared" ref="CG252:CG257" si="618">IFERROR(IF((time+time_cap)&lt;CG$2, 0,IF(AND(time+1&gt;=CH$2, $AC252&lt;CH$2), IF($AG252= "I", $AH252/($AD252-$AC252+1), $AH252/(($AD252*($AD252+1)/2)-(($AC252-1)*($AC252-1+1)/2))*CG$2), 0)+IF(IF(time+1&gt;=CH$2, $AI252/time_cap/(time+1)*CG$2, 0) = 0, $AI252/(time_cap),0)),0)</f>
        <v>0</v>
      </c>
      <c r="CH252" s="4357">
        <f t="shared" ref="CH252:CH257" si="619">IFERROR(IF((time+time_cap)&lt;CH$2, 0,IF(AND(time+1&gt;=CI$2, $AC252&lt;CI$2), IF($AG252= "I", $AH252/($AD252-$AC252+1), $AH252/(($AD252*($AD252+1)/2)-(($AC252-1)*($AC252-1+1)/2))*CH$2), 0)+IF(IF(time+1&gt;=CI$2, $AI252/time_cap/(time+1)*CH$2, 0) = 0, $AI252/(time_cap),0)),0)</f>
        <v>0</v>
      </c>
    </row>
    <row r="253" spans="1:136" ht="16" x14ac:dyDescent="0.2">
      <c r="A253" t="str">
        <f>Languages!$B$655</f>
        <v>Inputs &amp; Invest.</v>
      </c>
      <c r="B253" t="s">
        <v>3244</v>
      </c>
      <c r="D253" t="str">
        <f>'9.Inputs'!C114</f>
        <v>Please select</v>
      </c>
      <c r="E253">
        <f>'9.Inputs'!V114</f>
        <v>0</v>
      </c>
      <c r="F253" s="388">
        <v>0</v>
      </c>
      <c r="G253" s="388">
        <v>0</v>
      </c>
      <c r="L253" s="388">
        <f>Inputs!P145-Inputs!O145</f>
        <v>0</v>
      </c>
      <c r="AB253" t="str">
        <f t="shared" si="471"/>
        <v>ok</v>
      </c>
      <c r="AC253">
        <f>IF('9.Inputs'!AW114&lt;&gt;0,'9.Inputs'!AW114,'9.Inputs'!AV114)</f>
        <v>1</v>
      </c>
      <c r="AD253">
        <f t="shared" si="502"/>
        <v>5</v>
      </c>
      <c r="AE253" s="4357" t="s">
        <v>86</v>
      </c>
      <c r="AF253" s="4357" t="s">
        <v>86</v>
      </c>
      <c r="AG253" s="4357" t="str">
        <f t="shared" si="505"/>
        <v>D</v>
      </c>
      <c r="AH253" s="4357">
        <f>((E253/(time_cap+((AD253-AC253+1)*VLOOKUP(AG253,list!$I$48:$K$50,3, FALSE))))*(AD253-AC253+1)*VLOOKUP(AG253,list!$I$48:$K$50,3, FALSE))</f>
        <v>0</v>
      </c>
      <c r="AI253" s="4357">
        <f>((E253/(time_cap+((AD253-AC253+1)*VLOOKUP(AG253,list!$I$48:$K$50,3, FALSE))))*time_cap)</f>
        <v>0</v>
      </c>
      <c r="AK253" s="4357">
        <f t="shared" si="570"/>
        <v>0</v>
      </c>
      <c r="AL253" s="4357">
        <f t="shared" si="571"/>
        <v>0</v>
      </c>
      <c r="AM253" s="4357">
        <f t="shared" si="572"/>
        <v>0</v>
      </c>
      <c r="AN253" s="4357">
        <f t="shared" si="573"/>
        <v>0</v>
      </c>
      <c r="AO253" s="4357">
        <f t="shared" si="574"/>
        <v>0</v>
      </c>
      <c r="AP253" s="4357">
        <f t="shared" si="575"/>
        <v>0</v>
      </c>
      <c r="AQ253" s="4357">
        <f t="shared" si="576"/>
        <v>0</v>
      </c>
      <c r="AR253" s="4357">
        <f t="shared" si="577"/>
        <v>0</v>
      </c>
      <c r="AS253" s="4357">
        <f t="shared" si="578"/>
        <v>0</v>
      </c>
      <c r="AT253" s="4357">
        <f t="shared" si="579"/>
        <v>0</v>
      </c>
      <c r="AU253" s="4357">
        <f t="shared" si="580"/>
        <v>0</v>
      </c>
      <c r="AV253" s="4357">
        <f t="shared" si="581"/>
        <v>0</v>
      </c>
      <c r="AW253" s="4357">
        <f t="shared" si="582"/>
        <v>0</v>
      </c>
      <c r="AX253" s="4357">
        <f t="shared" si="583"/>
        <v>0</v>
      </c>
      <c r="AY253" s="4357">
        <f t="shared" si="584"/>
        <v>0</v>
      </c>
      <c r="AZ253" s="4357">
        <f t="shared" si="585"/>
        <v>0</v>
      </c>
      <c r="BA253" s="4357">
        <f t="shared" si="586"/>
        <v>0</v>
      </c>
      <c r="BB253" s="4357">
        <f t="shared" si="587"/>
        <v>0</v>
      </c>
      <c r="BC253" s="4357">
        <f t="shared" si="588"/>
        <v>0</v>
      </c>
      <c r="BD253" s="4357">
        <f t="shared" si="589"/>
        <v>0</v>
      </c>
      <c r="BE253" s="4357">
        <f t="shared" si="590"/>
        <v>0</v>
      </c>
      <c r="BF253" s="4357">
        <f t="shared" si="591"/>
        <v>0</v>
      </c>
      <c r="BG253" s="4357">
        <f t="shared" si="592"/>
        <v>0</v>
      </c>
      <c r="BH253" s="4357">
        <f t="shared" si="593"/>
        <v>0</v>
      </c>
      <c r="BI253" s="4357">
        <f t="shared" si="594"/>
        <v>0</v>
      </c>
      <c r="BJ253" s="4357">
        <f t="shared" si="595"/>
        <v>0</v>
      </c>
      <c r="BK253" s="4357">
        <f t="shared" si="596"/>
        <v>0</v>
      </c>
      <c r="BL253" s="4357">
        <f t="shared" si="597"/>
        <v>0</v>
      </c>
      <c r="BM253" s="4357">
        <f t="shared" si="598"/>
        <v>0</v>
      </c>
      <c r="BN253" s="4357">
        <f t="shared" si="599"/>
        <v>0</v>
      </c>
      <c r="BO253" s="4357">
        <f t="shared" si="600"/>
        <v>0</v>
      </c>
      <c r="BP253" s="4357">
        <f t="shared" si="601"/>
        <v>0</v>
      </c>
      <c r="BQ253" s="4357">
        <f t="shared" si="602"/>
        <v>0</v>
      </c>
      <c r="BR253" s="4357">
        <f t="shared" si="603"/>
        <v>0</v>
      </c>
      <c r="BS253" s="4357">
        <f t="shared" si="604"/>
        <v>0</v>
      </c>
      <c r="BT253" s="4357">
        <f t="shared" si="605"/>
        <v>0</v>
      </c>
      <c r="BU253" s="4357">
        <f t="shared" si="606"/>
        <v>0</v>
      </c>
      <c r="BV253" s="4357">
        <f t="shared" si="607"/>
        <v>0</v>
      </c>
      <c r="BW253" s="4357">
        <f t="shared" si="608"/>
        <v>0</v>
      </c>
      <c r="BX253" s="4357">
        <f t="shared" si="609"/>
        <v>0</v>
      </c>
      <c r="BY253" s="4357">
        <f t="shared" si="610"/>
        <v>0</v>
      </c>
      <c r="BZ253" s="4357">
        <f t="shared" si="611"/>
        <v>0</v>
      </c>
      <c r="CA253" s="4357">
        <f t="shared" si="612"/>
        <v>0</v>
      </c>
      <c r="CB253" s="4357">
        <f t="shared" si="613"/>
        <v>0</v>
      </c>
      <c r="CC253" s="4357">
        <f t="shared" si="614"/>
        <v>0</v>
      </c>
      <c r="CD253" s="4357">
        <f t="shared" si="615"/>
        <v>0</v>
      </c>
      <c r="CE253" s="4357">
        <f t="shared" si="616"/>
        <v>0</v>
      </c>
      <c r="CF253" s="4357">
        <f t="shared" si="617"/>
        <v>0</v>
      </c>
      <c r="CG253" s="4357">
        <f t="shared" si="618"/>
        <v>0</v>
      </c>
      <c r="CH253" s="4357">
        <f t="shared" si="619"/>
        <v>0</v>
      </c>
    </row>
    <row r="254" spans="1:136" ht="16" x14ac:dyDescent="0.2">
      <c r="A254" t="str">
        <f>Languages!$B$655</f>
        <v>Inputs &amp; Invest.</v>
      </c>
      <c r="B254" t="s">
        <v>3244</v>
      </c>
      <c r="D254" t="str">
        <f>'9.Inputs'!C115</f>
        <v>Please select</v>
      </c>
      <c r="E254">
        <f>'9.Inputs'!V115</f>
        <v>0</v>
      </c>
      <c r="F254" s="388">
        <v>0</v>
      </c>
      <c r="G254" s="388">
        <v>0</v>
      </c>
      <c r="L254" s="388">
        <f>Inputs!P146-Inputs!O146</f>
        <v>0</v>
      </c>
      <c r="AB254" t="str">
        <f t="shared" si="471"/>
        <v>ok</v>
      </c>
      <c r="AC254">
        <f>IF('9.Inputs'!AW115&lt;&gt;0,'9.Inputs'!AW115,'9.Inputs'!AV115)</f>
        <v>1</v>
      </c>
      <c r="AD254">
        <f t="shared" si="502"/>
        <v>5</v>
      </c>
      <c r="AE254" s="4357" t="s">
        <v>86</v>
      </c>
      <c r="AF254" s="4357" t="s">
        <v>86</v>
      </c>
      <c r="AG254" s="4357" t="str">
        <f t="shared" si="505"/>
        <v>D</v>
      </c>
      <c r="AH254" s="4357">
        <f>((E254/(time_cap+((AD254-AC254+1)*VLOOKUP(AG254,list!$I$48:$K$50,3, FALSE))))*(AD254-AC254+1)*VLOOKUP(AG254,list!$I$48:$K$50,3, FALSE))</f>
        <v>0</v>
      </c>
      <c r="AI254" s="4357">
        <f>((E254/(time_cap+((AD254-AC254+1)*VLOOKUP(AG254,list!$I$48:$K$50,3, FALSE))))*time_cap)</f>
        <v>0</v>
      </c>
      <c r="AK254" s="4357">
        <f t="shared" si="570"/>
        <v>0</v>
      </c>
      <c r="AL254" s="4357">
        <f t="shared" si="571"/>
        <v>0</v>
      </c>
      <c r="AM254" s="4357">
        <f t="shared" si="572"/>
        <v>0</v>
      </c>
      <c r="AN254" s="4357">
        <f t="shared" si="573"/>
        <v>0</v>
      </c>
      <c r="AO254" s="4357">
        <f t="shared" si="574"/>
        <v>0</v>
      </c>
      <c r="AP254" s="4357">
        <f t="shared" si="575"/>
        <v>0</v>
      </c>
      <c r="AQ254" s="4357">
        <f t="shared" si="576"/>
        <v>0</v>
      </c>
      <c r="AR254" s="4357">
        <f t="shared" si="577"/>
        <v>0</v>
      </c>
      <c r="AS254" s="4357">
        <f t="shared" si="578"/>
        <v>0</v>
      </c>
      <c r="AT254" s="4357">
        <f t="shared" si="579"/>
        <v>0</v>
      </c>
      <c r="AU254" s="4357">
        <f t="shared" si="580"/>
        <v>0</v>
      </c>
      <c r="AV254" s="4357">
        <f t="shared" si="581"/>
        <v>0</v>
      </c>
      <c r="AW254" s="4357">
        <f t="shared" si="582"/>
        <v>0</v>
      </c>
      <c r="AX254" s="4357">
        <f t="shared" si="583"/>
        <v>0</v>
      </c>
      <c r="AY254" s="4357">
        <f t="shared" si="584"/>
        <v>0</v>
      </c>
      <c r="AZ254" s="4357">
        <f t="shared" si="585"/>
        <v>0</v>
      </c>
      <c r="BA254" s="4357">
        <f t="shared" si="586"/>
        <v>0</v>
      </c>
      <c r="BB254" s="4357">
        <f t="shared" si="587"/>
        <v>0</v>
      </c>
      <c r="BC254" s="4357">
        <f t="shared" si="588"/>
        <v>0</v>
      </c>
      <c r="BD254" s="4357">
        <f t="shared" si="589"/>
        <v>0</v>
      </c>
      <c r="BE254" s="4357">
        <f t="shared" si="590"/>
        <v>0</v>
      </c>
      <c r="BF254" s="4357">
        <f t="shared" si="591"/>
        <v>0</v>
      </c>
      <c r="BG254" s="4357">
        <f t="shared" si="592"/>
        <v>0</v>
      </c>
      <c r="BH254" s="4357">
        <f t="shared" si="593"/>
        <v>0</v>
      </c>
      <c r="BI254" s="4357">
        <f t="shared" si="594"/>
        <v>0</v>
      </c>
      <c r="BJ254" s="4357">
        <f t="shared" si="595"/>
        <v>0</v>
      </c>
      <c r="BK254" s="4357">
        <f t="shared" si="596"/>
        <v>0</v>
      </c>
      <c r="BL254" s="4357">
        <f t="shared" si="597"/>
        <v>0</v>
      </c>
      <c r="BM254" s="4357">
        <f t="shared" si="598"/>
        <v>0</v>
      </c>
      <c r="BN254" s="4357">
        <f t="shared" si="599"/>
        <v>0</v>
      </c>
      <c r="BO254" s="4357">
        <f t="shared" si="600"/>
        <v>0</v>
      </c>
      <c r="BP254" s="4357">
        <f t="shared" si="601"/>
        <v>0</v>
      </c>
      <c r="BQ254" s="4357">
        <f t="shared" si="602"/>
        <v>0</v>
      </c>
      <c r="BR254" s="4357">
        <f t="shared" si="603"/>
        <v>0</v>
      </c>
      <c r="BS254" s="4357">
        <f t="shared" si="604"/>
        <v>0</v>
      </c>
      <c r="BT254" s="4357">
        <f t="shared" si="605"/>
        <v>0</v>
      </c>
      <c r="BU254" s="4357">
        <f t="shared" si="606"/>
        <v>0</v>
      </c>
      <c r="BV254" s="4357">
        <f t="shared" si="607"/>
        <v>0</v>
      </c>
      <c r="BW254" s="4357">
        <f t="shared" si="608"/>
        <v>0</v>
      </c>
      <c r="BX254" s="4357">
        <f t="shared" si="609"/>
        <v>0</v>
      </c>
      <c r="BY254" s="4357">
        <f t="shared" si="610"/>
        <v>0</v>
      </c>
      <c r="BZ254" s="4357">
        <f t="shared" si="611"/>
        <v>0</v>
      </c>
      <c r="CA254" s="4357">
        <f t="shared" si="612"/>
        <v>0</v>
      </c>
      <c r="CB254" s="4357">
        <f t="shared" si="613"/>
        <v>0</v>
      </c>
      <c r="CC254" s="4357">
        <f t="shared" si="614"/>
        <v>0</v>
      </c>
      <c r="CD254" s="4357">
        <f t="shared" si="615"/>
        <v>0</v>
      </c>
      <c r="CE254" s="4357">
        <f t="shared" si="616"/>
        <v>0</v>
      </c>
      <c r="CF254" s="4357">
        <f t="shared" si="617"/>
        <v>0</v>
      </c>
      <c r="CG254" s="4357">
        <f t="shared" si="618"/>
        <v>0</v>
      </c>
      <c r="CH254" s="4357">
        <f t="shared" si="619"/>
        <v>0</v>
      </c>
    </row>
    <row r="255" spans="1:136" ht="16" x14ac:dyDescent="0.2">
      <c r="A255" t="str">
        <f>Languages!$B$655</f>
        <v>Inputs &amp; Invest.</v>
      </c>
      <c r="B255" t="s">
        <v>3244</v>
      </c>
      <c r="D255" t="str">
        <f>'9.Inputs'!C116</f>
        <v>Please select</v>
      </c>
      <c r="E255">
        <f>'9.Inputs'!V116</f>
        <v>0</v>
      </c>
      <c r="F255" s="388">
        <v>0</v>
      </c>
      <c r="G255" s="388">
        <v>0</v>
      </c>
      <c r="L255" s="388">
        <f>Inputs!P147-Inputs!O147</f>
        <v>0</v>
      </c>
      <c r="AB255" t="str">
        <f t="shared" si="471"/>
        <v>ok</v>
      </c>
      <c r="AC255">
        <f>IF('9.Inputs'!AW116&lt;&gt;0,'9.Inputs'!AW116,'9.Inputs'!AV116)</f>
        <v>1</v>
      </c>
      <c r="AD255">
        <f t="shared" si="502"/>
        <v>5</v>
      </c>
      <c r="AE255" s="4357" t="s">
        <v>86</v>
      </c>
      <c r="AF255" s="4357" t="s">
        <v>86</v>
      </c>
      <c r="AG255" s="4357" t="str">
        <f t="shared" si="505"/>
        <v>D</v>
      </c>
      <c r="AH255" s="4357">
        <f>((E255/(time_cap+((AD255-AC255+1)*VLOOKUP(AG255,list!$I$48:$K$50,3, FALSE))))*(AD255-AC255+1)*VLOOKUP(AG255,list!$I$48:$K$50,3, FALSE))</f>
        <v>0</v>
      </c>
      <c r="AI255" s="4357">
        <f>((E255/(time_cap+((AD255-AC255+1)*VLOOKUP(AG255,list!$I$48:$K$50,3, FALSE))))*time_cap)</f>
        <v>0</v>
      </c>
      <c r="AK255" s="4357">
        <f t="shared" si="570"/>
        <v>0</v>
      </c>
      <c r="AL255" s="4357">
        <f t="shared" si="571"/>
        <v>0</v>
      </c>
      <c r="AM255" s="4357">
        <f t="shared" si="572"/>
        <v>0</v>
      </c>
      <c r="AN255" s="4357">
        <f t="shared" si="573"/>
        <v>0</v>
      </c>
      <c r="AO255" s="4357">
        <f t="shared" si="574"/>
        <v>0</v>
      </c>
      <c r="AP255" s="4357">
        <f t="shared" si="575"/>
        <v>0</v>
      </c>
      <c r="AQ255" s="4357">
        <f t="shared" si="576"/>
        <v>0</v>
      </c>
      <c r="AR255" s="4357">
        <f t="shared" si="577"/>
        <v>0</v>
      </c>
      <c r="AS255" s="4357">
        <f t="shared" si="578"/>
        <v>0</v>
      </c>
      <c r="AT255" s="4357">
        <f t="shared" si="579"/>
        <v>0</v>
      </c>
      <c r="AU255" s="4357">
        <f t="shared" si="580"/>
        <v>0</v>
      </c>
      <c r="AV255" s="4357">
        <f t="shared" si="581"/>
        <v>0</v>
      </c>
      <c r="AW255" s="4357">
        <f t="shared" si="582"/>
        <v>0</v>
      </c>
      <c r="AX255" s="4357">
        <f t="shared" si="583"/>
        <v>0</v>
      </c>
      <c r="AY255" s="4357">
        <f t="shared" si="584"/>
        <v>0</v>
      </c>
      <c r="AZ255" s="4357">
        <f t="shared" si="585"/>
        <v>0</v>
      </c>
      <c r="BA255" s="4357">
        <f t="shared" si="586"/>
        <v>0</v>
      </c>
      <c r="BB255" s="4357">
        <f t="shared" si="587"/>
        <v>0</v>
      </c>
      <c r="BC255" s="4357">
        <f t="shared" si="588"/>
        <v>0</v>
      </c>
      <c r="BD255" s="4357">
        <f t="shared" si="589"/>
        <v>0</v>
      </c>
      <c r="BE255" s="4357">
        <f t="shared" si="590"/>
        <v>0</v>
      </c>
      <c r="BF255" s="4357">
        <f t="shared" si="591"/>
        <v>0</v>
      </c>
      <c r="BG255" s="4357">
        <f t="shared" si="592"/>
        <v>0</v>
      </c>
      <c r="BH255" s="4357">
        <f t="shared" si="593"/>
        <v>0</v>
      </c>
      <c r="BI255" s="4357">
        <f t="shared" si="594"/>
        <v>0</v>
      </c>
      <c r="BJ255" s="4357">
        <f t="shared" si="595"/>
        <v>0</v>
      </c>
      <c r="BK255" s="4357">
        <f t="shared" si="596"/>
        <v>0</v>
      </c>
      <c r="BL255" s="4357">
        <f t="shared" si="597"/>
        <v>0</v>
      </c>
      <c r="BM255" s="4357">
        <f t="shared" si="598"/>
        <v>0</v>
      </c>
      <c r="BN255" s="4357">
        <f t="shared" si="599"/>
        <v>0</v>
      </c>
      <c r="BO255" s="4357">
        <f t="shared" si="600"/>
        <v>0</v>
      </c>
      <c r="BP255" s="4357">
        <f t="shared" si="601"/>
        <v>0</v>
      </c>
      <c r="BQ255" s="4357">
        <f t="shared" si="602"/>
        <v>0</v>
      </c>
      <c r="BR255" s="4357">
        <f t="shared" si="603"/>
        <v>0</v>
      </c>
      <c r="BS255" s="4357">
        <f t="shared" si="604"/>
        <v>0</v>
      </c>
      <c r="BT255" s="4357">
        <f t="shared" si="605"/>
        <v>0</v>
      </c>
      <c r="BU255" s="4357">
        <f t="shared" si="606"/>
        <v>0</v>
      </c>
      <c r="BV255" s="4357">
        <f t="shared" si="607"/>
        <v>0</v>
      </c>
      <c r="BW255" s="4357">
        <f t="shared" si="608"/>
        <v>0</v>
      </c>
      <c r="BX255" s="4357">
        <f t="shared" si="609"/>
        <v>0</v>
      </c>
      <c r="BY255" s="4357">
        <f t="shared" si="610"/>
        <v>0</v>
      </c>
      <c r="BZ255" s="4357">
        <f t="shared" si="611"/>
        <v>0</v>
      </c>
      <c r="CA255" s="4357">
        <f t="shared" si="612"/>
        <v>0</v>
      </c>
      <c r="CB255" s="4357">
        <f t="shared" si="613"/>
        <v>0</v>
      </c>
      <c r="CC255" s="4357">
        <f t="shared" si="614"/>
        <v>0</v>
      </c>
      <c r="CD255" s="4357">
        <f t="shared" si="615"/>
        <v>0</v>
      </c>
      <c r="CE255" s="4357">
        <f t="shared" si="616"/>
        <v>0</v>
      </c>
      <c r="CF255" s="4357">
        <f t="shared" si="617"/>
        <v>0</v>
      </c>
      <c r="CG255" s="4357">
        <f t="shared" si="618"/>
        <v>0</v>
      </c>
      <c r="CH255" s="4357">
        <f t="shared" si="619"/>
        <v>0</v>
      </c>
    </row>
    <row r="256" spans="1:136" ht="16" x14ac:dyDescent="0.2">
      <c r="A256" t="str">
        <f>Languages!$B$655</f>
        <v>Inputs &amp; Invest.</v>
      </c>
      <c r="B256" t="s">
        <v>3244</v>
      </c>
      <c r="D256" t="str">
        <f>'9.Inputs'!C117</f>
        <v>Please select</v>
      </c>
      <c r="E256">
        <f>'9.Inputs'!V117</f>
        <v>0</v>
      </c>
      <c r="F256" s="388">
        <v>0</v>
      </c>
      <c r="G256" s="388">
        <v>0</v>
      </c>
      <c r="L256" s="388">
        <f>Inputs!P148-Inputs!O148</f>
        <v>0</v>
      </c>
      <c r="AB256" t="str">
        <f t="shared" si="471"/>
        <v>ok</v>
      </c>
      <c r="AC256">
        <f>IF('9.Inputs'!AW117&lt;&gt;0,'9.Inputs'!AW117,'9.Inputs'!AV117)</f>
        <v>1</v>
      </c>
      <c r="AD256">
        <f t="shared" si="502"/>
        <v>5</v>
      </c>
      <c r="AE256" s="4357" t="s">
        <v>86</v>
      </c>
      <c r="AF256" s="4357" t="s">
        <v>86</v>
      </c>
      <c r="AG256" s="4357" t="str">
        <f t="shared" si="505"/>
        <v>D</v>
      </c>
      <c r="AH256" s="4357">
        <f>((E256/(time_cap+((AD256-AC256+1)*VLOOKUP(AG256,list!$I$48:$K$50,3, FALSE))))*(AD256-AC256+1)*VLOOKUP(AG256,list!$I$48:$K$50,3, FALSE))</f>
        <v>0</v>
      </c>
      <c r="AI256" s="4357">
        <f>((E256/(time_cap+((AD256-AC256+1)*VLOOKUP(AG256,list!$I$48:$K$50,3, FALSE))))*time_cap)</f>
        <v>0</v>
      </c>
      <c r="AK256" s="4357">
        <f t="shared" si="570"/>
        <v>0</v>
      </c>
      <c r="AL256" s="4357">
        <f t="shared" si="571"/>
        <v>0</v>
      </c>
      <c r="AM256" s="4357">
        <f t="shared" si="572"/>
        <v>0</v>
      </c>
      <c r="AN256" s="4357">
        <f t="shared" si="573"/>
        <v>0</v>
      </c>
      <c r="AO256" s="4357">
        <f t="shared" si="574"/>
        <v>0</v>
      </c>
      <c r="AP256" s="4357">
        <f t="shared" si="575"/>
        <v>0</v>
      </c>
      <c r="AQ256" s="4357">
        <f t="shared" si="576"/>
        <v>0</v>
      </c>
      <c r="AR256" s="4357">
        <f t="shared" si="577"/>
        <v>0</v>
      </c>
      <c r="AS256" s="4357">
        <f t="shared" si="578"/>
        <v>0</v>
      </c>
      <c r="AT256" s="4357">
        <f t="shared" si="579"/>
        <v>0</v>
      </c>
      <c r="AU256" s="4357">
        <f t="shared" si="580"/>
        <v>0</v>
      </c>
      <c r="AV256" s="4357">
        <f t="shared" si="581"/>
        <v>0</v>
      </c>
      <c r="AW256" s="4357">
        <f t="shared" si="582"/>
        <v>0</v>
      </c>
      <c r="AX256" s="4357">
        <f t="shared" si="583"/>
        <v>0</v>
      </c>
      <c r="AY256" s="4357">
        <f t="shared" si="584"/>
        <v>0</v>
      </c>
      <c r="AZ256" s="4357">
        <f t="shared" si="585"/>
        <v>0</v>
      </c>
      <c r="BA256" s="4357">
        <f t="shared" si="586"/>
        <v>0</v>
      </c>
      <c r="BB256" s="4357">
        <f t="shared" si="587"/>
        <v>0</v>
      </c>
      <c r="BC256" s="4357">
        <f t="shared" si="588"/>
        <v>0</v>
      </c>
      <c r="BD256" s="4357">
        <f t="shared" si="589"/>
        <v>0</v>
      </c>
      <c r="BE256" s="4357">
        <f t="shared" si="590"/>
        <v>0</v>
      </c>
      <c r="BF256" s="4357">
        <f t="shared" si="591"/>
        <v>0</v>
      </c>
      <c r="BG256" s="4357">
        <f t="shared" si="592"/>
        <v>0</v>
      </c>
      <c r="BH256" s="4357">
        <f t="shared" si="593"/>
        <v>0</v>
      </c>
      <c r="BI256" s="4357">
        <f t="shared" si="594"/>
        <v>0</v>
      </c>
      <c r="BJ256" s="4357">
        <f t="shared" si="595"/>
        <v>0</v>
      </c>
      <c r="BK256" s="4357">
        <f t="shared" si="596"/>
        <v>0</v>
      </c>
      <c r="BL256" s="4357">
        <f t="shared" si="597"/>
        <v>0</v>
      </c>
      <c r="BM256" s="4357">
        <f t="shared" si="598"/>
        <v>0</v>
      </c>
      <c r="BN256" s="4357">
        <f t="shared" si="599"/>
        <v>0</v>
      </c>
      <c r="BO256" s="4357">
        <f t="shared" si="600"/>
        <v>0</v>
      </c>
      <c r="BP256" s="4357">
        <f t="shared" si="601"/>
        <v>0</v>
      </c>
      <c r="BQ256" s="4357">
        <f t="shared" si="602"/>
        <v>0</v>
      </c>
      <c r="BR256" s="4357">
        <f t="shared" si="603"/>
        <v>0</v>
      </c>
      <c r="BS256" s="4357">
        <f t="shared" si="604"/>
        <v>0</v>
      </c>
      <c r="BT256" s="4357">
        <f t="shared" si="605"/>
        <v>0</v>
      </c>
      <c r="BU256" s="4357">
        <f t="shared" si="606"/>
        <v>0</v>
      </c>
      <c r="BV256" s="4357">
        <f t="shared" si="607"/>
        <v>0</v>
      </c>
      <c r="BW256" s="4357">
        <f t="shared" si="608"/>
        <v>0</v>
      </c>
      <c r="BX256" s="4357">
        <f t="shared" si="609"/>
        <v>0</v>
      </c>
      <c r="BY256" s="4357">
        <f t="shared" si="610"/>
        <v>0</v>
      </c>
      <c r="BZ256" s="4357">
        <f t="shared" si="611"/>
        <v>0</v>
      </c>
      <c r="CA256" s="4357">
        <f t="shared" si="612"/>
        <v>0</v>
      </c>
      <c r="CB256" s="4357">
        <f t="shared" si="613"/>
        <v>0</v>
      </c>
      <c r="CC256" s="4357">
        <f t="shared" si="614"/>
        <v>0</v>
      </c>
      <c r="CD256" s="4357">
        <f t="shared" si="615"/>
        <v>0</v>
      </c>
      <c r="CE256" s="4357">
        <f t="shared" si="616"/>
        <v>0</v>
      </c>
      <c r="CF256" s="4357">
        <f t="shared" si="617"/>
        <v>0</v>
      </c>
      <c r="CG256" s="4357">
        <f t="shared" si="618"/>
        <v>0</v>
      </c>
      <c r="CH256" s="4357">
        <f t="shared" si="619"/>
        <v>0</v>
      </c>
    </row>
    <row r="257" spans="1:86" ht="16" x14ac:dyDescent="0.2">
      <c r="A257" t="str">
        <f>Languages!$B$655</f>
        <v>Inputs &amp; Invest.</v>
      </c>
      <c r="B257" t="s">
        <v>3244</v>
      </c>
      <c r="D257" t="str">
        <f>'9.Inputs'!C118</f>
        <v>Please select</v>
      </c>
      <c r="E257">
        <f>'9.Inputs'!V118</f>
        <v>0</v>
      </c>
      <c r="F257" s="388">
        <v>0</v>
      </c>
      <c r="G257" s="388">
        <v>0</v>
      </c>
      <c r="L257" s="388">
        <f>Inputs!P149-Inputs!O149</f>
        <v>0</v>
      </c>
      <c r="AB257" t="str">
        <f t="shared" si="471"/>
        <v>ok</v>
      </c>
      <c r="AC257">
        <f>IF('9.Inputs'!AW118&lt;&gt;0,'9.Inputs'!AW118,'9.Inputs'!AV118)</f>
        <v>1</v>
      </c>
      <c r="AD257">
        <f t="shared" si="502"/>
        <v>5</v>
      </c>
      <c r="AE257" s="4357" t="s">
        <v>86</v>
      </c>
      <c r="AF257" s="4357" t="s">
        <v>86</v>
      </c>
      <c r="AG257" s="4357" t="str">
        <f t="shared" si="505"/>
        <v>D</v>
      </c>
      <c r="AH257" s="4357">
        <f>((E257/(time_cap+((AD257-AC257+1)*VLOOKUP(AG257,list!$I$48:$K$50,3, FALSE))))*(AD257-AC257+1)*VLOOKUP(AG257,list!$I$48:$K$50,3, FALSE))</f>
        <v>0</v>
      </c>
      <c r="AI257" s="4357">
        <f>((E257/(time_cap+((AD257-AC257+1)*VLOOKUP(AG257,list!$I$48:$K$50,3, FALSE))))*time_cap)</f>
        <v>0</v>
      </c>
      <c r="AK257" s="4357">
        <f t="shared" si="570"/>
        <v>0</v>
      </c>
      <c r="AL257" s="4357">
        <f t="shared" si="571"/>
        <v>0</v>
      </c>
      <c r="AM257" s="4357">
        <f t="shared" si="572"/>
        <v>0</v>
      </c>
      <c r="AN257" s="4357">
        <f t="shared" si="573"/>
        <v>0</v>
      </c>
      <c r="AO257" s="4357">
        <f t="shared" si="574"/>
        <v>0</v>
      </c>
      <c r="AP257" s="4357">
        <f t="shared" si="575"/>
        <v>0</v>
      </c>
      <c r="AQ257" s="4357">
        <f t="shared" si="576"/>
        <v>0</v>
      </c>
      <c r="AR257" s="4357">
        <f t="shared" si="577"/>
        <v>0</v>
      </c>
      <c r="AS257" s="4357">
        <f t="shared" si="578"/>
        <v>0</v>
      </c>
      <c r="AT257" s="4357">
        <f t="shared" si="579"/>
        <v>0</v>
      </c>
      <c r="AU257" s="4357">
        <f t="shared" si="580"/>
        <v>0</v>
      </c>
      <c r="AV257" s="4357">
        <f t="shared" si="581"/>
        <v>0</v>
      </c>
      <c r="AW257" s="4357">
        <f t="shared" si="582"/>
        <v>0</v>
      </c>
      <c r="AX257" s="4357">
        <f t="shared" si="583"/>
        <v>0</v>
      </c>
      <c r="AY257" s="4357">
        <f t="shared" si="584"/>
        <v>0</v>
      </c>
      <c r="AZ257" s="4357">
        <f t="shared" si="585"/>
        <v>0</v>
      </c>
      <c r="BA257" s="4357">
        <f t="shared" si="586"/>
        <v>0</v>
      </c>
      <c r="BB257" s="4357">
        <f t="shared" si="587"/>
        <v>0</v>
      </c>
      <c r="BC257" s="4357">
        <f t="shared" si="588"/>
        <v>0</v>
      </c>
      <c r="BD257" s="4357">
        <f t="shared" si="589"/>
        <v>0</v>
      </c>
      <c r="BE257" s="4357">
        <f t="shared" si="590"/>
        <v>0</v>
      </c>
      <c r="BF257" s="4357">
        <f t="shared" si="591"/>
        <v>0</v>
      </c>
      <c r="BG257" s="4357">
        <f t="shared" si="592"/>
        <v>0</v>
      </c>
      <c r="BH257" s="4357">
        <f t="shared" si="593"/>
        <v>0</v>
      </c>
      <c r="BI257" s="4357">
        <f t="shared" si="594"/>
        <v>0</v>
      </c>
      <c r="BJ257" s="4357">
        <f t="shared" si="595"/>
        <v>0</v>
      </c>
      <c r="BK257" s="4357">
        <f t="shared" si="596"/>
        <v>0</v>
      </c>
      <c r="BL257" s="4357">
        <f t="shared" si="597"/>
        <v>0</v>
      </c>
      <c r="BM257" s="4357">
        <f t="shared" si="598"/>
        <v>0</v>
      </c>
      <c r="BN257" s="4357">
        <f t="shared" si="599"/>
        <v>0</v>
      </c>
      <c r="BO257" s="4357">
        <f t="shared" si="600"/>
        <v>0</v>
      </c>
      <c r="BP257" s="4357">
        <f t="shared" si="601"/>
        <v>0</v>
      </c>
      <c r="BQ257" s="4357">
        <f t="shared" si="602"/>
        <v>0</v>
      </c>
      <c r="BR257" s="4357">
        <f t="shared" si="603"/>
        <v>0</v>
      </c>
      <c r="BS257" s="4357">
        <f t="shared" si="604"/>
        <v>0</v>
      </c>
      <c r="BT257" s="4357">
        <f t="shared" si="605"/>
        <v>0</v>
      </c>
      <c r="BU257" s="4357">
        <f t="shared" si="606"/>
        <v>0</v>
      </c>
      <c r="BV257" s="4357">
        <f t="shared" si="607"/>
        <v>0</v>
      </c>
      <c r="BW257" s="4357">
        <f t="shared" si="608"/>
        <v>0</v>
      </c>
      <c r="BX257" s="4357">
        <f t="shared" si="609"/>
        <v>0</v>
      </c>
      <c r="BY257" s="4357">
        <f t="shared" si="610"/>
        <v>0</v>
      </c>
      <c r="BZ257" s="4357">
        <f t="shared" si="611"/>
        <v>0</v>
      </c>
      <c r="CA257" s="4357">
        <f t="shared" si="612"/>
        <v>0</v>
      </c>
      <c r="CB257" s="4357">
        <f t="shared" si="613"/>
        <v>0</v>
      </c>
      <c r="CC257" s="4357">
        <f t="shared" si="614"/>
        <v>0</v>
      </c>
      <c r="CD257" s="4357">
        <f t="shared" si="615"/>
        <v>0</v>
      </c>
      <c r="CE257" s="4357">
        <f t="shared" si="616"/>
        <v>0</v>
      </c>
      <c r="CF257" s="4357">
        <f t="shared" si="617"/>
        <v>0</v>
      </c>
      <c r="CG257" s="4357">
        <f t="shared" si="618"/>
        <v>0</v>
      </c>
      <c r="CH257" s="4357">
        <f t="shared" si="619"/>
        <v>0</v>
      </c>
    </row>
    <row r="258" spans="1:86" x14ac:dyDescent="0.2">
      <c r="AF258" s="4357"/>
      <c r="AG258" s="4357"/>
    </row>
    <row r="259" spans="1:86" x14ac:dyDescent="0.2">
      <c r="AF259" s="4357"/>
      <c r="AG259" s="4357"/>
    </row>
    <row r="260" spans="1:86" x14ac:dyDescent="0.2">
      <c r="AF260" s="4357"/>
      <c r="AG260" s="4357"/>
    </row>
    <row r="261" spans="1:86" x14ac:dyDescent="0.2">
      <c r="AF261" s="4357"/>
      <c r="AG261" s="4357"/>
    </row>
    <row r="262" spans="1:86" x14ac:dyDescent="0.2">
      <c r="AF262" s="4357"/>
      <c r="AG262" s="4357"/>
    </row>
    <row r="263" spans="1:86" x14ac:dyDescent="0.2">
      <c r="AF263" s="4357"/>
      <c r="AG263" s="4357"/>
    </row>
    <row r="264" spans="1:86" x14ac:dyDescent="0.2">
      <c r="AF264" s="4357"/>
      <c r="AG264" s="4357"/>
    </row>
    <row r="265" spans="1:86" x14ac:dyDescent="0.2">
      <c r="AF265" s="4357"/>
      <c r="AG265" s="4357"/>
    </row>
    <row r="266" spans="1:86" x14ac:dyDescent="0.2">
      <c r="AF266" s="4357"/>
      <c r="AG266" s="4357"/>
    </row>
    <row r="267" spans="1:86" x14ac:dyDescent="0.2">
      <c r="AF267" s="4357"/>
      <c r="AG267" s="4357"/>
    </row>
    <row r="268" spans="1:86" x14ac:dyDescent="0.2">
      <c r="AF268" s="4357"/>
      <c r="AG268" s="4357"/>
    </row>
    <row r="269" spans="1:86" x14ac:dyDescent="0.2">
      <c r="AF269" s="4357"/>
      <c r="AG269" s="4357"/>
    </row>
    <row r="270" spans="1:86" x14ac:dyDescent="0.2">
      <c r="AF270" s="4357"/>
      <c r="AG270" s="4357"/>
    </row>
    <row r="271" spans="1:86" x14ac:dyDescent="0.2">
      <c r="AF271" s="4357"/>
      <c r="AG271" s="4357"/>
    </row>
    <row r="272" spans="1:86" x14ac:dyDescent="0.2">
      <c r="AF272" s="4357"/>
      <c r="AG272" s="4357"/>
    </row>
    <row r="273" spans="32:33" x14ac:dyDescent="0.2">
      <c r="AF273" s="4357"/>
      <c r="AG273" s="4357"/>
    </row>
    <row r="274" spans="32:33" x14ac:dyDescent="0.2">
      <c r="AF274" s="4357"/>
      <c r="AG274" s="4357"/>
    </row>
    <row r="275" spans="32:33" x14ac:dyDescent="0.2">
      <c r="AF275" s="4357"/>
      <c r="AG275" s="4357"/>
    </row>
    <row r="276" spans="32:33" x14ac:dyDescent="0.2">
      <c r="AF276" s="4357"/>
      <c r="AG276" s="4357"/>
    </row>
    <row r="277" spans="32:33" x14ac:dyDescent="0.2">
      <c r="AF277" s="4357"/>
      <c r="AG277" s="4357"/>
    </row>
    <row r="278" spans="32:33" x14ac:dyDescent="0.2">
      <c r="AF278" s="4357"/>
      <c r="AG278" s="4357"/>
    </row>
    <row r="279" spans="32:33" x14ac:dyDescent="0.2">
      <c r="AF279" s="4357"/>
      <c r="AG279" s="4357"/>
    </row>
    <row r="280" spans="32:33" x14ac:dyDescent="0.2">
      <c r="AF280" s="4357"/>
      <c r="AG280" s="4357"/>
    </row>
    <row r="281" spans="32:33" x14ac:dyDescent="0.2">
      <c r="AF281" s="4357"/>
      <c r="AG281" s="4357"/>
    </row>
    <row r="282" spans="32:33" x14ac:dyDescent="0.2">
      <c r="AF282" s="4357"/>
      <c r="AG282" s="4357"/>
    </row>
    <row r="283" spans="32:33" x14ac:dyDescent="0.2">
      <c r="AF283" s="4357"/>
      <c r="AG283" s="4357"/>
    </row>
    <row r="284" spans="32:33" x14ac:dyDescent="0.2">
      <c r="AF284" s="4357"/>
      <c r="AG284" s="4357"/>
    </row>
    <row r="285" spans="32:33" x14ac:dyDescent="0.2">
      <c r="AF285" s="4357"/>
      <c r="AG285" s="4357"/>
    </row>
    <row r="286" spans="32:33" x14ac:dyDescent="0.2">
      <c r="AF286" s="4357"/>
      <c r="AG286" s="4357"/>
    </row>
    <row r="287" spans="32:33" x14ac:dyDescent="0.2">
      <c r="AF287" s="4357"/>
      <c r="AG287" s="4357"/>
    </row>
    <row r="288" spans="32:33" x14ac:dyDescent="0.2">
      <c r="AF288" s="4357"/>
      <c r="AG288" s="4357"/>
    </row>
    <row r="289" spans="32:33" x14ac:dyDescent="0.2">
      <c r="AF289" s="4357"/>
      <c r="AG289" s="4357"/>
    </row>
    <row r="290" spans="32:33" x14ac:dyDescent="0.2">
      <c r="AF290" s="4357"/>
      <c r="AG290" s="4357"/>
    </row>
    <row r="291" spans="32:33" x14ac:dyDescent="0.2">
      <c r="AF291" s="4357"/>
      <c r="AG291" s="4357"/>
    </row>
    <row r="292" spans="32:33" x14ac:dyDescent="0.2">
      <c r="AF292" s="4357"/>
      <c r="AG292" s="4357"/>
    </row>
    <row r="293" spans="32:33" x14ac:dyDescent="0.2">
      <c r="AF293" s="4357"/>
      <c r="AG293" s="4357"/>
    </row>
    <row r="294" spans="32:33" x14ac:dyDescent="0.2">
      <c r="AF294" s="4357"/>
      <c r="AG294" s="4357"/>
    </row>
    <row r="295" spans="32:33" x14ac:dyDescent="0.2">
      <c r="AF295" s="4357"/>
      <c r="AG295" s="4357"/>
    </row>
    <row r="296" spans="32:33" x14ac:dyDescent="0.2">
      <c r="AF296" s="4357"/>
      <c r="AG296" s="4357"/>
    </row>
    <row r="297" spans="32:33" x14ac:dyDescent="0.2">
      <c r="AF297" s="4357"/>
      <c r="AG297" s="4357"/>
    </row>
    <row r="298" spans="32:33" x14ac:dyDescent="0.2">
      <c r="AF298" s="4357"/>
      <c r="AG298" s="4357"/>
    </row>
    <row r="299" spans="32:33" x14ac:dyDescent="0.2">
      <c r="AF299" s="4357"/>
      <c r="AG299" s="4357"/>
    </row>
    <row r="300" spans="32:33" x14ac:dyDescent="0.2">
      <c r="AF300" s="4357"/>
      <c r="AG300" s="4357"/>
    </row>
    <row r="301" spans="32:33" x14ac:dyDescent="0.2">
      <c r="AF301" s="4357"/>
      <c r="AG301" s="4357"/>
    </row>
    <row r="302" spans="32:33" x14ac:dyDescent="0.2">
      <c r="AF302" s="4357"/>
      <c r="AG302" s="4357"/>
    </row>
    <row r="303" spans="32:33" x14ac:dyDescent="0.2">
      <c r="AF303" s="4357"/>
      <c r="AG303" s="4357"/>
    </row>
    <row r="304" spans="32:33" x14ac:dyDescent="0.2">
      <c r="AF304" s="4357"/>
      <c r="AG304" s="4357"/>
    </row>
    <row r="305" spans="32:33" x14ac:dyDescent="0.2">
      <c r="AF305" s="4357"/>
      <c r="AG305" s="4357"/>
    </row>
    <row r="306" spans="32:33" x14ac:dyDescent="0.2">
      <c r="AF306" s="4357"/>
      <c r="AG306" s="4357"/>
    </row>
    <row r="307" spans="32:33" x14ac:dyDescent="0.2">
      <c r="AF307" s="4357"/>
      <c r="AG307" s="4357"/>
    </row>
    <row r="308" spans="32:33" x14ac:dyDescent="0.2">
      <c r="AF308" s="4357"/>
      <c r="AG308" s="4357"/>
    </row>
    <row r="309" spans="32:33" x14ac:dyDescent="0.2">
      <c r="AF309" s="4357"/>
      <c r="AG309" s="4357"/>
    </row>
    <row r="310" spans="32:33" x14ac:dyDescent="0.2">
      <c r="AF310" s="4357"/>
      <c r="AG310" s="4357"/>
    </row>
    <row r="311" spans="32:33" x14ac:dyDescent="0.2">
      <c r="AF311" s="4357"/>
      <c r="AG311" s="4357"/>
    </row>
    <row r="312" spans="32:33" x14ac:dyDescent="0.2">
      <c r="AF312" s="4357"/>
      <c r="AG312" s="4357"/>
    </row>
    <row r="313" spans="32:33" x14ac:dyDescent="0.2">
      <c r="AF313" s="4357"/>
      <c r="AG313" s="4357"/>
    </row>
    <row r="314" spans="32:33" x14ac:dyDescent="0.2">
      <c r="AF314" s="4357"/>
      <c r="AG314" s="4357"/>
    </row>
    <row r="315" spans="32:33" x14ac:dyDescent="0.2">
      <c r="AF315" s="4357"/>
      <c r="AG315" s="4357"/>
    </row>
    <row r="316" spans="32:33" x14ac:dyDescent="0.2">
      <c r="AF316" s="4357"/>
      <c r="AG316" s="4357"/>
    </row>
    <row r="317" spans="32:33" x14ac:dyDescent="0.2">
      <c r="AF317" s="4357"/>
      <c r="AG317" s="4357"/>
    </row>
    <row r="318" spans="32:33" x14ac:dyDescent="0.2">
      <c r="AF318" s="4357"/>
      <c r="AG318" s="4357"/>
    </row>
    <row r="319" spans="32:33" x14ac:dyDescent="0.2">
      <c r="AF319" s="4357"/>
      <c r="AG319" s="4357"/>
    </row>
    <row r="320" spans="32:33" x14ac:dyDescent="0.2">
      <c r="AF320" s="4357"/>
      <c r="AG320" s="4357"/>
    </row>
    <row r="321" spans="32:33" x14ac:dyDescent="0.2">
      <c r="AF321" s="4357"/>
      <c r="AG321" s="4357"/>
    </row>
    <row r="322" spans="32:33" x14ac:dyDescent="0.2">
      <c r="AF322" s="4357"/>
      <c r="AG322" s="4357"/>
    </row>
    <row r="323" spans="32:33" x14ac:dyDescent="0.2">
      <c r="AF323" s="4357"/>
      <c r="AG323" s="4357"/>
    </row>
    <row r="324" spans="32:33" x14ac:dyDescent="0.2">
      <c r="AF324" s="4357"/>
      <c r="AG324" s="4357"/>
    </row>
    <row r="325" spans="32:33" x14ac:dyDescent="0.2">
      <c r="AF325" s="4357"/>
      <c r="AG325" s="4357"/>
    </row>
    <row r="326" spans="32:33" x14ac:dyDescent="0.2">
      <c r="AF326" s="4357"/>
      <c r="AG326" s="4357"/>
    </row>
    <row r="327" spans="32:33" x14ac:dyDescent="0.2">
      <c r="AF327" s="4357"/>
      <c r="AG327" s="4357"/>
    </row>
    <row r="328" spans="32:33" x14ac:dyDescent="0.2">
      <c r="AF328" s="4357"/>
      <c r="AG328" s="4357"/>
    </row>
    <row r="329" spans="32:33" x14ac:dyDescent="0.2">
      <c r="AF329" s="4357"/>
      <c r="AG329" s="4357"/>
    </row>
    <row r="330" spans="32:33" x14ac:dyDescent="0.2">
      <c r="AF330" s="4357"/>
      <c r="AG330" s="4357"/>
    </row>
    <row r="331" spans="32:33" x14ac:dyDescent="0.2">
      <c r="AF331" s="4357"/>
      <c r="AG331" s="4357"/>
    </row>
    <row r="332" spans="32:33" x14ac:dyDescent="0.2">
      <c r="AF332" s="4357"/>
      <c r="AG332" s="4357"/>
    </row>
    <row r="333" spans="32:33" x14ac:dyDescent="0.2">
      <c r="AF333" s="4357"/>
      <c r="AG333" s="4357"/>
    </row>
    <row r="334" spans="32:33" x14ac:dyDescent="0.2">
      <c r="AF334" s="4357"/>
      <c r="AG334" s="4357"/>
    </row>
    <row r="335" spans="32:33" x14ac:dyDescent="0.2">
      <c r="AF335" s="4357"/>
      <c r="AG335" s="4357"/>
    </row>
    <row r="336" spans="32:33" x14ac:dyDescent="0.2">
      <c r="AF336" s="4357"/>
      <c r="AG336" s="4357"/>
    </row>
    <row r="337" spans="32:33" x14ac:dyDescent="0.2">
      <c r="AF337" s="4357"/>
      <c r="AG337" s="4357"/>
    </row>
    <row r="338" spans="32:33" x14ac:dyDescent="0.2">
      <c r="AF338" s="4357"/>
      <c r="AG338" s="4357"/>
    </row>
    <row r="339" spans="32:33" x14ac:dyDescent="0.2">
      <c r="AF339" s="4357"/>
      <c r="AG339" s="4357"/>
    </row>
    <row r="340" spans="32:33" x14ac:dyDescent="0.2">
      <c r="AF340" s="4357"/>
      <c r="AG340" s="4357"/>
    </row>
    <row r="341" spans="32:33" x14ac:dyDescent="0.2">
      <c r="AF341" s="4357"/>
      <c r="AG341" s="4357"/>
    </row>
    <row r="342" spans="32:33" x14ac:dyDescent="0.2">
      <c r="AF342" s="4357"/>
      <c r="AG342" s="4357"/>
    </row>
    <row r="343" spans="32:33" x14ac:dyDescent="0.2">
      <c r="AF343" s="4357"/>
      <c r="AG343" s="4357"/>
    </row>
    <row r="344" spans="32:33" x14ac:dyDescent="0.2">
      <c r="AF344" s="4357"/>
      <c r="AG344" s="4357"/>
    </row>
    <row r="345" spans="32:33" x14ac:dyDescent="0.2">
      <c r="AF345" s="4357"/>
      <c r="AG345" s="4357"/>
    </row>
    <row r="346" spans="32:33" x14ac:dyDescent="0.2">
      <c r="AF346" s="4357"/>
      <c r="AG346" s="4357"/>
    </row>
    <row r="347" spans="32:33" x14ac:dyDescent="0.2">
      <c r="AF347" s="4357"/>
      <c r="AG347" s="4357"/>
    </row>
    <row r="348" spans="32:33" x14ac:dyDescent="0.2">
      <c r="AF348" s="4357"/>
      <c r="AG348" s="4357"/>
    </row>
    <row r="349" spans="32:33" x14ac:dyDescent="0.2">
      <c r="AF349" s="4357"/>
      <c r="AG349" s="4357"/>
    </row>
    <row r="350" spans="32:33" x14ac:dyDescent="0.2">
      <c r="AF350" s="4357"/>
      <c r="AG350" s="4357"/>
    </row>
    <row r="351" spans="32:33" x14ac:dyDescent="0.2">
      <c r="AF351" s="4357"/>
      <c r="AG351" s="4357"/>
    </row>
    <row r="352" spans="32:33" x14ac:dyDescent="0.2">
      <c r="AF352" s="4357"/>
      <c r="AG352" s="4357"/>
    </row>
    <row r="353" spans="32:33" x14ac:dyDescent="0.2">
      <c r="AF353" s="4357"/>
      <c r="AG353" s="4357"/>
    </row>
    <row r="354" spans="32:33" x14ac:dyDescent="0.2">
      <c r="AF354" s="4357"/>
      <c r="AG354" s="4357"/>
    </row>
    <row r="355" spans="32:33" x14ac:dyDescent="0.2">
      <c r="AF355" s="4357"/>
      <c r="AG355" s="4357"/>
    </row>
    <row r="356" spans="32:33" x14ac:dyDescent="0.2">
      <c r="AF356" s="4357"/>
      <c r="AG356" s="4357"/>
    </row>
    <row r="357" spans="32:33" x14ac:dyDescent="0.2">
      <c r="AF357" s="4357"/>
      <c r="AG357" s="4357"/>
    </row>
    <row r="358" spans="32:33" x14ac:dyDescent="0.2">
      <c r="AF358" s="4357"/>
      <c r="AG358" s="4357"/>
    </row>
    <row r="359" spans="32:33" x14ac:dyDescent="0.2">
      <c r="AF359" s="4357"/>
      <c r="AG359" s="4357"/>
    </row>
    <row r="360" spans="32:33" x14ac:dyDescent="0.2">
      <c r="AF360" s="4357"/>
      <c r="AG360" s="4357"/>
    </row>
    <row r="361" spans="32:33" x14ac:dyDescent="0.2">
      <c r="AF361" s="4357"/>
      <c r="AG361" s="4357"/>
    </row>
    <row r="362" spans="32:33" x14ac:dyDescent="0.2">
      <c r="AF362" s="4357"/>
      <c r="AG362" s="4357"/>
    </row>
    <row r="363" spans="32:33" x14ac:dyDescent="0.2">
      <c r="AF363" s="4357"/>
      <c r="AG363" s="4357"/>
    </row>
    <row r="364" spans="32:33" x14ac:dyDescent="0.2">
      <c r="AF364" s="4357"/>
      <c r="AG364" s="4357"/>
    </row>
    <row r="365" spans="32:33" x14ac:dyDescent="0.2">
      <c r="AF365" s="4357"/>
      <c r="AG365" s="4357"/>
    </row>
    <row r="366" spans="32:33" x14ac:dyDescent="0.2">
      <c r="AF366" s="4357"/>
      <c r="AG366" s="4357"/>
    </row>
    <row r="367" spans="32:33" x14ac:dyDescent="0.2">
      <c r="AF367" s="4357"/>
      <c r="AG367" s="4357"/>
    </row>
    <row r="368" spans="32:33" x14ac:dyDescent="0.2">
      <c r="AF368" s="4357"/>
      <c r="AG368" s="4357"/>
    </row>
    <row r="369" spans="32:33" x14ac:dyDescent="0.2">
      <c r="AF369" s="4357"/>
      <c r="AG369" s="4357"/>
    </row>
    <row r="370" spans="32:33" x14ac:dyDescent="0.2">
      <c r="AF370" s="4357"/>
      <c r="AG370" s="4357"/>
    </row>
    <row r="371" spans="32:33" x14ac:dyDescent="0.2">
      <c r="AF371" s="4357"/>
      <c r="AG371" s="4357"/>
    </row>
    <row r="372" spans="32:33" x14ac:dyDescent="0.2">
      <c r="AF372" s="4357"/>
      <c r="AG372" s="4357"/>
    </row>
    <row r="373" spans="32:33" x14ac:dyDescent="0.2">
      <c r="AF373" s="4357"/>
      <c r="AG373" s="4357"/>
    </row>
    <row r="374" spans="32:33" x14ac:dyDescent="0.2">
      <c r="AF374" s="4357"/>
      <c r="AG374" s="4357"/>
    </row>
    <row r="375" spans="32:33" x14ac:dyDescent="0.2">
      <c r="AF375" s="4357"/>
      <c r="AG375" s="4357"/>
    </row>
    <row r="376" spans="32:33" x14ac:dyDescent="0.2">
      <c r="AF376" s="4357"/>
      <c r="AG376" s="4357"/>
    </row>
    <row r="377" spans="32:33" x14ac:dyDescent="0.2">
      <c r="AF377" s="4357"/>
      <c r="AG377" s="4357"/>
    </row>
    <row r="378" spans="32:33" x14ac:dyDescent="0.2">
      <c r="AF378" s="4357"/>
      <c r="AG378" s="4357"/>
    </row>
    <row r="379" spans="32:33" x14ac:dyDescent="0.2">
      <c r="AF379" s="4357"/>
      <c r="AG379" s="4357"/>
    </row>
    <row r="380" spans="32:33" x14ac:dyDescent="0.2">
      <c r="AF380" s="4357"/>
      <c r="AG380" s="4357"/>
    </row>
    <row r="381" spans="32:33" x14ac:dyDescent="0.2">
      <c r="AF381" s="4357"/>
      <c r="AG381" s="4357"/>
    </row>
    <row r="382" spans="32:33" x14ac:dyDescent="0.2">
      <c r="AF382" s="4357"/>
      <c r="AG382" s="4357"/>
    </row>
    <row r="383" spans="32:33" x14ac:dyDescent="0.2">
      <c r="AF383" s="4357"/>
      <c r="AG383" s="4357"/>
    </row>
    <row r="384" spans="32:33" x14ac:dyDescent="0.2">
      <c r="AF384" s="4357"/>
      <c r="AG384" s="4357"/>
    </row>
    <row r="385" spans="32:33" x14ac:dyDescent="0.2">
      <c r="AF385" s="4357"/>
      <c r="AG385" s="4357"/>
    </row>
    <row r="386" spans="32:33" x14ac:dyDescent="0.2">
      <c r="AF386" s="4357"/>
      <c r="AG386" s="4357"/>
    </row>
    <row r="387" spans="32:33" x14ac:dyDescent="0.2">
      <c r="AF387" s="4357"/>
      <c r="AG387" s="4357"/>
    </row>
    <row r="388" spans="32:33" x14ac:dyDescent="0.2">
      <c r="AF388" s="4357"/>
      <c r="AG388" s="4357"/>
    </row>
    <row r="389" spans="32:33" x14ac:dyDescent="0.2">
      <c r="AF389" s="4357"/>
      <c r="AG389" s="4357"/>
    </row>
    <row r="390" spans="32:33" x14ac:dyDescent="0.2">
      <c r="AF390" s="4357"/>
      <c r="AG390" s="4357"/>
    </row>
    <row r="391" spans="32:33" x14ac:dyDescent="0.2">
      <c r="AF391" s="4357"/>
      <c r="AG391" s="4357"/>
    </row>
    <row r="392" spans="32:33" x14ac:dyDescent="0.2">
      <c r="AF392" s="4357"/>
      <c r="AG392" s="4357"/>
    </row>
    <row r="393" spans="32:33" x14ac:dyDescent="0.2">
      <c r="AF393" s="4357"/>
      <c r="AG393" s="4357"/>
    </row>
    <row r="394" spans="32:33" x14ac:dyDescent="0.2">
      <c r="AF394" s="4357"/>
      <c r="AG394" s="4357"/>
    </row>
    <row r="395" spans="32:33" x14ac:dyDescent="0.2">
      <c r="AF395" s="4357"/>
      <c r="AG395" s="4357"/>
    </row>
    <row r="396" spans="32:33" x14ac:dyDescent="0.2">
      <c r="AF396" s="4357"/>
      <c r="AG396" s="4357"/>
    </row>
    <row r="397" spans="32:33" x14ac:dyDescent="0.2">
      <c r="AF397" s="4357"/>
      <c r="AG397" s="4357"/>
    </row>
    <row r="398" spans="32:33" x14ac:dyDescent="0.2">
      <c r="AF398" s="4357"/>
      <c r="AG398" s="4357"/>
    </row>
    <row r="399" spans="32:33" x14ac:dyDescent="0.2">
      <c r="AF399" s="4357"/>
      <c r="AG399" s="4357"/>
    </row>
    <row r="400" spans="32:33" x14ac:dyDescent="0.2">
      <c r="AF400" s="4357"/>
      <c r="AG400" s="4357"/>
    </row>
    <row r="401" spans="32:33" x14ac:dyDescent="0.2">
      <c r="AF401" s="4357"/>
      <c r="AG401" s="4357"/>
    </row>
    <row r="402" spans="32:33" x14ac:dyDescent="0.2">
      <c r="AF402" s="4357"/>
      <c r="AG402" s="4357"/>
    </row>
    <row r="403" spans="32:33" x14ac:dyDescent="0.2">
      <c r="AF403" s="4357"/>
      <c r="AG403" s="4357"/>
    </row>
    <row r="404" spans="32:33" x14ac:dyDescent="0.2">
      <c r="AF404" s="4357"/>
      <c r="AG404" s="4357"/>
    </row>
    <row r="405" spans="32:33" x14ac:dyDescent="0.2">
      <c r="AF405" s="4357"/>
      <c r="AG405" s="4357"/>
    </row>
    <row r="406" spans="32:33" x14ac:dyDescent="0.2">
      <c r="AF406" s="4357"/>
      <c r="AG406" s="4357"/>
    </row>
    <row r="407" spans="32:33" x14ac:dyDescent="0.2">
      <c r="AF407" s="4357"/>
      <c r="AG407" s="4357"/>
    </row>
    <row r="408" spans="32:33" x14ac:dyDescent="0.2">
      <c r="AF408" s="4357"/>
      <c r="AG408" s="4357"/>
    </row>
    <row r="409" spans="32:33" x14ac:dyDescent="0.2">
      <c r="AF409" s="4357"/>
      <c r="AG409" s="4357"/>
    </row>
    <row r="410" spans="32:33" x14ac:dyDescent="0.2">
      <c r="AF410" s="4357"/>
      <c r="AG410" s="4357"/>
    </row>
    <row r="411" spans="32:33" x14ac:dyDescent="0.2">
      <c r="AF411" s="4357"/>
      <c r="AG411" s="4357"/>
    </row>
    <row r="412" spans="32:33" x14ac:dyDescent="0.2">
      <c r="AF412" s="4357"/>
      <c r="AG412" s="4357"/>
    </row>
    <row r="413" spans="32:33" x14ac:dyDescent="0.2">
      <c r="AF413" s="4357"/>
      <c r="AG413" s="4357"/>
    </row>
    <row r="414" spans="32:33" x14ac:dyDescent="0.2">
      <c r="AF414" s="4357"/>
      <c r="AG414" s="4357"/>
    </row>
    <row r="415" spans="32:33" x14ac:dyDescent="0.2">
      <c r="AF415" s="4357"/>
      <c r="AG415" s="4357"/>
    </row>
    <row r="416" spans="32:33" x14ac:dyDescent="0.2">
      <c r="AF416" s="4357"/>
      <c r="AG416" s="4357"/>
    </row>
    <row r="417" spans="32:33" x14ac:dyDescent="0.2">
      <c r="AF417" s="4357"/>
      <c r="AG417" s="4357"/>
    </row>
    <row r="418" spans="32:33" x14ac:dyDescent="0.2">
      <c r="AF418" s="4357"/>
      <c r="AG418" s="4357"/>
    </row>
  </sheetData>
  <pageMargins left="0.7" right="0.7" top="0.75" bottom="0.75" header="0.3" footer="0.3"/>
  <pageSetup orientation="portrait" r:id="rId1"/>
</worksheet>
</file>

<file path=xl/worksheets/sheet3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B1:S35"/>
  <sheetViews>
    <sheetView topLeftCell="A13" workbookViewId="0">
      <selection activeCell="E28" sqref="E28"/>
    </sheetView>
  </sheetViews>
  <sheetFormatPr baseColWidth="10" defaultColWidth="9.33203125" defaultRowHeight="14" x14ac:dyDescent="0.15"/>
  <cols>
    <col min="1" max="1" width="9.33203125" style="973"/>
    <col min="2" max="2" width="33.33203125" style="973" customWidth="1"/>
    <col min="3" max="3" width="9.33203125" style="973"/>
    <col min="4" max="4" width="19" style="973" customWidth="1"/>
    <col min="5" max="5" width="18.5" style="973" customWidth="1"/>
    <col min="6" max="6" width="12.5" style="973" customWidth="1"/>
    <col min="7" max="7" width="9.33203125" style="973"/>
    <col min="8" max="8" width="14.6640625" style="973" customWidth="1"/>
    <col min="9" max="9" width="12.6640625" style="973" customWidth="1"/>
    <col min="10" max="10" width="10.33203125" style="973" customWidth="1"/>
    <col min="11" max="14" width="9.33203125" style="973"/>
    <col min="15" max="15" width="12" style="973" customWidth="1"/>
    <col min="16" max="16384" width="9.33203125" style="973"/>
  </cols>
  <sheetData>
    <row r="1" spans="2:19" s="1398" customFormat="1" ht="46.5" customHeight="1" x14ac:dyDescent="0.15"/>
    <row r="2" spans="2:19" x14ac:dyDescent="0.15">
      <c r="B2" s="3513" t="s">
        <v>2944</v>
      </c>
      <c r="C2" s="3513"/>
      <c r="D2" s="3513"/>
      <c r="F2" s="3513" t="s">
        <v>2945</v>
      </c>
      <c r="G2" s="3513"/>
      <c r="H2" s="3513"/>
      <c r="I2" s="3513"/>
      <c r="J2" s="3513"/>
      <c r="K2" s="3513"/>
      <c r="M2" s="3513" t="s">
        <v>2946</v>
      </c>
      <c r="N2" s="3513"/>
      <c r="O2" s="3513"/>
      <c r="Q2" s="3513" t="s">
        <v>2947</v>
      </c>
      <c r="R2" s="3513"/>
      <c r="S2" s="3513"/>
    </row>
    <row r="3" spans="2:19" x14ac:dyDescent="0.15">
      <c r="B3" s="1281" t="s">
        <v>164</v>
      </c>
      <c r="C3" s="973">
        <f>'1.Description'!G10</f>
        <v>0</v>
      </c>
      <c r="F3" s="1281" t="s">
        <v>2948</v>
      </c>
      <c r="H3" s="3505"/>
      <c r="K3" s="992">
        <f>Matrix!P7</f>
        <v>0</v>
      </c>
      <c r="M3" s="1281" t="s">
        <v>229</v>
      </c>
      <c r="O3" s="973">
        <f>time</f>
        <v>5</v>
      </c>
      <c r="Q3" s="1281" t="s">
        <v>361</v>
      </c>
      <c r="S3" s="992">
        <f>SUM(Matrix!P7:P13)-S5</f>
        <v>723</v>
      </c>
    </row>
    <row r="4" spans="2:19" x14ac:dyDescent="0.15">
      <c r="B4" s="1281" t="s">
        <v>1988</v>
      </c>
      <c r="C4" s="973" t="str">
        <f>continent</f>
        <v>Europe</v>
      </c>
      <c r="F4" s="1281" t="s">
        <v>2949</v>
      </c>
      <c r="H4" s="3506" t="s">
        <v>2071</v>
      </c>
      <c r="K4" s="992">
        <f>Matrix!P8</f>
        <v>150</v>
      </c>
      <c r="M4" s="1281" t="s">
        <v>2950</v>
      </c>
      <c r="O4" s="973">
        <f>time_cap</f>
        <v>10</v>
      </c>
      <c r="Q4" s="1281" t="s">
        <v>2138</v>
      </c>
      <c r="S4" s="992">
        <f>SUM(Matrix!P50:P56)</f>
        <v>600</v>
      </c>
    </row>
    <row r="5" spans="2:19" x14ac:dyDescent="0.15">
      <c r="B5" s="1281" t="s">
        <v>1623</v>
      </c>
      <c r="C5" s="973" t="str">
        <f>clim_moist</f>
        <v>Warm Temperate Dry</v>
      </c>
      <c r="F5" s="1281"/>
      <c r="H5" s="3506" t="s">
        <v>2072</v>
      </c>
      <c r="K5" s="992">
        <f>Matrix!P9</f>
        <v>88</v>
      </c>
      <c r="M5" s="2163" t="s">
        <v>218</v>
      </c>
      <c r="N5" s="3464"/>
      <c r="O5" s="2163">
        <f>time_tot</f>
        <v>15</v>
      </c>
      <c r="Q5" s="1281" t="s">
        <v>2951</v>
      </c>
      <c r="S5" s="992">
        <f>MAX('Inl. wetlands'!C513,'Inl. wetlands'!D513,'Inl. wetlands'!F513)+MAX(SUM(Coastal!D115:D120),SUM(Coastal!E115:E120),SUM(Coastal!G115:G120))</f>
        <v>93</v>
      </c>
    </row>
    <row r="6" spans="2:19" x14ac:dyDescent="0.15">
      <c r="B6" s="2163" t="s">
        <v>2952</v>
      </c>
      <c r="C6" s="3464" t="str">
        <f>soil_full</f>
        <v xml:space="preserve">High activity clay soils </v>
      </c>
      <c r="D6" s="3464"/>
      <c r="F6" s="1281"/>
      <c r="H6" s="3506" t="s">
        <v>546</v>
      </c>
      <c r="K6" s="992">
        <f>Matrix!P10</f>
        <v>0</v>
      </c>
      <c r="Q6" s="3475" t="s">
        <v>2953</v>
      </c>
      <c r="R6" s="3466"/>
      <c r="S6" s="3490">
        <f>SUM(K3:K10)</f>
        <v>1416</v>
      </c>
    </row>
    <row r="7" spans="2:19" x14ac:dyDescent="0.15">
      <c r="F7" s="1281" t="s">
        <v>1396</v>
      </c>
      <c r="H7" s="3506"/>
      <c r="K7" s="992">
        <f>Matrix!P11</f>
        <v>450</v>
      </c>
    </row>
    <row r="8" spans="2:19" x14ac:dyDescent="0.15">
      <c r="F8" s="1281" t="s">
        <v>2074</v>
      </c>
      <c r="H8" s="3506" t="s">
        <v>2954</v>
      </c>
      <c r="K8" s="992">
        <f>Matrix!P12</f>
        <v>0</v>
      </c>
    </row>
    <row r="9" spans="2:19" x14ac:dyDescent="0.15">
      <c r="F9" s="1281"/>
      <c r="H9" s="3506" t="s">
        <v>2955</v>
      </c>
      <c r="K9" s="992">
        <f>Matrix!P13</f>
        <v>128</v>
      </c>
    </row>
    <row r="10" spans="2:19" x14ac:dyDescent="0.15">
      <c r="F10" s="2163" t="s">
        <v>2138</v>
      </c>
      <c r="G10" s="3464"/>
      <c r="H10" s="3507"/>
      <c r="I10" s="3464"/>
      <c r="J10" s="3464"/>
      <c r="K10" s="3465">
        <f>SUM(Matrix!P50:P56)</f>
        <v>600</v>
      </c>
    </row>
    <row r="13" spans="2:19" ht="18" x14ac:dyDescent="0.2">
      <c r="D13" s="1265" t="s">
        <v>3015</v>
      </c>
      <c r="E13" s="1265"/>
      <c r="F13" s="1257"/>
      <c r="H13" s="1265" t="s">
        <v>3016</v>
      </c>
      <c r="I13" s="1265"/>
      <c r="J13" s="1265"/>
    </row>
    <row r="14" spans="2:19" x14ac:dyDescent="0.15">
      <c r="D14" s="3537" t="s">
        <v>3017</v>
      </c>
      <c r="H14" s="3537" t="s">
        <v>3018</v>
      </c>
    </row>
    <row r="15" spans="2:19" x14ac:dyDescent="0.15">
      <c r="B15" s="1281" t="str">
        <f>BALANCE!B14</f>
        <v>COMPONENTS OF THE PROJECT</v>
      </c>
      <c r="D15" s="1576" t="s">
        <v>200</v>
      </c>
      <c r="E15" s="1576" t="s">
        <v>201</v>
      </c>
      <c r="H15" s="1576" t="s">
        <v>200</v>
      </c>
      <c r="I15" s="1576" t="s">
        <v>201</v>
      </c>
    </row>
    <row r="16" spans="2:19" x14ac:dyDescent="0.15">
      <c r="D16" s="1688"/>
      <c r="E16" s="1688"/>
    </row>
    <row r="17" spans="2:9" x14ac:dyDescent="0.15">
      <c r="B17" s="1115" t="s">
        <v>3019</v>
      </c>
      <c r="D17" s="1688"/>
      <c r="E17" s="1688"/>
    </row>
    <row r="18" spans="2:9" x14ac:dyDescent="0.15">
      <c r="B18" s="2953" t="s">
        <v>222</v>
      </c>
      <c r="D18" s="3468">
        <f>defo!S44</f>
        <v>0</v>
      </c>
      <c r="E18" s="3469">
        <f>defo!T44</f>
        <v>0</v>
      </c>
      <c r="F18" s="1246"/>
      <c r="G18" s="1246"/>
      <c r="H18" s="3468">
        <f t="shared" ref="H18:I20" si="0">IF(time_tot=0,0,D18/time_tot)</f>
        <v>0</v>
      </c>
      <c r="I18" s="3469">
        <f t="shared" si="0"/>
        <v>0</v>
      </c>
    </row>
    <row r="19" spans="2:9" x14ac:dyDescent="0.15">
      <c r="B19" s="2953" t="s">
        <v>303</v>
      </c>
      <c r="D19" s="3470">
        <f>affo!S46</f>
        <v>0</v>
      </c>
      <c r="E19" s="3479">
        <f>affo!T46</f>
        <v>0</v>
      </c>
      <c r="F19" s="1246"/>
      <c r="G19" s="1246"/>
      <c r="H19" s="3470">
        <f t="shared" si="0"/>
        <v>0</v>
      </c>
      <c r="I19" s="3479">
        <f t="shared" si="0"/>
        <v>0</v>
      </c>
    </row>
    <row r="20" spans="2:9" x14ac:dyDescent="0.15">
      <c r="B20" s="2953" t="s">
        <v>3020</v>
      </c>
      <c r="D20" s="3471">
        <f>luc!M52</f>
        <v>971.849999999999</v>
      </c>
      <c r="E20" s="3480">
        <f>luc!N52</f>
        <v>971.849999999999</v>
      </c>
      <c r="F20" s="1246"/>
      <c r="G20" s="1246"/>
      <c r="H20" s="3471">
        <f t="shared" si="0"/>
        <v>64.789999999999935</v>
      </c>
      <c r="I20" s="3480">
        <f t="shared" si="0"/>
        <v>64.789999999999935</v>
      </c>
    </row>
    <row r="21" spans="2:9" x14ac:dyDescent="0.15">
      <c r="B21" s="1115" t="s">
        <v>2949</v>
      </c>
      <c r="D21" s="992"/>
      <c r="E21" s="992"/>
      <c r="F21" s="1246"/>
      <c r="G21" s="1246"/>
      <c r="H21" s="992"/>
      <c r="I21" s="992"/>
    </row>
    <row r="22" spans="2:9" x14ac:dyDescent="0.15">
      <c r="B22" s="2953" t="s">
        <v>2071</v>
      </c>
      <c r="D22" s="3468">
        <f>annual!O49</f>
        <v>-1588.6168463577876</v>
      </c>
      <c r="E22" s="3469">
        <f>annual!P49</f>
        <v>-1588.6168463577876</v>
      </c>
      <c r="F22" s="1246"/>
      <c r="G22" s="1246"/>
      <c r="H22" s="3468">
        <f t="shared" ref="H22:I24" si="1">IF(time_tot=0,0,D22/time_tot)</f>
        <v>-105.90778975718584</v>
      </c>
      <c r="I22" s="3469">
        <f t="shared" si="1"/>
        <v>-105.90778975718584</v>
      </c>
    </row>
    <row r="23" spans="2:9" x14ac:dyDescent="0.15">
      <c r="B23" s="2953" t="s">
        <v>2072</v>
      </c>
      <c r="D23" s="3470">
        <f>perennial!P68</f>
        <v>-4818.8459733333339</v>
      </c>
      <c r="E23" s="3479">
        <f>perennial!Q68</f>
        <v>-5491.2704000000012</v>
      </c>
      <c r="F23" s="1246"/>
      <c r="G23" s="1246"/>
      <c r="H23" s="3470">
        <f t="shared" si="1"/>
        <v>-321.25639822222223</v>
      </c>
      <c r="I23" s="3479">
        <f t="shared" si="1"/>
        <v>-366.08469333333341</v>
      </c>
    </row>
    <row r="24" spans="2:9" x14ac:dyDescent="0.15">
      <c r="B24" s="2953" t="s">
        <v>546</v>
      </c>
      <c r="D24" s="3471">
        <f>rice!T45</f>
        <v>1538.0346240000003</v>
      </c>
      <c r="E24" s="3480">
        <f>rice!U45</f>
        <v>1538.0346240000003</v>
      </c>
      <c r="F24" s="1246"/>
      <c r="G24" s="1246"/>
      <c r="H24" s="3471">
        <f t="shared" si="1"/>
        <v>102.53564160000002</v>
      </c>
      <c r="I24" s="3480">
        <f t="shared" si="1"/>
        <v>102.53564160000002</v>
      </c>
    </row>
    <row r="25" spans="2:9" x14ac:dyDescent="0.15">
      <c r="B25" s="1115" t="s">
        <v>3021</v>
      </c>
      <c r="D25" s="992"/>
      <c r="E25" s="992"/>
      <c r="F25" s="1246"/>
      <c r="G25" s="1246"/>
      <c r="H25" s="992"/>
      <c r="I25" s="992"/>
    </row>
    <row r="26" spans="2:9" x14ac:dyDescent="0.15">
      <c r="B26" s="2953" t="s">
        <v>3022</v>
      </c>
      <c r="D26" s="3468">
        <f>grass!L44</f>
        <v>1650.0000000000014</v>
      </c>
      <c r="E26" s="3469">
        <f>grass!M44</f>
        <v>-824.99999999999943</v>
      </c>
      <c r="F26" s="1246"/>
      <c r="G26" s="1246"/>
      <c r="H26" s="3468">
        <f t="shared" ref="H26:I32" si="2">IF(time_tot=0,0,D26/time_tot)</f>
        <v>110.00000000000009</v>
      </c>
      <c r="I26" s="3469">
        <f t="shared" si="2"/>
        <v>-54.999999999999964</v>
      </c>
    </row>
    <row r="27" spans="2:9" x14ac:dyDescent="0.15">
      <c r="B27" s="2953" t="s">
        <v>2958</v>
      </c>
      <c r="D27" s="3470">
        <f ca="1">Livestock!AM11</f>
        <v>7757.7206978973209</v>
      </c>
      <c r="E27" s="3479">
        <f ca="1">Livestock!AN11</f>
        <v>6962.3811353973215</v>
      </c>
      <c r="F27" s="1246"/>
      <c r="G27" s="1246"/>
      <c r="H27" s="3470">
        <f t="shared" ca="1" si="2"/>
        <v>517.18137985982139</v>
      </c>
      <c r="I27" s="3479">
        <f t="shared" ca="1" si="2"/>
        <v>464.15874235982142</v>
      </c>
    </row>
    <row r="28" spans="2:9" x14ac:dyDescent="0.15">
      <c r="B28" s="1115" t="s">
        <v>3023</v>
      </c>
      <c r="D28" s="3470">
        <f>degradation!Q65</f>
        <v>0</v>
      </c>
      <c r="E28" s="3479">
        <f>degradation!R65</f>
        <v>0</v>
      </c>
      <c r="F28" s="1246"/>
      <c r="G28" s="1246"/>
      <c r="H28" s="3470">
        <f t="shared" si="2"/>
        <v>0</v>
      </c>
      <c r="I28" s="3479">
        <f t="shared" si="2"/>
        <v>0</v>
      </c>
    </row>
    <row r="29" spans="2:9" x14ac:dyDescent="0.15">
      <c r="B29" s="1115" t="s">
        <v>3024</v>
      </c>
      <c r="D29" s="3470">
        <f>'Inl. wetlands'!BL46+'Inl. wetlands'!BL145+'Inl. wetlands'!BL235+'Inl. wetlands'!BL350+'Inl. wetlands'!BL426+'Inl. wetlands'!BL484+'Inl. wetlands'!BK505</f>
        <v>7210359.1322619058</v>
      </c>
      <c r="E29" s="3479">
        <f>'Inl. wetlands'!BM46+'Inl. wetlands'!BM145+'Inl. wetlands'!BM235+'Inl. wetlands'!BM350+'Inl. wetlands'!BM426+'Inl. wetlands'!BM484+'Inl. wetlands'!BL505</f>
        <v>7327016.5904761907</v>
      </c>
      <c r="F29" s="1246"/>
      <c r="G29" s="1246"/>
      <c r="H29" s="3470">
        <f t="shared" si="2"/>
        <v>480690.60881746036</v>
      </c>
      <c r="I29" s="3479">
        <f t="shared" si="2"/>
        <v>488467.77269841271</v>
      </c>
    </row>
    <row r="30" spans="2:9" x14ac:dyDescent="0.15">
      <c r="B30" s="1115" t="s">
        <v>2121</v>
      </c>
      <c r="D30" s="3470">
        <f>Coastal!V10+Coastal!V33+Coastal!V69+Coastal!V118</f>
        <v>26323.408333333333</v>
      </c>
      <c r="E30" s="3479">
        <f>Coastal!W10+Coastal!W33+Coastal!W69+Coastal!W118</f>
        <v>29945.908333333333</v>
      </c>
      <c r="F30" s="1246"/>
      <c r="G30" s="1246"/>
      <c r="H30" s="3470">
        <f>IF(time_tot=0,0,D30/time_tot)</f>
        <v>1754.8938888888888</v>
      </c>
      <c r="I30" s="3479">
        <f t="shared" si="2"/>
        <v>1996.3938888888888</v>
      </c>
    </row>
    <row r="31" spans="2:9" x14ac:dyDescent="0.15">
      <c r="B31" s="1115" t="s">
        <v>3025</v>
      </c>
      <c r="D31" s="3471">
        <f>+'Fish and aqua'!AB58+'Fish and aqua'!V115</f>
        <v>46974.940567056728</v>
      </c>
      <c r="E31" s="3480">
        <f>+'Fish and aqua'!AC58+'Fish and aqua'!W115</f>
        <v>44620.677388195159</v>
      </c>
      <c r="F31" s="1246"/>
      <c r="G31" s="1246"/>
      <c r="H31" s="3470">
        <f>IF(time_tot=0,0,D31/time_tot)</f>
        <v>3131.6627044704487</v>
      </c>
      <c r="I31" s="3479">
        <f>IF(time_tot=0,0,E31/time_tot)</f>
        <v>2974.7118258796772</v>
      </c>
    </row>
    <row r="32" spans="2:9" x14ac:dyDescent="0.15">
      <c r="B32" s="1115" t="s">
        <v>3026</v>
      </c>
      <c r="D32" s="3471">
        <f>Inputs!O75+Inputs!O103+Inputs!O133+Inputs!O153</f>
        <v>417332.31050572946</v>
      </c>
      <c r="E32" s="3480">
        <f>Inputs!P75+Inputs!P103+Inputs!P133+Inputs!P153</f>
        <v>423760.39815542207</v>
      </c>
      <c r="F32" s="1246"/>
      <c r="G32" s="1246"/>
      <c r="H32" s="3471">
        <f t="shared" si="2"/>
        <v>27822.154033715298</v>
      </c>
      <c r="I32" s="3480">
        <f t="shared" si="2"/>
        <v>28250.693210361471</v>
      </c>
    </row>
    <row r="34" spans="2:9" x14ac:dyDescent="0.15">
      <c r="B34" s="1115" t="s">
        <v>2968</v>
      </c>
      <c r="D34" s="3491">
        <f ca="1">SUM(D18:D31)</f>
        <v>7289167.6236645021</v>
      </c>
      <c r="E34" s="3473">
        <f ca="1">SUM(E18:E31)</f>
        <v>7403150.5547107579</v>
      </c>
      <c r="F34" s="1246"/>
      <c r="H34" s="3491">
        <f ca="1">SUM(H18:H30)</f>
        <v>482812.84553982964</v>
      </c>
      <c r="I34" s="3473">
        <f ca="1">SUM(I18:I30)</f>
        <v>490568.65848817088</v>
      </c>
    </row>
    <row r="35" spans="2:9" x14ac:dyDescent="0.15">
      <c r="B35" s="1115" t="s">
        <v>3027</v>
      </c>
      <c r="D35" s="3139">
        <f ca="1">D34/$S$6</f>
        <v>5147.7172483506374</v>
      </c>
      <c r="E35" s="3140">
        <f ca="1">E34/$S$6</f>
        <v>5228.2136685810437</v>
      </c>
      <c r="H35" s="3139">
        <f ca="1">H34/$S$6</f>
        <v>340.96952368632037</v>
      </c>
      <c r="I35" s="3140">
        <f ca="1">I34/$S$6</f>
        <v>346.44679271763482</v>
      </c>
    </row>
  </sheetData>
  <pageMargins left="0.7" right="0.7" top="0.75" bottom="0.75" header="0.3" footer="0.3"/>
</worksheet>
</file>

<file path=xl/worksheets/sheet3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dimension ref="B2:Q120"/>
  <sheetViews>
    <sheetView topLeftCell="A70" workbookViewId="0">
      <selection activeCell="N87" sqref="N87"/>
    </sheetView>
  </sheetViews>
  <sheetFormatPr baseColWidth="10" defaultColWidth="9.33203125" defaultRowHeight="15" x14ac:dyDescent="0.2"/>
  <cols>
    <col min="1" max="1" width="9.33203125" style="284"/>
    <col min="2" max="2" width="35.6640625" style="284" customWidth="1"/>
    <col min="3" max="11" width="15.5" style="284" customWidth="1"/>
    <col min="12" max="12" width="9.33203125" style="284"/>
    <col min="13" max="15" width="15.5" style="284" customWidth="1"/>
    <col min="16" max="16384" width="9.33203125" style="284"/>
  </cols>
  <sheetData>
    <row r="2" spans="2:15" ht="17" x14ac:dyDescent="0.2">
      <c r="B2" s="3977" t="s">
        <v>3028</v>
      </c>
      <c r="D2" s="284" t="s">
        <v>3029</v>
      </c>
    </row>
    <row r="4" spans="2:15" ht="22" x14ac:dyDescent="0.25">
      <c r="B4" s="1771"/>
      <c r="C4" s="3141" t="s">
        <v>3015</v>
      </c>
      <c r="D4" s="2013"/>
      <c r="E4" s="2013"/>
      <c r="F4" s="2013"/>
      <c r="G4" s="3141" t="s">
        <v>3030</v>
      </c>
      <c r="H4" s="2013"/>
      <c r="I4" s="2013"/>
      <c r="J4" s="2013"/>
      <c r="K4" s="2013"/>
      <c r="L4" s="2013"/>
      <c r="M4" s="3141" t="s">
        <v>3031</v>
      </c>
      <c r="N4" s="2013"/>
      <c r="O4" s="1771"/>
    </row>
    <row r="5" spans="2:15" x14ac:dyDescent="0.2">
      <c r="B5" s="1969"/>
      <c r="C5" s="1969" t="s">
        <v>3032</v>
      </c>
      <c r="D5" s="1969"/>
      <c r="E5" s="1969"/>
      <c r="F5" s="1969"/>
      <c r="G5" s="1969" t="s">
        <v>3032</v>
      </c>
      <c r="H5" s="1969"/>
      <c r="I5" s="1969"/>
      <c r="J5" s="1969"/>
      <c r="K5" s="1969"/>
      <c r="L5" s="1969"/>
      <c r="M5" s="1969" t="s">
        <v>3033</v>
      </c>
      <c r="N5" s="1969"/>
      <c r="O5" s="1969"/>
    </row>
    <row r="6" spans="2:15" ht="35.75" customHeight="1" x14ac:dyDescent="0.2">
      <c r="B6" s="3557" t="s">
        <v>3034</v>
      </c>
      <c r="C6" s="3554" t="s">
        <v>200</v>
      </c>
      <c r="D6" s="3554" t="s">
        <v>201</v>
      </c>
      <c r="E6" s="3554" t="s">
        <v>324</v>
      </c>
      <c r="F6" s="1771"/>
      <c r="G6" s="3554" t="s">
        <v>1253</v>
      </c>
      <c r="H6" s="3554" t="s">
        <v>2998</v>
      </c>
      <c r="I6" s="3554" t="s">
        <v>177</v>
      </c>
      <c r="J6" s="3554" t="s">
        <v>176</v>
      </c>
      <c r="K6" s="3554" t="s">
        <v>2957</v>
      </c>
      <c r="L6" s="1771"/>
      <c r="M6" s="3554" t="s">
        <v>200</v>
      </c>
      <c r="N6" s="3554" t="s">
        <v>201</v>
      </c>
      <c r="O6" s="3554" t="s">
        <v>324</v>
      </c>
    </row>
    <row r="7" spans="2:15" ht="15.75" customHeight="1" x14ac:dyDescent="0.2">
      <c r="B7" s="3966" t="s">
        <v>222</v>
      </c>
      <c r="C7" s="3967">
        <f>'Gross results'!D18</f>
        <v>0</v>
      </c>
      <c r="D7" s="3967">
        <f>'Gross results'!E18</f>
        <v>0</v>
      </c>
      <c r="E7" s="3967">
        <f>D7-C7</f>
        <v>0</v>
      </c>
      <c r="F7" s="1969"/>
      <c r="G7" s="3967">
        <f>BALANCE!$F$17</f>
        <v>0</v>
      </c>
      <c r="H7" s="3967">
        <f>BALANCE!$G$17</f>
        <v>0</v>
      </c>
      <c r="I7" s="3967">
        <f>BALANCE!$I$17+BALANCE!J17</f>
        <v>0</v>
      </c>
      <c r="J7" s="3967">
        <f>BALANCE!$M$17</f>
        <v>0</v>
      </c>
      <c r="K7" s="3967"/>
      <c r="L7" s="1969"/>
      <c r="M7" s="3968">
        <f>'Gross results'!H18</f>
        <v>0</v>
      </c>
      <c r="N7" s="3968">
        <f>'Gross results'!I18</f>
        <v>0</v>
      </c>
      <c r="O7" s="3968">
        <f>N7-M7</f>
        <v>0</v>
      </c>
    </row>
    <row r="8" spans="2:15" x14ac:dyDescent="0.2">
      <c r="B8" s="3969" t="s">
        <v>303</v>
      </c>
      <c r="C8" s="3488">
        <f>'Gross results'!D19</f>
        <v>0</v>
      </c>
      <c r="D8" s="3488">
        <f>'Gross results'!E19</f>
        <v>0</v>
      </c>
      <c r="E8" s="4290">
        <f t="shared" ref="E8:E18" si="0">D8-C8</f>
        <v>0</v>
      </c>
      <c r="F8" s="1969"/>
      <c r="G8" s="4289">
        <f>BALANCE!$F$19</f>
        <v>0</v>
      </c>
      <c r="H8" s="3488">
        <f>BALANCE!$G$19</f>
        <v>0</v>
      </c>
      <c r="I8" s="3488">
        <f>BALANCE!$J$19</f>
        <v>0</v>
      </c>
      <c r="J8" s="3488">
        <f>BALANCE!$M$19</f>
        <v>0</v>
      </c>
      <c r="K8" s="4290"/>
      <c r="L8" s="1969"/>
      <c r="M8" s="3488">
        <f>'Gross results'!H19</f>
        <v>0</v>
      </c>
      <c r="N8" s="3488">
        <f>'Gross results'!I19</f>
        <v>0</v>
      </c>
      <c r="O8" s="3488">
        <f t="shared" ref="O8:O18" si="1">N8-M8</f>
        <v>0</v>
      </c>
    </row>
    <row r="9" spans="2:15" x14ac:dyDescent="0.2">
      <c r="B9" s="3970" t="s">
        <v>3035</v>
      </c>
      <c r="C9" s="3968">
        <f>'Gross results'!D20</f>
        <v>971.849999999999</v>
      </c>
      <c r="D9" s="3968">
        <f>'Gross results'!E20</f>
        <v>971.849999999999</v>
      </c>
      <c r="E9" s="3968">
        <f t="shared" si="0"/>
        <v>0</v>
      </c>
      <c r="F9" s="1969"/>
      <c r="G9" s="3968">
        <f>BALANCE!$F$20</f>
        <v>0</v>
      </c>
      <c r="H9" s="3968">
        <f>BALANCE!$G$20</f>
        <v>0</v>
      </c>
      <c r="I9" s="3968">
        <f>BALANCE!$I$20+BALANCE!$J$20</f>
        <v>0</v>
      </c>
      <c r="J9" s="3968">
        <f>BALANCE!$M$20</f>
        <v>0</v>
      </c>
      <c r="K9" s="3968"/>
      <c r="L9" s="1969"/>
      <c r="M9" s="3968">
        <f>'Gross results'!H20</f>
        <v>64.789999999999935</v>
      </c>
      <c r="N9" s="3968">
        <f>'Gross results'!I20</f>
        <v>64.789999999999935</v>
      </c>
      <c r="O9" s="3968">
        <f t="shared" si="1"/>
        <v>0</v>
      </c>
    </row>
    <row r="10" spans="2:15" ht="15.75" customHeight="1" x14ac:dyDescent="0.2">
      <c r="B10" s="3971" t="s">
        <v>2071</v>
      </c>
      <c r="C10" s="3972">
        <f>'Gross results'!D22</f>
        <v>-1588.6168463577876</v>
      </c>
      <c r="D10" s="3972">
        <f>'Gross results'!E22</f>
        <v>-1588.6168463577876</v>
      </c>
      <c r="E10" s="3972">
        <f t="shared" si="0"/>
        <v>0</v>
      </c>
      <c r="F10" s="1969"/>
      <c r="G10" s="3972">
        <f>BALANCE!$F$22</f>
        <v>0</v>
      </c>
      <c r="H10" s="3972">
        <f>BALANCE!$G$22</f>
        <v>0</v>
      </c>
      <c r="I10" s="3972">
        <f>BALANCE!$I$22+BALANCE!$J$22</f>
        <v>0</v>
      </c>
      <c r="J10" s="3972">
        <f>BALANCE!$M$22</f>
        <v>0</v>
      </c>
      <c r="K10" s="3972"/>
      <c r="L10" s="1969"/>
      <c r="M10" s="3972">
        <f>'Gross results'!H22</f>
        <v>-105.90778975718584</v>
      </c>
      <c r="N10" s="3972">
        <f>'Gross results'!I22</f>
        <v>-105.90778975718584</v>
      </c>
      <c r="O10" s="3972">
        <f t="shared" si="1"/>
        <v>0</v>
      </c>
    </row>
    <row r="11" spans="2:15" x14ac:dyDescent="0.2">
      <c r="B11" s="3970" t="s">
        <v>2072</v>
      </c>
      <c r="C11" s="3968">
        <f>'Gross results'!D23</f>
        <v>-4818.8459733333339</v>
      </c>
      <c r="D11" s="3968">
        <f>'Gross results'!E23</f>
        <v>-5491.2704000000012</v>
      </c>
      <c r="E11" s="3968">
        <f t="shared" si="0"/>
        <v>-672.42442666666739</v>
      </c>
      <c r="F11" s="1969"/>
      <c r="G11" s="3968">
        <f>BALANCE!$F$23</f>
        <v>-1774.666666666667</v>
      </c>
      <c r="H11" s="3968">
        <f>BALANCE!$G$23</f>
        <v>1102.2422399999998</v>
      </c>
      <c r="I11" s="3968">
        <f>BALANCE!$I$23+BALANCE!$J$23</f>
        <v>0</v>
      </c>
      <c r="J11" s="3968">
        <f>BALANCE!$M$23</f>
        <v>0</v>
      </c>
      <c r="K11" s="3968"/>
      <c r="L11" s="1969"/>
      <c r="M11" s="3968">
        <f>'Gross results'!H23</f>
        <v>-321.25639822222223</v>
      </c>
      <c r="N11" s="3968">
        <f>'Gross results'!I23</f>
        <v>-366.08469333333341</v>
      </c>
      <c r="O11" s="3968">
        <f t="shared" si="1"/>
        <v>-44.828295111111174</v>
      </c>
    </row>
    <row r="12" spans="2:15" x14ac:dyDescent="0.2">
      <c r="B12" s="3971" t="s">
        <v>1384</v>
      </c>
      <c r="C12" s="3972">
        <f>'Gross results'!D24</f>
        <v>1538.0346240000003</v>
      </c>
      <c r="D12" s="3972">
        <f>'Gross results'!E24</f>
        <v>1538.0346240000003</v>
      </c>
      <c r="E12" s="3972">
        <f t="shared" si="0"/>
        <v>0</v>
      </c>
      <c r="F12" s="1969"/>
      <c r="G12" s="3972">
        <f>BALANCE!$F$24</f>
        <v>0</v>
      </c>
      <c r="H12" s="3972">
        <f>BALANCE!$G$24</f>
        <v>0</v>
      </c>
      <c r="I12" s="3972">
        <f>BALANCE!$J$24</f>
        <v>0</v>
      </c>
      <c r="J12" s="3972">
        <f>BALANCE!$L$24+BALANCE!$M$24</f>
        <v>0</v>
      </c>
      <c r="K12" s="3972"/>
      <c r="L12" s="1969"/>
      <c r="M12" s="3972">
        <f>'Gross results'!H24</f>
        <v>102.53564160000002</v>
      </c>
      <c r="N12" s="3972">
        <f>'Gross results'!I24</f>
        <v>102.53564160000002</v>
      </c>
      <c r="O12" s="3972">
        <f t="shared" si="1"/>
        <v>0</v>
      </c>
    </row>
    <row r="13" spans="2:15" ht="15.75" customHeight="1" x14ac:dyDescent="0.2">
      <c r="B13" s="3970" t="s">
        <v>3022</v>
      </c>
      <c r="C13" s="3968">
        <f>'Gross results'!D26</f>
        <v>1650.0000000000014</v>
      </c>
      <c r="D13" s="3968">
        <f>'Gross results'!E26</f>
        <v>-824.99999999999943</v>
      </c>
      <c r="E13" s="3968">
        <f t="shared" si="0"/>
        <v>-2475.0000000000009</v>
      </c>
      <c r="F13" s="1969"/>
      <c r="G13" s="3968">
        <f>BALANCE!$F$25</f>
        <v>0</v>
      </c>
      <c r="H13" s="3968">
        <f>BALANCE!$G$25</f>
        <v>-2475.0000000000009</v>
      </c>
      <c r="I13" s="3968">
        <f>BALANCE!$J$25</f>
        <v>0</v>
      </c>
      <c r="J13" s="3968">
        <f>BALANCE!$M$25</f>
        <v>0</v>
      </c>
      <c r="K13" s="3968"/>
      <c r="L13" s="1969"/>
      <c r="M13" s="3968">
        <f>'Gross results'!H26</f>
        <v>110.00000000000009</v>
      </c>
      <c r="N13" s="3968">
        <f>'Gross results'!I26</f>
        <v>-54.999999999999964</v>
      </c>
      <c r="O13" s="3968">
        <f t="shared" si="1"/>
        <v>-165.00000000000006</v>
      </c>
    </row>
    <row r="14" spans="2:15" x14ac:dyDescent="0.2">
      <c r="B14" s="3973" t="s">
        <v>2958</v>
      </c>
      <c r="C14" s="3974">
        <f ca="1">'Gross results'!D27</f>
        <v>7757.7206978973209</v>
      </c>
      <c r="D14" s="3974">
        <f ca="1">'Gross results'!E27</f>
        <v>6962.3811353973215</v>
      </c>
      <c r="E14" s="3950">
        <f t="shared" ca="1" si="0"/>
        <v>-795.33956249999937</v>
      </c>
      <c r="F14" s="1969"/>
      <c r="G14" s="4289"/>
      <c r="H14" s="3488"/>
      <c r="I14" s="3488">
        <f ca="1">BALANCE!$K$26</f>
        <v>0</v>
      </c>
      <c r="J14" s="3488">
        <f ca="1">BALANCE!$N$26</f>
        <v>-795.33956250000028</v>
      </c>
      <c r="K14" s="4290"/>
      <c r="L14" s="1969"/>
      <c r="M14" s="3488">
        <f ca="1">'Gross results'!H27</f>
        <v>517.18137985982139</v>
      </c>
      <c r="N14" s="3488">
        <f ca="1">'Gross results'!I27</f>
        <v>464.15874235982142</v>
      </c>
      <c r="O14" s="3488">
        <f t="shared" ca="1" si="1"/>
        <v>-53.022637499999973</v>
      </c>
    </row>
    <row r="15" spans="2:15" x14ac:dyDescent="0.2">
      <c r="B15" s="3975" t="s">
        <v>3036</v>
      </c>
      <c r="C15" s="3968">
        <f>'Gross results'!D28</f>
        <v>0</v>
      </c>
      <c r="D15" s="3968">
        <f>'Gross results'!E28</f>
        <v>0</v>
      </c>
      <c r="E15" s="3968">
        <f t="shared" si="0"/>
        <v>0</v>
      </c>
      <c r="F15" s="1969"/>
      <c r="G15" s="3968">
        <f>BALANCE!$F$18</f>
        <v>0</v>
      </c>
      <c r="H15" s="3968">
        <f>BALANCE!$G$18</f>
        <v>0</v>
      </c>
      <c r="I15" s="3968">
        <f>BALANCE!$J$18</f>
        <v>0</v>
      </c>
      <c r="J15" s="3968">
        <f>BALANCE!$M$18</f>
        <v>0</v>
      </c>
      <c r="K15" s="3968"/>
      <c r="L15" s="1969"/>
      <c r="M15" s="3968">
        <f>'Gross results'!H28</f>
        <v>0</v>
      </c>
      <c r="N15" s="3968">
        <f>'Gross results'!I28</f>
        <v>0</v>
      </c>
      <c r="O15" s="3968">
        <f t="shared" si="1"/>
        <v>0</v>
      </c>
    </row>
    <row r="16" spans="2:15" x14ac:dyDescent="0.2">
      <c r="B16" s="1969" t="s">
        <v>3004</v>
      </c>
      <c r="C16" s="3488">
        <f>'Gross results'!D29</f>
        <v>7210359.1322619058</v>
      </c>
      <c r="D16" s="3488">
        <f>'Gross results'!E29</f>
        <v>7327016.5904761907</v>
      </c>
      <c r="E16" s="3488">
        <f t="shared" si="0"/>
        <v>116657.45821428485</v>
      </c>
      <c r="F16" s="1969"/>
      <c r="G16" s="4289">
        <f>BALANCE!$F$53</f>
        <v>0</v>
      </c>
      <c r="H16" s="3488">
        <f>BALANCE!$G$53</f>
        <v>112952.58333333302</v>
      </c>
      <c r="I16" s="3488">
        <f>BALANCE!$I$53+BALANCE!$J$53</f>
        <v>294.62321428571443</v>
      </c>
      <c r="J16" s="3488">
        <f>BALANCE!$L$53+BALANCE!$M$53+BALANCE!$L$29</f>
        <v>3227.5833333333317</v>
      </c>
      <c r="K16" s="4290"/>
      <c r="L16" s="1969"/>
      <c r="M16" s="3488">
        <f>'Gross results'!H29</f>
        <v>480690.60881746036</v>
      </c>
      <c r="N16" s="3488">
        <f>'Gross results'!I29</f>
        <v>488467.77269841271</v>
      </c>
      <c r="O16" s="3488">
        <f t="shared" si="1"/>
        <v>7777.1638809523429</v>
      </c>
    </row>
    <row r="17" spans="2:15" x14ac:dyDescent="0.2">
      <c r="B17" s="3975" t="s">
        <v>2121</v>
      </c>
      <c r="C17" s="3968">
        <f>'Gross results'!D30</f>
        <v>26323.408333333333</v>
      </c>
      <c r="D17" s="3968">
        <f>'Gross results'!E30</f>
        <v>29945.908333333333</v>
      </c>
      <c r="E17" s="3968">
        <f t="shared" si="0"/>
        <v>3622.5</v>
      </c>
      <c r="F17" s="1969"/>
      <c r="G17" s="3976">
        <f>BALANCE!$F$27</f>
        <v>0</v>
      </c>
      <c r="H17" s="3976">
        <f>BALANCE!$G$27</f>
        <v>0</v>
      </c>
      <c r="I17" s="3976"/>
      <c r="J17" s="3976">
        <f>BALANCE!$I$27+BALANCE!$L$27</f>
        <v>3622.5</v>
      </c>
      <c r="K17" s="3976">
        <f>BALANCE!$O$27</f>
        <v>0</v>
      </c>
      <c r="L17" s="1969"/>
      <c r="M17" s="3968">
        <f>'Gross results'!H30</f>
        <v>1754.8938888888888</v>
      </c>
      <c r="N17" s="3968">
        <f>'Gross results'!I30</f>
        <v>1996.3938888888888</v>
      </c>
      <c r="O17" s="3968">
        <f t="shared" si="1"/>
        <v>241.5</v>
      </c>
    </row>
    <row r="18" spans="2:15" x14ac:dyDescent="0.2">
      <c r="B18" s="1969" t="s">
        <v>3026</v>
      </c>
      <c r="C18" s="3488">
        <f>'Gross results'!D32</f>
        <v>417332.31050572946</v>
      </c>
      <c r="D18" s="3488">
        <f>'Gross results'!E32</f>
        <v>423760.39815542207</v>
      </c>
      <c r="E18" s="3488">
        <f t="shared" si="0"/>
        <v>6428.0876496926066</v>
      </c>
      <c r="F18" s="1969"/>
      <c r="G18" s="3972"/>
      <c r="H18" s="3972">
        <f>BALANCE!G59</f>
        <v>0</v>
      </c>
      <c r="I18" s="3972">
        <f>BALANCE!I59</f>
        <v>0</v>
      </c>
      <c r="J18" s="3972"/>
      <c r="K18" s="3972">
        <f>BALANCE!$O$59+BALANCE!$O$61+BALANCE!$O$62+BALANCE!$O$63</f>
        <v>6428.087649692573</v>
      </c>
      <c r="L18" s="1969"/>
      <c r="M18" s="3972">
        <f>'Gross results'!H32</f>
        <v>27822.154033715298</v>
      </c>
      <c r="N18" s="3972">
        <f>'Gross results'!I32</f>
        <v>28250.693210361471</v>
      </c>
      <c r="O18" s="3972">
        <f t="shared" si="1"/>
        <v>428.53917664617256</v>
      </c>
    </row>
    <row r="19" spans="2:15" x14ac:dyDescent="0.2">
      <c r="B19" s="1969"/>
      <c r="C19" s="1969"/>
      <c r="D19" s="1969"/>
      <c r="E19" s="1969"/>
      <c r="F19" s="1969"/>
      <c r="G19" s="1969"/>
      <c r="H19" s="1969"/>
      <c r="I19" s="1969"/>
      <c r="J19" s="1969"/>
      <c r="K19" s="1969"/>
      <c r="L19" s="1969"/>
      <c r="M19" s="1969"/>
      <c r="N19" s="1969"/>
      <c r="O19" s="1969"/>
    </row>
    <row r="20" spans="2:15" x14ac:dyDescent="0.2">
      <c r="B20" s="3958" t="s">
        <v>3037</v>
      </c>
      <c r="C20" s="3959">
        <f ca="1">SUM(C7:C18)</f>
        <v>7659524.9936031746</v>
      </c>
      <c r="D20" s="3959">
        <f ca="1">SUM(D7:D18)</f>
        <v>7782290.2754779849</v>
      </c>
      <c r="E20" s="3959">
        <f ca="1">SUM(E7:E18)</f>
        <v>122765.2818748108</v>
      </c>
      <c r="F20" s="1969"/>
      <c r="G20" s="3959">
        <f>SUM(G7:G18)</f>
        <v>-1774.666666666667</v>
      </c>
      <c r="H20" s="3959">
        <f>SUM(H7:H18)</f>
        <v>111579.82557333302</v>
      </c>
      <c r="I20" s="3959">
        <f ca="1">SUM(I7:I18)</f>
        <v>294.62321428571443</v>
      </c>
      <c r="J20" s="3959">
        <f ca="1">SUM(J7:J18)</f>
        <v>6054.7437708333309</v>
      </c>
      <c r="K20" s="3959">
        <f>SUM(K7:K18)</f>
        <v>6428.087649692573</v>
      </c>
      <c r="L20" s="1969"/>
      <c r="M20" s="3960">
        <f ca="1">SUM(M7:M18)</f>
        <v>510634.99957354495</v>
      </c>
      <c r="N20" s="3960">
        <f ca="1">SUM(N7:N18)</f>
        <v>518819.35169853235</v>
      </c>
      <c r="O20" s="3960">
        <f ca="1">SUM(O7:O18)</f>
        <v>8184.3521249874038</v>
      </c>
    </row>
    <row r="21" spans="2:15" x14ac:dyDescent="0.2">
      <c r="B21" s="3961" t="s">
        <v>3038</v>
      </c>
      <c r="C21" s="3962">
        <f ca="1">'10.Results'!D132</f>
        <v>5442.4434563349087</v>
      </c>
      <c r="D21" s="3962">
        <f ca="1">'10.Results'!E132</f>
        <v>5527.4794864874148</v>
      </c>
      <c r="E21" s="3962">
        <f ca="1">'10.Results'!F132</f>
        <v>85.036030152506513</v>
      </c>
      <c r="F21" s="1969"/>
      <c r="G21" s="3962">
        <f>'10.Results'!H132</f>
        <v>-1.2532956685499061</v>
      </c>
      <c r="H21" s="3962">
        <f>'10.Results'!I132</f>
        <v>78.799311845574167</v>
      </c>
      <c r="I21" s="3962">
        <f ca="1">'10.Results'!J132</f>
        <v>0.34474462772397113</v>
      </c>
      <c r="J21" s="3962">
        <f ca="1">'10.Results'!K132</f>
        <v>4.2759489907015045</v>
      </c>
      <c r="K21" s="3962">
        <f>'10.Results'!L132</f>
        <v>2.7403172967934841</v>
      </c>
      <c r="L21" s="1969"/>
      <c r="M21" s="3963"/>
      <c r="N21" s="3963"/>
      <c r="O21" s="3963"/>
    </row>
    <row r="22" spans="2:15" x14ac:dyDescent="0.2">
      <c r="B22" s="3958" t="s">
        <v>3039</v>
      </c>
      <c r="C22" s="3964">
        <f ca="1">C21/time_tot</f>
        <v>362.82956375566056</v>
      </c>
      <c r="D22" s="3964">
        <f ca="1">D21/time_tot</f>
        <v>368.49863243249433</v>
      </c>
      <c r="E22" s="3964">
        <f ca="1">E21/time_tot</f>
        <v>5.6690686768337679</v>
      </c>
      <c r="F22" s="1969"/>
      <c r="G22" s="3964">
        <f>G21/time_tot</f>
        <v>-8.355304456999374E-2</v>
      </c>
      <c r="H22" s="3964">
        <f>H21/time_tot</f>
        <v>5.253287456371611</v>
      </c>
      <c r="I22" s="3964">
        <f ca="1">I21/time_tot</f>
        <v>2.2982975181598076E-2</v>
      </c>
      <c r="J22" s="3964">
        <f ca="1">J21/time_tot</f>
        <v>0.28506326604676696</v>
      </c>
      <c r="K22" s="3964">
        <f>K21/time_tot</f>
        <v>0.18268781978623228</v>
      </c>
      <c r="L22" s="1969"/>
      <c r="M22" s="3965">
        <f ca="1">M20/'10.Results'!$K$107</f>
        <v>360.6179375519385</v>
      </c>
      <c r="N22" s="3965">
        <f ca="1">N20/'10.Results'!$K$107</f>
        <v>366.39784724472622</v>
      </c>
      <c r="O22" s="3965">
        <f ca="1">O20/'10.Results'!$K$107</f>
        <v>5.7799096927877143</v>
      </c>
    </row>
    <row r="23" spans="2:15" x14ac:dyDescent="0.2">
      <c r="B23" s="284" t="s">
        <v>3040</v>
      </c>
      <c r="C23" s="3493">
        <f ca="1">IF(C20&gt;0,C20,"")</f>
        <v>7659524.9936031746</v>
      </c>
      <c r="D23" s="3493">
        <f ca="1">IF(D20&gt;0,D20,"")</f>
        <v>7782290.2754779849</v>
      </c>
      <c r="E23" s="3493">
        <f ca="1">IF(E20&gt;0,E20,"")</f>
        <v>122765.2818748108</v>
      </c>
      <c r="G23" s="3493" t="str">
        <f>IF(G20&gt;0,G20,"")</f>
        <v/>
      </c>
      <c r="H23" s="3493">
        <f>IF(H20&gt;0,H20,"")</f>
        <v>111579.82557333302</v>
      </c>
      <c r="I23" s="3493">
        <f ca="1">IF(I20&gt;0,I20,"")</f>
        <v>294.62321428571443</v>
      </c>
      <c r="J23" s="3493">
        <f ca="1">IF(J20&gt;0,J20,"")</f>
        <v>6054.7437708333309</v>
      </c>
      <c r="K23" s="3493">
        <f>IF(K20&gt;0,K20,"")</f>
        <v>6428.087649692573</v>
      </c>
    </row>
    <row r="24" spans="2:15" x14ac:dyDescent="0.2">
      <c r="B24" s="284" t="s">
        <v>3041</v>
      </c>
      <c r="C24" s="682">
        <f ca="1">IF(C20&gt;0,-1.5,1.5)</f>
        <v>-1.5</v>
      </c>
      <c r="D24" s="682">
        <f ca="1">IF(D20&gt;0,-1.5,1.5)</f>
        <v>-1.5</v>
      </c>
      <c r="E24" s="682">
        <f ca="1">IF(E20&gt;0,-1.5,1.5)</f>
        <v>-1.5</v>
      </c>
      <c r="G24" s="682">
        <f>IF(G20&gt;0,-1.5,1.5)</f>
        <v>1.5</v>
      </c>
      <c r="H24" s="682">
        <f>IF(H20&gt;0,-1.5,1.5)</f>
        <v>-1.5</v>
      </c>
      <c r="I24" s="682">
        <f ca="1">IF(I20&gt;0,-1.5,1.5)</f>
        <v>-1.5</v>
      </c>
      <c r="J24" s="682">
        <f ca="1">IF(J20&gt;0,-1.5,1.5)</f>
        <v>-1.5</v>
      </c>
      <c r="K24" s="682">
        <f>IF(K20&gt;0,-1.5,1.5)</f>
        <v>-1.5</v>
      </c>
    </row>
    <row r="25" spans="2:15" x14ac:dyDescent="0.2">
      <c r="C25" s="682"/>
      <c r="D25" s="682"/>
      <c r="E25" s="682"/>
    </row>
    <row r="26" spans="2:15" x14ac:dyDescent="0.2">
      <c r="B26" s="3882" t="s">
        <v>3042</v>
      </c>
      <c r="C26" s="3882"/>
      <c r="D26" s="3882"/>
      <c r="E26" s="3882"/>
      <c r="F26" s="3882"/>
      <c r="G26" s="3882"/>
      <c r="H26" s="3882"/>
      <c r="I26" s="3882"/>
      <c r="J26" s="3882"/>
      <c r="K26" s="3882"/>
      <c r="L26" s="3882"/>
      <c r="M26" s="3882"/>
      <c r="N26" s="3882"/>
      <c r="O26" s="3882"/>
    </row>
    <row r="27" spans="2:15" ht="17" x14ac:dyDescent="0.25">
      <c r="G27" s="284" t="s">
        <v>3043</v>
      </c>
    </row>
    <row r="28" spans="2:15" ht="32" customHeight="1" x14ac:dyDescent="0.2">
      <c r="B28" s="3557" t="s">
        <v>324</v>
      </c>
      <c r="C28" s="3554" t="s">
        <v>3044</v>
      </c>
      <c r="D28" s="3554" t="s">
        <v>3045</v>
      </c>
      <c r="G28" s="3554" t="s">
        <v>3046</v>
      </c>
      <c r="H28" s="3554" t="s">
        <v>376</v>
      </c>
      <c r="I28" s="3554" t="s">
        <v>3047</v>
      </c>
      <c r="J28" s="3554" t="s">
        <v>2781</v>
      </c>
      <c r="K28" s="3618" t="s">
        <v>3048</v>
      </c>
      <c r="L28" s="3944"/>
      <c r="M28" s="3944"/>
      <c r="N28" s="3944"/>
    </row>
    <row r="29" spans="2:15" x14ac:dyDescent="0.2">
      <c r="B29" s="284" t="str">
        <f>IF(AND(C7=0,D7=0),"",B7)</f>
        <v/>
      </c>
      <c r="C29" s="3493" t="str">
        <f>IF(AND(C7=0,D7=0),"",E7)</f>
        <v/>
      </c>
      <c r="D29" s="682" t="str">
        <f t="shared" ref="D29:D40" si="2">IF(AND(C7=0,D7=0),"",RANK($C29,$C$29:$C$40,1))</f>
        <v/>
      </c>
      <c r="F29" s="284">
        <v>1</v>
      </c>
      <c r="G29" s="284" t="str">
        <f ca="1">IFERROR(INDEX($B$29:$B$40,MATCH(F29,$D$29:$D$40,0)),"")</f>
        <v xml:space="preserve">Grasslands </v>
      </c>
      <c r="H29" s="3493">
        <f t="shared" ref="H29:H40" ca="1" si="3">IFERROR(INDEX($B$7:$E$18,MATCH(G29,$B$7:$B$18,0),MATCH($E$6,$B$6:$E$6,0)),"")</f>
        <v>-2475.0000000000009</v>
      </c>
      <c r="I29" s="3493">
        <f ca="1">IF(G29&lt;&gt;"",IF(H29&gt;=0,H29,0),"")</f>
        <v>0</v>
      </c>
      <c r="J29" s="3493">
        <f ca="1">IF(G29&lt;&gt;"",IF(H29&lt;0,H29,0),"")</f>
        <v>-2475.0000000000009</v>
      </c>
      <c r="K29" s="682">
        <f t="shared" ref="K29:K40" ca="1" si="4">IF(G29&lt;&gt;"",IF(H29&lt;0,1,-1),"")</f>
        <v>1</v>
      </c>
      <c r="L29" s="3493"/>
      <c r="M29" s="682"/>
      <c r="N29" s="3493"/>
    </row>
    <row r="30" spans="2:15" x14ac:dyDescent="0.2">
      <c r="B30" s="284" t="str">
        <f t="shared" ref="B30:B39" si="5">IF(AND(C8=0,D8=0),"",B8)</f>
        <v/>
      </c>
      <c r="C30" s="3493" t="str">
        <f t="shared" ref="C30:C40" si="6">IF(AND(C8=0,D8=0),"",E8)</f>
        <v/>
      </c>
      <c r="D30" s="682" t="str">
        <f t="shared" si="2"/>
        <v/>
      </c>
      <c r="F30" s="284">
        <v>2</v>
      </c>
      <c r="G30" s="284" t="str">
        <f t="shared" ref="G30:G40" ca="1" si="7">IFERROR(INDEX($B$29:$B$40,MATCH(F30,$D$29:$D$40,0)),"")</f>
        <v>Livestock</v>
      </c>
      <c r="H30" s="3493">
        <f t="shared" ca="1" si="3"/>
        <v>-795.33956249999937</v>
      </c>
      <c r="I30" s="3493">
        <f t="shared" ref="I30:I40" ca="1" si="8">IF(G30&lt;&gt;"",IF(H30&gt;=0,H30,0),"")</f>
        <v>0</v>
      </c>
      <c r="J30" s="3493">
        <f t="shared" ref="J30:J40" ca="1" si="9">IF(G30&lt;&gt;"",IF(H30&lt;0,H30,0),"")</f>
        <v>-795.33956249999937</v>
      </c>
      <c r="K30" s="682">
        <f t="shared" ca="1" si="4"/>
        <v>1</v>
      </c>
      <c r="L30" s="3493"/>
      <c r="M30" s="682"/>
      <c r="N30" s="3493"/>
    </row>
    <row r="31" spans="2:15" x14ac:dyDescent="0.2">
      <c r="B31" s="284" t="str">
        <f t="shared" si="5"/>
        <v xml:space="preserve">Other land-use </v>
      </c>
      <c r="C31" s="3493">
        <f t="shared" si="6"/>
        <v>0</v>
      </c>
      <c r="D31" s="682">
        <f t="shared" ca="1" si="2"/>
        <v>4</v>
      </c>
      <c r="F31" s="284">
        <v>3</v>
      </c>
      <c r="G31" s="284" t="str">
        <f t="shared" ca="1" si="7"/>
        <v>Perennial</v>
      </c>
      <c r="H31" s="3493">
        <f t="shared" ca="1" si="3"/>
        <v>-672.42442666666739</v>
      </c>
      <c r="I31" s="3493">
        <f t="shared" ca="1" si="8"/>
        <v>0</v>
      </c>
      <c r="J31" s="3493">
        <f t="shared" ca="1" si="9"/>
        <v>-672.42442666666739</v>
      </c>
      <c r="K31" s="682">
        <f t="shared" ca="1" si="4"/>
        <v>1</v>
      </c>
      <c r="L31" s="3493"/>
      <c r="M31" s="682"/>
      <c r="N31" s="3493"/>
    </row>
    <row r="32" spans="2:15" x14ac:dyDescent="0.2">
      <c r="B32" s="284" t="str">
        <f>IF(AND(C10=0,D10=0),"",B10)</f>
        <v>Annual</v>
      </c>
      <c r="C32" s="3493">
        <f t="shared" si="6"/>
        <v>0</v>
      </c>
      <c r="D32" s="682">
        <f t="shared" ca="1" si="2"/>
        <v>4</v>
      </c>
      <c r="F32" s="284">
        <v>4</v>
      </c>
      <c r="G32" s="284" t="str">
        <f t="shared" ca="1" si="7"/>
        <v xml:space="preserve">Other land-use </v>
      </c>
      <c r="H32" s="3493">
        <f t="shared" ca="1" si="3"/>
        <v>0</v>
      </c>
      <c r="I32" s="3493">
        <f t="shared" ca="1" si="8"/>
        <v>0</v>
      </c>
      <c r="J32" s="3493">
        <f t="shared" ca="1" si="9"/>
        <v>0</v>
      </c>
      <c r="K32" s="682">
        <f t="shared" ca="1" si="4"/>
        <v>-1</v>
      </c>
      <c r="L32" s="3493"/>
      <c r="M32" s="682"/>
      <c r="N32" s="3493"/>
    </row>
    <row r="33" spans="2:14" x14ac:dyDescent="0.2">
      <c r="B33" s="284" t="str">
        <f t="shared" si="5"/>
        <v>Perennial</v>
      </c>
      <c r="C33" s="3493">
        <f t="shared" si="6"/>
        <v>-672.42442666666739</v>
      </c>
      <c r="D33" s="682">
        <f t="shared" ca="1" si="2"/>
        <v>3</v>
      </c>
      <c r="F33" s="284">
        <v>5</v>
      </c>
      <c r="G33" s="284" t="str">
        <f t="shared" ca="1" si="7"/>
        <v/>
      </c>
      <c r="H33" s="3493" t="str">
        <f t="shared" ca="1" si="3"/>
        <v/>
      </c>
      <c r="I33" s="3493" t="str">
        <f t="shared" ca="1" si="8"/>
        <v/>
      </c>
      <c r="J33" s="3493" t="str">
        <f t="shared" ca="1" si="9"/>
        <v/>
      </c>
      <c r="K33" s="682" t="str">
        <f t="shared" ca="1" si="4"/>
        <v/>
      </c>
      <c r="L33" s="3493"/>
      <c r="M33" s="682"/>
      <c r="N33" s="3493"/>
    </row>
    <row r="34" spans="2:14" x14ac:dyDescent="0.2">
      <c r="B34" s="284" t="str">
        <f>IF(AND(C12=0,D12=0),"",B12)</f>
        <v>Flooded rice</v>
      </c>
      <c r="C34" s="3493">
        <f t="shared" si="6"/>
        <v>0</v>
      </c>
      <c r="D34" s="682">
        <f t="shared" ca="1" si="2"/>
        <v>4</v>
      </c>
      <c r="F34" s="284">
        <v>6</v>
      </c>
      <c r="G34" s="284" t="str">
        <f t="shared" ca="1" si="7"/>
        <v/>
      </c>
      <c r="H34" s="3493" t="str">
        <f t="shared" ca="1" si="3"/>
        <v/>
      </c>
      <c r="I34" s="3493" t="str">
        <f t="shared" ca="1" si="8"/>
        <v/>
      </c>
      <c r="J34" s="3493" t="str">
        <f t="shared" ca="1" si="9"/>
        <v/>
      </c>
      <c r="K34" s="682" t="str">
        <f t="shared" ca="1" si="4"/>
        <v/>
      </c>
      <c r="L34" s="3493"/>
      <c r="M34" s="682"/>
      <c r="N34" s="3493"/>
    </row>
    <row r="35" spans="2:14" x14ac:dyDescent="0.2">
      <c r="B35" s="284" t="str">
        <f t="shared" si="5"/>
        <v xml:space="preserve">Grasslands </v>
      </c>
      <c r="C35" s="3493">
        <f t="shared" si="6"/>
        <v>-2475.0000000000009</v>
      </c>
      <c r="D35" s="682">
        <f t="shared" ca="1" si="2"/>
        <v>1</v>
      </c>
      <c r="F35" s="284">
        <v>7</v>
      </c>
      <c r="G35" s="284" t="str">
        <f t="shared" ca="1" si="7"/>
        <v>Coastal wetlands</v>
      </c>
      <c r="H35" s="3493">
        <f t="shared" ca="1" si="3"/>
        <v>3622.5</v>
      </c>
      <c r="I35" s="3493">
        <f t="shared" ca="1" si="8"/>
        <v>3622.5</v>
      </c>
      <c r="J35" s="3493">
        <f t="shared" ca="1" si="9"/>
        <v>0</v>
      </c>
      <c r="K35" s="682">
        <f t="shared" ca="1" si="4"/>
        <v>-1</v>
      </c>
      <c r="L35" s="3493"/>
      <c r="M35" s="682"/>
      <c r="N35" s="3493"/>
    </row>
    <row r="36" spans="2:14" x14ac:dyDescent="0.2">
      <c r="B36" s="284" t="str">
        <f t="shared" ca="1" si="5"/>
        <v>Livestock</v>
      </c>
      <c r="C36" s="3493">
        <f t="shared" ca="1" si="6"/>
        <v>-795.33956249999937</v>
      </c>
      <c r="D36" s="682">
        <f t="shared" ca="1" si="2"/>
        <v>2</v>
      </c>
      <c r="F36" s="284">
        <v>8</v>
      </c>
      <c r="G36" s="284" t="str">
        <f t="shared" ca="1" si="7"/>
        <v>Inputs &amp; Investments</v>
      </c>
      <c r="H36" s="3493">
        <f t="shared" ca="1" si="3"/>
        <v>6428.0876496926066</v>
      </c>
      <c r="I36" s="3493">
        <f t="shared" ca="1" si="8"/>
        <v>6428.0876496926066</v>
      </c>
      <c r="J36" s="3493">
        <f t="shared" ca="1" si="9"/>
        <v>0</v>
      </c>
      <c r="K36" s="682">
        <f t="shared" ca="1" si="4"/>
        <v>-1</v>
      </c>
      <c r="L36" s="3493"/>
      <c r="M36" s="682"/>
      <c r="N36" s="3493"/>
    </row>
    <row r="37" spans="2:14" x14ac:dyDescent="0.2">
      <c r="B37" s="284" t="str">
        <f t="shared" si="5"/>
        <v/>
      </c>
      <c r="C37" s="3493" t="str">
        <f t="shared" si="6"/>
        <v/>
      </c>
      <c r="D37" s="682" t="str">
        <f t="shared" si="2"/>
        <v/>
      </c>
      <c r="F37" s="284">
        <v>9</v>
      </c>
      <c r="G37" s="284" t="str">
        <f t="shared" ca="1" si="7"/>
        <v>Inland wetlands</v>
      </c>
      <c r="H37" s="3493">
        <f t="shared" ca="1" si="3"/>
        <v>116657.45821428485</v>
      </c>
      <c r="I37" s="3493">
        <f t="shared" ca="1" si="8"/>
        <v>116657.45821428485</v>
      </c>
      <c r="J37" s="3493">
        <f t="shared" ca="1" si="9"/>
        <v>0</v>
      </c>
      <c r="K37" s="682">
        <f t="shared" ca="1" si="4"/>
        <v>-1</v>
      </c>
      <c r="L37" s="3493"/>
      <c r="M37" s="682"/>
      <c r="N37" s="3493"/>
    </row>
    <row r="38" spans="2:14" x14ac:dyDescent="0.2">
      <c r="B38" s="284" t="str">
        <f t="shared" si="5"/>
        <v>Inland wetlands</v>
      </c>
      <c r="C38" s="3493">
        <f t="shared" si="6"/>
        <v>116657.45821428485</v>
      </c>
      <c r="D38" s="682">
        <f t="shared" ca="1" si="2"/>
        <v>9</v>
      </c>
      <c r="F38" s="284">
        <v>10</v>
      </c>
      <c r="G38" s="284" t="str">
        <f t="shared" ca="1" si="7"/>
        <v/>
      </c>
      <c r="H38" s="3493" t="str">
        <f t="shared" ca="1" si="3"/>
        <v/>
      </c>
      <c r="I38" s="3493" t="str">
        <f t="shared" ca="1" si="8"/>
        <v/>
      </c>
      <c r="J38" s="3493" t="str">
        <f t="shared" ca="1" si="9"/>
        <v/>
      </c>
      <c r="K38" s="682" t="str">
        <f t="shared" ca="1" si="4"/>
        <v/>
      </c>
      <c r="L38" s="3493"/>
      <c r="M38" s="682"/>
      <c r="N38" s="3493"/>
    </row>
    <row r="39" spans="2:14" x14ac:dyDescent="0.2">
      <c r="B39" s="284" t="str">
        <f t="shared" si="5"/>
        <v>Coastal wetlands</v>
      </c>
      <c r="C39" s="3493">
        <f t="shared" si="6"/>
        <v>3622.5</v>
      </c>
      <c r="D39" s="682">
        <f t="shared" ca="1" si="2"/>
        <v>7</v>
      </c>
      <c r="F39" s="284">
        <v>11</v>
      </c>
      <c r="G39" s="284" t="str">
        <f t="shared" ca="1" si="7"/>
        <v/>
      </c>
      <c r="H39" s="3493" t="str">
        <f t="shared" ca="1" si="3"/>
        <v/>
      </c>
      <c r="I39" s="3493" t="str">
        <f t="shared" ca="1" si="8"/>
        <v/>
      </c>
      <c r="J39" s="3493" t="str">
        <f t="shared" ca="1" si="9"/>
        <v/>
      </c>
      <c r="K39" s="682" t="str">
        <f t="shared" ca="1" si="4"/>
        <v/>
      </c>
      <c r="L39" s="3493"/>
      <c r="M39" s="682"/>
      <c r="N39" s="3493"/>
    </row>
    <row r="40" spans="2:14" x14ac:dyDescent="0.2">
      <c r="B40" s="284" t="str">
        <f>IF(AND(C18=0,D18=0),"",B18)</f>
        <v>Inputs &amp; Investments</v>
      </c>
      <c r="C40" s="3493">
        <f t="shared" si="6"/>
        <v>6428.0876496926066</v>
      </c>
      <c r="D40" s="682">
        <f t="shared" ca="1" si="2"/>
        <v>8</v>
      </c>
      <c r="F40" s="284">
        <v>12</v>
      </c>
      <c r="G40" s="284" t="str">
        <f t="shared" ca="1" si="7"/>
        <v/>
      </c>
      <c r="H40" s="3493" t="str">
        <f t="shared" ca="1" si="3"/>
        <v/>
      </c>
      <c r="I40" s="3493" t="str">
        <f t="shared" ca="1" si="8"/>
        <v/>
      </c>
      <c r="J40" s="3493" t="str">
        <f t="shared" ca="1" si="9"/>
        <v/>
      </c>
      <c r="K40" s="682" t="str">
        <f t="shared" ca="1" si="4"/>
        <v/>
      </c>
      <c r="L40" s="3493"/>
      <c r="M40" s="682"/>
      <c r="N40" s="3493"/>
    </row>
    <row r="41" spans="2:14" x14ac:dyDescent="0.2">
      <c r="C41" s="682"/>
      <c r="D41" s="682"/>
      <c r="M41" s="682" t="str">
        <f>IF(J41&lt;&gt;"",IF(K41&lt;0,1,-1),"")</f>
        <v/>
      </c>
    </row>
    <row r="42" spans="2:14" x14ac:dyDescent="0.2">
      <c r="C42" s="682"/>
      <c r="D42" s="682"/>
      <c r="G42" s="284" t="s">
        <v>3049</v>
      </c>
    </row>
    <row r="43" spans="2:14" ht="32" customHeight="1" x14ac:dyDescent="0.2">
      <c r="B43" s="3557" t="s">
        <v>200</v>
      </c>
      <c r="C43" s="3554" t="s">
        <v>3050</v>
      </c>
      <c r="D43" s="3554" t="s">
        <v>3045</v>
      </c>
      <c r="G43" s="3554" t="s">
        <v>3046</v>
      </c>
      <c r="H43" s="3554" t="s">
        <v>200</v>
      </c>
      <c r="I43" s="3554" t="s">
        <v>3047</v>
      </c>
      <c r="J43" s="3554" t="s">
        <v>2781</v>
      </c>
      <c r="K43" s="3554" t="s">
        <v>3048</v>
      </c>
    </row>
    <row r="44" spans="2:14" x14ac:dyDescent="0.2">
      <c r="B44" s="284" t="str">
        <f>IF(AND(C7=0,D7=0),"",B7)</f>
        <v/>
      </c>
      <c r="C44" s="3493" t="str">
        <f>IF((C7=0),"",C7)</f>
        <v/>
      </c>
      <c r="D44" s="682" t="str">
        <f>IF(C7=0,"",RANK($C44,$C$44:$C$55,1))</f>
        <v/>
      </c>
      <c r="F44" s="284">
        <v>1</v>
      </c>
      <c r="G44" s="284" t="str">
        <f ca="1">IFERROR(INDEX($B$44:$B$55,MATCH(F44,$D$44:$D$55,0)),"")</f>
        <v>Perennial</v>
      </c>
      <c r="H44" s="3493">
        <f ca="1">IFERROR(INDEX($B$7:$E$18,MATCH(G44,$B$7:$B$18,0),MATCH($C$6,$B$6:$E$6,0)),"")</f>
        <v>-4818.8459733333339</v>
      </c>
      <c r="I44" s="3493">
        <f ca="1">IF(G44&lt;&gt;"",IF(H44&gt;=0,H44,0),"")</f>
        <v>0</v>
      </c>
      <c r="J44" s="3493">
        <f ca="1">IF(G44&lt;&gt;"",IF(H44&lt;0,H44,0),"")</f>
        <v>-4818.8459733333339</v>
      </c>
      <c r="K44" s="682">
        <f ca="1">IF(G44&lt;&gt;"",IF(H44&lt;0,1,-1),"")</f>
        <v>1</v>
      </c>
    </row>
    <row r="45" spans="2:14" x14ac:dyDescent="0.2">
      <c r="B45" s="284" t="str">
        <f t="shared" ref="B45:B55" si="10">IF(AND(C8=0,D8=0),"",B8)</f>
        <v/>
      </c>
      <c r="C45" s="3493" t="str">
        <f t="shared" ref="C45:C55" si="11">IF((C8=0),"",C8)</f>
        <v/>
      </c>
      <c r="D45" s="682" t="str">
        <f t="shared" ref="D45:D55" si="12">IF(C8=0,"",RANK($C45,$C$44:$C$55,1))</f>
        <v/>
      </c>
      <c r="F45" s="284">
        <v>2</v>
      </c>
      <c r="G45" s="284" t="str">
        <f ca="1">IFERROR(INDEX($B$44:$B$55,MATCH(F45,$D$44:$D$55,0)),"")</f>
        <v>Annual</v>
      </c>
      <c r="H45" s="3493">
        <f t="shared" ref="H45:H55" ca="1" si="13">IFERROR(INDEX($B$7:$E$18,MATCH(G45,$B$7:$B$18,0),MATCH($C$6,$B$6:$E$6,0)),"")</f>
        <v>-1588.6168463577876</v>
      </c>
      <c r="I45" s="3493">
        <f t="shared" ref="I45:I55" ca="1" si="14">IF(G45&lt;&gt;"",IF(H45&gt;=0,H45,0),"")</f>
        <v>0</v>
      </c>
      <c r="J45" s="3493">
        <f t="shared" ref="J45:J55" ca="1" si="15">IF(G45&lt;&gt;"",IF(H45&lt;0,H45,0),"")</f>
        <v>-1588.6168463577876</v>
      </c>
      <c r="K45" s="682">
        <f t="shared" ref="K45:K55" ca="1" si="16">IF(G45&lt;&gt;"",IF(H45&lt;0,1,-1),"")</f>
        <v>1</v>
      </c>
    </row>
    <row r="46" spans="2:14" x14ac:dyDescent="0.2">
      <c r="B46" s="284" t="str">
        <f t="shared" si="10"/>
        <v xml:space="preserve">Other land-use </v>
      </c>
      <c r="C46" s="3493">
        <f t="shared" si="11"/>
        <v>971.849999999999</v>
      </c>
      <c r="D46" s="682">
        <f t="shared" ca="1" si="12"/>
        <v>3</v>
      </c>
      <c r="F46" s="284">
        <v>3</v>
      </c>
      <c r="G46" s="284" t="str">
        <f ca="1">IFERROR(INDEX($B$44:$B$55,MATCH(F46,$D$44:$D$55,0)),"")</f>
        <v xml:space="preserve">Other land-use </v>
      </c>
      <c r="H46" s="3493">
        <f t="shared" ca="1" si="13"/>
        <v>971.849999999999</v>
      </c>
      <c r="I46" s="3493">
        <f t="shared" ca="1" si="14"/>
        <v>971.849999999999</v>
      </c>
      <c r="J46" s="3493">
        <f t="shared" ca="1" si="15"/>
        <v>0</v>
      </c>
      <c r="K46" s="682">
        <f t="shared" ca="1" si="16"/>
        <v>-1</v>
      </c>
    </row>
    <row r="47" spans="2:14" x14ac:dyDescent="0.2">
      <c r="B47" s="284" t="str">
        <f t="shared" si="10"/>
        <v>Annual</v>
      </c>
      <c r="C47" s="3493">
        <f t="shared" si="11"/>
        <v>-1588.6168463577876</v>
      </c>
      <c r="D47" s="682">
        <f t="shared" ca="1" si="12"/>
        <v>2</v>
      </c>
      <c r="F47" s="284">
        <v>4</v>
      </c>
      <c r="G47" s="284" t="str">
        <f t="shared" ref="G47:G55" ca="1" si="17">IFERROR(INDEX($B$44:$B$55,MATCH(F47,$D$44:$D$55,0)),"")</f>
        <v>Flooded rice</v>
      </c>
      <c r="H47" s="3493">
        <f t="shared" ca="1" si="13"/>
        <v>1538.0346240000003</v>
      </c>
      <c r="I47" s="3493">
        <f t="shared" ca="1" si="14"/>
        <v>1538.0346240000003</v>
      </c>
      <c r="J47" s="3493">
        <f t="shared" ca="1" si="15"/>
        <v>0</v>
      </c>
      <c r="K47" s="682">
        <f t="shared" ca="1" si="16"/>
        <v>-1</v>
      </c>
    </row>
    <row r="48" spans="2:14" x14ac:dyDescent="0.2">
      <c r="B48" s="284" t="str">
        <f t="shared" si="10"/>
        <v>Perennial</v>
      </c>
      <c r="C48" s="3493">
        <f t="shared" si="11"/>
        <v>-4818.8459733333339</v>
      </c>
      <c r="D48" s="682">
        <f t="shared" ca="1" si="12"/>
        <v>1</v>
      </c>
      <c r="F48" s="284">
        <v>5</v>
      </c>
      <c r="G48" s="284" t="str">
        <f t="shared" ca="1" si="17"/>
        <v xml:space="preserve">Grasslands </v>
      </c>
      <c r="H48" s="3493">
        <f t="shared" ca="1" si="13"/>
        <v>1650.0000000000014</v>
      </c>
      <c r="I48" s="3493">
        <f t="shared" ca="1" si="14"/>
        <v>1650.0000000000014</v>
      </c>
      <c r="J48" s="3493">
        <f t="shared" ca="1" si="15"/>
        <v>0</v>
      </c>
      <c r="K48" s="682">
        <f t="shared" ca="1" si="16"/>
        <v>-1</v>
      </c>
    </row>
    <row r="49" spans="2:11" x14ac:dyDescent="0.2">
      <c r="B49" s="284" t="str">
        <f t="shared" si="10"/>
        <v>Flooded rice</v>
      </c>
      <c r="C49" s="3493">
        <f t="shared" si="11"/>
        <v>1538.0346240000003</v>
      </c>
      <c r="D49" s="682">
        <f t="shared" ca="1" si="12"/>
        <v>4</v>
      </c>
      <c r="F49" s="284">
        <v>6</v>
      </c>
      <c r="G49" s="284" t="str">
        <f t="shared" ca="1" si="17"/>
        <v>Livestock</v>
      </c>
      <c r="H49" s="3493">
        <f t="shared" ca="1" si="13"/>
        <v>7757.7206978973209</v>
      </c>
      <c r="I49" s="3493">
        <f t="shared" ca="1" si="14"/>
        <v>7757.7206978973209</v>
      </c>
      <c r="J49" s="3493">
        <f t="shared" ca="1" si="15"/>
        <v>0</v>
      </c>
      <c r="K49" s="682">
        <f t="shared" ca="1" si="16"/>
        <v>-1</v>
      </c>
    </row>
    <row r="50" spans="2:11" x14ac:dyDescent="0.2">
      <c r="B50" s="284" t="str">
        <f t="shared" si="10"/>
        <v xml:space="preserve">Grasslands </v>
      </c>
      <c r="C50" s="3493">
        <f t="shared" si="11"/>
        <v>1650.0000000000014</v>
      </c>
      <c r="D50" s="682">
        <f t="shared" ca="1" si="12"/>
        <v>5</v>
      </c>
      <c r="F50" s="284">
        <v>7</v>
      </c>
      <c r="G50" s="284" t="str">
        <f t="shared" ca="1" si="17"/>
        <v>Coastal wetlands</v>
      </c>
      <c r="H50" s="3493">
        <f t="shared" ca="1" si="13"/>
        <v>26323.408333333333</v>
      </c>
      <c r="I50" s="3493">
        <f t="shared" ca="1" si="14"/>
        <v>26323.408333333333</v>
      </c>
      <c r="J50" s="3493">
        <f t="shared" ca="1" si="15"/>
        <v>0</v>
      </c>
      <c r="K50" s="682">
        <f t="shared" ca="1" si="16"/>
        <v>-1</v>
      </c>
    </row>
    <row r="51" spans="2:11" x14ac:dyDescent="0.2">
      <c r="B51" s="284" t="str">
        <f t="shared" ca="1" si="10"/>
        <v>Livestock</v>
      </c>
      <c r="C51" s="3493">
        <f t="shared" ca="1" si="11"/>
        <v>7757.7206978973209</v>
      </c>
      <c r="D51" s="682">
        <f t="shared" ca="1" si="12"/>
        <v>6</v>
      </c>
      <c r="F51" s="284">
        <v>8</v>
      </c>
      <c r="G51" s="284" t="str">
        <f t="shared" ca="1" si="17"/>
        <v>Inputs &amp; Investments</v>
      </c>
      <c r="H51" s="3493">
        <f t="shared" ca="1" si="13"/>
        <v>417332.31050572946</v>
      </c>
      <c r="I51" s="3493">
        <f t="shared" ca="1" si="14"/>
        <v>417332.31050572946</v>
      </c>
      <c r="J51" s="3493">
        <f t="shared" ca="1" si="15"/>
        <v>0</v>
      </c>
      <c r="K51" s="682">
        <f t="shared" ca="1" si="16"/>
        <v>-1</v>
      </c>
    </row>
    <row r="52" spans="2:11" x14ac:dyDescent="0.2">
      <c r="B52" s="284" t="str">
        <f t="shared" si="10"/>
        <v/>
      </c>
      <c r="C52" s="3493" t="str">
        <f t="shared" si="11"/>
        <v/>
      </c>
      <c r="D52" s="682" t="str">
        <f t="shared" si="12"/>
        <v/>
      </c>
      <c r="F52" s="284">
        <v>9</v>
      </c>
      <c r="G52" s="284" t="str">
        <f t="shared" ca="1" si="17"/>
        <v>Inland wetlands</v>
      </c>
      <c r="H52" s="3493">
        <f t="shared" ca="1" si="13"/>
        <v>7210359.1322619058</v>
      </c>
      <c r="I52" s="3493">
        <f t="shared" ca="1" si="14"/>
        <v>7210359.1322619058</v>
      </c>
      <c r="J52" s="3493">
        <f t="shared" ca="1" si="15"/>
        <v>0</v>
      </c>
      <c r="K52" s="682">
        <f t="shared" ca="1" si="16"/>
        <v>-1</v>
      </c>
    </row>
    <row r="53" spans="2:11" x14ac:dyDescent="0.2">
      <c r="B53" s="284" t="str">
        <f t="shared" si="10"/>
        <v>Inland wetlands</v>
      </c>
      <c r="C53" s="3493">
        <f t="shared" si="11"/>
        <v>7210359.1322619058</v>
      </c>
      <c r="D53" s="682">
        <f t="shared" ca="1" si="12"/>
        <v>9</v>
      </c>
      <c r="F53" s="284">
        <v>10</v>
      </c>
      <c r="G53" s="284" t="str">
        <f t="shared" ca="1" si="17"/>
        <v/>
      </c>
      <c r="H53" s="3493" t="str">
        <f t="shared" ca="1" si="13"/>
        <v/>
      </c>
      <c r="I53" s="3493" t="str">
        <f t="shared" ca="1" si="14"/>
        <v/>
      </c>
      <c r="J53" s="3493" t="str">
        <f t="shared" ca="1" si="15"/>
        <v/>
      </c>
      <c r="K53" s="682" t="str">
        <f t="shared" ca="1" si="16"/>
        <v/>
      </c>
    </row>
    <row r="54" spans="2:11" x14ac:dyDescent="0.2">
      <c r="B54" s="284" t="str">
        <f t="shared" si="10"/>
        <v>Coastal wetlands</v>
      </c>
      <c r="C54" s="3493">
        <f t="shared" si="11"/>
        <v>26323.408333333333</v>
      </c>
      <c r="D54" s="682">
        <f t="shared" ca="1" si="12"/>
        <v>7</v>
      </c>
      <c r="F54" s="284">
        <v>11</v>
      </c>
      <c r="G54" s="284" t="str">
        <f t="shared" ca="1" si="17"/>
        <v/>
      </c>
      <c r="H54" s="3493" t="str">
        <f t="shared" ca="1" si="13"/>
        <v/>
      </c>
      <c r="I54" s="3493" t="str">
        <f t="shared" ca="1" si="14"/>
        <v/>
      </c>
      <c r="J54" s="3493" t="str">
        <f t="shared" ca="1" si="15"/>
        <v/>
      </c>
      <c r="K54" s="682" t="str">
        <f t="shared" ca="1" si="16"/>
        <v/>
      </c>
    </row>
    <row r="55" spans="2:11" x14ac:dyDescent="0.2">
      <c r="B55" s="284" t="str">
        <f t="shared" si="10"/>
        <v>Inputs &amp; Investments</v>
      </c>
      <c r="C55" s="3493">
        <f t="shared" si="11"/>
        <v>417332.31050572946</v>
      </c>
      <c r="D55" s="682">
        <f t="shared" ca="1" si="12"/>
        <v>8</v>
      </c>
      <c r="F55" s="284">
        <v>12</v>
      </c>
      <c r="G55" s="284" t="str">
        <f t="shared" ca="1" si="17"/>
        <v/>
      </c>
      <c r="H55" s="3493" t="str">
        <f t="shared" ca="1" si="13"/>
        <v/>
      </c>
      <c r="I55" s="3493" t="str">
        <f t="shared" ca="1" si="14"/>
        <v/>
      </c>
      <c r="J55" s="3493" t="str">
        <f t="shared" ca="1" si="15"/>
        <v/>
      </c>
      <c r="K55" s="682" t="str">
        <f t="shared" ca="1" si="16"/>
        <v/>
      </c>
    </row>
    <row r="56" spans="2:11" x14ac:dyDescent="0.2">
      <c r="C56" s="3493"/>
      <c r="D56" s="682"/>
    </row>
    <row r="57" spans="2:11" x14ac:dyDescent="0.2">
      <c r="D57" s="682"/>
      <c r="G57" s="284" t="s">
        <v>3049</v>
      </c>
    </row>
    <row r="58" spans="2:11" ht="32" customHeight="1" x14ac:dyDescent="0.2">
      <c r="B58" s="3557" t="s">
        <v>201</v>
      </c>
      <c r="C58" s="3554" t="s">
        <v>3050</v>
      </c>
      <c r="D58" s="3554" t="s">
        <v>3045</v>
      </c>
      <c r="G58" s="3554" t="s">
        <v>3046</v>
      </c>
      <c r="H58" s="3554" t="str">
        <f>B58</f>
        <v>WITH</v>
      </c>
      <c r="I58" s="3554" t="s">
        <v>3047</v>
      </c>
      <c r="J58" s="3554" t="s">
        <v>2781</v>
      </c>
      <c r="K58" s="3554" t="s">
        <v>3048</v>
      </c>
    </row>
    <row r="59" spans="2:11" x14ac:dyDescent="0.2">
      <c r="B59" s="284" t="str">
        <f>IF(AND(C7=0,D7=0),"",B7)</f>
        <v/>
      </c>
      <c r="C59" s="3493" t="str">
        <f>IF(D7=0,"",D7)</f>
        <v/>
      </c>
      <c r="D59" s="682" t="str">
        <f>IF(D7=0,"",RANK($C59,$C$59:$C$70,1))</f>
        <v/>
      </c>
      <c r="E59" s="284" t="s">
        <v>3051</v>
      </c>
      <c r="F59" s="284">
        <v>1</v>
      </c>
      <c r="G59" s="284" t="str">
        <f ca="1">IFERROR(INDEX($B$59:$B$70,MATCH(F59,$D$59:$D$70,0)),"")</f>
        <v>Perennial</v>
      </c>
      <c r="H59" s="3493">
        <f ca="1">IFERROR(INDEX($B$7:$E$18,MATCH(G59,$B$7:$B$18,0),MATCH($D$6,$B$6:$E$6,0)),"")</f>
        <v>-5491.2704000000012</v>
      </c>
      <c r="I59" s="3493">
        <f ca="1">IF(G59&lt;&gt;"",IF(H59&gt;=0,H59,0),"")</f>
        <v>0</v>
      </c>
      <c r="J59" s="3493">
        <f ca="1">IF(G59&lt;&gt;"",IF(H59&lt;0,H59,0),"")</f>
        <v>-5491.2704000000012</v>
      </c>
      <c r="K59" s="682">
        <f ca="1">IF(G59&lt;&gt;"",IF(H59&lt;0,1,-1),"")</f>
        <v>1</v>
      </c>
    </row>
    <row r="60" spans="2:11" x14ac:dyDescent="0.2">
      <c r="B60" s="284" t="str">
        <f t="shared" ref="B60:B70" si="18">IF(AND(C8=0,D8=0),"",B8)</f>
        <v/>
      </c>
      <c r="C60" s="3493" t="str">
        <f t="shared" ref="C60:C70" si="19">IF(D8=0,"",D8)</f>
        <v/>
      </c>
      <c r="D60" s="682" t="str">
        <f t="shared" ref="D60:D70" si="20">IF(D8=0,"",RANK($C60,$C$59:$C$70,1))</f>
        <v/>
      </c>
      <c r="E60" s="284" t="s">
        <v>3051</v>
      </c>
      <c r="F60" s="284">
        <v>2</v>
      </c>
      <c r="G60" s="284" t="str">
        <f ca="1">IFERROR(INDEX($B$59:$B$70,MATCH(F60,$D$59:$D$70,0)),"")</f>
        <v>Annual</v>
      </c>
      <c r="H60" s="3493">
        <f t="shared" ref="H60:H70" ca="1" si="21">IFERROR(INDEX($B$7:$E$18,MATCH(G60,$B$7:$B$18,0),MATCH($D$6,$B$6:$E$6,0)),"")</f>
        <v>-1588.6168463577876</v>
      </c>
      <c r="I60" s="3493">
        <f t="shared" ref="I60:I70" ca="1" si="22">IF(G60&lt;&gt;"",IF(H60&gt;=0,H60,0),"")</f>
        <v>0</v>
      </c>
      <c r="J60" s="3493">
        <f t="shared" ref="J60:J70" ca="1" si="23">IF(G60&lt;&gt;"",IF(H60&lt;0,H60,0),"")</f>
        <v>-1588.6168463577876</v>
      </c>
      <c r="K60" s="682">
        <f t="shared" ref="K60:K70" ca="1" si="24">IF(G60&lt;&gt;"",IF(H60&lt;0,1,-1),"")</f>
        <v>1</v>
      </c>
    </row>
    <row r="61" spans="2:11" x14ac:dyDescent="0.2">
      <c r="B61" s="284" t="str">
        <f>IF(AND(C9=0,D9=0),"",B9)</f>
        <v xml:space="preserve">Other land-use </v>
      </c>
      <c r="C61" s="3493">
        <f t="shared" si="19"/>
        <v>971.849999999999</v>
      </c>
      <c r="D61" s="682">
        <f t="shared" ca="1" si="20"/>
        <v>4</v>
      </c>
      <c r="E61" s="284" t="s">
        <v>3051</v>
      </c>
      <c r="F61" s="284">
        <v>3</v>
      </c>
      <c r="G61" s="284" t="str">
        <f t="shared" ref="G61:G70" ca="1" si="25">IFERROR(INDEX($B$59:$B$70,MATCH(F61,$D$59:$D$70,0)),"")</f>
        <v xml:space="preserve">Grasslands </v>
      </c>
      <c r="H61" s="3493">
        <f t="shared" ca="1" si="21"/>
        <v>-824.99999999999943</v>
      </c>
      <c r="I61" s="3493">
        <f t="shared" ca="1" si="22"/>
        <v>0</v>
      </c>
      <c r="J61" s="3493">
        <f t="shared" ca="1" si="23"/>
        <v>-824.99999999999943</v>
      </c>
      <c r="K61" s="682">
        <f t="shared" ca="1" si="24"/>
        <v>1</v>
      </c>
    </row>
    <row r="62" spans="2:11" x14ac:dyDescent="0.2">
      <c r="B62" s="284" t="str">
        <f t="shared" si="18"/>
        <v>Annual</v>
      </c>
      <c r="C62" s="3493">
        <f t="shared" si="19"/>
        <v>-1588.6168463577876</v>
      </c>
      <c r="D62" s="682">
        <f t="shared" ca="1" si="20"/>
        <v>2</v>
      </c>
      <c r="E62" s="284" t="s">
        <v>3051</v>
      </c>
      <c r="F62" s="284">
        <v>4</v>
      </c>
      <c r="G62" s="284" t="str">
        <f t="shared" ca="1" si="25"/>
        <v xml:space="preserve">Other land-use </v>
      </c>
      <c r="H62" s="3493">
        <f t="shared" ca="1" si="21"/>
        <v>971.849999999999</v>
      </c>
      <c r="I62" s="3493">
        <f t="shared" ca="1" si="22"/>
        <v>971.849999999999</v>
      </c>
      <c r="J62" s="3493">
        <f t="shared" ca="1" si="23"/>
        <v>0</v>
      </c>
      <c r="K62" s="682">
        <f t="shared" ca="1" si="24"/>
        <v>-1</v>
      </c>
    </row>
    <row r="63" spans="2:11" x14ac:dyDescent="0.2">
      <c r="B63" s="284" t="str">
        <f t="shared" si="18"/>
        <v>Perennial</v>
      </c>
      <c r="C63" s="3493">
        <f t="shared" si="19"/>
        <v>-5491.2704000000012</v>
      </c>
      <c r="D63" s="682">
        <f t="shared" ca="1" si="20"/>
        <v>1</v>
      </c>
      <c r="E63" s="284" t="s">
        <v>3051</v>
      </c>
      <c r="F63" s="284">
        <v>5</v>
      </c>
      <c r="G63" s="284" t="str">
        <f t="shared" ca="1" si="25"/>
        <v>Flooded rice</v>
      </c>
      <c r="H63" s="3493">
        <f t="shared" ca="1" si="21"/>
        <v>1538.0346240000003</v>
      </c>
      <c r="I63" s="3493">
        <f t="shared" ca="1" si="22"/>
        <v>1538.0346240000003</v>
      </c>
      <c r="J63" s="3493">
        <f t="shared" ca="1" si="23"/>
        <v>0</v>
      </c>
      <c r="K63" s="682">
        <f t="shared" ca="1" si="24"/>
        <v>-1</v>
      </c>
    </row>
    <row r="64" spans="2:11" x14ac:dyDescent="0.2">
      <c r="B64" s="284" t="str">
        <f t="shared" si="18"/>
        <v>Flooded rice</v>
      </c>
      <c r="C64" s="3493">
        <f t="shared" si="19"/>
        <v>1538.0346240000003</v>
      </c>
      <c r="D64" s="682">
        <f t="shared" ca="1" si="20"/>
        <v>5</v>
      </c>
      <c r="E64" s="284" t="s">
        <v>3051</v>
      </c>
      <c r="F64" s="284">
        <v>6</v>
      </c>
      <c r="G64" s="284" t="str">
        <f t="shared" ca="1" si="25"/>
        <v>Livestock</v>
      </c>
      <c r="H64" s="3493">
        <f t="shared" ca="1" si="21"/>
        <v>6962.3811353973215</v>
      </c>
      <c r="I64" s="3493">
        <f t="shared" ca="1" si="22"/>
        <v>6962.3811353973215</v>
      </c>
      <c r="J64" s="3493">
        <f t="shared" ca="1" si="23"/>
        <v>0</v>
      </c>
      <c r="K64" s="682">
        <f t="shared" ca="1" si="24"/>
        <v>-1</v>
      </c>
    </row>
    <row r="65" spans="2:17" x14ac:dyDescent="0.2">
      <c r="B65" s="284" t="str">
        <f t="shared" si="18"/>
        <v xml:space="preserve">Grasslands </v>
      </c>
      <c r="C65" s="3493">
        <f t="shared" si="19"/>
        <v>-824.99999999999943</v>
      </c>
      <c r="D65" s="682">
        <f t="shared" ca="1" si="20"/>
        <v>3</v>
      </c>
      <c r="F65" s="284">
        <v>7</v>
      </c>
      <c r="G65" s="284" t="str">
        <f t="shared" ca="1" si="25"/>
        <v>Coastal wetlands</v>
      </c>
      <c r="H65" s="3493">
        <f t="shared" ca="1" si="21"/>
        <v>29945.908333333333</v>
      </c>
      <c r="I65" s="3493">
        <f t="shared" ca="1" si="22"/>
        <v>29945.908333333333</v>
      </c>
      <c r="J65" s="3493">
        <f t="shared" ca="1" si="23"/>
        <v>0</v>
      </c>
      <c r="K65" s="682">
        <f t="shared" ca="1" si="24"/>
        <v>-1</v>
      </c>
    </row>
    <row r="66" spans="2:17" x14ac:dyDescent="0.2">
      <c r="B66" s="284" t="str">
        <f t="shared" ca="1" si="18"/>
        <v>Livestock</v>
      </c>
      <c r="C66" s="3493">
        <f t="shared" ca="1" si="19"/>
        <v>6962.3811353973215</v>
      </c>
      <c r="D66" s="682">
        <f t="shared" ca="1" si="20"/>
        <v>6</v>
      </c>
      <c r="F66" s="284">
        <v>8</v>
      </c>
      <c r="G66" s="284" t="str">
        <f t="shared" ca="1" si="25"/>
        <v>Inputs &amp; Investments</v>
      </c>
      <c r="H66" s="3493">
        <f t="shared" ca="1" si="21"/>
        <v>423760.39815542207</v>
      </c>
      <c r="I66" s="3493">
        <f t="shared" ca="1" si="22"/>
        <v>423760.39815542207</v>
      </c>
      <c r="J66" s="3493">
        <f t="shared" ca="1" si="23"/>
        <v>0</v>
      </c>
      <c r="K66" s="682">
        <f t="shared" ca="1" si="24"/>
        <v>-1</v>
      </c>
    </row>
    <row r="67" spans="2:17" x14ac:dyDescent="0.2">
      <c r="B67" s="284" t="str">
        <f t="shared" si="18"/>
        <v/>
      </c>
      <c r="C67" s="3493" t="str">
        <f t="shared" si="19"/>
        <v/>
      </c>
      <c r="D67" s="682" t="str">
        <f t="shared" si="20"/>
        <v/>
      </c>
      <c r="F67" s="284">
        <v>9</v>
      </c>
      <c r="G67" s="284" t="str">
        <f t="shared" ca="1" si="25"/>
        <v>Inland wetlands</v>
      </c>
      <c r="H67" s="3493">
        <f t="shared" ca="1" si="21"/>
        <v>7327016.5904761907</v>
      </c>
      <c r="I67" s="3493">
        <f t="shared" ca="1" si="22"/>
        <v>7327016.5904761907</v>
      </c>
      <c r="J67" s="3493">
        <f t="shared" ca="1" si="23"/>
        <v>0</v>
      </c>
      <c r="K67" s="682">
        <f t="shared" ca="1" si="24"/>
        <v>-1</v>
      </c>
    </row>
    <row r="68" spans="2:17" x14ac:dyDescent="0.2">
      <c r="B68" s="284" t="str">
        <f t="shared" si="18"/>
        <v>Inland wetlands</v>
      </c>
      <c r="C68" s="3493">
        <f t="shared" si="19"/>
        <v>7327016.5904761907</v>
      </c>
      <c r="D68" s="682">
        <f t="shared" ca="1" si="20"/>
        <v>9</v>
      </c>
      <c r="F68" s="284">
        <v>10</v>
      </c>
      <c r="G68" s="284" t="str">
        <f t="shared" ca="1" si="25"/>
        <v/>
      </c>
      <c r="H68" s="3493" t="str">
        <f t="shared" ca="1" si="21"/>
        <v/>
      </c>
      <c r="I68" s="3493" t="str">
        <f t="shared" ca="1" si="22"/>
        <v/>
      </c>
      <c r="J68" s="3493" t="str">
        <f t="shared" ca="1" si="23"/>
        <v/>
      </c>
      <c r="K68" s="682" t="str">
        <f t="shared" ca="1" si="24"/>
        <v/>
      </c>
    </row>
    <row r="69" spans="2:17" x14ac:dyDescent="0.2">
      <c r="B69" s="284" t="str">
        <f t="shared" si="18"/>
        <v>Coastal wetlands</v>
      </c>
      <c r="C69" s="3493">
        <f t="shared" si="19"/>
        <v>29945.908333333333</v>
      </c>
      <c r="D69" s="682">
        <f t="shared" ca="1" si="20"/>
        <v>7</v>
      </c>
      <c r="F69" s="284">
        <v>11</v>
      </c>
      <c r="G69" s="284" t="str">
        <f ca="1">IFERROR(INDEX($B$59:$B$70,MATCH(F69,$D$59:$D$70,0)),"")</f>
        <v/>
      </c>
      <c r="H69" s="3493" t="str">
        <f t="shared" ca="1" si="21"/>
        <v/>
      </c>
      <c r="I69" s="3493" t="str">
        <f t="shared" ca="1" si="22"/>
        <v/>
      </c>
      <c r="J69" s="3493" t="str">
        <f t="shared" ca="1" si="23"/>
        <v/>
      </c>
      <c r="K69" s="682" t="str">
        <f t="shared" ca="1" si="24"/>
        <v/>
      </c>
    </row>
    <row r="70" spans="2:17" x14ac:dyDescent="0.2">
      <c r="B70" s="284" t="str">
        <f t="shared" si="18"/>
        <v>Inputs &amp; Investments</v>
      </c>
      <c r="C70" s="3493">
        <f t="shared" si="19"/>
        <v>423760.39815542207</v>
      </c>
      <c r="D70" s="682">
        <f t="shared" ca="1" si="20"/>
        <v>8</v>
      </c>
      <c r="F70" s="284">
        <v>12</v>
      </c>
      <c r="G70" s="284" t="str">
        <f t="shared" ca="1" si="25"/>
        <v/>
      </c>
      <c r="H70" s="3493" t="str">
        <f t="shared" ca="1" si="21"/>
        <v/>
      </c>
      <c r="I70" s="3493" t="str">
        <f t="shared" ca="1" si="22"/>
        <v/>
      </c>
      <c r="J70" s="3493" t="str">
        <f t="shared" ca="1" si="23"/>
        <v/>
      </c>
      <c r="K70" s="682" t="str">
        <f t="shared" ca="1" si="24"/>
        <v/>
      </c>
    </row>
    <row r="71" spans="2:17" x14ac:dyDescent="0.2">
      <c r="B71" s="284" t="str">
        <f>IF(AND(C19=0,D19=0),"",B19)</f>
        <v/>
      </c>
      <c r="C71" s="3493"/>
    </row>
    <row r="74" spans="2:17" s="1771" customFormat="1" ht="57.75" customHeight="1" x14ac:dyDescent="0.2">
      <c r="B74" s="4609" t="s">
        <v>3052</v>
      </c>
      <c r="C74" s="4609"/>
      <c r="D74" s="4609"/>
      <c r="E74" s="4609"/>
      <c r="F74" s="4609"/>
      <c r="G74" s="4609"/>
      <c r="H74" s="4609"/>
      <c r="I74" s="4609"/>
      <c r="J74" s="4609"/>
      <c r="K74" s="4609"/>
      <c r="L74" s="4609"/>
      <c r="M74" s="4609"/>
      <c r="N74" s="4609"/>
      <c r="O74" s="4609"/>
      <c r="P74" s="4609"/>
      <c r="Q74" s="3948"/>
    </row>
    <row r="75" spans="2:17" s="1771" customFormat="1" ht="14" x14ac:dyDescent="0.2"/>
    <row r="76" spans="2:17" s="1771" customFormat="1" ht="14" x14ac:dyDescent="0.2"/>
    <row r="77" spans="2:17" s="1965" customFormat="1" ht="34.5" customHeight="1" x14ac:dyDescent="0.2">
      <c r="D77" s="3890" t="s">
        <v>3015</v>
      </c>
      <c r="E77" s="3989"/>
      <c r="F77" s="3989"/>
      <c r="G77" s="3989"/>
      <c r="H77" s="3890" t="s">
        <v>3030</v>
      </c>
      <c r="I77" s="3989"/>
      <c r="J77" s="3989"/>
      <c r="K77" s="3989"/>
      <c r="L77" s="3989"/>
      <c r="M77" s="3989"/>
      <c r="N77" s="3890" t="s">
        <v>3031</v>
      </c>
      <c r="O77" s="3989"/>
      <c r="P77" s="3989"/>
    </row>
    <row r="78" spans="2:17" s="1969" customFormat="1" ht="14" x14ac:dyDescent="0.2">
      <c r="D78" s="3889" t="s">
        <v>3053</v>
      </c>
      <c r="E78" s="3889"/>
      <c r="F78" s="3889"/>
      <c r="G78" s="3889"/>
      <c r="H78" s="3889" t="s">
        <v>3053</v>
      </c>
      <c r="I78" s="3889"/>
      <c r="J78" s="3889"/>
      <c r="K78" s="3889"/>
      <c r="L78" s="3889"/>
      <c r="M78" s="3889"/>
      <c r="N78" s="3889" t="s">
        <v>3054</v>
      </c>
      <c r="O78" s="3889"/>
      <c r="P78" s="3889"/>
    </row>
    <row r="79" spans="2:17" s="3489" customFormat="1" ht="36.75" customHeight="1" x14ac:dyDescent="0.2">
      <c r="B79" s="4634" t="s">
        <v>3034</v>
      </c>
      <c r="C79" s="4635"/>
      <c r="D79" s="3988" t="s">
        <v>200</v>
      </c>
      <c r="E79" s="3988" t="s">
        <v>201</v>
      </c>
      <c r="F79" s="3988" t="s">
        <v>324</v>
      </c>
      <c r="G79" s="3902"/>
      <c r="H79" s="3988" t="s">
        <v>3055</v>
      </c>
      <c r="I79" s="3988" t="s">
        <v>3056</v>
      </c>
      <c r="J79" s="3988" t="s">
        <v>3057</v>
      </c>
      <c r="K79" s="3988" t="s">
        <v>3058</v>
      </c>
      <c r="L79" s="3988" t="s">
        <v>1094</v>
      </c>
      <c r="M79" s="3902"/>
      <c r="N79" s="3988" t="s">
        <v>200</v>
      </c>
      <c r="O79" s="3988" t="s">
        <v>201</v>
      </c>
      <c r="P79" s="3988" t="s">
        <v>324</v>
      </c>
    </row>
    <row r="80" spans="2:17" s="1771" customFormat="1" ht="22.25" customHeight="1" x14ac:dyDescent="0.2">
      <c r="B80" s="1965" t="str">
        <f>'10.Results'!B180</f>
        <v>Deforestation</v>
      </c>
      <c r="C80" s="1965"/>
      <c r="D80" s="3886">
        <f>'10.Results'!D180</f>
        <v>19241.491666666669</v>
      </c>
      <c r="E80" s="3886">
        <f>'10.Results'!E180</f>
        <v>25418.908333333336</v>
      </c>
      <c r="F80" s="3886">
        <f>'10.Results'!F180</f>
        <v>6177.4166666666661</v>
      </c>
      <c r="G80" s="3887">
        <f t="shared" ref="G80:G85" si="26">IF(AND(D80=0,E80=0),0,1)</f>
        <v>1</v>
      </c>
      <c r="H80" s="3886">
        <f>'10.Results'!H180</f>
        <v>0</v>
      </c>
      <c r="I80" s="3886">
        <f>'10.Results'!I180</f>
        <v>2667.5000000000009</v>
      </c>
      <c r="J80" s="3886">
        <f>'10.Results'!J180</f>
        <v>291.50000000000011</v>
      </c>
      <c r="K80" s="3886">
        <f>'10.Results'!K180</f>
        <v>3227.5833333333317</v>
      </c>
      <c r="L80" s="3886">
        <f>'10.Results'!L180</f>
        <v>0</v>
      </c>
      <c r="M80" s="1965"/>
      <c r="N80" s="3886">
        <f>'10.Results'!N180</f>
        <v>1282.7661111111113</v>
      </c>
      <c r="O80" s="3886">
        <f>'10.Results'!O180</f>
        <v>1694.5938888888891</v>
      </c>
      <c r="P80" s="3886">
        <f>'10.Results'!P180</f>
        <v>411.82777777777773</v>
      </c>
    </row>
    <row r="81" spans="2:16" s="1771" customFormat="1" ht="22.25" customHeight="1" x14ac:dyDescent="0.2">
      <c r="B81" s="1965" t="str">
        <f>'10.Results'!B181</f>
        <v>Forest mngt.</v>
      </c>
      <c r="C81" s="1965"/>
      <c r="D81" s="3886">
        <f>'10.Results'!D181</f>
        <v>0</v>
      </c>
      <c r="E81" s="3886">
        <f>'10.Results'!E181</f>
        <v>0</v>
      </c>
      <c r="F81" s="3886">
        <f>'10.Results'!F181</f>
        <v>0</v>
      </c>
      <c r="G81" s="3887">
        <f t="shared" si="26"/>
        <v>0</v>
      </c>
      <c r="H81" s="3886">
        <f>'10.Results'!H181</f>
        <v>0</v>
      </c>
      <c r="I81" s="3886">
        <f>'10.Results'!I181</f>
        <v>0</v>
      </c>
      <c r="J81" s="3886">
        <f>'10.Results'!J181</f>
        <v>0</v>
      </c>
      <c r="K81" s="3886">
        <f>'10.Results'!K181</f>
        <v>0</v>
      </c>
      <c r="L81" s="3886">
        <f>'10.Results'!L181</f>
        <v>0</v>
      </c>
      <c r="M81" s="1965"/>
      <c r="N81" s="3886">
        <f>'10.Results'!N181</f>
        <v>0</v>
      </c>
      <c r="O81" s="3886">
        <f>'10.Results'!O181</f>
        <v>0</v>
      </c>
      <c r="P81" s="3886">
        <f>'10.Results'!P181</f>
        <v>0</v>
      </c>
    </row>
    <row r="82" spans="2:16" s="1771" customFormat="1" ht="22.25" customHeight="1" x14ac:dyDescent="0.2">
      <c r="B82" s="1965" t="str">
        <f>'10.Results'!B182</f>
        <v>Afforestation</v>
      </c>
      <c r="C82" s="1965"/>
      <c r="D82" s="3886">
        <f>'10.Results'!D182</f>
        <v>0</v>
      </c>
      <c r="E82" s="3886">
        <f>'10.Results'!E182</f>
        <v>0</v>
      </c>
      <c r="F82" s="3886">
        <f>'10.Results'!F182</f>
        <v>0</v>
      </c>
      <c r="G82" s="3887">
        <f t="shared" si="26"/>
        <v>0</v>
      </c>
      <c r="H82" s="3886">
        <f>'10.Results'!H182</f>
        <v>0</v>
      </c>
      <c r="I82" s="3886">
        <f>'10.Results'!I182</f>
        <v>0</v>
      </c>
      <c r="J82" s="3886">
        <f>'10.Results'!J182</f>
        <v>0</v>
      </c>
      <c r="K82" s="3886">
        <f>'10.Results'!K182</f>
        <v>0</v>
      </c>
      <c r="L82" s="3886">
        <f>'10.Results'!L182</f>
        <v>0</v>
      </c>
      <c r="M82" s="1965"/>
      <c r="N82" s="3886">
        <f>'10.Results'!N182</f>
        <v>0</v>
      </c>
      <c r="O82" s="3886">
        <f>'10.Results'!O182</f>
        <v>0</v>
      </c>
      <c r="P82" s="3886">
        <f>'10.Results'!P182</f>
        <v>0</v>
      </c>
    </row>
    <row r="83" spans="2:16" s="1771" customFormat="1" ht="22.25" customHeight="1" x14ac:dyDescent="0.2">
      <c r="B83" s="1965" t="str">
        <f>'10.Results'!B183</f>
        <v>Other land-use</v>
      </c>
      <c r="C83" s="1965"/>
      <c r="D83" s="3886">
        <f>'10.Results'!D183</f>
        <v>0</v>
      </c>
      <c r="E83" s="3886">
        <f>'10.Results'!E183</f>
        <v>0</v>
      </c>
      <c r="F83" s="3886">
        <f>'10.Results'!F183</f>
        <v>0</v>
      </c>
      <c r="G83" s="3887">
        <f t="shared" si="26"/>
        <v>0</v>
      </c>
      <c r="H83" s="3886">
        <f>'10.Results'!H183</f>
        <v>0</v>
      </c>
      <c r="I83" s="3886">
        <f>'10.Results'!I183</f>
        <v>0</v>
      </c>
      <c r="J83" s="3886">
        <f>'10.Results'!J183</f>
        <v>0</v>
      </c>
      <c r="K83" s="3886">
        <f>'10.Results'!K183</f>
        <v>0</v>
      </c>
      <c r="L83" s="3886">
        <f>'10.Results'!L183</f>
        <v>0</v>
      </c>
      <c r="M83" s="1965"/>
      <c r="N83" s="3886">
        <f>'10.Results'!N183</f>
        <v>0</v>
      </c>
      <c r="O83" s="3886">
        <f>'10.Results'!O183</f>
        <v>0</v>
      </c>
      <c r="P83" s="3886">
        <f>'10.Results'!P183</f>
        <v>0</v>
      </c>
    </row>
    <row r="84" spans="2:16" s="1771" customFormat="1" ht="22.25" customHeight="1" x14ac:dyDescent="0.2">
      <c r="B84" s="1965" t="str">
        <f>'10.Results'!B184</f>
        <v>Non-forest land management</v>
      </c>
      <c r="C84" s="1965"/>
      <c r="D84" s="3886">
        <f>'10.Results'!D184</f>
        <v>0</v>
      </c>
      <c r="E84" s="3886">
        <f>'10.Results'!E184</f>
        <v>0</v>
      </c>
      <c r="F84" s="3886">
        <f>'10.Results'!F184</f>
        <v>0</v>
      </c>
      <c r="G84" s="3887">
        <f t="shared" si="26"/>
        <v>0</v>
      </c>
      <c r="H84" s="3886">
        <f>'10.Results'!H184</f>
        <v>0</v>
      </c>
      <c r="I84" s="3886">
        <f>'10.Results'!I184</f>
        <v>0</v>
      </c>
      <c r="J84" s="3886">
        <f>'10.Results'!J184</f>
        <v>0</v>
      </c>
      <c r="K84" s="3886">
        <f>'10.Results'!K184</f>
        <v>0</v>
      </c>
      <c r="L84" s="3886">
        <f>'10.Results'!L184</f>
        <v>0</v>
      </c>
      <c r="M84" s="1965"/>
      <c r="N84" s="3886">
        <f>'10.Results'!N184</f>
        <v>0</v>
      </c>
      <c r="O84" s="3886">
        <f>'10.Results'!O184</f>
        <v>0</v>
      </c>
      <c r="P84" s="3886">
        <f>'10.Results'!P184</f>
        <v>0</v>
      </c>
    </row>
    <row r="85" spans="2:16" s="1771" customFormat="1" ht="22.25" customHeight="1" x14ac:dyDescent="0.2">
      <c r="B85" s="1965" t="str">
        <f>'10.Results'!B185</f>
        <v>Peat extraction</v>
      </c>
      <c r="C85" s="1965"/>
      <c r="D85" s="3886">
        <f>'10.Results'!D185</f>
        <v>7181202.7005952392</v>
      </c>
      <c r="E85" s="3886">
        <f>'10.Results'!E185</f>
        <v>7291682.7421428571</v>
      </c>
      <c r="F85" s="3886">
        <f>'10.Results'!F185</f>
        <v>110480.04154761873</v>
      </c>
      <c r="G85" s="3887">
        <f t="shared" si="26"/>
        <v>1</v>
      </c>
      <c r="H85" s="3886"/>
      <c r="I85" s="3886">
        <f>'10.Results'!I185</f>
        <v>110285.08333333302</v>
      </c>
      <c r="J85" s="3886">
        <f>'10.Results'!J185</f>
        <v>3.1232142857143117</v>
      </c>
      <c r="K85" s="3886">
        <f>'10.Results'!K185</f>
        <v>0</v>
      </c>
      <c r="L85" s="3886">
        <f>'10.Results'!L185</f>
        <v>0</v>
      </c>
      <c r="M85" s="1965"/>
      <c r="N85" s="3886">
        <f>'10.Results'!D85/time_tot</f>
        <v>0</v>
      </c>
      <c r="O85" s="3886">
        <f>'10.Results'!E85/time_tot</f>
        <v>0</v>
      </c>
      <c r="P85" s="3886">
        <f>'10.Results'!F85/time_tot</f>
        <v>0</v>
      </c>
    </row>
    <row r="86" spans="2:16" s="1771" customFormat="1" ht="22.25" customHeight="1" x14ac:dyDescent="0.2">
      <c r="B86" s="1965"/>
      <c r="C86" s="1965"/>
      <c r="D86" s="1965"/>
      <c r="E86" s="1965"/>
      <c r="F86" s="1965"/>
      <c r="G86" s="3887"/>
      <c r="H86" s="3979"/>
      <c r="I86" s="3979"/>
      <c r="J86" s="3979"/>
      <c r="K86" s="3979"/>
      <c r="L86" s="3979"/>
      <c r="M86" s="1965"/>
      <c r="N86" s="1965"/>
      <c r="O86" s="1965"/>
      <c r="P86" s="1965"/>
    </row>
    <row r="87" spans="2:16" s="1771" customFormat="1" ht="22.25" customHeight="1" x14ac:dyDescent="0.2">
      <c r="B87" s="3980" t="s">
        <v>3059</v>
      </c>
      <c r="C87" s="3980"/>
      <c r="D87" s="3981">
        <f>'10.Results'!D187</f>
        <v>7200444.1922619054</v>
      </c>
      <c r="E87" s="3982">
        <f>'10.Results'!E187</f>
        <v>7317101.6504761903</v>
      </c>
      <c r="F87" s="3983">
        <f>'10.Results'!F187</f>
        <v>116657.45821428485</v>
      </c>
      <c r="G87" s="3887"/>
      <c r="H87" s="3984">
        <f t="shared" ref="H87:P87" si="27">SUM(H80:H85)</f>
        <v>0</v>
      </c>
      <c r="I87" s="3984">
        <f t="shared" si="27"/>
        <v>112952.58333333302</v>
      </c>
      <c r="J87" s="3984">
        <f t="shared" si="27"/>
        <v>294.62321428571443</v>
      </c>
      <c r="K87" s="3984">
        <f t="shared" si="27"/>
        <v>3227.5833333333317</v>
      </c>
      <c r="L87" s="3984">
        <f t="shared" si="27"/>
        <v>0</v>
      </c>
      <c r="M87" s="3891"/>
      <c r="N87" s="3984">
        <f t="shared" si="27"/>
        <v>1282.7661111111113</v>
      </c>
      <c r="O87" s="3984">
        <f t="shared" si="27"/>
        <v>1694.5938888888891</v>
      </c>
      <c r="P87" s="3984">
        <f t="shared" si="27"/>
        <v>411.82777777777773</v>
      </c>
    </row>
    <row r="88" spans="2:16" s="1771" customFormat="1" ht="22.25" customHeight="1" x14ac:dyDescent="0.2">
      <c r="B88" s="3892" t="s">
        <v>3060</v>
      </c>
      <c r="C88" s="3893"/>
      <c r="D88" s="3985">
        <f>'10.Results'!D188</f>
        <v>12000.740320436509</v>
      </c>
      <c r="E88" s="3986">
        <f>'10.Results'!E188</f>
        <v>12195.169417460316</v>
      </c>
      <c r="F88" s="3987">
        <f>'10.Results'!F188</f>
        <v>194.42909702380808</v>
      </c>
      <c r="G88" s="3887"/>
      <c r="H88" s="3894">
        <f>'10.Results'!H188</f>
        <v>0</v>
      </c>
      <c r="I88" s="3894">
        <f>'10.Results'!I188</f>
        <v>188.25430555555505</v>
      </c>
      <c r="J88" s="3894">
        <f>'10.Results'!J188</f>
        <v>0.4910386904761907</v>
      </c>
      <c r="K88" s="3894">
        <f>'10.Results'!K188</f>
        <v>5.3793055555555531</v>
      </c>
      <c r="L88" s="3894">
        <f>'10.Results'!L188</f>
        <v>0</v>
      </c>
      <c r="M88" s="3888"/>
      <c r="N88" s="3895"/>
      <c r="O88" s="3895"/>
      <c r="P88" s="3895"/>
    </row>
    <row r="89" spans="2:16" s="1771" customFormat="1" ht="22.25" customHeight="1" x14ac:dyDescent="0.2">
      <c r="B89" s="3890" t="s">
        <v>3061</v>
      </c>
      <c r="C89" s="3890"/>
      <c r="D89" s="3985">
        <f>'10.Results'!D189</f>
        <v>800.04935469576731</v>
      </c>
      <c r="E89" s="3986">
        <f>'10.Results'!E189</f>
        <v>813.01129449735447</v>
      </c>
      <c r="F89" s="3987">
        <f>'10.Results'!F189</f>
        <v>12.961939801587205</v>
      </c>
      <c r="G89" s="3887"/>
      <c r="H89" s="3894">
        <f>'10.Results'!H189</f>
        <v>0</v>
      </c>
      <c r="I89" s="3894">
        <f>'10.Results'!I189</f>
        <v>12.550287037037004</v>
      </c>
      <c r="J89" s="3894">
        <f>'10.Results'!J189</f>
        <v>3.2735912698412716E-2</v>
      </c>
      <c r="K89" s="3894">
        <f>'10.Results'!K189</f>
        <v>0.3586203703703702</v>
      </c>
      <c r="L89" s="3894">
        <f>'10.Results'!L189</f>
        <v>0</v>
      </c>
      <c r="M89" s="3888"/>
      <c r="N89" s="3895">
        <f>N87/BALANCE!$S$6</f>
        <v>0.90590827055869438</v>
      </c>
      <c r="O89" s="3895">
        <f>O87/BALANCE!$S$6</f>
        <v>1.1967470966729443</v>
      </c>
      <c r="P89" s="3895">
        <f>P87/BALANCE!$S$6</f>
        <v>0.29083882611424983</v>
      </c>
    </row>
    <row r="90" spans="2:16" x14ac:dyDescent="0.2">
      <c r="H90" s="3493" t="str">
        <f>IF(H87&gt;0,H87,"")</f>
        <v/>
      </c>
      <c r="I90" s="3493">
        <f>IF(I87&gt;0,I87,"")</f>
        <v>112952.58333333302</v>
      </c>
      <c r="J90" s="3493">
        <f>IF(J87&gt;0,J87,"")</f>
        <v>294.62321428571443</v>
      </c>
      <c r="K90" s="3493">
        <f>IF(K87&gt;0,K87,"")</f>
        <v>3227.5833333333317</v>
      </c>
      <c r="L90" s="3493" t="str">
        <f>IF(L87&gt;0,L87,"")</f>
        <v/>
      </c>
    </row>
    <row r="91" spans="2:16" x14ac:dyDescent="0.2">
      <c r="H91" s="682">
        <f>IF(H87&gt;0,-1.5,1.5)</f>
        <v>1.5</v>
      </c>
      <c r="I91" s="682">
        <f>IF(I87&gt;0,-1.5,1.5)</f>
        <v>-1.5</v>
      </c>
      <c r="J91" s="682">
        <f>IF(J87&gt;0,-1.5,1.5)</f>
        <v>-1.5</v>
      </c>
      <c r="K91" s="682">
        <f>IF(K87&gt;0,-1.5,1.5)</f>
        <v>-1.5</v>
      </c>
      <c r="L91" s="682">
        <f>IF(L87&gt;0,-1.5,1.5)</f>
        <v>1.5</v>
      </c>
    </row>
    <row r="94" spans="2:16" ht="35.75" customHeight="1" x14ac:dyDescent="0.2">
      <c r="B94" s="4634"/>
      <c r="C94" s="4635"/>
      <c r="D94" s="3988" t="s">
        <v>200</v>
      </c>
      <c r="E94" s="3988" t="s">
        <v>201</v>
      </c>
      <c r="F94" s="3988" t="s">
        <v>324</v>
      </c>
    </row>
    <row r="95" spans="2:16" x14ac:dyDescent="0.2">
      <c r="B95" s="284" t="s">
        <v>1224</v>
      </c>
      <c r="D95" s="3493">
        <f>'Inl. wetlands'!BL36+'Inl. wetlands'!BL37+'Inl. wetlands'!BL38+SUM('Inl. wetlands'!BL135:BL137)+SUM('Inl. wetlands'!BL225:BL227)+SUM('Inl. wetlands'!BL340:BL342)+SUM('Inl. wetlands'!BL416:BL418)+SUM('Inl. wetlands'!BL474:BL476)</f>
        <v>7197406.7755952394</v>
      </c>
      <c r="E95" s="3493">
        <f>'Inl. wetlands'!BM36+'Inl. wetlands'!BM37+'Inl. wetlands'!BM38+SUM('Inl. wetlands'!BM135:BM137)+SUM('Inl. wetlands'!BM225:BM227)+SUM('Inl. wetlands'!BM340:BM342)+SUM('Inl. wetlands'!BM416:BM418)+SUM('Inl. wetlands'!BM474:BM476)</f>
        <v>7314932.0671428572</v>
      </c>
      <c r="F95" s="3493">
        <f>E95-D95</f>
        <v>117525.29154761788</v>
      </c>
    </row>
    <row r="96" spans="2:16" x14ac:dyDescent="0.2">
      <c r="B96" s="284" t="s">
        <v>1225</v>
      </c>
      <c r="D96" s="3493">
        <f>SUM('Inl. wetlands'!BL39:BL41,'Inl. wetlands'!BL138:BL140,'Inl. wetlands'!BL228:BL230,'Inl. wetlands'!BL343:BL345,'Inl. wetlands'!BL419:BL421,'Inl. wetlands'!BL477:BL479)</f>
        <v>3037.4166666666665</v>
      </c>
      <c r="E96" s="3493">
        <f>SUM('Inl. wetlands'!BM39:BM41,'Inl. wetlands'!BM138:BM140,'Inl. wetlands'!BM228:BM230,'Inl. wetlands'!BM343:BM345,'Inl. wetlands'!BM419:BM421,'Inl. wetlands'!BM477:BM479)</f>
        <v>2169.583333333333</v>
      </c>
      <c r="F96" s="3493">
        <f>E96-D96</f>
        <v>-867.83333333333348</v>
      </c>
    </row>
    <row r="97" spans="2:6" x14ac:dyDescent="0.2">
      <c r="B97" s="284" t="s">
        <v>158</v>
      </c>
      <c r="D97" s="3493">
        <f>SUM('Inl. wetlands'!BL42:BL44,'Inl. wetlands'!BL141:BL143,'Inl. wetlands'!BL231:BL233,'Inl. wetlands'!BL346:BL348,'Inl. wetlands'!BL422:BL424,'Inl. wetlands'!BL480:BL482)</f>
        <v>0</v>
      </c>
      <c r="E97" s="3493">
        <f>SUM('Inl. wetlands'!BM42:BM44,'Inl. wetlands'!BM141:BM143,'Inl. wetlands'!BM231:BM233,'Inl. wetlands'!BM346:BM348,'Inl. wetlands'!BM422:BM424,'Inl. wetlands'!BM480:BM482)</f>
        <v>0</v>
      </c>
      <c r="F97" s="3493">
        <f>E97-D97</f>
        <v>0</v>
      </c>
    </row>
    <row r="98" spans="2:6" x14ac:dyDescent="0.2">
      <c r="B98" s="284" t="s">
        <v>3062</v>
      </c>
      <c r="D98" s="3493">
        <f>SUM('Inl. wetlands'!BL35,'Inl. wetlands'!BL134,'Inl. wetlands'!BL224,'Inl. wetlands'!BL339,'Inl. wetlands'!BL415,'Inl. wetlands'!BL473)</f>
        <v>0</v>
      </c>
      <c r="E98" s="3493">
        <f>SUM('Inl. wetlands'!BM35,'Inl. wetlands'!BM134,'Inl. wetlands'!BM224,'Inl. wetlands'!BM339,'Inl. wetlands'!BM415,'Inl. wetlands'!BM473)</f>
        <v>0</v>
      </c>
      <c r="F98" s="3493">
        <f>E98-D98</f>
        <v>0</v>
      </c>
    </row>
    <row r="100" spans="2:6" x14ac:dyDescent="0.2">
      <c r="D100" s="3493">
        <f>SUM(D95:D98)</f>
        <v>7200444.1922619063</v>
      </c>
      <c r="E100" s="3493">
        <f>SUM(E95:E98)</f>
        <v>7317101.6504761903</v>
      </c>
      <c r="F100" s="3493">
        <f>SUM(F95:F98)</f>
        <v>116657.45821428455</v>
      </c>
    </row>
    <row r="101" spans="2:6" x14ac:dyDescent="0.2">
      <c r="D101" s="3493">
        <f>IF(D100&gt;0,D100,"")</f>
        <v>7200444.1922619063</v>
      </c>
      <c r="E101" s="3493">
        <f>IF(E100&gt;0,E100,"")</f>
        <v>7317101.6504761903</v>
      </c>
      <c r="F101" s="3493">
        <f>IF(F100&gt;0,F100,"")</f>
        <v>116657.45821428455</v>
      </c>
    </row>
    <row r="102" spans="2:6" x14ac:dyDescent="0.2">
      <c r="D102" s="682">
        <f>IF(D100&gt;0,-1.5,1.5)</f>
        <v>-1.5</v>
      </c>
      <c r="E102" s="682">
        <f>IF(E100&gt;0,-1.5,1.5)</f>
        <v>-1.5</v>
      </c>
      <c r="F102" s="682">
        <f>IF(F100&gt;0,-1.5,1.5)</f>
        <v>-1.5</v>
      </c>
    </row>
    <row r="104" spans="2:6" ht="32" customHeight="1" x14ac:dyDescent="0.2">
      <c r="B104" s="3557" t="s">
        <v>200</v>
      </c>
      <c r="D104" s="3554" t="s">
        <v>3050</v>
      </c>
      <c r="E104" s="3554" t="s">
        <v>3063</v>
      </c>
      <c r="F104" s="3554" t="s">
        <v>3041</v>
      </c>
    </row>
    <row r="105" spans="2:6" x14ac:dyDescent="0.2">
      <c r="B105" s="284" t="s">
        <v>1224</v>
      </c>
      <c r="D105" s="3493">
        <f>D95</f>
        <v>7197406.7755952394</v>
      </c>
      <c r="E105" s="3493">
        <f>IF(D105&gt;0,D105,0)</f>
        <v>7197406.7755952394</v>
      </c>
      <c r="F105" s="682">
        <f>IF(D105&gt;0,-1,1)</f>
        <v>-1</v>
      </c>
    </row>
    <row r="106" spans="2:6" x14ac:dyDescent="0.2">
      <c r="B106" s="284" t="s">
        <v>1225</v>
      </c>
      <c r="D106" s="3493">
        <f>D96</f>
        <v>3037.4166666666665</v>
      </c>
      <c r="E106" s="3493">
        <f>IF(D106&gt;0,D106,0)</f>
        <v>3037.4166666666665</v>
      </c>
      <c r="F106" s="682">
        <f>IF(D106&gt;0,-1,1)</f>
        <v>-1</v>
      </c>
    </row>
    <row r="107" spans="2:6" x14ac:dyDescent="0.2">
      <c r="B107" s="284" t="s">
        <v>158</v>
      </c>
      <c r="D107" s="3493">
        <f>D97</f>
        <v>0</v>
      </c>
      <c r="E107" s="3493">
        <f>IF(D107&gt;0,D107,0)</f>
        <v>0</v>
      </c>
      <c r="F107" s="682">
        <f>IF(D107&gt;0,-1,1)</f>
        <v>1</v>
      </c>
    </row>
    <row r="108" spans="2:6" x14ac:dyDescent="0.2">
      <c r="B108" s="284" t="s">
        <v>3062</v>
      </c>
      <c r="D108" s="3493">
        <f>D98</f>
        <v>0</v>
      </c>
      <c r="E108" s="3493">
        <f>IF(D108&gt;0,D108,0)</f>
        <v>0</v>
      </c>
      <c r="F108" s="682">
        <f>IF(D108&gt;0,-1,1)</f>
        <v>1</v>
      </c>
    </row>
    <row r="111" spans="2:6" ht="32" customHeight="1" x14ac:dyDescent="0.2">
      <c r="B111" s="3557" t="s">
        <v>201</v>
      </c>
      <c r="D111" s="3554" t="s">
        <v>3050</v>
      </c>
      <c r="E111" s="3554" t="s">
        <v>3063</v>
      </c>
      <c r="F111" s="3554" t="s">
        <v>3041</v>
      </c>
    </row>
    <row r="112" spans="2:6" x14ac:dyDescent="0.2">
      <c r="B112" s="284" t="s">
        <v>1224</v>
      </c>
      <c r="D112" s="3493">
        <f>E95</f>
        <v>7314932.0671428572</v>
      </c>
      <c r="E112" s="3493">
        <f>IF(D112&gt;0,D112,0)</f>
        <v>7314932.0671428572</v>
      </c>
      <c r="F112" s="682">
        <f>IF(D112&gt;0,-1,1)</f>
        <v>-1</v>
      </c>
    </row>
    <row r="113" spans="2:6" x14ac:dyDescent="0.2">
      <c r="B113" s="284" t="s">
        <v>1225</v>
      </c>
      <c r="D113" s="3493">
        <f>E96</f>
        <v>2169.583333333333</v>
      </c>
      <c r="E113" s="3493">
        <f>IF(D113&gt;0,D113,0)</f>
        <v>2169.583333333333</v>
      </c>
      <c r="F113" s="682">
        <f>IF(D113&gt;0,-1,1)</f>
        <v>-1</v>
      </c>
    </row>
    <row r="114" spans="2:6" x14ac:dyDescent="0.2">
      <c r="B114" s="284" t="s">
        <v>158</v>
      </c>
      <c r="D114" s="3493">
        <f>E97</f>
        <v>0</v>
      </c>
      <c r="E114" s="3493">
        <f>IF(D114&gt;0,D114,0)</f>
        <v>0</v>
      </c>
      <c r="F114" s="682">
        <f>IF(D114&gt;0,-1,1)</f>
        <v>1</v>
      </c>
    </row>
    <row r="115" spans="2:6" x14ac:dyDescent="0.2">
      <c r="B115" s="284" t="s">
        <v>3062</v>
      </c>
      <c r="D115" s="3493">
        <f>E98</f>
        <v>0</v>
      </c>
      <c r="E115" s="3493">
        <f>IF(D115&gt;0,D115,0)</f>
        <v>0</v>
      </c>
      <c r="F115" s="682">
        <f>IF(D115&gt;0,-1,1)</f>
        <v>1</v>
      </c>
    </row>
    <row r="118" spans="2:6" ht="16" x14ac:dyDescent="0.2">
      <c r="C118" s="3554" t="s">
        <v>219</v>
      </c>
      <c r="D118" s="3554" t="s">
        <v>179</v>
      </c>
      <c r="E118" s="3554" t="s">
        <v>180</v>
      </c>
    </row>
    <row r="119" spans="2:6" x14ac:dyDescent="0.2">
      <c r="B119" s="284" t="s">
        <v>1179</v>
      </c>
      <c r="C119" s="682">
        <f>'Inl. wetlands'!F84+'Inl. wetlands'!F159+'Inl. wetlands'!F288+'Inl. wetlands'!F380+'Inl. wetlands'!F446+'Inl. wetlands'!F476</f>
        <v>600</v>
      </c>
      <c r="D119" s="682">
        <f>'Inl. wetlands'!G84+'Inl. wetlands'!G159+'Inl. wetlands'!G288+'Inl. wetlands'!G380+'Inl. wetlands'!G446+'Inl. wetlands'!G476+E120</f>
        <v>180</v>
      </c>
      <c r="E119" s="682">
        <f>'Inl. wetlands'!H84+'Inl. wetlands'!H159+'Inl. wetlands'!H288+'Inl. wetlands'!H380+'Inl. wetlands'!H446+'Inl. wetlands'!H476+D120</f>
        <v>202</v>
      </c>
    </row>
    <row r="120" spans="2:6" x14ac:dyDescent="0.2">
      <c r="B120" s="284" t="s">
        <v>1194</v>
      </c>
      <c r="C120" s="682">
        <f>'Inl. wetlands'!F110+'Inl. wetlands'!F213+'Inl. wetlands'!F315+'Inl. wetlands'!F396+'Inl. wetlands'!F461</f>
        <v>70</v>
      </c>
      <c r="D120" s="3493">
        <f>'Inl. wetlands'!G110+'Inl. wetlands'!G213+'Inl. wetlands'!G315+'Inl. wetlands'!G396+'Inl. wetlands'!G461</f>
        <v>70</v>
      </c>
      <c r="E120" s="682">
        <f>'Inl. wetlands'!H110+'Inl. wetlands'!H213+'Inl. wetlands'!H315+'Inl. wetlands'!H396+'Inl. wetlands'!H461</f>
        <v>50</v>
      </c>
    </row>
  </sheetData>
  <mergeCells count="3">
    <mergeCell ref="B74:P74"/>
    <mergeCell ref="B79:C79"/>
    <mergeCell ref="B94:C94"/>
  </mergeCells>
  <hyperlinks>
    <hyperlink ref="G6" r:id="rId1" display="CO@ biomass" xr:uid="{00000000-0004-0000-2100-000000000000}"/>
  </hyperlinks>
  <pageMargins left="0.7" right="0.7" top="0.75" bottom="0.75" header="0.3" footer="0.3"/>
  <pageSetup orientation="portrait" r:id="rId2"/>
</worksheet>
</file>

<file path=xl/worksheets/sheet3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9"/>
  <dimension ref="A1:P268"/>
  <sheetViews>
    <sheetView workbookViewId="0">
      <selection activeCell="F5" sqref="F5"/>
    </sheetView>
  </sheetViews>
  <sheetFormatPr baseColWidth="10" defaultColWidth="9.33203125" defaultRowHeight="15" x14ac:dyDescent="0.2"/>
  <cols>
    <col min="1" max="1" width="32.6640625" customWidth="1"/>
    <col min="2" max="2" width="17.6640625" customWidth="1"/>
    <col min="3" max="3" width="9.33203125" style="4079"/>
    <col min="5" max="5" width="12.5" bestFit="1" customWidth="1"/>
    <col min="6" max="9" width="12.5" customWidth="1"/>
    <col min="10" max="10" width="27.6640625" customWidth="1"/>
    <col min="11" max="11" width="30.5" customWidth="1"/>
    <col min="19" max="20" width="9.33203125" customWidth="1"/>
  </cols>
  <sheetData>
    <row r="1" spans="1:16" x14ac:dyDescent="0.2">
      <c r="J1" t="s">
        <v>57</v>
      </c>
    </row>
    <row r="2" spans="1:16" ht="36" customHeight="1" x14ac:dyDescent="0.2">
      <c r="A2" t="s">
        <v>3139</v>
      </c>
      <c r="B2" t="s">
        <v>3140</v>
      </c>
      <c r="C2" s="4079" t="s">
        <v>3141</v>
      </c>
      <c r="D2" t="s">
        <v>1158</v>
      </c>
      <c r="E2" t="s">
        <v>3142</v>
      </c>
      <c r="F2" s="4636"/>
      <c r="G2" s="4636"/>
      <c r="J2" t="s">
        <v>3707</v>
      </c>
      <c r="N2" s="4341"/>
      <c r="O2" s="4341"/>
      <c r="P2" s="4341"/>
    </row>
    <row r="3" spans="1:16" x14ac:dyDescent="0.2">
      <c r="C3" s="4079" t="s">
        <v>3143</v>
      </c>
      <c r="E3" s="4079" t="s">
        <v>3143</v>
      </c>
      <c r="F3" s="4079" t="s">
        <v>3143</v>
      </c>
      <c r="G3" s="4079" t="s">
        <v>3143</v>
      </c>
      <c r="H3" s="4079"/>
      <c r="I3" s="4079"/>
      <c r="J3" t="s">
        <v>3144</v>
      </c>
      <c r="N3" s="4240"/>
      <c r="O3" s="4240"/>
      <c r="P3" s="4240"/>
    </row>
    <row r="4" spans="1:16" ht="30.5" customHeight="1" x14ac:dyDescent="0.2">
      <c r="E4" s="4079"/>
      <c r="F4" s="4373" t="s">
        <v>3708</v>
      </c>
      <c r="G4" s="4373" t="s">
        <v>3145</v>
      </c>
      <c r="H4" s="4079" t="s">
        <v>3146</v>
      </c>
      <c r="I4" s="4079" t="s">
        <v>3146</v>
      </c>
      <c r="N4" s="4240"/>
      <c r="O4" s="4240"/>
      <c r="P4" s="4240"/>
    </row>
    <row r="5" spans="1:16" ht="15" customHeight="1" x14ac:dyDescent="0.2">
      <c r="A5" s="4077" t="s">
        <v>2708</v>
      </c>
      <c r="B5" t="str">
        <f>INDEX(list_region_country!$G$3:$V$3,,SUMPRODUCT(--(list_region_country!$G$3:$V$56=Elec!A5)*(COLUMN(list_region_country!$G$3:$V$56)-COLUMN(list_region_country!$F$3))))</f>
        <v>Southern Asia</v>
      </c>
      <c r="C5" s="4080" t="s">
        <v>3051</v>
      </c>
      <c r="D5" s="235" t="s">
        <v>3051</v>
      </c>
      <c r="E5" s="4080">
        <f t="shared" ref="E5:E36" ca="1" si="0">IF(C5="",AVERAGEIF($B$5:$C$252,B5,$C$5:$C$252),C5)</f>
        <v>0.61154768082281008</v>
      </c>
      <c r="F5" s="4080">
        <f>IFERROR(IF(VLOOKUP(A5, $K$8:$M$241, 2, FALSE)/1000 = 0, 0, VLOOKUP(A5, $K$8:$M$241, 2, FALSE)/1000 ), 0)</f>
        <v>0.41389333333333339</v>
      </c>
      <c r="G5" s="4080">
        <f t="shared" ref="G5:G68" si="1">IFERROR(IF(VLOOKUP(A5, $K$8:$M$241, 3, FALSE)/1000 = 0, AVERAGEIF($B$5:$B$252,B5,$I$5:$I$252), VLOOKUP(A5, $K$8:$M$241, 3, FALSE)/1000 ), AVERAGEIF($B$5:$B$252,B5,$I$5:$I$252))</f>
        <v>0.19324767053546749</v>
      </c>
      <c r="H5" s="4080">
        <v>0.413893333333333</v>
      </c>
      <c r="I5" s="4080">
        <v>0.19324767053546749</v>
      </c>
      <c r="N5" s="4078"/>
      <c r="O5" s="4078"/>
      <c r="P5" s="4078"/>
    </row>
    <row r="6" spans="1:16" x14ac:dyDescent="0.2">
      <c r="A6" s="4076" t="s">
        <v>2738</v>
      </c>
      <c r="B6" t="str">
        <f>INDEX(list_region_country!$G$3:$V$3,,SUMPRODUCT(--(list_region_country!$G$3:$V$56=Elec!A6)*(COLUMN(list_region_country!$G$3:$V$56)-COLUMN(list_region_country!$F$3))))</f>
        <v>Europe</v>
      </c>
      <c r="C6" s="4080" t="s">
        <v>3051</v>
      </c>
      <c r="D6" s="235" t="s">
        <v>3051</v>
      </c>
      <c r="E6" s="4080">
        <f t="shared" ca="1" si="0"/>
        <v>0.47807669886913667</v>
      </c>
      <c r="F6" s="4080">
        <f t="shared" ref="F6:F69" si="2">IFERROR(IF(VLOOKUP(A6, $K$8:$M$241, 2, FALSE)/1000 = 0, 0, VLOOKUP(A6, $K$8:$M$241, 2, FALSE)/1000 ), 0)</f>
        <v>0</v>
      </c>
      <c r="G6" s="4080">
        <f t="shared" si="1"/>
        <v>0.2562322492034157</v>
      </c>
      <c r="H6" s="4080" t="s">
        <v>1824</v>
      </c>
      <c r="I6" s="4080" t="s">
        <v>1824</v>
      </c>
      <c r="J6" s="21" t="s">
        <v>3147</v>
      </c>
      <c r="K6" s="21" t="s">
        <v>3148</v>
      </c>
    </row>
    <row r="7" spans="1:16" x14ac:dyDescent="0.2">
      <c r="A7" s="4076" t="s">
        <v>2739</v>
      </c>
      <c r="B7" t="str">
        <f>INDEX(list_region_country!$G$3:$V$3,,SUMPRODUCT(--(list_region_country!$G$3:$V$56=Elec!A7)*(COLUMN(list_region_country!$G$3:$V$56)-COLUMN(list_region_country!$F$3))))</f>
        <v>Europe</v>
      </c>
      <c r="C7" s="4080">
        <v>0.39300000000000002</v>
      </c>
      <c r="D7" s="235">
        <v>2019</v>
      </c>
      <c r="E7" s="4080">
        <f t="shared" si="0"/>
        <v>0.39300000000000002</v>
      </c>
      <c r="F7" s="4080">
        <f t="shared" si="2"/>
        <v>0</v>
      </c>
      <c r="G7" s="4080">
        <f t="shared" si="1"/>
        <v>0.2562322492034157</v>
      </c>
      <c r="H7" s="4080" t="s">
        <v>1824</v>
      </c>
      <c r="I7" s="4080" t="s">
        <v>1824</v>
      </c>
      <c r="J7" t="s">
        <v>3149</v>
      </c>
      <c r="K7" t="s">
        <v>3150</v>
      </c>
    </row>
    <row r="8" spans="1:16" x14ac:dyDescent="0.2">
      <c r="A8" s="4077" t="s">
        <v>2677</v>
      </c>
      <c r="B8" t="str">
        <f>INDEX(list_region_country!$G$3:$V$3,,SUMPRODUCT(--(list_region_country!$G$3:$V$56=Elec!A8)*(COLUMN(list_region_country!$G$3:$V$56)-COLUMN(list_region_country!$F$3))))</f>
        <v>Northern Africa</v>
      </c>
      <c r="C8" s="4080">
        <v>0.7524577658617132</v>
      </c>
      <c r="D8" s="235">
        <v>2007</v>
      </c>
      <c r="E8" s="4080">
        <f t="shared" si="0"/>
        <v>0.7524577658617132</v>
      </c>
      <c r="F8" s="4080">
        <f t="shared" si="2"/>
        <v>0.52840926413118072</v>
      </c>
      <c r="G8" s="4080">
        <f t="shared" si="1"/>
        <v>0.39735996599998508</v>
      </c>
      <c r="H8" s="4080">
        <v>0.52840926413118072</v>
      </c>
      <c r="I8" s="4080">
        <v>0.39735996599998508</v>
      </c>
      <c r="J8" s="4241" t="s">
        <v>3151</v>
      </c>
      <c r="K8" s="4342" t="s">
        <v>2708</v>
      </c>
      <c r="L8" s="4368">
        <v>413.89333333333337</v>
      </c>
      <c r="M8" s="4368">
        <v>193.24767053546748</v>
      </c>
      <c r="O8">
        <f t="shared" ref="O8:O39" si="3">VLOOKUP(A5, $K$8:$M$241, 2, FALSE)</f>
        <v>413.89333333333337</v>
      </c>
    </row>
    <row r="9" spans="1:16" x14ac:dyDescent="0.2">
      <c r="A9" s="4076" t="s">
        <v>2611</v>
      </c>
      <c r="B9" t="str">
        <f>INDEX(list_region_country!$G$3:$V$3,,SUMPRODUCT(--(list_region_country!$G$3:$V$56=Elec!A9)*(COLUMN(list_region_country!$G$3:$V$56)-COLUMN(list_region_country!$F$3))))</f>
        <v>Oceania</v>
      </c>
      <c r="C9" s="4080" t="s">
        <v>3051</v>
      </c>
      <c r="D9" s="235" t="s">
        <v>3051</v>
      </c>
      <c r="E9" s="4080">
        <f t="shared" ca="1" si="0"/>
        <v>0.58971601656224637</v>
      </c>
      <c r="F9" s="4080">
        <f t="shared" si="2"/>
        <v>0.75253333333333328</v>
      </c>
      <c r="G9" s="4080">
        <f t="shared" si="1"/>
        <v>0.51585178606230508</v>
      </c>
      <c r="H9" s="4080">
        <v>0.75253333333333328</v>
      </c>
      <c r="I9" s="4080">
        <v>0.51585178606230508</v>
      </c>
      <c r="J9" s="4278" t="s">
        <v>3152</v>
      </c>
      <c r="K9" s="4342" t="s">
        <v>2739</v>
      </c>
      <c r="L9" s="4368">
        <v>0</v>
      </c>
      <c r="M9" s="4368">
        <v>0</v>
      </c>
      <c r="O9" t="e">
        <f t="shared" si="3"/>
        <v>#N/A</v>
      </c>
    </row>
    <row r="10" spans="1:16" x14ac:dyDescent="0.2">
      <c r="A10" s="4076" t="s">
        <v>2740</v>
      </c>
      <c r="B10" t="str">
        <f>INDEX(list_region_country!$G$3:$V$3,,SUMPRODUCT(--(list_region_country!$G$3:$V$56=Elec!A10)*(COLUMN(list_region_country!$G$3:$V$56)-COLUMN(list_region_country!$F$3))))</f>
        <v>Europe</v>
      </c>
      <c r="C10" s="4080" t="s">
        <v>3051</v>
      </c>
      <c r="D10" s="235" t="s">
        <v>3051</v>
      </c>
      <c r="E10" s="4080">
        <f t="shared" ca="1" si="0"/>
        <v>0.47807669886913667</v>
      </c>
      <c r="F10" s="4080">
        <f t="shared" si="2"/>
        <v>0.18813333333333332</v>
      </c>
      <c r="G10" s="4080">
        <f t="shared" si="1"/>
        <v>6.9673849573517396E-2</v>
      </c>
      <c r="H10" s="4080">
        <v>0.18813333333333332</v>
      </c>
      <c r="I10" s="4080">
        <v>6.9673849573517396E-2</v>
      </c>
      <c r="K10" s="4342" t="s">
        <v>2677</v>
      </c>
      <c r="L10" s="4368">
        <v>528.40926413118075</v>
      </c>
      <c r="M10" s="4368">
        <v>397.35996599998509</v>
      </c>
      <c r="O10">
        <f t="shared" si="3"/>
        <v>0</v>
      </c>
    </row>
    <row r="11" spans="1:16" x14ac:dyDescent="0.2">
      <c r="A11" s="4076" t="s">
        <v>2441</v>
      </c>
      <c r="B11" t="str">
        <f>INDEX(list_region_country!$G$3:$V$3,,SUMPRODUCT(--(list_region_country!$G$3:$V$56=Elec!A11)*(COLUMN(list_region_country!$G$3:$V$56)-COLUMN(list_region_country!$F$3))))</f>
        <v>Central Africa</v>
      </c>
      <c r="C11" s="4080">
        <v>0.84099999999999997</v>
      </c>
      <c r="D11" s="235">
        <v>2019</v>
      </c>
      <c r="E11" s="4080">
        <f t="shared" si="0"/>
        <v>0.84099999999999997</v>
      </c>
      <c r="F11" s="4080">
        <f t="shared" si="2"/>
        <v>1.4757221052631579</v>
      </c>
      <c r="G11" s="4080">
        <f t="shared" si="1"/>
        <v>0.74769930024477493</v>
      </c>
      <c r="H11" s="4080">
        <v>1.4757221052631579</v>
      </c>
      <c r="I11" s="4080">
        <v>0.74769930024477493</v>
      </c>
      <c r="K11" s="4342" t="s">
        <v>2611</v>
      </c>
      <c r="L11" s="4368">
        <v>752.5333333333333</v>
      </c>
      <c r="M11" s="4368">
        <v>515.85178606230511</v>
      </c>
      <c r="O11">
        <f t="shared" si="3"/>
        <v>528.40926413118075</v>
      </c>
    </row>
    <row r="12" spans="1:16" x14ac:dyDescent="0.2">
      <c r="A12" s="4077" t="s">
        <v>2651</v>
      </c>
      <c r="B12" t="str">
        <f>INDEX(list_region_country!$G$3:$V$3,,SUMPRODUCT(--(list_region_country!$G$3:$V$56=Elec!A12)*(COLUMN(list_region_country!$G$3:$V$56)-COLUMN(list_region_country!$F$3))))</f>
        <v>Caribbean</v>
      </c>
      <c r="C12" s="4080" t="s">
        <v>3051</v>
      </c>
      <c r="D12" s="235" t="s">
        <v>3051</v>
      </c>
      <c r="E12" s="4080">
        <f t="shared" ca="1" si="0"/>
        <v>0.65968875404607097</v>
      </c>
      <c r="F12" s="4080">
        <f t="shared" si="2"/>
        <v>0.75253333333333328</v>
      </c>
      <c r="G12" s="4080">
        <f t="shared" si="1"/>
        <v>0.47154055157656488</v>
      </c>
      <c r="H12" s="4080">
        <v>0.75253333333333328</v>
      </c>
      <c r="I12" s="4080">
        <v>0.47154055157656488</v>
      </c>
      <c r="K12" s="4342" t="s">
        <v>2740</v>
      </c>
      <c r="L12" s="4368">
        <v>188.13333333333333</v>
      </c>
      <c r="M12" s="4368">
        <v>69.673849573517401</v>
      </c>
      <c r="O12">
        <f t="shared" si="3"/>
        <v>752.5333333333333</v>
      </c>
    </row>
    <row r="13" spans="1:16" x14ac:dyDescent="0.2">
      <c r="A13" s="4077" t="s">
        <v>2443</v>
      </c>
      <c r="B13" t="str">
        <f>INDEX(list_region_country!$G$3:$V$3,,SUMPRODUCT(--(list_region_country!$G$3:$V$56=Elec!A13)*(COLUMN(list_region_country!$G$3:$V$56)-COLUMN(list_region_country!$F$3))))</f>
        <v>Caribbean</v>
      </c>
      <c r="C13" s="4080" t="s">
        <v>3051</v>
      </c>
      <c r="D13" s="235" t="s">
        <v>3051</v>
      </c>
      <c r="E13" s="4080">
        <f t="shared" ca="1" si="0"/>
        <v>0.65968875404607097</v>
      </c>
      <c r="F13" s="4080">
        <f t="shared" si="2"/>
        <v>0.75253333333333328</v>
      </c>
      <c r="G13" s="4080">
        <f t="shared" si="1"/>
        <v>0.48936326941013636</v>
      </c>
      <c r="H13" s="4080">
        <v>0.75253333333333328</v>
      </c>
      <c r="I13" s="4080">
        <v>0.48936326941013636</v>
      </c>
      <c r="K13" s="4342" t="s">
        <v>2441</v>
      </c>
      <c r="L13" s="4368">
        <v>1475.722105263158</v>
      </c>
      <c r="M13" s="4368">
        <v>747.69930024477492</v>
      </c>
      <c r="O13">
        <f t="shared" si="3"/>
        <v>188.13333333333333</v>
      </c>
    </row>
    <row r="14" spans="1:16" x14ac:dyDescent="0.2">
      <c r="A14" s="4077" t="s">
        <v>2652</v>
      </c>
      <c r="B14" t="str">
        <f>INDEX(list_region_country!$G$3:$V$3,,SUMPRODUCT(--(list_region_country!$G$3:$V$56=Elec!A14)*(COLUMN(list_region_country!$G$3:$V$56)-COLUMN(list_region_country!$F$3))))</f>
        <v>South America</v>
      </c>
      <c r="C14" s="4080">
        <v>0.48699999999999999</v>
      </c>
      <c r="D14" s="235">
        <v>2019</v>
      </c>
      <c r="E14" s="4080">
        <f t="shared" si="0"/>
        <v>0.48699999999999999</v>
      </c>
      <c r="F14" s="4080">
        <f t="shared" si="2"/>
        <v>0.47813099773856221</v>
      </c>
      <c r="G14" s="4080">
        <f t="shared" si="1"/>
        <v>0.28818336045538856</v>
      </c>
      <c r="H14" s="4080">
        <v>0.47813099773856221</v>
      </c>
      <c r="I14" s="4080">
        <v>0.28818336045538856</v>
      </c>
      <c r="K14" s="4342" t="s">
        <v>2651</v>
      </c>
      <c r="L14" s="4368">
        <v>752.5333333333333</v>
      </c>
      <c r="M14" s="4368">
        <v>471.54055157656489</v>
      </c>
      <c r="O14">
        <f t="shared" si="3"/>
        <v>1475.722105263158</v>
      </c>
    </row>
    <row r="15" spans="1:16" x14ac:dyDescent="0.2">
      <c r="A15" s="4077" t="s">
        <v>2679</v>
      </c>
      <c r="B15" t="str">
        <f>INDEX(list_region_country!$G$3:$V$3,,SUMPRODUCT(--(list_region_country!$G$3:$V$56=Elec!A15)*(COLUMN(list_region_country!$G$3:$V$56)-COLUMN(list_region_country!$F$3))))</f>
        <v>Western Asia</v>
      </c>
      <c r="C15" s="4080">
        <v>0.432</v>
      </c>
      <c r="D15" s="235">
        <v>2019</v>
      </c>
      <c r="E15" s="4080">
        <f t="shared" si="0"/>
        <v>0.432</v>
      </c>
      <c r="F15" s="4080">
        <f t="shared" si="2"/>
        <v>0.39015885416666668</v>
      </c>
      <c r="G15" s="4080">
        <f t="shared" si="1"/>
        <v>0.20454483749672869</v>
      </c>
      <c r="H15" s="4080">
        <v>0.39015885416666668</v>
      </c>
      <c r="I15" s="4080">
        <v>0.20454483749672869</v>
      </c>
      <c r="K15" s="4342" t="s">
        <v>2443</v>
      </c>
      <c r="L15" s="4368">
        <v>752.5333333333333</v>
      </c>
      <c r="M15" s="4368">
        <v>489.36326941013635</v>
      </c>
      <c r="O15">
        <f t="shared" si="3"/>
        <v>752.5333333333333</v>
      </c>
    </row>
    <row r="16" spans="1:16" x14ac:dyDescent="0.2">
      <c r="A16" s="4077" t="s">
        <v>2653</v>
      </c>
      <c r="B16" t="str">
        <f>INDEX(list_region_country!$G$3:$V$3,,SUMPRODUCT(--(list_region_country!$G$3:$V$56=Elec!A16)*(COLUMN(list_region_country!$G$3:$V$56)-COLUMN(list_region_country!$F$3))))</f>
        <v>Caribbean</v>
      </c>
      <c r="C16" s="4080" t="s">
        <v>3051</v>
      </c>
      <c r="D16" s="235" t="s">
        <v>3051</v>
      </c>
      <c r="E16" s="4080">
        <f t="shared" ca="1" si="0"/>
        <v>0.65968875404607097</v>
      </c>
      <c r="F16" s="4080">
        <f t="shared" si="2"/>
        <v>0.75253333333333328</v>
      </c>
      <c r="G16" s="4080">
        <f t="shared" si="1"/>
        <v>0.42110279162662789</v>
      </c>
      <c r="H16" s="4080">
        <v>0.75253333333333328</v>
      </c>
      <c r="I16" s="4080">
        <v>0.42110279162662789</v>
      </c>
      <c r="K16" s="4342" t="s">
        <v>2652</v>
      </c>
      <c r="L16" s="4368">
        <v>478.1309977385622</v>
      </c>
      <c r="M16" s="4368">
        <v>288.18336045538854</v>
      </c>
      <c r="O16">
        <f t="shared" si="3"/>
        <v>752.5333333333333</v>
      </c>
    </row>
    <row r="17" spans="1:15" x14ac:dyDescent="0.2">
      <c r="A17" s="4076" t="s">
        <v>2445</v>
      </c>
      <c r="B17" t="str">
        <f>INDEX(list_region_country!$G$3:$V$3,,SUMPRODUCT(--(list_region_country!$G$3:$V$56=Elec!A17)*(COLUMN(list_region_country!$G$3:$V$56)-COLUMN(list_region_country!$F$3))))</f>
        <v>Oceania</v>
      </c>
      <c r="C17" s="4080">
        <v>0.92436258905619495</v>
      </c>
      <c r="D17" s="235">
        <v>2007</v>
      </c>
      <c r="E17" s="4080">
        <f t="shared" si="0"/>
        <v>0.92436258905619495</v>
      </c>
      <c r="F17" s="4080">
        <f t="shared" si="2"/>
        <v>0.80780863719273144</v>
      </c>
      <c r="G17" s="4080">
        <f t="shared" si="1"/>
        <v>0.42053363647474784</v>
      </c>
      <c r="H17" s="4080">
        <v>0.80780863719273144</v>
      </c>
      <c r="I17" s="4080">
        <v>0.42053363647474784</v>
      </c>
      <c r="K17" s="4342" t="s">
        <v>2679</v>
      </c>
      <c r="L17" s="4368">
        <v>390.15885416666669</v>
      </c>
      <c r="M17" s="4368">
        <v>204.54483749672869</v>
      </c>
      <c r="O17">
        <f t="shared" si="3"/>
        <v>478.1309977385622</v>
      </c>
    </row>
    <row r="18" spans="1:15" x14ac:dyDescent="0.2">
      <c r="A18" s="4076" t="s">
        <v>2741</v>
      </c>
      <c r="B18" t="str">
        <f>INDEX(list_region_country!$G$3:$V$3,,SUMPRODUCT(--(list_region_country!$G$3:$V$56=Elec!A18)*(COLUMN(list_region_country!$G$3:$V$56)-COLUMN(list_region_country!$F$3))))</f>
        <v>Europe</v>
      </c>
      <c r="C18" s="4080">
        <v>0.19730106527107968</v>
      </c>
      <c r="D18" s="235">
        <v>2007</v>
      </c>
      <c r="E18" s="4080">
        <f t="shared" si="0"/>
        <v>0.19730106527107968</v>
      </c>
      <c r="F18" s="4080">
        <f t="shared" si="2"/>
        <v>0.24193619813364017</v>
      </c>
      <c r="G18" s="4080">
        <f t="shared" si="1"/>
        <v>0.11306459924536531</v>
      </c>
      <c r="H18" s="4080">
        <v>0.24193619813364017</v>
      </c>
      <c r="I18" s="4080">
        <v>0.11306459924536499</v>
      </c>
      <c r="K18" s="4342" t="s">
        <v>2653</v>
      </c>
      <c r="L18" s="4368">
        <v>752.5333333333333</v>
      </c>
      <c r="M18" s="4368">
        <v>421.10279162662789</v>
      </c>
      <c r="O18">
        <f t="shared" si="3"/>
        <v>390.15885416666669</v>
      </c>
    </row>
    <row r="19" spans="1:15" x14ac:dyDescent="0.2">
      <c r="A19" s="4077" t="s">
        <v>2680</v>
      </c>
      <c r="B19" t="str">
        <f>INDEX(list_region_country!$G$3:$V$3,,SUMPRODUCT(--(list_region_country!$G$3:$V$56=Elec!A19)*(COLUMN(list_region_country!$G$3:$V$56)-COLUMN(list_region_country!$F$3))))</f>
        <v>Western Asia</v>
      </c>
      <c r="C19" s="4080">
        <v>0.59</v>
      </c>
      <c r="D19" s="235">
        <v>2019</v>
      </c>
      <c r="E19" s="4080">
        <f t="shared" si="0"/>
        <v>0.59</v>
      </c>
      <c r="F19" s="4080">
        <f t="shared" si="2"/>
        <v>0.53374326383106463</v>
      </c>
      <c r="G19" s="4080">
        <f t="shared" si="1"/>
        <v>0.38434324668477948</v>
      </c>
      <c r="H19" s="4080">
        <v>0.53374326383106463</v>
      </c>
      <c r="I19" s="4080">
        <v>0.38434324668477948</v>
      </c>
      <c r="K19" s="4342" t="s">
        <v>2445</v>
      </c>
      <c r="L19" s="4368">
        <v>807.80863719273145</v>
      </c>
      <c r="M19" s="4368">
        <v>420.53363647474782</v>
      </c>
      <c r="O19">
        <f t="shared" si="3"/>
        <v>752.5333333333333</v>
      </c>
    </row>
    <row r="20" spans="1:15" x14ac:dyDescent="0.2">
      <c r="A20" s="4077" t="s">
        <v>2447</v>
      </c>
      <c r="B20" t="str">
        <f>INDEX(list_region_country!$G$3:$V$3,,SUMPRODUCT(--(list_region_country!$G$3:$V$56=Elec!A20)*(COLUMN(list_region_country!$G$3:$V$56)-COLUMN(list_region_country!$F$3))))</f>
        <v>Caribbean</v>
      </c>
      <c r="C20" s="4080" t="s">
        <v>3051</v>
      </c>
      <c r="D20" s="235" t="s">
        <v>3051</v>
      </c>
      <c r="E20" s="4080">
        <f t="shared" ca="1" si="0"/>
        <v>0.65968875404607097</v>
      </c>
      <c r="F20" s="4080">
        <f t="shared" si="2"/>
        <v>0.75253333333333328</v>
      </c>
      <c r="G20" s="4080">
        <f t="shared" si="1"/>
        <v>0.44084390528246614</v>
      </c>
      <c r="H20" s="4080">
        <v>0.75253333333333328</v>
      </c>
      <c r="I20" s="4080">
        <v>0.44084390528246614</v>
      </c>
      <c r="K20" s="4342" t="s">
        <v>2741</v>
      </c>
      <c r="L20" s="4368">
        <v>241.93619813364018</v>
      </c>
      <c r="M20" s="4368">
        <v>113.06459924536532</v>
      </c>
      <c r="O20">
        <f t="shared" si="3"/>
        <v>807.80863719273145</v>
      </c>
    </row>
    <row r="21" spans="1:15" x14ac:dyDescent="0.2">
      <c r="A21" s="4077" t="s">
        <v>2681</v>
      </c>
      <c r="B21" t="str">
        <f>INDEX(list_region_country!$G$3:$V$3,,SUMPRODUCT(--(list_region_country!$G$3:$V$56=Elec!A21)*(COLUMN(list_region_country!$G$3:$V$56)-COLUMN(list_region_country!$F$3))))</f>
        <v>Western Asia</v>
      </c>
      <c r="C21" s="4080">
        <v>0.87628068858119257</v>
      </c>
      <c r="D21" s="235">
        <v>2007</v>
      </c>
      <c r="E21" s="4080">
        <f t="shared" si="0"/>
        <v>0.87628068858119257</v>
      </c>
      <c r="F21" s="4080">
        <f t="shared" si="2"/>
        <v>0.72635337482702589</v>
      </c>
      <c r="G21" s="4080">
        <f t="shared" si="1"/>
        <v>0.45426772236082774</v>
      </c>
      <c r="H21" s="4080">
        <v>0.72635337482702589</v>
      </c>
      <c r="I21" s="4080">
        <v>0.45426772236082774</v>
      </c>
      <c r="K21" s="4342" t="s">
        <v>2680</v>
      </c>
      <c r="L21" s="4368">
        <v>533.74326383106461</v>
      </c>
      <c r="M21" s="4368">
        <v>384.3432466847795</v>
      </c>
      <c r="O21">
        <f t="shared" si="3"/>
        <v>241.93619813364018</v>
      </c>
    </row>
    <row r="22" spans="1:15" x14ac:dyDescent="0.2">
      <c r="A22" s="4077" t="s">
        <v>2449</v>
      </c>
      <c r="B22" t="str">
        <f>INDEX(list_region_country!$G$3:$V$3,,SUMPRODUCT(--(list_region_country!$G$3:$V$56=Elec!A22)*(COLUMN(list_region_country!$G$3:$V$56)-COLUMN(list_region_country!$F$3))))</f>
        <v>Southern Asia</v>
      </c>
      <c r="C22" s="4080">
        <v>0.64100000000000001</v>
      </c>
      <c r="D22" s="235">
        <v>2019</v>
      </c>
      <c r="E22" s="4080">
        <f t="shared" si="0"/>
        <v>0.64100000000000001</v>
      </c>
      <c r="F22" s="4080">
        <f t="shared" si="2"/>
        <v>0.52792259306846101</v>
      </c>
      <c r="G22" s="4080">
        <f t="shared" si="1"/>
        <v>0.41171393976072629</v>
      </c>
      <c r="H22" s="4080">
        <v>0.52792259306846101</v>
      </c>
      <c r="I22" s="4080">
        <v>0.41171393976072629</v>
      </c>
      <c r="K22" s="4342" t="s">
        <v>3153</v>
      </c>
      <c r="L22" s="4368">
        <v>752.5333333333333</v>
      </c>
      <c r="M22" s="4368">
        <v>384.12120695363092</v>
      </c>
      <c r="O22">
        <f t="shared" si="3"/>
        <v>533.74326383106461</v>
      </c>
    </row>
    <row r="23" spans="1:15" x14ac:dyDescent="0.2">
      <c r="A23" s="4077" t="s">
        <v>2451</v>
      </c>
      <c r="B23" t="str">
        <f>INDEX(list_region_country!$G$3:$V$3,,SUMPRODUCT(--(list_region_country!$G$3:$V$56=Elec!A23)*(COLUMN(list_region_country!$G$3:$V$56)-COLUMN(list_region_country!$F$3))))</f>
        <v>Caribbean</v>
      </c>
      <c r="C23" s="4080" t="s">
        <v>3051</v>
      </c>
      <c r="D23" s="235" t="s">
        <v>3051</v>
      </c>
      <c r="E23" s="4080">
        <f t="shared" ca="1" si="0"/>
        <v>0.65968875404607097</v>
      </c>
      <c r="F23" s="4080">
        <f t="shared" si="2"/>
        <v>0.74927285223367701</v>
      </c>
      <c r="G23" s="4080">
        <f t="shared" si="1"/>
        <v>0.48399970861244168</v>
      </c>
      <c r="H23" s="4080">
        <v>0.74927285223367701</v>
      </c>
      <c r="I23" s="4080">
        <v>0.48399970861244168</v>
      </c>
      <c r="K23" s="4342" t="s">
        <v>2447</v>
      </c>
      <c r="L23" s="4368">
        <v>752.5333333333333</v>
      </c>
      <c r="M23" s="4368">
        <v>440.84390528246615</v>
      </c>
      <c r="O23">
        <f t="shared" si="3"/>
        <v>752.5333333333333</v>
      </c>
    </row>
    <row r="24" spans="1:15" x14ac:dyDescent="0.2">
      <c r="A24" s="4076" t="s">
        <v>2642</v>
      </c>
      <c r="B24" t="str">
        <f>INDEX(list_region_country!$G$3:$V$3,,SUMPRODUCT(--(list_region_country!$G$3:$V$56=Elec!A24)*(COLUMN(list_region_country!$G$3:$V$56)-COLUMN(list_region_country!$F$3))))</f>
        <v>Europe</v>
      </c>
      <c r="C24" s="4080">
        <v>0.32553085467054221</v>
      </c>
      <c r="D24" s="235">
        <v>2007</v>
      </c>
      <c r="E24" s="4080">
        <f t="shared" si="0"/>
        <v>0.32553085467054221</v>
      </c>
      <c r="F24" s="4080">
        <f t="shared" si="2"/>
        <v>0.39956143942858241</v>
      </c>
      <c r="G24" s="4080">
        <f t="shared" si="1"/>
        <v>0.29156017074610707</v>
      </c>
      <c r="H24" s="4080">
        <v>0.39956143942858241</v>
      </c>
      <c r="I24" s="4080">
        <v>0.29156017074610707</v>
      </c>
      <c r="K24" s="4342" t="s">
        <v>2681</v>
      </c>
      <c r="L24" s="4368">
        <v>726.35337482702585</v>
      </c>
      <c r="M24" s="4368">
        <v>454.26772236082775</v>
      </c>
      <c r="O24">
        <f t="shared" si="3"/>
        <v>726.35337482702585</v>
      </c>
    </row>
    <row r="25" spans="1:15" x14ac:dyDescent="0.2">
      <c r="A25" s="4076" t="s">
        <v>2453</v>
      </c>
      <c r="B25" t="str">
        <f>INDEX(list_region_country!$G$3:$V$3,,SUMPRODUCT(--(list_region_country!$G$3:$V$56=Elec!A25)*(COLUMN(list_region_country!$G$3:$V$56)-COLUMN(list_region_country!$F$3))))</f>
        <v>Central America</v>
      </c>
      <c r="C25" s="4080">
        <v>0.22800000000000001</v>
      </c>
      <c r="D25" s="235">
        <v>2019</v>
      </c>
      <c r="E25" s="4080">
        <f t="shared" si="0"/>
        <v>0.22800000000000001</v>
      </c>
      <c r="F25" s="4080">
        <f t="shared" si="2"/>
        <v>0.40302166666666672</v>
      </c>
      <c r="G25" s="4080">
        <f t="shared" si="1"/>
        <v>0.18295145194239501</v>
      </c>
      <c r="H25" s="4080">
        <v>0.40302166666666672</v>
      </c>
      <c r="I25" s="4080">
        <v>0.18295145194239501</v>
      </c>
      <c r="K25" s="4342" t="s">
        <v>2449</v>
      </c>
      <c r="L25" s="4368">
        <v>527.92259306846097</v>
      </c>
      <c r="M25" s="4368">
        <v>411.7139397607263</v>
      </c>
      <c r="O25">
        <f t="shared" si="3"/>
        <v>527.92259306846097</v>
      </c>
    </row>
    <row r="26" spans="1:15" x14ac:dyDescent="0.2">
      <c r="A26" s="4077" t="s">
        <v>2742</v>
      </c>
      <c r="B26" t="str">
        <f>INDEX(list_region_country!$G$3:$V$3,,SUMPRODUCT(--(list_region_country!$G$3:$V$56=Elec!A26)*(COLUMN(list_region_country!$G$3:$V$56)-COLUMN(list_region_country!$F$3))))</f>
        <v>Europe</v>
      </c>
      <c r="C26" s="4080">
        <v>0.28855272309554847</v>
      </c>
      <c r="D26" s="235">
        <v>2007</v>
      </c>
      <c r="E26" s="4080">
        <f t="shared" si="0"/>
        <v>0.28855272309554847</v>
      </c>
      <c r="F26" s="4080">
        <f t="shared" si="2"/>
        <v>0.251558225005235</v>
      </c>
      <c r="G26" s="4080">
        <f t="shared" si="1"/>
        <v>0.12439442830229973</v>
      </c>
      <c r="H26" s="4080">
        <v>0.251558225005235</v>
      </c>
      <c r="I26" s="4080">
        <v>0.12439442830229973</v>
      </c>
      <c r="K26" s="4342" t="s">
        <v>2451</v>
      </c>
      <c r="L26" s="4368">
        <v>749.27285223367699</v>
      </c>
      <c r="M26" s="4368">
        <v>483.99970861244168</v>
      </c>
      <c r="O26">
        <f t="shared" si="3"/>
        <v>749.27285223367699</v>
      </c>
    </row>
    <row r="27" spans="1:15" x14ac:dyDescent="0.2">
      <c r="A27" s="4078" t="s">
        <v>2455</v>
      </c>
      <c r="B27" t="str">
        <f>INDEX(list_region_country!$G$3:$V$3,,SUMPRODUCT(--(list_region_country!$G$3:$V$56=Elec!A27)*(COLUMN(list_region_country!$G$3:$V$56)-COLUMN(list_region_country!$F$3))))</f>
        <v>Western Africa</v>
      </c>
      <c r="C27" s="4080">
        <v>0.56299999999999994</v>
      </c>
      <c r="D27" s="235">
        <v>2019</v>
      </c>
      <c r="E27" s="4080">
        <f t="shared" si="0"/>
        <v>0.56299999999999994</v>
      </c>
      <c r="F27" s="4080">
        <f t="shared" si="2"/>
        <v>0.74535058179090408</v>
      </c>
      <c r="G27" s="4080">
        <f t="shared" si="1"/>
        <v>0.57576498270398824</v>
      </c>
      <c r="H27" s="4080">
        <v>0.74535058179090408</v>
      </c>
      <c r="I27" s="4080">
        <v>0.57576498270398824</v>
      </c>
      <c r="K27" s="4342" t="s">
        <v>2642</v>
      </c>
      <c r="L27" s="4368">
        <v>399.56143942858239</v>
      </c>
      <c r="M27" s="4368">
        <v>291.56017074610708</v>
      </c>
      <c r="O27">
        <f t="shared" si="3"/>
        <v>399.56143942858239</v>
      </c>
    </row>
    <row r="28" spans="1:15" x14ac:dyDescent="0.2">
      <c r="A28" s="4077" t="s">
        <v>2457</v>
      </c>
      <c r="B28" t="str">
        <f>INDEX(list_region_country!$G$3:$V$3,,SUMPRODUCT(--(list_region_country!$G$3:$V$56=Elec!A28)*(COLUMN(list_region_country!$G$3:$V$56)-COLUMN(list_region_country!$F$3))))</f>
        <v>North America</v>
      </c>
      <c r="C28" s="4080" t="s">
        <v>3051</v>
      </c>
      <c r="D28" s="235" t="s">
        <v>3051</v>
      </c>
      <c r="E28" s="4080">
        <f t="shared" ca="1" si="0"/>
        <v>0.44952519813248015</v>
      </c>
      <c r="F28" s="4080">
        <f t="shared" si="2"/>
        <v>0.75253333333333328</v>
      </c>
      <c r="G28" s="4080">
        <f t="shared" si="1"/>
        <v>0.34150887228045818</v>
      </c>
      <c r="H28" s="4080">
        <v>0.75253333333333328</v>
      </c>
      <c r="I28" s="4080">
        <v>0.34150887228045818</v>
      </c>
      <c r="K28" s="4342" t="s">
        <v>2742</v>
      </c>
      <c r="L28" s="4368">
        <v>251.55822500523499</v>
      </c>
      <c r="M28" s="4368">
        <v>124.39442830229973</v>
      </c>
      <c r="O28">
        <f t="shared" si="3"/>
        <v>403.0216666666667</v>
      </c>
    </row>
    <row r="29" spans="1:15" x14ac:dyDescent="0.2">
      <c r="A29" s="4077" t="s">
        <v>2709</v>
      </c>
      <c r="B29" t="str">
        <f>INDEX(list_region_country!$G$3:$V$3,,SUMPRODUCT(--(list_region_country!$G$3:$V$56=Elec!A29)*(COLUMN(list_region_country!$G$3:$V$56)-COLUMN(list_region_country!$F$3))))</f>
        <v>Southern Asia</v>
      </c>
      <c r="C29" s="4080" t="s">
        <v>3051</v>
      </c>
      <c r="D29" s="235" t="s">
        <v>3051</v>
      </c>
      <c r="E29" s="4080">
        <f t="shared" ca="1" si="0"/>
        <v>0.61154768082281008</v>
      </c>
      <c r="F29" s="4080">
        <f t="shared" si="2"/>
        <v>0</v>
      </c>
      <c r="G29" s="4080">
        <f t="shared" si="1"/>
        <v>0.38784637813367168</v>
      </c>
      <c r="H29" s="4080" t="s">
        <v>1824</v>
      </c>
      <c r="I29" s="4080" t="s">
        <v>1824</v>
      </c>
      <c r="K29" s="4342" t="s">
        <v>2453</v>
      </c>
      <c r="L29" s="4368">
        <v>403.0216666666667</v>
      </c>
      <c r="M29" s="4368">
        <v>182.95145194239501</v>
      </c>
      <c r="O29">
        <f t="shared" si="3"/>
        <v>251.55822500523499</v>
      </c>
    </row>
    <row r="30" spans="1:15" x14ac:dyDescent="0.2">
      <c r="A30" s="4077" t="s">
        <v>2654</v>
      </c>
      <c r="B30" t="str">
        <f>INDEX(list_region_country!$G$3:$V$3,,SUMPRODUCT(--(list_region_country!$G$3:$V$56=Elec!A30)*(COLUMN(list_region_country!$G$3:$V$56)-COLUMN(list_region_country!$F$3))))</f>
        <v>South America</v>
      </c>
      <c r="C30" s="4080">
        <v>0.58899999999999997</v>
      </c>
      <c r="D30" s="235">
        <v>2019</v>
      </c>
      <c r="E30" s="4080">
        <f t="shared" si="0"/>
        <v>0.58899999999999997</v>
      </c>
      <c r="F30" s="4080">
        <f t="shared" si="2"/>
        <v>0.60361404629505733</v>
      </c>
      <c r="G30" s="4080">
        <f t="shared" si="1"/>
        <v>0.39328922931458055</v>
      </c>
      <c r="H30" s="4080">
        <v>0.60361404629505733</v>
      </c>
      <c r="I30" s="4080">
        <v>0.39328922931458055</v>
      </c>
      <c r="K30" s="4342" t="s">
        <v>2455</v>
      </c>
      <c r="L30" s="4369">
        <v>745.35058179090413</v>
      </c>
      <c r="M30" s="4368">
        <v>575.76498270398827</v>
      </c>
      <c r="O30">
        <f t="shared" si="3"/>
        <v>745.35058179090413</v>
      </c>
    </row>
    <row r="31" spans="1:15" x14ac:dyDescent="0.2">
      <c r="A31" s="4077" t="s">
        <v>2655</v>
      </c>
      <c r="B31" t="str">
        <f>INDEX(list_region_country!$G$3:$V$3,,SUMPRODUCT(--(list_region_country!$G$3:$V$56=Elec!A31)*(COLUMN(list_region_country!$G$3:$V$56)-COLUMN(list_region_country!$F$3))))</f>
        <v>Caribbean</v>
      </c>
      <c r="C31" s="4080" t="s">
        <v>3051</v>
      </c>
      <c r="D31" s="235" t="s">
        <v>3051</v>
      </c>
      <c r="E31" s="4080">
        <f t="shared" ca="1" si="0"/>
        <v>0.65968875404607097</v>
      </c>
      <c r="F31" s="4080">
        <f t="shared" si="2"/>
        <v>0.75253333333333328</v>
      </c>
      <c r="G31" s="4080">
        <f t="shared" si="1"/>
        <v>0.4002008502268069</v>
      </c>
      <c r="H31" s="4080">
        <v>0.75253333333333328</v>
      </c>
      <c r="I31" s="4080">
        <v>0.4002008502268069</v>
      </c>
      <c r="K31" s="4342" t="s">
        <v>2457</v>
      </c>
      <c r="L31" s="4368">
        <v>752.5333333333333</v>
      </c>
      <c r="M31" s="4368">
        <v>341.50887228045815</v>
      </c>
      <c r="O31">
        <f t="shared" si="3"/>
        <v>752.5333333333333</v>
      </c>
    </row>
    <row r="32" spans="1:15" x14ac:dyDescent="0.2">
      <c r="A32" s="4076" t="s">
        <v>2743</v>
      </c>
      <c r="B32" t="str">
        <f>INDEX(list_region_country!$G$3:$V$3,,SUMPRODUCT(--(list_region_country!$G$3:$V$56=Elec!A32)*(COLUMN(list_region_country!$G$3:$V$56)-COLUMN(list_region_country!$F$3))))</f>
        <v>Europe</v>
      </c>
      <c r="C32" s="4080">
        <v>0.97299999999999998</v>
      </c>
      <c r="D32" s="235">
        <v>2019</v>
      </c>
      <c r="E32" s="4080">
        <f t="shared" si="0"/>
        <v>0.97299999999999998</v>
      </c>
      <c r="F32" s="4080">
        <f t="shared" si="2"/>
        <v>1.1972185047864643</v>
      </c>
      <c r="G32" s="4080">
        <f t="shared" si="1"/>
        <v>0.73899703898176494</v>
      </c>
      <c r="H32" s="4080">
        <v>1.1972185047864643</v>
      </c>
      <c r="I32" s="4080">
        <v>0.73899703898176494</v>
      </c>
      <c r="K32" s="4342" t="s">
        <v>2709</v>
      </c>
      <c r="L32" s="4368">
        <v>0</v>
      </c>
      <c r="M32" s="4368">
        <v>0</v>
      </c>
      <c r="O32">
        <f t="shared" si="3"/>
        <v>0</v>
      </c>
    </row>
    <row r="33" spans="1:15" x14ac:dyDescent="0.2">
      <c r="A33" s="4077" t="s">
        <v>2713</v>
      </c>
      <c r="B33" t="str">
        <f>INDEX(list_region_country!$G$3:$V$3,,SUMPRODUCT(--(list_region_country!$G$3:$V$56=Elec!A33)*(COLUMN(list_region_country!$G$3:$V$56)-COLUMN(list_region_country!$F$3))))</f>
        <v>Southern Africa</v>
      </c>
      <c r="C33" s="4080">
        <v>0.98699999999999999</v>
      </c>
      <c r="D33" s="235">
        <v>2019</v>
      </c>
      <c r="E33" s="4080">
        <f t="shared" si="0"/>
        <v>0.98699999999999999</v>
      </c>
      <c r="F33" s="4080">
        <f t="shared" si="2"/>
        <v>1.4860623029463913</v>
      </c>
      <c r="G33" s="4080">
        <f t="shared" si="1"/>
        <v>1.0702660561769677</v>
      </c>
      <c r="H33" s="4080">
        <v>1.4860623029463913</v>
      </c>
      <c r="I33" s="4080">
        <v>1.0702660561769677</v>
      </c>
      <c r="K33" s="4342" t="s">
        <v>2654</v>
      </c>
      <c r="L33" s="4369">
        <v>603.61404629505728</v>
      </c>
      <c r="M33" s="4368">
        <v>393.28922931458055</v>
      </c>
      <c r="O33">
        <f t="shared" si="3"/>
        <v>603.61404629505728</v>
      </c>
    </row>
    <row r="34" spans="1:15" x14ac:dyDescent="0.2">
      <c r="A34" s="4077" t="s">
        <v>2656</v>
      </c>
      <c r="B34" t="str">
        <f>INDEX(list_region_country!$G$3:$V$3,,SUMPRODUCT(--(list_region_country!$G$3:$V$56=Elec!A34)*(COLUMN(list_region_country!$G$3:$V$56)-COLUMN(list_region_country!$F$3))))</f>
        <v>South America</v>
      </c>
      <c r="C34" s="4080" t="s">
        <v>3051</v>
      </c>
      <c r="D34" s="235" t="s">
        <v>3051</v>
      </c>
      <c r="E34" s="4080">
        <f t="shared" ca="1" si="0"/>
        <v>0.47627995662408912</v>
      </c>
      <c r="F34" s="4080">
        <f t="shared" si="2"/>
        <v>0</v>
      </c>
      <c r="G34" s="4080">
        <f t="shared" si="1"/>
        <v>0.29002701247116763</v>
      </c>
      <c r="H34" s="4080" t="s">
        <v>1824</v>
      </c>
      <c r="I34" s="4080" t="s">
        <v>1824</v>
      </c>
      <c r="K34" s="4342" t="s">
        <v>2655</v>
      </c>
      <c r="L34" s="4369">
        <v>752.5333333333333</v>
      </c>
      <c r="M34" s="4368">
        <v>400.20085022680689</v>
      </c>
      <c r="O34">
        <f t="shared" si="3"/>
        <v>752.5333333333333</v>
      </c>
    </row>
    <row r="35" spans="1:15" x14ac:dyDescent="0.2">
      <c r="A35" s="4077" t="s">
        <v>2459</v>
      </c>
      <c r="B35" t="str">
        <f>INDEX(list_region_country!$G$3:$V$3,,SUMPRODUCT(--(list_region_country!$G$3:$V$56=Elec!A35)*(COLUMN(list_region_country!$G$3:$V$56)-COLUMN(list_region_country!$F$3))))</f>
        <v>South America</v>
      </c>
      <c r="C35" s="4080">
        <v>0.29299999999999998</v>
      </c>
      <c r="D35" s="235">
        <v>2019</v>
      </c>
      <c r="E35" s="4080">
        <f t="shared" si="0"/>
        <v>0.29299999999999998</v>
      </c>
      <c r="F35" s="4080">
        <f t="shared" si="2"/>
        <v>0.28376405130088012</v>
      </c>
      <c r="G35" s="4080">
        <f t="shared" si="1"/>
        <v>0.13906403822280278</v>
      </c>
      <c r="H35" s="4080">
        <v>0.28376405130088012</v>
      </c>
      <c r="I35" s="4080">
        <v>0.13906403822280278</v>
      </c>
      <c r="K35" s="4342" t="s">
        <v>2743</v>
      </c>
      <c r="L35" s="4369">
        <v>1197.2185047864643</v>
      </c>
      <c r="M35" s="4368">
        <v>738.99703898176494</v>
      </c>
      <c r="O35">
        <f t="shared" si="3"/>
        <v>1197.2185047864643</v>
      </c>
    </row>
    <row r="36" spans="1:15" x14ac:dyDescent="0.2">
      <c r="A36" s="4076" t="s">
        <v>2710</v>
      </c>
      <c r="B36" t="str">
        <f>INDEX(list_region_country!$G$3:$V$3,,SUMPRODUCT(--(list_region_country!$G$3:$V$56=Elec!A36)*(COLUMN(list_region_country!$G$3:$V$56)-COLUMN(list_region_country!$F$3))))</f>
        <v>Eastern Africa</v>
      </c>
      <c r="C36" s="4080" t="s">
        <v>3051</v>
      </c>
      <c r="D36" s="235" t="s">
        <v>3051</v>
      </c>
      <c r="E36" s="4080">
        <f t="shared" ca="1" si="0"/>
        <v>0.68163909586343463</v>
      </c>
      <c r="F36" s="4080">
        <f t="shared" si="2"/>
        <v>0</v>
      </c>
      <c r="G36" s="4080">
        <f t="shared" si="1"/>
        <v>0.42232447269207823</v>
      </c>
      <c r="H36" s="4080" t="s">
        <v>1824</v>
      </c>
      <c r="I36" s="4080" t="s">
        <v>1824</v>
      </c>
      <c r="K36" s="4342" t="s">
        <v>2713</v>
      </c>
      <c r="L36" s="4369">
        <v>1486.0623029463914</v>
      </c>
      <c r="M36" s="4368">
        <v>1070.2660561769676</v>
      </c>
      <c r="O36">
        <f t="shared" si="3"/>
        <v>1486.0623029463914</v>
      </c>
    </row>
    <row r="37" spans="1:15" x14ac:dyDescent="0.2">
      <c r="A37" s="4077" t="s">
        <v>2657</v>
      </c>
      <c r="B37" t="str">
        <f>INDEX(list_region_country!$G$3:$V$3,,SUMPRODUCT(--(list_region_country!$G$3:$V$56=Elec!A37)*(COLUMN(list_region_country!$G$3:$V$56)-COLUMN(list_region_country!$F$3))))</f>
        <v>Caribbean</v>
      </c>
      <c r="C37" s="4080" t="s">
        <v>3051</v>
      </c>
      <c r="D37" s="235" t="s">
        <v>3051</v>
      </c>
      <c r="E37" s="4080">
        <f t="shared" ref="E37:E68" ca="1" si="4">IF(C37="",AVERAGEIF($B$5:$C$252,B37,$C$5:$C$252),C37)</f>
        <v>0.65968875404607097</v>
      </c>
      <c r="F37" s="4080">
        <f t="shared" si="2"/>
        <v>0.75253333333333328</v>
      </c>
      <c r="G37" s="4080">
        <f t="shared" si="1"/>
        <v>0.42019370651198024</v>
      </c>
      <c r="H37" s="4080">
        <v>0.75253333333333328</v>
      </c>
      <c r="I37" s="4080">
        <v>0.42019370651198024</v>
      </c>
      <c r="K37" s="4342" t="s">
        <v>2459</v>
      </c>
      <c r="L37" s="4369">
        <v>283.76405130088011</v>
      </c>
      <c r="M37" s="4368">
        <v>139.06403822280276</v>
      </c>
      <c r="O37" t="e">
        <f t="shared" si="3"/>
        <v>#N/A</v>
      </c>
    </row>
    <row r="38" spans="1:15" x14ac:dyDescent="0.2">
      <c r="A38" s="4077" t="s">
        <v>2461</v>
      </c>
      <c r="B38" t="str">
        <f>INDEX(list_region_country!$G$3:$V$3,,SUMPRODUCT(--(list_region_country!$G$3:$V$56=Elec!A38)*(COLUMN(list_region_country!$G$3:$V$56)-COLUMN(list_region_country!$F$3))))</f>
        <v>South-eastern Asia</v>
      </c>
      <c r="C38" s="4080">
        <v>0.82957685592138097</v>
      </c>
      <c r="D38" s="235">
        <v>2007</v>
      </c>
      <c r="E38" s="4080">
        <f t="shared" si="4"/>
        <v>0.82957685592138097</v>
      </c>
      <c r="F38" s="4080">
        <f t="shared" si="2"/>
        <v>0.68115736260726001</v>
      </c>
      <c r="G38" s="4080">
        <f t="shared" si="1"/>
        <v>0.40716262469847075</v>
      </c>
      <c r="H38" s="4080">
        <v>0.68115736260726001</v>
      </c>
      <c r="I38" s="4080">
        <v>0.40716262469847075</v>
      </c>
      <c r="K38" s="4342" t="s">
        <v>2657</v>
      </c>
      <c r="L38" s="4369">
        <v>752.5333333333333</v>
      </c>
      <c r="M38" s="4368">
        <v>420.19370651198022</v>
      </c>
      <c r="O38">
        <f t="shared" si="3"/>
        <v>283.76405130088011</v>
      </c>
    </row>
    <row r="39" spans="1:15" x14ac:dyDescent="0.2">
      <c r="A39" s="4076" t="s">
        <v>2643</v>
      </c>
      <c r="B39" t="str">
        <f>INDEX(list_region_country!$G$3:$V$3,,SUMPRODUCT(--(list_region_country!$G$3:$V$56=Elec!A39)*(COLUMN(list_region_country!$G$3:$V$56)-COLUMN(list_region_country!$F$3))))</f>
        <v>Europe</v>
      </c>
      <c r="C39" s="4080">
        <v>0.49204344317490939</v>
      </c>
      <c r="D39" s="235">
        <v>2007</v>
      </c>
      <c r="E39" s="4080">
        <f t="shared" si="4"/>
        <v>0.49204344317490939</v>
      </c>
      <c r="F39" s="4080">
        <f t="shared" si="2"/>
        <v>0.91147949777166914</v>
      </c>
      <c r="G39" s="4080">
        <f t="shared" si="1"/>
        <v>0.49528073716719095</v>
      </c>
      <c r="H39" s="4080">
        <v>0.91147949777166914</v>
      </c>
      <c r="I39" s="4080">
        <v>0.49528073716719095</v>
      </c>
      <c r="K39" s="4342" t="s">
        <v>2461</v>
      </c>
      <c r="L39" s="4369">
        <v>681.15736260725998</v>
      </c>
      <c r="M39" s="4368">
        <v>407.16262469847078</v>
      </c>
      <c r="O39" t="e">
        <f t="shared" si="3"/>
        <v>#N/A</v>
      </c>
    </row>
    <row r="40" spans="1:15" x14ac:dyDescent="0.2">
      <c r="A40" s="4077" t="s">
        <v>2714</v>
      </c>
      <c r="B40" t="str">
        <f>INDEX(list_region_country!$G$3:$V$3,,SUMPRODUCT(--(list_region_country!$G$3:$V$56=Elec!A40)*(COLUMN(list_region_country!$G$3:$V$56)-COLUMN(list_region_country!$F$3))))</f>
        <v>Western Africa</v>
      </c>
      <c r="C40" s="4080">
        <v>0.56299999999999994</v>
      </c>
      <c r="D40" s="235">
        <v>2019</v>
      </c>
      <c r="E40" s="4080">
        <f t="shared" si="4"/>
        <v>0.56299999999999994</v>
      </c>
      <c r="F40" s="4080">
        <f t="shared" si="2"/>
        <v>0.75253333333333328</v>
      </c>
      <c r="G40" s="4080">
        <f t="shared" si="1"/>
        <v>0.53909725528687413</v>
      </c>
      <c r="H40" s="4080">
        <v>0.75253333333333328</v>
      </c>
      <c r="I40" s="4080">
        <v>0.53909725528687413</v>
      </c>
      <c r="K40" s="4342" t="s">
        <v>2643</v>
      </c>
      <c r="L40" s="4369">
        <v>911.47949777166912</v>
      </c>
      <c r="M40" s="4368">
        <v>495.28073716719098</v>
      </c>
      <c r="O40">
        <f t="shared" ref="O40:O71" si="5">VLOOKUP(A37, $K$8:$M$241, 2, FALSE)</f>
        <v>752.5333333333333</v>
      </c>
    </row>
    <row r="41" spans="1:15" x14ac:dyDescent="0.2">
      <c r="A41" s="4076" t="s">
        <v>2715</v>
      </c>
      <c r="B41" t="str">
        <f>INDEX(list_region_country!$G$3:$V$3,,SUMPRODUCT(--(list_region_country!$G$3:$V$56=Elec!A41)*(COLUMN(list_region_country!$G$3:$V$56)-COLUMN(list_region_country!$F$3))))</f>
        <v>Eastern Africa</v>
      </c>
      <c r="C41" s="4080" t="s">
        <v>3051</v>
      </c>
      <c r="D41" s="235" t="s">
        <v>3051</v>
      </c>
      <c r="E41" s="4080">
        <f t="shared" ca="1" si="4"/>
        <v>0.68163909586343463</v>
      </c>
      <c r="F41" s="4080">
        <f t="shared" si="2"/>
        <v>0.41389333333333339</v>
      </c>
      <c r="G41" s="4080">
        <f t="shared" si="1"/>
        <v>0.19702455268316243</v>
      </c>
      <c r="H41" s="4080">
        <v>0.41389333333333339</v>
      </c>
      <c r="I41" s="4080">
        <v>0.19702455268316243</v>
      </c>
      <c r="K41" s="4342" t="s">
        <v>2714</v>
      </c>
      <c r="L41" s="4369">
        <v>752.5333333333333</v>
      </c>
      <c r="M41" s="4368">
        <v>539.09725528687409</v>
      </c>
      <c r="O41">
        <f t="shared" si="5"/>
        <v>681.15736260725998</v>
      </c>
    </row>
    <row r="42" spans="1:15" x14ac:dyDescent="0.2">
      <c r="A42" s="4077" t="s">
        <v>2716</v>
      </c>
      <c r="B42" t="str">
        <f>INDEX(list_region_country!$G$3:$V$3,,SUMPRODUCT(--(list_region_country!$G$3:$V$56=Elec!A42)*(COLUMN(list_region_country!$G$3:$V$56)-COLUMN(list_region_country!$F$3))))</f>
        <v>Western Africa</v>
      </c>
      <c r="C42" s="4080" t="s">
        <v>3051</v>
      </c>
      <c r="D42" s="235" t="s">
        <v>3051</v>
      </c>
      <c r="E42" s="4080">
        <f t="shared" ca="1" si="4"/>
        <v>0.55772727272727263</v>
      </c>
      <c r="F42" s="4080">
        <f t="shared" si="2"/>
        <v>0.75253333333333328</v>
      </c>
      <c r="G42" s="4080">
        <f t="shared" si="1"/>
        <v>0.50502036075606649</v>
      </c>
      <c r="H42" s="4080">
        <v>0.75253333333333328</v>
      </c>
      <c r="I42" s="4080">
        <v>0.50502036075606649</v>
      </c>
      <c r="K42" s="4342" t="s">
        <v>2715</v>
      </c>
      <c r="L42" s="4369">
        <v>413.89333333333337</v>
      </c>
      <c r="M42" s="4368">
        <v>197.02455268316243</v>
      </c>
      <c r="O42">
        <f t="shared" si="5"/>
        <v>911.47949777166912</v>
      </c>
    </row>
    <row r="43" spans="1:15" x14ac:dyDescent="0.2">
      <c r="A43" s="4077" t="s">
        <v>2463</v>
      </c>
      <c r="B43" t="str">
        <f>INDEX(list_region_country!$G$3:$V$3,,SUMPRODUCT(--(list_region_country!$G$3:$V$56=Elec!A43)*(COLUMN(list_region_country!$G$3:$V$56)-COLUMN(list_region_country!$F$3))))</f>
        <v>South-eastern Asia</v>
      </c>
      <c r="C43" s="4080">
        <v>0.66500000000000004</v>
      </c>
      <c r="D43" s="235">
        <v>2019</v>
      </c>
      <c r="E43" s="4080">
        <f t="shared" si="4"/>
        <v>0.66500000000000004</v>
      </c>
      <c r="F43" s="4080">
        <f t="shared" si="2"/>
        <v>1.0463155595145508</v>
      </c>
      <c r="G43" s="4080">
        <f t="shared" si="1"/>
        <v>0.5878056579166453</v>
      </c>
      <c r="H43" s="4080">
        <v>1.0463155595145508</v>
      </c>
      <c r="I43" s="4080">
        <v>0.5878056579166453</v>
      </c>
      <c r="K43" s="4342" t="s">
        <v>2463</v>
      </c>
      <c r="L43" s="4369">
        <v>1046.3155595145508</v>
      </c>
      <c r="M43" s="4368">
        <v>587.80565791664526</v>
      </c>
      <c r="O43">
        <f t="shared" si="5"/>
        <v>752.5333333333333</v>
      </c>
    </row>
    <row r="44" spans="1:15" x14ac:dyDescent="0.2">
      <c r="A44" s="4076" t="s">
        <v>2465</v>
      </c>
      <c r="B44" t="str">
        <f>INDEX(list_region_country!$G$3:$V$3,,SUMPRODUCT(--(list_region_country!$G$3:$V$56=Elec!A44)*(COLUMN(list_region_country!$G$3:$V$56)-COLUMN(list_region_country!$F$3))))</f>
        <v>Central Africa</v>
      </c>
      <c r="C44" s="4080">
        <v>1.6006778002482295E-2</v>
      </c>
      <c r="D44" s="235">
        <v>2007</v>
      </c>
      <c r="E44" s="4080">
        <f t="shared" si="4"/>
        <v>1.6006778002482295E-2</v>
      </c>
      <c r="F44" s="4080">
        <f t="shared" si="2"/>
        <v>0.65945187013002327</v>
      </c>
      <c r="G44" s="4080">
        <f t="shared" si="1"/>
        <v>0.35435330317016411</v>
      </c>
      <c r="H44" s="4080">
        <v>0.65945187013002327</v>
      </c>
      <c r="I44" s="4080">
        <v>0.35435330317016411</v>
      </c>
      <c r="K44" s="4342" t="s">
        <v>2465</v>
      </c>
      <c r="L44" s="4369">
        <v>659.45187013002328</v>
      </c>
      <c r="M44" s="4368">
        <v>354.35330317016411</v>
      </c>
      <c r="O44">
        <f t="shared" si="5"/>
        <v>413.89333333333337</v>
      </c>
    </row>
    <row r="45" spans="1:15" x14ac:dyDescent="0.2">
      <c r="A45" s="4077" t="s">
        <v>2704</v>
      </c>
      <c r="B45" t="str">
        <f>INDEX(list_region_country!$G$3:$V$3,,SUMPRODUCT(--(list_region_country!$G$3:$V$56=Elec!A45)*(COLUMN(list_region_country!$G$3:$V$56)-COLUMN(list_region_country!$F$3))))</f>
        <v>North America</v>
      </c>
      <c r="C45" s="4080">
        <v>0.22305039626496026</v>
      </c>
      <c r="D45" s="235">
        <v>2007</v>
      </c>
      <c r="E45" s="4080">
        <f t="shared" si="4"/>
        <v>0.22305039626496026</v>
      </c>
      <c r="F45" s="4080">
        <f t="shared" si="2"/>
        <v>0.37152151762409591</v>
      </c>
      <c r="G45" s="4080">
        <f t="shared" si="1"/>
        <v>0.15564054359342364</v>
      </c>
      <c r="H45" s="4080">
        <v>0.37152151762409591</v>
      </c>
      <c r="I45" s="4080">
        <v>0.15564054359342364</v>
      </c>
      <c r="K45" s="4342" t="s">
        <v>2704</v>
      </c>
      <c r="L45" s="4369">
        <v>371.52151762409591</v>
      </c>
      <c r="M45" s="4368">
        <v>155.64054359342364</v>
      </c>
      <c r="O45">
        <f t="shared" si="5"/>
        <v>752.5333333333333</v>
      </c>
    </row>
    <row r="46" spans="1:15" x14ac:dyDescent="0.2">
      <c r="A46" s="4077" t="s">
        <v>2658</v>
      </c>
      <c r="B46" t="str">
        <f>INDEX(list_region_country!$G$3:$V$3,,SUMPRODUCT(--(list_region_country!$G$3:$V$56=Elec!A46)*(COLUMN(list_region_country!$G$3:$V$56)-COLUMN(list_region_country!$F$3))))</f>
        <v>Caribbean</v>
      </c>
      <c r="C46" s="4080" t="s">
        <v>3051</v>
      </c>
      <c r="D46" s="235" t="s">
        <v>3051</v>
      </c>
      <c r="E46" s="4080">
        <f t="shared" ca="1" si="4"/>
        <v>0.65968875404607097</v>
      </c>
      <c r="F46" s="4080">
        <f t="shared" si="2"/>
        <v>0.75253333333333328</v>
      </c>
      <c r="G46" s="4080">
        <f t="shared" si="1"/>
        <v>0.3726714673977749</v>
      </c>
      <c r="H46" s="4080">
        <v>0.75253333333333328</v>
      </c>
      <c r="I46" s="4080">
        <v>0.3726714673977749</v>
      </c>
      <c r="K46" s="4342" t="s">
        <v>3154</v>
      </c>
      <c r="L46" s="4368">
        <v>752.5333333333333</v>
      </c>
      <c r="M46" s="4368">
        <v>434.81413856751823</v>
      </c>
      <c r="O46">
        <f t="shared" si="5"/>
        <v>1046.3155595145508</v>
      </c>
    </row>
    <row r="47" spans="1:15" x14ac:dyDescent="0.2">
      <c r="A47" s="4076" t="s">
        <v>2717</v>
      </c>
      <c r="B47" t="str">
        <f>INDEX(list_region_country!$G$3:$V$3,,SUMPRODUCT(--(list_region_country!$G$3:$V$56=Elec!A47)*(COLUMN(list_region_country!$G$3:$V$56)-COLUMN(list_region_country!$F$3))))</f>
        <v>Central Africa</v>
      </c>
      <c r="C47" s="4080" t="s">
        <v>3051</v>
      </c>
      <c r="D47" s="235" t="s">
        <v>3051</v>
      </c>
      <c r="E47" s="4080">
        <f t="shared" ca="1" si="4"/>
        <v>0.55983475897490131</v>
      </c>
      <c r="F47" s="4080">
        <f t="shared" si="2"/>
        <v>0.18813333333333332</v>
      </c>
      <c r="G47" s="4080">
        <f t="shared" si="1"/>
        <v>7.6543270540411157E-2</v>
      </c>
      <c r="H47" s="4080">
        <v>0.18813333333333332</v>
      </c>
      <c r="I47" s="4080">
        <v>7.6543270540411157E-2</v>
      </c>
      <c r="K47" s="4342" t="s">
        <v>2716</v>
      </c>
      <c r="L47" s="4368">
        <v>752.5333333333333</v>
      </c>
      <c r="M47" s="4368">
        <v>505.02036075606645</v>
      </c>
      <c r="O47">
        <f t="shared" si="5"/>
        <v>659.45187013002328</v>
      </c>
    </row>
    <row r="48" spans="1:15" x14ac:dyDescent="0.2">
      <c r="A48" s="4076" t="s">
        <v>2718</v>
      </c>
      <c r="B48" t="str">
        <f>INDEX(list_region_country!$G$3:$V$3,,SUMPRODUCT(--(list_region_country!$G$3:$V$56=Elec!A48)*(COLUMN(list_region_country!$G$3:$V$56)-COLUMN(list_region_country!$F$3))))</f>
        <v>Central Africa</v>
      </c>
      <c r="C48" s="4080" t="s">
        <v>3051</v>
      </c>
      <c r="D48" s="235" t="s">
        <v>3051</v>
      </c>
      <c r="E48" s="4080">
        <f t="shared" ca="1" si="4"/>
        <v>0.55983475897490131</v>
      </c>
      <c r="F48" s="4080">
        <f t="shared" si="2"/>
        <v>0.75253333333333328</v>
      </c>
      <c r="G48" s="4080">
        <f t="shared" si="1"/>
        <v>0.58085894445251807</v>
      </c>
      <c r="H48" s="4080">
        <v>0.75253333333333328</v>
      </c>
      <c r="I48" s="4080">
        <v>0.58085894445251807</v>
      </c>
      <c r="K48" s="4342" t="s">
        <v>2658</v>
      </c>
      <c r="L48" s="4368">
        <v>752.5333333333333</v>
      </c>
      <c r="M48" s="4368">
        <v>372.6714673977749</v>
      </c>
      <c r="O48">
        <f t="shared" si="5"/>
        <v>371.52151762409591</v>
      </c>
    </row>
    <row r="49" spans="1:15" x14ac:dyDescent="0.2">
      <c r="A49" s="4077" t="s">
        <v>2659</v>
      </c>
      <c r="B49" t="str">
        <f>INDEX(list_region_country!$G$3:$V$3,,SUMPRODUCT(--(list_region_country!$G$3:$V$56=Elec!A49)*(COLUMN(list_region_country!$G$3:$V$56)-COLUMN(list_region_country!$F$3))))</f>
        <v>South America</v>
      </c>
      <c r="C49" s="4080">
        <v>0.61099999999999999</v>
      </c>
      <c r="D49" s="235">
        <v>2019</v>
      </c>
      <c r="E49" s="4080">
        <f t="shared" si="4"/>
        <v>0.61099999999999999</v>
      </c>
      <c r="F49" s="4080">
        <f t="shared" si="2"/>
        <v>0.65660621583187295</v>
      </c>
      <c r="G49" s="4080">
        <f t="shared" si="1"/>
        <v>0.37077803073608279</v>
      </c>
      <c r="H49" s="4080">
        <v>0.65660621583187295</v>
      </c>
      <c r="I49" s="4080">
        <v>0.37077803073608279</v>
      </c>
      <c r="K49" s="4342" t="s">
        <v>2717</v>
      </c>
      <c r="L49" s="4368">
        <v>188.13333333333333</v>
      </c>
      <c r="M49" s="4368">
        <v>76.543270540411157</v>
      </c>
      <c r="O49">
        <f t="shared" si="5"/>
        <v>752.5333333333333</v>
      </c>
    </row>
    <row r="50" spans="1:15" x14ac:dyDescent="0.2">
      <c r="A50" s="4077" t="s">
        <v>2467</v>
      </c>
      <c r="B50" t="str">
        <f>INDEX(list_region_country!$G$3:$V$3,,SUMPRODUCT(--(list_region_country!$G$3:$V$56=Elec!A50)*(COLUMN(list_region_country!$G$3:$V$56)-COLUMN(list_region_country!$F$3))))</f>
        <v>Eastern Asia</v>
      </c>
      <c r="C50" s="4080">
        <v>0.872</v>
      </c>
      <c r="D50" s="235">
        <v>2019</v>
      </c>
      <c r="E50" s="4080">
        <f t="shared" si="4"/>
        <v>0.872</v>
      </c>
      <c r="F50" s="4080">
        <f t="shared" si="2"/>
        <v>0.89890636354677289</v>
      </c>
      <c r="G50" s="4080">
        <f t="shared" si="1"/>
        <v>0.54746269859913699</v>
      </c>
      <c r="H50" s="4080">
        <v>0.89890636354677289</v>
      </c>
      <c r="I50" s="4080">
        <v>0.54746269859913699</v>
      </c>
      <c r="K50" s="4342" t="s">
        <v>2718</v>
      </c>
      <c r="L50" s="4368">
        <v>752.5333333333333</v>
      </c>
      <c r="M50" s="4368">
        <v>580.85894445251802</v>
      </c>
      <c r="O50">
        <f t="shared" si="5"/>
        <v>188.13333333333333</v>
      </c>
    </row>
    <row r="51" spans="1:15" ht="29" x14ac:dyDescent="0.2">
      <c r="A51" s="4077" t="s">
        <v>2615</v>
      </c>
      <c r="B51" t="str">
        <f>INDEX(list_region_country!$G$3:$V$3,,SUMPRODUCT(--(list_region_country!$G$3:$V$56=Elec!A51)*(COLUMN(list_region_country!$G$3:$V$56)-COLUMN(list_region_country!$F$3))))</f>
        <v>Eastern Asia</v>
      </c>
      <c r="C51" s="4080" t="s">
        <v>3051</v>
      </c>
      <c r="D51" s="235" t="s">
        <v>3051</v>
      </c>
      <c r="E51" s="4080">
        <f t="shared" ca="1" si="4"/>
        <v>0.65671686911312033</v>
      </c>
      <c r="F51" s="4080">
        <f t="shared" si="2"/>
        <v>0.89890636354677289</v>
      </c>
      <c r="G51" s="4080">
        <f t="shared" si="1"/>
        <v>0.54746269859913699</v>
      </c>
      <c r="H51" s="4080">
        <v>0.89890636354677289</v>
      </c>
      <c r="I51" s="4080">
        <v>0.54746269859913699</v>
      </c>
      <c r="K51" s="4342" t="s">
        <v>3155</v>
      </c>
      <c r="L51" s="4369">
        <v>752.5333333333333</v>
      </c>
      <c r="M51" s="4368">
        <v>388.64330796075546</v>
      </c>
      <c r="O51">
        <f t="shared" si="5"/>
        <v>752.5333333333333</v>
      </c>
    </row>
    <row r="52" spans="1:15" ht="29" x14ac:dyDescent="0.2">
      <c r="A52" s="4077" t="s">
        <v>2616</v>
      </c>
      <c r="B52" t="str">
        <f>INDEX(list_region_country!$G$3:$V$3,,SUMPRODUCT(--(list_region_country!$G$3:$V$56=Elec!A52)*(COLUMN(list_region_country!$G$3:$V$56)-COLUMN(list_region_country!$F$3))))</f>
        <v>Eastern Asia</v>
      </c>
      <c r="C52" s="4080" t="s">
        <v>3051</v>
      </c>
      <c r="D52" s="235" t="s">
        <v>3051</v>
      </c>
      <c r="E52" s="4080">
        <f t="shared" ca="1" si="4"/>
        <v>0.65671686911312033</v>
      </c>
      <c r="F52" s="4080">
        <f t="shared" si="2"/>
        <v>0</v>
      </c>
      <c r="G52" s="4080">
        <f t="shared" si="1"/>
        <v>0.51203265090432237</v>
      </c>
      <c r="H52" s="4080" t="s">
        <v>1824</v>
      </c>
      <c r="I52" s="4080" t="s">
        <v>1824</v>
      </c>
      <c r="K52" s="4342" t="s">
        <v>2659</v>
      </c>
      <c r="L52" s="4369">
        <v>656.60621583187299</v>
      </c>
      <c r="M52" s="4368">
        <v>370.77803073608277</v>
      </c>
      <c r="O52">
        <f t="shared" si="5"/>
        <v>656.60621583187299</v>
      </c>
    </row>
    <row r="53" spans="1:15" x14ac:dyDescent="0.2">
      <c r="A53" s="4076" t="s">
        <v>2617</v>
      </c>
      <c r="B53" t="str">
        <f>INDEX(list_region_country!$G$3:$V$3,,SUMPRODUCT(--(list_region_country!$G$3:$V$56=Elec!A53)*(COLUMN(list_region_country!$G$3:$V$56)-COLUMN(list_region_country!$F$3))))</f>
        <v>Oceania</v>
      </c>
      <c r="C53" s="4080" t="s">
        <v>3051</v>
      </c>
      <c r="D53" s="235" t="s">
        <v>3051</v>
      </c>
      <c r="E53" s="4080">
        <f t="shared" ca="1" si="4"/>
        <v>0.58971601656224637</v>
      </c>
      <c r="F53" s="4080">
        <f t="shared" si="2"/>
        <v>0</v>
      </c>
      <c r="G53" s="4080">
        <f t="shared" si="1"/>
        <v>0.45102672411684841</v>
      </c>
      <c r="H53" s="4080" t="s">
        <v>1824</v>
      </c>
      <c r="I53" s="4080" t="s">
        <v>1824</v>
      </c>
      <c r="K53" s="4342" t="s">
        <v>2467</v>
      </c>
      <c r="L53" s="4369">
        <v>898.90636354677292</v>
      </c>
      <c r="M53" s="4368">
        <v>547.46269859913696</v>
      </c>
      <c r="O53">
        <f t="shared" si="5"/>
        <v>898.90636354677292</v>
      </c>
    </row>
    <row r="54" spans="1:15" x14ac:dyDescent="0.2">
      <c r="A54" s="4076" t="s">
        <v>2618</v>
      </c>
      <c r="B54" t="str">
        <f>INDEX(list_region_country!$G$3:$V$3,,SUMPRODUCT(--(list_region_country!$G$3:$V$56=Elec!A54)*(COLUMN(list_region_country!$G$3:$V$56)-COLUMN(list_region_country!$F$3))))</f>
        <v>Oceania</v>
      </c>
      <c r="C54" s="4080" t="s">
        <v>3051</v>
      </c>
      <c r="D54" s="235" t="s">
        <v>3051</v>
      </c>
      <c r="E54" s="4080">
        <f t="shared" ca="1" si="4"/>
        <v>0.58971601656224637</v>
      </c>
      <c r="F54" s="4080">
        <f t="shared" si="2"/>
        <v>0</v>
      </c>
      <c r="G54" s="4080">
        <f t="shared" si="1"/>
        <v>0.45102672411684841</v>
      </c>
      <c r="H54" s="4080" t="s">
        <v>1824</v>
      </c>
      <c r="I54" s="4080" t="s">
        <v>1824</v>
      </c>
      <c r="K54" s="4342" t="s">
        <v>2469</v>
      </c>
      <c r="L54" s="4368">
        <v>409.71074730147222</v>
      </c>
      <c r="M54" s="4368">
        <v>208.3405816551489</v>
      </c>
      <c r="O54">
        <f t="shared" si="5"/>
        <v>898.90636354677292</v>
      </c>
    </row>
    <row r="55" spans="1:15" x14ac:dyDescent="0.2">
      <c r="A55" s="4077" t="s">
        <v>2469</v>
      </c>
      <c r="B55" t="str">
        <f>INDEX(list_region_country!$G$3:$V$3,,SUMPRODUCT(--(list_region_country!$G$3:$V$56=Elec!A55)*(COLUMN(list_region_country!$G$3:$V$56)-COLUMN(list_region_country!$F$3))))</f>
        <v>South America</v>
      </c>
      <c r="C55" s="4080">
        <v>0.33</v>
      </c>
      <c r="D55" s="235">
        <v>2019</v>
      </c>
      <c r="E55" s="4080">
        <f t="shared" si="4"/>
        <v>0.33</v>
      </c>
      <c r="F55" s="4080">
        <f t="shared" si="2"/>
        <v>0.40971074730147222</v>
      </c>
      <c r="G55" s="4080">
        <f t="shared" si="1"/>
        <v>0.2083405816551489</v>
      </c>
      <c r="H55" s="4080">
        <v>0.40971074730147222</v>
      </c>
      <c r="I55" s="4080">
        <v>0.2083405816551489</v>
      </c>
      <c r="K55" s="4342" t="s">
        <v>2471</v>
      </c>
      <c r="L55" s="4369">
        <v>752.5333333333333</v>
      </c>
      <c r="M55" s="4368">
        <v>589.11210738721206</v>
      </c>
      <c r="O55" t="e">
        <f t="shared" si="5"/>
        <v>#N/A</v>
      </c>
    </row>
    <row r="56" spans="1:15" x14ac:dyDescent="0.2">
      <c r="A56" s="4076" t="s">
        <v>2471</v>
      </c>
      <c r="B56" t="str">
        <f>INDEX(list_region_country!$G$3:$V$3,,SUMPRODUCT(--(list_region_country!$G$3:$V$56=Elec!A56)*(COLUMN(list_region_country!$G$3:$V$56)-COLUMN(list_region_country!$F$3))))</f>
        <v>Eastern Africa</v>
      </c>
      <c r="C56" s="4080" t="s">
        <v>3051</v>
      </c>
      <c r="D56" s="235" t="s">
        <v>3051</v>
      </c>
      <c r="E56" s="4080">
        <f t="shared" ca="1" si="4"/>
        <v>0.68163909586343463</v>
      </c>
      <c r="F56" s="4080">
        <f t="shared" si="2"/>
        <v>0.75253333333333328</v>
      </c>
      <c r="G56" s="4080">
        <f t="shared" si="1"/>
        <v>0.58911210738721209</v>
      </c>
      <c r="H56" s="4080">
        <v>0.75253333333333328</v>
      </c>
      <c r="I56" s="4080">
        <v>0.58911210738721209</v>
      </c>
      <c r="K56" s="4342" t="s">
        <v>2481</v>
      </c>
      <c r="L56" s="4369">
        <v>0</v>
      </c>
      <c r="M56" s="4368">
        <v>0.3731949990667075</v>
      </c>
      <c r="O56" t="e">
        <f t="shared" si="5"/>
        <v>#N/A</v>
      </c>
    </row>
    <row r="57" spans="1:15" x14ac:dyDescent="0.2">
      <c r="A57" s="4076" t="s">
        <v>2473</v>
      </c>
      <c r="B57" t="str">
        <f>INDEX(list_region_country!$G$3:$V$3,,SUMPRODUCT(--(list_region_country!$G$3:$V$56=Elec!A57)*(COLUMN(list_region_country!$G$3:$V$56)-COLUMN(list_region_country!$F$3))))</f>
        <v>Central Africa</v>
      </c>
      <c r="C57" s="4080">
        <v>0.68302522338637428</v>
      </c>
      <c r="D57" s="235">
        <v>2007</v>
      </c>
      <c r="E57" s="4080">
        <f t="shared" si="4"/>
        <v>0.68302522338637428</v>
      </c>
      <c r="F57" s="4080">
        <f t="shared" si="2"/>
        <v>0.65935248281124836</v>
      </c>
      <c r="G57" s="4080">
        <f t="shared" si="1"/>
        <v>0.40527115015885989</v>
      </c>
      <c r="H57" s="4080">
        <v>0.65935248281124836</v>
      </c>
      <c r="I57" s="4080">
        <v>0.40527115015885989</v>
      </c>
      <c r="K57" s="4342" t="s">
        <v>2473</v>
      </c>
      <c r="L57" s="4368">
        <v>659.35248281124836</v>
      </c>
      <c r="M57" s="4368">
        <v>405.27115015885988</v>
      </c>
      <c r="O57" t="e">
        <f t="shared" si="5"/>
        <v>#N/A</v>
      </c>
    </row>
    <row r="58" spans="1:15" x14ac:dyDescent="0.2">
      <c r="A58" s="4076" t="s">
        <v>2619</v>
      </c>
      <c r="B58" t="str">
        <f>INDEX(list_region_country!$G$3:$V$3,,SUMPRODUCT(--(list_region_country!$G$3:$V$56=Elec!A58)*(COLUMN(list_region_country!$G$3:$V$56)-COLUMN(list_region_country!$F$3))))</f>
        <v>Oceania</v>
      </c>
      <c r="C58" s="4080" t="s">
        <v>3051</v>
      </c>
      <c r="D58" s="235" t="s">
        <v>3051</v>
      </c>
      <c r="E58" s="4080">
        <f t="shared" ca="1" si="4"/>
        <v>0.58971601656224637</v>
      </c>
      <c r="F58" s="4080">
        <f t="shared" si="2"/>
        <v>0.75253333333333328</v>
      </c>
      <c r="G58" s="4080">
        <f t="shared" si="1"/>
        <v>0.42172474668190363</v>
      </c>
      <c r="H58" s="4080">
        <v>0.75253333333333328</v>
      </c>
      <c r="I58" s="4080">
        <v>0.42172474668190363</v>
      </c>
      <c r="K58" s="4342" t="s">
        <v>2619</v>
      </c>
      <c r="L58" s="4369">
        <v>752.5333333333333</v>
      </c>
      <c r="M58" s="4368">
        <v>421.72474668190364</v>
      </c>
      <c r="O58">
        <f t="shared" si="5"/>
        <v>409.71074730147222</v>
      </c>
    </row>
    <row r="59" spans="1:15" x14ac:dyDescent="0.2">
      <c r="A59" s="4077" t="s">
        <v>2475</v>
      </c>
      <c r="B59" t="str">
        <f>INDEX(list_region_country!$G$3:$V$3,,SUMPRODUCT(--(list_region_country!$G$3:$V$56=Elec!A59)*(COLUMN(list_region_country!$G$3:$V$56)-COLUMN(list_region_country!$F$3))))</f>
        <v>Central America</v>
      </c>
      <c r="C59" s="4080">
        <v>0.28699999999999998</v>
      </c>
      <c r="D59" s="235">
        <v>2019</v>
      </c>
      <c r="E59" s="4080">
        <f t="shared" si="4"/>
        <v>0.28699999999999998</v>
      </c>
      <c r="F59" s="4080">
        <f t="shared" si="2"/>
        <v>0.10777421052631581</v>
      </c>
      <c r="G59" s="4080">
        <f t="shared" si="1"/>
        <v>3.8890542905425193E-2</v>
      </c>
      <c r="H59" s="4080">
        <v>0.10777421052631581</v>
      </c>
      <c r="I59" s="4080">
        <v>3.8890542905425193E-2</v>
      </c>
      <c r="K59" s="4342" t="s">
        <v>2475</v>
      </c>
      <c r="L59" s="4369">
        <v>107.77421052631581</v>
      </c>
      <c r="M59" s="4368">
        <v>38.890542905425193</v>
      </c>
      <c r="O59">
        <f t="shared" si="5"/>
        <v>752.5333333333333</v>
      </c>
    </row>
    <row r="60" spans="1:15" x14ac:dyDescent="0.2">
      <c r="A60" s="4077" t="s">
        <v>2477</v>
      </c>
      <c r="B60" t="str">
        <f>INDEX(list_region_country!$G$3:$V$3,,SUMPRODUCT(--(list_region_country!$G$3:$V$56=Elec!A60)*(COLUMN(list_region_country!$G$3:$V$56)-COLUMN(list_region_country!$F$3))))</f>
        <v>Western Africa</v>
      </c>
      <c r="C60" s="4080">
        <v>0.56299999999999994</v>
      </c>
      <c r="D60" s="235">
        <v>2019</v>
      </c>
      <c r="E60" s="4080">
        <f t="shared" si="4"/>
        <v>0.56299999999999994</v>
      </c>
      <c r="F60" s="4080">
        <f t="shared" si="2"/>
        <v>0.46626367667707391</v>
      </c>
      <c r="G60" s="4080">
        <f t="shared" si="1"/>
        <v>0.31423207204883674</v>
      </c>
      <c r="H60" s="4080">
        <v>0.46626367667707391</v>
      </c>
      <c r="I60" s="4080">
        <v>0.31423207204883674</v>
      </c>
      <c r="K60" s="4342" t="s">
        <v>2477</v>
      </c>
      <c r="L60" s="4369">
        <v>466.26367667707393</v>
      </c>
      <c r="M60" s="4368">
        <v>314.23207204883676</v>
      </c>
      <c r="O60">
        <f t="shared" si="5"/>
        <v>659.35248281124836</v>
      </c>
    </row>
    <row r="61" spans="1:15" x14ac:dyDescent="0.2">
      <c r="A61" s="4076" t="s">
        <v>2744</v>
      </c>
      <c r="B61" t="str">
        <f>INDEX(list_region_country!$G$3:$V$3,,SUMPRODUCT(--(list_region_country!$G$3:$V$56=Elec!A61)*(COLUMN(list_region_country!$G$3:$V$56)-COLUMN(list_region_country!$F$3))))</f>
        <v>Europe</v>
      </c>
      <c r="C61" s="4080">
        <v>0.51296293856220021</v>
      </c>
      <c r="D61" s="235">
        <v>2007</v>
      </c>
      <c r="E61" s="4080">
        <f t="shared" si="4"/>
        <v>0.51296293856220021</v>
      </c>
      <c r="F61" s="4080">
        <f t="shared" si="2"/>
        <v>0.29431925176012996</v>
      </c>
      <c r="G61" s="4080">
        <f t="shared" si="1"/>
        <v>0.16786317078875765</v>
      </c>
      <c r="H61" s="4080">
        <v>0.29431925176012996</v>
      </c>
      <c r="I61" s="4080">
        <v>0.16786317078875765</v>
      </c>
      <c r="K61" s="4342" t="s">
        <v>2744</v>
      </c>
      <c r="L61" s="4369">
        <v>294.31925176012999</v>
      </c>
      <c r="M61" s="4368">
        <v>167.86317078875766</v>
      </c>
      <c r="O61">
        <f t="shared" si="5"/>
        <v>752.5333333333333</v>
      </c>
    </row>
    <row r="62" spans="1:15" x14ac:dyDescent="0.2">
      <c r="A62" s="4077" t="s">
        <v>2479</v>
      </c>
      <c r="B62" t="str">
        <f>INDEX(list_region_country!$G$3:$V$3,,SUMPRODUCT(--(list_region_country!$G$3:$V$56=Elec!A62)*(COLUMN(list_region_country!$G$3:$V$56)-COLUMN(list_region_country!$F$3))))</f>
        <v>Caribbean</v>
      </c>
      <c r="C62" s="4080">
        <v>0.874</v>
      </c>
      <c r="D62" s="235">
        <v>2019</v>
      </c>
      <c r="E62" s="4080">
        <f t="shared" si="4"/>
        <v>0.874</v>
      </c>
      <c r="F62" s="4080">
        <f t="shared" si="2"/>
        <v>0.55894810393390726</v>
      </c>
      <c r="G62" s="4080">
        <f t="shared" si="1"/>
        <v>0.39116420340992103</v>
      </c>
      <c r="H62" s="4080">
        <v>0.55894810393390726</v>
      </c>
      <c r="I62" s="4080">
        <v>0.39116420340992103</v>
      </c>
      <c r="K62" s="4342" t="s">
        <v>2479</v>
      </c>
      <c r="L62" s="4369">
        <v>558.9481039339073</v>
      </c>
      <c r="M62" s="4368">
        <v>391.16420340992102</v>
      </c>
      <c r="O62">
        <f t="shared" si="5"/>
        <v>107.77421052631581</v>
      </c>
    </row>
    <row r="63" spans="1:15" x14ac:dyDescent="0.2">
      <c r="A63" s="4077" t="s">
        <v>2660</v>
      </c>
      <c r="B63" t="str">
        <f>INDEX(list_region_country!$G$3:$V$3,,SUMPRODUCT(--(list_region_country!$G$3:$V$56=Elec!A63)*(COLUMN(list_region_country!$G$3:$V$56)-COLUMN(list_region_country!$F$3))))</f>
        <v>Caribbean</v>
      </c>
      <c r="C63" s="4080" t="s">
        <v>3051</v>
      </c>
      <c r="D63" s="235" t="s">
        <v>3051</v>
      </c>
      <c r="E63" s="4080">
        <f t="shared" ca="1" si="4"/>
        <v>0.65968875404607097</v>
      </c>
      <c r="F63" s="4080">
        <f t="shared" si="2"/>
        <v>0.8764736842105264</v>
      </c>
      <c r="G63" s="4080">
        <f t="shared" si="1"/>
        <v>0.50573442734547314</v>
      </c>
      <c r="H63" s="4080">
        <v>0.8764736842105264</v>
      </c>
      <c r="I63" s="4080">
        <v>0.50573442734547314</v>
      </c>
      <c r="K63" s="4342" t="s">
        <v>2660</v>
      </c>
      <c r="L63" s="4369">
        <v>876.47368421052636</v>
      </c>
      <c r="M63" s="4368">
        <v>505.73442734547314</v>
      </c>
      <c r="O63">
        <f t="shared" si="5"/>
        <v>466.26367667707393</v>
      </c>
    </row>
    <row r="64" spans="1:15" x14ac:dyDescent="0.2">
      <c r="A64" s="4077" t="s">
        <v>2682</v>
      </c>
      <c r="B64" t="str">
        <f>INDEX(list_region_country!$G$3:$V$3,,SUMPRODUCT(--(list_region_country!$G$3:$V$56=Elec!A64)*(COLUMN(list_region_country!$G$3:$V$56)-COLUMN(list_region_country!$F$3))))</f>
        <v>Western Asia</v>
      </c>
      <c r="C64" s="4080">
        <v>0.79800000000000004</v>
      </c>
      <c r="D64" s="235">
        <v>2019</v>
      </c>
      <c r="E64" s="4080">
        <f t="shared" si="4"/>
        <v>0.79800000000000004</v>
      </c>
      <c r="F64" s="4080">
        <f t="shared" si="2"/>
        <v>0.75057894736842101</v>
      </c>
      <c r="G64" s="4080">
        <f t="shared" si="1"/>
        <v>0.43803047550899349</v>
      </c>
      <c r="H64" s="4080">
        <v>0.75057894736842101</v>
      </c>
      <c r="I64" s="4080">
        <v>0.43803047550899349</v>
      </c>
      <c r="K64" s="4342" t="s">
        <v>2682</v>
      </c>
      <c r="L64" s="4369">
        <v>750.57894736842104</v>
      </c>
      <c r="M64" s="4368">
        <v>438.0304755089935</v>
      </c>
      <c r="O64">
        <f t="shared" si="5"/>
        <v>294.31925176012999</v>
      </c>
    </row>
    <row r="65" spans="1:15" x14ac:dyDescent="0.2">
      <c r="A65" s="4076" t="s">
        <v>2644</v>
      </c>
      <c r="B65" t="str">
        <f>INDEX(list_region_country!$G$3:$V$3,,SUMPRODUCT(--(list_region_country!$G$3:$V$56=Elec!A65)*(COLUMN(list_region_country!$G$3:$V$56)-COLUMN(list_region_country!$F$3))))</f>
        <v>Europe</v>
      </c>
      <c r="C65" s="4080">
        <v>0.60436272401240154</v>
      </c>
      <c r="D65" s="235">
        <v>2007</v>
      </c>
      <c r="E65" s="4080">
        <f t="shared" si="4"/>
        <v>0.60436272401240154</v>
      </c>
      <c r="F65" s="4080">
        <f t="shared" si="2"/>
        <v>0.90155574913520964</v>
      </c>
      <c r="G65" s="4080">
        <f t="shared" si="1"/>
        <v>0.46130532071465791</v>
      </c>
      <c r="H65" s="4080">
        <v>0.90155574913520964</v>
      </c>
      <c r="I65" s="4080">
        <v>0.46130532071465791</v>
      </c>
      <c r="K65" s="4342" t="s">
        <v>2644</v>
      </c>
      <c r="L65" s="4369">
        <v>901.55574913520968</v>
      </c>
      <c r="M65" s="4368">
        <v>461.30532071465791</v>
      </c>
      <c r="O65">
        <f t="shared" si="5"/>
        <v>558.9481039339073</v>
      </c>
    </row>
    <row r="66" spans="1:15" x14ac:dyDescent="0.2">
      <c r="A66" s="4077" t="s">
        <v>2620</v>
      </c>
      <c r="B66" t="str">
        <f>INDEX(list_region_country!$G$3:$V$3,,SUMPRODUCT(--(list_region_country!$G$3:$V$56=Elec!A66)*(COLUMN(list_region_country!$G$3:$V$56)-COLUMN(list_region_country!$F$3))))</f>
        <v>Eastern Asia</v>
      </c>
      <c r="C66" s="4080">
        <v>0.63040777962737482</v>
      </c>
      <c r="D66" s="235">
        <v>2007</v>
      </c>
      <c r="E66" s="4080">
        <f t="shared" si="4"/>
        <v>0.63040777962737482</v>
      </c>
      <c r="F66" s="4080">
        <f t="shared" si="2"/>
        <v>0.75413804349403113</v>
      </c>
      <c r="G66" s="4080">
        <f t="shared" si="1"/>
        <v>0.35948250254137204</v>
      </c>
      <c r="H66" s="4080">
        <v>0.75413804349403113</v>
      </c>
      <c r="I66" s="4080">
        <v>0.35948250254137204</v>
      </c>
      <c r="K66" s="4342" t="s">
        <v>2745</v>
      </c>
      <c r="L66" s="4368">
        <v>361.63560713855048</v>
      </c>
      <c r="M66" s="4368">
        <v>155.24215224135511</v>
      </c>
      <c r="O66">
        <f t="shared" si="5"/>
        <v>876.47368421052636</v>
      </c>
    </row>
    <row r="67" spans="1:15" x14ac:dyDescent="0.2">
      <c r="A67" s="4076" t="s">
        <v>2481</v>
      </c>
      <c r="B67" t="str">
        <f>INDEX(list_region_country!$G$3:$V$3,,SUMPRODUCT(--(list_region_country!$G$3:$V$56=Elec!A67)*(COLUMN(list_region_country!$G$3:$V$56)-COLUMN(list_region_country!$F$3))))</f>
        <v>Central Africa</v>
      </c>
      <c r="C67" s="4080">
        <v>0.94799999999999995</v>
      </c>
      <c r="D67" s="235">
        <v>2019</v>
      </c>
      <c r="E67" s="4080">
        <f t="shared" si="4"/>
        <v>0.94799999999999995</v>
      </c>
      <c r="F67" s="4080">
        <f t="shared" si="2"/>
        <v>0</v>
      </c>
      <c r="G67" s="4377">
        <f t="shared" si="1"/>
        <v>3.7319499906670749E-4</v>
      </c>
      <c r="H67" s="4080" t="s">
        <v>1824</v>
      </c>
      <c r="I67" s="4377">
        <v>3.7319499906670749E-4</v>
      </c>
      <c r="K67" s="4342" t="s">
        <v>2483</v>
      </c>
      <c r="L67" s="4368">
        <v>752.5333333333333</v>
      </c>
      <c r="M67" s="4368">
        <v>575.4710042947454</v>
      </c>
      <c r="O67">
        <f t="shared" si="5"/>
        <v>750.57894736842104</v>
      </c>
    </row>
    <row r="68" spans="1:15" x14ac:dyDescent="0.2">
      <c r="A68" s="4076" t="s">
        <v>2745</v>
      </c>
      <c r="B68" t="str">
        <f>INDEX(list_region_country!$G$3:$V$3,,SUMPRODUCT(--(list_region_country!$G$3:$V$56=Elec!A68)*(COLUMN(list_region_country!$G$3:$V$56)-COLUMN(list_region_country!$F$3))))</f>
        <v>Europe</v>
      </c>
      <c r="C68" s="4080">
        <v>0.3584115437150644</v>
      </c>
      <c r="D68" s="235">
        <v>2007</v>
      </c>
      <c r="E68" s="4080">
        <f t="shared" si="4"/>
        <v>0.3584115437150644</v>
      </c>
      <c r="F68" s="4080">
        <f t="shared" si="2"/>
        <v>0.36163560713855047</v>
      </c>
      <c r="G68" s="4080">
        <f t="shared" si="1"/>
        <v>0.15524215224135512</v>
      </c>
      <c r="H68" s="4080">
        <v>0.36163560713855047</v>
      </c>
      <c r="I68" s="4080">
        <v>0.15524215224135512</v>
      </c>
      <c r="K68" s="4342" t="s">
        <v>2661</v>
      </c>
      <c r="L68" s="4369">
        <v>752.5333333333333</v>
      </c>
      <c r="M68" s="4368">
        <v>432.87633042985703</v>
      </c>
      <c r="O68">
        <f t="shared" si="5"/>
        <v>901.55574913520968</v>
      </c>
    </row>
    <row r="69" spans="1:15" x14ac:dyDescent="0.2">
      <c r="A69" s="4076" t="s">
        <v>2483</v>
      </c>
      <c r="B69" t="str">
        <f>INDEX(list_region_country!$G$3:$V$3,,SUMPRODUCT(--(list_region_country!$G$3:$V$56=Elec!A69)*(COLUMN(list_region_country!$G$3:$V$56)-COLUMN(list_region_country!$F$3))))</f>
        <v>Eastern Africa</v>
      </c>
      <c r="C69" s="4080" t="s">
        <v>3051</v>
      </c>
      <c r="D69" s="235" t="s">
        <v>3051</v>
      </c>
      <c r="E69" s="4080">
        <f t="shared" ref="E69:E100" ca="1" si="6">IF(C69="",AVERAGEIF($B$5:$C$252,B69,$C$5:$C$252),C69)</f>
        <v>0.68163909586343463</v>
      </c>
      <c r="F69" s="4080">
        <f t="shared" si="2"/>
        <v>0.75253333333333328</v>
      </c>
      <c r="G69" s="4080">
        <f t="shared" ref="G69:G132" si="7">IFERROR(IF(VLOOKUP(A69, $K$8:$M$241, 3, FALSE)/1000 = 0, AVERAGEIF($B$5:$B$252,B69,$I$5:$I$252), VLOOKUP(A69, $K$8:$M$241, 3, FALSE)/1000 ), AVERAGEIF($B$5:$B$252,B69,$I$5:$I$252))</f>
        <v>0.5754710042947454</v>
      </c>
      <c r="H69" s="4080">
        <v>0.75253333333333328</v>
      </c>
      <c r="I69" s="4080">
        <v>0.5754710042947454</v>
      </c>
      <c r="K69" s="4342" t="s">
        <v>2485</v>
      </c>
      <c r="L69" s="4369">
        <v>601.24214799644926</v>
      </c>
      <c r="M69" s="4368">
        <v>426.21990441060319</v>
      </c>
      <c r="O69">
        <f t="shared" si="5"/>
        <v>754.13804349403108</v>
      </c>
    </row>
    <row r="70" spans="1:15" x14ac:dyDescent="0.2">
      <c r="A70" s="4077" t="s">
        <v>2661</v>
      </c>
      <c r="B70" t="str">
        <f>INDEX(list_region_country!$G$3:$V$3,,SUMPRODUCT(--(list_region_country!$G$3:$V$56=Elec!A70)*(COLUMN(list_region_country!$G$3:$V$56)-COLUMN(list_region_country!$F$3))))</f>
        <v>Caribbean</v>
      </c>
      <c r="C70" s="4080" t="s">
        <v>3051</v>
      </c>
      <c r="D70" s="235" t="s">
        <v>3051</v>
      </c>
      <c r="E70" s="4080">
        <f t="shared" ca="1" si="6"/>
        <v>0.65968875404607097</v>
      </c>
      <c r="F70" s="4080">
        <f t="shared" ref="F70:F133" si="8">IFERROR(IF(VLOOKUP(A70, $K$8:$M$241, 2, FALSE)/1000 = 0, 0, VLOOKUP(A70, $K$8:$M$241, 2, FALSE)/1000 ), 0)</f>
        <v>0.75253333333333328</v>
      </c>
      <c r="G70" s="4080">
        <f t="shared" si="7"/>
        <v>0.43287633042985701</v>
      </c>
      <c r="H70" s="4080">
        <v>0.75253333333333328</v>
      </c>
      <c r="I70" s="4080">
        <v>0.43287633042985701</v>
      </c>
      <c r="K70" s="4342" t="s">
        <v>2487</v>
      </c>
      <c r="L70" s="4369">
        <v>560.27269075299523</v>
      </c>
      <c r="M70" s="4368">
        <v>280.0294909278872</v>
      </c>
      <c r="O70">
        <f t="shared" si="5"/>
        <v>0</v>
      </c>
    </row>
    <row r="71" spans="1:15" x14ac:dyDescent="0.2">
      <c r="A71" s="4077" t="s">
        <v>2485</v>
      </c>
      <c r="B71" t="str">
        <f>INDEX(list_region_country!$G$3:$V$3,,SUMPRODUCT(--(list_region_country!$G$3:$V$56=Elec!A71)*(COLUMN(list_region_country!$G$3:$V$56)-COLUMN(list_region_country!$F$3))))</f>
        <v>Caribbean</v>
      </c>
      <c r="C71" s="4080">
        <v>0.54300000000000004</v>
      </c>
      <c r="D71" s="235">
        <v>2019</v>
      </c>
      <c r="E71" s="4080">
        <f t="shared" si="6"/>
        <v>0.54300000000000004</v>
      </c>
      <c r="F71" s="4080">
        <f t="shared" si="8"/>
        <v>0.60124214799644926</v>
      </c>
      <c r="G71" s="4080">
        <f t="shared" si="7"/>
        <v>0.4262199044106032</v>
      </c>
      <c r="H71" s="4080">
        <v>0.60124214799644926</v>
      </c>
      <c r="I71" s="4080">
        <v>0.4262199044106032</v>
      </c>
      <c r="K71" s="4342" t="s">
        <v>2489</v>
      </c>
      <c r="L71" s="4369">
        <v>553.84226605880474</v>
      </c>
      <c r="M71" s="4368">
        <v>405.88937135029744</v>
      </c>
      <c r="O71">
        <f t="shared" si="5"/>
        <v>361.63560713855048</v>
      </c>
    </row>
    <row r="72" spans="1:15" x14ac:dyDescent="0.2">
      <c r="A72" s="4077" t="s">
        <v>2487</v>
      </c>
      <c r="B72" t="str">
        <f>INDEX(list_region_country!$G$3:$V$3,,SUMPRODUCT(--(list_region_country!$G$3:$V$56=Elec!A72)*(COLUMN(list_region_country!$G$3:$V$56)-COLUMN(list_region_country!$F$3))))</f>
        <v>South America</v>
      </c>
      <c r="C72" s="4080">
        <v>0.60899999999999999</v>
      </c>
      <c r="D72" s="235">
        <v>2019</v>
      </c>
      <c r="E72" s="4080">
        <f t="shared" si="6"/>
        <v>0.60899999999999999</v>
      </c>
      <c r="F72" s="4080">
        <f t="shared" si="8"/>
        <v>0.56027269075299524</v>
      </c>
      <c r="G72" s="4080">
        <f t="shared" si="7"/>
        <v>0.2800294909278872</v>
      </c>
      <c r="H72" s="4080">
        <v>0.56027269075299524</v>
      </c>
      <c r="I72" s="4080">
        <v>0.2800294909278872</v>
      </c>
      <c r="K72" s="4342" t="s">
        <v>2491</v>
      </c>
      <c r="L72" s="4368">
        <v>547.4921052631579</v>
      </c>
      <c r="M72" s="4368">
        <v>274.85008888093455</v>
      </c>
      <c r="O72">
        <f t="shared" ref="O72:O103" si="9">VLOOKUP(A69, $K$8:$M$241, 2, FALSE)</f>
        <v>752.5333333333333</v>
      </c>
    </row>
    <row r="73" spans="1:15" x14ac:dyDescent="0.2">
      <c r="A73" s="4077" t="s">
        <v>2489</v>
      </c>
      <c r="B73" t="str">
        <f>INDEX(list_region_country!$G$3:$V$3,,SUMPRODUCT(--(list_region_country!$G$3:$V$56=Elec!A73)*(COLUMN(list_region_country!$G$3:$V$56)-COLUMN(list_region_country!$F$3))))</f>
        <v>Northern Africa</v>
      </c>
      <c r="C73" s="4080">
        <v>0.53300000000000003</v>
      </c>
      <c r="D73" s="235">
        <v>2019</v>
      </c>
      <c r="E73" s="4080">
        <f t="shared" si="6"/>
        <v>0.53300000000000003</v>
      </c>
      <c r="F73" s="4080">
        <f t="shared" si="8"/>
        <v>0.55384226605880471</v>
      </c>
      <c r="G73" s="4080">
        <f t="shared" si="7"/>
        <v>0.40588937135029746</v>
      </c>
      <c r="H73" s="4080">
        <v>0.55384226605880471</v>
      </c>
      <c r="I73" s="4080">
        <v>0.40588937135029746</v>
      </c>
      <c r="K73" s="4342" t="s">
        <v>2493</v>
      </c>
      <c r="L73" s="4369">
        <v>632.43284947523387</v>
      </c>
      <c r="M73" s="4368">
        <v>361.14391543849621</v>
      </c>
      <c r="O73">
        <f t="shared" si="9"/>
        <v>752.5333333333333</v>
      </c>
    </row>
    <row r="74" spans="1:15" x14ac:dyDescent="0.2">
      <c r="A74" s="4077" t="s">
        <v>2491</v>
      </c>
      <c r="B74" t="str">
        <f>INDEX(list_region_country!$G$3:$V$3,,SUMPRODUCT(--(list_region_country!$G$3:$V$56=Elec!A74)*(COLUMN(list_region_country!$G$3:$V$56)-COLUMN(list_region_country!$F$3))))</f>
        <v>Central America</v>
      </c>
      <c r="C74" s="4080">
        <v>0.68200000000000005</v>
      </c>
      <c r="D74" s="235">
        <v>2019</v>
      </c>
      <c r="E74" s="4080">
        <f t="shared" si="6"/>
        <v>0.68200000000000005</v>
      </c>
      <c r="F74" s="4080">
        <f t="shared" si="8"/>
        <v>0.54749210526315795</v>
      </c>
      <c r="G74" s="4080">
        <f t="shared" si="7"/>
        <v>0.27485008888093454</v>
      </c>
      <c r="H74" s="4080">
        <v>0.54749210526315795</v>
      </c>
      <c r="I74" s="4080">
        <v>0.27485008888093454</v>
      </c>
      <c r="K74" s="4342" t="s">
        <v>2495</v>
      </c>
      <c r="L74" s="4369">
        <v>915.28421052631586</v>
      </c>
      <c r="M74" s="4368">
        <v>703.65909562906108</v>
      </c>
      <c r="O74">
        <f t="shared" si="9"/>
        <v>601.24214799644926</v>
      </c>
    </row>
    <row r="75" spans="1:15" x14ac:dyDescent="0.2">
      <c r="A75" s="4076" t="s">
        <v>2493</v>
      </c>
      <c r="B75" t="str">
        <f>INDEX(list_region_country!$G$3:$V$3,,SUMPRODUCT(--(list_region_country!$G$3:$V$56=Elec!A75)*(COLUMN(list_region_country!$G$3:$V$56)-COLUMN(list_region_country!$F$3))))</f>
        <v>Central Africa</v>
      </c>
      <c r="C75" s="4080" t="s">
        <v>3051</v>
      </c>
      <c r="D75" s="235" t="s">
        <v>3051</v>
      </c>
      <c r="E75" s="4080">
        <f t="shared" ca="1" si="6"/>
        <v>0.55983475897490131</v>
      </c>
      <c r="F75" s="4080">
        <f t="shared" si="8"/>
        <v>0.63243284947523382</v>
      </c>
      <c r="G75" s="4080">
        <f t="shared" si="7"/>
        <v>0.36114391543849622</v>
      </c>
      <c r="H75" s="4080">
        <v>0.63243284947523382</v>
      </c>
      <c r="I75" s="4080">
        <v>0.36114391543849622</v>
      </c>
      <c r="K75" s="4342" t="s">
        <v>2746</v>
      </c>
      <c r="L75" s="4368">
        <v>1056.9384728916884</v>
      </c>
      <c r="M75" s="4368">
        <v>625.15083075896132</v>
      </c>
      <c r="O75">
        <f t="shared" si="9"/>
        <v>560.27269075299523</v>
      </c>
    </row>
    <row r="76" spans="1:15" x14ac:dyDescent="0.2">
      <c r="A76" s="4076" t="s">
        <v>2495</v>
      </c>
      <c r="B76" t="str">
        <f>INDEX(list_region_country!$G$3:$V$3,,SUMPRODUCT(--(list_region_country!$G$3:$V$56=Elec!A76)*(COLUMN(list_region_country!$G$3:$V$56)-COLUMN(list_region_country!$F$3))))</f>
        <v>Eastern Africa</v>
      </c>
      <c r="C76" s="4080">
        <v>0.7361541269406392</v>
      </c>
      <c r="D76" s="235">
        <v>2007</v>
      </c>
      <c r="E76" s="4080">
        <f t="shared" si="6"/>
        <v>0.7361541269406392</v>
      </c>
      <c r="F76" s="4080">
        <f t="shared" si="8"/>
        <v>0.91528421052631581</v>
      </c>
      <c r="G76" s="4080">
        <f t="shared" si="7"/>
        <v>0.70365909562906104</v>
      </c>
      <c r="H76" s="4080">
        <v>0.91528421052631581</v>
      </c>
      <c r="I76" s="4080">
        <v>0.70365909562906104</v>
      </c>
      <c r="K76" s="4342" t="s">
        <v>2719</v>
      </c>
      <c r="L76" s="4369">
        <v>0</v>
      </c>
      <c r="M76" s="4368">
        <v>0</v>
      </c>
      <c r="O76">
        <f t="shared" si="9"/>
        <v>553.84226605880474</v>
      </c>
    </row>
    <row r="77" spans="1:15" x14ac:dyDescent="0.2">
      <c r="A77" s="4076" t="s">
        <v>2746</v>
      </c>
      <c r="B77" t="str">
        <f>INDEX(list_region_country!$G$3:$V$3,,SUMPRODUCT(--(list_region_country!$G$3:$V$56=Elec!A77)*(COLUMN(list_region_country!$G$3:$V$56)-COLUMN(list_region_country!$F$3))))</f>
        <v>Europe</v>
      </c>
      <c r="C77" s="4080">
        <v>0.77354820200126118</v>
      </c>
      <c r="D77" s="235">
        <v>2007</v>
      </c>
      <c r="E77" s="4080">
        <f t="shared" si="6"/>
        <v>0.77354820200126118</v>
      </c>
      <c r="F77" s="4080">
        <f t="shared" si="8"/>
        <v>1.0569384728916884</v>
      </c>
      <c r="G77" s="4080">
        <f t="shared" si="7"/>
        <v>0.62515083075896127</v>
      </c>
      <c r="H77" s="4080">
        <v>1.0569384728916884</v>
      </c>
      <c r="I77" s="4080">
        <v>0.62515083075896127</v>
      </c>
      <c r="K77" s="4342" t="s">
        <v>2720</v>
      </c>
      <c r="L77" s="4368">
        <v>0</v>
      </c>
      <c r="M77" s="4368">
        <v>0.14137451606587195</v>
      </c>
      <c r="O77">
        <f t="shared" si="9"/>
        <v>547.4921052631579</v>
      </c>
    </row>
    <row r="78" spans="1:15" x14ac:dyDescent="0.2">
      <c r="A78" s="4077" t="s">
        <v>2719</v>
      </c>
      <c r="B78" t="str">
        <f>INDEX(list_region_country!$G$3:$V$3,,SUMPRODUCT(--(list_region_country!$G$3:$V$56=Elec!A78)*(COLUMN(list_region_country!$G$3:$V$56)-COLUMN(list_region_country!$F$3))))</f>
        <v>Southern Africa</v>
      </c>
      <c r="C78" s="4080">
        <v>0.90900000000000003</v>
      </c>
      <c r="D78" s="235">
        <v>2019</v>
      </c>
      <c r="E78" s="4080">
        <f t="shared" si="6"/>
        <v>0.90900000000000003</v>
      </c>
      <c r="F78" s="4080">
        <f t="shared" si="8"/>
        <v>0</v>
      </c>
      <c r="G78" s="4080">
        <f t="shared" si="7"/>
        <v>0.65207291524517819</v>
      </c>
      <c r="H78" s="4080" t="s">
        <v>1824</v>
      </c>
      <c r="I78" s="4080" t="s">
        <v>1824</v>
      </c>
      <c r="K78" s="4342" t="s">
        <v>2662</v>
      </c>
      <c r="L78" s="4368">
        <v>752.5333333333333</v>
      </c>
      <c r="M78" s="4368">
        <v>315.56387781247656</v>
      </c>
      <c r="O78">
        <f t="shared" si="9"/>
        <v>632.43284947523387</v>
      </c>
    </row>
    <row r="79" spans="1:15" x14ac:dyDescent="0.2">
      <c r="A79" s="4076" t="s">
        <v>2720</v>
      </c>
      <c r="B79" t="str">
        <f>INDEX(list_region_country!$G$3:$V$3,,SUMPRODUCT(--(list_region_country!$G$3:$V$56=Elec!A79)*(COLUMN(list_region_country!$G$3:$V$56)-COLUMN(list_region_country!$F$3))))</f>
        <v>Eastern Africa</v>
      </c>
      <c r="C79" s="4080">
        <v>1.051502342057762E-2</v>
      </c>
      <c r="D79" s="235">
        <v>2007</v>
      </c>
      <c r="E79" s="4080">
        <f t="shared" si="6"/>
        <v>1.051502342057762E-2</v>
      </c>
      <c r="F79" s="4080">
        <f t="shared" si="8"/>
        <v>0</v>
      </c>
      <c r="G79" s="4378">
        <f t="shared" si="7"/>
        <v>1.4137451606587194E-4</v>
      </c>
      <c r="H79" s="4080" t="s">
        <v>1824</v>
      </c>
      <c r="I79" s="4080">
        <v>1.4137451606587194E-4</v>
      </c>
      <c r="K79" s="4342" t="s">
        <v>2747</v>
      </c>
      <c r="L79" s="4368">
        <v>752.5333333333333</v>
      </c>
      <c r="M79" s="4368">
        <v>320.4106740312501</v>
      </c>
      <c r="O79">
        <f t="shared" si="9"/>
        <v>915.28421052631586</v>
      </c>
    </row>
    <row r="80" spans="1:15" x14ac:dyDescent="0.2">
      <c r="A80" s="4077" t="s">
        <v>2662</v>
      </c>
      <c r="B80" t="str">
        <f>INDEX(list_region_country!$G$3:$V$3,,SUMPRODUCT(--(list_region_country!$G$3:$V$56=Elec!A80)*(COLUMN(list_region_country!$G$3:$V$56)-COLUMN(list_region_country!$F$3))))</f>
        <v>South America</v>
      </c>
      <c r="C80" s="4080" t="s">
        <v>3051</v>
      </c>
      <c r="D80" s="235" t="s">
        <v>3051</v>
      </c>
      <c r="E80" s="4080">
        <f t="shared" ca="1" si="6"/>
        <v>0.47627995662408912</v>
      </c>
      <c r="F80" s="4080">
        <f t="shared" si="8"/>
        <v>0.75253333333333328</v>
      </c>
      <c r="G80" s="4080">
        <f t="shared" si="7"/>
        <v>0.31556387781247658</v>
      </c>
      <c r="H80" s="4080">
        <v>0.75253333333333328</v>
      </c>
      <c r="I80" s="4080">
        <v>0.31556387781247658</v>
      </c>
      <c r="K80" s="4342" t="s">
        <v>2497</v>
      </c>
      <c r="L80" s="4369">
        <v>639.65333333333331</v>
      </c>
      <c r="M80" s="4368">
        <v>334.44750654637954</v>
      </c>
      <c r="O80">
        <f t="shared" si="9"/>
        <v>1056.9384728916884</v>
      </c>
    </row>
    <row r="81" spans="1:15" x14ac:dyDescent="0.2">
      <c r="A81" s="4076" t="s">
        <v>2747</v>
      </c>
      <c r="B81" t="str">
        <f>INDEX(list_region_country!$G$3:$V$3,,SUMPRODUCT(--(list_region_country!$G$3:$V$56=Elec!A81)*(COLUMN(list_region_country!$G$3:$V$56)-COLUMN(list_region_country!$F$3))))</f>
        <v>Europe</v>
      </c>
      <c r="C81" s="4080" t="s">
        <v>3051</v>
      </c>
      <c r="D81" s="235" t="s">
        <v>3051</v>
      </c>
      <c r="E81" s="4080">
        <f t="shared" ca="1" si="6"/>
        <v>0.47807669886913667</v>
      </c>
      <c r="F81" s="4080">
        <f t="shared" si="8"/>
        <v>0.75253333333333328</v>
      </c>
      <c r="G81" s="4080">
        <f t="shared" si="7"/>
        <v>0.32041067403125012</v>
      </c>
      <c r="H81" s="4080">
        <v>0.75253333333333328</v>
      </c>
      <c r="I81" s="4080">
        <v>0.32041067403125012</v>
      </c>
      <c r="K81" s="4342" t="s">
        <v>2748</v>
      </c>
      <c r="L81" s="4369">
        <v>266.65093129253086</v>
      </c>
      <c r="M81" s="4368">
        <v>114.07744325305934</v>
      </c>
      <c r="O81">
        <f t="shared" si="9"/>
        <v>0</v>
      </c>
    </row>
    <row r="82" spans="1:15" x14ac:dyDescent="0.2">
      <c r="A82" s="4076" t="s">
        <v>2497</v>
      </c>
      <c r="B82" t="str">
        <f>INDEX(list_region_country!$G$3:$V$3,,SUMPRODUCT(--(list_region_country!$G$3:$V$56=Elec!A82)*(COLUMN(list_region_country!$G$3:$V$56)-COLUMN(list_region_country!$F$3))))</f>
        <v>Oceania</v>
      </c>
      <c r="C82" s="4080">
        <v>0.59699999999999998</v>
      </c>
      <c r="D82" s="235">
        <v>2019</v>
      </c>
      <c r="E82" s="4080">
        <f t="shared" si="6"/>
        <v>0.59699999999999998</v>
      </c>
      <c r="F82" s="4080">
        <f t="shared" si="8"/>
        <v>0.6396533333333333</v>
      </c>
      <c r="G82" s="4080">
        <f t="shared" si="7"/>
        <v>0.33444750654637956</v>
      </c>
      <c r="H82" s="4080">
        <v>0.6396533333333333</v>
      </c>
      <c r="I82" s="4080">
        <v>0.33444750654637956</v>
      </c>
      <c r="K82" s="4342" t="s">
        <v>2749</v>
      </c>
      <c r="L82" s="4368">
        <v>158.13943258655422</v>
      </c>
      <c r="M82" s="4368">
        <v>67.622730217810499</v>
      </c>
      <c r="O82">
        <f t="shared" si="9"/>
        <v>0</v>
      </c>
    </row>
    <row r="83" spans="1:15" x14ac:dyDescent="0.2">
      <c r="A83" s="4076" t="s">
        <v>2748</v>
      </c>
      <c r="B83" t="str">
        <f>INDEX(list_region_country!$G$3:$V$3,,SUMPRODUCT(--(list_region_country!$G$3:$V$56=Elec!A83)*(COLUMN(list_region_country!$G$3:$V$56)-COLUMN(list_region_country!$F$3))))</f>
        <v>Europe</v>
      </c>
      <c r="C83" s="4080">
        <v>0.23912726117410768</v>
      </c>
      <c r="D83" s="235">
        <v>2007</v>
      </c>
      <c r="E83" s="4080">
        <f t="shared" si="6"/>
        <v>0.23912726117410768</v>
      </c>
      <c r="F83" s="4080">
        <f t="shared" si="8"/>
        <v>0.26665093129253087</v>
      </c>
      <c r="G83" s="4080">
        <f t="shared" si="7"/>
        <v>0.11407744325305934</v>
      </c>
      <c r="H83" s="4080">
        <v>0.26665093129253087</v>
      </c>
      <c r="I83" s="4080">
        <v>0.11407744325305934</v>
      </c>
      <c r="K83" s="4342" t="s">
        <v>2499</v>
      </c>
      <c r="L83" s="4368">
        <v>423.4290196078432</v>
      </c>
      <c r="M83" s="4368">
        <v>199.63952023268763</v>
      </c>
      <c r="O83">
        <f t="shared" si="9"/>
        <v>752.5333333333333</v>
      </c>
    </row>
    <row r="84" spans="1:15" x14ac:dyDescent="0.2">
      <c r="A84" s="4076" t="s">
        <v>2749</v>
      </c>
      <c r="B84" t="str">
        <f>INDEX(list_region_country!$G$3:$V$3,,SUMPRODUCT(--(list_region_country!$G$3:$V$56=Elec!A84)*(COLUMN(list_region_country!$G$3:$V$56)-COLUMN(list_region_country!$F$3))))</f>
        <v>Europe</v>
      </c>
      <c r="C84" s="4080">
        <v>8.2665880358369484E-2</v>
      </c>
      <c r="D84" s="235">
        <v>2007</v>
      </c>
      <c r="E84" s="4080">
        <f t="shared" si="6"/>
        <v>8.2665880358369484E-2</v>
      </c>
      <c r="F84" s="4080">
        <f t="shared" si="8"/>
        <v>0.15813943258655422</v>
      </c>
      <c r="G84" s="4080">
        <f t="shared" si="7"/>
        <v>6.7622730217810498E-2</v>
      </c>
      <c r="H84" s="4080">
        <v>0.15813943258655422</v>
      </c>
      <c r="I84" s="4080">
        <v>6.7622730217810498E-2</v>
      </c>
      <c r="K84" s="4342" t="s">
        <v>2621</v>
      </c>
      <c r="L84" s="4369">
        <v>752.5333333333333</v>
      </c>
      <c r="M84" s="4368">
        <v>412.46692155998733</v>
      </c>
      <c r="O84">
        <f t="shared" si="9"/>
        <v>752.5333333333333</v>
      </c>
    </row>
    <row r="85" spans="1:15" x14ac:dyDescent="0.2">
      <c r="A85" s="4077" t="s">
        <v>2499</v>
      </c>
      <c r="B85" t="str">
        <f>INDEX(list_region_country!$G$3:$V$3,,SUMPRODUCT(--(list_region_country!$G$3:$V$56=Elec!A85)*(COLUMN(list_region_country!$G$3:$V$56)-COLUMN(list_region_country!$F$3))))</f>
        <v>South America</v>
      </c>
      <c r="C85" s="4080" t="s">
        <v>3051</v>
      </c>
      <c r="D85" s="235" t="s">
        <v>3051</v>
      </c>
      <c r="E85" s="4080">
        <f t="shared" ca="1" si="6"/>
        <v>0.47627995662408912</v>
      </c>
      <c r="F85" s="4080">
        <f t="shared" si="8"/>
        <v>0.42342901960784318</v>
      </c>
      <c r="G85" s="4080">
        <f t="shared" si="7"/>
        <v>0.19963952023268763</v>
      </c>
      <c r="H85" s="4080">
        <v>0.42342901960784318</v>
      </c>
      <c r="I85" s="4080">
        <v>0.19963952023268763</v>
      </c>
      <c r="K85" s="4342" t="s">
        <v>2501</v>
      </c>
      <c r="L85" s="4368">
        <v>945.81402169996431</v>
      </c>
      <c r="M85" s="4368">
        <v>532.93431460808711</v>
      </c>
      <c r="O85">
        <f t="shared" si="9"/>
        <v>639.65333333333331</v>
      </c>
    </row>
    <row r="86" spans="1:15" x14ac:dyDescent="0.2">
      <c r="A86" s="4076" t="s">
        <v>2621</v>
      </c>
      <c r="B86" t="str">
        <f>INDEX(list_region_country!$G$3:$V$3,,SUMPRODUCT(--(list_region_country!$G$3:$V$56=Elec!A86)*(COLUMN(list_region_country!$G$3:$V$56)-COLUMN(list_region_country!$F$3))))</f>
        <v>Oceania</v>
      </c>
      <c r="C86" s="4080" t="s">
        <v>3051</v>
      </c>
      <c r="D86" s="235" t="s">
        <v>3051</v>
      </c>
      <c r="E86" s="4080">
        <f t="shared" ca="1" si="6"/>
        <v>0.58971601656224637</v>
      </c>
      <c r="F86" s="4080">
        <f t="shared" si="8"/>
        <v>0.75253333333333328</v>
      </c>
      <c r="G86" s="4080">
        <f t="shared" si="7"/>
        <v>0.41246692155998732</v>
      </c>
      <c r="H86" s="4080">
        <v>0.75253333333333328</v>
      </c>
      <c r="I86" s="4080">
        <v>0.41246692155998732</v>
      </c>
      <c r="K86" s="4342" t="s">
        <v>2503</v>
      </c>
      <c r="L86" s="4369">
        <v>752.5333333333333</v>
      </c>
      <c r="M86" s="4368">
        <v>590.9736287084296</v>
      </c>
      <c r="O86">
        <f t="shared" si="9"/>
        <v>266.65093129253086</v>
      </c>
    </row>
    <row r="87" spans="1:15" x14ac:dyDescent="0.2">
      <c r="A87" s="4076" t="s">
        <v>2721</v>
      </c>
      <c r="B87" t="str">
        <f>INDEX(list_region_country!$G$3:$V$3,,SUMPRODUCT(--(list_region_country!$G$3:$V$56=Elec!A87)*(COLUMN(list_region_country!$G$3:$V$56)-COLUMN(list_region_country!$F$3))))</f>
        <v>Eastern Africa</v>
      </c>
      <c r="C87" s="4080" t="s">
        <v>3051</v>
      </c>
      <c r="D87" s="235" t="s">
        <v>3051</v>
      </c>
      <c r="E87" s="4080">
        <f t="shared" ca="1" si="6"/>
        <v>0.68163909586343463</v>
      </c>
      <c r="F87" s="4080">
        <f t="shared" si="8"/>
        <v>0</v>
      </c>
      <c r="G87" s="4080">
        <f t="shared" si="7"/>
        <v>0.42232447269207823</v>
      </c>
      <c r="H87" s="4080" t="s">
        <v>1824</v>
      </c>
      <c r="I87" s="4080" t="s">
        <v>1824</v>
      </c>
      <c r="K87" s="4342" t="s">
        <v>2683</v>
      </c>
      <c r="L87" s="4369">
        <v>288.875</v>
      </c>
      <c r="M87" s="4368">
        <v>135.46579806767312</v>
      </c>
      <c r="O87">
        <f t="shared" si="9"/>
        <v>158.13943258655422</v>
      </c>
    </row>
    <row r="88" spans="1:15" x14ac:dyDescent="0.2">
      <c r="A88" s="4076" t="s">
        <v>2501</v>
      </c>
      <c r="B88" t="str">
        <f>INDEX(list_region_country!$G$3:$V$3,,SUMPRODUCT(--(list_region_country!$G$3:$V$56=Elec!A88)*(COLUMN(list_region_country!$G$3:$V$56)-COLUMN(list_region_country!$F$3))))</f>
        <v>Central Africa</v>
      </c>
      <c r="C88" s="4080">
        <v>0.31114179348564958</v>
      </c>
      <c r="D88" s="235">
        <v>2007</v>
      </c>
      <c r="E88" s="4080">
        <f t="shared" si="6"/>
        <v>0.31114179348564958</v>
      </c>
      <c r="F88" s="4080">
        <f t="shared" si="8"/>
        <v>0.94581402169996431</v>
      </c>
      <c r="G88" s="4080">
        <f t="shared" si="7"/>
        <v>0.53293431460808716</v>
      </c>
      <c r="H88" s="4080">
        <v>0.94581402169996431</v>
      </c>
      <c r="I88" s="4080">
        <v>0.53293431460808716</v>
      </c>
      <c r="K88" s="4342" t="s">
        <v>2750</v>
      </c>
      <c r="L88" s="4369">
        <v>649.68994047557226</v>
      </c>
      <c r="M88" s="4368">
        <v>312.88448375889328</v>
      </c>
      <c r="O88">
        <f t="shared" si="9"/>
        <v>423.4290196078432</v>
      </c>
    </row>
    <row r="89" spans="1:15" x14ac:dyDescent="0.2">
      <c r="A89" s="4077" t="s">
        <v>2503</v>
      </c>
      <c r="B89" t="str">
        <f>INDEX(list_region_country!$G$3:$V$3,,SUMPRODUCT(--(list_region_country!$G$3:$V$56=Elec!A89)*(COLUMN(list_region_country!$G$3:$V$56)-COLUMN(list_region_country!$F$3))))</f>
        <v>Western Africa</v>
      </c>
      <c r="C89" s="4080">
        <v>0.66600000000000004</v>
      </c>
      <c r="D89" s="235">
        <v>2019</v>
      </c>
      <c r="E89" s="4080">
        <f t="shared" si="6"/>
        <v>0.66600000000000004</v>
      </c>
      <c r="F89" s="4080">
        <f t="shared" si="8"/>
        <v>0.75253333333333328</v>
      </c>
      <c r="G89" s="4080">
        <f t="shared" si="7"/>
        <v>0.59097362870842962</v>
      </c>
      <c r="H89" s="4080">
        <v>0.75253333333333328</v>
      </c>
      <c r="I89" s="4080">
        <v>0.59097362870842962</v>
      </c>
      <c r="K89" s="4342" t="s">
        <v>2505</v>
      </c>
      <c r="L89" s="4369">
        <v>494.76036372488221</v>
      </c>
      <c r="M89" s="4368">
        <v>275.98720016838456</v>
      </c>
      <c r="O89">
        <f t="shared" si="9"/>
        <v>752.5333333333333</v>
      </c>
    </row>
    <row r="90" spans="1:15" x14ac:dyDescent="0.2">
      <c r="A90" s="4077" t="s">
        <v>2683</v>
      </c>
      <c r="B90" t="str">
        <f>INDEX(list_region_country!$G$3:$V$3,,SUMPRODUCT(--(list_region_country!$G$3:$V$56=Elec!A90)*(COLUMN(list_region_country!$G$3:$V$56)-COLUMN(list_region_country!$F$3))))</f>
        <v>Western Asia</v>
      </c>
      <c r="C90" s="4080">
        <v>0.33800000000000002</v>
      </c>
      <c r="D90" s="235">
        <v>2019</v>
      </c>
      <c r="E90" s="4080">
        <f t="shared" si="6"/>
        <v>0.33800000000000002</v>
      </c>
      <c r="F90" s="4080">
        <f t="shared" si="8"/>
        <v>0.28887499999999999</v>
      </c>
      <c r="G90" s="4080">
        <f t="shared" si="7"/>
        <v>0.13546579806767312</v>
      </c>
      <c r="H90" s="4080">
        <v>0.28887499999999999</v>
      </c>
      <c r="I90" s="4080">
        <v>0.13546579806767312</v>
      </c>
      <c r="K90" s="4342" t="s">
        <v>2751</v>
      </c>
      <c r="L90" s="4369">
        <v>778.95789473684215</v>
      </c>
      <c r="M90" s="4368">
        <v>368.78488096005384</v>
      </c>
      <c r="O90" t="e">
        <f t="shared" si="9"/>
        <v>#N/A</v>
      </c>
    </row>
    <row r="91" spans="1:15" x14ac:dyDescent="0.2">
      <c r="A91" s="4076" t="s">
        <v>2750</v>
      </c>
      <c r="B91" t="str">
        <f>INDEX(list_region_country!$G$3:$V$3,,SUMPRODUCT(--(list_region_country!$G$3:$V$56=Elec!A91)*(COLUMN(list_region_country!$G$3:$V$56)-COLUMN(list_region_country!$F$3))))</f>
        <v>Europe</v>
      </c>
      <c r="C91" s="4080">
        <v>0.53875839924481517</v>
      </c>
      <c r="D91" s="235">
        <v>2007</v>
      </c>
      <c r="E91" s="4080">
        <f t="shared" si="6"/>
        <v>0.53875839924481517</v>
      </c>
      <c r="F91" s="4080">
        <f t="shared" si="8"/>
        <v>0.64968994047557227</v>
      </c>
      <c r="G91" s="4080">
        <f t="shared" si="7"/>
        <v>0.31288448375889327</v>
      </c>
      <c r="H91" s="4080">
        <v>0.64968994047557227</v>
      </c>
      <c r="I91" s="4080">
        <v>0.31288448375889327</v>
      </c>
      <c r="K91" s="4342" t="s">
        <v>2752</v>
      </c>
      <c r="L91" s="4368">
        <v>507.12458051048588</v>
      </c>
      <c r="M91" s="4368">
        <v>345.84365638438351</v>
      </c>
      <c r="O91">
        <f t="shared" si="9"/>
        <v>945.81402169996431</v>
      </c>
    </row>
    <row r="92" spans="1:15" x14ac:dyDescent="0.2">
      <c r="A92" s="4077" t="s">
        <v>2505</v>
      </c>
      <c r="B92" t="str">
        <f>INDEX(list_region_country!$G$3:$V$3,,SUMPRODUCT(--(list_region_country!$G$3:$V$56=Elec!A92)*(COLUMN(list_region_country!$G$3:$V$56)-COLUMN(list_region_country!$F$3))))</f>
        <v>Western Africa</v>
      </c>
      <c r="C92" s="4080">
        <v>0.56299999999999994</v>
      </c>
      <c r="D92" s="235">
        <v>2019</v>
      </c>
      <c r="E92" s="4080">
        <f t="shared" si="6"/>
        <v>0.56299999999999994</v>
      </c>
      <c r="F92" s="4080">
        <f t="shared" si="8"/>
        <v>0.49476036372488219</v>
      </c>
      <c r="G92" s="4080">
        <f t="shared" si="7"/>
        <v>0.27598720016838457</v>
      </c>
      <c r="H92" s="4080">
        <v>0.49476036372488219</v>
      </c>
      <c r="I92" s="4080">
        <v>0.27598720016838457</v>
      </c>
      <c r="K92" s="4342" t="s">
        <v>2705</v>
      </c>
      <c r="L92" s="4368">
        <v>264.01263157894732</v>
      </c>
      <c r="M92" s="4368">
        <v>104.81543874366528</v>
      </c>
      <c r="O92">
        <f t="shared" si="9"/>
        <v>752.5333333333333</v>
      </c>
    </row>
    <row r="93" spans="1:15" x14ac:dyDescent="0.2">
      <c r="A93" s="4076" t="s">
        <v>2751</v>
      </c>
      <c r="B93" t="str">
        <f>INDEX(list_region_country!$G$3:$V$3,,SUMPRODUCT(--(list_region_country!$G$3:$V$56=Elec!A93)*(COLUMN(list_region_country!$G$3:$V$56)-COLUMN(list_region_country!$F$3))))</f>
        <v>Europe</v>
      </c>
      <c r="C93" s="4080">
        <v>0.86956036560364469</v>
      </c>
      <c r="D93" s="235">
        <v>2007</v>
      </c>
      <c r="E93" s="4080">
        <f t="shared" si="6"/>
        <v>0.86956036560364469</v>
      </c>
      <c r="F93" s="4080">
        <f t="shared" si="8"/>
        <v>0.77895789473684218</v>
      </c>
      <c r="G93" s="4080">
        <f t="shared" si="7"/>
        <v>0.36878488096005385</v>
      </c>
      <c r="H93" s="4080">
        <v>0.77895789473684218</v>
      </c>
      <c r="I93" s="4080">
        <v>0.36878488096005385</v>
      </c>
      <c r="K93" s="4342" t="s">
        <v>2507</v>
      </c>
      <c r="L93" s="4368">
        <v>752.5333333333333</v>
      </c>
      <c r="M93" s="4368">
        <v>522.69728550429636</v>
      </c>
      <c r="O93">
        <f t="shared" si="9"/>
        <v>288.875</v>
      </c>
    </row>
    <row r="94" spans="1:15" x14ac:dyDescent="0.2">
      <c r="A94" s="4076" t="s">
        <v>2752</v>
      </c>
      <c r="B94" t="str">
        <f>INDEX(list_region_country!$G$3:$V$3,,SUMPRODUCT(--(list_region_country!$G$3:$V$56=Elec!A94)*(COLUMN(list_region_country!$G$3:$V$56)-COLUMN(list_region_country!$F$3))))</f>
        <v>Europe</v>
      </c>
      <c r="C94" s="4080">
        <v>0.88674501808461492</v>
      </c>
      <c r="D94" s="235">
        <v>2007</v>
      </c>
      <c r="E94" s="4080">
        <f t="shared" si="6"/>
        <v>0.88674501808461492</v>
      </c>
      <c r="F94" s="4080">
        <f t="shared" si="8"/>
        <v>0.50712458051048592</v>
      </c>
      <c r="G94" s="4080">
        <f t="shared" si="7"/>
        <v>0.34584365638438352</v>
      </c>
      <c r="H94" s="4080">
        <v>0.50712458051048592</v>
      </c>
      <c r="I94" s="4080">
        <v>0.34584365638438352</v>
      </c>
      <c r="K94" s="4342" t="s">
        <v>2509</v>
      </c>
      <c r="L94" s="4368">
        <v>752.5333333333333</v>
      </c>
      <c r="M94" s="4368">
        <v>432.83816382376415</v>
      </c>
      <c r="O94">
        <f t="shared" si="9"/>
        <v>649.68994047557226</v>
      </c>
    </row>
    <row r="95" spans="1:15" x14ac:dyDescent="0.2">
      <c r="A95" s="4077" t="s">
        <v>2705</v>
      </c>
      <c r="B95" t="str">
        <f>INDEX(list_region_country!$G$3:$V$3,,SUMPRODUCT(--(list_region_country!$G$3:$V$56=Elec!A95)*(COLUMN(list_region_country!$G$3:$V$56)-COLUMN(list_region_country!$F$3))))</f>
        <v>North America</v>
      </c>
      <c r="C95" s="4080" t="s">
        <v>3051</v>
      </c>
      <c r="D95" s="235" t="s">
        <v>3051</v>
      </c>
      <c r="E95" s="4080">
        <f t="shared" ca="1" si="6"/>
        <v>0.44952519813248015</v>
      </c>
      <c r="F95" s="4080">
        <f t="shared" si="8"/>
        <v>0.26401263157894733</v>
      </c>
      <c r="G95" s="4080">
        <f t="shared" si="7"/>
        <v>0.10481543874366528</v>
      </c>
      <c r="H95" s="4080">
        <v>0.26401263157894733</v>
      </c>
      <c r="I95" s="4080">
        <v>0.10481543874366528</v>
      </c>
      <c r="K95" s="4342" t="s">
        <v>2622</v>
      </c>
      <c r="L95" s="4369">
        <v>752.5333333333333</v>
      </c>
      <c r="M95" s="4368">
        <v>427.81751637600723</v>
      </c>
      <c r="O95">
        <f t="shared" si="9"/>
        <v>494.76036372488221</v>
      </c>
    </row>
    <row r="96" spans="1:15" x14ac:dyDescent="0.2">
      <c r="A96" s="4077" t="s">
        <v>2507</v>
      </c>
      <c r="B96" t="str">
        <f>INDEX(list_region_country!$G$3:$V$3,,SUMPRODUCT(--(list_region_country!$G$3:$V$56=Elec!A96)*(COLUMN(list_region_country!$G$3:$V$56)-COLUMN(list_region_country!$F$3))))</f>
        <v>Caribbean</v>
      </c>
      <c r="C96" s="4080" t="s">
        <v>3051</v>
      </c>
      <c r="D96" s="235" t="s">
        <v>3051</v>
      </c>
      <c r="E96" s="4080">
        <f t="shared" ca="1" si="6"/>
        <v>0.65968875404607097</v>
      </c>
      <c r="F96" s="4080">
        <f t="shared" si="8"/>
        <v>0.75253333333333328</v>
      </c>
      <c r="G96" s="4080">
        <f t="shared" si="7"/>
        <v>0.52269728550429639</v>
      </c>
      <c r="H96" s="4080">
        <v>0.75253333333333328</v>
      </c>
      <c r="I96" s="4080">
        <v>0.52269728550429639</v>
      </c>
      <c r="K96" s="4342" t="s">
        <v>2510</v>
      </c>
      <c r="L96" s="4368">
        <v>797.82021654724326</v>
      </c>
      <c r="M96" s="4368">
        <v>427.10028162566135</v>
      </c>
      <c r="O96">
        <f t="shared" si="9"/>
        <v>778.95789473684215</v>
      </c>
    </row>
    <row r="97" spans="1:15" x14ac:dyDescent="0.2">
      <c r="A97" s="4077" t="s">
        <v>2509</v>
      </c>
      <c r="B97" t="str">
        <f>INDEX(list_region_country!$G$3:$V$3,,SUMPRODUCT(--(list_region_country!$G$3:$V$56=Elec!A97)*(COLUMN(list_region_country!$G$3:$V$56)-COLUMN(list_region_country!$F$3))))</f>
        <v>Caribbean</v>
      </c>
      <c r="C97" s="4080" t="s">
        <v>3051</v>
      </c>
      <c r="D97" s="235" t="s">
        <v>3051</v>
      </c>
      <c r="E97" s="4080">
        <f t="shared" ca="1" si="6"/>
        <v>0.65968875404607097</v>
      </c>
      <c r="F97" s="4080">
        <f t="shared" si="8"/>
        <v>0.75253333333333328</v>
      </c>
      <c r="G97" s="4080">
        <f t="shared" si="7"/>
        <v>0.43283816382376417</v>
      </c>
      <c r="H97" s="4080">
        <v>0.75253333333333328</v>
      </c>
      <c r="I97" s="4080">
        <v>0.43283816382376417</v>
      </c>
      <c r="K97" s="4342" t="s">
        <v>2512</v>
      </c>
      <c r="L97" s="4368">
        <v>752.5333333333333</v>
      </c>
      <c r="M97" s="4368">
        <v>459.55350776006651</v>
      </c>
      <c r="O97">
        <f t="shared" si="9"/>
        <v>507.12458051048588</v>
      </c>
    </row>
    <row r="98" spans="1:15" x14ac:dyDescent="0.2">
      <c r="A98" s="4076" t="s">
        <v>2622</v>
      </c>
      <c r="B98" t="str">
        <f>INDEX(list_region_country!$G$3:$V$3,,SUMPRODUCT(--(list_region_country!$G$3:$V$56=Elec!A98)*(COLUMN(list_region_country!$G$3:$V$56)-COLUMN(list_region_country!$F$3))))</f>
        <v>Oceania</v>
      </c>
      <c r="C98" s="4080" t="s">
        <v>3051</v>
      </c>
      <c r="D98" s="235" t="s">
        <v>3051</v>
      </c>
      <c r="E98" s="4080">
        <f t="shared" ca="1" si="6"/>
        <v>0.58971601656224637</v>
      </c>
      <c r="F98" s="4080">
        <f t="shared" si="8"/>
        <v>0.75253333333333328</v>
      </c>
      <c r="G98" s="4080">
        <f t="shared" si="7"/>
        <v>0.42781751637600723</v>
      </c>
      <c r="H98" s="4080">
        <v>0.75253333333333328</v>
      </c>
      <c r="I98" s="4080">
        <v>0.42781751637600723</v>
      </c>
      <c r="K98" s="4342" t="s">
        <v>2514</v>
      </c>
      <c r="L98" s="4368">
        <v>752.5333333333333</v>
      </c>
      <c r="M98" s="4368">
        <v>577.22616240922889</v>
      </c>
      <c r="O98">
        <f t="shared" si="9"/>
        <v>264.01263157894732</v>
      </c>
    </row>
    <row r="99" spans="1:15" x14ac:dyDescent="0.2">
      <c r="A99" s="4077" t="s">
        <v>2510</v>
      </c>
      <c r="B99" t="str">
        <f>INDEX(list_region_country!$G$3:$V$3,,SUMPRODUCT(--(list_region_country!$G$3:$V$56=Elec!A99)*(COLUMN(list_region_country!$G$3:$V$56)-COLUMN(list_region_country!$F$3))))</f>
        <v>Central America</v>
      </c>
      <c r="C99" s="4080">
        <v>0.41840838800157176</v>
      </c>
      <c r="D99" s="235">
        <v>2007</v>
      </c>
      <c r="E99" s="4080">
        <f t="shared" si="6"/>
        <v>0.41840838800157176</v>
      </c>
      <c r="F99" s="4080">
        <f t="shared" si="8"/>
        <v>0.79782021654724322</v>
      </c>
      <c r="G99" s="4080">
        <f t="shared" si="7"/>
        <v>0.42710028162566133</v>
      </c>
      <c r="H99" s="4080">
        <v>0.79782021654724322</v>
      </c>
      <c r="I99" s="4080">
        <v>0.42710028162566133</v>
      </c>
      <c r="K99" s="4342" t="s">
        <v>2516</v>
      </c>
      <c r="L99" s="4369">
        <v>846.58450481104887</v>
      </c>
      <c r="M99" s="4368">
        <v>615.69957527366182</v>
      </c>
      <c r="O99">
        <f t="shared" si="9"/>
        <v>752.5333333333333</v>
      </c>
    </row>
    <row r="100" spans="1:15" x14ac:dyDescent="0.2">
      <c r="A100" s="4076" t="s">
        <v>2753</v>
      </c>
      <c r="B100" t="str">
        <f>INDEX(list_region_country!$G$3:$V$3,,SUMPRODUCT(--(list_region_country!$G$3:$V$56=Elec!A100)*(COLUMN(list_region_country!$G$3:$V$56)-COLUMN(list_region_country!$F$3))))</f>
        <v>Europe</v>
      </c>
      <c r="C100" s="4080" t="s">
        <v>3051</v>
      </c>
      <c r="D100" s="235" t="s">
        <v>3051</v>
      </c>
      <c r="E100" s="4080">
        <f t="shared" ca="1" si="6"/>
        <v>0.47807669886913667</v>
      </c>
      <c r="F100" s="4080">
        <f t="shared" si="8"/>
        <v>0</v>
      </c>
      <c r="G100" s="4080">
        <f t="shared" si="7"/>
        <v>0.2562322492034157</v>
      </c>
      <c r="H100" s="4080" t="s">
        <v>1824</v>
      </c>
      <c r="I100" s="4080" t="s">
        <v>1824</v>
      </c>
      <c r="K100" s="4342" t="s">
        <v>2518</v>
      </c>
      <c r="L100" s="4369">
        <v>1047.6842105263158</v>
      </c>
      <c r="M100" s="4368">
        <v>764.61328169482056</v>
      </c>
      <c r="O100">
        <f t="shared" si="9"/>
        <v>752.5333333333333</v>
      </c>
    </row>
    <row r="101" spans="1:15" x14ac:dyDescent="0.2">
      <c r="A101" s="4077" t="s">
        <v>2512</v>
      </c>
      <c r="B101" t="str">
        <f>INDEX(list_region_country!$G$3:$V$3,,SUMPRODUCT(--(list_region_country!$G$3:$V$56=Elec!A101)*(COLUMN(list_region_country!$G$3:$V$56)-COLUMN(list_region_country!$F$3))))</f>
        <v>Western Africa</v>
      </c>
      <c r="C101" s="4080" t="s">
        <v>3051</v>
      </c>
      <c r="D101" s="235" t="s">
        <v>3051</v>
      </c>
      <c r="E101" s="4080">
        <f t="shared" ref="E101:E132" ca="1" si="10">IF(C101="",AVERAGEIF($B$5:$C$252,B101,$C$5:$C$252),C101)</f>
        <v>0.55772727272727263</v>
      </c>
      <c r="F101" s="4080">
        <f t="shared" si="8"/>
        <v>0.75253333333333328</v>
      </c>
      <c r="G101" s="4080">
        <f t="shared" si="7"/>
        <v>0.45955350776006648</v>
      </c>
      <c r="H101" s="4080">
        <v>0.75253333333333328</v>
      </c>
      <c r="I101" s="4080">
        <v>0.45955350776006648</v>
      </c>
      <c r="K101" s="4342" t="s">
        <v>2520</v>
      </c>
      <c r="L101" s="4369">
        <v>661.51473684210532</v>
      </c>
      <c r="M101" s="4368">
        <v>359.08721846448907</v>
      </c>
      <c r="O101">
        <f t="shared" si="9"/>
        <v>752.5333333333333</v>
      </c>
    </row>
    <row r="102" spans="1:15" x14ac:dyDescent="0.2">
      <c r="A102" s="4077" t="s">
        <v>2514</v>
      </c>
      <c r="B102" t="str">
        <f>INDEX(list_region_country!$G$3:$V$3,,SUMPRODUCT(--(list_region_country!$G$3:$V$56=Elec!A102)*(COLUMN(list_region_country!$G$3:$V$56)-COLUMN(list_region_country!$F$3))))</f>
        <v>Western Africa</v>
      </c>
      <c r="C102" s="4080" t="s">
        <v>3051</v>
      </c>
      <c r="D102" s="235" t="s">
        <v>3051</v>
      </c>
      <c r="E102" s="4080">
        <f t="shared" ca="1" si="10"/>
        <v>0.55772727272727263</v>
      </c>
      <c r="F102" s="4080">
        <f t="shared" si="8"/>
        <v>0.75253333333333328</v>
      </c>
      <c r="G102" s="4080">
        <f t="shared" si="7"/>
        <v>0.57722616240922886</v>
      </c>
      <c r="H102" s="4080">
        <v>0.75253333333333328</v>
      </c>
      <c r="I102" s="4080">
        <v>0.57722616240922886</v>
      </c>
      <c r="K102" s="4342" t="s">
        <v>2645</v>
      </c>
      <c r="L102" s="4369">
        <v>295.87867165691199</v>
      </c>
      <c r="M102" s="4368">
        <v>191.06812185105576</v>
      </c>
      <c r="O102">
        <f t="shared" si="9"/>
        <v>797.82021654724326</v>
      </c>
    </row>
    <row r="103" spans="1:15" x14ac:dyDescent="0.2">
      <c r="A103" s="4077" t="s">
        <v>2516</v>
      </c>
      <c r="B103" t="str">
        <f>INDEX(list_region_country!$G$3:$V$3,,SUMPRODUCT(--(list_region_country!$G$3:$V$56=Elec!A103)*(COLUMN(list_region_country!$G$3:$V$56)-COLUMN(list_region_country!$F$3))))</f>
        <v>South America</v>
      </c>
      <c r="C103" s="4080">
        <v>0.94799999999999995</v>
      </c>
      <c r="D103" s="235">
        <v>2019</v>
      </c>
      <c r="E103" s="4080">
        <f t="shared" si="10"/>
        <v>0.94799999999999995</v>
      </c>
      <c r="F103" s="4080">
        <f t="shared" si="8"/>
        <v>0.84658450481104885</v>
      </c>
      <c r="G103" s="4080">
        <f t="shared" si="7"/>
        <v>0.61569957527366181</v>
      </c>
      <c r="H103" s="4080">
        <v>0.84658450481104885</v>
      </c>
      <c r="I103" s="4080">
        <v>0.61569957527366181</v>
      </c>
      <c r="K103" s="4342" t="s">
        <v>2755</v>
      </c>
      <c r="L103" s="4369">
        <v>0</v>
      </c>
      <c r="M103" s="4368">
        <v>3.2314260442553373E-2</v>
      </c>
      <c r="O103" t="e">
        <f t="shared" si="9"/>
        <v>#N/A</v>
      </c>
    </row>
    <row r="104" spans="1:15" x14ac:dyDescent="0.2">
      <c r="A104" s="4077" t="s">
        <v>2518</v>
      </c>
      <c r="B104" t="str">
        <f>INDEX(list_region_country!$G$3:$V$3,,SUMPRODUCT(--(list_region_country!$G$3:$V$56=Elec!A104)*(COLUMN(list_region_country!$G$3:$V$56)-COLUMN(list_region_country!$F$3))))</f>
        <v>Caribbean</v>
      </c>
      <c r="C104" s="4080">
        <v>0.34703377476475622</v>
      </c>
      <c r="D104" s="235">
        <v>2007</v>
      </c>
      <c r="E104" s="4080">
        <f t="shared" si="10"/>
        <v>0.34703377476475622</v>
      </c>
      <c r="F104" s="4080">
        <f t="shared" si="8"/>
        <v>1.0476842105263158</v>
      </c>
      <c r="G104" s="4080">
        <f t="shared" si="7"/>
        <v>0.76461328169482057</v>
      </c>
      <c r="H104" s="4080">
        <v>1.0476842105263158</v>
      </c>
      <c r="I104" s="4080">
        <v>0.76461328169482057</v>
      </c>
      <c r="K104" s="4342" t="s">
        <v>2522</v>
      </c>
      <c r="L104" s="4369">
        <v>950.92171086823976</v>
      </c>
      <c r="M104" s="4368">
        <v>660.98762452255505</v>
      </c>
      <c r="O104">
        <f t="shared" ref="O104:O135" si="11">VLOOKUP(A101, $K$8:$M$241, 2, FALSE)</f>
        <v>752.5333333333333</v>
      </c>
    </row>
    <row r="105" spans="1:15" x14ac:dyDescent="0.2">
      <c r="A105" s="4076" t="s">
        <v>2623</v>
      </c>
      <c r="B105" t="str">
        <f>INDEX(list_region_country!$G$3:$V$3,,SUMPRODUCT(--(list_region_country!$G$3:$V$56=Elec!A105)*(COLUMN(list_region_country!$G$3:$V$56)-COLUMN(list_region_country!$F$3))))</f>
        <v>Oceania</v>
      </c>
      <c r="C105" s="4080" t="s">
        <v>3051</v>
      </c>
      <c r="D105" s="235" t="s">
        <v>3051</v>
      </c>
      <c r="E105" s="4080">
        <f t="shared" ca="1" si="10"/>
        <v>0.58971601656224637</v>
      </c>
      <c r="F105" s="4080">
        <f t="shared" si="8"/>
        <v>0</v>
      </c>
      <c r="G105" s="4080">
        <f t="shared" si="7"/>
        <v>0.45102672411684841</v>
      </c>
      <c r="H105" s="4080" t="s">
        <v>1824</v>
      </c>
      <c r="I105" s="4080" t="s">
        <v>1824</v>
      </c>
      <c r="K105" s="4342" t="s">
        <v>2524</v>
      </c>
      <c r="L105" s="4369">
        <v>783.46795097088216</v>
      </c>
      <c r="M105" s="4368">
        <v>598.91445088120838</v>
      </c>
      <c r="O105">
        <f t="shared" si="11"/>
        <v>752.5333333333333</v>
      </c>
    </row>
    <row r="106" spans="1:15" x14ac:dyDescent="0.2">
      <c r="A106" s="4076" t="s">
        <v>2754</v>
      </c>
      <c r="B106" t="str">
        <f>INDEX(list_region_country!$G$3:$V$3,,SUMPRODUCT(--(list_region_country!$G$3:$V$56=Elec!A106)*(COLUMN(list_region_country!$G$3:$V$56)-COLUMN(list_region_country!$F$3))))</f>
        <v>Europe</v>
      </c>
      <c r="C106" s="4080" t="s">
        <v>3051</v>
      </c>
      <c r="D106" s="235" t="s">
        <v>3051</v>
      </c>
      <c r="E106" s="4080">
        <f t="shared" ca="1" si="10"/>
        <v>0.47807669886913667</v>
      </c>
      <c r="F106" s="4080">
        <f t="shared" si="8"/>
        <v>0</v>
      </c>
      <c r="G106" s="4080">
        <f t="shared" si="7"/>
        <v>0.2562322492034157</v>
      </c>
      <c r="H106" s="4080" t="s">
        <v>1824</v>
      </c>
      <c r="I106" s="4080" t="s">
        <v>1824</v>
      </c>
      <c r="K106" s="4342" t="s">
        <v>2526</v>
      </c>
      <c r="L106" s="4369">
        <v>592.09778374368841</v>
      </c>
      <c r="M106" s="4368">
        <v>420.91570869559075</v>
      </c>
      <c r="O106">
        <f t="shared" si="11"/>
        <v>846.58450481104887</v>
      </c>
    </row>
    <row r="107" spans="1:15" x14ac:dyDescent="0.2">
      <c r="A107" s="4077" t="s">
        <v>2520</v>
      </c>
      <c r="B107" t="str">
        <f>INDEX(list_region_country!$G$3:$V$3,,SUMPRODUCT(--(list_region_country!$G$3:$V$56=Elec!A107)*(COLUMN(list_region_country!$G$3:$V$56)-COLUMN(list_region_country!$F$3))))</f>
        <v>Central America</v>
      </c>
      <c r="C107" s="4080">
        <v>0.66100000000000003</v>
      </c>
      <c r="D107" s="235">
        <v>2019</v>
      </c>
      <c r="E107" s="4080">
        <f t="shared" si="10"/>
        <v>0.66100000000000003</v>
      </c>
      <c r="F107" s="4080">
        <f t="shared" si="8"/>
        <v>0.66151473684210527</v>
      </c>
      <c r="G107" s="4080">
        <f t="shared" si="7"/>
        <v>0.35908721846448904</v>
      </c>
      <c r="H107" s="4080">
        <v>0.66151473684210527</v>
      </c>
      <c r="I107" s="4080">
        <v>0.35908721846448904</v>
      </c>
      <c r="K107" s="4342" t="s">
        <v>2684</v>
      </c>
      <c r="L107" s="4369">
        <v>1080.3692355487624</v>
      </c>
      <c r="M107" s="4368">
        <v>787.91671856532821</v>
      </c>
      <c r="O107">
        <f t="shared" si="11"/>
        <v>1047.6842105263158</v>
      </c>
    </row>
    <row r="108" spans="1:15" x14ac:dyDescent="0.2">
      <c r="A108" s="4076" t="s">
        <v>2645</v>
      </c>
      <c r="B108" t="str">
        <f>INDEX(list_region_country!$G$3:$V$3,,SUMPRODUCT(--(list_region_country!$G$3:$V$56=Elec!A108)*(COLUMN(list_region_country!$G$3:$V$56)-COLUMN(list_region_country!$F$3))))</f>
        <v>Europe</v>
      </c>
      <c r="C108" s="4080">
        <v>0.43700372705623775</v>
      </c>
      <c r="D108" s="235">
        <v>2007</v>
      </c>
      <c r="E108" s="4080">
        <f t="shared" si="10"/>
        <v>0.43700372705623775</v>
      </c>
      <c r="F108" s="4080">
        <f t="shared" si="8"/>
        <v>0.29587867165691201</v>
      </c>
      <c r="G108" s="4080">
        <f t="shared" si="7"/>
        <v>0.19106812185105576</v>
      </c>
      <c r="H108" s="4080">
        <v>0.29587867165691201</v>
      </c>
      <c r="I108" s="4080">
        <v>0.19106812185105576</v>
      </c>
      <c r="K108" s="4342" t="s">
        <v>2756</v>
      </c>
      <c r="L108" s="4369">
        <v>380.23784032189218</v>
      </c>
      <c r="M108" s="4368">
        <v>189.48199631026586</v>
      </c>
      <c r="O108" t="e">
        <f t="shared" si="11"/>
        <v>#N/A</v>
      </c>
    </row>
    <row r="109" spans="1:15" x14ac:dyDescent="0.2">
      <c r="A109" s="4076" t="s">
        <v>2755</v>
      </c>
      <c r="B109" t="str">
        <f>INDEX(list_region_country!$G$3:$V$3,,SUMPRODUCT(--(list_region_country!$G$3:$V$56=Elec!A109)*(COLUMN(list_region_country!$G$3:$V$56)-COLUMN(list_region_country!$F$3))))</f>
        <v>Europe</v>
      </c>
      <c r="C109" s="4080">
        <v>1.3648056448731689E-3</v>
      </c>
      <c r="D109" s="235">
        <v>2007</v>
      </c>
      <c r="E109" s="4080">
        <f t="shared" si="10"/>
        <v>1.3648056448731689E-3</v>
      </c>
      <c r="F109" s="4080">
        <f t="shared" si="8"/>
        <v>0</v>
      </c>
      <c r="G109" s="4080">
        <f t="shared" si="7"/>
        <v>3.231426044255337E-5</v>
      </c>
      <c r="H109" s="4080" t="s">
        <v>1824</v>
      </c>
      <c r="I109" s="4080">
        <v>3.231426044255337E-5</v>
      </c>
      <c r="K109" s="4342" t="s">
        <v>2757</v>
      </c>
      <c r="L109" s="4369">
        <v>436.26666666666671</v>
      </c>
      <c r="M109" s="4368">
        <v>204.25785650194291</v>
      </c>
      <c r="O109" t="e">
        <f t="shared" si="11"/>
        <v>#N/A</v>
      </c>
    </row>
    <row r="110" spans="1:15" x14ac:dyDescent="0.2">
      <c r="A110" s="4077" t="s">
        <v>2522</v>
      </c>
      <c r="B110" t="str">
        <f>INDEX(list_region_country!$G$3:$V$3,,SUMPRODUCT(--(list_region_country!$G$3:$V$56=Elec!A110)*(COLUMN(list_region_country!$G$3:$V$56)-COLUMN(list_region_country!$F$3))))</f>
        <v>Southern Asia</v>
      </c>
      <c r="C110" s="4080">
        <v>0.92</v>
      </c>
      <c r="D110" s="235">
        <v>2019</v>
      </c>
      <c r="E110" s="4080">
        <f t="shared" si="10"/>
        <v>0.92</v>
      </c>
      <c r="F110" s="4080">
        <f t="shared" si="8"/>
        <v>0.95092171086823973</v>
      </c>
      <c r="G110" s="4080">
        <f t="shared" si="7"/>
        <v>0.66098762452255511</v>
      </c>
      <c r="H110" s="4080">
        <v>0.95092171086823973</v>
      </c>
      <c r="I110" s="4080">
        <v>0.66098762452255511</v>
      </c>
      <c r="K110" s="4342" t="s">
        <v>2685</v>
      </c>
      <c r="L110" s="4369">
        <v>394.16083084258253</v>
      </c>
      <c r="M110" s="4368">
        <v>258.34601334393375</v>
      </c>
      <c r="O110">
        <f t="shared" si="11"/>
        <v>661.51473684210532</v>
      </c>
    </row>
    <row r="111" spans="1:15" x14ac:dyDescent="0.2">
      <c r="A111" s="4077" t="s">
        <v>2524</v>
      </c>
      <c r="B111" t="str">
        <f>INDEX(list_region_country!$G$3:$V$3,,SUMPRODUCT(--(list_region_country!$G$3:$V$56=Elec!A111)*(COLUMN(list_region_country!$G$3:$V$56)-COLUMN(list_region_country!$F$3))))</f>
        <v>South-eastern Asia</v>
      </c>
      <c r="C111" s="4080">
        <v>0.76300000000000001</v>
      </c>
      <c r="D111" s="235">
        <v>2019</v>
      </c>
      <c r="E111" s="4080">
        <f t="shared" si="10"/>
        <v>0.76300000000000001</v>
      </c>
      <c r="F111" s="4080">
        <f t="shared" si="8"/>
        <v>0.78346795097088218</v>
      </c>
      <c r="G111" s="4080">
        <f t="shared" si="7"/>
        <v>0.59891445088120843</v>
      </c>
      <c r="H111" s="4080">
        <v>0.78346795097088218</v>
      </c>
      <c r="I111" s="4080">
        <v>0.59891445088120843</v>
      </c>
      <c r="K111" s="4342" t="s">
        <v>2758</v>
      </c>
      <c r="L111" s="4369">
        <v>414.46157359502132</v>
      </c>
      <c r="M111" s="4368">
        <v>223.71243671342881</v>
      </c>
      <c r="O111">
        <f t="shared" si="11"/>
        <v>295.87867165691199</v>
      </c>
    </row>
    <row r="112" spans="1:15" x14ac:dyDescent="0.2">
      <c r="A112" s="4077" t="s">
        <v>2526</v>
      </c>
      <c r="B112" t="str">
        <f>INDEX(list_region_country!$G$3:$V$3,,SUMPRODUCT(--(list_region_country!$G$3:$V$56=Elec!A112)*(COLUMN(list_region_country!$G$3:$V$56)-COLUMN(list_region_country!$F$3))))</f>
        <v>Southern Asia</v>
      </c>
      <c r="C112" s="4080">
        <v>0.66900000000000004</v>
      </c>
      <c r="D112" s="235">
        <v>2019</v>
      </c>
      <c r="E112" s="4080">
        <f t="shared" si="10"/>
        <v>0.66900000000000004</v>
      </c>
      <c r="F112" s="4080">
        <f t="shared" si="8"/>
        <v>0.59209778374368838</v>
      </c>
      <c r="G112" s="4080">
        <f t="shared" si="7"/>
        <v>0.42091570869559075</v>
      </c>
      <c r="H112" s="4080">
        <v>0.59209778374368838</v>
      </c>
      <c r="I112" s="4080">
        <v>0.42091570869559075</v>
      </c>
      <c r="K112" s="4342" t="s">
        <v>2528</v>
      </c>
      <c r="L112" s="4369">
        <v>710.77986154859832</v>
      </c>
      <c r="M112" s="4368">
        <v>497.6041530355115</v>
      </c>
      <c r="O112">
        <f t="shared" si="11"/>
        <v>0</v>
      </c>
    </row>
    <row r="113" spans="1:15" x14ac:dyDescent="0.2">
      <c r="A113" s="4077" t="s">
        <v>2684</v>
      </c>
      <c r="B113" t="str">
        <f>INDEX(list_region_country!$G$3:$V$3,,SUMPRODUCT(--(list_region_country!$G$3:$V$56=Elec!A113)*(COLUMN(list_region_country!$G$3:$V$56)-COLUMN(list_region_country!$F$3))))</f>
        <v>Western Asia</v>
      </c>
      <c r="C113" s="4080">
        <v>0.74362259422196841</v>
      </c>
      <c r="D113" s="235">
        <v>2007</v>
      </c>
      <c r="E113" s="4080">
        <f t="shared" si="10"/>
        <v>0.74362259422196841</v>
      </c>
      <c r="F113" s="4080">
        <f t="shared" si="8"/>
        <v>1.0803692355487624</v>
      </c>
      <c r="G113" s="4080">
        <f t="shared" si="7"/>
        <v>0.78791671856532819</v>
      </c>
      <c r="H113" s="4080">
        <v>1.0803692355487624</v>
      </c>
      <c r="I113" s="4080">
        <v>0.78791671856532819</v>
      </c>
      <c r="K113" s="4342" t="s">
        <v>2530</v>
      </c>
      <c r="L113" s="4369">
        <v>471.44868157144055</v>
      </c>
      <c r="M113" s="4368">
        <v>286.11693586732559</v>
      </c>
      <c r="O113">
        <f t="shared" si="11"/>
        <v>950.92171086823976</v>
      </c>
    </row>
    <row r="114" spans="1:15" x14ac:dyDescent="0.2">
      <c r="A114" s="4076" t="s">
        <v>2756</v>
      </c>
      <c r="B114" t="str">
        <f>INDEX(list_region_country!$G$3:$V$3,,SUMPRODUCT(--(list_region_country!$G$3:$V$56=Elec!A114)*(COLUMN(list_region_country!$G$3:$V$56)-COLUMN(list_region_country!$F$3))))</f>
        <v>Europe</v>
      </c>
      <c r="C114" s="4080">
        <v>0.69866072795986722</v>
      </c>
      <c r="D114" s="235">
        <v>2007</v>
      </c>
      <c r="E114" s="4080">
        <f t="shared" si="10"/>
        <v>0.69866072795986722</v>
      </c>
      <c r="F114" s="4080">
        <f t="shared" si="8"/>
        <v>0.38023784032189217</v>
      </c>
      <c r="G114" s="4080">
        <f t="shared" si="7"/>
        <v>0.18948199631026585</v>
      </c>
      <c r="H114" s="4080">
        <v>0.38023784032189217</v>
      </c>
      <c r="I114" s="4080">
        <v>0.18948199631026585</v>
      </c>
      <c r="K114" s="4342" t="s">
        <v>2686</v>
      </c>
      <c r="L114" s="4369">
        <v>528.58115483997267</v>
      </c>
      <c r="M114" s="4368">
        <v>381.86279856047622</v>
      </c>
      <c r="O114">
        <f t="shared" si="11"/>
        <v>783.46795097088216</v>
      </c>
    </row>
    <row r="115" spans="1:15" x14ac:dyDescent="0.2">
      <c r="A115" s="4076" t="s">
        <v>2757</v>
      </c>
      <c r="B115" t="str">
        <f>INDEX(list_region_country!$G$3:$V$3,,SUMPRODUCT(--(list_region_country!$G$3:$V$56=Elec!A115)*(COLUMN(list_region_country!$G$3:$V$56)-COLUMN(list_region_country!$F$3))))</f>
        <v>Europe</v>
      </c>
      <c r="C115" s="4080" t="s">
        <v>3051</v>
      </c>
      <c r="D115" s="235" t="s">
        <v>3051</v>
      </c>
      <c r="E115" s="4080">
        <f t="shared" ca="1" si="10"/>
        <v>0.47807669886913667</v>
      </c>
      <c r="F115" s="4080">
        <f t="shared" si="8"/>
        <v>0.43626666666666669</v>
      </c>
      <c r="G115" s="4080">
        <f t="shared" si="7"/>
        <v>0.20425785650194292</v>
      </c>
      <c r="H115" s="4080">
        <v>0.43626666666666669</v>
      </c>
      <c r="I115" s="4080">
        <v>0.20425785650194292</v>
      </c>
      <c r="K115" s="4342" t="s">
        <v>2687</v>
      </c>
      <c r="L115" s="4369">
        <v>797.1751202338512</v>
      </c>
      <c r="M115" s="4368">
        <v>532.21770407285385</v>
      </c>
      <c r="O115">
        <f t="shared" si="11"/>
        <v>592.09778374368841</v>
      </c>
    </row>
    <row r="116" spans="1:15" x14ac:dyDescent="0.2">
      <c r="A116" s="4077" t="s">
        <v>2685</v>
      </c>
      <c r="B116" t="str">
        <f>INDEX(list_region_country!$G$3:$V$3,,SUMPRODUCT(--(list_region_country!$G$3:$V$56=Elec!A116)*(COLUMN(list_region_country!$G$3:$V$56)-COLUMN(list_region_country!$F$3))))</f>
        <v>Western Asia</v>
      </c>
      <c r="C116" s="4080">
        <v>0.70499999999999996</v>
      </c>
      <c r="D116" s="235">
        <v>2019</v>
      </c>
      <c r="E116" s="4080">
        <f t="shared" si="10"/>
        <v>0.70499999999999996</v>
      </c>
      <c r="F116" s="4080">
        <f t="shared" si="8"/>
        <v>0.39416083084258252</v>
      </c>
      <c r="G116" s="4080">
        <f t="shared" si="7"/>
        <v>0.25834601334393376</v>
      </c>
      <c r="H116" s="4080">
        <v>0.39416083084258252</v>
      </c>
      <c r="I116" s="4080">
        <v>0.25834601334393376</v>
      </c>
      <c r="K116" s="4342" t="s">
        <v>2532</v>
      </c>
      <c r="L116" s="4369">
        <v>573.97894736842102</v>
      </c>
      <c r="M116" s="4368">
        <v>274.25803622160259</v>
      </c>
      <c r="O116">
        <f t="shared" si="11"/>
        <v>1080.3692355487624</v>
      </c>
    </row>
    <row r="117" spans="1:15" x14ac:dyDescent="0.2">
      <c r="A117" s="4076" t="s">
        <v>2758</v>
      </c>
      <c r="B117" t="str">
        <f>INDEX(list_region_country!$G$3:$V$3,,SUMPRODUCT(--(list_region_country!$G$3:$V$56=Elec!A117)*(COLUMN(list_region_country!$G$3:$V$56)-COLUMN(list_region_country!$F$3))))</f>
        <v>Europe</v>
      </c>
      <c r="C117" s="4080">
        <v>0.52453513956760034</v>
      </c>
      <c r="D117" s="235">
        <v>2007</v>
      </c>
      <c r="E117" s="4080">
        <f t="shared" si="10"/>
        <v>0.52453513956760034</v>
      </c>
      <c r="F117" s="4080">
        <f t="shared" si="8"/>
        <v>0.41446157359502134</v>
      </c>
      <c r="G117" s="4080">
        <f t="shared" si="7"/>
        <v>0.2237124367134288</v>
      </c>
      <c r="H117" s="4080">
        <v>0.41446157359502134</v>
      </c>
      <c r="I117" s="4080">
        <v>0.2237124367134288</v>
      </c>
      <c r="K117" s="4342" t="s">
        <v>2624</v>
      </c>
      <c r="L117" s="4368">
        <v>752.5333333333333</v>
      </c>
      <c r="M117" s="4368">
        <v>529.62444777366818</v>
      </c>
      <c r="O117">
        <f t="shared" si="11"/>
        <v>380.23784032189218</v>
      </c>
    </row>
    <row r="118" spans="1:15" x14ac:dyDescent="0.2">
      <c r="A118" s="4077" t="s">
        <v>2528</v>
      </c>
      <c r="B118" t="str">
        <f>INDEX(list_region_country!$G$3:$V$3,,SUMPRODUCT(--(list_region_country!$G$3:$V$56=Elec!A118)*(COLUMN(list_region_country!$G$3:$V$56)-COLUMN(list_region_country!$F$3))))</f>
        <v>Caribbean</v>
      </c>
      <c r="C118" s="4080">
        <v>0.78300000000000003</v>
      </c>
      <c r="D118" s="235">
        <v>2019</v>
      </c>
      <c r="E118" s="4080">
        <f t="shared" si="10"/>
        <v>0.78300000000000003</v>
      </c>
      <c r="F118" s="4080">
        <f t="shared" si="8"/>
        <v>0.71077986154859829</v>
      </c>
      <c r="G118" s="4080">
        <f t="shared" si="7"/>
        <v>0.49760415303551148</v>
      </c>
      <c r="H118" s="4080">
        <v>0.71077986154859829</v>
      </c>
      <c r="I118" s="4080">
        <v>0.49760415303551148</v>
      </c>
      <c r="K118" s="4343" t="s">
        <v>2620</v>
      </c>
      <c r="L118" s="4369">
        <v>754.13804349403108</v>
      </c>
      <c r="M118" s="4368">
        <v>359.48250254137201</v>
      </c>
      <c r="O118">
        <f t="shared" si="11"/>
        <v>436.26666666666671</v>
      </c>
    </row>
    <row r="119" spans="1:15" x14ac:dyDescent="0.2">
      <c r="A119" s="4077" t="s">
        <v>2530</v>
      </c>
      <c r="B119" t="str">
        <f>INDEX(list_region_country!$G$3:$V$3,,SUMPRODUCT(--(list_region_country!$G$3:$V$56=Elec!A119)*(COLUMN(list_region_country!$G$3:$V$56)-COLUMN(list_region_country!$F$3))))</f>
        <v>Eastern Asia</v>
      </c>
      <c r="C119" s="4080">
        <v>0.41742822575793453</v>
      </c>
      <c r="D119" s="235">
        <v>2007</v>
      </c>
      <c r="E119" s="4080">
        <f t="shared" si="10"/>
        <v>0.41742822575793453</v>
      </c>
      <c r="F119" s="4080">
        <f t="shared" si="8"/>
        <v>0.47144868157144054</v>
      </c>
      <c r="G119" s="4080">
        <f t="shared" si="7"/>
        <v>0.28611693586732562</v>
      </c>
      <c r="H119" s="4080">
        <v>0.47144868157144054</v>
      </c>
      <c r="I119" s="4080">
        <v>0.28611693586732562</v>
      </c>
      <c r="K119" s="4342" t="s">
        <v>2632</v>
      </c>
      <c r="L119" s="4369">
        <v>555.32213373870559</v>
      </c>
      <c r="M119" s="4368">
        <v>329.71974728710904</v>
      </c>
      <c r="O119">
        <f t="shared" si="11"/>
        <v>394.16083084258253</v>
      </c>
    </row>
    <row r="120" spans="1:15" x14ac:dyDescent="0.2">
      <c r="A120" s="4076" t="s">
        <v>2759</v>
      </c>
      <c r="B120" t="str">
        <f>INDEX(list_region_country!$G$3:$V$3,,SUMPRODUCT(--(list_region_country!$G$3:$V$56=Elec!A120)*(COLUMN(list_region_country!$G$3:$V$56)-COLUMN(list_region_country!$F$3))))</f>
        <v>Europe</v>
      </c>
      <c r="C120" s="4080" t="s">
        <v>3051</v>
      </c>
      <c r="D120" s="235" t="s">
        <v>3051</v>
      </c>
      <c r="E120" s="4080">
        <f t="shared" ca="1" si="10"/>
        <v>0.47807669886913667</v>
      </c>
      <c r="F120" s="4080">
        <f t="shared" si="8"/>
        <v>0</v>
      </c>
      <c r="G120" s="4080">
        <f t="shared" si="7"/>
        <v>0.2562322492034157</v>
      </c>
      <c r="H120" s="4080" t="s">
        <v>1824</v>
      </c>
      <c r="I120" s="4080" t="s">
        <v>1824</v>
      </c>
      <c r="K120" s="4342" t="s">
        <v>3156</v>
      </c>
      <c r="L120" s="4369">
        <v>1145.0674874178146</v>
      </c>
      <c r="M120" s="4368">
        <v>842.8157796622196</v>
      </c>
      <c r="O120">
        <f t="shared" si="11"/>
        <v>414.46157359502132</v>
      </c>
    </row>
    <row r="121" spans="1:15" x14ac:dyDescent="0.2">
      <c r="A121" s="4077" t="s">
        <v>2686</v>
      </c>
      <c r="B121" t="str">
        <f>INDEX(list_region_country!$G$3:$V$3,,SUMPRODUCT(--(list_region_country!$G$3:$V$56=Elec!A121)*(COLUMN(list_region_country!$G$3:$V$56)-COLUMN(list_region_country!$F$3))))</f>
        <v>Western Asia</v>
      </c>
      <c r="C121" s="4080">
        <v>0.58399999999999996</v>
      </c>
      <c r="D121" s="235">
        <v>2019</v>
      </c>
      <c r="E121" s="4080">
        <f t="shared" si="10"/>
        <v>0.58399999999999996</v>
      </c>
      <c r="F121" s="4080">
        <f t="shared" si="8"/>
        <v>0.5285811548399727</v>
      </c>
      <c r="G121" s="4080">
        <f t="shared" si="7"/>
        <v>0.38186279856047622</v>
      </c>
      <c r="H121" s="4080">
        <v>0.5285811548399727</v>
      </c>
      <c r="I121" s="4080">
        <v>0.38186279856047622</v>
      </c>
      <c r="K121" s="4342" t="s">
        <v>2688</v>
      </c>
      <c r="L121" s="4369">
        <v>675.1492372215954</v>
      </c>
      <c r="M121" s="4368">
        <v>399.76965536565945</v>
      </c>
      <c r="O121">
        <f t="shared" si="11"/>
        <v>710.77986154859832</v>
      </c>
    </row>
    <row r="122" spans="1:15" x14ac:dyDescent="0.2">
      <c r="A122" s="4077" t="s">
        <v>2687</v>
      </c>
      <c r="B122" t="str">
        <f>INDEX(list_region_country!$G$3:$V$3,,SUMPRODUCT(--(list_region_country!$G$3:$V$56=Elec!A122)*(COLUMN(list_region_country!$G$3:$V$56)-COLUMN(list_region_country!$F$3))))</f>
        <v>Central Asia</v>
      </c>
      <c r="C122" s="4080">
        <v>1.2926600828272028</v>
      </c>
      <c r="D122" s="235">
        <v>2007</v>
      </c>
      <c r="E122" s="4080">
        <f t="shared" si="10"/>
        <v>1.2926600828272028</v>
      </c>
      <c r="F122" s="4080">
        <f t="shared" si="8"/>
        <v>0.79717512023385118</v>
      </c>
      <c r="G122" s="4080">
        <f t="shared" si="7"/>
        <v>0.53221770407285385</v>
      </c>
      <c r="H122" s="4080">
        <v>0.79717512023385118</v>
      </c>
      <c r="I122" s="4080">
        <v>0.53221770407285385</v>
      </c>
      <c r="K122" s="4342" t="s">
        <v>2689</v>
      </c>
      <c r="L122" s="4369">
        <v>217.14621167186183</v>
      </c>
      <c r="M122" s="4368">
        <v>97.720914461216495</v>
      </c>
      <c r="O122">
        <f t="shared" si="11"/>
        <v>471.44868157144055</v>
      </c>
    </row>
    <row r="123" spans="1:15" x14ac:dyDescent="0.2">
      <c r="A123" s="4076" t="s">
        <v>2532</v>
      </c>
      <c r="B123" t="str">
        <f>INDEX(list_region_country!$G$3:$V$3,,SUMPRODUCT(--(list_region_country!$G$3:$V$56=Elec!A123)*(COLUMN(list_region_country!$G$3:$V$56)-COLUMN(list_region_country!$F$3))))</f>
        <v>Eastern Africa</v>
      </c>
      <c r="C123" s="4080">
        <v>0.60299999999999998</v>
      </c>
      <c r="D123" s="235">
        <v>2019</v>
      </c>
      <c r="E123" s="4080">
        <f t="shared" si="10"/>
        <v>0.60299999999999998</v>
      </c>
      <c r="F123" s="4080">
        <f t="shared" si="8"/>
        <v>0.57397894736842103</v>
      </c>
      <c r="G123" s="4080">
        <f t="shared" si="7"/>
        <v>0.27425803622160261</v>
      </c>
      <c r="H123" s="4080">
        <v>0.57397894736842103</v>
      </c>
      <c r="I123" s="4080">
        <v>0.27425803622160261</v>
      </c>
      <c r="K123" s="4342" t="s">
        <v>2625</v>
      </c>
      <c r="L123" s="4368">
        <v>1069.072340425532</v>
      </c>
      <c r="M123" s="4368">
        <v>554.56191213040506</v>
      </c>
      <c r="O123" t="e">
        <f t="shared" si="11"/>
        <v>#N/A</v>
      </c>
    </row>
    <row r="124" spans="1:15" x14ac:dyDescent="0.2">
      <c r="A124" s="4076" t="s">
        <v>2624</v>
      </c>
      <c r="B124" t="str">
        <f>INDEX(list_region_country!$G$3:$V$3,,SUMPRODUCT(--(list_region_country!$G$3:$V$56=Elec!A124)*(COLUMN(list_region_country!$G$3:$V$56)-COLUMN(list_region_country!$F$3))))</f>
        <v>Oceania</v>
      </c>
      <c r="C124" s="4080" t="s">
        <v>3051</v>
      </c>
      <c r="D124" s="235" t="s">
        <v>3051</v>
      </c>
      <c r="E124" s="4080">
        <f t="shared" ca="1" si="10"/>
        <v>0.58971601656224637</v>
      </c>
      <c r="F124" s="4080">
        <f t="shared" si="8"/>
        <v>0.75253333333333328</v>
      </c>
      <c r="G124" s="4080">
        <f t="shared" si="7"/>
        <v>0.52962444777366813</v>
      </c>
      <c r="H124" s="4080">
        <v>0.75253333333333328</v>
      </c>
      <c r="I124" s="4080">
        <v>0.52962444777366813</v>
      </c>
      <c r="K124" s="4342" t="s">
        <v>2760</v>
      </c>
      <c r="L124" s="4369">
        <v>239.85341541279956</v>
      </c>
      <c r="M124" s="4368">
        <v>117.20603105855093</v>
      </c>
      <c r="O124">
        <f t="shared" si="11"/>
        <v>528.58115483997267</v>
      </c>
    </row>
    <row r="125" spans="1:15" x14ac:dyDescent="0.2">
      <c r="A125" s="4077" t="s">
        <v>2688</v>
      </c>
      <c r="B125" t="str">
        <f>INDEX(list_region_country!$G$3:$V$3,,SUMPRODUCT(--(list_region_country!$G$3:$V$56=Elec!A125)*(COLUMN(list_region_country!$G$3:$V$56)-COLUMN(list_region_country!$F$3))))</f>
        <v>Western Asia</v>
      </c>
      <c r="C125" s="4080">
        <v>0.78</v>
      </c>
      <c r="D125" s="235">
        <v>2019</v>
      </c>
      <c r="E125" s="4080">
        <f t="shared" si="10"/>
        <v>0.78</v>
      </c>
      <c r="F125" s="4080">
        <f t="shared" si="8"/>
        <v>0.67514923722159537</v>
      </c>
      <c r="G125" s="4080">
        <f t="shared" si="7"/>
        <v>0.39976965536565945</v>
      </c>
      <c r="H125" s="4080">
        <v>0.67514923722159537</v>
      </c>
      <c r="I125" s="4080">
        <v>0.39976965536565945</v>
      </c>
      <c r="K125" s="4342" t="s">
        <v>2690</v>
      </c>
      <c r="L125" s="4369">
        <v>793.95789473684215</v>
      </c>
      <c r="M125" s="4368">
        <v>566.98500341756062</v>
      </c>
      <c r="O125">
        <f t="shared" si="11"/>
        <v>797.1751202338512</v>
      </c>
    </row>
    <row r="126" spans="1:15" x14ac:dyDescent="0.2">
      <c r="A126" s="4077" t="s">
        <v>2689</v>
      </c>
      <c r="B126" t="str">
        <f>INDEX(list_region_country!$G$3:$V$3,,SUMPRODUCT(--(list_region_country!$G$3:$V$56=Elec!A126)*(COLUMN(list_region_country!$G$3:$V$56)-COLUMN(list_region_country!$F$3))))</f>
        <v>Central Asia</v>
      </c>
      <c r="C126" s="4080">
        <v>0.10207626280825775</v>
      </c>
      <c r="D126" s="235">
        <v>2007</v>
      </c>
      <c r="E126" s="4080">
        <f t="shared" si="10"/>
        <v>0.10207626280825775</v>
      </c>
      <c r="F126" s="4080">
        <f t="shared" si="8"/>
        <v>0.21714621167186182</v>
      </c>
      <c r="G126" s="4080">
        <f t="shared" si="7"/>
        <v>9.7720914461216501E-2</v>
      </c>
      <c r="H126" s="4080">
        <v>0.21714621167186182</v>
      </c>
      <c r="I126" s="4080">
        <v>9.7720914461216501E-2</v>
      </c>
      <c r="K126" s="4342" t="s">
        <v>2722</v>
      </c>
      <c r="L126" s="4368">
        <v>0</v>
      </c>
      <c r="M126" s="4368">
        <v>0</v>
      </c>
      <c r="O126">
        <f t="shared" si="11"/>
        <v>573.97894736842102</v>
      </c>
    </row>
    <row r="127" spans="1:15" x14ac:dyDescent="0.2">
      <c r="A127" s="4077" t="s">
        <v>2625</v>
      </c>
      <c r="B127" t="str">
        <f>INDEX(list_region_country!$G$3:$V$3,,SUMPRODUCT(--(list_region_country!$G$3:$V$56=Elec!A127)*(COLUMN(list_region_country!$G$3:$V$56)-COLUMN(list_region_country!$F$3))))</f>
        <v>South-eastern Asia</v>
      </c>
      <c r="C127" s="4080">
        <v>0.55900000000000005</v>
      </c>
      <c r="D127" s="235">
        <v>2019</v>
      </c>
      <c r="E127" s="4080">
        <f t="shared" si="10"/>
        <v>0.55900000000000005</v>
      </c>
      <c r="F127" s="4080">
        <f t="shared" si="8"/>
        <v>1.069072340425532</v>
      </c>
      <c r="G127" s="4080">
        <f t="shared" si="7"/>
        <v>0.55456191213040507</v>
      </c>
      <c r="H127" s="4080">
        <v>1.069072340425532</v>
      </c>
      <c r="I127" s="4080">
        <v>0.55456191213040507</v>
      </c>
      <c r="K127" s="4342" t="s">
        <v>2534</v>
      </c>
      <c r="L127" s="4368">
        <v>677.28</v>
      </c>
      <c r="M127" s="4368">
        <v>373.91313303397692</v>
      </c>
      <c r="O127">
        <f t="shared" si="11"/>
        <v>752.5333333333333</v>
      </c>
    </row>
    <row r="128" spans="1:15" x14ac:dyDescent="0.2">
      <c r="A128" s="4076" t="s">
        <v>2760</v>
      </c>
      <c r="B128" t="str">
        <f>INDEX(list_region_country!$G$3:$V$3,,SUMPRODUCT(--(list_region_country!$G$3:$V$56=Elec!A128)*(COLUMN(list_region_country!$G$3:$V$56)-COLUMN(list_region_country!$F$3))))</f>
        <v>Europe</v>
      </c>
      <c r="C128" s="4080">
        <v>0.51296293856220021</v>
      </c>
      <c r="D128" s="235">
        <v>2007</v>
      </c>
      <c r="E128" s="4080">
        <f t="shared" si="10"/>
        <v>0.51296293856220021</v>
      </c>
      <c r="F128" s="4080">
        <f t="shared" si="8"/>
        <v>0.23985341541279956</v>
      </c>
      <c r="G128" s="4080">
        <f t="shared" si="7"/>
        <v>0.11720603105855093</v>
      </c>
      <c r="H128" s="4080">
        <v>0.23985341541279956</v>
      </c>
      <c r="I128" s="4080">
        <v>0.11720603105855093</v>
      </c>
      <c r="K128" s="4342" t="s">
        <v>2691</v>
      </c>
      <c r="L128" s="4369">
        <v>667.51930829861703</v>
      </c>
      <c r="M128" s="4368">
        <v>493.33625699416393</v>
      </c>
      <c r="O128">
        <f t="shared" si="11"/>
        <v>675.1492372215954</v>
      </c>
    </row>
    <row r="129" spans="1:15" x14ac:dyDescent="0.2">
      <c r="A129" s="4077" t="s">
        <v>2690</v>
      </c>
      <c r="B129" t="str">
        <f>INDEX(list_region_country!$G$3:$V$3,,SUMPRODUCT(--(list_region_country!$G$3:$V$56=Elec!A129)*(COLUMN(list_region_country!$G$3:$V$56)-COLUMN(list_region_country!$F$3))))</f>
        <v>Western Asia</v>
      </c>
      <c r="C129" s="4080">
        <v>0.65</v>
      </c>
      <c r="D129" s="235">
        <v>2019</v>
      </c>
      <c r="E129" s="4080">
        <f t="shared" si="10"/>
        <v>0.65</v>
      </c>
      <c r="F129" s="4080">
        <f t="shared" si="8"/>
        <v>0.7939578947368422</v>
      </c>
      <c r="G129" s="4080">
        <f t="shared" si="7"/>
        <v>0.56698500341756064</v>
      </c>
      <c r="H129" s="4080">
        <v>0.7939578947368422</v>
      </c>
      <c r="I129" s="4080">
        <v>0.56698500341756064</v>
      </c>
      <c r="K129" s="4342" t="s">
        <v>2761</v>
      </c>
      <c r="L129" s="4368">
        <v>150.50666666666663</v>
      </c>
      <c r="M129" s="4368">
        <v>52.10260049692787</v>
      </c>
      <c r="O129">
        <f t="shared" si="11"/>
        <v>217.14621167186183</v>
      </c>
    </row>
    <row r="130" spans="1:15" x14ac:dyDescent="0.2">
      <c r="A130" s="4077" t="s">
        <v>2722</v>
      </c>
      <c r="B130" t="str">
        <f>INDEX(list_region_country!$G$3:$V$3,,SUMPRODUCT(--(list_region_country!$G$3:$V$56=Elec!A130)*(COLUMN(list_region_country!$G$3:$V$56)-COLUMN(list_region_country!$F$3))))</f>
        <v>Southern Africa</v>
      </c>
      <c r="C130" s="4080">
        <v>0.94799999999999995</v>
      </c>
      <c r="D130" s="235">
        <v>2019</v>
      </c>
      <c r="E130" s="4080">
        <f t="shared" si="10"/>
        <v>0.94799999999999995</v>
      </c>
      <c r="F130" s="4080">
        <f t="shared" si="8"/>
        <v>0</v>
      </c>
      <c r="G130" s="4080">
        <f t="shared" si="7"/>
        <v>0.65207291524517819</v>
      </c>
      <c r="H130" s="4080" t="s">
        <v>1824</v>
      </c>
      <c r="I130" s="4080" t="s">
        <v>1824</v>
      </c>
      <c r="K130" s="4342" t="s">
        <v>2762</v>
      </c>
      <c r="L130" s="4369">
        <v>210.53740239018973</v>
      </c>
      <c r="M130" s="4368">
        <v>101.8441227431646</v>
      </c>
      <c r="O130">
        <f t="shared" si="11"/>
        <v>1069.072340425532</v>
      </c>
    </row>
    <row r="131" spans="1:15" x14ac:dyDescent="0.2">
      <c r="A131" s="4077" t="s">
        <v>2534</v>
      </c>
      <c r="B131" t="str">
        <f>INDEX(list_region_country!$G$3:$V$3,,SUMPRODUCT(--(list_region_country!$G$3:$V$56=Elec!A131)*(COLUMN(list_region_country!$G$3:$V$56)-COLUMN(list_region_country!$F$3))))</f>
        <v>Western Africa</v>
      </c>
      <c r="C131" s="4080" t="s">
        <v>3051</v>
      </c>
      <c r="D131" s="235" t="s">
        <v>3051</v>
      </c>
      <c r="E131" s="4080">
        <f t="shared" ca="1" si="10"/>
        <v>0.55772727272727263</v>
      </c>
      <c r="F131" s="4080">
        <f t="shared" si="8"/>
        <v>0.67727999999999999</v>
      </c>
      <c r="G131" s="4080">
        <f t="shared" si="7"/>
        <v>0.37391313303397694</v>
      </c>
      <c r="H131" s="4080">
        <v>0.67727999999999999</v>
      </c>
      <c r="I131" s="4080">
        <v>0.37391313303397694</v>
      </c>
      <c r="K131" s="4342" t="s">
        <v>2763</v>
      </c>
      <c r="L131" s="4369">
        <v>220.20817983218129</v>
      </c>
      <c r="M131" s="4368">
        <v>95.040592324606507</v>
      </c>
      <c r="O131">
        <f t="shared" si="11"/>
        <v>239.85341541279956</v>
      </c>
    </row>
    <row r="132" spans="1:15" x14ac:dyDescent="0.2">
      <c r="A132" s="4077" t="s">
        <v>2691</v>
      </c>
      <c r="B132" t="str">
        <f>INDEX(list_region_country!$G$3:$V$3,,SUMPRODUCT(--(list_region_country!$G$3:$V$56=Elec!A132)*(COLUMN(list_region_country!$G$3:$V$56)-COLUMN(list_region_country!$F$3))))</f>
        <v>Northern Africa</v>
      </c>
      <c r="C132" s="4080">
        <v>0.79400000000000004</v>
      </c>
      <c r="D132" s="235">
        <v>2019</v>
      </c>
      <c r="E132" s="4080">
        <f t="shared" si="10"/>
        <v>0.79400000000000004</v>
      </c>
      <c r="F132" s="4080">
        <f t="shared" si="8"/>
        <v>0.66751930829861705</v>
      </c>
      <c r="G132" s="4080">
        <f t="shared" si="7"/>
        <v>0.49333625699416395</v>
      </c>
      <c r="H132" s="4080">
        <v>0.66751930829861705</v>
      </c>
      <c r="I132" s="4080">
        <v>0.49333625699416395</v>
      </c>
      <c r="K132" s="4342" t="s">
        <v>2536</v>
      </c>
      <c r="L132" s="4368">
        <v>875.73684210526324</v>
      </c>
      <c r="M132" s="4368">
        <v>567.41092286541254</v>
      </c>
      <c r="O132">
        <f t="shared" si="11"/>
        <v>793.95789473684215</v>
      </c>
    </row>
    <row r="133" spans="1:15" x14ac:dyDescent="0.2">
      <c r="A133" s="4076" t="s">
        <v>2761</v>
      </c>
      <c r="B133" t="str">
        <f>INDEX(list_region_country!$G$3:$V$3,,SUMPRODUCT(--(list_region_country!$G$3:$V$56=Elec!A133)*(COLUMN(list_region_country!$G$3:$V$56)-COLUMN(list_region_country!$F$3))))</f>
        <v>Europe</v>
      </c>
      <c r="C133" s="4080" t="s">
        <v>3051</v>
      </c>
      <c r="D133" s="235" t="s">
        <v>3051</v>
      </c>
      <c r="E133" s="4080">
        <f t="shared" ref="E133:E164" ca="1" si="12">IF(C133="",AVERAGEIF($B$5:$C$252,B133,$C$5:$C$252),C133)</f>
        <v>0.47807669886913667</v>
      </c>
      <c r="F133" s="4080">
        <f t="shared" si="8"/>
        <v>0.15050666666666662</v>
      </c>
      <c r="G133" s="4080">
        <f t="shared" ref="G133:G196" si="13">IFERROR(IF(VLOOKUP(A133, $K$8:$M$241, 3, FALSE)/1000 = 0, AVERAGEIF($B$5:$B$252,B133,$I$5:$I$252), VLOOKUP(A133, $K$8:$M$241, 3, FALSE)/1000 ), AVERAGEIF($B$5:$B$252,B133,$I$5:$I$252))</f>
        <v>5.2102600496927873E-2</v>
      </c>
      <c r="H133" s="4080">
        <v>0.15050666666666662</v>
      </c>
      <c r="I133" s="4080">
        <v>5.2102600496927873E-2</v>
      </c>
      <c r="K133" s="4342" t="s">
        <v>3157</v>
      </c>
      <c r="L133" s="4369">
        <v>662.78198198198197</v>
      </c>
      <c r="M133" s="4368">
        <v>368.66348192449874</v>
      </c>
      <c r="O133">
        <f t="shared" si="11"/>
        <v>0</v>
      </c>
    </row>
    <row r="134" spans="1:15" x14ac:dyDescent="0.2">
      <c r="A134" s="4076" t="s">
        <v>2762</v>
      </c>
      <c r="B134" t="str">
        <f>INDEX(list_region_country!$G$3:$V$3,,SUMPRODUCT(--(list_region_country!$G$3:$V$56=Elec!A134)*(COLUMN(list_region_country!$G$3:$V$56)-COLUMN(list_region_country!$F$3))))</f>
        <v>Europe</v>
      </c>
      <c r="C134" s="4080">
        <v>0.16533794553807368</v>
      </c>
      <c r="D134" s="235">
        <v>2007</v>
      </c>
      <c r="E134" s="4080">
        <f t="shared" si="12"/>
        <v>0.16533794553807368</v>
      </c>
      <c r="F134" s="4080">
        <f t="shared" ref="F134:F197" si="14">IFERROR(IF(VLOOKUP(A134, $K$8:$M$241, 2, FALSE)/1000 = 0, 0, VLOOKUP(A134, $K$8:$M$241, 2, FALSE)/1000 ), 0)</f>
        <v>0.21053740239018973</v>
      </c>
      <c r="G134" s="4080">
        <f t="shared" si="13"/>
        <v>0.10184412274316461</v>
      </c>
      <c r="H134" s="4080">
        <v>0.21053740239018973</v>
      </c>
      <c r="I134" s="4080">
        <v>0.10184412274316461</v>
      </c>
      <c r="K134" s="4342" t="s">
        <v>2723</v>
      </c>
      <c r="L134" s="4368">
        <v>489.14666666666665</v>
      </c>
      <c r="M134" s="4368">
        <v>242.73169367576958</v>
      </c>
      <c r="O134">
        <f t="shared" si="11"/>
        <v>677.28</v>
      </c>
    </row>
    <row r="135" spans="1:15" x14ac:dyDescent="0.2">
      <c r="A135" s="4076" t="s">
        <v>2763</v>
      </c>
      <c r="B135" t="str">
        <f>INDEX(list_region_country!$G$3:$V$3,,SUMPRODUCT(--(list_region_country!$G$3:$V$56=Elec!A135)*(COLUMN(list_region_country!$G$3:$V$56)-COLUMN(list_region_country!$F$3))))</f>
        <v>Europe</v>
      </c>
      <c r="C135" s="4080">
        <v>0.38666944731641445</v>
      </c>
      <c r="D135" s="235">
        <v>2007</v>
      </c>
      <c r="E135" s="4080">
        <f t="shared" si="12"/>
        <v>0.38666944731641445</v>
      </c>
      <c r="F135" s="4080">
        <f t="shared" si="14"/>
        <v>0.2202081798321813</v>
      </c>
      <c r="G135" s="4080">
        <f t="shared" si="13"/>
        <v>9.5040592324606502E-2</v>
      </c>
      <c r="H135" s="4080">
        <v>0.2202081798321813</v>
      </c>
      <c r="I135" s="4080">
        <v>9.5040592324606502E-2</v>
      </c>
      <c r="K135" s="4342" t="s">
        <v>2538</v>
      </c>
      <c r="L135" s="4368">
        <v>550.98890691619533</v>
      </c>
      <c r="M135" s="4368">
        <v>436.19213559667077</v>
      </c>
      <c r="O135">
        <f t="shared" si="11"/>
        <v>667.51930829861703</v>
      </c>
    </row>
    <row r="136" spans="1:15" x14ac:dyDescent="0.2">
      <c r="A136" s="4076" t="s">
        <v>2536</v>
      </c>
      <c r="B136" t="str">
        <f>INDEX(list_region_country!$G$3:$V$3,,SUMPRODUCT(--(list_region_country!$G$3:$V$56=Elec!A136)*(COLUMN(list_region_country!$G$3:$V$56)-COLUMN(list_region_country!$F$3))))</f>
        <v>Eastern Africa</v>
      </c>
      <c r="C136" s="4080">
        <v>0.55200000000000005</v>
      </c>
      <c r="D136" s="235">
        <v>2019</v>
      </c>
      <c r="E136" s="4080">
        <f t="shared" si="12"/>
        <v>0.55200000000000005</v>
      </c>
      <c r="F136" s="4080">
        <f t="shared" si="14"/>
        <v>0.87573684210526326</v>
      </c>
      <c r="G136" s="4080">
        <f t="shared" si="13"/>
        <v>0.5674109228654125</v>
      </c>
      <c r="H136" s="4080">
        <v>0.87573684210526326</v>
      </c>
      <c r="I136" s="4080">
        <v>0.5674109228654125</v>
      </c>
      <c r="K136" s="4342" t="s">
        <v>2540</v>
      </c>
      <c r="L136" s="4368">
        <v>752.5333333333333</v>
      </c>
      <c r="M136" s="4368">
        <v>524.46028262705113</v>
      </c>
      <c r="O136">
        <f t="shared" ref="O136:O167" si="15">VLOOKUP(A133, $K$8:$M$241, 2, FALSE)</f>
        <v>150.50666666666663</v>
      </c>
    </row>
    <row r="137" spans="1:15" x14ac:dyDescent="0.2">
      <c r="A137" s="4076" t="s">
        <v>2723</v>
      </c>
      <c r="B137" t="str">
        <f>INDEX(list_region_country!$G$3:$V$3,,SUMPRODUCT(--(list_region_country!$G$3:$V$56=Elec!A137)*(COLUMN(list_region_country!$G$3:$V$56)-COLUMN(list_region_country!$F$3))))</f>
        <v>Eastern Africa</v>
      </c>
      <c r="C137" s="4080" t="s">
        <v>3051</v>
      </c>
      <c r="D137" s="235" t="s">
        <v>3051</v>
      </c>
      <c r="E137" s="4080">
        <f t="shared" ca="1" si="12"/>
        <v>0.68163909586343463</v>
      </c>
      <c r="F137" s="4080">
        <f t="shared" si="14"/>
        <v>0.48914666666666667</v>
      </c>
      <c r="G137" s="4080">
        <f t="shared" si="13"/>
        <v>0.24273169367576958</v>
      </c>
      <c r="H137" s="4080">
        <v>0.48914666666666667</v>
      </c>
      <c r="I137" s="4080">
        <v>0.24273169367576958</v>
      </c>
      <c r="K137" s="4342" t="s">
        <v>2724</v>
      </c>
      <c r="L137" s="4369">
        <v>1076.2526315789476</v>
      </c>
      <c r="M137" s="4368">
        <v>623.3716755063615</v>
      </c>
      <c r="O137">
        <f t="shared" si="15"/>
        <v>210.53740239018973</v>
      </c>
    </row>
    <row r="138" spans="1:15" x14ac:dyDescent="0.2">
      <c r="A138" s="4077" t="s">
        <v>2538</v>
      </c>
      <c r="B138" t="str">
        <f>INDEX(list_region_country!$G$3:$V$3,,SUMPRODUCT(--(list_region_country!$G$3:$V$56=Elec!A138)*(COLUMN(list_region_country!$G$3:$V$56)-COLUMN(list_region_country!$F$3))))</f>
        <v>South-eastern Asia</v>
      </c>
      <c r="C138" s="4080">
        <v>0.67</v>
      </c>
      <c r="D138" s="235">
        <v>2019</v>
      </c>
      <c r="E138" s="4080">
        <f t="shared" si="12"/>
        <v>0.67</v>
      </c>
      <c r="F138" s="4080">
        <f t="shared" si="14"/>
        <v>0.55098890691619529</v>
      </c>
      <c r="G138" s="4080">
        <f t="shared" si="13"/>
        <v>0.43619213559667075</v>
      </c>
      <c r="H138" s="4080">
        <v>0.55098890691619529</v>
      </c>
      <c r="I138" s="4080">
        <v>0.43619213559667075</v>
      </c>
      <c r="K138" s="4342" t="s">
        <v>2764</v>
      </c>
      <c r="L138" s="4368">
        <v>519.67257192478121</v>
      </c>
      <c r="M138" s="4368">
        <v>294.51240553406734</v>
      </c>
      <c r="O138">
        <f t="shared" si="15"/>
        <v>220.20817983218129</v>
      </c>
    </row>
    <row r="139" spans="1:15" x14ac:dyDescent="0.2">
      <c r="A139" s="4077" t="s">
        <v>2540</v>
      </c>
      <c r="B139" t="str">
        <f>INDEX(list_region_country!$G$3:$V$3,,SUMPRODUCT(--(list_region_country!$G$3:$V$56=Elec!A139)*(COLUMN(list_region_country!$G$3:$V$56)-COLUMN(list_region_country!$F$3))))</f>
        <v>Southern Asia</v>
      </c>
      <c r="C139" s="4080" t="s">
        <v>3051</v>
      </c>
      <c r="D139" s="235" t="s">
        <v>3051</v>
      </c>
      <c r="E139" s="4080">
        <f t="shared" ca="1" si="12"/>
        <v>0.61154768082281008</v>
      </c>
      <c r="F139" s="4080">
        <f t="shared" si="14"/>
        <v>0.75253333333333328</v>
      </c>
      <c r="G139" s="4080">
        <f t="shared" si="13"/>
        <v>0.52446028262705113</v>
      </c>
      <c r="H139" s="4080">
        <v>0.75253333333333328</v>
      </c>
      <c r="I139" s="4080">
        <v>0.52446028262705113</v>
      </c>
      <c r="K139" s="4342" t="s">
        <v>2626</v>
      </c>
      <c r="L139" s="4368">
        <v>752.5333333333333</v>
      </c>
      <c r="M139" s="4368">
        <v>560.92326136014526</v>
      </c>
      <c r="O139">
        <f t="shared" si="15"/>
        <v>875.73684210526324</v>
      </c>
    </row>
    <row r="140" spans="1:15" x14ac:dyDescent="0.2">
      <c r="A140" s="4077" t="s">
        <v>2724</v>
      </c>
      <c r="B140" t="str">
        <f>INDEX(list_region_country!$G$3:$V$3,,SUMPRODUCT(--(list_region_country!$G$3:$V$56=Elec!A140)*(COLUMN(list_region_country!$G$3:$V$56)-COLUMN(list_region_country!$F$3))))</f>
        <v>Western Africa</v>
      </c>
      <c r="C140" s="4080">
        <v>0.56299999999999994</v>
      </c>
      <c r="D140" s="235">
        <v>2019</v>
      </c>
      <c r="E140" s="4080">
        <f t="shared" si="12"/>
        <v>0.56299999999999994</v>
      </c>
      <c r="F140" s="4080">
        <f t="shared" si="14"/>
        <v>1.0762526315789476</v>
      </c>
      <c r="G140" s="4080">
        <f t="shared" si="13"/>
        <v>0.62337167550636152</v>
      </c>
      <c r="H140" s="4080">
        <v>1.0762526315789476</v>
      </c>
      <c r="I140" s="4080">
        <v>0.62337167550636152</v>
      </c>
      <c r="K140" s="4342" t="s">
        <v>2663</v>
      </c>
      <c r="L140" s="4369">
        <v>752.5333333333333</v>
      </c>
      <c r="M140" s="4368">
        <v>406.42868750288045</v>
      </c>
      <c r="O140">
        <f t="shared" si="15"/>
        <v>489.14666666666665</v>
      </c>
    </row>
    <row r="141" spans="1:15" x14ac:dyDescent="0.2">
      <c r="A141" s="4076" t="s">
        <v>2764</v>
      </c>
      <c r="B141" t="str">
        <f>INDEX(list_region_country!$G$3:$V$3,,SUMPRODUCT(--(list_region_country!$G$3:$V$56=Elec!A141)*(COLUMN(list_region_country!$G$3:$V$56)-COLUMN(list_region_country!$F$3))))</f>
        <v>Europe</v>
      </c>
      <c r="C141" s="4080">
        <v>0.90419364041386874</v>
      </c>
      <c r="D141" s="235">
        <v>2007</v>
      </c>
      <c r="E141" s="4080">
        <f t="shared" si="12"/>
        <v>0.90419364041386874</v>
      </c>
      <c r="F141" s="4080">
        <f t="shared" si="14"/>
        <v>0.51967257192478122</v>
      </c>
      <c r="G141" s="4080">
        <f t="shared" si="13"/>
        <v>0.29451240553406732</v>
      </c>
      <c r="H141" s="4080">
        <v>0.51967257192478122</v>
      </c>
      <c r="I141" s="4080">
        <v>0.29451240553406732</v>
      </c>
      <c r="K141" s="4342" t="s">
        <v>2725</v>
      </c>
      <c r="L141" s="4368">
        <v>752.5333333333333</v>
      </c>
      <c r="M141" s="4368">
        <v>513.12073333186731</v>
      </c>
      <c r="O141">
        <f t="shared" si="15"/>
        <v>550.98890691619533</v>
      </c>
    </row>
    <row r="142" spans="1:15" x14ac:dyDescent="0.2">
      <c r="A142" s="4076" t="s">
        <v>2626</v>
      </c>
      <c r="B142" t="str">
        <f>INDEX(list_region_country!$G$3:$V$3,,SUMPRODUCT(--(list_region_country!$G$3:$V$56=Elec!A142)*(COLUMN(list_region_country!$G$3:$V$56)-COLUMN(list_region_country!$F$3))))</f>
        <v>Oceania</v>
      </c>
      <c r="C142" s="4080" t="s">
        <v>3051</v>
      </c>
      <c r="D142" s="235" t="s">
        <v>3051</v>
      </c>
      <c r="E142" s="4080">
        <f t="shared" ca="1" si="12"/>
        <v>0.58971601656224637</v>
      </c>
      <c r="F142" s="4080">
        <f t="shared" si="14"/>
        <v>0.75253333333333328</v>
      </c>
      <c r="G142" s="4080">
        <f t="shared" si="13"/>
        <v>0.56092326136014525</v>
      </c>
      <c r="H142" s="4080">
        <v>0.75253333333333328</v>
      </c>
      <c r="I142" s="4080">
        <v>0.56092326136014525</v>
      </c>
      <c r="K142" s="4342" t="s">
        <v>2726</v>
      </c>
      <c r="L142" s="4368">
        <v>700.44635381945307</v>
      </c>
      <c r="M142" s="4368">
        <v>542.76295631382914</v>
      </c>
      <c r="O142">
        <f t="shared" si="15"/>
        <v>752.5333333333333</v>
      </c>
    </row>
    <row r="143" spans="1:15" x14ac:dyDescent="0.2">
      <c r="A143" s="4077" t="s">
        <v>2663</v>
      </c>
      <c r="B143" t="str">
        <f>INDEX(list_region_country!$G$3:$V$3,,SUMPRODUCT(--(list_region_country!$G$3:$V$56=Elec!A143)*(COLUMN(list_region_country!$G$3:$V$56)-COLUMN(list_region_country!$F$3))))</f>
        <v>Caribbean</v>
      </c>
      <c r="C143" s="4080" t="s">
        <v>3051</v>
      </c>
      <c r="D143" s="235" t="s">
        <v>3051</v>
      </c>
      <c r="E143" s="4080">
        <f t="shared" ca="1" si="12"/>
        <v>0.65968875404607097</v>
      </c>
      <c r="F143" s="4080">
        <f t="shared" si="14"/>
        <v>0.75253333333333328</v>
      </c>
      <c r="G143" s="4080">
        <f t="shared" si="13"/>
        <v>0.40642868750288047</v>
      </c>
      <c r="H143" s="4080">
        <v>0.75253333333333328</v>
      </c>
      <c r="I143" s="4080">
        <v>0.40642868750288047</v>
      </c>
      <c r="K143" s="4342" t="s">
        <v>2727</v>
      </c>
      <c r="L143" s="4368">
        <v>752.5333333333333</v>
      </c>
      <c r="M143" s="4368">
        <v>511.98871954868207</v>
      </c>
      <c r="O143">
        <f t="shared" si="15"/>
        <v>1076.2526315789476</v>
      </c>
    </row>
    <row r="144" spans="1:15" x14ac:dyDescent="0.2">
      <c r="A144" s="4077" t="s">
        <v>2725</v>
      </c>
      <c r="B144" t="str">
        <f>INDEX(list_region_country!$G$3:$V$3,,SUMPRODUCT(--(list_region_country!$G$3:$V$56=Elec!A144)*(COLUMN(list_region_country!$G$3:$V$56)-COLUMN(list_region_country!$F$3))))</f>
        <v>Western Africa</v>
      </c>
      <c r="C144" s="4080" t="s">
        <v>3051</v>
      </c>
      <c r="D144" s="235" t="s">
        <v>3051</v>
      </c>
      <c r="E144" s="4080">
        <f t="shared" ca="1" si="12"/>
        <v>0.55772727272727263</v>
      </c>
      <c r="F144" s="4080">
        <f t="shared" si="14"/>
        <v>0.75253333333333328</v>
      </c>
      <c r="G144" s="4080">
        <f t="shared" si="13"/>
        <v>0.51312073333186736</v>
      </c>
      <c r="H144" s="4080">
        <v>0.75253333333333328</v>
      </c>
      <c r="I144" s="4080">
        <v>0.51312073333186736</v>
      </c>
      <c r="K144" s="4342" t="s">
        <v>2542</v>
      </c>
      <c r="L144" s="4369">
        <v>531.43352435787062</v>
      </c>
      <c r="M144" s="4368">
        <v>360.40436858262598</v>
      </c>
      <c r="O144">
        <f t="shared" si="15"/>
        <v>519.67257192478121</v>
      </c>
    </row>
    <row r="145" spans="1:15" x14ac:dyDescent="0.2">
      <c r="A145" s="4076" t="s">
        <v>2726</v>
      </c>
      <c r="B145" t="str">
        <f>INDEX(list_region_country!$G$3:$V$3,,SUMPRODUCT(--(list_region_country!$G$3:$V$56=Elec!A145)*(COLUMN(list_region_country!$G$3:$V$56)-COLUMN(list_region_country!$F$3))))</f>
        <v>Eastern Africa</v>
      </c>
      <c r="C145" s="4080">
        <v>0.86399999999999999</v>
      </c>
      <c r="D145" s="235">
        <v>2019</v>
      </c>
      <c r="E145" s="4080">
        <f t="shared" si="12"/>
        <v>0.86399999999999999</v>
      </c>
      <c r="F145" s="4080">
        <f t="shared" si="14"/>
        <v>0.70044635381945308</v>
      </c>
      <c r="G145" s="4080">
        <f t="shared" si="13"/>
        <v>0.54276295631382909</v>
      </c>
      <c r="H145" s="4080">
        <v>0.70044635381945308</v>
      </c>
      <c r="I145" s="4080">
        <v>0.54276295631382909</v>
      </c>
      <c r="K145" s="4342" t="s">
        <v>2544</v>
      </c>
      <c r="L145" s="4368">
        <v>752.5333333333333</v>
      </c>
      <c r="M145" s="4368">
        <v>556.6305887334513</v>
      </c>
      <c r="O145">
        <f t="shared" si="15"/>
        <v>752.5333333333333</v>
      </c>
    </row>
    <row r="146" spans="1:15" x14ac:dyDescent="0.2">
      <c r="A146" s="4076" t="s">
        <v>2727</v>
      </c>
      <c r="B146" t="str">
        <f>INDEX(list_region_country!$G$3:$V$3,,SUMPRODUCT(--(list_region_country!$G$3:$V$56=Elec!A146)*(COLUMN(list_region_country!$G$3:$V$56)-COLUMN(list_region_country!$F$3))))</f>
        <v>Eastern Africa</v>
      </c>
      <c r="C146" s="4080" t="s">
        <v>3051</v>
      </c>
      <c r="D146" s="235" t="s">
        <v>3051</v>
      </c>
      <c r="E146" s="4080">
        <f t="shared" ca="1" si="12"/>
        <v>0.68163909586343463</v>
      </c>
      <c r="F146" s="4080">
        <f>IFERROR(IF(VLOOKUP(A146, $K$8:$M$241, 2, FALSE)/1000 = 0, 0, VLOOKUP(A146, $K$8:$M$241, 2, FALSE)/1000 ), 0)</f>
        <v>0.75253333333333328</v>
      </c>
      <c r="G146" s="4080">
        <f t="shared" si="13"/>
        <v>0.51198871954868208</v>
      </c>
      <c r="H146" s="4080">
        <v>0.75253333333333328</v>
      </c>
      <c r="I146" s="4080">
        <v>0.51198871954868208</v>
      </c>
      <c r="K146" s="4342" t="s">
        <v>2647</v>
      </c>
      <c r="L146" s="4369">
        <v>540.87135429556452</v>
      </c>
      <c r="M146" s="4368">
        <v>399.25864856099395</v>
      </c>
      <c r="O146">
        <f t="shared" si="15"/>
        <v>752.5333333333333</v>
      </c>
    </row>
    <row r="147" spans="1:15" x14ac:dyDescent="0.2">
      <c r="A147" s="4077" t="s">
        <v>2542</v>
      </c>
      <c r="B147" t="str">
        <f>INDEX(list_region_country!$G$3:$V$3,,SUMPRODUCT(--(list_region_country!$G$3:$V$56=Elec!A147)*(COLUMN(list_region_country!$G$3:$V$56)-COLUMN(list_region_country!$F$3))))</f>
        <v>Central America</v>
      </c>
      <c r="C147" s="4080">
        <v>0.59336166411058167</v>
      </c>
      <c r="D147" s="235">
        <v>2007</v>
      </c>
      <c r="E147" s="4080">
        <f t="shared" si="12"/>
        <v>0.59336166411058167</v>
      </c>
      <c r="F147" s="4080">
        <f t="shared" si="14"/>
        <v>0.53143352435787061</v>
      </c>
      <c r="G147" s="4080">
        <f t="shared" si="13"/>
        <v>0.36040436858262598</v>
      </c>
      <c r="H147" s="4080">
        <v>0.53143352435787061</v>
      </c>
      <c r="I147" s="4080">
        <v>0.36040436858262598</v>
      </c>
      <c r="K147" s="4342" t="s">
        <v>2765</v>
      </c>
      <c r="L147" s="4368">
        <v>158.13943258655422</v>
      </c>
      <c r="M147" s="4368">
        <v>67.622730217810499</v>
      </c>
      <c r="O147">
        <f t="shared" si="15"/>
        <v>752.5333333333333</v>
      </c>
    </row>
    <row r="148" spans="1:15" x14ac:dyDescent="0.2">
      <c r="A148" s="4076" t="s">
        <v>2544</v>
      </c>
      <c r="B148" t="str">
        <f>INDEX(list_region_country!$G$3:$V$3,,SUMPRODUCT(--(list_region_country!$G$3:$V$56=Elec!A148)*(COLUMN(list_region_country!$G$3:$V$56)-COLUMN(list_region_country!$F$3))))</f>
        <v>Oceania</v>
      </c>
      <c r="C148" s="4080" t="s">
        <v>3051</v>
      </c>
      <c r="D148" s="235" t="s">
        <v>3051</v>
      </c>
      <c r="E148" s="4080">
        <f t="shared" ca="1" si="12"/>
        <v>0.58971601656224637</v>
      </c>
      <c r="F148" s="4080">
        <f t="shared" si="14"/>
        <v>0.75253333333333328</v>
      </c>
      <c r="G148" s="4080">
        <f t="shared" si="13"/>
        <v>0.55663058873345128</v>
      </c>
      <c r="H148" s="4080">
        <v>0.75253333333333328</v>
      </c>
      <c r="I148" s="4080">
        <v>0.55663058873345128</v>
      </c>
      <c r="K148" s="4342" t="s">
        <v>2627</v>
      </c>
      <c r="L148" s="4369">
        <v>1366.3251553188454</v>
      </c>
      <c r="M148" s="4368">
        <v>1001.951322531854</v>
      </c>
      <c r="O148">
        <f t="shared" si="15"/>
        <v>700.44635381945307</v>
      </c>
    </row>
    <row r="149" spans="1:15" x14ac:dyDescent="0.2">
      <c r="A149" s="4076" t="s">
        <v>2765</v>
      </c>
      <c r="B149" t="str">
        <f>INDEX(list_region_country!$G$3:$V$3,,SUMPRODUCT(--(list_region_country!$G$3:$V$56=Elec!A149)*(COLUMN(list_region_country!$G$3:$V$56)-COLUMN(list_region_country!$F$3))))</f>
        <v>Europe</v>
      </c>
      <c r="C149" s="4080" t="s">
        <v>3051</v>
      </c>
      <c r="D149" s="235" t="s">
        <v>3051</v>
      </c>
      <c r="E149" s="4080">
        <f t="shared" ca="1" si="12"/>
        <v>0.47807669886913667</v>
      </c>
      <c r="F149" s="4080">
        <f t="shared" si="14"/>
        <v>0.15813943258655422</v>
      </c>
      <c r="G149" s="4080">
        <f t="shared" si="13"/>
        <v>6.7622730217810498E-2</v>
      </c>
      <c r="H149" s="4080">
        <v>0.15813943258655422</v>
      </c>
      <c r="I149" s="4080">
        <v>6.7622730217810498E-2</v>
      </c>
      <c r="K149" s="4342" t="s">
        <v>2766</v>
      </c>
      <c r="L149" s="4368">
        <v>899.15744680851071</v>
      </c>
      <c r="M149" s="4368">
        <v>471.04345150526137</v>
      </c>
      <c r="O149">
        <f t="shared" si="15"/>
        <v>752.5333333333333</v>
      </c>
    </row>
    <row r="150" spans="1:15" x14ac:dyDescent="0.2">
      <c r="A150" s="4077" t="s">
        <v>2627</v>
      </c>
      <c r="B150" t="str">
        <f>INDEX(list_region_country!$G$3:$V$3,,SUMPRODUCT(--(list_region_country!$G$3:$V$56=Elec!A150)*(COLUMN(list_region_country!$G$3:$V$56)-COLUMN(list_region_country!$F$3))))</f>
        <v>Eastern Asia</v>
      </c>
      <c r="C150" s="4080">
        <v>0.871</v>
      </c>
      <c r="D150" s="235">
        <v>2019</v>
      </c>
      <c r="E150" s="4080">
        <f t="shared" si="12"/>
        <v>0.871</v>
      </c>
      <c r="F150" s="4080">
        <f t="shared" si="14"/>
        <v>1.3663251553188454</v>
      </c>
      <c r="G150" s="4080">
        <f t="shared" si="13"/>
        <v>1.0019513225318539</v>
      </c>
      <c r="H150" s="4080">
        <v>1.3663251553188454</v>
      </c>
      <c r="I150" s="4080">
        <v>1.0019513225318539</v>
      </c>
      <c r="K150" s="4342" t="s">
        <v>2664</v>
      </c>
      <c r="L150" s="4369">
        <v>752.5333333333333</v>
      </c>
      <c r="M150" s="4368">
        <v>516.98656568336264</v>
      </c>
      <c r="O150">
        <f t="shared" si="15"/>
        <v>531.43352435787062</v>
      </c>
    </row>
    <row r="151" spans="1:15" x14ac:dyDescent="0.2">
      <c r="A151" s="4076" t="s">
        <v>2766</v>
      </c>
      <c r="B151" t="str">
        <f>INDEX(list_region_country!$G$3:$V$3,,SUMPRODUCT(--(list_region_country!$G$3:$V$56=Elec!A151)*(COLUMN(list_region_country!$G$3:$V$56)-COLUMN(list_region_country!$F$3))))</f>
        <v>Europe</v>
      </c>
      <c r="C151" s="4080">
        <v>0.98399999999999999</v>
      </c>
      <c r="D151" s="235">
        <v>2019</v>
      </c>
      <c r="E151" s="4080">
        <f t="shared" si="12"/>
        <v>0.98399999999999999</v>
      </c>
      <c r="F151" s="4080">
        <f t="shared" si="14"/>
        <v>0.89915744680851073</v>
      </c>
      <c r="G151" s="4080">
        <f t="shared" si="13"/>
        <v>0.47104345150526139</v>
      </c>
      <c r="H151" s="4080">
        <v>0.89915744680851073</v>
      </c>
      <c r="I151" s="4080">
        <v>0.47104345150526139</v>
      </c>
      <c r="K151" s="4342" t="s">
        <v>2546</v>
      </c>
      <c r="L151" s="4369">
        <v>728.54654937893292</v>
      </c>
      <c r="M151" s="4368">
        <v>546.8271146982047</v>
      </c>
      <c r="O151">
        <f t="shared" si="15"/>
        <v>752.5333333333333</v>
      </c>
    </row>
    <row r="152" spans="1:15" x14ac:dyDescent="0.2">
      <c r="A152" s="4077" t="s">
        <v>2664</v>
      </c>
      <c r="B152" t="str">
        <f>INDEX(list_region_country!$G$3:$V$3,,SUMPRODUCT(--(list_region_country!$G$3:$V$56=Elec!A152)*(COLUMN(list_region_country!$G$3:$V$56)-COLUMN(list_region_country!$F$3))))</f>
        <v>Caribbean</v>
      </c>
      <c r="C152" s="4080" t="s">
        <v>3051</v>
      </c>
      <c r="D152" s="235" t="s">
        <v>3051</v>
      </c>
      <c r="E152" s="4080">
        <f t="shared" ca="1" si="12"/>
        <v>0.65968875404607097</v>
      </c>
      <c r="F152" s="4080">
        <f t="shared" si="14"/>
        <v>0.75253333333333328</v>
      </c>
      <c r="G152" s="4080">
        <f t="shared" si="13"/>
        <v>0.51698656568336265</v>
      </c>
      <c r="H152" s="4080">
        <v>0.75253333333333328</v>
      </c>
      <c r="I152" s="4080">
        <v>0.51698656568336265</v>
      </c>
      <c r="K152" s="4342" t="s">
        <v>2548</v>
      </c>
      <c r="L152" s="4368">
        <v>233.84260480422304</v>
      </c>
      <c r="M152" s="4368">
        <v>110.7817145243435</v>
      </c>
      <c r="O152">
        <f t="shared" si="15"/>
        <v>158.13943258655422</v>
      </c>
    </row>
    <row r="153" spans="1:15" x14ac:dyDescent="0.2">
      <c r="A153" s="4077" t="s">
        <v>2546</v>
      </c>
      <c r="B153" t="str">
        <f>INDEX(list_region_country!$G$3:$V$3,,SUMPRODUCT(--(list_region_country!$G$3:$V$56=Elec!A153)*(COLUMN(list_region_country!$G$3:$V$56)-COLUMN(list_region_country!$F$3))))</f>
        <v>Northern Africa</v>
      </c>
      <c r="C153" s="4080">
        <v>0.65900000000000003</v>
      </c>
      <c r="D153" s="235">
        <v>2019</v>
      </c>
      <c r="E153" s="4080">
        <f t="shared" si="12"/>
        <v>0.65900000000000003</v>
      </c>
      <c r="F153" s="4080">
        <f t="shared" si="14"/>
        <v>0.72854654937893293</v>
      </c>
      <c r="G153" s="4080">
        <f t="shared" si="13"/>
        <v>0.54682711469820466</v>
      </c>
      <c r="H153" s="4080">
        <v>0.72854654937893293</v>
      </c>
      <c r="I153" s="4080">
        <v>0.54682711469820466</v>
      </c>
      <c r="K153" s="4342" t="s">
        <v>2550</v>
      </c>
      <c r="L153" s="4369">
        <v>719.2616250234438</v>
      </c>
      <c r="M153" s="4368">
        <v>406.81016900032625</v>
      </c>
      <c r="O153">
        <f t="shared" si="15"/>
        <v>1366.3251553188454</v>
      </c>
    </row>
    <row r="154" spans="1:15" x14ac:dyDescent="0.2">
      <c r="A154" s="4076" t="s">
        <v>2548</v>
      </c>
      <c r="B154" t="str">
        <f>INDEX(list_region_country!$G$3:$V$3,,SUMPRODUCT(--(list_region_country!$G$3:$V$56=Elec!A154)*(COLUMN(list_region_country!$G$3:$V$56)-COLUMN(list_region_country!$F$3))))</f>
        <v>Eastern Africa</v>
      </c>
      <c r="C154" s="4080">
        <v>0.90900000000000003</v>
      </c>
      <c r="D154" s="235">
        <v>2019</v>
      </c>
      <c r="E154" s="4080">
        <f t="shared" si="12"/>
        <v>0.90900000000000003</v>
      </c>
      <c r="F154" s="4080">
        <f t="shared" si="14"/>
        <v>0.23384260480422303</v>
      </c>
      <c r="G154" s="4080">
        <f t="shared" si="13"/>
        <v>0.1107817145243435</v>
      </c>
      <c r="H154" s="4080">
        <v>0.23384260480422303</v>
      </c>
      <c r="I154" s="4080">
        <v>0.1107817145243435</v>
      </c>
      <c r="K154" s="4342" t="s">
        <v>2728</v>
      </c>
      <c r="L154" s="4369">
        <v>355.02449160074451</v>
      </c>
      <c r="M154" s="4368">
        <v>138.57700071594977</v>
      </c>
      <c r="O154">
        <f t="shared" si="15"/>
        <v>899.15744680851071</v>
      </c>
    </row>
    <row r="155" spans="1:15" x14ac:dyDescent="0.2">
      <c r="A155" s="4077" t="s">
        <v>2550</v>
      </c>
      <c r="B155" t="str">
        <f>INDEX(list_region_country!$G$3:$V$3,,SUMPRODUCT(--(list_region_country!$G$3:$V$56=Elec!A155)*(COLUMN(list_region_country!$G$3:$V$56)-COLUMN(list_region_country!$F$3))))</f>
        <v>South-eastern Asia</v>
      </c>
      <c r="C155" s="4080">
        <v>0.45584896340852893</v>
      </c>
      <c r="D155" s="235">
        <v>2007</v>
      </c>
      <c r="E155" s="4080">
        <f t="shared" si="12"/>
        <v>0.45584896340852893</v>
      </c>
      <c r="F155" s="4080">
        <f t="shared" si="14"/>
        <v>0.71926162502344382</v>
      </c>
      <c r="G155" s="4080">
        <f t="shared" si="13"/>
        <v>0.40681016900032624</v>
      </c>
      <c r="H155" s="4080">
        <v>0.71926162502344382</v>
      </c>
      <c r="I155" s="4080">
        <v>0.40681016900032624</v>
      </c>
      <c r="K155" s="4342" t="s">
        <v>2628</v>
      </c>
      <c r="L155" s="4369">
        <v>752.5333333333333</v>
      </c>
      <c r="M155" s="4368">
        <v>520.69892127579135</v>
      </c>
      <c r="O155">
        <f t="shared" si="15"/>
        <v>752.5333333333333</v>
      </c>
    </row>
    <row r="156" spans="1:15" x14ac:dyDescent="0.2">
      <c r="A156" s="4077" t="s">
        <v>2728</v>
      </c>
      <c r="B156" t="str">
        <f>INDEX(list_region_country!$G$3:$V$3,,SUMPRODUCT(--(list_region_country!$G$3:$V$56=Elec!A156)*(COLUMN(list_region_country!$G$3:$V$56)-COLUMN(list_region_country!$F$3))))</f>
        <v>Southern Africa</v>
      </c>
      <c r="C156" s="4080">
        <v>0.90900000000000003</v>
      </c>
      <c r="D156" s="235">
        <v>2019</v>
      </c>
      <c r="E156" s="4080">
        <f t="shared" si="12"/>
        <v>0.90900000000000003</v>
      </c>
      <c r="F156" s="4080">
        <f t="shared" si="14"/>
        <v>0.35502449160074451</v>
      </c>
      <c r="G156" s="4080">
        <f t="shared" si="13"/>
        <v>0.13857700071594978</v>
      </c>
      <c r="H156" s="4080">
        <v>0.35502449160074451</v>
      </c>
      <c r="I156" s="4080">
        <v>0.13857700071594978</v>
      </c>
      <c r="K156" s="4342" t="s">
        <v>2711</v>
      </c>
      <c r="L156" s="4369">
        <v>0</v>
      </c>
      <c r="M156" s="4368">
        <v>6.6276843991052159E-3</v>
      </c>
      <c r="O156">
        <f t="shared" si="15"/>
        <v>728.54654937893292</v>
      </c>
    </row>
    <row r="157" spans="1:15" x14ac:dyDescent="0.2">
      <c r="A157" s="4076" t="s">
        <v>2628</v>
      </c>
      <c r="B157" t="str">
        <f>INDEX(list_region_country!$G$3:$V$3,,SUMPRODUCT(--(list_region_country!$G$3:$V$56=Elec!A157)*(COLUMN(list_region_country!$G$3:$V$56)-COLUMN(list_region_country!$F$3))))</f>
        <v>Oceania</v>
      </c>
      <c r="C157" s="4080" t="s">
        <v>3051</v>
      </c>
      <c r="D157" s="235" t="s">
        <v>3051</v>
      </c>
      <c r="E157" s="4080">
        <f t="shared" ca="1" si="12"/>
        <v>0.58971601656224637</v>
      </c>
      <c r="F157" s="4080">
        <f t="shared" si="14"/>
        <v>0.75253333333333328</v>
      </c>
      <c r="G157" s="4080">
        <f t="shared" si="13"/>
        <v>0.52069892127579132</v>
      </c>
      <c r="H157" s="4080">
        <v>0.75253333333333328</v>
      </c>
      <c r="I157" s="4080">
        <v>0.52069892127579132</v>
      </c>
      <c r="K157" s="4342" t="s">
        <v>2767</v>
      </c>
      <c r="L157" s="4368">
        <v>326.08578087788777</v>
      </c>
      <c r="M157" s="4368">
        <v>202.9021450113807</v>
      </c>
      <c r="O157">
        <f t="shared" si="15"/>
        <v>233.84260480422304</v>
      </c>
    </row>
    <row r="158" spans="1:15" x14ac:dyDescent="0.2">
      <c r="A158" s="4077" t="s">
        <v>2711</v>
      </c>
      <c r="B158" t="str">
        <f>INDEX(list_region_country!$G$3:$V$3,,SUMPRODUCT(--(list_region_country!$G$3:$V$56=Elec!A158)*(COLUMN(list_region_country!$G$3:$V$56)-COLUMN(list_region_country!$F$3))))</f>
        <v>Southern Asia</v>
      </c>
      <c r="C158" s="4080">
        <v>1.3286084936861094E-2</v>
      </c>
      <c r="D158" s="235">
        <v>2007</v>
      </c>
      <c r="E158" s="4080">
        <f t="shared" si="12"/>
        <v>1.3286084936861094E-2</v>
      </c>
      <c r="F158" s="4080">
        <f t="shared" si="14"/>
        <v>0</v>
      </c>
      <c r="G158" s="4080">
        <f t="shared" si="13"/>
        <v>6.6276843991052158E-6</v>
      </c>
      <c r="H158" s="4080" t="s">
        <v>1824</v>
      </c>
      <c r="I158" s="4080">
        <v>6.6276843991052158E-6</v>
      </c>
      <c r="K158" s="4342" t="s">
        <v>2552</v>
      </c>
      <c r="L158" s="4369">
        <v>779.40909090909076</v>
      </c>
      <c r="M158" s="4368">
        <v>445.34111591181664</v>
      </c>
      <c r="O158">
        <f t="shared" si="15"/>
        <v>719.2616250234438</v>
      </c>
    </row>
    <row r="159" spans="1:15" x14ac:dyDescent="0.2">
      <c r="A159" s="4076" t="s">
        <v>2767</v>
      </c>
      <c r="B159" t="str">
        <f>INDEX(list_region_country!$G$3:$V$3,,SUMPRODUCT(--(list_region_country!$G$3:$V$56=Elec!A159)*(COLUMN(list_region_country!$G$3:$V$56)-COLUMN(list_region_country!$F$3))))</f>
        <v>Europe</v>
      </c>
      <c r="C159" s="4080">
        <v>0.47882606876344863</v>
      </c>
      <c r="D159" s="235">
        <v>2007</v>
      </c>
      <c r="E159" s="4080">
        <f t="shared" si="12"/>
        <v>0.47882606876344863</v>
      </c>
      <c r="F159" s="4080">
        <f t="shared" si="14"/>
        <v>0.32608578087788775</v>
      </c>
      <c r="G159" s="4080">
        <f t="shared" si="13"/>
        <v>0.20290214501138071</v>
      </c>
      <c r="H159" s="4080">
        <v>0.32608578087788775</v>
      </c>
      <c r="I159" s="4080">
        <v>0.20290214501138071</v>
      </c>
      <c r="K159" s="4342" t="s">
        <v>2554</v>
      </c>
      <c r="L159" s="4369">
        <v>246.03160615769772</v>
      </c>
      <c r="M159" s="4368">
        <v>107.55764507409098</v>
      </c>
      <c r="O159">
        <f t="shared" si="15"/>
        <v>355.02449160074451</v>
      </c>
    </row>
    <row r="160" spans="1:15" x14ac:dyDescent="0.2">
      <c r="A160" s="4076" t="s">
        <v>2552</v>
      </c>
      <c r="B160" t="str">
        <f>INDEX(list_region_country!$G$3:$V$3,,SUMPRODUCT(--(list_region_country!$G$3:$V$56=Elec!A160)*(COLUMN(list_region_country!$G$3:$V$56)-COLUMN(list_region_country!$F$3))))</f>
        <v>Oceania</v>
      </c>
      <c r="C160" s="4080" t="s">
        <v>3051</v>
      </c>
      <c r="D160" s="235" t="s">
        <v>3051</v>
      </c>
      <c r="E160" s="4080">
        <f t="shared" ca="1" si="12"/>
        <v>0.58971601656224637</v>
      </c>
      <c r="F160" s="4080">
        <f t="shared" si="14"/>
        <v>0.77940909090909072</v>
      </c>
      <c r="G160" s="4080">
        <f t="shared" si="13"/>
        <v>0.44534111591181663</v>
      </c>
      <c r="H160" s="4080">
        <v>0.77940909090909072</v>
      </c>
      <c r="I160" s="4080">
        <v>0.44534111591181663</v>
      </c>
      <c r="K160" s="4342" t="s">
        <v>2556</v>
      </c>
      <c r="L160" s="4368">
        <v>675.27473684210531</v>
      </c>
      <c r="M160" s="4368">
        <v>371.97235053851921</v>
      </c>
      <c r="O160">
        <f t="shared" si="15"/>
        <v>752.5333333333333</v>
      </c>
    </row>
    <row r="161" spans="1:15" x14ac:dyDescent="0.2">
      <c r="A161" s="4076" t="s">
        <v>2554</v>
      </c>
      <c r="B161" t="str">
        <f>INDEX(list_region_country!$G$3:$V$3,,SUMPRODUCT(--(list_region_country!$G$3:$V$56=Elec!A161)*(COLUMN(list_region_country!$G$3:$V$56)-COLUMN(list_region_country!$F$3))))</f>
        <v>Oceania</v>
      </c>
      <c r="C161" s="4080">
        <v>0.15850147719279087</v>
      </c>
      <c r="D161" s="235">
        <v>2007</v>
      </c>
      <c r="E161" s="4080">
        <f t="shared" si="12"/>
        <v>0.15850147719279087</v>
      </c>
      <c r="F161" s="4080">
        <f t="shared" si="14"/>
        <v>0.24603160615769773</v>
      </c>
      <c r="G161" s="4080">
        <f t="shared" si="13"/>
        <v>0.10755764507409099</v>
      </c>
      <c r="H161" s="4080">
        <v>0.24603160615769773</v>
      </c>
      <c r="I161" s="4080">
        <v>0.10755764507409099</v>
      </c>
      <c r="K161" s="4342" t="s">
        <v>2729</v>
      </c>
      <c r="L161" s="4368">
        <v>772.1052631578948</v>
      </c>
      <c r="M161" s="4368">
        <v>717.89801320725928</v>
      </c>
      <c r="O161">
        <f t="shared" si="15"/>
        <v>0</v>
      </c>
    </row>
    <row r="162" spans="1:15" x14ac:dyDescent="0.2">
      <c r="A162" s="4077" t="s">
        <v>2556</v>
      </c>
      <c r="B162" t="str">
        <f>INDEX(list_region_country!$G$3:$V$3,,SUMPRODUCT(--(list_region_country!$G$3:$V$56=Elec!A162)*(COLUMN(list_region_country!$G$3:$V$56)-COLUMN(list_region_country!$F$3))))</f>
        <v>Central America</v>
      </c>
      <c r="C162" s="4080">
        <v>0.66900000000000004</v>
      </c>
      <c r="D162" s="235">
        <v>2019</v>
      </c>
      <c r="E162" s="4080">
        <f t="shared" si="12"/>
        <v>0.66900000000000004</v>
      </c>
      <c r="F162" s="4080">
        <f t="shared" si="14"/>
        <v>0.67527473684210526</v>
      </c>
      <c r="G162" s="4080">
        <f t="shared" si="13"/>
        <v>0.37197235053851918</v>
      </c>
      <c r="H162" s="4080">
        <v>0.67527473684210526</v>
      </c>
      <c r="I162" s="4080">
        <v>0.37197235053851918</v>
      </c>
      <c r="K162" s="4342" t="s">
        <v>2558</v>
      </c>
      <c r="L162" s="4369">
        <v>525.9375</v>
      </c>
      <c r="M162" s="4368">
        <v>357.59576603758683</v>
      </c>
      <c r="O162">
        <f t="shared" si="15"/>
        <v>326.08578087788777</v>
      </c>
    </row>
    <row r="163" spans="1:15" x14ac:dyDescent="0.2">
      <c r="A163" s="4077" t="s">
        <v>2729</v>
      </c>
      <c r="B163" t="str">
        <f>INDEX(list_region_country!$G$3:$V$3,,SUMPRODUCT(--(list_region_country!$G$3:$V$56=Elec!A163)*(COLUMN(list_region_country!$G$3:$V$56)-COLUMN(list_region_country!$F$3))))</f>
        <v>Western Africa</v>
      </c>
      <c r="C163" s="4080">
        <v>0.56299999999999994</v>
      </c>
      <c r="D163" s="235">
        <v>2019</v>
      </c>
      <c r="E163" s="4080">
        <f t="shared" si="12"/>
        <v>0.56299999999999994</v>
      </c>
      <c r="F163" s="4080">
        <f t="shared" si="14"/>
        <v>0.77210526315789485</v>
      </c>
      <c r="G163" s="4080">
        <f t="shared" si="13"/>
        <v>0.71789801320725932</v>
      </c>
      <c r="H163" s="4080">
        <v>0.77210526315789485</v>
      </c>
      <c r="I163" s="4080">
        <v>0.71789801320725932</v>
      </c>
      <c r="K163" s="4342" t="s">
        <v>2629</v>
      </c>
      <c r="L163" s="4369">
        <v>752.5333333333333</v>
      </c>
      <c r="M163" s="4368">
        <v>458.84793344512082</v>
      </c>
      <c r="O163">
        <f t="shared" si="15"/>
        <v>779.40909090909076</v>
      </c>
    </row>
    <row r="164" spans="1:15" x14ac:dyDescent="0.2">
      <c r="A164" s="4077" t="s">
        <v>2558</v>
      </c>
      <c r="B164" t="str">
        <f>INDEX(list_region_country!$G$3:$V$3,,SUMPRODUCT(--(list_region_country!$G$3:$V$56=Elec!A164)*(COLUMN(list_region_country!$G$3:$V$56)-COLUMN(list_region_country!$F$3))))</f>
        <v>Western Africa</v>
      </c>
      <c r="C164" s="4080">
        <v>0.56299999999999994</v>
      </c>
      <c r="D164" s="235">
        <v>2019</v>
      </c>
      <c r="E164" s="4080">
        <f t="shared" si="12"/>
        <v>0.56299999999999994</v>
      </c>
      <c r="F164" s="4080">
        <f t="shared" si="14"/>
        <v>0.52593749999999995</v>
      </c>
      <c r="G164" s="4080">
        <f t="shared" si="13"/>
        <v>0.3575957660375868</v>
      </c>
      <c r="H164" s="4080">
        <v>0.52593749999999995</v>
      </c>
      <c r="I164" s="4080">
        <v>0.3575957660375868</v>
      </c>
      <c r="K164" s="4342" t="s">
        <v>2768</v>
      </c>
      <c r="L164" s="4369">
        <v>850.87123062811906</v>
      </c>
      <c r="M164" s="4368">
        <v>562.84600575398872</v>
      </c>
      <c r="O164">
        <f t="shared" si="15"/>
        <v>246.03160615769772</v>
      </c>
    </row>
    <row r="165" spans="1:15" x14ac:dyDescent="0.2">
      <c r="A165" s="4076" t="s">
        <v>2629</v>
      </c>
      <c r="B165" t="str">
        <f>INDEX(list_region_country!$G$3:$V$3,,SUMPRODUCT(--(list_region_country!$G$3:$V$56=Elec!A165)*(COLUMN(list_region_country!$G$3:$V$56)-COLUMN(list_region_country!$F$3))))</f>
        <v>Oceania</v>
      </c>
      <c r="C165" s="4080" t="s">
        <v>3051</v>
      </c>
      <c r="D165" s="235" t="s">
        <v>3051</v>
      </c>
      <c r="E165" s="4080">
        <f t="shared" ref="E165:E198" ca="1" si="16">IF(C165="",AVERAGEIF($B$5:$C$252,B165,$C$5:$C$252),C165)</f>
        <v>0.58971601656224637</v>
      </c>
      <c r="F165" s="4080">
        <f t="shared" si="14"/>
        <v>0.75253333333333328</v>
      </c>
      <c r="G165" s="4080">
        <f t="shared" si="13"/>
        <v>0.45884793344512081</v>
      </c>
      <c r="H165" s="4080">
        <v>0.75253333333333328</v>
      </c>
      <c r="I165" s="4080">
        <v>0.45884793344512081</v>
      </c>
      <c r="K165" s="4342" t="s">
        <v>2631</v>
      </c>
      <c r="L165" s="4369">
        <v>752.5333333333333</v>
      </c>
      <c r="M165" s="4368">
        <v>416.24593132459222</v>
      </c>
      <c r="O165">
        <f t="shared" si="15"/>
        <v>675.27473684210531</v>
      </c>
    </row>
    <row r="166" spans="1:15" x14ac:dyDescent="0.2">
      <c r="A166" s="4076" t="s">
        <v>2630</v>
      </c>
      <c r="B166" t="str">
        <f>INDEX(list_region_country!$G$3:$V$3,,SUMPRODUCT(--(list_region_country!$G$3:$V$56=Elec!A166)*(COLUMN(list_region_country!$G$3:$V$56)-COLUMN(list_region_country!$F$3))))</f>
        <v>Oceania</v>
      </c>
      <c r="C166" s="4080" t="s">
        <v>3051</v>
      </c>
      <c r="D166" s="235" t="s">
        <v>3051</v>
      </c>
      <c r="E166" s="4080">
        <f t="shared" ca="1" si="16"/>
        <v>0.58971601656224637</v>
      </c>
      <c r="F166" s="4080">
        <f t="shared" si="14"/>
        <v>0</v>
      </c>
      <c r="G166" s="4080">
        <f t="shared" si="13"/>
        <v>0.45102672411684841</v>
      </c>
      <c r="H166" s="4080" t="s">
        <v>1824</v>
      </c>
      <c r="I166" s="4080" t="s">
        <v>1824</v>
      </c>
      <c r="K166" s="4342" t="s">
        <v>2769</v>
      </c>
      <c r="L166" s="4368">
        <v>46.648638305623805</v>
      </c>
      <c r="M166" s="4368">
        <v>16.926232606405133</v>
      </c>
      <c r="O166">
        <f t="shared" si="15"/>
        <v>772.1052631578948</v>
      </c>
    </row>
    <row r="167" spans="1:15" x14ac:dyDescent="0.2">
      <c r="A167" s="4076" t="s">
        <v>2768</v>
      </c>
      <c r="B167" t="str">
        <f>INDEX(list_region_country!$G$3:$V$3,,SUMPRODUCT(--(list_region_country!$G$3:$V$56=Elec!A167)*(COLUMN(list_region_country!$G$3:$V$56)-COLUMN(list_region_country!$F$3))))</f>
        <v>Europe</v>
      </c>
      <c r="C167" s="4080">
        <v>0.86099999999999999</v>
      </c>
      <c r="D167" s="235">
        <v>2019</v>
      </c>
      <c r="E167" s="4080">
        <f t="shared" si="16"/>
        <v>0.86099999999999999</v>
      </c>
      <c r="F167" s="4080">
        <f t="shared" si="14"/>
        <v>0.85087123062811909</v>
      </c>
      <c r="G167" s="4080">
        <f t="shared" si="13"/>
        <v>0.56284600575398869</v>
      </c>
      <c r="H167" s="4080">
        <v>0.85087123062811909</v>
      </c>
      <c r="I167" s="4080">
        <v>0.56284600575398869</v>
      </c>
      <c r="K167" s="4342" t="s">
        <v>2560</v>
      </c>
      <c r="L167" s="4368">
        <v>478.68408732627006</v>
      </c>
      <c r="M167" s="4368">
        <v>319.62029301215279</v>
      </c>
      <c r="O167">
        <f t="shared" si="15"/>
        <v>525.9375</v>
      </c>
    </row>
    <row r="168" spans="1:15" x14ac:dyDescent="0.2">
      <c r="A168" s="4076" t="s">
        <v>2631</v>
      </c>
      <c r="B168" t="str">
        <f>INDEX(list_region_country!$G$3:$V$3,,SUMPRODUCT(--(list_region_country!$G$3:$V$56=Elec!A168)*(COLUMN(list_region_country!$G$3:$V$56)-COLUMN(list_region_country!$F$3))))</f>
        <v>Oceania</v>
      </c>
      <c r="C168" s="4080" t="s">
        <v>3051</v>
      </c>
      <c r="D168" s="235" t="s">
        <v>3051</v>
      </c>
      <c r="E168" s="4080">
        <f t="shared" ca="1" si="16"/>
        <v>0.58971601656224637</v>
      </c>
      <c r="F168" s="4080">
        <f t="shared" si="14"/>
        <v>0.75253333333333328</v>
      </c>
      <c r="G168" s="4080">
        <f t="shared" si="13"/>
        <v>0.4162459313245922</v>
      </c>
      <c r="H168" s="4080">
        <v>0.75253333333333328</v>
      </c>
      <c r="I168" s="4080">
        <v>0.4162459313245922</v>
      </c>
      <c r="K168" s="4342" t="s">
        <v>2562</v>
      </c>
      <c r="L168" s="4369">
        <v>591.91609404656629</v>
      </c>
      <c r="M168" s="4368">
        <v>385.58443628385584</v>
      </c>
      <c r="O168">
        <f t="shared" ref="O168:O198" si="17">VLOOKUP(A165, $K$8:$M$241, 2, FALSE)</f>
        <v>752.5333333333333</v>
      </c>
    </row>
    <row r="169" spans="1:15" x14ac:dyDescent="0.2">
      <c r="A169" s="4076" t="s">
        <v>2769</v>
      </c>
      <c r="B169" t="str">
        <f>INDEX(list_region_country!$G$3:$V$3,,SUMPRODUCT(--(list_region_country!$G$3:$V$56=Elec!A169)*(COLUMN(list_region_country!$G$3:$V$56)-COLUMN(list_region_country!$F$3))))</f>
        <v>Europe</v>
      </c>
      <c r="C169" s="4080">
        <v>5.3136052822559095E-3</v>
      </c>
      <c r="D169" s="235">
        <v>2007</v>
      </c>
      <c r="E169" s="4080">
        <f t="shared" si="16"/>
        <v>5.3136052822559095E-3</v>
      </c>
      <c r="F169" s="4080">
        <f t="shared" si="14"/>
        <v>4.6648638305623803E-2</v>
      </c>
      <c r="G169" s="4080">
        <f t="shared" si="13"/>
        <v>1.6926232606405134E-2</v>
      </c>
      <c r="H169" s="4080">
        <v>4.6648638305623803E-2</v>
      </c>
      <c r="I169" s="4080">
        <v>1.6926232606405134E-2</v>
      </c>
      <c r="K169" s="4342" t="s">
        <v>2564</v>
      </c>
      <c r="L169" s="4369">
        <v>752.5333333333333</v>
      </c>
      <c r="M169" s="4368">
        <v>497.19494202756118</v>
      </c>
      <c r="O169" t="e">
        <f t="shared" si="17"/>
        <v>#N/A</v>
      </c>
    </row>
    <row r="170" spans="1:15" x14ac:dyDescent="0.2">
      <c r="A170" s="4077" t="s">
        <v>2560</v>
      </c>
      <c r="B170" t="str">
        <f>INDEX(list_region_country!$G$3:$V$3,,SUMPRODUCT(--(list_region_country!$G$3:$V$56=Elec!A170)*(COLUMN(list_region_country!$G$3:$V$56)-COLUMN(list_region_country!$F$3))))</f>
        <v>Western Asia</v>
      </c>
      <c r="C170" s="4080">
        <v>0.85590164909177424</v>
      </c>
      <c r="D170" s="235">
        <v>2007</v>
      </c>
      <c r="E170" s="4080">
        <f t="shared" si="16"/>
        <v>0.85590164909177424</v>
      </c>
      <c r="F170" s="4080">
        <f t="shared" si="14"/>
        <v>0.47868408732627005</v>
      </c>
      <c r="G170" s="4080">
        <f t="shared" si="13"/>
        <v>0.31962029301215278</v>
      </c>
      <c r="H170" s="4080">
        <v>0.47868408732627005</v>
      </c>
      <c r="I170" s="4080">
        <v>0.31962029301215278</v>
      </c>
      <c r="K170" s="4342" t="s">
        <v>2694</v>
      </c>
      <c r="L170" s="4369">
        <v>718.83157894736848</v>
      </c>
      <c r="M170" s="4368">
        <v>516.82063307465376</v>
      </c>
      <c r="O170">
        <f t="shared" si="17"/>
        <v>850.87123062811906</v>
      </c>
    </row>
    <row r="171" spans="1:15" x14ac:dyDescent="0.2">
      <c r="A171" s="4077" t="s">
        <v>2562</v>
      </c>
      <c r="B171" t="str">
        <f>INDEX(list_region_country!$G$3:$V$3,,SUMPRODUCT(--(list_region_country!$G$3:$V$56=Elec!A171)*(COLUMN(list_region_country!$G$3:$V$56)-COLUMN(list_region_country!$F$3))))</f>
        <v>Southern Asia</v>
      </c>
      <c r="C171" s="4080">
        <v>0.54600000000000004</v>
      </c>
      <c r="D171" s="235">
        <v>2019</v>
      </c>
      <c r="E171" s="4080">
        <f t="shared" si="16"/>
        <v>0.54600000000000004</v>
      </c>
      <c r="F171" s="4080">
        <f t="shared" si="14"/>
        <v>0.59191609404656631</v>
      </c>
      <c r="G171" s="4080">
        <f t="shared" si="13"/>
        <v>0.38558443628385586</v>
      </c>
      <c r="H171" s="4080">
        <v>0.59191609404656631</v>
      </c>
      <c r="I171" s="4080">
        <v>0.38558443628385586</v>
      </c>
      <c r="K171" s="4342" t="s">
        <v>2566</v>
      </c>
      <c r="L171" s="4368">
        <v>477.48425394808527</v>
      </c>
      <c r="M171" s="4368">
        <v>230.33956010958133</v>
      </c>
      <c r="O171">
        <f t="shared" si="17"/>
        <v>752.5333333333333</v>
      </c>
    </row>
    <row r="172" spans="1:15" x14ac:dyDescent="0.2">
      <c r="A172" s="4076" t="s">
        <v>2564</v>
      </c>
      <c r="B172" t="str">
        <f>INDEX(list_region_country!$G$3:$V$3,,SUMPRODUCT(--(list_region_country!$G$3:$V$56=Elec!A172)*(COLUMN(list_region_country!$G$3:$V$56)-COLUMN(list_region_country!$F$3))))</f>
        <v>Oceania</v>
      </c>
      <c r="C172" s="4080" t="s">
        <v>3051</v>
      </c>
      <c r="D172" s="235" t="s">
        <v>3051</v>
      </c>
      <c r="E172" s="4080">
        <f t="shared" ca="1" si="16"/>
        <v>0.58971601656224637</v>
      </c>
      <c r="F172" s="4080">
        <f t="shared" si="14"/>
        <v>0.75253333333333328</v>
      </c>
      <c r="G172" s="4080">
        <f t="shared" si="13"/>
        <v>0.4971949420275612</v>
      </c>
      <c r="H172" s="4080">
        <v>0.75253333333333328</v>
      </c>
      <c r="I172" s="4080">
        <v>0.4971949420275612</v>
      </c>
      <c r="K172" s="4342" t="s">
        <v>2568</v>
      </c>
      <c r="L172" s="4369">
        <v>597.20701754385959</v>
      </c>
      <c r="M172" s="4368">
        <v>315.140709986773</v>
      </c>
      <c r="O172">
        <f t="shared" si="17"/>
        <v>46.648638305623805</v>
      </c>
    </row>
    <row r="173" spans="1:15" x14ac:dyDescent="0.2">
      <c r="A173" s="4077" t="s">
        <v>2566</v>
      </c>
      <c r="B173" t="str">
        <f>INDEX(list_region_country!$G$3:$V$3,,SUMPRODUCT(--(list_region_country!$G$3:$V$56=Elec!A173)*(COLUMN(list_region_country!$G$3:$V$56)-COLUMN(list_region_country!$F$3))))</f>
        <v>Central America</v>
      </c>
      <c r="C173" s="4080">
        <v>0.58199999999999996</v>
      </c>
      <c r="D173" s="235">
        <v>2019</v>
      </c>
      <c r="E173" s="4080">
        <f t="shared" si="16"/>
        <v>0.58199999999999996</v>
      </c>
      <c r="F173" s="4080">
        <f t="shared" si="14"/>
        <v>0.47748425394808525</v>
      </c>
      <c r="G173" s="4080">
        <f t="shared" si="13"/>
        <v>0.23033956010958131</v>
      </c>
      <c r="H173" s="4080">
        <v>0.47748425394808525</v>
      </c>
      <c r="I173" s="4080">
        <v>0.23033956010958131</v>
      </c>
      <c r="K173" s="4342" t="s">
        <v>2665</v>
      </c>
      <c r="L173" s="4368">
        <v>0</v>
      </c>
      <c r="M173" s="4368">
        <v>1.4536672318183019E-2</v>
      </c>
      <c r="O173">
        <f t="shared" si="17"/>
        <v>478.68408732627006</v>
      </c>
    </row>
    <row r="174" spans="1:15" x14ac:dyDescent="0.2">
      <c r="A174" s="4076" t="s">
        <v>2568</v>
      </c>
      <c r="B174" t="str">
        <f>INDEX(list_region_country!$G$3:$V$3,,SUMPRODUCT(--(list_region_country!$G$3:$V$56=Elec!A174)*(COLUMN(list_region_country!$G$3:$V$56)-COLUMN(list_region_country!$F$3))))</f>
        <v>Oceania</v>
      </c>
      <c r="C174" s="4080">
        <v>0.67900000000000005</v>
      </c>
      <c r="D174" s="235">
        <v>2019</v>
      </c>
      <c r="E174" s="4080">
        <f t="shared" si="16"/>
        <v>0.67900000000000005</v>
      </c>
      <c r="F174" s="4080">
        <f t="shared" si="14"/>
        <v>0.59720701754385963</v>
      </c>
      <c r="G174" s="4080">
        <f t="shared" si="13"/>
        <v>0.31514070998677302</v>
      </c>
      <c r="H174" s="4080">
        <v>0.59720701754385963</v>
      </c>
      <c r="I174" s="4080">
        <v>0.31514070998677302</v>
      </c>
      <c r="K174" s="4342" t="s">
        <v>2570</v>
      </c>
      <c r="L174" s="4369">
        <v>473.08044673957784</v>
      </c>
      <c r="M174" s="4368">
        <v>252.31024108828439</v>
      </c>
      <c r="O174">
        <f t="shared" si="17"/>
        <v>591.91609404656629</v>
      </c>
    </row>
    <row r="175" spans="1:15" x14ac:dyDescent="0.2">
      <c r="A175" s="4077" t="s">
        <v>2665</v>
      </c>
      <c r="B175" t="str">
        <f>INDEX(list_region_country!$G$3:$V$3,,SUMPRODUCT(--(list_region_country!$G$3:$V$56=Elec!A175)*(COLUMN(list_region_country!$G$3:$V$56)-COLUMN(list_region_country!$F$3))))</f>
        <v>South America</v>
      </c>
      <c r="C175" s="4080">
        <v>1.1120875555308471E-4</v>
      </c>
      <c r="D175" s="235">
        <v>2007</v>
      </c>
      <c r="E175" s="4080">
        <f t="shared" si="16"/>
        <v>1.1120875555308471E-4</v>
      </c>
      <c r="F175" s="4080">
        <f t="shared" si="14"/>
        <v>0</v>
      </c>
      <c r="G175" s="4080">
        <f t="shared" si="13"/>
        <v>1.4536672318183018E-5</v>
      </c>
      <c r="H175" s="4080" t="s">
        <v>1824</v>
      </c>
      <c r="I175" s="4080">
        <v>1.4536672318183018E-5</v>
      </c>
      <c r="K175" s="4342" t="s">
        <v>2572</v>
      </c>
      <c r="L175" s="4369">
        <v>671.62321414342364</v>
      </c>
      <c r="M175" s="4368">
        <v>524.98668142032648</v>
      </c>
      <c r="O175">
        <f t="shared" si="17"/>
        <v>752.5333333333333</v>
      </c>
    </row>
    <row r="176" spans="1:15" x14ac:dyDescent="0.2">
      <c r="A176" s="4077" t="s">
        <v>2570</v>
      </c>
      <c r="B176" t="str">
        <f>INDEX(list_region_country!$G$3:$V$3,,SUMPRODUCT(--(list_region_country!$G$3:$V$56=Elec!A176)*(COLUMN(list_region_country!$G$3:$V$56)-COLUMN(list_region_country!$F$3))))</f>
        <v>South America</v>
      </c>
      <c r="C176" s="4080">
        <v>0.54700000000000004</v>
      </c>
      <c r="D176" s="235">
        <v>2019</v>
      </c>
      <c r="E176" s="4080">
        <f t="shared" si="16"/>
        <v>0.54700000000000004</v>
      </c>
      <c r="F176" s="4080">
        <f t="shared" si="14"/>
        <v>0.47308044673957783</v>
      </c>
      <c r="G176" s="4080">
        <f t="shared" si="13"/>
        <v>0.25231024108828437</v>
      </c>
      <c r="H176" s="4080">
        <v>0.47308044673957783</v>
      </c>
      <c r="I176" s="4080">
        <v>0.25231024108828437</v>
      </c>
      <c r="K176" s="4342" t="s">
        <v>2646</v>
      </c>
      <c r="L176" s="4369">
        <v>828.30808243659385</v>
      </c>
      <c r="M176" s="4368">
        <v>532.0692783839155</v>
      </c>
      <c r="O176">
        <f t="shared" si="17"/>
        <v>477.48425394808527</v>
      </c>
    </row>
    <row r="177" spans="1:15" x14ac:dyDescent="0.2">
      <c r="A177" s="4077" t="s">
        <v>2572</v>
      </c>
      <c r="B177" t="str">
        <f>INDEX(list_region_country!$G$3:$V$3,,SUMPRODUCT(--(list_region_country!$G$3:$V$56=Elec!A177)*(COLUMN(list_region_country!$G$3:$V$56)-COLUMN(list_region_country!$F$3))))</f>
        <v>South-eastern Asia</v>
      </c>
      <c r="C177" s="4080">
        <v>0.50800000000000001</v>
      </c>
      <c r="D177" s="235">
        <v>2019</v>
      </c>
      <c r="E177" s="4080">
        <f t="shared" si="16"/>
        <v>0.50800000000000001</v>
      </c>
      <c r="F177" s="4080">
        <f t="shared" si="14"/>
        <v>0.67162321414342363</v>
      </c>
      <c r="G177" s="4080">
        <f t="shared" si="13"/>
        <v>0.52498668142032645</v>
      </c>
      <c r="H177" s="4080">
        <v>0.67162321414342363</v>
      </c>
      <c r="I177" s="4080">
        <v>0.52498668142032645</v>
      </c>
      <c r="K177" s="4342" t="s">
        <v>2770</v>
      </c>
      <c r="L177" s="4369">
        <v>389.25330847668147</v>
      </c>
      <c r="M177" s="4368">
        <v>227.74258863381979</v>
      </c>
      <c r="O177">
        <f t="shared" si="17"/>
        <v>597.20701754385959</v>
      </c>
    </row>
    <row r="178" spans="1:15" x14ac:dyDescent="0.2">
      <c r="A178" s="4076" t="s">
        <v>2712</v>
      </c>
      <c r="B178" t="str">
        <f>INDEX(list_region_country!$G$3:$V$3,,SUMPRODUCT(--(list_region_country!$G$3:$V$56=Elec!A178)*(COLUMN(list_region_country!$G$3:$V$56)-COLUMN(list_region_country!$F$3))))</f>
        <v>Oceania</v>
      </c>
      <c r="C178" s="4080" t="s">
        <v>3051</v>
      </c>
      <c r="D178" s="235" t="s">
        <v>3051</v>
      </c>
      <c r="E178" s="4080">
        <f t="shared" ca="1" si="16"/>
        <v>0.58971601656224637</v>
      </c>
      <c r="F178" s="4080">
        <f t="shared" si="14"/>
        <v>0</v>
      </c>
      <c r="G178" s="4080">
        <f t="shared" si="13"/>
        <v>0.45102672411684841</v>
      </c>
      <c r="H178" s="4080" t="s">
        <v>1824</v>
      </c>
      <c r="I178" s="4080" t="s">
        <v>1824</v>
      </c>
      <c r="K178" s="4342" t="s">
        <v>2574</v>
      </c>
      <c r="L178" s="4369">
        <v>596.4016877637132</v>
      </c>
      <c r="M178" s="4368">
        <v>361.61668730944325</v>
      </c>
      <c r="O178">
        <f t="shared" si="17"/>
        <v>0</v>
      </c>
    </row>
    <row r="179" spans="1:15" x14ac:dyDescent="0.2">
      <c r="A179" s="4076" t="s">
        <v>2646</v>
      </c>
      <c r="B179" t="str">
        <f>INDEX(list_region_country!$G$3:$V$3,,SUMPRODUCT(--(list_region_country!$G$3:$V$56=Elec!A179)*(COLUMN(list_region_country!$G$3:$V$56)-COLUMN(list_region_country!$F$3))))</f>
        <v>Europe</v>
      </c>
      <c r="C179" s="4080">
        <v>0.72974599179536004</v>
      </c>
      <c r="D179" s="235">
        <v>2007</v>
      </c>
      <c r="E179" s="4080">
        <f t="shared" si="16"/>
        <v>0.72974599179536004</v>
      </c>
      <c r="F179" s="4080">
        <f t="shared" si="14"/>
        <v>0.82830808243659382</v>
      </c>
      <c r="G179" s="4080">
        <f t="shared" si="13"/>
        <v>0.53206927838391549</v>
      </c>
      <c r="H179" s="4080">
        <v>0.82830808243659382</v>
      </c>
      <c r="I179" s="4080">
        <v>0.53206927838391549</v>
      </c>
      <c r="K179" s="4342" t="s">
        <v>2692</v>
      </c>
      <c r="L179" s="4368">
        <v>502.98958333333337</v>
      </c>
      <c r="M179" s="4368">
        <v>258.11205740676598</v>
      </c>
      <c r="O179">
        <f t="shared" si="17"/>
        <v>473.08044673957784</v>
      </c>
    </row>
    <row r="180" spans="1:15" x14ac:dyDescent="0.2">
      <c r="A180" s="4076" t="s">
        <v>2770</v>
      </c>
      <c r="B180" t="str">
        <f>INDEX(list_region_country!$G$3:$V$3,,SUMPRODUCT(--(list_region_country!$G$3:$V$56=Elec!A180)*(COLUMN(list_region_country!$G$3:$V$56)-COLUMN(list_region_country!$F$3))))</f>
        <v>Europe</v>
      </c>
      <c r="C180" s="4080">
        <v>0.5114175994639768</v>
      </c>
      <c r="D180" s="235">
        <v>2007</v>
      </c>
      <c r="E180" s="4080">
        <f t="shared" si="16"/>
        <v>0.5114175994639768</v>
      </c>
      <c r="F180" s="4080">
        <f t="shared" si="14"/>
        <v>0.38925330847668149</v>
      </c>
      <c r="G180" s="4080">
        <f t="shared" si="13"/>
        <v>0.2277425886338198</v>
      </c>
      <c r="H180" s="4080">
        <v>0.38925330847668149</v>
      </c>
      <c r="I180" s="4080">
        <v>0.2277425886338198</v>
      </c>
      <c r="K180" s="4342" t="s">
        <v>2730</v>
      </c>
      <c r="L180" s="4369">
        <v>772.40784313725487</v>
      </c>
      <c r="M180" s="4368">
        <v>420.8579809780482</v>
      </c>
      <c r="O180">
        <f t="shared" si="17"/>
        <v>671.62321414342364</v>
      </c>
    </row>
    <row r="181" spans="1:15" x14ac:dyDescent="0.2">
      <c r="A181" s="4077" t="s">
        <v>2574</v>
      </c>
      <c r="B181" t="str">
        <f>INDEX(list_region_country!$G$3:$V$3,,SUMPRODUCT(--(list_region_country!$G$3:$V$56=Elec!A181)*(COLUMN(list_region_country!$G$3:$V$56)-COLUMN(list_region_country!$F$3))))</f>
        <v>Caribbean</v>
      </c>
      <c r="C181" s="4080" t="s">
        <v>3051</v>
      </c>
      <c r="D181" s="235" t="s">
        <v>3051</v>
      </c>
      <c r="E181" s="4080">
        <f t="shared" ca="1" si="16"/>
        <v>0.65968875404607097</v>
      </c>
      <c r="F181" s="4080">
        <f t="shared" si="14"/>
        <v>0.59640168776371316</v>
      </c>
      <c r="G181" s="4080">
        <f t="shared" si="13"/>
        <v>0.36161668730944324</v>
      </c>
      <c r="H181" s="4080">
        <v>0.59640168776371316</v>
      </c>
      <c r="I181" s="4080">
        <v>0.36161668730944324</v>
      </c>
      <c r="K181" s="4342" t="s">
        <v>2648</v>
      </c>
      <c r="L181" s="4368">
        <v>489.44671948839789</v>
      </c>
      <c r="M181" s="4368">
        <v>289.47954702504603</v>
      </c>
      <c r="O181" t="e">
        <f t="shared" si="17"/>
        <v>#N/A</v>
      </c>
    </row>
    <row r="182" spans="1:15" x14ac:dyDescent="0.2">
      <c r="A182" s="4077" t="s">
        <v>2692</v>
      </c>
      <c r="B182" t="str">
        <f>INDEX(list_region_country!$G$3:$V$3,,SUMPRODUCT(--(list_region_country!$G$3:$V$56=Elec!A182)*(COLUMN(list_region_country!$G$3:$V$56)-COLUMN(list_region_country!$F$3))))</f>
        <v>Western Asia</v>
      </c>
      <c r="C182" s="4080">
        <v>0.86194754509926086</v>
      </c>
      <c r="D182" s="235">
        <v>2007</v>
      </c>
      <c r="E182" s="4080">
        <f t="shared" si="16"/>
        <v>0.86194754509926086</v>
      </c>
      <c r="F182" s="4080">
        <f t="shared" si="14"/>
        <v>0.50298958333333332</v>
      </c>
      <c r="G182" s="4080">
        <f t="shared" si="13"/>
        <v>0.25811205740676596</v>
      </c>
      <c r="H182" s="4080">
        <v>0.50298958333333332</v>
      </c>
      <c r="I182" s="4080">
        <v>0.25811205740676596</v>
      </c>
      <c r="K182" s="4342" t="s">
        <v>2158</v>
      </c>
      <c r="L182" s="4369">
        <v>475.674492779324</v>
      </c>
      <c r="M182" s="4368">
        <v>293.79796091805059</v>
      </c>
      <c r="O182">
        <f t="shared" si="17"/>
        <v>828.30808243659385</v>
      </c>
    </row>
    <row r="183" spans="1:15" x14ac:dyDescent="0.2">
      <c r="A183" s="4077" t="s">
        <v>2632</v>
      </c>
      <c r="B183" t="str">
        <f>INDEX(list_region_country!$G$3:$V$3,,SUMPRODUCT(--(list_region_country!$G$3:$V$56=Elec!A183)*(COLUMN(list_region_country!$G$3:$V$56)-COLUMN(list_region_country!$F$3))))</f>
        <v>Eastern Asia</v>
      </c>
      <c r="C183" s="4080">
        <v>0.49274834018029212</v>
      </c>
      <c r="D183" s="235">
        <v>2007</v>
      </c>
      <c r="E183" s="4080">
        <f t="shared" si="16"/>
        <v>0.49274834018029212</v>
      </c>
      <c r="F183" s="4080">
        <f t="shared" si="14"/>
        <v>0.55532213373870554</v>
      </c>
      <c r="G183" s="4080">
        <f t="shared" si="13"/>
        <v>0.32971974728710907</v>
      </c>
      <c r="H183" s="4080">
        <v>0.55532213373870554</v>
      </c>
      <c r="I183" s="4080">
        <v>0.32971974728710907</v>
      </c>
      <c r="K183" s="4342" t="s">
        <v>2731</v>
      </c>
      <c r="L183" s="4369">
        <v>712.28121212121198</v>
      </c>
      <c r="M183" s="4368">
        <v>416.00923480616655</v>
      </c>
      <c r="O183">
        <f t="shared" si="17"/>
        <v>389.25330847668147</v>
      </c>
    </row>
    <row r="184" spans="1:15" x14ac:dyDescent="0.2">
      <c r="A184" s="4076" t="s">
        <v>2647</v>
      </c>
      <c r="B184" t="str">
        <f>INDEX(list_region_country!$G$3:$V$3,,SUMPRODUCT(--(list_region_country!$G$3:$V$56=Elec!A184)*(COLUMN(list_region_country!$G$3:$V$56)-COLUMN(list_region_country!$F$3))))</f>
        <v>Europe</v>
      </c>
      <c r="C184" s="4080">
        <v>0.51296293856220021</v>
      </c>
      <c r="D184" s="235">
        <v>2007</v>
      </c>
      <c r="E184" s="4080">
        <f t="shared" si="16"/>
        <v>0.51296293856220021</v>
      </c>
      <c r="F184" s="4080">
        <f t="shared" si="14"/>
        <v>0.54087135429556454</v>
      </c>
      <c r="G184" s="4080">
        <f t="shared" si="13"/>
        <v>0.39925864856099397</v>
      </c>
      <c r="H184" s="4080">
        <v>0.54087135429556454</v>
      </c>
      <c r="I184" s="4080">
        <v>0.39925864856099397</v>
      </c>
      <c r="K184" s="4342" t="s">
        <v>2732</v>
      </c>
      <c r="L184" s="4368">
        <v>752.5333333333333</v>
      </c>
      <c r="M184" s="4368">
        <v>456.12301120760935</v>
      </c>
      <c r="O184">
        <f t="shared" si="17"/>
        <v>596.4016877637132</v>
      </c>
    </row>
    <row r="185" spans="1:15" x14ac:dyDescent="0.2">
      <c r="A185" s="4076" t="s">
        <v>2730</v>
      </c>
      <c r="B185" t="str">
        <f>INDEX(list_region_country!$G$3:$V$3,,SUMPRODUCT(--(list_region_country!$G$3:$V$56=Elec!A185)*(COLUMN(list_region_country!$G$3:$V$56)-COLUMN(list_region_country!$F$3))))</f>
        <v>Eastern Africa</v>
      </c>
      <c r="C185" s="4080" t="s">
        <v>3051</v>
      </c>
      <c r="D185" s="235" t="s">
        <v>3051</v>
      </c>
      <c r="E185" s="4080">
        <f t="shared" ca="1" si="16"/>
        <v>0.68163909586343463</v>
      </c>
      <c r="F185" s="4080">
        <f t="shared" si="14"/>
        <v>0.77240784313725486</v>
      </c>
      <c r="G185" s="4080">
        <f t="shared" si="13"/>
        <v>0.42085798097804822</v>
      </c>
      <c r="H185" s="4080">
        <v>0.77240784313725486</v>
      </c>
      <c r="I185" s="4080">
        <v>0.42085798097804822</v>
      </c>
      <c r="K185" s="4342" t="s">
        <v>2667</v>
      </c>
      <c r="L185" s="4368">
        <v>752.5333333333333</v>
      </c>
      <c r="M185" s="4368">
        <v>477.08604640944623</v>
      </c>
      <c r="O185">
        <f t="shared" si="17"/>
        <v>502.98958333333337</v>
      </c>
    </row>
    <row r="186" spans="1:15" x14ac:dyDescent="0.2">
      <c r="A186" s="4076" t="s">
        <v>2648</v>
      </c>
      <c r="B186" t="str">
        <f>INDEX(list_region_country!$G$3:$V$3,,SUMPRODUCT(--(list_region_country!$G$3:$V$56=Elec!A186)*(COLUMN(list_region_country!$G$3:$V$56)-COLUMN(list_region_country!$F$3))))</f>
        <v>Europe</v>
      </c>
      <c r="C186" s="4080">
        <v>0.42565835307670363</v>
      </c>
      <c r="D186" s="235">
        <v>2007</v>
      </c>
      <c r="E186" s="4080">
        <f t="shared" si="16"/>
        <v>0.42565835307670363</v>
      </c>
      <c r="F186" s="4080">
        <f t="shared" si="14"/>
        <v>0.48944671948839791</v>
      </c>
      <c r="G186" s="4080">
        <f t="shared" si="13"/>
        <v>0.28947954702504602</v>
      </c>
      <c r="H186" s="4080">
        <v>0.48944671948839791</v>
      </c>
      <c r="I186" s="4080">
        <v>0.28947954702504602</v>
      </c>
      <c r="K186" s="4342" t="s">
        <v>2668</v>
      </c>
      <c r="L186" s="4368">
        <v>752.5333333333333</v>
      </c>
      <c r="M186" s="4368">
        <v>520.90705415317166</v>
      </c>
      <c r="O186">
        <f t="shared" si="17"/>
        <v>555.32213373870559</v>
      </c>
    </row>
    <row r="187" spans="1:15" x14ac:dyDescent="0.2">
      <c r="A187" s="4076" t="s">
        <v>2158</v>
      </c>
      <c r="B187" t="str">
        <f>INDEX(list_region_country!$G$3:$V$3,,SUMPRODUCT(--(list_region_country!$G$3:$V$56=Elec!A187)*(COLUMN(list_region_country!$G$3:$V$56)-COLUMN(list_region_country!$F$3))))</f>
        <v>Europe</v>
      </c>
      <c r="C187" s="4080">
        <v>0.35095770208957883</v>
      </c>
      <c r="D187" s="235">
        <v>2007</v>
      </c>
      <c r="E187" s="4080">
        <f t="shared" si="16"/>
        <v>0.35095770208957883</v>
      </c>
      <c r="F187" s="4080">
        <f t="shared" si="14"/>
        <v>0.475674492779324</v>
      </c>
      <c r="G187" s="4080">
        <f t="shared" si="13"/>
        <v>0.2937979609180506</v>
      </c>
      <c r="H187" s="4080">
        <v>0.475674492779324</v>
      </c>
      <c r="I187" s="4080">
        <v>0.2937979609180506</v>
      </c>
      <c r="K187" s="4342" t="s">
        <v>2669</v>
      </c>
      <c r="L187" s="4368">
        <v>752.5333333333333</v>
      </c>
      <c r="M187" s="4368">
        <v>483.55495411529171</v>
      </c>
      <c r="O187">
        <f t="shared" si="17"/>
        <v>540.87135429556452</v>
      </c>
    </row>
    <row r="188" spans="1:15" x14ac:dyDescent="0.2">
      <c r="A188" s="4076" t="s">
        <v>2731</v>
      </c>
      <c r="B188" t="str">
        <f>INDEX(list_region_country!$G$3:$V$3,,SUMPRODUCT(--(list_region_country!$G$3:$V$56=Elec!A188)*(COLUMN(list_region_country!$G$3:$V$56)-COLUMN(list_region_country!$F$3))))</f>
        <v>Eastern Africa</v>
      </c>
      <c r="C188" s="4080">
        <v>0.60399999999999998</v>
      </c>
      <c r="D188" s="235">
        <v>2019</v>
      </c>
      <c r="E188" s="4080">
        <f t="shared" si="16"/>
        <v>0.60399999999999998</v>
      </c>
      <c r="F188" s="4080">
        <f t="shared" si="14"/>
        <v>0.71228121212121198</v>
      </c>
      <c r="G188" s="4080">
        <f t="shared" si="13"/>
        <v>0.41600923480616653</v>
      </c>
      <c r="H188" s="4080">
        <v>0.71228121212121198</v>
      </c>
      <c r="I188" s="4080">
        <v>0.41600923480616653</v>
      </c>
      <c r="K188" s="4342" t="s">
        <v>2706</v>
      </c>
      <c r="L188" s="4368">
        <v>752.5333333333333</v>
      </c>
      <c r="M188" s="4368">
        <v>414.87524919417905</v>
      </c>
      <c r="O188">
        <f t="shared" si="17"/>
        <v>772.40784313725487</v>
      </c>
    </row>
    <row r="189" spans="1:15" x14ac:dyDescent="0.2">
      <c r="A189" s="4077" t="s">
        <v>2666</v>
      </c>
      <c r="B189" t="str">
        <f>INDEX(list_region_country!$G$3:$V$3,,SUMPRODUCT(--(list_region_country!$G$3:$V$56=Elec!A189)*(COLUMN(list_region_country!$G$3:$V$56)-COLUMN(list_region_country!$F$3))))</f>
        <v>Caribbean</v>
      </c>
      <c r="C189" s="4080" t="s">
        <v>3051</v>
      </c>
      <c r="D189" s="235" t="s">
        <v>3051</v>
      </c>
      <c r="E189" s="4080">
        <f t="shared" ca="1" si="16"/>
        <v>0.65968875404607097</v>
      </c>
      <c r="F189" s="4080">
        <f t="shared" si="14"/>
        <v>0</v>
      </c>
      <c r="G189" s="4080">
        <f t="shared" si="13"/>
        <v>0.45910713942058384</v>
      </c>
      <c r="H189" s="4080" t="s">
        <v>1824</v>
      </c>
      <c r="I189" s="4080" t="s">
        <v>1824</v>
      </c>
      <c r="K189" s="4342" t="s">
        <v>2594</v>
      </c>
      <c r="L189" s="4368">
        <v>752.5333333333333</v>
      </c>
      <c r="M189" s="4368">
        <v>499.24849787581934</v>
      </c>
      <c r="O189">
        <f t="shared" si="17"/>
        <v>489.44671948839789</v>
      </c>
    </row>
    <row r="190" spans="1:15" x14ac:dyDescent="0.2">
      <c r="A190" s="4077" t="s">
        <v>2732</v>
      </c>
      <c r="B190" t="str">
        <f>INDEX(list_region_country!$G$3:$V$3,,SUMPRODUCT(--(list_region_country!$G$3:$V$56=Elec!A190)*(COLUMN(list_region_country!$G$3:$V$56)-COLUMN(list_region_country!$F$3))))</f>
        <v>Western Africa</v>
      </c>
      <c r="C190" s="4080" t="s">
        <v>3051</v>
      </c>
      <c r="D190" s="235" t="s">
        <v>3051</v>
      </c>
      <c r="E190" s="4080">
        <f t="shared" ca="1" si="16"/>
        <v>0.55772727272727263</v>
      </c>
      <c r="F190" s="4080">
        <f t="shared" si="14"/>
        <v>0.75253333333333328</v>
      </c>
      <c r="G190" s="4080">
        <f t="shared" si="13"/>
        <v>0.45612301120760934</v>
      </c>
      <c r="H190" s="4080">
        <v>0.75253333333333328</v>
      </c>
      <c r="I190" s="4080">
        <v>0.45612301120760934</v>
      </c>
      <c r="K190" s="4342" t="s">
        <v>2633</v>
      </c>
      <c r="L190" s="4368">
        <v>752.5333333333333</v>
      </c>
      <c r="M190" s="4368">
        <v>434.29372549193522</v>
      </c>
      <c r="O190">
        <f t="shared" si="17"/>
        <v>475.674492779324</v>
      </c>
    </row>
    <row r="191" spans="1:15" x14ac:dyDescent="0.2">
      <c r="A191" s="4077" t="s">
        <v>2667</v>
      </c>
      <c r="B191" t="str">
        <f>INDEX(list_region_country!$G$3:$V$3,,SUMPRODUCT(--(list_region_country!$G$3:$V$56=Elec!A191)*(COLUMN(list_region_country!$G$3:$V$56)-COLUMN(list_region_country!$F$3))))</f>
        <v>Caribbean</v>
      </c>
      <c r="C191" s="4080" t="s">
        <v>3051</v>
      </c>
      <c r="D191" s="235" t="s">
        <v>3051</v>
      </c>
      <c r="E191" s="4080">
        <f t="shared" ca="1" si="16"/>
        <v>0.65968875404607097</v>
      </c>
      <c r="F191" s="4080">
        <f t="shared" si="14"/>
        <v>0.75253333333333328</v>
      </c>
      <c r="G191" s="4080">
        <f t="shared" si="13"/>
        <v>0.47708604640944624</v>
      </c>
      <c r="H191" s="4080">
        <v>0.75253333333333328</v>
      </c>
      <c r="I191" s="4080">
        <v>0.47708604640944624</v>
      </c>
      <c r="K191" s="4342" t="s">
        <v>2771</v>
      </c>
      <c r="L191" s="4368">
        <v>414.46157359502132</v>
      </c>
      <c r="M191" s="4368">
        <v>223.71243671342881</v>
      </c>
      <c r="O191">
        <f t="shared" si="17"/>
        <v>712.28121212121198</v>
      </c>
    </row>
    <row r="192" spans="1:15" x14ac:dyDescent="0.2">
      <c r="A192" s="4077" t="s">
        <v>2668</v>
      </c>
      <c r="B192" t="str">
        <f>INDEX(list_region_country!$G$3:$V$3,,SUMPRODUCT(--(list_region_country!$G$3:$V$56=Elec!A192)*(COLUMN(list_region_country!$G$3:$V$56)-COLUMN(list_region_country!$F$3))))</f>
        <v>Caribbean</v>
      </c>
      <c r="C192" s="4080" t="s">
        <v>3051</v>
      </c>
      <c r="D192" s="235" t="s">
        <v>3051</v>
      </c>
      <c r="E192" s="4080">
        <f t="shared" ca="1" si="16"/>
        <v>0.65968875404607097</v>
      </c>
      <c r="F192" s="4080">
        <f t="shared" si="14"/>
        <v>0.75253333333333328</v>
      </c>
      <c r="G192" s="4080">
        <f t="shared" si="13"/>
        <v>0.52090705415317162</v>
      </c>
      <c r="H192" s="4080">
        <v>0.75253333333333328</v>
      </c>
      <c r="I192" s="4080">
        <v>0.52090705415317162</v>
      </c>
      <c r="K192" s="4342" t="s">
        <v>2733</v>
      </c>
      <c r="L192" s="4368">
        <v>752.5333333333333</v>
      </c>
      <c r="M192" s="4368">
        <v>564.72331426351616</v>
      </c>
      <c r="O192" t="e">
        <f t="shared" si="17"/>
        <v>#N/A</v>
      </c>
    </row>
    <row r="193" spans="1:15" x14ac:dyDescent="0.2">
      <c r="A193" s="4077" t="s">
        <v>2669</v>
      </c>
      <c r="B193" t="str">
        <f>INDEX(list_region_country!$G$3:$V$3,,SUMPRODUCT(--(list_region_country!$G$3:$V$56=Elec!A193)*(COLUMN(list_region_country!$G$3:$V$56)-COLUMN(list_region_country!$F$3))))</f>
        <v>Caribbean</v>
      </c>
      <c r="C193" s="4080" t="s">
        <v>3051</v>
      </c>
      <c r="D193" s="235" t="s">
        <v>3051</v>
      </c>
      <c r="E193" s="4080">
        <f t="shared" ca="1" si="16"/>
        <v>0.65968875404607097</v>
      </c>
      <c r="F193" s="4080">
        <f t="shared" si="14"/>
        <v>0.75253333333333328</v>
      </c>
      <c r="G193" s="4080">
        <f t="shared" si="13"/>
        <v>0.4835549541152917</v>
      </c>
      <c r="H193" s="4080">
        <v>0.75253333333333328</v>
      </c>
      <c r="I193" s="4080">
        <v>0.4835549541152917</v>
      </c>
      <c r="K193" s="4342" t="s">
        <v>2576</v>
      </c>
      <c r="L193" s="4368">
        <v>591.70517021996</v>
      </c>
      <c r="M193" s="4368">
        <v>373.68555697289543</v>
      </c>
      <c r="O193">
        <f t="shared" si="17"/>
        <v>752.5333333333333</v>
      </c>
    </row>
    <row r="194" spans="1:15" x14ac:dyDescent="0.2">
      <c r="A194" s="4077" t="s">
        <v>2706</v>
      </c>
      <c r="B194" t="str">
        <f>INDEX(list_region_country!$G$3:$V$3,,SUMPRODUCT(--(list_region_country!$G$3:$V$56=Elec!A194)*(COLUMN(list_region_country!$G$3:$V$56)-COLUMN(list_region_country!$F$3))))</f>
        <v>North America</v>
      </c>
      <c r="C194" s="4080" t="s">
        <v>3051</v>
      </c>
      <c r="D194" s="235" t="s">
        <v>3051</v>
      </c>
      <c r="E194" s="4080">
        <f t="shared" ca="1" si="16"/>
        <v>0.44952519813248015</v>
      </c>
      <c r="F194" s="4080">
        <f t="shared" si="14"/>
        <v>0.75253333333333328</v>
      </c>
      <c r="G194" s="4080">
        <f t="shared" si="13"/>
        <v>0.41487524919417906</v>
      </c>
      <c r="H194" s="4080">
        <v>0.75253333333333328</v>
      </c>
      <c r="I194" s="4080">
        <v>0.41487524919417906</v>
      </c>
      <c r="K194" s="4342" t="s">
        <v>2578</v>
      </c>
      <c r="L194" s="4369">
        <v>870.16014500976235</v>
      </c>
      <c r="M194" s="4368">
        <v>656.24454611174929</v>
      </c>
      <c r="O194">
        <f t="shared" si="17"/>
        <v>752.5333333333333</v>
      </c>
    </row>
    <row r="195" spans="1:15" x14ac:dyDescent="0.2">
      <c r="A195" s="4077" t="s">
        <v>2594</v>
      </c>
      <c r="B195" t="str">
        <f>INDEX(list_region_country!$G$3:$V$3,,SUMPRODUCT(--(list_region_country!$G$3:$V$56=Elec!A195)*(COLUMN(list_region_country!$G$3:$V$56)-COLUMN(list_region_country!$F$3))))</f>
        <v>Caribbean</v>
      </c>
      <c r="C195" s="4080" t="s">
        <v>3051</v>
      </c>
      <c r="D195" s="235" t="s">
        <v>3051</v>
      </c>
      <c r="E195" s="4080">
        <f t="shared" ca="1" si="16"/>
        <v>0.65968875404607097</v>
      </c>
      <c r="F195" s="4080">
        <f t="shared" si="14"/>
        <v>0.75253333333333328</v>
      </c>
      <c r="G195" s="4080">
        <f t="shared" si="13"/>
        <v>0.49924849787581932</v>
      </c>
      <c r="H195" s="4080">
        <v>0.75253333333333328</v>
      </c>
      <c r="I195" s="4080">
        <v>0.49924849787581932</v>
      </c>
      <c r="K195" s="4342" t="s">
        <v>2773</v>
      </c>
      <c r="L195" s="4369">
        <v>1085.5814954843274</v>
      </c>
      <c r="M195" s="4368">
        <v>677.72974782899087</v>
      </c>
      <c r="O195">
        <f t="shared" si="17"/>
        <v>752.5333333333333</v>
      </c>
    </row>
    <row r="196" spans="1:15" x14ac:dyDescent="0.2">
      <c r="A196" s="4076" t="s">
        <v>2633</v>
      </c>
      <c r="B196" t="str">
        <f>INDEX(list_region_country!$G$3:$V$3,,SUMPRODUCT(--(list_region_country!$G$3:$V$56=Elec!A196)*(COLUMN(list_region_country!$G$3:$V$56)-COLUMN(list_region_country!$F$3))))</f>
        <v>Oceania</v>
      </c>
      <c r="C196" s="4080" t="s">
        <v>3051</v>
      </c>
      <c r="D196" s="235" t="s">
        <v>3051</v>
      </c>
      <c r="E196" s="4080">
        <f t="shared" ca="1" si="16"/>
        <v>0.58971601656224637</v>
      </c>
      <c r="F196" s="4080">
        <f t="shared" si="14"/>
        <v>0.75253333333333328</v>
      </c>
      <c r="G196" s="4080">
        <f t="shared" si="13"/>
        <v>0.43429372549193523</v>
      </c>
      <c r="H196" s="4080">
        <v>0.75253333333333328</v>
      </c>
      <c r="I196" s="4080">
        <v>0.43429372549193523</v>
      </c>
      <c r="K196" s="4342" t="s">
        <v>2580</v>
      </c>
      <c r="L196" s="4369">
        <v>752.5333333333333</v>
      </c>
      <c r="M196" s="4368">
        <v>478.78966080444832</v>
      </c>
      <c r="O196">
        <f t="shared" si="17"/>
        <v>752.5333333333333</v>
      </c>
    </row>
    <row r="197" spans="1:15" x14ac:dyDescent="0.2">
      <c r="A197" s="4076" t="s">
        <v>2771</v>
      </c>
      <c r="B197" t="str">
        <f>INDEX(list_region_country!$G$3:$V$3,,SUMPRODUCT(--(list_region_country!$G$3:$V$56=Elec!A197)*(COLUMN(list_region_country!$G$3:$V$56)-COLUMN(list_region_country!$F$3))))</f>
        <v>Europe</v>
      </c>
      <c r="C197" s="4080" t="s">
        <v>3051</v>
      </c>
      <c r="D197" s="235" t="s">
        <v>3051</v>
      </c>
      <c r="E197" s="4080">
        <f t="shared" ca="1" si="16"/>
        <v>0.47807669886913667</v>
      </c>
      <c r="F197" s="4080">
        <f t="shared" si="14"/>
        <v>0.41446157359502134</v>
      </c>
      <c r="G197" s="4080">
        <f t="shared" ref="G197:G252" si="18">IFERROR(IF(VLOOKUP(A197, $K$8:$M$241, 3, FALSE)/1000 = 0, AVERAGEIF($B$5:$B$252,B197,$I$5:$I$252), VLOOKUP(A197, $K$8:$M$241, 3, FALSE)/1000 ), AVERAGEIF($B$5:$B$252,B197,$I$5:$I$252))</f>
        <v>0.2237124367134288</v>
      </c>
      <c r="H197" s="4080">
        <v>0.41446157359502134</v>
      </c>
      <c r="I197" s="4080">
        <v>0.2237124367134288</v>
      </c>
      <c r="K197" s="4342" t="s">
        <v>2582</v>
      </c>
      <c r="L197" s="4368">
        <v>489.14666666666665</v>
      </c>
      <c r="M197" s="4368">
        <v>245.92899433095167</v>
      </c>
      <c r="O197">
        <f t="shared" si="17"/>
        <v>752.5333333333333</v>
      </c>
    </row>
    <row r="198" spans="1:15" x14ac:dyDescent="0.2">
      <c r="A198" s="4076" t="s">
        <v>2733</v>
      </c>
      <c r="B198" t="str">
        <f>INDEX(list_region_country!$G$3:$V$3,,SUMPRODUCT(--(list_region_country!$G$3:$V$56=Elec!A198)*(COLUMN(list_region_country!$G$3:$V$56)-COLUMN(list_region_country!$F$3))))</f>
        <v>Central Africa</v>
      </c>
      <c r="C198" s="4080" t="s">
        <v>3051</v>
      </c>
      <c r="D198" s="235" t="s">
        <v>3051</v>
      </c>
      <c r="E198" s="4080">
        <f t="shared" ca="1" si="16"/>
        <v>0.55983475897490131</v>
      </c>
      <c r="F198" s="4080">
        <f t="shared" ref="F198:F252" si="19">IFERROR(IF(VLOOKUP(A198, $K$8:$M$241, 2, FALSE)/1000 = 0, 0, VLOOKUP(A198, $K$8:$M$241, 2, FALSE)/1000 ), 0)</f>
        <v>0.75253333333333328</v>
      </c>
      <c r="G198" s="4080">
        <f t="shared" si="18"/>
        <v>0.56472331426351619</v>
      </c>
      <c r="H198" s="4080">
        <v>0.75253333333333328</v>
      </c>
      <c r="I198" s="4080">
        <v>0.56472331426351619</v>
      </c>
      <c r="K198" s="4342" t="s">
        <v>2584</v>
      </c>
      <c r="L198" s="4368">
        <v>378.57942154878987</v>
      </c>
      <c r="M198" s="4368">
        <v>199.64443170570416</v>
      </c>
      <c r="O198">
        <f t="shared" si="17"/>
        <v>752.5333333333333</v>
      </c>
    </row>
    <row r="199" spans="1:15" x14ac:dyDescent="0.2">
      <c r="A199" s="4076" t="s">
        <v>2772</v>
      </c>
      <c r="B199" t="s">
        <v>1555</v>
      </c>
      <c r="C199" s="4080"/>
      <c r="D199" s="235"/>
      <c r="E199" s="4080"/>
      <c r="F199" s="4080">
        <f t="shared" si="19"/>
        <v>0</v>
      </c>
      <c r="G199" s="4080">
        <f t="shared" si="18"/>
        <v>0.2562322492034157</v>
      </c>
      <c r="H199" s="4080" t="s">
        <v>1824</v>
      </c>
      <c r="I199" s="4080" t="s">
        <v>1824</v>
      </c>
      <c r="K199" s="4342"/>
      <c r="L199" s="4368"/>
      <c r="M199" s="4368"/>
    </row>
    <row r="200" spans="1:15" x14ac:dyDescent="0.2">
      <c r="A200" s="4077" t="s">
        <v>2576</v>
      </c>
      <c r="B200" t="str">
        <f>INDEX(list_region_country!$G$3:$V$3,,SUMPRODUCT(--(list_region_country!$G$3:$V$56=Elec!A200)*(COLUMN(list_region_country!$G$3:$V$56)-COLUMN(list_region_country!$F$3))))</f>
        <v>Western Asia</v>
      </c>
      <c r="C200" s="4080">
        <v>0.65400000000000003</v>
      </c>
      <c r="D200" s="235">
        <v>2019</v>
      </c>
      <c r="E200" s="4080">
        <f t="shared" ref="E200:E231" si="20">IF(C200="",AVERAGEIF($B$5:$C$252,B200,$C$5:$C$252),C200)</f>
        <v>0.65400000000000003</v>
      </c>
      <c r="F200" s="4080">
        <f t="shared" si="19"/>
        <v>0.59170517021995994</v>
      </c>
      <c r="G200" s="4080">
        <f t="shared" si="18"/>
        <v>0.37368555697289541</v>
      </c>
      <c r="H200" s="4080">
        <v>0.59170517021995994</v>
      </c>
      <c r="I200" s="4080">
        <v>0.37368555697289541</v>
      </c>
      <c r="K200" s="4342" t="s">
        <v>2670</v>
      </c>
      <c r="L200" s="4369">
        <v>752.5333333333333</v>
      </c>
      <c r="M200" s="4368">
        <v>463.04431251750447</v>
      </c>
      <c r="O200">
        <f>VLOOKUP(A196, $K$8:$M$241, 2, FALSE)</f>
        <v>752.5333333333333</v>
      </c>
    </row>
    <row r="201" spans="1:15" x14ac:dyDescent="0.2">
      <c r="A201" s="4077" t="s">
        <v>2578</v>
      </c>
      <c r="B201" t="str">
        <f>INDEX(list_region_country!$G$3:$V$3,,SUMPRODUCT(--(list_region_country!$G$3:$V$56=Elec!A201)*(COLUMN(list_region_country!$G$3:$V$56)-COLUMN(list_region_country!$F$3))))</f>
        <v>Western Africa</v>
      </c>
      <c r="C201" s="4080">
        <v>0.56299999999999994</v>
      </c>
      <c r="D201" s="235">
        <v>2019</v>
      </c>
      <c r="E201" s="4080">
        <f t="shared" si="20"/>
        <v>0.56299999999999994</v>
      </c>
      <c r="F201" s="4080">
        <f t="shared" si="19"/>
        <v>0.87016014500976235</v>
      </c>
      <c r="G201" s="4080">
        <f t="shared" si="18"/>
        <v>0.65624454611174932</v>
      </c>
      <c r="H201" s="4080">
        <v>0.87016014500976235</v>
      </c>
      <c r="I201" s="4080">
        <v>0.65624454611174932</v>
      </c>
      <c r="K201" s="4342" t="s">
        <v>2649</v>
      </c>
      <c r="L201" s="4368">
        <v>331.87545826708657</v>
      </c>
      <c r="M201" s="4368">
        <v>163.72125716658411</v>
      </c>
      <c r="O201">
        <f>VLOOKUP(A197, $K$8:$M$241, 2, FALSE)</f>
        <v>414.46157359502132</v>
      </c>
    </row>
    <row r="202" spans="1:15" x14ac:dyDescent="0.2">
      <c r="A202" s="4076" t="s">
        <v>2773</v>
      </c>
      <c r="B202" t="str">
        <f>INDEX(list_region_country!$G$3:$V$3,,SUMPRODUCT(--(list_region_country!$G$3:$V$56=Elec!A202)*(COLUMN(list_region_country!$G$3:$V$56)-COLUMN(list_region_country!$F$3))))</f>
        <v>Europe</v>
      </c>
      <c r="C202" s="4080">
        <v>1.099</v>
      </c>
      <c r="D202" s="235">
        <v>2019</v>
      </c>
      <c r="E202" s="4080">
        <f t="shared" si="20"/>
        <v>1.099</v>
      </c>
      <c r="F202" s="4080">
        <f t="shared" si="19"/>
        <v>1.0855814954843275</v>
      </c>
      <c r="G202" s="4080">
        <f t="shared" si="18"/>
        <v>0.67772974782899087</v>
      </c>
      <c r="H202" s="4080">
        <v>1.0855814954843275</v>
      </c>
      <c r="I202" s="4080">
        <v>0.67772974782899087</v>
      </c>
      <c r="K202" s="4342" t="s">
        <v>2774</v>
      </c>
      <c r="L202" s="4369">
        <v>619.92161297153825</v>
      </c>
      <c r="M202" s="4368">
        <v>284.8539622834993</v>
      </c>
      <c r="O202">
        <f>VLOOKUP(A198, $K$8:$M$241, 2, FALSE)</f>
        <v>752.5333333333333</v>
      </c>
    </row>
    <row r="203" spans="1:15" x14ac:dyDescent="0.2">
      <c r="A203" s="4076" t="s">
        <v>2580</v>
      </c>
      <c r="B203" t="str">
        <f>INDEX(list_region_country!$G$3:$V$3,,SUMPRODUCT(--(list_region_country!$G$3:$V$56=Elec!A203)*(COLUMN(list_region_country!$G$3:$V$56)-COLUMN(list_region_country!$F$3))))</f>
        <v>Eastern Africa</v>
      </c>
      <c r="C203" s="4080" t="s">
        <v>3051</v>
      </c>
      <c r="D203" s="235" t="s">
        <v>3051</v>
      </c>
      <c r="E203" s="4080">
        <f t="shared" ca="1" si="20"/>
        <v>0.68163909586343463</v>
      </c>
      <c r="F203" s="4080">
        <f t="shared" si="19"/>
        <v>0.75253333333333328</v>
      </c>
      <c r="G203" s="4080">
        <f t="shared" si="18"/>
        <v>0.47878966080444829</v>
      </c>
      <c r="H203" s="4080">
        <v>0.75253333333333328</v>
      </c>
      <c r="I203" s="4080">
        <v>0.47878966080444829</v>
      </c>
      <c r="K203" s="4342" t="s">
        <v>2586</v>
      </c>
      <c r="L203" s="4369">
        <v>752.5333333333333</v>
      </c>
      <c r="M203" s="4368">
        <v>562.82293622532848</v>
      </c>
      <c r="O203">
        <f t="shared" ref="O203:O234" si="21">VLOOKUP(A200, $K$8:$M$241, 2, FALSE)</f>
        <v>591.70517021996</v>
      </c>
    </row>
    <row r="204" spans="1:15" x14ac:dyDescent="0.2">
      <c r="A204" s="4077" t="s">
        <v>2582</v>
      </c>
      <c r="B204" t="str">
        <f>INDEX(list_region_country!$G$3:$V$3,,SUMPRODUCT(--(list_region_country!$G$3:$V$56=Elec!A204)*(COLUMN(list_region_country!$G$3:$V$56)-COLUMN(list_region_country!$F$3))))</f>
        <v>Western Africa</v>
      </c>
      <c r="C204" s="4080">
        <v>0.40200000000000002</v>
      </c>
      <c r="D204" s="235">
        <v>2019</v>
      </c>
      <c r="E204" s="4080">
        <f t="shared" si="20"/>
        <v>0.40200000000000002</v>
      </c>
      <c r="F204" s="4080">
        <f t="shared" si="19"/>
        <v>0.48914666666666667</v>
      </c>
      <c r="G204" s="4080">
        <f t="shared" si="18"/>
        <v>0.24592899433095167</v>
      </c>
      <c r="H204" s="4080">
        <v>0.48914666666666667</v>
      </c>
      <c r="I204" s="4080">
        <v>0.24592899433095167</v>
      </c>
      <c r="K204" s="4342" t="s">
        <v>2588</v>
      </c>
      <c r="L204" s="4368">
        <v>752.5333333333333</v>
      </c>
      <c r="M204" s="4368">
        <v>582.29226405636541</v>
      </c>
      <c r="O204">
        <f t="shared" si="21"/>
        <v>870.16014500976235</v>
      </c>
    </row>
    <row r="205" spans="1:15" x14ac:dyDescent="0.2">
      <c r="A205" s="4077" t="s">
        <v>2584</v>
      </c>
      <c r="B205" t="str">
        <f>INDEX(list_region_country!$G$3:$V$3,,SUMPRODUCT(--(list_region_country!$G$3:$V$56=Elec!A205)*(COLUMN(list_region_country!$G$3:$V$56)-COLUMN(list_region_country!$F$3))))</f>
        <v>South-eastern Asia</v>
      </c>
      <c r="C205" s="4080">
        <v>0.48599999999999999</v>
      </c>
      <c r="D205" s="235">
        <v>2019</v>
      </c>
      <c r="E205" s="4080">
        <f t="shared" si="20"/>
        <v>0.48599999999999999</v>
      </c>
      <c r="F205" s="4080">
        <f t="shared" si="19"/>
        <v>0.37857942154878987</v>
      </c>
      <c r="G205" s="4080">
        <f t="shared" si="18"/>
        <v>0.19964443170570417</v>
      </c>
      <c r="H205" s="4080">
        <v>0.37857942154878987</v>
      </c>
      <c r="I205" s="4080">
        <v>0.19964443170570417</v>
      </c>
      <c r="K205" s="4342" t="s">
        <v>2590</v>
      </c>
      <c r="L205" s="4368">
        <v>1070.2178314438704</v>
      </c>
      <c r="M205" s="4368">
        <v>747.37568884261691</v>
      </c>
      <c r="O205">
        <f t="shared" si="21"/>
        <v>1085.5814954843274</v>
      </c>
    </row>
    <row r="206" spans="1:15" x14ac:dyDescent="0.2">
      <c r="A206" s="4077" t="s">
        <v>2670</v>
      </c>
      <c r="B206" t="str">
        <f>INDEX(list_region_country!$G$3:$V$3,,SUMPRODUCT(--(list_region_country!$G$3:$V$56=Elec!A206)*(COLUMN(list_region_country!$G$3:$V$56)-COLUMN(list_region_country!$F$3))))</f>
        <v>Caribbean</v>
      </c>
      <c r="C206" s="4080" t="s">
        <v>3051</v>
      </c>
      <c r="D206" s="235" t="s">
        <v>3051</v>
      </c>
      <c r="E206" s="4080">
        <f t="shared" ca="1" si="20"/>
        <v>0.65968875404607097</v>
      </c>
      <c r="F206" s="4080">
        <f t="shared" si="19"/>
        <v>0.75253333333333328</v>
      </c>
      <c r="G206" s="4080">
        <f t="shared" si="18"/>
        <v>0.46304431251750444</v>
      </c>
      <c r="H206" s="4080">
        <v>0.75253333333333328</v>
      </c>
      <c r="I206" s="4080">
        <v>0.46304431251750444</v>
      </c>
      <c r="K206" s="4342" t="s">
        <v>2693</v>
      </c>
      <c r="L206" s="4369">
        <v>889.81052631578962</v>
      </c>
      <c r="M206" s="4368">
        <v>704.05083822326856</v>
      </c>
      <c r="O206">
        <f t="shared" si="21"/>
        <v>752.5333333333333</v>
      </c>
    </row>
    <row r="207" spans="1:15" x14ac:dyDescent="0.2">
      <c r="A207" s="4076" t="s">
        <v>2649</v>
      </c>
      <c r="B207" t="str">
        <f>INDEX(list_region_country!$G$3:$V$3,,SUMPRODUCT(--(list_region_country!$G$3:$V$56=Elec!A207)*(COLUMN(list_region_country!$G$3:$V$56)-COLUMN(list_region_country!$F$3))))</f>
        <v>Europe</v>
      </c>
      <c r="C207" s="4080">
        <v>0.29659800120652802</v>
      </c>
      <c r="D207" s="235">
        <v>2007</v>
      </c>
      <c r="E207" s="4080">
        <f t="shared" si="20"/>
        <v>0.29659800120652802</v>
      </c>
      <c r="F207" s="4080">
        <f t="shared" si="19"/>
        <v>0.33187545826708659</v>
      </c>
      <c r="G207" s="4080">
        <f t="shared" si="18"/>
        <v>0.16372125716658412</v>
      </c>
      <c r="H207" s="4080">
        <v>0.33187545826708659</v>
      </c>
      <c r="I207" s="4080">
        <v>0.16372125716658412</v>
      </c>
      <c r="K207" s="4342" t="s">
        <v>2775</v>
      </c>
      <c r="L207" s="4369">
        <v>401.73041920145641</v>
      </c>
      <c r="M207" s="4368">
        <v>208.69804493845825</v>
      </c>
      <c r="O207">
        <f t="shared" si="21"/>
        <v>489.14666666666665</v>
      </c>
    </row>
    <row r="208" spans="1:15" x14ac:dyDescent="0.2">
      <c r="A208" s="4076" t="s">
        <v>2774</v>
      </c>
      <c r="B208" t="str">
        <f>INDEX(list_region_country!$G$3:$V$3,,SUMPRODUCT(--(list_region_country!$G$3:$V$56=Elec!A208)*(COLUMN(list_region_country!$G$3:$V$56)-COLUMN(list_region_country!$F$3))))</f>
        <v>Europe</v>
      </c>
      <c r="C208" s="4080">
        <v>0.36867086405434374</v>
      </c>
      <c r="D208" s="235">
        <v>2007</v>
      </c>
      <c r="E208" s="4080">
        <f t="shared" si="20"/>
        <v>0.36867086405434374</v>
      </c>
      <c r="F208" s="4080">
        <f t="shared" si="19"/>
        <v>0.61992161297153825</v>
      </c>
      <c r="G208" s="4080">
        <f t="shared" si="18"/>
        <v>0.2848539622834993</v>
      </c>
      <c r="H208" s="4080">
        <v>0.61992161297153825</v>
      </c>
      <c r="I208" s="4080">
        <v>0.2848539622834993</v>
      </c>
      <c r="K208" s="4342" t="s">
        <v>2592</v>
      </c>
      <c r="L208" s="4369">
        <v>730.74549790714354</v>
      </c>
      <c r="M208" s="4368">
        <v>505.85473495972747</v>
      </c>
      <c r="O208">
        <f t="shared" si="21"/>
        <v>378.57942154878987</v>
      </c>
    </row>
    <row r="209" spans="1:15" x14ac:dyDescent="0.2">
      <c r="A209" s="4076" t="s">
        <v>2586</v>
      </c>
      <c r="B209" t="str">
        <f>INDEX(list_region_country!$G$3:$V$3,,SUMPRODUCT(--(list_region_country!$G$3:$V$56=Elec!A209)*(COLUMN(list_region_country!$G$3:$V$56)-COLUMN(list_region_country!$F$3))))</f>
        <v>Oceania</v>
      </c>
      <c r="C209" s="4080" t="s">
        <v>3051</v>
      </c>
      <c r="D209" s="235" t="s">
        <v>3051</v>
      </c>
      <c r="E209" s="4080">
        <f t="shared" ca="1" si="20"/>
        <v>0.58971601656224637</v>
      </c>
      <c r="F209" s="4080">
        <f t="shared" si="19"/>
        <v>0.75253333333333328</v>
      </c>
      <c r="G209" s="4080">
        <f t="shared" si="18"/>
        <v>0.56282293622532853</v>
      </c>
      <c r="H209" s="4080">
        <v>0.75253333333333328</v>
      </c>
      <c r="I209" s="4080">
        <v>0.56282293622532853</v>
      </c>
      <c r="K209" s="4342" t="s">
        <v>2596</v>
      </c>
      <c r="L209" s="4369">
        <v>735.54631578947374</v>
      </c>
      <c r="M209" s="4368">
        <v>398.17196931350855</v>
      </c>
      <c r="O209">
        <f t="shared" si="21"/>
        <v>752.5333333333333</v>
      </c>
    </row>
    <row r="210" spans="1:15" x14ac:dyDescent="0.2">
      <c r="A210" s="4076" t="s">
        <v>2588</v>
      </c>
      <c r="B210" t="str">
        <f>INDEX(list_region_country!$G$3:$V$3,,SUMPRODUCT(--(list_region_country!$G$3:$V$56=Elec!A210)*(COLUMN(list_region_country!$G$3:$V$56)-COLUMN(list_region_country!$F$3))))</f>
        <v>Eastern Africa</v>
      </c>
      <c r="C210" s="4080">
        <v>0.90900000000000003</v>
      </c>
      <c r="D210" s="235">
        <v>2019</v>
      </c>
      <c r="E210" s="4080">
        <f t="shared" si="20"/>
        <v>0.90900000000000003</v>
      </c>
      <c r="F210" s="4080">
        <f t="shared" si="19"/>
        <v>0.75253333333333328</v>
      </c>
      <c r="G210" s="4080">
        <f t="shared" si="18"/>
        <v>0.58229226405636536</v>
      </c>
      <c r="H210" s="4080">
        <v>0.75253333333333328</v>
      </c>
      <c r="I210" s="4080">
        <v>0.58229226405636536</v>
      </c>
      <c r="K210" s="4342" t="s">
        <v>2598</v>
      </c>
      <c r="L210" s="4369">
        <v>1028.621052631579</v>
      </c>
      <c r="M210" s="4368">
        <v>564.88495903124567</v>
      </c>
      <c r="O210">
        <f t="shared" si="21"/>
        <v>331.87545826708657</v>
      </c>
    </row>
    <row r="211" spans="1:15" x14ac:dyDescent="0.2">
      <c r="A211" s="4077" t="s">
        <v>2590</v>
      </c>
      <c r="B211" t="str">
        <f>INDEX(list_region_country!$G$3:$V$3,,SUMPRODUCT(--(list_region_country!$G$3:$V$56=Elec!A211)*(COLUMN(list_region_country!$G$3:$V$56)-COLUMN(list_region_country!$F$3))))</f>
        <v>Southern Africa</v>
      </c>
      <c r="C211" s="4080" t="s">
        <v>3051</v>
      </c>
      <c r="D211" s="235" t="s">
        <v>3051</v>
      </c>
      <c r="E211" s="4080">
        <f t="shared" ca="1" si="20"/>
        <v>0.93825000000000003</v>
      </c>
      <c r="F211" s="4080">
        <f t="shared" si="19"/>
        <v>1.0702178314438704</v>
      </c>
      <c r="G211" s="4080">
        <f t="shared" si="18"/>
        <v>0.74737568884261696</v>
      </c>
      <c r="H211" s="4080">
        <v>1.0702178314438704</v>
      </c>
      <c r="I211" s="4080">
        <v>0.74737568884261696</v>
      </c>
      <c r="K211" s="4342" t="s">
        <v>2777</v>
      </c>
      <c r="L211" s="4369">
        <v>67.97085117532265</v>
      </c>
      <c r="M211" s="4368">
        <v>25.275304048983678</v>
      </c>
      <c r="O211">
        <f t="shared" si="21"/>
        <v>619.92161297153825</v>
      </c>
    </row>
    <row r="212" spans="1:15" ht="29" x14ac:dyDescent="0.2">
      <c r="A212" s="4077" t="s">
        <v>2671</v>
      </c>
      <c r="B212" t="str">
        <f>INDEX(list_region_country!$G$3:$V$3,,SUMPRODUCT(--(list_region_country!$G$3:$V$56=Elec!A212)*(COLUMN(list_region_country!$G$3:$V$56)-COLUMN(list_region_country!$F$3))))</f>
        <v>South America</v>
      </c>
      <c r="C212" s="4080" t="s">
        <v>3051</v>
      </c>
      <c r="D212" s="235" t="s">
        <v>3051</v>
      </c>
      <c r="E212" s="4080">
        <f t="shared" ca="1" si="20"/>
        <v>0.47627995662408912</v>
      </c>
      <c r="F212" s="4080">
        <f t="shared" si="19"/>
        <v>0</v>
      </c>
      <c r="G212" s="4080">
        <f t="shared" si="18"/>
        <v>0.29002701247116763</v>
      </c>
      <c r="H212" s="4080" t="s">
        <v>1824</v>
      </c>
      <c r="I212" s="4080" t="s">
        <v>1824</v>
      </c>
      <c r="K212" s="4342" t="s">
        <v>2778</v>
      </c>
      <c r="L212" s="4369">
        <v>48.04569053728649</v>
      </c>
      <c r="M212" s="4368">
        <v>20.173190933358427</v>
      </c>
      <c r="O212">
        <f t="shared" si="21"/>
        <v>752.5333333333333</v>
      </c>
    </row>
    <row r="213" spans="1:15" x14ac:dyDescent="0.2">
      <c r="A213" s="4076" t="s">
        <v>2693</v>
      </c>
      <c r="B213" t="str">
        <f>INDEX(list_region_country!$G$3:$V$3,,SUMPRODUCT(--(list_region_country!$G$3:$V$56=Elec!A213)*(COLUMN(list_region_country!$G$3:$V$56)-COLUMN(list_region_country!$F$3))))</f>
        <v>Eastern Africa</v>
      </c>
      <c r="C213" s="4080" t="s">
        <v>3051</v>
      </c>
      <c r="D213" s="235" t="s">
        <v>3051</v>
      </c>
      <c r="E213" s="4080">
        <f t="shared" ca="1" si="20"/>
        <v>0.68163909586343463</v>
      </c>
      <c r="F213" s="4080">
        <f t="shared" si="19"/>
        <v>0.88981052631578961</v>
      </c>
      <c r="G213" s="4080">
        <f t="shared" si="18"/>
        <v>0.70405083822326853</v>
      </c>
      <c r="H213" s="4080">
        <v>0.88981052631578961</v>
      </c>
      <c r="I213" s="4080">
        <v>0.70405083822326853</v>
      </c>
      <c r="K213" s="4342" t="s">
        <v>2695</v>
      </c>
      <c r="L213" s="4369">
        <v>712.51275273627789</v>
      </c>
      <c r="M213" s="4368">
        <v>546.47988627525933</v>
      </c>
      <c r="O213">
        <f t="shared" si="21"/>
        <v>752.5333333333333</v>
      </c>
    </row>
    <row r="214" spans="1:15" x14ac:dyDescent="0.2">
      <c r="A214" s="4076" t="s">
        <v>2775</v>
      </c>
      <c r="B214" t="str">
        <f>INDEX(list_region_country!$G$3:$V$3,,SUMPRODUCT(--(list_region_country!$G$3:$V$56=Elec!A214)*(COLUMN(list_region_country!$G$3:$V$56)-COLUMN(list_region_country!$F$3))))</f>
        <v>Europe</v>
      </c>
      <c r="C214" s="4080">
        <v>0.44331737062824433</v>
      </c>
      <c r="D214" s="235">
        <v>2007</v>
      </c>
      <c r="E214" s="4080">
        <f t="shared" si="20"/>
        <v>0.44331737062824433</v>
      </c>
      <c r="F214" s="4080">
        <f t="shared" si="19"/>
        <v>0.40173041920145641</v>
      </c>
      <c r="G214" s="4080">
        <f t="shared" si="18"/>
        <v>0.20869804493845825</v>
      </c>
      <c r="H214" s="4080">
        <v>0.40173041920145641</v>
      </c>
      <c r="I214" s="4080">
        <v>0.20869804493845825</v>
      </c>
      <c r="K214" s="4342" t="s">
        <v>3158</v>
      </c>
      <c r="L214" s="4369">
        <v>484.07714954481844</v>
      </c>
      <c r="M214" s="4368">
        <v>331.15606772649232</v>
      </c>
      <c r="O214">
        <f t="shared" si="21"/>
        <v>1070.2178314438704</v>
      </c>
    </row>
    <row r="215" spans="1:15" x14ac:dyDescent="0.2">
      <c r="A215" s="4077" t="s">
        <v>2592</v>
      </c>
      <c r="B215" t="str">
        <f>INDEX(list_region_country!$G$3:$V$3,,SUMPRODUCT(--(list_region_country!$G$3:$V$56=Elec!A215)*(COLUMN(list_region_country!$G$3:$V$56)-COLUMN(list_region_country!$F$3))))</f>
        <v>Southern Asia</v>
      </c>
      <c r="C215" s="4080">
        <v>0.88</v>
      </c>
      <c r="D215" s="235">
        <v>2019</v>
      </c>
      <c r="E215" s="4080">
        <f t="shared" si="20"/>
        <v>0.88</v>
      </c>
      <c r="F215" s="4080">
        <f t="shared" si="19"/>
        <v>0.73074549790714349</v>
      </c>
      <c r="G215" s="4080">
        <f t="shared" si="18"/>
        <v>0.50585473495972744</v>
      </c>
      <c r="H215" s="4080">
        <v>0.73074549790714349</v>
      </c>
      <c r="I215" s="4080">
        <v>0.50585473495972744</v>
      </c>
      <c r="K215" s="4342" t="s">
        <v>2696</v>
      </c>
      <c r="L215" s="4369">
        <v>255.35106382978731</v>
      </c>
      <c r="M215" s="4368">
        <v>105.72642103426016</v>
      </c>
      <c r="O215" t="e">
        <f t="shared" si="21"/>
        <v>#N/A</v>
      </c>
    </row>
    <row r="216" spans="1:15" x14ac:dyDescent="0.2">
      <c r="A216" s="4077" t="s">
        <v>2694</v>
      </c>
      <c r="B216" t="str">
        <f>INDEX(list_region_country!$G$3:$V$3,,SUMPRODUCT(--(list_region_country!$G$3:$V$56=Elec!A216)*(COLUMN(list_region_country!$G$3:$V$56)-COLUMN(list_region_country!$F$3))))</f>
        <v>Western Asia</v>
      </c>
      <c r="C216" s="4080" t="s">
        <v>3051</v>
      </c>
      <c r="D216" s="235" t="s">
        <v>3051</v>
      </c>
      <c r="E216" s="4080">
        <f t="shared" ca="1" si="20"/>
        <v>0.69489981169610038</v>
      </c>
      <c r="F216" s="4080">
        <f t="shared" si="19"/>
        <v>0.71883157894736849</v>
      </c>
      <c r="G216" s="4080">
        <f t="shared" si="18"/>
        <v>0.51682063307465376</v>
      </c>
      <c r="H216" s="4080">
        <v>0.71883157894736849</v>
      </c>
      <c r="I216" s="4080">
        <v>0.51682063307465376</v>
      </c>
      <c r="K216" s="4342" t="s">
        <v>2601</v>
      </c>
      <c r="L216" s="4369">
        <v>530.53994868732809</v>
      </c>
      <c r="M216" s="4368">
        <v>336.04980441715134</v>
      </c>
      <c r="O216">
        <f t="shared" si="21"/>
        <v>889.81052631578962</v>
      </c>
    </row>
    <row r="217" spans="1:15" x14ac:dyDescent="0.2">
      <c r="A217" s="4077" t="s">
        <v>2596</v>
      </c>
      <c r="B217" t="str">
        <f>INDEX(list_region_country!$G$3:$V$3,,SUMPRODUCT(--(list_region_country!$G$3:$V$56=Elec!A217)*(COLUMN(list_region_country!$G$3:$V$56)-COLUMN(list_region_country!$F$3))))</f>
        <v>Northern Africa</v>
      </c>
      <c r="C217" s="4080">
        <v>0.16400000000000001</v>
      </c>
      <c r="D217" s="235">
        <v>2019</v>
      </c>
      <c r="E217" s="4080">
        <f t="shared" si="20"/>
        <v>0.16400000000000001</v>
      </c>
      <c r="F217" s="4080">
        <f t="shared" si="19"/>
        <v>0.73554631578947371</v>
      </c>
      <c r="G217" s="4080">
        <f t="shared" si="18"/>
        <v>0.39817196931350857</v>
      </c>
      <c r="H217" s="4080">
        <v>0.73554631578947371</v>
      </c>
      <c r="I217" s="4080">
        <v>0.39817196931350857</v>
      </c>
      <c r="K217" s="4342" t="s">
        <v>2603</v>
      </c>
      <c r="L217" s="4369">
        <v>450.49089591001541</v>
      </c>
      <c r="M217" s="4368">
        <v>350.71181490391206</v>
      </c>
      <c r="O217">
        <f t="shared" si="21"/>
        <v>401.73041920145641</v>
      </c>
    </row>
    <row r="218" spans="1:15" x14ac:dyDescent="0.2">
      <c r="A218" s="4077" t="s">
        <v>2598</v>
      </c>
      <c r="B218" t="str">
        <f>INDEX(list_region_country!$G$3:$V$3,,SUMPRODUCT(--(list_region_country!$G$3:$V$56=Elec!A218)*(COLUMN(list_region_country!$G$3:$V$56)-COLUMN(list_region_country!$F$3))))</f>
        <v>South America</v>
      </c>
      <c r="C218" s="4080" t="s">
        <v>3051</v>
      </c>
      <c r="D218" s="235" t="s">
        <v>3051</v>
      </c>
      <c r="E218" s="4080">
        <f t="shared" ca="1" si="20"/>
        <v>0.47627995662408912</v>
      </c>
      <c r="F218" s="4080">
        <f t="shared" si="19"/>
        <v>1.0286210526315791</v>
      </c>
      <c r="G218" s="4080">
        <f t="shared" si="18"/>
        <v>0.56488495903124569</v>
      </c>
      <c r="H218" s="4080">
        <v>1.0286210526315791</v>
      </c>
      <c r="I218" s="4080">
        <v>0.56488495903124569</v>
      </c>
      <c r="K218" s="4342" t="s">
        <v>2634</v>
      </c>
      <c r="L218" s="4369">
        <v>752.5333333333333</v>
      </c>
      <c r="M218" s="4368">
        <v>589.21329161003655</v>
      </c>
      <c r="O218">
        <f t="shared" si="21"/>
        <v>730.74549790714354</v>
      </c>
    </row>
    <row r="219" spans="1:15" x14ac:dyDescent="0.2">
      <c r="A219" s="4076" t="s">
        <v>2776</v>
      </c>
      <c r="B219" t="str">
        <f>INDEX(list_region_country!$G$3:$V$3,,SUMPRODUCT(--(list_region_country!$G$3:$V$56=Elec!A219)*(COLUMN(list_region_country!$G$3:$V$56)-COLUMN(list_region_country!$F$3))))</f>
        <v>Europe</v>
      </c>
      <c r="C219" s="4080" t="s">
        <v>3051</v>
      </c>
      <c r="D219" s="235" t="s">
        <v>3051</v>
      </c>
      <c r="E219" s="4080">
        <f t="shared" ca="1" si="20"/>
        <v>0.47807669886913667</v>
      </c>
      <c r="F219" s="4080">
        <f t="shared" si="19"/>
        <v>0</v>
      </c>
      <c r="G219" s="4080">
        <f t="shared" si="18"/>
        <v>0.2562322492034157</v>
      </c>
      <c r="H219" s="4080" t="s">
        <v>1824</v>
      </c>
      <c r="I219" s="4080" t="s">
        <v>1824</v>
      </c>
      <c r="K219" s="4342" t="s">
        <v>2734</v>
      </c>
      <c r="L219" s="4368">
        <v>859.25309119305632</v>
      </c>
      <c r="M219" s="4368">
        <v>596.76663590442013</v>
      </c>
      <c r="O219">
        <f t="shared" si="21"/>
        <v>718.83157894736848</v>
      </c>
    </row>
    <row r="220" spans="1:15" x14ac:dyDescent="0.2">
      <c r="A220" s="4076" t="s">
        <v>2777</v>
      </c>
      <c r="B220" t="str">
        <f>INDEX(list_region_country!$G$3:$V$3,,SUMPRODUCT(--(list_region_country!$G$3:$V$56=Elec!A220)*(COLUMN(list_region_country!$G$3:$V$56)-COLUMN(list_region_country!$F$3))))</f>
        <v>Europe</v>
      </c>
      <c r="C220" s="4080">
        <v>4.7569838496838046E-2</v>
      </c>
      <c r="D220" s="235">
        <v>2007</v>
      </c>
      <c r="E220" s="4080">
        <f t="shared" si="20"/>
        <v>4.7569838496838046E-2</v>
      </c>
      <c r="F220" s="4080">
        <f t="shared" si="19"/>
        <v>6.7970851175322644E-2</v>
      </c>
      <c r="G220" s="4080">
        <f t="shared" si="18"/>
        <v>2.5275304048983677E-2</v>
      </c>
      <c r="H220" s="4080">
        <v>6.7970851175322644E-2</v>
      </c>
      <c r="I220" s="4080">
        <v>2.5275304048983677E-2</v>
      </c>
      <c r="K220" s="4342" t="s">
        <v>2636</v>
      </c>
      <c r="L220" s="4369">
        <v>752.5333333333333</v>
      </c>
      <c r="M220" s="4368">
        <v>532.69841597072798</v>
      </c>
      <c r="O220">
        <f t="shared" si="21"/>
        <v>735.54631578947374</v>
      </c>
    </row>
    <row r="221" spans="1:15" x14ac:dyDescent="0.2">
      <c r="A221" s="4076" t="s">
        <v>2778</v>
      </c>
      <c r="B221" t="str">
        <f>INDEX(list_region_country!$G$3:$V$3,,SUMPRODUCT(--(list_region_country!$G$3:$V$56=Elec!A221)*(COLUMN(list_region_country!$G$3:$V$56)-COLUMN(list_region_country!$F$3))))</f>
        <v>Europe</v>
      </c>
      <c r="C221" s="4080">
        <v>2.2054023926016568E-2</v>
      </c>
      <c r="D221" s="235">
        <v>2007</v>
      </c>
      <c r="E221" s="4080">
        <f t="shared" si="20"/>
        <v>2.2054023926016568E-2</v>
      </c>
      <c r="F221" s="4080">
        <f t="shared" si="19"/>
        <v>4.8045690537286488E-2</v>
      </c>
      <c r="G221" s="4080">
        <f t="shared" si="18"/>
        <v>2.0173190933358426E-2</v>
      </c>
      <c r="H221" s="4080">
        <v>4.8045690537286488E-2</v>
      </c>
      <c r="I221" s="4080">
        <v>2.0173190933358426E-2</v>
      </c>
      <c r="K221" s="4342" t="s">
        <v>2672</v>
      </c>
      <c r="L221" s="4368">
        <v>559.28688693593676</v>
      </c>
      <c r="M221" s="4368">
        <v>369.74755991694974</v>
      </c>
      <c r="O221">
        <f t="shared" si="21"/>
        <v>1028.621052631579</v>
      </c>
    </row>
    <row r="222" spans="1:15" x14ac:dyDescent="0.2">
      <c r="A222" s="4077" t="s">
        <v>2695</v>
      </c>
      <c r="B222" t="str">
        <f>INDEX(list_region_country!$G$3:$V$3,,SUMPRODUCT(--(list_region_country!$G$3:$V$56=Elec!A222)*(COLUMN(list_region_country!$G$3:$V$56)-COLUMN(list_region_country!$F$3))))</f>
        <v>Western Asia</v>
      </c>
      <c r="C222" s="4080">
        <v>0.6553163250002747</v>
      </c>
      <c r="D222" s="235">
        <v>2007</v>
      </c>
      <c r="E222" s="4080">
        <f t="shared" si="20"/>
        <v>0.6553163250002747</v>
      </c>
      <c r="F222" s="4080">
        <f t="shared" si="19"/>
        <v>0.7125127527362779</v>
      </c>
      <c r="G222" s="4080">
        <f t="shared" si="18"/>
        <v>0.54647988627525934</v>
      </c>
      <c r="H222" s="4080">
        <v>0.7125127527362779</v>
      </c>
      <c r="I222" s="4080">
        <v>0.54647988627525934</v>
      </c>
      <c r="K222" s="4342" t="s">
        <v>2697</v>
      </c>
      <c r="L222" s="4369">
        <v>467.73213005134238</v>
      </c>
      <c r="M222" s="4368">
        <v>347.80278400693936</v>
      </c>
      <c r="O222" t="e">
        <f t="shared" si="21"/>
        <v>#N/A</v>
      </c>
    </row>
    <row r="223" spans="1:15" x14ac:dyDescent="0.2">
      <c r="A223" s="4077" t="s">
        <v>2696</v>
      </c>
      <c r="B223" t="str">
        <f>INDEX(list_region_country!$G$3:$V$3,,SUMPRODUCT(--(list_region_country!$G$3:$V$56=Elec!A223)*(COLUMN(list_region_country!$G$3:$V$56)-COLUMN(list_region_country!$F$3))))</f>
        <v>Central Asia</v>
      </c>
      <c r="C223" s="4080">
        <v>3.7998239394296897E-2</v>
      </c>
      <c r="D223" s="235">
        <v>2007</v>
      </c>
      <c r="E223" s="4080">
        <f t="shared" si="20"/>
        <v>3.7998239394296897E-2</v>
      </c>
      <c r="F223" s="4080">
        <f t="shared" si="19"/>
        <v>0.25535106382978728</v>
      </c>
      <c r="G223" s="4080">
        <f t="shared" si="18"/>
        <v>0.10572642103426015</v>
      </c>
      <c r="H223" s="4080">
        <v>0.25535106382978728</v>
      </c>
      <c r="I223" s="4080">
        <v>0.10572642103426015</v>
      </c>
      <c r="K223" s="4342" t="s">
        <v>2698</v>
      </c>
      <c r="L223" s="4369">
        <v>376.20850365060193</v>
      </c>
      <c r="M223" s="4368">
        <v>308.80892108595197</v>
      </c>
      <c r="O223">
        <f t="shared" si="21"/>
        <v>67.97085117532265</v>
      </c>
    </row>
    <row r="224" spans="1:15" x14ac:dyDescent="0.2">
      <c r="A224" s="4077" t="s">
        <v>2603</v>
      </c>
      <c r="B224" t="str">
        <f>INDEX(list_region_country!$G$3:$V$3,,SUMPRODUCT(--(list_region_country!$G$3:$V$56=Elec!A224)*(COLUMN(list_region_country!$G$3:$V$56)-COLUMN(list_region_country!$F$3))))</f>
        <v>South-eastern Asia</v>
      </c>
      <c r="C224" s="4080">
        <v>0.56899999999999995</v>
      </c>
      <c r="D224" s="235">
        <v>2019</v>
      </c>
      <c r="E224" s="4080">
        <f t="shared" si="20"/>
        <v>0.56899999999999995</v>
      </c>
      <c r="F224" s="4080">
        <f t="shared" si="19"/>
        <v>0.4504908959100154</v>
      </c>
      <c r="G224" s="4080">
        <f t="shared" si="18"/>
        <v>0.35071181490391207</v>
      </c>
      <c r="H224" s="4080">
        <v>0.4504908959100154</v>
      </c>
      <c r="I224" s="4080">
        <v>0.35071181490391207</v>
      </c>
      <c r="K224" s="4342" t="s">
        <v>2699</v>
      </c>
      <c r="L224" s="4369">
        <v>927.29166666666674</v>
      </c>
      <c r="M224" s="4368">
        <v>675.6267242516152</v>
      </c>
      <c r="O224">
        <f t="shared" si="21"/>
        <v>48.04569053728649</v>
      </c>
    </row>
    <row r="225" spans="1:15" x14ac:dyDescent="0.2">
      <c r="A225" s="4077" t="s">
        <v>2634</v>
      </c>
      <c r="B225" t="str">
        <f>INDEX(list_region_country!$G$3:$V$3,,SUMPRODUCT(--(list_region_country!$G$3:$V$56=Elec!A225)*(COLUMN(list_region_country!$G$3:$V$56)-COLUMN(list_region_country!$F$3))))</f>
        <v>South-eastern Asia</v>
      </c>
      <c r="C225" s="4080" t="s">
        <v>3051</v>
      </c>
      <c r="D225" s="235" t="s">
        <v>3051</v>
      </c>
      <c r="E225" s="4080">
        <f t="shared" ca="1" si="20"/>
        <v>0.60774258193299091</v>
      </c>
      <c r="F225" s="4080">
        <f t="shared" si="19"/>
        <v>0.75253333333333328</v>
      </c>
      <c r="G225" s="4080">
        <f t="shared" si="18"/>
        <v>0.58921329161003655</v>
      </c>
      <c r="H225" s="4080">
        <v>0.75253333333333328</v>
      </c>
      <c r="I225" s="4080">
        <v>0.58921329161003655</v>
      </c>
      <c r="K225" s="4342" t="s">
        <v>2673</v>
      </c>
      <c r="L225" s="4369">
        <v>752.5333333333333</v>
      </c>
      <c r="M225" s="4368">
        <v>450.59347279180747</v>
      </c>
      <c r="O225">
        <f t="shared" si="21"/>
        <v>712.51275273627789</v>
      </c>
    </row>
    <row r="226" spans="1:15" x14ac:dyDescent="0.2">
      <c r="A226" s="4077" t="s">
        <v>2734</v>
      </c>
      <c r="B226" t="str">
        <f>INDEX(list_region_country!$G$3:$V$3,,SUMPRODUCT(--(list_region_country!$G$3:$V$56=Elec!A226)*(COLUMN(list_region_country!$G$3:$V$56)-COLUMN(list_region_country!$F$3))))</f>
        <v>Western Africa</v>
      </c>
      <c r="C226" s="4080">
        <v>0.56299999999999994</v>
      </c>
      <c r="D226" s="235">
        <v>2019</v>
      </c>
      <c r="E226" s="4080">
        <f t="shared" si="20"/>
        <v>0.56299999999999994</v>
      </c>
      <c r="F226" s="4080">
        <f t="shared" si="19"/>
        <v>0.85925309119305637</v>
      </c>
      <c r="G226" s="4080">
        <f t="shared" si="18"/>
        <v>0.59676663590442014</v>
      </c>
      <c r="H226" s="4080">
        <v>0.85925309119305637</v>
      </c>
      <c r="I226" s="4080">
        <v>0.59676663590442014</v>
      </c>
      <c r="K226" s="4342" t="s">
        <v>2637</v>
      </c>
      <c r="L226" s="4368">
        <v>752.5333333333333</v>
      </c>
      <c r="M226" s="4368">
        <v>496.51779142534491</v>
      </c>
      <c r="O226">
        <f t="shared" si="21"/>
        <v>255.35106382978731</v>
      </c>
    </row>
    <row r="227" spans="1:15" x14ac:dyDescent="0.2">
      <c r="A227" s="4076" t="s">
        <v>2635</v>
      </c>
      <c r="B227" t="str">
        <f>INDEX(list_region_country!$G$3:$V$3,,SUMPRODUCT(--(list_region_country!$G$3:$V$56=Elec!A227)*(COLUMN(list_region_country!$G$3:$V$56)-COLUMN(list_region_country!$F$3))))</f>
        <v>Oceania</v>
      </c>
      <c r="C227" s="4080" t="s">
        <v>3051</v>
      </c>
      <c r="D227" s="235" t="s">
        <v>3051</v>
      </c>
      <c r="E227" s="4080">
        <f t="shared" ca="1" si="20"/>
        <v>0.58971601656224637</v>
      </c>
      <c r="F227" s="4080">
        <f t="shared" si="19"/>
        <v>0</v>
      </c>
      <c r="G227" s="4080">
        <f t="shared" si="18"/>
        <v>0.45102672411684841</v>
      </c>
      <c r="H227" s="4080" t="s">
        <v>1824</v>
      </c>
      <c r="I227" s="4080" t="s">
        <v>1824</v>
      </c>
      <c r="K227" s="4342" t="s">
        <v>2735</v>
      </c>
      <c r="L227" s="4368">
        <v>279.00157894736839</v>
      </c>
      <c r="M227" s="4368">
        <v>115.85259002861456</v>
      </c>
      <c r="O227">
        <f t="shared" si="21"/>
        <v>450.49089591001541</v>
      </c>
    </row>
    <row r="228" spans="1:15" x14ac:dyDescent="0.2">
      <c r="A228" s="4076" t="s">
        <v>2636</v>
      </c>
      <c r="B228" t="str">
        <f>INDEX(list_region_country!$G$3:$V$3,,SUMPRODUCT(--(list_region_country!$G$3:$V$56=Elec!A228)*(COLUMN(list_region_country!$G$3:$V$56)-COLUMN(list_region_country!$F$3))))</f>
        <v>Oceania</v>
      </c>
      <c r="C228" s="4080" t="s">
        <v>3051</v>
      </c>
      <c r="D228" s="235" t="s">
        <v>3051</v>
      </c>
      <c r="E228" s="4080">
        <f t="shared" ca="1" si="20"/>
        <v>0.58971601656224637</v>
      </c>
      <c r="F228" s="4080">
        <f t="shared" si="19"/>
        <v>0.75253333333333328</v>
      </c>
      <c r="G228" s="4080">
        <f t="shared" si="18"/>
        <v>0.53269841597072798</v>
      </c>
      <c r="H228" s="4080">
        <v>0.75253333333333328</v>
      </c>
      <c r="I228" s="4080">
        <v>0.53269841597072798</v>
      </c>
      <c r="K228" s="4342" t="s">
        <v>2650</v>
      </c>
      <c r="L228" s="4368">
        <v>768.26104335145533</v>
      </c>
      <c r="M228" s="4368">
        <v>434.67951906483529</v>
      </c>
      <c r="O228">
        <f t="shared" si="21"/>
        <v>752.5333333333333</v>
      </c>
    </row>
    <row r="229" spans="1:15" x14ac:dyDescent="0.2">
      <c r="A229" s="4077" t="s">
        <v>2672</v>
      </c>
      <c r="B229" t="str">
        <f>INDEX(list_region_country!$G$3:$V$3,,SUMPRODUCT(--(list_region_country!$G$3:$V$56=Elec!A229)*(COLUMN(list_region_country!$G$3:$V$56)-COLUMN(list_region_country!$F$3))))</f>
        <v>Caribbean</v>
      </c>
      <c r="C229" s="4080">
        <v>0.75140999546559872</v>
      </c>
      <c r="D229" s="235">
        <v>2007</v>
      </c>
      <c r="E229" s="4080">
        <f t="shared" si="20"/>
        <v>0.75140999546559872</v>
      </c>
      <c r="F229" s="4080">
        <f t="shared" si="19"/>
        <v>0.55928688693593676</v>
      </c>
      <c r="G229" s="4080">
        <f t="shared" si="18"/>
        <v>0.36974755991694974</v>
      </c>
      <c r="H229" s="4080">
        <v>0.55928688693593676</v>
      </c>
      <c r="I229" s="4080">
        <v>0.36974755991694974</v>
      </c>
      <c r="K229" s="4342" t="s">
        <v>2700</v>
      </c>
      <c r="L229" s="4369">
        <v>556.48201924016155</v>
      </c>
      <c r="M229" s="4368">
        <v>310.40054313432529</v>
      </c>
      <c r="O229">
        <f t="shared" si="21"/>
        <v>859.25309119305632</v>
      </c>
    </row>
    <row r="230" spans="1:15" ht="24" x14ac:dyDescent="0.2">
      <c r="A230" s="4077" t="s">
        <v>2697</v>
      </c>
      <c r="B230" t="str">
        <f>INDEX(list_region_country!$G$3:$V$3,,SUMPRODUCT(--(list_region_country!$G$3:$V$56=Elec!A230)*(COLUMN(list_region_country!$G$3:$V$56)-COLUMN(list_region_country!$F$3))))</f>
        <v>Northern Africa</v>
      </c>
      <c r="C230" s="4080">
        <v>0.55400000000000005</v>
      </c>
      <c r="D230" s="235">
        <v>2019</v>
      </c>
      <c r="E230" s="4080">
        <f t="shared" si="20"/>
        <v>0.55400000000000005</v>
      </c>
      <c r="F230" s="4080">
        <f t="shared" si="19"/>
        <v>0.4677321300513424</v>
      </c>
      <c r="G230" s="4080">
        <f t="shared" si="18"/>
        <v>0.34780278400693937</v>
      </c>
      <c r="H230" s="4080">
        <v>0.4677321300513424</v>
      </c>
      <c r="I230" s="4080">
        <v>0.34780278400693937</v>
      </c>
      <c r="K230" s="4342" t="s">
        <v>2779</v>
      </c>
      <c r="L230" s="4369">
        <v>380.37122403282041</v>
      </c>
      <c r="M230" s="4368">
        <v>186.50451763901555</v>
      </c>
      <c r="O230" t="e">
        <f t="shared" si="21"/>
        <v>#N/A</v>
      </c>
    </row>
    <row r="231" spans="1:15" x14ac:dyDescent="0.2">
      <c r="A231" s="4077" t="s">
        <v>2698</v>
      </c>
      <c r="B231" t="str">
        <f>INDEX(list_region_country!$G$3:$V$3,,SUMPRODUCT(--(list_region_country!$G$3:$V$56=Elec!A231)*(COLUMN(list_region_country!$G$3:$V$56)-COLUMN(list_region_country!$F$3))))</f>
        <v>Western Asia</v>
      </c>
      <c r="C231" s="4080">
        <v>0.58386734337144053</v>
      </c>
      <c r="D231" s="235">
        <v>2007</v>
      </c>
      <c r="E231" s="4080">
        <f t="shared" si="20"/>
        <v>0.58386734337144053</v>
      </c>
      <c r="F231" s="4080">
        <f t="shared" si="19"/>
        <v>0.37620850365060193</v>
      </c>
      <c r="G231" s="4080">
        <f t="shared" si="18"/>
        <v>0.30880892108595198</v>
      </c>
      <c r="H231" s="4080">
        <v>0.37620850365060193</v>
      </c>
      <c r="I231" s="4080">
        <v>0.30880892108595198</v>
      </c>
      <c r="K231" s="4342" t="s">
        <v>2707</v>
      </c>
      <c r="L231" s="4369">
        <v>416.4283665521271</v>
      </c>
      <c r="M231" s="4368">
        <v>219.61613884518965</v>
      </c>
      <c r="O231">
        <f t="shared" si="21"/>
        <v>752.5333333333333</v>
      </c>
    </row>
    <row r="232" spans="1:15" x14ac:dyDescent="0.2">
      <c r="A232" s="4077" t="s">
        <v>2699</v>
      </c>
      <c r="B232" t="str">
        <f>INDEX(list_region_country!$G$3:$V$3,,SUMPRODUCT(--(list_region_country!$G$3:$V$56=Elec!A232)*(COLUMN(list_region_country!$G$3:$V$56)-COLUMN(list_region_country!$F$3))))</f>
        <v>Central Asia</v>
      </c>
      <c r="C232" s="4080">
        <v>0.85774146424715236</v>
      </c>
      <c r="D232" s="235">
        <v>2007</v>
      </c>
      <c r="E232" s="4080">
        <f t="shared" ref="E232:E252" si="22">IF(C232="",AVERAGEIF($B$5:$C$252,B232,$C$5:$C$252),C232)</f>
        <v>0.85774146424715236</v>
      </c>
      <c r="F232" s="4080">
        <f t="shared" si="19"/>
        <v>0.92729166666666674</v>
      </c>
      <c r="G232" s="4080">
        <f t="shared" si="18"/>
        <v>0.67562672425161518</v>
      </c>
      <c r="H232" s="4080">
        <v>0.92729166666666674</v>
      </c>
      <c r="I232" s="4080">
        <v>0.67562672425161518</v>
      </c>
      <c r="K232" s="4342" t="s">
        <v>2675</v>
      </c>
      <c r="L232" s="4369">
        <v>173.95837727191261</v>
      </c>
      <c r="M232" s="4368">
        <v>64.828543846259706</v>
      </c>
      <c r="O232">
        <f t="shared" si="21"/>
        <v>559.28688693593676</v>
      </c>
    </row>
    <row r="233" spans="1:15" x14ac:dyDescent="0.2">
      <c r="A233" s="4077" t="s">
        <v>2673</v>
      </c>
      <c r="B233" t="str">
        <f>INDEX(list_region_country!$G$3:$V$3,,SUMPRODUCT(--(list_region_country!$G$3:$V$56=Elec!A233)*(COLUMN(list_region_country!$G$3:$V$56)-COLUMN(list_region_country!$F$3))))</f>
        <v>Caribbean</v>
      </c>
      <c r="C233" s="4080" t="s">
        <v>3051</v>
      </c>
      <c r="D233" s="235" t="s">
        <v>3051</v>
      </c>
      <c r="E233" s="4080">
        <f t="shared" ca="1" si="22"/>
        <v>0.65968875404607097</v>
      </c>
      <c r="F233" s="4080">
        <f t="shared" si="19"/>
        <v>0.75253333333333328</v>
      </c>
      <c r="G233" s="4080">
        <f t="shared" si="18"/>
        <v>0.45059347279180745</v>
      </c>
      <c r="H233" s="4080">
        <v>0.75253333333333328</v>
      </c>
      <c r="I233" s="4080">
        <v>0.45059347279180745</v>
      </c>
      <c r="K233" s="4342" t="s">
        <v>2701</v>
      </c>
      <c r="L233" s="4369">
        <v>612.28332712322947</v>
      </c>
      <c r="M233" s="4368">
        <v>467.37279085958721</v>
      </c>
      <c r="O233">
        <f t="shared" si="21"/>
        <v>467.73213005134238</v>
      </c>
    </row>
    <row r="234" spans="1:15" x14ac:dyDescent="0.2">
      <c r="A234" s="4076" t="s">
        <v>2637</v>
      </c>
      <c r="B234" t="str">
        <f>INDEX(list_region_country!$G$3:$V$3,,SUMPRODUCT(--(list_region_country!$G$3:$V$56=Elec!A234)*(COLUMN(list_region_country!$G$3:$V$56)-COLUMN(list_region_country!$F$3))))</f>
        <v>Oceania</v>
      </c>
      <c r="C234" s="4080" t="s">
        <v>3051</v>
      </c>
      <c r="D234" s="235" t="s">
        <v>3051</v>
      </c>
      <c r="E234" s="4080">
        <f t="shared" ca="1" si="22"/>
        <v>0.58971601656224637</v>
      </c>
      <c r="F234" s="4080">
        <f t="shared" si="19"/>
        <v>0.75253333333333328</v>
      </c>
      <c r="G234" s="4080">
        <f t="shared" si="18"/>
        <v>0.49651779142534491</v>
      </c>
      <c r="H234" s="4080">
        <v>0.75253333333333328</v>
      </c>
      <c r="I234" s="4080">
        <v>0.49651779142534491</v>
      </c>
      <c r="K234" s="4342" t="s">
        <v>2639</v>
      </c>
      <c r="L234" s="4369">
        <v>752.5333333333333</v>
      </c>
      <c r="M234" s="4368">
        <v>504.18072672613846</v>
      </c>
      <c r="O234">
        <f t="shared" si="21"/>
        <v>376.20850365060193</v>
      </c>
    </row>
    <row r="235" spans="1:15" x14ac:dyDescent="0.2">
      <c r="A235" s="4076" t="s">
        <v>2735</v>
      </c>
      <c r="B235" t="str">
        <f>INDEX(list_region_country!$G$3:$V$3,,SUMPRODUCT(--(list_region_country!$G$3:$V$56=Elec!A235)*(COLUMN(list_region_country!$G$3:$V$56)-COLUMN(list_region_country!$F$3))))</f>
        <v>Eastern Africa</v>
      </c>
      <c r="C235" s="4080">
        <v>0.58199999999999996</v>
      </c>
      <c r="D235" s="235">
        <v>2019</v>
      </c>
      <c r="E235" s="4080">
        <f t="shared" si="22"/>
        <v>0.58199999999999996</v>
      </c>
      <c r="F235" s="4080">
        <f t="shared" si="19"/>
        <v>0.27900157894736838</v>
      </c>
      <c r="G235" s="4080">
        <f t="shared" si="18"/>
        <v>0.11585259002861456</v>
      </c>
      <c r="H235" s="4080">
        <v>0.27900157894736838</v>
      </c>
      <c r="I235" s="4080">
        <v>0.11585259002861456</v>
      </c>
      <c r="K235" s="4342" t="s">
        <v>2676</v>
      </c>
      <c r="L235" s="4368">
        <v>710.92039129200293</v>
      </c>
      <c r="M235" s="4368">
        <v>367.75218932752193</v>
      </c>
      <c r="O235">
        <f t="shared" ref="O235:O254" si="23">VLOOKUP(A232, $K$8:$M$241, 2, FALSE)</f>
        <v>927.29166666666674</v>
      </c>
    </row>
    <row r="236" spans="1:15" x14ac:dyDescent="0.2">
      <c r="A236" s="4076" t="s">
        <v>2650</v>
      </c>
      <c r="B236" t="str">
        <f>INDEX(list_region_country!$G$3:$V$3,,SUMPRODUCT(--(list_region_country!$G$3:$V$56=Elec!A236)*(COLUMN(list_region_country!$G$3:$V$56)-COLUMN(list_region_country!$F$3))))</f>
        <v>Europe</v>
      </c>
      <c r="C236" s="4080">
        <v>0.34461067139470242</v>
      </c>
      <c r="D236" s="235">
        <v>2007</v>
      </c>
      <c r="E236" s="4080">
        <f t="shared" si="22"/>
        <v>0.34461067139470242</v>
      </c>
      <c r="F236" s="4080">
        <f t="shared" si="19"/>
        <v>0.76826104335145529</v>
      </c>
      <c r="G236" s="4080">
        <f t="shared" si="18"/>
        <v>0.43467951906483526</v>
      </c>
      <c r="H236" s="4080">
        <v>0.76826104335145529</v>
      </c>
      <c r="I236" s="4080">
        <v>0.43467951906483526</v>
      </c>
      <c r="K236" s="4342" t="s">
        <v>2640</v>
      </c>
      <c r="L236" s="4369">
        <v>560.4410611676584</v>
      </c>
      <c r="M236" s="4368">
        <v>380.80799846500122</v>
      </c>
      <c r="O236">
        <f t="shared" si="23"/>
        <v>752.5333333333333</v>
      </c>
    </row>
    <row r="237" spans="1:15" x14ac:dyDescent="0.2">
      <c r="A237" s="4077" t="s">
        <v>2700</v>
      </c>
      <c r="B237" t="str">
        <f>INDEX(list_region_country!$G$3:$V$3,,SUMPRODUCT(--(list_region_country!$G$3:$V$56=Elec!A237)*(COLUMN(list_region_country!$G$3:$V$56)-COLUMN(list_region_country!$F$3))))</f>
        <v>Western Asia</v>
      </c>
      <c r="C237" s="4080">
        <v>0.67600000000000005</v>
      </c>
      <c r="D237" s="235">
        <v>2019</v>
      </c>
      <c r="E237" s="4080">
        <f t="shared" si="22"/>
        <v>0.67600000000000005</v>
      </c>
      <c r="F237" s="4080">
        <f t="shared" si="19"/>
        <v>0.5564820192401615</v>
      </c>
      <c r="G237" s="4080">
        <f t="shared" si="18"/>
        <v>0.3104005431343253</v>
      </c>
      <c r="H237" s="4080">
        <v>0.5564820192401615</v>
      </c>
      <c r="I237" s="4080">
        <v>0.3104005431343253</v>
      </c>
      <c r="K237" s="4342" t="s">
        <v>2674</v>
      </c>
      <c r="L237" s="4369">
        <v>650.30572390572388</v>
      </c>
      <c r="M237" s="4368">
        <v>373.01492578103989</v>
      </c>
      <c r="O237">
        <f t="shared" si="23"/>
        <v>752.5333333333333</v>
      </c>
    </row>
    <row r="238" spans="1:15" ht="29" x14ac:dyDescent="0.2">
      <c r="A238" s="4076" t="s">
        <v>2779</v>
      </c>
      <c r="B238" t="str">
        <f>INDEX(list_region_country!$G$3:$V$3,,SUMPRODUCT(--(list_region_country!$G$3:$V$56=Elec!A238)*(COLUMN(list_region_country!$G$3:$V$56)-COLUMN(list_region_country!$F$3))))</f>
        <v>Europe</v>
      </c>
      <c r="C238" s="4080">
        <v>0.47506613499757161</v>
      </c>
      <c r="D238" s="235">
        <v>2007</v>
      </c>
      <c r="E238" s="4080">
        <f t="shared" si="22"/>
        <v>0.47506613499757161</v>
      </c>
      <c r="F238" s="4080">
        <f t="shared" si="19"/>
        <v>0.38037122403282042</v>
      </c>
      <c r="G238" s="4080">
        <f t="shared" si="18"/>
        <v>0.18650451763901554</v>
      </c>
      <c r="H238" s="4080">
        <v>0.38037122403282042</v>
      </c>
      <c r="I238" s="4080">
        <v>0.18650451763901554</v>
      </c>
      <c r="K238" s="4342" t="s">
        <v>2703</v>
      </c>
      <c r="L238" s="4368">
        <v>807.29319375841658</v>
      </c>
      <c r="M238" s="4368">
        <v>614.56213289092454</v>
      </c>
      <c r="O238">
        <f t="shared" si="23"/>
        <v>279.00157894736839</v>
      </c>
    </row>
    <row r="239" spans="1:15" x14ac:dyDescent="0.2">
      <c r="A239" s="4076" t="s">
        <v>2601</v>
      </c>
      <c r="B239" t="str">
        <f>INDEX(list_region_country!$G$3:$V$3,,SUMPRODUCT(--(list_region_country!$G$3:$V$56=Elec!A239)*(COLUMN(list_region_country!$G$3:$V$56)-COLUMN(list_region_country!$F$3))))</f>
        <v>Eastern Africa</v>
      </c>
      <c r="C239" s="4080">
        <v>0.59199999999999997</v>
      </c>
      <c r="D239" s="235">
        <v>2019</v>
      </c>
      <c r="E239" s="4080">
        <f t="shared" si="22"/>
        <v>0.59199999999999997</v>
      </c>
      <c r="F239" s="4080">
        <f t="shared" si="19"/>
        <v>0.53053994868732812</v>
      </c>
      <c r="G239" s="4080">
        <f t="shared" si="18"/>
        <v>0.33604980441715132</v>
      </c>
      <c r="H239" s="4080">
        <v>0.53053994868732812</v>
      </c>
      <c r="I239" s="4080">
        <v>0.33604980441715132</v>
      </c>
      <c r="K239" s="4342" t="s">
        <v>2736</v>
      </c>
      <c r="L239" s="4368">
        <v>416.40860304340589</v>
      </c>
      <c r="M239" s="4368">
        <v>196.99130651213528</v>
      </c>
      <c r="O239">
        <f t="shared" si="23"/>
        <v>768.26104335145533</v>
      </c>
    </row>
    <row r="240" spans="1:15" x14ac:dyDescent="0.2">
      <c r="A240" s="4076" t="s">
        <v>2638</v>
      </c>
      <c r="B240" t="str">
        <f>INDEX(list_region_country!$G$3:$V$3,,SUMPRODUCT(--(list_region_country!$G$3:$V$56=Elec!A240)*(COLUMN(list_region_country!$G$3:$V$56)-COLUMN(list_region_country!$F$3))))</f>
        <v>Oceania</v>
      </c>
      <c r="C240" s="4080" t="s">
        <v>3051</v>
      </c>
      <c r="D240" s="235" t="s">
        <v>3051</v>
      </c>
      <c r="E240" s="4080">
        <f t="shared" ca="1" si="22"/>
        <v>0.58971601656224637</v>
      </c>
      <c r="F240" s="4080">
        <f t="shared" si="19"/>
        <v>0</v>
      </c>
      <c r="G240" s="4080">
        <f t="shared" si="18"/>
        <v>0.45102672411684841</v>
      </c>
      <c r="H240" s="4080" t="s">
        <v>1824</v>
      </c>
      <c r="I240" s="4080" t="s">
        <v>1824</v>
      </c>
      <c r="K240" s="4342" t="s">
        <v>2737</v>
      </c>
      <c r="L240" s="4369">
        <v>1575.3007845098518</v>
      </c>
      <c r="M240" s="4368">
        <v>880.25359635548079</v>
      </c>
      <c r="O240">
        <f t="shared" si="23"/>
        <v>556.48201924016155</v>
      </c>
    </row>
    <row r="241" spans="1:15" ht="24" x14ac:dyDescent="0.2">
      <c r="A241" s="4077" t="s">
        <v>2707</v>
      </c>
      <c r="B241" t="str">
        <f>INDEX(list_region_country!$G$3:$V$3,,SUMPRODUCT(--(list_region_country!$G$3:$V$56=Elec!A241)*(COLUMN(list_region_country!$G$3:$V$56)-COLUMN(list_region_country!$F$3))))</f>
        <v>North America</v>
      </c>
      <c r="C241" s="4080">
        <v>0.67600000000000005</v>
      </c>
      <c r="D241" s="235">
        <v>2007</v>
      </c>
      <c r="E241" s="4080">
        <f t="shared" si="22"/>
        <v>0.67600000000000005</v>
      </c>
      <c r="F241" s="4080">
        <f t="shared" si="19"/>
        <v>0.41642836655212712</v>
      </c>
      <c r="G241" s="4080">
        <f t="shared" si="18"/>
        <v>0.21961613884518966</v>
      </c>
      <c r="H241" s="4080">
        <v>0.41642836655212712</v>
      </c>
      <c r="I241" s="4080">
        <v>0.21961613884518966</v>
      </c>
      <c r="K241" s="4374" t="s">
        <v>2615</v>
      </c>
      <c r="L241" s="4369">
        <v>898.90636354677292</v>
      </c>
      <c r="M241" s="4368">
        <v>547.46269859913696</v>
      </c>
      <c r="O241">
        <f t="shared" si="23"/>
        <v>380.37122403282041</v>
      </c>
    </row>
    <row r="242" spans="1:15" x14ac:dyDescent="0.2">
      <c r="A242" s="4077" t="s">
        <v>2674</v>
      </c>
      <c r="B242" t="str">
        <f>INDEX(list_region_country!$G$3:$V$3,,SUMPRODUCT(--(list_region_country!$G$3:$V$56=Elec!A242)*(COLUMN(list_region_country!$G$3:$V$56)-COLUMN(list_region_country!$F$3))))</f>
        <v>Caribbean</v>
      </c>
      <c r="C242" s="4080" t="s">
        <v>3051</v>
      </c>
      <c r="D242" s="235" t="s">
        <v>3051</v>
      </c>
      <c r="E242" s="4080">
        <f t="shared" ca="1" si="22"/>
        <v>0.65968875404607097</v>
      </c>
      <c r="F242" s="4080">
        <f t="shared" si="19"/>
        <v>0.65030572390572383</v>
      </c>
      <c r="G242" s="4080">
        <f t="shared" si="18"/>
        <v>0.3730149257810399</v>
      </c>
      <c r="H242" s="4080">
        <v>0.65030572390572383</v>
      </c>
      <c r="I242" s="4080">
        <v>0.3730149257810399</v>
      </c>
      <c r="O242">
        <f t="shared" si="23"/>
        <v>530.53994868732809</v>
      </c>
    </row>
    <row r="243" spans="1:15" x14ac:dyDescent="0.2">
      <c r="A243" s="4077" t="s">
        <v>2675</v>
      </c>
      <c r="B243" t="str">
        <f>INDEX(list_region_country!$G$3:$V$3,,SUMPRODUCT(--(list_region_country!$G$3:$V$56=Elec!A243)*(COLUMN(list_region_country!$G$3:$V$56)-COLUMN(list_region_country!$F$3))))</f>
        <v>South America</v>
      </c>
      <c r="C243" s="4080">
        <v>0.57399999999999995</v>
      </c>
      <c r="D243" s="235">
        <v>2019</v>
      </c>
      <c r="E243" s="4080">
        <f t="shared" si="22"/>
        <v>0.57399999999999995</v>
      </c>
      <c r="F243" s="4080">
        <f t="shared" si="19"/>
        <v>0.1739583772719126</v>
      </c>
      <c r="G243" s="4080">
        <f t="shared" si="18"/>
        <v>6.4828543846259704E-2</v>
      </c>
      <c r="H243" s="4080">
        <v>0.1739583772719126</v>
      </c>
      <c r="I243" s="4080">
        <v>6.4828543846259704E-2</v>
      </c>
      <c r="O243" t="e">
        <f t="shared" si="23"/>
        <v>#N/A</v>
      </c>
    </row>
    <row r="244" spans="1:15" x14ac:dyDescent="0.2">
      <c r="A244" s="4077" t="s">
        <v>2701</v>
      </c>
      <c r="B244" t="str">
        <f>INDEX(list_region_country!$G$3:$V$3,,SUMPRODUCT(--(list_region_country!$G$3:$V$56=Elec!A244)*(COLUMN(list_region_country!$G$3:$V$56)-COLUMN(list_region_country!$F$3))))</f>
        <v>Central Asia</v>
      </c>
      <c r="C244" s="4080">
        <v>0.58499999999999996</v>
      </c>
      <c r="D244" s="235">
        <v>2019</v>
      </c>
      <c r="E244" s="4080">
        <f t="shared" si="22"/>
        <v>0.58499999999999996</v>
      </c>
      <c r="F244" s="4080">
        <f t="shared" si="19"/>
        <v>0.61228332712322942</v>
      </c>
      <c r="G244" s="4080">
        <f t="shared" si="18"/>
        <v>0.46737279085958722</v>
      </c>
      <c r="H244" s="4080">
        <v>0.61228332712322942</v>
      </c>
      <c r="I244" s="4080">
        <v>0.46737279085958722</v>
      </c>
      <c r="O244">
        <f t="shared" si="23"/>
        <v>416.4283665521271</v>
      </c>
    </row>
    <row r="245" spans="1:15" x14ac:dyDescent="0.2">
      <c r="A245" s="4076" t="s">
        <v>2639</v>
      </c>
      <c r="B245" t="str">
        <f>INDEX(list_region_country!$G$3:$V$3,,SUMPRODUCT(--(list_region_country!$G$3:$V$56=Elec!A245)*(COLUMN(list_region_country!$G$3:$V$56)-COLUMN(list_region_country!$F$3))))</f>
        <v>Oceania</v>
      </c>
      <c r="C245" s="4080" t="s">
        <v>3051</v>
      </c>
      <c r="D245" s="235" t="s">
        <v>3051</v>
      </c>
      <c r="E245" s="4080">
        <f t="shared" ca="1" si="22"/>
        <v>0.58971601656224637</v>
      </c>
      <c r="F245" s="4080">
        <f t="shared" si="19"/>
        <v>0.75253333333333328</v>
      </c>
      <c r="G245" s="4080">
        <f t="shared" si="18"/>
        <v>0.50418072672613845</v>
      </c>
      <c r="H245" s="4080">
        <v>0.75253333333333328</v>
      </c>
      <c r="I245" s="4080">
        <v>0.50418072672613845</v>
      </c>
      <c r="O245">
        <f t="shared" si="23"/>
        <v>650.30572390572388</v>
      </c>
    </row>
    <row r="246" spans="1:15" x14ac:dyDescent="0.2">
      <c r="A246" s="4077" t="s">
        <v>2676</v>
      </c>
      <c r="B246" t="str">
        <f>INDEX(list_region_country!$G$3:$V$3,,SUMPRODUCT(--(list_region_country!$G$3:$V$56=Elec!A246)*(COLUMN(list_region_country!$G$3:$V$56)-COLUMN(list_region_country!$F$3))))</f>
        <v>South America</v>
      </c>
      <c r="C246" s="4080">
        <v>0.2509683141094271</v>
      </c>
      <c r="D246" s="235">
        <v>2007</v>
      </c>
      <c r="E246" s="4080">
        <f t="shared" si="22"/>
        <v>0.2509683141094271</v>
      </c>
      <c r="F246" s="4080">
        <f t="shared" si="19"/>
        <v>0.71092039129200291</v>
      </c>
      <c r="G246" s="4080">
        <f t="shared" si="18"/>
        <v>0.36775218932752191</v>
      </c>
      <c r="H246" s="4080">
        <v>0.71092039129200291</v>
      </c>
      <c r="I246" s="4080">
        <v>0.36775218932752191</v>
      </c>
      <c r="O246">
        <f t="shared" si="23"/>
        <v>173.95837727191261</v>
      </c>
    </row>
    <row r="247" spans="1:15" x14ac:dyDescent="0.2">
      <c r="A247" s="4077" t="s">
        <v>2640</v>
      </c>
      <c r="B247" t="str">
        <f>INDEX(list_region_country!$G$3:$V$3,,SUMPRODUCT(--(list_region_country!$G$3:$V$56=Elec!A247)*(COLUMN(list_region_country!$G$3:$V$56)-COLUMN(list_region_country!$F$3))))</f>
        <v>South-eastern Asia</v>
      </c>
      <c r="C247" s="4080">
        <v>0.57199999999999995</v>
      </c>
      <c r="D247" s="235">
        <v>2019</v>
      </c>
      <c r="E247" s="4080">
        <f t="shared" si="22"/>
        <v>0.57199999999999995</v>
      </c>
      <c r="F247" s="4080">
        <f t="shared" si="19"/>
        <v>0.56044106116765835</v>
      </c>
      <c r="G247" s="4080">
        <f t="shared" si="18"/>
        <v>0.38080799846500124</v>
      </c>
      <c r="H247" s="4080">
        <v>0.56044106116765835</v>
      </c>
      <c r="I247" s="4080">
        <v>0.38080799846500124</v>
      </c>
      <c r="O247">
        <f t="shared" si="23"/>
        <v>612.28332712322947</v>
      </c>
    </row>
    <row r="248" spans="1:15" x14ac:dyDescent="0.2">
      <c r="A248" s="4076" t="s">
        <v>2641</v>
      </c>
      <c r="B248" t="str">
        <f>INDEX(list_region_country!$G$3:$V$3,,SUMPRODUCT(--(list_region_country!$G$3:$V$56=Elec!A248)*(COLUMN(list_region_country!$G$3:$V$56)-COLUMN(list_region_country!$F$3))))</f>
        <v>Oceania</v>
      </c>
      <c r="C248" s="4080" t="s">
        <v>3051</v>
      </c>
      <c r="D248" s="235" t="s">
        <v>3051</v>
      </c>
      <c r="E248" s="4080">
        <f t="shared" ca="1" si="22"/>
        <v>0.58971601656224637</v>
      </c>
      <c r="F248" s="4080">
        <f t="shared" si="19"/>
        <v>0</v>
      </c>
      <c r="G248" s="4080">
        <f t="shared" si="18"/>
        <v>0.45102672411684841</v>
      </c>
      <c r="H248" s="4080" t="s">
        <v>1824</v>
      </c>
      <c r="I248" s="4080" t="s">
        <v>1824</v>
      </c>
      <c r="O248">
        <f t="shared" si="23"/>
        <v>752.5333333333333</v>
      </c>
    </row>
    <row r="249" spans="1:15" x14ac:dyDescent="0.2">
      <c r="A249" s="4077" t="s">
        <v>2702</v>
      </c>
      <c r="B249" t="str">
        <f>INDEX(list_region_country!$G$3:$V$3,,SUMPRODUCT(--(list_region_country!$G$3:$V$56=Elec!A249)*(COLUMN(list_region_country!$G$3:$V$56)-COLUMN(list_region_country!$F$3))))</f>
        <v>Northern Africa</v>
      </c>
      <c r="C249" s="4080" t="s">
        <v>3051</v>
      </c>
      <c r="D249" s="235" t="s">
        <v>3051</v>
      </c>
      <c r="E249" s="4080">
        <f t="shared" ca="1" si="22"/>
        <v>0.57607629431028551</v>
      </c>
      <c r="F249" s="4080">
        <f t="shared" si="19"/>
        <v>0</v>
      </c>
      <c r="G249" s="4080">
        <f t="shared" si="18"/>
        <v>0.43156457706051654</v>
      </c>
      <c r="H249" s="4080" t="s">
        <v>1824</v>
      </c>
      <c r="I249" s="4080" t="s">
        <v>1824</v>
      </c>
      <c r="O249">
        <f t="shared" si="23"/>
        <v>710.92039129200293</v>
      </c>
    </row>
    <row r="250" spans="1:15" x14ac:dyDescent="0.2">
      <c r="A250" s="4077" t="s">
        <v>2703</v>
      </c>
      <c r="B250" t="str">
        <f>INDEX(list_region_country!$G$3:$V$3,,SUMPRODUCT(--(list_region_country!$G$3:$V$56=Elec!A250)*(COLUMN(list_region_country!$G$3:$V$56)-COLUMN(list_region_country!$F$3))))</f>
        <v>Western Asia</v>
      </c>
      <c r="C250" s="4080">
        <v>1.0293606534677935</v>
      </c>
      <c r="D250" s="235">
        <v>2007</v>
      </c>
      <c r="E250" s="4080">
        <f t="shared" si="22"/>
        <v>1.0293606534677935</v>
      </c>
      <c r="F250" s="4080">
        <f t="shared" si="19"/>
        <v>0.80729319375841657</v>
      </c>
      <c r="G250" s="4080">
        <f t="shared" si="18"/>
        <v>0.61456213289092454</v>
      </c>
      <c r="H250" s="4080">
        <v>0.80729319375841657</v>
      </c>
      <c r="I250" s="4080">
        <v>0.61456213289092454</v>
      </c>
      <c r="O250">
        <f t="shared" si="23"/>
        <v>560.4410611676584</v>
      </c>
    </row>
    <row r="251" spans="1:15" x14ac:dyDescent="0.2">
      <c r="A251" s="4076" t="s">
        <v>2736</v>
      </c>
      <c r="B251" t="str">
        <f>INDEX(list_region_country!$G$3:$V$3,,SUMPRODUCT(--(list_region_country!$G$3:$V$56=Elec!A251)*(COLUMN(list_region_country!$G$3:$V$56)-COLUMN(list_region_country!$F$3))))</f>
        <v>Eastern Africa</v>
      </c>
      <c r="C251" s="4080">
        <v>0.90900000000000003</v>
      </c>
      <c r="D251" s="235">
        <v>2019</v>
      </c>
      <c r="E251" s="4080">
        <f t="shared" si="22"/>
        <v>0.90900000000000003</v>
      </c>
      <c r="F251" s="4080">
        <f t="shared" si="19"/>
        <v>0.41640860304340588</v>
      </c>
      <c r="G251" s="4080">
        <f t="shared" si="18"/>
        <v>0.19699130651213528</v>
      </c>
      <c r="H251" s="4080">
        <v>0.41640860304340588</v>
      </c>
      <c r="I251" s="4080">
        <v>0.19699130651213528</v>
      </c>
      <c r="O251" t="e">
        <f t="shared" si="23"/>
        <v>#N/A</v>
      </c>
    </row>
    <row r="252" spans="1:15" x14ac:dyDescent="0.2">
      <c r="A252" s="4076" t="s">
        <v>2737</v>
      </c>
      <c r="B252" t="str">
        <f>INDEX(list_region_country!$G$3:$V$3,,SUMPRODUCT(--(list_region_country!$G$3:$V$56=Elec!A252)*(COLUMN(list_region_country!$G$3:$V$56)-COLUMN(list_region_country!$F$3))))</f>
        <v>Eastern Africa</v>
      </c>
      <c r="C252" s="4080">
        <v>0.90900000000000003</v>
      </c>
      <c r="D252" s="235">
        <v>2019</v>
      </c>
      <c r="E252" s="4080">
        <f t="shared" si="22"/>
        <v>0.90900000000000003</v>
      </c>
      <c r="F252" s="4080">
        <f t="shared" si="19"/>
        <v>1.5753007845098519</v>
      </c>
      <c r="G252" s="4080">
        <f t="shared" si="18"/>
        <v>0.88025359635548084</v>
      </c>
      <c r="H252" s="4080">
        <v>1.5753007845098519</v>
      </c>
      <c r="I252" s="4080">
        <v>0.88025359635548084</v>
      </c>
      <c r="O252" t="e">
        <f t="shared" si="23"/>
        <v>#N/A</v>
      </c>
    </row>
    <row r="253" spans="1:15" x14ac:dyDescent="0.2">
      <c r="H253" s="4080"/>
      <c r="I253" s="4080"/>
      <c r="O253">
        <f t="shared" si="23"/>
        <v>807.29319375841658</v>
      </c>
    </row>
    <row r="254" spans="1:15" x14ac:dyDescent="0.2">
      <c r="A254" s="4077"/>
      <c r="O254">
        <f t="shared" si="23"/>
        <v>416.40860304340589</v>
      </c>
    </row>
    <row r="255" spans="1:15" x14ac:dyDescent="0.2">
      <c r="A255" s="4077"/>
    </row>
    <row r="256" spans="1:15" x14ac:dyDescent="0.2">
      <c r="A256" s="4077"/>
    </row>
    <row r="257" spans="1:1" x14ac:dyDescent="0.2">
      <c r="A257" s="4077"/>
    </row>
    <row r="258" spans="1:1" x14ac:dyDescent="0.2">
      <c r="A258" s="4077"/>
    </row>
    <row r="259" spans="1:1" x14ac:dyDescent="0.2">
      <c r="A259" s="4077"/>
    </row>
    <row r="260" spans="1:1" x14ac:dyDescent="0.2">
      <c r="A260" s="4077"/>
    </row>
    <row r="261" spans="1:1" x14ac:dyDescent="0.2">
      <c r="A261" s="4077"/>
    </row>
    <row r="262" spans="1:1" x14ac:dyDescent="0.2">
      <c r="A262" s="4077"/>
    </row>
    <row r="263" spans="1:1" x14ac:dyDescent="0.2">
      <c r="A263" s="4077"/>
    </row>
    <row r="264" spans="1:1" x14ac:dyDescent="0.2">
      <c r="A264" s="4077"/>
    </row>
    <row r="265" spans="1:1" x14ac:dyDescent="0.2">
      <c r="A265" s="4077"/>
    </row>
    <row r="266" spans="1:1" x14ac:dyDescent="0.2">
      <c r="A266" s="4077"/>
    </row>
    <row r="267" spans="1:1" x14ac:dyDescent="0.2">
      <c r="A267" s="4077"/>
    </row>
    <row r="268" spans="1:1" x14ac:dyDescent="0.2">
      <c r="A268" s="4077"/>
    </row>
  </sheetData>
  <sortState xmlns:xlrd2="http://schemas.microsoft.com/office/spreadsheetml/2017/richdata2" ref="A2:A284">
    <sortCondition ref="A2:A284"/>
  </sortState>
  <mergeCells count="1">
    <mergeCell ref="F2:G2"/>
  </mergeCells>
  <conditionalFormatting sqref="F5:F252">
    <cfRule type="cellIs" dxfId="52" priority="2" operator="notEqual">
      <formula>$H5</formula>
    </cfRule>
  </conditionalFormatting>
  <conditionalFormatting sqref="G5:G252">
    <cfRule type="cellIs" dxfId="51" priority="1" operator="notEqual">
      <formula>$I5</formula>
    </cfRule>
  </conditionalFormatting>
  <pageMargins left="0.7" right="0.7" top="0.75" bottom="0.75" header="0.3" footer="0.3"/>
  <pageSetup orientation="portrait" r:id="rId1"/>
</worksheet>
</file>

<file path=xl/worksheets/sheet3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8"/>
  <dimension ref="A1:J825"/>
  <sheetViews>
    <sheetView zoomScale="110" zoomScaleNormal="110" workbookViewId="0">
      <pane xSplit="1" ySplit="1" topLeftCell="B141" activePane="bottomRight" state="frozen"/>
      <selection activeCell="K92" sqref="K92"/>
      <selection pane="topRight" activeCell="K92" sqref="K92"/>
      <selection pane="bottomLeft" activeCell="K92" sqref="K92"/>
      <selection pane="bottomRight" activeCell="B158" sqref="B158"/>
    </sheetView>
  </sheetViews>
  <sheetFormatPr baseColWidth="10" defaultColWidth="8.6640625" defaultRowHeight="12" x14ac:dyDescent="0.2"/>
  <cols>
    <col min="1" max="1" width="21.5" style="1064" customWidth="1"/>
    <col min="2" max="2" width="103.5" style="1064" customWidth="1"/>
    <col min="3" max="3" width="16.6640625" style="1064" customWidth="1"/>
    <col min="4" max="4" width="17.6640625" style="1064" customWidth="1"/>
    <col min="5" max="7" width="8.5" style="1064"/>
    <col min="8" max="9" width="7.5" style="1064" bestFit="1" customWidth="1"/>
    <col min="10" max="16384" width="8.6640625" style="1065"/>
  </cols>
  <sheetData>
    <row r="1" spans="1:9" s="1225" customFormat="1" ht="13" x14ac:dyDescent="0.2">
      <c r="A1" s="1060" t="s">
        <v>3433</v>
      </c>
      <c r="B1" s="1061" t="s">
        <v>3434</v>
      </c>
      <c r="C1" s="1060" t="s">
        <v>3434</v>
      </c>
      <c r="D1" s="1061" t="s">
        <v>3435</v>
      </c>
      <c r="E1" s="1061" t="s">
        <v>3436</v>
      </c>
      <c r="F1" s="1061" t="s">
        <v>3437</v>
      </c>
      <c r="G1" s="1061" t="s">
        <v>3438</v>
      </c>
      <c r="H1" s="1061" t="s">
        <v>3439</v>
      </c>
      <c r="I1" s="1061" t="s">
        <v>3440</v>
      </c>
    </row>
    <row r="2" spans="1:9" s="1068" customFormat="1" x14ac:dyDescent="0.2">
      <c r="A2" s="1067" t="s">
        <v>3441</v>
      </c>
      <c r="B2" s="1067" t="s">
        <v>3434</v>
      </c>
      <c r="C2" s="1067"/>
      <c r="D2" s="1067"/>
      <c r="E2" s="1067"/>
      <c r="F2" s="1067"/>
      <c r="G2" s="1067"/>
      <c r="H2" s="1067"/>
      <c r="I2" s="1067"/>
    </row>
    <row r="3" spans="1:9" s="1068" customFormat="1" x14ac:dyDescent="0.2">
      <c r="A3" s="1067" t="s">
        <v>3441</v>
      </c>
      <c r="B3" s="1067" t="s">
        <v>4230</v>
      </c>
      <c r="C3" s="1067"/>
      <c r="D3" s="1067"/>
      <c r="E3" s="1067"/>
      <c r="F3" s="1067"/>
      <c r="G3" s="1067"/>
      <c r="H3" s="1067"/>
      <c r="I3" s="1067"/>
    </row>
    <row r="4" spans="1:9" s="1068" customFormat="1" x14ac:dyDescent="0.2">
      <c r="A4" s="1067" t="s">
        <v>3441</v>
      </c>
      <c r="B4" s="1067" t="s">
        <v>5158</v>
      </c>
      <c r="C4" s="1067"/>
      <c r="D4" s="1067"/>
      <c r="E4" s="1067"/>
      <c r="F4" s="1067"/>
      <c r="G4" s="1067"/>
      <c r="H4" s="1067"/>
      <c r="I4" s="1067"/>
    </row>
    <row r="5" spans="1:9" s="1068" customFormat="1" x14ac:dyDescent="0.2">
      <c r="A5" s="1067"/>
      <c r="B5" s="4446"/>
      <c r="C5" s="1067"/>
      <c r="D5" s="1067"/>
      <c r="E5" s="1067"/>
      <c r="F5" s="1067"/>
      <c r="G5" s="1067"/>
      <c r="H5" s="1067"/>
      <c r="I5" s="1067"/>
    </row>
    <row r="6" spans="1:9" s="1068" customFormat="1" x14ac:dyDescent="0.2">
      <c r="A6" s="1067"/>
      <c r="B6" s="4446"/>
      <c r="C6" s="1067"/>
      <c r="D6" s="1067"/>
      <c r="E6" s="1067"/>
      <c r="F6" s="1067"/>
      <c r="G6" s="1067"/>
      <c r="H6" s="1067"/>
      <c r="I6" s="1067"/>
    </row>
    <row r="7" spans="1:9" s="1068" customFormat="1" x14ac:dyDescent="0.2">
      <c r="A7" s="1067"/>
      <c r="B7" s="4446"/>
      <c r="C7" s="1067"/>
      <c r="D7" s="1067"/>
      <c r="E7" s="1067"/>
      <c r="F7" s="1067"/>
      <c r="G7" s="1067"/>
      <c r="H7" s="1067"/>
      <c r="I7" s="1067"/>
    </row>
    <row r="8" spans="1:9" s="1068" customFormat="1" x14ac:dyDescent="0.2">
      <c r="A8" s="1067"/>
      <c r="B8" s="4446"/>
      <c r="C8" s="1067"/>
      <c r="D8" s="1067"/>
      <c r="E8" s="1067"/>
      <c r="F8" s="1067"/>
      <c r="G8" s="1067"/>
      <c r="H8" s="1067"/>
      <c r="I8" s="1067"/>
    </row>
    <row r="9" spans="1:9" x14ac:dyDescent="0.2">
      <c r="A9" s="1064" t="s">
        <v>3442</v>
      </c>
      <c r="B9" s="2262" t="str">
        <f>IF(IF('1.Description'!$AA$9="english",C9,IF('1.Description'!$AA$9="français",D9,E9))=0,"",IF('1.Description'!$AA$9="english",C9,IF('1.Description'!$AA$9="français",D9,E9)))</f>
        <v>Total emissions (tCO2-e)</v>
      </c>
      <c r="C9" s="1064" t="s">
        <v>3443</v>
      </c>
      <c r="D9" s="1064" t="s">
        <v>3775</v>
      </c>
      <c r="E9" s="1064" t="s">
        <v>4410</v>
      </c>
    </row>
    <row r="10" spans="1:9" x14ac:dyDescent="0.2">
      <c r="A10" s="1064" t="s">
        <v>3442</v>
      </c>
      <c r="B10" s="2262" t="str">
        <f>IF(IF('1.Description'!$AA$9="english",C10,IF('1.Description'!$AA$9="français",D10,E10))=0,"",IF('1.Description'!$AA$9="english",C10,IF('1.Description'!$AA$9="français",D10,E10)))</f>
        <v>Balance</v>
      </c>
      <c r="C10" s="1064" t="s">
        <v>376</v>
      </c>
      <c r="D10" s="1064" t="s">
        <v>376</v>
      </c>
      <c r="E10" s="1064" t="s">
        <v>4411</v>
      </c>
    </row>
    <row r="11" spans="1:9" x14ac:dyDescent="0.2">
      <c r="A11" s="1064" t="s">
        <v>3442</v>
      </c>
      <c r="B11" s="2262" t="str">
        <f>IF(IF('1.Description'!$AA$9="english",C11,IF('1.Description'!$AA$9="français",D11,E11))=0,"",IF('1.Description'!$AA$9="english",C11,IF('1.Description'!$AA$9="français",D11,E11)))</f>
        <v>Start</v>
      </c>
      <c r="C11" s="1064" t="s">
        <v>219</v>
      </c>
      <c r="D11" s="1064" t="s">
        <v>334</v>
      </c>
      <c r="E11" s="1064" t="s">
        <v>4412</v>
      </c>
    </row>
    <row r="12" spans="1:9" x14ac:dyDescent="0.2">
      <c r="A12" s="1064" t="s">
        <v>3442</v>
      </c>
      <c r="B12" s="2262" t="str">
        <f>IF(IF('1.Description'!$AA$9="english",C12,IF('1.Description'!$AA$9="français",D12,E12))=0,"",IF('1.Description'!$AA$9="english",C12,IF('1.Description'!$AA$9="français",D12,E12)))</f>
        <v>Without</v>
      </c>
      <c r="C12" s="1064" t="s">
        <v>179</v>
      </c>
      <c r="D12" s="1064" t="s">
        <v>4116</v>
      </c>
      <c r="E12" s="1064" t="s">
        <v>4413</v>
      </c>
    </row>
    <row r="13" spans="1:9" x14ac:dyDescent="0.2">
      <c r="A13" s="1064" t="s">
        <v>3442</v>
      </c>
      <c r="B13" s="2262" t="str">
        <f>IF(IF('1.Description'!$AA$9="english",C13,IF('1.Description'!$AA$9="français",D13,E13))=0,"",IF('1.Description'!$AA$9="english",C13,IF('1.Description'!$AA$9="français",D13,E13)))</f>
        <v>With</v>
      </c>
      <c r="C13" s="1064" t="s">
        <v>180</v>
      </c>
      <c r="D13" s="1064" t="s">
        <v>3802</v>
      </c>
      <c r="E13" s="1064" t="s">
        <v>4414</v>
      </c>
    </row>
    <row r="14" spans="1:9" x14ac:dyDescent="0.2">
      <c r="A14" s="1064" t="s">
        <v>3442</v>
      </c>
      <c r="B14" s="2262" t="str">
        <f>IF(IF('1.Description'!$AA$9="english",C14,IF('1.Description'!$AA$9="français",D14,E14))=0,"",IF('1.Description'!$AA$9="english",C14,IF('1.Description'!$AA$9="français",D14,E14)))</f>
        <v>Emissions factors</v>
      </c>
      <c r="C14" s="1064" t="s">
        <v>3444</v>
      </c>
      <c r="D14" s="1064" t="s">
        <v>3803</v>
      </c>
      <c r="E14" s="1064" t="s">
        <v>4415</v>
      </c>
    </row>
    <row r="15" spans="1:9" x14ac:dyDescent="0.2">
      <c r="A15" s="1064" t="s">
        <v>3442</v>
      </c>
      <c r="B15" s="2262" t="str">
        <f>IF(IF('1.Description'!$AA$9="english",C15,IF('1.Description'!$AA$9="français",D15,E15))=0,"",IF('1.Description'!$AA$9="english",C15,IF('1.Description'!$AA$9="français",D15,E15)))</f>
        <v>Unit</v>
      </c>
      <c r="C15" s="1064" t="s">
        <v>3445</v>
      </c>
      <c r="D15" s="1064" t="s">
        <v>3804</v>
      </c>
      <c r="E15" s="1064" t="s">
        <v>4416</v>
      </c>
    </row>
    <row r="16" spans="1:9" x14ac:dyDescent="0.2">
      <c r="A16" s="1064" t="s">
        <v>3442</v>
      </c>
      <c r="B16" s="2262" t="str">
        <f>IF(IF('1.Description'!$AA$9="english",C16,IF('1.Description'!$AA$9="français",D16,E16))=0,"",IF('1.Description'!$AA$9="english",C16,IF('1.Description'!$AA$9="français",D16,E16)))</f>
        <v>Default</v>
      </c>
      <c r="C16" s="1064" t="s">
        <v>65</v>
      </c>
      <c r="D16" s="1064" t="s">
        <v>3805</v>
      </c>
      <c r="E16" s="1064" t="s">
        <v>5170</v>
      </c>
    </row>
    <row r="17" spans="1:5" x14ac:dyDescent="0.2">
      <c r="A17" s="1064" t="s">
        <v>3442</v>
      </c>
      <c r="B17" s="2262" t="str">
        <f>IF(IF('1.Description'!$AA$9="english",C17,IF('1.Description'!$AA$9="français",D17,E17))=0,"",IF('1.Description'!$AA$9="english",C17,IF('1.Description'!$AA$9="français",D17,E17)))</f>
        <v>Tier 2</v>
      </c>
      <c r="C17" s="1064" t="s">
        <v>66</v>
      </c>
      <c r="D17" s="1064" t="s">
        <v>66</v>
      </c>
      <c r="E17" s="1064" t="s">
        <v>66</v>
      </c>
    </row>
    <row r="18" spans="1:5" x14ac:dyDescent="0.2">
      <c r="A18" s="1064" t="s">
        <v>3442</v>
      </c>
      <c r="B18" s="2262" t="str">
        <f>IF(IF('1.Description'!$AA$9="english",C18,IF('1.Description'!$AA$9="français",D18,E18))=0,"",IF('1.Description'!$AA$9="english",C18,IF('1.Description'!$AA$9="français",D18,E18)))</f>
        <v>Final land-use</v>
      </c>
      <c r="C18" s="1064" t="s">
        <v>3446</v>
      </c>
      <c r="D18" s="1064" t="s">
        <v>3806</v>
      </c>
      <c r="E18" s="1064" t="s">
        <v>4418</v>
      </c>
    </row>
    <row r="19" spans="1:5" x14ac:dyDescent="0.2">
      <c r="A19" s="1064" t="s">
        <v>3442</v>
      </c>
      <c r="B19" s="2262" t="str">
        <f>IF(IF('1.Description'!$AA$9="english",C19,IF('1.Description'!$AA$9="français",D19,E19))=0,"",IF('1.Description'!$AA$9="english",C19,IF('1.Description'!$AA$9="français",D19,E19)))</f>
        <v>Initial land-use</v>
      </c>
      <c r="C19" s="1064" t="s">
        <v>3447</v>
      </c>
      <c r="D19" s="1064" t="s">
        <v>3807</v>
      </c>
      <c r="E19" s="1064" t="s">
        <v>4419</v>
      </c>
    </row>
    <row r="20" spans="1:5" x14ac:dyDescent="0.2">
      <c r="A20" s="1064" t="s">
        <v>3442</v>
      </c>
      <c r="B20" s="2262" t="str">
        <f>IF(IF('1.Description'!$AA$9="english",C20,IF('1.Description'!$AA$9="français",D20,E20))=0,"",IF('1.Description'!$AA$9="english",C20,IF('1.Description'!$AA$9="français",D20,E20)))</f>
        <v>Use this part only if you want to refine the analysis at Tier 2</v>
      </c>
      <c r="C20" s="1064" t="s">
        <v>3448</v>
      </c>
      <c r="D20" s="1064" t="s">
        <v>4117</v>
      </c>
      <c r="E20" s="1064" t="s">
        <v>4420</v>
      </c>
    </row>
    <row r="21" spans="1:5" x14ac:dyDescent="0.2">
      <c r="A21" s="1064" t="s">
        <v>3442</v>
      </c>
      <c r="B21" s="2262" t="str">
        <f>IF(IF('1.Description'!$AA$9="english",C21,IF('1.Description'!$AA$9="français",D21,E21))=0,"",IF('1.Description'!$AA$9="english",C21,IF('1.Description'!$AA$9="français",D21,E21)))</f>
        <v>IPCC default values are provided for your information only; EX-ACT will use Tier 2 values automatically wherever specified.</v>
      </c>
      <c r="C21" s="1064" t="s">
        <v>3449</v>
      </c>
      <c r="D21" s="1064" t="s">
        <v>4118</v>
      </c>
      <c r="E21" s="1064" t="s">
        <v>4421</v>
      </c>
    </row>
    <row r="22" spans="1:5" x14ac:dyDescent="0.2">
      <c r="A22" s="1064" t="s">
        <v>3442</v>
      </c>
      <c r="B22" s="2262" t="str">
        <f>IF(IF('1.Description'!$AA$9="english",C22,IF('1.Description'!$AA$9="français",D22,E22))=0,"",IF('1.Description'!$AA$9="english",C22,IF('1.Description'!$AA$9="français",D22,E22)))</f>
        <v>If country-specific data are available, please go to Tier 2:</v>
      </c>
      <c r="C22" s="1064" t="s">
        <v>378</v>
      </c>
      <c r="D22" s="1064" t="s">
        <v>4119</v>
      </c>
      <c r="E22" s="1064" t="s">
        <v>4422</v>
      </c>
    </row>
    <row r="23" spans="1:5" x14ac:dyDescent="0.2">
      <c r="A23" s="1064" t="s">
        <v>3442</v>
      </c>
      <c r="B23" s="2262" t="str">
        <f>IF(IF('1.Description'!$AA$9="english",C23,IF('1.Description'!$AA$9="français",D23,E23))=0,"",IF('1.Description'!$AA$9="english",C23,IF('1.Description'!$AA$9="français",D23,E23)))</f>
        <v>*The selection of "D" corresponds to a default (linear) dynamics of change. Other selection options include "I" for immediate changes and "E" for exponential - please refer to the guidelines for further explanation of these assumptions.</v>
      </c>
      <c r="C23" s="1064" t="s">
        <v>3450</v>
      </c>
      <c r="D23" s="1064" t="s">
        <v>3808</v>
      </c>
      <c r="E23" s="1064" t="s">
        <v>4423</v>
      </c>
    </row>
    <row r="24" spans="1:5" x14ac:dyDescent="0.2">
      <c r="A24" s="1064" t="s">
        <v>3442</v>
      </c>
      <c r="B24" s="2262" t="str">
        <f>IF(IF('1.Description'!$AA$9="english",C24,IF('1.Description'!$AA$9="français",D24,E24))=0,"",IF('1.Description'!$AA$9="english",C24,IF('1.Description'!$AA$9="français",D24,E24)))</f>
        <v>Land-use cover</v>
      </c>
      <c r="C24" s="1064" t="s">
        <v>3451</v>
      </c>
      <c r="D24" s="1064" t="s">
        <v>4120</v>
      </c>
      <c r="E24" s="1064" t="s">
        <v>4424</v>
      </c>
    </row>
    <row r="25" spans="1:5" x14ac:dyDescent="0.2">
      <c r="A25" s="1064" t="s">
        <v>3442</v>
      </c>
      <c r="B25" s="2262" t="str">
        <f>IF(IF('1.Description'!$AA$9="english",C25,IF('1.Description'!$AA$9="français",D25,E25))=0,"",IF('1.Description'!$AA$9="english",C25,IF('1.Description'!$AA$9="français",D25,E25)))</f>
        <v>Total area (ha)</v>
      </c>
      <c r="C25" s="1064" t="s">
        <v>2947</v>
      </c>
      <c r="D25" s="1064" t="s">
        <v>3809</v>
      </c>
      <c r="E25" s="1064" t="s">
        <v>4425</v>
      </c>
    </row>
    <row r="26" spans="1:5" x14ac:dyDescent="0.2">
      <c r="A26" s="1064" t="s">
        <v>3442</v>
      </c>
      <c r="B26" s="2262" t="str">
        <f>IF(IF('1.Description'!$AA$9="english",C26,IF('1.Description'!$AA$9="français",D26,E26))=0,"",IF('1.Description'!$AA$9="english",C26,IF('1.Description'!$AA$9="français",D26,E26)))</f>
        <v>Above-ground</v>
      </c>
      <c r="C26" s="1064" t="s">
        <v>77</v>
      </c>
      <c r="D26" s="1064" t="s">
        <v>4121</v>
      </c>
      <c r="E26" s="1064" t="s">
        <v>4426</v>
      </c>
    </row>
    <row r="27" spans="1:5" x14ac:dyDescent="0.2">
      <c r="A27" s="1064" t="s">
        <v>3442</v>
      </c>
      <c r="B27" s="2262" t="str">
        <f>IF(IF('1.Description'!$AA$9="english",C27,IF('1.Description'!$AA$9="français",D27,E27))=0,"",IF('1.Description'!$AA$9="english",C27,IF('1.Description'!$AA$9="français",D27,E27)))</f>
        <v>Below-ground</v>
      </c>
      <c r="C27" s="1064" t="s">
        <v>78</v>
      </c>
      <c r="D27" s="1064" t="s">
        <v>4122</v>
      </c>
      <c r="E27" s="1064" t="s">
        <v>4427</v>
      </c>
    </row>
    <row r="28" spans="1:5" x14ac:dyDescent="0.2">
      <c r="A28" s="1064" t="s">
        <v>3442</v>
      </c>
      <c r="B28" s="2262" t="str">
        <f>IF(IF('1.Description'!$AA$9="english",C28,IF('1.Description'!$AA$9="français",D28,E28))=0,"",IF('1.Description'!$AA$9="english",C28,IF('1.Description'!$AA$9="français",D28,E28)))</f>
        <v>Litter</v>
      </c>
      <c r="C28" s="1064" t="s">
        <v>79</v>
      </c>
      <c r="D28" s="1064" t="s">
        <v>3810</v>
      </c>
      <c r="E28" s="1064" t="s">
        <v>4428</v>
      </c>
    </row>
    <row r="29" spans="1:5" x14ac:dyDescent="0.2">
      <c r="A29" s="1064" t="s">
        <v>3442</v>
      </c>
      <c r="B29" s="2262" t="str">
        <f>IF(IF('1.Description'!$AA$9="english",C29,IF('1.Description'!$AA$9="français",D29,E29))=0,"",IF('1.Description'!$AA$9="english",C29,IF('1.Description'!$AA$9="français",D29,E29)))</f>
        <v>Deadwood</v>
      </c>
      <c r="C29" s="1064" t="s">
        <v>1035</v>
      </c>
      <c r="D29" s="1064" t="s">
        <v>3811</v>
      </c>
      <c r="E29" s="1064" t="s">
        <v>4429</v>
      </c>
    </row>
    <row r="30" spans="1:5" x14ac:dyDescent="0.2">
      <c r="A30" s="1064" t="s">
        <v>3442</v>
      </c>
      <c r="B30" s="2262" t="str">
        <f>IF(IF('1.Description'!$AA$9="english",C30,IF('1.Description'!$AA$9="français",D30,E30))=0,"",IF('1.Description'!$AA$9="english",C30,IF('1.Description'!$AA$9="français",D30,E30)))</f>
        <v>Year</v>
      </c>
      <c r="C30" s="1064" t="s">
        <v>1158</v>
      </c>
      <c r="D30" s="1064" t="s">
        <v>3812</v>
      </c>
      <c r="E30" s="1064" t="s">
        <v>4430</v>
      </c>
    </row>
    <row r="31" spans="1:5" x14ac:dyDescent="0.2">
      <c r="A31" s="1067" t="s">
        <v>3452</v>
      </c>
      <c r="B31" s="2262" t="str">
        <f>IF(IF('1.Description'!$AA$9="english",C31,IF('1.Description'!$AA$9="français",D31,E31))=0,"",IF('1.Description'!$AA$9="english",C31,IF('1.Description'!$AA$9="français",D31,E31)))</f>
        <v>1. DESCRIPTION</v>
      </c>
      <c r="C31" s="1064" t="s">
        <v>3453</v>
      </c>
      <c r="D31" s="1064" t="s">
        <v>3453</v>
      </c>
      <c r="E31" s="1064" t="s">
        <v>4431</v>
      </c>
    </row>
    <row r="32" spans="1:5" x14ac:dyDescent="0.2">
      <c r="A32" s="1064" t="s">
        <v>3452</v>
      </c>
      <c r="B32" s="2262" t="str">
        <f>IF(IF('1.Description'!$AA$9="english",C32,IF('1.Description'!$AA$9="français",D32,E32))=0,"",IF('1.Description'!$AA$9="english",C32,IF('1.Description'!$AA$9="français",D32,E32)))</f>
        <v>1.1 Project description</v>
      </c>
      <c r="C32" s="1064" t="s">
        <v>3454</v>
      </c>
      <c r="D32" s="1064" t="s">
        <v>3813</v>
      </c>
      <c r="E32" s="1064" t="s">
        <v>4432</v>
      </c>
    </row>
    <row r="33" spans="1:5" x14ac:dyDescent="0.2">
      <c r="A33" s="1064" t="s">
        <v>3452</v>
      </c>
      <c r="B33" s="2262" t="str">
        <f>IF(IF('1.Description'!$AA$9="english",C33,IF('1.Description'!$AA$9="français",D33,E33))=0,"",IF('1.Description'!$AA$9="english",C33,IF('1.Description'!$AA$9="français",D33,E33)))</f>
        <v xml:space="preserve">Project Name </v>
      </c>
      <c r="C33" s="1064" t="s">
        <v>3455</v>
      </c>
      <c r="D33" s="1064" t="s">
        <v>4123</v>
      </c>
      <c r="E33" s="1064" t="s">
        <v>4433</v>
      </c>
    </row>
    <row r="34" spans="1:5" x14ac:dyDescent="0.2">
      <c r="A34" s="1064" t="s">
        <v>3452</v>
      </c>
      <c r="B34" s="2262" t="str">
        <f>IF(IF('1.Description'!$AA$9="english",C34,IF('1.Description'!$AA$9="français",D34,E34))=0,"",IF('1.Description'!$AA$9="english",C34,IF('1.Description'!$AA$9="français",D34,E34)))</f>
        <v>User Name</v>
      </c>
      <c r="C34" s="1064" t="s">
        <v>3456</v>
      </c>
      <c r="D34" s="1064" t="s">
        <v>3814</v>
      </c>
      <c r="E34" s="1064" t="s">
        <v>4434</v>
      </c>
    </row>
    <row r="35" spans="1:5" x14ac:dyDescent="0.2">
      <c r="A35" s="1064" t="s">
        <v>3452</v>
      </c>
      <c r="B35" s="2262" t="str">
        <f>IF(IF('1.Description'!$AA$9="english",C35,IF('1.Description'!$AA$9="français",D35,E35))=0,"",IF('1.Description'!$AA$9="english",C35,IF('1.Description'!$AA$9="français",D35,E35)))</f>
        <v>Date</v>
      </c>
      <c r="C35" s="1064" t="s">
        <v>3457</v>
      </c>
      <c r="D35" s="1064" t="s">
        <v>3457</v>
      </c>
      <c r="E35" s="1064" t="s">
        <v>4435</v>
      </c>
    </row>
    <row r="36" spans="1:5" x14ac:dyDescent="0.2">
      <c r="A36" s="1064" t="s">
        <v>3452</v>
      </c>
      <c r="B36" s="2262" t="str">
        <f>IF(IF('1.Description'!$AA$9="english",C36,IF('1.Description'!$AA$9="français",D36,E36))=0,"",IF('1.Description'!$AA$9="english",C36,IF('1.Description'!$AA$9="français",D36,E36)))</f>
        <v xml:space="preserve">Project name </v>
      </c>
      <c r="C36" s="1064" t="s">
        <v>3458</v>
      </c>
      <c r="D36" s="1064" t="s">
        <v>4123</v>
      </c>
      <c r="E36" s="1064" t="s">
        <v>4433</v>
      </c>
    </row>
    <row r="37" spans="1:5" x14ac:dyDescent="0.2">
      <c r="A37" s="1064" t="s">
        <v>3452</v>
      </c>
      <c r="B37" s="2262" t="str">
        <f>IF(IF('1.Description'!$AA$9="english",C37,IF('1.Description'!$AA$9="français",D37,E37))=0,"",IF('1.Description'!$AA$9="english",C37,IF('1.Description'!$AA$9="français",D37,E37)))</f>
        <v>Project code</v>
      </c>
      <c r="C37" s="1064" t="s">
        <v>3459</v>
      </c>
      <c r="D37" s="1064" t="s">
        <v>3815</v>
      </c>
      <c r="E37" s="1064" t="s">
        <v>4436</v>
      </c>
    </row>
    <row r="38" spans="1:5" x14ac:dyDescent="0.2">
      <c r="A38" s="1064" t="s">
        <v>3452</v>
      </c>
      <c r="B38" s="2262" t="str">
        <f>IF(IF('1.Description'!$AA$9="english",C38,IF('1.Description'!$AA$9="français",D38,E38))=0,"",IF('1.Description'!$AA$9="english",C38,IF('1.Description'!$AA$9="français",D38,E38)))</f>
        <v>Project cost (in USD)</v>
      </c>
      <c r="C38" s="1064" t="s">
        <v>3460</v>
      </c>
      <c r="D38" s="1064" t="s">
        <v>3816</v>
      </c>
      <c r="E38" s="1064" t="s">
        <v>4437</v>
      </c>
    </row>
    <row r="39" spans="1:5" x14ac:dyDescent="0.2">
      <c r="A39" s="1064" t="s">
        <v>3452</v>
      </c>
      <c r="B39" s="2262" t="str">
        <f>IF(IF('1.Description'!$AA$9="english",C39,IF('1.Description'!$AA$9="français",D39,E39))=0,"",IF('1.Description'!$AA$9="english",C39,IF('1.Description'!$AA$9="français",D39,E39)))</f>
        <v xml:space="preserve">Funding agency </v>
      </c>
      <c r="C39" s="1064" t="s">
        <v>3461</v>
      </c>
      <c r="D39" s="1064" t="s">
        <v>3817</v>
      </c>
      <c r="E39" s="1064" t="s">
        <v>4438</v>
      </c>
    </row>
    <row r="40" spans="1:5" x14ac:dyDescent="0.2">
      <c r="A40" s="1064" t="s">
        <v>3452</v>
      </c>
      <c r="B40" s="2262" t="str">
        <f>IF(IF('1.Description'!$AA$9="english",C40,IF('1.Description'!$AA$9="français",D40,E40))=0,"",IF('1.Description'!$AA$9="english",C40,IF('1.Description'!$AA$9="français",D40,E40)))</f>
        <v>Executing agency</v>
      </c>
      <c r="C40" s="1064" t="s">
        <v>3462</v>
      </c>
      <c r="D40" s="1064" t="s">
        <v>3818</v>
      </c>
      <c r="E40" s="1064" t="s">
        <v>4439</v>
      </c>
    </row>
    <row r="41" spans="1:5" x14ac:dyDescent="0.2">
      <c r="A41" s="1064" t="s">
        <v>3452</v>
      </c>
      <c r="B41" s="2262" t="str">
        <f>IF(IF('1.Description'!$AA$9="english",C41,IF('1.Description'!$AA$9="français",D41,E41))=0,"",IF('1.Description'!$AA$9="english",C41,IF('1.Description'!$AA$9="français",D41,E41)))</f>
        <v>Project status</v>
      </c>
      <c r="C41" s="1064" t="s">
        <v>1348</v>
      </c>
      <c r="D41" s="1064" t="s">
        <v>4124</v>
      </c>
      <c r="E41" s="1064" t="s">
        <v>4440</v>
      </c>
    </row>
    <row r="42" spans="1:5" x14ac:dyDescent="0.2">
      <c r="A42" s="1064" t="s">
        <v>3452</v>
      </c>
      <c r="B42" s="2262" t="str">
        <f>IF(IF('1.Description'!$AA$9="english",C42,IF('1.Description'!$AA$9="français",D42,E42))=0,"",IF('1.Description'!$AA$9="english",C42,IF('1.Description'!$AA$9="français",D42,E42)))</f>
        <v>1.2 Project site and duration</v>
      </c>
      <c r="C42" s="1064" t="s">
        <v>3463</v>
      </c>
      <c r="D42" s="1064" t="s">
        <v>3819</v>
      </c>
      <c r="E42" s="1064" t="s">
        <v>4441</v>
      </c>
    </row>
    <row r="43" spans="1:5" x14ac:dyDescent="0.2">
      <c r="A43" s="1064" t="s">
        <v>3452</v>
      </c>
      <c r="B43" s="2262" t="str">
        <f>IF(IF('1.Description'!$AA$9="english",C43,IF('1.Description'!$AA$9="français",D43,E43))=0,"",IF('1.Description'!$AA$9="english",C43,IF('1.Description'!$AA$9="français",D43,E43)))</f>
        <v xml:space="preserve">Continent </v>
      </c>
      <c r="C43" s="1064" t="s">
        <v>3464</v>
      </c>
      <c r="D43" s="1064" t="s">
        <v>3820</v>
      </c>
      <c r="E43" s="1064" t="s">
        <v>4442</v>
      </c>
    </row>
    <row r="44" spans="1:5" x14ac:dyDescent="0.2">
      <c r="A44" s="1064" t="s">
        <v>3452</v>
      </c>
      <c r="B44" s="2262" t="str">
        <f>IF(IF('1.Description'!$AA$9="english",C44,IF('1.Description'!$AA$9="français",D44,E44))=0,"",IF('1.Description'!$AA$9="english",C44,IF('1.Description'!$AA$9="français",D44,E44)))</f>
        <v>Country</v>
      </c>
      <c r="C44" s="1064" t="s">
        <v>3465</v>
      </c>
      <c r="D44" s="1064" t="s">
        <v>3821</v>
      </c>
      <c r="E44" s="1064" t="s">
        <v>4443</v>
      </c>
    </row>
    <row r="45" spans="1:5" x14ac:dyDescent="0.2">
      <c r="A45" s="1064" t="s">
        <v>3452</v>
      </c>
      <c r="B45" s="2262" t="str">
        <f>IF(IF('1.Description'!$AA$9="english",C45,IF('1.Description'!$AA$9="français",D45,E45))=0,"",IF('1.Description'!$AA$9="english",C45,IF('1.Description'!$AA$9="français",D45,E45)))</f>
        <v xml:space="preserve">Climate </v>
      </c>
      <c r="C45" s="1064" t="s">
        <v>3466</v>
      </c>
      <c r="D45" s="1064" t="s">
        <v>4080</v>
      </c>
      <c r="E45" s="1064" t="s">
        <v>4444</v>
      </c>
    </row>
    <row r="46" spans="1:5" x14ac:dyDescent="0.2">
      <c r="A46" s="1064" t="s">
        <v>3452</v>
      </c>
      <c r="B46" s="2262" t="str">
        <f>IF(IF('1.Description'!$AA$9="english",C46,IF('1.Description'!$AA$9="français",D46,E46))=0,"",IF('1.Description'!$AA$9="english",C46,IF('1.Description'!$AA$9="français",D46,E46)))</f>
        <v xml:space="preserve">Moisture </v>
      </c>
      <c r="C46" s="1064" t="s">
        <v>1866</v>
      </c>
      <c r="D46" s="1064" t="s">
        <v>4385</v>
      </c>
      <c r="E46" s="1064" t="s">
        <v>4445</v>
      </c>
    </row>
    <row r="47" spans="1:5" x14ac:dyDescent="0.2">
      <c r="A47" s="1064" t="s">
        <v>3452</v>
      </c>
      <c r="B47" s="2262" t="str">
        <f>IF(IF('1.Description'!$AA$9="english",C47,IF('1.Description'!$AA$9="français",D47,E47))=0,"",IF('1.Description'!$AA$9="english",C47,IF('1.Description'!$AA$9="français",D47,E47)))</f>
        <v xml:space="preserve">Soil Type </v>
      </c>
      <c r="C47" s="1064" t="s">
        <v>3773</v>
      </c>
      <c r="D47" s="1064" t="s">
        <v>4073</v>
      </c>
      <c r="E47" s="1064" t="s">
        <v>4657</v>
      </c>
    </row>
    <row r="48" spans="1:5" x14ac:dyDescent="0.2">
      <c r="A48" s="1064" t="s">
        <v>3452</v>
      </c>
      <c r="B48" s="2262" t="str">
        <f>IF(IF('1.Description'!$AA$9="english",C48,IF('1.Description'!$AA$9="français",D48,E48))=0,"",IF('1.Description'!$AA$9="english",C48,IF('1.Description'!$AA$9="français",D48,E48)))</f>
        <v>Project duration (in years)</v>
      </c>
      <c r="C48" s="1064" t="s">
        <v>3467</v>
      </c>
      <c r="D48" s="1064" t="s">
        <v>3822</v>
      </c>
      <c r="E48" s="1064" t="s">
        <v>4446</v>
      </c>
    </row>
    <row r="49" spans="1:9" x14ac:dyDescent="0.2">
      <c r="A49" s="1064" t="s">
        <v>3452</v>
      </c>
      <c r="B49" s="2262" t="str">
        <f>IF(IF('1.Description'!$AA$9="english",C49,IF('1.Description'!$AA$9="français",D49,E49))=0,"",IF('1.Description'!$AA$9="english",C49,IF('1.Description'!$AA$9="français",D49,E49)))</f>
        <v xml:space="preserve">Implementation Phase </v>
      </c>
      <c r="C49" s="1064" t="s">
        <v>3468</v>
      </c>
      <c r="D49" s="1064" t="s">
        <v>3823</v>
      </c>
      <c r="E49" s="1064" t="s">
        <v>4447</v>
      </c>
    </row>
    <row r="50" spans="1:9" x14ac:dyDescent="0.2">
      <c r="A50" s="1064" t="s">
        <v>3452</v>
      </c>
      <c r="B50" s="2262" t="str">
        <f>IF(IF('1.Description'!$AA$9="english",C50,IF('1.Description'!$AA$9="français",D50,E50))=0,"",IF('1.Description'!$AA$9="english",C50,IF('1.Description'!$AA$9="français",D50,E50)))</f>
        <v xml:space="preserve">Capitalization Phase </v>
      </c>
      <c r="C50" s="1064" t="s">
        <v>3469</v>
      </c>
      <c r="D50" s="1064" t="s">
        <v>3824</v>
      </c>
      <c r="E50" s="1064" t="s">
        <v>4448</v>
      </c>
    </row>
    <row r="51" spans="1:9" x14ac:dyDescent="0.2">
      <c r="A51" s="1064" t="s">
        <v>3452</v>
      </c>
      <c r="B51" s="2262" t="str">
        <f>IF(IF('1.Description'!$AA$9="english",C51,IF('1.Description'!$AA$9="français",D51,E51))=0,"",IF('1.Description'!$AA$9="english",C51,IF('1.Description'!$AA$9="français",D51,E51)))</f>
        <v>Total Duration of Accounting</v>
      </c>
      <c r="C51" s="1064" t="s">
        <v>3470</v>
      </c>
      <c r="D51" s="1064" t="s">
        <v>4125</v>
      </c>
      <c r="E51" s="1064" t="s">
        <v>4449</v>
      </c>
    </row>
    <row r="52" spans="1:9" x14ac:dyDescent="0.2">
      <c r="A52" s="1064" t="s">
        <v>3452</v>
      </c>
      <c r="B52" s="2262" t="str">
        <f>IF(IF('1.Description'!$AA$9="english",C52,IF('1.Description'!$AA$9="français",D52,E52))=0,"",IF('1.Description'!$AA$9="english",C52,IF('1.Description'!$AA$9="français",D52,E52)))</f>
        <v>1.4 Reference soil organic carbon stock</v>
      </c>
      <c r="C52" s="1064" t="s">
        <v>61</v>
      </c>
      <c r="D52" s="1064" t="s">
        <v>3825</v>
      </c>
      <c r="E52" s="1064" t="s">
        <v>4672</v>
      </c>
    </row>
    <row r="53" spans="1:9" x14ac:dyDescent="0.2">
      <c r="A53" s="1064" t="s">
        <v>3452</v>
      </c>
      <c r="B53" s="2262" t="str">
        <f>IF(IF('1.Description'!$AA$9="english",C53,IF('1.Description'!$AA$9="français",D53,E53))=0,"",IF('1.Description'!$AA$9="english",C53,IF('1.Description'!$AA$9="français",D53,E53)))</f>
        <v>1.3 Global warming potential</v>
      </c>
      <c r="C53" s="1064" t="s">
        <v>60</v>
      </c>
      <c r="D53" s="1064" t="s">
        <v>3826</v>
      </c>
      <c r="E53" s="1064" t="s">
        <v>4673</v>
      </c>
    </row>
    <row r="54" spans="1:9" x14ac:dyDescent="0.2">
      <c r="A54" s="1064" t="s">
        <v>3452</v>
      </c>
      <c r="B54" s="2262" t="str">
        <f>IF(IF('1.Description'!$AA$9="english",C54,IF('1.Description'!$AA$9="français",D54,E54))=0,"",IF('1.Description'!$AA$9="english",C54,IF('1.Description'!$AA$9="français",D54,E54)))</f>
        <v>Source:</v>
      </c>
      <c r="C54" s="1064" t="s">
        <v>63</v>
      </c>
      <c r="D54" s="1064" t="s">
        <v>4234</v>
      </c>
      <c r="E54" s="1064" t="s">
        <v>4674</v>
      </c>
    </row>
    <row r="55" spans="1:9" x14ac:dyDescent="0.2">
      <c r="A55" s="1064" t="s">
        <v>3452</v>
      </c>
      <c r="B55" s="2262" t="str">
        <f>IF(IF('1.Description'!$AA$9="english",C55,IF('1.Description'!$AA$9="français",D55,E55))=0,"",IF('1.Description'!$AA$9="english",C55,IF('1.Description'!$AA$9="français",D55,E55)))</f>
        <v>Default</v>
      </c>
      <c r="C55" s="1064" t="s">
        <v>65</v>
      </c>
      <c r="D55" s="1064" t="s">
        <v>3805</v>
      </c>
      <c r="E55" s="1064" t="s">
        <v>5170</v>
      </c>
    </row>
    <row r="56" spans="1:9" x14ac:dyDescent="0.2">
      <c r="B56" s="2262" t="str">
        <f>IF(IF('1.Description'!$AA$9="english",C56,IF('1.Description'!$AA$9="français",D56,E56))=0,"",IF('1.Description'!$AA$9="english",C56,IF('1.Description'!$AA$9="français",D56,E56)))</f>
        <v>Choose a language</v>
      </c>
      <c r="C56" s="1064" t="s">
        <v>4229</v>
      </c>
      <c r="D56" s="1064" t="s">
        <v>4231</v>
      </c>
      <c r="E56" s="1064" t="s">
        <v>4675</v>
      </c>
    </row>
    <row r="57" spans="1:9" s="1068" customFormat="1" x14ac:dyDescent="0.2">
      <c r="A57" s="1067" t="s">
        <v>3471</v>
      </c>
      <c r="B57" s="2262" t="str">
        <f>IF(IF('1.Description'!$AA$9="english",C57,IF('1.Description'!$AA$9="français",D57,E57))=0,"",IF('1.Description'!$AA$9="english",C57,IF('1.Description'!$AA$9="français",D57,E57)))</f>
        <v>2.1 DEFORESTATION</v>
      </c>
      <c r="C57" s="1067" t="s">
        <v>3472</v>
      </c>
      <c r="D57" s="1067" t="s">
        <v>3827</v>
      </c>
      <c r="E57" s="1064" t="s">
        <v>4450</v>
      </c>
      <c r="F57" s="1067"/>
      <c r="G57" s="1067"/>
      <c r="H57" s="1067"/>
      <c r="I57" s="1067"/>
    </row>
    <row r="58" spans="1:9" x14ac:dyDescent="0.2">
      <c r="A58" s="1064" t="s">
        <v>3471</v>
      </c>
      <c r="B58" s="2262" t="str">
        <f>IF(IF('1.Description'!$AA$9="english",C58,IF('1.Description'!$AA$9="français",D58,E58))=0,"",IF('1.Description'!$AA$9="english",C58,IF('1.Description'!$AA$9="français",D58,E58)))</f>
        <v xml:space="preserve">Type of vegetation </v>
      </c>
      <c r="C58" s="1064" t="s">
        <v>72</v>
      </c>
      <c r="D58" s="1064" t="s">
        <v>3828</v>
      </c>
      <c r="E58" s="1064" t="s">
        <v>4451</v>
      </c>
    </row>
    <row r="59" spans="1:9" x14ac:dyDescent="0.2">
      <c r="A59" s="1064" t="s">
        <v>3471</v>
      </c>
      <c r="B59" s="2262" t="str">
        <f>IF(IF('1.Description'!$AA$9="english",C59,IF('1.Description'!$AA$9="français",D59,E59))=0,"",IF('1.Description'!$AA$9="english",C59,IF('1.Description'!$AA$9="français",D59,E59)))</f>
        <v>that will be deforested</v>
      </c>
      <c r="C59" s="1064" t="s">
        <v>76</v>
      </c>
      <c r="D59" s="1064" t="s">
        <v>4126</v>
      </c>
      <c r="E59" s="1064" t="s">
        <v>4452</v>
      </c>
    </row>
    <row r="60" spans="1:9" x14ac:dyDescent="0.2">
      <c r="A60" s="1064" t="s">
        <v>3471</v>
      </c>
      <c r="B60" s="2262" t="str">
        <f>IF(IF('1.Description'!$AA$9="english",C60,IF('1.Description'!$AA$9="français",D60,E60))=0,"",IF('1.Description'!$AA$9="english",C60,IF('1.Description'!$AA$9="français",D60,E60)))</f>
        <v>HWPs</v>
      </c>
      <c r="C60" s="1064" t="s">
        <v>3473</v>
      </c>
      <c r="D60" s="1064" t="s">
        <v>3829</v>
      </c>
      <c r="E60" s="1064" t="s">
        <v>5162</v>
      </c>
    </row>
    <row r="61" spans="1:9" x14ac:dyDescent="0.2">
      <c r="A61" s="1064" t="s">
        <v>3471</v>
      </c>
      <c r="B61" s="2262" t="str">
        <f>IF(IF('1.Description'!$AA$9="english",C61,IF('1.Description'!$AA$9="français",D61,E61))=0,"",IF('1.Description'!$AA$9="english",C61,IF('1.Description'!$AA$9="français",D61,E61)))</f>
        <v>Fire used?</v>
      </c>
      <c r="C61" s="1064" t="s">
        <v>3474</v>
      </c>
      <c r="D61" s="1064" t="s">
        <v>3830</v>
      </c>
      <c r="E61" s="1064" t="s">
        <v>5161</v>
      </c>
    </row>
    <row r="62" spans="1:9" x14ac:dyDescent="0.2">
      <c r="A62" s="1064" t="s">
        <v>3471</v>
      </c>
      <c r="B62" s="2262" t="str">
        <f>IF(IF('1.Description'!$AA$9="english",C62,IF('1.Description'!$AA$9="français",D62,E62))=0,"",IF('1.Description'!$AA$9="english",C62,IF('1.Description'!$AA$9="français",D62,E62)))</f>
        <v>(y/n)</v>
      </c>
      <c r="C62" s="1064" t="s">
        <v>91</v>
      </c>
      <c r="D62" s="1064" t="s">
        <v>3831</v>
      </c>
      <c r="E62" s="1064" t="s">
        <v>4453</v>
      </c>
    </row>
    <row r="63" spans="1:9" x14ac:dyDescent="0.2">
      <c r="A63" s="1064" t="s">
        <v>3471</v>
      </c>
      <c r="B63" s="2262" t="str">
        <f>IF(IF('1.Description'!$AA$9="english",C63,IF('1.Description'!$AA$9="français",D63,E63))=0,"",IF('1.Description'!$AA$9="english",C63,IF('1.Description'!$AA$9="français",D63,E63)))</f>
        <v>Final land-use</v>
      </c>
      <c r="C63" s="1064" t="s">
        <v>3446</v>
      </c>
      <c r="D63" s="1064" t="s">
        <v>3806</v>
      </c>
      <c r="E63" s="1064" t="s">
        <v>4418</v>
      </c>
    </row>
    <row r="64" spans="1:9" x14ac:dyDescent="0.2">
      <c r="A64" s="1064" t="s">
        <v>3471</v>
      </c>
      <c r="B64" s="2262" t="str">
        <f>IF(IF('1.Description'!$AA$9="english",C64,IF('1.Description'!$AA$9="français",D64,E64))=0,"",IF('1.Description'!$AA$9="english",C64,IF('1.Description'!$AA$9="français",D64,E64)))</f>
        <v>after deforestation</v>
      </c>
      <c r="C64" s="1064" t="s">
        <v>187</v>
      </c>
      <c r="D64" s="1064" t="s">
        <v>4127</v>
      </c>
      <c r="E64" s="1064" t="s">
        <v>4454</v>
      </c>
    </row>
    <row r="65" spans="1:5" x14ac:dyDescent="0.2">
      <c r="A65" s="1064" t="s">
        <v>3471</v>
      </c>
      <c r="B65" s="2262" t="str">
        <f>IF(IF('1.Description'!$AA$9="english",C65,IF('1.Description'!$AA$9="français",D65,E65))=0,"",IF('1.Description'!$AA$9="english",C65,IF('1.Description'!$AA$9="français",D65,E65)))</f>
        <v>Initial agroforestry system</v>
      </c>
      <c r="C65" s="1064" t="s">
        <v>3771</v>
      </c>
      <c r="D65" s="1064" t="s">
        <v>3832</v>
      </c>
      <c r="E65" s="1064" t="s">
        <v>4676</v>
      </c>
    </row>
    <row r="66" spans="1:5" x14ac:dyDescent="0.2">
      <c r="A66" s="1064" t="s">
        <v>3471</v>
      </c>
      <c r="B66" s="2262" t="str">
        <f>IF(IF('1.Description'!$AA$9="english",C66,IF('1.Description'!$AA$9="français",D66,E66))=0,"",IF('1.Description'!$AA$9="english",C66,IF('1.Description'!$AA$9="français",D66,E66)))</f>
        <v>Forested area (ha)</v>
      </c>
      <c r="C66" s="1064" t="s">
        <v>972</v>
      </c>
      <c r="D66" s="1064" t="s">
        <v>4249</v>
      </c>
      <c r="E66" s="1064" t="s">
        <v>4455</v>
      </c>
    </row>
    <row r="67" spans="1:5" x14ac:dyDescent="0.2">
      <c r="A67" s="1064" t="s">
        <v>3471</v>
      </c>
      <c r="B67" s="2262" t="str">
        <f>IF(IF('1.Description'!$AA$9="english",C67,IF('1.Description'!$AA$9="français",D67,E67))=0,"",IF('1.Description'!$AA$9="english",C67,IF('1.Description'!$AA$9="français",D67,E67)))</f>
        <v>Above-ground</v>
      </c>
      <c r="C67" s="1064" t="s">
        <v>77</v>
      </c>
      <c r="D67" s="1064" t="s">
        <v>4121</v>
      </c>
      <c r="E67" s="1064" t="s">
        <v>4426</v>
      </c>
    </row>
    <row r="68" spans="1:5" x14ac:dyDescent="0.2">
      <c r="A68" s="1064" t="s">
        <v>3471</v>
      </c>
      <c r="B68" s="2262" t="str">
        <f>IF(IF('1.Description'!$AA$9="english",C68,IF('1.Description'!$AA$9="français",D68,E68))=0,"",IF('1.Description'!$AA$9="english",C68,IF('1.Description'!$AA$9="français",D68,E68)))</f>
        <v>Below-ground</v>
      </c>
      <c r="C68" s="1064" t="s">
        <v>78</v>
      </c>
      <c r="D68" s="1064" t="s">
        <v>4122</v>
      </c>
      <c r="E68" s="1064" t="s">
        <v>4427</v>
      </c>
    </row>
    <row r="69" spans="1:5" x14ac:dyDescent="0.2">
      <c r="A69" s="1064" t="s">
        <v>3471</v>
      </c>
      <c r="B69" s="2262" t="str">
        <f>IF(IF('1.Description'!$AA$9="english",C69,IF('1.Description'!$AA$9="français",D69,E69))=0,"",IF('1.Description'!$AA$9="english",C69,IF('1.Description'!$AA$9="français",D69,E69)))</f>
        <v>Deforested area (ha)</v>
      </c>
      <c r="C69" s="1064" t="s">
        <v>3475</v>
      </c>
      <c r="D69" s="1064" t="s">
        <v>4250</v>
      </c>
      <c r="E69" s="1064" t="s">
        <v>4456</v>
      </c>
    </row>
    <row r="70" spans="1:5" x14ac:dyDescent="0.2">
      <c r="A70" s="1064" t="s">
        <v>3471</v>
      </c>
      <c r="B70" s="2262" t="str">
        <f>IF(IF('1.Description'!$AA$9="english",C70,IF('1.Description'!$AA$9="français",D70,E70))=0,"",IF('1.Description'!$AA$9="english",C70,IF('1.Description'!$AA$9="français",D70,E70)))</f>
        <v>Reforested area (ha)</v>
      </c>
      <c r="C70" s="1064" t="s">
        <v>3476</v>
      </c>
      <c r="D70" s="1064" t="s">
        <v>4251</v>
      </c>
      <c r="E70" s="1064" t="s">
        <v>4457</v>
      </c>
    </row>
    <row r="71" spans="1:5" x14ac:dyDescent="0.2">
      <c r="A71" s="1064" t="s">
        <v>3471</v>
      </c>
      <c r="B71" s="2262" t="str">
        <f>IF(IF('1.Description'!$AA$9="english",C71,IF('1.Description'!$AA$9="français",D71,E71))=0,"",IF('1.Description'!$AA$9="english",C71,IF('1.Description'!$AA$9="français",D71,E71)))</f>
        <v>Above-ground biomass growth</v>
      </c>
      <c r="C71" s="1064" t="s">
        <v>3477</v>
      </c>
      <c r="D71" s="1064" t="s">
        <v>3833</v>
      </c>
      <c r="E71" s="1064" t="s">
        <v>4458</v>
      </c>
    </row>
    <row r="72" spans="1:5" x14ac:dyDescent="0.2">
      <c r="A72" s="1064" t="s">
        <v>3471</v>
      </c>
      <c r="B72" s="2262" t="str">
        <f>IF(IF('1.Description'!$AA$9="english",C72,IF('1.Description'!$AA$9="français",D72,E72))=0,"",IF('1.Description'!$AA$9="english",C72,IF('1.Description'!$AA$9="français",D72,E72)))</f>
        <v>Below-ground biomass growth</v>
      </c>
      <c r="C72" s="1064" t="s">
        <v>3478</v>
      </c>
      <c r="D72" s="1064" t="s">
        <v>3834</v>
      </c>
      <c r="E72" s="1064" t="s">
        <v>4459</v>
      </c>
    </row>
    <row r="73" spans="1:5" x14ac:dyDescent="0.2">
      <c r="A73" s="1064" t="s">
        <v>3471</v>
      </c>
      <c r="B73" s="2262" t="str">
        <f>IF(IF('1.Description'!$AA$9="english",C73,IF('1.Description'!$AA$9="français",D73,E73))=0,"",IF('1.Description'!$AA$9="english",C73,IF('1.Description'!$AA$9="français",D73,E73)))</f>
        <v>Litter</v>
      </c>
      <c r="C73" s="1064" t="s">
        <v>79</v>
      </c>
      <c r="D73" s="1064" t="s">
        <v>3810</v>
      </c>
      <c r="E73" s="1064" t="s">
        <v>4428</v>
      </c>
    </row>
    <row r="74" spans="1:5" x14ac:dyDescent="0.2">
      <c r="A74" s="1064" t="s">
        <v>3471</v>
      </c>
      <c r="B74" s="2262" t="str">
        <f>IF(IF('1.Description'!$AA$9="english",C74,IF('1.Description'!$AA$9="français",D74,E74))=0,"",IF('1.Description'!$AA$9="english",C74,IF('1.Description'!$AA$9="français",D74,E74)))</f>
        <v>Dead wood</v>
      </c>
      <c r="C74" s="1064" t="s">
        <v>80</v>
      </c>
      <c r="D74" s="1064" t="s">
        <v>3835</v>
      </c>
      <c r="E74" s="1064" t="s">
        <v>4429</v>
      </c>
    </row>
    <row r="75" spans="1:5" x14ac:dyDescent="0.2">
      <c r="A75" s="1064" t="s">
        <v>3471</v>
      </c>
      <c r="B75" s="2262" t="str">
        <f>IF(IF('1.Description'!$AA$9="english",C75,IF('1.Description'!$AA$9="français",D75,E75))=0,"",IF('1.Description'!$AA$9="english",C75,IF('1.Description'!$AA$9="français",D75,E75)))</f>
        <v>Soil carbon</v>
      </c>
      <c r="C75" s="1064" t="s">
        <v>81</v>
      </c>
      <c r="D75" s="1064" t="s">
        <v>3836</v>
      </c>
      <c r="E75" s="1064" t="s">
        <v>4677</v>
      </c>
    </row>
    <row r="76" spans="1:5" x14ac:dyDescent="0.2">
      <c r="A76" s="1064" t="s">
        <v>3471</v>
      </c>
      <c r="B76" s="2262" t="str">
        <f>IF(IF('1.Description'!$AA$9="english",C76,IF('1.Description'!$AA$9="français",D76,E76))=0,"",IF('1.Description'!$AA$9="english",C76,IF('1.Description'!$AA$9="français",D76,E76)))</f>
        <v>Total deforestation (tCO2-e)</v>
      </c>
      <c r="C76" s="1064" t="s">
        <v>3479</v>
      </c>
      <c r="D76" s="1064" t="s">
        <v>3837</v>
      </c>
      <c r="E76" s="1064" t="s">
        <v>4460</v>
      </c>
    </row>
    <row r="77" spans="1:5" x14ac:dyDescent="0.2">
      <c r="A77" s="1064" t="s">
        <v>3471</v>
      </c>
      <c r="B77" s="2262" t="str">
        <f>IF(IF('1.Description'!$AA$9="english",C77,IF('1.Description'!$AA$9="français",D77,E77))=0,"",IF('1.Description'!$AA$9="english",C77,IF('1.Description'!$AA$9="français",D77,E77)))</f>
        <v>2.2 AFFORESTATION &amp; REFORESTATION</v>
      </c>
      <c r="C77" s="1064" t="s">
        <v>3480</v>
      </c>
      <c r="D77" s="1064" t="s">
        <v>3480</v>
      </c>
      <c r="E77" s="1064" t="s">
        <v>4461</v>
      </c>
    </row>
    <row r="78" spans="1:5" x14ac:dyDescent="0.2">
      <c r="A78" s="1064" t="s">
        <v>3471</v>
      </c>
      <c r="B78" s="2262" t="str">
        <f>IF(IF('1.Description'!$AA$9="english",C78,IF('1.Description'!$AA$9="français",D78,E78))=0,"",IF('1.Description'!$AA$9="english",C78,IF('1.Description'!$AA$9="français",D78,E78)))</f>
        <v>Total af/re forestation (tCO2-e)</v>
      </c>
      <c r="C78" s="1064" t="s">
        <v>3481</v>
      </c>
      <c r="D78" s="1064" t="s">
        <v>4266</v>
      </c>
      <c r="E78" s="1064" t="s">
        <v>4462</v>
      </c>
    </row>
    <row r="79" spans="1:5" x14ac:dyDescent="0.2">
      <c r="A79" s="1064" t="s">
        <v>3471</v>
      </c>
      <c r="B79" s="2262" t="str">
        <f>IF(IF('1.Description'!$AA$9="english",C79,IF('1.Description'!$AA$9="français",D79,E79))=0,"",IF('1.Description'!$AA$9="english",C79,IF('1.Description'!$AA$9="français",D79,E79)))</f>
        <v>2.3 OTHER LAND-USE CHANGES</v>
      </c>
      <c r="C79" s="1064" t="s">
        <v>3482</v>
      </c>
      <c r="D79" s="1064" t="s">
        <v>3838</v>
      </c>
      <c r="E79" s="1064" t="s">
        <v>4463</v>
      </c>
    </row>
    <row r="80" spans="1:5" x14ac:dyDescent="0.2">
      <c r="A80" s="1064" t="s">
        <v>3471</v>
      </c>
      <c r="B80" s="2262" t="str">
        <f>IF(IF('1.Description'!$AA$9="english",C80,IF('1.Description'!$AA$9="français",D80,E80))=0,"",IF('1.Description'!$AA$9="english",C80,IF('1.Description'!$AA$9="français",D80,E80)))</f>
        <v>User notes</v>
      </c>
      <c r="C80" s="1064" t="s">
        <v>394</v>
      </c>
      <c r="D80" s="1064" t="s">
        <v>4128</v>
      </c>
      <c r="E80" s="1064" t="s">
        <v>4464</v>
      </c>
    </row>
    <row r="81" spans="1:5" x14ac:dyDescent="0.2">
      <c r="A81" s="1064" t="s">
        <v>3471</v>
      </c>
      <c r="B81" s="2262" t="str">
        <f>IF(IF('1.Description'!$AA$9="english",C81,IF('1.Description'!$AA$9="français",D81,E81))=0,"",IF('1.Description'!$AA$9="english",C81,IF('1.Description'!$AA$9="français",D81,E81)))</f>
        <v>Total non forest land-use change (tCO2-e)</v>
      </c>
      <c r="C81" s="1064" t="s">
        <v>3483</v>
      </c>
      <c r="D81" s="1064" t="s">
        <v>3839</v>
      </c>
      <c r="E81" s="1064" t="s">
        <v>4465</v>
      </c>
    </row>
    <row r="82" spans="1:5" x14ac:dyDescent="0.2">
      <c r="A82" s="1064" t="s">
        <v>3471</v>
      </c>
      <c r="B82" s="2262" t="str">
        <f>IF(IF('1.Description'!$AA$9="english",C82,IF('1.Description'!$AA$9="français",D82,E82))=0,"",IF('1.Description'!$AA$9="english",C82,IF('1.Description'!$AA$9="français",D82,E82)))</f>
        <v>Area of land use change (ha)</v>
      </c>
      <c r="C82" s="1064" t="s">
        <v>3772</v>
      </c>
      <c r="D82" s="1064" t="s">
        <v>4252</v>
      </c>
      <c r="E82" s="1064" t="s">
        <v>4678</v>
      </c>
    </row>
    <row r="83" spans="1:5" x14ac:dyDescent="0.2">
      <c r="B83" s="2262" t="str">
        <f>IF(IF('1.Description'!$AA$9="english",C83,IF('1.Description'!$AA$9="français",D83,E83))=0,"",IF('1.Description'!$AA$9="english",C83,IF('1.Description'!$AA$9="français",D83,E83)))</f>
        <v>Reference carbon stocks</v>
      </c>
      <c r="C83" s="1064" t="s">
        <v>3719</v>
      </c>
      <c r="D83" s="1064" t="s">
        <v>3840</v>
      </c>
      <c r="E83" s="1064" t="s">
        <v>4679</v>
      </c>
    </row>
    <row r="84" spans="1:5" x14ac:dyDescent="0.2">
      <c r="B84" s="2262" t="str">
        <f>IF(IF('1.Description'!$AA$9="english",C84,IF('1.Description'!$AA$9="français",D84,E84))=0,"",IF('1.Description'!$AA$9="english",C84,IF('1.Description'!$AA$9="français",D84,E84)))</f>
        <v>All units are in tC/ha</v>
      </c>
      <c r="C84" s="1064" t="s">
        <v>73</v>
      </c>
      <c r="D84" s="1064" t="s">
        <v>3841</v>
      </c>
      <c r="E84" s="1064" t="s">
        <v>4680</v>
      </c>
    </row>
    <row r="85" spans="1:5" x14ac:dyDescent="0.2">
      <c r="B85" s="2262" t="str">
        <f>IF(IF('1.Description'!$AA$9="english",C85,IF('1.Description'!$AA$9="français",D85,E85))=0,"",IF('1.Description'!$AA$9="english",C85,IF('1.Description'!$AA$9="français",D85,E85)))</f>
        <v>after A/R</v>
      </c>
      <c r="C85" s="1064" t="s">
        <v>3703</v>
      </c>
      <c r="D85" s="1064" t="s">
        <v>3842</v>
      </c>
      <c r="E85" s="1064" t="s">
        <v>4681</v>
      </c>
    </row>
    <row r="86" spans="1:5" x14ac:dyDescent="0.2">
      <c r="B86" s="2262" t="str">
        <f>IF(IF('1.Description'!$AA$9="english",C86,IF('1.Description'!$AA$9="français",D86,E86))=0,"",IF('1.Description'!$AA$9="english",C86,IF('1.Description'!$AA$9="français",D86,E86)))</f>
        <v>Biomass</v>
      </c>
      <c r="C86" s="1064" t="s">
        <v>96</v>
      </c>
      <c r="D86" s="1064" t="s">
        <v>3843</v>
      </c>
      <c r="E86" s="1064" t="s">
        <v>4682</v>
      </c>
    </row>
    <row r="87" spans="1:5" x14ac:dyDescent="0.2">
      <c r="B87" s="2262" t="str">
        <f>IF(IF('1.Description'!$AA$9="english",C87,IF('1.Description'!$AA$9="français",D87,E87))=0,"",IF('1.Description'!$AA$9="english",C87,IF('1.Description'!$AA$9="français",D87,E87)))</f>
        <v>( ≤ 20 years )</v>
      </c>
      <c r="C87" s="1064" t="s">
        <v>88</v>
      </c>
      <c r="D87" s="1064" t="s">
        <v>3844</v>
      </c>
      <c r="E87" s="1064" t="s">
        <v>4683</v>
      </c>
    </row>
    <row r="88" spans="1:5" x14ac:dyDescent="0.2">
      <c r="B88" s="2262" t="str">
        <f>IF(IF('1.Description'!$AA$9="english",C88,IF('1.Description'!$AA$9="français",D88,E88))=0,"",IF('1.Description'!$AA$9="english",C88,IF('1.Description'!$AA$9="français",D88,E88)))</f>
        <v>( &gt; 20 years )</v>
      </c>
      <c r="C88" s="1064" t="s">
        <v>89</v>
      </c>
      <c r="D88" s="1064" t="s">
        <v>3845</v>
      </c>
      <c r="E88" s="1064" t="s">
        <v>4684</v>
      </c>
    </row>
    <row r="89" spans="1:5" x14ac:dyDescent="0.2">
      <c r="B89" s="2262" t="str">
        <f>IF(IF('1.Description'!$AA$9="english",C89,IF('1.Description'!$AA$9="français",D89,E89))=0,"",IF('1.Description'!$AA$9="english",C89,IF('1.Description'!$AA$9="français",D89,E89)))</f>
        <v>tC/ha/yr</v>
      </c>
      <c r="C89" s="1064" t="s">
        <v>92</v>
      </c>
      <c r="D89" s="1064" t="s">
        <v>3846</v>
      </c>
      <c r="E89" s="1064" t="s">
        <v>4685</v>
      </c>
    </row>
    <row r="90" spans="1:5" x14ac:dyDescent="0.2">
      <c r="B90" s="2262" t="str">
        <f>IF(IF('1.Description'!$AA$9="english",C90,IF('1.Description'!$AA$9="français",D90,E90))=0,"",IF('1.Description'!$AA$9="english",C90,IF('1.Description'!$AA$9="français",D90,E90)))</f>
        <v>tC/ha</v>
      </c>
      <c r="C90" s="1064" t="s">
        <v>62</v>
      </c>
      <c r="D90" s="1064" t="s">
        <v>62</v>
      </c>
      <c r="E90" s="1064" t="s">
        <v>62</v>
      </c>
    </row>
    <row r="91" spans="1:5" x14ac:dyDescent="0.2">
      <c r="B91" s="2262" t="str">
        <f>IF(IF('1.Description'!$AA$9="english",C91,IF('1.Description'!$AA$9="français",D91,E91))=0,"",IF('1.Description'!$AA$9="english",C91,IF('1.Description'!$AA$9="français",D91,E91)))</f>
        <v>In tC/ha in the first year</v>
      </c>
      <c r="C91" s="1064" t="s">
        <v>95</v>
      </c>
      <c r="D91" s="1064" t="s">
        <v>3847</v>
      </c>
      <c r="E91" s="1064" t="s">
        <v>4686</v>
      </c>
    </row>
    <row r="92" spans="1:5" x14ac:dyDescent="0.2">
      <c r="B92" s="2262" t="str">
        <f>IF(IF('1.Description'!$AA$9="english",C92,IF('1.Description'!$AA$9="français",D92,E92))=0,"",IF('1.Description'!$AA$9="english",C92,IF('1.Description'!$AA$9="français",D92,E92)))</f>
        <v>kgCH4/ha/yr</v>
      </c>
      <c r="C92" s="4440" t="s">
        <v>1044</v>
      </c>
      <c r="D92" s="4440" t="s">
        <v>1044</v>
      </c>
      <c r="E92" s="1064" t="s">
        <v>4687</v>
      </c>
    </row>
    <row r="93" spans="1:5" x14ac:dyDescent="0.2">
      <c r="B93" s="2262" t="str">
        <f>IF(IF('1.Description'!$AA$9="english",C93,IF('1.Description'!$AA$9="français",D93,E93))=0,"",IF('1.Description'!$AA$9="english",C93,IF('1.Description'!$AA$9="français",D93,E93)))</f>
        <v>kgN2O-N/ha/yr</v>
      </c>
      <c r="C93" s="4440" t="s">
        <v>1045</v>
      </c>
      <c r="D93" s="4440" t="s">
        <v>1045</v>
      </c>
      <c r="E93" s="1064" t="s">
        <v>4688</v>
      </c>
    </row>
    <row r="94" spans="1:5" x14ac:dyDescent="0.2">
      <c r="B94" s="2262" t="str">
        <f>IF(IF('1.Description'!$AA$9="english",C94,IF('1.Description'!$AA$9="français",D94,E94))=0,"",IF('1.Description'!$AA$9="english",C94,IF('1.Description'!$AA$9="français",D94,E94)))</f>
        <v>DOC</v>
      </c>
      <c r="C94" s="4440" t="s">
        <v>1037</v>
      </c>
      <c r="D94" s="4440" t="s">
        <v>4256</v>
      </c>
      <c r="E94" s="1064" t="s">
        <v>4689</v>
      </c>
    </row>
    <row r="95" spans="1:5" x14ac:dyDescent="0.2">
      <c r="B95" s="2262" t="str">
        <f>IF(IF('1.Description'!$AA$9="english",C95,IF('1.Description'!$AA$9="français",D95,E95))=0,"",IF('1.Description'!$AA$9="english",C95,IF('1.Description'!$AA$9="français",D95,E95)))</f>
        <v>CH4</v>
      </c>
      <c r="C95" s="4440" t="s">
        <v>176</v>
      </c>
      <c r="D95" s="4440" t="s">
        <v>176</v>
      </c>
      <c r="E95" s="1064" t="s">
        <v>176</v>
      </c>
    </row>
    <row r="96" spans="1:5" x14ac:dyDescent="0.2">
      <c r="B96" s="2262" t="str">
        <f>IF(IF('1.Description'!$AA$9="english",C96,IF('1.Description'!$AA$9="français",D96,E96))=0,"",IF('1.Description'!$AA$9="english",C96,IF('1.Description'!$AA$9="français",D96,E96)))</f>
        <v>N2O</v>
      </c>
      <c r="C96" s="4440" t="s">
        <v>177</v>
      </c>
      <c r="D96" s="4440" t="s">
        <v>177</v>
      </c>
      <c r="E96" s="1064" t="s">
        <v>177</v>
      </c>
    </row>
    <row r="97" spans="1:5" x14ac:dyDescent="0.2">
      <c r="B97" s="2262" t="str">
        <f>IF(IF('1.Description'!$AA$9="english",C97,IF('1.Description'!$AA$9="français",D97,E97))=0,"",IF('1.Description'!$AA$9="english",C97,IF('1.Description'!$AA$9="français",D97,E97)))</f>
        <v>gC/kg d.m.</v>
      </c>
      <c r="C97" s="4440" t="s">
        <v>1047</v>
      </c>
      <c r="D97" s="4440" t="s">
        <v>4253</v>
      </c>
      <c r="E97" s="1064" t="s">
        <v>4690</v>
      </c>
    </row>
    <row r="98" spans="1:5" x14ac:dyDescent="0.2">
      <c r="B98" s="2262" t="str">
        <f>IF(IF('1.Description'!$AA$9="english",C98,IF('1.Description'!$AA$9="français",D98,E98))=0,"",IF('1.Description'!$AA$9="english",C98,IF('1.Description'!$AA$9="français",D98,E98)))</f>
        <v>gCO/kg d.m.</v>
      </c>
      <c r="C98" s="4440" t="s">
        <v>1048</v>
      </c>
      <c r="D98" s="4440" t="s">
        <v>4254</v>
      </c>
      <c r="E98" s="1064" t="s">
        <v>4691</v>
      </c>
    </row>
    <row r="99" spans="1:5" x14ac:dyDescent="0.2">
      <c r="B99" s="2262" t="str">
        <f>IF(IF('1.Description'!$AA$9="english",C99,IF('1.Description'!$AA$9="français",D99,E99))=0,"",IF('1.Description'!$AA$9="english",C99,IF('1.Description'!$AA$9="français",D99,E99)))</f>
        <v>gCH4/kg d.m.</v>
      </c>
      <c r="C99" s="4440" t="s">
        <v>1049</v>
      </c>
      <c r="D99" s="4440" t="s">
        <v>4255</v>
      </c>
      <c r="E99" s="1064" t="s">
        <v>4692</v>
      </c>
    </row>
    <row r="100" spans="1:5" x14ac:dyDescent="0.2">
      <c r="B100" s="2262" t="str">
        <f>IF(IF('1.Description'!$AA$9="english",C100,IF('1.Description'!$AA$9="français",D100,E100))=0,"",IF('1.Description'!$AA$9="english",C100,IF('1.Description'!$AA$9="français",D100,E100)))</f>
        <v/>
      </c>
      <c r="C100" s="4440"/>
    </row>
    <row r="101" spans="1:5" x14ac:dyDescent="0.2">
      <c r="B101" s="2262" t="str">
        <f>IF(IF('1.Description'!$AA$9="english",C101,IF('1.Description'!$AA$9="français",D101,E101))=0,"",IF('1.Description'!$AA$9="english",C101,IF('1.Description'!$AA$9="français",D101,E101)))</f>
        <v/>
      </c>
    </row>
    <row r="102" spans="1:5" x14ac:dyDescent="0.2">
      <c r="B102" s="2262" t="str">
        <f>IF(IF('1.Description'!$AA$9="english",C102,IF('1.Description'!$AA$9="français",D102,E102))=0,"",IF('1.Description'!$AA$9="english",C102,IF('1.Description'!$AA$9="français",D102,E102)))</f>
        <v/>
      </c>
    </row>
    <row r="103" spans="1:5" x14ac:dyDescent="0.2">
      <c r="B103" s="2262" t="str">
        <f>IF(IF('1.Description'!$AA$9="english",C103,IF('1.Description'!$AA$9="français",D103,E103))=0,"",IF('1.Description'!$AA$9="english",C103,IF('1.Description'!$AA$9="français",D103,E103)))</f>
        <v/>
      </c>
    </row>
    <row r="104" spans="1:5" x14ac:dyDescent="0.2">
      <c r="B104" s="2262" t="str">
        <f>IF(IF('1.Description'!$AA$9="english",C104,IF('1.Description'!$AA$9="français",D104,E104))=0,"",IF('1.Description'!$AA$9="english",C104,IF('1.Description'!$AA$9="français",D104,E104)))</f>
        <v>Description</v>
      </c>
      <c r="C104" s="1064" t="s">
        <v>387</v>
      </c>
      <c r="D104" s="1064" t="s">
        <v>387</v>
      </c>
      <c r="E104" s="1064" t="s">
        <v>4466</v>
      </c>
    </row>
    <row r="105" spans="1:5" x14ac:dyDescent="0.2">
      <c r="A105" s="1064" t="s">
        <v>3484</v>
      </c>
      <c r="B105" s="2262" t="str">
        <f>IF(IF('1.Description'!$AA$9="english",C105,IF('1.Description'!$AA$9="français",D105,E105))=0,"",IF('1.Description'!$AA$9="english",C105,IF('1.Description'!$AA$9="français",D105,E105)))</f>
        <v>Fill with your description</v>
      </c>
      <c r="C105" s="1064" t="s">
        <v>3485</v>
      </c>
      <c r="D105" s="1064" t="s">
        <v>3848</v>
      </c>
      <c r="E105" s="1064" t="s">
        <v>4467</v>
      </c>
    </row>
    <row r="106" spans="1:5" x14ac:dyDescent="0.2">
      <c r="A106" s="1064" t="s">
        <v>3484</v>
      </c>
      <c r="B106" s="2262" t="str">
        <f>IF(IF('1.Description'!$AA$9="english",C106,IF('1.Description'!$AA$9="français",D106,E106))=0,"",IF('1.Description'!$AA$9="english",C106,IF('1.Description'!$AA$9="français",D106,E106)))</f>
        <v xml:space="preserve">Main season  </v>
      </c>
      <c r="C106" s="1064" t="s">
        <v>395</v>
      </c>
      <c r="D106" s="1064" t="s">
        <v>3849</v>
      </c>
      <c r="E106" s="1064" t="s">
        <v>4468</v>
      </c>
    </row>
    <row r="107" spans="1:5" x14ac:dyDescent="0.2">
      <c r="A107" s="1064" t="s">
        <v>3484</v>
      </c>
      <c r="B107" s="2262" t="str">
        <f>IF(IF('1.Description'!$AA$9="english",C107,IF('1.Description'!$AA$9="français",D107,E107))=0,"",IF('1.Description'!$AA$9="english",C107,IF('1.Description'!$AA$9="français",D107,E107)))</f>
        <v>crop</v>
      </c>
      <c r="C107" s="1064" t="s">
        <v>401</v>
      </c>
      <c r="D107" s="1064" t="s">
        <v>4129</v>
      </c>
      <c r="E107" s="1064" t="s">
        <v>4469</v>
      </c>
    </row>
    <row r="108" spans="1:5" x14ac:dyDescent="0.2">
      <c r="A108" s="1064" t="s">
        <v>3484</v>
      </c>
      <c r="B108" s="2262" t="str">
        <f>IF(IF('1.Description'!$AA$9="english",C108,IF('1.Description'!$AA$9="français",D108,E108))=0,"",IF('1.Description'!$AA$9="english",C108,IF('1.Description'!$AA$9="français",D108,E108)))</f>
        <v>Tillage</v>
      </c>
      <c r="C108" s="1064" t="s">
        <v>396</v>
      </c>
      <c r="D108" s="1064" t="s">
        <v>4131</v>
      </c>
      <c r="E108" s="1064" t="s">
        <v>5166</v>
      </c>
    </row>
    <row r="109" spans="1:5" x14ac:dyDescent="0.2">
      <c r="A109" s="1064" t="s">
        <v>3484</v>
      </c>
      <c r="B109" s="2262" t="str">
        <f>IF(IF('1.Description'!$AA$9="english",C109,IF('1.Description'!$AA$9="français",D109,E109))=0,"",IF('1.Description'!$AA$9="english",C109,IF('1.Description'!$AA$9="français",D109,E109)))</f>
        <v>management</v>
      </c>
      <c r="C109" s="1064" t="s">
        <v>402</v>
      </c>
    </row>
    <row r="110" spans="1:5" x14ac:dyDescent="0.2">
      <c r="A110" s="1064" t="s">
        <v>3484</v>
      </c>
      <c r="B110" s="2262" t="str">
        <f>IF(IF('1.Description'!$AA$9="english",C110,IF('1.Description'!$AA$9="français",D110,E110))=0,"",IF('1.Description'!$AA$9="english",C110,IF('1.Description'!$AA$9="français",D110,E110)))</f>
        <v>Input of</v>
      </c>
      <c r="C110" s="1064" t="s">
        <v>397</v>
      </c>
      <c r="D110" s="1064" t="s">
        <v>4130</v>
      </c>
      <c r="E110" s="1064" t="s">
        <v>4471</v>
      </c>
    </row>
    <row r="111" spans="1:5" x14ac:dyDescent="0.2">
      <c r="A111" s="1064" t="s">
        <v>3484</v>
      </c>
      <c r="B111" s="2262" t="str">
        <f>IF(IF('1.Description'!$AA$9="english",C111,IF('1.Description'!$AA$9="français",D111,E111))=0,"",IF('1.Description'!$AA$9="english",C111,IF('1.Description'!$AA$9="français",D111,E111)))</f>
        <v xml:space="preserve"> organic material</v>
      </c>
      <c r="C111" s="1064" t="s">
        <v>403</v>
      </c>
      <c r="D111" s="1064" t="s">
        <v>4232</v>
      </c>
      <c r="E111" s="1064" t="s">
        <v>4472</v>
      </c>
    </row>
    <row r="112" spans="1:5" x14ac:dyDescent="0.2">
      <c r="A112" s="1064" t="s">
        <v>3484</v>
      </c>
      <c r="B112" s="2262" t="str">
        <f>IF(IF('1.Description'!$AA$9="english",C112,IF('1.Description'!$AA$9="français",D112,E112))=0,"",IF('1.Description'!$AA$9="english",C112,IF('1.Description'!$AA$9="français",D112,E112)))</f>
        <v xml:space="preserve">Residue </v>
      </c>
      <c r="C112" s="1064" t="s">
        <v>398</v>
      </c>
      <c r="D112" s="1064" t="s">
        <v>4132</v>
      </c>
      <c r="E112" s="1064" t="s">
        <v>4470</v>
      </c>
    </row>
    <row r="113" spans="1:9" x14ac:dyDescent="0.2">
      <c r="A113" s="1064" t="s">
        <v>3484</v>
      </c>
      <c r="B113" s="2262" t="str">
        <f>IF(IF('1.Description'!$AA$9="english",C113,IF('1.Description'!$AA$9="français",D113,E113))=0,"",IF('1.Description'!$AA$9="english",C113,IF('1.Description'!$AA$9="français",D113,E113)))</f>
        <v>management</v>
      </c>
      <c r="C113" s="1064" t="s">
        <v>402</v>
      </c>
      <c r="D113" s="1064" t="s">
        <v>4133</v>
      </c>
      <c r="E113" s="1064" t="s">
        <v>5165</v>
      </c>
    </row>
    <row r="114" spans="1:9" x14ac:dyDescent="0.2">
      <c r="A114" s="1064" t="s">
        <v>3484</v>
      </c>
      <c r="B114" s="2262" t="str">
        <f>IF(IF('1.Description'!$AA$9="english",C114,IF('1.Description'!$AA$9="français",D114,E114))=0,"",IF('1.Description'!$AA$9="english",C114,IF('1.Description'!$AA$9="français",D114,E114)))</f>
        <v>Yield</v>
      </c>
      <c r="C114" s="1064" t="s">
        <v>399</v>
      </c>
      <c r="D114" s="1064" t="s">
        <v>3850</v>
      </c>
      <c r="E114" s="1064" t="s">
        <v>4473</v>
      </c>
    </row>
    <row r="115" spans="1:9" x14ac:dyDescent="0.2">
      <c r="A115" s="1064" t="s">
        <v>3484</v>
      </c>
      <c r="B115" s="2262" t="str">
        <f>IF(IF('1.Description'!$AA$9="english",C115,IF('1.Description'!$AA$9="français",D115,E115))=0,"",IF('1.Description'!$AA$9="english",C115,IF('1.Description'!$AA$9="français",D115,E115)))</f>
        <v>Area (ha)</v>
      </c>
      <c r="C115" s="1064" t="s">
        <v>323</v>
      </c>
      <c r="D115" s="1064" t="s">
        <v>3851</v>
      </c>
      <c r="E115" s="1064" t="s">
        <v>4474</v>
      </c>
    </row>
    <row r="116" spans="1:9" x14ac:dyDescent="0.2">
      <c r="A116" s="1064" t="s">
        <v>3484</v>
      </c>
      <c r="B116" s="2262" t="str">
        <f>IF(IF('1.Description'!$AA$9="english",C116,IF('1.Description'!$AA$9="français",D116,E116))=0,"",IF('1.Description'!$AA$9="english",C116,IF('1.Description'!$AA$9="français",D116,E116)))</f>
        <v>Start</v>
      </c>
      <c r="C116" s="1064" t="s">
        <v>219</v>
      </c>
      <c r="D116" s="1064" t="s">
        <v>334</v>
      </c>
      <c r="E116" s="1064" t="s">
        <v>4412</v>
      </c>
    </row>
    <row r="117" spans="1:9" x14ac:dyDescent="0.2">
      <c r="A117" s="1064" t="s">
        <v>3484</v>
      </c>
      <c r="B117" s="2262" t="str">
        <f>IF(IF('1.Description'!$AA$9="english",C117,IF('1.Description'!$AA$9="français",D117,E117))=0,"",IF('1.Description'!$AA$9="english",C117,IF('1.Description'!$AA$9="français",D117,E117)))</f>
        <v>Without</v>
      </c>
      <c r="C117" s="1064" t="s">
        <v>179</v>
      </c>
      <c r="D117" s="1064" t="s">
        <v>4116</v>
      </c>
      <c r="E117" s="1064" t="s">
        <v>4413</v>
      </c>
    </row>
    <row r="118" spans="1:9" x14ac:dyDescent="0.2">
      <c r="A118" s="1064" t="s">
        <v>3484</v>
      </c>
      <c r="B118" s="2262" t="str">
        <f>IF(IF('1.Description'!$AA$9="english",C118,IF('1.Description'!$AA$9="français",D118,E118))=0,"",IF('1.Description'!$AA$9="english",C118,IF('1.Description'!$AA$9="français",D118,E118)))</f>
        <v>With</v>
      </c>
      <c r="C118" s="1064" t="s">
        <v>180</v>
      </c>
      <c r="D118" s="1064" t="s">
        <v>3802</v>
      </c>
      <c r="E118" s="1064" t="s">
        <v>4414</v>
      </c>
    </row>
    <row r="119" spans="1:9" x14ac:dyDescent="0.2">
      <c r="A119" s="1064" t="s">
        <v>3484</v>
      </c>
      <c r="B119" s="2262" t="str">
        <f>IF(IF('1.Description'!$AA$9="english",C119,IF('1.Description'!$AA$9="français",D119,E119))=0,"",IF('1.Description'!$AA$9="english",C119,IF('1.Description'!$AA$9="français",D119,E119)))</f>
        <v>Total Emissions (tCO2-e)</v>
      </c>
      <c r="C119" s="1064" t="s">
        <v>3486</v>
      </c>
      <c r="D119" s="1064" t="s">
        <v>3775</v>
      </c>
      <c r="E119" s="1064" t="s">
        <v>4410</v>
      </c>
    </row>
    <row r="120" spans="1:9" x14ac:dyDescent="0.2">
      <c r="A120" s="1064" t="s">
        <v>3484</v>
      </c>
      <c r="B120" s="2262" t="str">
        <f>IF(IF('1.Description'!$AA$9="english",C120,IF('1.Description'!$AA$9="français",D120,E120))=0,"",IF('1.Description'!$AA$9="english",C120,IF('1.Description'!$AA$9="français",D120,E120)))</f>
        <v>Balance</v>
      </c>
      <c r="C120" s="1064" t="s">
        <v>376</v>
      </c>
      <c r="D120" s="1064" t="s">
        <v>376</v>
      </c>
      <c r="E120" s="1064" t="s">
        <v>4411</v>
      </c>
    </row>
    <row r="121" spans="1:9" x14ac:dyDescent="0.2">
      <c r="A121" s="1064" t="s">
        <v>3484</v>
      </c>
      <c r="B121" s="2262" t="str">
        <f>IF(IF('1.Description'!$AA$9="english",C121,IF('1.Description'!$AA$9="français",D121,E121))=0,"",IF('1.Description'!$AA$9="english",C121,IF('1.Description'!$AA$9="français",D121,E121)))</f>
        <v>Total annual cropping systems (tCO2-e)</v>
      </c>
      <c r="C121" s="1064" t="s">
        <v>3487</v>
      </c>
      <c r="D121" s="1064" t="s">
        <v>4257</v>
      </c>
      <c r="E121" s="1064" t="s">
        <v>4475</v>
      </c>
    </row>
    <row r="122" spans="1:9" x14ac:dyDescent="0.2">
      <c r="A122" s="1064" t="s">
        <v>3484</v>
      </c>
      <c r="B122" s="2262" t="str">
        <f>IF(IF('1.Description'!$AA$9="english",C122,IF('1.Description'!$AA$9="français",D122,E122))=0,"",IF('1.Description'!$AA$9="english",C122,IF('1.Description'!$AA$9="français",D122,E122)))</f>
        <v>If country-specific data are available, please go to:</v>
      </c>
      <c r="C122" s="1064" t="s">
        <v>3488</v>
      </c>
      <c r="D122" s="1064" t="s">
        <v>3852</v>
      </c>
      <c r="E122" s="1064" t="s">
        <v>4476</v>
      </c>
    </row>
    <row r="123" spans="1:9" x14ac:dyDescent="0.2">
      <c r="A123" s="1064" t="s">
        <v>3484</v>
      </c>
      <c r="B123" s="2262" t="str">
        <f>IF(IF('1.Description'!$AA$9="english",C123,IF('1.Description'!$AA$9="français",D123,E123))=0,"",IF('1.Description'!$AA$9="english",C123,IF('1.Description'!$AA$9="français",D123,E123)))</f>
        <v>*The selection of "D"corresponds to a default (linear) dynamics of change. Other selection options include "I" for immediate changes and "E" for exponential - please refer to the guidelines for further explanation of these assumptions.</v>
      </c>
      <c r="C123" s="1064" t="s">
        <v>406</v>
      </c>
      <c r="D123" s="1064" t="s">
        <v>3853</v>
      </c>
      <c r="E123" s="1064" t="s">
        <v>4423</v>
      </c>
    </row>
    <row r="124" spans="1:9" s="1068" customFormat="1" x14ac:dyDescent="0.2">
      <c r="A124" s="1067" t="s">
        <v>3484</v>
      </c>
      <c r="B124" s="2262" t="str">
        <f>IF(IF('1.Description'!$AA$9="english",C124,IF('1.Description'!$AA$9="français",D124,E124))=0,"",IF('1.Description'!$AA$9="english",C124,IF('1.Description'!$AA$9="français",D124,E124)))</f>
        <v>3.1. ANNUAL CROPPING SYSTEMS (to be used also for pluri-annual systems such as cotton or sugarcane)</v>
      </c>
      <c r="C124" s="1067" t="s">
        <v>3489</v>
      </c>
      <c r="D124" s="1067" t="s">
        <v>4134</v>
      </c>
      <c r="E124" s="1064" t="s">
        <v>4477</v>
      </c>
      <c r="F124" s="1067"/>
      <c r="G124" s="1067"/>
      <c r="H124" s="1067"/>
      <c r="I124" s="1067"/>
    </row>
    <row r="125" spans="1:9" s="1068" customFormat="1" x14ac:dyDescent="0.2">
      <c r="A125" s="1067"/>
      <c r="B125" s="2262" t="str">
        <f>IF(IF('1.Description'!$AA$9="english",C125,IF('1.Description'!$AA$9="français",D125,E125))=0,"",IF('1.Description'!$AA$9="english",C125,IF('1.Description'!$AA$9="français",D125,E125)))</f>
        <v>Annuals after deforestation</v>
      </c>
      <c r="C125" s="1067" t="s">
        <v>390</v>
      </c>
      <c r="D125" s="1067" t="s">
        <v>4135</v>
      </c>
      <c r="E125" s="1064" t="s">
        <v>4693</v>
      </c>
      <c r="F125" s="1067"/>
      <c r="G125" s="1067"/>
      <c r="H125" s="1067"/>
      <c r="I125" s="1067"/>
    </row>
    <row r="126" spans="1:9" s="1068" customFormat="1" x14ac:dyDescent="0.2">
      <c r="A126" s="1067"/>
      <c r="B126" s="2262" t="str">
        <f>IF(IF('1.Description'!$AA$9="english",C126,IF('1.Description'!$AA$9="français",D126,E126))=0,"",IF('1.Description'!$AA$9="english",C126,IF('1.Description'!$AA$9="français",D126,E126)))</f>
        <v>Annuals converted to forest land</v>
      </c>
      <c r="C126" s="1067" t="s">
        <v>392</v>
      </c>
      <c r="D126" s="1067" t="s">
        <v>4136</v>
      </c>
      <c r="E126" s="1064" t="s">
        <v>4694</v>
      </c>
      <c r="F126" s="1067"/>
      <c r="G126" s="1067"/>
      <c r="H126" s="1067"/>
      <c r="I126" s="1067"/>
    </row>
    <row r="127" spans="1:9" s="1068" customFormat="1" x14ac:dyDescent="0.2">
      <c r="A127" s="1067"/>
      <c r="B127" s="2262" t="str">
        <f>IF(IF('1.Description'!$AA$9="english",C127,IF('1.Description'!$AA$9="français",D127,E127))=0,"",IF('1.Description'!$AA$9="english",C127,IF('1.Description'!$AA$9="français",D127,E127)))</f>
        <v>Annuals converted from non-forest LUs</v>
      </c>
      <c r="C127" s="1067" t="s">
        <v>393</v>
      </c>
      <c r="D127" s="1067" t="s">
        <v>4144</v>
      </c>
      <c r="E127" s="1064" t="s">
        <v>4695</v>
      </c>
      <c r="F127" s="1067"/>
      <c r="G127" s="1067"/>
      <c r="H127" s="1067"/>
      <c r="I127" s="1067"/>
    </row>
    <row r="128" spans="1:9" s="1068" customFormat="1" x14ac:dyDescent="0.2">
      <c r="A128" s="1067"/>
      <c r="B128" s="2262" t="str">
        <f>IF(IF('1.Description'!$AA$9="english",C128,IF('1.Description'!$AA$9="français",D128,E128))=0,"",IF('1.Description'!$AA$9="english",C128,IF('1.Description'!$AA$9="français",D128,E128)))</f>
        <v>Annuals converted to non-forest Lus</v>
      </c>
      <c r="C128" s="1067" t="s">
        <v>4382</v>
      </c>
      <c r="D128" s="1067" t="s">
        <v>4145</v>
      </c>
      <c r="E128" s="1064" t="s">
        <v>4696</v>
      </c>
      <c r="F128" s="1067"/>
      <c r="G128" s="1067"/>
      <c r="H128" s="1067"/>
      <c r="I128" s="1067"/>
    </row>
    <row r="129" spans="1:9" s="1068" customFormat="1" x14ac:dyDescent="0.2">
      <c r="A129" s="1067"/>
      <c r="B129" s="2262" t="str">
        <f>IF(IF('1.Description'!$AA$9="english",C129,IF('1.Description'!$AA$9="français",D129,E129))=0,"",IF('1.Description'!$AA$9="english",C129,IF('1.Description'!$AA$9="français",D129,E129)))</f>
        <v>You can use it to describe your system</v>
      </c>
      <c r="C129" s="1067" t="s">
        <v>404</v>
      </c>
      <c r="D129" s="1067" t="s">
        <v>3854</v>
      </c>
      <c r="E129" s="1064" t="s">
        <v>4697</v>
      </c>
      <c r="F129" s="1067"/>
      <c r="G129" s="1067"/>
      <c r="H129" s="1067"/>
      <c r="I129" s="1067"/>
    </row>
    <row r="130" spans="1:9" x14ac:dyDescent="0.2">
      <c r="A130" s="1064" t="s">
        <v>3484</v>
      </c>
      <c r="B130" s="2262" t="str">
        <f>IF(IF('1.Description'!$AA$9="english",C130,IF('1.Description'!$AA$9="français",D130,E130))=0,"",IF('1.Description'!$AA$9="english",C130,IF('1.Description'!$AA$9="français",D130,E130)))</f>
        <v>3.1.1. Annual cropping systems from other LU or converted to other LU</v>
      </c>
      <c r="C130" s="1064" t="s">
        <v>3490</v>
      </c>
      <c r="D130" s="1064" t="s">
        <v>4146</v>
      </c>
      <c r="E130" s="1064" t="s">
        <v>4478</v>
      </c>
    </row>
    <row r="131" spans="1:9" x14ac:dyDescent="0.2">
      <c r="A131" s="1064" t="s">
        <v>3484</v>
      </c>
      <c r="B131" s="2262" t="str">
        <f>IF(IF('1.Description'!$AA$9="english",C131,IF('1.Description'!$AA$9="français",D131,E131))=0,"",IF('1.Description'!$AA$9="english",C131,IF('1.Description'!$AA$9="français",D131,E131)))</f>
        <v>3.1.2. Annual cropping systems remaining annual cropping systems (total area must remain constant)</v>
      </c>
      <c r="C131" s="1064" t="s">
        <v>3491</v>
      </c>
      <c r="D131" s="1064" t="s">
        <v>4137</v>
      </c>
      <c r="E131" s="1064" t="s">
        <v>4479</v>
      </c>
    </row>
    <row r="132" spans="1:9" x14ac:dyDescent="0.2">
      <c r="A132" s="1064" t="s">
        <v>3484</v>
      </c>
      <c r="B132" s="2262" t="str">
        <f>IF(IF('1.Description'!$AA$9="english",C132,IF('1.Description'!$AA$9="français",D132,E132))=0,"",IF('1.Description'!$AA$9="english",C132,IF('1.Description'!$AA$9="français",D132,E132)))</f>
        <v>Annual systems from (or to) other land-use</v>
      </c>
      <c r="C132" s="1064" t="s">
        <v>3492</v>
      </c>
      <c r="D132" s="1064" t="s">
        <v>4138</v>
      </c>
      <c r="E132" s="1064" t="s">
        <v>4480</v>
      </c>
    </row>
    <row r="133" spans="1:9" x14ac:dyDescent="0.2">
      <c r="A133" s="1064" t="s">
        <v>3484</v>
      </c>
      <c r="B133" s="2262" t="str">
        <f>IF(IF('1.Description'!$AA$9="english",C133,IF('1.Description'!$AA$9="français",D133,E133))=0,"",IF('1.Description'!$AA$9="english",C133,IF('1.Description'!$AA$9="français",D133,E133)))</f>
        <v xml:space="preserve">Annual systems remaining annual systems </v>
      </c>
      <c r="C133" s="1064" t="s">
        <v>3493</v>
      </c>
      <c r="D133" s="1064" t="s">
        <v>4139</v>
      </c>
      <c r="E133" s="1064" t="s">
        <v>4481</v>
      </c>
    </row>
    <row r="134" spans="1:9" x14ac:dyDescent="0.2">
      <c r="A134" s="1064" t="s">
        <v>3484</v>
      </c>
      <c r="B134" s="2262" t="str">
        <f>IF(IF('1.Description'!$AA$9="english",C134,IF('1.Description'!$AA$9="français",D134,E134))=0,"",IF('1.Description'!$AA$9="english",C134,IF('1.Description'!$AA$9="français",D134,E134)))</f>
        <v>Reference SOC</v>
      </c>
      <c r="C134" s="1064" t="s">
        <v>3494</v>
      </c>
      <c r="D134" s="1064" t="s">
        <v>4258</v>
      </c>
      <c r="E134" s="1064" t="s">
        <v>4482</v>
      </c>
    </row>
    <row r="135" spans="1:9" x14ac:dyDescent="0.2">
      <c r="A135" s="1064" t="s">
        <v>3484</v>
      </c>
      <c r="B135" s="2262" t="str">
        <f>IF(IF('1.Description'!$AA$9="english",C135,IF('1.Description'!$AA$9="français",D135,E135))=0,"",IF('1.Description'!$AA$9="english",C135,IF('1.Description'!$AA$9="français",D135,E135)))</f>
        <v>Land-use factor</v>
      </c>
      <c r="C135" s="1064" t="s">
        <v>3495</v>
      </c>
      <c r="D135" s="1064" t="s">
        <v>3855</v>
      </c>
      <c r="E135" s="1064" t="s">
        <v>4483</v>
      </c>
    </row>
    <row r="136" spans="1:9" x14ac:dyDescent="0.2">
      <c r="A136" s="1064" t="s">
        <v>3484</v>
      </c>
      <c r="B136" s="2262" t="str">
        <f>IF(IF('1.Description'!$AA$9="english",C136,IF('1.Description'!$AA$9="français",D136,E136))=0,"",IF('1.Description'!$AA$9="english",C136,IF('1.Description'!$AA$9="français",D136,E136)))</f>
        <v>Tillage factor</v>
      </c>
      <c r="C136" s="1064" t="s">
        <v>383</v>
      </c>
      <c r="D136" s="1064" t="s">
        <v>3856</v>
      </c>
      <c r="E136" s="1064" t="s">
        <v>4484</v>
      </c>
    </row>
    <row r="137" spans="1:9" x14ac:dyDescent="0.2">
      <c r="A137" s="1064" t="s">
        <v>3484</v>
      </c>
      <c r="B137" s="2262" t="str">
        <f>IF(IF('1.Description'!$AA$9="english",C137,IF('1.Description'!$AA$9="français",D137,E137))=0,"",IF('1.Description'!$AA$9="english",C137,IF('1.Description'!$AA$9="français",D137,E137)))</f>
        <v>Input factor</v>
      </c>
      <c r="C137" s="1064" t="s">
        <v>384</v>
      </c>
      <c r="D137" s="1064" t="s">
        <v>4140</v>
      </c>
      <c r="E137" s="1064" t="s">
        <v>4485</v>
      </c>
    </row>
    <row r="138" spans="1:9" x14ac:dyDescent="0.2">
      <c r="A138" s="1064" t="s">
        <v>3484</v>
      </c>
      <c r="B138" s="2262" t="str">
        <f>IF(IF('1.Description'!$AA$9="english",C138,IF('1.Description'!$AA$9="français",D138,E138))=0,"",IF('1.Description'!$AA$9="english",C138,IF('1.Description'!$AA$9="français",D138,E138)))</f>
        <v>Minor season crop/intercrop</v>
      </c>
      <c r="C138" s="1064" t="s">
        <v>3496</v>
      </c>
      <c r="D138" s="1064" t="s">
        <v>3857</v>
      </c>
      <c r="E138" s="1064" t="s">
        <v>4486</v>
      </c>
    </row>
    <row r="139" spans="1:9" x14ac:dyDescent="0.2">
      <c r="A139" s="1064" t="s">
        <v>3484</v>
      </c>
      <c r="B139" s="2262" t="str">
        <f>IF(IF('1.Description'!$AA$9="english",C139,IF('1.Description'!$AA$9="français",D139,E139))=0,"",IF('1.Description'!$AA$9="english",C139,IF('1.Description'!$AA$9="français",D139,E139)))</f>
        <v>Residue/Biomass available</v>
      </c>
      <c r="C139" s="1064" t="s">
        <v>385</v>
      </c>
      <c r="D139" s="1064" t="s">
        <v>3858</v>
      </c>
      <c r="E139" s="1064" t="s">
        <v>4698</v>
      </c>
    </row>
    <row r="140" spans="1:9" x14ac:dyDescent="0.2">
      <c r="A140" s="1064" t="s">
        <v>3484</v>
      </c>
      <c r="B140" s="2262" t="str">
        <f>IF(IF('1.Description'!$AA$9="english",C140,IF('1.Description'!$AA$9="français",D140,E140))=0,"",IF('1.Description'!$AA$9="english",C140,IF('1.Description'!$AA$9="français",D140,E140)))</f>
        <v>Default</v>
      </c>
      <c r="C140" s="1064" t="s">
        <v>65</v>
      </c>
      <c r="D140" s="1064" t="s">
        <v>3805</v>
      </c>
      <c r="E140" s="1064" t="s">
        <v>4417</v>
      </c>
    </row>
    <row r="141" spans="1:9" x14ac:dyDescent="0.2">
      <c r="A141" s="1064" t="s">
        <v>3484</v>
      </c>
      <c r="B141" s="2262" t="str">
        <f>IF(IF('1.Description'!$AA$9="english",C141,IF('1.Description'!$AA$9="français",D141,E141))=0,"",IF('1.Description'!$AA$9="english",C141,IF('1.Description'!$AA$9="français",D141,E141)))</f>
        <v>Tier 2</v>
      </c>
      <c r="C141" s="1064" t="s">
        <v>66</v>
      </c>
      <c r="D141" s="1064" t="s">
        <v>66</v>
      </c>
      <c r="E141" s="1064" t="s">
        <v>66</v>
      </c>
    </row>
    <row r="142" spans="1:9" x14ac:dyDescent="0.2">
      <c r="A142" s="1064" t="s">
        <v>3484</v>
      </c>
      <c r="B142" s="2262" t="str">
        <f>IF(IF('1.Description'!$AA$9="english",C142,IF('1.Description'!$AA$9="français",D142,E142))=0,"",IF('1.Description'!$AA$9="english",C142,IF('1.Description'!$AA$9="français",D142,E142)))</f>
        <v>Crop</v>
      </c>
      <c r="C142" s="1064" t="s">
        <v>2878</v>
      </c>
      <c r="D142" s="1064" t="s">
        <v>4141</v>
      </c>
      <c r="E142" s="1064" t="s">
        <v>5163</v>
      </c>
    </row>
    <row r="143" spans="1:9" x14ac:dyDescent="0.2">
      <c r="A143" s="1064" t="s">
        <v>3484</v>
      </c>
      <c r="B143" s="2262" t="str">
        <f>IF(IF('1.Description'!$AA$9="english",C143,IF('1.Description'!$AA$9="français",D143,E143))=0,"",IF('1.Description'!$AA$9="english",C143,IF('1.Description'!$AA$9="français",D143,E143)))</f>
        <v>Yield</v>
      </c>
      <c r="C143" s="1064" t="s">
        <v>399</v>
      </c>
      <c r="D143" s="1064" t="s">
        <v>3850</v>
      </c>
      <c r="E143" s="1064" t="s">
        <v>4473</v>
      </c>
    </row>
    <row r="144" spans="1:9" x14ac:dyDescent="0.2">
      <c r="A144" s="1064" t="s">
        <v>3484</v>
      </c>
      <c r="B144" s="2262" t="str">
        <f>IF(IF('1.Description'!$AA$9="english",C144,IF('1.Description'!$AA$9="français",D144,E144))=0,"",IF('1.Description'!$AA$9="english",C144,IF('1.Description'!$AA$9="français",D144,E144)))</f>
        <v>Main season</v>
      </c>
      <c r="C144" s="1064" t="s">
        <v>3774</v>
      </c>
      <c r="D144" s="1064" t="s">
        <v>3859</v>
      </c>
      <c r="E144" s="1064" t="s">
        <v>5164</v>
      </c>
    </row>
    <row r="145" spans="1:5" x14ac:dyDescent="0.2">
      <c r="A145" s="1064" t="s">
        <v>3484</v>
      </c>
      <c r="B145" s="2262" t="str">
        <f>IF(IF('1.Description'!$AA$9="english",C145,IF('1.Description'!$AA$9="français",D145,E145))=0,"",IF('1.Description'!$AA$9="english",C145,IF('1.Description'!$AA$9="français",D145,E145)))</f>
        <v>Minor season crop</v>
      </c>
      <c r="C145" s="1064" t="s">
        <v>380</v>
      </c>
      <c r="D145" s="1064" t="s">
        <v>4142</v>
      </c>
      <c r="E145" s="1064" t="s">
        <v>4487</v>
      </c>
    </row>
    <row r="146" spans="1:5" x14ac:dyDescent="0.2">
      <c r="A146" s="1064" t="s">
        <v>3484</v>
      </c>
      <c r="B146" s="2262" t="str">
        <f>IF(IF('1.Description'!$AA$9="english",C146,IF('1.Description'!$AA$9="français",D146,E146))=0,"",IF('1.Description'!$AA$9="english",C146,IF('1.Description'!$AA$9="français",D146,E146)))</f>
        <v>Management options for annual cropping systems</v>
      </c>
      <c r="C146" s="1064" t="s">
        <v>381</v>
      </c>
      <c r="D146" s="1064" t="s">
        <v>4143</v>
      </c>
      <c r="E146" s="1064" t="s">
        <v>4488</v>
      </c>
    </row>
    <row r="147" spans="1:5" x14ac:dyDescent="0.2">
      <c r="A147" s="1064" t="s">
        <v>3484</v>
      </c>
      <c r="B147" s="2262" t="str">
        <f>IF(IF('1.Description'!$AA$9="english",C147,IF('1.Description'!$AA$9="français",D147,E147))=0,"",IF('1.Description'!$AA$9="english",C147,IF('1.Description'!$AA$9="français",D147,E147)))</f>
        <v>3.2. PERENNIAL CROPPING SYSTEMS (e.g. agroforestry, orchards, tree crops etc.)</v>
      </c>
      <c r="C147" s="1064" t="s">
        <v>3497</v>
      </c>
      <c r="D147" s="1064" t="s">
        <v>4147</v>
      </c>
      <c r="E147" s="1064" t="s">
        <v>4489</v>
      </c>
    </row>
    <row r="148" spans="1:5" x14ac:dyDescent="0.2">
      <c r="A148" s="1064" t="s">
        <v>3484</v>
      </c>
      <c r="B148" s="2262" t="str">
        <f>IF(IF('1.Description'!$AA$9="english",C148,IF('1.Description'!$AA$9="français",D148,E148))=0,"",IF('1.Description'!$AA$9="english",C148,IF('1.Description'!$AA$9="français",D148,E148)))</f>
        <v xml:space="preserve">3.2.1. Perennial systems from other LU or converted to other LU </v>
      </c>
      <c r="C148" s="1064" t="s">
        <v>3498</v>
      </c>
      <c r="D148" s="1064" t="s">
        <v>4149</v>
      </c>
      <c r="E148" s="1064" t="s">
        <v>4490</v>
      </c>
    </row>
    <row r="149" spans="1:5" x14ac:dyDescent="0.2">
      <c r="A149" s="1064" t="s">
        <v>3484</v>
      </c>
      <c r="B149" s="2262" t="str">
        <f>IF(IF('1.Description'!$AA$9="english",C149,IF('1.Description'!$AA$9="français",D149,E149))=0,"",IF('1.Description'!$AA$9="english",C149,IF('1.Description'!$AA$9="français",D149,E149)))</f>
        <v>3.2.2. Perennial systems remaining perennial systems (total area must remain constant)</v>
      </c>
      <c r="C149" s="1064" t="s">
        <v>3499</v>
      </c>
      <c r="D149" s="1064" t="s">
        <v>4150</v>
      </c>
      <c r="E149" s="1064" t="s">
        <v>4491</v>
      </c>
    </row>
    <row r="150" spans="1:5" x14ac:dyDescent="0.2">
      <c r="A150" s="1064" t="s">
        <v>3484</v>
      </c>
      <c r="B150" s="2262" t="str">
        <f>IF(IF('1.Description'!$AA$9="english",C150,IF('1.Description'!$AA$9="français",D150,E150))=0,"",IF('1.Description'!$AA$9="english",C150,IF('1.Description'!$AA$9="français",D150,E150)))</f>
        <v>Fill with your description</v>
      </c>
      <c r="C150" s="1064" t="s">
        <v>3485</v>
      </c>
      <c r="D150" s="1064" t="s">
        <v>3848</v>
      </c>
      <c r="E150" s="1064" t="s">
        <v>4467</v>
      </c>
    </row>
    <row r="151" spans="1:5" x14ac:dyDescent="0.2">
      <c r="A151" s="1064" t="s">
        <v>3484</v>
      </c>
      <c r="B151" s="2262" t="str">
        <f>IF(IF('1.Description'!$AA$9="english",C151,IF('1.Description'!$AA$9="français",D151,E151))=0,"",IF('1.Description'!$AA$9="english",C151,IF('1.Description'!$AA$9="français",D151,E151)))</f>
        <v xml:space="preserve"> Agroforestry </v>
      </c>
      <c r="C151" s="1064" t="s">
        <v>409</v>
      </c>
      <c r="D151" s="1064" t="s">
        <v>3860</v>
      </c>
      <c r="E151" s="1064" t="s">
        <v>4493</v>
      </c>
    </row>
    <row r="152" spans="1:5" x14ac:dyDescent="0.2">
      <c r="A152" s="1064" t="s">
        <v>3484</v>
      </c>
      <c r="B152" s="2262" t="str">
        <f>IF(IF('1.Description'!$AA$9="english",C152,IF('1.Description'!$AA$9="français",D152,E152))=0,"",IF('1.Description'!$AA$9="english",C152,IF('1.Description'!$AA$9="français",D152,E152)))</f>
        <v>systems</v>
      </c>
      <c r="C152" s="1064" t="s">
        <v>414</v>
      </c>
      <c r="D152" s="1064" t="s">
        <v>4148</v>
      </c>
      <c r="E152" s="1064" t="s">
        <v>4492</v>
      </c>
    </row>
    <row r="153" spans="1:5" x14ac:dyDescent="0.2">
      <c r="A153" s="1064" t="s">
        <v>3484</v>
      </c>
      <c r="B153" s="2262" t="str">
        <f>IF(IF('1.Description'!$AA$9="english",C153,IF('1.Description'!$AA$9="français",D153,E153))=0,"",IF('1.Description'!$AA$9="english",C153,IF('1.Description'!$AA$9="français",D153,E153)))</f>
        <v>Crops under the same agroforestry</v>
      </c>
      <c r="C153" s="1064" t="s">
        <v>5194</v>
      </c>
      <c r="D153" s="1064" t="s">
        <v>5199</v>
      </c>
      <c r="E153" s="1064" t="s">
        <v>5197</v>
      </c>
    </row>
    <row r="154" spans="1:5" x14ac:dyDescent="0.2">
      <c r="A154" s="1064" t="s">
        <v>3484</v>
      </c>
      <c r="B154" s="2262" t="str">
        <f>IF(IF('1.Description'!$AA$9="english",C154,IF('1.Description'!$AA$9="français",D154,E154))=0,"",IF('1.Description'!$AA$9="english",C154,IF('1.Description'!$AA$9="français",D154,E154)))</f>
        <v>Crops with changes in  agroforestry</v>
      </c>
      <c r="C154" s="1064" t="s">
        <v>5196</v>
      </c>
      <c r="D154" s="1064" t="s">
        <v>5200</v>
      </c>
      <c r="E154" s="1064" t="s">
        <v>5198</v>
      </c>
    </row>
    <row r="155" spans="1:5" x14ac:dyDescent="0.2">
      <c r="A155" s="1064" t="s">
        <v>3484</v>
      </c>
      <c r="B155" s="2262" t="str">
        <f>IF(IF('1.Description'!$AA$9="english",C155,IF('1.Description'!$AA$9="français",D155,E155))=0,"",IF('1.Description'!$AA$9="english",C155,IF('1.Description'!$AA$9="français",D155,E155)))</f>
        <v>and changes in management options</v>
      </c>
      <c r="C155" s="1064" t="s">
        <v>5257</v>
      </c>
      <c r="D155" s="1064" t="s">
        <v>5259</v>
      </c>
      <c r="E155" s="1064" t="s">
        <v>5261</v>
      </c>
    </row>
    <row r="156" spans="1:5" x14ac:dyDescent="0.2">
      <c r="A156" s="1064" t="s">
        <v>3484</v>
      </c>
      <c r="B156" s="2262" t="str">
        <f>IF(IF('1.Description'!$AA$9="english",C156,IF('1.Description'!$AA$9="français",D156,E156))=0,"",IF('1.Description'!$AA$9="english",C156,IF('1.Description'!$AA$9="français",D156,E156)))</f>
        <v>and/or changes in management options</v>
      </c>
      <c r="C156" s="1064" t="s">
        <v>5258</v>
      </c>
      <c r="D156" s="1064" t="s">
        <v>5260</v>
      </c>
      <c r="E156" s="1064" t="s">
        <v>5262</v>
      </c>
    </row>
    <row r="157" spans="1:5" x14ac:dyDescent="0.2">
      <c r="A157" s="1064" t="s">
        <v>3484</v>
      </c>
      <c r="B157" s="2262" t="str">
        <f>IF(IF('1.Description'!$AA$9="english",C157,IF('1.Description'!$AA$9="français",D157,E157))=0,"",IF('1.Description'!$AA$9="english",C157,IF('1.Description'!$AA$9="français",D157,E157)))</f>
        <v>3.2.2.1. Crops remaining under the same agroforestry system with changes in management options</v>
      </c>
      <c r="C157" s="1064" t="s">
        <v>5273</v>
      </c>
      <c r="D157" s="1064" t="s">
        <v>5269</v>
      </c>
      <c r="E157" s="1064" t="s">
        <v>5271</v>
      </c>
    </row>
    <row r="158" spans="1:5" x14ac:dyDescent="0.2">
      <c r="A158" s="1064" t="s">
        <v>3484</v>
      </c>
      <c r="B158" s="2262" t="str">
        <f>IF(IF('1.Description'!$AA$9="english",C158,IF('1.Description'!$AA$9="français",D158,E158))=0,"",IF('1.Description'!$AA$9="english",C158,IF('1.Description'!$AA$9="français",D158,E158)))</f>
        <v>3.2.2.2. Changes in agroforestry systems (with or without changes in management options)</v>
      </c>
      <c r="C158" s="1064" t="s">
        <v>5275</v>
      </c>
      <c r="D158" s="1064" t="s">
        <v>5270</v>
      </c>
      <c r="E158" s="1064" t="s">
        <v>5272</v>
      </c>
    </row>
    <row r="159" spans="1:5" x14ac:dyDescent="0.2">
      <c r="A159" s="1064" t="s">
        <v>3484</v>
      </c>
      <c r="B159" s="2262" t="str">
        <f>IF(IF('1.Description'!$AA$9="english",C159,IF('1.Description'!$AA$9="français",D159,E159))=0,"",IF('1.Description'!$AA$9="english",C159,IF('1.Description'!$AA$9="français",D159,E159)))</f>
        <v>Total perennial cropping systems (tCO2-e)</v>
      </c>
      <c r="C159" s="1064" t="s">
        <v>3500</v>
      </c>
      <c r="D159" s="1064" t="s">
        <v>4259</v>
      </c>
      <c r="E159" s="1064" t="s">
        <v>4494</v>
      </c>
    </row>
    <row r="160" spans="1:5" x14ac:dyDescent="0.2">
      <c r="A160" s="1064" t="s">
        <v>3484</v>
      </c>
      <c r="B160" s="2262" t="str">
        <f>IF(IF('1.Description'!$AA$9="english",C160,IF('1.Description'!$AA$9="français",D160,E160))=0,"",IF('1.Description'!$AA$9="english",C160,IF('1.Description'!$AA$9="français",D160,E160)))</f>
        <v>Management options for perennial cropping systems</v>
      </c>
      <c r="C160" s="1064" t="s">
        <v>408</v>
      </c>
      <c r="D160" s="1064" t="s">
        <v>4151</v>
      </c>
      <c r="E160" s="1064" t="s">
        <v>4495</v>
      </c>
    </row>
    <row r="161" spans="1:5" x14ac:dyDescent="0.2">
      <c r="A161" s="1064" t="s">
        <v>3484</v>
      </c>
      <c r="B161" s="2262" t="str">
        <f>IF(IF('1.Description'!$AA$9="english",C161,IF('1.Description'!$AA$9="français",D161,E161))=0,"",IF('1.Description'!$AA$9="english",C161,IF('1.Description'!$AA$9="français",D161,E161)))</f>
        <v>Systems</v>
      </c>
      <c r="C161" s="1064" t="s">
        <v>3501</v>
      </c>
      <c r="D161" s="1064" t="s">
        <v>3860</v>
      </c>
      <c r="E161" s="1064" t="s">
        <v>4493</v>
      </c>
    </row>
    <row r="162" spans="1:5" ht="15" customHeight="1" x14ac:dyDescent="0.2">
      <c r="A162" s="1064" t="s">
        <v>3484</v>
      </c>
      <c r="B162" s="2262" t="str">
        <f>IF(IF('1.Description'!$AA$9="english",C162,IF('1.Description'!$AA$9="français",D162,E162))=0,"",IF('1.Description'!$AA$9="english",C162,IF('1.Description'!$AA$9="français",D162,E162)))</f>
        <v>Perennial systems from (or to) other land-uses</v>
      </c>
      <c r="C162" s="1062" t="s">
        <v>3502</v>
      </c>
      <c r="D162" s="1064" t="s">
        <v>3861</v>
      </c>
      <c r="E162" s="1064" t="s">
        <v>4496</v>
      </c>
    </row>
    <row r="163" spans="1:5" x14ac:dyDescent="0.2">
      <c r="A163" s="1064" t="s">
        <v>3484</v>
      </c>
      <c r="B163" s="2262" t="str">
        <f>IF(IF('1.Description'!$AA$9="english",C163,IF('1.Description'!$AA$9="français",D163,E163))=0,"",IF('1.Description'!$AA$9="english",C163,IF('1.Description'!$AA$9="français",D163,E163)))</f>
        <v xml:space="preserve">Perennial systems remaining perennial systems </v>
      </c>
      <c r="C163" s="1062" t="s">
        <v>420</v>
      </c>
      <c r="D163" s="1064" t="s">
        <v>3862</v>
      </c>
      <c r="E163" s="1064" t="s">
        <v>4497</v>
      </c>
    </row>
    <row r="164" spans="1:5" x14ac:dyDescent="0.2">
      <c r="A164" s="1064" t="s">
        <v>3484</v>
      </c>
      <c r="B164" s="2262" t="str">
        <f>IF(IF('1.Description'!$AA$9="english",C164,IF('1.Description'!$AA$9="français",D164,E164))=0,"",IF('1.Description'!$AA$9="english",C164,IF('1.Description'!$AA$9="français",D164,E164)))</f>
        <v xml:space="preserve">Above-ground </v>
      </c>
      <c r="C164" s="1063" t="s">
        <v>973</v>
      </c>
      <c r="D164" s="1064" t="s">
        <v>4152</v>
      </c>
      <c r="E164" s="1064" t="s">
        <v>4426</v>
      </c>
    </row>
    <row r="165" spans="1:5" x14ac:dyDescent="0.2">
      <c r="A165" s="1064" t="s">
        <v>3484</v>
      </c>
      <c r="B165" s="2262" t="str">
        <f>IF(IF('1.Description'!$AA$9="english",C165,IF('1.Description'!$AA$9="français",D165,E165))=0,"",IF('1.Description'!$AA$9="english",C165,IF('1.Description'!$AA$9="français",D165,E165)))</f>
        <v>growth rate (tC/ha/yr)</v>
      </c>
      <c r="C165" s="1063" t="s">
        <v>3503</v>
      </c>
      <c r="D165" s="1064" t="s">
        <v>4153</v>
      </c>
      <c r="E165" s="1064" t="s">
        <v>4498</v>
      </c>
    </row>
    <row r="166" spans="1:5" x14ac:dyDescent="0.2">
      <c r="A166" s="1064" t="s">
        <v>3484</v>
      </c>
      <c r="B166" s="2262" t="str">
        <f>IF(IF('1.Description'!$AA$9="english",C166,IF('1.Description'!$AA$9="français",D166,E166))=0,"",IF('1.Description'!$AA$9="english",C166,IF('1.Description'!$AA$9="français",D166,E166)))</f>
        <v xml:space="preserve">Below-ground </v>
      </c>
      <c r="C166" s="1064" t="s">
        <v>411</v>
      </c>
      <c r="D166" s="1064" t="s">
        <v>4152</v>
      </c>
      <c r="E166" s="1064" t="s">
        <v>4427</v>
      </c>
    </row>
    <row r="167" spans="1:5" x14ac:dyDescent="0.2">
      <c r="A167" s="1064" t="s">
        <v>3484</v>
      </c>
      <c r="B167" s="2262" t="str">
        <f>IF(IF('1.Description'!$AA$9="english",C167,IF('1.Description'!$AA$9="français",D167,E167))=0,"",IF('1.Description'!$AA$9="english",C167,IF('1.Description'!$AA$9="français",D167,E167)))</f>
        <v>growth rate (tC/ha/yr)</v>
      </c>
      <c r="C167" s="1064" t="s">
        <v>3503</v>
      </c>
      <c r="D167" s="1064" t="s">
        <v>4154</v>
      </c>
      <c r="E167" s="1064" t="s">
        <v>4498</v>
      </c>
    </row>
    <row r="168" spans="1:5" x14ac:dyDescent="0.2">
      <c r="A168" s="1064" t="s">
        <v>3484</v>
      </c>
      <c r="B168" s="2262" t="str">
        <f>IF(IF('1.Description'!$AA$9="english",C168,IF('1.Description'!$AA$9="français",D168,E168))=0,"",IF('1.Description'!$AA$9="english",C168,IF('1.Description'!$AA$9="français",D168,E168)))</f>
        <v>Reference SOC</v>
      </c>
      <c r="C168" s="1064" t="s">
        <v>3494</v>
      </c>
      <c r="D168" s="1064" t="s">
        <v>4258</v>
      </c>
      <c r="E168" s="1064" t="s">
        <v>4482</v>
      </c>
    </row>
    <row r="169" spans="1:5" x14ac:dyDescent="0.2">
      <c r="A169" s="1064" t="s">
        <v>3484</v>
      </c>
      <c r="B169" s="2262" t="str">
        <f>IF(IF('1.Description'!$AA$9="english",C169,IF('1.Description'!$AA$9="français",D169,E169))=0,"",IF('1.Description'!$AA$9="english",C169,IF('1.Description'!$AA$9="français",D169,E169)))</f>
        <v>Land-use factor</v>
      </c>
      <c r="C169" s="1064" t="s">
        <v>3495</v>
      </c>
      <c r="D169" s="1064" t="s">
        <v>3855</v>
      </c>
      <c r="E169" s="1064" t="s">
        <v>4483</v>
      </c>
    </row>
    <row r="170" spans="1:5" x14ac:dyDescent="0.2">
      <c r="A170" s="1064" t="s">
        <v>3484</v>
      </c>
      <c r="B170" s="2262" t="str">
        <f>IF(IF('1.Description'!$AA$9="english",C170,IF('1.Description'!$AA$9="français",D170,E170))=0,"",IF('1.Description'!$AA$9="english",C170,IF('1.Description'!$AA$9="français",D170,E170)))</f>
        <v>Tillage factor</v>
      </c>
      <c r="C170" s="1064" t="s">
        <v>383</v>
      </c>
      <c r="D170" s="1064" t="s">
        <v>3856</v>
      </c>
      <c r="E170" s="1064" t="s">
        <v>4484</v>
      </c>
    </row>
    <row r="171" spans="1:5" x14ac:dyDescent="0.2">
      <c r="A171" s="1064" t="s">
        <v>3484</v>
      </c>
      <c r="B171" s="2262" t="str">
        <f>IF(IF('1.Description'!$AA$9="english",C171,IF('1.Description'!$AA$9="français",D171,E171))=0,"",IF('1.Description'!$AA$9="english",C171,IF('1.Description'!$AA$9="français",D171,E171)))</f>
        <v>Input factor</v>
      </c>
      <c r="C171" s="1064" t="s">
        <v>384</v>
      </c>
      <c r="D171" s="1064" t="s">
        <v>4155</v>
      </c>
      <c r="E171" s="1064" t="s">
        <v>4485</v>
      </c>
    </row>
    <row r="172" spans="1:5" x14ac:dyDescent="0.2">
      <c r="B172" s="2262" t="str">
        <f>IF(IF('1.Description'!$AA$9="english",C172,IF('1.Description'!$AA$9="français",D172,E172))=0,"",IF('1.Description'!$AA$9="english",C172,IF('1.Description'!$AA$9="français",D172,E172)))</f>
        <v>Residue/</v>
      </c>
      <c r="C172" s="1064" t="s">
        <v>410</v>
      </c>
      <c r="D172" s="1064" t="s">
        <v>3863</v>
      </c>
      <c r="E172" s="1064" t="s">
        <v>4699</v>
      </c>
    </row>
    <row r="173" spans="1:5" x14ac:dyDescent="0.2">
      <c r="B173" s="2262" t="str">
        <f>IF(IF('1.Description'!$AA$9="english",C173,IF('1.Description'!$AA$9="français",D173,E173))=0,"",IF('1.Description'!$AA$9="english",C173,IF('1.Description'!$AA$9="français",D173,E173)))</f>
        <v xml:space="preserve">Biomass burning </v>
      </c>
      <c r="C173" s="1064" t="s">
        <v>415</v>
      </c>
      <c r="D173" s="1064" t="s">
        <v>3864</v>
      </c>
      <c r="E173" s="1064" t="s">
        <v>4700</v>
      </c>
    </row>
    <row r="174" spans="1:5" x14ac:dyDescent="0.2">
      <c r="B174" s="2262" t="str">
        <f>IF(IF('1.Description'!$AA$9="english",C174,IF('1.Description'!$AA$9="français",D174,E174))=0,"",IF('1.Description'!$AA$9="english",C174,IF('1.Description'!$AA$9="français",D174,E174)))</f>
        <v>Total (ha)</v>
      </c>
      <c r="C174" s="1064" t="s">
        <v>405</v>
      </c>
      <c r="D174" s="1064" t="s">
        <v>3865</v>
      </c>
      <c r="E174" s="1064" t="s">
        <v>405</v>
      </c>
    </row>
    <row r="175" spans="1:5" x14ac:dyDescent="0.2">
      <c r="B175" s="2262" t="str">
        <f>IF(IF('1.Description'!$AA$9="english",C175,IF('1.Description'!$AA$9="français",D175,E175))=0,"",IF('1.Description'!$AA$9="english",C175,IF('1.Description'!$AA$9="français",D175,E175)))</f>
        <v>Main season crop</v>
      </c>
      <c r="C175" s="1064" t="s">
        <v>379</v>
      </c>
      <c r="D175" s="1064" t="s">
        <v>3866</v>
      </c>
      <c r="E175" s="1064" t="s">
        <v>4701</v>
      </c>
    </row>
    <row r="176" spans="1:5" x14ac:dyDescent="0.2">
      <c r="B176" s="2262" t="str">
        <f>IF(IF('1.Description'!$AA$9="english",C176,IF('1.Description'!$AA$9="français",D176,E176))=0,"",IF('1.Description'!$AA$9="english",C176,IF('1.Description'!$AA$9="français",D176,E176)))</f>
        <v>Crop type</v>
      </c>
      <c r="C176" s="1064" t="s">
        <v>386</v>
      </c>
      <c r="D176" s="1064" t="s">
        <v>3867</v>
      </c>
      <c r="E176" s="1064" t="s">
        <v>4499</v>
      </c>
    </row>
    <row r="177" spans="1:5" x14ac:dyDescent="0.2">
      <c r="B177" s="2262" t="str">
        <f>IF(IF('1.Description'!$AA$9="english",C177,IF('1.Description'!$AA$9="français",D177,E177))=0,"",IF('1.Description'!$AA$9="english",C177,IF('1.Description'!$AA$9="français",D177,E177)))</f>
        <v>Perennials after deforestation</v>
      </c>
      <c r="C177" s="1064" t="s">
        <v>417</v>
      </c>
      <c r="D177" s="1064" t="s">
        <v>4156</v>
      </c>
      <c r="E177" s="1064" t="s">
        <v>4702</v>
      </c>
    </row>
    <row r="178" spans="1:5" x14ac:dyDescent="0.2">
      <c r="B178" s="2262" t="str">
        <f>IF(IF('1.Description'!$AA$9="english",C178,IF('1.Description'!$AA$9="français",D178,E178))=0,"",IF('1.Description'!$AA$9="english",C178,IF('1.Description'!$AA$9="français",D178,E178)))</f>
        <v>Perennials converted to forest land</v>
      </c>
      <c r="C178" s="1064" t="s">
        <v>418</v>
      </c>
      <c r="D178" s="1064" t="s">
        <v>4157</v>
      </c>
      <c r="E178" s="1064" t="s">
        <v>4703</v>
      </c>
    </row>
    <row r="179" spans="1:5" x14ac:dyDescent="0.2">
      <c r="B179" s="2262" t="str">
        <f>IF(IF('1.Description'!$AA$9="english",C179,IF('1.Description'!$AA$9="français",D179,E179))=0,"",IF('1.Description'!$AA$9="english",C179,IF('1.Description'!$AA$9="français",D179,E179)))</f>
        <v>Perennials converted from non-forest LUs</v>
      </c>
      <c r="C179" s="1064" t="s">
        <v>419</v>
      </c>
      <c r="D179" s="1064" t="s">
        <v>4260</v>
      </c>
      <c r="E179" s="1064" t="s">
        <v>4704</v>
      </c>
    </row>
    <row r="180" spans="1:5" x14ac:dyDescent="0.2">
      <c r="B180" s="2262" t="str">
        <f>IF(IF('1.Description'!$AA$9="english",C180,IF('1.Description'!$AA$9="français",D180,E180))=0,"",IF('1.Description'!$AA$9="english",C180,IF('1.Description'!$AA$9="français",D180,E180)))</f>
        <v>Perennials converted to non-forest Lus</v>
      </c>
      <c r="C180" s="1064" t="s">
        <v>4383</v>
      </c>
      <c r="D180" s="1064" t="s">
        <v>4261</v>
      </c>
      <c r="E180" s="1064" t="s">
        <v>4705</v>
      </c>
    </row>
    <row r="181" spans="1:5" x14ac:dyDescent="0.2">
      <c r="B181" s="2262" t="str">
        <f>IF(IF('1.Description'!$AA$9="english",C181,IF('1.Description'!$AA$9="français",D181,E181))=0,"",IF('1.Description'!$AA$9="english",C181,IF('1.Description'!$AA$9="français",D181,E181)))</f>
        <v>Rice after deforestation</v>
      </c>
      <c r="C181" s="1064" t="s">
        <v>439</v>
      </c>
      <c r="D181" s="1064" t="s">
        <v>3868</v>
      </c>
      <c r="E181" s="1064" t="s">
        <v>4706</v>
      </c>
    </row>
    <row r="182" spans="1:5" x14ac:dyDescent="0.2">
      <c r="B182" s="2262" t="str">
        <f>IF(IF('1.Description'!$AA$9="english",C182,IF('1.Description'!$AA$9="français",D182,E182))=0,"",IF('1.Description'!$AA$9="english",C182,IF('1.Description'!$AA$9="français",D182,E182)))</f>
        <v>Rice converted to forest land</v>
      </c>
      <c r="C182" s="1064" t="s">
        <v>440</v>
      </c>
      <c r="D182" s="1064" t="s">
        <v>3869</v>
      </c>
      <c r="E182" s="1064" t="s">
        <v>4707</v>
      </c>
    </row>
    <row r="183" spans="1:5" x14ac:dyDescent="0.2">
      <c r="B183" s="2262" t="str">
        <f>IF(IF('1.Description'!$AA$9="english",C183,IF('1.Description'!$AA$9="français",D183,E183))=0,"",IF('1.Description'!$AA$9="english",C183,IF('1.Description'!$AA$9="français",D183,E183)))</f>
        <v>Rice converted from non-forest LUs</v>
      </c>
      <c r="C183" s="1064" t="s">
        <v>441</v>
      </c>
      <c r="D183" s="1064" t="s">
        <v>4158</v>
      </c>
      <c r="E183" s="1064" t="s">
        <v>4708</v>
      </c>
    </row>
    <row r="184" spans="1:5" x14ac:dyDescent="0.2">
      <c r="B184" s="2262" t="str">
        <f>IF(IF('1.Description'!$AA$9="english",C184,IF('1.Description'!$AA$9="français",D184,E184))=0,"",IF('1.Description'!$AA$9="english",C184,IF('1.Description'!$AA$9="français",D184,E184)))</f>
        <v>Rice converted to non-forest Lus</v>
      </c>
      <c r="C184" s="1064" t="s">
        <v>4384</v>
      </c>
      <c r="D184" s="1064" t="s">
        <v>4159</v>
      </c>
      <c r="E184" s="1064" t="s">
        <v>4709</v>
      </c>
    </row>
    <row r="185" spans="1:5" x14ac:dyDescent="0.2">
      <c r="B185" s="2262" t="str">
        <f>IF(IF('1.Description'!$AA$9="english",C185,IF('1.Description'!$AA$9="français",D185,E185))=0,"",IF('1.Description'!$AA$9="english",C185,IF('1.Description'!$AA$9="français",D185,E185)))</f>
        <v>Residues burned</v>
      </c>
      <c r="C185" s="1064" t="s">
        <v>412</v>
      </c>
      <c r="D185" s="1064" t="s">
        <v>3870</v>
      </c>
      <c r="E185" s="1064" t="s">
        <v>4710</v>
      </c>
    </row>
    <row r="186" spans="1:5" x14ac:dyDescent="0.2">
      <c r="B186" s="2262" t="str">
        <f>IF(IF('1.Description'!$AA$9="english",C186,IF('1.Description'!$AA$9="français",D186,E186))=0,"",IF('1.Description'!$AA$9="english",C186,IF('1.Description'!$AA$9="français",D186,E186)))</f>
        <v>3.3.2. Flooded rice systems remaining flooded rice systems</v>
      </c>
      <c r="C186" s="1064" t="s">
        <v>442</v>
      </c>
      <c r="D186" s="1064" t="s">
        <v>3871</v>
      </c>
      <c r="E186" s="1064" t="s">
        <v>4711</v>
      </c>
    </row>
    <row r="187" spans="1:5" x14ac:dyDescent="0.2">
      <c r="A187" s="1064" t="s">
        <v>3484</v>
      </c>
      <c r="B187" s="2262" t="str">
        <f>IF(IF('1.Description'!$AA$9="english",C187,IF('1.Description'!$AA$9="français",D187,E187))=0,"",IF('1.Description'!$AA$9="english",C187,IF('1.Description'!$AA$9="français",D187,E187)))</f>
        <v>Quantity of residues burned</v>
      </c>
      <c r="C187" s="1064" t="s">
        <v>3504</v>
      </c>
      <c r="D187" s="1064" t="s">
        <v>3872</v>
      </c>
      <c r="E187" s="1064" t="s">
        <v>4500</v>
      </c>
    </row>
    <row r="188" spans="1:5" x14ac:dyDescent="0.2">
      <c r="A188" s="1064" t="s">
        <v>3484</v>
      </c>
      <c r="B188" s="2262" t="str">
        <f>IF(IF('1.Description'!$AA$9="english",C188,IF('1.Description'!$AA$9="français",D188,E188))=0,"",IF('1.Description'!$AA$9="english",C188,IF('1.Description'!$AA$9="français",D188,E188)))</f>
        <v>Main season crop (t dm/ha)</v>
      </c>
      <c r="C188" s="1064" t="s">
        <v>3505</v>
      </c>
      <c r="D188" s="1064" t="s">
        <v>4160</v>
      </c>
      <c r="E188" s="1064" t="s">
        <v>4501</v>
      </c>
    </row>
    <row r="189" spans="1:5" x14ac:dyDescent="0.2">
      <c r="A189" s="1064" t="s">
        <v>3484</v>
      </c>
      <c r="B189" s="2262" t="str">
        <f>IF(IF('1.Description'!$AA$9="english",C189,IF('1.Description'!$AA$9="français",D189,E189))=0,"",IF('1.Description'!$AA$9="english",C189,IF('1.Description'!$AA$9="français",D189,E189)))</f>
        <v xml:space="preserve">Fire periodicity </v>
      </c>
      <c r="C189" s="1064" t="s">
        <v>413</v>
      </c>
      <c r="D189" s="1064" t="s">
        <v>3873</v>
      </c>
      <c r="E189" s="1064" t="s">
        <v>4502</v>
      </c>
    </row>
    <row r="190" spans="1:5" x14ac:dyDescent="0.2">
      <c r="A190" s="1064" t="s">
        <v>3484</v>
      </c>
      <c r="B190" s="2262" t="str">
        <f>IF(IF('1.Description'!$AA$9="english",C190,IF('1.Description'!$AA$9="français",D190,E190))=0,"",IF('1.Description'!$AA$9="english",C190,IF('1.Description'!$AA$9="français",D190,E190)))</f>
        <v>3.3. FLOODED RICE SYSTEMS</v>
      </c>
      <c r="C190" s="1064" t="s">
        <v>3506</v>
      </c>
      <c r="D190" s="1064" t="s">
        <v>3874</v>
      </c>
      <c r="E190" s="1064" t="s">
        <v>4503</v>
      </c>
    </row>
    <row r="191" spans="1:5" x14ac:dyDescent="0.2">
      <c r="A191" s="1064" t="s">
        <v>3484</v>
      </c>
      <c r="B191" s="2262" t="str">
        <f>IF(IF('1.Description'!$AA$9="english",C191,IF('1.Description'!$AA$9="français",D191,E191))=0,"",IF('1.Description'!$AA$9="english",C191,IF('1.Description'!$AA$9="français",D191,E191)))</f>
        <v xml:space="preserve">3.3.1. Flooded rice systems from other land-use  or converted to other land-use (please fill 'Land-use change' module)  </v>
      </c>
      <c r="C191" s="1064" t="s">
        <v>3507</v>
      </c>
      <c r="D191" s="1064" t="s">
        <v>4168</v>
      </c>
      <c r="E191" s="1064" t="s">
        <v>4712</v>
      </c>
    </row>
    <row r="192" spans="1:5" x14ac:dyDescent="0.2">
      <c r="A192" s="1064" t="s">
        <v>3484</v>
      </c>
      <c r="B192" s="2262" t="str">
        <f>IF(IF('1.Description'!$AA$9="english",C192,IF('1.Description'!$AA$9="français",D192,E192))=0,"",IF('1.Description'!$AA$9="english",C192,IF('1.Description'!$AA$9="français",D192,E192)))</f>
        <v>Total flooded-rice systems (tCO2-e)</v>
      </c>
      <c r="C192" s="1064" t="s">
        <v>3508</v>
      </c>
      <c r="D192" s="1064" t="s">
        <v>4169</v>
      </c>
      <c r="E192" s="1064" t="s">
        <v>4504</v>
      </c>
    </row>
    <row r="193" spans="1:5" x14ac:dyDescent="0.2">
      <c r="A193" s="1064" t="s">
        <v>3484</v>
      </c>
      <c r="B193" s="2262" t="str">
        <f>IF(IF('1.Description'!$AA$9="english",C193,IF('1.Description'!$AA$9="français",D193,E193))=0,"",IF('1.Description'!$AA$9="english",C193,IF('1.Description'!$AA$9="français",D193,E193)))</f>
        <v>Please confirm total area of flooded rice remaining flooded rice (ha)</v>
      </c>
      <c r="C193" s="1064" t="s">
        <v>3509</v>
      </c>
      <c r="D193" s="1064" t="s">
        <v>3875</v>
      </c>
      <c r="E193" s="1064" t="s">
        <v>4505</v>
      </c>
    </row>
    <row r="194" spans="1:5" x14ac:dyDescent="0.2">
      <c r="A194" s="1064" t="s">
        <v>3484</v>
      </c>
      <c r="B194" s="2262" t="str">
        <f>IF(IF('1.Description'!$AA$9="english",C194,IF('1.Description'!$AA$9="français",D194,E194))=0,"",IF('1.Description'!$AA$9="english",C194,IF('1.Description'!$AA$9="français",D194,E194)))</f>
        <v>During</v>
      </c>
      <c r="C194" s="1064" t="s">
        <v>3510</v>
      </c>
      <c r="D194" s="1064" t="s">
        <v>3876</v>
      </c>
      <c r="E194" s="1064" t="s">
        <v>4506</v>
      </c>
    </row>
    <row r="195" spans="1:5" x14ac:dyDescent="0.2">
      <c r="A195" s="1064" t="s">
        <v>3484</v>
      </c>
      <c r="B195" s="2262" t="str">
        <f>IF(IF('1.Description'!$AA$9="english",C195,IF('1.Description'!$AA$9="français",D195,E195))=0,"",IF('1.Description'!$AA$9="english",C195,IF('1.Description'!$AA$9="français",D195,E195)))</f>
        <v xml:space="preserve">Cultivation period </v>
      </c>
      <c r="C195" s="1064" t="s">
        <v>424</v>
      </c>
      <c r="D195" s="1064" t="s">
        <v>3877</v>
      </c>
      <c r="E195" s="1064" t="s">
        <v>4507</v>
      </c>
    </row>
    <row r="196" spans="1:5" x14ac:dyDescent="0.2">
      <c r="B196" s="2262" t="str">
        <f>IF(IF('1.Description'!$AA$9="english",C196,IF('1.Description'!$AA$9="français",D196,E196))=0,"",IF('1.Description'!$AA$9="english",C196,IF('1.Description'!$AA$9="français",D196,E196)))</f>
        <v>(days)</v>
      </c>
      <c r="C196" s="1064" t="s">
        <v>444</v>
      </c>
      <c r="D196" s="1064" t="s">
        <v>4161</v>
      </c>
      <c r="E196" s="1064" t="s">
        <v>4713</v>
      </c>
    </row>
    <row r="197" spans="1:5" x14ac:dyDescent="0.2">
      <c r="A197" s="1064" t="s">
        <v>3484</v>
      </c>
      <c r="B197" s="2262" t="str">
        <f>IF(IF('1.Description'!$AA$9="english",C197,IF('1.Description'!$AA$9="français",D197,E197))=0,"",IF('1.Description'!$AA$9="english",C197,IF('1.Description'!$AA$9="français",D197,E197)))</f>
        <v xml:space="preserve">Before </v>
      </c>
      <c r="C197" s="1064" t="s">
        <v>3511</v>
      </c>
      <c r="D197" s="1064" t="s">
        <v>4162</v>
      </c>
      <c r="E197" s="1064" t="s">
        <v>4508</v>
      </c>
    </row>
    <row r="198" spans="1:5" x14ac:dyDescent="0.2">
      <c r="A198" s="1064" t="s">
        <v>3484</v>
      </c>
      <c r="B198" s="2262" t="str">
        <f>IF(IF('1.Description'!$AA$9="english",C198,IF('1.Description'!$AA$9="français",D198,E198))=0,"",IF('1.Description'!$AA$9="english",C198,IF('1.Description'!$AA$9="français",D198,E198)))</f>
        <v>Organic</v>
      </c>
      <c r="C198" s="1064" t="s">
        <v>1708</v>
      </c>
      <c r="D198" s="1064" t="s">
        <v>4164</v>
      </c>
      <c r="E198" s="1064" t="s">
        <v>4714</v>
      </c>
    </row>
    <row r="199" spans="1:5" x14ac:dyDescent="0.2">
      <c r="A199" s="1064" t="s">
        <v>3484</v>
      </c>
      <c r="B199" s="2262" t="str">
        <f>IF(IF('1.Description'!$AA$9="english",C199,IF('1.Description'!$AA$9="français",D199,E199))=0,"",IF('1.Description'!$AA$9="english",C199,IF('1.Description'!$AA$9="français",D199,E199)))</f>
        <v xml:space="preserve"> amendment</v>
      </c>
      <c r="C199" s="1064" t="s">
        <v>3512</v>
      </c>
      <c r="D199" s="1064" t="s">
        <v>4163</v>
      </c>
      <c r="E199" s="1064" t="s">
        <v>4715</v>
      </c>
    </row>
    <row r="200" spans="1:5" x14ac:dyDescent="0.2">
      <c r="A200" s="1064" t="s">
        <v>3484</v>
      </c>
      <c r="B200" s="2262" t="str">
        <f>IF(IF('1.Description'!$AA$9="english",C200,IF('1.Description'!$AA$9="français",D200,E200))=0,"",IF('1.Description'!$AA$9="english",C200,IF('1.Description'!$AA$9="français",D200,E200)))</f>
        <v>(t/ha/yr)</v>
      </c>
      <c r="C200" s="1064" t="s">
        <v>388</v>
      </c>
      <c r="D200" s="1064" t="s">
        <v>3878</v>
      </c>
      <c r="E200" s="1064" t="s">
        <v>4716</v>
      </c>
    </row>
    <row r="201" spans="1:5" x14ac:dyDescent="0.2">
      <c r="A201" s="1064" t="s">
        <v>3484</v>
      </c>
      <c r="B201" s="2262" t="str">
        <f>IF(IF('1.Description'!$AA$9="english",C201,IF('1.Description'!$AA$9="français",D201,E201))=0,"",IF('1.Description'!$AA$9="english",C201,IF('1.Description'!$AA$9="français",D201,E201)))</f>
        <v>Management options for water regime in flooded-rice</v>
      </c>
      <c r="C201" s="1064" t="s">
        <v>422</v>
      </c>
      <c r="D201" s="1064" t="s">
        <v>4166</v>
      </c>
      <c r="E201" s="1064" t="s">
        <v>5167</v>
      </c>
    </row>
    <row r="202" spans="1:5" x14ac:dyDescent="0.2">
      <c r="A202" s="1064" t="s">
        <v>3484</v>
      </c>
      <c r="B202" s="2262" t="str">
        <f>IF(IF('1.Description'!$AA$9="english",C202,IF('1.Description'!$AA$9="français",D202,E202))=0,"",IF('1.Description'!$AA$9="english",C202,IF('1.Description'!$AA$9="français",D202,E202)))</f>
        <v>**In case of flooded rice the total area considered for emissions calculations may be greater than actual total land under flooded rice if multicropping seasons are in place. It is key to provide the actual area under flooded rice in cell K122 to ensure correct area aggregation in the results.</v>
      </c>
      <c r="C202" s="1064" t="s">
        <v>447</v>
      </c>
      <c r="D202" s="1064" t="s">
        <v>3879</v>
      </c>
      <c r="E202" s="1064" t="s">
        <v>4717</v>
      </c>
    </row>
    <row r="203" spans="1:5" x14ac:dyDescent="0.2">
      <c r="A203" s="1064" t="s">
        <v>3484</v>
      </c>
      <c r="B203" s="2262" t="str">
        <f>IF(IF('1.Description'!$AA$9="english",C203,IF('1.Description'!$AA$9="français",D203,E203))=0,"",IF('1.Description'!$AA$9="english",C203,IF('1.Description'!$AA$9="français",D203,E203)))</f>
        <v>Total (ha)**</v>
      </c>
      <c r="C203" s="1064" t="s">
        <v>446</v>
      </c>
      <c r="D203" s="1064" t="s">
        <v>3880</v>
      </c>
      <c r="E203" s="1064" t="s">
        <v>405</v>
      </c>
    </row>
    <row r="204" spans="1:5" x14ac:dyDescent="0.2">
      <c r="A204" s="1064" t="s">
        <v>3484</v>
      </c>
      <c r="B204" s="2262" t="str">
        <f>IF(IF('1.Description'!$AA$9="english",C204,IF('1.Description'!$AA$9="français",D204,E204))=0,"",IF('1.Description'!$AA$9="english",C204,IF('1.Description'!$AA$9="français",D204,E204)))</f>
        <v>Flooded-rice area (ha)</v>
      </c>
      <c r="C204" s="1064" t="s">
        <v>443</v>
      </c>
      <c r="D204" s="1064" t="s">
        <v>4167</v>
      </c>
      <c r="E204" s="1064" t="s">
        <v>4718</v>
      </c>
    </row>
    <row r="205" spans="1:5" x14ac:dyDescent="0.2">
      <c r="B205" s="2262" t="str">
        <f>IF(IF('1.Description'!$AA$9="english",C205,IF('1.Description'!$AA$9="français",D205,E205))=0,"",IF('1.Description'!$AA$9="english",C205,IF('1.Description'!$AA$9="français",D205,E205)))</f>
        <v>Flooded rice systems from (or to) other LU</v>
      </c>
      <c r="C205" s="1064" t="s">
        <v>433</v>
      </c>
      <c r="D205" s="1064" t="s">
        <v>4170</v>
      </c>
      <c r="E205" s="1064" t="s">
        <v>4719</v>
      </c>
    </row>
    <row r="206" spans="1:5" x14ac:dyDescent="0.2">
      <c r="B206" s="2262" t="str">
        <f>IF(IF('1.Description'!$AA$9="english",C206,IF('1.Description'!$AA$9="français",D206,E206))=0,"",IF('1.Description'!$AA$9="english",C206,IF('1.Description'!$AA$9="français",D206,E206)))</f>
        <v>Flooded rice syst remaining rice systems</v>
      </c>
      <c r="C206" s="1064" t="s">
        <v>445</v>
      </c>
      <c r="D206" s="1064" t="s">
        <v>4165</v>
      </c>
      <c r="E206" s="1064" t="s">
        <v>4720</v>
      </c>
    </row>
    <row r="207" spans="1:5" x14ac:dyDescent="0.2">
      <c r="B207" s="2262" t="str">
        <f>IF(IF('1.Description'!$AA$9="english",C207,IF('1.Description'!$AA$9="français",D207,E207))=0,"",IF('1.Description'!$AA$9="english",C207,IF('1.Description'!$AA$9="français",D207,E207)))</f>
        <v/>
      </c>
    </row>
    <row r="208" spans="1:5" x14ac:dyDescent="0.2">
      <c r="B208" s="2262" t="str">
        <f>IF(IF('1.Description'!$AA$9="english",C208,IF('1.Description'!$AA$9="français",D208,E208))=0,"",IF('1.Description'!$AA$9="english",C208,IF('1.Description'!$AA$9="français",D208,E208)))</f>
        <v/>
      </c>
    </row>
    <row r="209" spans="1:9" x14ac:dyDescent="0.2">
      <c r="B209" s="2262" t="str">
        <f>IF(IF('1.Description'!$AA$9="english",C209,IF('1.Description'!$AA$9="français",D209,E209))=0,"",IF('1.Description'!$AA$9="english",C209,IF('1.Description'!$AA$9="français",D209,E209)))</f>
        <v>Daily emission factor for rice EF = EF-basis x SF-Before x CF-or Amendment</v>
      </c>
      <c r="C209" s="1064" t="s">
        <v>421</v>
      </c>
      <c r="D209" s="1064" t="s">
        <v>3881</v>
      </c>
      <c r="E209" s="1064" t="s">
        <v>4721</v>
      </c>
    </row>
    <row r="210" spans="1:9" x14ac:dyDescent="0.2">
      <c r="B210" s="2262" t="str">
        <f>IF(IF('1.Description'!$AA$9="english",C210,IF('1.Description'!$AA$9="français",D210,E210))=0,"",IF('1.Description'!$AA$9="english",C210,IF('1.Description'!$AA$9="français",D210,E210)))</f>
        <v>EFc and EFi are in kg CH4 per ha per day</v>
      </c>
      <c r="C210" s="1064" t="s">
        <v>423</v>
      </c>
      <c r="D210" s="1064" t="s">
        <v>3882</v>
      </c>
      <c r="E210" s="1064" t="s">
        <v>4722</v>
      </c>
    </row>
    <row r="211" spans="1:9" x14ac:dyDescent="0.2">
      <c r="B211" s="2262" t="str">
        <f>IF(IF('1.Description'!$AA$9="english",C211,IF('1.Description'!$AA$9="français",D211,E211))=0,"",IF('1.Description'!$AA$9="english",C211,IF('1.Description'!$AA$9="français",D211,E211)))</f>
        <v>baseline EF, continously flooded rice w/out organic amendments</v>
      </c>
      <c r="C211" s="1064" t="s">
        <v>426</v>
      </c>
      <c r="D211" s="1064" t="s">
        <v>3883</v>
      </c>
      <c r="E211" s="1064" t="s">
        <v>4723</v>
      </c>
    </row>
    <row r="212" spans="1:9" x14ac:dyDescent="0.2">
      <c r="B212" s="2262" t="str">
        <f>IF(IF('1.Description'!$AA$9="english",C212,IF('1.Description'!$AA$9="français",D212,E212))=0,"",IF('1.Description'!$AA$9="english",C212,IF('1.Description'!$AA$9="français",D212,E212)))</f>
        <v>SF, water regime during cultivation period</v>
      </c>
      <c r="C212" s="1064" t="s">
        <v>427</v>
      </c>
      <c r="D212" s="1064" t="s">
        <v>3884</v>
      </c>
      <c r="E212" s="1064" t="s">
        <v>4724</v>
      </c>
    </row>
    <row r="213" spans="1:9" x14ac:dyDescent="0.2">
      <c r="B213" s="2262" t="str">
        <f>IF(IF('1.Description'!$AA$9="english",C213,IF('1.Description'!$AA$9="français",D213,E213))=0,"",IF('1.Description'!$AA$9="english",C213,IF('1.Description'!$AA$9="français",D213,E213)))</f>
        <v>SF, water regime before cultivation period</v>
      </c>
      <c r="C213" s="1064" t="s">
        <v>428</v>
      </c>
      <c r="D213" s="1064" t="s">
        <v>3885</v>
      </c>
      <c r="E213" s="1064" t="s">
        <v>4725</v>
      </c>
    </row>
    <row r="214" spans="1:9" x14ac:dyDescent="0.2">
      <c r="B214" s="2262" t="str">
        <f>IF(IF('1.Description'!$AA$9="english",C214,IF('1.Description'!$AA$9="français",D214,E214))=0,"",IF('1.Description'!$AA$9="english",C214,IF('1.Description'!$AA$9="français",D214,E214)))</f>
        <v>SF, organic amendement applied</v>
      </c>
      <c r="C214" s="1064" t="s">
        <v>429</v>
      </c>
      <c r="D214" s="1064" t="s">
        <v>3886</v>
      </c>
      <c r="E214" s="1064" t="s">
        <v>4726</v>
      </c>
    </row>
    <row r="215" spans="1:9" x14ac:dyDescent="0.2">
      <c r="B215" s="2262" t="str">
        <f>IF(IF('1.Description'!$AA$9="english",C215,IF('1.Description'!$AA$9="français",D215,E215))=0,"",IF('1.Description'!$AA$9="english",C215,IF('1.Description'!$AA$9="français",D215,E215)))</f>
        <v xml:space="preserve">adjusted daily EF </v>
      </c>
      <c r="C215" s="1064" t="s">
        <v>430</v>
      </c>
      <c r="D215" s="1064" t="s">
        <v>3887</v>
      </c>
      <c r="E215" s="1064" t="s">
        <v>4727</v>
      </c>
    </row>
    <row r="216" spans="1:9" x14ac:dyDescent="0.2">
      <c r="B216" s="2262" t="str">
        <f>IF(IF('1.Description'!$AA$9="english",C216,IF('1.Description'!$AA$9="français",D216,E216))=0,"",IF('1.Description'!$AA$9="english",C216,IF('1.Description'!$AA$9="français",D216,E216)))</f>
        <v xml:space="preserve">Rice straw (Main season crop) </v>
      </c>
      <c r="C216" s="1064" t="s">
        <v>431</v>
      </c>
      <c r="D216" s="1064" t="s">
        <v>4171</v>
      </c>
      <c r="E216" s="1064" t="s">
        <v>4728</v>
      </c>
    </row>
    <row r="217" spans="1:9" x14ac:dyDescent="0.2">
      <c r="B217" s="2262" t="str">
        <f>IF(IF('1.Description'!$AA$9="english",C217,IF('1.Description'!$AA$9="français",D217,E217))=0,"",IF('1.Description'!$AA$9="english",C217,IF('1.Description'!$AA$9="français",D217,E217)))</f>
        <v/>
      </c>
    </row>
    <row r="218" spans="1:9" x14ac:dyDescent="0.2">
      <c r="B218" s="2262" t="str">
        <f>IF(IF('1.Description'!$AA$9="english",C218,IF('1.Description'!$AA$9="français",D218,E218))=0,"",IF('1.Description'!$AA$9="english",C218,IF('1.Description'!$AA$9="français",D218,E218)))</f>
        <v/>
      </c>
    </row>
    <row r="219" spans="1:9" x14ac:dyDescent="0.2">
      <c r="B219" s="2262" t="str">
        <f>IF(IF('1.Description'!$AA$9="english",C219,IF('1.Description'!$AA$9="français",D219,E219))=0,"",IF('1.Description'!$AA$9="english",C219,IF('1.Description'!$AA$9="français",D219,E219)))</f>
        <v/>
      </c>
    </row>
    <row r="220" spans="1:9" x14ac:dyDescent="0.2">
      <c r="B220" s="2262" t="str">
        <f>IF(IF('1.Description'!$AA$9="english",C220,IF('1.Description'!$AA$9="français",D220,E220))=0,"",IF('1.Description'!$AA$9="english",C220,IF('1.Description'!$AA$9="français",D220,E220)))</f>
        <v/>
      </c>
    </row>
    <row r="221" spans="1:9" x14ac:dyDescent="0.2">
      <c r="B221" s="2262" t="str">
        <f>IF(IF('1.Description'!$AA$9="english",C221,IF('1.Description'!$AA$9="français",D221,E221))=0,"",IF('1.Description'!$AA$9="english",C221,IF('1.Description'!$AA$9="français",D221,E221)))</f>
        <v/>
      </c>
    </row>
    <row r="222" spans="1:9" x14ac:dyDescent="0.2">
      <c r="B222" s="2262" t="str">
        <f>IF(IF('1.Description'!$AA$9="english",C222,IF('1.Description'!$AA$9="français",D222,E222))=0,"",IF('1.Description'!$AA$9="english",C222,IF('1.Description'!$AA$9="français",D222,E222)))</f>
        <v/>
      </c>
    </row>
    <row r="223" spans="1:9" s="1068" customFormat="1" x14ac:dyDescent="0.2">
      <c r="A223" s="1067" t="s">
        <v>3513</v>
      </c>
      <c r="B223" s="2262" t="str">
        <f>IF(IF('1.Description'!$AA$9="english",C223,IF('1.Description'!$AA$9="français",D223,E223))=0,"",IF('1.Description'!$AA$9="english",C223,IF('1.Description'!$AA$9="français",D223,E223)))</f>
        <v>4.1. GRASSLAND MANAGEMENT</v>
      </c>
      <c r="C223" s="1067" t="s">
        <v>3514</v>
      </c>
      <c r="D223" s="1067" t="s">
        <v>3888</v>
      </c>
      <c r="E223" s="1064" t="s">
        <v>4509</v>
      </c>
      <c r="F223" s="1067"/>
      <c r="G223" s="1067"/>
      <c r="H223" s="1067"/>
      <c r="I223" s="1067"/>
    </row>
    <row r="224" spans="1:9" x14ac:dyDescent="0.2">
      <c r="A224" s="1064" t="s">
        <v>3513</v>
      </c>
      <c r="B224" s="2262" t="str">
        <f>IF(IF('1.Description'!$AA$9="english",C224,IF('1.Description'!$AA$9="français",D224,E224))=0,"",IF('1.Description'!$AA$9="english",C224,IF('1.Description'!$AA$9="français",D224,E224)))</f>
        <v xml:space="preserve">4.1.1. Grassland systems from other land-use  or converted to other land-use (please fill 'Land-use change' module)  </v>
      </c>
      <c r="C224" s="1064" t="s">
        <v>3515</v>
      </c>
      <c r="D224" s="1064" t="s">
        <v>3889</v>
      </c>
      <c r="E224" s="1064" t="s">
        <v>4510</v>
      </c>
    </row>
    <row r="225" spans="1:5" x14ac:dyDescent="0.2">
      <c r="A225" s="1064" t="s">
        <v>3513</v>
      </c>
      <c r="B225" s="2262" t="str">
        <f>IF(IF('1.Description'!$AA$9="english",C225,IF('1.Description'!$AA$9="français",D225,E225))=0,"",IF('1.Description'!$AA$9="english",C225,IF('1.Description'!$AA$9="français",D225,E225)))</f>
        <v>Description</v>
      </c>
      <c r="C225" s="1064" t="s">
        <v>387</v>
      </c>
      <c r="D225" s="1064" t="s">
        <v>387</v>
      </c>
      <c r="E225" s="1064" t="s">
        <v>4466</v>
      </c>
    </row>
    <row r="226" spans="1:5" x14ac:dyDescent="0.2">
      <c r="A226" s="1064" t="s">
        <v>3513</v>
      </c>
      <c r="B226" s="2262" t="str">
        <f>IF(IF('1.Description'!$AA$9="english",C226,IF('1.Description'!$AA$9="français",D226,E226))=0,"",IF('1.Description'!$AA$9="english",C226,IF('1.Description'!$AA$9="français",D226,E226)))</f>
        <v>Grasslands after deforestation</v>
      </c>
      <c r="C226" s="1064" t="s">
        <v>3516</v>
      </c>
      <c r="D226" s="1064" t="s">
        <v>3890</v>
      </c>
      <c r="E226" s="1064" t="s">
        <v>4511</v>
      </c>
    </row>
    <row r="227" spans="1:5" x14ac:dyDescent="0.2">
      <c r="A227" s="1064" t="s">
        <v>3513</v>
      </c>
      <c r="B227" s="2262" t="str">
        <f>IF(IF('1.Description'!$AA$9="english",C227,IF('1.Description'!$AA$9="français",D227,E227))=0,"",IF('1.Description'!$AA$9="english",C227,IF('1.Description'!$AA$9="français",D227,E227)))</f>
        <v>Grasslands after non-forest LUs</v>
      </c>
      <c r="C227" s="1064" t="s">
        <v>3517</v>
      </c>
      <c r="D227" s="1064" t="s">
        <v>4173</v>
      </c>
      <c r="E227" s="1064" t="s">
        <v>4512</v>
      </c>
    </row>
    <row r="228" spans="1:5" x14ac:dyDescent="0.2">
      <c r="A228" s="1064" t="s">
        <v>3513</v>
      </c>
      <c r="B228" s="2262" t="str">
        <f>IF(IF('1.Description'!$AA$9="english",C228,IF('1.Description'!$AA$9="français",D228,E228))=0,"",IF('1.Description'!$AA$9="english",C228,IF('1.Description'!$AA$9="français",D228,E228)))</f>
        <v>Grasslands converted to forest land</v>
      </c>
      <c r="C228" s="1064" t="s">
        <v>3518</v>
      </c>
      <c r="D228" s="1064" t="s">
        <v>3891</v>
      </c>
      <c r="E228" s="1064" t="s">
        <v>4513</v>
      </c>
    </row>
    <row r="229" spans="1:5" x14ac:dyDescent="0.2">
      <c r="A229" s="1064" t="s">
        <v>3513</v>
      </c>
      <c r="B229" s="2262" t="str">
        <f>IF(IF('1.Description'!$AA$9="english",C229,IF('1.Description'!$AA$9="français",D229,E229))=0,"",IF('1.Description'!$AA$9="english",C229,IF('1.Description'!$AA$9="français",D229,E229)))</f>
        <v xml:space="preserve">Grasslands converted to non-forest LUs   </v>
      </c>
      <c r="C229" s="1064" t="s">
        <v>836</v>
      </c>
      <c r="D229" s="1064" t="s">
        <v>4172</v>
      </c>
      <c r="E229" s="1064" t="s">
        <v>4514</v>
      </c>
    </row>
    <row r="230" spans="1:5" x14ac:dyDescent="0.2">
      <c r="A230" s="1064" t="s">
        <v>3513</v>
      </c>
      <c r="B230" s="2262" t="str">
        <f>IF(IF('1.Description'!$AA$9="english",C230,IF('1.Description'!$AA$9="français",D230,E230))=0,"",IF('1.Description'!$AA$9="english",C230,IF('1.Description'!$AA$9="français",D230,E230)))</f>
        <v>Grassland management</v>
      </c>
      <c r="C230" s="1064" t="s">
        <v>3519</v>
      </c>
      <c r="D230" s="1064" t="s">
        <v>3892</v>
      </c>
      <c r="E230" s="1064" t="s">
        <v>5168</v>
      </c>
    </row>
    <row r="231" spans="1:5" x14ac:dyDescent="0.2">
      <c r="A231" s="1064" t="s">
        <v>3513</v>
      </c>
      <c r="B231" s="2262" t="str">
        <f>IF(IF('1.Description'!$AA$9="english",C231,IF('1.Description'!$AA$9="français",D231,E231))=0,"",IF('1.Description'!$AA$9="english",C231,IF('1.Description'!$AA$9="français",D231,E231)))</f>
        <v>Fire management &amp; periodicity</v>
      </c>
      <c r="C231" s="1064" t="s">
        <v>3520</v>
      </c>
      <c r="D231" s="1064" t="s">
        <v>3893</v>
      </c>
      <c r="E231" s="1064" t="s">
        <v>4515</v>
      </c>
    </row>
    <row r="232" spans="1:5" x14ac:dyDescent="0.2">
      <c r="A232" s="1064" t="s">
        <v>3513</v>
      </c>
      <c r="B232" s="2262" t="str">
        <f>IF(IF('1.Description'!$AA$9="english",C232,IF('1.Description'!$AA$9="français",D232,E232))=0,"",IF('1.Description'!$AA$9="english",C232,IF('1.Description'!$AA$9="français",D232,E232)))</f>
        <v>Yield (t/ha/year)</v>
      </c>
      <c r="C232" s="1064" t="s">
        <v>3521</v>
      </c>
      <c r="D232" s="1064" t="s">
        <v>3894</v>
      </c>
      <c r="E232" s="1064" t="s">
        <v>4516</v>
      </c>
    </row>
    <row r="233" spans="1:5" x14ac:dyDescent="0.2">
      <c r="A233" s="1064" t="s">
        <v>3513</v>
      </c>
      <c r="B233" s="2262" t="str">
        <f>IF(IF('1.Description'!$AA$9="english",C233,IF('1.Description'!$AA$9="français",D233,E233))=0,"",IF('1.Description'!$AA$9="english",C233,IF('1.Description'!$AA$9="français",D233,E233)))</f>
        <v>4.1.2. Grassland systems  remaining grassland systems  (total area must remain constant)</v>
      </c>
      <c r="C233" s="1064" t="s">
        <v>3522</v>
      </c>
      <c r="D233" s="1064" t="s">
        <v>4174</v>
      </c>
      <c r="E233" s="1064" t="s">
        <v>4517</v>
      </c>
    </row>
    <row r="234" spans="1:5" x14ac:dyDescent="0.2">
      <c r="A234" s="1064" t="s">
        <v>3513</v>
      </c>
      <c r="B234" s="2262" t="str">
        <f>IF(IF('1.Description'!$AA$9="english",C234,IF('1.Description'!$AA$9="français",D234,E234))=0,"",IF('1.Description'!$AA$9="english",C234,IF('1.Description'!$AA$9="français",D234,E234)))</f>
        <v>Description</v>
      </c>
      <c r="C234" s="1064" t="s">
        <v>387</v>
      </c>
      <c r="D234" s="1064" t="s">
        <v>387</v>
      </c>
      <c r="E234" s="1064" t="s">
        <v>4466</v>
      </c>
    </row>
    <row r="235" spans="1:5" x14ac:dyDescent="0.2">
      <c r="A235" s="1064" t="s">
        <v>3513</v>
      </c>
      <c r="B235" s="2262" t="str">
        <f>IF(IF('1.Description'!$AA$9="english",C235,IF('1.Description'!$AA$9="français",D235,E235))=0,"",IF('1.Description'!$AA$9="english",C235,IF('1.Description'!$AA$9="français",D235,E235)))</f>
        <v>Grassland systems from (or to) other LU</v>
      </c>
      <c r="C235" s="1064" t="s">
        <v>3523</v>
      </c>
      <c r="D235" s="1064" t="s">
        <v>4175</v>
      </c>
      <c r="E235" s="1064" t="s">
        <v>4518</v>
      </c>
    </row>
    <row r="236" spans="1:5" x14ac:dyDescent="0.2">
      <c r="A236" s="1064" t="s">
        <v>3513</v>
      </c>
      <c r="B236" s="2262" t="str">
        <f>IF(IF('1.Description'!$AA$9="english",C236,IF('1.Description'!$AA$9="français",D236,E236))=0,"",IF('1.Description'!$AA$9="english",C236,IF('1.Description'!$AA$9="français",D236,E236)))</f>
        <v>Soil carbon stocks (tC/ha)</v>
      </c>
      <c r="C236" s="1064" t="s">
        <v>783</v>
      </c>
      <c r="D236" s="1064" t="s">
        <v>3895</v>
      </c>
      <c r="E236" s="1064" t="s">
        <v>4519</v>
      </c>
    </row>
    <row r="237" spans="1:5" x14ac:dyDescent="0.2">
      <c r="A237" s="1064" t="s">
        <v>3513</v>
      </c>
      <c r="B237" s="2262" t="str">
        <f>IF(IF('1.Description'!$AA$9="english",C237,IF('1.Description'!$AA$9="français",D237,E237))=0,"",IF('1.Description'!$AA$9="english",C237,IF('1.Description'!$AA$9="français",D237,E237)))</f>
        <v>AGB (t d.m./ha)</v>
      </c>
      <c r="C237" s="1064" t="s">
        <v>3524</v>
      </c>
      <c r="D237" s="1064" t="s">
        <v>4176</v>
      </c>
      <c r="E237" s="1064" t="s">
        <v>4520</v>
      </c>
    </row>
    <row r="238" spans="1:5" x14ac:dyDescent="0.2">
      <c r="A238" s="1064" t="s">
        <v>3513</v>
      </c>
      <c r="B238" s="2262" t="str">
        <f>IF(IF('1.Description'!$AA$9="english",C238,IF('1.Description'!$AA$9="français",D238,E238))=0,"",IF('1.Description'!$AA$9="english",C238,IF('1.Description'!$AA$9="français",D238,E238)))</f>
        <v>Combustion factor (%)</v>
      </c>
      <c r="C238" s="1064" t="s">
        <v>3525</v>
      </c>
      <c r="D238" s="1064" t="s">
        <v>3896</v>
      </c>
      <c r="E238" s="1064" t="s">
        <v>4521</v>
      </c>
    </row>
    <row r="239" spans="1:5" x14ac:dyDescent="0.2">
      <c r="A239" s="1064" t="s">
        <v>3513</v>
      </c>
      <c r="B239" s="2262" t="str">
        <f>IF(IF('1.Description'!$AA$9="english",C239,IF('1.Description'!$AA$9="français",D239,E239))=0,"",IF('1.Description'!$AA$9="english",C239,IF('1.Description'!$AA$9="français",D239,E239)))</f>
        <v>Grasslands remaining grasslands</v>
      </c>
      <c r="C239" s="1064" t="s">
        <v>3526</v>
      </c>
      <c r="D239" s="1064" t="s">
        <v>3897</v>
      </c>
      <c r="E239" s="1064" t="s">
        <v>4522</v>
      </c>
    </row>
    <row r="240" spans="1:5" x14ac:dyDescent="0.2">
      <c r="A240" s="1064" t="s">
        <v>3513</v>
      </c>
      <c r="B240" s="2262" t="str">
        <f>IF(IF('1.Description'!$AA$9="english",C240,IF('1.Description'!$AA$9="français",D240,E240))=0,"",IF('1.Description'!$AA$9="english",C240,IF('1.Description'!$AA$9="français",D240,E240)))</f>
        <v>Total grassland systems (tCO2-e)</v>
      </c>
      <c r="C240" s="1064" t="s">
        <v>3527</v>
      </c>
      <c r="D240" s="1064" t="s">
        <v>3898</v>
      </c>
      <c r="E240" s="1064" t="s">
        <v>4523</v>
      </c>
    </row>
    <row r="241" spans="1:5" x14ac:dyDescent="0.2">
      <c r="A241" s="1064" t="s">
        <v>3528</v>
      </c>
      <c r="B241" s="2262" t="str">
        <f>IF(IF('1.Description'!$AA$9="english",C241,IF('1.Description'!$AA$9="français",D241,E241))=0,"",IF('1.Description'!$AA$9="english",C241,IF('1.Description'!$AA$9="français",D241,E241)))</f>
        <v>4.2 LIVESTOCK AND MANURE MANAGEMENT</v>
      </c>
      <c r="C241" s="1065" t="s">
        <v>3529</v>
      </c>
      <c r="D241" s="1064" t="s">
        <v>3899</v>
      </c>
      <c r="E241" s="1064" t="s">
        <v>5169</v>
      </c>
    </row>
    <row r="242" spans="1:5" x14ac:dyDescent="0.2">
      <c r="B242" s="2262" t="str">
        <f>IF(IF('1.Description'!$AA$9="english",C242,IF('1.Description'!$AA$9="français",D242,E242))=0,"",IF('1.Description'!$AA$9="english",C242,IF('1.Description'!$AA$9="français",D242,E242)))</f>
        <v>Livestock system #1</v>
      </c>
      <c r="C242" s="1065" t="s">
        <v>3776</v>
      </c>
      <c r="D242" s="1064" t="s">
        <v>3900</v>
      </c>
      <c r="E242" s="1064" t="s">
        <v>4729</v>
      </c>
    </row>
    <row r="243" spans="1:5" x14ac:dyDescent="0.2">
      <c r="B243" s="2262" t="str">
        <f>IF(IF('1.Description'!$AA$9="english",C243,IF('1.Description'!$AA$9="français",D243,E243))=0,"",IF('1.Description'!$AA$9="english",C243,IF('1.Description'!$AA$9="français",D243,E243)))</f>
        <v>Livestock system #2</v>
      </c>
      <c r="C243" s="1065" t="s">
        <v>3777</v>
      </c>
      <c r="D243" s="1064" t="s">
        <v>3901</v>
      </c>
      <c r="E243" s="1064" t="s">
        <v>4730</v>
      </c>
    </row>
    <row r="244" spans="1:5" x14ac:dyDescent="0.2">
      <c r="B244" s="2262" t="str">
        <f>IF(IF('1.Description'!$AA$9="english",C244,IF('1.Description'!$AA$9="français",D244,E244))=0,"",IF('1.Description'!$AA$9="english",C244,IF('1.Description'!$AA$9="français",D244,E244)))</f>
        <v>Livestock system #3</v>
      </c>
      <c r="C244" s="1065" t="s">
        <v>3778</v>
      </c>
      <c r="D244" s="1064" t="s">
        <v>3902</v>
      </c>
      <c r="E244" s="1064" t="s">
        <v>4731</v>
      </c>
    </row>
    <row r="245" spans="1:5" x14ac:dyDescent="0.2">
      <c r="B245" s="2262" t="str">
        <f>IF(IF('1.Description'!$AA$9="english",C245,IF('1.Description'!$AA$9="français",D245,E245))=0,"",IF('1.Description'!$AA$9="english",C245,IF('1.Description'!$AA$9="français",D245,E245)))</f>
        <v>Livestock system #4</v>
      </c>
      <c r="C245" s="1065" t="s">
        <v>3779</v>
      </c>
      <c r="D245" s="1064" t="s">
        <v>3903</v>
      </c>
      <c r="E245" s="1064" t="s">
        <v>4732</v>
      </c>
    </row>
    <row r="246" spans="1:5" x14ac:dyDescent="0.2">
      <c r="B246" s="2262" t="str">
        <f>IF(IF('1.Description'!$AA$9="english",C246,IF('1.Description'!$AA$9="français",D246,E246))=0,"",IF('1.Description'!$AA$9="english",C246,IF('1.Description'!$AA$9="français",D246,E246)))</f>
        <v>Livestock system #5</v>
      </c>
      <c r="C246" s="1065" t="s">
        <v>3780</v>
      </c>
      <c r="D246" s="1064" t="s">
        <v>3904</v>
      </c>
      <c r="E246" s="1064" t="s">
        <v>4733</v>
      </c>
    </row>
    <row r="247" spans="1:5" x14ac:dyDescent="0.2">
      <c r="B247" s="2262" t="str">
        <f>IF(IF('1.Description'!$AA$9="english",C247,IF('1.Description'!$AA$9="français",D247,E247))=0,"",IF('1.Description'!$AA$9="english",C247,IF('1.Description'!$AA$9="français",D247,E247)))</f>
        <v>Livestock system #6</v>
      </c>
      <c r="C247" s="1065" t="s">
        <v>3781</v>
      </c>
      <c r="D247" s="1064" t="s">
        <v>3905</v>
      </c>
      <c r="E247" s="1064" t="s">
        <v>4734</v>
      </c>
    </row>
    <row r="248" spans="1:5" x14ac:dyDescent="0.2">
      <c r="B248" s="2262" t="str">
        <f>IF(IF('1.Description'!$AA$9="english",C248,IF('1.Description'!$AA$9="français",D248,E248))=0,"",IF('1.Description'!$AA$9="english",C248,IF('1.Description'!$AA$9="français",D248,E248)))</f>
        <v>Livestock system #7</v>
      </c>
      <c r="C248" s="1065" t="s">
        <v>3782</v>
      </c>
      <c r="D248" s="1064" t="s">
        <v>3906</v>
      </c>
      <c r="E248" s="1064" t="s">
        <v>4735</v>
      </c>
    </row>
    <row r="249" spans="1:5" x14ac:dyDescent="0.2">
      <c r="B249" s="2262" t="str">
        <f>IF(IF('1.Description'!$AA$9="english",C249,IF('1.Description'!$AA$9="français",D249,E249))=0,"",IF('1.Description'!$AA$9="english",C249,IF('1.Description'!$AA$9="français",D249,E249)))</f>
        <v>Livestock system #8</v>
      </c>
      <c r="C249" s="1065" t="s">
        <v>3783</v>
      </c>
      <c r="D249" s="1064" t="s">
        <v>3907</v>
      </c>
      <c r="E249" s="1064" t="s">
        <v>4736</v>
      </c>
    </row>
    <row r="250" spans="1:5" x14ac:dyDescent="0.2">
      <c r="B250" s="2262" t="str">
        <f>IF(IF('1.Description'!$AA$9="english",C250,IF('1.Description'!$AA$9="français",D250,E250))=0,"",IF('1.Description'!$AA$9="english",C250,IF('1.Description'!$AA$9="français",D250,E250)))</f>
        <v>Livestock system #9</v>
      </c>
      <c r="C250" s="1065" t="s">
        <v>3784</v>
      </c>
      <c r="D250" s="1064" t="s">
        <v>3908</v>
      </c>
      <c r="E250" s="1064" t="s">
        <v>4737</v>
      </c>
    </row>
    <row r="251" spans="1:5" x14ac:dyDescent="0.2">
      <c r="B251" s="2262" t="str">
        <f>IF(IF('1.Description'!$AA$9="english",C251,IF('1.Description'!$AA$9="français",D251,E251))=0,"",IF('1.Description'!$AA$9="english",C251,IF('1.Description'!$AA$9="français",D251,E251)))</f>
        <v>Livestock system #10</v>
      </c>
      <c r="C251" s="1065" t="s">
        <v>3785</v>
      </c>
      <c r="D251" s="1064" t="s">
        <v>3909</v>
      </c>
      <c r="E251" s="1064" t="s">
        <v>4738</v>
      </c>
    </row>
    <row r="252" spans="1:5" x14ac:dyDescent="0.2">
      <c r="B252" s="2262" t="str">
        <f>IF(IF('1.Description'!$AA$9="english",C252,IF('1.Description'!$AA$9="français",D252,E252))=0,"",IF('1.Description'!$AA$9="english",C252,IF('1.Description'!$AA$9="français",D252,E252)))</f>
        <v>Livestock system #11</v>
      </c>
      <c r="C252" s="1065" t="s">
        <v>3786</v>
      </c>
      <c r="D252" s="1064" t="s">
        <v>3910</v>
      </c>
      <c r="E252" s="1064" t="s">
        <v>4739</v>
      </c>
    </row>
    <row r="253" spans="1:5" x14ac:dyDescent="0.2">
      <c r="B253" s="2262" t="str">
        <f>IF(IF('1.Description'!$AA$9="english",C253,IF('1.Description'!$AA$9="français",D253,E253))=0,"",IF('1.Description'!$AA$9="english",C253,IF('1.Description'!$AA$9="français",D253,E253)))</f>
        <v>Livestock system #12</v>
      </c>
      <c r="C253" s="1065" t="s">
        <v>3787</v>
      </c>
      <c r="D253" s="1064" t="s">
        <v>3911</v>
      </c>
      <c r="E253" s="1064" t="s">
        <v>4740</v>
      </c>
    </row>
    <row r="254" spans="1:5" x14ac:dyDescent="0.2">
      <c r="B254" s="2262" t="str">
        <f>IF(IF('1.Description'!$AA$9="english",C254,IF('1.Description'!$AA$9="français",D254,E254))=0,"",IF('1.Description'!$AA$9="english",C254,IF('1.Description'!$AA$9="français",D254,E254)))</f>
        <v>Livestock system #13</v>
      </c>
      <c r="C254" s="1065" t="s">
        <v>3788</v>
      </c>
      <c r="D254" s="1064" t="s">
        <v>3912</v>
      </c>
      <c r="E254" s="1064" t="s">
        <v>4741</v>
      </c>
    </row>
    <row r="255" spans="1:5" x14ac:dyDescent="0.2">
      <c r="B255" s="2262" t="str">
        <f>IF(IF('1.Description'!$AA$9="english",C255,IF('1.Description'!$AA$9="français",D255,E255))=0,"",IF('1.Description'!$AA$9="english",C255,IF('1.Description'!$AA$9="français",D255,E255)))</f>
        <v>Livestock system #14</v>
      </c>
      <c r="C255" s="1065" t="s">
        <v>3789</v>
      </c>
      <c r="D255" s="1064" t="s">
        <v>3913</v>
      </c>
      <c r="E255" s="1064" t="s">
        <v>4742</v>
      </c>
    </row>
    <row r="256" spans="1:5" x14ac:dyDescent="0.2">
      <c r="B256" s="2262" t="str">
        <f>IF(IF('1.Description'!$AA$9="english",C256,IF('1.Description'!$AA$9="français",D256,E256))=0,"",IF('1.Description'!$AA$9="english",C256,IF('1.Description'!$AA$9="français",D256,E256)))</f>
        <v>Livestock system #15</v>
      </c>
      <c r="C256" s="1065" t="s">
        <v>3790</v>
      </c>
      <c r="D256" s="1064" t="s">
        <v>3914</v>
      </c>
      <c r="E256" s="1064" t="s">
        <v>4743</v>
      </c>
    </row>
    <row r="257" spans="2:5" x14ac:dyDescent="0.2">
      <c r="B257" s="2262" t="str">
        <f>IF(IF('1.Description'!$AA$9="english",C257,IF('1.Description'!$AA$9="français",D257,E257))=0,"",IF('1.Description'!$AA$9="english",C257,IF('1.Description'!$AA$9="français",D257,E257)))</f>
        <v>Livestock system #16</v>
      </c>
      <c r="C257" s="1065" t="s">
        <v>3791</v>
      </c>
      <c r="D257" s="1064" t="s">
        <v>3915</v>
      </c>
      <c r="E257" s="1064" t="s">
        <v>4744</v>
      </c>
    </row>
    <row r="258" spans="2:5" x14ac:dyDescent="0.2">
      <c r="B258" s="2262" t="str">
        <f>IF(IF('1.Description'!$AA$9="english",C258,IF('1.Description'!$AA$9="français",D258,E258))=0,"",IF('1.Description'!$AA$9="english",C258,IF('1.Description'!$AA$9="français",D258,E258)))</f>
        <v>Livestock system #17</v>
      </c>
      <c r="C258" s="1065" t="s">
        <v>3792</v>
      </c>
      <c r="D258" s="1064" t="s">
        <v>3916</v>
      </c>
      <c r="E258" s="1064" t="s">
        <v>4745</v>
      </c>
    </row>
    <row r="259" spans="2:5" x14ac:dyDescent="0.2">
      <c r="B259" s="2262" t="str">
        <f>IF(IF('1.Description'!$AA$9="english",C259,IF('1.Description'!$AA$9="français",D259,E259))=0,"",IF('1.Description'!$AA$9="english",C259,IF('1.Description'!$AA$9="français",D259,E259)))</f>
        <v>Livestock categories/species</v>
      </c>
      <c r="C259" s="1065" t="s">
        <v>3745</v>
      </c>
      <c r="D259" s="1064" t="s">
        <v>3917</v>
      </c>
      <c r="E259" s="1064" t="s">
        <v>4746</v>
      </c>
    </row>
    <row r="260" spans="2:5" x14ac:dyDescent="0.2">
      <c r="B260" s="2262" t="str">
        <f>IF(IF('1.Description'!$AA$9="english",C260,IF('1.Description'!$AA$9="français",D260,E260))=0,"",IF('1.Description'!$AA$9="english",C260,IF('1.Description'!$AA$9="français",D260,E260)))</f>
        <v>Livestock productivity/production system*</v>
      </c>
      <c r="C260" s="1065" t="s">
        <v>3746</v>
      </c>
      <c r="D260" s="1064" t="s">
        <v>3918</v>
      </c>
      <c r="E260" s="1064" t="s">
        <v>4747</v>
      </c>
    </row>
    <row r="261" spans="2:5" x14ac:dyDescent="0.2">
      <c r="B261" s="2262" t="str">
        <f>IF(IF('1.Description'!$AA$9="english",C261,IF('1.Description'!$AA$9="français",D261,E261))=0,"",IF('1.Description'!$AA$9="english",C261,IF('1.Description'!$AA$9="français",D261,E261)))</f>
        <v>Please ensure coherence between livestock keeping and feed need. Make sure feed comes either from I) crop-based activities (module 3), II) grassland systems (module 4.1) or III) exogenous dry matter (module 9).​</v>
      </c>
      <c r="C261" s="1065" t="s">
        <v>3744</v>
      </c>
      <c r="D261" s="1064" t="s">
        <v>3919</v>
      </c>
      <c r="E261" s="1064" t="s">
        <v>4748</v>
      </c>
    </row>
    <row r="262" spans="2:5" x14ac:dyDescent="0.2">
      <c r="B262" s="2262" t="str">
        <f>IF(IF('1.Description'!$AA$9="english",C262,IF('1.Description'!$AA$9="français",D262,E262))=0,"",IF('1.Description'!$AA$9="english",C262,IF('1.Description'!$AA$9="français",D262,E262)))</f>
        <v>Please consider if livestock feed derives from grassland systems (e.g. natural pastures) of should be included as crop-based activities or as exogenous dry matter</v>
      </c>
      <c r="C262" s="1065" t="s">
        <v>3743</v>
      </c>
      <c r="D262" s="1064" t="s">
        <v>3920</v>
      </c>
      <c r="E262" s="1064" t="s">
        <v>4749</v>
      </c>
    </row>
    <row r="263" spans="2:5" x14ac:dyDescent="0.2">
      <c r="B263" s="2262" t="str">
        <f>IF(IF('1.Description'!$AA$9="english",C263,IF('1.Description'!$AA$9="français",D263,E263))=0,"",IF('1.Description'!$AA$9="english",C263,IF('1.Description'!$AA$9="français",D263,E263)))</f>
        <v>* Please note that for some livestock categories, including buffalo, deer and ostrich, there are no Tier1 parametrs for each of the livestock productivity levels. As a result changing livestock productivity will not trigger change in the emission levels. You may use Tier 2 section to refine the parameters.</v>
      </c>
      <c r="C263" s="1065" t="s">
        <v>799</v>
      </c>
      <c r="D263" s="1064" t="s">
        <v>4177</v>
      </c>
      <c r="E263" s="1064" t="s">
        <v>4750</v>
      </c>
    </row>
    <row r="264" spans="2:5" x14ac:dyDescent="0.2">
      <c r="B264" s="2262" t="str">
        <f>IF(IF('1.Description'!$AA$9="english",C264,IF('1.Description'!$AA$9="français",D264,E264))=0,"",IF('1.Description'!$AA$9="english",C264,IF('1.Description'!$AA$9="français",D264,E264)))</f>
        <v>Production (meat, milk, etc)</v>
      </c>
      <c r="C264" s="1065" t="s">
        <v>785</v>
      </c>
      <c r="D264" s="1064" t="s">
        <v>3921</v>
      </c>
      <c r="E264" s="1064" t="s">
        <v>4751</v>
      </c>
    </row>
    <row r="265" spans="2:5" x14ac:dyDescent="0.2">
      <c r="B265" s="2262" t="str">
        <f>IF(IF('1.Description'!$AA$9="english",C265,IF('1.Description'!$AA$9="français",D265,E265))=0,"",IF('1.Description'!$AA$9="english",C265,IF('1.Description'!$AA$9="français",D265,E265)))</f>
        <v>in tonnes of product per year</v>
      </c>
      <c r="C265" s="1065" t="s">
        <v>789</v>
      </c>
      <c r="D265" s="1064" t="s">
        <v>3922</v>
      </c>
      <c r="E265" s="1064" t="s">
        <v>4752</v>
      </c>
    </row>
    <row r="266" spans="2:5" x14ac:dyDescent="0.2">
      <c r="B266" s="2262" t="str">
        <f>IF(IF('1.Description'!$AA$9="english",C266,IF('1.Description'!$AA$9="français",D266,E266))=0,"",IF('1.Description'!$AA$9="english",C266,IF('1.Description'!$AA$9="français",D266,E266)))</f>
        <v>Livestock management</v>
      </c>
      <c r="C266" s="1065" t="s">
        <v>786</v>
      </c>
      <c r="D266" s="1064" t="s">
        <v>3923</v>
      </c>
      <c r="E266" s="1064" t="s">
        <v>4753</v>
      </c>
    </row>
    <row r="267" spans="2:5" x14ac:dyDescent="0.2">
      <c r="B267" s="2262" t="str">
        <f>IF(IF('1.Description'!$AA$9="english",C267,IF('1.Description'!$AA$9="français",D267,E267))=0,"",IF('1.Description'!$AA$9="english",C267,IF('1.Description'!$AA$9="français",D267,E267)))</f>
        <v>Number of heads</v>
      </c>
      <c r="C267" s="1065" t="s">
        <v>790</v>
      </c>
      <c r="D267" s="1064" t="s">
        <v>3924</v>
      </c>
      <c r="E267" s="1064" t="s">
        <v>4754</v>
      </c>
    </row>
    <row r="268" spans="2:5" x14ac:dyDescent="0.2">
      <c r="B268" s="2262" t="str">
        <f>IF(IF('1.Description'!$AA$9="english",C268,IF('1.Description'!$AA$9="français",D268,E268))=0,"",IF('1.Description'!$AA$9="english",C268,IF('1.Description'!$AA$9="français",D268,E268)))</f>
        <v>Total livestock (tCO2-e)</v>
      </c>
      <c r="C268" s="1065" t="s">
        <v>798</v>
      </c>
      <c r="D268" s="1064" t="s">
        <v>5159</v>
      </c>
      <c r="E268" s="1064" t="s">
        <v>5160</v>
      </c>
    </row>
    <row r="269" spans="2:5" x14ac:dyDescent="0.2">
      <c r="B269" s="2262" t="str">
        <f>IF(IF('1.Description'!$AA$9="english",C269,IF('1.Description'!$AA$9="français",D269,E269))=0,"",IF('1.Description'!$AA$9="english",C269,IF('1.Description'!$AA$9="français",D269,E269)))</f>
        <v>Soil organic carbon content per grassland degradation level</v>
      </c>
      <c r="C269" s="1065" t="s">
        <v>780</v>
      </c>
      <c r="D269" s="1064" t="s">
        <v>3925</v>
      </c>
      <c r="E269" s="1064" t="s">
        <v>4755</v>
      </c>
    </row>
    <row r="270" spans="2:5" x14ac:dyDescent="0.2">
      <c r="B270" s="2262" t="str">
        <f>IF(IF('1.Description'!$AA$9="english",C270,IF('1.Description'!$AA$9="français",D270,E270))=0,"",IF('1.Description'!$AA$9="english",C270,IF('1.Description'!$AA$9="français",D270,E270)))</f>
        <v>Degradation level</v>
      </c>
      <c r="C270" s="1065" t="s">
        <v>781</v>
      </c>
      <c r="D270" s="1064" t="s">
        <v>3926</v>
      </c>
      <c r="E270" s="1064" t="s">
        <v>4756</v>
      </c>
    </row>
    <row r="271" spans="2:5" x14ac:dyDescent="0.2">
      <c r="B271" s="2262" t="str">
        <f>IF(IF('1.Description'!$AA$9="english",C271,IF('1.Description'!$AA$9="français",D271,E271))=0,"",IF('1.Description'!$AA$9="english",C271,IF('1.Description'!$AA$9="français",D271,E271)))</f>
        <v>Non-degraded</v>
      </c>
      <c r="C271" s="1065" t="s">
        <v>843</v>
      </c>
      <c r="D271" s="1064" t="s">
        <v>3927</v>
      </c>
      <c r="E271" s="1064" t="s">
        <v>4757</v>
      </c>
    </row>
    <row r="272" spans="2:5" x14ac:dyDescent="0.2">
      <c r="B272" s="2262" t="str">
        <f>IF(IF('1.Description'!$AA$9="english",C272,IF('1.Description'!$AA$9="français",D272,E272))=0,"",IF('1.Description'!$AA$9="english",C272,IF('1.Description'!$AA$9="français",D272,E272)))</f>
        <v>High intensity grazing</v>
      </c>
      <c r="C272" s="1065" t="s">
        <v>845</v>
      </c>
      <c r="D272" s="1064" t="s">
        <v>3928</v>
      </c>
      <c r="E272" s="1064" t="s">
        <v>4758</v>
      </c>
    </row>
    <row r="273" spans="2:5" x14ac:dyDescent="0.2">
      <c r="B273" s="2262" t="str">
        <f>IF(IF('1.Description'!$AA$9="english",C273,IF('1.Description'!$AA$9="français",D273,E273))=0,"",IF('1.Description'!$AA$9="english",C273,IF('1.Description'!$AA$9="français",D273,E273)))</f>
        <v>Severely degraded</v>
      </c>
      <c r="C273" s="1065" t="s">
        <v>846</v>
      </c>
      <c r="D273" s="1064" t="s">
        <v>3929</v>
      </c>
      <c r="E273" s="1064" t="s">
        <v>4759</v>
      </c>
    </row>
    <row r="274" spans="2:5" x14ac:dyDescent="0.2">
      <c r="B274" s="2262" t="str">
        <f>IF(IF('1.Description'!$AA$9="english",C274,IF('1.Description'!$AA$9="français",D274,E274))=0,"",IF('1.Description'!$AA$9="english",C274,IF('1.Description'!$AA$9="français",D274,E274)))</f>
        <v>Improved with medium inputs</v>
      </c>
      <c r="C274" s="1065" t="s">
        <v>847</v>
      </c>
      <c r="D274" s="1064" t="s">
        <v>4178</v>
      </c>
      <c r="E274" s="1064" t="s">
        <v>4760</v>
      </c>
    </row>
    <row r="275" spans="2:5" x14ac:dyDescent="0.2">
      <c r="B275" s="2262" t="str">
        <f>IF(IF('1.Description'!$AA$9="english",C275,IF('1.Description'!$AA$9="français",D275,E275))=0,"",IF('1.Description'!$AA$9="english",C275,IF('1.Description'!$AA$9="français",D275,E275)))</f>
        <v>Improved grassland</v>
      </c>
      <c r="C275" s="1065" t="s">
        <v>848</v>
      </c>
      <c r="D275" s="1064" t="s">
        <v>3930</v>
      </c>
      <c r="E275" s="1064" t="s">
        <v>4761</v>
      </c>
    </row>
    <row r="276" spans="2:5" x14ac:dyDescent="0.2">
      <c r="B276" s="2262" t="str">
        <f>IF(IF('1.Description'!$AA$9="english",C276,IF('1.Description'!$AA$9="français",D276,E276))=0,"",IF('1.Description'!$AA$9="english",C276,IF('1.Description'!$AA$9="français",D276,E276)))</f>
        <v>Improved with high inputs</v>
      </c>
      <c r="C276" s="1065" t="s">
        <v>849</v>
      </c>
      <c r="D276" s="1064" t="s">
        <v>4179</v>
      </c>
      <c r="E276" s="1064" t="s">
        <v>4762</v>
      </c>
    </row>
    <row r="277" spans="2:5" x14ac:dyDescent="0.2">
      <c r="B277" s="2262" t="str">
        <f>IF(IF('1.Description'!$AA$9="english",C277,IF('1.Description'!$AA$9="français",D277,E277))=0,"",IF('1.Description'!$AA$9="english",C277,IF('1.Description'!$AA$9="français",D277,E277)))</f>
        <v>Soil carbon stocks (tC/ha)</v>
      </c>
      <c r="C277" s="1065" t="s">
        <v>783</v>
      </c>
      <c r="D277" s="1064" t="s">
        <v>3895</v>
      </c>
      <c r="E277" s="1064" t="s">
        <v>4519</v>
      </c>
    </row>
    <row r="278" spans="2:5" x14ac:dyDescent="0.2">
      <c r="B278" s="2262" t="str">
        <f>IF(IF('1.Description'!$AA$9="english",C278,IF('1.Description'!$AA$9="français",D278,E278))=0,"",IF('1.Description'!$AA$9="english",C278,IF('1.Description'!$AA$9="français",D278,E278)))</f>
        <v>Enteric fermentation</v>
      </c>
      <c r="C278" s="1065" t="s">
        <v>791</v>
      </c>
      <c r="D278" s="1064" t="s">
        <v>3931</v>
      </c>
      <c r="E278" s="1064" t="s">
        <v>4763</v>
      </c>
    </row>
    <row r="279" spans="2:5" x14ac:dyDescent="0.2">
      <c r="B279" s="2262" t="str">
        <f>IF(IF('1.Description'!$AA$9="english",C279,IF('1.Description'!$AA$9="français",D279,E279))=0,"",IF('1.Description'!$AA$9="english",C279,IF('1.Description'!$AA$9="français",D279,E279)))</f>
        <v xml:space="preserve">% corresponding to </v>
      </c>
      <c r="C279" s="1065" t="s">
        <v>787</v>
      </c>
      <c r="D279" s="1064" t="s">
        <v>3932</v>
      </c>
      <c r="E279" s="1064" t="s">
        <v>4764</v>
      </c>
    </row>
    <row r="280" spans="2:5" x14ac:dyDescent="0.2">
      <c r="B280" s="2262" t="str">
        <f>IF(IF('1.Description'!$AA$9="english",C280,IF('1.Description'!$AA$9="français",D280,E280))=0,"",IF('1.Description'!$AA$9="english",C280,IF('1.Description'!$AA$9="français",D280,E280)))</f>
        <v>Pasture/Range/Paddock*</v>
      </c>
      <c r="C280" s="1065" t="s">
        <v>3748</v>
      </c>
      <c r="D280" s="1064" t="s">
        <v>3933</v>
      </c>
      <c r="E280" s="1064" t="s">
        <v>4765</v>
      </c>
    </row>
    <row r="281" spans="2:5" x14ac:dyDescent="0.2">
      <c r="B281" s="2262" t="str">
        <f>IF(IF('1.Description'!$AA$9="english",C281,IF('1.Description'!$AA$9="français",D281,E281))=0,"",IF('1.Description'!$AA$9="english",C281,IF('1.Description'!$AA$9="français",D281,E281)))</f>
        <v>*The nomenclature refers to extensive livestock management systems</v>
      </c>
      <c r="C281" s="1065" t="s">
        <v>3747</v>
      </c>
      <c r="D281" s="1064" t="s">
        <v>3934</v>
      </c>
      <c r="E281" s="1064" t="s">
        <v>4766</v>
      </c>
    </row>
    <row r="282" spans="2:5" x14ac:dyDescent="0.2">
      <c r="B282" s="2262" t="str">
        <f>IF(IF('1.Description'!$AA$9="english",C282,IF('1.Description'!$AA$9="français",D282,E282))=0,"",IF('1.Description'!$AA$9="english",C282,IF('1.Description'!$AA$9="français",D282,E282)))</f>
        <v>kgCH4/head/year</v>
      </c>
      <c r="C282" s="1065" t="s">
        <v>796</v>
      </c>
      <c r="D282" s="1064" t="s">
        <v>3935</v>
      </c>
      <c r="E282" s="1064" t="s">
        <v>4767</v>
      </c>
    </row>
    <row r="283" spans="2:5" x14ac:dyDescent="0.2">
      <c r="B283" s="2262" t="str">
        <f>IF(IF('1.Description'!$AA$9="english",C283,IF('1.Description'!$AA$9="français",D283,E283))=0,"",IF('1.Description'!$AA$9="english",C283,IF('1.Description'!$AA$9="français",D283,E283)))</f>
        <v>kgN2O/head/year</v>
      </c>
      <c r="C283" s="1065" t="s">
        <v>797</v>
      </c>
      <c r="D283" s="1064" t="s">
        <v>3936</v>
      </c>
      <c r="E283" s="1064" t="s">
        <v>4768</v>
      </c>
    </row>
    <row r="284" spans="2:5" x14ac:dyDescent="0.2">
      <c r="B284" s="2262" t="str">
        <f>IF(IF('1.Description'!$AA$9="english",C284,IF('1.Description'!$AA$9="français",D284,E284))=0,"",IF('1.Description'!$AA$9="english",C284,IF('1.Description'!$AA$9="français",D284,E284)))</f>
        <v>N2O from manure mngt.</v>
      </c>
      <c r="C284" s="1065" t="s">
        <v>793</v>
      </c>
      <c r="D284" s="1064" t="s">
        <v>3937</v>
      </c>
      <c r="E284" s="1064" t="s">
        <v>4769</v>
      </c>
    </row>
    <row r="285" spans="2:5" x14ac:dyDescent="0.2">
      <c r="B285" s="2262" t="str">
        <f>IF(IF('1.Description'!$AA$9="english",C285,IF('1.Description'!$AA$9="français",D285,E285))=0,"",IF('1.Description'!$AA$9="english",C285,IF('1.Description'!$AA$9="français",D285,E285)))</f>
        <v>CH4 from manure mngt.</v>
      </c>
      <c r="C285" s="1065" t="s">
        <v>792</v>
      </c>
      <c r="D285" s="1064" t="s">
        <v>3938</v>
      </c>
      <c r="E285" s="1064" t="s">
        <v>4770</v>
      </c>
    </row>
    <row r="286" spans="2:5" x14ac:dyDescent="0.2">
      <c r="B286" s="2262" t="str">
        <f>IF(IF('1.Description'!$AA$9="english",C286,IF('1.Description'!$AA$9="français",D286,E286))=0,"",IF('1.Description'!$AA$9="english",C286,IF('1.Description'!$AA$9="français",D286,E286)))</f>
        <v>Emission factors for Pasture/Range/Paddock*</v>
      </c>
      <c r="C286" s="1065" t="s">
        <v>3749</v>
      </c>
      <c r="D286" s="1064" t="s">
        <v>3939</v>
      </c>
      <c r="E286" s="1064" t="s">
        <v>4771</v>
      </c>
    </row>
    <row r="287" spans="2:5" x14ac:dyDescent="0.2">
      <c r="B287" s="2262" t="str">
        <f>IF(IF('1.Description'!$AA$9="english",C287,IF('1.Description'!$AA$9="français",D287,E287))=0,"",IF('1.Description'!$AA$9="english",C287,IF('1.Description'!$AA$9="français",D287,E287)))</f>
        <v>Manure management</v>
      </c>
      <c r="C287" s="1065" t="s">
        <v>784</v>
      </c>
      <c r="D287" s="1064" t="s">
        <v>3940</v>
      </c>
      <c r="E287" s="1064" t="s">
        <v>4772</v>
      </c>
    </row>
    <row r="288" spans="2:5" x14ac:dyDescent="0.2">
      <c r="B288" s="2262" t="str">
        <f>IF(IF('1.Description'!$AA$9="english",C288,IF('1.Description'!$AA$9="français",D288,E288))=0,"",IF('1.Description'!$AA$9="english",C288,IF('1.Description'!$AA$9="français",D288,E288)))</f>
        <v>Complementary manure management system</v>
      </c>
      <c r="C288" s="1065" t="s">
        <v>788</v>
      </c>
      <c r="D288" s="1064" t="s">
        <v>3941</v>
      </c>
      <c r="E288" s="1064" t="s">
        <v>4773</v>
      </c>
    </row>
    <row r="289" spans="1:5" x14ac:dyDescent="0.2">
      <c r="B289" s="2262" t="str">
        <f>IF(IF('1.Description'!$AA$9="english",C289,IF('1.Description'!$AA$9="français",D289,E289))=0,"",IF('1.Description'!$AA$9="english",C289,IF('1.Description'!$AA$9="français",D289,E289)))</f>
        <v>Emission factor CH4</v>
      </c>
      <c r="C289" s="1065" t="s">
        <v>794</v>
      </c>
      <c r="D289" s="1064" t="s">
        <v>3942</v>
      </c>
      <c r="E289" s="1064" t="s">
        <v>4774</v>
      </c>
    </row>
    <row r="290" spans="1:5" x14ac:dyDescent="0.2">
      <c r="B290" s="2262" t="str">
        <f>IF(IF('1.Description'!$AA$9="english",C290,IF('1.Description'!$AA$9="français",D290,E290))=0,"",IF('1.Description'!$AA$9="english",C290,IF('1.Description'!$AA$9="français",D290,E290)))</f>
        <v>Emission factor N2O</v>
      </c>
      <c r="C290" s="1065" t="s">
        <v>795</v>
      </c>
      <c r="D290" s="1064" t="s">
        <v>3943</v>
      </c>
      <c r="E290" s="1064" t="s">
        <v>4775</v>
      </c>
    </row>
    <row r="291" spans="1:5" x14ac:dyDescent="0.2">
      <c r="A291" s="1067"/>
      <c r="B291" s="2262" t="str">
        <f>IF(IF('1.Description'!$AA$9="english",C291,IF('1.Description'!$AA$9="français",D291,E291))=0,"",IF('1.Description'!$AA$9="english",C291,IF('1.Description'!$AA$9="français",D291,E291)))</f>
        <v/>
      </c>
      <c r="C291" s="1065"/>
    </row>
    <row r="292" spans="1:5" x14ac:dyDescent="0.2">
      <c r="B292" s="2262" t="str">
        <f>IF(IF('1.Description'!$AA$9="english",C292,IF('1.Description'!$AA$9="français",D292,E292))=0,"",IF('1.Description'!$AA$9="english",C292,IF('1.Description'!$AA$9="français",D292,E292)))</f>
        <v xml:space="preserve">Type of forest vegetation </v>
      </c>
      <c r="C292" s="1065" t="s">
        <v>969</v>
      </c>
      <c r="D292" s="1064" t="s">
        <v>3944</v>
      </c>
      <c r="E292" s="1064" t="s">
        <v>4776</v>
      </c>
    </row>
    <row r="293" spans="1:5" x14ac:dyDescent="0.2">
      <c r="B293" s="2262" t="str">
        <f>IF(IF('1.Description'!$AA$9="english",C293,IF('1.Description'!$AA$9="français",D293,E293))=0,"",IF('1.Description'!$AA$9="english",C293,IF('1.Description'!$AA$9="français",D293,E293)))</f>
        <v>that will be managed</v>
      </c>
      <c r="C293" s="1065" t="s">
        <v>975</v>
      </c>
      <c r="D293" s="1064" t="s">
        <v>3945</v>
      </c>
      <c r="E293" s="1064" t="s">
        <v>4777</v>
      </c>
    </row>
    <row r="294" spans="1:5" x14ac:dyDescent="0.2">
      <c r="B294" s="2262" t="str">
        <f>IF(IF('1.Description'!$AA$9="english",C294,IF('1.Description'!$AA$9="français",D294,E294))=0,"",IF('1.Description'!$AA$9="english",C294,IF('1.Description'!$AA$9="français",D294,E294)))</f>
        <v>Forest degradation level</v>
      </c>
      <c r="C294" s="1065" t="s">
        <v>970</v>
      </c>
      <c r="D294" s="1064" t="s">
        <v>3946</v>
      </c>
      <c r="E294" s="1064" t="s">
        <v>4778</v>
      </c>
    </row>
    <row r="295" spans="1:5" x14ac:dyDescent="0.2">
      <c r="B295" s="2262" t="str">
        <f>IF(IF('1.Description'!$AA$9="english",C295,IF('1.Description'!$AA$9="français",D295,E295))=0,"",IF('1.Description'!$AA$9="english",C295,IF('1.Description'!$AA$9="français",D295,E295)))</f>
        <v>Fire</v>
      </c>
      <c r="C295" s="1065" t="s">
        <v>158</v>
      </c>
      <c r="D295" s="1064" t="s">
        <v>4235</v>
      </c>
      <c r="E295" s="1064" t="s">
        <v>4779</v>
      </c>
    </row>
    <row r="296" spans="1:5" x14ac:dyDescent="0.2">
      <c r="B296" s="2262" t="str">
        <f>IF(IF('1.Description'!$AA$9="english",C296,IF('1.Description'!$AA$9="français",D296,E296))=0,"",IF('1.Description'!$AA$9="english",C296,IF('1.Description'!$AA$9="français",D296,E296)))</f>
        <v>occurrence</v>
      </c>
      <c r="C296" s="1065" t="s">
        <v>3704</v>
      </c>
      <c r="D296" s="1064" t="s">
        <v>4236</v>
      </c>
      <c r="E296" s="1064" t="s">
        <v>4780</v>
      </c>
    </row>
    <row r="297" spans="1:5" x14ac:dyDescent="0.2">
      <c r="B297" s="2262" t="str">
        <f>IF(IF('1.Description'!$AA$9="english",C297,IF('1.Description'!$AA$9="français",D297,E297))=0,"",IF('1.Description'!$AA$9="english",C297,IF('1.Description'!$AA$9="français",D297,E297)))</f>
        <v>periodicity</v>
      </c>
      <c r="C297" s="1065" t="s">
        <v>3705</v>
      </c>
      <c r="D297" s="1064" t="s">
        <v>3947</v>
      </c>
      <c r="E297" s="1064" t="s">
        <v>4524</v>
      </c>
    </row>
    <row r="298" spans="1:5" x14ac:dyDescent="0.2">
      <c r="B298" s="2262" t="str">
        <f>IF(IF('1.Description'!$AA$9="english",C298,IF('1.Description'!$AA$9="français",D298,E298))=0,"",IF('1.Description'!$AA$9="english",C298,IF('1.Description'!$AA$9="français",D298,E298)))</f>
        <v>impact (% burnt)</v>
      </c>
      <c r="C298" s="1065" t="s">
        <v>3706</v>
      </c>
      <c r="D298" s="1064" t="s">
        <v>3948</v>
      </c>
      <c r="E298" s="1064" t="s">
        <v>4781</v>
      </c>
    </row>
    <row r="299" spans="1:5" x14ac:dyDescent="0.2">
      <c r="B299" s="2262" t="str">
        <f>IF(IF('1.Description'!$AA$9="english",C299,IF('1.Description'!$AA$9="français",D299,E299))=0,"",IF('1.Description'!$AA$9="english",C299,IF('1.Description'!$AA$9="français",D299,E299)))</f>
        <v>Forested area (ha)</v>
      </c>
      <c r="C299" s="1065" t="s">
        <v>972</v>
      </c>
      <c r="D299" s="1064" t="s">
        <v>4249</v>
      </c>
      <c r="E299" s="1064" t="s">
        <v>4455</v>
      </c>
    </row>
    <row r="300" spans="1:5" x14ac:dyDescent="0.2">
      <c r="B300" s="2262" t="str">
        <f>IF(IF('1.Description'!$AA$9="english",C300,IF('1.Description'!$AA$9="français",D300,E300))=0,"",IF('1.Description'!$AA$9="english",C300,IF('1.Description'!$AA$9="français",D300,E300)))</f>
        <v>Forest degradation level (biomass loss) reference values</v>
      </c>
      <c r="C300" s="1065" t="s">
        <v>976</v>
      </c>
      <c r="D300" s="1064" t="s">
        <v>3949</v>
      </c>
      <c r="E300" s="1064" t="s">
        <v>4782</v>
      </c>
    </row>
    <row r="301" spans="1:5" x14ac:dyDescent="0.2">
      <c r="B301" s="2262" t="str">
        <f>IF(IF('1.Description'!$AA$9="english",C301,IF('1.Description'!$AA$9="français",D301,E301))=0,"",IF('1.Description'!$AA$9="english",C301,IF('1.Description'!$AA$9="français",D301,E301)))</f>
        <v>Degradation level</v>
      </c>
      <c r="C301" s="1065" t="s">
        <v>781</v>
      </c>
      <c r="D301" s="1064" t="s">
        <v>3926</v>
      </c>
      <c r="E301" s="1064" t="s">
        <v>4756</v>
      </c>
    </row>
    <row r="302" spans="1:5" x14ac:dyDescent="0.2">
      <c r="B302" s="2262" t="str">
        <f>IF(IF('1.Description'!$AA$9="english",C302,IF('1.Description'!$AA$9="français",D302,E302))=0,"",IF('1.Description'!$AA$9="english",C302,IF('1.Description'!$AA$9="français",D302,E302)))</f>
        <v>None</v>
      </c>
      <c r="C302" s="1065" t="s">
        <v>978</v>
      </c>
      <c r="D302" s="1064" t="s">
        <v>3950</v>
      </c>
      <c r="E302" s="1064" t="s">
        <v>4783</v>
      </c>
    </row>
    <row r="303" spans="1:5" x14ac:dyDescent="0.2">
      <c r="B303" s="2262" t="str">
        <f>IF(IF('1.Description'!$AA$9="english",C303,IF('1.Description'!$AA$9="français",D303,E303))=0,"",IF('1.Description'!$AA$9="english",C303,IF('1.Description'!$AA$9="français",D303,E303)))</f>
        <v>Very low</v>
      </c>
      <c r="C303" s="1065" t="s">
        <v>979</v>
      </c>
      <c r="D303" s="1064" t="s">
        <v>4180</v>
      </c>
      <c r="E303" s="1064" t="s">
        <v>4784</v>
      </c>
    </row>
    <row r="304" spans="1:5" x14ac:dyDescent="0.2">
      <c r="B304" s="2262" t="str">
        <f>IF(IF('1.Description'!$AA$9="english",C304,IF('1.Description'!$AA$9="français",D304,E304))=0,"",IF('1.Description'!$AA$9="english",C304,IF('1.Description'!$AA$9="français",D304,E304)))</f>
        <v>Low</v>
      </c>
      <c r="C304" s="1065" t="s">
        <v>980</v>
      </c>
      <c r="D304" s="1064" t="s">
        <v>3951</v>
      </c>
      <c r="E304" s="1064" t="s">
        <v>4785</v>
      </c>
    </row>
    <row r="305" spans="2:5" x14ac:dyDescent="0.2">
      <c r="B305" s="2262" t="str">
        <f>IF(IF('1.Description'!$AA$9="english",C305,IF('1.Description'!$AA$9="français",D305,E305))=0,"",IF('1.Description'!$AA$9="english",C305,IF('1.Description'!$AA$9="français",D305,E305)))</f>
        <v>Moderate</v>
      </c>
      <c r="C305" s="1065" t="s">
        <v>981</v>
      </c>
      <c r="D305" s="1064" t="s">
        <v>3952</v>
      </c>
      <c r="E305" s="1064" t="s">
        <v>4786</v>
      </c>
    </row>
    <row r="306" spans="2:5" x14ac:dyDescent="0.2">
      <c r="B306" s="2262" t="str">
        <f>IF(IF('1.Description'!$AA$9="english",C306,IF('1.Description'!$AA$9="français",D306,E306))=0,"",IF('1.Description'!$AA$9="english",C306,IF('1.Description'!$AA$9="français",D306,E306)))</f>
        <v>Large</v>
      </c>
      <c r="C306" s="1065" t="s">
        <v>982</v>
      </c>
      <c r="D306" s="1064" t="s">
        <v>3953</v>
      </c>
      <c r="E306" s="1064" t="s">
        <v>4787</v>
      </c>
    </row>
    <row r="307" spans="2:5" x14ac:dyDescent="0.2">
      <c r="B307" s="2262" t="str">
        <f>IF(IF('1.Description'!$AA$9="english",C307,IF('1.Description'!$AA$9="français",D307,E307))=0,"",IF('1.Description'!$AA$9="english",C307,IF('1.Description'!$AA$9="français",D307,E307)))</f>
        <v>Extreme</v>
      </c>
      <c r="C307" s="1065" t="s">
        <v>983</v>
      </c>
      <c r="D307" s="1064" t="s">
        <v>3954</v>
      </c>
      <c r="E307" s="1064" t="s">
        <v>4788</v>
      </c>
    </row>
    <row r="308" spans="2:5" x14ac:dyDescent="0.2">
      <c r="B308" s="2262" t="str">
        <f>IF(IF('1.Description'!$AA$9="english",C308,IF('1.Description'!$AA$9="français",D308,E308))=0,"",IF('1.Description'!$AA$9="english",C308,IF('1.Description'!$AA$9="français",D308,E308)))</f>
        <v>% of biomass lost</v>
      </c>
      <c r="C308" s="1065" t="s">
        <v>977</v>
      </c>
      <c r="D308" s="1064" t="s">
        <v>3955</v>
      </c>
      <c r="E308" s="1064" t="s">
        <v>4789</v>
      </c>
    </row>
    <row r="309" spans="2:5" x14ac:dyDescent="0.2">
      <c r="B309" s="2262" t="str">
        <f>IF(IF('1.Description'!$AA$9="english",C309,IF('1.Description'!$AA$9="français",D309,E309))=0,"",IF('1.Description'!$AA$9="english",C309,IF('1.Description'!$AA$9="français",D309,E309)))</f>
        <v>Forest degradation level ( in % of biomass lost)</v>
      </c>
      <c r="C309" s="1065" t="s">
        <v>967</v>
      </c>
      <c r="D309" s="1064" t="s">
        <v>3956</v>
      </c>
      <c r="E309" s="1064" t="s">
        <v>4790</v>
      </c>
    </row>
    <row r="310" spans="2:5" x14ac:dyDescent="0.2">
      <c r="B310" s="2262" t="str">
        <f>IF(IF('1.Description'!$AA$9="english",C310,IF('1.Description'!$AA$9="français",D310,E310))=0,"",IF('1.Description'!$AA$9="english",C310,IF('1.Description'!$AA$9="français",D310,E310)))</f>
        <v>Soil management and degradation</v>
      </c>
      <c r="C310" s="1065" t="s">
        <v>968</v>
      </c>
      <c r="D310" s="1064" t="s">
        <v>3957</v>
      </c>
      <c r="E310" s="1064" t="s">
        <v>4525</v>
      </c>
    </row>
    <row r="311" spans="2:5" x14ac:dyDescent="0.2">
      <c r="B311" s="2262" t="str">
        <f>IF(IF('1.Description'!$AA$9="english",C311,IF('1.Description'!$AA$9="français",D311,E311))=0,"",IF('1.Description'!$AA$9="english",C311,IF('1.Description'!$AA$9="français",D311,E311)))</f>
        <v>Land use, mngt and input factor</v>
      </c>
      <c r="C311" s="1065" t="s">
        <v>974</v>
      </c>
      <c r="D311" s="1064" t="s">
        <v>3958</v>
      </c>
      <c r="E311" s="1064" t="s">
        <v>4791</v>
      </c>
    </row>
    <row r="312" spans="2:5" x14ac:dyDescent="0.2">
      <c r="B312" s="2262" t="str">
        <f>IF(IF('1.Description'!$AA$9="english",C312,IF('1.Description'!$AA$9="français",D312,E312))=0,"",IF('1.Description'!$AA$9="english",C312,IF('1.Description'!$AA$9="français",D312,E312)))</f>
        <v/>
      </c>
      <c r="C312" s="1065"/>
    </row>
    <row r="313" spans="2:5" x14ac:dyDescent="0.2">
      <c r="B313" s="2262" t="str">
        <f>IF(IF('1.Description'!$AA$9="english",C313,IF('1.Description'!$AA$9="français",D313,E313))=0,"",IF('1.Description'!$AA$9="english",C313,IF('1.Description'!$AA$9="français",D313,E313)))</f>
        <v/>
      </c>
      <c r="C313" s="1065"/>
    </row>
    <row r="314" spans="2:5" x14ac:dyDescent="0.2">
      <c r="B314" s="2262" t="str">
        <f>IF(IF('1.Description'!$AA$9="english",C314,IF('1.Description'!$AA$9="français",D314,E314))=0,"",IF('1.Description'!$AA$9="english",C314,IF('1.Description'!$AA$9="français",D314,E314)))</f>
        <v/>
      </c>
      <c r="C314" s="1065"/>
    </row>
    <row r="315" spans="2:5" x14ac:dyDescent="0.2">
      <c r="B315" s="2262" t="str">
        <f>IF(IF('1.Description'!$AA$9="english",C315,IF('1.Description'!$AA$9="français",D315,E315))=0,"",IF('1.Description'!$AA$9="english",C315,IF('1.Description'!$AA$9="français",D315,E315)))</f>
        <v/>
      </c>
      <c r="C315" s="1065"/>
    </row>
    <row r="316" spans="2:5" x14ac:dyDescent="0.2">
      <c r="B316" s="2262" t="str">
        <f>IF(IF('1.Description'!$AA$9="english",C316,IF('1.Description'!$AA$9="français",D316,E316))=0,"",IF('1.Description'!$AA$9="english",C316,IF('1.Description'!$AA$9="français",D316,E316)))</f>
        <v/>
      </c>
      <c r="C316" s="1065"/>
    </row>
    <row r="317" spans="2:5" x14ac:dyDescent="0.2">
      <c r="B317" s="2262" t="str">
        <f>IF(IF('1.Description'!$AA$9="english",C317,IF('1.Description'!$AA$9="français",D317,E317))=0,"",IF('1.Description'!$AA$9="english",C317,IF('1.Description'!$AA$9="français",D317,E317)))</f>
        <v/>
      </c>
      <c r="C317" s="1065"/>
    </row>
    <row r="318" spans="2:5" x14ac:dyDescent="0.2">
      <c r="B318" s="2262" t="str">
        <f>IF(IF('1.Description'!$AA$9="english",C318,IF('1.Description'!$AA$9="français",D318,E318))=0,"",IF('1.Description'!$AA$9="english",C318,IF('1.Description'!$AA$9="français",D318,E318)))</f>
        <v/>
      </c>
      <c r="C318" s="1065"/>
    </row>
    <row r="319" spans="2:5" x14ac:dyDescent="0.2">
      <c r="B319" s="2262" t="str">
        <f>IF(IF('1.Description'!$AA$9="english",C319,IF('1.Description'!$AA$9="français",D319,E319))=0,"",IF('1.Description'!$AA$9="english",C319,IF('1.Description'!$AA$9="français",D319,E319)))</f>
        <v/>
      </c>
      <c r="C319" s="1065"/>
    </row>
    <row r="320" spans="2:5" x14ac:dyDescent="0.2">
      <c r="B320" s="2262" t="str">
        <f>IF(IF('1.Description'!$AA$9="english",C320,IF('1.Description'!$AA$9="français",D320,E320))=0,"",IF('1.Description'!$AA$9="english",C320,IF('1.Description'!$AA$9="français",D320,E320)))</f>
        <v/>
      </c>
      <c r="C320" s="1065"/>
    </row>
    <row r="321" spans="1:9" x14ac:dyDescent="0.2">
      <c r="B321" s="2262" t="str">
        <f>IF(IF('1.Description'!$AA$9="english",C321,IF('1.Description'!$AA$9="français",D321,E321))=0,"",IF('1.Description'!$AA$9="english",C321,IF('1.Description'!$AA$9="français",D321,E321)))</f>
        <v/>
      </c>
      <c r="C321" s="1065"/>
    </row>
    <row r="322" spans="1:9" x14ac:dyDescent="0.2">
      <c r="B322" s="2262" t="str">
        <f>IF(IF('1.Description'!$AA$9="english",C322,IF('1.Description'!$AA$9="français",D322,E322))=0,"",IF('1.Description'!$AA$9="english",C322,IF('1.Description'!$AA$9="français",D322,E322)))</f>
        <v/>
      </c>
      <c r="C322" s="1065"/>
    </row>
    <row r="323" spans="1:9" x14ac:dyDescent="0.2">
      <c r="B323" s="2262" t="str">
        <f>IF(IF('1.Description'!$AA$9="english",C323,IF('1.Description'!$AA$9="français",D323,E323))=0,"",IF('1.Description'!$AA$9="english",C323,IF('1.Description'!$AA$9="français",D323,E323)))</f>
        <v/>
      </c>
      <c r="C323" s="1065"/>
    </row>
    <row r="324" spans="1:9" x14ac:dyDescent="0.2">
      <c r="B324" s="2262" t="str">
        <f>IF(IF('1.Description'!$AA$9="english",C324,IF('1.Description'!$AA$9="français",D324,E324))=0,"",IF('1.Description'!$AA$9="english",C324,IF('1.Description'!$AA$9="français",D324,E324)))</f>
        <v/>
      </c>
      <c r="C324" s="1065"/>
    </row>
    <row r="325" spans="1:9" x14ac:dyDescent="0.2">
      <c r="B325" s="2262" t="str">
        <f>IF(IF('1.Description'!$AA$9="english",C325,IF('1.Description'!$AA$9="français",D325,E325))=0,"",IF('1.Description'!$AA$9="english",C325,IF('1.Description'!$AA$9="français",D325,E325)))</f>
        <v/>
      </c>
      <c r="C325" s="1065"/>
    </row>
    <row r="326" spans="1:9" x14ac:dyDescent="0.2">
      <c r="B326" s="2262" t="str">
        <f>IF(IF('1.Description'!$AA$9="english",C326,IF('1.Description'!$AA$9="français",D326,E326))=0,"",IF('1.Description'!$AA$9="english",C326,IF('1.Description'!$AA$9="français",D326,E326)))</f>
        <v/>
      </c>
      <c r="C326" s="1065"/>
    </row>
    <row r="327" spans="1:9" x14ac:dyDescent="0.2">
      <c r="B327" s="2262" t="str">
        <f>IF(IF('1.Description'!$AA$9="english",C327,IF('1.Description'!$AA$9="français",D327,E327))=0,"",IF('1.Description'!$AA$9="english",C327,IF('1.Description'!$AA$9="français",D327,E327)))</f>
        <v/>
      </c>
      <c r="C327" s="1065"/>
    </row>
    <row r="328" spans="1:9" x14ac:dyDescent="0.2">
      <c r="B328" s="2262" t="str">
        <f>IF(IF('1.Description'!$AA$9="english",C328,IF('1.Description'!$AA$9="français",D328,E328))=0,"",IF('1.Description'!$AA$9="english",C328,IF('1.Description'!$AA$9="français",D328,E328)))</f>
        <v/>
      </c>
      <c r="C328" s="1065"/>
    </row>
    <row r="329" spans="1:9" x14ac:dyDescent="0.2">
      <c r="A329" s="1064" t="s">
        <v>3530</v>
      </c>
      <c r="B329" s="2262" t="str">
        <f>IF(IF('1.Description'!$AA$9="english",C329,IF('1.Description'!$AA$9="français",D329,E329))=0,"",IF('1.Description'!$AA$9="english",C329,IF('1.Description'!$AA$9="français",D329,E329)))</f>
        <v>7.1.1 Extraction and excavation (construction of ports, aquaculture or salt ponds…)</v>
      </c>
      <c r="C329" s="1065" t="s">
        <v>3531</v>
      </c>
      <c r="D329" s="1064" t="s">
        <v>3959</v>
      </c>
      <c r="E329" s="1064" t="s">
        <v>4526</v>
      </c>
    </row>
    <row r="330" spans="1:9" x14ac:dyDescent="0.2">
      <c r="A330" s="1064" t="s">
        <v>3530</v>
      </c>
      <c r="B330" s="2262" t="str">
        <f>IF(IF('1.Description'!$AA$9="english",C330,IF('1.Description'!$AA$9="français",D330,E330))=0,"",IF('1.Description'!$AA$9="english",C330,IF('1.Description'!$AA$9="français",D330,E330)))</f>
        <v>Type of vegetation</v>
      </c>
      <c r="C330" s="1065" t="s">
        <v>2278</v>
      </c>
      <c r="D330" s="1064" t="s">
        <v>3960</v>
      </c>
      <c r="E330" s="1064" t="s">
        <v>4451</v>
      </c>
    </row>
    <row r="331" spans="1:9" s="1068" customFormat="1" x14ac:dyDescent="0.2">
      <c r="A331" s="1067" t="s">
        <v>3532</v>
      </c>
      <c r="B331" s="2262" t="str">
        <f>IF(IF('1.Description'!$AA$9="english",C331,IF('1.Description'!$AA$9="français",D331,E331))=0,"",IF('1.Description'!$AA$9="english",C331,IF('1.Description'!$AA$9="français",D331,E331)))</f>
        <v>INLAND WETLAND</v>
      </c>
      <c r="C331" s="1068" t="s">
        <v>3533</v>
      </c>
      <c r="D331" s="1067" t="s">
        <v>4181</v>
      </c>
      <c r="E331" s="1064" t="s">
        <v>4527</v>
      </c>
      <c r="F331" s="1067"/>
      <c r="G331" s="1067"/>
      <c r="H331" s="1067"/>
      <c r="I331" s="1067"/>
    </row>
    <row r="332" spans="1:9" x14ac:dyDescent="0.2">
      <c r="A332" s="1064" t="s">
        <v>3532</v>
      </c>
      <c r="B332" s="2262" t="str">
        <f>IF(IF('1.Description'!$AA$9="english",C332,IF('1.Description'!$AA$9="français",D332,E332))=0,"",IF('1.Description'!$AA$9="english",C332,IF('1.Description'!$AA$9="français",D332,E332)))</f>
        <v>6.1 LAND-USE CHANGE ON ORGANIC SOIL</v>
      </c>
      <c r="C332" s="1064" t="s">
        <v>3534</v>
      </c>
      <c r="D332" s="1064" t="s">
        <v>3961</v>
      </c>
      <c r="E332" s="1064" t="s">
        <v>4528</v>
      </c>
    </row>
    <row r="333" spans="1:9" x14ac:dyDescent="0.2">
      <c r="A333" s="1064" t="s">
        <v>3532</v>
      </c>
      <c r="B333" s="2262" t="str">
        <f>IF(IF('1.Description'!$AA$9="english",C333,IF('1.Description'!$AA$9="français",D333,E333))=0,"",IF('1.Description'!$AA$9="english",C333,IF('1.Description'!$AA$9="français",D333,E333)))</f>
        <v>6.1.1 Organic soil management practices associated with deforestation</v>
      </c>
      <c r="C333" s="1064" t="s">
        <v>3535</v>
      </c>
      <c r="D333" s="1064" t="s">
        <v>3962</v>
      </c>
      <c r="E333" s="1064" t="s">
        <v>4529</v>
      </c>
    </row>
    <row r="334" spans="1:9" x14ac:dyDescent="0.2">
      <c r="A334" s="1064" t="s">
        <v>3532</v>
      </c>
      <c r="B334" s="2262" t="str">
        <f>IF(IF('1.Description'!$AA$9="english",C334,IF('1.Description'!$AA$9="français",D334,E334))=0,"",IF('1.Description'!$AA$9="english",C334,IF('1.Description'!$AA$9="français",D334,E334)))</f>
        <v>% area occupied by ditches</v>
      </c>
      <c r="C334" s="1064" t="s">
        <v>1067</v>
      </c>
      <c r="D334" s="1064" t="s">
        <v>3963</v>
      </c>
      <c r="E334" s="1064" t="s">
        <v>4530</v>
      </c>
    </row>
    <row r="335" spans="1:9" x14ac:dyDescent="0.2">
      <c r="A335" s="1064" t="s">
        <v>3532</v>
      </c>
      <c r="B335" s="2262" t="str">
        <f>IF(IF('1.Description'!$AA$9="english",C335,IF('1.Description'!$AA$9="français",D335,E335))=0,"",IF('1.Description'!$AA$9="english",C335,IF('1.Description'!$AA$9="français",D335,E335)))</f>
        <v>Final land-use after deforestation</v>
      </c>
      <c r="C335" s="1064" t="s">
        <v>3536</v>
      </c>
      <c r="D335" s="1064" t="s">
        <v>3964</v>
      </c>
      <c r="E335" s="1064" t="s">
        <v>4531</v>
      </c>
    </row>
    <row r="336" spans="1:9" x14ac:dyDescent="0.2">
      <c r="A336" s="1064" t="s">
        <v>3532</v>
      </c>
      <c r="B336" s="2262" t="str">
        <f>IF(IF('1.Description'!$AA$9="english",C336,IF('1.Description'!$AA$9="français",D336,E336))=0,"",IF('1.Description'!$AA$9="english",C336,IF('1.Description'!$AA$9="français",D336,E336)))</f>
        <v>Land-use type</v>
      </c>
      <c r="C336" s="1064" t="s">
        <v>3537</v>
      </c>
      <c r="D336" s="1064" t="s">
        <v>3965</v>
      </c>
      <c r="E336" s="1064" t="s">
        <v>4532</v>
      </c>
    </row>
    <row r="337" spans="1:5" x14ac:dyDescent="0.2">
      <c r="A337" s="1064" t="s">
        <v>3532</v>
      </c>
      <c r="B337" s="2262" t="str">
        <f>IF(IF('1.Description'!$AA$9="english",C337,IF('1.Description'!$AA$9="français",D337,E337))=0,"",IF('1.Description'!$AA$9="english",C337,IF('1.Description'!$AA$9="français",D337,E337)))</f>
        <v>Agroforestry system</v>
      </c>
      <c r="C337" s="1064" t="s">
        <v>3538</v>
      </c>
      <c r="D337" s="1064" t="s">
        <v>3966</v>
      </c>
      <c r="E337" s="1064" t="s">
        <v>4533</v>
      </c>
    </row>
    <row r="338" spans="1:5" x14ac:dyDescent="0.2">
      <c r="A338" s="1064" t="s">
        <v>3532</v>
      </c>
      <c r="B338" s="2262" t="str">
        <f>IF(IF('1.Description'!$AA$9="english",C338,IF('1.Description'!$AA$9="français",D338,E338))=0,"",IF('1.Description'!$AA$9="english",C338,IF('1.Description'!$AA$9="français",D338,E338)))</f>
        <v>Please indicate the dominant quality of peat, this can influence the emission factors above:</v>
      </c>
      <c r="C338" s="1064" t="s">
        <v>3539</v>
      </c>
      <c r="D338" s="1064" t="s">
        <v>3967</v>
      </c>
      <c r="E338" s="1064" t="s">
        <v>4534</v>
      </c>
    </row>
    <row r="339" spans="1:5" x14ac:dyDescent="0.2">
      <c r="A339" s="1064" t="s">
        <v>3532</v>
      </c>
      <c r="B339" s="2262" t="str">
        <f>IF(IF('1.Description'!$AA$9="english",C339,IF('1.Description'!$AA$9="français",D339,E339))=0,"",IF('1.Description'!$AA$9="english",C339,IF('1.Description'!$AA$9="français",D339,E339)))</f>
        <v>Final land-use</v>
      </c>
      <c r="C339" s="1064" t="s">
        <v>3446</v>
      </c>
      <c r="D339" s="1064" t="s">
        <v>3806</v>
      </c>
      <c r="E339" s="1064" t="s">
        <v>4418</v>
      </c>
    </row>
    <row r="340" spans="1:5" x14ac:dyDescent="0.2">
      <c r="A340" s="1064" t="s">
        <v>3532</v>
      </c>
      <c r="B340" s="2262" t="str">
        <f>IF(IF('1.Description'!$AA$9="english",C340,IF('1.Description'!$AA$9="français",D340,E340))=0,"",IF('1.Description'!$AA$9="english",C340,IF('1.Description'!$AA$9="français",D340,E340)))</f>
        <v>On site emission factors</v>
      </c>
      <c r="C340" s="1064" t="s">
        <v>3540</v>
      </c>
      <c r="D340" s="1064" t="s">
        <v>3968</v>
      </c>
      <c r="E340" s="1064" t="s">
        <v>4535</v>
      </c>
    </row>
    <row r="341" spans="1:5" x14ac:dyDescent="0.2">
      <c r="A341" s="1064" t="s">
        <v>3532</v>
      </c>
      <c r="B341" s="2262" t="str">
        <f>IF(IF('1.Description'!$AA$9="english",C341,IF('1.Description'!$AA$9="français",D341,E341))=0,"",IF('1.Description'!$AA$9="english",C341,IF('1.Description'!$AA$9="français",D341,E341)))</f>
        <v>Fire occurrence and severity</v>
      </c>
      <c r="C341" s="1064" t="s">
        <v>3541</v>
      </c>
      <c r="D341" s="1064" t="s">
        <v>3969</v>
      </c>
      <c r="E341" s="1064" t="s">
        <v>4536</v>
      </c>
    </row>
    <row r="342" spans="1:5" x14ac:dyDescent="0.2">
      <c r="A342" s="1064" t="s">
        <v>3532</v>
      </c>
      <c r="B342" s="2262" t="str">
        <f>IF(IF('1.Description'!$AA$9="english",C342,IF('1.Description'!$AA$9="français",D342,E342))=0,"",IF('1.Description'!$AA$9="english",C342,IF('1.Description'!$AA$9="français",D342,E342)))</f>
        <v>Periodicity</v>
      </c>
      <c r="C342" s="1064" t="s">
        <v>1151</v>
      </c>
      <c r="D342" s="1064" t="s">
        <v>3970</v>
      </c>
      <c r="E342" s="1064" t="s">
        <v>4524</v>
      </c>
    </row>
    <row r="343" spans="1:5" x14ac:dyDescent="0.2">
      <c r="A343" s="1064" t="s">
        <v>3532</v>
      </c>
      <c r="B343" s="2262" t="str">
        <f>IF(IF('1.Description'!$AA$9="english",C343,IF('1.Description'!$AA$9="français",D343,E343))=0,"",IF('1.Description'!$AA$9="english",C343,IF('1.Description'!$AA$9="français",D343,E343)))</f>
        <v>Impact</v>
      </c>
      <c r="C343" s="1064" t="s">
        <v>1152</v>
      </c>
      <c r="D343" s="1064" t="s">
        <v>1152</v>
      </c>
      <c r="E343" s="1064" t="s">
        <v>4537</v>
      </c>
    </row>
    <row r="344" spans="1:5" x14ac:dyDescent="0.2">
      <c r="A344" s="1064" t="s">
        <v>3532</v>
      </c>
      <c r="B344" s="2262" t="str">
        <f>IF(IF('1.Description'!$AA$9="english",C344,IF('1.Description'!$AA$9="français",D344,E344))=0,"",IF('1.Description'!$AA$9="english",C344,IF('1.Description'!$AA$9="français",D344,E344)))</f>
        <v>% area burnt</v>
      </c>
      <c r="C344" s="1064" t="s">
        <v>3542</v>
      </c>
      <c r="D344" s="1064" t="s">
        <v>3971</v>
      </c>
      <c r="E344" s="1064" t="s">
        <v>4538</v>
      </c>
    </row>
    <row r="345" spans="1:5" x14ac:dyDescent="0.2">
      <c r="A345" s="1064" t="s">
        <v>3532</v>
      </c>
      <c r="B345" s="2262" t="str">
        <f>IF(IF('1.Description'!$AA$9="english",C345,IF('1.Description'!$AA$9="français",D345,E345))=0,"",IF('1.Description'!$AA$9="english",C345,IF('1.Description'!$AA$9="français",D345,E345)))</f>
        <v>% burnt</v>
      </c>
      <c r="C345" s="1064" t="s">
        <v>1064</v>
      </c>
      <c r="D345" s="1064" t="s">
        <v>3972</v>
      </c>
      <c r="E345" s="1064" t="s">
        <v>4539</v>
      </c>
    </row>
    <row r="346" spans="1:5" x14ac:dyDescent="0.2">
      <c r="A346" s="1064" t="s">
        <v>3532</v>
      </c>
      <c r="B346" s="2262" t="str">
        <f>IF(IF('1.Description'!$AA$9="english",C346,IF('1.Description'!$AA$9="français",D346,E346))=0,"",IF('1.Description'!$AA$9="english",C346,IF('1.Description'!$AA$9="français",D346,E346)))</f>
        <v>Year</v>
      </c>
      <c r="C346" s="1064" t="s">
        <v>1158</v>
      </c>
      <c r="D346" s="1064" t="s">
        <v>3812</v>
      </c>
      <c r="E346" s="1064" t="s">
        <v>4430</v>
      </c>
    </row>
    <row r="347" spans="1:5" x14ac:dyDescent="0.2">
      <c r="A347" s="1064" t="s">
        <v>3532</v>
      </c>
      <c r="B347" s="2262" t="str">
        <f>IF(IF('1.Description'!$AA$9="english",C347,IF('1.Description'!$AA$9="français",D347,E347))=0,"",IF('1.Description'!$AA$9="english",C347,IF('1.Description'!$AA$9="français",D347,E347)))</f>
        <v>6.1.2 Organic soil management practices associated with afforestation / reforestation</v>
      </c>
      <c r="C347" s="1064" t="s">
        <v>3543</v>
      </c>
      <c r="D347" s="1064" t="s">
        <v>4262</v>
      </c>
      <c r="E347" s="1064" t="s">
        <v>4540</v>
      </c>
    </row>
    <row r="348" spans="1:5" x14ac:dyDescent="0.2">
      <c r="A348" s="1064" t="s">
        <v>3532</v>
      </c>
      <c r="B348" s="2262" t="str">
        <f>IF(IF('1.Description'!$AA$9="english",C348,IF('1.Description'!$AA$9="français",D348,E348))=0,"",IF('1.Description'!$AA$9="english",C348,IF('1.Description'!$AA$9="français",D348,E348)))</f>
        <v>6.1.3 Organic soil management practices associated with other land-use changes</v>
      </c>
      <c r="C348" s="1064" t="s">
        <v>3544</v>
      </c>
      <c r="D348" s="1064" t="s">
        <v>4182</v>
      </c>
      <c r="E348" s="1064" t="s">
        <v>4541</v>
      </c>
    </row>
    <row r="349" spans="1:5" x14ac:dyDescent="0.2">
      <c r="A349" s="1064" t="s">
        <v>3532</v>
      </c>
      <c r="B349" s="2262" t="str">
        <f>IF(IF('1.Description'!$AA$9="english",C349,IF('1.Description'!$AA$9="français",D349,E349))=0,"",IF('1.Description'!$AA$9="english",C349,IF('1.Description'!$AA$9="français",D349,E349)))</f>
        <v>Management practices following conversion</v>
      </c>
      <c r="C349" s="1064" t="s">
        <v>1062</v>
      </c>
      <c r="D349" s="1064" t="s">
        <v>3973</v>
      </c>
      <c r="E349" s="1064" t="s">
        <v>4542</v>
      </c>
    </row>
    <row r="350" spans="1:5" x14ac:dyDescent="0.2">
      <c r="A350" s="1064" t="s">
        <v>3532</v>
      </c>
      <c r="B350" s="2262" t="str">
        <f>IF(IF('1.Description'!$AA$9="english",C350,IF('1.Description'!$AA$9="français",D350,E350))=0,"",IF('1.Description'!$AA$9="english",C350,IF('1.Description'!$AA$9="français",D350,E350)))</f>
        <v>Water table level</v>
      </c>
      <c r="C350" s="1064" t="s">
        <v>1643</v>
      </c>
      <c r="D350" s="1064" t="s">
        <v>3974</v>
      </c>
      <c r="E350" s="1064" t="s">
        <v>4543</v>
      </c>
    </row>
    <row r="351" spans="1:5" x14ac:dyDescent="0.2">
      <c r="A351" s="1064" t="s">
        <v>3532</v>
      </c>
      <c r="B351" s="2262" t="str">
        <f>IF(IF('1.Description'!$AA$9="english",C351,IF('1.Description'!$AA$9="français",D351,E351))=0,"",IF('1.Description'!$AA$9="english",C351,IF('1.Description'!$AA$9="français",D351,E351)))</f>
        <v>Off-site emission factors</v>
      </c>
      <c r="C351" s="1064" t="s">
        <v>3545</v>
      </c>
      <c r="D351" s="1064" t="s">
        <v>3975</v>
      </c>
      <c r="E351" s="1064" t="s">
        <v>4544</v>
      </c>
    </row>
    <row r="352" spans="1:5" x14ac:dyDescent="0.2">
      <c r="A352" s="1064" t="s">
        <v>3532</v>
      </c>
      <c r="B352" s="2262" t="str">
        <f>IF(IF('1.Description'!$AA$9="english",C352,IF('1.Description'!$AA$9="français",D352,E352))=0,"",IF('1.Description'!$AA$9="english",C352,IF('1.Description'!$AA$9="français",D352,E352)))</f>
        <v>On-site emission factors</v>
      </c>
      <c r="C352" s="1064" t="s">
        <v>1031</v>
      </c>
      <c r="D352" s="1064" t="s">
        <v>3968</v>
      </c>
      <c r="E352" s="1064" t="s">
        <v>4535</v>
      </c>
    </row>
    <row r="353" spans="1:5" x14ac:dyDescent="0.2">
      <c r="A353" s="1064" t="s">
        <v>3532</v>
      </c>
      <c r="B353" s="2262" t="str">
        <f>IF(IF('1.Description'!$AA$9="english",C353,IF('1.Description'!$AA$9="français",D353,E353))=0,"",IF('1.Description'!$AA$9="english",C353,IF('1.Description'!$AA$9="français",D353,E353)))</f>
        <v>Total peat extraction (tCO2-e)</v>
      </c>
      <c r="C353" s="1064" t="s">
        <v>3546</v>
      </c>
      <c r="D353" s="1064" t="s">
        <v>3976</v>
      </c>
      <c r="E353" s="1064" t="s">
        <v>4545</v>
      </c>
    </row>
    <row r="354" spans="1:5" x14ac:dyDescent="0.2">
      <c r="A354" s="1064" t="s">
        <v>3532</v>
      </c>
      <c r="B354" s="2262" t="str">
        <f>IF(IF('1.Description'!$AA$9="english",C354,IF('1.Description'!$AA$9="français",D354,E354))=0,"",IF('1.Description'!$AA$9="english",C354,IF('1.Description'!$AA$9="français",D354,E354)))</f>
        <v>6.2 LAND MANAGEMENT ON ORGANIC SOIL</v>
      </c>
      <c r="C354" s="1064" t="s">
        <v>3547</v>
      </c>
      <c r="D354" s="1064" t="s">
        <v>3977</v>
      </c>
      <c r="E354" s="1064" t="s">
        <v>4546</v>
      </c>
    </row>
    <row r="355" spans="1:5" x14ac:dyDescent="0.2">
      <c r="A355" s="1064" t="s">
        <v>3532</v>
      </c>
      <c r="B355" s="2262" t="str">
        <f>IF(IF('1.Description'!$AA$9="english",C355,IF('1.Description'!$AA$9="français",D355,E355))=0,"",IF('1.Description'!$AA$9="english",C355,IF('1.Description'!$AA$9="français",D355,E355)))</f>
        <v>6.2.1 Forest management</v>
      </c>
      <c r="C355" s="1064" t="s">
        <v>1246</v>
      </c>
      <c r="D355" s="1064" t="s">
        <v>3978</v>
      </c>
      <c r="E355" s="1064" t="s">
        <v>4547</v>
      </c>
    </row>
    <row r="356" spans="1:5" x14ac:dyDescent="0.2">
      <c r="A356" s="1064" t="s">
        <v>3532</v>
      </c>
      <c r="B356" s="2262" t="str">
        <f>IF(IF('1.Description'!$AA$9="english",C356,IF('1.Description'!$AA$9="français",D356,E356))=0,"",IF('1.Description'!$AA$9="english",C356,IF('1.Description'!$AA$9="français",D356,E356)))</f>
        <v>6.2.2 Other land-use management</v>
      </c>
      <c r="C356" s="1064" t="s">
        <v>3548</v>
      </c>
      <c r="D356" s="1064" t="s">
        <v>3979</v>
      </c>
      <c r="E356" s="1064" t="s">
        <v>4548</v>
      </c>
    </row>
    <row r="357" spans="1:5" x14ac:dyDescent="0.2">
      <c r="A357" s="1064" t="s">
        <v>3532</v>
      </c>
      <c r="B357" s="2262" t="str">
        <f>IF(IF('1.Description'!$AA$9="english",C357,IF('1.Description'!$AA$9="français",D357,E357))=0,"",IF('1.Description'!$AA$9="english",C357,IF('1.Description'!$AA$9="français",D357,E357)))</f>
        <v>6.3 LAND MANAGED FOR PEAT EXTRACTION</v>
      </c>
      <c r="C357" s="1064" t="s">
        <v>3549</v>
      </c>
      <c r="D357" s="1064" t="s">
        <v>3980</v>
      </c>
      <c r="E357" s="1064" t="s">
        <v>4549</v>
      </c>
    </row>
    <row r="358" spans="1:5" ht="15" customHeight="1" x14ac:dyDescent="0.2">
      <c r="A358" s="1064" t="s">
        <v>3532</v>
      </c>
      <c r="B358" s="2262" t="str">
        <f>IF(IF('1.Description'!$AA$9="english",C358,IF('1.Description'!$AA$9="français",D358,E358))=0,"",IF('1.Description'!$AA$9="english",C358,IF('1.Description'!$AA$9="français",D358,E358)))</f>
        <v>6.4 INLAND WATERBODIES</v>
      </c>
      <c r="C358" s="1064" t="s">
        <v>3550</v>
      </c>
      <c r="D358" s="1064" t="s">
        <v>4194</v>
      </c>
      <c r="E358" s="1064" t="s">
        <v>4550</v>
      </c>
    </row>
    <row r="359" spans="1:5" x14ac:dyDescent="0.2">
      <c r="A359" s="1064" t="s">
        <v>3532</v>
      </c>
      <c r="B359" s="2262" t="str">
        <f>IF(IF('1.Description'!$AA$9="english",C359,IF('1.Description'!$AA$9="français",D359,E359))=0,"",IF('1.Description'!$AA$9="english",C359,IF('1.Description'!$AA$9="français",D359,E359)))</f>
        <v>Waterbody type</v>
      </c>
      <c r="C359" s="1064" t="s">
        <v>1301</v>
      </c>
      <c r="D359" s="1064" t="s">
        <v>3981</v>
      </c>
      <c r="E359" s="1064" t="s">
        <v>4551</v>
      </c>
    </row>
    <row r="360" spans="1:5" x14ac:dyDescent="0.2">
      <c r="A360" s="1064" t="s">
        <v>3532</v>
      </c>
      <c r="B360" s="2262" t="str">
        <f>IF(IF('1.Description'!$AA$9="english",C360,IF('1.Description'!$AA$9="français",D360,E360))=0,"",IF('1.Description'!$AA$9="english",C360,IF('1.Description'!$AA$9="français",D360,E360)))</f>
        <v>Tota area of waterbodies (ha)</v>
      </c>
      <c r="C360" s="1064" t="s">
        <v>3551</v>
      </c>
      <c r="D360" s="1064" t="s">
        <v>4263</v>
      </c>
      <c r="E360" s="1064" t="s">
        <v>4792</v>
      </c>
    </row>
    <row r="361" spans="1:5" x14ac:dyDescent="0.2">
      <c r="A361" s="1064" t="s">
        <v>3532</v>
      </c>
      <c r="B361" s="2262" t="str">
        <f>IF(IF('1.Description'!$AA$9="english",C361,IF('1.Description'!$AA$9="français",D361,E361))=0,"",IF('1.Description'!$AA$9="english",C361,IF('1.Description'!$AA$9="français",D361,E361)))</f>
        <v>Trophic class</v>
      </c>
      <c r="C361" s="1064" t="s">
        <v>3552</v>
      </c>
      <c r="D361" s="1064" t="s">
        <v>3982</v>
      </c>
      <c r="E361" s="1064" t="s">
        <v>4552</v>
      </c>
    </row>
    <row r="362" spans="1:5" x14ac:dyDescent="0.2">
      <c r="A362" s="1064" t="s">
        <v>3532</v>
      </c>
      <c r="B362" s="2262" t="str">
        <f>IF(IF('1.Description'!$AA$9="english",C362,IF('1.Description'!$AA$9="français",D362,E362))=0,"",IF('1.Description'!$AA$9="english",C362,IF('1.Description'!$AA$9="français",D362,E362)))</f>
        <v>Fish production (tonne/year)</v>
      </c>
      <c r="C362" s="1064" t="s">
        <v>3553</v>
      </c>
      <c r="D362" s="1064" t="s">
        <v>3983</v>
      </c>
      <c r="E362" s="1064" t="s">
        <v>4793</v>
      </c>
    </row>
    <row r="363" spans="1:5" x14ac:dyDescent="0.2">
      <c r="A363" s="1064" t="s">
        <v>3532</v>
      </c>
      <c r="B363" s="2262" t="str">
        <f>IF(IF('1.Description'!$AA$9="english",C363,IF('1.Description'!$AA$9="français",D363,E363))=0,"",IF('1.Description'!$AA$9="english",C363,IF('1.Description'!$AA$9="français",D363,E363)))</f>
        <v>6.1.1 Emission factors for drainage associated with deforestation</v>
      </c>
      <c r="C363" s="1064" t="s">
        <v>3554</v>
      </c>
      <c r="D363" s="1064" t="s">
        <v>3984</v>
      </c>
      <c r="E363" s="1064" t="s">
        <v>4553</v>
      </c>
    </row>
    <row r="364" spans="1:5" x14ac:dyDescent="0.2">
      <c r="A364" s="1064" t="s">
        <v>3532</v>
      </c>
      <c r="B364" s="2262" t="str">
        <f>IF(IF('1.Description'!$AA$9="english",C364,IF('1.Description'!$AA$9="français",D364,E364))=0,"",IF('1.Description'!$AA$9="english",C364,IF('1.Description'!$AA$9="français",D364,E364)))</f>
        <v>6.1.2 Emission factors for drainage associated with afforestation/reforestation</v>
      </c>
      <c r="C364" s="1064" t="s">
        <v>3555</v>
      </c>
      <c r="D364" s="1064" t="s">
        <v>4264</v>
      </c>
      <c r="E364" s="1064" t="s">
        <v>4554</v>
      </c>
    </row>
    <row r="365" spans="1:5" x14ac:dyDescent="0.2">
      <c r="A365" s="1064" t="s">
        <v>3532</v>
      </c>
      <c r="B365" s="2262" t="str">
        <f>IF(IF('1.Description'!$AA$9="english",C365,IF('1.Description'!$AA$9="français",D365,E365))=0,"",IF('1.Description'!$AA$9="english",C365,IF('1.Description'!$AA$9="français",D365,E365)))</f>
        <v>6.1.3 Emission factors for drainage associated with other land-use changes</v>
      </c>
      <c r="C365" s="1064" t="s">
        <v>3556</v>
      </c>
      <c r="D365" s="1064" t="s">
        <v>4183</v>
      </c>
      <c r="E365" s="1064" t="s">
        <v>4555</v>
      </c>
    </row>
    <row r="366" spans="1:5" x14ac:dyDescent="0.2">
      <c r="A366" s="1064" t="s">
        <v>3532</v>
      </c>
      <c r="B366" s="2262" t="str">
        <f>IF(IF('1.Description'!$AA$9="english",C366,IF('1.Description'!$AA$9="français",D366,E366))=0,"",IF('1.Description'!$AA$9="english",C366,IF('1.Description'!$AA$9="français",D366,E366)))</f>
        <v>6.2.1 Emission factors for drainage associated with forest management</v>
      </c>
      <c r="C366" s="1064" t="s">
        <v>3557</v>
      </c>
      <c r="D366" s="1064" t="s">
        <v>3985</v>
      </c>
      <c r="E366" s="1064" t="s">
        <v>4556</v>
      </c>
    </row>
    <row r="367" spans="1:5" x14ac:dyDescent="0.2">
      <c r="A367" s="1064" t="s">
        <v>3532</v>
      </c>
      <c r="B367" s="2262" t="str">
        <f>IF(IF('1.Description'!$AA$9="english",C367,IF('1.Description'!$AA$9="français",D367,E367))=0,"",IF('1.Description'!$AA$9="english",C367,IF('1.Description'!$AA$9="français",D367,E367)))</f>
        <v>6.2.2 Emission factors for drainage associated with other land-use management</v>
      </c>
      <c r="C367" s="1064" t="s">
        <v>3558</v>
      </c>
      <c r="D367" s="1064" t="s">
        <v>4184</v>
      </c>
      <c r="E367" s="1064" t="s">
        <v>4557</v>
      </c>
    </row>
    <row r="368" spans="1:5" x14ac:dyDescent="0.2">
      <c r="A368" s="1064" t="s">
        <v>3532</v>
      </c>
      <c r="B368" s="2262" t="str">
        <f>IF(IF('1.Description'!$AA$9="english",C368,IF('1.Description'!$AA$9="français",D368,E368))=0,"",IF('1.Description'!$AA$9="english",C368,IF('1.Description'!$AA$9="français",D368,E368)))</f>
        <v>6.3 LAND MANAGED FOR PEAT EXTRACTION</v>
      </c>
      <c r="C368" s="1064" t="s">
        <v>3549</v>
      </c>
      <c r="D368" s="1064" t="s">
        <v>3980</v>
      </c>
      <c r="E368" s="1064" t="s">
        <v>4549</v>
      </c>
    </row>
    <row r="369" spans="1:5" x14ac:dyDescent="0.2">
      <c r="A369" s="1064" t="s">
        <v>3532</v>
      </c>
      <c r="B369" s="2262" t="str">
        <f>IF(IF('1.Description'!$AA$9="english",C369,IF('1.Description'!$AA$9="français",D369,E369))=0,"",IF('1.Description'!$AA$9="english",C369,IF('1.Description'!$AA$9="français",D369,E369)))</f>
        <v>6.4 INLAND WATERBODIES</v>
      </c>
      <c r="C369" s="1064" t="s">
        <v>3550</v>
      </c>
      <c r="D369" s="1064" t="s">
        <v>4194</v>
      </c>
      <c r="E369" s="1064" t="s">
        <v>4550</v>
      </c>
    </row>
    <row r="370" spans="1:5" x14ac:dyDescent="0.2">
      <c r="A370" s="1064" t="s">
        <v>3532</v>
      </c>
      <c r="B370" s="2262" t="str">
        <f>IF(IF('1.Description'!$AA$9="english",C370,IF('1.Description'!$AA$9="français",D370,E370))=0,"",IF('1.Description'!$AA$9="english",C370,IF('1.Description'!$AA$9="français",D370,E370)))</f>
        <v>6.1.1 Emissions factors for fire on organic soils associated with deforestation</v>
      </c>
      <c r="C370" s="1064" t="s">
        <v>3559</v>
      </c>
      <c r="D370" s="1064" t="s">
        <v>3986</v>
      </c>
      <c r="E370" s="1064" t="s">
        <v>4558</v>
      </c>
    </row>
    <row r="371" spans="1:5" x14ac:dyDescent="0.2">
      <c r="A371" s="1064" t="s">
        <v>3532</v>
      </c>
      <c r="B371" s="2262" t="str">
        <f>IF(IF('1.Description'!$AA$9="english",C371,IF('1.Description'!$AA$9="français",D371,E371))=0,"",IF('1.Description'!$AA$9="english",C371,IF('1.Description'!$AA$9="français",D371,E371)))</f>
        <v>6.1.2 Emissions factors for fire on organic soils associated with afforestation/reforestation</v>
      </c>
      <c r="C371" s="1064" t="s">
        <v>3560</v>
      </c>
      <c r="D371" s="1064" t="s">
        <v>3987</v>
      </c>
      <c r="E371" s="1064" t="s">
        <v>4559</v>
      </c>
    </row>
    <row r="372" spans="1:5" x14ac:dyDescent="0.2">
      <c r="A372" s="1064" t="s">
        <v>3532</v>
      </c>
      <c r="B372" s="2262" t="str">
        <f>IF(IF('1.Description'!$AA$9="english",C372,IF('1.Description'!$AA$9="français",D372,E372))=0,"",IF('1.Description'!$AA$9="english",C372,IF('1.Description'!$AA$9="français",D372,E372)))</f>
        <v>6.1.3 Emissions factors for fire on organic soils associated with other land-use change</v>
      </c>
      <c r="C372" s="1064" t="s">
        <v>3561</v>
      </c>
      <c r="D372" s="1064" t="s">
        <v>4185</v>
      </c>
      <c r="E372" s="1064" t="s">
        <v>4560</v>
      </c>
    </row>
    <row r="373" spans="1:5" x14ac:dyDescent="0.2">
      <c r="A373" s="1064" t="s">
        <v>3532</v>
      </c>
      <c r="B373" s="2262" t="str">
        <f>IF(IF('1.Description'!$AA$9="english",C373,IF('1.Description'!$AA$9="français",D373,E373))=0,"",IF('1.Description'!$AA$9="english",C373,IF('1.Description'!$AA$9="français",D373,E373)))</f>
        <v>6.2.1 Emissions factors for fire on organic soils associated with forest management</v>
      </c>
      <c r="C373" s="1064" t="s">
        <v>3562</v>
      </c>
      <c r="D373" s="1064" t="s">
        <v>3988</v>
      </c>
      <c r="E373" s="1064" t="s">
        <v>4561</v>
      </c>
    </row>
    <row r="374" spans="1:5" x14ac:dyDescent="0.2">
      <c r="A374" s="1064" t="s">
        <v>3532</v>
      </c>
      <c r="B374" s="2262" t="str">
        <f>IF(IF('1.Description'!$AA$9="english",C374,IF('1.Description'!$AA$9="français",D374,E374))=0,"",IF('1.Description'!$AA$9="english",C374,IF('1.Description'!$AA$9="français",D374,E374)))</f>
        <v>6.2.2 Emissions factors for fire on organic soils associated with other land-use management</v>
      </c>
      <c r="C374" s="1064" t="s">
        <v>3563</v>
      </c>
      <c r="D374" s="1064" t="s">
        <v>4186</v>
      </c>
      <c r="E374" s="1064" t="s">
        <v>4562</v>
      </c>
    </row>
    <row r="375" spans="1:5" x14ac:dyDescent="0.2">
      <c r="A375" s="1064" t="s">
        <v>3532</v>
      </c>
      <c r="B375" s="2262" t="str">
        <f>IF(IF('1.Description'!$AA$9="english",C375,IF('1.Description'!$AA$9="français",D375,E375))=0,"",IF('1.Description'!$AA$9="english",C375,IF('1.Description'!$AA$9="français",D375,E375)))</f>
        <v>Total deforestation on organic soils (tCO2-e)</v>
      </c>
      <c r="C375" s="1064" t="s">
        <v>1061</v>
      </c>
      <c r="D375" s="1064" t="s">
        <v>3989</v>
      </c>
      <c r="E375" s="1064" t="s">
        <v>4563</v>
      </c>
    </row>
    <row r="376" spans="1:5" x14ac:dyDescent="0.2">
      <c r="A376" s="1064" t="s">
        <v>3532</v>
      </c>
      <c r="B376" s="2262" t="str">
        <f>IF(IF('1.Description'!$AA$9="english",C376,IF('1.Description'!$AA$9="français",D376,E376))=0,"",IF('1.Description'!$AA$9="english",C376,IF('1.Description'!$AA$9="français",D376,E376)))</f>
        <v>Total af/reforestation on organic soils (tCO2-e)</v>
      </c>
      <c r="C376" s="1064" t="s">
        <v>3564</v>
      </c>
      <c r="D376" s="1064" t="s">
        <v>4265</v>
      </c>
      <c r="E376" s="1064" t="s">
        <v>4564</v>
      </c>
    </row>
    <row r="377" spans="1:5" x14ac:dyDescent="0.2">
      <c r="A377" s="1064" t="s">
        <v>3532</v>
      </c>
      <c r="B377" s="2262" t="str">
        <f>IF(IF('1.Description'!$AA$9="english",C377,IF('1.Description'!$AA$9="français",D377,E377))=0,"",IF('1.Description'!$AA$9="english",C377,IF('1.Description'!$AA$9="français",D377,E377)))</f>
        <v>Total other land-use changes on organic soils (tCO2-e)</v>
      </c>
      <c r="C377" s="1064" t="s">
        <v>3565</v>
      </c>
      <c r="D377" s="1064" t="s">
        <v>3990</v>
      </c>
      <c r="E377" s="1064" t="s">
        <v>4565</v>
      </c>
    </row>
    <row r="378" spans="1:5" x14ac:dyDescent="0.2">
      <c r="A378" s="1064" t="s">
        <v>3532</v>
      </c>
      <c r="B378" s="2262" t="str">
        <f>IF(IF('1.Description'!$AA$9="english",C378,IF('1.Description'!$AA$9="français",D378,E378))=0,"",IF('1.Description'!$AA$9="english",C378,IF('1.Description'!$AA$9="français",D378,E378)))</f>
        <v>Total forest degradation and management (tCO2-e)</v>
      </c>
      <c r="C378" s="1064" t="s">
        <v>3566</v>
      </c>
      <c r="D378" s="1064" t="s">
        <v>3991</v>
      </c>
      <c r="E378" s="1064" t="s">
        <v>4566</v>
      </c>
    </row>
    <row r="379" spans="1:5" x14ac:dyDescent="0.2">
      <c r="A379" s="1064" t="s">
        <v>3532</v>
      </c>
      <c r="B379" s="2262" t="str">
        <f>IF(IF('1.Description'!$AA$9="english",C379,IF('1.Description'!$AA$9="français",D379,E379))=0,"",IF('1.Description'!$AA$9="english",C379,IF('1.Description'!$AA$9="français",D379,E379)))</f>
        <v>Total other land-use management (tCO2-e)</v>
      </c>
      <c r="C379" s="1064" t="s">
        <v>3567</v>
      </c>
      <c r="D379" s="1064" t="s">
        <v>4187</v>
      </c>
      <c r="E379" s="1064" t="s">
        <v>4567</v>
      </c>
    </row>
    <row r="380" spans="1:5" x14ac:dyDescent="0.2">
      <c r="A380" s="1064" t="s">
        <v>3532</v>
      </c>
      <c r="B380" s="2262" t="str">
        <f>IF(IF('1.Description'!$AA$9="english",C380,IF('1.Description'!$AA$9="français",D380,E380))=0,"",IF('1.Description'!$AA$9="english",C380,IF('1.Description'!$AA$9="français",D380,E380)))</f>
        <v>6.1.1. Rewetting associated with deforestation</v>
      </c>
      <c r="C380" s="1064" t="s">
        <v>3568</v>
      </c>
      <c r="D380" s="1064" t="s">
        <v>4188</v>
      </c>
      <c r="E380" s="1064" t="s">
        <v>4568</v>
      </c>
    </row>
    <row r="381" spans="1:5" x14ac:dyDescent="0.2">
      <c r="A381" s="1064" t="s">
        <v>3532</v>
      </c>
      <c r="B381" s="2262" t="str">
        <f>IF(IF('1.Description'!$AA$9="english",C381,IF('1.Description'!$AA$9="français",D381,E381))=0,"",IF('1.Description'!$AA$9="english",C381,IF('1.Description'!$AA$9="français",D381,E381)))</f>
        <v>6.1.2. Rewetting associated with afforestation/reforestation</v>
      </c>
      <c r="C381" s="1064" t="s">
        <v>3569</v>
      </c>
      <c r="D381" s="1064" t="s">
        <v>4189</v>
      </c>
      <c r="E381" s="1064" t="s">
        <v>4569</v>
      </c>
    </row>
    <row r="382" spans="1:5" x14ac:dyDescent="0.2">
      <c r="A382" s="1064" t="s">
        <v>3532</v>
      </c>
      <c r="B382" s="2262" t="str">
        <f>IF(IF('1.Description'!$AA$9="english",C382,IF('1.Description'!$AA$9="français",D382,E382))=0,"",IF('1.Description'!$AA$9="english",C382,IF('1.Description'!$AA$9="français",D382,E382)))</f>
        <v>6.1.3 Rewetting associated with other land-use change</v>
      </c>
      <c r="C382" s="1064" t="s">
        <v>3570</v>
      </c>
      <c r="D382" s="1064" t="s">
        <v>4190</v>
      </c>
      <c r="E382" s="1064" t="s">
        <v>4570</v>
      </c>
    </row>
    <row r="383" spans="1:5" x14ac:dyDescent="0.2">
      <c r="A383" s="1064" t="s">
        <v>3532</v>
      </c>
      <c r="B383" s="2262" t="str">
        <f>IF(IF('1.Description'!$AA$9="english",C383,IF('1.Description'!$AA$9="français",D383,E383))=0,"",IF('1.Description'!$AA$9="english",C383,IF('1.Description'!$AA$9="français",D383,E383)))</f>
        <v>6.2.1 Rewetting associated with forest management</v>
      </c>
      <c r="C383" s="1064" t="s">
        <v>3571</v>
      </c>
      <c r="D383" s="1064" t="s">
        <v>4191</v>
      </c>
      <c r="E383" s="1064" t="s">
        <v>4571</v>
      </c>
    </row>
    <row r="384" spans="1:5" x14ac:dyDescent="0.2">
      <c r="A384" s="1064" t="s">
        <v>3532</v>
      </c>
      <c r="B384" s="2262" t="str">
        <f>IF(IF('1.Description'!$AA$9="english",C384,IF('1.Description'!$AA$9="français",D384,E384))=0,"",IF('1.Description'!$AA$9="english",C384,IF('1.Description'!$AA$9="français",D384,E384)))</f>
        <v>6.2.2 Rewetting associated with other land-use management</v>
      </c>
      <c r="C384" s="1064" t="s">
        <v>3572</v>
      </c>
      <c r="D384" s="1064" t="s">
        <v>4192</v>
      </c>
      <c r="E384" s="1064" t="s">
        <v>4572</v>
      </c>
    </row>
    <row r="385" spans="1:5" x14ac:dyDescent="0.2">
      <c r="A385" s="1064" t="s">
        <v>3532</v>
      </c>
      <c r="B385" s="2262" t="str">
        <f>IF(IF('1.Description'!$AA$9="english",C385,IF('1.Description'!$AA$9="français",D385,E385))=0,"",IF('1.Description'!$AA$9="english",C385,IF('1.Description'!$AA$9="français",D385,E385)))</f>
        <v/>
      </c>
    </row>
    <row r="386" spans="1:5" x14ac:dyDescent="0.2">
      <c r="A386" s="1064" t="s">
        <v>3532</v>
      </c>
      <c r="B386" s="2262" t="str">
        <f>IF(IF('1.Description'!$AA$9="english",C386,IF('1.Description'!$AA$9="français",D386,E386))=0,"",IF('1.Description'!$AA$9="english",C386,IF('1.Description'!$AA$9="français",D386,E386)))</f>
        <v xml:space="preserve">For Mineral soil only - This accounts for CH4 emissions from (i) canals for water supply or navigation, (ii) ditches for agriculture (irrigation, drainage, etc.) ,and (iii) ponds for agriculture and aquaculture </v>
      </c>
      <c r="C386" s="1064" t="s">
        <v>3573</v>
      </c>
      <c r="D386" s="1064" t="s">
        <v>3992</v>
      </c>
      <c r="E386" s="1064" t="s">
        <v>4573</v>
      </c>
    </row>
    <row r="387" spans="1:5" x14ac:dyDescent="0.2">
      <c r="A387" s="1064" t="s">
        <v>3532</v>
      </c>
      <c r="B387" s="2262" t="str">
        <f>IF(IF('1.Description'!$AA$9="english",C387,IF('1.Description'!$AA$9="français",D387,E387))=0,"",IF('1.Description'!$AA$9="english",C387,IF('1.Description'!$AA$9="français",D387,E387)))</f>
        <v>For aquaculture in coastal wetland based pond go to "Coastal wetlands"</v>
      </c>
      <c r="C387" s="1064" t="s">
        <v>3574</v>
      </c>
      <c r="D387" s="1064" t="s">
        <v>3993</v>
      </c>
      <c r="E387" s="1064" t="s">
        <v>4574</v>
      </c>
    </row>
    <row r="388" spans="1:5" x14ac:dyDescent="0.2">
      <c r="A388" s="1064" t="s">
        <v>3532</v>
      </c>
      <c r="B388" s="2262" t="str">
        <f>IF(IF('1.Description'!$AA$9="english",C388,IF('1.Description'!$AA$9="français",D388,E388))=0,"",IF('1.Description'!$AA$9="english",C388,IF('1.Description'!$AA$9="français",D388,E388)))</f>
        <v>Total inland waterbodies on mineral soil (tCO2-e)</v>
      </c>
      <c r="C388" s="1064" t="s">
        <v>3575</v>
      </c>
      <c r="D388" s="1064" t="s">
        <v>4193</v>
      </c>
      <c r="E388" s="1064" t="s">
        <v>4575</v>
      </c>
    </row>
    <row r="389" spans="1:5" x14ac:dyDescent="0.2">
      <c r="B389" s="2262" t="str">
        <f>IF(IF('1.Description'!$AA$9="english",C389,IF('1.Description'!$AA$9="français",D389,E389))=0,"",IF('1.Description'!$AA$9="english",C389,IF('1.Description'!$AA$9="français",D389,E389)))</f>
        <v>Burning of</v>
      </c>
      <c r="C389" s="4440" t="s">
        <v>1043</v>
      </c>
      <c r="D389" s="4440" t="s">
        <v>4267</v>
      </c>
      <c r="E389" s="1064" t="s">
        <v>4794</v>
      </c>
    </row>
    <row r="390" spans="1:5" x14ac:dyDescent="0.2">
      <c r="B390" s="2262" t="str">
        <f>IF(IF('1.Description'!$AA$9="english",C390,IF('1.Description'!$AA$9="français",D390,E390))=0,"",IF('1.Description'!$AA$9="english",C390,IF('1.Description'!$AA$9="français",D390,E390)))</f>
        <v xml:space="preserve">Biomass </v>
      </c>
      <c r="C390" s="4440" t="s">
        <v>1052</v>
      </c>
      <c r="D390" s="4440" t="s">
        <v>3843</v>
      </c>
      <c r="E390" s="1064" t="s">
        <v>4682</v>
      </c>
    </row>
    <row r="391" spans="1:5" x14ac:dyDescent="0.2">
      <c r="B391" s="2262" t="str">
        <f>IF(IF('1.Description'!$AA$9="english",C391,IF('1.Description'!$AA$9="français",D391,E391))=0,"",IF('1.Description'!$AA$9="english",C391,IF('1.Description'!$AA$9="français",D391,E391)))</f>
        <v>Maximum area available for</v>
      </c>
      <c r="C391" s="4440" t="s">
        <v>1056</v>
      </c>
      <c r="D391" s="4440" t="s">
        <v>4268</v>
      </c>
      <c r="E391" s="1064" t="s">
        <v>4795</v>
      </c>
    </row>
    <row r="392" spans="1:5" x14ac:dyDescent="0.2">
      <c r="B392" s="2262" t="str">
        <f>IF(IF('1.Description'!$AA$9="english",C392,IF('1.Description'!$AA$9="français",D392,E392))=0,"",IF('1.Description'!$AA$9="english",C392,IF('1.Description'!$AA$9="français",D392,E392)))</f>
        <v>water management</v>
      </c>
      <c r="C392" s="4440" t="s">
        <v>1057</v>
      </c>
      <c r="D392" s="4440" t="s">
        <v>4269</v>
      </c>
      <c r="E392" s="1064" t="s">
        <v>4796</v>
      </c>
    </row>
    <row r="393" spans="1:5" x14ac:dyDescent="0.2">
      <c r="B393" s="2262" t="str">
        <f>IF(IF('1.Description'!$AA$9="english",C393,IF('1.Description'!$AA$9="français",D393,E393))=0,"",IF('1.Description'!$AA$9="english",C393,IF('1.Description'!$AA$9="français",D393,E393)))</f>
        <v>Area under drainage (ha)</v>
      </c>
      <c r="C393" s="4440" t="s">
        <v>1058</v>
      </c>
      <c r="D393" s="4440" t="s">
        <v>4270</v>
      </c>
      <c r="E393" s="1064" t="s">
        <v>4797</v>
      </c>
    </row>
    <row r="394" spans="1:5" x14ac:dyDescent="0.2">
      <c r="B394" s="2262" t="str">
        <f>IF(IF('1.Description'!$AA$9="english",C394,IF('1.Description'!$AA$9="français",D394,E394))=0,"",IF('1.Description'!$AA$9="english",C394,IF('1.Description'!$AA$9="français",D394,E394)))</f>
        <v>Area not drained or rewetted (ha)</v>
      </c>
      <c r="C394" s="4440" t="s">
        <v>1059</v>
      </c>
      <c r="D394" s="4440" t="s">
        <v>4271</v>
      </c>
      <c r="E394" s="1064" t="s">
        <v>4798</v>
      </c>
    </row>
    <row r="395" spans="1:5" x14ac:dyDescent="0.2">
      <c r="B395" s="2262" t="str">
        <f>IF(IF('1.Description'!$AA$9="english",C395,IF('1.Description'!$AA$9="français",D395,E395))=0,"",IF('1.Description'!$AA$9="english",C395,IF('1.Description'!$AA$9="français",D395,E395)))</f>
        <v>Fire on</v>
      </c>
      <c r="C395" s="4440" t="s">
        <v>1060</v>
      </c>
      <c r="D395" s="4440" t="s">
        <v>4272</v>
      </c>
      <c r="E395" s="1064" t="s">
        <v>4799</v>
      </c>
    </row>
    <row r="396" spans="1:5" x14ac:dyDescent="0.2">
      <c r="B396" s="2262" t="str">
        <f>IF(IF('1.Description'!$AA$9="english",C396,IF('1.Description'!$AA$9="français",D396,E396))=0,"",IF('1.Description'!$AA$9="english",C396,IF('1.Description'!$AA$9="français",D396,E396)))</f>
        <v>Soil</v>
      </c>
      <c r="C396" s="4440" t="s">
        <v>157</v>
      </c>
      <c r="D396" s="4440" t="s">
        <v>4273</v>
      </c>
      <c r="E396" s="1064" t="s">
        <v>4576</v>
      </c>
    </row>
    <row r="397" spans="1:5" x14ac:dyDescent="0.2">
      <c r="B397" s="2262" t="str">
        <f>IF(IF('1.Description'!$AA$9="english",C397,IF('1.Description'!$AA$9="français",D397,E397))=0,"",IF('1.Description'!$AA$9="english",C397,IF('1.Description'!$AA$9="français",D397,E397)))</f>
        <v>Total deforestation on organic soils (tCO2-e)</v>
      </c>
      <c r="C397" s="4440" t="s">
        <v>1061</v>
      </c>
      <c r="D397" s="4440" t="s">
        <v>4274</v>
      </c>
      <c r="E397" s="1064" t="s">
        <v>4563</v>
      </c>
    </row>
    <row r="398" spans="1:5" x14ac:dyDescent="0.2">
      <c r="B398" s="2262" t="str">
        <f>IF(IF('1.Description'!$AA$9="english",C398,IF('1.Description'!$AA$9="français",D398,E398))=0,"",IF('1.Description'!$AA$9="english",C398,IF('1.Description'!$AA$9="français",D398,E398)))</f>
        <v>Total afforestation / reforestation on organic soils (tCO2-e)</v>
      </c>
      <c r="C398" s="4440" t="s">
        <v>1065</v>
      </c>
      <c r="D398" s="4440" t="s">
        <v>4275</v>
      </c>
      <c r="E398" s="1064" t="s">
        <v>4800</v>
      </c>
    </row>
    <row r="399" spans="1:5" x14ac:dyDescent="0.2">
      <c r="B399" s="2262" t="str">
        <f>IF(IF('1.Description'!$AA$9="english",C399,IF('1.Description'!$AA$9="français",D399,E399))=0,"",IF('1.Description'!$AA$9="english",C399,IF('1.Description'!$AA$9="français",D399,E399)))</f>
        <v/>
      </c>
      <c r="C399" s="4440"/>
      <c r="D399" s="4440"/>
    </row>
    <row r="400" spans="1:5" x14ac:dyDescent="0.2">
      <c r="B400" s="2262" t="str">
        <f>IF(IF('1.Description'!$AA$9="english",C400,IF('1.Description'!$AA$9="français",D400,E400))=0,"",IF('1.Description'!$AA$9="english",C400,IF('1.Description'!$AA$9="français",D400,E400)))</f>
        <v>Converted areas (ha)</v>
      </c>
      <c r="C400" s="4440" t="s">
        <v>1066</v>
      </c>
      <c r="D400" s="4440" t="s">
        <v>4276</v>
      </c>
      <c r="E400" s="1064" t="s">
        <v>4801</v>
      </c>
    </row>
    <row r="401" spans="2:5" ht="13.25" customHeight="1" x14ac:dyDescent="0.2">
      <c r="B401" s="2262" t="str">
        <f>IF(IF('1.Description'!$AA$9="english",C401,IF('1.Description'!$AA$9="français",D401,E401))=0,"",IF('1.Description'!$AA$9="english",C401,IF('1.Description'!$AA$9="français",D401,E401)))</f>
        <v>Management practices following conversion</v>
      </c>
      <c r="C401" s="4440" t="s">
        <v>1062</v>
      </c>
      <c r="D401" s="4440" t="s">
        <v>4277</v>
      </c>
      <c r="E401" s="1064" t="s">
        <v>4542</v>
      </c>
    </row>
    <row r="402" spans="2:5" ht="13.25" customHeight="1" x14ac:dyDescent="0.2">
      <c r="B402" s="2262" t="str">
        <f>IF(IF('1.Description'!$AA$9="english",C402,IF('1.Description'!$AA$9="français",D402,E402))=0,"",IF('1.Description'!$AA$9="english",C402,IF('1.Description'!$AA$9="français",D402,E402)))</f>
        <v>Management practices</v>
      </c>
      <c r="C402" s="4440" t="s">
        <v>1069</v>
      </c>
      <c r="D402" s="4440" t="s">
        <v>4278</v>
      </c>
      <c r="E402" s="1064" t="s">
        <v>4802</v>
      </c>
    </row>
    <row r="403" spans="2:5" ht="13.25" customHeight="1" x14ac:dyDescent="0.2">
      <c r="B403" s="2262" t="str">
        <f>IF(IF('1.Description'!$AA$9="english",C403,IF('1.Description'!$AA$9="français",D403,E403))=0,"",IF('1.Description'!$AA$9="english",C403,IF('1.Description'!$AA$9="français",D403,E403)))</f>
        <v>Total forest management on organic soils (tCO2-e)</v>
      </c>
      <c r="C403" s="4440" t="s">
        <v>1072</v>
      </c>
      <c r="D403" s="4440" t="s">
        <v>4279</v>
      </c>
      <c r="E403" s="1064" t="s">
        <v>4803</v>
      </c>
    </row>
    <row r="404" spans="2:5" x14ac:dyDescent="0.2">
      <c r="B404" s="2262" t="str">
        <f>IF(IF('1.Description'!$AA$9="english",C404,IF('1.Description'!$AA$9="français",D404,E404))=0,"",IF('1.Description'!$AA$9="english",C404,IF('1.Description'!$AA$9="français",D404,E404)))</f>
        <v>Land use area (ha)</v>
      </c>
      <c r="C404" s="4440" t="s">
        <v>1073</v>
      </c>
      <c r="D404" s="4440" t="s">
        <v>4280</v>
      </c>
      <c r="E404" s="1064" t="s">
        <v>4804</v>
      </c>
    </row>
    <row r="405" spans="2:5" x14ac:dyDescent="0.2">
      <c r="B405" s="2262" t="str">
        <f>IF(IF('1.Description'!$AA$9="english",C405,IF('1.Description'!$AA$9="français",D405,E405))=0,"",IF('1.Description'!$AA$9="english",C405,IF('1.Description'!$AA$9="français",D405,E405)))</f>
        <v>Type of peat</v>
      </c>
      <c r="C405" s="4440" t="s">
        <v>1079</v>
      </c>
      <c r="D405" s="4440" t="s">
        <v>4281</v>
      </c>
      <c r="E405" s="1064" t="s">
        <v>4805</v>
      </c>
    </row>
    <row r="406" spans="2:5" x14ac:dyDescent="0.2">
      <c r="B406" s="2262" t="str">
        <f>IF(IF('1.Description'!$AA$9="english",C406,IF('1.Description'!$AA$9="français",D406,E406))=0,"",IF('1.Description'!$AA$9="english",C406,IF('1.Description'!$AA$9="français",D406,E406)))</f>
        <v>Surface where peat is extracted (ha)</v>
      </c>
      <c r="C406" s="4440" t="s">
        <v>1075</v>
      </c>
      <c r="D406" s="4440" t="s">
        <v>4282</v>
      </c>
      <c r="E406" s="1064" t="s">
        <v>4806</v>
      </c>
    </row>
    <row r="407" spans="2:5" x14ac:dyDescent="0.2">
      <c r="B407" s="2262" t="str">
        <f>IF(IF('1.Description'!$AA$9="english",C407,IF('1.Description'!$AA$9="français",D407,E407))=0,"",IF('1.Description'!$AA$9="english",C407,IF('1.Description'!$AA$9="français",D407,E407)))</f>
        <v>Height of extraction (cm)</v>
      </c>
      <c r="C407" s="4440" t="s">
        <v>1076</v>
      </c>
      <c r="D407" s="4440" t="s">
        <v>4283</v>
      </c>
      <c r="E407" s="1064" t="s">
        <v>4807</v>
      </c>
    </row>
    <row r="408" spans="2:5" x14ac:dyDescent="0.2">
      <c r="B408" s="2262" t="str">
        <f>IF(IF('1.Description'!$AA$9="english",C408,IF('1.Description'!$AA$9="français",D408,E408))=0,"",IF('1.Description'!$AA$9="english",C408,IF('1.Description'!$AA$9="français",D408,E408)))</f>
        <v>Quantity of peat produced (tonne/year)</v>
      </c>
      <c r="C408" s="4440" t="s">
        <v>1077</v>
      </c>
      <c r="D408" s="4440" t="s">
        <v>4284</v>
      </c>
      <c r="E408" s="1064" t="s">
        <v>4808</v>
      </c>
    </row>
    <row r="409" spans="2:5" x14ac:dyDescent="0.2">
      <c r="B409" s="2262" t="str">
        <f>IF(IF('1.Description'!$AA$9="english",C409,IF('1.Description'!$AA$9="français",D409,E409))=0,"",IF('1.Description'!$AA$9="english",C409,IF('1.Description'!$AA$9="français",D409,E409)))</f>
        <v>Final land use biomass C pool (BGB+AGB)</v>
      </c>
      <c r="C409" s="4440" t="str">
        <f>"Final land use biomass C pool (BGB+AGB)"</f>
        <v>Final land use biomass C pool (BGB+AGB)</v>
      </c>
      <c r="D409" s="4440" t="str">
        <f>"Final land use biomass C pool (BGB+AGB)"</f>
        <v>Final land use biomass C pool (BGB+AGB)</v>
      </c>
      <c r="E409" s="1064" t="s">
        <v>4809</v>
      </c>
    </row>
    <row r="410" spans="2:5" x14ac:dyDescent="0.2">
      <c r="B410" s="2262" t="str">
        <f>IF(IF('1.Description'!$AA$9="english",C410,IF('1.Description'!$AA$9="français",D410,E410))=0,"",IF('1.Description'!$AA$9="english",C410,IF('1.Description'!$AA$9="français",D410,E410)))</f>
        <v>Initial land use biomass C pool (BGB+AGB)</v>
      </c>
      <c r="C410" s="4440" t="s">
        <v>1063</v>
      </c>
      <c r="D410" s="4440" t="s">
        <v>4285</v>
      </c>
      <c r="E410" s="1064" t="s">
        <v>4810</v>
      </c>
    </row>
    <row r="411" spans="2:5" x14ac:dyDescent="0.2">
      <c r="B411" s="2262" t="str">
        <f>IF(IF('1.Description'!$AA$9="english",C411,IF('1.Description'!$AA$9="français",D411,E411))=0,"",IF('1.Description'!$AA$9="english",C411,IF('1.Description'!$AA$9="français",D411,E411)))</f>
        <v>Type of fire</v>
      </c>
      <c r="C411" s="4440" t="s">
        <v>1046</v>
      </c>
      <c r="D411" s="4440" t="s">
        <v>4286</v>
      </c>
      <c r="E411" s="1064" t="s">
        <v>4811</v>
      </c>
    </row>
    <row r="412" spans="2:5" x14ac:dyDescent="0.2">
      <c r="B412" s="2262" t="str">
        <f>IF(IF('1.Description'!$AA$9="english",C412,IF('1.Description'!$AA$9="français",D412,E412))=0,"",IF('1.Description'!$AA$9="english",C412,IF('1.Description'!$AA$9="français",D412,E412)))</f>
        <v xml:space="preserve">Mean dry matter </v>
      </c>
      <c r="C412" s="4440" t="s">
        <v>1039</v>
      </c>
      <c r="D412" s="4440" t="s">
        <v>4287</v>
      </c>
      <c r="E412" s="1064" t="s">
        <v>4812</v>
      </c>
    </row>
    <row r="413" spans="2:5" x14ac:dyDescent="0.2">
      <c r="B413" s="2262" t="str">
        <f>IF(IF('1.Description'!$AA$9="english",C413,IF('1.Description'!$AA$9="français",D413,E413))=0,"",IF('1.Description'!$AA$9="english",C413,IF('1.Description'!$AA$9="français",D413,E413)))</f>
        <v>Emission factors fire</v>
      </c>
      <c r="C413" s="4440" t="s">
        <v>1032</v>
      </c>
      <c r="D413" s="4440" t="s">
        <v>4288</v>
      </c>
      <c r="E413" s="1064" t="s">
        <v>4813</v>
      </c>
    </row>
    <row r="414" spans="2:5" x14ac:dyDescent="0.2">
      <c r="B414" s="2262" t="str">
        <f>IF(IF('1.Description'!$AA$9="english",C414,IF('1.Description'!$AA$9="français",D414,E414))=0,"",IF('1.Description'!$AA$9="english",C414,IF('1.Description'!$AA$9="français",D414,E414)))</f>
        <v>Peat density</v>
      </c>
      <c r="C414" s="4440" t="s">
        <v>1078</v>
      </c>
      <c r="D414" s="4440" t="s">
        <v>4289</v>
      </c>
      <c r="E414" s="1064" t="s">
        <v>4814</v>
      </c>
    </row>
    <row r="415" spans="2:5" x14ac:dyDescent="0.2">
      <c r="B415" s="2262" t="str">
        <f>IF(IF('1.Description'!$AA$9="english",C415,IF('1.Description'!$AA$9="français",D415,E415))=0,"",IF('1.Description'!$AA$9="english",C415,IF('1.Description'!$AA$9="français",D415,E415)))</f>
        <v>CO2 emission from peat use</v>
      </c>
      <c r="C415" s="4440" t="s">
        <v>1074</v>
      </c>
      <c r="D415" s="4440" t="s">
        <v>4290</v>
      </c>
      <c r="E415" s="1064" t="s">
        <v>4815</v>
      </c>
    </row>
    <row r="416" spans="2:5" x14ac:dyDescent="0.2">
      <c r="B416" s="2262" t="str">
        <f>IF(IF('1.Description'!$AA$9="english",C416,IF('1.Description'!$AA$9="français",D416,E416))=0,"",IF('1.Description'!$AA$9="english",C416,IF('1.Description'!$AA$9="français",D416,E416)))</f>
        <v>Use for energy?*</v>
      </c>
      <c r="C416" s="4440" t="s">
        <v>1081</v>
      </c>
      <c r="D416" s="4440" t="s">
        <v>4291</v>
      </c>
      <c r="E416" s="1064" t="s">
        <v>4816</v>
      </c>
    </row>
    <row r="417" spans="1:9" x14ac:dyDescent="0.2">
      <c r="B417" s="2262" t="str">
        <f>IF(IF('1.Description'!$AA$9="english",C417,IF('1.Description'!$AA$9="français",D417,E417))=0,"",IF('1.Description'!$AA$9="english",C417,IF('1.Description'!$AA$9="français",D417,E417)))</f>
        <v>CH4 emission factor from waterbodies</v>
      </c>
      <c r="C417" s="4440" t="s">
        <v>1084</v>
      </c>
      <c r="D417" s="4440" t="s">
        <v>4292</v>
      </c>
      <c r="E417" s="1064" t="s">
        <v>4817</v>
      </c>
    </row>
    <row r="418" spans="1:9" x14ac:dyDescent="0.2">
      <c r="B418" s="2262" t="str">
        <f>IF(IF('1.Description'!$AA$9="english",C418,IF('1.Description'!$AA$9="français",D418,E418))=0,"",IF('1.Description'!$AA$9="english",C418,IF('1.Description'!$AA$9="français",D418,E418)))</f>
        <v>Mean annual [Chlo.a]</v>
      </c>
      <c r="C418" s="4440" t="s">
        <v>1085</v>
      </c>
      <c r="D418" s="4440" t="s">
        <v>4293</v>
      </c>
      <c r="E418" s="1064" t="s">
        <v>4818</v>
      </c>
    </row>
    <row r="419" spans="1:9" x14ac:dyDescent="0.2">
      <c r="B419" s="2262" t="str">
        <f>IF(IF('1.Description'!$AA$9="english",C419,IF('1.Description'!$AA$9="français",D419,E419))=0,"",IF('1.Description'!$AA$9="english",C419,IF('1.Description'!$AA$9="français",D419,E419)))</f>
        <v>*If yes it is automatically accounted for in the 9.Inputs module</v>
      </c>
      <c r="C419" s="4440" t="s">
        <v>1082</v>
      </c>
      <c r="D419" s="4440" t="s">
        <v>4294</v>
      </c>
      <c r="E419" s="1064" t="s">
        <v>4819</v>
      </c>
    </row>
    <row r="420" spans="1:9" x14ac:dyDescent="0.2">
      <c r="B420" s="2262" t="str">
        <f>IF(IF('1.Description'!$AA$9="english",C420,IF('1.Description'!$AA$9="français",D420,E420))=0,"",IF('1.Description'!$AA$9="english",C420,IF('1.Description'!$AA$9="français",D420,E420)))</f>
        <v/>
      </c>
    </row>
    <row r="421" spans="1:9" x14ac:dyDescent="0.2">
      <c r="B421" s="2262" t="str">
        <f>IF(IF('1.Description'!$AA$9="english",C421,IF('1.Description'!$AA$9="français",D421,E421))=0,"",IF('1.Description'!$AA$9="english",C421,IF('1.Description'!$AA$9="français",D421,E421)))</f>
        <v/>
      </c>
    </row>
    <row r="422" spans="1:9" x14ac:dyDescent="0.2">
      <c r="B422" s="2262" t="str">
        <f>IF(IF('1.Description'!$AA$9="english",C422,IF('1.Description'!$AA$9="français",D422,E422))=0,"",IF('1.Description'!$AA$9="english",C422,IF('1.Description'!$AA$9="français",D422,E422)))</f>
        <v/>
      </c>
    </row>
    <row r="423" spans="1:9" s="2276" customFormat="1" x14ac:dyDescent="0.2">
      <c r="A423" s="2275" t="s">
        <v>3576</v>
      </c>
      <c r="B423" s="2262" t="str">
        <f>IF(IF('1.Description'!$AA$9="english",C423,IF('1.Description'!$AA$9="français",D423,E423))=0,"",IF('1.Description'!$AA$9="english",C423,IF('1.Description'!$AA$9="français",D423,E423)))</f>
        <v>5.1 FOREST DEGRADATION &amp; MANAGEMENT</v>
      </c>
      <c r="C423" s="2275" t="s">
        <v>3577</v>
      </c>
      <c r="D423" s="2275" t="s">
        <v>3994</v>
      </c>
      <c r="E423" s="1064" t="s">
        <v>4577</v>
      </c>
      <c r="F423" s="2275"/>
      <c r="G423" s="2275"/>
      <c r="H423" s="2275"/>
      <c r="I423" s="2275"/>
    </row>
    <row r="424" spans="1:9" s="2278" customFormat="1" x14ac:dyDescent="0.2">
      <c r="A424" s="2277" t="s">
        <v>3578</v>
      </c>
      <c r="B424" s="2262" t="str">
        <f>IF(IF('1.Description'!$AA$9="english",C424,IF('1.Description'!$AA$9="français",D424,E424))=0,"",IF('1.Description'!$AA$9="english",C424,IF('1.Description'!$AA$9="français",D424,E424)))</f>
        <v>9.1 INPUTS (liming, fertilizers, pesticides)</v>
      </c>
      <c r="C424" s="4434" t="s">
        <v>3579</v>
      </c>
      <c r="D424" s="2275" t="s">
        <v>3995</v>
      </c>
      <c r="E424" s="1064" t="s">
        <v>4820</v>
      </c>
      <c r="F424" s="2275"/>
      <c r="G424" s="2275"/>
      <c r="H424" s="2275"/>
      <c r="I424" s="2275"/>
    </row>
    <row r="425" spans="1:9" x14ac:dyDescent="0.2">
      <c r="A425" s="1062" t="s">
        <v>3578</v>
      </c>
      <c r="B425" s="2262" t="str">
        <f>IF(IF('1.Description'!$AA$9="english",C425,IF('1.Description'!$AA$9="français",D425,E425))=0,"",IF('1.Description'!$AA$9="english",C425,IF('1.Description'!$AA$9="français",D425,E425)))</f>
        <v>Amount applied per year (in tonne)</v>
      </c>
      <c r="C425" s="1064" t="s">
        <v>3580</v>
      </c>
      <c r="D425" s="1064" t="s">
        <v>3996</v>
      </c>
      <c r="E425" s="1064" t="s">
        <v>4578</v>
      </c>
    </row>
    <row r="426" spans="1:9" x14ac:dyDescent="0.2">
      <c r="A426" s="1062" t="s">
        <v>3578</v>
      </c>
      <c r="B426" s="2262" t="str">
        <f>IF(IF('1.Description'!$AA$9="english",C426,IF('1.Description'!$AA$9="français",D426,E426))=0,"",IF('1.Description'!$AA$9="english",C426,IF('1.Description'!$AA$9="français",D426,E426)))</f>
        <v>Description and unit to report</v>
      </c>
      <c r="C426" s="1064" t="s">
        <v>3581</v>
      </c>
      <c r="D426" s="1064" t="s">
        <v>3997</v>
      </c>
      <c r="E426" s="1064" t="s">
        <v>4579</v>
      </c>
    </row>
    <row r="427" spans="1:9" x14ac:dyDescent="0.2">
      <c r="A427" s="1062" t="s">
        <v>3578</v>
      </c>
      <c r="B427" s="2262" t="str">
        <f>IF(IF('1.Description'!$AA$9="english",C427,IF('1.Description'!$AA$9="français",D427,E427))=0,"",IF('1.Description'!$AA$9="english",C427,IF('1.Description'!$AA$9="français",D427,E427)))</f>
        <v>Amount applied per year</v>
      </c>
      <c r="C427" s="1064" t="s">
        <v>3582</v>
      </c>
      <c r="D427" s="1064" t="s">
        <v>3998</v>
      </c>
      <c r="E427" s="1064" t="s">
        <v>4580</v>
      </c>
    </row>
    <row r="428" spans="1:9" x14ac:dyDescent="0.2">
      <c r="A428" s="1062" t="s">
        <v>3578</v>
      </c>
      <c r="B428" s="2262" t="str">
        <f>IF(IF('1.Description'!$AA$9="english",C428,IF('1.Description'!$AA$9="français",D428,E428))=0,"",IF('1.Description'!$AA$9="english",C428,IF('1.Description'!$AA$9="français",D428,E428)))</f>
        <v>Total emissions at field level (tCO2-e)</v>
      </c>
      <c r="C428" s="1064" t="s">
        <v>3794</v>
      </c>
      <c r="D428" s="1064" t="s">
        <v>3999</v>
      </c>
      <c r="E428" s="1064" t="s">
        <v>4581</v>
      </c>
    </row>
    <row r="429" spans="1:9" x14ac:dyDescent="0.2">
      <c r="A429" s="1062" t="s">
        <v>3578</v>
      </c>
      <c r="B429" s="2262" t="str">
        <f>IF(IF('1.Description'!$AA$9="english",C429,IF('1.Description'!$AA$9="français",D429,E429))=0,"",IF('1.Description'!$AA$9="english",C429,IF('1.Description'!$AA$9="français",D429,E429)))</f>
        <v xml:space="preserve">Emissions from production, </v>
      </c>
      <c r="C429" s="1064" t="s">
        <v>3583</v>
      </c>
      <c r="D429" s="1064" t="s">
        <v>4000</v>
      </c>
      <c r="E429" s="1064" t="s">
        <v>4582</v>
      </c>
    </row>
    <row r="430" spans="1:9" x14ac:dyDescent="0.2">
      <c r="A430" s="1062" t="s">
        <v>3578</v>
      </c>
      <c r="B430" s="2262" t="str">
        <f>IF(IF('1.Description'!$AA$9="english",C430,IF('1.Description'!$AA$9="français",D430,E430))=0,"",IF('1.Description'!$AA$9="english",C430,IF('1.Description'!$AA$9="français",D430,E430)))</f>
        <v>transportation, storage and transfer (tCO2-e)</v>
      </c>
      <c r="C430" s="1064" t="s">
        <v>3795</v>
      </c>
      <c r="D430" s="1064" t="s">
        <v>4001</v>
      </c>
      <c r="E430" s="1064" t="s">
        <v>4583</v>
      </c>
    </row>
    <row r="431" spans="1:9" x14ac:dyDescent="0.2">
      <c r="A431" s="1062" t="s">
        <v>3578</v>
      </c>
      <c r="B431" s="2262" t="str">
        <f>IF(IF('1.Description'!$AA$9="english",C431,IF('1.Description'!$AA$9="français",D431,E431))=0,"",IF('1.Description'!$AA$9="english",C431,IF('1.Description'!$AA$9="français",D431,E431)))</f>
        <v xml:space="preserve">Fertilizers </v>
      </c>
      <c r="C431" s="1064" t="s">
        <v>3584</v>
      </c>
      <c r="D431" s="1064" t="s">
        <v>4195</v>
      </c>
      <c r="E431" s="1064" t="s">
        <v>4584</v>
      </c>
    </row>
    <row r="432" spans="1:9" x14ac:dyDescent="0.2">
      <c r="A432" s="1062" t="s">
        <v>3578</v>
      </c>
      <c r="B432" s="2262" t="str">
        <f>IF(IF('1.Description'!$AA$9="english",C432,IF('1.Description'!$AA$9="français",D432,E432))=0,"",IF('1.Description'!$AA$9="english",C432,IF('1.Description'!$AA$9="français",D432,E432)))</f>
        <v>Lime application</v>
      </c>
      <c r="C432" s="1064" t="s">
        <v>3585</v>
      </c>
      <c r="D432" s="1064" t="s">
        <v>4002</v>
      </c>
      <c r="E432" s="1064" t="s">
        <v>4585</v>
      </c>
    </row>
    <row r="433" spans="1:5" x14ac:dyDescent="0.2">
      <c r="A433" s="1062" t="s">
        <v>3578</v>
      </c>
      <c r="B433" s="2262" t="str">
        <f>IF(IF('1.Description'!$AA$9="english",C433,IF('1.Description'!$AA$9="français",D433,E433))=0,"",IF('1.Description'!$AA$9="english",C433,IF('1.Description'!$AA$9="français",D433,E433)))</f>
        <v>Limestone (tonnes per year)</v>
      </c>
      <c r="C433" s="1064" t="s">
        <v>3586</v>
      </c>
      <c r="D433" s="1064" t="s">
        <v>4003</v>
      </c>
      <c r="E433" s="1064" t="s">
        <v>4821</v>
      </c>
    </row>
    <row r="434" spans="1:5" x14ac:dyDescent="0.2">
      <c r="A434" s="1062" t="s">
        <v>3578</v>
      </c>
      <c r="B434" s="2262" t="str">
        <f>IF(IF('1.Description'!$AA$9="english",C434,IF('1.Description'!$AA$9="français",D434,E434))=0,"",IF('1.Description'!$AA$9="english",C434,IF('1.Description'!$AA$9="français",D434,E434)))</f>
        <v>Dolomite (tonne per year)</v>
      </c>
      <c r="C434" s="1064" t="s">
        <v>3587</v>
      </c>
      <c r="D434" s="1064" t="s">
        <v>4004</v>
      </c>
      <c r="E434" s="1064" t="s">
        <v>4822</v>
      </c>
    </row>
    <row r="435" spans="1:5" x14ac:dyDescent="0.2">
      <c r="A435" s="1062" t="s">
        <v>3578</v>
      </c>
      <c r="B435" s="2262" t="str">
        <f>IF(IF('1.Description'!$AA$9="english",C435,IF('1.Description'!$AA$9="français",D435,E435))=0,"",IF('1.Description'!$AA$9="english",C435,IF('1.Description'!$AA$9="français",D435,E435)))</f>
        <v>Not-specified (tonnes per year)</v>
      </c>
      <c r="C435" s="1064" t="s">
        <v>3588</v>
      </c>
      <c r="D435" s="1064" t="s">
        <v>4005</v>
      </c>
      <c r="E435" s="1064" t="s">
        <v>4586</v>
      </c>
    </row>
    <row r="436" spans="1:5" x14ac:dyDescent="0.2">
      <c r="A436" s="1062" t="s">
        <v>3578</v>
      </c>
      <c r="B436" s="2262" t="str">
        <f>IF(IF('1.Description'!$AA$9="english",C436,IF('1.Description'!$AA$9="français",D436,E436))=0,"",IF('1.Description'!$AA$9="english",C436,IF('1.Description'!$AA$9="français",D436,E436)))</f>
        <v xml:space="preserve">Synthetic fertilizers </v>
      </c>
      <c r="C436" s="1064" t="s">
        <v>3589</v>
      </c>
      <c r="D436" s="1064" t="s">
        <v>4006</v>
      </c>
      <c r="E436" s="1064" t="s">
        <v>4587</v>
      </c>
    </row>
    <row r="437" spans="1:5" x14ac:dyDescent="0.2">
      <c r="A437" s="1062" t="s">
        <v>3578</v>
      </c>
      <c r="B437" s="2262" t="str">
        <f>IF(IF('1.Description'!$AA$9="english",C437,IF('1.Description'!$AA$9="français",D437,E437))=0,"",IF('1.Description'!$AA$9="english",C437,IF('1.Description'!$AA$9="français",D437,E437)))</f>
        <v>Urea (tonnes of Urea per year)</v>
      </c>
      <c r="C437" s="1064" t="s">
        <v>3590</v>
      </c>
      <c r="D437" s="1064" t="s">
        <v>4007</v>
      </c>
      <c r="E437" s="1064" t="s">
        <v>4823</v>
      </c>
    </row>
    <row r="438" spans="1:5" x14ac:dyDescent="0.2">
      <c r="A438" s="1062" t="s">
        <v>3578</v>
      </c>
      <c r="B438" s="2262" t="str">
        <f>IF(IF('1.Description'!$AA$9="english",C438,IF('1.Description'!$AA$9="français",D438,E438))=0,"",IF('1.Description'!$AA$9="english",C438,IF('1.Description'!$AA$9="français",D438,E438)))</f>
        <v>Synthetic N-fertilizers other than Urea (tonnes of N per year)</v>
      </c>
      <c r="C438" s="1064" t="s">
        <v>3591</v>
      </c>
      <c r="D438" s="1064" t="s">
        <v>4008</v>
      </c>
      <c r="E438" s="1064" t="s">
        <v>4588</v>
      </c>
    </row>
    <row r="439" spans="1:5" x14ac:dyDescent="0.2">
      <c r="A439" s="1062" t="s">
        <v>3578</v>
      </c>
      <c r="B439" s="2262" t="str">
        <f>IF(IF('1.Description'!$AA$9="english",C439,IF('1.Description'!$AA$9="français",D439,E439))=0,"",IF('1.Description'!$AA$9="english",C439,IF('1.Description'!$AA$9="français",D439,E439)))</f>
        <v>Phosphorus (tonnes of P2O5 per year)</v>
      </c>
      <c r="C439" s="1064" t="s">
        <v>3796</v>
      </c>
      <c r="D439" s="1064" t="s">
        <v>4009</v>
      </c>
      <c r="E439" s="1064" t="s">
        <v>4589</v>
      </c>
    </row>
    <row r="440" spans="1:5" x14ac:dyDescent="0.2">
      <c r="A440" s="1062" t="s">
        <v>3578</v>
      </c>
      <c r="B440" s="2262" t="str">
        <f>IF(IF('1.Description'!$AA$9="english",C440,IF('1.Description'!$AA$9="français",D440,E440))=0,"",IF('1.Description'!$AA$9="english",C440,IF('1.Description'!$AA$9="français",D440,E440)))</f>
        <v>Potassium (tonnes of K2O per year)</v>
      </c>
      <c r="C440" s="1064" t="s">
        <v>3797</v>
      </c>
      <c r="D440" s="1064" t="s">
        <v>4010</v>
      </c>
      <c r="E440" s="1064" t="s">
        <v>4590</v>
      </c>
    </row>
    <row r="441" spans="1:5" x14ac:dyDescent="0.2">
      <c r="A441" s="1062" t="s">
        <v>3578</v>
      </c>
      <c r="B441" s="2262" t="str">
        <f>IF(IF('1.Description'!$AA$9="english",C441,IF('1.Description'!$AA$9="français",D441,E441))=0,"",IF('1.Description'!$AA$9="english",C441,IF('1.Description'!$AA$9="français",D441,E441)))</f>
        <v>N-fertilizers on irrigated rice</v>
      </c>
      <c r="C441" s="1064" t="s">
        <v>3592</v>
      </c>
      <c r="D441" s="1064" t="s">
        <v>4011</v>
      </c>
      <c r="E441" s="1064" t="s">
        <v>4591</v>
      </c>
    </row>
    <row r="442" spans="1:5" x14ac:dyDescent="0.2">
      <c r="A442" s="1062" t="s">
        <v>3578</v>
      </c>
      <c r="B442" s="2262" t="str">
        <f>IF(IF('1.Description'!$AA$9="english",C442,IF('1.Description'!$AA$9="français",D442,E442))=0,"",IF('1.Description'!$AA$9="english",C442,IF('1.Description'!$AA$9="français",D442,E442)))</f>
        <v>N-fertilizer in continuously irrigated rice (tonnes of N per year)</v>
      </c>
      <c r="C442" s="1064" t="s">
        <v>5201</v>
      </c>
      <c r="D442" s="1064" t="s">
        <v>4196</v>
      </c>
      <c r="E442" s="1064" t="s">
        <v>4592</v>
      </c>
    </row>
    <row r="443" spans="1:5" x14ac:dyDescent="0.2">
      <c r="A443" s="1062" t="s">
        <v>3578</v>
      </c>
      <c r="B443" s="2262" t="str">
        <f>IF(IF('1.Description'!$AA$9="english",C443,IF('1.Description'!$AA$9="français",D443,E443))=0,"",IF('1.Description'!$AA$9="english",C443,IF('1.Description'!$AA$9="français",D443,E443)))</f>
        <v>N-fertilizer in wet and dry irrigated rice (tonnes of N per year)</v>
      </c>
      <c r="C443" s="1064" t="s">
        <v>3593</v>
      </c>
      <c r="D443" s="1064" t="s">
        <v>4197</v>
      </c>
      <c r="E443" s="1064" t="s">
        <v>4593</v>
      </c>
    </row>
    <row r="444" spans="1:5" x14ac:dyDescent="0.2">
      <c r="A444" s="1062" t="s">
        <v>3578</v>
      </c>
      <c r="B444" s="2262" t="str">
        <f>IF(IF('1.Description'!$AA$9="english",C444,IF('1.Description'!$AA$9="français",D444,E444))=0,"",IF('1.Description'!$AA$9="english",C444,IF('1.Description'!$AA$9="français",D444,E444)))</f>
        <v xml:space="preserve">Organic N-fertilizers </v>
      </c>
      <c r="C444" s="1064" t="s">
        <v>3594</v>
      </c>
      <c r="D444" s="1064" t="s">
        <v>4012</v>
      </c>
      <c r="E444" s="1064" t="s">
        <v>4594</v>
      </c>
    </row>
    <row r="445" spans="1:5" x14ac:dyDescent="0.2">
      <c r="A445" s="1062" t="s">
        <v>3578</v>
      </c>
      <c r="B445" s="2262" t="str">
        <f>IF(IF('1.Description'!$AA$9="english",C445,IF('1.Description'!$AA$9="français",D445,E445))=0,"",IF('1.Description'!$AA$9="english",C445,IF('1.Description'!$AA$9="français",D445,E445)))</f>
        <v>Sewage (tonnes of N per year)</v>
      </c>
      <c r="C445" s="1064" t="s">
        <v>3700</v>
      </c>
      <c r="D445" s="1064" t="s">
        <v>4013</v>
      </c>
      <c r="E445" s="1064" t="s">
        <v>4824</v>
      </c>
    </row>
    <row r="446" spans="1:5" x14ac:dyDescent="0.2">
      <c r="A446" s="1062" t="s">
        <v>3578</v>
      </c>
      <c r="B446" s="2262" t="str">
        <f>IF(IF('1.Description'!$AA$9="english",C446,IF('1.Description'!$AA$9="français",D446,E446))=0,"",IF('1.Description'!$AA$9="english",C446,IF('1.Description'!$AA$9="français",D446,E446)))</f>
        <v>Compost (tonnes of N per year)</v>
      </c>
      <c r="C446" s="1064" t="s">
        <v>3701</v>
      </c>
      <c r="D446" s="1064" t="s">
        <v>4014</v>
      </c>
      <c r="E446" s="1064" t="s">
        <v>4825</v>
      </c>
    </row>
    <row r="447" spans="1:5" x14ac:dyDescent="0.2">
      <c r="A447" s="1062" t="s">
        <v>3578</v>
      </c>
      <c r="B447" s="2262" t="str">
        <f>IF(IF('1.Description'!$AA$9="english",C447,IF('1.Description'!$AA$9="français",D447,E447))=0,"",IF('1.Description'!$AA$9="english",C447,IF('1.Description'!$AA$9="français",D447,E447)))</f>
        <v>Rendering waste, brewery waste, guano (tonnes of N per year)</v>
      </c>
      <c r="C447" s="1064" t="s">
        <v>3702</v>
      </c>
      <c r="D447" s="1064" t="s">
        <v>4015</v>
      </c>
      <c r="E447" s="1064" t="s">
        <v>4826</v>
      </c>
    </row>
    <row r="448" spans="1:5" x14ac:dyDescent="0.2">
      <c r="A448" s="1062" t="s">
        <v>3578</v>
      </c>
      <c r="B448" s="2262" t="str">
        <f>IF(IF('1.Description'!$AA$9="english",C448,IF('1.Description'!$AA$9="français",D448,E448))=0,"",IF('1.Description'!$AA$9="english",C448,IF('1.Description'!$AA$9="français",D448,E448)))</f>
        <v>Pesticides</v>
      </c>
      <c r="C448" s="1064" t="s">
        <v>3595</v>
      </c>
      <c r="D448" s="1064" t="s">
        <v>3595</v>
      </c>
      <c r="E448" s="1064" t="s">
        <v>4595</v>
      </c>
    </row>
    <row r="449" spans="1:5" x14ac:dyDescent="0.2">
      <c r="A449" s="1062" t="s">
        <v>3578</v>
      </c>
      <c r="B449" s="2262" t="str">
        <f>IF(IF('1.Description'!$AA$9="english",C449,IF('1.Description'!$AA$9="français",D449,E449))=0,"",IF('1.Description'!$AA$9="english",C449,IF('1.Description'!$AA$9="français",D449,E449)))</f>
        <v>Fungicides (tonnes of active ingredient)</v>
      </c>
      <c r="C449" s="1064" t="s">
        <v>3596</v>
      </c>
      <c r="D449" s="1064" t="s">
        <v>4016</v>
      </c>
      <c r="E449" s="1064" t="s">
        <v>4827</v>
      </c>
    </row>
    <row r="450" spans="1:5" x14ac:dyDescent="0.2">
      <c r="A450" s="1062" t="s">
        <v>3578</v>
      </c>
      <c r="B450" s="2262" t="str">
        <f>IF(IF('1.Description'!$AA$9="english",C450,IF('1.Description'!$AA$9="français",D450,E450))=0,"",IF('1.Description'!$AA$9="english",C450,IF('1.Description'!$AA$9="français",D450,E450)))</f>
        <v>Herbicides (tonnes of active ingredient)</v>
      </c>
      <c r="C450" s="1064" t="s">
        <v>3597</v>
      </c>
      <c r="D450" s="1064" t="s">
        <v>4017</v>
      </c>
      <c r="E450" s="1064" t="s">
        <v>4828</v>
      </c>
    </row>
    <row r="451" spans="1:5" x14ac:dyDescent="0.2">
      <c r="A451" s="1062" t="s">
        <v>3578</v>
      </c>
      <c r="B451" s="2262" t="str">
        <f>IF(IF('1.Description'!$AA$9="english",C451,IF('1.Description'!$AA$9="français",D451,E451))=0,"",IF('1.Description'!$AA$9="english",C451,IF('1.Description'!$AA$9="français",D451,E451)))</f>
        <v>Insecticides (tonnes of active ingredient)</v>
      </c>
      <c r="C451" s="1064" t="s">
        <v>3598</v>
      </c>
      <c r="D451" s="1064" t="s">
        <v>4018</v>
      </c>
      <c r="E451" s="1064" t="s">
        <v>4829</v>
      </c>
    </row>
    <row r="452" spans="1:5" x14ac:dyDescent="0.2">
      <c r="A452" s="1062" t="s">
        <v>3578</v>
      </c>
      <c r="B452" s="2262" t="str">
        <f>IF(IF('1.Description'!$AA$9="english",C452,IF('1.Description'!$AA$9="français",D452,E452))=0,"",IF('1.Description'!$AA$9="english",C452,IF('1.Description'!$AA$9="français",D452,E452)))</f>
        <v>Total inputs</v>
      </c>
      <c r="C452" s="1064" t="s">
        <v>2831</v>
      </c>
      <c r="D452" s="1064" t="s">
        <v>4198</v>
      </c>
      <c r="E452" s="1064" t="s">
        <v>4596</v>
      </c>
    </row>
    <row r="453" spans="1:5" x14ac:dyDescent="0.2">
      <c r="A453" s="1062" t="s">
        <v>3578</v>
      </c>
      <c r="B453" s="2262" t="str">
        <f>IF(IF('1.Description'!$AA$9="english",C453,IF('1.Description'!$AA$9="français",D453,E453))=0,"",IF('1.Description'!$AA$9="english",C453,IF('1.Description'!$AA$9="français",D453,E453)))</f>
        <v xml:space="preserve">Urea </v>
      </c>
      <c r="C453" s="1065" t="s">
        <v>2815</v>
      </c>
      <c r="D453" s="1064" t="s">
        <v>4019</v>
      </c>
      <c r="E453" s="1064" t="s">
        <v>4597</v>
      </c>
    </row>
    <row r="454" spans="1:5" x14ac:dyDescent="0.2">
      <c r="A454" s="1062" t="s">
        <v>3578</v>
      </c>
      <c r="B454" s="2262" t="str">
        <f>IF(IF('1.Description'!$AA$9="english",C454,IF('1.Description'!$AA$9="français",D454,E454))=0,"",IF('1.Description'!$AA$9="english",C454,IF('1.Description'!$AA$9="français",D454,E454)))</f>
        <v>CO2 removal from the atmosphere during urea manufacturing is estimated in the Industrial Processes and Product Use Sector by the country where urea was produced.</v>
      </c>
      <c r="C454" s="1064" t="s">
        <v>3798</v>
      </c>
      <c r="D454" s="1064" t="s">
        <v>4199</v>
      </c>
      <c r="E454" s="1064" t="s">
        <v>4598</v>
      </c>
    </row>
    <row r="455" spans="1:5" x14ac:dyDescent="0.2">
      <c r="A455" s="1062" t="s">
        <v>3578</v>
      </c>
      <c r="B455" s="2262" t="str">
        <f>IF(IF('1.Description'!$AA$9="english",C455,IF('1.Description'!$AA$9="français",D455,E455))=0,"",IF('1.Description'!$AA$9="english",C455,IF('1.Description'!$AA$9="français",D455,E455)))</f>
        <v>By default EX-ACT considers that urea is imported and do not account for this sink, but you can force the calculation to do so:</v>
      </c>
      <c r="C455" s="1064" t="s">
        <v>3599</v>
      </c>
      <c r="D455" s="1064" t="s">
        <v>4020</v>
      </c>
      <c r="E455" s="1064" t="s">
        <v>4599</v>
      </c>
    </row>
    <row r="456" spans="1:5" x14ac:dyDescent="0.2">
      <c r="A456" s="1062" t="s">
        <v>3578</v>
      </c>
      <c r="B456" s="2262" t="str">
        <f>IF(IF('1.Description'!$AA$9="english",C456,IF('1.Description'!$AA$9="français",D456,E456))=0,"",IF('1.Description'!$AA$9="english",C456,IF('1.Description'!$AA$9="français",D456,E456)))</f>
        <v>Account the manufacturing sink?</v>
      </c>
      <c r="C456" s="1064" t="s">
        <v>3600</v>
      </c>
      <c r="D456" s="1064" t="s">
        <v>4200</v>
      </c>
      <c r="E456" s="1064" t="s">
        <v>4600</v>
      </c>
    </row>
    <row r="457" spans="1:5" x14ac:dyDescent="0.2">
      <c r="A457" s="1062" t="s">
        <v>3578</v>
      </c>
      <c r="B457" s="2262" t="str">
        <f>IF(IF('1.Description'!$AA$9="english",C457,IF('1.Description'!$AA$9="français",D457,E457))=0,"",IF('1.Description'!$AA$9="english",C457,IF('1.Description'!$AA$9="français",D457,E457)))</f>
        <v>Emissions at field level</v>
      </c>
      <c r="C457" s="1064" t="s">
        <v>3601</v>
      </c>
      <c r="D457" s="1064" t="s">
        <v>4021</v>
      </c>
      <c r="E457" s="1064" t="s">
        <v>4601</v>
      </c>
    </row>
    <row r="458" spans="1:5" x14ac:dyDescent="0.2">
      <c r="A458" s="1062" t="s">
        <v>3578</v>
      </c>
      <c r="B458" s="2262" t="str">
        <f>IF(IF('1.Description'!$AA$9="english",C458,IF('1.Description'!$AA$9="français",D458,E458))=0,"",IF('1.Description'!$AA$9="english",C458,IF('1.Description'!$AA$9="français",D458,E458)))</f>
        <v>CO2 emissions</v>
      </c>
      <c r="C458" s="1064" t="s">
        <v>2780</v>
      </c>
      <c r="D458" s="1064" t="s">
        <v>4201</v>
      </c>
      <c r="E458" s="1064" t="s">
        <v>4602</v>
      </c>
    </row>
    <row r="459" spans="1:5" x14ac:dyDescent="0.2">
      <c r="A459" s="1062" t="s">
        <v>3578</v>
      </c>
      <c r="B459" s="2262" t="str">
        <f>IF(IF('1.Description'!$AA$9="english",C459,IF('1.Description'!$AA$9="français",D459,E459))=0,"",IF('1.Description'!$AA$9="english",C459,IF('1.Description'!$AA$9="français",D459,E459)))</f>
        <v>N2O emissions</v>
      </c>
      <c r="C459" s="1064" t="s">
        <v>2343</v>
      </c>
      <c r="D459" s="1064" t="s">
        <v>4202</v>
      </c>
      <c r="E459" s="1064" t="s">
        <v>4603</v>
      </c>
    </row>
    <row r="460" spans="1:5" x14ac:dyDescent="0.2">
      <c r="A460" s="1062" t="s">
        <v>3578</v>
      </c>
      <c r="B460" s="2262" t="str">
        <f>IF(IF('1.Description'!$AA$9="english",C460,IF('1.Description'!$AA$9="français",D460,E460))=0,"",IF('1.Description'!$AA$9="english",C460,IF('1.Description'!$AA$9="français",D460,E460)))</f>
        <v>CO2-e emissions</v>
      </c>
      <c r="C460" s="1064" t="s">
        <v>3602</v>
      </c>
      <c r="D460" s="1064" t="s">
        <v>4022</v>
      </c>
      <c r="E460" s="1064" t="s">
        <v>4604</v>
      </c>
    </row>
    <row r="461" spans="1:5" x14ac:dyDescent="0.2">
      <c r="A461" s="1062" t="s">
        <v>3578</v>
      </c>
      <c r="B461" s="2262" t="str">
        <f>IF(IF('1.Description'!$AA$9="english",C461,IF('1.Description'!$AA$9="français",D461,E461))=0,"",IF('1.Description'!$AA$9="english",C461,IF('1.Description'!$AA$9="français",D461,E461)))</f>
        <v>Emissions from production, transportation, storage and transfer</v>
      </c>
      <c r="C461" s="1064" t="s">
        <v>3603</v>
      </c>
      <c r="D461" s="1064" t="s">
        <v>4023</v>
      </c>
      <c r="E461" s="1064" t="s">
        <v>4605</v>
      </c>
    </row>
    <row r="462" spans="1:5" x14ac:dyDescent="0.2">
      <c r="A462" s="1062" t="s">
        <v>3578</v>
      </c>
      <c r="B462" s="2262" t="str">
        <f>IF(IF('1.Description'!$AA$9="english",C462,IF('1.Description'!$AA$9="français",D462,E462))=0,"",IF('1.Description'!$AA$9="english",C462,IF('1.Description'!$AA$9="français",D462,E462)))</f>
        <v>9.2. ENERGY CONSUMPTION (electricity, fuel…) except for irrigation, i.e. see next section</v>
      </c>
      <c r="C462" s="1064" t="s">
        <v>3604</v>
      </c>
      <c r="D462" s="1064" t="s">
        <v>4024</v>
      </c>
      <c r="E462" s="1064" t="s">
        <v>4830</v>
      </c>
    </row>
    <row r="463" spans="1:5" x14ac:dyDescent="0.2">
      <c r="A463" s="1062" t="s">
        <v>3578</v>
      </c>
      <c r="B463" s="2262" t="str">
        <f>IF(IF('1.Description'!$AA$9="english",C463,IF('1.Description'!$AA$9="français",D463,E463))=0,"",IF('1.Description'!$AA$9="english",C463,IF('1.Description'!$AA$9="français",D463,E463)))</f>
        <v>Description and unit to report</v>
      </c>
      <c r="C463" s="1064" t="s">
        <v>3581</v>
      </c>
      <c r="D463" s="1064" t="s">
        <v>3997</v>
      </c>
      <c r="E463" s="1064" t="s">
        <v>4579</v>
      </c>
    </row>
    <row r="464" spans="1:5" x14ac:dyDescent="0.2">
      <c r="A464" s="1062" t="s">
        <v>3578</v>
      </c>
      <c r="B464" s="2262" t="str">
        <f>IF(IF('1.Description'!$AA$9="english",C464,IF('1.Description'!$AA$9="français",D464,E464))=0,"",IF('1.Description'!$AA$9="english",C464,IF('1.Description'!$AA$9="français",D464,E464)))</f>
        <v>Quantity consumed per year</v>
      </c>
      <c r="C464" s="1064" t="s">
        <v>2833</v>
      </c>
      <c r="D464" s="1064" t="s">
        <v>4025</v>
      </c>
      <c r="E464" s="1064" t="s">
        <v>4606</v>
      </c>
    </row>
    <row r="465" spans="1:5" x14ac:dyDescent="0.2">
      <c r="A465" s="1062" t="s">
        <v>3578</v>
      </c>
      <c r="B465" s="2262" t="str">
        <f>IF(IF('1.Description'!$AA$9="english",C465,IF('1.Description'!$AA$9="français",D465,E465))=0,"",IF('1.Description'!$AA$9="english",C465,IF('1.Description'!$AA$9="français",D465,E465)))</f>
        <v>Country of origin of electricity</v>
      </c>
      <c r="C465" s="1064" t="s">
        <v>3605</v>
      </c>
      <c r="D465" s="1064" t="s">
        <v>4026</v>
      </c>
      <c r="E465" s="1064" t="s">
        <v>4607</v>
      </c>
    </row>
    <row r="466" spans="1:5" x14ac:dyDescent="0.2">
      <c r="A466" s="1062" t="s">
        <v>3578</v>
      </c>
      <c r="B466" s="2262" t="str">
        <f>IF(IF('1.Description'!$AA$9="english",C466,IF('1.Description'!$AA$9="français",D466,E466))=0,"",IF('1.Description'!$AA$9="english",C466,IF('1.Description'!$AA$9="français",D466,E466)))</f>
        <v>Electricity (MWh per year)</v>
      </c>
      <c r="C466" s="1064" t="s">
        <v>3606</v>
      </c>
      <c r="D466" s="1064" t="s">
        <v>4027</v>
      </c>
      <c r="E466" s="1064" t="s">
        <v>4608</v>
      </c>
    </row>
    <row r="467" spans="1:5" x14ac:dyDescent="0.2">
      <c r="A467" s="1062" t="s">
        <v>3578</v>
      </c>
      <c r="B467" s="2262" t="str">
        <f>IF(IF('1.Description'!$AA$9="english",C467,IF('1.Description'!$AA$9="français",D467,E467))=0,"",IF('1.Description'!$AA$9="english",C467,IF('1.Description'!$AA$9="français",D467,E467)))</f>
        <v>User defined (Tier 2)</v>
      </c>
      <c r="C467" s="1064" t="s">
        <v>3607</v>
      </c>
      <c r="D467" s="1064" t="s">
        <v>4203</v>
      </c>
      <c r="E467" s="1064" t="s">
        <v>4609</v>
      </c>
    </row>
    <row r="468" spans="1:5" x14ac:dyDescent="0.2">
      <c r="A468" s="1062" t="s">
        <v>3578</v>
      </c>
      <c r="B468" s="2262" t="str">
        <f>IF(IF('1.Description'!$AA$9="english",C468,IF('1.Description'!$AA$9="français",D468,E468))=0,"",IF('1.Description'!$AA$9="english",C468,IF('1.Description'!$AA$9="français",D468,E468)))</f>
        <v>Liquid or gaseous (in m3 per year)</v>
      </c>
      <c r="C468" s="1064" t="s">
        <v>3799</v>
      </c>
      <c r="D468" s="1064" t="s">
        <v>4028</v>
      </c>
      <c r="E468" s="1064" t="s">
        <v>4610</v>
      </c>
    </row>
    <row r="469" spans="1:5" x14ac:dyDescent="0.2">
      <c r="A469" s="1062" t="s">
        <v>3578</v>
      </c>
      <c r="B469" s="2262" t="str">
        <f>IF(IF('1.Description'!$AA$9="english",C469,IF('1.Description'!$AA$9="français",D469,E469))=0,"",IF('1.Description'!$AA$9="english",C469,IF('1.Description'!$AA$9="français",D469,E469)))</f>
        <v>Liquid or gaseous</v>
      </c>
      <c r="C469" s="1064" t="s">
        <v>3608</v>
      </c>
      <c r="D469" s="1064" t="s">
        <v>4029</v>
      </c>
      <c r="E469" s="1064" t="s">
        <v>4611</v>
      </c>
    </row>
    <row r="470" spans="1:5" x14ac:dyDescent="0.2">
      <c r="A470" s="1062" t="s">
        <v>3578</v>
      </c>
      <c r="B470" s="2262" t="str">
        <f>IF(IF('1.Description'!$AA$9="english",C470,IF('1.Description'!$AA$9="français",D470,E470))=0,"",IF('1.Description'!$AA$9="english",C470,IF('1.Description'!$AA$9="français",D470,E470)))</f>
        <v>Solid (in tonnes of dry matter per year)</v>
      </c>
      <c r="C470" s="1064" t="s">
        <v>3609</v>
      </c>
      <c r="D470" s="1064" t="s">
        <v>4030</v>
      </c>
      <c r="E470" s="1064" t="s">
        <v>4612</v>
      </c>
    </row>
    <row r="471" spans="1:5" x14ac:dyDescent="0.2">
      <c r="A471" s="1062" t="s">
        <v>3578</v>
      </c>
      <c r="B471" s="2262" t="str">
        <f>IF(IF('1.Description'!$AA$9="english",C471,IF('1.Description'!$AA$9="français",D471,E471))=0,"",IF('1.Description'!$AA$9="english",C471,IF('1.Description'!$AA$9="français",D471,E471)))</f>
        <v>Solid</v>
      </c>
      <c r="C471" s="1064" t="s">
        <v>3610</v>
      </c>
      <c r="D471" s="1064" t="s">
        <v>4031</v>
      </c>
      <c r="E471" s="1064" t="s">
        <v>4613</v>
      </c>
    </row>
    <row r="472" spans="1:5" x14ac:dyDescent="0.2">
      <c r="A472" s="1062" t="s">
        <v>3578</v>
      </c>
      <c r="B472" s="2262" t="str">
        <f>IF(IF('1.Description'!$AA$9="english",C472,IF('1.Description'!$AA$9="français",D472,E472))=0,"",IF('1.Description'!$AA$9="english",C472,IF('1.Description'!$AA$9="français",D472,E472)))</f>
        <v>Wood</v>
      </c>
      <c r="C472" s="1064" t="s">
        <v>2062</v>
      </c>
      <c r="D472" s="1064" t="s">
        <v>4032</v>
      </c>
      <c r="E472" s="1064" t="s">
        <v>4614</v>
      </c>
    </row>
    <row r="473" spans="1:5" x14ac:dyDescent="0.2">
      <c r="A473" s="1062" t="s">
        <v>3578</v>
      </c>
      <c r="B473" s="2262" t="str">
        <f>IF(IF('1.Description'!$AA$9="english",C473,IF('1.Description'!$AA$9="français",D473,E473))=0,"",IF('1.Description'!$AA$9="english",C473,IF('1.Description'!$AA$9="français",D473,E473)))</f>
        <v>Peat (from peatlands)</v>
      </c>
      <c r="C473" s="1064" t="s">
        <v>3611</v>
      </c>
      <c r="D473" s="1064" t="s">
        <v>4033</v>
      </c>
      <c r="E473" s="1064" t="s">
        <v>4615</v>
      </c>
    </row>
    <row r="474" spans="1:5" x14ac:dyDescent="0.2">
      <c r="A474" s="1062" t="s">
        <v>3578</v>
      </c>
      <c r="B474" s="2262" t="str">
        <f>IF(IF('1.Description'!$AA$9="english",C474,IF('1.Description'!$AA$9="français",D474,E474))=0,"",IF('1.Description'!$AA$9="english",C474,IF('1.Description'!$AA$9="français",D474,E474)))</f>
        <v xml:space="preserve">Peat </v>
      </c>
      <c r="C474" s="1064" t="s">
        <v>3612</v>
      </c>
      <c r="D474" s="1064" t="s">
        <v>4034</v>
      </c>
      <c r="E474" s="1064" t="s">
        <v>4616</v>
      </c>
    </row>
    <row r="475" spans="1:5" x14ac:dyDescent="0.2">
      <c r="A475" s="1062" t="s">
        <v>3578</v>
      </c>
      <c r="B475" s="2262" t="str">
        <f>IF(IF('1.Description'!$AA$9="english",C475,IF('1.Description'!$AA$9="français",D475,E475))=0,"",IF('1.Description'!$AA$9="english",C475,IF('1.Description'!$AA$9="français",D475,E475)))</f>
        <v>Electricity</v>
      </c>
      <c r="C475" s="1064" t="s">
        <v>2913</v>
      </c>
      <c r="D475" s="1064" t="s">
        <v>4035</v>
      </c>
      <c r="E475" s="1064" t="s">
        <v>4617</v>
      </c>
    </row>
    <row r="476" spans="1:5" x14ac:dyDescent="0.2">
      <c r="A476" s="1062" t="s">
        <v>3578</v>
      </c>
      <c r="B476" s="2262" t="str">
        <f>IF(IF('1.Description'!$AA$9="english",C476,IF('1.Description'!$AA$9="français",D476,E476))=0,"",IF('1.Description'!$AA$9="english",C476,IF('1.Description'!$AA$9="français",D476,E476)))</f>
        <v>Emission factor for the selected country</v>
      </c>
      <c r="C476" s="1064" t="s">
        <v>3613</v>
      </c>
      <c r="D476" s="1064" t="s">
        <v>4036</v>
      </c>
      <c r="E476" s="1064" t="s">
        <v>4618</v>
      </c>
    </row>
    <row r="477" spans="1:5" x14ac:dyDescent="0.2">
      <c r="A477" s="1062" t="s">
        <v>3578</v>
      </c>
      <c r="B477" s="2262" t="str">
        <f>IF(IF('1.Description'!$AA$9="english",C477,IF('1.Description'!$AA$9="français",D477,E477))=0,"",IF('1.Description'!$AA$9="english",C477,IF('1.Description'!$AA$9="français",D477,E477)))</f>
        <v>Losses of electricity during transportation</v>
      </c>
      <c r="C477" s="1064" t="s">
        <v>3614</v>
      </c>
      <c r="D477" s="1064" t="s">
        <v>4037</v>
      </c>
      <c r="E477" s="1064" t="s">
        <v>4619</v>
      </c>
    </row>
    <row r="478" spans="1:5" x14ac:dyDescent="0.2">
      <c r="A478" s="1062" t="s">
        <v>3578</v>
      </c>
      <c r="B478" s="2262" t="str">
        <f>IF(IF('1.Description'!$AA$9="english",C478,IF('1.Description'!$AA$9="français",D478,E478))=0,"",IF('1.Description'!$AA$9="english",C478,IF('1.Description'!$AA$9="français",D478,E478)))</f>
        <v>Liquid</v>
      </c>
      <c r="C478" s="1064" t="s">
        <v>3615</v>
      </c>
      <c r="D478" s="1064" t="s">
        <v>4038</v>
      </c>
      <c r="E478" s="1064" t="s">
        <v>4620</v>
      </c>
    </row>
    <row r="479" spans="1:5" x14ac:dyDescent="0.2">
      <c r="A479" s="1062" t="s">
        <v>3578</v>
      </c>
      <c r="B479" s="2262" t="str">
        <f>IF(IF('1.Description'!$AA$9="english",C479,IF('1.Description'!$AA$9="français",D479,E479))=0,"",IF('1.Description'!$AA$9="english",C479,IF('1.Description'!$AA$9="français",D479,E479)))</f>
        <v>Charcoal</v>
      </c>
      <c r="C479" s="1064" t="s">
        <v>2064</v>
      </c>
      <c r="D479" s="1064" t="s">
        <v>4204</v>
      </c>
      <c r="E479" s="1064" t="s">
        <v>4621</v>
      </c>
    </row>
    <row r="480" spans="1:5" x14ac:dyDescent="0.2">
      <c r="A480" s="1062" t="s">
        <v>3578</v>
      </c>
      <c r="B480" s="2262" t="str">
        <f>IF(IF('1.Description'!$AA$9="english",C480,IF('1.Description'!$AA$9="français",D480,E480))=0,"",IF('1.Description'!$AA$9="english",C480,IF('1.Description'!$AA$9="français",D480,E480)))</f>
        <v>9.3 IRRIGATION</v>
      </c>
      <c r="C480" s="1064" t="s">
        <v>3616</v>
      </c>
      <c r="D480" s="1064" t="s">
        <v>3616</v>
      </c>
      <c r="E480" s="1064" t="s">
        <v>4831</v>
      </c>
    </row>
    <row r="481" spans="1:5" x14ac:dyDescent="0.2">
      <c r="A481" s="1062" t="s">
        <v>3578</v>
      </c>
      <c r="B481" s="2262" t="str">
        <f>IF(IF('1.Description'!$AA$9="english",C481,IF('1.Description'!$AA$9="français",D481,E481))=0,"",IF('1.Description'!$AA$9="english",C481,IF('1.Description'!$AA$9="français",D481,E481)))</f>
        <v>Implementation of new irrigation systems</v>
      </c>
      <c r="C481" s="1064" t="s">
        <v>2843</v>
      </c>
      <c r="D481" s="1064" t="s">
        <v>4039</v>
      </c>
      <c r="E481" s="1064" t="s">
        <v>4622</v>
      </c>
    </row>
    <row r="482" spans="1:5" x14ac:dyDescent="0.2">
      <c r="A482" s="1062" t="s">
        <v>3578</v>
      </c>
      <c r="B482" s="2262" t="str">
        <f>IF(IF('1.Description'!$AA$9="english",C482,IF('1.Description'!$AA$9="français",D482,E482))=0,"",IF('1.Description'!$AA$9="english",C482,IF('1.Description'!$AA$9="français",D482,E482)))</f>
        <v>Irrigation systems</v>
      </c>
      <c r="C482" s="1064" t="s">
        <v>3617</v>
      </c>
      <c r="D482" s="1064" t="s">
        <v>4040</v>
      </c>
      <c r="E482" s="1064" t="s">
        <v>4623</v>
      </c>
    </row>
    <row r="483" spans="1:5" x14ac:dyDescent="0.2">
      <c r="A483" s="1062" t="s">
        <v>3578</v>
      </c>
      <c r="B483" s="2262" t="str">
        <f>IF(IF('1.Description'!$AA$9="english",C483,IF('1.Description'!$AA$9="français",D483,E483))=0,"",IF('1.Description'!$AA$9="english",C483,IF('1.Description'!$AA$9="français",D483,E483)))</f>
        <v>Operational phase of groundwater irrigated systems</v>
      </c>
      <c r="C483" s="1064" t="s">
        <v>3618</v>
      </c>
      <c r="D483" s="1064" t="s">
        <v>4041</v>
      </c>
      <c r="E483" s="1064" t="s">
        <v>4624</v>
      </c>
    </row>
    <row r="484" spans="1:5" x14ac:dyDescent="0.2">
      <c r="A484" s="1062" t="s">
        <v>3578</v>
      </c>
      <c r="B484" s="2262" t="str">
        <f>IF(IF('1.Description'!$AA$9="english",C484,IF('1.Description'!$AA$9="français",D484,E484))=0,"",IF('1.Description'!$AA$9="english",C484,IF('1.Description'!$AA$9="français",D484,E484)))</f>
        <v>Surfaces (in ha)</v>
      </c>
      <c r="C484" s="1064" t="s">
        <v>3619</v>
      </c>
      <c r="D484" s="1064" t="s">
        <v>4042</v>
      </c>
      <c r="E484" s="1064" t="s">
        <v>4625</v>
      </c>
    </row>
    <row r="485" spans="1:5" x14ac:dyDescent="0.2">
      <c r="A485" s="1062" t="s">
        <v>3578</v>
      </c>
      <c r="B485" s="2262" t="str">
        <f>IF(IF('1.Description'!$AA$9="english",C485,IF('1.Description'!$AA$9="français",D485,E485))=0,"",IF('1.Description'!$AA$9="english",C485,IF('1.Description'!$AA$9="français",D485,E485)))</f>
        <v>Source of energy</v>
      </c>
      <c r="C485" s="1064" t="s">
        <v>3620</v>
      </c>
      <c r="D485" s="1064" t="s">
        <v>4043</v>
      </c>
      <c r="E485" s="1064" t="s">
        <v>4626</v>
      </c>
    </row>
    <row r="486" spans="1:5" x14ac:dyDescent="0.2">
      <c r="A486" s="1062" t="s">
        <v>3578</v>
      </c>
      <c r="B486" s="2262" t="str">
        <f>IF(IF('1.Description'!$AA$9="english",C486,IF('1.Description'!$AA$9="français",D486,E486))=0,"",IF('1.Description'!$AA$9="english",C486,IF('1.Description'!$AA$9="français",D486,E486)))</f>
        <v>Crop type</v>
      </c>
      <c r="C486" s="1064" t="s">
        <v>386</v>
      </c>
      <c r="D486" s="1064" t="s">
        <v>3867</v>
      </c>
      <c r="E486" s="1064" t="s">
        <v>4499</v>
      </c>
    </row>
    <row r="487" spans="1:5" x14ac:dyDescent="0.2">
      <c r="A487" s="1062" t="s">
        <v>3578</v>
      </c>
      <c r="B487" s="2262" t="str">
        <f>IF(IF('1.Description'!$AA$9="english",C487,IF('1.Description'!$AA$9="français",D487,E487))=0,"",IF('1.Description'!$AA$9="english",C487,IF('1.Description'!$AA$9="français",D487,E487)))</f>
        <v>Gross Irrigation Water Requirement</v>
      </c>
      <c r="C487" s="1064" t="s">
        <v>3621</v>
      </c>
      <c r="D487" s="1064" t="s">
        <v>4044</v>
      </c>
      <c r="E487" s="1064" t="s">
        <v>4832</v>
      </c>
    </row>
    <row r="488" spans="1:5" x14ac:dyDescent="0.2">
      <c r="A488" s="1062" t="s">
        <v>3578</v>
      </c>
      <c r="B488" s="2262" t="str">
        <f>IF(IF('1.Description'!$AA$9="english",C488,IF('1.Description'!$AA$9="français",D488,E488))=0,"",IF('1.Description'!$AA$9="english",C488,IF('1.Description'!$AA$9="français",D488,E488)))</f>
        <v>(in mm/year)</v>
      </c>
      <c r="C488" s="1064" t="s">
        <v>3622</v>
      </c>
      <c r="D488" s="1064" t="s">
        <v>4045</v>
      </c>
      <c r="E488" s="1064" t="s">
        <v>4833</v>
      </c>
    </row>
    <row r="489" spans="1:5" x14ac:dyDescent="0.2">
      <c r="A489" s="1062" t="s">
        <v>3578</v>
      </c>
      <c r="B489" s="2262" t="str">
        <f>IF(IF('1.Description'!$AA$9="english",C489,IF('1.Description'!$AA$9="français",D489,E489))=0,"",IF('1.Description'!$AA$9="english",C489,IF('1.Description'!$AA$9="français",D489,E489)))</f>
        <v xml:space="preserve">Depth H2O </v>
      </c>
      <c r="C489" s="1064" t="s">
        <v>3800</v>
      </c>
      <c r="D489" s="1064" t="s">
        <v>4205</v>
      </c>
      <c r="E489" s="1064" t="s">
        <v>4627</v>
      </c>
    </row>
    <row r="490" spans="1:5" x14ac:dyDescent="0.2">
      <c r="A490" s="1062" t="s">
        <v>3578</v>
      </c>
      <c r="B490" s="2262" t="str">
        <f>IF(IF('1.Description'!$AA$9="english",C490,IF('1.Description'!$AA$9="français",D490,E490))=0,"",IF('1.Description'!$AA$9="english",C490,IF('1.Description'!$AA$9="français",D490,E490)))</f>
        <v>(in m)</v>
      </c>
      <c r="C490" s="1064" t="s">
        <v>3623</v>
      </c>
      <c r="D490" s="1064" t="s">
        <v>4206</v>
      </c>
      <c r="E490" s="1064" t="s">
        <v>4206</v>
      </c>
    </row>
    <row r="491" spans="1:5" x14ac:dyDescent="0.2">
      <c r="A491" s="1062" t="s">
        <v>3578</v>
      </c>
      <c r="B491" s="2262" t="str">
        <f>IF(IF('1.Description'!$AA$9="english",C491,IF('1.Description'!$AA$9="français",D491,E491))=0,"",IF('1.Description'!$AA$9="english",C491,IF('1.Description'!$AA$9="français",D491,E491)))</f>
        <v>New installation</v>
      </c>
      <c r="C491" s="1064" t="s">
        <v>3624</v>
      </c>
      <c r="D491" s="1064" t="s">
        <v>4046</v>
      </c>
      <c r="E491" s="1064" t="s">
        <v>4628</v>
      </c>
    </row>
    <row r="492" spans="1:5" x14ac:dyDescent="0.2">
      <c r="A492" s="1062" t="s">
        <v>3578</v>
      </c>
      <c r="B492" s="2262" t="str">
        <f>IF(IF('1.Description'!$AA$9="english",C492,IF('1.Description'!$AA$9="français",D492,E492))=0,"",IF('1.Description'!$AA$9="english",C492,IF('1.Description'!$AA$9="français",D492,E492)))</f>
        <v>Irrigation systems</v>
      </c>
      <c r="C492" s="1064" t="s">
        <v>3617</v>
      </c>
      <c r="D492" s="1064" t="s">
        <v>4207</v>
      </c>
      <c r="E492" s="1064" t="s">
        <v>4623</v>
      </c>
    </row>
    <row r="493" spans="1:5" x14ac:dyDescent="0.2">
      <c r="A493" s="1062" t="s">
        <v>3578</v>
      </c>
      <c r="B493" s="2262" t="str">
        <f>IF(IF('1.Description'!$AA$9="english",C493,IF('1.Description'!$AA$9="français",D493,E493))=0,"",IF('1.Description'!$AA$9="english",C493,IF('1.Description'!$AA$9="français",D493,E493)))</f>
        <v>Average pressure (in bar)</v>
      </c>
      <c r="C493" s="1064" t="s">
        <v>3625</v>
      </c>
      <c r="D493" s="1064" t="s">
        <v>4047</v>
      </c>
      <c r="E493" s="1064" t="s">
        <v>4629</v>
      </c>
    </row>
    <row r="494" spans="1:5" x14ac:dyDescent="0.2">
      <c r="A494" s="1062" t="s">
        <v>3578</v>
      </c>
      <c r="B494" s="2262" t="str">
        <f>IF(IF('1.Description'!$AA$9="english",C494,IF('1.Description'!$AA$9="français",D494,E494))=0,"",IF('1.Description'!$AA$9="english",C494,IF('1.Description'!$AA$9="français",D494,E494)))</f>
        <v>Emission factors source of energy</v>
      </c>
      <c r="C494" s="1064" t="s">
        <v>3626</v>
      </c>
      <c r="D494" s="1064" t="s">
        <v>4048</v>
      </c>
      <c r="E494" s="1064" t="s">
        <v>4630</v>
      </c>
    </row>
    <row r="495" spans="1:5" x14ac:dyDescent="0.2">
      <c r="A495" s="1062" t="s">
        <v>3578</v>
      </c>
      <c r="B495" s="2262" t="str">
        <f>IF(IF('1.Description'!$AA$9="english",C495,IF('1.Description'!$AA$9="français",D495,E495))=0,"",IF('1.Description'!$AA$9="english",C495,IF('1.Description'!$AA$9="français",D495,E495)))</f>
        <v>Total dynamic head (in meters head)</v>
      </c>
      <c r="C495" s="1064" t="s">
        <v>3627</v>
      </c>
      <c r="D495" s="1064" t="s">
        <v>4049</v>
      </c>
      <c r="E495" s="1064" t="s">
        <v>4631</v>
      </c>
    </row>
    <row r="496" spans="1:5" x14ac:dyDescent="0.2">
      <c r="A496" s="1062" t="s">
        <v>3578</v>
      </c>
      <c r="B496" s="2262" t="str">
        <f>IF(IF('1.Description'!$AA$9="english",C496,IF('1.Description'!$AA$9="français",D496,E496))=0,"",IF('1.Description'!$AA$9="english",C496,IF('1.Description'!$AA$9="français",D496,E496)))</f>
        <v>Pumping efficiency (in %)</v>
      </c>
      <c r="C496" s="1064" t="s">
        <v>3628</v>
      </c>
      <c r="D496" s="1064" t="s">
        <v>4050</v>
      </c>
      <c r="E496" s="1064" t="s">
        <v>4632</v>
      </c>
    </row>
    <row r="497" spans="1:9" x14ac:dyDescent="0.2">
      <c r="A497" s="1062" t="s">
        <v>3578</v>
      </c>
      <c r="B497" s="2262" t="str">
        <f>IF(IF('1.Description'!$AA$9="english",C497,IF('1.Description'!$AA$9="français",D497,E497))=0,"",IF('1.Description'!$AA$9="english",C497,IF('1.Description'!$AA$9="français",D497,E497)))</f>
        <v>Over the main crop season</v>
      </c>
      <c r="C497" s="1064" t="s">
        <v>3629</v>
      </c>
      <c r="D497" s="1064" t="s">
        <v>4208</v>
      </c>
      <c r="E497" s="1064" t="s">
        <v>4633</v>
      </c>
    </row>
    <row r="498" spans="1:9" x14ac:dyDescent="0.2">
      <c r="A498" s="1062" t="s">
        <v>3578</v>
      </c>
      <c r="B498" s="2262" t="str">
        <f>IF(IF('1.Description'!$AA$9="english",C498,IF('1.Description'!$AA$9="français",D498,E498))=0,"",IF('1.Description'!$AA$9="english",C498,IF('1.Description'!$AA$9="français",D498,E498)))</f>
        <v>(in mm/growing season)</v>
      </c>
      <c r="C498" s="1064" t="s">
        <v>3630</v>
      </c>
      <c r="D498" s="1064" t="s">
        <v>4051</v>
      </c>
      <c r="E498" s="1064" t="s">
        <v>4634</v>
      </c>
    </row>
    <row r="499" spans="1:9" x14ac:dyDescent="0.2">
      <c r="A499" s="1062" t="s">
        <v>3578</v>
      </c>
      <c r="B499" s="2262" t="str">
        <f>IF(IF('1.Description'!$AA$9="english",C499,IF('1.Description'!$AA$9="français",D499,E499))=0,"",IF('1.Description'!$AA$9="english",C499,IF('1.Description'!$AA$9="français",D499,E499)))</f>
        <v>Main crop irrigation need</v>
      </c>
      <c r="C499" s="1064" t="s">
        <v>3631</v>
      </c>
      <c r="D499" s="1064" t="s">
        <v>4052</v>
      </c>
      <c r="E499" s="1064" t="s">
        <v>4635</v>
      </c>
    </row>
    <row r="500" spans="1:9" x14ac:dyDescent="0.2">
      <c r="A500" s="1062" t="s">
        <v>3578</v>
      </c>
      <c r="B500" s="2262" t="str">
        <f>IF(IF('1.Description'!$AA$9="english",C500,IF('1.Description'!$AA$9="français",D500,E500))=0,"",IF('1.Description'!$AA$9="english",C500,IF('1.Description'!$AA$9="français",D500,E500)))</f>
        <v>Minor crop season</v>
      </c>
      <c r="C500" s="1064" t="s">
        <v>3632</v>
      </c>
      <c r="D500" s="1064" t="s">
        <v>4209</v>
      </c>
      <c r="E500" s="1064" t="s">
        <v>4636</v>
      </c>
    </row>
    <row r="501" spans="1:9" x14ac:dyDescent="0.2">
      <c r="A501" s="1062" t="s">
        <v>3578</v>
      </c>
      <c r="B501" s="2262" t="str">
        <f>IF(IF('1.Description'!$AA$9="english",C501,IF('1.Description'!$AA$9="français",D501,E501))=0,"",IF('1.Description'!$AA$9="english",C501,IF('1.Description'!$AA$9="français",D501,E501)))</f>
        <v>Irrigation need</v>
      </c>
      <c r="C501" s="1064" t="s">
        <v>3633</v>
      </c>
      <c r="D501" s="1064" t="s">
        <v>4053</v>
      </c>
      <c r="E501" s="1064" t="s">
        <v>4637</v>
      </c>
    </row>
    <row r="502" spans="1:9" x14ac:dyDescent="0.2">
      <c r="A502" s="1062" t="s">
        <v>3578</v>
      </c>
      <c r="B502" s="2262" t="str">
        <f>IF(IF('1.Description'!$AA$9="english",C502,IF('1.Description'!$AA$9="français",D502,E502))=0,"",IF('1.Description'!$AA$9="english",C502,IF('1.Description'!$AA$9="français",D502,E502)))</f>
        <v>Water need</v>
      </c>
      <c r="C502" s="1064" t="s">
        <v>3634</v>
      </c>
      <c r="D502" s="1064" t="s">
        <v>4054</v>
      </c>
      <c r="E502" s="1064" t="s">
        <v>4638</v>
      </c>
    </row>
    <row r="503" spans="1:9" x14ac:dyDescent="0.2">
      <c r="A503" s="1062" t="s">
        <v>3578</v>
      </c>
      <c r="B503" s="2262" t="str">
        <f>IF(IF('1.Description'!$AA$9="english",C503,IF('1.Description'!$AA$9="français",D503,E503))=0,"",IF('1.Description'!$AA$9="english",C503,IF('1.Description'!$AA$9="français",D503,E503)))</f>
        <v>Pump</v>
      </c>
      <c r="C503" s="1064" t="s">
        <v>3635</v>
      </c>
      <c r="D503" s="1064" t="s">
        <v>4055</v>
      </c>
      <c r="E503" s="1064" t="s">
        <v>4639</v>
      </c>
    </row>
    <row r="504" spans="1:9" x14ac:dyDescent="0.2">
      <c r="A504" s="1062" t="s">
        <v>3578</v>
      </c>
      <c r="B504" s="2262" t="str">
        <f>IF(IF('1.Description'!$AA$9="english",C504,IF('1.Description'!$AA$9="français",D504,E504))=0,"",IF('1.Description'!$AA$9="english",C504,IF('1.Description'!$AA$9="français",D504,E504)))</f>
        <v>(in m3/ha)</v>
      </c>
      <c r="C504" s="1064" t="s">
        <v>3801</v>
      </c>
      <c r="D504" s="1064" t="s">
        <v>4210</v>
      </c>
      <c r="E504" s="1064" t="s">
        <v>4210</v>
      </c>
    </row>
    <row r="505" spans="1:9" x14ac:dyDescent="0.2">
      <c r="A505" s="1062" t="s">
        <v>3578</v>
      </c>
      <c r="B505" s="2262" t="str">
        <f>IF(IF('1.Description'!$AA$9="english",C505,IF('1.Description'!$AA$9="français",D505,E505))=0,"",IF('1.Description'!$AA$9="english",C505,IF('1.Description'!$AA$9="français",D505,E505)))</f>
        <v>9.4 BUILDINGS &amp; ROADS</v>
      </c>
      <c r="C505" s="1064" t="s">
        <v>3636</v>
      </c>
      <c r="D505" s="1064" t="s">
        <v>4056</v>
      </c>
      <c r="E505" s="1064" t="s">
        <v>4834</v>
      </c>
    </row>
    <row r="506" spans="1:9" x14ac:dyDescent="0.2">
      <c r="A506" s="1062" t="s">
        <v>3578</v>
      </c>
      <c r="B506" s="2262" t="str">
        <f>IF(IF('1.Description'!$AA$9="english",C506,IF('1.Description'!$AA$9="français",D506,E506))=0,"",IF('1.Description'!$AA$9="english",C506,IF('1.Description'!$AA$9="français",D506,E506)))</f>
        <v>Buildings and roads (in m2)</v>
      </c>
      <c r="C506" s="1064" t="s">
        <v>3637</v>
      </c>
      <c r="D506" s="1064" t="s">
        <v>4211</v>
      </c>
      <c r="E506" s="1064" t="s">
        <v>4640</v>
      </c>
    </row>
    <row r="507" spans="1:9" x14ac:dyDescent="0.2">
      <c r="A507" s="1062" t="s">
        <v>3578</v>
      </c>
      <c r="B507" s="2262" t="str">
        <f>IF(IF('1.Description'!$AA$9="english",C507,IF('1.Description'!$AA$9="français",D507,E507))=0,"",IF('1.Description'!$AA$9="english",C507,IF('1.Description'!$AA$9="français",D507,E507)))</f>
        <v>Surfaces (in m2)</v>
      </c>
      <c r="C507" s="1064" t="s">
        <v>3638</v>
      </c>
      <c r="D507" s="1064" t="s">
        <v>4057</v>
      </c>
      <c r="E507" s="1064" t="s">
        <v>4641</v>
      </c>
    </row>
    <row r="508" spans="1:9" s="1066" customFormat="1" x14ac:dyDescent="0.2">
      <c r="A508" s="1062" t="s">
        <v>3578</v>
      </c>
      <c r="B508" s="2262" t="str">
        <f>IF(IF('1.Description'!$AA$9="english",C508,IF('1.Description'!$AA$9="français",D508,E508))=0,"",IF('1.Description'!$AA$9="english",C508,IF('1.Description'!$AA$9="français",D508,E508)))</f>
        <v>Roads and buildings (new and rehabilitated)</v>
      </c>
      <c r="C508" s="1064" t="s">
        <v>3639</v>
      </c>
      <c r="D508" s="1064" t="s">
        <v>4058</v>
      </c>
      <c r="E508" s="1064" t="s">
        <v>4642</v>
      </c>
      <c r="F508" s="1064"/>
      <c r="G508" s="1064"/>
      <c r="H508" s="1064"/>
      <c r="I508" s="1064"/>
    </row>
    <row r="509" spans="1:9" x14ac:dyDescent="0.2">
      <c r="A509" s="1062" t="s">
        <v>3578</v>
      </c>
      <c r="B509" s="2262" t="str">
        <f>IF(IF('1.Description'!$AA$9="english",C509,IF('1.Description'!$AA$9="français",D509,E509))=0,"",IF('1.Description'!$AA$9="english",C509,IF('1.Description'!$AA$9="français",D509,E509)))</f>
        <v>Total energy (tCO2-e)</v>
      </c>
      <c r="C509" s="1064" t="s">
        <v>3640</v>
      </c>
      <c r="D509" s="1064" t="s">
        <v>4212</v>
      </c>
      <c r="E509" s="1064" t="s">
        <v>4643</v>
      </c>
    </row>
    <row r="510" spans="1:9" x14ac:dyDescent="0.2">
      <c r="A510" s="1062" t="s">
        <v>3578</v>
      </c>
      <c r="B510" s="2262" t="str">
        <f>IF(IF('1.Description'!$AA$9="english",C510,IF('1.Description'!$AA$9="français",D510,E510))=0,"",IF('1.Description'!$AA$9="english",C510,IF('1.Description'!$AA$9="français",D510,E510)))</f>
        <v>Total inputs (tCO2-e)</v>
      </c>
      <c r="C510" s="1064" t="s">
        <v>3641</v>
      </c>
      <c r="D510" s="1064" t="s">
        <v>4213</v>
      </c>
      <c r="E510" s="1064" t="s">
        <v>4644</v>
      </c>
    </row>
    <row r="511" spans="1:9" x14ac:dyDescent="0.2">
      <c r="A511" s="1062" t="s">
        <v>3578</v>
      </c>
      <c r="B511" s="2262" t="str">
        <f>IF(IF('1.Description'!$AA$9="english",C511,IF('1.Description'!$AA$9="français",D511,E511))=0,"",IF('1.Description'!$AA$9="english",C511,IF('1.Description'!$AA$9="français",D511,E511)))</f>
        <v>Total irrigation (tCO2-e)</v>
      </c>
      <c r="C511" s="1064" t="s">
        <v>3642</v>
      </c>
      <c r="D511" s="1064" t="s">
        <v>3642</v>
      </c>
      <c r="E511" s="1064" t="s">
        <v>4645</v>
      </c>
    </row>
    <row r="512" spans="1:9" x14ac:dyDescent="0.2">
      <c r="A512" s="1062" t="s">
        <v>3578</v>
      </c>
      <c r="B512" s="2262" t="str">
        <f>IF(IF('1.Description'!$AA$9="english",C512,IF('1.Description'!$AA$9="français",D512,E512))=0,"",IF('1.Description'!$AA$9="english",C512,IF('1.Description'!$AA$9="français",D512,E512)))</f>
        <v>Total buildings and roads (tCO2-e)</v>
      </c>
      <c r="C512" s="1064" t="s">
        <v>3643</v>
      </c>
      <c r="D512" s="1064" t="s">
        <v>4059</v>
      </c>
      <c r="E512" s="1064" t="s">
        <v>4646</v>
      </c>
    </row>
    <row r="513" spans="1:5" x14ac:dyDescent="0.2">
      <c r="A513" s="1062"/>
      <c r="B513" s="2262" t="str">
        <f>IF(IF('1.Description'!$AA$9="english",C513,IF('1.Description'!$AA$9="français",D513,E513))=0,"",IF('1.Description'!$AA$9="english",C513,IF('1.Description'!$AA$9="français",D513,E513)))</f>
        <v>Animal feed (in tonnes per year)</v>
      </c>
      <c r="C513" s="1064" t="s">
        <v>2791</v>
      </c>
      <c r="D513" s="1064" t="s">
        <v>4214</v>
      </c>
      <c r="E513" s="1064" t="s">
        <v>4835</v>
      </c>
    </row>
    <row r="514" spans="1:5" x14ac:dyDescent="0.2">
      <c r="A514" s="1062"/>
      <c r="B514" s="2262" t="str">
        <f>IF(IF('1.Description'!$AA$9="english",C514,IF('1.Description'!$AA$9="français",D514,E514))=0,"",IF('1.Description'!$AA$9="english",C514,IF('1.Description'!$AA$9="français",D514,E514)))</f>
        <v xml:space="preserve">For guidance on the calculation of the Gross Irrigation Water Requirement, users can refer to the </v>
      </c>
      <c r="C514" s="1064" t="s">
        <v>3769</v>
      </c>
      <c r="D514" s="1064" t="s">
        <v>4233</v>
      </c>
      <c r="E514" s="1064" t="s">
        <v>4836</v>
      </c>
    </row>
    <row r="515" spans="1:5" x14ac:dyDescent="0.2">
      <c r="A515" s="1062"/>
      <c r="B515" s="2262" t="str">
        <f>IF(IF('1.Description'!$AA$9="english",C515,IF('1.Description'!$AA$9="français",D515,E515))=0,"",IF('1.Description'!$AA$9="english",C515,IF('1.Description'!$AA$9="français",D515,E515)))</f>
        <v>Please make sure that feed does not derive from land-based activities that are already included within the project</v>
      </c>
      <c r="C515" s="1064" t="s">
        <v>3742</v>
      </c>
      <c r="D515" s="1064" t="s">
        <v>4060</v>
      </c>
      <c r="E515" s="1064" t="s">
        <v>4837</v>
      </c>
    </row>
    <row r="516" spans="1:5" x14ac:dyDescent="0.2">
      <c r="A516" s="1062"/>
      <c r="B516" s="2262" t="str">
        <f>IF(IF('1.Description'!$AA$9="english",C516,IF('1.Description'!$AA$9="français",D516,E516))=0,"",IF('1.Description'!$AA$9="english",C516,IF('1.Description'!$AA$9="français",D516,E516)))</f>
        <v>Source of Emission Factor</v>
      </c>
      <c r="C516" s="1064" t="s">
        <v>2793</v>
      </c>
      <c r="D516" s="1064" t="s">
        <v>4061</v>
      </c>
      <c r="E516" s="1064" t="s">
        <v>4838</v>
      </c>
    </row>
    <row r="517" spans="1:5" x14ac:dyDescent="0.2">
      <c r="A517" s="1062"/>
      <c r="B517" s="2262" t="str">
        <f>IF(IF('1.Description'!$AA$9="english",C517,IF('1.Description'!$AA$9="français",D517,E517))=0,"",IF('1.Description'!$AA$9="english",C517,IF('1.Description'!$AA$9="français",D517,E517)))</f>
        <v>Account for CO2 emissions?</v>
      </c>
      <c r="C517" s="1064" t="s">
        <v>2795</v>
      </c>
      <c r="D517" s="1064" t="s">
        <v>4062</v>
      </c>
      <c r="E517" s="1064" t="s">
        <v>4839</v>
      </c>
    </row>
    <row r="518" spans="1:5" x14ac:dyDescent="0.2">
      <c r="A518" s="1062"/>
      <c r="B518" s="2262" t="str">
        <f>IF(IF('1.Description'!$AA$9="english",C518,IF('1.Description'!$AA$9="français",D518,E518))=0,"",IF('1.Description'!$AA$9="english",C518,IF('1.Description'!$AA$9="français",D518,E518)))</f>
        <v>Pump Characteristics</v>
      </c>
      <c r="C518" s="1064" t="s">
        <v>2798</v>
      </c>
      <c r="D518" s="1064" t="s">
        <v>4063</v>
      </c>
      <c r="E518" s="1064" t="s">
        <v>4840</v>
      </c>
    </row>
    <row r="519" spans="1:5" x14ac:dyDescent="0.2">
      <c r="A519" s="1062"/>
      <c r="B519" s="2262" t="str">
        <f>IF(IF('1.Description'!$AA$9="english",C519,IF('1.Description'!$AA$9="français",D519,E519))=0,"",IF('1.Description'!$AA$9="english",C519,IF('1.Description'!$AA$9="français",D519,E519)))</f>
        <v/>
      </c>
    </row>
    <row r="520" spans="1:5" x14ac:dyDescent="0.2">
      <c r="A520" s="1062"/>
      <c r="B520" s="2262" t="str">
        <f>IF(IF('1.Description'!$AA$9="english",C520,IF('1.Description'!$AA$9="français",D520,E520))=0,"",IF('1.Description'!$AA$9="english",C520,IF('1.Description'!$AA$9="français",D520,E520)))</f>
        <v/>
      </c>
    </row>
    <row r="521" spans="1:5" x14ac:dyDescent="0.2">
      <c r="A521" s="1062"/>
      <c r="B521" s="2262" t="str">
        <f>IF(IF('1.Description'!$AA$9="english",C521,IF('1.Description'!$AA$9="français",D521,E521))=0,"",IF('1.Description'!$AA$9="english",C521,IF('1.Description'!$AA$9="français",D521,E521)))</f>
        <v/>
      </c>
    </row>
    <row r="522" spans="1:5" x14ac:dyDescent="0.2">
      <c r="A522" s="1062"/>
      <c r="B522" s="2262" t="str">
        <f>IF(IF('1.Description'!$AA$9="english",C522,IF('1.Description'!$AA$9="français",D522,E522))=0,"",IF('1.Description'!$AA$9="english",C522,IF('1.Description'!$AA$9="français",D522,E522)))</f>
        <v/>
      </c>
    </row>
    <row r="523" spans="1:5" x14ac:dyDescent="0.2">
      <c r="A523" s="1062"/>
      <c r="B523" s="2262" t="str">
        <f>IF(IF('1.Description'!$AA$9="english",C523,IF('1.Description'!$AA$9="français",D523,E523))=0,"",IF('1.Description'!$AA$9="english",C523,IF('1.Description'!$AA$9="français",D523,E523)))</f>
        <v/>
      </c>
    </row>
    <row r="524" spans="1:5" x14ac:dyDescent="0.2">
      <c r="A524" s="1062"/>
      <c r="B524" s="2262" t="str">
        <f>IF(IF('1.Description'!$AA$9="english",C524,IF('1.Description'!$AA$9="français",D524,E524))=0,"",IF('1.Description'!$AA$9="english",C524,IF('1.Description'!$AA$9="français",D524,E524)))</f>
        <v/>
      </c>
    </row>
    <row r="525" spans="1:5" x14ac:dyDescent="0.2">
      <c r="A525" s="1062"/>
      <c r="B525" s="2262" t="str">
        <f>IF(IF('1.Description'!$AA$9="english",C525,IF('1.Description'!$AA$9="français",D525,E525))=0,"",IF('1.Description'!$AA$9="english",C525,IF('1.Description'!$AA$9="français",D525,E525)))</f>
        <v/>
      </c>
    </row>
    <row r="526" spans="1:5" x14ac:dyDescent="0.2">
      <c r="A526" s="1062"/>
      <c r="B526" s="2262" t="str">
        <f>IF(IF('1.Description'!$AA$9="english",C526,IF('1.Description'!$AA$9="français",D526,E526))=0,"",IF('1.Description'!$AA$9="english",C526,IF('1.Description'!$AA$9="français",D526,E526)))</f>
        <v/>
      </c>
    </row>
    <row r="527" spans="1:5" x14ac:dyDescent="0.2">
      <c r="A527" s="1062"/>
      <c r="B527" s="2262" t="str">
        <f>IF(IF('1.Description'!$AA$9="english",C527,IF('1.Description'!$AA$9="français",D527,E527))=0,"",IF('1.Description'!$AA$9="english",C527,IF('1.Description'!$AA$9="français",D527,E527)))</f>
        <v/>
      </c>
    </row>
    <row r="528" spans="1:5" x14ac:dyDescent="0.2">
      <c r="A528" s="1062"/>
      <c r="B528" s="2262" t="str">
        <f>IF(IF('1.Description'!$AA$9="english",C528,IF('1.Description'!$AA$9="français",D528,E528))=0,"",IF('1.Description'!$AA$9="english",C528,IF('1.Description'!$AA$9="français",D528,E528)))</f>
        <v/>
      </c>
    </row>
    <row r="529" spans="1:5" x14ac:dyDescent="0.2">
      <c r="A529" s="1062"/>
      <c r="B529" s="2262" t="str">
        <f>IF(IF('1.Description'!$AA$9="english",C529,IF('1.Description'!$AA$9="français",D529,E529))=0,"",IF('1.Description'!$AA$9="english",C529,IF('1.Description'!$AA$9="français",D529,E529)))</f>
        <v/>
      </c>
    </row>
    <row r="530" spans="1:5" x14ac:dyDescent="0.2">
      <c r="A530" s="1062"/>
      <c r="B530" s="2262" t="str">
        <f>IF(IF('1.Description'!$AA$9="english",C530,IF('1.Description'!$AA$9="français",D530,E530))=0,"",IF('1.Description'!$AA$9="english",C530,IF('1.Description'!$AA$9="français",D530,E530)))</f>
        <v/>
      </c>
    </row>
    <row r="531" spans="1:5" x14ac:dyDescent="0.2">
      <c r="A531" s="1062"/>
      <c r="B531" s="2262" t="str">
        <f>IF(IF('1.Description'!$AA$9="english",C531,IF('1.Description'!$AA$9="français",D531,E531))=0,"",IF('1.Description'!$AA$9="english",C531,IF('1.Description'!$AA$9="français",D531,E531)))</f>
        <v/>
      </c>
    </row>
    <row r="532" spans="1:5" x14ac:dyDescent="0.2">
      <c r="A532" s="1062"/>
      <c r="B532" s="2262" t="str">
        <f>IF(IF('1.Description'!$AA$9="english",C532,IF('1.Description'!$AA$9="français",D532,E532))=0,"",IF('1.Description'!$AA$9="english",C532,IF('1.Description'!$AA$9="français",D532,E532)))</f>
        <v/>
      </c>
    </row>
    <row r="533" spans="1:5" x14ac:dyDescent="0.2">
      <c r="A533" s="1067" t="s">
        <v>3530</v>
      </c>
      <c r="B533" s="2262" t="str">
        <f>IF(IF('1.Description'!$AA$9="english",C533,IF('1.Description'!$AA$9="français",D533,E533))=0,"",IF('1.Description'!$AA$9="english",C533,IF('1.Description'!$AA$9="français",D533,E533)))</f>
        <v>Area excavated (ha)</v>
      </c>
      <c r="C533" s="4440" t="s">
        <v>2259</v>
      </c>
      <c r="D533" s="4440" t="s">
        <v>4295</v>
      </c>
      <c r="E533" s="1064" t="s">
        <v>4841</v>
      </c>
    </row>
    <row r="534" spans="1:5" x14ac:dyDescent="0.2">
      <c r="A534" s="1064" t="s">
        <v>3530</v>
      </c>
      <c r="B534" s="2262" t="str">
        <f>IF(IF('1.Description'!$AA$9="english",C534,IF('1.Description'!$AA$9="français",D534,E534))=0,"",IF('1.Description'!$AA$9="english",C534,IF('1.Description'!$AA$9="français",D534,E534)))</f>
        <v>Area drained (ha)</v>
      </c>
      <c r="C534" s="4440" t="s">
        <v>2261</v>
      </c>
      <c r="D534" s="4440" t="s">
        <v>4270</v>
      </c>
      <c r="E534" s="1064" t="s">
        <v>4797</v>
      </c>
    </row>
    <row r="535" spans="1:5" x14ac:dyDescent="0.2">
      <c r="A535" s="1064" t="s">
        <v>3530</v>
      </c>
      <c r="B535" s="2262" t="str">
        <f>IF(IF('1.Description'!$AA$9="english",C535,IF('1.Description'!$AA$9="français",D535,E535))=0,"",IF('1.Description'!$AA$9="english",C535,IF('1.Description'!$AA$9="français",D535,E535)))</f>
        <v xml:space="preserve">Maximum area available for drainage </v>
      </c>
      <c r="C535" s="4440" t="s">
        <v>2260</v>
      </c>
      <c r="D535" s="4440" t="s">
        <v>4296</v>
      </c>
      <c r="E535" s="1064" t="s">
        <v>4842</v>
      </c>
    </row>
    <row r="536" spans="1:5" x14ac:dyDescent="0.2">
      <c r="A536" s="1064" t="s">
        <v>3530</v>
      </c>
      <c r="B536" s="2262" t="str">
        <f>IF(IF('1.Description'!$AA$9="english",C536,IF('1.Description'!$AA$9="français",D536,E536))=0,"",IF('1.Description'!$AA$9="english",C536,IF('1.Description'!$AA$9="français",D536,E536)))</f>
        <v>For inland wetland waterbodies, go to the Inland Wetlands module</v>
      </c>
      <c r="C536" s="4440" t="s">
        <v>2271</v>
      </c>
      <c r="D536" s="4440" t="s">
        <v>4297</v>
      </c>
      <c r="E536" s="1064" t="s">
        <v>4843</v>
      </c>
    </row>
    <row r="537" spans="1:5" x14ac:dyDescent="0.2">
      <c r="A537" s="1064" t="s">
        <v>3530</v>
      </c>
      <c r="B537" s="2262" t="str">
        <f>IF(IF('1.Description'!$AA$9="english",C537,IF('1.Description'!$AA$9="français",D537,E537))=0,"",IF('1.Description'!$AA$9="english",C537,IF('1.Description'!$AA$9="français",D537,E537)))</f>
        <v>Total (ha)</v>
      </c>
      <c r="C537" s="4440" t="s">
        <v>405</v>
      </c>
      <c r="D537" s="4440" t="s">
        <v>405</v>
      </c>
      <c r="E537" s="1064" t="s">
        <v>405</v>
      </c>
    </row>
    <row r="538" spans="1:5" x14ac:dyDescent="0.2">
      <c r="A538" s="1064" t="s">
        <v>3530</v>
      </c>
      <c r="B538" s="2262" t="str">
        <f>IF(IF('1.Description'!$AA$9="english",C538,IF('1.Description'!$AA$9="français",D538,E538))=0,"",IF('1.Description'!$AA$9="english",C538,IF('1.Description'!$AA$9="français",D538,E538)))</f>
        <v>Total for coastal water bodies (tCO2-e)</v>
      </c>
      <c r="C538" s="4440" t="s">
        <v>2272</v>
      </c>
      <c r="D538" s="4440" t="s">
        <v>4298</v>
      </c>
      <c r="E538" s="1064" t="s">
        <v>4844</v>
      </c>
    </row>
    <row r="539" spans="1:5" x14ac:dyDescent="0.2">
      <c r="A539" s="1064" t="s">
        <v>3530</v>
      </c>
      <c r="B539" s="2262" t="str">
        <f>IF(IF('1.Description'!$AA$9="english",C539,IF('1.Description'!$AA$9="français",D539,E539))=0,"",IF('1.Description'!$AA$9="english",C539,IF('1.Description'!$AA$9="français",D539,E539)))</f>
        <v>EF drainage (tC/ha/yr)</v>
      </c>
      <c r="C539" s="4440" t="s">
        <v>2264</v>
      </c>
      <c r="D539" s="4440" t="s">
        <v>4299</v>
      </c>
      <c r="E539" s="1064" t="s">
        <v>4845</v>
      </c>
    </row>
    <row r="540" spans="1:5" x14ac:dyDescent="0.2">
      <c r="A540" s="1064" t="s">
        <v>3530</v>
      </c>
      <c r="B540" s="2262" t="str">
        <f>IF(IF('1.Description'!$AA$9="english",C540,IF('1.Description'!$AA$9="français",D540,E540))=0,"",IF('1.Description'!$AA$9="english",C540,IF('1.Description'!$AA$9="français",D540,E540)))</f>
        <v>Average salinity</v>
      </c>
      <c r="C540" s="4440" t="s">
        <v>1683</v>
      </c>
      <c r="D540" s="4440" t="s">
        <v>4300</v>
      </c>
      <c r="E540" s="1064" t="s">
        <v>4846</v>
      </c>
    </row>
    <row r="541" spans="1:5" x14ac:dyDescent="0.2">
      <c r="A541" s="1064" t="s">
        <v>3530</v>
      </c>
      <c r="B541" s="2262" t="str">
        <f>IF(IF('1.Description'!$AA$9="english",C541,IF('1.Description'!$AA$9="français",D541,E541))=0,"",IF('1.Description'!$AA$9="english",C541,IF('1.Description'!$AA$9="français",D541,E541)))</f>
        <v>EF CO2 (tC/ha/yr)</v>
      </c>
      <c r="C541" s="4440" t="s">
        <v>2267</v>
      </c>
      <c r="D541" s="4440" t="s">
        <v>4301</v>
      </c>
      <c r="E541" s="1064" t="s">
        <v>4847</v>
      </c>
    </row>
    <row r="542" spans="1:5" x14ac:dyDescent="0.2">
      <c r="A542" s="1064" t="s">
        <v>3530</v>
      </c>
      <c r="B542" s="2262" t="str">
        <f>IF(IF('1.Description'!$AA$9="english",C542,IF('1.Description'!$AA$9="français",D542,E542))=0,"",IF('1.Description'!$AA$9="english",C542,IF('1.Description'!$AA$9="français",D542,E542)))</f>
        <v>EF CH4 (kgCH4/ha/yr)</v>
      </c>
      <c r="C542" s="4440" t="s">
        <v>2268</v>
      </c>
      <c r="D542" s="4440" t="s">
        <v>4302</v>
      </c>
      <c r="E542" s="1064" t="s">
        <v>4848</v>
      </c>
    </row>
    <row r="543" spans="1:5" x14ac:dyDescent="0.2">
      <c r="A543" s="1064" t="s">
        <v>3530</v>
      </c>
      <c r="B543" s="2262" t="str">
        <f>IF(IF('1.Description'!$AA$9="english",C543,IF('1.Description'!$AA$9="français",D543,E543))=0,"",IF('1.Description'!$AA$9="english",C543,IF('1.Description'!$AA$9="français",D543,E543)))</f>
        <v/>
      </c>
    </row>
    <row r="544" spans="1:5" x14ac:dyDescent="0.2">
      <c r="A544" s="1064" t="s">
        <v>3530</v>
      </c>
      <c r="B544" s="2262" t="str">
        <f>IF(IF('1.Description'!$AA$9="english",C544,IF('1.Description'!$AA$9="français",D544,E544))=0,"",IF('1.Description'!$AA$9="english",C544,IF('1.Description'!$AA$9="français",D544,E544)))</f>
        <v/>
      </c>
    </row>
    <row r="545" spans="1:9" x14ac:dyDescent="0.2">
      <c r="A545" s="1064" t="s">
        <v>3530</v>
      </c>
      <c r="B545" s="2262" t="str">
        <f>IF(IF('1.Description'!$AA$9="english",C545,IF('1.Description'!$AA$9="français",D545,E545))=0,"",IF('1.Description'!$AA$9="english",C545,IF('1.Description'!$AA$9="français",D545,E545)))</f>
        <v/>
      </c>
    </row>
    <row r="546" spans="1:9" x14ac:dyDescent="0.2">
      <c r="A546" s="1064" t="s">
        <v>3530</v>
      </c>
      <c r="B546" s="2262" t="str">
        <f>IF(IF('1.Description'!$AA$9="english",C546,IF('1.Description'!$AA$9="français",D546,E546))=0,"",IF('1.Description'!$AA$9="english",C546,IF('1.Description'!$AA$9="français",D546,E546)))</f>
        <v/>
      </c>
    </row>
    <row r="547" spans="1:9" x14ac:dyDescent="0.2">
      <c r="A547" s="1064" t="s">
        <v>3530</v>
      </c>
      <c r="B547" s="2262" t="str">
        <f>IF(IF('1.Description'!$AA$9="english",C547,IF('1.Description'!$AA$9="français",D547,E547))=0,"",IF('1.Description'!$AA$9="english",C547,IF('1.Description'!$AA$9="français",D547,E547)))</f>
        <v/>
      </c>
    </row>
    <row r="548" spans="1:9" x14ac:dyDescent="0.2">
      <c r="A548" s="1064" t="s">
        <v>3530</v>
      </c>
      <c r="B548" s="2262" t="str">
        <f>IF(IF('1.Description'!$AA$9="english",C548,IF('1.Description'!$AA$9="français",D548,E548))=0,"",IF('1.Description'!$AA$9="english",C548,IF('1.Description'!$AA$9="français",D548,E548)))</f>
        <v/>
      </c>
    </row>
    <row r="549" spans="1:9" s="1068" customFormat="1" x14ac:dyDescent="0.2">
      <c r="A549" s="1067" t="s">
        <v>3530</v>
      </c>
      <c r="B549" s="2262" t="str">
        <f>IF(IF('1.Description'!$AA$9="english",C549,IF('1.Description'!$AA$9="français",D549,E549))=0,"",IF('1.Description'!$AA$9="english",C549,IF('1.Description'!$AA$9="français",D549,E549)))</f>
        <v>7.1 MANAGEMENT OF COASTAL WETLANDS (mangroves, tidal marsh and seagrass meadow)</v>
      </c>
      <c r="C549" s="4435" t="s">
        <v>3644</v>
      </c>
      <c r="D549" s="1067" t="s">
        <v>4064</v>
      </c>
      <c r="E549" s="1064" t="s">
        <v>4647</v>
      </c>
      <c r="F549" s="1067"/>
      <c r="G549" s="1067"/>
      <c r="H549" s="1067"/>
      <c r="I549" s="1067"/>
    </row>
    <row r="550" spans="1:9" x14ac:dyDescent="0.2">
      <c r="A550" s="1064" t="s">
        <v>3530</v>
      </c>
      <c r="B550" s="2262" t="str">
        <f>IF(IF('1.Description'!$AA$9="english",C550,IF('1.Description'!$AA$9="français",D550,E550))=0,"",IF('1.Description'!$AA$9="english",C550,IF('1.Description'!$AA$9="français",D550,E550)))</f>
        <v>7.1.1. Extraction and excavation (port construction, construction of aquaculture or salt production)</v>
      </c>
      <c r="C550" s="1064" t="s">
        <v>3645</v>
      </c>
      <c r="D550" s="1064" t="s">
        <v>4065</v>
      </c>
      <c r="E550" s="1064" t="s">
        <v>4526</v>
      </c>
    </row>
    <row r="551" spans="1:9" x14ac:dyDescent="0.2">
      <c r="A551" s="1064" t="s">
        <v>3530</v>
      </c>
      <c r="B551" s="2262" t="str">
        <f>IF(IF('1.Description'!$AA$9="english",C551,IF('1.Description'!$AA$9="français",D551,E551))=0,"",IF('1.Description'!$AA$9="english",C551,IF('1.Description'!$AA$9="français",D551,E551)))</f>
        <v>% excavated</v>
      </c>
      <c r="C551" s="1064" t="s">
        <v>3646</v>
      </c>
      <c r="D551" s="1064" t="s">
        <v>4066</v>
      </c>
      <c r="E551" s="1064" t="s">
        <v>4648</v>
      </c>
    </row>
    <row r="552" spans="1:9" x14ac:dyDescent="0.2">
      <c r="A552" s="1064" t="s">
        <v>3530</v>
      </c>
      <c r="B552" s="2262" t="str">
        <f>IF(IF('1.Description'!$AA$9="english",C552,IF('1.Description'!$AA$9="français",D552,E552))=0,"",IF('1.Description'!$AA$9="english",C552,IF('1.Description'!$AA$9="français",D552,E552)))</f>
        <v>7.1.2 Drainage</v>
      </c>
      <c r="C552" s="1064" t="s">
        <v>3647</v>
      </c>
      <c r="D552" s="1064" t="s">
        <v>3647</v>
      </c>
      <c r="E552" s="1064" t="s">
        <v>4649</v>
      </c>
    </row>
    <row r="553" spans="1:9" x14ac:dyDescent="0.2">
      <c r="A553" s="1064" t="s">
        <v>3530</v>
      </c>
      <c r="B553" s="2262" t="str">
        <f>IF(IF('1.Description'!$AA$9="english",C553,IF('1.Description'!$AA$9="français",D553,E553))=0,"",IF('1.Description'!$AA$9="english",C553,IF('1.Description'!$AA$9="français",D553,E553)))</f>
        <v>Please specify area in the "Extraction and Excavation" module above.</v>
      </c>
      <c r="C553" s="1064" t="s">
        <v>3648</v>
      </c>
      <c r="D553" s="1064" t="s">
        <v>4067</v>
      </c>
      <c r="E553" s="1064" t="s">
        <v>4650</v>
      </c>
    </row>
    <row r="554" spans="1:9" x14ac:dyDescent="0.2">
      <c r="A554" s="1064" t="s">
        <v>3530</v>
      </c>
      <c r="B554" s="2262" t="str">
        <f>IF(IF('1.Description'!$AA$9="english",C554,IF('1.Description'!$AA$9="français",D554,E554))=0,"",IF('1.Description'!$AA$9="english",C554,IF('1.Description'!$AA$9="français",D554,E554)))</f>
        <v>% drained</v>
      </c>
      <c r="C554" s="1064" t="s">
        <v>3649</v>
      </c>
      <c r="D554" s="1064" t="s">
        <v>4068</v>
      </c>
      <c r="E554" s="1064" t="s">
        <v>4651</v>
      </c>
    </row>
    <row r="555" spans="1:9" x14ac:dyDescent="0.2">
      <c r="A555" s="1064" t="s">
        <v>3530</v>
      </c>
      <c r="B555" s="2262" t="str">
        <f>IF(IF('1.Description'!$AA$9="english",C555,IF('1.Description'!$AA$9="français",D555,E555))=0,"",IF('1.Description'!$AA$9="english",C555,IF('1.Description'!$AA$9="français",D555,E555)))</f>
        <v>Total for extraction and excavation (tCO2-e)</v>
      </c>
      <c r="C555" s="1064" t="s">
        <v>3650</v>
      </c>
      <c r="D555" s="1064" t="s">
        <v>4069</v>
      </c>
      <c r="E555" s="1064" t="s">
        <v>4652</v>
      </c>
    </row>
    <row r="556" spans="1:9" x14ac:dyDescent="0.2">
      <c r="A556" s="1064" t="s">
        <v>3530</v>
      </c>
      <c r="B556" s="2262" t="str">
        <f>IF(IF('1.Description'!$AA$9="english",C556,IF('1.Description'!$AA$9="français",D556,E556))=0,"",IF('1.Description'!$AA$9="english",C556,IF('1.Description'!$AA$9="français",D556,E556)))</f>
        <v>Total for drainage (tCO2-e)</v>
      </c>
      <c r="C556" s="1064" t="s">
        <v>3651</v>
      </c>
      <c r="D556" s="1064" t="s">
        <v>4070</v>
      </c>
      <c r="E556" s="1064" t="s">
        <v>4653</v>
      </c>
    </row>
    <row r="557" spans="1:9" x14ac:dyDescent="0.2">
      <c r="A557" s="1064" t="s">
        <v>3530</v>
      </c>
      <c r="B557" s="2262" t="str">
        <f>IF(IF('1.Description'!$AA$9="english",C557,IF('1.Description'!$AA$9="français",D557,E557))=0,"",IF('1.Description'!$AA$9="english",C557,IF('1.Description'!$AA$9="français",D557,E557)))</f>
        <v>Area rewetted (ha)</v>
      </c>
      <c r="C557" s="1064" t="s">
        <v>3652</v>
      </c>
      <c r="D557" s="1064" t="s">
        <v>4071</v>
      </c>
      <c r="E557" s="1064" t="s">
        <v>4654</v>
      </c>
    </row>
    <row r="558" spans="1:9" x14ac:dyDescent="0.2">
      <c r="A558" s="1064" t="s">
        <v>3530</v>
      </c>
      <c r="B558" s="2262" t="str">
        <f>IF(IF('1.Description'!$AA$9="english",C558,IF('1.Description'!$AA$9="français",D558,E558))=0,"",IF('1.Description'!$AA$9="english",C558,IF('1.Description'!$AA$9="français",D558,E558)))</f>
        <v>Percentage of nominal biomass restored</v>
      </c>
      <c r="C558" s="1064" t="s">
        <v>3653</v>
      </c>
      <c r="D558" s="1064" t="s">
        <v>4072</v>
      </c>
      <c r="E558" s="1064" t="s">
        <v>4655</v>
      </c>
    </row>
    <row r="559" spans="1:9" x14ac:dyDescent="0.2">
      <c r="A559" s="1064" t="s">
        <v>3530</v>
      </c>
      <c r="B559" s="2262" t="str">
        <f>IF(IF('1.Description'!$AA$9="english",C559,IF('1.Description'!$AA$9="français",D559,E559))=0,"",IF('1.Description'!$AA$9="english",C559,IF('1.Description'!$AA$9="français",D559,E559)))</f>
        <v>Total for rewetting &amp; revegetation (tCO2-e)</v>
      </c>
      <c r="C559" s="1064" t="s">
        <v>3654</v>
      </c>
      <c r="D559" s="1064" t="s">
        <v>4215</v>
      </c>
      <c r="E559" s="1064" t="s">
        <v>4656</v>
      </c>
    </row>
    <row r="560" spans="1:9" x14ac:dyDescent="0.2">
      <c r="A560" s="1064" t="s">
        <v>3530</v>
      </c>
      <c r="B560" s="2262" t="str">
        <f>IF(IF('1.Description'!$AA$9="english",C560,IF('1.Description'!$AA$9="français",D560,E560))=0,"",IF('1.Description'!$AA$9="english",C560,IF('1.Description'!$AA$9="français",D560,E560)))</f>
        <v>Type of soil</v>
      </c>
      <c r="C560" s="1064" t="s">
        <v>2262</v>
      </c>
      <c r="D560" s="1064" t="s">
        <v>4073</v>
      </c>
      <c r="E560" s="1064" t="s">
        <v>4657</v>
      </c>
    </row>
    <row r="561" spans="1:10" x14ac:dyDescent="0.2">
      <c r="A561" s="1064" t="s">
        <v>3530</v>
      </c>
      <c r="B561" s="2262" t="str">
        <f>IF(IF('1.Description'!$AA$9="english",C561,IF('1.Description'!$AA$9="français",D561,E561))=0,"",IF('1.Description'!$AA$9="english",C561,IF('1.Description'!$AA$9="français",D561,E561)))</f>
        <v>Soil (1 m depth)</v>
      </c>
      <c r="C561" s="1064" t="s">
        <v>2263</v>
      </c>
      <c r="D561" s="1064" t="s">
        <v>4074</v>
      </c>
      <c r="E561" s="1064" t="s">
        <v>4658</v>
      </c>
    </row>
    <row r="562" spans="1:10" x14ac:dyDescent="0.2">
      <c r="A562" s="1064" t="s">
        <v>3530</v>
      </c>
      <c r="B562" s="2262" t="str">
        <f>IF(IF('1.Description'!$AA$9="english",C562,IF('1.Description'!$AA$9="français",D562,E562))=0,"",IF('1.Description'!$AA$9="english",C562,IF('1.Description'!$AA$9="français",D562,E562)))</f>
        <v>Tier</v>
      </c>
      <c r="C562" s="1064" t="s">
        <v>2265</v>
      </c>
      <c r="D562" s="1064" t="s">
        <v>2265</v>
      </c>
      <c r="E562" s="1064" t="s">
        <v>2265</v>
      </c>
    </row>
    <row r="563" spans="1:10" x14ac:dyDescent="0.2">
      <c r="A563" s="1064" t="s">
        <v>3530</v>
      </c>
      <c r="B563" s="2262" t="str">
        <f>IF(IF('1.Description'!$AA$9="english",C563,IF('1.Description'!$AA$9="français",D563,E563))=0,"",IF('1.Description'!$AA$9="english",C563,IF('1.Description'!$AA$9="français",D563,E563)))</f>
        <v>% C lost after excavation</v>
      </c>
      <c r="C563" s="1064" t="s">
        <v>3655</v>
      </c>
      <c r="D563" s="1064" t="s">
        <v>4075</v>
      </c>
      <c r="E563" s="1064" t="s">
        <v>4659</v>
      </c>
    </row>
    <row r="564" spans="1:10" x14ac:dyDescent="0.2">
      <c r="A564" s="1064" t="s">
        <v>3530</v>
      </c>
      <c r="B564" s="2262" t="str">
        <f>IF(IF('1.Description'!$AA$9="english",C564,IF('1.Description'!$AA$9="français",D564,E564))=0,"",IF('1.Description'!$AA$9="english",C564,IF('1.Description'!$AA$9="français",D564,E564)))</f>
        <v>Total for coastal and marine fisheries (tCO2-e)</v>
      </c>
      <c r="C564" s="1064" t="s">
        <v>3656</v>
      </c>
      <c r="D564" s="1064" t="s">
        <v>4076</v>
      </c>
      <c r="E564" s="1064" t="s">
        <v>4660</v>
      </c>
    </row>
    <row r="565" spans="1:10" x14ac:dyDescent="0.2">
      <c r="A565" s="1064" t="s">
        <v>3530</v>
      </c>
      <c r="B565" s="2262" t="str">
        <f>IF(IF('1.Description'!$AA$9="english",C565,IF('1.Description'!$AA$9="français",D565,E565))=0,"",IF('1.Description'!$AA$9="english",C565,IF('1.Description'!$AA$9="français",D565,E565)))</f>
        <v>Total for coastal-based aquaculture (tCO2-e)</v>
      </c>
      <c r="C565" s="1064" t="s">
        <v>3657</v>
      </c>
      <c r="D565" s="1064" t="s">
        <v>4077</v>
      </c>
      <c r="E565" s="1064" t="s">
        <v>4661</v>
      </c>
    </row>
    <row r="566" spans="1:10" x14ac:dyDescent="0.2">
      <c r="B566" s="2262" t="str">
        <f>IF(IF('1.Description'!$AA$9="english",C566,IF('1.Description'!$AA$9="français",D566,E566))=0,"",IF('1.Description'!$AA$9="english",C566,IF('1.Description'!$AA$9="français",D566,E566)))</f>
        <v>7.1.3 Rewetting &amp; revegetation</v>
      </c>
      <c r="C566" s="1064" t="s">
        <v>2266</v>
      </c>
      <c r="D566" s="1064" t="s">
        <v>5172</v>
      </c>
      <c r="E566" s="1064" t="s">
        <v>5173</v>
      </c>
    </row>
    <row r="567" spans="1:10" x14ac:dyDescent="0.2">
      <c r="B567" s="2262" t="str">
        <f>IF(IF('1.Description'!$AA$9="english",C567,IF('1.Description'!$AA$9="français",D567,E567))=0,"",IF('1.Description'!$AA$9="english",C567,IF('1.Description'!$AA$9="français",D567,E567)))</f>
        <v>7.2 Coastal waterbodies (total area must remain constant)</v>
      </c>
      <c r="C567" s="1064" t="s">
        <v>2270</v>
      </c>
      <c r="D567" s="1064" t="s">
        <v>5175</v>
      </c>
      <c r="E567" s="1064" t="s">
        <v>5174</v>
      </c>
    </row>
    <row r="568" spans="1:10" x14ac:dyDescent="0.2">
      <c r="A568" s="1067" t="s">
        <v>4237</v>
      </c>
      <c r="B568" s="2262" t="str">
        <f>IF(IF('1.Description'!$AA$9="english",C568,IF('1.Description'!$AA$9="français",D568,E568))=0,"",IF('1.Description'!$AA$9="english",C568,IF('1.Description'!$AA$9="français",D568,E568)))</f>
        <v/>
      </c>
      <c r="C568" s="1067"/>
      <c r="D568" s="1067"/>
      <c r="E568" s="1064" t="s">
        <v>4849</v>
      </c>
      <c r="F568" s="1067"/>
      <c r="G568" s="1067"/>
      <c r="H568" s="1067"/>
      <c r="I568" s="1067"/>
      <c r="J568" s="1067"/>
    </row>
    <row r="569" spans="1:10" x14ac:dyDescent="0.2">
      <c r="B569" s="2262" t="str">
        <f>IF(IF('1.Description'!$AA$9="english",C569,IF('1.Description'!$AA$9="français",D569,E569))=0,"",IF('1.Description'!$AA$9="english",C569,IF('1.Description'!$AA$9="français",D569,E569)))</f>
        <v>8.1. Small-scale fisheries (marine and inland)</v>
      </c>
      <c r="C569" s="4440" t="s">
        <v>2348</v>
      </c>
      <c r="D569" s="4440" t="s">
        <v>4303</v>
      </c>
      <c r="E569" s="1064" t="s">
        <v>4850</v>
      </c>
    </row>
    <row r="570" spans="1:10" x14ac:dyDescent="0.2">
      <c r="B570" s="2262" t="str">
        <f>IF(IF('1.Description'!$AA$9="english",C570,IF('1.Description'!$AA$9="français",D570,E570))=0,"",IF('1.Description'!$AA$9="english",C570,IF('1.Description'!$AA$9="français",D570,E570)))</f>
        <v>8.2. Large-scale Fisheries (marine fisheries)</v>
      </c>
      <c r="C570" s="4440" t="s">
        <v>2373</v>
      </c>
      <c r="D570" s="4440" t="s">
        <v>4304</v>
      </c>
      <c r="E570" s="1064" t="s">
        <v>4851</v>
      </c>
    </row>
    <row r="571" spans="1:10" x14ac:dyDescent="0.2">
      <c r="B571" s="2262" t="str">
        <f>IF(IF('1.Description'!$AA$9="english",C571,IF('1.Description'!$AA$9="français",D571,E571))=0,"",IF('1.Description'!$AA$9="english",C571,IF('1.Description'!$AA$9="français",D571,E571)))</f>
        <v>8.3. Inland and coastal aquaculture</v>
      </c>
      <c r="C571" s="4440" t="s">
        <v>2375</v>
      </c>
      <c r="D571" s="4440" t="s">
        <v>4305</v>
      </c>
      <c r="E571" s="1064" t="s">
        <v>4852</v>
      </c>
    </row>
    <row r="572" spans="1:10" x14ac:dyDescent="0.2">
      <c r="B572" s="2262" t="str">
        <f>IF(IF('1.Description'!$AA$9="english",C572,IF('1.Description'!$AA$9="français",D572,E572))=0,"",IF('1.Description'!$AA$9="english",C572,IF('1.Description'!$AA$9="français",D572,E572)))</f>
        <v>Inputs &amp; Investments module can be used to complement this section</v>
      </c>
      <c r="C572" s="4440" t="s">
        <v>2349</v>
      </c>
      <c r="D572" s="4440" t="s">
        <v>4306</v>
      </c>
      <c r="E572" s="1064" t="s">
        <v>4853</v>
      </c>
    </row>
    <row r="573" spans="1:10" x14ac:dyDescent="0.2">
      <c r="B573" s="2262" t="str">
        <f>IF(IF('1.Description'!$AA$9="english",C573,IF('1.Description'!$AA$9="français",D573,E573))=0,"",IF('1.Description'!$AA$9="english",C573,IF('1.Description'!$AA$9="français",D573,E573)))</f>
        <v>Fishing operations (based on fuel use intensity, FUI, values)</v>
      </c>
      <c r="C573" s="4440" t="s">
        <v>2352</v>
      </c>
      <c r="D573" s="4440" t="s">
        <v>4307</v>
      </c>
      <c r="E573" s="1064" t="s">
        <v>4854</v>
      </c>
    </row>
    <row r="574" spans="1:10" x14ac:dyDescent="0.2">
      <c r="B574" s="2262" t="str">
        <f>IF(IF('1.Description'!$AA$9="english",C574,IF('1.Description'!$AA$9="français",D574,E574))=0,"",IF('1.Description'!$AA$9="english",C574,IF('1.Description'!$AA$9="français",D574,E574)))</f>
        <v>Type of fishery</v>
      </c>
      <c r="C574" s="4440" t="s">
        <v>2357</v>
      </c>
      <c r="D574" s="4440" t="s">
        <v>4308</v>
      </c>
      <c r="E574" s="1064" t="s">
        <v>4855</v>
      </c>
    </row>
    <row r="575" spans="1:10" x14ac:dyDescent="0.2">
      <c r="B575" s="2262" t="str">
        <f>IF(IF('1.Description'!$AA$9="english",C575,IF('1.Description'!$AA$9="français",D575,E575))=0,"",IF('1.Description'!$AA$9="english",C575,IF('1.Description'!$AA$9="français",D575,E575)))</f>
        <v>Gear Category</v>
      </c>
      <c r="C575" s="4440" t="s">
        <v>1682</v>
      </c>
      <c r="D575" s="4440" t="s">
        <v>4309</v>
      </c>
      <c r="E575" s="1064" t="s">
        <v>4856</v>
      </c>
    </row>
    <row r="576" spans="1:10" x14ac:dyDescent="0.2">
      <c r="B576" s="2262" t="str">
        <f>IF(IF('1.Description'!$AA$9="english",C576,IF('1.Description'!$AA$9="français",D576,E576))=0,"",IF('1.Description'!$AA$9="english",C576,IF('1.Description'!$AA$9="français",D576,E576)))</f>
        <v>% with refrigerant systems</v>
      </c>
      <c r="C576" s="4440" t="s">
        <v>2354</v>
      </c>
      <c r="D576" s="4440" t="s">
        <v>4310</v>
      </c>
      <c r="E576" s="1064" t="s">
        <v>4857</v>
      </c>
    </row>
    <row r="577" spans="2:5" x14ac:dyDescent="0.2">
      <c r="B577" s="2262" t="str">
        <f>IF(IF('1.Description'!$AA$9="english",C577,IF('1.Description'!$AA$9="français",D577,E577))=0,"",IF('1.Description'!$AA$9="english",C577,IF('1.Description'!$AA$9="français",D577,E577)))</f>
        <v>Changes in FUI management (litre/tonne)</v>
      </c>
      <c r="C577" s="4440" t="s">
        <v>2355</v>
      </c>
      <c r="D577" s="4440" t="s">
        <v>4311</v>
      </c>
      <c r="E577" s="1064" t="s">
        <v>4858</v>
      </c>
    </row>
    <row r="578" spans="2:5" x14ac:dyDescent="0.2">
      <c r="B578" s="2262" t="str">
        <f>IF(IF('1.Description'!$AA$9="english",C578,IF('1.Description'!$AA$9="français",D578,E578))=0,"",IF('1.Description'!$AA$9="english",C578,IF('1.Description'!$AA$9="français",D578,E578)))</f>
        <v>Total catch per year (tonne/year)</v>
      </c>
      <c r="C578" s="4440" t="s">
        <v>2356</v>
      </c>
      <c r="D578" s="4440" t="s">
        <v>4312</v>
      </c>
      <c r="E578" s="1064" t="s">
        <v>4859</v>
      </c>
    </row>
    <row r="579" spans="2:5" x14ac:dyDescent="0.2">
      <c r="B579" s="2262" t="str">
        <f>IF(IF('1.Description'!$AA$9="english",C579,IF('1.Description'!$AA$9="français",D579,E579))=0,"",IF('1.Description'!$AA$9="english",C579,IF('1.Description'!$AA$9="français",D579,E579)))</f>
        <v xml:space="preserve">FUI is the amount of fuel needed to land </v>
      </c>
      <c r="C579" s="4440" t="s">
        <v>2361</v>
      </c>
      <c r="D579" s="4440" t="s">
        <v>4313</v>
      </c>
      <c r="E579" s="1064" t="s">
        <v>4860</v>
      </c>
    </row>
    <row r="580" spans="2:5" x14ac:dyDescent="0.2">
      <c r="B580" s="2262" t="str">
        <f>IF(IF('1.Description'!$AA$9="english",C580,IF('1.Description'!$AA$9="français",D580,E580))=0,"",IF('1.Description'!$AA$9="english",C580,IF('1.Description'!$AA$9="français",D580,E580)))</f>
        <v>1 tonne of catch</v>
      </c>
      <c r="C580" s="4440" t="s">
        <v>2362</v>
      </c>
      <c r="D580" s="4440" t="s">
        <v>4314</v>
      </c>
      <c r="E580" s="1064" t="s">
        <v>4861</v>
      </c>
    </row>
    <row r="581" spans="2:5" x14ac:dyDescent="0.2">
      <c r="B581" s="2262" t="str">
        <f>IF(IF('1.Description'!$AA$9="english",C581,IF('1.Description'!$AA$9="français",D581,E581))=0,"",IF('1.Description'!$AA$9="english",C581,IF('1.Description'!$AA$9="français",D581,E581)))</f>
        <v>On-board leakage from refrigeration systems</v>
      </c>
      <c r="C581" s="4440" t="s">
        <v>2351</v>
      </c>
      <c r="D581" s="4440" t="s">
        <v>4315</v>
      </c>
      <c r="E581" s="1064" t="s">
        <v>4862</v>
      </c>
    </row>
    <row r="582" spans="2:5" x14ac:dyDescent="0.2">
      <c r="B582" s="2262" t="str">
        <f>IF(IF('1.Description'!$AA$9="english",C582,IF('1.Description'!$AA$9="français",D582,E582))=0,"",IF('1.Description'!$AA$9="english",C582,IF('1.Description'!$AA$9="français",D582,E582)))</f>
        <v xml:space="preserve">Total catch with refrigerant systems </v>
      </c>
      <c r="C582" s="4440" t="s">
        <v>2364</v>
      </c>
      <c r="D582" s="4440" t="s">
        <v>4316</v>
      </c>
      <c r="E582" s="1064" t="s">
        <v>4863</v>
      </c>
    </row>
    <row r="583" spans="2:5" x14ac:dyDescent="0.2">
      <c r="B583" s="2262" t="str">
        <f>IF(IF('1.Description'!$AA$9="english",C583,IF('1.Description'!$AA$9="français",D583,E583))=0,"",IF('1.Description'!$AA$9="english",C583,IF('1.Description'!$AA$9="français",D583,E583)))</f>
        <v>Emissions from production of ice produced inshore</v>
      </c>
      <c r="C583" s="4440" t="s">
        <v>2367</v>
      </c>
      <c r="D583" s="4440" t="s">
        <v>4317</v>
      </c>
      <c r="E583" s="1064" t="s">
        <v>4864</v>
      </c>
    </row>
    <row r="584" spans="2:5" x14ac:dyDescent="0.2">
      <c r="B584" s="2262" t="str">
        <f>IF(IF('1.Description'!$AA$9="english",C584,IF('1.Description'!$AA$9="français",D584,E584))=0,"",IF('1.Description'!$AA$9="english",C584,IF('1.Description'!$AA$9="français",D584,E584)))</f>
        <v>% of Total catch preserved by ice produced inshore</v>
      </c>
      <c r="C584" s="4440" t="s">
        <v>2368</v>
      </c>
      <c r="D584" s="4440" t="s">
        <v>4318</v>
      </c>
      <c r="E584" s="1064" t="s">
        <v>4865</v>
      </c>
    </row>
    <row r="585" spans="2:5" x14ac:dyDescent="0.2">
      <c r="B585" s="2262" t="str">
        <f>IF(IF('1.Description'!$AA$9="english",C585,IF('1.Description'!$AA$9="français",D585,E585))=0,"",IF('1.Description'!$AA$9="english",C585,IF('1.Description'!$AA$9="français",D585,E585)))</f>
        <v>Total artisanal and coastal catch</v>
      </c>
      <c r="C585" s="4440" t="s">
        <v>2371</v>
      </c>
      <c r="D585" s="4440" t="s">
        <v>4319</v>
      </c>
      <c r="E585" s="1064" t="s">
        <v>4866</v>
      </c>
    </row>
    <row r="586" spans="2:5" x14ac:dyDescent="0.2">
      <c r="B586" s="2262" t="str">
        <f>IF(IF('1.Description'!$AA$9="english",C586,IF('1.Description'!$AA$9="français",D586,E586))=0,"",IF('1.Description'!$AA$9="english",C586,IF('1.Description'!$AA$9="français",D586,E586)))</f>
        <v>Total for small scale fisheries (tCO2-e)</v>
      </c>
      <c r="C586" s="4440" t="s">
        <v>4238</v>
      </c>
      <c r="D586" s="4440" t="s">
        <v>4324</v>
      </c>
      <c r="E586" s="1064" t="s">
        <v>4867</v>
      </c>
    </row>
    <row r="587" spans="2:5" x14ac:dyDescent="0.2">
      <c r="B587" s="2262" t="str">
        <f>IF(IF('1.Description'!$AA$9="english",C587,IF('1.Description'!$AA$9="français",D587,E587))=0,"",IF('1.Description'!$AA$9="english",C587,IF('1.Description'!$AA$9="français",D587,E587)))</f>
        <v>Refrigerant GWP</v>
      </c>
      <c r="C587" s="4440" t="s">
        <v>2358</v>
      </c>
      <c r="D587" s="4440" t="s">
        <v>4320</v>
      </c>
      <c r="E587" s="1064" t="s">
        <v>5171</v>
      </c>
    </row>
    <row r="588" spans="2:5" x14ac:dyDescent="0.2">
      <c r="B588" s="2262" t="str">
        <f>IF(IF('1.Description'!$AA$9="english",C588,IF('1.Description'!$AA$9="français",D588,E588))=0,"",IF('1.Description'!$AA$9="english",C588,IF('1.Description'!$AA$9="français",D588,E588)))</f>
        <v/>
      </c>
      <c r="C588" s="4440"/>
      <c r="D588" s="4440"/>
    </row>
    <row r="589" spans="2:5" x14ac:dyDescent="0.2">
      <c r="B589" s="2262" t="str">
        <f>IF(IF('1.Description'!$AA$9="english",C589,IF('1.Description'!$AA$9="français",D589,E589))=0,"",IF('1.Description'!$AA$9="english",C589,IF('1.Description'!$AA$9="français",D589,E589)))</f>
        <v>Fish category</v>
      </c>
      <c r="C589" s="4440" t="s">
        <v>2335</v>
      </c>
      <c r="D589" s="4440" t="s">
        <v>4321</v>
      </c>
      <c r="E589" s="1064" t="s">
        <v>4869</v>
      </c>
    </row>
    <row r="590" spans="2:5" x14ac:dyDescent="0.2">
      <c r="B590" s="2262" t="str">
        <f>IF(IF('1.Description'!$AA$9="english",C590,IF('1.Description'!$AA$9="français",D590,E590))=0,"",IF('1.Description'!$AA$9="english",C590,IF('1.Description'!$AA$9="français",D590,E590)))</f>
        <v>Total coastal catch</v>
      </c>
      <c r="C590" s="4440" t="s">
        <v>2374</v>
      </c>
      <c r="D590" s="4440" t="s">
        <v>4322</v>
      </c>
      <c r="E590" s="1064" t="s">
        <v>4870</v>
      </c>
    </row>
    <row r="591" spans="2:5" x14ac:dyDescent="0.2">
      <c r="B591" s="2262" t="str">
        <f>IF(IF('1.Description'!$AA$9="english",C591,IF('1.Description'!$AA$9="français",D591,E591))=0,"",IF('1.Description'!$AA$9="english",C591,IF('1.Description'!$AA$9="français",D591,E591)))</f>
        <v>Total for large scale fisheries (tCO2-e)</v>
      </c>
      <c r="C591" s="4440" t="s">
        <v>4239</v>
      </c>
      <c r="D591" s="4440" t="s">
        <v>4323</v>
      </c>
      <c r="E591" s="1064" t="s">
        <v>4871</v>
      </c>
    </row>
    <row r="592" spans="2:5" x14ac:dyDescent="0.2">
      <c r="B592" s="2262" t="str">
        <f>IF(IF('1.Description'!$AA$9="english",C592,IF('1.Description'!$AA$9="français",D592,E592))=0,"",IF('1.Description'!$AA$9="english",C592,IF('1.Description'!$AA$9="français",D592,E592)))</f>
        <v>Emissions from production and feed</v>
      </c>
      <c r="C592" s="4440" t="s">
        <v>2378</v>
      </c>
      <c r="D592" s="4440" t="s">
        <v>4325</v>
      </c>
      <c r="E592" s="1064" t="s">
        <v>4872</v>
      </c>
    </row>
    <row r="593" spans="2:5" x14ac:dyDescent="0.2">
      <c r="B593" s="2262" t="str">
        <f>IF(IF('1.Description'!$AA$9="english",C593,IF('1.Description'!$AA$9="français",D593,E593))=0,"",IF('1.Description'!$AA$9="english",C593,IF('1.Description'!$AA$9="français",D593,E593)))</f>
        <v>Annual quantity of feed (tonne/year)</v>
      </c>
      <c r="C593" s="4440" t="s">
        <v>2381</v>
      </c>
      <c r="D593" s="4440" t="s">
        <v>4326</v>
      </c>
      <c r="E593" s="1064" t="s">
        <v>4873</v>
      </c>
    </row>
    <row r="594" spans="2:5" x14ac:dyDescent="0.2">
      <c r="B594" s="2262" t="str">
        <f>IF(IF('1.Description'!$AA$9="english",C594,IF('1.Description'!$AA$9="français",D594,E594))=0,"",IF('1.Description'!$AA$9="english",C594,IF('1.Description'!$AA$9="français",D594,E594)))</f>
        <v>Annual production (tonne/year)</v>
      </c>
      <c r="C594" s="4440" t="s">
        <v>2382</v>
      </c>
      <c r="D594" s="4440" t="s">
        <v>4327</v>
      </c>
      <c r="E594" s="1064" t="s">
        <v>4874</v>
      </c>
    </row>
    <row r="595" spans="2:5" x14ac:dyDescent="0.2">
      <c r="B595" s="2262" t="str">
        <f>IF(IF('1.Description'!$AA$9="english",C595,IF('1.Description'!$AA$9="français",D595,E595))=0,"",IF('1.Description'!$AA$9="english",C595,IF('1.Description'!$AA$9="français",D595,E595)))</f>
        <v>Emission factor (tCO2-e/m3)</v>
      </c>
      <c r="C595" s="4440" t="s">
        <v>2350</v>
      </c>
      <c r="D595" s="4440" t="s">
        <v>4328</v>
      </c>
      <c r="E595" s="1064" t="s">
        <v>4875</v>
      </c>
    </row>
    <row r="596" spans="2:5" x14ac:dyDescent="0.2">
      <c r="B596" s="2262" t="str">
        <f>IF(IF('1.Description'!$AA$9="english",C596,IF('1.Description'!$AA$9="français",D596,E596))=0,"",IF('1.Description'!$AA$9="english",C596,IF('1.Description'!$AA$9="français",D596,E596)))</f>
        <v>Emission factor (tCO2eq/t catch)</v>
      </c>
      <c r="C596" s="4440" t="s">
        <v>2315</v>
      </c>
      <c r="D596" s="4440" t="s">
        <v>4329</v>
      </c>
      <c r="E596" s="1064" t="s">
        <v>4876</v>
      </c>
    </row>
    <row r="597" spans="2:5" x14ac:dyDescent="0.2">
      <c r="B597" s="2262" t="str">
        <f>IF(IF('1.Description'!$AA$9="english",C597,IF('1.Description'!$AA$9="français",D597,E597))=0,"",IF('1.Description'!$AA$9="english",C597,IF('1.Description'!$AA$9="français",D597,E597)))</f>
        <v>On-board leakage from refrigeration systems</v>
      </c>
      <c r="C597" s="4440" t="s">
        <v>2351</v>
      </c>
      <c r="D597" s="4440" t="s">
        <v>4330</v>
      </c>
      <c r="E597" s="1064" t="s">
        <v>4862</v>
      </c>
    </row>
    <row r="598" spans="2:5" ht="13.25" customHeight="1" x14ac:dyDescent="0.2">
      <c r="B598" s="2262" t="str">
        <f>IF(IF('1.Description'!$AA$9="english",C598,IF('1.Description'!$AA$9="français",D598,E598))=0,"",IF('1.Description'!$AA$9="english",C598,IF('1.Description'!$AA$9="français",D598,E598)))</f>
        <v>Refrigerant lost per tonne of landed catch</v>
      </c>
      <c r="C598" s="4440" t="s">
        <v>2353</v>
      </c>
      <c r="D598" s="4440" t="s">
        <v>4331</v>
      </c>
      <c r="E598" s="1064" t="s">
        <v>4877</v>
      </c>
    </row>
    <row r="599" spans="2:5" ht="13.25" customHeight="1" x14ac:dyDescent="0.2">
      <c r="B599" s="2262" t="str">
        <f>IF(IF('1.Description'!$AA$9="english",C599,IF('1.Description'!$AA$9="français",D599,E599))=0,"",IF('1.Description'!$AA$9="english",C599,IF('1.Description'!$AA$9="français",D599,E599)))</f>
        <v>Quantity lost (kg refrigerant)</v>
      </c>
      <c r="C599" s="4440" t="s">
        <v>2323</v>
      </c>
      <c r="D599" s="4440" t="s">
        <v>4332</v>
      </c>
      <c r="E599" s="1064" t="s">
        <v>4878</v>
      </c>
    </row>
    <row r="600" spans="2:5" x14ac:dyDescent="0.2">
      <c r="B600" s="2262" t="str">
        <f>IF(IF('1.Description'!$AA$9="english",C600,IF('1.Description'!$AA$9="français",D600,E600))=0,"",IF('1.Description'!$AA$9="english",C600,IF('1.Description'!$AA$9="français",D600,E600)))</f>
        <v>GWP of refrigerant</v>
      </c>
      <c r="C600" s="4440" t="s">
        <v>2359</v>
      </c>
      <c r="D600" s="4440" t="s">
        <v>4333</v>
      </c>
      <c r="E600" s="1064" t="s">
        <v>4868</v>
      </c>
    </row>
    <row r="601" spans="2:5" x14ac:dyDescent="0.2">
      <c r="B601" s="2262" t="str">
        <f>IF(IF('1.Description'!$AA$9="english",C601,IF('1.Description'!$AA$9="français",D601,E601))=0,"",IF('1.Description'!$AA$9="english",C601,IF('1.Description'!$AA$9="français",D601,E601)))</f>
        <v>Emission factor</v>
      </c>
      <c r="C601" s="4440" t="s">
        <v>2328</v>
      </c>
      <c r="D601" s="4440" t="s">
        <v>4334</v>
      </c>
      <c r="E601" s="1064" t="s">
        <v>4415</v>
      </c>
    </row>
    <row r="602" spans="2:5" x14ac:dyDescent="0.2">
      <c r="B602" s="2262" t="str">
        <f>IF(IF('1.Description'!$AA$9="english",C602,IF('1.Description'!$AA$9="français",D602,E602))=0,"",IF('1.Description'!$AA$9="english",C602,IF('1.Description'!$AA$9="français",D602,E602)))</f>
        <v>tCO2-e/t catch</v>
      </c>
      <c r="C602" s="4440" t="s">
        <v>2360</v>
      </c>
      <c r="D602" s="4440" t="s">
        <v>4335</v>
      </c>
      <c r="E602" s="1064" t="s">
        <v>4879</v>
      </c>
    </row>
    <row r="603" spans="2:5" x14ac:dyDescent="0.2">
      <c r="B603" s="2262" t="str">
        <f>IF(IF('1.Description'!$AA$9="english",C603,IF('1.Description'!$AA$9="français",D603,E603))=0,"",IF('1.Description'!$AA$9="english",C603,IF('1.Description'!$AA$9="français",D603,E603)))</f>
        <v>Quantity (kWh/t ice)</v>
      </c>
      <c r="C603" s="4440" t="s">
        <v>2366</v>
      </c>
      <c r="D603" s="4440" t="s">
        <v>4336</v>
      </c>
      <c r="E603" s="1064" t="s">
        <v>4880</v>
      </c>
    </row>
    <row r="604" spans="2:5" x14ac:dyDescent="0.2">
      <c r="B604" s="2262" t="str">
        <f>IF(IF('1.Description'!$AA$9="english",C604,IF('1.Description'!$AA$9="français",D604,E604))=0,"",IF('1.Description'!$AA$9="english",C604,IF('1.Description'!$AA$9="français",D604,E604)))</f>
        <v>Total fuel consumption (m3/year)</v>
      </c>
      <c r="C604" s="4440" t="s">
        <v>2363</v>
      </c>
      <c r="D604" s="4440" t="s">
        <v>4337</v>
      </c>
      <c r="E604" s="1064" t="s">
        <v>4881</v>
      </c>
    </row>
    <row r="605" spans="2:5" x14ac:dyDescent="0.2">
      <c r="B605" s="2262" t="str">
        <f>IF(IF('1.Description'!$AA$9="english",C605,IF('1.Description'!$AA$9="français",D605,E605))=0,"",IF('1.Description'!$AA$9="english",C605,IF('1.Description'!$AA$9="français",D605,E605)))</f>
        <v>Quantity (tonne)</v>
      </c>
      <c r="C605" s="4440" t="s">
        <v>2365</v>
      </c>
      <c r="D605" s="4440" t="s">
        <v>4338</v>
      </c>
      <c r="E605" s="1064" t="s">
        <v>4882</v>
      </c>
    </row>
    <row r="606" spans="2:5" x14ac:dyDescent="0.2">
      <c r="B606" s="2262" t="str">
        <f>IF(IF('1.Description'!$AA$9="english",C606,IF('1.Description'!$AA$9="français",D606,E606))=0,"",IF('1.Description'!$AA$9="english",C606,IF('1.Description'!$AA$9="français",D606,E606)))</f>
        <v>Quantity of ice (tonne) per tonne of catch</v>
      </c>
      <c r="C606" s="4440" t="s">
        <v>2369</v>
      </c>
      <c r="D606" s="4440" t="s">
        <v>4339</v>
      </c>
      <c r="E606" s="1064" t="s">
        <v>4883</v>
      </c>
    </row>
    <row r="607" spans="2:5" x14ac:dyDescent="0.2">
      <c r="B607" s="2262" t="str">
        <f>IF(IF('1.Description'!$AA$9="english",C607,IF('1.Description'!$AA$9="français",D607,E607))=0,"",IF('1.Description'!$AA$9="english",C607,IF('1.Description'!$AA$9="français",D607,E607)))</f>
        <v xml:space="preserve">Electricity (kWh) used per tonne of ice </v>
      </c>
      <c r="C607" s="4440" t="s">
        <v>2370</v>
      </c>
      <c r="D607" s="4440" t="s">
        <v>4340</v>
      </c>
      <c r="E607" s="1064" t="s">
        <v>4884</v>
      </c>
    </row>
    <row r="608" spans="2:5" x14ac:dyDescent="0.2">
      <c r="B608" s="2262" t="str">
        <f>IF(IF('1.Description'!$AA$9="english",C608,IF('1.Description'!$AA$9="français",D608,E608))=0,"",IF('1.Description'!$AA$9="english",C608,IF('1.Description'!$AA$9="français",D608,E608)))</f>
        <v>Country of origin of ice production</v>
      </c>
      <c r="C608" s="4440" t="s">
        <v>2372</v>
      </c>
      <c r="D608" s="4440" t="s">
        <v>4341</v>
      </c>
      <c r="E608" s="1064" t="s">
        <v>4885</v>
      </c>
    </row>
    <row r="609" spans="1:9" s="4438" customFormat="1" x14ac:dyDescent="0.2">
      <c r="A609" s="4437"/>
      <c r="B609" s="2262" t="str">
        <f>IF(IF('1.Description'!$AA$9="english",C609,IF('1.Description'!$AA$9="français",D609,E609))=0,"",IF('1.Description'!$AA$9="english",C609,IF('1.Description'!$AA$9="français",D609,E609)))</f>
        <v>UNFCCC operating margin</v>
      </c>
      <c r="C609" s="4440" t="s">
        <v>3721</v>
      </c>
      <c r="D609" s="4440" t="s">
        <v>4342</v>
      </c>
      <c r="E609" s="1064" t="s">
        <v>4886</v>
      </c>
      <c r="F609" s="4437"/>
      <c r="G609" s="4437"/>
      <c r="H609" s="4437"/>
      <c r="I609" s="4437"/>
    </row>
    <row r="610" spans="1:9" x14ac:dyDescent="0.2">
      <c r="B610" s="2262" t="str">
        <f>IF(IF('1.Description'!$AA$9="english",C610,IF('1.Description'!$AA$9="français",D610,E610))=0,"",IF('1.Description'!$AA$9="english",C610,IF('1.Description'!$AA$9="français",D610,E610)))</f>
        <v>Gasoil/Diesel</v>
      </c>
      <c r="C610" s="4440" t="s">
        <v>2319</v>
      </c>
      <c r="D610" s="4440" t="s">
        <v>2319</v>
      </c>
      <c r="E610" s="1064" t="s">
        <v>4887</v>
      </c>
    </row>
    <row r="611" spans="1:9" x14ac:dyDescent="0.2">
      <c r="B611" s="2262" t="str">
        <f>IF(IF('1.Description'!$AA$9="english",C611,IF('1.Description'!$AA$9="français",D611,E611))=0,"",IF('1.Description'!$AA$9="english",C611,IF('1.Description'!$AA$9="français",D611,E611)))</f>
        <v>Emissions from feed use</v>
      </c>
      <c r="C611" s="4440" t="s">
        <v>2376</v>
      </c>
      <c r="D611" s="4440" t="s">
        <v>4343</v>
      </c>
      <c r="E611" s="1064" t="s">
        <v>4888</v>
      </c>
    </row>
    <row r="612" spans="1:9" x14ac:dyDescent="0.2">
      <c r="B612" s="2262" t="str">
        <f>IF(IF('1.Description'!$AA$9="english",C612,IF('1.Description'!$AA$9="français",D612,E612))=0,"",IF('1.Description'!$AA$9="english",C612,IF('1.Description'!$AA$9="français",D612,E612)))</f>
        <v>(tCO2-e/t feed)</v>
      </c>
      <c r="C612" s="4440" t="s">
        <v>2379</v>
      </c>
      <c r="D612" s="4440" t="s">
        <v>4344</v>
      </c>
      <c r="E612" s="1064" t="s">
        <v>4889</v>
      </c>
    </row>
    <row r="613" spans="1:9" x14ac:dyDescent="0.2">
      <c r="B613" s="2262" t="str">
        <f>IF(IF('1.Description'!$AA$9="english",C613,IF('1.Description'!$AA$9="français",D613,E613))=0,"",IF('1.Description'!$AA$9="english",C613,IF('1.Description'!$AA$9="français",D613,E613)))</f>
        <v>N2O EF from fish production</v>
      </c>
      <c r="C613" s="4440" t="s">
        <v>2377</v>
      </c>
      <c r="D613" s="4440" t="s">
        <v>4345</v>
      </c>
      <c r="E613" s="1064" t="s">
        <v>4890</v>
      </c>
    </row>
    <row r="614" spans="1:9" x14ac:dyDescent="0.2">
      <c r="B614" s="2262" t="str">
        <f>IF(IF('1.Description'!$AA$9="english",C614,IF('1.Description'!$AA$9="français",D614,E614))=0,"",IF('1.Description'!$AA$9="english",C614,IF('1.Description'!$AA$9="français",D614,E614)))</f>
        <v>(t N2O-N/t production)</v>
      </c>
      <c r="C614" s="4440" t="s">
        <v>2380</v>
      </c>
      <c r="D614" s="4440" t="s">
        <v>2380</v>
      </c>
      <c r="E614" s="1064" t="s">
        <v>4891</v>
      </c>
    </row>
    <row r="615" spans="1:9" x14ac:dyDescent="0.2">
      <c r="A615" s="4439" t="s">
        <v>3658</v>
      </c>
      <c r="B615" s="2262" t="str">
        <f>IF(IF('1.Description'!$AA$9="english",C615,IF('1.Description'!$AA$9="français",D615,E615))=0,"",IF('1.Description'!$AA$9="english",C615,IF('1.Description'!$AA$9="français",D615,E615)))</f>
        <v>Total forest degradation and management (tCO2-e)</v>
      </c>
      <c r="C615" s="4439" t="s">
        <v>3566</v>
      </c>
      <c r="D615" s="4439" t="s">
        <v>3991</v>
      </c>
      <c r="E615" s="1064" t="s">
        <v>4566</v>
      </c>
    </row>
    <row r="616" spans="1:9" x14ac:dyDescent="0.2">
      <c r="A616" s="1064" t="s">
        <v>3658</v>
      </c>
      <c r="B616" s="2262" t="str">
        <f>IF(IF('1.Description'!$AA$9="english",C616,IF('1.Description'!$AA$9="français",D616,E616))=0,"",IF('1.Description'!$AA$9="english",C616,IF('1.Description'!$AA$9="français",D616,E616)))</f>
        <v>Carbon pools of non-degraded forest (all values are in tC/ha)</v>
      </c>
      <c r="C616" s="1064" t="s">
        <v>1070</v>
      </c>
      <c r="D616" s="1064" t="s">
        <v>4078</v>
      </c>
      <c r="E616" s="1064" t="s">
        <v>4662</v>
      </c>
    </row>
    <row r="617" spans="1:9" x14ac:dyDescent="0.2">
      <c r="A617" s="1064" t="s">
        <v>3658</v>
      </c>
      <c r="B617" s="2262" t="str">
        <f>IF(IF('1.Description'!$AA$9="english",C617,IF('1.Description'!$AA$9="français",D617,E617))=0,"",IF('1.Description'!$AA$9="english",C617,IF('1.Description'!$AA$9="français",D617,E617)))</f>
        <v>Soil management and degradation</v>
      </c>
      <c r="C617" s="1064" t="s">
        <v>968</v>
      </c>
      <c r="D617" s="1064" t="s">
        <v>3957</v>
      </c>
      <c r="E617" s="1064" t="s">
        <v>4525</v>
      </c>
    </row>
    <row r="618" spans="1:9" x14ac:dyDescent="0.2">
      <c r="B618" s="2262" t="str">
        <f>IF(IF('1.Description'!$AA$9="english",C618,IF('1.Description'!$AA$9="français",D618,E618))=0,"",IF('1.Description'!$AA$9="english",C618,IF('1.Description'!$AA$9="français",D618,E618)))</f>
        <v/>
      </c>
    </row>
    <row r="619" spans="1:9" x14ac:dyDescent="0.2">
      <c r="A619" s="1064" t="s">
        <v>3659</v>
      </c>
      <c r="B619" s="2262" t="str">
        <f>IF(IF('1.Description'!$AA$9="english",C619,IF('1.Description'!$AA$9="français",D619,E619))=0,"",IF('1.Description'!$AA$9="english",C619,IF('1.Description'!$AA$9="français",D619,E619)))</f>
        <v>Climate and moisture regime to be specified in the "Description" module</v>
      </c>
      <c r="C619" s="1064" t="s">
        <v>3660</v>
      </c>
      <c r="D619" s="1064" t="s">
        <v>4079</v>
      </c>
      <c r="E619" s="1064" t="s">
        <v>4663</v>
      </c>
    </row>
    <row r="620" spans="1:9" x14ac:dyDescent="0.2">
      <c r="A620" s="1064" t="s">
        <v>3659</v>
      </c>
      <c r="B620" s="2262" t="str">
        <f>IF(IF('1.Description'!$AA$9="english",C620,IF('1.Description'!$AA$9="français",D620,E620))=0,"",IF('1.Description'!$AA$9="english",C620,IF('1.Description'!$AA$9="français",D620,E620)))</f>
        <v>Climate</v>
      </c>
      <c r="C620" s="1064" t="s">
        <v>1623</v>
      </c>
      <c r="D620" s="1064" t="s">
        <v>4080</v>
      </c>
      <c r="E620" s="1064" t="s">
        <v>4664</v>
      </c>
    </row>
    <row r="621" spans="1:9" x14ac:dyDescent="0.2">
      <c r="A621" s="1064" t="s">
        <v>3659</v>
      </c>
      <c r="B621" s="2262" t="str">
        <f>IF(IF('1.Description'!$AA$9="english",C621,IF('1.Description'!$AA$9="français",D621,E621))=0,"",IF('1.Description'!$AA$9="english",C621,IF('1.Description'!$AA$9="français",D621,E621)))</f>
        <v>Elevation in m</v>
      </c>
      <c r="C621" s="1064" t="s">
        <v>3661</v>
      </c>
      <c r="D621" s="1064" t="s">
        <v>4081</v>
      </c>
      <c r="E621" s="1064" t="s">
        <v>4665</v>
      </c>
    </row>
    <row r="622" spans="1:9" x14ac:dyDescent="0.2">
      <c r="A622" s="1064" t="s">
        <v>3659</v>
      </c>
      <c r="B622" s="2262" t="str">
        <f>IF(IF('1.Description'!$AA$9="english",C622,IF('1.Description'!$AA$9="français",D622,E622))=0,"",IF('1.Description'!$AA$9="english",C622,IF('1.Description'!$AA$9="français",D622,E622)))</f>
        <v>MAP and PET in mm</v>
      </c>
      <c r="C622" s="1064" t="s">
        <v>3662</v>
      </c>
      <c r="D622" s="1064" t="s">
        <v>4216</v>
      </c>
      <c r="E622" s="1064" t="s">
        <v>4666</v>
      </c>
    </row>
    <row r="623" spans="1:9" x14ac:dyDescent="0.2">
      <c r="A623" s="1064" t="s">
        <v>3659</v>
      </c>
      <c r="B623" s="2262" t="str">
        <f>IF(IF('1.Description'!$AA$9="english",C623,IF('1.Description'!$AA$9="français",D623,E623))=0,"",IF('1.Description'!$AA$9="english",C623,IF('1.Description'!$AA$9="français",D623,E623)))</f>
        <v>Climate &amp; Moisture regime</v>
      </c>
      <c r="C623" s="1064" t="s">
        <v>3663</v>
      </c>
      <c r="D623" s="1064" t="s">
        <v>4082</v>
      </c>
      <c r="E623" s="1064" t="s">
        <v>4663</v>
      </c>
    </row>
    <row r="624" spans="1:9" x14ac:dyDescent="0.2">
      <c r="A624" s="1064" t="s">
        <v>3659</v>
      </c>
      <c r="B624" s="2262" t="str">
        <f>IF(IF('1.Description'!$AA$9="english",C624,IF('1.Description'!$AA$9="français",D624,E624))=0,"",IF('1.Description'!$AA$9="english",C624,IF('1.Description'!$AA$9="français",D624,E624)))</f>
        <v>Mean Annual Temperature in C</v>
      </c>
      <c r="C624" s="1064" t="s">
        <v>3664</v>
      </c>
      <c r="D624" s="1064" t="s">
        <v>4083</v>
      </c>
      <c r="E624" s="1064" t="s">
        <v>4667</v>
      </c>
    </row>
    <row r="625" spans="1:5" x14ac:dyDescent="0.2">
      <c r="A625" s="1064" t="s">
        <v>3659</v>
      </c>
      <c r="B625" s="2262" t="str">
        <f>IF(IF('1.Description'!$AA$9="english",C625,IF('1.Description'!$AA$9="français",D625,E625))=0,"",IF('1.Description'!$AA$9="english",C625,IF('1.Description'!$AA$9="français",D625,E625)))</f>
        <v>Mean Annual Precipitation in mm</v>
      </c>
      <c r="C625" s="1064" t="s">
        <v>3665</v>
      </c>
      <c r="D625" s="1064" t="s">
        <v>4084</v>
      </c>
      <c r="E625" s="1064" t="s">
        <v>4668</v>
      </c>
    </row>
    <row r="626" spans="1:5" x14ac:dyDescent="0.2">
      <c r="A626" s="1064" t="s">
        <v>3659</v>
      </c>
      <c r="B626" s="2262" t="str">
        <f>IF(IF('1.Description'!$AA$9="english",C626,IF('1.Description'!$AA$9="français",D626,E626))=0,"",IF('1.Description'!$AA$9="english",C626,IF('1.Description'!$AA$9="français",D626,E626)))</f>
        <v>Potential Evapotranspiration in mm</v>
      </c>
      <c r="C626" s="1064" t="s">
        <v>3666</v>
      </c>
      <c r="D626" s="1064" t="s">
        <v>4085</v>
      </c>
      <c r="E626" s="1064" t="s">
        <v>4669</v>
      </c>
    </row>
    <row r="627" spans="1:5" x14ac:dyDescent="0.2">
      <c r="A627" s="1064" t="s">
        <v>3659</v>
      </c>
      <c r="B627" s="2262" t="str">
        <f>IF(IF('1.Description'!$AA$9="english",C627,IF('1.Description'!$AA$9="français",D627,E627))=0,"",IF('1.Description'!$AA$9="english",C627,IF('1.Description'!$AA$9="français",D627,E627)))</f>
        <v>Elevation above sea level</v>
      </c>
      <c r="C627" s="1064" t="s">
        <v>3667</v>
      </c>
      <c r="D627" s="1064" t="s">
        <v>4086</v>
      </c>
      <c r="E627" s="1064" t="s">
        <v>4670</v>
      </c>
    </row>
    <row r="628" spans="1:5" x14ac:dyDescent="0.2">
      <c r="A628" s="1064" t="s">
        <v>3668</v>
      </c>
      <c r="B628" s="2262" t="str">
        <f>IF(IF('1.Description'!$AA$9="english",C628,IF('1.Description'!$AA$9="français",D628,E628))=0,"",IF('1.Description'!$AA$9="english",C628,IF('1.Description'!$AA$9="français",D628,E628)))</f>
        <v>Whole period analysis</v>
      </c>
      <c r="C628" s="1064" t="s">
        <v>3669</v>
      </c>
      <c r="D628" s="1064" t="s">
        <v>4217</v>
      </c>
      <c r="E628" s="1064" t="s">
        <v>4671</v>
      </c>
    </row>
    <row r="629" spans="1:5" x14ac:dyDescent="0.2">
      <c r="B629" s="2262" t="str">
        <f>IF(IF('1.Description'!$AA$9="english",C629,IF('1.Description'!$AA$9="français",D629,E629))=0,"",IF('1.Description'!$AA$9="english",C629,IF('1.Description'!$AA$9="français",D629,E629)))</f>
        <v>Summary GHG analysis</v>
      </c>
      <c r="C629" s="1064" t="s">
        <v>3064</v>
      </c>
      <c r="D629" s="1064" t="s">
        <v>4218</v>
      </c>
      <c r="E629" s="1064" t="s">
        <v>4892</v>
      </c>
    </row>
    <row r="630" spans="1:5" x14ac:dyDescent="0.2">
      <c r="B630" s="2262" t="str">
        <f>IF(IF('1.Description'!$AA$9="english",C630,IF('1.Description'!$AA$9="français",D630,E630))=0,"",IF('1.Description'!$AA$9="english",C630,IF('1.Description'!$AA$9="français",D630,E630)))</f>
        <v>Net fluxes, in tCO2-e</v>
      </c>
      <c r="C630" s="1064" t="s">
        <v>3793</v>
      </c>
      <c r="D630" s="1064" t="s">
        <v>4087</v>
      </c>
      <c r="E630" s="1064" t="s">
        <v>4893</v>
      </c>
    </row>
    <row r="631" spans="1:5" x14ac:dyDescent="0.2">
      <c r="B631" s="2262" t="str">
        <f>IF(IF('1.Description'!$AA$9="english",C631,IF('1.Description'!$AA$9="français",D631,E631))=0,"",IF('1.Description'!$AA$9="english",C631,IF('1.Description'!$AA$9="français",D631,E631)))</f>
        <v>DETAILED RESULTS</v>
      </c>
      <c r="C631" s="1064" t="s">
        <v>3124</v>
      </c>
      <c r="D631" s="1064" t="s">
        <v>4088</v>
      </c>
      <c r="E631" s="1064" t="s">
        <v>4894</v>
      </c>
    </row>
    <row r="632" spans="1:5" x14ac:dyDescent="0.2">
      <c r="B632" s="2262" t="str">
        <f>IF(IF('1.Description'!$AA$9="english",C632,IF('1.Description'!$AA$9="français",D632,E632))=0,"",IF('1.Description'!$AA$9="english",C632,IF('1.Description'!$AA$9="français",D632,E632)))</f>
        <v>GROSS FLUXES</v>
      </c>
      <c r="C632" s="1064" t="s">
        <v>3015</v>
      </c>
      <c r="D632" s="1064" t="s">
        <v>4089</v>
      </c>
      <c r="E632" s="1064" t="s">
        <v>4895</v>
      </c>
    </row>
    <row r="633" spans="1:5" x14ac:dyDescent="0.2">
      <c r="B633" s="2262" t="str">
        <f>IF(IF('1.Description'!$AA$9="english",C633,IF('1.Description'!$AA$9="français",D633,E633))=0,"",IF('1.Description'!$AA$9="english",C633,IF('1.Description'!$AA$9="français",D633,E633)))</f>
        <v>In tCO2-e over the whole period analysis</v>
      </c>
      <c r="C633" s="1064" t="s">
        <v>3032</v>
      </c>
      <c r="D633" s="1064" t="s">
        <v>4090</v>
      </c>
      <c r="E633" s="1064" t="s">
        <v>4896</v>
      </c>
    </row>
    <row r="634" spans="1:5" x14ac:dyDescent="0.2">
      <c r="B634" s="2262" t="str">
        <f>IF(IF('1.Description'!$AA$9="english",C634,IF('1.Description'!$AA$9="français",D634,E634))=0,"",IF('1.Description'!$AA$9="english",C634,IF('1.Description'!$AA$9="français",D634,E634)))</f>
        <v>In tCO2-e/yr</v>
      </c>
      <c r="C634" s="1064" t="s">
        <v>3033</v>
      </c>
      <c r="D634" s="1064" t="s">
        <v>4091</v>
      </c>
      <c r="E634" s="1064" t="s">
        <v>4897</v>
      </c>
    </row>
    <row r="635" spans="1:5" x14ac:dyDescent="0.2">
      <c r="B635" s="2262" t="str">
        <f>IF(IF('1.Description'!$AA$9="english",C635,IF('1.Description'!$AA$9="français",D635,E635))=0,"",IF('1.Description'!$AA$9="english",C635,IF('1.Description'!$AA$9="français",D635,E635)))</f>
        <v>SHARE PER GHG OF THE BALANCE</v>
      </c>
      <c r="C635" s="1064" t="s">
        <v>3030</v>
      </c>
      <c r="D635" s="1064" t="s">
        <v>4219</v>
      </c>
      <c r="E635" s="1064" t="s">
        <v>4898</v>
      </c>
    </row>
    <row r="636" spans="1:5" x14ac:dyDescent="0.2">
      <c r="B636" s="2262" t="str">
        <f>IF(IF('1.Description'!$AA$9="english",C636,IF('1.Description'!$AA$9="français",D636,E636))=0,"",IF('1.Description'!$AA$9="english",C636,IF('1.Description'!$AA$9="français",D636,E636)))</f>
        <v>AVERAGE ANNUAL EMISSIONS</v>
      </c>
      <c r="C636" s="1064" t="s">
        <v>3031</v>
      </c>
      <c r="D636" s="1064" t="s">
        <v>4092</v>
      </c>
      <c r="E636" s="1064" t="s">
        <v>4899</v>
      </c>
    </row>
    <row r="637" spans="1:5" x14ac:dyDescent="0.2">
      <c r="B637" s="2262" t="str">
        <f>IF(IF('1.Description'!$AA$9="english",C637,IF('1.Description'!$AA$9="français",D637,E637))=0,"",IF('1.Description'!$AA$9="english",C637,IF('1.Description'!$AA$9="français",D637,E637)))</f>
        <v>Global warming potential</v>
      </c>
      <c r="C637" s="1064" t="s">
        <v>3125</v>
      </c>
      <c r="D637" s="1064" t="s">
        <v>4220</v>
      </c>
      <c r="E637" s="1064" t="s">
        <v>4900</v>
      </c>
    </row>
    <row r="638" spans="1:5" x14ac:dyDescent="0.2">
      <c r="B638" s="2262" t="str">
        <f>IF(IF('1.Description'!$AA$9="english",C638,IF('1.Description'!$AA$9="français",D638,E638))=0,"",IF('1.Description'!$AA$9="english",C638,IF('1.Description'!$AA$9="français",D638,E638)))</f>
        <v>Total area (ha)</v>
      </c>
      <c r="C638" s="1064" t="s">
        <v>2947</v>
      </c>
      <c r="D638" s="1064" t="s">
        <v>3809</v>
      </c>
      <c r="E638" s="1064" t="s">
        <v>4425</v>
      </c>
    </row>
    <row r="639" spans="1:5" x14ac:dyDescent="0.2">
      <c r="B639" s="2262" t="str">
        <f>IF(IF('1.Description'!$AA$9="english",C639,IF('1.Description'!$AA$9="français",D639,E639))=0,"",IF('1.Description'!$AA$9="english",C639,IF('1.Description'!$AA$9="français",D639,E639)))</f>
        <v>Mineral soil</v>
      </c>
      <c r="C639" s="1064" t="s">
        <v>361</v>
      </c>
      <c r="D639" s="1064" t="s">
        <v>4093</v>
      </c>
      <c r="E639" s="1064" t="s">
        <v>4901</v>
      </c>
    </row>
    <row r="640" spans="1:5" x14ac:dyDescent="0.2">
      <c r="B640" s="2262" t="str">
        <f>IF(IF('1.Description'!$AA$9="english",C640,IF('1.Description'!$AA$9="français",D640,E640))=0,"",IF('1.Description'!$AA$9="english",C640,IF('1.Description'!$AA$9="français",D640,E640)))</f>
        <v>Organic soil</v>
      </c>
      <c r="C640" s="1064" t="s">
        <v>2138</v>
      </c>
      <c r="D640" s="1064" t="s">
        <v>4094</v>
      </c>
      <c r="E640" s="1064" t="s">
        <v>4902</v>
      </c>
    </row>
    <row r="641" spans="2:5" x14ac:dyDescent="0.2">
      <c r="B641" s="2262" t="str">
        <f>IF(IF('1.Description'!$AA$9="english",C641,IF('1.Description'!$AA$9="français",D641,E641))=0,"",IF('1.Description'!$AA$9="english",C641,IF('1.Description'!$AA$9="français",D641,E641)))</f>
        <v>Waterbodies</v>
      </c>
      <c r="C641" s="1064" t="s">
        <v>2951</v>
      </c>
      <c r="D641" s="1064" t="s">
        <v>4095</v>
      </c>
      <c r="E641" s="1064" t="s">
        <v>4903</v>
      </c>
    </row>
    <row r="642" spans="2:5" x14ac:dyDescent="0.2">
      <c r="B642" s="2262" t="str">
        <f>IF(IF('1.Description'!$AA$9="english",C642,IF('1.Description'!$AA$9="français",D642,E642))=0,"",IF('1.Description'!$AA$9="english",C642,IF('1.Description'!$AA$9="français",D642,E642)))</f>
        <v>PROJECT COMPONENTS</v>
      </c>
      <c r="C642" s="1064" t="s">
        <v>3034</v>
      </c>
      <c r="D642" s="1064" t="s">
        <v>4096</v>
      </c>
      <c r="E642" s="1064" t="s">
        <v>4904</v>
      </c>
    </row>
    <row r="643" spans="2:5" x14ac:dyDescent="0.2">
      <c r="B643" s="2262" t="str">
        <f>IF(IF('1.Description'!$AA$9="english",C643,IF('1.Description'!$AA$9="français",D643,E643))=0,"",IF('1.Description'!$AA$9="english",C643,IF('1.Description'!$AA$9="français",D643,E643)))</f>
        <v>Deforestation</v>
      </c>
      <c r="C643" s="1064" t="s">
        <v>222</v>
      </c>
      <c r="D643" s="1064" t="s">
        <v>4221</v>
      </c>
      <c r="E643" s="1064" t="s">
        <v>4905</v>
      </c>
    </row>
    <row r="644" spans="2:5" x14ac:dyDescent="0.2">
      <c r="B644" s="2262" t="str">
        <f>IF(IF('1.Description'!$AA$9="english",C644,IF('1.Description'!$AA$9="français",D644,E644))=0,"",IF('1.Description'!$AA$9="english",C644,IF('1.Description'!$AA$9="français",D644,E644)))</f>
        <v>Afforestation</v>
      </c>
      <c r="C644" s="1064" t="s">
        <v>303</v>
      </c>
      <c r="D644" s="1064" t="s">
        <v>4346</v>
      </c>
      <c r="E644" s="1064" t="s">
        <v>4906</v>
      </c>
    </row>
    <row r="645" spans="2:5" x14ac:dyDescent="0.2">
      <c r="B645" s="2262" t="str">
        <f>IF(IF('1.Description'!$AA$9="english",C645,IF('1.Description'!$AA$9="français",D645,E645))=0,"",IF('1.Description'!$AA$9="english",C645,IF('1.Description'!$AA$9="français",D645,E645)))</f>
        <v>Other land-use</v>
      </c>
      <c r="C645" s="1064" t="s">
        <v>3122</v>
      </c>
      <c r="D645" s="1064" t="s">
        <v>4097</v>
      </c>
      <c r="E645" s="1064" t="s">
        <v>4907</v>
      </c>
    </row>
    <row r="646" spans="2:5" x14ac:dyDescent="0.2">
      <c r="B646" s="2262" t="str">
        <f>IF(IF('1.Description'!$AA$9="english",C646,IF('1.Description'!$AA$9="français",D646,E646))=0,"",IF('1.Description'!$AA$9="english",C646,IF('1.Description'!$AA$9="français",D646,E646)))</f>
        <v>Annual</v>
      </c>
      <c r="C646" s="1064" t="s">
        <v>2071</v>
      </c>
      <c r="D646" s="1064" t="s">
        <v>4224</v>
      </c>
      <c r="E646" s="1064" t="s">
        <v>4908</v>
      </c>
    </row>
    <row r="647" spans="2:5" x14ac:dyDescent="0.2">
      <c r="B647" s="2262" t="str">
        <f>IF(IF('1.Description'!$AA$9="english",C647,IF('1.Description'!$AA$9="français",D647,E647))=0,"",IF('1.Description'!$AA$9="english",C647,IF('1.Description'!$AA$9="français",D647,E647)))</f>
        <v>Perennial</v>
      </c>
      <c r="C647" s="1064" t="s">
        <v>2072</v>
      </c>
      <c r="D647" s="1064" t="s">
        <v>4225</v>
      </c>
      <c r="E647" s="1064" t="s">
        <v>4909</v>
      </c>
    </row>
    <row r="648" spans="2:5" x14ac:dyDescent="0.2">
      <c r="B648" s="2262" t="str">
        <f>IF(IF('1.Description'!$AA$9="english",C648,IF('1.Description'!$AA$9="français",D648,E648))=0,"",IF('1.Description'!$AA$9="english",C648,IF('1.Description'!$AA$9="français",D648,E648)))</f>
        <v>Flooded rice</v>
      </c>
      <c r="C648" s="1064" t="s">
        <v>1384</v>
      </c>
      <c r="D648" s="1064" t="s">
        <v>4098</v>
      </c>
      <c r="E648" s="1064" t="s">
        <v>4910</v>
      </c>
    </row>
    <row r="649" spans="2:5" x14ac:dyDescent="0.2">
      <c r="B649" s="2262" t="str">
        <f>IF(IF('1.Description'!$AA$9="english",C649,IF('1.Description'!$AA$9="français",D649,E649))=0,"",IF('1.Description'!$AA$9="english",C649,IF('1.Description'!$AA$9="français",D649,E649)))</f>
        <v xml:space="preserve">Grasslands </v>
      </c>
      <c r="C649" s="1064" t="s">
        <v>3022</v>
      </c>
      <c r="D649" s="1064" t="s">
        <v>4222</v>
      </c>
      <c r="E649" s="1064" t="s">
        <v>4911</v>
      </c>
    </row>
    <row r="650" spans="2:5" x14ac:dyDescent="0.2">
      <c r="B650" s="2262" t="str">
        <f>IF(IF('1.Description'!$AA$9="english",C650,IF('1.Description'!$AA$9="français",D650,E650))=0,"",IF('1.Description'!$AA$9="english",C650,IF('1.Description'!$AA$9="français",D650,E650)))</f>
        <v>Livestock</v>
      </c>
      <c r="C650" s="1064" t="s">
        <v>2958</v>
      </c>
      <c r="D650" s="1064" t="s">
        <v>4099</v>
      </c>
      <c r="E650" s="1064" t="s">
        <v>4912</v>
      </c>
    </row>
    <row r="651" spans="2:5" x14ac:dyDescent="0.2">
      <c r="B651" s="2262" t="str">
        <f>IF(IF('1.Description'!$AA$9="english",C651,IF('1.Description'!$AA$9="français",D651,E651))=0,"",IF('1.Description'!$AA$9="english",C651,IF('1.Description'!$AA$9="français",D651,E651)))</f>
        <v>Forest mngt.</v>
      </c>
      <c r="C651" s="1064" t="s">
        <v>3036</v>
      </c>
      <c r="D651" s="1064" t="s">
        <v>4100</v>
      </c>
      <c r="E651" s="1064" t="s">
        <v>4913</v>
      </c>
    </row>
    <row r="652" spans="2:5" x14ac:dyDescent="0.2">
      <c r="B652" s="2262" t="str">
        <f>IF(IF('1.Description'!$AA$9="english",C652,IF('1.Description'!$AA$9="français",D652,E652))=0,"",IF('1.Description'!$AA$9="english",C652,IF('1.Description'!$AA$9="français",D652,E652)))</f>
        <v>Inland wetlands</v>
      </c>
      <c r="C652" s="1064" t="s">
        <v>3004</v>
      </c>
      <c r="D652" s="1064" t="s">
        <v>4101</v>
      </c>
      <c r="E652" s="1064" t="s">
        <v>4914</v>
      </c>
    </row>
    <row r="653" spans="2:5" x14ac:dyDescent="0.2">
      <c r="B653" s="2262" t="str">
        <f>IF(IF('1.Description'!$AA$9="english",C653,IF('1.Description'!$AA$9="français",D653,E653))=0,"",IF('1.Description'!$AA$9="english",C653,IF('1.Description'!$AA$9="français",D653,E653)))</f>
        <v>Coastal wetlands</v>
      </c>
      <c r="C653" s="1064" t="s">
        <v>2121</v>
      </c>
      <c r="D653" s="1064" t="s">
        <v>4102</v>
      </c>
      <c r="E653" s="1064" t="s">
        <v>4915</v>
      </c>
    </row>
    <row r="654" spans="2:5" x14ac:dyDescent="0.2">
      <c r="B654" s="2262" t="str">
        <f>IF(IF('1.Description'!$AA$9="english",C654,IF('1.Description'!$AA$9="français",D654,E654))=0,"",IF('1.Description'!$AA$9="english",C654,IF('1.Description'!$AA$9="français",D654,E654)))</f>
        <v>Fisheries and aquaculture</v>
      </c>
      <c r="C654" s="1064" t="s">
        <v>3025</v>
      </c>
      <c r="D654" s="1064" t="s">
        <v>4103</v>
      </c>
      <c r="E654" s="1064" t="s">
        <v>4916</v>
      </c>
    </row>
    <row r="655" spans="2:5" x14ac:dyDescent="0.2">
      <c r="B655" s="2262" t="str">
        <f>IF(IF('1.Description'!$AA$9="english",C655,IF('1.Description'!$AA$9="français",D655,E655))=0,"",IF('1.Description'!$AA$9="english",C655,IF('1.Description'!$AA$9="français",D655,E655)))</f>
        <v>Inputs &amp; Invest.</v>
      </c>
      <c r="C655" s="1064" t="s">
        <v>3123</v>
      </c>
      <c r="D655" s="1064" t="s">
        <v>4104</v>
      </c>
      <c r="E655" s="1064" t="s">
        <v>4917</v>
      </c>
    </row>
    <row r="656" spans="2:5" x14ac:dyDescent="0.2">
      <c r="B656" s="2262" t="str">
        <f>IF(IF('1.Description'!$AA$9="english",C656,IF('1.Description'!$AA$9="français",D656,E656))=0,"",IF('1.Description'!$AA$9="english",C656,IF('1.Description'!$AA$9="français",D656,E656)))</f>
        <v>Land use changes</v>
      </c>
      <c r="C656" s="1064" t="s">
        <v>3019</v>
      </c>
      <c r="D656" s="1064" t="s">
        <v>4105</v>
      </c>
      <c r="E656" s="1064" t="s">
        <v>4918</v>
      </c>
    </row>
    <row r="657" spans="2:5" x14ac:dyDescent="0.2">
      <c r="B657" s="2262" t="str">
        <f>IF(IF('1.Description'!$AA$9="english",C657,IF('1.Description'!$AA$9="français",D657,E657))=0,"",IF('1.Description'!$AA$9="english",C657,IF('1.Description'!$AA$9="français",D657,E657)))</f>
        <v>Cropland</v>
      </c>
      <c r="C657" s="1064" t="s">
        <v>2949</v>
      </c>
      <c r="D657" s="1064" t="s">
        <v>4223</v>
      </c>
      <c r="E657" s="1064" t="s">
        <v>4919</v>
      </c>
    </row>
    <row r="658" spans="2:5" x14ac:dyDescent="0.2">
      <c r="B658" s="2262" t="str">
        <f>IF(IF('1.Description'!$AA$9="english",C658,IF('1.Description'!$AA$9="français",D658,E658))=0,"",IF('1.Description'!$AA$9="english",C658,IF('1.Description'!$AA$9="français",D658,E658)))</f>
        <v>Grasslands &amp; Livestock</v>
      </c>
      <c r="C658" s="1064" t="s">
        <v>3021</v>
      </c>
      <c r="D658" s="1064" t="s">
        <v>4106</v>
      </c>
      <c r="E658" s="1064" t="s">
        <v>4920</v>
      </c>
    </row>
    <row r="659" spans="2:5" x14ac:dyDescent="0.2">
      <c r="B659" s="2262" t="str">
        <f>IF(IF('1.Description'!$AA$9="english",C659,IF('1.Description'!$AA$9="français",D659,E659))=0,"",IF('1.Description'!$AA$9="english",C659,IF('1.Description'!$AA$9="français",D659,E659)))</f>
        <v>Total emissions, tCO2-e</v>
      </c>
      <c r="C659" s="1064" t="s">
        <v>3037</v>
      </c>
      <c r="D659" s="1064" t="s">
        <v>4107</v>
      </c>
      <c r="E659" s="1064" t="s">
        <v>4921</v>
      </c>
    </row>
    <row r="660" spans="2:5" x14ac:dyDescent="0.2">
      <c r="B660" s="2262" t="str">
        <f>IF(IF('1.Description'!$AA$9="english",C660,IF('1.Description'!$AA$9="français",D660,E660))=0,"",IF('1.Description'!$AA$9="english",C660,IF('1.Description'!$AA$9="français",D660,E660)))</f>
        <v>Total emissions, tCO2-e/ha</v>
      </c>
      <c r="C660" s="1064" t="s">
        <v>3038</v>
      </c>
      <c r="D660" s="1064" t="s">
        <v>4108</v>
      </c>
      <c r="E660" s="1064" t="s">
        <v>4922</v>
      </c>
    </row>
    <row r="661" spans="2:5" x14ac:dyDescent="0.2">
      <c r="B661" s="2262" t="str">
        <f>IF(IF('1.Description'!$AA$9="english",C661,IF('1.Description'!$AA$9="français",D661,E661))=0,"",IF('1.Description'!$AA$9="english",C661,IF('1.Description'!$AA$9="français",D661,E661)))</f>
        <v>Total emissions, tCO2-e/ha/yr</v>
      </c>
      <c r="C661" s="1064" t="s">
        <v>3039</v>
      </c>
      <c r="D661" s="1064" t="s">
        <v>4109</v>
      </c>
      <c r="E661" s="1064" t="s">
        <v>4923</v>
      </c>
    </row>
    <row r="662" spans="2:5" x14ac:dyDescent="0.2">
      <c r="B662" s="2262" t="str">
        <f>IF(IF('1.Description'!$AA$9="english",C662,IF('1.Description'!$AA$9="français",D662,E662))=0,"",IF('1.Description'!$AA$9="english",C662,IF('1.Description'!$AA$9="français",D662,E662)))</f>
        <v>+ = Source / - = Sink</v>
      </c>
      <c r="C662" s="1064" t="s">
        <v>3065</v>
      </c>
      <c r="D662" s="1064" t="s">
        <v>4110</v>
      </c>
      <c r="E662" s="1064" t="s">
        <v>4924</v>
      </c>
    </row>
    <row r="663" spans="2:5" x14ac:dyDescent="0.2">
      <c r="B663" s="2262" t="str">
        <f>IF(IF('1.Description'!$AA$9="english",C663,IF('1.Description'!$AA$9="français",D663,E663))=0,"",IF('1.Description'!$AA$9="english",C663,IF('1.Description'!$AA$9="français",D663,E663)))</f>
        <v>Results presented here include GHG fluxes on mineral and organic soils</v>
      </c>
      <c r="C663" s="1064" t="s">
        <v>3066</v>
      </c>
      <c r="D663" s="1064" t="s">
        <v>4111</v>
      </c>
      <c r="E663" s="1064" t="s">
        <v>4925</v>
      </c>
    </row>
    <row r="664" spans="2:5" x14ac:dyDescent="0.2">
      <c r="B664" s="2262" t="str">
        <f>IF(IF('1.Description'!$AA$9="english",C664,IF('1.Description'!$AA$9="français",D664,E664))=0,"",IF('1.Description'!$AA$9="english",C664,IF('1.Description'!$AA$9="français",D664,E664)))</f>
        <v>See further down for detailed results on organic soils</v>
      </c>
      <c r="C664" s="1064" t="s">
        <v>3067</v>
      </c>
      <c r="D664" s="1064" t="s">
        <v>4112</v>
      </c>
      <c r="E664" s="1064" t="s">
        <v>4926</v>
      </c>
    </row>
    <row r="665" spans="2:5" x14ac:dyDescent="0.2">
      <c r="B665" s="2262" t="str">
        <f>IF(IF('1.Description'!$AA$9="english",C665,IF('1.Description'!$AA$9="français",D665,E665))=0,"",IF('1.Description'!$AA$9="english",C665,IF('1.Description'!$AA$9="français",D665,E665)))</f>
        <v>* Includes fisheries, acquaculture and inputs &amp; investments that are not included in the AFOLU definition.</v>
      </c>
      <c r="C665" s="1064" t="s">
        <v>3134</v>
      </c>
      <c r="D665" s="1064" t="s">
        <v>4226</v>
      </c>
      <c r="E665" s="1064" t="s">
        <v>4927</v>
      </c>
    </row>
    <row r="666" spans="2:5" x14ac:dyDescent="0.2">
      <c r="B666" s="2262" t="str">
        <f>IF(IF('1.Description'!$AA$9="english",C666,IF('1.Description'!$AA$9="français",D666,E666))=0,"",IF('1.Description'!$AA$9="english",C666,IF('1.Description'!$AA$9="français",D666,E666)))</f>
        <v>CO2 BIOMASS</v>
      </c>
      <c r="C666" s="1064" t="s">
        <v>1253</v>
      </c>
      <c r="D666" s="1064" t="s">
        <v>4113</v>
      </c>
      <c r="E666" s="1064" t="s">
        <v>4928</v>
      </c>
    </row>
    <row r="667" spans="2:5" x14ac:dyDescent="0.2">
      <c r="B667" s="2262" t="str">
        <f>IF(IF('1.Description'!$AA$9="english",C667,IF('1.Description'!$AA$9="français",D667,E667))=0,"",IF('1.Description'!$AA$9="english",C667,IF('1.Description'!$AA$9="français",D667,E667)))</f>
        <v>CO2 SOIL</v>
      </c>
      <c r="C667" s="1064" t="s">
        <v>2998</v>
      </c>
      <c r="D667" s="1064" t="s">
        <v>4114</v>
      </c>
      <c r="E667" s="1064" t="s">
        <v>4929</v>
      </c>
    </row>
    <row r="668" spans="2:5" x14ac:dyDescent="0.2">
      <c r="B668" s="2262" t="str">
        <f>IF(IF('1.Description'!$AA$9="english",C668,IF('1.Description'!$AA$9="français",D668,E668))=0,"",IF('1.Description'!$AA$9="english",C668,IF('1.Description'!$AA$9="français",D668,E668)))</f>
        <v>ALL NON-AFOLU EMISSIONS*</v>
      </c>
      <c r="C668" s="1064" t="s">
        <v>3131</v>
      </c>
      <c r="D668" s="1064" t="s">
        <v>4227</v>
      </c>
      <c r="E668" s="1064" t="s">
        <v>4930</v>
      </c>
    </row>
    <row r="669" spans="2:5" x14ac:dyDescent="0.2">
      <c r="B669" s="2262" t="str">
        <f>IF(IF('1.Description'!$AA$9="english",C669,IF('1.Description'!$AA$9="français",D669,E669))=0,"",IF('1.Description'!$AA$9="english",C669,IF('1.Description'!$AA$9="français",D669,E669)))</f>
        <v>WITHOUT</v>
      </c>
      <c r="C669" s="1064" t="s">
        <v>200</v>
      </c>
      <c r="D669" s="1064" t="s">
        <v>4228</v>
      </c>
      <c r="E669" s="1064" t="s">
        <v>4931</v>
      </c>
    </row>
    <row r="670" spans="2:5" x14ac:dyDescent="0.2">
      <c r="B670" s="2262" t="str">
        <f>IF(IF('1.Description'!$AA$9="english",C670,IF('1.Description'!$AA$9="français",D670,E670))=0,"",IF('1.Description'!$AA$9="english",C670,IF('1.Description'!$AA$9="français",D670,E670)))</f>
        <v>WITH</v>
      </c>
      <c r="C670" s="1064" t="s">
        <v>201</v>
      </c>
      <c r="D670" s="1064" t="s">
        <v>4115</v>
      </c>
      <c r="E670" s="1064" t="s">
        <v>4932</v>
      </c>
    </row>
    <row r="671" spans="2:5" x14ac:dyDescent="0.2">
      <c r="B671" s="2262" t="str">
        <f>IF(IF('1.Description'!$AA$9="english",C671,IF('1.Description'!$AA$9="français",D671,E671))=0,"",IF('1.Description'!$AA$9="english",C671,IF('1.Description'!$AA$9="français",D671,E671)))</f>
        <v>BALANCE</v>
      </c>
      <c r="C671" s="1064" t="s">
        <v>324</v>
      </c>
      <c r="D671" s="1064" t="s">
        <v>324</v>
      </c>
      <c r="E671" s="1064" t="s">
        <v>4411</v>
      </c>
    </row>
    <row r="672" spans="2:5" x14ac:dyDescent="0.2">
      <c r="B672" s="2262" t="str">
        <f>IF(IF('1.Description'!$AA$9="english",C672,IF('1.Description'!$AA$9="français",D672,E672))=0,"",IF('1.Description'!$AA$9="english",C672,IF('1.Description'!$AA$9="français",D672,E672)))</f>
        <v>Carbon-balance, in tCO2-e</v>
      </c>
      <c r="C672" s="4440" t="s">
        <v>4240</v>
      </c>
      <c r="D672" s="4440" t="s">
        <v>4347</v>
      </c>
      <c r="E672" s="1064" t="s">
        <v>4933</v>
      </c>
    </row>
    <row r="673" spans="2:5" x14ac:dyDescent="0.2">
      <c r="B673" s="2262" t="str">
        <f>IF(IF('1.Description'!$AA$9="english",C673,IF('1.Description'!$AA$9="français",D673,E673))=0,"",IF('1.Description'!$AA$9="english",C673,IF('1.Description'!$AA$9="français",D673,E673)))</f>
        <v>Share of the balance per GHG, in tCO2-e</v>
      </c>
      <c r="C673" s="4440" t="s">
        <v>4241</v>
      </c>
      <c r="D673" s="4440" t="s">
        <v>4348</v>
      </c>
      <c r="E673" s="1064" t="s">
        <v>4934</v>
      </c>
    </row>
    <row r="674" spans="2:5" x14ac:dyDescent="0.2">
      <c r="B674" s="2262" t="str">
        <f>IF(IF('1.Description'!$AA$9="english",C674,IF('1.Description'!$AA$9="français",D674,E674))=0,"",IF('1.Description'!$AA$9="english",C674,IF('1.Description'!$AA$9="français",D674,E674)))</f>
        <v>Annual carbon balance, in tCO2-e (20 years)</v>
      </c>
      <c r="C674" s="4440" t="s">
        <v>4242</v>
      </c>
      <c r="D674" s="4440" t="s">
        <v>4349</v>
      </c>
      <c r="E674" s="1064" t="s">
        <v>4935</v>
      </c>
    </row>
    <row r="675" spans="2:5" x14ac:dyDescent="0.2">
      <c r="B675" s="2262" t="str">
        <f>IF(IF('1.Description'!$AA$9="english",C675,IF('1.Description'!$AA$9="français",D675,E675))=0,"",IF('1.Description'!$AA$9="english",C675,IF('1.Description'!$AA$9="français",D675,E675)))</f>
        <v>Cumulative carbon balance per year, in tCO2-e (20 years)</v>
      </c>
      <c r="C675" s="4440" t="s">
        <v>4243</v>
      </c>
      <c r="D675" s="4440" t="s">
        <v>4350</v>
      </c>
      <c r="E675" s="1064" t="s">
        <v>4936</v>
      </c>
    </row>
    <row r="676" spans="2:5" x14ac:dyDescent="0.2">
      <c r="B676" s="2262" t="str">
        <f>IF(IF('1.Description'!$AA$9="english",C676,IF('1.Description'!$AA$9="français",D676,E676))=0,"",IF('1.Description'!$AA$9="english",C676,IF('1.Description'!$AA$9="français",D676,E676)))</f>
        <v>Annual carbon balance</v>
      </c>
      <c r="C676" s="4440" t="s">
        <v>3068</v>
      </c>
      <c r="D676" s="4440" t="s">
        <v>4351</v>
      </c>
      <c r="E676" s="1064" t="s">
        <v>4937</v>
      </c>
    </row>
    <row r="677" spans="2:5" x14ac:dyDescent="0.2">
      <c r="B677" s="2262" t="str">
        <f>IF(IF('1.Description'!$AA$9="english",C677,IF('1.Description'!$AA$9="français",D677,E677))=0,"",IF('1.Description'!$AA$9="english",C677,IF('1.Description'!$AA$9="français",D677,E677)))</f>
        <v>Yearly carbon balance</v>
      </c>
      <c r="C677" s="4440" t="s">
        <v>3119</v>
      </c>
      <c r="D677" s="4440" t="s">
        <v>4352</v>
      </c>
      <c r="E677" s="1064" t="s">
        <v>4937</v>
      </c>
    </row>
    <row r="678" spans="2:5" x14ac:dyDescent="0.2">
      <c r="B678" s="2262" t="str">
        <f>IF(IF('1.Description'!$AA$9="english",C678,IF('1.Description'!$AA$9="français",D678,E678))=0,"",IF('1.Description'!$AA$9="english",C678,IF('1.Description'!$AA$9="français",D678,E678)))</f>
        <v>Cumulative carbon balance</v>
      </c>
      <c r="C678" s="4440" t="s">
        <v>3120</v>
      </c>
      <c r="D678" s="4440" t="s">
        <v>4353</v>
      </c>
      <c r="E678" s="1064" t="s">
        <v>4938</v>
      </c>
    </row>
    <row r="679" spans="2:5" x14ac:dyDescent="0.2">
      <c r="B679" s="2262" t="str">
        <f>IF(IF('1.Description'!$AA$9="english",C679,IF('1.Description'!$AA$9="français",D679,E679))=0,"",IF('1.Description'!$AA$9="english",C679,IF('1.Description'!$AA$9="français",D679,E679)))</f>
        <v>* Please note the provided annual values are an approximation of the actual annual fluxes</v>
      </c>
      <c r="C679" s="4440" t="s">
        <v>3121</v>
      </c>
      <c r="D679" s="4440" t="s">
        <v>4354</v>
      </c>
      <c r="E679" s="1064" t="s">
        <v>4939</v>
      </c>
    </row>
    <row r="680" spans="2:5" x14ac:dyDescent="0.2">
      <c r="B680" s="2262" t="str">
        <f>IF(IF('1.Description'!$AA$9="english",C680,IF('1.Description'!$AA$9="français",D680,E680))=0,"",IF('1.Description'!$AA$9="english",C680,IF('1.Description'!$AA$9="français",D680,E680)))</f>
        <v>DETAILED MATRIX OF CHANGES FOR MINERAL SOILS</v>
      </c>
      <c r="C680" s="4440" t="s">
        <v>3135</v>
      </c>
      <c r="D680" s="4440" t="s">
        <v>4355</v>
      </c>
      <c r="E680" s="1064" t="s">
        <v>4940</v>
      </c>
    </row>
    <row r="681" spans="2:5" x14ac:dyDescent="0.2">
      <c r="B681" s="2262" t="str">
        <f>IF(IF('1.Description'!$AA$9="english",C681,IF('1.Description'!$AA$9="français",D681,E681))=0,"",IF('1.Description'!$AA$9="english",C681,IF('1.Description'!$AA$9="français",D681,E681)))</f>
        <v>WITHOUT PROJECT</v>
      </c>
      <c r="C681" s="4440" t="s">
        <v>2869</v>
      </c>
      <c r="D681" s="4440" t="s">
        <v>4356</v>
      </c>
      <c r="E681" s="1064" t="s">
        <v>4941</v>
      </c>
    </row>
    <row r="682" spans="2:5" x14ac:dyDescent="0.2">
      <c r="B682" s="2262" t="str">
        <f>IF(IF('1.Description'!$AA$9="english",C682,IF('1.Description'!$AA$9="français",D682,E682))=0,"",IF('1.Description'!$AA$9="english",C682,IF('1.Description'!$AA$9="français",D682,E682)))</f>
        <v>Forest</v>
      </c>
      <c r="C682" s="4440" t="s">
        <v>2069</v>
      </c>
      <c r="D682" s="4440" t="s">
        <v>4357</v>
      </c>
      <c r="E682" s="1064" t="s">
        <v>4942</v>
      </c>
    </row>
    <row r="683" spans="2:5" x14ac:dyDescent="0.2">
      <c r="B683" s="2262" t="str">
        <f>IF(IF('1.Description'!$AA$9="english",C683,IF('1.Description'!$AA$9="français",D683,E683))=0,"",IF('1.Description'!$AA$9="english",C683,IF('1.Description'!$AA$9="français",D683,E683)))</f>
        <v>Annual cropland</v>
      </c>
      <c r="C683" s="4440" t="s">
        <v>1382</v>
      </c>
      <c r="D683" s="4440" t="s">
        <v>4358</v>
      </c>
      <c r="E683" s="1064" t="s">
        <v>4943</v>
      </c>
    </row>
    <row r="684" spans="2:5" x14ac:dyDescent="0.2">
      <c r="B684" s="2262" t="str">
        <f>IF(IF('1.Description'!$AA$9="english",C684,IF('1.Description'!$AA$9="français",D684,E684))=0,"",IF('1.Description'!$AA$9="english",C684,IF('1.Description'!$AA$9="français",D684,E684)))</f>
        <v>Agroforestry</v>
      </c>
      <c r="C684" s="4440" t="s">
        <v>1588</v>
      </c>
      <c r="D684" s="4440" t="s">
        <v>4359</v>
      </c>
      <c r="E684" s="1064" t="s">
        <v>4944</v>
      </c>
    </row>
    <row r="685" spans="2:5" x14ac:dyDescent="0.2">
      <c r="B685" s="2262" t="str">
        <f>IF(IF('1.Description'!$AA$9="english",C685,IF('1.Description'!$AA$9="français",D685,E685))=0,"",IF('1.Description'!$AA$9="english",C685,IF('1.Description'!$AA$9="français",D685,E685)))</f>
        <v>Flooded rice</v>
      </c>
      <c r="C685" s="4440" t="s">
        <v>1384</v>
      </c>
      <c r="D685" s="4440" t="s">
        <v>4098</v>
      </c>
      <c r="E685" s="1064" t="s">
        <v>4910</v>
      </c>
    </row>
    <row r="686" spans="2:5" x14ac:dyDescent="0.2">
      <c r="B686" s="2262" t="str">
        <f>IF(IF('1.Description'!$AA$9="english",C686,IF('1.Description'!$AA$9="français",D686,E686))=0,"",IF('1.Description'!$AA$9="english",C686,IF('1.Description'!$AA$9="français",D686,E686)))</f>
        <v>Grassland</v>
      </c>
      <c r="C686" s="4440" t="s">
        <v>1396</v>
      </c>
      <c r="D686" s="4440" t="s">
        <v>4360</v>
      </c>
      <c r="E686" s="1064" t="s">
        <v>4911</v>
      </c>
    </row>
    <row r="687" spans="2:5" x14ac:dyDescent="0.2">
      <c r="B687" s="2262" t="str">
        <f>IF(IF('1.Description'!$AA$9="english",C687,IF('1.Description'!$AA$9="français",D687,E687))=0,"",IF('1.Description'!$AA$9="english",C687,IF('1.Description'!$AA$9="français",D687,E687)))</f>
        <v>Degraded land</v>
      </c>
      <c r="C687" s="4440" t="s">
        <v>1592</v>
      </c>
      <c r="D687" s="4440" t="s">
        <v>4361</v>
      </c>
      <c r="E687" s="1064" t="s">
        <v>4945</v>
      </c>
    </row>
    <row r="688" spans="2:5" x14ac:dyDescent="0.2">
      <c r="B688" s="2262" t="str">
        <f>IF(IF('1.Description'!$AA$9="english",C688,IF('1.Description'!$AA$9="français",D688,E688))=0,"",IF('1.Description'!$AA$9="english",C688,IF('1.Description'!$AA$9="français",D688,E688)))</f>
        <v>Other land</v>
      </c>
      <c r="C688" s="4440" t="s">
        <v>2074</v>
      </c>
      <c r="D688" s="4440" t="s">
        <v>4362</v>
      </c>
      <c r="E688" s="1064" t="s">
        <v>4946</v>
      </c>
    </row>
    <row r="689" spans="2:5" x14ac:dyDescent="0.2">
      <c r="B689" s="2262" t="str">
        <f>IF(IF('1.Description'!$AA$9="english",C689,IF('1.Description'!$AA$9="français",D689,E689))=0,"",IF('1.Description'!$AA$9="english",C689,IF('1.Description'!$AA$9="français",D689,E689)))</f>
        <v>Total area without project (ha)</v>
      </c>
      <c r="C689" s="4440" t="s">
        <v>3136</v>
      </c>
      <c r="D689" s="4440" t="s">
        <v>4363</v>
      </c>
      <c r="E689" s="1064" t="s">
        <v>4947</v>
      </c>
    </row>
    <row r="690" spans="2:5" x14ac:dyDescent="0.2">
      <c r="B690" s="2262" t="str">
        <f>IF(IF('1.Description'!$AA$9="english",C690,IF('1.Description'!$AA$9="français",D690,E690))=0,"",IF('1.Description'!$AA$9="english",C690,IF('1.Description'!$AA$9="français",D690,E690)))</f>
        <v>WITH PROJECT</v>
      </c>
      <c r="C690" s="4440" t="s">
        <v>2870</v>
      </c>
      <c r="D690" s="4440" t="s">
        <v>4364</v>
      </c>
      <c r="E690" s="1064" t="s">
        <v>4948</v>
      </c>
    </row>
    <row r="691" spans="2:5" x14ac:dyDescent="0.2">
      <c r="B691" s="2262" t="str">
        <f>IF(IF('1.Description'!$AA$9="english",C691,IF('1.Description'!$AA$9="français",D691,E691))=0,"",IF('1.Description'!$AA$9="english",C691,IF('1.Description'!$AA$9="français",D691,E691)))</f>
        <v>Total area with project (ha)</v>
      </c>
      <c r="C691" s="4440" t="s">
        <v>3137</v>
      </c>
      <c r="D691" s="4440" t="s">
        <v>4365</v>
      </c>
      <c r="E691" s="1064" t="s">
        <v>4949</v>
      </c>
    </row>
    <row r="692" spans="2:5" x14ac:dyDescent="0.2">
      <c r="B692" s="2262" t="str">
        <f>IF(IF('1.Description'!$AA$9="english",C692,IF('1.Description'!$AA$9="français",D692,E692))=0,"",IF('1.Description'!$AA$9="english",C692,IF('1.Description'!$AA$9="français",D692,E692)))</f>
        <v>Forest</v>
      </c>
      <c r="C692" s="4440" t="s">
        <v>2069</v>
      </c>
      <c r="D692" s="4440" t="s">
        <v>4357</v>
      </c>
      <c r="E692" s="1064" t="s">
        <v>4942</v>
      </c>
    </row>
    <row r="693" spans="2:5" x14ac:dyDescent="0.2">
      <c r="B693" s="2262" t="str">
        <f>IF(IF('1.Description'!$AA$9="english",C693,IF('1.Description'!$AA$9="français",D693,E693))=0,"",IF('1.Description'!$AA$9="english",C693,IF('1.Description'!$AA$9="français",D693,E693)))</f>
        <v>Annual</v>
      </c>
      <c r="C693" s="4440" t="s">
        <v>2071</v>
      </c>
      <c r="D693" s="4440" t="s">
        <v>4358</v>
      </c>
      <c r="E693" s="1064" t="s">
        <v>4950</v>
      </c>
    </row>
    <row r="694" spans="2:5" x14ac:dyDescent="0.2">
      <c r="B694" s="2262" t="str">
        <f>IF(IF('1.Description'!$AA$9="english",C694,IF('1.Description'!$AA$9="français",D694,E694))=0,"",IF('1.Description'!$AA$9="english",C694,IF('1.Description'!$AA$9="français",D694,E694)))</f>
        <v>Perennial</v>
      </c>
      <c r="C694" s="4440" t="s">
        <v>2072</v>
      </c>
      <c r="D694" s="4440" t="s">
        <v>4366</v>
      </c>
      <c r="E694" s="1064" t="s">
        <v>4951</v>
      </c>
    </row>
    <row r="695" spans="2:5" x14ac:dyDescent="0.2">
      <c r="B695" s="2262" t="str">
        <f>IF(IF('1.Description'!$AA$9="english",C695,IF('1.Description'!$AA$9="français",D695,E695))=0,"",IF('1.Description'!$AA$9="english",C695,IF('1.Description'!$AA$9="français",D695,E695)))</f>
        <v>Flooded rice</v>
      </c>
      <c r="C695" s="4440" t="s">
        <v>1384</v>
      </c>
      <c r="D695" s="4440" t="s">
        <v>4098</v>
      </c>
      <c r="E695" s="1064" t="s">
        <v>4910</v>
      </c>
    </row>
    <row r="696" spans="2:5" x14ac:dyDescent="0.2">
      <c r="B696" s="2262" t="str">
        <f>IF(IF('1.Description'!$AA$9="english",C696,IF('1.Description'!$AA$9="français",D696,E696))=0,"",IF('1.Description'!$AA$9="english",C696,IF('1.Description'!$AA$9="français",D696,E696)))</f>
        <v>Grassland</v>
      </c>
      <c r="C696" s="4440" t="s">
        <v>1396</v>
      </c>
      <c r="D696" s="4440" t="s">
        <v>4360</v>
      </c>
      <c r="E696" s="1064" t="s">
        <v>4911</v>
      </c>
    </row>
    <row r="697" spans="2:5" x14ac:dyDescent="0.2">
      <c r="B697" s="2262" t="str">
        <f>IF(IF('1.Description'!$AA$9="english",C697,IF('1.Description'!$AA$9="français",D697,E697))=0,"",IF('1.Description'!$AA$9="english",C697,IF('1.Description'!$AA$9="français",D697,E697)))</f>
        <v>Degraded land</v>
      </c>
      <c r="C697" s="4440" t="s">
        <v>1592</v>
      </c>
      <c r="D697" s="4440" t="s">
        <v>4361</v>
      </c>
      <c r="E697" s="1064" t="s">
        <v>4945</v>
      </c>
    </row>
    <row r="698" spans="2:5" x14ac:dyDescent="0.2">
      <c r="B698" s="2262" t="str">
        <f>IF(IF('1.Description'!$AA$9="english",C698,IF('1.Description'!$AA$9="français",D698,E698))=0,"",IF('1.Description'!$AA$9="english",C698,IF('1.Description'!$AA$9="français",D698,E698)))</f>
        <v>Other land</v>
      </c>
      <c r="C698" s="4440" t="s">
        <v>2074</v>
      </c>
      <c r="D698" s="4440" t="s">
        <v>4362</v>
      </c>
      <c r="E698" s="1064" t="s">
        <v>4946</v>
      </c>
    </row>
    <row r="699" spans="2:5" x14ac:dyDescent="0.2">
      <c r="B699" s="2262" t="str">
        <f>IF(IF('1.Description'!$AA$9="english",C699,IF('1.Description'!$AA$9="français",D699,E699))=0,"",IF('1.Description'!$AA$9="english",C699,IF('1.Description'!$AA$9="français",D699,E699)))</f>
        <v>DETAILED RESULTS ORGANIC SOILS</v>
      </c>
      <c r="C699" s="4440" t="s">
        <v>3052</v>
      </c>
      <c r="D699" s="4440" t="s">
        <v>4367</v>
      </c>
      <c r="E699" s="1064" t="s">
        <v>4952</v>
      </c>
    </row>
    <row r="700" spans="2:5" ht="17" x14ac:dyDescent="0.2">
      <c r="B700" s="2262" t="str">
        <f>IF(IF('1.Description'!$AA$9="english",C700,IF('1.Description'!$AA$9="français",D700,E700))=0,"",IF('1.Description'!$AA$9="english",C700,IF('1.Description'!$AA$9="français",D700,E700)))</f>
        <v>N2O SOIL</v>
      </c>
      <c r="C700" s="4440" t="s">
        <v>4247</v>
      </c>
      <c r="D700" s="4440" t="s">
        <v>4368</v>
      </c>
      <c r="E700" s="1064" t="s">
        <v>5059</v>
      </c>
    </row>
    <row r="701" spans="2:5" ht="17" x14ac:dyDescent="0.2">
      <c r="B701" s="2262" t="str">
        <f>IF(IF('1.Description'!$AA$9="english",C701,IF('1.Description'!$AA$9="français",D701,E701))=0,"",IF('1.Description'!$AA$9="english",C701,IF('1.Description'!$AA$9="français",D701,E701)))</f>
        <v>CH4 SOIL</v>
      </c>
      <c r="C701" s="4440" t="s">
        <v>4248</v>
      </c>
      <c r="D701" s="4440" t="s">
        <v>4369</v>
      </c>
      <c r="E701" s="1064" t="s">
        <v>5060</v>
      </c>
    </row>
    <row r="702" spans="2:5" x14ac:dyDescent="0.2">
      <c r="B702" s="2262" t="str">
        <f>IF(IF('1.Description'!$AA$9="english",C702,IF('1.Description'!$AA$9="français",D702,E702))=0,"",IF('1.Description'!$AA$9="english",C702,IF('1.Description'!$AA$9="français",D702,E702)))</f>
        <v>FIRE</v>
      </c>
      <c r="C702" s="4440" t="s">
        <v>1094</v>
      </c>
      <c r="D702" s="4440" t="s">
        <v>4370</v>
      </c>
      <c r="E702" s="1064" t="s">
        <v>4953</v>
      </c>
    </row>
    <row r="703" spans="2:5" x14ac:dyDescent="0.2">
      <c r="B703" s="2262" t="str">
        <f>IF(IF('1.Description'!$AA$9="english",C703,IF('1.Description'!$AA$9="français",D703,E703))=0,"",IF('1.Description'!$AA$9="english",C703,IF('1.Description'!$AA$9="français",D703,E703)))</f>
        <v>Share of the balance per activities, in tCO2-e</v>
      </c>
      <c r="C703" s="4440" t="s">
        <v>4244</v>
      </c>
      <c r="D703" s="4440" t="s">
        <v>4371</v>
      </c>
      <c r="E703" s="1064" t="s">
        <v>4954</v>
      </c>
    </row>
    <row r="704" spans="2:5" x14ac:dyDescent="0.2">
      <c r="B704" s="2262" t="str">
        <f>IF(IF('1.Description'!$AA$9="english",C704,IF('1.Description'!$AA$9="français",D704,E704))=0,"",IF('1.Description'!$AA$9="english",C704,IF('1.Description'!$AA$9="français",D704,E704)))</f>
        <v>Gross Fluxes Without Project, in tCO2-e</v>
      </c>
      <c r="C704" s="4440" t="s">
        <v>4245</v>
      </c>
      <c r="D704" s="4440" t="s">
        <v>4372</v>
      </c>
      <c r="E704" s="1064" t="s">
        <v>4955</v>
      </c>
    </row>
    <row r="705" spans="1:10" x14ac:dyDescent="0.2">
      <c r="B705" s="2262" t="str">
        <f>IF(IF('1.Description'!$AA$9="english",C705,IF('1.Description'!$AA$9="français",D705,E705))=0,"",IF('1.Description'!$AA$9="english",C705,IF('1.Description'!$AA$9="français",D705,E705)))</f>
        <v>Gross Fluxes With Project, in tCO2-e</v>
      </c>
      <c r="C705" s="4440" t="s">
        <v>4246</v>
      </c>
      <c r="D705" s="4440" t="s">
        <v>4373</v>
      </c>
      <c r="E705" s="1064" t="s">
        <v>4956</v>
      </c>
    </row>
    <row r="706" spans="1:10" x14ac:dyDescent="0.2">
      <c r="B706" s="2262" t="str">
        <f>IF(IF('1.Description'!$AA$9="english",C706,IF('1.Description'!$AA$9="français",D706,E706))=0,"",IF('1.Description'!$AA$9="english",C706,IF('1.Description'!$AA$9="français",D706,E706)))</f>
        <v>DETAILED MATRIX OF CHANGES FOR ORGANIC SOILS</v>
      </c>
      <c r="C706" s="4440" t="s">
        <v>3138</v>
      </c>
      <c r="D706" s="4440" t="s">
        <v>4374</v>
      </c>
      <c r="E706" s="1064" t="s">
        <v>4957</v>
      </c>
    </row>
    <row r="707" spans="1:10" x14ac:dyDescent="0.2">
      <c r="B707" s="2262" t="str">
        <f>IF(IF('1.Description'!$AA$9="english",C707,IF('1.Description'!$AA$9="français",D707,E707))=0,"",IF('1.Description'!$AA$9="english",C707,IF('1.Description'!$AA$9="français",D707,E707)))</f>
        <v>Uncertainty level</v>
      </c>
      <c r="C707" s="4440" t="s">
        <v>3132</v>
      </c>
      <c r="D707" s="4440" t="s">
        <v>4375</v>
      </c>
      <c r="E707" s="1064" t="s">
        <v>4958</v>
      </c>
    </row>
    <row r="708" spans="1:10" x14ac:dyDescent="0.2">
      <c r="B708" s="2262" t="str">
        <f>IF(IF('1.Description'!$AA$9="english",C708,IF('1.Description'!$AA$9="français",D708,E708))=0,"",IF('1.Description'!$AA$9="english",C708,IF('1.Description'!$AA$9="français",D708,E708)))</f>
        <v>tCO2-e/yr</v>
      </c>
      <c r="C708" s="4440" t="s">
        <v>599</v>
      </c>
      <c r="D708" s="4440" t="s">
        <v>4376</v>
      </c>
      <c r="E708" s="1064" t="s">
        <v>4959</v>
      </c>
    </row>
    <row r="709" spans="1:10" x14ac:dyDescent="0.2">
      <c r="B709" s="2262" t="str">
        <f>IF(IF('1.Description'!$AA$9="english",C709,IF('1.Description'!$AA$9="français",D709,E709))=0,"",IF('1.Description'!$AA$9="english",C709,IF('1.Description'!$AA$9="français",D709,E709)))</f>
        <v>Percent</v>
      </c>
      <c r="C709" s="4440" t="s">
        <v>3133</v>
      </c>
      <c r="D709" s="4440" t="s">
        <v>4377</v>
      </c>
      <c r="E709" s="1064" t="s">
        <v>4960</v>
      </c>
    </row>
    <row r="710" spans="1:10" x14ac:dyDescent="0.2">
      <c r="B710" s="2262" t="str">
        <f>IF(IF('1.Description'!$AA$9="english",C710,IF('1.Description'!$AA$9="français",D710,E710))=0,"",IF('1.Description'!$AA$9="english",C710,IF('1.Description'!$AA$9="français",D710,E710)))</f>
        <v>Non-forest land management</v>
      </c>
      <c r="C710" s="4440" t="s">
        <v>2978</v>
      </c>
      <c r="D710" s="4440" t="s">
        <v>5176</v>
      </c>
      <c r="E710" s="1064" t="s">
        <v>5177</v>
      </c>
    </row>
    <row r="711" spans="1:10" x14ac:dyDescent="0.2">
      <c r="B711" s="2262" t="str">
        <f>IF(IF('1.Description'!$AA$9="english",C711,IF('1.Description'!$AA$9="français",D711,E711))=0,"",IF('1.Description'!$AA$9="english",C711,IF('1.Description'!$AA$9="français",D711,E711)))</f>
        <v>Peat extraction</v>
      </c>
      <c r="C711" s="4440" t="s">
        <v>2075</v>
      </c>
      <c r="D711" s="4440" t="s">
        <v>5178</v>
      </c>
      <c r="E711" s="1064" t="s">
        <v>5179</v>
      </c>
    </row>
    <row r="712" spans="1:10" x14ac:dyDescent="0.2">
      <c r="A712" s="4439"/>
      <c r="B712" s="2262" t="str">
        <f>IF(IF('1.Description'!$AA$9="english",C712,IF('1.Description'!$AA$9="français",D712,E712))=0,"",IF('1.Description'!$AA$9="english",C712,IF('1.Description'!$AA$9="français",D712,E712)))</f>
        <v/>
      </c>
      <c r="C712" s="4439"/>
      <c r="D712" s="4439"/>
      <c r="E712" s="4439"/>
      <c r="F712" s="4439"/>
      <c r="G712" s="4439"/>
      <c r="H712" s="4439"/>
      <c r="I712" s="4439"/>
      <c r="J712" s="4439"/>
    </row>
    <row r="713" spans="1:10" x14ac:dyDescent="0.2">
      <c r="A713" s="1064" t="s">
        <v>20</v>
      </c>
      <c r="B713" s="2262" t="str">
        <f>IF(IF('1.Description'!$AA$9="english",C713,IF('1.Description'!$AA$9="français",D713,E713))=0,"",IF('1.Description'!$AA$9="english",C713,IF('1.Description'!$AA$9="français",D713,E713)))</f>
        <v>Represents area that has been continuously managed for predominantly annual crops over 50 yrs.</v>
      </c>
      <c r="C713" s="1064" t="s">
        <v>3248</v>
      </c>
      <c r="D713" s="1064" t="s">
        <v>5061</v>
      </c>
      <c r="E713" s="1064" t="s">
        <v>4961</v>
      </c>
    </row>
    <row r="714" spans="1:10" x14ac:dyDescent="0.2">
      <c r="B714" s="2262" t="str">
        <f>IF(IF('1.Description'!$AA$9="english",C714,IF('1.Description'!$AA$9="français",D714,E714))=0,"",IF('1.Description'!$AA$9="english",C714,IF('1.Description'!$AA$9="français",D714,E714)))</f>
        <v>Long-term perennial tree crops such as fruit and nut trees, coffee and cacao.</v>
      </c>
      <c r="C714" s="1064" t="s">
        <v>3249</v>
      </c>
      <c r="D714" s="1064" t="s">
        <v>5062</v>
      </c>
      <c r="E714" s="1064" t="s">
        <v>4962</v>
      </c>
    </row>
    <row r="715" spans="1:10" x14ac:dyDescent="0.2">
      <c r="B715" s="2262" t="str">
        <f>IF(IF('1.Description'!$AA$9="english",C715,IF('1.Description'!$AA$9="français",D715,E715))=0,"",IF('1.Description'!$AA$9="english",C715,IF('1.Description'!$AA$9="français",D715,E715)))</f>
        <v>Substantial soil disturbance with full inversion and/or frequent (within year) tillage operations.  At planting time, little (e.g., &lt;30%) of the surface is covered by residues.</v>
      </c>
      <c r="C715" s="1064" t="s">
        <v>3250</v>
      </c>
      <c r="D715" s="1064" t="s">
        <v>5063</v>
      </c>
      <c r="E715" s="1064" t="s">
        <v>4963</v>
      </c>
    </row>
    <row r="716" spans="1:10" x14ac:dyDescent="0.2">
      <c r="B716" s="2262" t="str">
        <f>IF(IF('1.Description'!$AA$9="english",C716,IF('1.Description'!$AA$9="français",D716,E716))=0,"",IF('1.Description'!$AA$9="english",C716,IF('1.Description'!$AA$9="français",D716,E716)))</f>
        <v>Primary and/or secondary tillage but with reduced soil disturbance (usually shallow and without full soil inversion). Normally leaves surface with &gt;30% coverage by residues at planting.</v>
      </c>
      <c r="C716" s="1064" t="s">
        <v>3251</v>
      </c>
      <c r="D716" s="1064" t="s">
        <v>5064</v>
      </c>
      <c r="E716" s="1064" t="s">
        <v>4964</v>
      </c>
    </row>
    <row r="717" spans="1:10" x14ac:dyDescent="0.2">
      <c r="B717" s="2262" t="str">
        <f>IF(IF('1.Description'!$AA$9="english",C717,IF('1.Description'!$AA$9="français",D717,E717))=0,"",IF('1.Description'!$AA$9="english",C717,IF('1.Description'!$AA$9="français",D717,E717)))</f>
        <v>Direct seeding without primary tillage, with only minimal soil disturbance in the seeding zone.  Herbicides are typically used for weed control.</v>
      </c>
      <c r="C717" s="1064" t="s">
        <v>3253</v>
      </c>
      <c r="D717" s="1064" t="s">
        <v>5065</v>
      </c>
      <c r="E717" s="1064" t="s">
        <v>4965</v>
      </c>
    </row>
    <row r="718" spans="1:10" x14ac:dyDescent="0.2">
      <c r="B718" s="2262" t="str">
        <f>IF(IF('1.Description'!$AA$9="english",C718,IF('1.Description'!$AA$9="français",D718,E718))=0,"",IF('1.Description'!$AA$9="english",C718,IF('1.Description'!$AA$9="français",D718,E718)))</f>
        <v>Low C input cropland systems are defined by one of the following conditions: 
(1) The crop residues of annual crops are removed or burnt without using organic amendments (e.g. manure) or 
(2) Low residue yielding crops are cultivated (e.g cotton, green maize, vegetables, tobacco) or frequent rotation with bare fallow without  organic  amendments, cover crops/green manures, and mixed crop/grass systems or 
(3) Annual crops with no mineral fertilization or N-fixing crops without irrigation, cover crops/green manures, vegetated fallows, high residue yielding crops and mixed crop/grass systems</v>
      </c>
      <c r="C718" s="1064" t="s">
        <v>4399</v>
      </c>
      <c r="D718" s="1064" t="s">
        <v>5066</v>
      </c>
      <c r="E718" s="1064" t="s">
        <v>4966</v>
      </c>
    </row>
    <row r="719" spans="1:10" x14ac:dyDescent="0.2">
      <c r="B719" s="2262" t="str">
        <f>IF(IF('1.Description'!$AA$9="english",C719,IF('1.Description'!$AA$9="français",D719,E719))=0,"",IF('1.Description'!$AA$9="english",C719,IF('1.Description'!$AA$9="français",D719,E719)))</f>
        <v>Medium C input cropland systems are defined by one of the following conditions: 
(1) annual cropping with cereals where all crop residues are returned to the field; or 
(2) the crop residues of annual crops are removed or burnt BUT  organic amendments (e.g. manure) are applied or 
(3) low residue crops are cultivated (e.g cotton, green maize, vegetables, tobacco) or frequent rotation with bare fallow  BUT using practices that increase C input above low residue varieties such as using organic amendments,  cover crops/green manures, and mixed crop/grass systems or 
(4) annual crops with no mineral fertilization or N-fixing crops BUT using practices that increase C input by enhancing residue production such as irrigation, cover crops/green manures, vegetated fallows, high residue yielding.</v>
      </c>
      <c r="C719" s="1064" t="s">
        <v>4400</v>
      </c>
      <c r="D719" s="1064" t="s">
        <v>5067</v>
      </c>
      <c r="E719" s="1064" t="s">
        <v>4967</v>
      </c>
    </row>
    <row r="720" spans="1:10" x14ac:dyDescent="0.2">
      <c r="B720" s="2262" t="str">
        <f>IF(IF('1.Description'!$AA$9="english",C720,IF('1.Description'!$AA$9="français",D720,E720))=0,"",IF('1.Description'!$AA$9="english",C720,IF('1.Description'!$AA$9="français",D720,E720)))</f>
        <v xml:space="preserve">The crop residues of annual crops are neither  removed nor burnt. It represents significantly greater crop residue inputs over medium C input cropping systems due to additional practices, such as production of high residue yielding crops, use of green manures, cover crops, improved vegetated fallows, irrigation, frequent use of perennial grasses in annual crop rotations,  but without manure applied. 
</v>
      </c>
      <c r="C720" s="1064" t="s">
        <v>3257</v>
      </c>
      <c r="D720" s="1064" t="s">
        <v>5068</v>
      </c>
      <c r="E720" s="1064" t="s">
        <v>4968</v>
      </c>
    </row>
    <row r="721" spans="2:5" x14ac:dyDescent="0.2">
      <c r="B721" s="2262" t="str">
        <f>IF(IF('1.Description'!$AA$9="english",C721,IF('1.Description'!$AA$9="français",D721,E721))=0,"",IF('1.Description'!$AA$9="english",C721,IF('1.Description'!$AA$9="français",D721,E721)))</f>
        <v>Represents significantly higher C input over medium C input cropping systems due to an additional practice of regular addition of animal manure.</v>
      </c>
      <c r="C721" s="1064" t="s">
        <v>3259</v>
      </c>
      <c r="D721" s="1064" t="s">
        <v>5069</v>
      </c>
      <c r="E721" s="1064" t="s">
        <v>4969</v>
      </c>
    </row>
    <row r="722" spans="2:5" x14ac:dyDescent="0.2">
      <c r="B722" s="2262" t="str">
        <f>IF(IF('1.Description'!$AA$9="english",C722,IF('1.Description'!$AA$9="français",D722,E722))=0,"",IF('1.Description'!$AA$9="english",C722,IF('1.Description'!$AA$9="français",D722,E722)))</f>
        <v>Crop residues are left on the field site to decompose and be re-incorporated in the crop’s soil. Retaining of residues is usually associated with reduced or no-till practices.</v>
      </c>
      <c r="C722" s="1064" t="s">
        <v>3261</v>
      </c>
      <c r="D722" s="1064" t="s">
        <v>5070</v>
      </c>
      <c r="E722" s="1064" t="s">
        <v>4970</v>
      </c>
    </row>
    <row r="723" spans="2:5" x14ac:dyDescent="0.2">
      <c r="B723" s="2262" t="str">
        <f>IF(IF('1.Description'!$AA$9="english",C723,IF('1.Description'!$AA$9="français",D723,E723))=0,"",IF('1.Description'!$AA$9="english",C723,IF('1.Description'!$AA$9="français",D723,E723)))</f>
        <v>Crop residues are removed from the field site, in order to be used for other activities (e.g. feeding, energy production). </v>
      </c>
      <c r="C723" s="1064" t="s">
        <v>3263</v>
      </c>
      <c r="D723" s="1064" t="s">
        <v>5071</v>
      </c>
      <c r="E723" s="1064" t="s">
        <v>4971</v>
      </c>
    </row>
    <row r="724" spans="2:5" x14ac:dyDescent="0.2">
      <c r="B724" s="2262" t="str">
        <f>IF(IF('1.Description'!$AA$9="english",C724,IF('1.Description'!$AA$9="français",D724,E724))=0,"",IF('1.Description'!$AA$9="english",C724,IF('1.Description'!$AA$9="français",D724,E724)))</f>
        <v>Crop residues are burnt.</v>
      </c>
      <c r="C724" s="1064" t="s">
        <v>3265</v>
      </c>
      <c r="D724" s="1064" t="s">
        <v>5072</v>
      </c>
      <c r="E724" s="1064" t="s">
        <v>4972</v>
      </c>
    </row>
    <row r="725" spans="2:5" x14ac:dyDescent="0.2">
      <c r="B725" s="2262" t="str">
        <f>IF(IF('1.Description'!$AA$9="english",C725,IF('1.Description'!$AA$9="français",D725,E725))=0,"",IF('1.Description'!$AA$9="english",C725,IF('1.Description'!$AA$9="français",D725,E725)))</f>
        <v/>
      </c>
    </row>
    <row r="726" spans="2:5" x14ac:dyDescent="0.2">
      <c r="B726" s="2262" t="str">
        <f>IF(IF('1.Description'!$AA$9="english",C726,IF('1.Description'!$AA$9="français",D726,E726))=0,"",IF('1.Description'!$AA$9="english",C726,IF('1.Description'!$AA$9="français",D726,E726)))</f>
        <v>Land rested from cultivation, but comprises planted and managed trees, often leguminous, shrubs and herbaceous cover crops before it is cultivated again. Includes improved and natural fallows, and can be implemented before any of the following systems.</v>
      </c>
      <c r="C726" s="1064" t="s">
        <v>3268</v>
      </c>
      <c r="D726" s="1064" t="s">
        <v>5073</v>
      </c>
      <c r="E726" s="1064" t="s">
        <v>4973</v>
      </c>
    </row>
    <row r="727" spans="2:5" x14ac:dyDescent="0.2">
      <c r="B727" s="2262" t="str">
        <f>IF(IF('1.Description'!$AA$9="english",C727,IF('1.Description'!$AA$9="français",D727,E727))=0,"",IF('1.Description'!$AA$9="english",C727,IF('1.Description'!$AA$9="français",D727,E727)))</f>
        <v>Linear plantation around fields, including shelterbelts, windbreaks, boundary plantings and live fences.</v>
      </c>
      <c r="C727" s="1064" t="s">
        <v>3269</v>
      </c>
      <c r="D727" s="1064" t="s">
        <v>5074</v>
      </c>
      <c r="E727" s="1064" t="s">
        <v>4974</v>
      </c>
    </row>
    <row r="728" spans="2:5" x14ac:dyDescent="0.2">
      <c r="B728" s="2262" t="str">
        <f>IF(IF('1.Description'!$AA$9="english",C728,IF('1.Description'!$AA$9="français",D728,E728))=0,"",IF('1.Description'!$AA$9="english",C728,IF('1.Description'!$AA$9="français",D728,E728)))</f>
        <v>Fast-growing, usually leguminous, woody species (mainly shrubs) grown in crop fields, usually at high densities. The woody species are regularly pruned  and the prunings are applied as mulch into the alleys as a source of organic matter and nutrients. Also known as intercropping.</v>
      </c>
      <c r="C728" s="1064" t="s">
        <v>3270</v>
      </c>
      <c r="D728" s="1064" t="s">
        <v>5075</v>
      </c>
      <c r="E728" s="1064" t="s">
        <v>4975</v>
      </c>
    </row>
    <row r="729" spans="2:5" x14ac:dyDescent="0.2">
      <c r="B729" s="2262" t="str">
        <f>IF(IF('1.Description'!$AA$9="english",C729,IF('1.Description'!$AA$9="français",D729,E729))=0,"",IF('1.Description'!$AA$9="english",C729,IF('1.Description'!$AA$9="français",D729,E729)))</f>
        <v>Multistorey combinations of a large number of various trees and perennial and annual crops. They include home gardens and agroforests.</v>
      </c>
      <c r="C729" s="1064" t="s">
        <v>3271</v>
      </c>
      <c r="D729" s="1064" t="s">
        <v>5076</v>
      </c>
      <c r="E729" s="1064" t="s">
        <v>4976</v>
      </c>
    </row>
    <row r="730" spans="2:5" x14ac:dyDescent="0.2">
      <c r="B730" s="2262" t="str">
        <f>IF(IF('1.Description'!$AA$9="english",C730,IF('1.Description'!$AA$9="français",D730,E730))=0,"",IF('1.Description'!$AA$9="english",C730,IF('1.Description'!$AA$9="français",D730,E730)))</f>
        <v>Intercropping of agricultural crops or grazing land under low density mature scattered trees.  Typical of dry areas like Sahel (e.g. Faidherbia albida).</v>
      </c>
      <c r="C730" s="1064" t="s">
        <v>3272</v>
      </c>
      <c r="D730" s="1064" t="s">
        <v>5075</v>
      </c>
      <c r="E730" s="1064" t="s">
        <v>4977</v>
      </c>
    </row>
    <row r="731" spans="2:5" x14ac:dyDescent="0.2">
      <c r="B731" s="2262" t="str">
        <f>IF(IF('1.Description'!$AA$9="english",C731,IF('1.Description'!$AA$9="français",D731,E731))=0,"",IF('1.Description'!$AA$9="english",C731,IF('1.Description'!$AA$9="français",D731,E731)))</f>
        <v>Growing shade-tolerant species such as cacao and coffee under, or in between, overstorey shade trees that can be used for timber or other commercial tree products</v>
      </c>
      <c r="C731" s="1064" t="s">
        <v>3274</v>
      </c>
      <c r="D731" s="1064" t="s">
        <v>5077</v>
      </c>
      <c r="E731" s="1064" t="s">
        <v>4978</v>
      </c>
    </row>
    <row r="732" spans="2:5" x14ac:dyDescent="0.2">
      <c r="B732" s="2262" t="str">
        <f>IF(IF('1.Description'!$AA$9="english",C732,IF('1.Description'!$AA$9="français",D732,E732))=0,"",IF('1.Description'!$AA$9="english",C732,IF('1.Description'!$AA$9="français",D732,E732)))</f>
        <v>Woody species planted in parallel tree rows to allow mechanization and intercropped with an annual crop; usually used for timber (e.p. Juglans spp), but also for fuel (e.g. Populus spp). Usually low tree density per hectare.</v>
      </c>
      <c r="C732" s="1064" t="s">
        <v>3275</v>
      </c>
      <c r="D732" s="1064" t="s">
        <v>5078</v>
      </c>
      <c r="E732" s="1064" t="s">
        <v>4979</v>
      </c>
    </row>
    <row r="733" spans="2:5" x14ac:dyDescent="0.2">
      <c r="B733" s="2262" t="str">
        <f>IF(IF('1.Description'!$AA$9="english",C733,IF('1.Description'!$AA$9="français",D733,E733))=0,"",IF('1.Description'!$AA$9="english",C733,IF('1.Description'!$AA$9="français",D733,E733)))</f>
        <v>Woody species planted on permanent grasslands, often grazed.</v>
      </c>
      <c r="C733" s="1064" t="s">
        <v>3276</v>
      </c>
      <c r="D733" s="1064" t="s">
        <v>5079</v>
      </c>
      <c r="E733" s="1064" t="s">
        <v>4980</v>
      </c>
    </row>
    <row r="734" spans="2:5" x14ac:dyDescent="0.2">
      <c r="B734" s="2262" t="str">
        <f>IF(IF('1.Description'!$AA$9="english",C734,IF('1.Description'!$AA$9="français",D734,E734))=0,"",IF('1.Description'!$AA$9="english",C734,IF('1.Description'!$AA$9="français",D734,E734)))</f>
        <v/>
      </c>
    </row>
    <row r="735" spans="2:5" x14ac:dyDescent="0.2">
      <c r="B735" s="2262" t="str">
        <f>IF(IF('1.Description'!$AA$9="english",C735,IF('1.Description'!$AA$9="français",D735,E735))=0,"",IF('1.Description'!$AA$9="english",C735,IF('1.Description'!$AA$9="français",D735,E735)))</f>
        <v>Fields are flooded for a significant period of time and the water regime is fully controlled.</v>
      </c>
      <c r="C735" s="1064" t="s">
        <v>3278</v>
      </c>
      <c r="D735" s="1064" t="s">
        <v>5080</v>
      </c>
      <c r="E735" s="1064" t="s">
        <v>4981</v>
      </c>
    </row>
    <row r="736" spans="2:5" x14ac:dyDescent="0.2">
      <c r="B736" s="2262" t="str">
        <f>IF(IF('1.Description'!$AA$9="english",C736,IF('1.Description'!$AA$9="français",D736,E736))=0,"",IF('1.Description'!$AA$9="english",C736,IF('1.Description'!$AA$9="français",D736,E736)))</f>
        <v>Fields have standing water throughout the rice growing season and may only dry out for harvest  end-season drainage. Rice is cultivated under continuously  flooded condintion but sometimes an end-season drainage before rice harvest included.</v>
      </c>
      <c r="C736" s="1064" t="s">
        <v>3280</v>
      </c>
      <c r="D736" s="1064" t="s">
        <v>5081</v>
      </c>
      <c r="E736" s="1064" t="s">
        <v>4982</v>
      </c>
    </row>
    <row r="737" spans="2:5" x14ac:dyDescent="0.2">
      <c r="B737" s="2262" t="str">
        <f>IF(IF('1.Description'!$AA$9="english",C737,IF('1.Description'!$AA$9="français",D737,E737))=0,"",IF('1.Description'!$AA$9="english",C737,IF('1.Description'!$AA$9="français",D737,E737)))</f>
        <v>Fields have a single drainage event and period during the cropping season at any growth stage, in addition to the end of season drainage. One mid-season drainage and an end-season drainage are adopted over the entire rice-growing season.</v>
      </c>
      <c r="C737" s="1064" t="s">
        <v>3282</v>
      </c>
      <c r="D737" s="1064" t="s">
        <v>5082</v>
      </c>
      <c r="E737" s="1064" t="s">
        <v>4983</v>
      </c>
    </row>
    <row r="738" spans="2:5" x14ac:dyDescent="0.2">
      <c r="B738" s="2262" t="str">
        <f>IF(IF('1.Description'!$AA$9="english",C738,IF('1.Description'!$AA$9="français",D738,E738))=0,"",IF('1.Description'!$AA$9="english",C738,IF('1.Description'!$AA$9="français",D738,E738)))</f>
        <v>Fields have more than one drainage event and period of time without flooded conditions during the cropping season, in addition to an end of season drainage, including alternate wetting and drying (AWD). Also called 'intermittent irrigation', in which the number of drainage events was not clear, but there are more than one events during the growing season.</v>
      </c>
      <c r="C738" s="1064" t="s">
        <v>3284</v>
      </c>
      <c r="D738" s="1064" t="s">
        <v>5083</v>
      </c>
      <c r="E738" s="1064" t="s">
        <v>4984</v>
      </c>
    </row>
    <row r="739" spans="2:5" x14ac:dyDescent="0.2">
      <c r="B739" s="2262" t="str">
        <f>IF(IF('1.Description'!$AA$9="english",C739,IF('1.Description'!$AA$9="français",D739,E739))=0,"",IF('1.Description'!$AA$9="english",C739,IF('1.Description'!$AA$9="français",D739,E739)))</f>
        <v>Fields are flooded for a significant period of time with water regimes that depend solely on precipitation.</v>
      </c>
      <c r="C739" s="1064" t="s">
        <v>3286</v>
      </c>
      <c r="D739" s="1064" t="s">
        <v>5084</v>
      </c>
      <c r="E739" s="1064" t="s">
        <v>4985</v>
      </c>
    </row>
    <row r="740" spans="2:5" x14ac:dyDescent="0.2">
      <c r="B740" s="2262" t="str">
        <f>IF(IF('1.Description'!$AA$9="english",C740,IF('1.Description'!$AA$9="français",D740,E740))=0,"",IF('1.Description'!$AA$9="english",C740,IF('1.Description'!$AA$9="français",D740,E740)))</f>
        <v>Rice cultivation that relies on rainfall for water, in this case the field is flood prone during the rice-growing season. The water level may rise up to 50 cm during the cropping season.</v>
      </c>
      <c r="C740" s="1064" t="s">
        <v>3287</v>
      </c>
      <c r="D740" s="1064" t="s">
        <v>5085</v>
      </c>
      <c r="E740" s="1064" t="s">
        <v>4986</v>
      </c>
    </row>
    <row r="741" spans="2:5" x14ac:dyDescent="0.2">
      <c r="B741" s="2262" t="str">
        <f>IF(IF('1.Description'!$AA$9="english",C741,IF('1.Description'!$AA$9="français",D741,E741))=0,"",IF('1.Description'!$AA$9="english",C741,IF('1.Description'!$AA$9="français",D741,E741)))</f>
        <v>Rice cultivation that relies on rainfall for water, in this case the field is drought prone during the rice-growing season. Drought periods occur during every cropping season.</v>
      </c>
      <c r="C741" s="1064" t="s">
        <v>3288</v>
      </c>
      <c r="D741" s="1064" t="s">
        <v>5086</v>
      </c>
      <c r="E741" s="1064" t="s">
        <v>4987</v>
      </c>
    </row>
    <row r="742" spans="2:5" x14ac:dyDescent="0.2">
      <c r="B742" s="2262" t="str">
        <f>IF(IF('1.Description'!$AA$9="english",C742,IF('1.Description'!$AA$9="français",D742,E742))=0,"",IF('1.Description'!$AA$9="english",C742,IF('1.Description'!$AA$9="français",D742,E742)))</f>
        <v>Water level rises to more than 50 cm above the soil for a significant period of time during the cropping season.</v>
      </c>
      <c r="C742" s="1064" t="s">
        <v>3290</v>
      </c>
      <c r="D742" s="1064" t="s">
        <v>5087</v>
      </c>
      <c r="E742" s="1064" t="s">
        <v>4988</v>
      </c>
    </row>
    <row r="743" spans="2:5" x14ac:dyDescent="0.2">
      <c r="B743" s="2262" t="str">
        <f>IF(IF('1.Description'!$AA$9="english",C743,IF('1.Description'!$AA$9="français",D743,E743))=0,"",IF('1.Description'!$AA$9="english",C743,IF('1.Description'!$AA$9="français",D743,E743)))</f>
        <v>Permanently flooded rice fields are assumed to have a preseason water regime of ‘flooded pre-season’. Late rice (e.g., in China) is usually planted immediately after early rice on the same field and is therefore regarded as having a pre-season water regime of ‘flooded pre-season’.</v>
      </c>
      <c r="C743" s="1064" t="s">
        <v>3292</v>
      </c>
      <c r="D743" s="1064" t="s">
        <v>5088</v>
      </c>
      <c r="E743" s="1064" t="s">
        <v>4989</v>
      </c>
    </row>
    <row r="744" spans="2:5" x14ac:dyDescent="0.2">
      <c r="B744" s="2262" t="str">
        <f>IF(IF('1.Description'!$AA$9="english",C744,IF('1.Description'!$AA$9="français",D744,E744))=0,"",IF('1.Description'!$AA$9="english",C744,IF('1.Description'!$AA$9="français",D744,E744)))</f>
        <v>If rice is planted once a year and the field is not flooded in the non-rice growing season, the preseason water regime is classified as  ‘non flooded pre-season &gt;180 d’.</v>
      </c>
      <c r="C744" s="1064" t="s">
        <v>3294</v>
      </c>
      <c r="D744" s="1064" t="s">
        <v>5089</v>
      </c>
      <c r="E744" s="1064" t="s">
        <v>4990</v>
      </c>
    </row>
    <row r="745" spans="2:5" x14ac:dyDescent="0.2">
      <c r="B745" s="2262" t="str">
        <f>IF(IF('1.Description'!$AA$9="english",C745,IF('1.Description'!$AA$9="français",D745,E745))=0,"",IF('1.Description'!$AA$9="english",C745,IF('1.Description'!$AA$9="français",D745,E745)))</f>
        <v>Rice is planted more than once a year, but there is more than one month of fallow time between the two seasons, ‘non-flooded pre-season &lt;180 d’ usually implies pre-season drainage.</v>
      </c>
      <c r="C745" s="1064" t="s">
        <v>3296</v>
      </c>
      <c r="D745" s="1064" t="s">
        <v>5090</v>
      </c>
      <c r="E745" s="1064" t="s">
        <v>4991</v>
      </c>
    </row>
    <row r="746" spans="2:5" x14ac:dyDescent="0.2">
      <c r="B746" s="2262" t="str">
        <f>IF(IF('1.Description'!$AA$9="english",C746,IF('1.Description'!$AA$9="français",D746,E746))=0,"",IF('1.Description'!$AA$9="english",C746,IF('1.Description'!$AA$9="français",D746,E746)))</f>
        <v>Refers to the number of times rice is harvested per year. By default 1.</v>
      </c>
      <c r="C746" s="1064" t="s">
        <v>3298</v>
      </c>
      <c r="D746" s="1064" t="s">
        <v>5091</v>
      </c>
      <c r="E746" s="1064" t="s">
        <v>4992</v>
      </c>
    </row>
    <row r="747" spans="2:5" x14ac:dyDescent="0.2">
      <c r="B747" s="2262" t="str">
        <f>IF(IF('1.Description'!$AA$9="english",C747,IF('1.Description'!$AA$9="français",D747,E747))=0,"",IF('1.Description'!$AA$9="english",C747,IF('1.Description'!$AA$9="français",D747,E747)))</f>
        <v>Straw applied just before rice transplanting as on-season; straw that is left on the soil surface in the fallow season and incorporated into the soil before the next rice transplanting is also categorized as ‘straw incorporated shortly (&lt;30 days) before cultivation’. The amount of straw return is expressed in dry weight (t ha-1).</v>
      </c>
      <c r="C747" s="1064" t="s">
        <v>3300</v>
      </c>
      <c r="D747" s="1064" t="s">
        <v>5092</v>
      </c>
      <c r="E747" s="1064" t="s">
        <v>4993</v>
      </c>
    </row>
    <row r="748" spans="2:5" x14ac:dyDescent="0.2">
      <c r="B748" s="2262" t="str">
        <f>IF(IF('1.Description'!$AA$9="english",C748,IF('1.Description'!$AA$9="français",D748,E748))=0,"",IF('1.Description'!$AA$9="english",C748,IF('1.Description'!$AA$9="français",D748,E748)))</f>
        <v>Straw incorporated into soils in the previous season (upland crop or fallow) is categorized as ‘straw incorporated long (&gt;30 days) before cultivation’.  The amount of straw return is expressed in dry weight (t ha-1).</v>
      </c>
      <c r="C748" s="1064" t="s">
        <v>3302</v>
      </c>
      <c r="D748" s="1064" t="s">
        <v>5093</v>
      </c>
      <c r="E748" s="1064" t="s">
        <v>4994</v>
      </c>
    </row>
    <row r="749" spans="2:5" x14ac:dyDescent="0.2">
      <c r="B749" s="2262" t="str">
        <f>IF(IF('1.Description'!$AA$9="english",C749,IF('1.Description'!$AA$9="français",D749,E749))=0,"",IF('1.Description'!$AA$9="english",C749,IF('1.Description'!$AA$9="français",D749,E749)))</f>
        <v/>
      </c>
    </row>
    <row r="750" spans="2:5" x14ac:dyDescent="0.2">
      <c r="B750" s="2262" t="str">
        <f>IF(IF('1.Description'!$AA$9="english",C750,IF('1.Description'!$AA$9="français",D750,E750))=0,"",IF('1.Description'!$AA$9="english",C750,IF('1.Description'!$AA$9="français",D750,E750)))</f>
        <v>Productivity systems</v>
      </c>
      <c r="C750" s="1064" t="s">
        <v>3305</v>
      </c>
      <c r="D750" s="1064" t="s">
        <v>5094</v>
      </c>
      <c r="E750" s="1064" t="s">
        <v>4995</v>
      </c>
    </row>
    <row r="751" spans="2:5" x14ac:dyDescent="0.2">
      <c r="B751" s="2262" t="str">
        <f>IF(IF('1.Description'!$AA$9="english",C751,IF('1.Description'!$AA$9="français",D751,E751))=0,"",IF('1.Description'!$AA$9="english",C751,IF('1.Description'!$AA$9="français",D751,E751)))</f>
        <v>Mature cows (first lactation and beyond) that are producing milk in commercial quantities for consumption. Dairy cow population should not be confused with multi-purpose cows that may be used for more than one production purpose milk, meat or draft.</v>
      </c>
      <c r="C751" s="1064" t="s">
        <v>3306</v>
      </c>
      <c r="D751" s="1064" t="s">
        <v>5095</v>
      </c>
      <c r="E751" s="1064" t="s">
        <v>4996</v>
      </c>
    </row>
    <row r="752" spans="2:5" x14ac:dyDescent="0.2">
      <c r="B752" s="2262" t="str">
        <f>IF(IF('1.Description'!$AA$9="english",C752,IF('1.Description'!$AA$9="français",D752,E752))=0,"",IF('1.Description'!$AA$9="english",C752,IF('1.Description'!$AA$9="français",D752,E752)))</f>
        <v>High-yielding dairy cows that are concentrated in confinement production systems or grazing on high quality pastures with supplements. The farms are 100-percent market oriented for commercial milk production, for national markets and/or export; Purebred or crossbred cattle are genetically improved through selective breeding for milk production.</v>
      </c>
      <c r="C752" s="1064" t="s">
        <v>3308</v>
      </c>
      <c r="D752" s="1064" t="s">
        <v>5096</v>
      </c>
      <c r="E752" s="1064" t="s">
        <v>4997</v>
      </c>
    </row>
    <row r="753" spans="2:5" x14ac:dyDescent="0.2">
      <c r="B753" s="2262" t="str">
        <f>IF(IF('1.Description'!$AA$9="english",C753,IF('1.Description'!$AA$9="français",D753,E753))=0,"",IF('1.Description'!$AA$9="english",C753,IF('1.Description'!$AA$9="français",D753,E753)))</f>
        <v>Low-yielding dairy cows, grazing non improved pastures, and using locally produced roughage (e.g. crop residues), and agro-industrial by-products. Local breeds or crossbred cows are bred locally, without intensive selection for milk productivity. Milk production is mostly for local market and local consumption.</v>
      </c>
      <c r="C753" s="1064" t="s">
        <v>3310</v>
      </c>
      <c r="D753" s="1064" t="s">
        <v>5097</v>
      </c>
      <c r="E753" s="1064" t="s">
        <v>4998</v>
      </c>
    </row>
    <row r="754" spans="2:5" x14ac:dyDescent="0.2">
      <c r="B754" s="2262" t="str">
        <f>IF(IF('1.Description'!$AA$9="english",C754,IF('1.Description'!$AA$9="français",D754,E754))=0,"",IF('1.Description'!$AA$9="english",C754,IF('1.Description'!$AA$9="français",D754,E754)))</f>
        <v>Based on animal feeding systems using forage (e.g. high-quality grass) and concentrates in confinement production systems or grazing with supplements or on improved pastures, producing high rates of daily weight gain. Animals can be purebred or crossbred and are genetically improved through selective breeding for improved commercial meat production. Growing cattle may be finished young in "intensive grazing with supplements" or feedlot systems, and meat is produced for national markets and/or export.</v>
      </c>
      <c r="C754" s="1064" t="s">
        <v>3312</v>
      </c>
      <c r="D754" s="1064" t="s">
        <v>5098</v>
      </c>
      <c r="E754" s="1064" t="s">
        <v>4999</v>
      </c>
    </row>
    <row r="755" spans="2:5" x14ac:dyDescent="0.2">
      <c r="B755" s="2262" t="str">
        <f>IF(IF('1.Description'!$AA$9="english",C755,IF('1.Description'!$AA$9="français",D755,E755))=0,"",IF('1.Description'!$AA$9="english",C755,IF('1.Description'!$AA$9="français",D755,E755)))</f>
        <v>Based on animal feeding systems where locally produced roughage (e.g. crop residues) or low quality rangelands represent the major source of feed utilized, producing low rates of daily weight gain. Animals can be represented by local breeds or may be crossbred and can also be used for multiple purposes such as draft, meat and milk for self consumption and markets.</v>
      </c>
      <c r="C755" s="1064" t="s">
        <v>3314</v>
      </c>
      <c r="D755" s="1064" t="s">
        <v>5099</v>
      </c>
      <c r="E755" s="1064" t="s">
        <v>5000</v>
      </c>
    </row>
    <row r="756" spans="2:5" x14ac:dyDescent="0.2">
      <c r="B756" s="2262" t="str">
        <f>IF(IF('1.Description'!$AA$9="english",C756,IF('1.Description'!$AA$9="français",D756,E756))=0,"",IF('1.Description'!$AA$9="english",C756,IF('1.Description'!$AA$9="français",D756,E756)))</f>
        <v>Are 100 percent market oriented with high level of capital input requirements and high level of overall herd (flock) performance. Feed is purchased from local or international market or intensively produced on farm. Animals are improved through breeding practices for commercial production. The high-productivity systems are common in swine, poultry, goats and sheep production.</v>
      </c>
      <c r="C756" s="1064" t="s">
        <v>3316</v>
      </c>
      <c r="D756" s="1064" t="s">
        <v>5100</v>
      </c>
      <c r="E756" s="1064" t="s">
        <v>5001</v>
      </c>
    </row>
    <row r="757" spans="2:5" x14ac:dyDescent="0.2">
      <c r="B757" s="2262" t="str">
        <f>IF(IF('1.Description'!$AA$9="english",C757,IF('1.Description'!$AA$9="français",D757,E757))=0,"",IF('1.Description'!$AA$9="english",C757,IF('1.Description'!$AA$9="français",D757,E757)))</f>
        <v>Are mainly driven by local market or by self-consumption, with low capital input requirements and low level of overall herd (fowl) performance typically using large areas for production or backyards. Locally produced feed represents the major source of feed utilized or animals are kept-free range for major part or all of their production cycle, the yield of the activity being linked to the natural fertility of the land and the seasonal production of the pastures. The low-productivity systems are common in swine, poultry, goats and sheep production</v>
      </c>
      <c r="C757" s="1064" t="s">
        <v>3318</v>
      </c>
      <c r="D757" s="1064" t="s">
        <v>5101</v>
      </c>
      <c r="E757" s="1064" t="s">
        <v>5002</v>
      </c>
    </row>
    <row r="758" spans="2:5" x14ac:dyDescent="0.2">
      <c r="B758" s="2262" t="str">
        <f>IF(IF('1.Description'!$AA$9="english",C758,IF('1.Description'!$AA$9="français",D758,E758))=0,"",IF('1.Description'!$AA$9="english",C758,IF('1.Description'!$AA$9="français",D758,E758)))</f>
        <v/>
      </c>
    </row>
    <row r="759" spans="2:5" x14ac:dyDescent="0.2">
      <c r="B759" s="2262" t="str">
        <f>IF(IF('1.Description'!$AA$9="english",C759,IF('1.Description'!$AA$9="français",D759,E759))=0,"",IF('1.Description'!$AA$9="english",C759,IF('1.Description'!$AA$9="français",D759,E759)))</f>
        <v>Cattle: Highly productive commercialized dairy sector feeding high quality forage and grain. Separate beef cow herd, primarily grazing with feed supplements seasonally. Fast-growing beef steers/heifers finished in feedlots on grain. Dairy cows are a small part of the population. There are no buffalo herds, but American bison may be raised.</v>
      </c>
      <c r="C759" s="1064" t="s">
        <v>4401</v>
      </c>
      <c r="D759" s="1064" t="s">
        <v>5102</v>
      </c>
      <c r="E759" s="1064" t="s">
        <v>5003</v>
      </c>
    </row>
    <row r="760" spans="2:5" x14ac:dyDescent="0.2">
      <c r="B760" s="2262" t="str">
        <f>IF(IF('1.Description'!$AA$9="english",C760,IF('1.Description'!$AA$9="français",D760,E760))=0,"",IF('1.Description'!$AA$9="english",C760,IF('1.Description'!$AA$9="français",D760,E760)))</f>
        <v>Cattle: Highly productive commercialised dairy sector feeding high quality forage and grain. Dairy cows also used for beef calf production. Very small dedicated beef cow herd. Minor amount of feedlot feeding with grains.
Buffalo: Buffalo farming system is exclusively intensive. The concentrates are largely used only during the lactation phase. Animals are maintained in paddocks, grazing practices are not widespread.</v>
      </c>
      <c r="C760" s="1064" t="s">
        <v>4402</v>
      </c>
      <c r="D760" s="1064" t="s">
        <v>5103</v>
      </c>
      <c r="E760" s="1064" t="s">
        <v>5004</v>
      </c>
    </row>
    <row r="761" spans="2:5" x14ac:dyDescent="0.2">
      <c r="B761" s="2262" t="str">
        <f>IF(IF('1.Description'!$AA$9="english",C761,IF('1.Description'!$AA$9="français",D761,E761))=0,"",IF('1.Description'!$AA$9="english",C761,IF('1.Description'!$AA$9="français",D761,E761)))</f>
        <v>Cattle: Commercialised dairy sector feeding based on forages and gains. Separate beef cow herd, primarily grazing. Minor amount of feedlot feeding with grains.
Buffalo: Commercialized buffalo sector feeding primarily with roughages. Buffaloes are managed according to their categories. Animals are maintained paddock and tied up during the winter, in summer they are allowed to graze.</v>
      </c>
      <c r="C761" s="1064" t="s">
        <v>4403</v>
      </c>
      <c r="D761" s="1064" t="s">
        <v>5104</v>
      </c>
      <c r="E761" s="1064" t="s">
        <v>5005</v>
      </c>
    </row>
    <row r="762" spans="2:5" x14ac:dyDescent="0.2">
      <c r="B762" s="2262" t="str">
        <f>IF(IF('1.Description'!$AA$9="english",C762,IF('1.Description'!$AA$9="français",D762,E762))=0,"",IF('1.Description'!$AA$9="english",C762,IF('1.Description'!$AA$9="français",D762,E762)))</f>
        <v>Cattle: Commercialised dairy sector based on grazing. Separate beef cow herd, primarily grazing rangelands5 and hill country of widely varying quality. Growing amount of feedlot feeding with grains. Dairy cows are a small part of the population. No Buffalo herd.</v>
      </c>
      <c r="C762" s="1064" t="s">
        <v>4404</v>
      </c>
      <c r="D762" s="1064" t="s">
        <v>5105</v>
      </c>
      <c r="E762" s="1064" t="s">
        <v>5006</v>
      </c>
    </row>
    <row r="763" spans="2:5" x14ac:dyDescent="0.2">
      <c r="B763" s="2262" t="str">
        <f>IF(IF('1.Description'!$AA$9="english",C763,IF('1.Description'!$AA$9="français",D763,E763))=0,"",IF('1.Description'!$AA$9="english",C763,IF('1.Description'!$AA$9="français",D763,E763)))</f>
        <v>Cattle: Commercialised dairy sector based on grazing. Separate beef cow herd grazing pastures and rangelands. Minor amount of feedlot feeding with grains. Growing non-dairy cattle comprise a large portion of the population.
Buffalo: Buffalo husbandry is based on extensive systems in native or cultivated pastures in lowlands and uplands, most often without supply of concentrated feed. Milk production is based on pasture with frequent supplementation of roughage (sugar cane, silage, etc.), with a predominance of one single milking.</v>
      </c>
      <c r="C763" s="1064" t="s">
        <v>4405</v>
      </c>
      <c r="D763" s="1064" t="s">
        <v>5106</v>
      </c>
      <c r="E763" s="1064" t="s">
        <v>5007</v>
      </c>
    </row>
    <row r="764" spans="2:5" x14ac:dyDescent="0.2">
      <c r="B764" s="2262" t="str">
        <f>IF(IF('1.Description'!$AA$9="english",C764,IF('1.Description'!$AA$9="français",D764,E764))=0,"",IF('1.Description'!$AA$9="english",C764,IF('1.Description'!$AA$9="français",D764,E764)))</f>
        <v>Cattle: Commercialised dairy sector is experienced fundamental changes due to increasing number of large farms with intensive production system based on grains and forage. Cattle kept in traditional production systems are multi-purpose, providing draft power and some milk within farming regions. Cattle of all types are smaller than those found in most other regions.
Buffalo: Buffaloes are generally swamp type. Buffaloes are raised by smallholder farmers as source of draft power. Animals are commonly grazed in field and fed on agriculture residual products. Milk yield per cow is low. Nevertheless, the dairy buffalo breeding is rapidly developing in countryside of Asia.</v>
      </c>
      <c r="C764" s="1064" t="s">
        <v>4406</v>
      </c>
      <c r="D764" s="1064" t="s">
        <v>5107</v>
      </c>
      <c r="E764" s="1064" t="s">
        <v>5008</v>
      </c>
    </row>
    <row r="765" spans="2:5" x14ac:dyDescent="0.2">
      <c r="B765" s="2262" t="str">
        <f>IF(IF('1.Description'!$AA$9="english",C765,IF('1.Description'!$AA$9="français",D765,E765))=0,"",IF('1.Description'!$AA$9="english",C765,IF('1.Description'!$AA$9="français",D765,E765)))</f>
        <v>Cattle: Commercialised dairy sector based on grazing with low production per cow. Most cattle are multi-purpose, providing draft power and some milk within farming regions. Some cattle graze over very large areas. Cattle are smaller than those found in most other regions.
Buffalo: Small-scale buffalo sector well-integrated with cropland. Animals are raised for multi-purpose. Feeding primarily depends on roughages and crop-residues. Minor commercial dairy buffalo farms feeding with concentrate feed mixture.</v>
      </c>
      <c r="C765" s="1064" t="s">
        <v>4407</v>
      </c>
      <c r="D765" s="1064" t="s">
        <v>5108</v>
      </c>
      <c r="E765" s="1064" t="s">
        <v>5009</v>
      </c>
    </row>
    <row r="766" spans="2:5" x14ac:dyDescent="0.2">
      <c r="B766" s="2262" t="str">
        <f>IF(IF('1.Description'!$AA$9="english",C766,IF('1.Description'!$AA$9="français",D766,E766))=0,"",IF('1.Description'!$AA$9="english",C766,IF('1.Description'!$AA$9="français",D766,E766)))</f>
        <v>Cattle: Majority of cattle population is still kept by small holders in the traditional production systems. The animals are fed primarily by crop residues and are grazed. Most animals are dual-purpose. In contrast to the small-scale farms, commercial dairy sector is generally intensive, mainly based on compound feed and grains.
Buffalo: Buffalo farming system primarily based on smallholders rearing animals for meat, milk and draught. Animals obtain their feeding by grazing. Minor commercialized buffalo sector feeding forage and concentrate supplemented feed.</v>
      </c>
      <c r="C766" s="1064" t="s">
        <v>4408</v>
      </c>
      <c r="D766" s="1064" t="s">
        <v>5109</v>
      </c>
      <c r="E766" s="1064" t="s">
        <v>5010</v>
      </c>
    </row>
    <row r="767" spans="2:5" x14ac:dyDescent="0.2">
      <c r="B767" s="2262" t="str">
        <f>IF(IF('1.Description'!$AA$9="english",C767,IF('1.Description'!$AA$9="français",D767,E767))=0,"",IF('1.Description'!$AA$9="english",C767,IF('1.Description'!$AA$9="français",D767,E767)))</f>
        <v>Cattle: Commercialised dairy sector based on crop by-product feeding with low production per cow. Most bullocks provide draft power and cows provide some milk in farming regions. Cattle in this region are the smallest compared to cattle found in all other regions.
Buffalo: Smallholder buffalo sector feeding poor quality roughages and crop-residues. Buffaloes are primarily free grazing. Concentrates are fed to dairy animals during last months of pregnancy. Dairy and meat production are intimately related. Animals are used as draft power. Minor commercialized buffalo sector providing animals with balanced ration.</v>
      </c>
      <c r="C767" s="1064" t="s">
        <v>4409</v>
      </c>
      <c r="D767" s="1064" t="s">
        <v>5110</v>
      </c>
      <c r="E767" s="1064" t="s">
        <v>5011</v>
      </c>
    </row>
    <row r="768" spans="2:5" x14ac:dyDescent="0.2">
      <c r="B768" s="2262" t="str">
        <f>IF(IF('1.Description'!$AA$9="english",C768,IF('1.Description'!$AA$9="français",D768,E768))=0,"",IF('1.Description'!$AA$9="english",C768,IF('1.Description'!$AA$9="français",D768,E768)))</f>
        <v/>
      </c>
    </row>
    <row r="769" spans="2:5" x14ac:dyDescent="0.2">
      <c r="B769" s="2262" t="str">
        <f>IF(IF('1.Description'!$AA$9="english",C769,IF('1.Description'!$AA$9="français",D769,E769))=0,"",IF('1.Description'!$AA$9="english",C769,IF('1.Description'!$AA$9="français",D769,E769)))</f>
        <v>The manure from pasture and range grazing animals is allowed to lie as deposited, and is not managed.</v>
      </c>
      <c r="C769" s="1064" t="s">
        <v>3324</v>
      </c>
      <c r="D769" s="1064" t="s">
        <v>5111</v>
      </c>
      <c r="E769" s="1064" t="s">
        <v>5012</v>
      </c>
    </row>
    <row r="770" spans="2:5" x14ac:dyDescent="0.2">
      <c r="B770" s="2262" t="str">
        <f>IF(IF('1.Description'!$AA$9="english",C770,IF('1.Description'!$AA$9="français",D770,E770))=0,"",IF('1.Description'!$AA$9="english",C770,IF('1.Description'!$AA$9="français",D770,E770)))</f>
        <v>Manure is routinely removed from a confinement facility and is applied to cropland or pasture within 24 hours of excretion.</v>
      </c>
      <c r="C770" s="1064" t="s">
        <v>3325</v>
      </c>
      <c r="D770" s="1064" t="s">
        <v>5112</v>
      </c>
      <c r="E770" s="1064" t="s">
        <v>5013</v>
      </c>
    </row>
    <row r="771" spans="2:5" x14ac:dyDescent="0.2">
      <c r="B771" s="2262" t="str">
        <f>IF(IF('1.Description'!$AA$9="english",C771,IF('1.Description'!$AA$9="français",D771,E771))=0,"",IF('1.Description'!$AA$9="english",C771,IF('1.Description'!$AA$9="français",D771,E771)))</f>
        <v>The storage of manure, typically for a period of several months, in unconfined piles or stacks. Manure is able to be stacked because of the presence of a sufficient amount of bedding material or loss of moisture by evaporation</v>
      </c>
      <c r="C771" s="1064" t="s">
        <v>3326</v>
      </c>
      <c r="D771" s="1064" t="s">
        <v>5113</v>
      </c>
      <c r="E771" s="1064" t="s">
        <v>5014</v>
      </c>
    </row>
    <row r="772" spans="2:5" x14ac:dyDescent="0.2">
      <c r="B772" s="2262" t="str">
        <f>IF(IF('1.Description'!$AA$9="english",C772,IF('1.Description'!$AA$9="français",D772,E772))=0,"",IF('1.Description'!$AA$9="english",C772,IF('1.Description'!$AA$9="français",D772,E772)))</f>
        <v>A paved or unpaved open confinement area without any significant vegetative cover. Dry lots do not require the addition of bedding to control moisture. Manure may be removed periodically and spread on fields.</v>
      </c>
      <c r="C772" s="1064" t="s">
        <v>3327</v>
      </c>
      <c r="D772" s="1064" t="s">
        <v>5114</v>
      </c>
      <c r="E772" s="1064" t="s">
        <v>5015</v>
      </c>
    </row>
    <row r="773" spans="2:5" x14ac:dyDescent="0.2">
      <c r="B773" s="2262" t="str">
        <f>IF(IF('1.Description'!$AA$9="english",C773,IF('1.Description'!$AA$9="français",D773,E773))=0,"",IF('1.Description'!$AA$9="english",C773,IF('1.Description'!$AA$9="français",D773,E773)))</f>
        <v>Manure is stored as excreted or with some minimal addition of water or bedding material in tanks or ponds outside the animal housing. Manure is removed and spread on fields once or more in a calendar year. Manure is agitated before removal from the tank/ponds to ensure that most of the VS are removed from the tank..</v>
      </c>
      <c r="C773" s="1064" t="s">
        <v>3329</v>
      </c>
      <c r="D773" s="1064" t="s">
        <v>5115</v>
      </c>
      <c r="E773" s="1064" t="s">
        <v>5016</v>
      </c>
    </row>
    <row r="774" spans="2:5" x14ac:dyDescent="0.2">
      <c r="B774" s="2262" t="str">
        <f>IF(IF('1.Description'!$AA$9="english",C774,IF('1.Description'!$AA$9="français",D774,E774))=0,"",IF('1.Description'!$AA$9="english",C774,IF('1.Description'!$AA$9="français",D774,E774)))</f>
        <v>A type of liquid storage system designed and operated to combine waste stabilization and storage. Lagoons have a lower depth and a much larger surface compared to liquid slurry stores. Anaerobic lagoons are designed with varying lengths of storage (up to a year or greater), depending on the climate region, the volatile solids loading rate, and other operational factors. The supernatant water from the lagoon may be recycled as flush water or used to irrigate and fertilise fields.</v>
      </c>
      <c r="C774" s="1064" t="s">
        <v>3331</v>
      </c>
      <c r="D774" s="1064" t="s">
        <v>5116</v>
      </c>
      <c r="E774" s="1064" t="s">
        <v>5017</v>
      </c>
    </row>
    <row r="775" spans="2:5" x14ac:dyDescent="0.2">
      <c r="B775" s="2262" t="str">
        <f>IF(IF('1.Description'!$AA$9="english",C775,IF('1.Description'!$AA$9="français",D775,E775))=0,"",IF('1.Description'!$AA$9="english",C775,IF('1.Description'!$AA$9="français",D775,E775)))</f>
        <v>Collection and storage of manure usually with little or no added water typically below a slatted floor in an enclosed animal confinement facility, usually for periods less than one year. Manure may be pumped out of the storage to a secondary storage tank multiple times in one year, or stored and applied directly to fields. It is assumed that VS removal rates on tank emptying are &gt;90%.</v>
      </c>
      <c r="C775" s="1064" t="s">
        <v>3333</v>
      </c>
      <c r="D775" s="1064" t="s">
        <v>5117</v>
      </c>
      <c r="E775" s="1064" t="s">
        <v>5018</v>
      </c>
    </row>
    <row r="776" spans="2:5" x14ac:dyDescent="0.2">
      <c r="B776" s="2262" t="str">
        <f>IF(IF('1.Description'!$AA$9="english",C776,IF('1.Description'!$AA$9="français",D776,E776))=0,"",IF('1.Description'!$AA$9="english",C776,IF('1.Description'!$AA$9="français",D776,E776)))</f>
        <v>Anaerobic fermentation of slurry and/or solid. Biogas is captured and flared or used as a fuel.</v>
      </c>
      <c r="C776" s="1064" t="s">
        <v>3335</v>
      </c>
      <c r="D776" s="1064" t="s">
        <v>5118</v>
      </c>
      <c r="E776" s="1064" t="s">
        <v>5019</v>
      </c>
    </row>
    <row r="777" spans="2:5" x14ac:dyDescent="0.2">
      <c r="B777" s="2262" t="str">
        <f>IF(IF('1.Description'!$AA$9="english",C777,IF('1.Description'!$AA$9="français",D777,E777))=0,"",IF('1.Description'!$AA$9="english",C777,IF('1.Description'!$AA$9="français",D777,E777)))</f>
        <v>The dung and urine are excreted on fields. The sun dried dung cakes are burned for fuel</v>
      </c>
      <c r="C777" s="1064" t="s">
        <v>3336</v>
      </c>
      <c r="D777" s="1064" t="s">
        <v>5119</v>
      </c>
      <c r="E777" s="1064" t="s">
        <v>5020</v>
      </c>
    </row>
    <row r="778" spans="2:5" x14ac:dyDescent="0.2">
      <c r="B778" s="2262" t="str">
        <f>IF(IF('1.Description'!$AA$9="english",C778,IF('1.Description'!$AA$9="français",D778,E778))=0,"",IF('1.Description'!$AA$9="english",C778,IF('1.Description'!$AA$9="français",D778,E778)))</f>
        <v>Mixture of excreta and washing water, stored within the livestock building, usually below the confined animals</v>
      </c>
      <c r="C778" s="1064" t="s">
        <v>3337</v>
      </c>
      <c r="D778" s="1064" t="s">
        <v>5120</v>
      </c>
      <c r="E778" s="1064" t="s">
        <v>5021</v>
      </c>
    </row>
    <row r="779" spans="2:5" x14ac:dyDescent="0.2">
      <c r="B779" s="2262" t="str">
        <f>IF(IF('1.Description'!$AA$9="english",C779,IF('1.Description'!$AA$9="français",D779,E779))=0,"",IF('1.Description'!$AA$9="english",C779,IF('1.Description'!$AA$9="français",D779,E779)))</f>
        <v>Similar to cattle and swine deep bedding except usually not combined with a dry lot or pasture. Typically used for all poultry breeder flocks, for alternative systems for layers and for the production of meat type chickens (broilers) and other fowl. Litter and manure are left in place with added bedding during the poultry production cycle and cleaned between poultry cycles, typically 5 to 9 weeks in productive systems and greater in lower productivity systems.</v>
      </c>
      <c r="C779" s="1064" t="s">
        <v>3338</v>
      </c>
      <c r="D779" s="1064" t="s">
        <v>5121</v>
      </c>
      <c r="E779" s="1064" t="s">
        <v>5022</v>
      </c>
    </row>
    <row r="780" spans="2:5" x14ac:dyDescent="0.2">
      <c r="B780" s="2262" t="str">
        <f>IF(IF('1.Description'!$AA$9="english",C780,IF('1.Description'!$AA$9="français",D780,E780))=0,"",IF('1.Description'!$AA$9="english",C780,IF('1.Description'!$AA$9="français",D780,E780)))</f>
        <v>Biological oxidation of a solid waste including manure usually with bedding or another organic carbon source typically at thermophilic temperatures produced by microbial heat production.</v>
      </c>
      <c r="C780" s="1064" t="s">
        <v>3339</v>
      </c>
      <c r="D780" s="1064" t="s">
        <v>5122</v>
      </c>
      <c r="E780" s="1064" t="s">
        <v>5023</v>
      </c>
    </row>
    <row r="781" spans="2:5" x14ac:dyDescent="0.2">
      <c r="B781" s="2262" t="str">
        <f>IF(IF('1.Description'!$AA$9="english",C781,IF('1.Description'!$AA$9="français",D781,E781))=0,"",IF('1.Description'!$AA$9="english",C781,IF('1.Description'!$AA$9="français",D781,E781)))</f>
        <v/>
      </c>
    </row>
    <row r="782" spans="2:5" x14ac:dyDescent="0.2">
      <c r="B782" s="2262" t="str">
        <f>IF(IF('1.Description'!$AA$9="english",C782,IF('1.Description'!$AA$9="français",D782,E782))=0,"",IF('1.Description'!$AA$9="english",C782,IF('1.Description'!$AA$9="français",D782,E782)))</f>
        <v>Implies major long-term loss of productivity and vegetation cover, due to severe mechanical damage to the vegetation and/or severe soil erosion.</v>
      </c>
      <c r="C782" s="1064" t="s">
        <v>3341</v>
      </c>
      <c r="D782" s="1064" t="s">
        <v>5123</v>
      </c>
      <c r="E782" s="1064" t="s">
        <v>5024</v>
      </c>
    </row>
    <row r="783" spans="2:5" x14ac:dyDescent="0.2">
      <c r="B783" s="2262" t="str">
        <f>IF(IF('1.Description'!$AA$9="english",C783,IF('1.Description'!$AA$9="français",D783,E783))=0,"",IF('1.Description'!$AA$9="english",C783,IF('1.Description'!$AA$9="français",D783,E783)))</f>
        <v>Represents high intensity grazing systems (or cutting and removal of vegetation) with shifts in vegetation composition and possibly productivity but is not severely degraded.</v>
      </c>
      <c r="C783" s="1064" t="s">
        <v>3342</v>
      </c>
      <c r="D783" s="1064" t="s">
        <v>5124</v>
      </c>
      <c r="E783" s="1064" t="s">
        <v>5025</v>
      </c>
    </row>
    <row r="784" spans="2:5" x14ac:dyDescent="0.2">
      <c r="B784" s="2262" t="str">
        <f>IF(IF('1.Description'!$AA$9="english",C784,IF('1.Description'!$AA$9="français",D784,E784))=0,"",IF('1.Description'!$AA$9="english",C784,IF('1.Description'!$AA$9="français",D784,E784)))</f>
        <v>Represents low or medium intensity grazing regimes, in addition to periodic cutting and removal of above-ground vegetation, without significant management improvements.</v>
      </c>
      <c r="C784" s="1064" t="s">
        <v>3343</v>
      </c>
      <c r="D784" s="1064" t="s">
        <v>5125</v>
      </c>
      <c r="E784" s="1064" t="s">
        <v>5026</v>
      </c>
    </row>
    <row r="785" spans="2:5" x14ac:dyDescent="0.2">
      <c r="B785" s="2262" t="str">
        <f>IF(IF('1.Description'!$AA$9="english",C785,IF('1.Description'!$AA$9="français",D785,E785))=0,"",IF('1.Description'!$AA$9="english",C785,IF('1.Description'!$AA$9="français",D785,E785)))</f>
        <v>Represents grassland which is sustainably managed with light to moderate grazing pressure (or cutting and removal of vegetation) and that receive at least one improvement (e.g., fertilization, species improvement, irrigation).</v>
      </c>
      <c r="C785" s="1064" t="s">
        <v>3344</v>
      </c>
      <c r="D785" s="1064" t="s">
        <v>5126</v>
      </c>
      <c r="E785" s="1064" t="s">
        <v>5027</v>
      </c>
    </row>
    <row r="786" spans="2:5" x14ac:dyDescent="0.2">
      <c r="B786" s="2262" t="str">
        <f>IF(IF('1.Description'!$AA$9="english",C786,IF('1.Description'!$AA$9="français",D786,E786))=0,"",IF('1.Description'!$AA$9="english",C786,IF('1.Description'!$AA$9="français",D786,E786)))</f>
        <v>Applies to improved grassland where no additional management inputs have been used.</v>
      </c>
      <c r="C786" s="1064" t="s">
        <v>3345</v>
      </c>
      <c r="D786" s="1064" t="s">
        <v>5127</v>
      </c>
      <c r="E786" s="1064" t="s">
        <v>5028</v>
      </c>
    </row>
    <row r="787" spans="2:5" x14ac:dyDescent="0.2">
      <c r="B787" s="2262" t="str">
        <f>IF(IF('1.Description'!$AA$9="english",C787,IF('1.Description'!$AA$9="français",D787,E787))=0,"",IF('1.Description'!$AA$9="english",C787,IF('1.Description'!$AA$9="français",D787,E787)))</f>
        <v>Applies to improved grassland where one or more additional management inputs/improvements have been used (beyond that required to be classified as improved grassland).</v>
      </c>
      <c r="C787" s="1064" t="s">
        <v>3346</v>
      </c>
      <c r="D787" s="1064" t="s">
        <v>5128</v>
      </c>
      <c r="E787" s="1064" t="s">
        <v>5029</v>
      </c>
    </row>
    <row r="788" spans="2:5" x14ac:dyDescent="0.2">
      <c r="B788" s="2262" t="str">
        <f>IF(IF('1.Description'!$AA$9="english",C788,IF('1.Description'!$AA$9="français",D788,E788))=0,"",IF('1.Description'!$AA$9="english",C788,IF('1.Description'!$AA$9="français",D788,E788)))</f>
        <v/>
      </c>
    </row>
    <row r="789" spans="2:5" x14ac:dyDescent="0.2">
      <c r="B789" s="2262" t="str">
        <f>IF(IF('1.Description'!$AA$9="english",C789,IF('1.Description'!$AA$9="français",D789,E789))=0,"",IF('1.Description'!$AA$9="english",C789,IF('1.Description'!$AA$9="français",D789,E789)))</f>
        <v>Global warming potential over 100 years from the Second Assessment Report (SAR), Climate Change 1995 - The science of climate change https://www.ipcc.ch/site/assets/uploads/2018/02/ipcc_sar_wg_I_full_report.pdf.</v>
      </c>
      <c r="C789" s="1064" t="s">
        <v>3347</v>
      </c>
      <c r="D789" s="1064" t="s">
        <v>5129</v>
      </c>
      <c r="E789" s="1064" t="s">
        <v>5030</v>
      </c>
    </row>
    <row r="790" spans="2:5" x14ac:dyDescent="0.2">
      <c r="B790" s="2262" t="str">
        <f>IF(IF('1.Description'!$AA$9="english",C790,IF('1.Description'!$AA$9="français",D790,E790))=0,"",IF('1.Description'!$AA$9="english",C790,IF('1.Description'!$AA$9="français",D790,E790)))</f>
        <v>Global warming potential over 100 years from the Fourth Assessment Report (AR4),  Climate Change 2007 - The physical science basis https://www.ipcc.ch/site/assets/uploads/2018/05/ar4_wg1_full_report-1.pdf.</v>
      </c>
      <c r="C790" s="1064" t="s">
        <v>3348</v>
      </c>
      <c r="D790" s="1064" t="s">
        <v>5130</v>
      </c>
      <c r="E790" s="1064" t="s">
        <v>5031</v>
      </c>
    </row>
    <row r="791" spans="2:5" x14ac:dyDescent="0.2">
      <c r="B791" s="2262" t="str">
        <f>IF(IF('1.Description'!$AA$9="english",C791,IF('1.Description'!$AA$9="français",D791,E791))=0,"",IF('1.Description'!$AA$9="english",C791,IF('1.Description'!$AA$9="français",D791,E791)))</f>
        <v>Global warming potential over 100 years from the Fifth Assessment Report (AR5) with climate carbon feedback, Climate Change 2013 - The physical science basis https://www.ipcc.ch/site/assets/uploads/2018/02/WG1AR5_all_final.pdf.</v>
      </c>
      <c r="C791" s="1064" t="s">
        <v>3349</v>
      </c>
      <c r="D791" s="1064" t="s">
        <v>5131</v>
      </c>
      <c r="E791" s="1064" t="s">
        <v>5032</v>
      </c>
    </row>
    <row r="792" spans="2:5" x14ac:dyDescent="0.2">
      <c r="B792" s="2262" t="str">
        <f>IF(IF('1.Description'!$AA$9="english",C792,IF('1.Description'!$AA$9="français",D792,E792))=0,"",IF('1.Description'!$AA$9="english",C792,IF('1.Description'!$AA$9="français",D792,E792)))</f>
        <v>Global warming potential over 100 years from the Fifth Assessment Report (AR5) without climate carbon feedback, Climate Change 2013 - The physical science basis https://www.ipcc.ch/site/assets/uploads/2018/02/WG1AR5_all_final.pdf.</v>
      </c>
      <c r="C792" s="1064" t="s">
        <v>3350</v>
      </c>
      <c r="D792" s="1064" t="s">
        <v>5132</v>
      </c>
      <c r="E792" s="1064" t="s">
        <v>5033</v>
      </c>
    </row>
    <row r="793" spans="2:5" x14ac:dyDescent="0.2">
      <c r="B793" s="2262" t="str">
        <f>IF(IF('1.Description'!$AA$9="english",C793,IF('1.Description'!$AA$9="français",D793,E793))=0,"",IF('1.Description'!$AA$9="english",C793,IF('1.Description'!$AA$9="français",D793,E793)))</f>
        <v>Global warming potential over 100 years from the Sixth Assessment Report (AR6),  Climate Change 2021 - The physical science basis https://www.ipcc.ch/report/ar6/wg1/. The AR6 includes a specific coefficient for the GWP of methane from fossil fuel origin. In the tool, this coefficient is applied to the energy use of charcoal and peat (inputs module).</v>
      </c>
      <c r="C793" s="1064" t="s">
        <v>3728</v>
      </c>
      <c r="D793" s="1064" t="s">
        <v>5133</v>
      </c>
      <c r="E793" s="1064" t="s">
        <v>5034</v>
      </c>
    </row>
    <row r="794" spans="2:5" x14ac:dyDescent="0.2">
      <c r="B794" s="2262" t="str">
        <f>IF(IF('1.Description'!$AA$9="english",C794,IF('1.Description'!$AA$9="français",D794,E794))=0,"",IF('1.Description'!$AA$9="english",C794,IF('1.Description'!$AA$9="français",D794,E794)))</f>
        <v/>
      </c>
    </row>
    <row r="795" spans="2:5" x14ac:dyDescent="0.2">
      <c r="B795" s="2262" t="str">
        <f>IF(IF('1.Description'!$AA$9="english",C795,IF('1.Description'!$AA$9="français",D795,E795))=0,"",IF('1.Description'!$AA$9="english",C795,IF('1.Description'!$AA$9="français",D795,E795)))</f>
        <v>Surface irrigation without an irrigation runoff return system</v>
      </c>
      <c r="C795" s="1064" t="s">
        <v>3352</v>
      </c>
      <c r="D795" s="1064" t="s">
        <v>5134</v>
      </c>
      <c r="E795" s="1064" t="s">
        <v>5035</v>
      </c>
    </row>
    <row r="796" spans="2:5" x14ac:dyDescent="0.2">
      <c r="B796" s="2262" t="str">
        <f>IF(IF('1.Description'!$AA$9="english",C796,IF('1.Description'!$AA$9="français",D796,E796))=0,"",IF('1.Description'!$AA$9="english",C796,IF('1.Description'!$AA$9="français",D796,E796)))</f>
        <v>Surface irrigation with an irrigation runoff return system</v>
      </c>
      <c r="C796" s="1064" t="s">
        <v>3353</v>
      </c>
      <c r="D796" s="1064" t="s">
        <v>5135</v>
      </c>
      <c r="E796" s="1064" t="s">
        <v>5036</v>
      </c>
    </row>
    <row r="797" spans="2:5" x14ac:dyDescent="0.2">
      <c r="B797" s="2262" t="str">
        <f>IF(IF('1.Description'!$AA$9="english",C797,IF('1.Description'!$AA$9="français",D797,E797))=0,"",IF('1.Description'!$AA$9="english",C797,IF('1.Description'!$AA$9="français",D797,E797)))</f>
        <v>Irrigation with vertical tubes that are stationary for the duration of the irrigation season</v>
      </c>
      <c r="C797" s="1064" t="s">
        <v>3354</v>
      </c>
      <c r="D797" s="1064" t="s">
        <v>5136</v>
      </c>
      <c r="E797" s="1064" t="s">
        <v>5037</v>
      </c>
    </row>
    <row r="798" spans="2:5" x14ac:dyDescent="0.2">
      <c r="B798" s="2262" t="str">
        <f>IF(IF('1.Description'!$AA$9="english",C798,IF('1.Description'!$AA$9="français",D798,E798))=0,"",IF('1.Description'!$AA$9="english",C798,IF('1.Description'!$AA$9="français",D798,E798)))</f>
        <v>Irrigation with vertical tubes that cannot be moved from the moment they are installed</v>
      </c>
      <c r="C798" s="1064" t="s">
        <v>3355</v>
      </c>
      <c r="D798" s="1064" t="s">
        <v>5137</v>
      </c>
      <c r="E798" s="1064" t="s">
        <v>5038</v>
      </c>
    </row>
    <row r="799" spans="2:5" x14ac:dyDescent="0.2">
      <c r="B799" s="2262" t="str">
        <f>IF(IF('1.Description'!$AA$9="english",C799,IF('1.Description'!$AA$9="français",D799,E799))=0,"",IF('1.Description'!$AA$9="english",C799,IF('1.Description'!$AA$9="français",D799,E799)))</f>
        <v>Irrigation with sprinklers that can be displaced throughout the irrigation season. This kind of sprinkler is usually used for smaller crop extensions as the continuous movement implies a high rate of labour</v>
      </c>
      <c r="C799" s="1064" t="s">
        <v>3356</v>
      </c>
      <c r="D799" s="1064" t="s">
        <v>5138</v>
      </c>
      <c r="E799" s="1064" t="s">
        <v>5039</v>
      </c>
    </row>
    <row r="800" spans="2:5" x14ac:dyDescent="0.2">
      <c r="B800" s="2262" t="str">
        <f>IF(IF('1.Description'!$AA$9="english",C800,IF('1.Description'!$AA$9="français",D800,E800))=0,"",IF('1.Description'!$AA$9="english",C800,IF('1.Description'!$AA$9="français",D800,E800)))</f>
        <v>An aluminum sprinkler line mounted on wheels which irrigates in place. A mover unit powered by a small gasoline engine is located in the center of the line. The sprinkler line is connected to a supply or mainline by a flexible hose.</v>
      </c>
      <c r="C800" s="1064" t="s">
        <v>3357</v>
      </c>
      <c r="D800" s="1064" t="s">
        <v>5139</v>
      </c>
      <c r="E800" s="1064" t="s">
        <v>5040</v>
      </c>
    </row>
    <row r="801" spans="2:5" x14ac:dyDescent="0.2">
      <c r="B801" s="2262" t="str">
        <f>IF(IF('1.Description'!$AA$9="english",C801,IF('1.Description'!$AA$9="français",D801,E801))=0,"",IF('1.Description'!$AA$9="english",C801,IF('1.Description'!$AA$9="français",D801,E801)))</f>
        <v>Overhead sprinkler irrigation consisting of several segments of pipe, with sprinklers positioned along their length, joined together and supported by trusses, and mounted on wheeled towers. The machine moves in a circular pattern and is fed with water from the pivot point at the center of the circle</v>
      </c>
      <c r="C801" s="1064" t="s">
        <v>3359</v>
      </c>
      <c r="D801" s="1064" t="s">
        <v>5140</v>
      </c>
      <c r="E801" s="1064" t="s">
        <v>5041</v>
      </c>
    </row>
    <row r="802" spans="2:5" x14ac:dyDescent="0.2">
      <c r="B802" s="2262" t="str">
        <f>IF(IF('1.Description'!$AA$9="english",C802,IF('1.Description'!$AA$9="français",D802,E802))=0,"",IF('1.Description'!$AA$9="english",C802,IF('1.Description'!$AA$9="français",D802,E802)))</f>
        <v>Fully movable irrigation system. It does not entail the construction of any stable irrigation infrastructure on the field</v>
      </c>
      <c r="C802" s="1064" t="s">
        <v>3360</v>
      </c>
      <c r="D802" s="1064" t="s">
        <v>5141</v>
      </c>
      <c r="E802" s="1064" t="s">
        <v>5042</v>
      </c>
    </row>
    <row r="803" spans="2:5" x14ac:dyDescent="0.2">
      <c r="B803" s="2262" t="str">
        <f>IF(IF('1.Description'!$AA$9="english",C803,IF('1.Description'!$AA$9="français",D803,E803))=0,"",IF('1.Description'!$AA$9="english",C803,IF('1.Description'!$AA$9="français",D803,E803)))</f>
        <v>High precision, high efficiency drip irrigation</v>
      </c>
      <c r="C803" s="1064" t="s">
        <v>3361</v>
      </c>
      <c r="D803" s="1064" t="s">
        <v>5142</v>
      </c>
      <c r="E803" s="1064" t="s">
        <v>5043</v>
      </c>
    </row>
    <row r="804" spans="2:5" x14ac:dyDescent="0.2">
      <c r="B804" s="2262" t="str">
        <f>IF(IF('1.Description'!$AA$9="english",C804,IF('1.Description'!$AA$9="français",D804,E804))=0,"",IF('1.Description'!$AA$9="english",C804,IF('1.Description'!$AA$9="français",D804,E804)))</f>
        <v/>
      </c>
    </row>
    <row r="805" spans="2:5" x14ac:dyDescent="0.2">
      <c r="B805" s="2262" t="str">
        <f>IF(IF('1.Description'!$AA$9="english",C805,IF('1.Description'!$AA$9="français",D805,E805))=0,"",IF('1.Description'!$AA$9="english",C805,IF('1.Description'!$AA$9="français",D805,E805)))</f>
        <v>A minimum area of land of 0.5 – 1.0 hectares with tree crown cover (or equivalent stocking level) of more than 10 – 30 per cent with trees with the potential to reach a minimum height of 2 – 5 meters at maturity in situ. It comprises several tree species of different age classes, spaced unevenly and according to their development needs.</v>
      </c>
      <c r="C805" s="1064" t="s">
        <v>5191</v>
      </c>
      <c r="D805" s="1064" t="s">
        <v>5192</v>
      </c>
      <c r="E805" s="1064" t="s">
        <v>5193</v>
      </c>
    </row>
    <row r="806" spans="2:5" x14ac:dyDescent="0.2">
      <c r="B806" s="2262" t="str">
        <f>IF(IF('1.Description'!$AA$9="english",C806,IF('1.Description'!$AA$9="français",D806,E806))=0,"",IF('1.Description'!$AA$9="english",C806,IF('1.Description'!$AA$9="français",D806,E806)))</f>
        <v>Forest stands of one or two species at planting, even age class and regular spacing. Usually established by planting or/and seeding in the process of afforestation or reforestation. They are either of introduced species (all planted stands), or intensively managed stands of indigenous species.</v>
      </c>
      <c r="C806" s="1064" t="s">
        <v>3732</v>
      </c>
      <c r="D806" s="1064" t="s">
        <v>5143</v>
      </c>
      <c r="E806" s="1064" t="s">
        <v>5044</v>
      </c>
    </row>
    <row r="807" spans="2:5" x14ac:dyDescent="0.2">
      <c r="B807" s="2262" t="str">
        <f>IF(IF('1.Description'!$AA$9="english",C807,IF('1.Description'!$AA$9="français",D807,E807))=0,"",IF('1.Description'!$AA$9="english",C807,IF('1.Description'!$AA$9="français",D807,E807)))</f>
        <v>Plants that perform their entire life cycle from seed to flower to seed, within a single growing season. All roots, stems and leaves of the plant die annually. Only the dormant seed bridges the gap between one generation and the next. Selected, non woody pluriannual species are also included in this category (e.g. sugarcane) whenever their growth implies a harvest cycle for the entire plant.</v>
      </c>
      <c r="C807" s="1064" t="s">
        <v>3733</v>
      </c>
      <c r="D807" s="1064" t="s">
        <v>5144</v>
      </c>
      <c r="E807" s="1064" t="s">
        <v>5045</v>
      </c>
    </row>
    <row r="808" spans="2:5" x14ac:dyDescent="0.2">
      <c r="B808" s="2262" t="str">
        <f>IF(IF('1.Description'!$AA$9="english",C808,IF('1.Description'!$AA$9="français",D808,E808))=0,"",IF('1.Description'!$AA$9="english",C808,IF('1.Description'!$AA$9="français",D808,E808)))</f>
        <v>It includes plants and other woody species that persist for many growing seasons. Generally the top portion of the plant dies back each winter and regrows the following spring from the same root system.</v>
      </c>
      <c r="C808" s="1064" t="s">
        <v>3734</v>
      </c>
      <c r="D808" s="1064" t="s">
        <v>5145</v>
      </c>
      <c r="E808" s="1064" t="s">
        <v>5046</v>
      </c>
    </row>
    <row r="809" spans="2:5" x14ac:dyDescent="0.2">
      <c r="B809" s="2262" t="str">
        <f>IF(IF('1.Description'!$AA$9="english",C809,IF('1.Description'!$AA$9="français",D809,E809))=0,"",IF('1.Description'!$AA$9="english",C809,IF('1.Description'!$AA$9="français",D809,E809)))</f>
        <v>It refers to only flooded (permanently or part of the year), lowland rice fields. Non flooded rice, i.e. upland rice or pure rain-fed rice is considered an annual crop.</v>
      </c>
      <c r="C809" s="1064" t="s">
        <v>3735</v>
      </c>
      <c r="D809" s="1064" t="s">
        <v>5146</v>
      </c>
      <c r="E809" s="1064" t="s">
        <v>5047</v>
      </c>
    </row>
    <row r="810" spans="2:5" x14ac:dyDescent="0.2">
      <c r="B810" s="2262" t="str">
        <f>IF(IF('1.Description'!$AA$9="english",C810,IF('1.Description'!$AA$9="français",D810,E810))=0,"",IF('1.Description'!$AA$9="english",C810,IF('1.Description'!$AA$9="français",D810,E810)))</f>
        <v>Annual fallow land represents land that is temporary set aside from annual crop production (e.g., conservation reserves) or other idle cropland that has been revegetated</v>
      </c>
      <c r="C810" s="1064" t="s">
        <v>3731</v>
      </c>
      <c r="D810" s="1064" t="s">
        <v>5147</v>
      </c>
      <c r="E810" s="1064" t="s">
        <v>5048</v>
      </c>
    </row>
    <row r="811" spans="2:5" x14ac:dyDescent="0.2">
      <c r="B811" s="2262" t="str">
        <f>IF(IF('1.Description'!$AA$9="english",C811,IF('1.Description'!$AA$9="français",D811,E811))=0,"",IF('1.Description'!$AA$9="english",C811,IF('1.Description'!$AA$9="français",D811,E811)))</f>
        <v>Grasslands are generally defined by having vegetation that is dominated by perennial grasses, with grazing as the predominant land use.</v>
      </c>
      <c r="C811" s="1064" t="s">
        <v>3736</v>
      </c>
      <c r="D811" s="1064" t="s">
        <v>5148</v>
      </c>
      <c r="E811" s="1064" t="s">
        <v>5049</v>
      </c>
    </row>
    <row r="812" spans="2:5" x14ac:dyDescent="0.2">
      <c r="B812" s="2262" t="str">
        <f>IF(IF('1.Description'!$AA$9="english",C812,IF('1.Description'!$AA$9="français",D812,E812))=0,"",IF('1.Description'!$AA$9="english",C812,IF('1.Description'!$AA$9="français",D812,E812)))</f>
        <v>Degraded lands are those whose native vegetation has been heavily disturbed. The land has strongly degraded biomass and soil organic carbon levels.</v>
      </c>
      <c r="C812" s="1064" t="s">
        <v>3737</v>
      </c>
      <c r="D812" s="1064" t="s">
        <v>5149</v>
      </c>
      <c r="E812" s="1064" t="s">
        <v>5050</v>
      </c>
    </row>
    <row r="813" spans="2:5" x14ac:dyDescent="0.2">
      <c r="B813" s="2262" t="str">
        <f>IF(IF('1.Description'!$AA$9="english",C813,IF('1.Description'!$AA$9="français",D813,E813))=0,"",IF('1.Description'!$AA$9="english",C813,IF('1.Description'!$AA$9="français",D813,E813)))</f>
        <v>All developed land - i.e., residential, transportation, commercial, and production infrastructure of any size, unless it is already included under other land-use categories.</v>
      </c>
      <c r="C813" s="1064" t="s">
        <v>3738</v>
      </c>
      <c r="D813" s="1064" t="s">
        <v>5150</v>
      </c>
      <c r="E813" s="1064" t="s">
        <v>5051</v>
      </c>
    </row>
    <row r="814" spans="2:5" x14ac:dyDescent="0.2">
      <c r="B814" s="2262" t="str">
        <f>IF(IF('1.Description'!$AA$9="english",C814,IF('1.Description'!$AA$9="français",D814,E814))=0,"",IF('1.Description'!$AA$9="english",C814,IF('1.Description'!$AA$9="français",D814,E814)))</f>
        <v/>
      </c>
    </row>
    <row r="815" spans="2:5" x14ac:dyDescent="0.2">
      <c r="B815" s="2262" t="str">
        <f>IF(IF('1.Description'!$AA$9="english",C815,IF('1.Description'!$AA$9="français",D815,E815))=0,"",IF('1.Description'!$AA$9="english",C815,IF('1.Description'!$AA$9="français",D815,E815)))</f>
        <v xml:space="preserve">Soils with high activity clay (HAC) minerals are lightly to moderately weathered soils which are dominated by
2:1 silicated clay minerals (in FAO classification included: Vertisols, Chernozems, Phaezems, Luvisols). </v>
      </c>
      <c r="C815" s="1064" t="s">
        <v>3758</v>
      </c>
      <c r="D815" s="1064" t="s">
        <v>5151</v>
      </c>
      <c r="E815" s="1064" t="s">
        <v>5052</v>
      </c>
    </row>
    <row r="816" spans="2:5" x14ac:dyDescent="0.2">
      <c r="B816" s="2262" t="str">
        <f>IF(IF('1.Description'!$AA$9="english",C816,IF('1.Description'!$AA$9="français",D816,E816))=0,"",IF('1.Description'!$AA$9="english",C816,IF('1.Description'!$AA$9="français",D816,E816)))</f>
        <v>Soils with low activity clay (LAC) minerals are highly weathered soils dominated by 1:1 clay mineral and
amorphous iron and aluminium oxides (in FAO classification included: Acrisols, Nitosols, Ferrasols).</v>
      </c>
      <c r="C816" s="1064" t="s">
        <v>3759</v>
      </c>
      <c r="D816" s="1064" t="s">
        <v>5152</v>
      </c>
      <c r="E816" s="1064" t="s">
        <v>5053</v>
      </c>
    </row>
    <row r="817" spans="2:5" x14ac:dyDescent="0.2">
      <c r="B817" s="2262" t="str">
        <f>IF(IF('1.Description'!$AA$9="english",C817,IF('1.Description'!$AA$9="français",D817,E817))=0,"",IF('1.Description'!$AA$9="english",C817,IF('1.Description'!$AA$9="français",D817,E817)))</f>
        <v>Includes all soils (regardless of taxonomic classification) having &gt; 70% sand and &lt; 8 % clay (based on standard
textural measurements (in FAO classification include: Arenosols, sandy Regosols))</v>
      </c>
      <c r="C817" s="1064" t="s">
        <v>3762</v>
      </c>
      <c r="D817" s="1064" t="s">
        <v>5153</v>
      </c>
      <c r="E817" s="1064" t="s">
        <v>5054</v>
      </c>
    </row>
    <row r="818" spans="2:5" x14ac:dyDescent="0.2">
      <c r="B818" s="2262" t="str">
        <f>IF(IF('1.Description'!$AA$9="english",C818,IF('1.Description'!$AA$9="français",D818,E818))=0,"",IF('1.Description'!$AA$9="english",C818,IF('1.Description'!$AA$9="français",D818,E818)))</f>
        <v>Soils exhibiting strong podzolization (in FAO classification includes many Podzolic groups).</v>
      </c>
      <c r="C818" s="1064" t="s">
        <v>3763</v>
      </c>
      <c r="D818" s="1064" t="s">
        <v>5154</v>
      </c>
      <c r="E818" s="1064" t="s">
        <v>5055</v>
      </c>
    </row>
    <row r="819" spans="2:5" x14ac:dyDescent="0.2">
      <c r="B819" s="2262" t="str">
        <f>IF(IF('1.Description'!$AA$9="english",C819,IF('1.Description'!$AA$9="français",D819,E819))=0,"",IF('1.Description'!$AA$9="english",C819,IF('1.Description'!$AA$9="français",D819,E819)))</f>
        <v>Soils formed by weathering of volcanogenic materials. Most of them are classified as Andisols.</v>
      </c>
      <c r="C819" s="1064" t="s">
        <v>3767</v>
      </c>
      <c r="D819" s="1064" t="s">
        <v>5155</v>
      </c>
      <c r="E819" s="1064" t="s">
        <v>5056</v>
      </c>
    </row>
    <row r="820" spans="2:5" x14ac:dyDescent="0.2">
      <c r="B820" s="2262" t="str">
        <f>IF(IF('1.Description'!$AA$9="english",C820,IF('1.Description'!$AA$9="français",D820,E820))=0,"",IF('1.Description'!$AA$9="english",C820,IF('1.Description'!$AA$9="français",D820,E820)))</f>
        <v>This category includes soils that are covered or saturated by water for all or part of the year. Wetland soils include organic soils and mineral soils</v>
      </c>
      <c r="C820" s="1064" t="s">
        <v>3765</v>
      </c>
      <c r="D820" s="1064" t="s">
        <v>5156</v>
      </c>
      <c r="E820" s="1064" t="s">
        <v>5057</v>
      </c>
    </row>
    <row r="821" spans="2:5" x14ac:dyDescent="0.2">
      <c r="B821" s="2262" t="str">
        <f>IF(IF('1.Description'!$AA$9="english",C821,IF('1.Description'!$AA$9="français",D821,E821))=0,"",IF('1.Description'!$AA$9="english",C821,IF('1.Description'!$AA$9="français",D821,E821)))</f>
        <v>Soils are organic if they satisfy the requirements 1 and 2, or 1 and 3 below (FAO, 1998):
1. Thickness of 10 cm or more. A horizon less than 20 cm thick must have 12 percent or more organic carbon
when mixed to a depth of 20 cm;
2. If the soil is never saturated with water for more than a few days, and contains more than 20 percent (by
weight) organic carbon (about 35 percent organic matter);
3. If the soil is subject to water saturation episodes and has either:
(i) At least 12 percent (by weight) organic carbon (about 20 percent organic matter) if it has no clay;
or
(ii) At least 18 percent (by weight) organic carbon (about 30 percent organic matter) if it has 60 percent
or more clay; or
(iii) An intermediate, proportional amount of organic carbon for intermediate amounts of clay.</v>
      </c>
      <c r="C821" s="1064" t="s">
        <v>3764</v>
      </c>
      <c r="D821" s="1064" t="s">
        <v>5157</v>
      </c>
      <c r="E821" s="1064" t="s">
        <v>5058</v>
      </c>
    </row>
    <row r="822" spans="2:5" x14ac:dyDescent="0.2">
      <c r="B822" s="2262" t="str">
        <f>IF(IF('1.Description'!$AA$9="english",C822,IF('1.Description'!$AA$9="français",D822,E822))=0,"",IF('1.Description'!$AA$9="english",C822,IF('1.Description'!$AA$9="français",D822,E822)))</f>
        <v/>
      </c>
    </row>
    <row r="823" spans="2:5" x14ac:dyDescent="0.2">
      <c r="B823" s="2262" t="str">
        <f>IF(IF('1.Description'!$AA$9="english",C823,IF('1.Description'!$AA$9="français",D823,E823))=0,"",IF('1.Description'!$AA$9="english",C823,IF('1.Description'!$AA$9="français",D823,E823)))</f>
        <v>This worksheet is foreseen for user-defined calculations.</v>
      </c>
      <c r="C823" s="1064" t="s">
        <v>3245</v>
      </c>
      <c r="D823" s="1064" t="s">
        <v>5180</v>
      </c>
      <c r="E823" s="1064" t="s">
        <v>5181</v>
      </c>
    </row>
    <row r="824" spans="2:5" x14ac:dyDescent="0.2">
      <c r="B824" s="2262" t="str">
        <f>IF(IF('1.Description'!$AA$9="english",C824,IF('1.Description'!$AA$9="français",D824,E824))=0,"",IF('1.Description'!$AA$9="english",C824,IF('1.Description'!$AA$9="français",D824,E824)))</f>
        <v>Users can find climate and soil related data on Earth Map:</v>
      </c>
      <c r="C824" s="1064" t="s">
        <v>5186</v>
      </c>
      <c r="D824" s="1064" t="s">
        <v>5183</v>
      </c>
      <c r="E824" s="1064" t="s">
        <v>5182</v>
      </c>
    </row>
    <row r="825" spans="2:5" x14ac:dyDescent="0.2">
      <c r="B825" s="2262" t="str">
        <f>IF(IF('1.Description'!$AA$9="english",C825,IF('1.Description'!$AA$9="français",D825,E825))=0,"",IF('1.Description'!$AA$9="english",C825,IF('1.Description'!$AA$9="français",D825,E825)))</f>
        <v>The website allows to run a script to download all the data of interest to EX-ACT analysis for a preselected polygon (NB. The script may not run correctly for larger areas due to server calculation capaity limits). The downloaded data may be pasted here and subsequently must be processed by the user to derive the average values to be included in the EX-ACT analysis.</v>
      </c>
      <c r="C825" s="1064" t="s">
        <v>5187</v>
      </c>
      <c r="D825" s="1064" t="s">
        <v>5184</v>
      </c>
      <c r="E825" s="1064" t="s">
        <v>5185</v>
      </c>
    </row>
  </sheetData>
  <pageMargins left="0.7" right="0.7" top="0.75" bottom="0.75" header="0.3" footer="0.3"/>
  <pageSetup paperSize="9" orientation="portrait" r:id="rId1"/>
</worksheet>
</file>

<file path=xl/worksheets/sheet38.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dimension ref="B1:DN81"/>
  <sheetViews>
    <sheetView showGridLines="0" topLeftCell="C4" zoomScale="85" zoomScaleNormal="85" workbookViewId="0">
      <selection activeCell="K92" sqref="K92"/>
    </sheetView>
  </sheetViews>
  <sheetFormatPr baseColWidth="10" defaultColWidth="8.6640625" defaultRowHeight="14" x14ac:dyDescent="0.15"/>
  <cols>
    <col min="1" max="1" width="7.5" style="1324" customWidth="1"/>
    <col min="2" max="2" width="12.5" style="1324" bestFit="1" customWidth="1"/>
    <col min="3" max="3" width="12.6640625" style="1324" customWidth="1"/>
    <col min="4" max="6" width="8.6640625" style="1324"/>
    <col min="7" max="7" width="11.5" style="1324" customWidth="1"/>
    <col min="8" max="8" width="28.5" style="1324" bestFit="1" customWidth="1"/>
    <col min="9" max="9" width="28" style="1324" customWidth="1"/>
    <col min="10" max="10" width="14.5" style="1324" bestFit="1" customWidth="1"/>
    <col min="11" max="11" width="13.5" style="1324" bestFit="1" customWidth="1"/>
    <col min="12" max="12" width="14" style="1324" customWidth="1"/>
    <col min="13" max="13" width="11.5" style="1324" customWidth="1"/>
    <col min="14" max="14" width="16.5" style="1324" customWidth="1"/>
    <col min="15" max="15" width="28.5" style="1324" bestFit="1" customWidth="1"/>
    <col min="16" max="16" width="23.5" style="1324" customWidth="1"/>
    <col min="17" max="17" width="8.6640625" style="1324"/>
    <col min="18" max="18" width="6.5" style="1324" customWidth="1"/>
    <col min="19" max="19" width="7" style="1324" customWidth="1"/>
    <col min="20" max="20" width="20.33203125" style="1324" customWidth="1"/>
    <col min="21" max="21" width="18" style="1324" customWidth="1"/>
    <col min="22" max="22" width="19.33203125" style="1324" customWidth="1"/>
    <col min="23" max="23" width="18" style="1324" customWidth="1"/>
    <col min="24" max="24" width="15.6640625" style="1324" customWidth="1"/>
    <col min="25" max="25" width="13.5" style="1324" customWidth="1"/>
    <col min="26" max="26" width="11.5" style="1324" customWidth="1"/>
    <col min="27" max="27" width="35.5" style="1324" customWidth="1"/>
    <col min="28" max="29" width="9.33203125" style="1324" customWidth="1"/>
    <col min="30" max="30" width="8.6640625" style="1324"/>
    <col min="31" max="31" width="7.5" style="1324" customWidth="1"/>
    <col min="32" max="32" width="19.5" style="1324" customWidth="1"/>
    <col min="33" max="33" width="18.33203125" style="1324" customWidth="1"/>
    <col min="34" max="34" width="17.5" style="1324" bestFit="1" customWidth="1"/>
    <col min="35" max="35" width="15.33203125" style="1324" bestFit="1" customWidth="1"/>
    <col min="36" max="36" width="15.6640625" style="1324" bestFit="1" customWidth="1"/>
    <col min="37" max="37" width="13.5" style="1324" bestFit="1" customWidth="1"/>
    <col min="38" max="38" width="11.5" style="1324" bestFit="1" customWidth="1"/>
    <col min="39" max="39" width="30" style="1324" customWidth="1"/>
    <col min="40" max="42" width="8.6640625" style="1324"/>
    <col min="43" max="43" width="10.5" style="1324" customWidth="1"/>
    <col min="44" max="44" width="18.33203125" style="1324" customWidth="1"/>
    <col min="45" max="45" width="13.5" style="1324" customWidth="1"/>
    <col min="46" max="46" width="14.5" style="1324" bestFit="1" customWidth="1"/>
    <col min="47" max="47" width="12.5" style="1324" bestFit="1" customWidth="1"/>
    <col min="48" max="48" width="13.33203125" style="1324" bestFit="1" customWidth="1"/>
    <col min="49" max="49" width="17.5" style="1324" customWidth="1"/>
    <col min="50" max="50" width="14.5" style="1324" customWidth="1"/>
    <col min="51" max="51" width="11.5" style="1324" customWidth="1"/>
    <col min="52" max="52" width="24.5" style="1324" customWidth="1"/>
    <col min="53" max="54" width="8.6640625" style="1324" customWidth="1"/>
    <col min="55" max="55" width="16.6640625" style="1324" customWidth="1"/>
    <col min="56" max="56" width="15.6640625" style="1324" customWidth="1"/>
    <col min="57" max="58" width="13.5" style="1324" customWidth="1"/>
    <col min="59" max="60" width="11.5" style="1324" customWidth="1"/>
    <col min="61" max="61" width="29.5" style="1324" customWidth="1"/>
    <col min="62" max="62" width="16.5" style="1324" customWidth="1"/>
    <col min="63" max="63" width="8.6640625" style="1324" customWidth="1"/>
    <col min="64" max="65" width="8.6640625" style="1324"/>
    <col min="66" max="66" width="15.5" style="1324" customWidth="1"/>
    <col min="67" max="67" width="16.5" style="1324" customWidth="1"/>
    <col min="68" max="68" width="13.5" style="1324" bestFit="1" customWidth="1"/>
    <col min="69" max="69" width="14" style="1324" bestFit="1" customWidth="1"/>
    <col min="70" max="70" width="12" style="1324" bestFit="1" customWidth="1"/>
    <col min="71" max="71" width="10.33203125" style="1324" bestFit="1" customWidth="1"/>
    <col min="72" max="72" width="29.6640625" style="1324" customWidth="1"/>
    <col min="73" max="76" width="8.6640625" style="1324"/>
    <col min="77" max="77" width="14.5" style="1324" customWidth="1"/>
    <col min="78" max="78" width="15.33203125" style="1324" customWidth="1"/>
    <col min="79" max="79" width="15.6640625" style="1324" bestFit="1" customWidth="1"/>
    <col min="80" max="80" width="14" style="1324" bestFit="1" customWidth="1"/>
    <col min="81" max="81" width="12.33203125" style="1324" bestFit="1" customWidth="1"/>
    <col min="82" max="82" width="10.33203125" style="1324" bestFit="1" customWidth="1"/>
    <col min="83" max="83" width="30.33203125" style="1324" customWidth="1"/>
    <col min="84" max="87" width="8.6640625" style="1324"/>
    <col min="88" max="88" width="13.6640625" style="1324" bestFit="1" customWidth="1"/>
    <col min="89" max="89" width="18" style="1324" customWidth="1"/>
    <col min="90" max="90" width="12" style="1324" bestFit="1" customWidth="1"/>
    <col min="91" max="91" width="14" style="1324" bestFit="1" customWidth="1"/>
    <col min="92" max="92" width="12.33203125" style="1324" bestFit="1" customWidth="1"/>
    <col min="93" max="93" width="13.5" style="1324" bestFit="1" customWidth="1"/>
    <col min="94" max="94" width="29" style="1324" customWidth="1"/>
    <col min="95" max="98" width="8.6640625" style="1324"/>
    <col min="99" max="99" width="17.5" style="1324" customWidth="1"/>
    <col min="100" max="100" width="18.5" style="1324" customWidth="1"/>
    <col min="101" max="101" width="12" style="1324" bestFit="1" customWidth="1"/>
    <col min="102" max="102" width="14" style="1324" bestFit="1" customWidth="1"/>
    <col min="103" max="103" width="12.33203125" style="1324" bestFit="1" customWidth="1"/>
    <col min="104" max="104" width="13.5" style="1324" bestFit="1" customWidth="1"/>
    <col min="105" max="105" width="30.5" style="1324" customWidth="1"/>
    <col min="106" max="109" width="8.6640625" style="1324"/>
    <col min="110" max="110" width="25.33203125" style="1324" customWidth="1"/>
    <col min="111" max="111" width="17.5" style="1324" customWidth="1"/>
    <col min="112" max="112" width="13.5" style="1324" customWidth="1"/>
    <col min="113" max="113" width="12.5" style="1324" customWidth="1"/>
    <col min="114" max="114" width="14.6640625" style="1324" customWidth="1"/>
    <col min="115" max="115" width="17.5" style="1324" customWidth="1"/>
    <col min="116" max="116" width="18.33203125" style="1324" customWidth="1"/>
    <col min="117" max="16384" width="8.6640625" style="1324"/>
  </cols>
  <sheetData>
    <row r="1" spans="2:118" s="1445" customFormat="1" ht="68" customHeight="1" x14ac:dyDescent="0.15">
      <c r="B1" s="2555" t="s">
        <v>3159</v>
      </c>
    </row>
    <row r="2" spans="2:118" x14ac:dyDescent="0.15">
      <c r="S2" s="973"/>
      <c r="T2" s="973"/>
      <c r="U2" s="1281"/>
      <c r="V2" s="973"/>
      <c r="W2" s="973"/>
      <c r="X2" s="973"/>
      <c r="Y2" s="973"/>
      <c r="Z2" s="973"/>
      <c r="AA2" s="973"/>
      <c r="AB2" s="973"/>
      <c r="AC2" s="973"/>
      <c r="AD2" s="973"/>
      <c r="AE2" s="973"/>
      <c r="AF2" s="973"/>
      <c r="AG2" s="973"/>
      <c r="AH2" s="973"/>
      <c r="AI2" s="973"/>
      <c r="AJ2" s="973"/>
      <c r="AK2" s="973"/>
      <c r="AL2" s="973"/>
      <c r="AM2" s="973"/>
      <c r="AN2" s="973"/>
      <c r="AO2" s="973"/>
      <c r="AP2" s="973"/>
      <c r="AQ2" s="973"/>
      <c r="AR2" s="973"/>
      <c r="AS2" s="973"/>
      <c r="AT2" s="973"/>
      <c r="AU2" s="973"/>
      <c r="AV2" s="973"/>
      <c r="AW2" s="973"/>
      <c r="AX2" s="973"/>
      <c r="AY2" s="973"/>
      <c r="AZ2" s="1325" t="s">
        <v>293</v>
      </c>
      <c r="BA2" s="973"/>
      <c r="BB2" s="973"/>
      <c r="BC2" s="973"/>
      <c r="BD2" s="973"/>
      <c r="BE2" s="973"/>
      <c r="BF2" s="973"/>
      <c r="BG2" s="973"/>
      <c r="BH2" s="973"/>
      <c r="BI2" s="973"/>
      <c r="BJ2" s="973"/>
      <c r="BK2" s="973"/>
      <c r="BL2" s="973"/>
      <c r="BM2" s="973"/>
      <c r="BN2" s="973"/>
      <c r="BO2" s="973"/>
      <c r="BP2" s="973"/>
      <c r="BQ2" s="973"/>
      <c r="BR2" s="973"/>
      <c r="BS2" s="973"/>
      <c r="BT2" s="973"/>
      <c r="BU2" s="973"/>
      <c r="BV2" s="973"/>
      <c r="BW2" s="973"/>
      <c r="BX2" s="973"/>
      <c r="BY2" s="973"/>
      <c r="BZ2" s="973"/>
      <c r="CA2" s="973"/>
      <c r="CB2" s="973"/>
      <c r="CC2" s="973"/>
      <c r="CD2" s="973"/>
      <c r="CE2" s="973"/>
      <c r="CF2" s="973"/>
      <c r="CG2" s="973"/>
      <c r="CH2" s="973"/>
      <c r="CI2" s="973"/>
      <c r="CJ2" s="973"/>
      <c r="CK2" s="973"/>
      <c r="CL2" s="973"/>
      <c r="CM2" s="973"/>
      <c r="CN2" s="973"/>
      <c r="CO2" s="973"/>
      <c r="CP2" s="973"/>
      <c r="CQ2" s="973"/>
      <c r="CR2" s="973"/>
      <c r="CS2" s="973"/>
      <c r="CT2" s="973"/>
      <c r="CU2" s="973"/>
      <c r="CV2" s="973"/>
      <c r="CW2" s="973"/>
      <c r="CX2" s="973"/>
      <c r="CY2" s="973"/>
      <c r="CZ2" s="973"/>
      <c r="DA2" s="973"/>
      <c r="DB2" s="973"/>
      <c r="DC2" s="973"/>
      <c r="DD2" s="973"/>
      <c r="DE2" s="973"/>
      <c r="DF2" s="973"/>
      <c r="DG2" s="973"/>
      <c r="DH2" s="973"/>
      <c r="DI2" s="973"/>
      <c r="DJ2" s="973"/>
      <c r="DK2" s="973"/>
      <c r="DL2" s="973"/>
      <c r="DM2" s="973"/>
      <c r="DN2" s="973"/>
    </row>
    <row r="3" spans="2:118" ht="16.5" customHeight="1" x14ac:dyDescent="0.15">
      <c r="S3" s="973"/>
      <c r="T3" s="1400"/>
      <c r="U3" s="1401"/>
      <c r="V3" s="1402" t="s">
        <v>3160</v>
      </c>
      <c r="W3" s="1403"/>
      <c r="X3" s="1401"/>
      <c r="Y3" s="1401"/>
      <c r="Z3" s="1401"/>
      <c r="AA3" s="1404"/>
      <c r="AB3" s="973"/>
      <c r="AE3" s="973"/>
      <c r="AF3" s="1400"/>
      <c r="AG3" s="1401"/>
      <c r="AH3" s="1402" t="s">
        <v>3161</v>
      </c>
      <c r="AI3" s="1403"/>
      <c r="AJ3" s="1401"/>
      <c r="AK3" s="1401"/>
      <c r="AL3" s="1401"/>
      <c r="AM3" s="1404"/>
      <c r="AN3" s="973"/>
      <c r="AQ3" s="973"/>
      <c r="AR3" s="1326"/>
      <c r="AS3" s="1328" t="s">
        <v>3162</v>
      </c>
      <c r="AT3" s="1329"/>
      <c r="AU3" s="1330"/>
      <c r="AV3" s="1331"/>
      <c r="AW3" s="1331"/>
      <c r="AX3" s="1327"/>
      <c r="AZ3" s="1345" t="s">
        <v>1352</v>
      </c>
      <c r="BB3" s="973"/>
      <c r="BC3" s="1326"/>
      <c r="BD3" s="1328" t="s">
        <v>3162</v>
      </c>
      <c r="BE3" s="1329"/>
      <c r="BF3" s="1330"/>
      <c r="BG3" s="1331"/>
      <c r="BH3" s="1331"/>
      <c r="BI3" s="1327"/>
      <c r="BJ3" s="973"/>
      <c r="BM3" s="973"/>
      <c r="BN3" s="1326"/>
      <c r="BO3" s="1328" t="s">
        <v>3162</v>
      </c>
      <c r="BP3" s="1329"/>
      <c r="BQ3" s="1330"/>
      <c r="BR3" s="1331"/>
      <c r="BS3" s="1331"/>
      <c r="BT3" s="1327"/>
      <c r="BU3" s="973"/>
      <c r="BX3" s="973"/>
      <c r="BY3" s="1326"/>
      <c r="BZ3" s="1328" t="s">
        <v>3162</v>
      </c>
      <c r="CA3" s="1329"/>
      <c r="CB3" s="1330"/>
      <c r="CC3" s="1331"/>
      <c r="CD3" s="1331"/>
      <c r="CE3" s="1327"/>
      <c r="CF3" s="973"/>
      <c r="CI3" s="973"/>
      <c r="CJ3" s="1326"/>
      <c r="CK3" s="1328" t="s">
        <v>3162</v>
      </c>
      <c r="CL3" s="1329"/>
      <c r="CM3" s="1330"/>
      <c r="CN3" s="1331"/>
      <c r="CO3" s="1331"/>
      <c r="CP3" s="1327"/>
      <c r="CQ3" s="973"/>
      <c r="CT3" s="973"/>
      <c r="CU3" s="1326"/>
      <c r="CV3" s="1328" t="s">
        <v>3162</v>
      </c>
      <c r="CW3" s="1329"/>
      <c r="CX3" s="1330"/>
      <c r="CY3" s="1331"/>
      <c r="CZ3" s="1331"/>
      <c r="DA3" s="1327"/>
      <c r="DB3" s="973"/>
      <c r="DD3" s="973"/>
      <c r="DE3" s="973"/>
      <c r="DF3" s="1326"/>
      <c r="DG3" s="1328" t="s">
        <v>3162</v>
      </c>
      <c r="DH3" s="1329"/>
      <c r="DI3" s="1330"/>
      <c r="DJ3" s="1331"/>
      <c r="DK3" s="1331"/>
      <c r="DL3" s="1327"/>
      <c r="DM3" s="973"/>
    </row>
    <row r="4" spans="2:118" ht="18.75" customHeight="1" x14ac:dyDescent="0.2">
      <c r="F4" s="1326"/>
      <c r="G4" s="1331"/>
      <c r="H4" s="1331"/>
      <c r="I4" s="1331"/>
      <c r="J4" s="1331"/>
      <c r="K4" s="1331"/>
      <c r="L4" s="1331"/>
      <c r="M4" s="1331"/>
      <c r="N4" s="1331"/>
      <c r="O4" s="1331"/>
      <c r="P4" s="1327"/>
      <c r="S4" s="973"/>
      <c r="T4" s="1334" t="s">
        <v>323</v>
      </c>
      <c r="U4" s="1408" t="s">
        <v>3163</v>
      </c>
      <c r="V4" s="1409"/>
      <c r="W4" s="1410"/>
      <c r="X4" s="1410"/>
      <c r="Y4" s="1410"/>
      <c r="Z4" s="1410"/>
      <c r="AA4" s="1411"/>
      <c r="AB4" s="973"/>
      <c r="AE4" s="973"/>
      <c r="AF4" s="1412" t="s">
        <v>323</v>
      </c>
      <c r="AG4" s="1405" t="s">
        <v>3164</v>
      </c>
      <c r="AH4" s="1406"/>
      <c r="AI4" s="1407"/>
      <c r="AJ4" s="1407"/>
      <c r="AK4" s="1407"/>
      <c r="AL4" s="1407"/>
      <c r="AM4" s="1413"/>
      <c r="AN4" s="973"/>
      <c r="AQ4" s="973"/>
      <c r="AR4" s="1335" t="s">
        <v>323</v>
      </c>
      <c r="AS4" s="1336"/>
      <c r="AT4" s="1337"/>
      <c r="AU4" s="1338"/>
      <c r="AV4" s="1338"/>
      <c r="AW4" s="1338"/>
      <c r="AX4" s="1339"/>
      <c r="AZ4" s="1345" t="s">
        <v>1407</v>
      </c>
      <c r="BB4" s="973"/>
      <c r="BC4" s="1335" t="s">
        <v>323</v>
      </c>
      <c r="BD4" s="1336"/>
      <c r="BE4" s="1337"/>
      <c r="BF4" s="1338"/>
      <c r="BG4" s="1338"/>
      <c r="BH4" s="1338"/>
      <c r="BI4" s="1339"/>
      <c r="BJ4" s="973"/>
      <c r="BM4" s="973"/>
      <c r="BN4" s="1335" t="s">
        <v>323</v>
      </c>
      <c r="BO4" s="1336"/>
      <c r="BP4" s="1337"/>
      <c r="BQ4" s="1338"/>
      <c r="BR4" s="1338"/>
      <c r="BS4" s="1338"/>
      <c r="BT4" s="1339"/>
      <c r="BU4" s="973"/>
      <c r="BX4" s="973"/>
      <c r="BY4" s="1335" t="s">
        <v>323</v>
      </c>
      <c r="BZ4" s="1336"/>
      <c r="CA4" s="1337"/>
      <c r="CB4" s="1338"/>
      <c r="CC4" s="1338"/>
      <c r="CD4" s="1338"/>
      <c r="CE4" s="1339"/>
      <c r="CF4" s="973"/>
      <c r="CI4" s="973"/>
      <c r="CJ4" s="1335" t="s">
        <v>323</v>
      </c>
      <c r="CK4" s="1336"/>
      <c r="CL4" s="1337"/>
      <c r="CM4" s="1338"/>
      <c r="CN4" s="1338"/>
      <c r="CO4" s="1338"/>
      <c r="CP4" s="1339"/>
      <c r="CQ4" s="973"/>
      <c r="CT4" s="973"/>
      <c r="CU4" s="1335" t="s">
        <v>323</v>
      </c>
      <c r="CV4" s="1336"/>
      <c r="CW4" s="1337"/>
      <c r="CX4" s="1338"/>
      <c r="CY4" s="1338"/>
      <c r="CZ4" s="1338"/>
      <c r="DA4" s="1339"/>
      <c r="DB4" s="973"/>
      <c r="DD4" s="973"/>
      <c r="DE4" s="973"/>
      <c r="DF4" s="1335" t="s">
        <v>323</v>
      </c>
      <c r="DG4" s="1336"/>
      <c r="DH4" s="1337"/>
      <c r="DI4" s="1338"/>
      <c r="DJ4" s="1338"/>
      <c r="DK4" s="1338"/>
      <c r="DL4" s="1339"/>
      <c r="DM4" s="973"/>
    </row>
    <row r="5" spans="2:118" ht="38.25" customHeight="1" x14ac:dyDescent="0.2">
      <c r="F5" s="1332"/>
      <c r="G5" s="1333"/>
      <c r="H5" s="1434"/>
      <c r="I5" s="1437" t="s">
        <v>3165</v>
      </c>
      <c r="J5" s="1435"/>
      <c r="K5" s="1435"/>
      <c r="L5" s="1435"/>
      <c r="M5" s="1435"/>
      <c r="N5" s="1435"/>
      <c r="O5" s="1435"/>
      <c r="P5" s="1394"/>
      <c r="S5" s="973"/>
      <c r="T5" s="1340" t="s">
        <v>3166</v>
      </c>
      <c r="U5" s="1750" t="s">
        <v>1588</v>
      </c>
      <c r="V5" s="1750" t="s">
        <v>1382</v>
      </c>
      <c r="W5" s="1750" t="s">
        <v>1590</v>
      </c>
      <c r="X5" s="1750" t="s">
        <v>1592</v>
      </c>
      <c r="Y5" s="1750" t="s">
        <v>1384</v>
      </c>
      <c r="Z5" s="1750" t="s">
        <v>1396</v>
      </c>
      <c r="AA5" s="1751" t="s">
        <v>1401</v>
      </c>
      <c r="AB5" s="973"/>
      <c r="AE5" s="973"/>
      <c r="AF5" s="1340" t="s">
        <v>3166</v>
      </c>
      <c r="AG5" s="1762" t="s">
        <v>1588</v>
      </c>
      <c r="AH5" s="1763" t="s">
        <v>1382</v>
      </c>
      <c r="AI5" s="1763" t="s">
        <v>1590</v>
      </c>
      <c r="AJ5" s="1763" t="s">
        <v>1592</v>
      </c>
      <c r="AK5" s="1763" t="s">
        <v>1384</v>
      </c>
      <c r="AL5" s="1763" t="s">
        <v>1396</v>
      </c>
      <c r="AM5" s="1764" t="s">
        <v>1401</v>
      </c>
      <c r="AN5" s="973"/>
      <c r="AQ5" s="973"/>
      <c r="AR5" s="1342" t="s">
        <v>3166</v>
      </c>
      <c r="AS5" s="1343" t="s">
        <v>1590</v>
      </c>
      <c r="AT5" s="1344" t="s">
        <v>1592</v>
      </c>
      <c r="AU5" s="1344" t="s">
        <v>1384</v>
      </c>
      <c r="AV5" s="1344" t="s">
        <v>1396</v>
      </c>
      <c r="AW5" s="1344" t="s">
        <v>1401</v>
      </c>
      <c r="AX5" s="1341" t="s">
        <v>1588</v>
      </c>
      <c r="AZ5" s="1345" t="s">
        <v>1413</v>
      </c>
      <c r="BB5" s="973"/>
      <c r="BC5" s="1342" t="s">
        <v>3166</v>
      </c>
      <c r="BD5" s="1346" t="s">
        <v>1382</v>
      </c>
      <c r="BE5" s="1347" t="s">
        <v>1590</v>
      </c>
      <c r="BF5" s="1347" t="s">
        <v>1592</v>
      </c>
      <c r="BG5" s="1347" t="s">
        <v>1384</v>
      </c>
      <c r="BH5" s="1347" t="s">
        <v>1396</v>
      </c>
      <c r="BI5" s="1348" t="s">
        <v>1401</v>
      </c>
      <c r="BJ5" s="973"/>
      <c r="BM5" s="973"/>
      <c r="BN5" s="1349" t="s">
        <v>3166</v>
      </c>
      <c r="BO5" s="1346" t="s">
        <v>1382</v>
      </c>
      <c r="BP5" s="1347" t="s">
        <v>1590</v>
      </c>
      <c r="BQ5" s="1347" t="s">
        <v>1592</v>
      </c>
      <c r="BR5" s="1347" t="s">
        <v>1588</v>
      </c>
      <c r="BS5" s="1347" t="s">
        <v>1396</v>
      </c>
      <c r="BT5" s="1347" t="s">
        <v>1401</v>
      </c>
      <c r="BU5" s="973"/>
      <c r="BX5" s="973"/>
      <c r="BY5" s="1349" t="s">
        <v>3166</v>
      </c>
      <c r="BZ5" s="1346" t="s">
        <v>1382</v>
      </c>
      <c r="CA5" s="1347" t="s">
        <v>1384</v>
      </c>
      <c r="CB5" s="1347" t="s">
        <v>1592</v>
      </c>
      <c r="CC5" s="1347" t="s">
        <v>1588</v>
      </c>
      <c r="CD5" s="1347" t="s">
        <v>1396</v>
      </c>
      <c r="CE5" s="1347" t="s">
        <v>1401</v>
      </c>
      <c r="CF5" s="973"/>
      <c r="CI5" s="973"/>
      <c r="CJ5" s="1349" t="s">
        <v>3166</v>
      </c>
      <c r="CK5" s="1346" t="s">
        <v>1382</v>
      </c>
      <c r="CL5" s="1347" t="s">
        <v>1384</v>
      </c>
      <c r="CM5" s="1347" t="s">
        <v>1592</v>
      </c>
      <c r="CN5" s="1347" t="s">
        <v>1588</v>
      </c>
      <c r="CO5" s="1347" t="s">
        <v>1590</v>
      </c>
      <c r="CP5" s="1347" t="s">
        <v>1401</v>
      </c>
      <c r="CQ5" s="973"/>
      <c r="CT5" s="973"/>
      <c r="CU5" s="1349" t="s">
        <v>3166</v>
      </c>
      <c r="CV5" s="1346" t="s">
        <v>1382</v>
      </c>
      <c r="CW5" s="1347" t="s">
        <v>1384</v>
      </c>
      <c r="CX5" s="1347" t="s">
        <v>1396</v>
      </c>
      <c r="CY5" s="1347" t="s">
        <v>1588</v>
      </c>
      <c r="CZ5" s="1347" t="s">
        <v>1590</v>
      </c>
      <c r="DA5" s="1347" t="s">
        <v>1401</v>
      </c>
      <c r="DB5" s="973"/>
      <c r="DD5" s="973"/>
      <c r="DE5" s="973"/>
      <c r="DF5" s="1349" t="s">
        <v>3166</v>
      </c>
      <c r="DG5" s="1346" t="s">
        <v>1382</v>
      </c>
      <c r="DH5" s="1347" t="s">
        <v>1384</v>
      </c>
      <c r="DI5" s="1347" t="s">
        <v>1396</v>
      </c>
      <c r="DJ5" s="1347" t="s">
        <v>1588</v>
      </c>
      <c r="DK5" s="1347" t="s">
        <v>1590</v>
      </c>
      <c r="DL5" s="1350" t="s">
        <v>1592</v>
      </c>
      <c r="DM5" s="973"/>
    </row>
    <row r="6" spans="2:118" ht="15" customHeight="1" x14ac:dyDescent="0.15">
      <c r="F6" s="1351"/>
      <c r="G6" s="1352" t="s">
        <v>3167</v>
      </c>
      <c r="H6" s="1432" t="s">
        <v>3168</v>
      </c>
      <c r="I6" s="1374" t="s">
        <v>3169</v>
      </c>
      <c r="J6" s="1374" t="s">
        <v>2071</v>
      </c>
      <c r="K6" s="1374" t="s">
        <v>2072</v>
      </c>
      <c r="L6" s="1374" t="s">
        <v>1384</v>
      </c>
      <c r="M6" s="1374" t="str">
        <f>H11</f>
        <v>Grassland</v>
      </c>
      <c r="N6" s="1374" t="s">
        <v>1592</v>
      </c>
      <c r="O6" s="1374" t="s">
        <v>1401</v>
      </c>
      <c r="P6" s="1433" t="s">
        <v>2947</v>
      </c>
      <c r="S6" s="1576"/>
      <c r="T6" s="1419"/>
      <c r="U6" s="1415">
        <f>IF('2.LUC'!$I11 = U$5, 1,0)* defo!$G35</f>
        <v>0</v>
      </c>
      <c r="V6" s="1416">
        <f>IF('2.LUC'!$I11 = V$5, 1,0)* defo!$G35</f>
        <v>0</v>
      </c>
      <c r="W6" s="1416">
        <f>IF('2.LUC'!$I11 = W$5, 1,0)* defo!$G35</f>
        <v>0</v>
      </c>
      <c r="X6" s="1416">
        <f>IF('2.LUC'!$I11 = X$5, 1,0)* defo!$G35</f>
        <v>0</v>
      </c>
      <c r="Y6" s="1416">
        <f>IF('2.LUC'!$I11 = Y$5, 1,0)* defo!$G35</f>
        <v>0</v>
      </c>
      <c r="Z6" s="1416">
        <f>IF('2.LUC'!$I11 = Z$5, 1,0)* defo!$G35</f>
        <v>0</v>
      </c>
      <c r="AA6" s="1417">
        <f>IF('2.LUC'!$I11 = AA$5, 1,0)* defo!$G35</f>
        <v>0</v>
      </c>
      <c r="AB6" s="973"/>
      <c r="AE6" s="1168"/>
      <c r="AF6" s="1414"/>
      <c r="AG6" s="1415">
        <f>IF(AG$5='2.LUC'!$I36, '2.LUC'!$N36,0)</f>
        <v>0</v>
      </c>
      <c r="AH6" s="1416">
        <f>IF(AH$5='2.LUC'!$I36, '2.LUC'!$N36, 0)</f>
        <v>0</v>
      </c>
      <c r="AI6" s="1416">
        <f>IF(AI$5= '2.LUC'!$I36, '2.LUC'!$N36, 0)</f>
        <v>0</v>
      </c>
      <c r="AJ6" s="1416">
        <f>IF(AJ$5='2.LUC'!$I36, '2.LUC'!$N36, 0)</f>
        <v>0</v>
      </c>
      <c r="AK6" s="1416">
        <f>IF(AK$5 = '2.LUC'!$I36, '2.LUC'!$N36, 0)</f>
        <v>0</v>
      </c>
      <c r="AL6" s="1416">
        <f>IF(AL$5 = '2.LUC'!$I36, '2.LUC'!$N36, 0)</f>
        <v>0</v>
      </c>
      <c r="AM6" s="1417">
        <f>IF(AM$5='2.LUC'!$I36, '2.LUC'!$N36, 0)</f>
        <v>0</v>
      </c>
      <c r="AN6" s="973"/>
      <c r="AQ6" s="973"/>
      <c r="AR6" s="1351"/>
      <c r="AS6" s="1358">
        <f>IF(LEFT('2.LUC'!$I61,8)=LEFT($AR$8,8),IF(LEFT('2.LUC'!$K61,8)=LEFT(AS$5,8), luc!$C41,0),0)</f>
        <v>0</v>
      </c>
      <c r="AT6" s="1358">
        <f>IF(LEFT('2.LUC'!$I61,8)=LEFT($AR$8,8),IF(LEFT('2.LUC'!$K61,8)=LEFT(AT$5,8), luc!$C41,0),0)</f>
        <v>0</v>
      </c>
      <c r="AU6" s="1356">
        <f>IF(LEFT('2.LUC'!$I61,8)=LEFT($AR$8,8),IF(LEFT('2.LUC'!$K61,8)=LEFT(AU$5,8), luc!$C41,0),0)</f>
        <v>0</v>
      </c>
      <c r="AV6" s="1356">
        <f>IF(LEFT('2.LUC'!$I61,8)=LEFT($AR$8,8),IF(LEFT('2.LUC'!$K61,8)=LEFT(AV$5,8), luc!$C41,0),0)</f>
        <v>0</v>
      </c>
      <c r="AW6" s="1356">
        <f>IF(LEFT('2.LUC'!$I61,8)=LEFT($AR$8,8),IF(LEFT('2.LUC'!$K61,8)=LEFT(AW$5,8), luc!$C41,0),0)</f>
        <v>0</v>
      </c>
      <c r="AX6" s="1356">
        <f>IF(LEFT('2.LUC'!$I61,8)=LEFT($AR$8,8),IF((OR(LEFT('2.LUC'!$K61,8)=LEFT(AX$5,8)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0</v>
      </c>
      <c r="AZ6" s="1345" t="s">
        <v>1502</v>
      </c>
      <c r="BB6" s="973"/>
      <c r="BC6" s="1351"/>
      <c r="BD6" s="1358">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IF(LEFT('2.LUC'!$K61,8)=LEFT(Matrix!BD$5,8), luc!$C41, 0),0)</f>
        <v>0</v>
      </c>
      <c r="BE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IF(LEFT('2.LUC'!$K61,8)=LEFT(Matrix!BE$5,8), luc!$C41, 0),0)</f>
        <v>0</v>
      </c>
      <c r="BF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IF(LEFT('2.LUC'!$K61,8)=LEFT(Matrix!BF$5,8), luc!$C41, 0),0)</f>
        <v>0</v>
      </c>
      <c r="BG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IF(LEFT('2.LUC'!$K61,8)=LEFT(Matrix!BG$5,8), luc!$C41, 0),0)</f>
        <v>0</v>
      </c>
      <c r="BH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IF(LEFT('2.LUC'!$K61,8)=LEFT(Matrix!BH$5,8), luc!$C41, 0),0)</f>
        <v>0</v>
      </c>
      <c r="BI6" s="1358">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IF(LEFT('2.LUC'!$K61,8)=LEFT(Matrix!BI$5,8), luc!$C41, 0),0)</f>
        <v>0</v>
      </c>
      <c r="BJ6" s="973"/>
      <c r="BM6" s="973"/>
      <c r="BN6" s="1359"/>
      <c r="BO6" s="1356">
        <f>IF(LEFT('2.LUC'!$I61,8)=LEFT($BN$8,8),IF(LEFT('2.LUC'!$K61,8)=LEFT(BO$5,8), luc!$C41,0),0)</f>
        <v>0</v>
      </c>
      <c r="BP6" s="1356">
        <f>IF(LEFT('2.LUC'!$I61,8)=LEFT($BN$8,8),IF(LEFT('2.LUC'!$K61,8)=LEFT(BP$5,8), luc!$C41,0),0)</f>
        <v>0</v>
      </c>
      <c r="BQ6" s="1356">
        <f>IF(LEFT('2.LUC'!$I61,8)=LEFT($BN$8,8),IF(LEFT('2.LUC'!$K61,8)=LEFT(BQ$5,8), luc!$C41,0),0)</f>
        <v>0</v>
      </c>
      <c r="BR6" s="1356">
        <f>IF(LEFT('2.LUC'!$I61,8)=LEFT($BN$8,8),IF((OR(LEFT('2.LUC'!$K61,8)=LEFT(BR$5,8),LEFT('2.LUC'!$K61,8)=LEFT(AZ$3,8),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0</v>
      </c>
      <c r="BS6" s="1356">
        <f>IF(LEFT('2.LUC'!$I61,8)=LEFT($BN$8,8),IF(LEFT('2.LUC'!$K61,8)=LEFT(BS$5,8), luc!$C41,0),0)</f>
        <v>0</v>
      </c>
      <c r="BT6" s="1358">
        <f>IF(LEFT('2.LUC'!$I61,8)=LEFT($BN$8,8),IF(LEFT('2.LUC'!$K61,8)=LEFT(BT$5,8), luc!$C41,0),0)</f>
        <v>0</v>
      </c>
      <c r="BU6" s="973"/>
      <c r="BX6" s="973"/>
      <c r="BY6" s="1359"/>
      <c r="BZ6" s="1360">
        <f>IF(LEFT('2.LUC'!$I61,8)=LEFT($BY$8,8),IF(LEFT('2.LUC'!$K61,8)=LEFT(BZ$5,8), luc!$C41,0),0)</f>
        <v>0</v>
      </c>
      <c r="CA6" s="1360">
        <f>IF(LEFT('2.LUC'!$I61,8)=LEFT($BY$8,8),IF(LEFT('2.LUC'!$K61,8)=LEFT(CA$5,8), luc!$C41,0),0)</f>
        <v>0</v>
      </c>
      <c r="CB6" s="1360">
        <f>IF(LEFT('2.LUC'!$I61,8)=LEFT($BY$8,8),IF(LEFT('2.LUC'!$K61,8)=LEFT(CB$5,8), luc!$C41,0),0)</f>
        <v>0</v>
      </c>
      <c r="CC6" s="1360">
        <f>IF(LEFT('2.LUC'!$I61,8)=LEFT($BY$8,8),IF((OR(LEFT('2.LUC'!$K61,8)=LEFT(CC$5,8),LEFT('2.LUC'!$K61,8)=LEFT(AZ$3,8), LEFT('2.LUC'!$K61,8)=LEFT(AZ$4,8),LEFT('2.LUC'!$K61,8)=LEFT(AZ$5,8),LEFT('2.LUC'!$K61,8)=LEFT(AZ$6,8),LEFT('2.LUC'!$K61,8)=LEFT(AZ$7,8),LEFT('2.LUC'!$K61,8)=LEFT(AZ$8,8),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0</v>
      </c>
      <c r="CD6" s="1360">
        <f>IF(LEFT('2.LUC'!$I61,8)=LEFT($BY$8,8),IF(LEFT('2.LUC'!$K61,8)=LEFT(CD$5,8), luc!$C41,0),0)</f>
        <v>0</v>
      </c>
      <c r="CE6" s="1356">
        <f>IF(LEFT('2.LUC'!$I61,8)=LEFT($BY$8,8),IF(LEFT('2.LUC'!$K61,8)=LEFT(CE$5,8), luc!$C41,0),0)</f>
        <v>0</v>
      </c>
      <c r="CF6" s="973"/>
      <c r="CI6" s="973"/>
      <c r="CJ6" s="1359"/>
      <c r="CK6" s="1360">
        <f>IF(LEFT('2.LUC'!$I61,8)=LEFT($CJ$8,8),IF(LEFT('2.LUC'!$K61,8)=LEFT(CK$5,8), luc!$C41,0),0)</f>
        <v>150</v>
      </c>
      <c r="CL6" s="1360">
        <f>IF(LEFT('2.LUC'!$I61,8)=LEFT($CJ$8,8),IF(LEFT('2.LUC'!$K61,8)=LEFT(CL$5,8), luc!$C41,0),0)</f>
        <v>0</v>
      </c>
      <c r="CM6" s="1360">
        <f>IF(LEFT('2.LUC'!$I61,8)=LEFT($CJ$8,8),IF(LEFT('2.LUC'!$K61,8)=LEFT(CM$5,8), luc!$C41,0),0)</f>
        <v>0</v>
      </c>
      <c r="CN6" s="1356">
        <f>IF(LEFT('2.LUC'!$I61,8)=LEFT($CJ$8,8),IF((OR(LEFT('2.LUC'!$K61,8)=LEFT(CN$5,8)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0</v>
      </c>
      <c r="CO6" s="1361">
        <f>IF(LEFT('2.LUC'!$I61,8)=LEFT($CJ$8,8),IF(LEFT('2.LUC'!$K61,8)=LEFT(CO$5,8), luc!$C41,0),0)</f>
        <v>0</v>
      </c>
      <c r="CP6" s="1356">
        <f>IF(LEFT('2.LUC'!$I61,8)=LEFT($CJ$8,8),IF(LEFT('2.LUC'!$K61,8)=LEFT(CP$5,8), luc!$C41,0),0)</f>
        <v>0</v>
      </c>
      <c r="CQ6" s="973"/>
      <c r="CT6" s="973"/>
      <c r="CU6" s="1359"/>
      <c r="CV6" s="1360">
        <f>IF(LEFT('2.LUC'!$I61,8)=LEFT($CU$8,8),IF(LEFT('2.LUC'!$K61,8)=LEFT(CV$5,8), luc!$C41,0),0)</f>
        <v>0</v>
      </c>
      <c r="CW6" s="1360">
        <f>IF(LEFT('2.LUC'!$I61,8)=LEFT($CU$8,8),IF(LEFT('2.LUC'!$K61,8)=LEFT(CW$5,8), luc!$C41,0),0)</f>
        <v>0</v>
      </c>
      <c r="CX6" s="1360">
        <f>IF(LEFT('2.LUC'!$I61,8)=LEFT($CU$8,8),IF(LEFT('2.LUC'!$K61,8)=LEFT(CX$5,8), luc!$C41,0),0)</f>
        <v>0</v>
      </c>
      <c r="CY6" s="1356">
        <f>IF(LEFT('2.LUC'!$I61,8)=LEFT($CU$8,8),IF((OR(LEFT('2.LUC'!$K61,8)=LEFT(CY$5,8)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0</v>
      </c>
      <c r="CZ6" s="1361">
        <f>IF(LEFT('2.LUC'!$I61,8)=LEFT($CU$8,8),IF(LEFT('2.LUC'!$K61,8)=LEFT(CZ$5,8), luc!$C41,0),0)</f>
        <v>0</v>
      </c>
      <c r="DA6" s="1356">
        <f>IF(LEFT('2.LUC'!$I61,8)=LEFT($CU$8,8),IF(LEFT('2.LUC'!$K61,8)=LEFT(DA$5,8), luc!$C41,0),0)</f>
        <v>0</v>
      </c>
      <c r="DB6" s="973"/>
      <c r="DD6" s="973"/>
      <c r="DE6" s="973"/>
      <c r="DF6" s="1359"/>
      <c r="DG6" s="1360">
        <f>IF(LEFT('2.LUC'!$I61,8)=LEFT($DF$8,8),IF(LEFT('2.LUC'!$K61,8)=LEFT(DG$5,8), luc!$C41,0),0)</f>
        <v>0</v>
      </c>
      <c r="DH6" s="1360">
        <f>IF(LEFT('2.LUC'!$I61,8)=LEFT($DF$8,8),IF(LEFT('2.LUC'!$K61,8)=LEFT(DH$5,8), luc!$C41,0),0)</f>
        <v>0</v>
      </c>
      <c r="DI6" s="1360">
        <f>IF(LEFT('2.LUC'!$I61,8)=LEFT($DF$8,8),IF(LEFT('2.LUC'!$K61,8)=LEFT(DI$5,8), luc!$C41,0),0)</f>
        <v>0</v>
      </c>
      <c r="DJ6" s="1356">
        <f>IF(LEFT('2.LUC'!$I61,8)=LEFT($DF$8,8),IF((OR(LEFT('2.LUC'!$K61,8)=LEFT(DJ$5,8)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0</v>
      </c>
      <c r="DK6" s="1361">
        <f>IF(LEFT('2.LUC'!$I61,8)=LEFT($DF$8,8),IF(LEFT('2.LUC'!$K61,8)=LEFT(DK$5,8), luc!$C41,0),0)</f>
        <v>0</v>
      </c>
      <c r="DL6" s="1356">
        <f>IF(LEFT('2.LUC'!$I61,8)=LEFT($DF$8,8),IF(LEFT('2.LUC'!$K61,8)=LEFT(DL$5,8), luc!$C41,0),0)</f>
        <v>0</v>
      </c>
      <c r="DM6" s="973"/>
    </row>
    <row r="7" spans="2:118" x14ac:dyDescent="0.15">
      <c r="F7" s="1362"/>
      <c r="G7" s="1363" t="s">
        <v>2959</v>
      </c>
      <c r="H7" s="1364" t="s">
        <v>3170</v>
      </c>
      <c r="I7" s="1438">
        <f>SUM(defo!$B35:$B42)-SUM(defo!$G35:$G42)+SUM(degradation!$D55:$D62)+Coastal!$AA$14+Coastal!$AA$16+Coastal!$AA$73+Coastal!$AA$75</f>
        <v>0</v>
      </c>
      <c r="J7" s="3128">
        <f>$V$14</f>
        <v>0</v>
      </c>
      <c r="K7" s="3128">
        <f>$U$14</f>
        <v>0</v>
      </c>
      <c r="L7" s="3128">
        <f>$Y$14</f>
        <v>0</v>
      </c>
      <c r="M7" s="3128">
        <f>$Z$14</f>
        <v>0</v>
      </c>
      <c r="N7" s="3128">
        <f>$X$14</f>
        <v>0</v>
      </c>
      <c r="O7" s="3128">
        <f>$AA$14+$W$14</f>
        <v>0</v>
      </c>
      <c r="P7" s="3129">
        <f t="shared" ref="P7:P14" si="0">SUM(I7:O7)</f>
        <v>0</v>
      </c>
      <c r="S7" s="1576"/>
      <c r="T7" s="1423"/>
      <c r="U7" s="1420">
        <f>IF('2.LUC'!$I12 = U$5, 1,0)* defo!$G36</f>
        <v>0</v>
      </c>
      <c r="V7" s="1421">
        <f>IF('2.LUC'!$I12 = V$5, 1,0)* defo!$G36</f>
        <v>0</v>
      </c>
      <c r="W7" s="1421">
        <f>IF('2.LUC'!$I12 = W$5, 1,0)* defo!$G36</f>
        <v>0</v>
      </c>
      <c r="X7" s="1421">
        <f>IF('2.LUC'!$I12 = X$5, 1,0)* defo!$G36</f>
        <v>0</v>
      </c>
      <c r="Y7" s="1421">
        <f>IF('2.LUC'!$I12 = Y$5, 1,0)* defo!$G36</f>
        <v>0</v>
      </c>
      <c r="Z7" s="1421">
        <f>IF('2.LUC'!$I12 = Z$5, 1,0)* defo!$G36</f>
        <v>0</v>
      </c>
      <c r="AA7" s="1422">
        <f>IF('2.LUC'!$I12 = AA$5, 1,0)* defo!$G36</f>
        <v>0</v>
      </c>
      <c r="AB7" s="973"/>
      <c r="AE7" s="1168"/>
      <c r="AG7" s="1420">
        <f>IF(AG$5='2.LUC'!$I37, '2.LUC'!$N37,0)</f>
        <v>0</v>
      </c>
      <c r="AH7" s="1421">
        <f>IF(AH$5='2.LUC'!$I37, '2.LUC'!$N37, 0)</f>
        <v>0</v>
      </c>
      <c r="AI7" s="1421">
        <f>IF(AI$5= '2.LUC'!$I37, '2.LUC'!$N37, 0)</f>
        <v>0</v>
      </c>
      <c r="AJ7" s="1421">
        <f>IF(AJ$5='2.LUC'!$I37, '2.LUC'!$N37, 0)</f>
        <v>0</v>
      </c>
      <c r="AK7" s="1421">
        <f>IF(AK$5 = '2.LUC'!$I37, '2.LUC'!$N37, 0)</f>
        <v>0</v>
      </c>
      <c r="AL7" s="1421">
        <f>IF(AL$5 = '2.LUC'!$I37, '2.LUC'!$N37, 0)</f>
        <v>0</v>
      </c>
      <c r="AM7" s="1422">
        <f>IF(AM$5='2.LUC'!$I37, '2.LUC'!$N37, 0)</f>
        <v>0</v>
      </c>
      <c r="AN7" s="973"/>
      <c r="AQ7" s="973"/>
      <c r="AR7" s="1362" t="s">
        <v>199</v>
      </c>
      <c r="AS7" s="1357">
        <f>IF(LEFT('2.LUC'!$I62,8)=LEFT($AR$8,8),IF(LEFT('2.LUC'!$K62,8)=LEFT(AS$5,8), luc!$C42,0),0)</f>
        <v>0</v>
      </c>
      <c r="AT7" s="1357">
        <f>IF(LEFT('2.LUC'!$I62,8)=LEFT($AR$8,8),IF(LEFT('2.LUC'!$K62,8)=LEFT(AT$5,8), luc!$C42,0),0)</f>
        <v>0</v>
      </c>
      <c r="AU7" s="1354">
        <f>IF(LEFT('2.LUC'!$I62,8)=LEFT($AR$8,8),IF(LEFT('2.LUC'!$K62,8)=LEFT(AU$5,8), luc!$C42,0),0)</f>
        <v>0</v>
      </c>
      <c r="AV7" s="1354">
        <f>IF(LEFT('2.LUC'!$I62,8)=LEFT($AR$8,8),IF(LEFT('2.LUC'!$K62,8)=LEFT(AV$5,8), luc!$C42,0),0)</f>
        <v>0</v>
      </c>
      <c r="AW7" s="1354">
        <f>IF(LEFT('2.LUC'!$I62,8)=LEFT($AR$8,8),IF(LEFT('2.LUC'!$K62,8)=LEFT(AW$5,8), luc!$C42,0),0)</f>
        <v>0</v>
      </c>
      <c r="AX7" s="1354">
        <f>IF(LEFT('2.LUC'!$I62,8)=LEFT($AR$8,8),IF((OR(LEFT('2.LUC'!$K62,8)=LEFT(AX$5,8)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0</v>
      </c>
      <c r="AZ7" s="1345" t="s">
        <v>1497</v>
      </c>
      <c r="BB7" s="973"/>
      <c r="BC7" s="1362" t="s">
        <v>199</v>
      </c>
      <c r="BD7" s="1357">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IF(LEFT('2.LUC'!$K62,8)=LEFT(Matrix!BD$5,8), luc!$C42, 0),0)</f>
        <v>0</v>
      </c>
      <c r="BE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IF(LEFT('2.LUC'!$K62,8)=LEFT(Matrix!BE$5,8), luc!$C42, 0),0)</f>
        <v>0</v>
      </c>
      <c r="BF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IF(LEFT('2.LUC'!$K62,8)=LEFT(Matrix!BF$5,8), luc!$C42, 0),0)</f>
        <v>0</v>
      </c>
      <c r="BG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IF(LEFT('2.LUC'!$K62,8)=LEFT(Matrix!BG$5,8), luc!$C42, 0),0)</f>
        <v>0</v>
      </c>
      <c r="BH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IF(LEFT('2.LUC'!$K62,8)=LEFT(Matrix!BH$5,8), luc!$C42, 0),0)</f>
        <v>0</v>
      </c>
      <c r="BI7" s="1357">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IF(LEFT('2.LUC'!$K62,8)=LEFT(Matrix!BI$5,8), luc!$C42, 0),0)</f>
        <v>0</v>
      </c>
      <c r="BJ7" s="973"/>
      <c r="BM7" s="973"/>
      <c r="BN7" s="1365" t="s">
        <v>199</v>
      </c>
      <c r="BO7" s="1354">
        <f>IF(LEFT('2.LUC'!$I62,8)=LEFT($BN$8,8),IF(LEFT('2.LUC'!$K62,8)=LEFT(BO$5,8), luc!$C42,0),0)</f>
        <v>0</v>
      </c>
      <c r="BP7" s="1354">
        <f>IF(LEFT('2.LUC'!$I62,8)=LEFT($BN$8,8),IF(LEFT('2.LUC'!$K62,8)=LEFT(BP$5,8), luc!$C42,0),0)</f>
        <v>0</v>
      </c>
      <c r="BQ7" s="1354">
        <f>IF(LEFT('2.LUC'!$I62,8)=LEFT($BN$8,8),IF(LEFT('2.LUC'!$K62,8)=LEFT(BQ$5,8), luc!$C42,0),0)</f>
        <v>0</v>
      </c>
      <c r="BR7" s="1354">
        <f>IF(LEFT('2.LUC'!$I62,8)=LEFT($BN$8,8),IF((OR(LEFT('2.LUC'!$K62,8)=LEFT(BR$5,8),LEFT('2.LUC'!$K62,8)=LEFT(AZ$3,8),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0</v>
      </c>
      <c r="BS7" s="1354">
        <f>IF(LEFT('2.LUC'!$I62,8)=LEFT($BN$8,8),IF(LEFT('2.LUC'!$K62,8)=LEFT(BS$5,8), luc!$C42,0),0)</f>
        <v>0</v>
      </c>
      <c r="BT7" s="1357">
        <f>IF(LEFT('2.LUC'!$I62,8)=LEFT($BN$8,8),IF(LEFT('2.LUC'!$K62,8)=LEFT(BT$5,8), luc!$C42,0),0)</f>
        <v>0</v>
      </c>
      <c r="BU7" s="973"/>
      <c r="BX7" s="973"/>
      <c r="BY7" s="1365" t="s">
        <v>199</v>
      </c>
      <c r="BZ7" s="1355">
        <f>IF(LEFT('2.LUC'!$I62,8)=LEFT($BY$8,8),IF(LEFT('2.LUC'!$K62,8)=LEFT(BZ$5,8), luc!$C42,0),0)</f>
        <v>0</v>
      </c>
      <c r="CA7" s="1355">
        <f>IF(LEFT('2.LUC'!$I62,8)=LEFT($BY$8,8),IF(LEFT('2.LUC'!$K62,8)=LEFT(CA$5,8), luc!$C42,0),0)</f>
        <v>0</v>
      </c>
      <c r="CB7" s="1355">
        <f>IF(LEFT('2.LUC'!$I62,8)=LEFT($BY$8,8),IF(LEFT('2.LUC'!$K62,8)=LEFT(CB$5,8), luc!$C42,0),0)</f>
        <v>0</v>
      </c>
      <c r="CC7" s="1355">
        <f>IF(LEFT('2.LUC'!$I62,8)=LEFT($BY$8,8),IF((OR(LEFT('2.LUC'!$K62,8)=LEFT(CC$5,8),LEFT('2.LUC'!$K62,8)=LEFT(AZ$3,8), LEFT('2.LUC'!$K62,8)=LEFT(AZ$4,8),LEFT('2.LUC'!$K62,8)=LEFT(AZ$5,8),LEFT('2.LUC'!$K62,8)=LEFT(AZ$6,8),LEFT('2.LUC'!$K62,8)=LEFT(AZ$7,8),LEFT('2.LUC'!$K62,8)=LEFT(AZ$8,8),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0</v>
      </c>
      <c r="CD7" s="1355">
        <f>IF(LEFT('2.LUC'!$I62,8)=LEFT($BY$8,8),IF(LEFT('2.LUC'!$K62,8)=LEFT(CD$5,8), luc!$C42,0),0)</f>
        <v>0</v>
      </c>
      <c r="CE7" s="1354">
        <f>IF(LEFT('2.LUC'!$I62,8)=LEFT($BY$8,8),IF(LEFT('2.LUC'!$K62,8)=LEFT(CE$5,8), luc!$C42,0),0)</f>
        <v>0</v>
      </c>
      <c r="CF7" s="973"/>
      <c r="CI7" s="973"/>
      <c r="CJ7" s="1365" t="s">
        <v>199</v>
      </c>
      <c r="CK7" s="1355">
        <f>IF(LEFT('2.LUC'!$I62,8)=LEFT($CJ$8,8),IF(LEFT('2.LUC'!$K62,8)=LEFT(CK$5,8), luc!$C42,0),0)</f>
        <v>0</v>
      </c>
      <c r="CL7" s="1355">
        <f>IF(LEFT('2.LUC'!$I62,8)=LEFT($CJ$8,8),IF(LEFT('2.LUC'!$K62,8)=LEFT(CL$5,8), luc!$C42,0),0)</f>
        <v>0</v>
      </c>
      <c r="CM7" s="1355">
        <f>IF(LEFT('2.LUC'!$I62,8)=LEFT($CJ$8,8),IF(LEFT('2.LUC'!$K62,8)=LEFT(CM$5,8), luc!$C42,0),0)</f>
        <v>0</v>
      </c>
      <c r="CN7" s="1354">
        <f>IF(LEFT('2.LUC'!$I62,8)=LEFT($CJ$8,8),IF((OR(LEFT('2.LUC'!$K62,8)=LEFT(CN$5,8)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0</v>
      </c>
      <c r="CO7" s="1104">
        <f>IF(LEFT('2.LUC'!$I62,8)=LEFT($CJ$8,8),IF(LEFT('2.LUC'!$K62,8)=LEFT(CO$5,8), luc!$C42,0),0)</f>
        <v>0</v>
      </c>
      <c r="CP7" s="1354">
        <f>IF(LEFT('2.LUC'!$I62,8)=LEFT($CJ$8,8),IF(LEFT('2.LUC'!$K62,8)=LEFT(CP$5,8), luc!$C42,0),0)</f>
        <v>0</v>
      </c>
      <c r="CQ7" s="973"/>
      <c r="CT7" s="973"/>
      <c r="CU7" s="1365" t="s">
        <v>199</v>
      </c>
      <c r="CV7" s="1355">
        <f>IF(LEFT('2.LUC'!$I62,8)=LEFT($CU$8,8),IF(LEFT('2.LUC'!$K62,8)=LEFT(CV$5,8), luc!$C42,0),0)</f>
        <v>0</v>
      </c>
      <c r="CW7" s="1355">
        <f>IF(LEFT('2.LUC'!$I62,8)=LEFT($CU$8,8),IF(LEFT('2.LUC'!$K62,8)=LEFT(CW$5,8), luc!$C42,0),0)</f>
        <v>0</v>
      </c>
      <c r="CX7" s="1355">
        <f>IF(LEFT('2.LUC'!$I62,8)=LEFT($CU$8,8),IF(LEFT('2.LUC'!$K62,8)=LEFT(CX$5,8), luc!$C42,0),0)</f>
        <v>0</v>
      </c>
      <c r="CY7" s="1354">
        <f>IF(LEFT('2.LUC'!$I62,8)=LEFT($CU$8,8),IF((OR(LEFT('2.LUC'!$K62,8)=LEFT(CY$5,8)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0</v>
      </c>
      <c r="CZ7" s="1104">
        <f>IF(LEFT('2.LUC'!$I62,8)=LEFT($CU$8,8),IF(LEFT('2.LUC'!$K62,8)=LEFT(CZ$5,8), luc!$C42,0),0)</f>
        <v>0</v>
      </c>
      <c r="DA7" s="1354">
        <f>IF(LEFT('2.LUC'!$I62,8)=LEFT($CU$8,8),IF(LEFT('2.LUC'!$K62,8)=LEFT(DA$5,8), luc!$C42,0),0)</f>
        <v>0</v>
      </c>
      <c r="DB7" s="973"/>
      <c r="DD7" s="973"/>
      <c r="DE7" s="973"/>
      <c r="DF7" s="1365" t="s">
        <v>199</v>
      </c>
      <c r="DG7" s="1355">
        <f>IF(LEFT('2.LUC'!$I62,8)=LEFT($DF$8,8),IF(LEFT('2.LUC'!$K62,8)=LEFT(DG$5,8), luc!$C42,0),0)</f>
        <v>0</v>
      </c>
      <c r="DH7" s="1355">
        <f>IF(LEFT('2.LUC'!$I62,8)=LEFT($DF$8,8),IF(LEFT('2.LUC'!$K62,8)=LEFT(DH$5,8), luc!$C42,0),0)</f>
        <v>0</v>
      </c>
      <c r="DI7" s="1355">
        <f>IF(LEFT('2.LUC'!$I62,8)=LEFT($DF$8,8),IF(LEFT('2.LUC'!$K62,8)=LEFT(DI$5,8), luc!$C42,0),0)</f>
        <v>0</v>
      </c>
      <c r="DJ7" s="1354">
        <f>IF(LEFT('2.LUC'!$I62,8)=LEFT($DF$8,8),IF((OR(LEFT('2.LUC'!$K62,8)=LEFT(DJ$5,8)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0</v>
      </c>
      <c r="DK7" s="1104">
        <f>IF(LEFT('2.LUC'!$I62,8)=LEFT($DF$8,8),IF(LEFT('2.LUC'!$K62,8)=LEFT(DK$5,8), luc!$C42,0),0)</f>
        <v>0</v>
      </c>
      <c r="DL7" s="1354">
        <f>IF(LEFT('2.LUC'!$I62,8)=LEFT($DF$8,8),IF(LEFT('2.LUC'!$K62,8)=LEFT(DL$5,8), luc!$C42,0),0)</f>
        <v>0</v>
      </c>
      <c r="DM7" s="973"/>
    </row>
    <row r="8" spans="2:118" ht="18" x14ac:dyDescent="0.2">
      <c r="B8" s="1439" t="s">
        <v>222</v>
      </c>
      <c r="C8" s="1440"/>
      <c r="F8" s="1354"/>
      <c r="G8" s="1366" t="s">
        <v>2949</v>
      </c>
      <c r="H8" s="1351" t="s">
        <v>3171</v>
      </c>
      <c r="I8" s="3130">
        <f>$AH$14</f>
        <v>0</v>
      </c>
      <c r="J8" s="1438">
        <f>annual!$E$48+annual!$E$37+annual!$E$35</f>
        <v>150</v>
      </c>
      <c r="K8" s="3129">
        <f>$AX$16</f>
        <v>0</v>
      </c>
      <c r="L8" s="3129">
        <f>$AU$16</f>
        <v>0</v>
      </c>
      <c r="M8" s="3129">
        <f>$AV$16</f>
        <v>0</v>
      </c>
      <c r="N8" s="3129">
        <f>$AT$16</f>
        <v>0</v>
      </c>
      <c r="O8" s="3129">
        <f>$AW$16+$AS$16</f>
        <v>0</v>
      </c>
      <c r="P8" s="3129">
        <f t="shared" si="0"/>
        <v>150</v>
      </c>
      <c r="S8" s="1576"/>
      <c r="T8" s="1423" t="s">
        <v>199</v>
      </c>
      <c r="U8" s="1420">
        <f>IF('2.LUC'!$I13 = U$5, 1,0)* defo!$G37</f>
        <v>0</v>
      </c>
      <c r="V8" s="1421">
        <f>IF('2.LUC'!$I13 = V$5, 1,0)* defo!$G37</f>
        <v>0</v>
      </c>
      <c r="W8" s="1421">
        <f>IF('2.LUC'!$I13 = W$5, 1,0)* defo!$G37</f>
        <v>0</v>
      </c>
      <c r="X8" s="1421">
        <f>IF('2.LUC'!$I13 = X$5, 1,0)* defo!$G37</f>
        <v>0</v>
      </c>
      <c r="Y8" s="1421">
        <f>IF('2.LUC'!$I13 = Y$5, 1,0)* defo!$G37</f>
        <v>0</v>
      </c>
      <c r="Z8" s="1421">
        <f>IF('2.LUC'!$I13 = Z$5, 1,0)* defo!$G37</f>
        <v>0</v>
      </c>
      <c r="AA8" s="1422">
        <f>IF('2.LUC'!$I13 = AA$5, 1,0)* defo!$G37</f>
        <v>0</v>
      </c>
      <c r="AB8" s="973"/>
      <c r="AE8" s="1418"/>
      <c r="AF8" s="1414" t="s">
        <v>199</v>
      </c>
      <c r="AG8" s="1420">
        <f>IF(AG$5='2.LUC'!$I38, '2.LUC'!$N38,0)</f>
        <v>0</v>
      </c>
      <c r="AH8" s="1421">
        <f>IF(AH$5='2.LUC'!$I38, '2.LUC'!$N38, 0)</f>
        <v>0</v>
      </c>
      <c r="AI8" s="1421">
        <f>IF(AI$5= '2.LUC'!$I38, '2.LUC'!$N38, 0)</f>
        <v>0</v>
      </c>
      <c r="AJ8" s="1421">
        <f>IF(AJ$5='2.LUC'!$I38, '2.LUC'!$N38, 0)</f>
        <v>0</v>
      </c>
      <c r="AK8" s="1421">
        <f>IF(AK$5 = '2.LUC'!$I38, '2.LUC'!$N38, 0)</f>
        <v>0</v>
      </c>
      <c r="AL8" s="1421">
        <f>IF(AL$5 = '2.LUC'!$I38, '2.LUC'!$N38, 0)</f>
        <v>0</v>
      </c>
      <c r="AM8" s="1422">
        <f>IF(AM$5='2.LUC'!$I38, '2.LUC'!$N38, 0)</f>
        <v>0</v>
      </c>
      <c r="AN8" s="973"/>
      <c r="AQ8" s="973"/>
      <c r="AR8" s="1354" t="s">
        <v>1382</v>
      </c>
      <c r="AS8" s="1357">
        <f>IF(LEFT('2.LUC'!$I63,8)=LEFT($AR$8,8),IF(LEFT('2.LUC'!$K63,8)=LEFT(AS$5,8), luc!$C43,0),0)</f>
        <v>0</v>
      </c>
      <c r="AT8" s="1357">
        <f>IF(LEFT('2.LUC'!$I63,8)=LEFT($AR$8,8),IF(LEFT('2.LUC'!$K63,8)=LEFT(AT$5,8), luc!$C43,0),0)</f>
        <v>0</v>
      </c>
      <c r="AU8" s="1354">
        <f>IF(LEFT('2.LUC'!$I63,8)=LEFT($AR$8,8),IF(LEFT('2.LUC'!$K63,8)=LEFT(AU$5,8), luc!$C43,0),0)</f>
        <v>0</v>
      </c>
      <c r="AV8" s="1354">
        <f>IF(LEFT('2.LUC'!$I63,8)=LEFT($AR$8,8),IF(LEFT('2.LUC'!$K63,8)=LEFT(AV$5,8), luc!$C43,0),0)</f>
        <v>0</v>
      </c>
      <c r="AW8" s="1354">
        <f>IF(LEFT('2.LUC'!$I63,8)=LEFT($AR$8,8),IF(LEFT('2.LUC'!$K63,8)=LEFT(AW$5,8), luc!$C43,0),0)</f>
        <v>0</v>
      </c>
      <c r="AX8" s="1354">
        <f>IF(LEFT('2.LUC'!$I63,8)=LEFT($AR$8,8),IF((OR(LEFT('2.LUC'!$K63,8)=LEFT(AX$5,8)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0</v>
      </c>
      <c r="AZ8" s="1345" t="s">
        <v>1499</v>
      </c>
      <c r="BB8" s="973"/>
      <c r="BC8" s="1354" t="s">
        <v>1588</v>
      </c>
      <c r="BD8" s="1357">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IF(LEFT('2.LUC'!$K63,8)=LEFT(Matrix!BD$5,8), luc!$C43, 0),0)</f>
        <v>0</v>
      </c>
      <c r="BE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IF(LEFT('2.LUC'!$K63,8)=LEFT(Matrix!BE$5,8), luc!$C43, 0),0)</f>
        <v>0</v>
      </c>
      <c r="BF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IF(LEFT('2.LUC'!$K63,8)=LEFT(Matrix!BF$5,8), luc!$C43, 0),0)</f>
        <v>0</v>
      </c>
      <c r="BG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IF(LEFT('2.LUC'!$K63,8)=LEFT(Matrix!BG$5,8), luc!$C43, 0),0)</f>
        <v>0</v>
      </c>
      <c r="BH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IF(LEFT('2.LUC'!$K63,8)=LEFT(Matrix!BH$5,8), luc!$C43, 0),0)</f>
        <v>0</v>
      </c>
      <c r="BI8" s="1357">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IF(LEFT('2.LUC'!$K63,8)=LEFT(Matrix!BI$5,8), luc!$C43, 0),0)</f>
        <v>0</v>
      </c>
      <c r="BJ8" s="973"/>
      <c r="BM8" s="973"/>
      <c r="BN8" s="1355" t="s">
        <v>1384</v>
      </c>
      <c r="BO8" s="1354">
        <f>IF(LEFT('2.LUC'!$I63,8)=LEFT($BN$8,8),IF(LEFT('2.LUC'!$K63,8)=LEFT(BO$5,8), luc!$C43,0),0)</f>
        <v>0</v>
      </c>
      <c r="BP8" s="1354">
        <f>IF(LEFT('2.LUC'!$I63,8)=LEFT($BN$8,8),IF(LEFT('2.LUC'!$K63,8)=LEFT(BP$5,8), luc!$C43,0),0)</f>
        <v>0</v>
      </c>
      <c r="BQ8" s="1354">
        <f>IF(LEFT('2.LUC'!$I63,8)=LEFT($BN$8,8),IF(LEFT('2.LUC'!$K63,8)=LEFT(BQ$5,8), luc!$C43,0),0)</f>
        <v>0</v>
      </c>
      <c r="BR8" s="1354">
        <f>IF(LEFT('2.LUC'!$I63,8)=LEFT($BN$8,8),IF((OR(LEFT('2.LUC'!$K63,8)=LEFT(BR$5,8),LEFT('2.LUC'!$K63,8)=LEFT(AZ$3,8),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0</v>
      </c>
      <c r="BS8" s="1354">
        <f>IF(LEFT('2.LUC'!$I63,8)=LEFT($BN$8,8),IF(LEFT('2.LUC'!$K63,8)=LEFT(BS$5,8), luc!$C43,0),0)</f>
        <v>0</v>
      </c>
      <c r="BT8" s="1357">
        <f>IF(LEFT('2.LUC'!$I63,8)=LEFT($BN$8,8),IF(LEFT('2.LUC'!$K63,8)=LEFT(BT$5,8), luc!$C43,0),0)</f>
        <v>0</v>
      </c>
      <c r="BU8" s="973"/>
      <c r="BX8" s="973"/>
      <c r="BY8" s="1355" t="s">
        <v>1590</v>
      </c>
      <c r="BZ8" s="1355">
        <f>IF(LEFT('2.LUC'!$I63,8)=LEFT($BY$8,8),IF(LEFT('2.LUC'!$K63,8)=LEFT(BZ$5,8), luc!$C43,0),0)</f>
        <v>0</v>
      </c>
      <c r="CA8" s="1355">
        <f>IF(LEFT('2.LUC'!$I63,8)=LEFT($BY$8,8),IF(LEFT('2.LUC'!$K63,8)=LEFT(CA$5,8), luc!$C43,0),0)</f>
        <v>0</v>
      </c>
      <c r="CB8" s="1355">
        <f>IF(LEFT('2.LUC'!$I63,8)=LEFT($BY$8,8),IF(LEFT('2.LUC'!$K63,8)=LEFT(CB$5,8), luc!$C43,0),0)</f>
        <v>0</v>
      </c>
      <c r="CC8" s="1355">
        <f>IF(LEFT('2.LUC'!$I63,8)=LEFT($BY$8,8),IF((OR(LEFT('2.LUC'!$K63,8)=LEFT(CC$5,8),LEFT('2.LUC'!$K63,8)=LEFT(AZ$3,8), LEFT('2.LUC'!$K63,8)=LEFT(AZ$4,8),LEFT('2.LUC'!$K63,8)=LEFT(AZ$5,8),LEFT('2.LUC'!$K63,8)=LEFT(AZ$6,8),LEFT('2.LUC'!$K63,8)=LEFT(AZ$7,8),LEFT('2.LUC'!$K63,8)=LEFT(AZ$8,8),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0</v>
      </c>
      <c r="CD8" s="1355">
        <f>IF(LEFT('2.LUC'!$I63,8)=LEFT($BY$8,8),IF(LEFT('2.LUC'!$K63,8)=LEFT(CD$5,8), luc!$C43,0),0)</f>
        <v>0</v>
      </c>
      <c r="CE8" s="1354">
        <f>IF(LEFT('2.LUC'!$I63,8)=LEFT($BY$8,8),IF(LEFT('2.LUC'!$K63,8)=LEFT(CE$5,8), luc!$C43,0),0)</f>
        <v>0</v>
      </c>
      <c r="CF8" s="973"/>
      <c r="CI8" s="973"/>
      <c r="CJ8" s="1355" t="s">
        <v>1396</v>
      </c>
      <c r="CK8" s="1355">
        <f>IF(LEFT('2.LUC'!$I63,8)=LEFT($CJ$8,8),IF(LEFT('2.LUC'!$K63,8)=LEFT(CK$5,8), luc!$C43,0),0)</f>
        <v>0</v>
      </c>
      <c r="CL8" s="1355">
        <f>IF(LEFT('2.LUC'!$I63,8)=LEFT($CJ$8,8),IF(LEFT('2.LUC'!$K63,8)=LEFT(CL$5,8), luc!$C43,0),0)</f>
        <v>0</v>
      </c>
      <c r="CM8" s="1355">
        <f>IF(LEFT('2.LUC'!$I63,8)=LEFT($CJ$8,8),IF(LEFT('2.LUC'!$K63,8)=LEFT(CM$5,8), luc!$C43,0),0)</f>
        <v>0</v>
      </c>
      <c r="CN8" s="1354">
        <f>IF(LEFT('2.LUC'!$I63,8)=LEFT($CJ$8,8),IF((OR(LEFT('2.LUC'!$K63,8)=LEFT(CN$5,8)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0</v>
      </c>
      <c r="CO8" s="1104">
        <f>IF(LEFT('2.LUC'!$I63,8)=LEFT($CJ$8,8),IF(LEFT('2.LUC'!$K63,8)=LEFT(CO$5,8), luc!$C43,0),0)</f>
        <v>0</v>
      </c>
      <c r="CP8" s="1354">
        <f>IF(LEFT('2.LUC'!$I63,8)=LEFT($CJ$8,8),IF(LEFT('2.LUC'!$K63,8)=LEFT(CP$5,8), luc!$C43,0),0)</f>
        <v>0</v>
      </c>
      <c r="CQ8" s="973"/>
      <c r="CT8" s="973"/>
      <c r="CU8" s="1355" t="s">
        <v>1592</v>
      </c>
      <c r="CV8" s="1355">
        <f>IF(LEFT('2.LUC'!$I63,8)=LEFT($CU$8,8),IF(LEFT('2.LUC'!$K63,8)=LEFT(CV$5,8), luc!$C43,0),0)</f>
        <v>0</v>
      </c>
      <c r="CW8" s="1355">
        <f>IF(LEFT('2.LUC'!$I63,8)=LEFT($CU$8,8),IF(LEFT('2.LUC'!$K63,8)=LEFT(CW$5,8), luc!$C43,0),0)</f>
        <v>0</v>
      </c>
      <c r="CX8" s="1355">
        <f>IF(LEFT('2.LUC'!$I63,8)=LEFT($CU$8,8),IF(LEFT('2.LUC'!$K63,8)=LEFT(CX$5,8), luc!$C43,0),0)</f>
        <v>0</v>
      </c>
      <c r="CY8" s="1354">
        <f>IF(LEFT('2.LUC'!$I63,8)=LEFT($CU$8,8),IF((OR(LEFT('2.LUC'!$K63,8)=LEFT(CY$5,8)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0</v>
      </c>
      <c r="CZ8" s="1104">
        <f>IF(LEFT('2.LUC'!$I63,8)=LEFT($CU$8,8),IF(LEFT('2.LUC'!$K63,8)=LEFT(CZ$5,8), luc!$C43,0),0)</f>
        <v>0</v>
      </c>
      <c r="DA8" s="1354">
        <f>IF(LEFT('2.LUC'!$I63,8)=LEFT($CU$8,8),IF(LEFT('2.LUC'!$K63,8)=LEFT(DA$5,8), luc!$C43,0),0)</f>
        <v>0</v>
      </c>
      <c r="DB8" s="973"/>
      <c r="DD8" s="973"/>
      <c r="DE8" s="973"/>
      <c r="DF8" s="1355" t="s">
        <v>1401</v>
      </c>
      <c r="DG8" s="1355">
        <f>IF(LEFT('2.LUC'!$I63,8)=LEFT($DF$8,8),IF(LEFT('2.LUC'!$K63,8)=LEFT(DG$5,8), luc!$C43,0),0)</f>
        <v>0</v>
      </c>
      <c r="DH8" s="1355">
        <f>IF(LEFT('2.LUC'!$I63,8)=LEFT($DF$8,8),IF(LEFT('2.LUC'!$K63,8)=LEFT(DH$5,8), luc!$C43,0),0)</f>
        <v>0</v>
      </c>
      <c r="DI8" s="1355">
        <f>IF(LEFT('2.LUC'!$I63,8)=LEFT($DF$8,8),IF(LEFT('2.LUC'!$K63,8)=LEFT(DI$5,8), luc!$C43,0),0)</f>
        <v>0</v>
      </c>
      <c r="DJ8" s="1354">
        <f>IF(LEFT('2.LUC'!$I63,8)=LEFT($DF$8,8),IF((OR(LEFT('2.LUC'!$K63,8)=LEFT(DJ$5,8)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0</v>
      </c>
      <c r="DK8" s="1104">
        <f>IF(LEFT('2.LUC'!$I63,8)=LEFT($DF$8,8),IF(LEFT('2.LUC'!$K63,8)=LEFT(DK$5,8), luc!$C43,0),0)</f>
        <v>0</v>
      </c>
      <c r="DL8" s="1354">
        <f>IF(LEFT('2.LUC'!$I63,8)=LEFT($DF$8,8),IF(LEFT('2.LUC'!$K63,8)=LEFT(DL$5,8), luc!$C43,0),0)</f>
        <v>0</v>
      </c>
      <c r="DM8" s="973"/>
    </row>
    <row r="9" spans="2:118" ht="18" x14ac:dyDescent="0.2">
      <c r="B9" s="1441" t="s">
        <v>303</v>
      </c>
      <c r="C9" s="1442"/>
      <c r="F9" s="1436" t="s">
        <v>199</v>
      </c>
      <c r="G9" s="1367"/>
      <c r="H9" s="1368" t="s">
        <v>1588</v>
      </c>
      <c r="I9" s="3130">
        <f>$AG$14</f>
        <v>0</v>
      </c>
      <c r="J9" s="3129">
        <f>$BD$16</f>
        <v>0</v>
      </c>
      <c r="K9" s="1438">
        <f>perennial!D67+perennial!D46+perennial!D44</f>
        <v>88</v>
      </c>
      <c r="L9" s="3129">
        <f>$BG$16</f>
        <v>0</v>
      </c>
      <c r="M9" s="3129">
        <f>$BH$16</f>
        <v>0</v>
      </c>
      <c r="N9" s="3129">
        <f>$BF$16</f>
        <v>0</v>
      </c>
      <c r="O9" s="3129">
        <f>$BI$16+$BE$16</f>
        <v>0</v>
      </c>
      <c r="P9" s="3129">
        <f t="shared" si="0"/>
        <v>88</v>
      </c>
      <c r="S9" s="1576"/>
      <c r="T9" s="1423" t="s">
        <v>3172</v>
      </c>
      <c r="U9" s="1420">
        <f>IF('2.LUC'!$I14 = U$5, 1,0)* defo!$G38</f>
        <v>0</v>
      </c>
      <c r="V9" s="1421">
        <f>IF('2.LUC'!$I14 = V$5, 1,0)* defo!$G38</f>
        <v>0</v>
      </c>
      <c r="W9" s="1421">
        <f>IF('2.LUC'!$I14 = W$5, 1,0)* defo!$G38</f>
        <v>0</v>
      </c>
      <c r="X9" s="1421">
        <f>IF('2.LUC'!$I14 = X$5, 1,0)* defo!$G38</f>
        <v>0</v>
      </c>
      <c r="Y9" s="1421">
        <f>IF('2.LUC'!$I14 = Y$5, 1,0)* defo!$G38</f>
        <v>0</v>
      </c>
      <c r="Z9" s="1421">
        <f>IF('2.LUC'!$I14 = Z$5, 1,0)* defo!$G38</f>
        <v>0</v>
      </c>
      <c r="AA9" s="1422">
        <f>IF('2.LUC'!$I14 = AA$5, 1,0)* defo!$G38</f>
        <v>0</v>
      </c>
      <c r="AB9" s="973"/>
      <c r="AE9" s="1418"/>
      <c r="AF9" s="1414" t="s">
        <v>3172</v>
      </c>
      <c r="AG9" s="1420">
        <f>IF(AG$5='2.LUC'!$I39, '2.LUC'!$N39,0)</f>
        <v>0</v>
      </c>
      <c r="AH9" s="1421">
        <f>IF(AH$5='2.LUC'!$I39, '2.LUC'!$N39, 0)</f>
        <v>0</v>
      </c>
      <c r="AI9" s="1421">
        <f>IF(AI$5= '2.LUC'!$I39, '2.LUC'!$N39, 0)</f>
        <v>0</v>
      </c>
      <c r="AJ9" s="1421">
        <f>IF(AJ$5='2.LUC'!$I39, '2.LUC'!$N39, 0)</f>
        <v>0</v>
      </c>
      <c r="AK9" s="1421">
        <f>IF(AK$5 = '2.LUC'!$I39, '2.LUC'!$N39, 0)</f>
        <v>0</v>
      </c>
      <c r="AL9" s="1421">
        <f>IF(AL$5 = '2.LUC'!$I39, '2.LUC'!$N39, 0)</f>
        <v>0</v>
      </c>
      <c r="AM9" s="1422">
        <f>IF(AM$5='2.LUC'!$I39, '2.LUC'!$N39, 0)</f>
        <v>0</v>
      </c>
      <c r="AN9" s="973"/>
      <c r="AQ9" s="973"/>
      <c r="AR9" s="1354" t="s">
        <v>3173</v>
      </c>
      <c r="AS9" s="1357">
        <f>IF(LEFT('2.LUC'!$I64,8)=LEFT($AR$8,8),IF(LEFT('2.LUC'!$K64,8)=LEFT(AS$5,8), luc!$C44,0),0)</f>
        <v>0</v>
      </c>
      <c r="AT9" s="1357">
        <f>IF(LEFT('2.LUC'!$I64,8)=LEFT($AR$8,8),IF(LEFT('2.LUC'!$K64,8)=LEFT(AT$5,8), luc!$C44,0),0)</f>
        <v>0</v>
      </c>
      <c r="AU9" s="1354">
        <f>IF(LEFT('2.LUC'!$I64,8)=LEFT($AR$8,8),IF(LEFT('2.LUC'!$K64,8)=LEFT(AU$5,8), luc!$C44,0),0)</f>
        <v>0</v>
      </c>
      <c r="AV9" s="1354">
        <f>IF(LEFT('2.LUC'!$I64,8)=LEFT($AR$8,8),IF(LEFT('2.LUC'!$K64,8)=LEFT(AV$5,8), luc!$C44,0),0)</f>
        <v>0</v>
      </c>
      <c r="AW9" s="1354">
        <f>IF(LEFT('2.LUC'!$I64,8)=LEFT($AR$8,8),IF(LEFT('2.LUC'!$K64,8)=LEFT(AW$5,8), luc!$C44,0),0)</f>
        <v>0</v>
      </c>
      <c r="AX9" s="1354">
        <f>IF(LEFT('2.LUC'!$I64,8)=LEFT($AR$8,8),IF((OR(LEFT('2.LUC'!$K64,8)=LEFT(AX$5,8)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0</v>
      </c>
      <c r="AZ9" s="1345" t="s">
        <v>1417</v>
      </c>
      <c r="BB9" s="973"/>
      <c r="BC9" s="1354" t="s">
        <v>3173</v>
      </c>
      <c r="BD9" s="1357">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IF(LEFT('2.LUC'!$K64,8)=LEFT(Matrix!BD$5,8), luc!$C44, 0),0)</f>
        <v>0</v>
      </c>
      <c r="BE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IF(LEFT('2.LUC'!$K64,8)=LEFT(Matrix!BE$5,8), luc!$C44, 0),0)</f>
        <v>0</v>
      </c>
      <c r="BF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IF(LEFT('2.LUC'!$K64,8)=LEFT(Matrix!BF$5,8), luc!$C44, 0),0)</f>
        <v>0</v>
      </c>
      <c r="BG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IF(LEFT('2.LUC'!$K64,8)=LEFT(Matrix!BG$5,8), luc!$C44, 0),0)</f>
        <v>0</v>
      </c>
      <c r="BH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IF(LEFT('2.LUC'!$K64,8)=LEFT(Matrix!BH$5,8), luc!$C44, 0),0)</f>
        <v>0</v>
      </c>
      <c r="BI9" s="1357">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IF(LEFT('2.LUC'!$K64,8)=LEFT(Matrix!BI$5,8), luc!$C44, 0),0)</f>
        <v>0</v>
      </c>
      <c r="BJ9" s="973"/>
      <c r="BM9" s="973"/>
      <c r="BN9" s="1355" t="s">
        <v>3173</v>
      </c>
      <c r="BO9" s="1354">
        <f>IF(LEFT('2.LUC'!$I64,8)=LEFT($BN$8,8),IF(LEFT('2.LUC'!$K64,8)=LEFT(BO$5,8), luc!$C44,0),0)</f>
        <v>0</v>
      </c>
      <c r="BP9" s="1354">
        <f>IF(LEFT('2.LUC'!$I64,8)=LEFT($BN$8,8),IF(LEFT('2.LUC'!$K64,8)=LEFT(BP$5,8), luc!$C44,0),0)</f>
        <v>0</v>
      </c>
      <c r="BQ9" s="1354">
        <f>IF(LEFT('2.LUC'!$I64,8)=LEFT($BN$8,8),IF(LEFT('2.LUC'!$K64,8)=LEFT(BQ$5,8), luc!$C44,0),0)</f>
        <v>0</v>
      </c>
      <c r="BR9" s="1354">
        <f>IF(LEFT('2.LUC'!$I64,8)=LEFT($BN$8,8),IF((OR(LEFT('2.LUC'!$K64,8)=LEFT(BR$5,8),LEFT('2.LUC'!$K64,8)=LEFT(AZ$3,8),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0</v>
      </c>
      <c r="BS9" s="1354">
        <f>IF(LEFT('2.LUC'!$I64,8)=LEFT($BN$8,8),IF(LEFT('2.LUC'!$K64,8)=LEFT(BS$5,8), luc!$C44,0),0)</f>
        <v>0</v>
      </c>
      <c r="BT9" s="1357">
        <f>IF(LEFT('2.LUC'!$I64,8)=LEFT($BN$8,8),IF(LEFT('2.LUC'!$K64,8)=LEFT(BT$5,8), luc!$C44,0),0)</f>
        <v>0</v>
      </c>
      <c r="BU9" s="973"/>
      <c r="BX9" s="973"/>
      <c r="BY9" s="1355" t="s">
        <v>3173</v>
      </c>
      <c r="BZ9" s="1355">
        <f>IF(LEFT('2.LUC'!$I64,8)=LEFT($BY$8,8),IF(LEFT('2.LUC'!$K64,8)=LEFT(BZ$5,8), luc!$C44,0),0)</f>
        <v>0</v>
      </c>
      <c r="CA9" s="1355">
        <f>IF(LEFT('2.LUC'!$I64,8)=LEFT($BY$8,8),IF(LEFT('2.LUC'!$K64,8)=LEFT(CA$5,8), luc!$C44,0),0)</f>
        <v>0</v>
      </c>
      <c r="CB9" s="1355">
        <f>IF(LEFT('2.LUC'!$I64,8)=LEFT($BY$8,8),IF(LEFT('2.LUC'!$K64,8)=LEFT(CB$5,8), luc!$C44,0),0)</f>
        <v>0</v>
      </c>
      <c r="CC9" s="1355">
        <f>IF(LEFT('2.LUC'!$I64,8)=LEFT($BY$8,8),IF((OR(LEFT('2.LUC'!$K64,8)=LEFT(CC$5,8),LEFT('2.LUC'!$K64,8)=LEFT(AZ$3,8), LEFT('2.LUC'!$K64,8)=LEFT(AZ$4,8),LEFT('2.LUC'!$K64,8)=LEFT(AZ$5,8),LEFT('2.LUC'!$K64,8)=LEFT(AZ$6,8),LEFT('2.LUC'!$K64,8)=LEFT(AZ$7,8),LEFT('2.LUC'!$K64,8)=LEFT(AZ$8,8),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0</v>
      </c>
      <c r="CD9" s="1355">
        <f>IF(LEFT('2.LUC'!$I64,8)=LEFT($BY$8,8),IF(LEFT('2.LUC'!$K64,8)=LEFT(CD$5,8), luc!$C44,0),0)</f>
        <v>0</v>
      </c>
      <c r="CE9" s="1354">
        <f>IF(LEFT('2.LUC'!$I64,8)=LEFT($BY$8,8),IF(LEFT('2.LUC'!$K64,8)=LEFT(CE$5,8), luc!$C44,0),0)</f>
        <v>0</v>
      </c>
      <c r="CF9" s="973"/>
      <c r="CI9" s="973"/>
      <c r="CJ9" s="1355" t="s">
        <v>3173</v>
      </c>
      <c r="CK9" s="1355">
        <f>IF(LEFT('2.LUC'!$I64,8)=LEFT($CJ$8,8),IF(LEFT('2.LUC'!$K64,8)=LEFT(CK$5,8), luc!$C44,0),0)</f>
        <v>0</v>
      </c>
      <c r="CL9" s="1355">
        <f>IF(LEFT('2.LUC'!$I64,8)=LEFT($CJ$8,8),IF(LEFT('2.LUC'!$K64,8)=LEFT(CL$5,8), luc!$C44,0),0)</f>
        <v>0</v>
      </c>
      <c r="CM9" s="1355">
        <f>IF(LEFT('2.LUC'!$I64,8)=LEFT($CJ$8,8),IF(LEFT('2.LUC'!$K64,8)=LEFT(CM$5,8), luc!$C44,0),0)</f>
        <v>0</v>
      </c>
      <c r="CN9" s="1354">
        <f>IF(LEFT('2.LUC'!$I64,8)=LEFT($CJ$8,8),IF((OR(LEFT('2.LUC'!$K64,8)=LEFT(CN$5,8)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0</v>
      </c>
      <c r="CO9" s="1104">
        <f>IF(LEFT('2.LUC'!$I64,8)=LEFT($CJ$8,8),IF(LEFT('2.LUC'!$K64,8)=LEFT(CO$5,8), luc!$C44,0),0)</f>
        <v>0</v>
      </c>
      <c r="CP9" s="1354">
        <f>IF(LEFT('2.LUC'!$I64,8)=LEFT($CJ$8,8),IF(LEFT('2.LUC'!$K64,8)=LEFT(CP$5,8), luc!$C44,0),0)</f>
        <v>0</v>
      </c>
      <c r="CQ9" s="973"/>
      <c r="CT9" s="973"/>
      <c r="CU9" s="1355" t="s">
        <v>3173</v>
      </c>
      <c r="CV9" s="1355">
        <f>IF(LEFT('2.LUC'!$I64,8)=LEFT($CU$8,8),IF(LEFT('2.LUC'!$K64,8)=LEFT(CV$5,8), luc!$C44,0),0)</f>
        <v>0</v>
      </c>
      <c r="CW9" s="1355">
        <f>IF(LEFT('2.LUC'!$I64,8)=LEFT($CU$8,8),IF(LEFT('2.LUC'!$K64,8)=LEFT(CW$5,8), luc!$C44,0),0)</f>
        <v>0</v>
      </c>
      <c r="CX9" s="1355">
        <f>IF(LEFT('2.LUC'!$I64,8)=LEFT($CU$8,8),IF(LEFT('2.LUC'!$K64,8)=LEFT(CX$5,8), luc!$C44,0),0)</f>
        <v>0</v>
      </c>
      <c r="CY9" s="1354">
        <f>IF(LEFT('2.LUC'!$I64,8)=LEFT($CU$8,8),IF((OR(LEFT('2.LUC'!$K64,8)=LEFT(CY$5,8)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0</v>
      </c>
      <c r="CZ9" s="1104">
        <f>IF(LEFT('2.LUC'!$I64,8)=LEFT($CU$8,8),IF(LEFT('2.LUC'!$K64,8)=LEFT(CZ$5,8), luc!$C44,0),0)</f>
        <v>0</v>
      </c>
      <c r="DA9" s="1354">
        <f>IF(LEFT('2.LUC'!$I64,8)=LEFT($CU$8,8),IF(LEFT('2.LUC'!$K64,8)=LEFT(DA$5,8), luc!$C44,0),0)</f>
        <v>0</v>
      </c>
      <c r="DB9" s="973"/>
      <c r="DD9" s="973"/>
      <c r="DE9" s="973"/>
      <c r="DF9" s="1355" t="s">
        <v>3173</v>
      </c>
      <c r="DG9" s="1355">
        <f>IF(LEFT('2.LUC'!$I64,8)=LEFT($DF$8,8),IF(LEFT('2.LUC'!$K64,8)=LEFT(DG$5,8), luc!$C44,0),0)</f>
        <v>0</v>
      </c>
      <c r="DH9" s="1355">
        <f>IF(LEFT('2.LUC'!$I64,8)=LEFT($DF$8,8),IF(LEFT('2.LUC'!$K64,8)=LEFT(DH$5,8), luc!$C44,0),0)</f>
        <v>0</v>
      </c>
      <c r="DI9" s="1355">
        <f>IF(LEFT('2.LUC'!$I64,8)=LEFT($DF$8,8),IF(LEFT('2.LUC'!$K64,8)=LEFT(DI$5,8), luc!$C44,0),0)</f>
        <v>0</v>
      </c>
      <c r="DJ9" s="1354">
        <f>IF(LEFT('2.LUC'!$I64,8)=LEFT($DF$8,8),IF((OR(LEFT('2.LUC'!$K64,8)=LEFT(DJ$5,8)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0</v>
      </c>
      <c r="DK9" s="1104">
        <f>IF(LEFT('2.LUC'!$I64,8)=LEFT($DF$8,8),IF(LEFT('2.LUC'!$K64,8)=LEFT(DK$5,8), luc!$C44,0),0)</f>
        <v>0</v>
      </c>
      <c r="DL9" s="1354">
        <f>IF(LEFT('2.LUC'!$I64,8)=LEFT($DF$8,8),IF(LEFT('2.LUC'!$K64,8)=LEFT(DL$5,8), luc!$C44,0),0)</f>
        <v>0</v>
      </c>
      <c r="DM9" s="973"/>
    </row>
    <row r="10" spans="2:118" x14ac:dyDescent="0.15">
      <c r="B10" s="1443" t="s">
        <v>3174</v>
      </c>
      <c r="C10" s="1444"/>
      <c r="F10" s="1368"/>
      <c r="G10" s="1369"/>
      <c r="H10" s="1370" t="s">
        <v>1384</v>
      </c>
      <c r="I10" s="3130">
        <f>$AK$14</f>
        <v>0</v>
      </c>
      <c r="J10" s="3129">
        <f>$BO$16</f>
        <v>0</v>
      </c>
      <c r="K10" s="3129">
        <f>$BR$16</f>
        <v>0</v>
      </c>
      <c r="L10" s="1438">
        <f>rice!$D$31+rice!$D$33+'3.Cropland'!K140</f>
        <v>0</v>
      </c>
      <c r="M10" s="3129">
        <f>$BS$16</f>
        <v>0</v>
      </c>
      <c r="N10" s="3129">
        <f>$BQ$16</f>
        <v>0</v>
      </c>
      <c r="O10" s="3129">
        <f>$BT$16+$BP$16</f>
        <v>0</v>
      </c>
      <c r="P10" s="3129">
        <f t="shared" si="0"/>
        <v>0</v>
      </c>
      <c r="S10" s="1576"/>
      <c r="T10" s="1423"/>
      <c r="U10" s="1420">
        <f>IF('2.LUC'!$I15 = U$5, 1,0)* defo!$G39</f>
        <v>0</v>
      </c>
      <c r="V10" s="1421">
        <f>IF('2.LUC'!$I15 = V$5, 1,0)* defo!$G39</f>
        <v>0</v>
      </c>
      <c r="W10" s="1421">
        <f>IF('2.LUC'!$I15 = W$5, 1,0)* defo!$G39</f>
        <v>0</v>
      </c>
      <c r="X10" s="1421">
        <f>IF('2.LUC'!$I15 = X$5, 1,0)* defo!$G39</f>
        <v>0</v>
      </c>
      <c r="Y10" s="1421">
        <f>IF('2.LUC'!$I15 = Y$5, 1,0)* defo!$G39</f>
        <v>0</v>
      </c>
      <c r="Z10" s="1421">
        <f>IF('2.LUC'!$I15 = Z$5, 1,0)* defo!$G39</f>
        <v>0</v>
      </c>
      <c r="AA10" s="1422">
        <f>IF('2.LUC'!$I15 = AA$5, 1,0)* defo!$G39</f>
        <v>0</v>
      </c>
      <c r="AB10" s="973"/>
      <c r="AE10" s="1418"/>
      <c r="AF10" s="1414"/>
      <c r="AG10" s="1420">
        <f>IF(AG$5='2.LUC'!$I40, '2.LUC'!$N40,0)</f>
        <v>0</v>
      </c>
      <c r="AH10" s="1421">
        <f>IF(AH$5='2.LUC'!$I40, '2.LUC'!$N40, 0)</f>
        <v>0</v>
      </c>
      <c r="AI10" s="1421">
        <f>IF(AI$5= '2.LUC'!$I40, '2.LUC'!$N40, 0)</f>
        <v>0</v>
      </c>
      <c r="AJ10" s="1421">
        <f>IF(AJ$5='2.LUC'!$I40, '2.LUC'!$N40, 0)</f>
        <v>0</v>
      </c>
      <c r="AK10" s="1421">
        <f>IF(AK$5 = '2.LUC'!$I40, '2.LUC'!$N40, 0)</f>
        <v>0</v>
      </c>
      <c r="AL10" s="1421">
        <f>IF(AL$5 = '2.LUC'!$I40, '2.LUC'!$N40, 0)</f>
        <v>0</v>
      </c>
      <c r="AM10" s="1422">
        <f>IF(AM$5='2.LUC'!$I40, '2.LUC'!$N40, 0)</f>
        <v>0</v>
      </c>
      <c r="AN10" s="973"/>
      <c r="AQ10" s="973"/>
      <c r="AR10" s="1354"/>
      <c r="AS10" s="1357">
        <f>IF(LEFT('2.LUC'!$I65,8)=LEFT($AR$8,8),IF(LEFT('2.LUC'!$K65,8)=LEFT(AS$5,8), luc!$C45,0),0)</f>
        <v>0</v>
      </c>
      <c r="AT10" s="1357">
        <f>IF(LEFT('2.LUC'!$I65,8)=LEFT($AR$8,8),IF(LEFT('2.LUC'!$K65,8)=LEFT(AT$5,8), luc!$C45,0),0)</f>
        <v>0</v>
      </c>
      <c r="AU10" s="1354">
        <f>IF(LEFT('2.LUC'!$I65,8)=LEFT($AR$8,8),IF(LEFT('2.LUC'!$K65,8)=LEFT(AU$5,8), luc!$C45,0),0)</f>
        <v>0</v>
      </c>
      <c r="AV10" s="1354">
        <f>IF(LEFT('2.LUC'!$I65,8)=LEFT($AR$8,8),IF(LEFT('2.LUC'!$K65,8)=LEFT(AV$5,8), luc!$C45,0),0)</f>
        <v>0</v>
      </c>
      <c r="AW10" s="1354">
        <f>IF(LEFT('2.LUC'!$I65,8)=LEFT($AR$8,8),IF(LEFT('2.LUC'!$K65,8)=LEFT(AW$5,8), luc!$C45,0),0)</f>
        <v>0</v>
      </c>
      <c r="AX10" s="1354">
        <f>IF(LEFT('2.LUC'!$I65,8)=LEFT($AR$8,8),IF((OR(LEFT('2.LUC'!$K65,8)=LEFT(AX$5,8)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0</v>
      </c>
      <c r="AZ10" s="1345" t="s">
        <v>1505</v>
      </c>
      <c r="BB10" s="973"/>
      <c r="BC10" s="1354"/>
      <c r="BD10" s="1357">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IF(LEFT('2.LUC'!$K65,8)=LEFT(Matrix!BD$5,8), luc!$C45, 0),0)</f>
        <v>0</v>
      </c>
      <c r="BE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IF(LEFT('2.LUC'!$K65,8)=LEFT(Matrix!BE$5,8), luc!$C45, 0),0)</f>
        <v>0</v>
      </c>
      <c r="BF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IF(LEFT('2.LUC'!$K65,8)=LEFT(Matrix!BF$5,8), luc!$C45, 0),0)</f>
        <v>0</v>
      </c>
      <c r="BG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IF(LEFT('2.LUC'!$K65,8)=LEFT(Matrix!BG$5,8), luc!$C45, 0),0)</f>
        <v>0</v>
      </c>
      <c r="BH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IF(LEFT('2.LUC'!$K65,8)=LEFT(Matrix!BH$5,8), luc!$C45, 0),0)</f>
        <v>0</v>
      </c>
      <c r="BI10" s="1357">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IF(LEFT('2.LUC'!$K65,8)=LEFT(Matrix!BI$5,8), luc!$C45, 0),0)</f>
        <v>0</v>
      </c>
      <c r="BJ10" s="973"/>
      <c r="BM10" s="973"/>
      <c r="BN10" s="1355"/>
      <c r="BO10" s="1354">
        <f>IF(LEFT('2.LUC'!$I65,8)=LEFT($BN$8,8),IF(LEFT('2.LUC'!$K65,8)=LEFT(BO$5,8), luc!$C45,0),0)</f>
        <v>0</v>
      </c>
      <c r="BP10" s="1354">
        <f>IF(LEFT('2.LUC'!$I65,8)=LEFT($BN$8,8),IF(LEFT('2.LUC'!$K65,8)=LEFT(BP$5,8), luc!$C45,0),0)</f>
        <v>0</v>
      </c>
      <c r="BQ10" s="1354">
        <f>IF(LEFT('2.LUC'!$I65,8)=LEFT($BN$8,8),IF(LEFT('2.LUC'!$K65,8)=LEFT(BQ$5,8), luc!$C45,0),0)</f>
        <v>0</v>
      </c>
      <c r="BR10" s="1354">
        <f>IF(LEFT('2.LUC'!$I65,8)=LEFT($BN$8,8),IF((OR(LEFT('2.LUC'!$K65,8)=LEFT(BR$5,8),LEFT('2.LUC'!$K65,8)=LEFT(AZ$3,8),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0</v>
      </c>
      <c r="BS10" s="1354">
        <f>IF(LEFT('2.LUC'!$I65,8)=LEFT($BN$8,8),IF(LEFT('2.LUC'!$K65,8)=LEFT(BS$5,8), luc!$C45,0),0)</f>
        <v>0</v>
      </c>
      <c r="BT10" s="1357">
        <f>IF(LEFT('2.LUC'!$I65,8)=LEFT($BN$8,8),IF(LEFT('2.LUC'!$K65,8)=LEFT(BT$5,8), luc!$C45,0),0)</f>
        <v>0</v>
      </c>
      <c r="BU10" s="973"/>
      <c r="BX10" s="973"/>
      <c r="BY10" s="1355"/>
      <c r="BZ10" s="1355">
        <f>IF(LEFT('2.LUC'!$I65,8)=LEFT($BY$8,8),IF(LEFT('2.LUC'!$K65,8)=LEFT(BZ$5,8), luc!$C45,0),0)</f>
        <v>0</v>
      </c>
      <c r="CA10" s="1355">
        <f>IF(LEFT('2.LUC'!$I65,8)=LEFT($BY$8,8),IF(LEFT('2.LUC'!$K65,8)=LEFT(CA$5,8), luc!$C45,0),0)</f>
        <v>0</v>
      </c>
      <c r="CB10" s="1355">
        <f>IF(LEFT('2.LUC'!$I65,8)=LEFT($BY$8,8),IF(LEFT('2.LUC'!$K65,8)=LEFT(CB$5,8), luc!$C45,0),0)</f>
        <v>0</v>
      </c>
      <c r="CC10" s="1355">
        <f>IF(LEFT('2.LUC'!$I65,8)=LEFT($BY$8,8),IF((OR(LEFT('2.LUC'!$K65,8)=LEFT(CC$5,8),LEFT('2.LUC'!$K65,8)=LEFT(AZ$3,8), LEFT('2.LUC'!$K65,8)=LEFT(AZ$4,8),LEFT('2.LUC'!$K65,8)=LEFT(AZ$5,8),LEFT('2.LUC'!$K65,8)=LEFT(AZ$6,8),LEFT('2.LUC'!$K65,8)=LEFT(AZ$7,8),LEFT('2.LUC'!$K65,8)=LEFT(AZ$8,8),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0</v>
      </c>
      <c r="CD10" s="1355">
        <f>IF(LEFT('2.LUC'!$I65,8)=LEFT($BY$8,8),IF(LEFT('2.LUC'!$K65,8)=LEFT(CD$5,8), luc!$C45,0),0)</f>
        <v>0</v>
      </c>
      <c r="CE10" s="1354">
        <f>IF(LEFT('2.LUC'!$I65,8)=LEFT($BY$8,8),IF(LEFT('2.LUC'!$K65,8)=LEFT(CE$5,8), luc!$C45,0),0)</f>
        <v>0</v>
      </c>
      <c r="CF10" s="973"/>
      <c r="CI10" s="973"/>
      <c r="CJ10" s="1355"/>
      <c r="CK10" s="1355">
        <f>IF(LEFT('2.LUC'!$I65,8)=LEFT($CJ$8,8),IF(LEFT('2.LUC'!$K65,8)=LEFT(CK$5,8), luc!$C45,0),0)</f>
        <v>0</v>
      </c>
      <c r="CL10" s="1355">
        <f>IF(LEFT('2.LUC'!$I65,8)=LEFT($CJ$8,8),IF(LEFT('2.LUC'!$K65,8)=LEFT(CL$5,8), luc!$C45,0),0)</f>
        <v>0</v>
      </c>
      <c r="CM10" s="1355">
        <f>IF(LEFT('2.LUC'!$I65,8)=LEFT($CJ$8,8),IF(LEFT('2.LUC'!$K65,8)=LEFT(CM$5,8), luc!$C45,0),0)</f>
        <v>0</v>
      </c>
      <c r="CN10" s="1354">
        <f>IF(LEFT('2.LUC'!$I65,8)=LEFT($CJ$8,8),IF((OR(LEFT('2.LUC'!$K65,8)=LEFT(CN$5,8)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0</v>
      </c>
      <c r="CO10" s="1104">
        <f>IF(LEFT('2.LUC'!$I65,8)=LEFT($CJ$8,8),IF(LEFT('2.LUC'!$K65,8)=LEFT(CO$5,8), luc!$C45,0),0)</f>
        <v>0</v>
      </c>
      <c r="CP10" s="1354">
        <f>IF(LEFT('2.LUC'!$I65,8)=LEFT($CJ$8,8),IF(LEFT('2.LUC'!$K65,8)=LEFT(CP$5,8), luc!$C45,0),0)</f>
        <v>0</v>
      </c>
      <c r="CQ10" s="973"/>
      <c r="CT10" s="973"/>
      <c r="CU10" s="1355"/>
      <c r="CV10" s="1355">
        <f>IF(LEFT('2.LUC'!$I65,8)=LEFT($CU$8,8),IF(LEFT('2.LUC'!$K65,8)=LEFT(CV$5,8), luc!$C45,0),0)</f>
        <v>0</v>
      </c>
      <c r="CW10" s="1355">
        <f>IF(LEFT('2.LUC'!$I65,8)=LEFT($CU$8,8),IF(LEFT('2.LUC'!$K65,8)=LEFT(CW$5,8), luc!$C45,0),0)</f>
        <v>0</v>
      </c>
      <c r="CX10" s="1355">
        <f>IF(LEFT('2.LUC'!$I65,8)=LEFT($CU$8,8),IF(LEFT('2.LUC'!$K65,8)=LEFT(CX$5,8), luc!$C45,0),0)</f>
        <v>0</v>
      </c>
      <c r="CY10" s="1354">
        <f>IF(LEFT('2.LUC'!$I65,8)=LEFT($CU$8,8),IF((OR(LEFT('2.LUC'!$K65,8)=LEFT(CY$5,8)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0</v>
      </c>
      <c r="CZ10" s="1104">
        <f>IF(LEFT('2.LUC'!$I65,8)=LEFT($CU$8,8),IF(LEFT('2.LUC'!$K65,8)=LEFT(CZ$5,8), luc!$C45,0),0)</f>
        <v>0</v>
      </c>
      <c r="DA10" s="1354">
        <f>IF(LEFT('2.LUC'!$I65,8)=LEFT($CU$8,8),IF(LEFT('2.LUC'!$K65,8)=LEFT(DA$5,8), luc!$C45,0),0)</f>
        <v>0</v>
      </c>
      <c r="DB10" s="973"/>
      <c r="DD10" s="973"/>
      <c r="DE10" s="973"/>
      <c r="DF10" s="1355"/>
      <c r="DG10" s="1355">
        <f>IF(LEFT('2.LUC'!$I65,8)=LEFT($DF$8,8),IF(LEFT('2.LUC'!$K65,8)=LEFT(DG$5,8), luc!$C45,0),0)</f>
        <v>0</v>
      </c>
      <c r="DH10" s="1355">
        <f>IF(LEFT('2.LUC'!$I65,8)=LEFT($DF$8,8),IF(LEFT('2.LUC'!$K65,8)=LEFT(DH$5,8), luc!$C45,0),0)</f>
        <v>0</v>
      </c>
      <c r="DI10" s="1355">
        <f>IF(LEFT('2.LUC'!$I65,8)=LEFT($DF$8,8),IF(LEFT('2.LUC'!$K65,8)=LEFT(DI$5,8), luc!$C45,0),0)</f>
        <v>0</v>
      </c>
      <c r="DJ10" s="1354">
        <f>IF(LEFT('2.LUC'!$I65,8)=LEFT($DF$8,8),IF((OR(LEFT('2.LUC'!$K65,8)=LEFT(DJ$5,8)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0</v>
      </c>
      <c r="DK10" s="1104">
        <f>IF(LEFT('2.LUC'!$I65,8)=LEFT($DF$8,8),IF(LEFT('2.LUC'!$K65,8)=LEFT(DK$5,8), luc!$C45,0),0)</f>
        <v>0</v>
      </c>
      <c r="DL10" s="1354">
        <f>IF(LEFT('2.LUC'!$I65,8)=LEFT($DF$8,8),IF(LEFT('2.LUC'!$K65,8)=LEFT(DL$5,8), luc!$C45,0),0)</f>
        <v>0</v>
      </c>
      <c r="DM10" s="973"/>
    </row>
    <row r="11" spans="2:118" x14ac:dyDescent="0.15">
      <c r="F11" s="1368"/>
      <c r="G11" s="1363" t="s">
        <v>1396</v>
      </c>
      <c r="H11" s="1364" t="s">
        <v>1396</v>
      </c>
      <c r="I11" s="3130">
        <f>$AL$14</f>
        <v>0</v>
      </c>
      <c r="J11" s="3129">
        <f>$CK$16</f>
        <v>150</v>
      </c>
      <c r="K11" s="3129">
        <f>$CN$16</f>
        <v>0</v>
      </c>
      <c r="L11" s="3129">
        <f>$CL$16</f>
        <v>0</v>
      </c>
      <c r="M11" s="1438">
        <f>grass!$D$44+grass!$D$33+grass!$D$31+Coastal!$AB$14+Coastal!$AC$14+Coastal!$AB$16+Coastal!$AB$73+Coastal!$AC$73+Coastal!$AB$75</f>
        <v>300</v>
      </c>
      <c r="N11" s="3129">
        <f>$CM$16</f>
        <v>0</v>
      </c>
      <c r="O11" s="3129">
        <f>$CP$16+$CO$16</f>
        <v>0</v>
      </c>
      <c r="P11" s="3129">
        <f t="shared" si="0"/>
        <v>450</v>
      </c>
      <c r="S11" s="1576"/>
      <c r="T11" s="1423"/>
      <c r="U11" s="1420">
        <f>IF('2.LUC'!$I16 = U$5, 1,0)* defo!$G40</f>
        <v>0</v>
      </c>
      <c r="V11" s="1421">
        <f>IF('2.LUC'!$I16 = V$5, 1,0)* defo!$G40</f>
        <v>0</v>
      </c>
      <c r="W11" s="1421">
        <f>IF('2.LUC'!$I16 = W$5, 1,0)* defo!$G40</f>
        <v>0</v>
      </c>
      <c r="X11" s="1421">
        <f>IF('2.LUC'!$I16 = X$5, 1,0)* defo!$G40</f>
        <v>0</v>
      </c>
      <c r="Y11" s="1421">
        <f>IF('2.LUC'!$I16 = Y$5, 1,0)* defo!$G40</f>
        <v>0</v>
      </c>
      <c r="Z11" s="1421">
        <f>IF('2.LUC'!$I16 = Z$5, 1,0)* defo!$G40</f>
        <v>0</v>
      </c>
      <c r="AA11" s="1422">
        <f>IF('2.LUC'!$I16 = AA$5, 1,0)* defo!$G40</f>
        <v>0</v>
      </c>
      <c r="AB11" s="973"/>
      <c r="AE11" s="1168"/>
      <c r="AF11" s="1414"/>
      <c r="AG11" s="1420">
        <f>IF(AG$5='2.LUC'!$I41, '2.LUC'!$N41,0)</f>
        <v>0</v>
      </c>
      <c r="AH11" s="1421">
        <f>IF(AH$5='2.LUC'!$I41, '2.LUC'!$N41, 0)</f>
        <v>0</v>
      </c>
      <c r="AI11" s="1421">
        <f>IF(AI$5= '2.LUC'!$I41, '2.LUC'!$N41, 0)</f>
        <v>0</v>
      </c>
      <c r="AJ11" s="1421">
        <f>IF(AJ$5='2.LUC'!$I41, '2.LUC'!$N41, 0)</f>
        <v>0</v>
      </c>
      <c r="AK11" s="1421">
        <f>IF(AK$5 = '2.LUC'!$I41, '2.LUC'!$N41, 0)</f>
        <v>0</v>
      </c>
      <c r="AL11" s="1421">
        <f>IF(AL$5 = '2.LUC'!$I41, '2.LUC'!$N41, 0)</f>
        <v>0</v>
      </c>
      <c r="AM11" s="1422">
        <f>IF(AM$5='2.LUC'!$I41, '2.LUC'!$N41, 0)</f>
        <v>0</v>
      </c>
      <c r="AN11" s="973"/>
      <c r="AQ11" s="973"/>
      <c r="AR11" s="1354"/>
      <c r="AS11" s="1357">
        <f>IF(LEFT('2.LUC'!$I66,8)=LEFT($AR$8,8),IF(LEFT('2.LUC'!$K66,8)=LEFT(AS$5,8), luc!$C46,0),0)</f>
        <v>0</v>
      </c>
      <c r="AT11" s="1357">
        <f>IF(LEFT('2.LUC'!$I66,8)=LEFT($AR$8,8),IF(LEFT('2.LUC'!$K66,8)=LEFT(AT$5,8), luc!$C46,0),0)</f>
        <v>0</v>
      </c>
      <c r="AU11" s="1354">
        <f>IF(LEFT('2.LUC'!$I66,8)=LEFT($AR$8,8),IF(LEFT('2.LUC'!$K66,8)=LEFT(AU$5,8), luc!$C46,0),0)</f>
        <v>0</v>
      </c>
      <c r="AV11" s="1354">
        <f>IF(LEFT('2.LUC'!$I66,8)=LEFT($AR$8,8),IF(LEFT('2.LUC'!$K66,8)=LEFT(AV$5,8), luc!$C46,0),0)</f>
        <v>0</v>
      </c>
      <c r="AW11" s="1354">
        <f>IF(LEFT('2.LUC'!$I66,8)=LEFT($AR$8,8),IF(LEFT('2.LUC'!$K66,8)=LEFT(AW$5,8), luc!$C46,0),0)</f>
        <v>0</v>
      </c>
      <c r="AX11" s="1354">
        <f>IF(LEFT('2.LUC'!$I66,8)=LEFT($AR$8,8),IF((OR(LEFT('2.LUC'!$K66,8)=LEFT(AX$5,8)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0</v>
      </c>
      <c r="AZ11" s="1345" t="s">
        <v>1508</v>
      </c>
      <c r="BB11" s="973"/>
      <c r="BC11" s="1354"/>
      <c r="BD11" s="1357">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IF(LEFT('2.LUC'!$K66,8)=LEFT(Matrix!BD$5,8), luc!$C46, 0),0)</f>
        <v>0</v>
      </c>
      <c r="BE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IF(LEFT('2.LUC'!$K66,8)=LEFT(Matrix!BE$5,8), luc!$C46, 0),0)</f>
        <v>0</v>
      </c>
      <c r="BF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IF(LEFT('2.LUC'!$K66,8)=LEFT(Matrix!BF$5,8), luc!$C46, 0),0)</f>
        <v>0</v>
      </c>
      <c r="BG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IF(LEFT('2.LUC'!$K66,8)=LEFT(Matrix!BG$5,8), luc!$C46, 0),0)</f>
        <v>0</v>
      </c>
      <c r="BH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IF(LEFT('2.LUC'!$K66,8)=LEFT(Matrix!BH$5,8), luc!$C46, 0),0)</f>
        <v>0</v>
      </c>
      <c r="BI11" s="1357">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IF(LEFT('2.LUC'!$K66,8)=LEFT(Matrix!BI$5,8), luc!$C46, 0),0)</f>
        <v>0</v>
      </c>
      <c r="BJ11" s="973"/>
      <c r="BM11" s="973"/>
      <c r="BN11" s="1355"/>
      <c r="BO11" s="1354">
        <f>IF(LEFT('2.LUC'!$I66,8)=LEFT($BN$8,8),IF(LEFT('2.LUC'!$K66,8)=LEFT(BO$5,8), luc!$C46,0),0)</f>
        <v>0</v>
      </c>
      <c r="BP11" s="1354">
        <f>IF(LEFT('2.LUC'!$I66,8)=LEFT($BN$8,8),IF(LEFT('2.LUC'!$K66,8)=LEFT(BP$5,8), luc!$C46,0),0)</f>
        <v>0</v>
      </c>
      <c r="BQ11" s="1354">
        <f>IF(LEFT('2.LUC'!$I66,8)=LEFT($BN$8,8),IF(LEFT('2.LUC'!$K66,8)=LEFT(BQ$5,8), luc!$C46,0),0)</f>
        <v>0</v>
      </c>
      <c r="BR11" s="1354">
        <f>IF(LEFT('2.LUC'!$I66,8)=LEFT($BN$8,8),IF((OR(LEFT('2.LUC'!$K66,8)=LEFT(BR$5,8),LEFT('2.LUC'!$K66,8)=LEFT(AZ$3,8),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0</v>
      </c>
      <c r="BS11" s="1354">
        <f>IF(LEFT('2.LUC'!$I66,8)=LEFT($BN$8,8),IF(LEFT('2.LUC'!$K66,8)=LEFT(BS$5,8), luc!$C46,0),0)</f>
        <v>0</v>
      </c>
      <c r="BT11" s="1357">
        <f>IF(LEFT('2.LUC'!$I66,8)=LEFT($BN$8,8),IF(LEFT('2.LUC'!$K66,8)=LEFT(BT$5,8), luc!$C46,0),0)</f>
        <v>0</v>
      </c>
      <c r="BU11" s="973"/>
      <c r="BX11" s="973"/>
      <c r="BY11" s="1355"/>
      <c r="BZ11" s="1355">
        <f>IF(LEFT('2.LUC'!$I66,8)=LEFT($BY$8,8),IF(LEFT('2.LUC'!$K66,8)=LEFT(BZ$5,8), luc!$C46,0),0)</f>
        <v>0</v>
      </c>
      <c r="CA11" s="1355">
        <f>IF(LEFT('2.LUC'!$I66,8)=LEFT($BY$8,8),IF(LEFT('2.LUC'!$K66,8)=LEFT(CA$5,8), luc!$C46,0),0)</f>
        <v>0</v>
      </c>
      <c r="CB11" s="1355">
        <f>IF(LEFT('2.LUC'!$I66,8)=LEFT($BY$8,8),IF(LEFT('2.LUC'!$K66,8)=LEFT(CB$5,8), luc!$C46,0),0)</f>
        <v>0</v>
      </c>
      <c r="CC11" s="1355">
        <f>IF(LEFT('2.LUC'!$I66,8)=LEFT($BY$8,8),IF((OR(LEFT('2.LUC'!$K66,8)=LEFT(CC$5,8),LEFT('2.LUC'!$K66,8)=LEFT(AZ$3,8), LEFT('2.LUC'!$K66,8)=LEFT(AZ$4,8),LEFT('2.LUC'!$K66,8)=LEFT(AZ$5,8),LEFT('2.LUC'!$K66,8)=LEFT(AZ$6,8),LEFT('2.LUC'!$K66,8)=LEFT(AZ$7,8),LEFT('2.LUC'!$K66,8)=LEFT(AZ$8,8),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0</v>
      </c>
      <c r="CD11" s="1355">
        <f>IF(LEFT('2.LUC'!$I66,8)=LEFT($BY$8,8),IF(LEFT('2.LUC'!$K66,8)=LEFT(CD$5,8), luc!$C46,0),0)</f>
        <v>0</v>
      </c>
      <c r="CE11" s="1354">
        <f>IF(LEFT('2.LUC'!$I66,8)=LEFT($BY$8,8),IF(LEFT('2.LUC'!$K66,8)=LEFT(CE$5,8), luc!$C46,0),0)</f>
        <v>0</v>
      </c>
      <c r="CF11" s="973"/>
      <c r="CI11" s="973"/>
      <c r="CJ11" s="1355"/>
      <c r="CK11" s="1355">
        <f>IF(LEFT('2.LUC'!$I66,8)=LEFT($CJ$8,8),IF(LEFT('2.LUC'!$K66,8)=LEFT(CK$5,8), luc!$C46,0),0)</f>
        <v>0</v>
      </c>
      <c r="CL11" s="1355">
        <f>IF(LEFT('2.LUC'!$I66,8)=LEFT($CJ$8,8),IF(LEFT('2.LUC'!$K66,8)=LEFT(CL$5,8), luc!$C46,0),0)</f>
        <v>0</v>
      </c>
      <c r="CM11" s="1355">
        <f>IF(LEFT('2.LUC'!$I66,8)=LEFT($CJ$8,8),IF(LEFT('2.LUC'!$K66,8)=LEFT(CM$5,8), luc!$C46,0),0)</f>
        <v>0</v>
      </c>
      <c r="CN11" s="1354">
        <f>IF(LEFT('2.LUC'!$I66,8)=LEFT($CJ$8,8),IF((OR(LEFT('2.LUC'!$K66,8)=LEFT(CN$5,8)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0</v>
      </c>
      <c r="CO11" s="1104">
        <f>IF(LEFT('2.LUC'!$I66,8)=LEFT($CJ$8,8),IF(LEFT('2.LUC'!$K66,8)=LEFT(CO$5,8), luc!$C46,0),0)</f>
        <v>0</v>
      </c>
      <c r="CP11" s="1354">
        <f>IF(LEFT('2.LUC'!$I66,8)=LEFT($CJ$8,8),IF(LEFT('2.LUC'!$K66,8)=LEFT(CP$5,8), luc!$C46,0),0)</f>
        <v>0</v>
      </c>
      <c r="CQ11" s="973"/>
      <c r="CT11" s="973"/>
      <c r="CU11" s="1355"/>
      <c r="CV11" s="1355">
        <f>IF(LEFT('2.LUC'!$I66,8)=LEFT($CU$8,8),IF(LEFT('2.LUC'!$K66,8)=LEFT(CV$5,8), luc!$C46,0),0)</f>
        <v>0</v>
      </c>
      <c r="CW11" s="1355">
        <f>IF(LEFT('2.LUC'!$I66,8)=LEFT($CU$8,8),IF(LEFT('2.LUC'!$K66,8)=LEFT(CW$5,8), luc!$C46,0),0)</f>
        <v>0</v>
      </c>
      <c r="CX11" s="1355">
        <f>IF(LEFT('2.LUC'!$I66,8)=LEFT($CU$8,8),IF(LEFT('2.LUC'!$K66,8)=LEFT(CX$5,8), luc!$C46,0),0)</f>
        <v>0</v>
      </c>
      <c r="CY11" s="1354">
        <f>IF(LEFT('2.LUC'!$I66,8)=LEFT($CU$8,8),IF((OR(LEFT('2.LUC'!$K66,8)=LEFT(CY$5,8)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0</v>
      </c>
      <c r="CZ11" s="1104">
        <f>IF(LEFT('2.LUC'!$I66,8)=LEFT($CU$8,8),IF(LEFT('2.LUC'!$K66,8)=LEFT(CZ$5,8), luc!$C46,0),0)</f>
        <v>0</v>
      </c>
      <c r="DA11" s="1354">
        <f>IF(LEFT('2.LUC'!$I66,8)=LEFT($CU$8,8),IF(LEFT('2.LUC'!$K66,8)=LEFT(DA$5,8), luc!$C46,0),0)</f>
        <v>0</v>
      </c>
      <c r="DB11" s="973"/>
      <c r="DD11" s="973"/>
      <c r="DE11" s="973"/>
      <c r="DF11" s="1355"/>
      <c r="DG11" s="1355">
        <f>IF(LEFT('2.LUC'!$I66,8)=LEFT($DF$8,8),IF(LEFT('2.LUC'!$K66,8)=LEFT(DG$5,8), luc!$C46,0),0)</f>
        <v>0</v>
      </c>
      <c r="DH11" s="1355">
        <f>IF(LEFT('2.LUC'!$I66,8)=LEFT($DF$8,8),IF(LEFT('2.LUC'!$K66,8)=LEFT(DH$5,8), luc!$C46,0),0)</f>
        <v>0</v>
      </c>
      <c r="DI11" s="1355">
        <f>IF(LEFT('2.LUC'!$I66,8)=LEFT($DF$8,8),IF(LEFT('2.LUC'!$K66,8)=LEFT(DI$5,8), luc!$C46,0),0)</f>
        <v>0</v>
      </c>
      <c r="DJ11" s="1354">
        <f>IF(LEFT('2.LUC'!$I66,8)=LEFT($DF$8,8),IF((OR(LEFT('2.LUC'!$K66,8)=LEFT(DJ$5,8)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0</v>
      </c>
      <c r="DK11" s="1104">
        <f>IF(LEFT('2.LUC'!$I66,8)=LEFT($DF$8,8),IF(LEFT('2.LUC'!$K66,8)=LEFT(DK$5,8), luc!$C46,0),0)</f>
        <v>0</v>
      </c>
      <c r="DL11" s="1354">
        <f>IF(LEFT('2.LUC'!$I66,8)=LEFT($DF$8,8),IF(LEFT('2.LUC'!$K66,8)=LEFT(DL$5,8), luc!$C46,0),0)</f>
        <v>0</v>
      </c>
      <c r="DM11" s="973"/>
    </row>
    <row r="12" spans="2:118" x14ac:dyDescent="0.15">
      <c r="F12" s="1368"/>
      <c r="G12" s="1367" t="s">
        <v>2074</v>
      </c>
      <c r="H12" s="1368" t="s">
        <v>2954</v>
      </c>
      <c r="I12" s="3130">
        <f>$AJ$14</f>
        <v>0</v>
      </c>
      <c r="J12" s="3129">
        <f>$CV$16</f>
        <v>0</v>
      </c>
      <c r="K12" s="3129">
        <f>$CY$16</f>
        <v>0</v>
      </c>
      <c r="L12" s="3129">
        <f>$CW$16</f>
        <v>0</v>
      </c>
      <c r="M12" s="3129">
        <f>$CX$16</f>
        <v>0</v>
      </c>
      <c r="N12" s="1438">
        <f>MAX(SUM($I$12:$M$12,$O$120),SUM($I$29:$M$29,$O$29))-SUM($I$12:$M$12,$O$12)</f>
        <v>0</v>
      </c>
      <c r="O12" s="3129">
        <f>$DA$16+$CZ$16</f>
        <v>0</v>
      </c>
      <c r="P12" s="3129">
        <f t="shared" si="0"/>
        <v>0</v>
      </c>
      <c r="S12" s="1576"/>
      <c r="T12" s="1423"/>
      <c r="U12" s="1420">
        <f>IF('2.LUC'!$I17 = U$5, 1,0)* defo!$G41</f>
        <v>0</v>
      </c>
      <c r="V12" s="1421">
        <f>IF('2.LUC'!$I17 = V$5, 1,0)* defo!$G41</f>
        <v>0</v>
      </c>
      <c r="W12" s="1421">
        <f>IF('2.LUC'!$I17 = W$5, 1,0)* defo!$G41</f>
        <v>0</v>
      </c>
      <c r="X12" s="1421">
        <f>IF('2.LUC'!$I17 = X$5, 1,0)* defo!$G41</f>
        <v>0</v>
      </c>
      <c r="Y12" s="1421">
        <f>IF('2.LUC'!$I17 = Y$5, 1,0)* defo!$G41</f>
        <v>0</v>
      </c>
      <c r="Z12" s="1421">
        <f>IF('2.LUC'!$I17 = Z$5, 1,0)* defo!$G41</f>
        <v>0</v>
      </c>
      <c r="AA12" s="1422">
        <f>IF('2.LUC'!$I17 = AA$5, 1,0)* defo!$G41</f>
        <v>0</v>
      </c>
      <c r="AB12" s="973"/>
      <c r="AE12" s="1168"/>
      <c r="AF12" s="1414"/>
      <c r="AG12" s="1420">
        <f>IF(AG$5='2.LUC'!$I42, '2.LUC'!$N42,0)</f>
        <v>0</v>
      </c>
      <c r="AH12" s="1421">
        <f>IF(AH$5='2.LUC'!$I42, '2.LUC'!$N42, 0)</f>
        <v>0</v>
      </c>
      <c r="AI12" s="1421">
        <f>IF(AI$5= '2.LUC'!$I42, '2.LUC'!$N42, 0)</f>
        <v>0</v>
      </c>
      <c r="AJ12" s="1421">
        <f>IF(AJ$5='2.LUC'!$I42, '2.LUC'!$N42, 0)</f>
        <v>0</v>
      </c>
      <c r="AK12" s="1421">
        <f>IF(AK$5 = '2.LUC'!$I42, '2.LUC'!$N42, 0)</f>
        <v>0</v>
      </c>
      <c r="AL12" s="1421">
        <f>IF(AL$5 = '2.LUC'!$I42, '2.LUC'!$N42, 0)</f>
        <v>0</v>
      </c>
      <c r="AM12" s="1422">
        <f>IF(AM$5='2.LUC'!$I42, '2.LUC'!$N42, 0)</f>
        <v>0</v>
      </c>
      <c r="AN12" s="973"/>
      <c r="AQ12" s="973"/>
      <c r="AR12" s="1354"/>
      <c r="AS12" s="1357">
        <f>IF(LEFT('2.LUC'!$I67,8)=LEFT($AR$8,8),IF(LEFT('2.LUC'!$K67,8)=LEFT(AS$5,8), luc!$C47,0),0)</f>
        <v>0</v>
      </c>
      <c r="AT12" s="1357">
        <f>IF(LEFT('2.LUC'!$I67,8)=LEFT($AR$8,8),IF(LEFT('2.LUC'!$K67,8)=LEFT(AT$5,8), luc!$C47,0),0)</f>
        <v>0</v>
      </c>
      <c r="AU12" s="1354">
        <f>IF(LEFT('2.LUC'!$I67,8)=LEFT($AR$8,8),IF(LEFT('2.LUC'!$K67,8)=LEFT(AU$5,8), luc!$C47,0),0)</f>
        <v>0</v>
      </c>
      <c r="AV12" s="1354">
        <f>IF(LEFT('2.LUC'!$I67,8)=LEFT($AR$8,8),IF(LEFT('2.LUC'!$K67,8)=LEFT(AV$5,8), luc!$C47,0),0)</f>
        <v>0</v>
      </c>
      <c r="AW12" s="1354">
        <f>IF(LEFT('2.LUC'!$I67,8)=LEFT($AR$8,8),IF(LEFT('2.LUC'!$K67,8)=LEFT(AW$5,8), luc!$C47,0),0)</f>
        <v>0</v>
      </c>
      <c r="AX12" s="1354">
        <f>IF(LEFT('2.LUC'!$I67,8)=LEFT($AR$8,8),IF((OR(LEFT('2.LUC'!$K67,8)=LEFT(AX$5,8)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0</v>
      </c>
      <c r="AZ12" s="1345" t="s">
        <v>1421</v>
      </c>
      <c r="BB12" s="973"/>
      <c r="BC12" s="1354"/>
      <c r="BD12" s="1357">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IF(LEFT('2.LUC'!$K67,8)=LEFT(Matrix!BD$5,8), luc!$C47, 0),0)</f>
        <v>0</v>
      </c>
      <c r="BE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IF(LEFT('2.LUC'!$K67,8)=LEFT(Matrix!BE$5,8), luc!$C47, 0),0)</f>
        <v>0</v>
      </c>
      <c r="BF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IF(LEFT('2.LUC'!$K67,8)=LEFT(Matrix!BF$5,8), luc!$C47, 0),0)</f>
        <v>0</v>
      </c>
      <c r="BG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IF(LEFT('2.LUC'!$K67,8)=LEFT(Matrix!BG$5,8), luc!$C47, 0),0)</f>
        <v>0</v>
      </c>
      <c r="BH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IF(LEFT('2.LUC'!$K67,8)=LEFT(Matrix!BH$5,8), luc!$C47, 0),0)</f>
        <v>0</v>
      </c>
      <c r="BI12" s="1357">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IF(LEFT('2.LUC'!$K67,8)=LEFT(Matrix!BI$5,8), luc!$C47, 0),0)</f>
        <v>0</v>
      </c>
      <c r="BJ12" s="973"/>
      <c r="BM12" s="973"/>
      <c r="BN12" s="1355"/>
      <c r="BO12" s="1354">
        <f>IF(LEFT('2.LUC'!$I67,8)=LEFT($BN$8,8),IF(LEFT('2.LUC'!$K67,8)=LEFT(BO$5,8), luc!$C47,0),0)</f>
        <v>0</v>
      </c>
      <c r="BP12" s="1354">
        <f>IF(LEFT('2.LUC'!$I67,8)=LEFT($BN$8,8),IF(LEFT('2.LUC'!$K67,8)=LEFT(BP$5,8), luc!$C47,0),0)</f>
        <v>0</v>
      </c>
      <c r="BQ12" s="1354">
        <f>IF(LEFT('2.LUC'!$I67,8)=LEFT($BN$8,8),IF(LEFT('2.LUC'!$K67,8)=LEFT(BQ$5,8), luc!$C47,0),0)</f>
        <v>0</v>
      </c>
      <c r="BR12" s="1354">
        <f>IF(LEFT('2.LUC'!$I67,8)=LEFT($BN$8,8),IF((OR(LEFT('2.LUC'!$K67,8)=LEFT(BR$5,8),LEFT('2.LUC'!$K67,8)=LEFT(AZ$3,8),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0</v>
      </c>
      <c r="BS12" s="1354">
        <f>IF(LEFT('2.LUC'!$I67,8)=LEFT($BN$8,8),IF(LEFT('2.LUC'!$K67,8)=LEFT(BS$5,8), luc!$C47,0),0)</f>
        <v>0</v>
      </c>
      <c r="BT12" s="1357">
        <f>IF(LEFT('2.LUC'!$I67,8)=LEFT($BN$8,8),IF(LEFT('2.LUC'!$K67,8)=LEFT(BT$5,8), luc!$C47,0),0)</f>
        <v>0</v>
      </c>
      <c r="BU12" s="973"/>
      <c r="BX12" s="973"/>
      <c r="BY12" s="1355"/>
      <c r="BZ12" s="1355">
        <f>IF(LEFT('2.LUC'!$I67,8)=LEFT($BY$8,8),IF(LEFT('2.LUC'!$K67,8)=LEFT(BZ$5,8), luc!$C47,0),0)</f>
        <v>0</v>
      </c>
      <c r="CA12" s="1355">
        <f>IF(LEFT('2.LUC'!$I67,8)=LEFT($BY$8,8),IF(LEFT('2.LUC'!$K67,8)=LEFT(CA$5,8), luc!$C47,0),0)</f>
        <v>0</v>
      </c>
      <c r="CB12" s="1355">
        <f>IF(LEFT('2.LUC'!$I67,8)=LEFT($BY$8,8),IF(LEFT('2.LUC'!$K67,8)=LEFT(CB$5,8), luc!$C47,0),0)</f>
        <v>0</v>
      </c>
      <c r="CC12" s="1355">
        <f>IF(LEFT('2.LUC'!$I67,8)=LEFT($BY$8,8),IF((OR(LEFT('2.LUC'!$K67,8)=LEFT(CC$5,8),LEFT('2.LUC'!$K67,8)=LEFT(AZ$3,8), LEFT('2.LUC'!$K67,8)=LEFT(AZ$4,8),LEFT('2.LUC'!$K67,8)=LEFT(AZ$5,8),LEFT('2.LUC'!$K67,8)=LEFT(AZ$6,8),LEFT('2.LUC'!$K67,8)=LEFT(AZ$7,8),LEFT('2.LUC'!$K67,8)=LEFT(AZ$8,8),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0</v>
      </c>
      <c r="CD12" s="1355">
        <f>IF(LEFT('2.LUC'!$I67,8)=LEFT($BY$8,8),IF(LEFT('2.LUC'!$K67,8)=LEFT(CD$5,8), luc!$C47,0),0)</f>
        <v>0</v>
      </c>
      <c r="CE12" s="1354">
        <f>IF(LEFT('2.LUC'!$I67,8)=LEFT($BY$8,8),IF(LEFT('2.LUC'!$K67,8)=LEFT(CE$5,8), luc!$C47,0),0)</f>
        <v>0</v>
      </c>
      <c r="CF12" s="973"/>
      <c r="CI12" s="973"/>
      <c r="CJ12" s="1355"/>
      <c r="CK12" s="1355">
        <f>IF(LEFT('2.LUC'!$I67,8)=LEFT($CJ$8,8),IF(LEFT('2.LUC'!$K67,8)=LEFT(CK$5,8), luc!$C47,0),0)</f>
        <v>0</v>
      </c>
      <c r="CL12" s="1355">
        <f>IF(LEFT('2.LUC'!$I67,8)=LEFT($CJ$8,8),IF(LEFT('2.LUC'!$K67,8)=LEFT(CL$5,8), luc!$C47,0),0)</f>
        <v>0</v>
      </c>
      <c r="CM12" s="1355">
        <f>IF(LEFT('2.LUC'!$I67,8)=LEFT($CJ$8,8),IF(LEFT('2.LUC'!$K67,8)=LEFT(CM$5,8), luc!$C47,0),0)</f>
        <v>0</v>
      </c>
      <c r="CN12" s="1354">
        <f>IF(LEFT('2.LUC'!$I67,8)=LEFT($CJ$8,8),IF((OR(LEFT('2.LUC'!$K67,8)=LEFT(CN$5,8)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0</v>
      </c>
      <c r="CO12" s="1104">
        <f>IF(LEFT('2.LUC'!$I67,8)=LEFT($CJ$8,8),IF(LEFT('2.LUC'!$K67,8)=LEFT(CO$5,8), luc!$C47,0),0)</f>
        <v>0</v>
      </c>
      <c r="CP12" s="1354">
        <f>IF(LEFT('2.LUC'!$I67,8)=LEFT($CJ$8,8),IF(LEFT('2.LUC'!$K67,8)=LEFT(CP$5,8), luc!$C47,0),0)</f>
        <v>0</v>
      </c>
      <c r="CQ12" s="973"/>
      <c r="CT12" s="973"/>
      <c r="CU12" s="1355"/>
      <c r="CV12" s="1355">
        <f>IF(LEFT('2.LUC'!$I67,8)=LEFT($CU$8,8),IF(LEFT('2.LUC'!$K67,8)=LEFT(CV$5,8), luc!$C47,0),0)</f>
        <v>0</v>
      </c>
      <c r="CW12" s="1355">
        <f>IF(LEFT('2.LUC'!$I67,8)=LEFT($CU$8,8),IF(LEFT('2.LUC'!$K67,8)=LEFT(CW$5,8), luc!$C47,0),0)</f>
        <v>0</v>
      </c>
      <c r="CX12" s="1355">
        <f>IF(LEFT('2.LUC'!$I67,8)=LEFT($CU$8,8),IF(LEFT('2.LUC'!$K67,8)=LEFT(CX$5,8), luc!$C47,0),0)</f>
        <v>0</v>
      </c>
      <c r="CY12" s="1354">
        <f>IF(LEFT('2.LUC'!$I67,8)=LEFT($CU$8,8),IF((OR(LEFT('2.LUC'!$K67,8)=LEFT(CY$5,8)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0</v>
      </c>
      <c r="CZ12" s="1104">
        <f>IF(LEFT('2.LUC'!$I67,8)=LEFT($CU$8,8),IF(LEFT('2.LUC'!$K67,8)=LEFT(CZ$5,8), luc!$C47,0),0)</f>
        <v>0</v>
      </c>
      <c r="DA12" s="1354">
        <f>IF(LEFT('2.LUC'!$I67,8)=LEFT($CU$8,8),IF(LEFT('2.LUC'!$K67,8)=LEFT(DA$5,8), luc!$C47,0),0)</f>
        <v>0</v>
      </c>
      <c r="DB12" s="973"/>
      <c r="DD12" s="973"/>
      <c r="DE12" s="973"/>
      <c r="DF12" s="1355"/>
      <c r="DG12" s="1355">
        <f>IF(LEFT('2.LUC'!$I67,8)=LEFT($DF$8,8),IF(LEFT('2.LUC'!$K67,8)=LEFT(DG$5,8), luc!$C47,0),0)</f>
        <v>0</v>
      </c>
      <c r="DH12" s="1355">
        <f>IF(LEFT('2.LUC'!$I67,8)=LEFT($DF$8,8),IF(LEFT('2.LUC'!$K67,8)=LEFT(DH$5,8), luc!$C47,0),0)</f>
        <v>0</v>
      </c>
      <c r="DI12" s="1355">
        <f>IF(LEFT('2.LUC'!$I67,8)=LEFT($DF$8,8),IF(LEFT('2.LUC'!$K67,8)=LEFT(DI$5,8), luc!$C47,0),0)</f>
        <v>0</v>
      </c>
      <c r="DJ12" s="1354">
        <f>IF(LEFT('2.LUC'!$I67,8)=LEFT($DF$8,8),IF((OR(LEFT('2.LUC'!$K67,8)=LEFT(DJ$5,8)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0</v>
      </c>
      <c r="DK12" s="1104">
        <f>IF(LEFT('2.LUC'!$I67,8)=LEFT($DF$8,8),IF(LEFT('2.LUC'!$K67,8)=LEFT(DK$5,8), luc!$C47,0),0)</f>
        <v>0</v>
      </c>
      <c r="DL12" s="1354">
        <f>IF(LEFT('2.LUC'!$I67,8)=LEFT($DF$8,8),IF(LEFT('2.LUC'!$K67,8)=LEFT(DL$5,8), luc!$C47,0),0)</f>
        <v>0</v>
      </c>
      <c r="DM12" s="973"/>
    </row>
    <row r="13" spans="2:118" x14ac:dyDescent="0.15">
      <c r="D13" s="973"/>
      <c r="F13" s="1368"/>
      <c r="G13" s="1371"/>
      <c r="H13" s="1370" t="s">
        <v>1401</v>
      </c>
      <c r="I13" s="3130">
        <f>$AM$14+$AI$14</f>
        <v>0</v>
      </c>
      <c r="J13" s="3129">
        <f>$DG$16+$BZ$16</f>
        <v>0</v>
      </c>
      <c r="K13" s="3129">
        <f>$DJ$16+$CC$16</f>
        <v>0</v>
      </c>
      <c r="L13" s="3129">
        <f>$DH$16+$CA$16</f>
        <v>0</v>
      </c>
      <c r="M13" s="3129">
        <f>$DI$16+$CD$16</f>
        <v>0</v>
      </c>
      <c r="N13" s="3129">
        <f>$DL$16+$CB$16</f>
        <v>0</v>
      </c>
      <c r="O13" s="1438">
        <f>MAX(SUM($I$13:$N$13),SUM($I$30:$N$30))-SUM($I$13:$N$13)+MAX('Inl. wetlands'!$C$513,'Inl. wetlands'!D513,'Inl. wetlands'!F513)+MAX(SUM(Coastal!$D$115:$D$120),SUM(Coastal!$E$115:$E$120),SUM(Coastal!$G$115:$G$120))+MAX(CE16+DK16,CE34+DK34)+SUM(MAX(SUM(Coastal!E17:E22),SUM(Coastal!F17:F22),,SUM(Coastal!E41:E46),,SUM(Coastal!F41:F46),,SUM(Coastal!E51:E56),,SUM(Coastal!F51:F56)),MAX(,SUM(Coastal!D79:D84),,SUM(Coastal!E79:E84),,SUM(Coastal!D89:D94),,SUM(Coastal!D100:D105),,SUM(Coastal!E100:E105)))</f>
        <v>128</v>
      </c>
      <c r="P13" s="3129">
        <f t="shared" si="0"/>
        <v>128</v>
      </c>
      <c r="S13" s="1576"/>
      <c r="T13" s="1709"/>
      <c r="U13" s="1420">
        <f>IF('2.LUC'!$I18 = U$5, 1,0)* defo!$G42</f>
        <v>0</v>
      </c>
      <c r="V13" s="1421">
        <f>IF('2.LUC'!$I18 = V$5, 1,0)* defo!$G42</f>
        <v>0</v>
      </c>
      <c r="W13" s="1421">
        <f>IF('2.LUC'!$I18 = W$5, 1,0)* defo!$G42</f>
        <v>0</v>
      </c>
      <c r="X13" s="1421">
        <f>IF('2.LUC'!$I18 = X$5, 1,0)* defo!$G42</f>
        <v>0</v>
      </c>
      <c r="Y13" s="1421">
        <f>IF('2.LUC'!$I18 = Y$5, 1,0)* defo!$G42</f>
        <v>0</v>
      </c>
      <c r="Z13" s="1421">
        <f>IF('2.LUC'!$I18 = Z$5, 1,0)* defo!$G42</f>
        <v>0</v>
      </c>
      <c r="AA13" s="1422">
        <f>IF('2.LUC'!$I18 = AA$5, 1,0)* defo!$G42</f>
        <v>0</v>
      </c>
      <c r="AB13" s="973"/>
      <c r="AE13" s="1168"/>
      <c r="AF13" s="1414"/>
      <c r="AG13" s="1420">
        <f>IF(AG$5='2.LUC'!$I43, '2.LUC'!$N43,0)</f>
        <v>0</v>
      </c>
      <c r="AH13" s="1421">
        <f>IF(AH$5='2.LUC'!$I43, '2.LUC'!$N43, 0)</f>
        <v>0</v>
      </c>
      <c r="AI13" s="1421">
        <f>IF(AI$5= '2.LUC'!$I43, '2.LUC'!$N43, 0)</f>
        <v>0</v>
      </c>
      <c r="AJ13" s="1421">
        <f>IF(AJ$5='2.LUC'!$I43, '2.LUC'!$N43, 0)</f>
        <v>0</v>
      </c>
      <c r="AK13" s="1421">
        <f>IF(AK$5 = '2.LUC'!$I43, '2.LUC'!$N43, 0)</f>
        <v>0</v>
      </c>
      <c r="AL13" s="1421">
        <f>IF(AL$5 = '2.LUC'!$I43, '2.LUC'!$N43, 0)</f>
        <v>0</v>
      </c>
      <c r="AM13" s="1422">
        <f>IF(AM$5='2.LUC'!$I43, '2.LUC'!$N43, 0)</f>
        <v>0</v>
      </c>
      <c r="AN13" s="973"/>
      <c r="AQ13" s="973"/>
      <c r="AR13" s="1354"/>
      <c r="AS13" s="1357">
        <f>IF(LEFT('2.LUC'!$I68,8)=LEFT($AR$8,8),IF(LEFT('2.LUC'!$K68,8)=LEFT(AS$5,8), luc!$C48,0),0)</f>
        <v>0</v>
      </c>
      <c r="AT13" s="1357">
        <f>IF(LEFT('2.LUC'!$I68,8)=LEFT($AR$8,8),IF(LEFT('2.LUC'!$K68,8)=LEFT(AT$5,8), luc!$C48,0),0)</f>
        <v>0</v>
      </c>
      <c r="AU13" s="1354">
        <f>IF(LEFT('2.LUC'!$I68,8)=LEFT($AR$8,8),IF(LEFT('2.LUC'!$K68,8)=LEFT(AU$5,8), luc!$C48,0),0)</f>
        <v>0</v>
      </c>
      <c r="AV13" s="1354">
        <f>IF(LEFT('2.LUC'!$I68,8)=LEFT($AR$8,8),IF(LEFT('2.LUC'!$K68,8)=LEFT(AV$5,8), luc!$C48,0),0)</f>
        <v>0</v>
      </c>
      <c r="AW13" s="1354">
        <f>IF(LEFT('2.LUC'!$I68,8)=LEFT($AR$8,8),IF(LEFT('2.LUC'!$K68,8)=LEFT(AW$5,8), luc!$C48,0),0)</f>
        <v>0</v>
      </c>
      <c r="AX13" s="1354">
        <f>IF(LEFT('2.LUC'!$I68,8)=LEFT($AR$8,8),IF((OR(LEFT('2.LUC'!$K68,8)=LEFT(AX$5,8)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0</v>
      </c>
      <c r="AZ13" s="1345" t="s">
        <v>1501</v>
      </c>
      <c r="BB13" s="973"/>
      <c r="BC13" s="1354"/>
      <c r="BD13" s="1357">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IF(LEFT('2.LUC'!$K68,8)=LEFT(Matrix!BD$5,8), luc!$C48, 0),0)</f>
        <v>0</v>
      </c>
      <c r="BE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IF(LEFT('2.LUC'!$K68,8)=LEFT(Matrix!BE$5,8), luc!$C48, 0),0)</f>
        <v>0</v>
      </c>
      <c r="BF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IF(LEFT('2.LUC'!$K68,8)=LEFT(Matrix!BF$5,8), luc!$C48, 0),0)</f>
        <v>0</v>
      </c>
      <c r="BG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IF(LEFT('2.LUC'!$K68,8)=LEFT(Matrix!BG$5,8), luc!$C48, 0),0)</f>
        <v>0</v>
      </c>
      <c r="BH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IF(LEFT('2.LUC'!$K68,8)=LEFT(Matrix!BH$5,8), luc!$C48, 0),0)</f>
        <v>0</v>
      </c>
      <c r="BI13" s="1357">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IF(LEFT('2.LUC'!$K68,8)=LEFT(Matrix!BI$5,8), luc!$C48, 0),0)</f>
        <v>0</v>
      </c>
      <c r="BJ13" s="973"/>
      <c r="BM13" s="973"/>
      <c r="BN13" s="1355"/>
      <c r="BO13" s="1354">
        <f>IF(LEFT('2.LUC'!$I68,8)=LEFT($BN$8,8),IF(LEFT('2.LUC'!$K68,8)=LEFT(BO$5,8), luc!$C48,0),0)</f>
        <v>0</v>
      </c>
      <c r="BP13" s="1354">
        <f>IF(LEFT('2.LUC'!$I68,8)=LEFT($BN$8,8),IF(LEFT('2.LUC'!$K68,8)=LEFT(BP$5,8), luc!$C48,0),0)</f>
        <v>0</v>
      </c>
      <c r="BQ13" s="1354">
        <f>IF(LEFT('2.LUC'!$I68,8)=LEFT($BN$8,8),IF(LEFT('2.LUC'!$K68,8)=LEFT(BQ$5,8), luc!$C48,0),0)</f>
        <v>0</v>
      </c>
      <c r="BR13" s="1354">
        <f>IF(LEFT('2.LUC'!$I68,8)=LEFT($BN$8,8),IF((OR(LEFT('2.LUC'!$K68,8)=LEFT(BR$5,8),LEFT('2.LUC'!$K68,8)=LEFT(AZ$3,8),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0</v>
      </c>
      <c r="BS13" s="1354">
        <f>IF(LEFT('2.LUC'!$I68,8)=LEFT($BN$8,8),IF(LEFT('2.LUC'!$K68,8)=LEFT(BS$5,8), luc!$C48,0),0)</f>
        <v>0</v>
      </c>
      <c r="BT13" s="1357">
        <f>IF(LEFT('2.LUC'!$I68,8)=LEFT($BN$8,8),IF(LEFT('2.LUC'!$K68,8)=LEFT(BT$5,8), luc!$C48,0),0)</f>
        <v>0</v>
      </c>
      <c r="BU13" s="973"/>
      <c r="BX13" s="973"/>
      <c r="BY13" s="1355"/>
      <c r="BZ13" s="1355">
        <f>IF(LEFT('2.LUC'!$I68,8)=LEFT($BY$8,8),IF(LEFT('2.LUC'!$K68,8)=LEFT(BZ$5,8), luc!$C48,0),0)</f>
        <v>0</v>
      </c>
      <c r="CA13" s="1355">
        <f>IF(LEFT('2.LUC'!$I68,8)=LEFT($BY$8,8),IF(LEFT('2.LUC'!$K68,8)=LEFT(CA$5,8), luc!$C48,0),0)</f>
        <v>0</v>
      </c>
      <c r="CB13" s="1355">
        <f>IF(LEFT('2.LUC'!$I68,8)=LEFT($BY$8,8),IF(LEFT('2.LUC'!$K68,8)=LEFT(CB$5,8), luc!$C48,0),0)</f>
        <v>0</v>
      </c>
      <c r="CC13" s="1355">
        <f>IF(LEFT('2.LUC'!$I68,8)=LEFT($BY$8,8),IF((OR(LEFT('2.LUC'!$K68,8)=LEFT(CC$5,8),LEFT('2.LUC'!$K68,8)=LEFT(AZ$3,8), LEFT('2.LUC'!$K68,8)=LEFT(AZ$4,8),LEFT('2.LUC'!$K68,8)=LEFT(AZ$5,8),LEFT('2.LUC'!$K68,8)=LEFT(AZ$6,8),LEFT('2.LUC'!$K68,8)=LEFT(AZ$7,8),LEFT('2.LUC'!$K68,8)=LEFT(AZ$8,8),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0</v>
      </c>
      <c r="CD13" s="1355">
        <f>IF(LEFT('2.LUC'!$I68,8)=LEFT($BY$8,8),IF(LEFT('2.LUC'!$K68,8)=LEFT(CD$5,8), luc!$C48,0),0)</f>
        <v>0</v>
      </c>
      <c r="CE13" s="1354">
        <f>IF(LEFT('2.LUC'!$I68,8)=LEFT($BY$8,8),IF(LEFT('2.LUC'!$K68,8)=LEFT(CE$5,8), luc!$C48,0),0)</f>
        <v>0</v>
      </c>
      <c r="CF13" s="973"/>
      <c r="CI13" s="973"/>
      <c r="CJ13" s="1355"/>
      <c r="CK13" s="1355">
        <f>IF(LEFT('2.LUC'!$I68,8)=LEFT($CJ$8,8),IF(LEFT('2.LUC'!$K68,8)=LEFT(CK$5,8), luc!$C48,0),0)</f>
        <v>0</v>
      </c>
      <c r="CL13" s="1355">
        <f>IF(LEFT('2.LUC'!$I68,8)=LEFT($CJ$8,8),IF(LEFT('2.LUC'!$K68,8)=LEFT(CL$5,8), luc!$C48,0),0)</f>
        <v>0</v>
      </c>
      <c r="CM13" s="1355">
        <f>IF(LEFT('2.LUC'!$I68,8)=LEFT($CJ$8,8),IF(LEFT('2.LUC'!$K68,8)=LEFT(CM$5,8), luc!$C48,0),0)</f>
        <v>0</v>
      </c>
      <c r="CN13" s="1354">
        <f>IF(LEFT('2.LUC'!$I68,8)=LEFT($CJ$8,8),IF((OR(LEFT('2.LUC'!$K68,8)=LEFT(CN$5,8)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0</v>
      </c>
      <c r="CO13" s="1104">
        <f>IF(LEFT('2.LUC'!$I68,8)=LEFT($CJ$8,8),IF(LEFT('2.LUC'!$K68,8)=LEFT(CO$5,8), luc!$C48,0),0)</f>
        <v>0</v>
      </c>
      <c r="CP13" s="1354">
        <f>IF(LEFT('2.LUC'!$I68,8)=LEFT($CJ$8,8),IF(LEFT('2.LUC'!$K68,8)=LEFT(CP$5,8), luc!$C48,0),0)</f>
        <v>0</v>
      </c>
      <c r="CQ13" s="973"/>
      <c r="CT13" s="973"/>
      <c r="CU13" s="1355"/>
      <c r="CV13" s="1355">
        <f>IF(LEFT('2.LUC'!$I68,8)=LEFT($CU$8,8),IF(LEFT('2.LUC'!$K68,8)=LEFT(CV$5,8), luc!$C48,0),0)</f>
        <v>0</v>
      </c>
      <c r="CW13" s="1355">
        <f>IF(LEFT('2.LUC'!$I68,8)=LEFT($CU$8,8),IF(LEFT('2.LUC'!$K68,8)=LEFT(CW$5,8), luc!$C48,0),0)</f>
        <v>0</v>
      </c>
      <c r="CX13" s="1355">
        <f>IF(LEFT('2.LUC'!$I68,8)=LEFT($CU$8,8),IF(LEFT('2.LUC'!$K68,8)=LEFT(CX$5,8), luc!$C48,0),0)</f>
        <v>0</v>
      </c>
      <c r="CY13" s="1354">
        <f>IF(LEFT('2.LUC'!$I68,8)=LEFT($CU$8,8),IF((OR(LEFT('2.LUC'!$K68,8)=LEFT(CY$5,8)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0</v>
      </c>
      <c r="CZ13" s="1104">
        <f>IF(LEFT('2.LUC'!$I68,8)=LEFT($CU$8,8),IF(LEFT('2.LUC'!$K68,8)=LEFT(CZ$5,8), luc!$C48,0),0)</f>
        <v>0</v>
      </c>
      <c r="DA13" s="1354">
        <f>IF(LEFT('2.LUC'!$I68,8)=LEFT($CU$8,8),IF(LEFT('2.LUC'!$K68,8)=LEFT(DA$5,8), luc!$C48,0),0)</f>
        <v>0</v>
      </c>
      <c r="DB13" s="973"/>
      <c r="DD13" s="973"/>
      <c r="DE13" s="973"/>
      <c r="DF13" s="1355"/>
      <c r="DG13" s="1355">
        <f>IF(LEFT('2.LUC'!$I68,8)=LEFT($DF$8,8),IF(LEFT('2.LUC'!$K68,8)=LEFT(DG$5,8), luc!$C48,0),0)</f>
        <v>0</v>
      </c>
      <c r="DH13" s="1355">
        <f>IF(LEFT('2.LUC'!$I68,8)=LEFT($DF$8,8),IF(LEFT('2.LUC'!$K68,8)=LEFT(DH$5,8), luc!$C48,0),0)</f>
        <v>0</v>
      </c>
      <c r="DI13" s="1355">
        <f>IF(LEFT('2.LUC'!$I68,8)=LEFT($DF$8,8),IF(LEFT('2.LUC'!$K68,8)=LEFT(DI$5,8), luc!$C48,0),0)</f>
        <v>0</v>
      </c>
      <c r="DJ13" s="1354">
        <f>IF(LEFT('2.LUC'!$I68,8)=LEFT($DF$8,8),IF((OR(LEFT('2.LUC'!$K68,8)=LEFT(DJ$5,8)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0</v>
      </c>
      <c r="DK13" s="1104">
        <f>IF(LEFT('2.LUC'!$I68,8)=LEFT($DF$8,8),IF(LEFT('2.LUC'!$K68,8)=LEFT(DK$5,8), luc!$C48,0),0)</f>
        <v>0</v>
      </c>
      <c r="DL13" s="1354">
        <f>IF(LEFT('2.LUC'!$I68,8)=LEFT($DF$8,8),IF(LEFT('2.LUC'!$K68,8)=LEFT(DL$5,8), luc!$C48,0),0)</f>
        <v>0</v>
      </c>
      <c r="DM13" s="973"/>
    </row>
    <row r="14" spans="2:118" x14ac:dyDescent="0.15">
      <c r="D14" s="973"/>
      <c r="F14" s="1370"/>
      <c r="G14" s="1372" t="s">
        <v>3175</v>
      </c>
      <c r="H14" s="1373"/>
      <c r="I14" s="3131">
        <f t="shared" ref="I14:O14" si="1">SUM(I7:I13)</f>
        <v>0</v>
      </c>
      <c r="J14" s="3131">
        <f t="shared" si="1"/>
        <v>300</v>
      </c>
      <c r="K14" s="3131">
        <f t="shared" si="1"/>
        <v>88</v>
      </c>
      <c r="L14" s="3131">
        <f t="shared" si="1"/>
        <v>0</v>
      </c>
      <c r="M14" s="3131">
        <f t="shared" si="1"/>
        <v>300</v>
      </c>
      <c r="N14" s="3131">
        <f t="shared" si="1"/>
        <v>0</v>
      </c>
      <c r="O14" s="3131">
        <f t="shared" si="1"/>
        <v>128</v>
      </c>
      <c r="P14" s="3129">
        <f t="shared" si="0"/>
        <v>816</v>
      </c>
      <c r="S14" s="973"/>
      <c r="T14" s="1374" t="s">
        <v>235</v>
      </c>
      <c r="U14" s="1374">
        <f t="shared" ref="U14:AA14" si="2">SUM(U6:U13)</f>
        <v>0</v>
      </c>
      <c r="V14" s="1374">
        <f t="shared" si="2"/>
        <v>0</v>
      </c>
      <c r="W14" s="1374">
        <f t="shared" si="2"/>
        <v>0</v>
      </c>
      <c r="X14" s="1374">
        <f t="shared" si="2"/>
        <v>0</v>
      </c>
      <c r="Y14" s="1374">
        <f t="shared" si="2"/>
        <v>0</v>
      </c>
      <c r="Z14" s="1374">
        <f t="shared" si="2"/>
        <v>0</v>
      </c>
      <c r="AA14" s="1374">
        <f t="shared" si="2"/>
        <v>0</v>
      </c>
      <c r="AB14" s="973"/>
      <c r="AE14" s="973"/>
      <c r="AF14" s="1374" t="s">
        <v>235</v>
      </c>
      <c r="AG14" s="1759">
        <f t="shared" ref="AG14:AM14" si="3">SUM(AG6:AG13)</f>
        <v>0</v>
      </c>
      <c r="AH14" s="1759">
        <f t="shared" si="3"/>
        <v>0</v>
      </c>
      <c r="AI14" s="1759">
        <f t="shared" si="3"/>
        <v>0</v>
      </c>
      <c r="AJ14" s="1759">
        <f t="shared" si="3"/>
        <v>0</v>
      </c>
      <c r="AK14" s="1759">
        <f t="shared" si="3"/>
        <v>0</v>
      </c>
      <c r="AL14" s="1759">
        <f t="shared" si="3"/>
        <v>0</v>
      </c>
      <c r="AM14" s="1759">
        <f t="shared" si="3"/>
        <v>0</v>
      </c>
      <c r="AN14" s="973"/>
      <c r="AQ14" s="973"/>
      <c r="AR14" s="1362"/>
      <c r="AS14" s="1357">
        <f>IF(LEFT('2.LUC'!$I69,8)=LEFT($AR$8,8),IF(LEFT('2.LUC'!$K69,8)=LEFT(AS$5,8), luc!$C49,0),0)</f>
        <v>0</v>
      </c>
      <c r="AT14" s="1357">
        <f>IF(LEFT('2.LUC'!$I69,8)=LEFT($AR$8,8),IF(LEFT('2.LUC'!$K69,8)=LEFT(AT$5,8), luc!$C49,0),0)</f>
        <v>0</v>
      </c>
      <c r="AU14" s="1354">
        <f>IF(LEFT('2.LUC'!$I69,8)=LEFT($AR$8,8),IF(LEFT('2.LUC'!$K69,8)=LEFT(AU$5,8), luc!$C49,0),0)</f>
        <v>0</v>
      </c>
      <c r="AV14" s="1354">
        <f>IF(LEFT('2.LUC'!$I69,8)=LEFT($AR$8,8),IF(LEFT('2.LUC'!$K69,8)=LEFT(AV$5,8), luc!$C49,0),0)</f>
        <v>0</v>
      </c>
      <c r="AW14" s="1354">
        <f>IF(LEFT('2.LUC'!$I69,8)=LEFT($AR$8,8),IF(LEFT('2.LUC'!$K69,8)=LEFT(AW$5,8), luc!$C49,0),0)</f>
        <v>0</v>
      </c>
      <c r="AX14" s="1354">
        <f>IF(LEFT('2.LUC'!$I69,8)=LEFT($AR$8,8),IF((OR(LEFT('2.LUC'!$K69,8)=LEFT(AX$5,8)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0</v>
      </c>
      <c r="AZ14" s="1345" t="s">
        <v>1424</v>
      </c>
      <c r="BB14" s="973"/>
      <c r="BC14" s="1362"/>
      <c r="BD14" s="1357">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IF(LEFT('2.LUC'!$K69,8)=LEFT(Matrix!BD$5,8), luc!$C49, 0),0)</f>
        <v>0</v>
      </c>
      <c r="BE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IF(LEFT('2.LUC'!$K69,8)=LEFT(Matrix!BE$5,8), luc!$C49, 0),0)</f>
        <v>0</v>
      </c>
      <c r="BF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IF(LEFT('2.LUC'!$K69,8)=LEFT(Matrix!BF$5,8), luc!$C49, 0),0)</f>
        <v>0</v>
      </c>
      <c r="BG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IF(LEFT('2.LUC'!$K69,8)=LEFT(Matrix!BG$5,8), luc!$C49, 0),0)</f>
        <v>0</v>
      </c>
      <c r="BH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IF(LEFT('2.LUC'!$K69,8)=LEFT(Matrix!BH$5,8), luc!$C49, 0),0)</f>
        <v>0</v>
      </c>
      <c r="BI14" s="1357">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IF(LEFT('2.LUC'!$K69,8)=LEFT(Matrix!BI$5,8), luc!$C49, 0),0)</f>
        <v>0</v>
      </c>
      <c r="BJ14" s="973"/>
      <c r="BM14" s="973"/>
      <c r="BN14" s="1355"/>
      <c r="BO14" s="1354">
        <f>IF(LEFT('2.LUC'!$I69,8)=LEFT($BN$8,8),IF(LEFT('2.LUC'!$K69,8)=LEFT(BO$5,8), luc!$C49,0),0)</f>
        <v>0</v>
      </c>
      <c r="BP14" s="1354">
        <f>IF(LEFT('2.LUC'!$I69,8)=LEFT($BN$8,8),IF(LEFT('2.LUC'!$K69,8)=LEFT(BP$5,8), luc!$C49,0),0)</f>
        <v>0</v>
      </c>
      <c r="BQ14" s="1354">
        <f>IF(LEFT('2.LUC'!$I69,8)=LEFT($BN$8,8),IF(LEFT('2.LUC'!$K69,8)=LEFT(BQ$5,8), luc!$C49,0),0)</f>
        <v>0</v>
      </c>
      <c r="BR14" s="1354">
        <f>IF(LEFT('2.LUC'!$I69,8)=LEFT($BN$8,8),IF((OR(LEFT('2.LUC'!$K69,8)=LEFT(BR$5,8),LEFT('2.LUC'!$K69,8)=LEFT(AZ$3,8),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0</v>
      </c>
      <c r="BS14" s="1354">
        <f>IF(LEFT('2.LUC'!$I69,8)=LEFT($BN$8,8),IF(LEFT('2.LUC'!$K69,8)=LEFT(BS$5,8), luc!$C49,0),0)</f>
        <v>0</v>
      </c>
      <c r="BT14" s="1357">
        <f>IF(LEFT('2.LUC'!$I69,8)=LEFT($BN$8,8),IF(LEFT('2.LUC'!$K69,8)=LEFT(BT$5,8), luc!$C49,0),0)</f>
        <v>0</v>
      </c>
      <c r="BU14" s="973"/>
      <c r="BX14" s="973"/>
      <c r="BY14" s="1355"/>
      <c r="BZ14" s="1355">
        <f>IF(LEFT('2.LUC'!$I69,8)=LEFT($BY$8,8),IF(LEFT('2.LUC'!$K69,8)=LEFT(BZ$5,8), luc!$C49,0),0)</f>
        <v>0</v>
      </c>
      <c r="CA14" s="1355">
        <f>IF(LEFT('2.LUC'!$I69,8)=LEFT($BY$8,8),IF(LEFT('2.LUC'!$K69,8)=LEFT(CA$5,8), luc!$C49,0),0)</f>
        <v>0</v>
      </c>
      <c r="CB14" s="1355">
        <f>IF(LEFT('2.LUC'!$I69,8)=LEFT($BY$8,8),IF(LEFT('2.LUC'!$K69,8)=LEFT(CB$5,8), luc!$C49,0),0)</f>
        <v>0</v>
      </c>
      <c r="CC14" s="1355">
        <f>IF(LEFT('2.LUC'!$I69,8)=LEFT($BY$8,8),IF((OR(LEFT('2.LUC'!$K69,8)=LEFT(CC$5,8),LEFT('2.LUC'!$K69,8)=LEFT(AZ$3,8), LEFT('2.LUC'!$K69,8)=LEFT(AZ$4,8),LEFT('2.LUC'!$K69,8)=LEFT(AZ$5,8),LEFT('2.LUC'!$K69,8)=LEFT(AZ$6,8),LEFT('2.LUC'!$K69,8)=LEFT(AZ$7,8),LEFT('2.LUC'!$K69,8)=LEFT(AZ$8,8),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0</v>
      </c>
      <c r="CD14" s="1355">
        <f>IF(LEFT('2.LUC'!$I69,8)=LEFT($BY$8,8),IF(LEFT('2.LUC'!$K69,8)=LEFT(CD$5,8), luc!$C49,0),0)</f>
        <v>0</v>
      </c>
      <c r="CE14" s="1354">
        <f>IF(LEFT('2.LUC'!$I69,8)=LEFT($BY$8,8),IF(LEFT('2.LUC'!$K69,8)=LEFT(CE$5,8), luc!$C49,0),0)</f>
        <v>0</v>
      </c>
      <c r="CF14" s="973"/>
      <c r="CI14" s="973"/>
      <c r="CJ14" s="1355"/>
      <c r="CK14" s="1355">
        <f>IF(LEFT('2.LUC'!$I69,8)=LEFT($CJ$8,8),IF(LEFT('2.LUC'!$K69,8)=LEFT(CK$5,8), luc!$C49,0),0)</f>
        <v>0</v>
      </c>
      <c r="CL14" s="1355">
        <f>IF(LEFT('2.LUC'!$I69,8)=LEFT($CJ$8,8),IF(LEFT('2.LUC'!$K69,8)=LEFT(CL$5,8), luc!$C49,0),0)</f>
        <v>0</v>
      </c>
      <c r="CM14" s="1355">
        <f>IF(LEFT('2.LUC'!$I69,8)=LEFT($CJ$8,8),IF(LEFT('2.LUC'!$K69,8)=LEFT(CM$5,8), luc!$C49,0),0)</f>
        <v>0</v>
      </c>
      <c r="CN14" s="1354">
        <f>IF(LEFT('2.LUC'!$I69,8)=LEFT($CJ$8,8),IF((OR(LEFT('2.LUC'!$K69,8)=LEFT(CN$5,8)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0</v>
      </c>
      <c r="CO14" s="1104">
        <f>IF(LEFT('2.LUC'!$I69,8)=LEFT($CJ$8,8),IF(LEFT('2.LUC'!$K69,8)=LEFT(CO$5,8), luc!$C49,0),0)</f>
        <v>0</v>
      </c>
      <c r="CP14" s="1354">
        <f>IF(LEFT('2.LUC'!$I69,8)=LEFT($CJ$8,8),IF(LEFT('2.LUC'!$K69,8)=LEFT(CP$5,8), luc!$C49,0),0)</f>
        <v>0</v>
      </c>
      <c r="CQ14" s="973"/>
      <c r="CT14" s="973"/>
      <c r="CU14" s="1355"/>
      <c r="CV14" s="1355">
        <f>IF(LEFT('2.LUC'!$I69,8)=LEFT($CU$8,8),IF(LEFT('2.LUC'!$K69,8)=LEFT(CV$5,8), luc!$C49,0),0)</f>
        <v>0</v>
      </c>
      <c r="CW14" s="1355">
        <f>IF(LEFT('2.LUC'!$I69,8)=LEFT($CU$8,8),IF(LEFT('2.LUC'!$K69,8)=LEFT(CW$5,8), luc!$C49,0),0)</f>
        <v>0</v>
      </c>
      <c r="CX14" s="1355">
        <f>IF(LEFT('2.LUC'!$I69,8)=LEFT($CU$8,8),IF(LEFT('2.LUC'!$K69,8)=LEFT(CX$5,8), luc!$C49,0),0)</f>
        <v>0</v>
      </c>
      <c r="CY14" s="1354">
        <f>IF(LEFT('2.LUC'!$I69,8)=LEFT($CU$8,8),IF((OR(LEFT('2.LUC'!$K69,8)=LEFT(CY$5,8)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0</v>
      </c>
      <c r="CZ14" s="1104">
        <f>IF(LEFT('2.LUC'!$I69,8)=LEFT($CU$8,8),IF(LEFT('2.LUC'!$K69,8)=LEFT(CZ$5,8), luc!$C49,0),0)</f>
        <v>0</v>
      </c>
      <c r="DA14" s="1354">
        <f>IF(LEFT('2.LUC'!$I69,8)=LEFT($CU$8,8),IF(LEFT('2.LUC'!$K69,8)=LEFT(DA$5,8), luc!$C49,0),0)</f>
        <v>0</v>
      </c>
      <c r="DB14" s="973"/>
      <c r="DD14" s="973"/>
      <c r="DE14" s="973"/>
      <c r="DF14" s="1355"/>
      <c r="DG14" s="1355">
        <f>IF(LEFT('2.LUC'!$I69,8)=LEFT($DF$8,8),IF(LEFT('2.LUC'!$K69,8)=LEFT(DG$5,8), luc!$C49,0),0)</f>
        <v>0</v>
      </c>
      <c r="DH14" s="1355">
        <f>IF(LEFT('2.LUC'!$I69,8)=LEFT($DF$8,8),IF(LEFT('2.LUC'!$K69,8)=LEFT(DH$5,8), luc!$C49,0),0)</f>
        <v>0</v>
      </c>
      <c r="DI14" s="1355">
        <f>IF(LEFT('2.LUC'!$I69,8)=LEFT($DF$8,8),IF(LEFT('2.LUC'!$K69,8)=LEFT(DI$5,8), luc!$C49,0),0)</f>
        <v>0</v>
      </c>
      <c r="DJ14" s="1354">
        <f>IF(LEFT('2.LUC'!$I69,8)=LEFT($DF$8,8),IF((OR(LEFT('2.LUC'!$K69,8)=LEFT(DJ$5,8)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0</v>
      </c>
      <c r="DK14" s="1104">
        <f>IF(LEFT('2.LUC'!$I69,8)=LEFT($DF$8,8),IF(LEFT('2.LUC'!$K69,8)=LEFT(DK$5,8), luc!$C49,0),0)</f>
        <v>0</v>
      </c>
      <c r="DL14" s="1354">
        <f>IF(LEFT('2.LUC'!$I69,8)=LEFT($DF$8,8),IF(LEFT('2.LUC'!$K69,8)=LEFT(DL$5,8), luc!$C49,0),0)</f>
        <v>0</v>
      </c>
    </row>
    <row r="15" spans="2:118" x14ac:dyDescent="0.15">
      <c r="B15" s="973"/>
      <c r="C15" s="1469"/>
      <c r="D15" s="1576"/>
      <c r="F15" s="1765" t="s">
        <v>3176</v>
      </c>
      <c r="J15" s="1765" t="s">
        <v>3177</v>
      </c>
      <c r="S15" s="973"/>
      <c r="T15" s="973"/>
      <c r="U15" s="973"/>
      <c r="V15" s="973"/>
      <c r="W15" s="973"/>
      <c r="X15" s="973"/>
      <c r="Y15" s="973"/>
      <c r="Z15" s="973"/>
      <c r="AA15" s="973"/>
      <c r="AB15" s="973"/>
      <c r="AE15" s="973"/>
      <c r="AF15" s="973"/>
      <c r="AG15" s="973"/>
      <c r="AH15" s="973"/>
      <c r="AI15" s="973"/>
      <c r="AJ15" s="973"/>
      <c r="AK15" s="973"/>
      <c r="AL15" s="973"/>
      <c r="AM15" s="973"/>
      <c r="AN15" s="973"/>
      <c r="AQ15" s="973"/>
      <c r="AR15" s="1353"/>
      <c r="AS15" s="1375">
        <f>IF(LEFT('2.LUC'!$I70,8)=LEFT($AR$8,8),IF(LEFT('2.LUC'!$K70,8)=LEFT(AS$5,8), luc!$C50,0),0)</f>
        <v>0</v>
      </c>
      <c r="AT15" s="1375">
        <f>IF(LEFT('2.LUC'!$I70,8)=LEFT($AR$8,8),IF(LEFT('2.LUC'!$K70,8)=LEFT(AT$5,8), luc!$C50,0),0)</f>
        <v>0</v>
      </c>
      <c r="AU15" s="1376">
        <f>IF(LEFT('2.LUC'!$I70,8)=LEFT($AR$8,8),IF(LEFT('2.LUC'!$K70,8)=LEFT(AU$5,8), luc!$C50,0),0)</f>
        <v>0</v>
      </c>
      <c r="AV15" s="1376">
        <f>IF(LEFT('2.LUC'!$I70,8)=LEFT($AR$8,8),IF(LEFT('2.LUC'!$K70,8)=LEFT(AV$5,8), luc!$C50,0),0)</f>
        <v>0</v>
      </c>
      <c r="AW15" s="1376">
        <f>IF(LEFT('2.LUC'!$I70,8)=LEFT($AR$8,8),IF(LEFT('2.LUC'!$K70,8)=LEFT(AW$5,8), luc!$C50,0),0)</f>
        <v>0</v>
      </c>
      <c r="AX15" s="1376">
        <f>IF(LEFT('2.LUC'!$I70,8)=LEFT($AR$8,8),IF((OR(LEFT('2.LUC'!$K70,8)=LEFT(AX$5,8)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0</v>
      </c>
      <c r="AZ15" s="1345" t="s">
        <v>1427</v>
      </c>
      <c r="BB15" s="973"/>
      <c r="BC15" s="1353"/>
      <c r="BD15" s="1375">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IF(LEFT('2.LUC'!$K70,8)=LEFT(Matrix!BD$5,8), luc!$C50, 0),0)</f>
        <v>0</v>
      </c>
      <c r="BE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IF(LEFT('2.LUC'!$K70,8)=LEFT(Matrix!BE$5,8), luc!$C50, 0),0)</f>
        <v>0</v>
      </c>
      <c r="BF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IF(LEFT('2.LUC'!$K70,8)=LEFT(Matrix!BF$5,8), luc!$C50, 0),0)</f>
        <v>0</v>
      </c>
      <c r="BG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IF(LEFT('2.LUC'!$K70,8)=LEFT(Matrix!BG$5,8), luc!$C50, 0),0)</f>
        <v>0</v>
      </c>
      <c r="BH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IF(LEFT('2.LUC'!$K70,8)=LEFT(Matrix!BH$5,8), luc!$C50, 0),0)</f>
        <v>0</v>
      </c>
      <c r="BI15" s="1375">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IF(LEFT('2.LUC'!$K70,8)=LEFT(Matrix!BI$5,8), luc!$C50, 0),0)</f>
        <v>0</v>
      </c>
      <c r="BJ15" s="973"/>
      <c r="BM15" s="973"/>
      <c r="BN15" s="1355"/>
      <c r="BO15" s="1376">
        <f>IF(LEFT('2.LUC'!$I70,8)=LEFT($BN$8,8),IF(LEFT('2.LUC'!$K70,8)=LEFT(BO$5,8), luc!$C50,0),0)</f>
        <v>0</v>
      </c>
      <c r="BP15" s="1376">
        <f>IF(LEFT('2.LUC'!$I70,8)=LEFT($BN$8,8),IF(LEFT('2.LUC'!$K70,8)=LEFT(BP$5,8), luc!$C50,0),0)</f>
        <v>0</v>
      </c>
      <c r="BQ15" s="1376">
        <f>IF(LEFT('2.LUC'!$I70,8)=LEFT($BN$8,8),IF(LEFT('2.LUC'!$K70,8)=LEFT(BQ$5,8), luc!$C50,0),0)</f>
        <v>0</v>
      </c>
      <c r="BR15" s="1376">
        <f>IF(LEFT('2.LUC'!$I70,8)=LEFT($BN$8,8),IF((OR(LEFT('2.LUC'!$K70,8)=LEFT(BR$5,8),LEFT('2.LUC'!$K70,8)=LEFT(AZ$3,8),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0</v>
      </c>
      <c r="BS15" s="1376">
        <f>IF(LEFT('2.LUC'!$I70,8)=LEFT($BN$8,8),IF(LEFT('2.LUC'!$K70,8)=LEFT(BS$5,8), luc!$C50,0),0)</f>
        <v>0</v>
      </c>
      <c r="BT15" s="1375">
        <f>IF(LEFT('2.LUC'!$I70,8)=LEFT($BN$8,8),IF(LEFT('2.LUC'!$K70,8)=LEFT(BT$5,8), luc!$C50,0),0)</f>
        <v>0</v>
      </c>
      <c r="BU15" s="973"/>
      <c r="BX15" s="973"/>
      <c r="BY15" s="1355"/>
      <c r="BZ15" s="1377">
        <f>IF(LEFT('2.LUC'!$I70,8)=LEFT($BY$8,8),IF(LEFT('2.LUC'!$K70,8)=LEFT(BZ$5,8), luc!$C50,0),0)</f>
        <v>0</v>
      </c>
      <c r="CA15" s="1377">
        <f>IF(LEFT('2.LUC'!$I70,8)=LEFT($BY$8,8),IF(LEFT('2.LUC'!$K70,8)=LEFT(CA$5,8), luc!$C50,0),0)</f>
        <v>0</v>
      </c>
      <c r="CB15" s="1377">
        <f>IF(LEFT('2.LUC'!$I70,8)=LEFT($BY$8,8),IF(LEFT('2.LUC'!$K70,8)=LEFT(CB$5,8), luc!$C50,0),0)</f>
        <v>0</v>
      </c>
      <c r="CC15" s="1377">
        <f>IF(LEFT('2.LUC'!$I70,8)=LEFT($BY$8,8),IF((OR(LEFT('2.LUC'!$K70,8)=LEFT(CC$5,8),LEFT('2.LUC'!$K70,8)=LEFT(AZ$3,8), LEFT('2.LUC'!$K70,8)=LEFT(AZ$4,8),LEFT('2.LUC'!$K70,8)=LEFT(AZ$5,8),LEFT('2.LUC'!$K70,8)=LEFT(AZ$6,8),LEFT('2.LUC'!$K70,8)=LEFT(AZ$7,8),LEFT('2.LUC'!$K70,8)=LEFT(AZ$8,8),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0</v>
      </c>
      <c r="CD15" s="1377">
        <f>IF(LEFT('2.LUC'!$I70,8)=LEFT($BY$8,8),IF(LEFT('2.LUC'!$K70,8)=LEFT(CD$5,8), luc!$C50,0),0)</f>
        <v>0</v>
      </c>
      <c r="CE15" s="1376">
        <f>IF(LEFT('2.LUC'!$I70,8)=LEFT($BY$8,8),IF(LEFT('2.LUC'!$K70,8)=LEFT(CE$5,8), luc!$C50,0),0)</f>
        <v>0</v>
      </c>
      <c r="CF15" s="973"/>
      <c r="CI15" s="973"/>
      <c r="CJ15" s="1355"/>
      <c r="CK15" s="1377">
        <f>IF(LEFT('2.LUC'!$I70,8)=LEFT($CJ$8,8),IF(LEFT('2.LUC'!$K70,8)=LEFT(CK$5,8), luc!$C50,0),0)</f>
        <v>0</v>
      </c>
      <c r="CL15" s="1377">
        <f>IF(LEFT('2.LUC'!$I70,8)=LEFT($CJ$8,8),IF(LEFT('2.LUC'!$K70,8)=LEFT(CL$5,8), luc!$C50,0),0)</f>
        <v>0</v>
      </c>
      <c r="CM15" s="1377">
        <f>IF(LEFT('2.LUC'!$I70,8)=LEFT($CJ$8,8),IF(LEFT('2.LUC'!$K70,8)=LEFT(CM$5,8), luc!$C50,0),0)</f>
        <v>0</v>
      </c>
      <c r="CN15" s="1376">
        <f>IF(LEFT('2.LUC'!$I70,8)=LEFT($CJ$8,8),IF((OR(LEFT('2.LUC'!$K70,8)=LEFT(CN$5,8)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0</v>
      </c>
      <c r="CO15" s="1378">
        <f>IF(LEFT('2.LUC'!$I70,8)=LEFT($CJ$8,8),IF(LEFT('2.LUC'!$K70,8)=LEFT(CO$5,8), luc!$C50,0),0)</f>
        <v>0</v>
      </c>
      <c r="CP15" s="1376">
        <f>IF(LEFT('2.LUC'!$I70,8)=LEFT($CJ$8,8),IF(LEFT('2.LUC'!$K70,8)=LEFT(CP$5,8), luc!$C50,0),0)</f>
        <v>0</v>
      </c>
      <c r="CQ15" s="973"/>
      <c r="CT15" s="973"/>
      <c r="CU15" s="1355"/>
      <c r="CV15" s="1377">
        <f>IF(LEFT('2.LUC'!$I70,8)=LEFT($CU$8,8),IF(LEFT('2.LUC'!$K70,8)=LEFT(CV$5,8), luc!$C50,0),0)</f>
        <v>0</v>
      </c>
      <c r="CW15" s="1377">
        <f>IF(LEFT('2.LUC'!$I70,8)=LEFT($CU$8,8),IF(LEFT('2.LUC'!$K70,8)=LEFT(CW$5,8), luc!$C50,0),0)</f>
        <v>0</v>
      </c>
      <c r="CX15" s="1377">
        <f>IF(LEFT('2.LUC'!$I70,8)=LEFT($CU$8,8),IF(LEFT('2.LUC'!$K70,8)=LEFT(CX$5,8), luc!$C50,0),0)</f>
        <v>0</v>
      </c>
      <c r="CY15" s="1376">
        <f>IF(LEFT('2.LUC'!$I70,8)=LEFT($CU$8,8),IF((OR(LEFT('2.LUC'!$K70,8)=LEFT(CY$5,8)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0</v>
      </c>
      <c r="CZ15" s="1378">
        <f>IF(LEFT('2.LUC'!$I70,8)=LEFT($CU$8,8),IF(LEFT('2.LUC'!$K70,8)=LEFT(CZ$5,8), luc!$C50,0),0)</f>
        <v>0</v>
      </c>
      <c r="DA15" s="1376">
        <f>IF(LEFT('2.LUC'!$I70,8)=LEFT($CU$8,8),IF(LEFT('2.LUC'!$K70,8)=LEFT(DA$5,8), luc!$C50,0),0)</f>
        <v>0</v>
      </c>
      <c r="DB15" s="973"/>
      <c r="DD15" s="973"/>
      <c r="DE15" s="973"/>
      <c r="DF15" s="1355"/>
      <c r="DG15" s="1377">
        <f>IF(LEFT('2.LUC'!$I70,8)=LEFT($DF$8,8),IF(LEFT('2.LUC'!$K70,8)=LEFT(DG$5,8), luc!$C50,0),0)</f>
        <v>0</v>
      </c>
      <c r="DH15" s="1377">
        <f>IF(LEFT('2.LUC'!$I70,8)=LEFT($DF$8,8),IF(LEFT('2.LUC'!$K70,8)=LEFT(DH$5,8), luc!$C50,0),0)</f>
        <v>0</v>
      </c>
      <c r="DI15" s="1377">
        <f>IF(LEFT('2.LUC'!$I70,8)=LEFT($DF$8,8),IF(LEFT('2.LUC'!$K70,8)=LEFT(DI$5,8), luc!$C50,0),0)</f>
        <v>0</v>
      </c>
      <c r="DJ15" s="1376">
        <f>IF(LEFT('2.LUC'!$I70,8)=LEFT($DF$8,8),IF((OR(LEFT('2.LUC'!$K70,8)=LEFT(DJ$5,8)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0</v>
      </c>
      <c r="DK15" s="1378">
        <f>IF(LEFT('2.LUC'!$I70,8)=LEFT($DF$8,8),IF(LEFT('2.LUC'!$K70,8)=LEFT(DK$5,8), luc!$C50,0),0)</f>
        <v>0</v>
      </c>
      <c r="DL15" s="1376">
        <f>IF(LEFT('2.LUC'!$I70,8)=LEFT($DF$8,8),IF(LEFT('2.LUC'!$K70,8)=LEFT(DL$5,8), luc!$C50,0),0)</f>
        <v>0</v>
      </c>
    </row>
    <row r="16" spans="2:118" x14ac:dyDescent="0.15">
      <c r="B16" s="973"/>
      <c r="C16" s="1469"/>
      <c r="D16" s="1454"/>
      <c r="F16" s="1765" t="s">
        <v>3178</v>
      </c>
      <c r="J16" s="1765" t="s">
        <v>3179</v>
      </c>
      <c r="N16" s="3125"/>
      <c r="S16" s="973"/>
      <c r="T16" s="973"/>
      <c r="U16" s="973"/>
      <c r="V16" s="973"/>
      <c r="W16" s="973"/>
      <c r="X16" s="973"/>
      <c r="Y16" s="973"/>
      <c r="Z16" s="973"/>
      <c r="AA16" s="973"/>
      <c r="AB16" s="973"/>
      <c r="AE16" s="973"/>
      <c r="AF16" s="973"/>
      <c r="AG16" s="973"/>
      <c r="AH16" s="973"/>
      <c r="AI16" s="973"/>
      <c r="AJ16" s="973"/>
      <c r="AK16" s="973"/>
      <c r="AL16" s="973"/>
      <c r="AM16" s="973"/>
      <c r="AN16" s="973"/>
      <c r="AQ16" s="973"/>
      <c r="AR16" s="1379" t="s">
        <v>218</v>
      </c>
      <c r="AS16" s="1380">
        <f t="shared" ref="AS16:AX16" si="4">SUM(AS6:AS15)</f>
        <v>0</v>
      </c>
      <c r="AT16" s="1380">
        <f t="shared" si="4"/>
        <v>0</v>
      </c>
      <c r="AU16" s="1380">
        <f t="shared" si="4"/>
        <v>0</v>
      </c>
      <c r="AV16" s="1380">
        <f t="shared" si="4"/>
        <v>0</v>
      </c>
      <c r="AW16" s="1380">
        <f t="shared" si="4"/>
        <v>0</v>
      </c>
      <c r="AX16" s="1380">
        <f t="shared" si="4"/>
        <v>0</v>
      </c>
      <c r="AZ16" s="1345" t="s">
        <v>1507</v>
      </c>
      <c r="BB16" s="973"/>
      <c r="BC16" s="1379" t="s">
        <v>218</v>
      </c>
      <c r="BD16" s="1380">
        <f t="shared" ref="BD16:BI16" si="5">SUM(BD6:BD15)</f>
        <v>0</v>
      </c>
      <c r="BE16" s="1380">
        <f t="shared" si="5"/>
        <v>0</v>
      </c>
      <c r="BF16" s="1380">
        <f t="shared" si="5"/>
        <v>0</v>
      </c>
      <c r="BG16" s="1380">
        <f t="shared" si="5"/>
        <v>0</v>
      </c>
      <c r="BH16" s="1380">
        <f t="shared" si="5"/>
        <v>0</v>
      </c>
      <c r="BI16" s="1380">
        <f t="shared" si="5"/>
        <v>0</v>
      </c>
      <c r="BJ16" s="973"/>
      <c r="BM16" s="973"/>
      <c r="BN16" s="1380" t="s">
        <v>218</v>
      </c>
      <c r="BO16" s="1381">
        <f t="shared" ref="BO16:BT16" si="6">SUM(BO6:BO15)</f>
        <v>0</v>
      </c>
      <c r="BP16" s="1381">
        <f t="shared" si="6"/>
        <v>0</v>
      </c>
      <c r="BQ16" s="1381">
        <f t="shared" si="6"/>
        <v>0</v>
      </c>
      <c r="BR16" s="1381">
        <f t="shared" si="6"/>
        <v>0</v>
      </c>
      <c r="BS16" s="1381">
        <f t="shared" si="6"/>
        <v>0</v>
      </c>
      <c r="BT16" s="1381">
        <f t="shared" si="6"/>
        <v>0</v>
      </c>
      <c r="BU16" s="973"/>
      <c r="BX16" s="973"/>
      <c r="BY16" s="1380" t="s">
        <v>218</v>
      </c>
      <c r="BZ16" s="1382">
        <f t="shared" ref="BZ16:CE16" si="7">SUM(BZ6:BZ15)</f>
        <v>0</v>
      </c>
      <c r="CA16" s="1382">
        <f t="shared" si="7"/>
        <v>0</v>
      </c>
      <c r="CB16" s="1382">
        <f t="shared" si="7"/>
        <v>0</v>
      </c>
      <c r="CC16" s="1382">
        <f t="shared" si="7"/>
        <v>0</v>
      </c>
      <c r="CD16" s="1382">
        <f t="shared" si="7"/>
        <v>0</v>
      </c>
      <c r="CE16" s="1382">
        <f t="shared" si="7"/>
        <v>0</v>
      </c>
      <c r="CF16" s="973"/>
      <c r="CI16" s="973"/>
      <c r="CJ16" s="1380" t="s">
        <v>218</v>
      </c>
      <c r="CK16" s="1382">
        <f t="shared" ref="CK16:CP16" si="8">SUM(CK6:CK15)</f>
        <v>150</v>
      </c>
      <c r="CL16" s="1382">
        <f t="shared" si="8"/>
        <v>0</v>
      </c>
      <c r="CM16" s="1382">
        <f t="shared" si="8"/>
        <v>0</v>
      </c>
      <c r="CN16" s="1382">
        <f t="shared" si="8"/>
        <v>0</v>
      </c>
      <c r="CO16" s="1382">
        <f t="shared" si="8"/>
        <v>0</v>
      </c>
      <c r="CP16" s="1382">
        <f t="shared" si="8"/>
        <v>0</v>
      </c>
      <c r="CQ16" s="973"/>
      <c r="CT16" s="973"/>
      <c r="CU16" s="1380" t="s">
        <v>218</v>
      </c>
      <c r="CV16" s="1382">
        <f t="shared" ref="CV16:DA16" si="9">SUM(CV6:CV15)</f>
        <v>0</v>
      </c>
      <c r="CW16" s="1382">
        <f t="shared" si="9"/>
        <v>0</v>
      </c>
      <c r="CX16" s="1382">
        <f t="shared" si="9"/>
        <v>0</v>
      </c>
      <c r="CY16" s="1382">
        <f t="shared" si="9"/>
        <v>0</v>
      </c>
      <c r="CZ16" s="1382">
        <f t="shared" si="9"/>
        <v>0</v>
      </c>
      <c r="DA16" s="1382">
        <f t="shared" si="9"/>
        <v>0</v>
      </c>
      <c r="DB16" s="973"/>
      <c r="DD16" s="973"/>
      <c r="DE16" s="973"/>
      <c r="DF16" s="1380" t="s">
        <v>218</v>
      </c>
      <c r="DG16" s="1382">
        <f t="shared" ref="DG16:DL16" si="10">SUM(DG6:DG15)</f>
        <v>0</v>
      </c>
      <c r="DH16" s="1382">
        <f t="shared" si="10"/>
        <v>0</v>
      </c>
      <c r="DI16" s="1382">
        <f t="shared" si="10"/>
        <v>0</v>
      </c>
      <c r="DJ16" s="1382">
        <f t="shared" si="10"/>
        <v>0</v>
      </c>
      <c r="DK16" s="1382">
        <f t="shared" si="10"/>
        <v>0</v>
      </c>
      <c r="DL16" s="1381">
        <f t="shared" si="10"/>
        <v>0</v>
      </c>
    </row>
    <row r="17" spans="2:116" x14ac:dyDescent="0.15">
      <c r="B17" s="973"/>
      <c r="C17" s="973"/>
      <c r="D17" s="973"/>
      <c r="F17" s="1765"/>
      <c r="J17" s="1765" t="s">
        <v>3180</v>
      </c>
      <c r="N17" s="3125"/>
      <c r="S17" s="973"/>
      <c r="T17" s="973"/>
      <c r="U17" s="973"/>
      <c r="V17" s="973"/>
      <c r="W17" s="973"/>
      <c r="X17" s="973"/>
      <c r="Y17" s="973"/>
      <c r="Z17" s="973"/>
      <c r="AA17" s="973"/>
      <c r="AB17" s="973"/>
      <c r="AE17" s="973"/>
      <c r="AF17" s="973"/>
      <c r="AG17" s="973"/>
      <c r="AH17" s="973"/>
      <c r="AI17" s="973"/>
      <c r="AJ17" s="973"/>
      <c r="AK17" s="973"/>
      <c r="AL17" s="973"/>
      <c r="AM17" s="973"/>
      <c r="AN17" s="973"/>
      <c r="AQ17" s="973"/>
      <c r="AR17" s="973"/>
      <c r="AS17" s="973"/>
      <c r="AT17" s="973"/>
      <c r="AU17" s="973"/>
      <c r="AV17" s="973"/>
      <c r="AW17" s="973"/>
      <c r="AX17" s="973"/>
      <c r="AZ17" s="1384" t="s">
        <v>1510</v>
      </c>
      <c r="BB17" s="973"/>
      <c r="BC17" s="973"/>
      <c r="BD17" s="973"/>
      <c r="BE17" s="973"/>
      <c r="BF17" s="973"/>
      <c r="BG17" s="973"/>
      <c r="BH17" s="973"/>
      <c r="BI17" s="973"/>
      <c r="BJ17" s="973"/>
      <c r="BK17" s="973"/>
      <c r="BL17" s="973"/>
      <c r="BM17" s="973"/>
      <c r="BN17" s="973"/>
      <c r="BO17" s="973"/>
      <c r="BP17" s="973"/>
      <c r="BQ17" s="973"/>
      <c r="BR17" s="973"/>
      <c r="BS17" s="973"/>
      <c r="BT17" s="973"/>
      <c r="BU17" s="973"/>
      <c r="BV17" s="973"/>
      <c r="BW17" s="973"/>
      <c r="BX17" s="973"/>
      <c r="BY17" s="973"/>
      <c r="BZ17" s="973"/>
      <c r="CA17" s="973"/>
      <c r="CB17" s="973"/>
      <c r="CC17" s="973"/>
      <c r="CD17" s="973"/>
      <c r="CE17" s="973"/>
      <c r="CF17" s="973"/>
      <c r="CG17" s="973"/>
      <c r="CH17" s="973"/>
      <c r="CI17" s="973"/>
      <c r="CJ17" s="973"/>
      <c r="CK17" s="973"/>
      <c r="CL17" s="973"/>
      <c r="CM17" s="973"/>
      <c r="CN17" s="1688"/>
      <c r="CO17" s="973"/>
      <c r="CP17" s="973"/>
      <c r="CQ17" s="973"/>
      <c r="CR17" s="973"/>
      <c r="CS17" s="973"/>
      <c r="CT17" s="973"/>
      <c r="CU17" s="973"/>
      <c r="CV17" s="973"/>
      <c r="CW17" s="973"/>
      <c r="CX17" s="973"/>
      <c r="CY17" s="973"/>
      <c r="CZ17" s="973"/>
      <c r="DA17" s="973"/>
      <c r="DB17" s="973"/>
      <c r="DC17" s="973"/>
      <c r="DD17" s="973"/>
      <c r="DE17" s="973"/>
      <c r="DF17" s="973"/>
      <c r="DG17" s="973"/>
      <c r="DH17" s="973"/>
      <c r="DI17" s="973"/>
      <c r="DJ17" s="973"/>
      <c r="DK17" s="973"/>
      <c r="DL17" s="973"/>
    </row>
    <row r="18" spans="2:116" x14ac:dyDescent="0.15">
      <c r="F18" s="1765"/>
      <c r="S18" s="973"/>
      <c r="T18" s="973"/>
      <c r="U18" s="973"/>
      <c r="V18" s="973"/>
      <c r="W18" s="973"/>
      <c r="X18" s="973"/>
      <c r="Y18" s="973"/>
      <c r="Z18" s="973"/>
      <c r="AA18" s="973"/>
      <c r="AB18" s="973"/>
      <c r="AE18" s="973"/>
      <c r="AN18" s="973"/>
      <c r="BB18" s="973"/>
      <c r="BJ18" s="973"/>
      <c r="BM18" s="973"/>
      <c r="BU18" s="973"/>
      <c r="BX18" s="973"/>
      <c r="CF18" s="973"/>
      <c r="CI18" s="973"/>
      <c r="CN18" s="3039"/>
      <c r="CQ18" s="973"/>
      <c r="CT18" s="973"/>
      <c r="DB18" s="973"/>
      <c r="DD18" s="973"/>
      <c r="DE18" s="973"/>
    </row>
    <row r="19" spans="2:116" x14ac:dyDescent="0.15">
      <c r="D19" s="973"/>
      <c r="S19" s="973"/>
      <c r="T19" s="973"/>
      <c r="U19" s="973"/>
      <c r="V19" s="973"/>
      <c r="W19" s="973"/>
      <c r="X19" s="973"/>
      <c r="Y19" s="973"/>
      <c r="Z19" s="973"/>
      <c r="AA19" s="973"/>
      <c r="AB19" s="973"/>
      <c r="AE19" s="973"/>
      <c r="AN19" s="973"/>
      <c r="BB19" s="973"/>
      <c r="BJ19" s="973"/>
      <c r="BM19" s="973"/>
      <c r="BU19" s="973"/>
      <c r="BX19" s="973"/>
      <c r="CF19" s="973"/>
      <c r="CI19" s="973"/>
      <c r="CN19" s="3039"/>
      <c r="CQ19" s="973"/>
      <c r="CT19" s="973"/>
      <c r="DB19" s="973"/>
      <c r="DD19" s="973"/>
      <c r="DE19" s="973"/>
    </row>
    <row r="20" spans="2:116" ht="16.5" customHeight="1" x14ac:dyDescent="0.15">
      <c r="D20" s="973"/>
      <c r="S20" s="973"/>
      <c r="T20" s="973"/>
      <c r="U20" s="1281"/>
      <c r="V20" s="973"/>
      <c r="W20" s="973"/>
      <c r="X20" s="973"/>
      <c r="Y20" s="973"/>
      <c r="Z20" s="973"/>
      <c r="AA20" s="973"/>
      <c r="AB20" s="973"/>
      <c r="AE20" s="973"/>
      <c r="AF20" s="973"/>
      <c r="AG20" s="973"/>
      <c r="AH20" s="973"/>
      <c r="AI20" s="973"/>
      <c r="AJ20" s="973"/>
      <c r="AK20" s="973"/>
      <c r="AL20" s="973"/>
      <c r="AM20" s="973"/>
      <c r="AN20" s="973"/>
      <c r="AQ20" s="973"/>
      <c r="AR20" s="973"/>
      <c r="AS20" s="973"/>
      <c r="AT20" s="973"/>
      <c r="AU20" s="973"/>
      <c r="AV20" s="973"/>
      <c r="AW20" s="973"/>
      <c r="AX20" s="973"/>
      <c r="AZ20" s="1325" t="s">
        <v>293</v>
      </c>
      <c r="BB20" s="973"/>
      <c r="BC20" s="973"/>
      <c r="BD20" s="973"/>
      <c r="BE20" s="973"/>
      <c r="BF20" s="973"/>
      <c r="BG20" s="973"/>
      <c r="BH20" s="973"/>
      <c r="BI20" s="973"/>
      <c r="BJ20" s="973"/>
      <c r="BK20" s="973"/>
      <c r="BL20" s="973"/>
      <c r="BM20" s="973"/>
      <c r="BN20" s="973"/>
      <c r="BO20" s="973"/>
      <c r="BP20" s="973"/>
      <c r="BQ20" s="973"/>
      <c r="BR20" s="973"/>
      <c r="BS20" s="973"/>
      <c r="BT20" s="973"/>
      <c r="BU20" s="973"/>
      <c r="BV20" s="973"/>
      <c r="BW20" s="973"/>
      <c r="BX20" s="973"/>
      <c r="BY20" s="973"/>
      <c r="BZ20" s="973"/>
      <c r="CA20" s="973"/>
      <c r="CB20" s="973"/>
      <c r="CC20" s="973"/>
      <c r="CD20" s="973"/>
      <c r="CE20" s="973"/>
      <c r="CF20" s="973"/>
      <c r="CG20" s="973"/>
      <c r="CH20" s="973"/>
      <c r="CI20" s="973"/>
      <c r="CJ20" s="973"/>
      <c r="CK20" s="973"/>
      <c r="CL20" s="973"/>
      <c r="CM20" s="973"/>
      <c r="CN20" s="1688"/>
      <c r="CO20" s="973"/>
      <c r="CP20" s="973"/>
      <c r="CQ20" s="973"/>
      <c r="CR20" s="973"/>
      <c r="CS20" s="973"/>
      <c r="CT20" s="973"/>
      <c r="CU20" s="973"/>
      <c r="CV20" s="973"/>
      <c r="CW20" s="973"/>
      <c r="CX20" s="973"/>
      <c r="CY20" s="973"/>
      <c r="CZ20" s="973"/>
      <c r="DA20" s="973"/>
      <c r="DB20" s="973"/>
      <c r="DC20" s="973"/>
      <c r="DD20" s="973"/>
      <c r="DE20" s="973"/>
      <c r="DF20" s="973"/>
      <c r="DG20" s="973"/>
      <c r="DH20" s="973"/>
      <c r="DI20" s="973"/>
      <c r="DJ20" s="973"/>
      <c r="DK20" s="973"/>
      <c r="DL20" s="973"/>
    </row>
    <row r="21" spans="2:116" ht="18.75" customHeight="1" x14ac:dyDescent="0.15">
      <c r="D21" s="973"/>
      <c r="F21" s="1326"/>
      <c r="G21" s="1331"/>
      <c r="H21" s="1331"/>
      <c r="I21" s="1331"/>
      <c r="J21" s="1331"/>
      <c r="K21" s="1331"/>
      <c r="L21" s="1331"/>
      <c r="M21" s="1331"/>
      <c r="N21" s="1331"/>
      <c r="O21" s="1331"/>
      <c r="P21" s="1327"/>
      <c r="S21" s="1168"/>
      <c r="T21" s="1400"/>
      <c r="U21" s="1401"/>
      <c r="V21" s="1402" t="s">
        <v>3181</v>
      </c>
      <c r="W21" s="1403"/>
      <c r="X21" s="1401"/>
      <c r="Y21" s="1401"/>
      <c r="Z21" s="1401"/>
      <c r="AA21" s="1404"/>
      <c r="AB21" s="973"/>
      <c r="AE21" s="973"/>
      <c r="AF21" s="1400"/>
      <c r="AG21" s="1401"/>
      <c r="AH21" s="1402" t="s">
        <v>3182</v>
      </c>
      <c r="AI21" s="1403"/>
      <c r="AJ21" s="1401"/>
      <c r="AK21" s="1401"/>
      <c r="AL21" s="1401"/>
      <c r="AM21" s="1404"/>
      <c r="AN21" s="973"/>
      <c r="AQ21" s="973"/>
      <c r="AR21" s="1326"/>
      <c r="AS21" s="1328" t="s">
        <v>3183</v>
      </c>
      <c r="AT21" s="1329"/>
      <c r="AU21" s="1330"/>
      <c r="AV21" s="1331"/>
      <c r="AW21" s="1331"/>
      <c r="AX21" s="1327"/>
      <c r="AZ21" s="1345" t="s">
        <v>1352</v>
      </c>
      <c r="BB21" s="973"/>
      <c r="BC21" s="1326"/>
      <c r="BD21" s="1328" t="s">
        <v>3184</v>
      </c>
      <c r="BE21" s="1329"/>
      <c r="BF21" s="1330"/>
      <c r="BG21" s="1331"/>
      <c r="BH21" s="1331"/>
      <c r="BI21" s="1327"/>
      <c r="BJ21" s="973"/>
      <c r="BM21" s="973"/>
      <c r="BN21" s="1326"/>
      <c r="BO21" s="1328" t="s">
        <v>3184</v>
      </c>
      <c r="BP21" s="1329"/>
      <c r="BQ21" s="1330"/>
      <c r="BR21" s="1331"/>
      <c r="BS21" s="1331"/>
      <c r="BT21" s="1327"/>
      <c r="BU21" s="973"/>
      <c r="BX21" s="973"/>
      <c r="BY21" s="1326"/>
      <c r="BZ21" s="1328" t="s">
        <v>3183</v>
      </c>
      <c r="CA21" s="1329"/>
      <c r="CB21" s="1330"/>
      <c r="CC21" s="1331"/>
      <c r="CD21" s="1331"/>
      <c r="CE21" s="1327"/>
      <c r="CF21" s="973"/>
      <c r="CI21" s="973"/>
      <c r="CJ21" s="1326"/>
      <c r="CK21" s="1328" t="s">
        <v>3184</v>
      </c>
      <c r="CL21" s="1329"/>
      <c r="CM21" s="1330"/>
      <c r="CN21" s="1361"/>
      <c r="CO21" s="1331"/>
      <c r="CP21" s="1327"/>
      <c r="CQ21" s="973"/>
      <c r="CT21" s="973"/>
      <c r="CU21" s="1326"/>
      <c r="CV21" s="1328" t="s">
        <v>3183</v>
      </c>
      <c r="CW21" s="1329"/>
      <c r="CX21" s="1330"/>
      <c r="CY21" s="1331"/>
      <c r="CZ21" s="1331"/>
      <c r="DA21" s="1327"/>
      <c r="DB21" s="973"/>
      <c r="DD21" s="973"/>
      <c r="DE21" s="973"/>
      <c r="DF21" s="1326"/>
      <c r="DG21" s="1328" t="s">
        <v>3183</v>
      </c>
      <c r="DH21" s="1329"/>
      <c r="DI21" s="1330"/>
      <c r="DJ21" s="1331"/>
      <c r="DK21" s="1331"/>
      <c r="DL21" s="1327"/>
    </row>
    <row r="22" spans="2:116" ht="21" x14ac:dyDescent="0.2">
      <c r="D22" s="973"/>
      <c r="F22" s="1332"/>
      <c r="G22" s="1333"/>
      <c r="H22" s="1434"/>
      <c r="I22" s="1437" t="s">
        <v>3185</v>
      </c>
      <c r="J22" s="1435"/>
      <c r="K22" s="1435"/>
      <c r="L22" s="1435"/>
      <c r="M22" s="1435"/>
      <c r="N22" s="1435"/>
      <c r="O22" s="1435"/>
      <c r="P22" s="1394"/>
      <c r="S22" s="1168"/>
      <c r="T22" s="3486" t="s">
        <v>323</v>
      </c>
      <c r="U22" s="1408" t="s">
        <v>3186</v>
      </c>
      <c r="V22" s="1409"/>
      <c r="W22" s="1410"/>
      <c r="X22" s="1410"/>
      <c r="Y22" s="1410"/>
      <c r="Z22" s="1410"/>
      <c r="AA22" s="1411"/>
      <c r="AB22" s="973"/>
      <c r="AE22" s="973"/>
      <c r="AF22" s="1756" t="s">
        <v>323</v>
      </c>
      <c r="AG22" s="1405" t="s">
        <v>3164</v>
      </c>
      <c r="AH22" s="1406"/>
      <c r="AI22" s="1407"/>
      <c r="AJ22" s="1407"/>
      <c r="AK22" s="1407"/>
      <c r="AL22" s="1407"/>
      <c r="AM22" s="1413"/>
      <c r="AN22" s="973"/>
      <c r="AQ22" s="973"/>
      <c r="AR22" s="1335" t="s">
        <v>323</v>
      </c>
      <c r="AS22" s="1336"/>
      <c r="AT22" s="1337"/>
      <c r="AU22" s="1338"/>
      <c r="AV22" s="1338"/>
      <c r="AW22" s="1338"/>
      <c r="AX22" s="1339"/>
      <c r="AZ22" s="1345" t="s">
        <v>1407</v>
      </c>
      <c r="BB22" s="973"/>
      <c r="BC22" s="1335" t="s">
        <v>323</v>
      </c>
      <c r="BD22" s="1336"/>
      <c r="BE22" s="1337"/>
      <c r="BF22" s="1338"/>
      <c r="BG22" s="1338"/>
      <c r="BH22" s="1338"/>
      <c r="BI22" s="1339"/>
      <c r="BJ22" s="973"/>
      <c r="BM22" s="973"/>
      <c r="BN22" s="1335" t="s">
        <v>323</v>
      </c>
      <c r="BO22" s="1336"/>
      <c r="BP22" s="1337"/>
      <c r="BQ22" s="1338"/>
      <c r="BR22" s="1338"/>
      <c r="BS22" s="1338"/>
      <c r="BT22" s="1339"/>
      <c r="BU22" s="973"/>
      <c r="BX22" s="973"/>
      <c r="BY22" s="1335" t="s">
        <v>323</v>
      </c>
      <c r="BZ22" s="1336"/>
      <c r="CA22" s="1337"/>
      <c r="CB22" s="1338"/>
      <c r="CC22" s="1338"/>
      <c r="CD22" s="1338"/>
      <c r="CE22" s="1339"/>
      <c r="CF22" s="973"/>
      <c r="CI22" s="973"/>
      <c r="CJ22" s="1335" t="s">
        <v>323</v>
      </c>
      <c r="CK22" s="1336"/>
      <c r="CL22" s="1337"/>
      <c r="CM22" s="1338"/>
      <c r="CN22" s="1337"/>
      <c r="CO22" s="1338"/>
      <c r="CP22" s="1339"/>
      <c r="CQ22" s="973"/>
      <c r="CT22" s="973"/>
      <c r="CU22" s="1335" t="s">
        <v>323</v>
      </c>
      <c r="CV22" s="1336"/>
      <c r="CW22" s="1337"/>
      <c r="CX22" s="1338"/>
      <c r="CY22" s="1338"/>
      <c r="CZ22" s="1338"/>
      <c r="DA22" s="1339"/>
      <c r="DB22" s="973"/>
      <c r="DD22" s="973"/>
      <c r="DE22" s="973"/>
      <c r="DF22" s="1335" t="s">
        <v>323</v>
      </c>
      <c r="DG22" s="1336"/>
      <c r="DH22" s="1337"/>
      <c r="DI22" s="1338"/>
      <c r="DJ22" s="1338"/>
      <c r="DK22" s="1338"/>
      <c r="DL22" s="1339"/>
    </row>
    <row r="23" spans="2:116" ht="33.75" customHeight="1" x14ac:dyDescent="0.2">
      <c r="D23" s="973"/>
      <c r="F23" s="1351"/>
      <c r="G23" s="1352" t="s">
        <v>3167</v>
      </c>
      <c r="H23" s="1432" t="s">
        <v>3168</v>
      </c>
      <c r="I23" s="1374" t="s">
        <v>3169</v>
      </c>
      <c r="J23" s="1374" t="s">
        <v>2071</v>
      </c>
      <c r="K23" s="1374" t="s">
        <v>2072</v>
      </c>
      <c r="L23" s="1374" t="s">
        <v>1384</v>
      </c>
      <c r="M23" s="1374" t="str">
        <f>H28</f>
        <v>Grassland</v>
      </c>
      <c r="N23" s="1374" t="s">
        <v>1592</v>
      </c>
      <c r="O23" s="1374" t="s">
        <v>1401</v>
      </c>
      <c r="P23" s="1433" t="s">
        <v>2947</v>
      </c>
      <c r="S23" s="1168"/>
      <c r="T23" s="1303" t="s">
        <v>1647</v>
      </c>
      <c r="U23" s="1750" t="s">
        <v>1588</v>
      </c>
      <c r="V23" s="1750" t="s">
        <v>1382</v>
      </c>
      <c r="W23" s="1750" t="s">
        <v>1590</v>
      </c>
      <c r="X23" s="1750" t="s">
        <v>1592</v>
      </c>
      <c r="Y23" s="1750" t="s">
        <v>1384</v>
      </c>
      <c r="Z23" s="1750" t="s">
        <v>1396</v>
      </c>
      <c r="AA23" s="1751" t="s">
        <v>1401</v>
      </c>
      <c r="AB23" s="973"/>
      <c r="AE23" s="973"/>
      <c r="AF23" s="1757" t="s">
        <v>3187</v>
      </c>
      <c r="AG23" s="1762" t="s">
        <v>1588</v>
      </c>
      <c r="AH23" s="1763" t="s">
        <v>1382</v>
      </c>
      <c r="AI23" s="1763" t="s">
        <v>1590</v>
      </c>
      <c r="AJ23" s="1763" t="s">
        <v>1592</v>
      </c>
      <c r="AK23" s="1763" t="s">
        <v>1384</v>
      </c>
      <c r="AL23" s="1763" t="s">
        <v>1396</v>
      </c>
      <c r="AM23" s="1764" t="s">
        <v>1401</v>
      </c>
      <c r="AN23" s="973"/>
      <c r="AQ23" s="973"/>
      <c r="AR23" s="1342" t="s">
        <v>3188</v>
      </c>
      <c r="AS23" s="1343" t="s">
        <v>1590</v>
      </c>
      <c r="AT23" s="1347" t="s">
        <v>1592</v>
      </c>
      <c r="AU23" s="1347" t="s">
        <v>1384</v>
      </c>
      <c r="AV23" s="1347" t="s">
        <v>1396</v>
      </c>
      <c r="AW23" s="1347" t="s">
        <v>1401</v>
      </c>
      <c r="AX23" s="1341" t="s">
        <v>1588</v>
      </c>
      <c r="AZ23" s="1345" t="s">
        <v>1413</v>
      </c>
      <c r="BB23" s="973"/>
      <c r="BC23" s="1342" t="s">
        <v>3189</v>
      </c>
      <c r="BD23" s="1346" t="s">
        <v>1382</v>
      </c>
      <c r="BE23" s="1347" t="s">
        <v>1590</v>
      </c>
      <c r="BF23" s="1347" t="s">
        <v>1592</v>
      </c>
      <c r="BG23" s="1347" t="s">
        <v>1384</v>
      </c>
      <c r="BH23" s="1347" t="s">
        <v>1396</v>
      </c>
      <c r="BI23" s="1348" t="s">
        <v>1401</v>
      </c>
      <c r="BJ23" s="973"/>
      <c r="BM23" s="973"/>
      <c r="BN23" s="1342" t="s">
        <v>3189</v>
      </c>
      <c r="BO23" s="1346" t="s">
        <v>1382</v>
      </c>
      <c r="BP23" s="1347" t="s">
        <v>1590</v>
      </c>
      <c r="BQ23" s="1347" t="s">
        <v>1592</v>
      </c>
      <c r="BR23" s="1347" t="s">
        <v>1588</v>
      </c>
      <c r="BS23" s="1347" t="s">
        <v>1396</v>
      </c>
      <c r="BT23" s="1347" t="s">
        <v>1401</v>
      </c>
      <c r="BU23" s="973"/>
      <c r="BX23" s="973"/>
      <c r="BY23" s="1349" t="s">
        <v>3189</v>
      </c>
      <c r="BZ23" s="1346" t="s">
        <v>1382</v>
      </c>
      <c r="CA23" s="1347" t="s">
        <v>1384</v>
      </c>
      <c r="CB23" s="1347" t="s">
        <v>1592</v>
      </c>
      <c r="CC23" s="1347" t="s">
        <v>1588</v>
      </c>
      <c r="CD23" s="1347" t="s">
        <v>1396</v>
      </c>
      <c r="CE23" s="1347" t="s">
        <v>1401</v>
      </c>
      <c r="CF23" s="973"/>
      <c r="CI23" s="973"/>
      <c r="CJ23" s="1349" t="s">
        <v>3189</v>
      </c>
      <c r="CK23" s="1346" t="s">
        <v>1382</v>
      </c>
      <c r="CL23" s="1347" t="s">
        <v>1384</v>
      </c>
      <c r="CM23" s="1347" t="s">
        <v>1592</v>
      </c>
      <c r="CN23" s="1350" t="s">
        <v>1588</v>
      </c>
      <c r="CO23" s="1347" t="s">
        <v>1590</v>
      </c>
      <c r="CP23" s="1347" t="s">
        <v>1401</v>
      </c>
      <c r="CQ23" s="973"/>
      <c r="CT23" s="973"/>
      <c r="CU23" s="1349" t="s">
        <v>3188</v>
      </c>
      <c r="CV23" s="1346" t="s">
        <v>1382</v>
      </c>
      <c r="CW23" s="1347" t="s">
        <v>1384</v>
      </c>
      <c r="CX23" s="1347" t="s">
        <v>1396</v>
      </c>
      <c r="CY23" s="1347" t="s">
        <v>1588</v>
      </c>
      <c r="CZ23" s="1347" t="s">
        <v>1590</v>
      </c>
      <c r="DA23" s="1347" t="s">
        <v>1401</v>
      </c>
      <c r="DB23" s="973"/>
      <c r="DD23" s="973"/>
      <c r="DE23" s="973"/>
      <c r="DF23" s="1349" t="s">
        <v>3189</v>
      </c>
      <c r="DG23" s="1346" t="s">
        <v>1382</v>
      </c>
      <c r="DH23" s="1347" t="s">
        <v>1384</v>
      </c>
      <c r="DI23" s="1347" t="s">
        <v>1396</v>
      </c>
      <c r="DJ23" s="1347" t="s">
        <v>1588</v>
      </c>
      <c r="DK23" s="1347" t="s">
        <v>1590</v>
      </c>
      <c r="DL23" s="1350" t="s">
        <v>1592</v>
      </c>
    </row>
    <row r="24" spans="2:116" x14ac:dyDescent="0.15">
      <c r="D24" s="973"/>
      <c r="F24" s="1362"/>
      <c r="G24" s="1352" t="s">
        <v>2959</v>
      </c>
      <c r="H24" s="1386" t="s">
        <v>3170</v>
      </c>
      <c r="I24" s="1438">
        <f>SUM(defo!$B35:$B42)-SUM(defo!$H35:$H42)+SUM(degradation!$D55:$D62)+Coastal!$AA$14+Coastal!$AA$16+Coastal!$AA$73+Coastal!$AA$75</f>
        <v>0</v>
      </c>
      <c r="J24" s="3128">
        <f>$V$32</f>
        <v>0</v>
      </c>
      <c r="K24" s="3128">
        <f>$U$32</f>
        <v>0</v>
      </c>
      <c r="L24" s="3128">
        <f>$Y$32</f>
        <v>0</v>
      </c>
      <c r="M24" s="3128">
        <f>$Z$32</f>
        <v>0</v>
      </c>
      <c r="N24" s="3128">
        <f>$X$32</f>
        <v>0</v>
      </c>
      <c r="O24" s="3128">
        <f>$AA$32+$W$32</f>
        <v>0</v>
      </c>
      <c r="P24" s="3129">
        <f t="shared" ref="P24:P31" si="11">SUM(I24:O24)</f>
        <v>0</v>
      </c>
      <c r="S24" s="1168"/>
      <c r="T24" s="1688"/>
      <c r="U24" s="1415">
        <f>IF('2.LUC'!$I11 = U$23, 1,0)* defo!$H35</f>
        <v>0</v>
      </c>
      <c r="V24" s="1416">
        <f>IF('2.LUC'!$I11 = V$23, 1,0)* defo!$H35</f>
        <v>0</v>
      </c>
      <c r="W24" s="1416">
        <f>IF('2.LUC'!$I11 = W$23, 1,0)* defo!$H35</f>
        <v>0</v>
      </c>
      <c r="X24" s="1416">
        <f>IF('2.LUC'!$I11 = X$23, 1,0)* defo!$H35</f>
        <v>0</v>
      </c>
      <c r="Y24" s="1416">
        <f>IF('2.LUC'!$I11 = Y$23, 1,0)* defo!$H35</f>
        <v>0</v>
      </c>
      <c r="Z24" s="1416">
        <f>IF('2.LUC'!$I11 = Z$23, 1,0)* defo!$H35</f>
        <v>0</v>
      </c>
      <c r="AA24" s="1417">
        <f>IF('2.LUC'!$I11 = AA$23, 1,0)* defo!$H35</f>
        <v>0</v>
      </c>
      <c r="AB24" s="973"/>
      <c r="AE24" s="1168"/>
      <c r="AF24" s="1414"/>
      <c r="AG24" s="1415">
        <f>IF(AG$23 = '2.LUC'!$I36, '2.LUC'!$P36, 0)</f>
        <v>0</v>
      </c>
      <c r="AH24" s="1416">
        <f>IF(AH$23='2.LUC'!$I36, '2.LUC'!$P36,0)</f>
        <v>0</v>
      </c>
      <c r="AI24" s="1416">
        <f>IF(AI$23='2.LUC'!$I36, '2.LUC'!$P36, 0)</f>
        <v>0</v>
      </c>
      <c r="AJ24" s="1416">
        <f>IF(AJ$23='2.LUC'!$I36, '2.LUC'!$P36, 0)</f>
        <v>0</v>
      </c>
      <c r="AK24" s="1416">
        <f>IF(AK$23='2.LUC'!$I36, '2.LUC'!$P36, 0)</f>
        <v>0</v>
      </c>
      <c r="AL24" s="1416">
        <f>IF(AL$23 = '2.LUC'!$I36, '2.LUC'!$P36, 0)</f>
        <v>0</v>
      </c>
      <c r="AM24" s="1417">
        <f>IF(AM$23 = '2.LUC'!$I36, '2.LUC'!$P36, 0)</f>
        <v>0</v>
      </c>
      <c r="AN24" s="973"/>
      <c r="AQ24" s="973"/>
      <c r="AR24" s="1351"/>
      <c r="AS24" s="1358">
        <f>IF(LEFT('2.LUC'!$I61,8)=LEFT($AR$26,8),IF(LEFT('2.LUC'!$K61,8)=LEFT(AS$23,8), luc!$E41,0),0)</f>
        <v>0</v>
      </c>
      <c r="AT24" s="1356">
        <f>IF(LEFT('2.LUC'!$I61,8)=LEFT($AR$26,8),IF(LEFT('2.LUC'!$K61,8)=LEFT(AT$23,8), luc!$E41,0),0)</f>
        <v>0</v>
      </c>
      <c r="AU24" s="1356">
        <f>IF(LEFT('2.LUC'!$I61,8)=LEFT($AR$26,8),IF(LEFT('2.LUC'!$K61,8)=LEFT(AU$23,8), luc!$E41,0),0)</f>
        <v>0</v>
      </c>
      <c r="AV24" s="1356">
        <f>IF(LEFT('2.LUC'!$I61,8)=LEFT($AR$26,8),IF(LEFT('2.LUC'!$K61,8)=LEFT(AV$23,8), luc!$E41,0),0)</f>
        <v>0</v>
      </c>
      <c r="AW24" s="1356">
        <f>IF(LEFT('2.LUC'!$I61,8)=LEFT($AR$26,8),IF(LEFT('2.LUC'!$K61,8)=LEFT(AW$23,8), luc!$E41,0),0)</f>
        <v>0</v>
      </c>
      <c r="AX24" s="1356">
        <f>IF(LEFT('2.LUC'!$I61,8)=LEFT($AR$26,8),IF((OR(LEFT('2.LUC'!$K61,8)=LEFT(AX$23,8)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LEFT('2.LUC'!$K61,8)=LEFT(AZ$17,8))),luc!$E41,0),0)</f>
        <v>0</v>
      </c>
      <c r="AZ24" s="1345" t="s">
        <v>1502</v>
      </c>
      <c r="BB24" s="973"/>
      <c r="BC24" s="1351"/>
      <c r="BD24" s="1358">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IF(LEFT('2.LUC'!$K61,8)=LEFT(Matrix!BD$23,8), '2.LUC'!$P61, 0),0)</f>
        <v>0</v>
      </c>
      <c r="BE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IF(LEFT('2.LUC'!$K61,8)=LEFT(Matrix!BE$23,8), '2.LUC'!$P61, 0),0)</f>
        <v>0</v>
      </c>
      <c r="BF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IF(LEFT('2.LUC'!$K61,8)=LEFT(Matrix!BF$23,8), '2.LUC'!$P61, 0),0)</f>
        <v>0</v>
      </c>
      <c r="BG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IF(LEFT('2.LUC'!$K61,8)=LEFT(Matrix!BG$23,8), '2.LUC'!$P61, 0),0)</f>
        <v>0</v>
      </c>
      <c r="BH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IF(LEFT('2.LUC'!$K61,8)=LEFT(Matrix!BH$23,8), '2.LUC'!$P61, 0),0)</f>
        <v>0</v>
      </c>
      <c r="BI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IF(LEFT('2.LUC'!$K61,8)=LEFT(Matrix!BI$23,8), '2.LUC'!$P61, 0),0)</f>
        <v>0</v>
      </c>
      <c r="BJ24" s="973"/>
      <c r="BM24" s="973"/>
      <c r="BN24" s="1351"/>
      <c r="BO24" s="1356">
        <f>IF(LEFT('2.LUC'!$I61,8)=LEFT($BN$26,8),IF(LEFT('2.LUC'!$K61,8)=LEFT(BO$23,8), luc!$E41,0),0)</f>
        <v>0</v>
      </c>
      <c r="BP24" s="1356">
        <f>IF(LEFT('2.LUC'!$I61,8)=LEFT($BN$26,8),IF(LEFT('2.LUC'!$K61,8)=LEFT(BP$23,8), luc!$E41,0),0)</f>
        <v>0</v>
      </c>
      <c r="BQ24" s="1356">
        <f>IF(LEFT('2.LUC'!$I61,8)=LEFT($BN$26,8),IF(LEFT('2.LUC'!$K61,8)=LEFT(BQ$23,8), luc!$E41,0),0)</f>
        <v>0</v>
      </c>
      <c r="BR24" s="1360">
        <f>IF(LEFT('2.LUC'!$I61,8)=LEFT($BN$26,8),IF((OR(LEFT('2.LUC'!$K61,8)=LEFT(BR$23,8),LEFT('2.LUC'!$K61,8)=LEFT(AZ$3,8), 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0</v>
      </c>
      <c r="BS24" s="1360">
        <f>IF(LEFT('2.LUC'!$I61,8)=LEFT($BN$26,8),IF(LEFT('2.LUC'!$K61,8)=LEFT(BS$23,8), luc!$E41,0),0)</f>
        <v>0</v>
      </c>
      <c r="BT24" s="1356">
        <f>IF(LEFT('2.LUC'!$I61,8)=LEFT($BN$26,8),IF(LEFT('2.LUC'!$K61,8)=LEFT(BT$23,8), luc!$E41,0),0)</f>
        <v>0</v>
      </c>
      <c r="BU24" s="973"/>
      <c r="BX24" s="973"/>
      <c r="BY24" s="1359"/>
      <c r="BZ24" s="1360">
        <f>IF(LEFT('2.LUC'!$I61,8)=LEFT($BY$26,8),IF(LEFT('2.LUC'!$K61,8)=LEFT(BZ$23,8), luc!$E41,0),0)</f>
        <v>0</v>
      </c>
      <c r="CA24" s="1360">
        <f>IF(LEFT('2.LUC'!$I61,8)=LEFT($BY$26,8),IF(LEFT('2.LUC'!$K61,8)=LEFT(CA$23,8), luc!$E41,0),0)</f>
        <v>0</v>
      </c>
      <c r="CB24" s="1360">
        <f>IF(LEFT('2.LUC'!$I61,8)=LEFT($BY$26,8),IF(LEFT('2.LUC'!$K61,8)=LEFT(CB$23,8), luc!$E41,0),0)</f>
        <v>0</v>
      </c>
      <c r="CC24" s="1360">
        <f>IF(LEFT('2.LUC'!$I61,8)=LEFT($BY$26,8),IF((OR(LEFT('2.LUC'!$K61,8)=LEFT(CC$23,8),LEFT('2.LUC'!$K61,8)=LEFT(AZ$3,8), LEFT('2.LUC'!$K61,8)=LEFT(AZ$4,8),LEFT('2.LUC'!$K61,8)=LEFT(AZ$5,8),LEFT('2.LUC'!$K61,8)=LEFT(AZ$6,8),LEFT('2.LUC'!$K61,8)=LEFT(AZ$7,8),LEFT('2.LUC'!$K61,8)=LEFT(AZ$8,8),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0</v>
      </c>
      <c r="CD24" s="1360">
        <f>IF(LEFT('2.LUC'!$I61,8)=LEFT($BY$26,8),IF(LEFT('2.LUC'!$K61,8)=LEFT(CD$23,8), luc!$E41,0),0)</f>
        <v>0</v>
      </c>
      <c r="CE24" s="1356">
        <f>IF(LEFT('2.LUC'!$I61,8)=LEFT($BY$26,8),IF(LEFT('2.LUC'!$K61,8)=LEFT(CE$23,8), luc!$E41,0),0)</f>
        <v>0</v>
      </c>
      <c r="CF24" s="973"/>
      <c r="CI24" s="973"/>
      <c r="CJ24" s="1359"/>
      <c r="CK24" s="1360">
        <f>IF(LEFT('2.LUC'!$I61,8)=LEFT($CJ$26,8),IF(LEFT('2.LUC'!$K61,8)=LEFT(CK$23,8), luc!$E41,0),0)</f>
        <v>150</v>
      </c>
      <c r="CL24" s="1360">
        <f>IF(LEFT('2.LUC'!$I61,8)=LEFT($CJ$26,8),IF(LEFT('2.LUC'!$K61,8)=LEFT(CL$23,8), luc!$E41,0),0)</f>
        <v>0</v>
      </c>
      <c r="CM24" s="1360">
        <f>IF(LEFT('2.LUC'!$I61,8)=LEFT($CJ$26,8),IF(LEFT('2.LUC'!$K61,8)=LEFT(CM$23,8), luc!$E41,0),0)</f>
        <v>0</v>
      </c>
      <c r="CN24" s="1356">
        <f>IF(LEFT('2.LUC'!$I61,8)=LEFT($CJ$26,8),IF((OR(LEFT('2.LUC'!$K61,8)=LEFT(CN$23,8)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0</v>
      </c>
      <c r="CO24" s="1361">
        <f>IF(LEFT('2.LUC'!$I61,8)=LEFT($CJ$26,8),IF(LEFT('2.LUC'!$K61,8)=LEFT(CO$23,8), luc!$E41,0),0)</f>
        <v>0</v>
      </c>
      <c r="CP24" s="1356">
        <f>IF(LEFT('2.LUC'!$I61,8)=LEFT($CJ$26,8),IF(LEFT('2.LUC'!$K61,8)=LEFT(CP$23,8), luc!$E41,0),0)</f>
        <v>0</v>
      </c>
      <c r="CQ24" s="973"/>
      <c r="CT24" s="973"/>
      <c r="CU24" s="1359"/>
      <c r="CV24" s="1360">
        <f>IF(LEFT('2.LUC'!$I61,8)=LEFT($CU$26,8),IF(LEFT('2.LUC'!$K61,8)=LEFT(CV$23,8), luc!$E41,0),0)</f>
        <v>0</v>
      </c>
      <c r="CW24" s="1360">
        <f>IF(LEFT('2.LUC'!$I61,8)=LEFT($CU$26,8),IF(LEFT('2.LUC'!$K61,8)=LEFT(CW$23,8), luc!$E41,0),0)</f>
        <v>0</v>
      </c>
      <c r="CX24" s="1360">
        <f>IF(LEFT('2.LUC'!$I61,8)=LEFT($CU$26,8),IF(LEFT('2.LUC'!$K61,8)=LEFT(CX$23,8), luc!$E41,0),0)</f>
        <v>0</v>
      </c>
      <c r="CY24" s="1356">
        <f>IF(LEFT('2.LUC'!$I61,8)=LEFT($CU$26,8),IF((OR(LEFT('2.LUC'!$K61,8)=LEFT(CY$23,8)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0</v>
      </c>
      <c r="CZ24" s="1361">
        <f>IF(LEFT('2.LUC'!$I61,8)=LEFT($CU$26,8),IF(LEFT('2.LUC'!$K61,8)=LEFT(CZ$23,8), luc!$E41,0),0)</f>
        <v>0</v>
      </c>
      <c r="DA24" s="1356">
        <f>IF(LEFT('2.LUC'!$I61,8)=LEFT($CU$26,8),IF(LEFT('2.LUC'!$K61,8)=LEFT(DA$23,8), luc!$E41,0),0)</f>
        <v>0</v>
      </c>
      <c r="DB24" s="973"/>
      <c r="DD24" s="973"/>
      <c r="DE24" s="973"/>
      <c r="DF24" s="1359"/>
      <c r="DG24" s="1360">
        <f>IF(LEFT('2.LUC'!$I61,8)=LEFT($DF$26,8),IF(LEFT('2.LUC'!$K61,8)=LEFT(DG$23,8), luc!$E41,0),0)</f>
        <v>0</v>
      </c>
      <c r="DH24" s="1360">
        <f>IF(LEFT('2.LUC'!$I61,8)=LEFT($DF$26,8),IF(LEFT('2.LUC'!$K61,8)=LEFT(DH$23,8), luc!$E41,0),0)</f>
        <v>0</v>
      </c>
      <c r="DI24" s="1360">
        <f>IF(LEFT('2.LUC'!$I61,8)=LEFT($DF$26,8),IF(LEFT('2.LUC'!$K61,8)=LEFT(DI$23,8), luc!$E41,0),0)</f>
        <v>0</v>
      </c>
      <c r="DJ24" s="1356">
        <f>IF(LEFT('2.LUC'!$I61,8)=LEFT($DF$26,8),IF((OR(LEFT('2.LUC'!$K61,8)=LEFT(DJ$23,8)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0</v>
      </c>
      <c r="DK24" s="1361">
        <f>IF(LEFT('2.LUC'!$I61,8)=LEFT($DF$26,8),IF(LEFT('2.LUC'!$K61,8)=LEFT(DK$23,8), luc!$E41,0),0)</f>
        <v>0</v>
      </c>
      <c r="DL24" s="1356">
        <f>IF(LEFT('2.LUC'!$I61,8)=LEFT($DF$26,8),IF(LEFT('2.LUC'!$K61,8)=LEFT(DL$23,8), luc!$E41,0),0)</f>
        <v>0</v>
      </c>
    </row>
    <row r="25" spans="2:116" x14ac:dyDescent="0.15">
      <c r="D25" s="973"/>
      <c r="F25" s="1354"/>
      <c r="G25" s="1388" t="s">
        <v>2949</v>
      </c>
      <c r="H25" s="1351" t="s">
        <v>3171</v>
      </c>
      <c r="I25" s="3130">
        <f>$AH$32</f>
        <v>0</v>
      </c>
      <c r="J25" s="1438">
        <f>annual!$G$48+annual!$G$37+annual!$G$35</f>
        <v>150</v>
      </c>
      <c r="K25" s="3129">
        <f>$AX$34</f>
        <v>0</v>
      </c>
      <c r="L25" s="3129">
        <f>$AU$34</f>
        <v>0</v>
      </c>
      <c r="M25" s="3129">
        <f>$AV$34</f>
        <v>0</v>
      </c>
      <c r="N25" s="3129">
        <f>$AT$34</f>
        <v>0</v>
      </c>
      <c r="O25" s="3129">
        <f>$AW$34+$AS$34</f>
        <v>0</v>
      </c>
      <c r="P25" s="3129">
        <f t="shared" si="11"/>
        <v>150</v>
      </c>
      <c r="S25" s="1168"/>
      <c r="T25" s="1688"/>
      <c r="U25" s="1420">
        <f>IF('2.LUC'!$I12 = U$23, 1,0)* defo!$H36</f>
        <v>0</v>
      </c>
      <c r="V25" s="1421">
        <f>IF('2.LUC'!$I12 = V$23, 1,0)* defo!$H36</f>
        <v>0</v>
      </c>
      <c r="W25" s="1421">
        <f>IF('2.LUC'!$I12 = W$23, 1,0)* defo!$H36</f>
        <v>0</v>
      </c>
      <c r="X25" s="1421">
        <f>IF('2.LUC'!$I12 = X$23, 1,0)* defo!$H36</f>
        <v>0</v>
      </c>
      <c r="Y25" s="1421">
        <f>IF('2.LUC'!$I12 = Y$23, 1,0)* defo!$H36</f>
        <v>0</v>
      </c>
      <c r="Z25" s="1421">
        <f>IF('2.LUC'!$I12 = Z$23, 1,0)* defo!$H36</f>
        <v>0</v>
      </c>
      <c r="AA25" s="1422">
        <f>IF('2.LUC'!$I12 = AA$23, 1,0)* defo!$H36</f>
        <v>0</v>
      </c>
      <c r="AB25" s="973"/>
      <c r="AE25" s="1168"/>
      <c r="AF25" s="1414"/>
      <c r="AG25" s="1420">
        <f>IF(AG$23 = '2.LUC'!$I37, '2.LUC'!$P37, 0)</f>
        <v>0</v>
      </c>
      <c r="AH25" s="1421">
        <f>IF(AH$23='2.LUC'!$I37, '2.LUC'!$P37,0)</f>
        <v>0</v>
      </c>
      <c r="AI25" s="1421">
        <f>IF(AI$23='2.LUC'!$I37, '2.LUC'!$P37, 0)</f>
        <v>0</v>
      </c>
      <c r="AJ25" s="1421">
        <f>IF(AJ$23='2.LUC'!$I37, '2.LUC'!$P37, 0)</f>
        <v>0</v>
      </c>
      <c r="AK25" s="1421">
        <f>IF(AK$23='2.LUC'!$I37, '2.LUC'!$P37, 0)</f>
        <v>0</v>
      </c>
      <c r="AL25" s="1421">
        <f>IF(AL$23 = '2.LUC'!$I37, '2.LUC'!$P37, 0)</f>
        <v>0</v>
      </c>
      <c r="AM25" s="1422">
        <f>IF(AM$23 = '2.LUC'!$I37, '2.LUC'!$P37, 0)</f>
        <v>0</v>
      </c>
      <c r="AN25" s="973"/>
      <c r="AQ25" s="973"/>
      <c r="AR25" s="1362" t="s">
        <v>199</v>
      </c>
      <c r="AS25" s="1357">
        <f>IF(LEFT('2.LUC'!$I62,8)=LEFT($AR$26,8),IF(LEFT('2.LUC'!$K62,8)=LEFT(AS$23,8), luc!$E42,0),0)</f>
        <v>0</v>
      </c>
      <c r="AT25" s="1354">
        <f>IF(LEFT('2.LUC'!$I62,8)=LEFT($AR$26,8),IF(LEFT('2.LUC'!$K62,8)=LEFT(AT$23,8), luc!$E42,0),0)</f>
        <v>0</v>
      </c>
      <c r="AU25" s="1354">
        <f>IF(LEFT('2.LUC'!$I62,8)=LEFT($AR$26,8),IF(LEFT('2.LUC'!$K62,8)=LEFT(AU$23,8), luc!$E42,0),0)</f>
        <v>0</v>
      </c>
      <c r="AV25" s="1354">
        <f>IF(LEFT('2.LUC'!$I62,8)=LEFT($AR$26,8),IF(LEFT('2.LUC'!$K62,8)=LEFT(AV$23,8), luc!$E42,0),0)</f>
        <v>0</v>
      </c>
      <c r="AW25" s="1354">
        <f>IF(LEFT('2.LUC'!$I62,8)=LEFT($AR$26,8),IF(LEFT('2.LUC'!$K62,8)=LEFT(AW$23,8), luc!$E42,0),0)</f>
        <v>0</v>
      </c>
      <c r="AX25" s="1354">
        <f>IF(LEFT('2.LUC'!$I62,8)=LEFT($AR$26,8),IF((OR(LEFT('2.LUC'!$K62,8)=LEFT(AX$23,8)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LEFT('2.LUC'!$K62,8)=LEFT(AZ$17,8))),luc!$E42,0),0)</f>
        <v>0</v>
      </c>
      <c r="AZ25" s="1345" t="s">
        <v>1497</v>
      </c>
      <c r="BB25" s="973"/>
      <c r="BC25" s="1362" t="s">
        <v>199</v>
      </c>
      <c r="BD25" s="1357">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IF(LEFT('2.LUC'!$K62,8)=LEFT(Matrix!BD$23,8), '2.LUC'!$P62, 0),0)</f>
        <v>0</v>
      </c>
      <c r="BE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IF(LEFT('2.LUC'!$K62,8)=LEFT(Matrix!BE$23,8), '2.LUC'!$P62, 0),0)</f>
        <v>0</v>
      </c>
      <c r="BF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IF(LEFT('2.LUC'!$K62,8)=LEFT(Matrix!BF$23,8), '2.LUC'!$P62, 0),0)</f>
        <v>0</v>
      </c>
      <c r="BG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IF(LEFT('2.LUC'!$K62,8)=LEFT(Matrix!BG$23,8), '2.LUC'!$P62, 0),0)</f>
        <v>0</v>
      </c>
      <c r="BH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IF(LEFT('2.LUC'!$K62,8)=LEFT(Matrix!BH$23,8), '2.LUC'!$P62, 0),0)</f>
        <v>0</v>
      </c>
      <c r="BI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IF(LEFT('2.LUC'!$K62,8)=LEFT(Matrix!BI$23,8), '2.LUC'!$P62, 0),0)</f>
        <v>0</v>
      </c>
      <c r="BJ25" s="973"/>
      <c r="BM25" s="973"/>
      <c r="BN25" s="1362" t="s">
        <v>199</v>
      </c>
      <c r="BO25" s="1354">
        <f>IF(LEFT('2.LUC'!$I62,8)=LEFT($BN$26,8),IF(LEFT('2.LUC'!$K62,8)=LEFT(BO$23,8), luc!$E42,0),0)</f>
        <v>0</v>
      </c>
      <c r="BP25" s="1354">
        <f>IF(LEFT('2.LUC'!$I62,8)=LEFT($BN$26,8),IF(LEFT('2.LUC'!$K62,8)=LEFT(BP$23,8), luc!$E42,0),0)</f>
        <v>0</v>
      </c>
      <c r="BQ25" s="1354">
        <f>IF(LEFT('2.LUC'!$I62,8)=LEFT($BN$26,8),IF(LEFT('2.LUC'!$K62,8)=LEFT(BQ$23,8), luc!$E42,0),0)</f>
        <v>0</v>
      </c>
      <c r="BR25" s="1355">
        <f>IF(LEFT('2.LUC'!$I62,8)=LEFT($BN$26,8),IF((OR(LEFT('2.LUC'!$K62,8)=LEFT(BR$23,8),LEFT('2.LUC'!$K62,8)=LEFT(AZ$3,8), 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0</v>
      </c>
      <c r="BS25" s="1355">
        <f>IF(LEFT('2.LUC'!$I62,8)=LEFT($BN$26,8),IF(LEFT('2.LUC'!$K62,8)=LEFT(BS$23,8), luc!$E42,0),0)</f>
        <v>0</v>
      </c>
      <c r="BT25" s="1354">
        <f>IF(LEFT('2.LUC'!$I62,8)=LEFT($BN$26,8),IF(LEFT('2.LUC'!$K62,8)=LEFT(BT$23,8), luc!$E42,0),0)</f>
        <v>0</v>
      </c>
      <c r="BU25" s="973"/>
      <c r="BX25" s="973"/>
      <c r="BY25" s="1365" t="s">
        <v>199</v>
      </c>
      <c r="BZ25" s="1355">
        <f>IF(LEFT('2.LUC'!$I62,8)=LEFT($BY$26,8),IF(LEFT('2.LUC'!$K62,8)=LEFT(BZ$23,8), luc!$E42,0),0)</f>
        <v>0</v>
      </c>
      <c r="CA25" s="1355">
        <f>IF(LEFT('2.LUC'!$I62,8)=LEFT($BY$26,8),IF(LEFT('2.LUC'!$K62,8)=LEFT(CA$23,8), luc!$E42,0),0)</f>
        <v>0</v>
      </c>
      <c r="CB25" s="1355">
        <f>IF(LEFT('2.LUC'!$I62,8)=LEFT($BY$26,8),IF(LEFT('2.LUC'!$K62,8)=LEFT(CB$23,8), luc!$E42,0),0)</f>
        <v>0</v>
      </c>
      <c r="CC25" s="1355">
        <f>IF(LEFT('2.LUC'!$I62,8)=LEFT($BY$26,8),IF((OR(LEFT('2.LUC'!$K62,8)=LEFT(CC$23,8),LEFT('2.LUC'!$K62,8)=LEFT(AZ$3,8), LEFT('2.LUC'!$K62,8)=LEFT(AZ$4,8),LEFT('2.LUC'!$K62,8)=LEFT(AZ$5,8),LEFT('2.LUC'!$K62,8)=LEFT(AZ$6,8),LEFT('2.LUC'!$K62,8)=LEFT(AZ$7,8),LEFT('2.LUC'!$K62,8)=LEFT(AZ$8,8),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0</v>
      </c>
      <c r="CD25" s="1355">
        <f>IF(LEFT('2.LUC'!$I62,8)=LEFT($BY$26,8),IF(LEFT('2.LUC'!$K62,8)=LEFT(CD$23,8), luc!$E42,0),0)</f>
        <v>0</v>
      </c>
      <c r="CE25" s="1354">
        <f>IF(LEFT('2.LUC'!$I62,8)=LEFT($BY$26,8),IF(LEFT('2.LUC'!$K62,8)=LEFT(CE$23,8), luc!$E42,0),0)</f>
        <v>0</v>
      </c>
      <c r="CF25" s="973"/>
      <c r="CI25" s="973"/>
      <c r="CJ25" s="1365" t="s">
        <v>199</v>
      </c>
      <c r="CK25" s="1355">
        <f>IF(LEFT('2.LUC'!$I62,8)=LEFT($CJ$26,8),IF(LEFT('2.LUC'!$K62,8)=LEFT(CK$23,8), luc!$E42,0),0)</f>
        <v>0</v>
      </c>
      <c r="CL25" s="1355">
        <f>IF(LEFT('2.LUC'!$I62,8)=LEFT($CJ$26,8),IF(LEFT('2.LUC'!$K62,8)=LEFT(CL$23,8), luc!$E42,0),0)</f>
        <v>0</v>
      </c>
      <c r="CM25" s="1355">
        <f>IF(LEFT('2.LUC'!$I62,8)=LEFT($CJ$26,8),IF(LEFT('2.LUC'!$K62,8)=LEFT(CM$23,8), luc!$E42,0),0)</f>
        <v>0</v>
      </c>
      <c r="CN25" s="1354">
        <f>IF(LEFT('2.LUC'!$I62,8)=LEFT($CJ$26,8),IF((OR(LEFT('2.LUC'!$K62,8)=LEFT(CN$23,8)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0</v>
      </c>
      <c r="CO25" s="1104">
        <f>IF(LEFT('2.LUC'!$I62,8)=LEFT($CJ$26,8),IF(LEFT('2.LUC'!$K62,8)=LEFT(CO$23,8), luc!$E42,0),0)</f>
        <v>0</v>
      </c>
      <c r="CP25" s="1354">
        <f>IF(LEFT('2.LUC'!$I62,8)=LEFT($CJ$26,8),IF(LEFT('2.LUC'!$K62,8)=LEFT(CP$23,8), luc!$E42,0),0)</f>
        <v>0</v>
      </c>
      <c r="CQ25" s="973"/>
      <c r="CT25" s="973"/>
      <c r="CU25" s="1365" t="s">
        <v>199</v>
      </c>
      <c r="CV25" s="1355">
        <f>IF(LEFT('2.LUC'!$I62,8)=LEFT($CU$26,8),IF(LEFT('2.LUC'!$K62,8)=LEFT(CV$23,8), luc!$E42,0),0)</f>
        <v>0</v>
      </c>
      <c r="CW25" s="1355">
        <f>IF(LEFT('2.LUC'!$I62,8)=LEFT($CU$26,8),IF(LEFT('2.LUC'!$K62,8)=LEFT(CW$23,8), luc!$E42,0),0)</f>
        <v>0</v>
      </c>
      <c r="CX25" s="1355">
        <f>IF(LEFT('2.LUC'!$I62,8)=LEFT($CU$26,8),IF(LEFT('2.LUC'!$K62,8)=LEFT(CX$23,8), luc!$E42,0),0)</f>
        <v>0</v>
      </c>
      <c r="CY25" s="1354">
        <f>IF(LEFT('2.LUC'!$I62,8)=LEFT($CU$26,8),IF((OR(LEFT('2.LUC'!$K62,8)=LEFT(CY$23,8)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0</v>
      </c>
      <c r="CZ25" s="1104">
        <f>IF(LEFT('2.LUC'!$I62,8)=LEFT($CU$26,8),IF(LEFT('2.LUC'!$K62,8)=LEFT(CZ$23,8), luc!$E42,0),0)</f>
        <v>0</v>
      </c>
      <c r="DA25" s="1354">
        <f>IF(LEFT('2.LUC'!$I62,8)=LEFT($CU$26,8),IF(LEFT('2.LUC'!$K62,8)=LEFT(DA$23,8), luc!$E42,0),0)</f>
        <v>0</v>
      </c>
      <c r="DB25" s="973"/>
      <c r="DD25" s="973"/>
      <c r="DE25" s="973"/>
      <c r="DF25" s="1365" t="s">
        <v>199</v>
      </c>
      <c r="DG25" s="1355">
        <f>IF(LEFT('2.LUC'!$I62,8)=LEFT($DF$26,8),IF(LEFT('2.LUC'!$K62,8)=LEFT(DG$23,8), luc!$E42,0),0)</f>
        <v>0</v>
      </c>
      <c r="DH25" s="1355">
        <f>IF(LEFT('2.LUC'!$I62,8)=LEFT($DF$26,8),IF(LEFT('2.LUC'!$K62,8)=LEFT(DH$23,8), luc!$E42,0),0)</f>
        <v>0</v>
      </c>
      <c r="DI25" s="1355">
        <f>IF(LEFT('2.LUC'!$I62,8)=LEFT($DF$26,8),IF(LEFT('2.LUC'!$K62,8)=LEFT(DI$23,8), luc!$E42,0),0)</f>
        <v>0</v>
      </c>
      <c r="DJ25" s="1354">
        <f>IF(LEFT('2.LUC'!$I62,8)=LEFT($DF$26,8),IF((OR(LEFT('2.LUC'!$K62,8)=LEFT(DJ$23,8)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0</v>
      </c>
      <c r="DK25" s="1104">
        <f>IF(LEFT('2.LUC'!$I62,8)=LEFT($DF$26,8),IF(LEFT('2.LUC'!$K62,8)=LEFT(DK$23,8), luc!$E42,0),0)</f>
        <v>0</v>
      </c>
      <c r="DL25" s="1354">
        <f>IF(LEFT('2.LUC'!$I62,8)=LEFT($DF$26,8),IF(LEFT('2.LUC'!$K62,8)=LEFT(DL$23,8), luc!$E42,0),0)</f>
        <v>0</v>
      </c>
    </row>
    <row r="26" spans="2:116" ht="18" x14ac:dyDescent="0.2">
      <c r="D26" s="973"/>
      <c r="F26" s="1436" t="s">
        <v>199</v>
      </c>
      <c r="G26" s="1389"/>
      <c r="H26" s="1390" t="s">
        <v>1588</v>
      </c>
      <c r="I26" s="3130">
        <f>$AG$32</f>
        <v>0</v>
      </c>
      <c r="J26" s="3129">
        <f>$BD$34</f>
        <v>0</v>
      </c>
      <c r="K26" s="1438">
        <f>perennial!F67+perennial!F46+perennial!F44</f>
        <v>88</v>
      </c>
      <c r="L26" s="3129">
        <f>$BG$34</f>
        <v>0</v>
      </c>
      <c r="M26" s="3129">
        <f>$BH$34</f>
        <v>0</v>
      </c>
      <c r="N26" s="3129">
        <f>$BF$34</f>
        <v>0</v>
      </c>
      <c r="O26" s="3129">
        <f>$BI$34+$BE$34</f>
        <v>0</v>
      </c>
      <c r="P26" s="3129">
        <f t="shared" si="11"/>
        <v>88</v>
      </c>
      <c r="S26" s="1418"/>
      <c r="T26" s="1688" t="s">
        <v>199</v>
      </c>
      <c r="U26" s="1420">
        <f>IF('2.LUC'!$I13 = U$23, 1,0)* defo!$H37</f>
        <v>0</v>
      </c>
      <c r="V26" s="1421">
        <f>IF('2.LUC'!$I13 = V$23, 1,0)* defo!$H37</f>
        <v>0</v>
      </c>
      <c r="W26" s="1421">
        <f>IF('2.LUC'!$I13 = W$23, 1,0)* defo!$H37</f>
        <v>0</v>
      </c>
      <c r="X26" s="1421">
        <f>IF('2.LUC'!$I13 = X$23, 1,0)* defo!$H37</f>
        <v>0</v>
      </c>
      <c r="Y26" s="1421">
        <f>IF('2.LUC'!$I13 = Y$23, 1,0)* defo!$H37</f>
        <v>0</v>
      </c>
      <c r="Z26" s="1421">
        <f>IF('2.LUC'!$I13 = Z$23, 1,0)* defo!$H37</f>
        <v>0</v>
      </c>
      <c r="AA26" s="1422">
        <f>IF('2.LUC'!$I13 = AA$23, 1,0)* defo!$H37</f>
        <v>0</v>
      </c>
      <c r="AB26" s="973"/>
      <c r="AE26" s="1418"/>
      <c r="AF26" s="1414" t="s">
        <v>199</v>
      </c>
      <c r="AG26" s="1420">
        <f>IF(AG$23 = '2.LUC'!$I38, '2.LUC'!$P38, 0)</f>
        <v>0</v>
      </c>
      <c r="AH26" s="1421">
        <f>IF(AH$23='2.LUC'!$I38, '2.LUC'!$P38,0)</f>
        <v>0</v>
      </c>
      <c r="AI26" s="1421">
        <f>IF(AI$23='2.LUC'!$I38, '2.LUC'!$P38, 0)</f>
        <v>0</v>
      </c>
      <c r="AJ26" s="1421">
        <f>IF(AJ$23='2.LUC'!$I38, '2.LUC'!$P38, 0)</f>
        <v>0</v>
      </c>
      <c r="AK26" s="1421">
        <f>IF(AK$23='2.LUC'!$I38, '2.LUC'!$P38, 0)</f>
        <v>0</v>
      </c>
      <c r="AL26" s="1421">
        <f>IF(AL$23 = '2.LUC'!$I38, '2.LUC'!$P38, 0)</f>
        <v>0</v>
      </c>
      <c r="AM26" s="1422">
        <f>IF(AM$23 = '2.LUC'!$I38, '2.LUC'!$P38, 0)</f>
        <v>0</v>
      </c>
      <c r="AN26" s="973"/>
      <c r="AQ26" s="973"/>
      <c r="AR26" s="1354" t="s">
        <v>1382</v>
      </c>
      <c r="AS26" s="1357">
        <f>IF(LEFT('2.LUC'!$I63,8)=LEFT($AR$26,8),IF(LEFT('2.LUC'!$K63,8)=LEFT(AS$23,8), luc!$E43,0),0)</f>
        <v>0</v>
      </c>
      <c r="AT26" s="1354">
        <f>IF(LEFT('2.LUC'!$I63,8)=LEFT($AR$26,8),IF(LEFT('2.LUC'!$K63,8)=LEFT(AT$23,8), luc!$E43,0),0)</f>
        <v>0</v>
      </c>
      <c r="AU26" s="1354">
        <f>IF(LEFT('2.LUC'!$I63,8)=LEFT($AR$26,8),IF(LEFT('2.LUC'!$K63,8)=LEFT(AU$23,8), luc!$E43,0),0)</f>
        <v>0</v>
      </c>
      <c r="AV26" s="1354">
        <f>IF(LEFT('2.LUC'!$I63,8)=LEFT($AR$26,8),IF(LEFT('2.LUC'!$K63,8)=LEFT(AV$23,8), luc!$E43,0),0)</f>
        <v>0</v>
      </c>
      <c r="AW26" s="1354">
        <f>IF(LEFT('2.LUC'!$I63,8)=LEFT($AR$26,8),IF(LEFT('2.LUC'!$K63,8)=LEFT(AW$23,8), luc!$E43,0),0)</f>
        <v>0</v>
      </c>
      <c r="AX26" s="1354">
        <f>IF(LEFT('2.LUC'!$I63,8)=LEFT($AR$26,8),IF((OR(LEFT('2.LUC'!$K63,8)=LEFT(AX$23,8)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LEFT('2.LUC'!$K63,8)=LEFT(AZ$17,8))),luc!$E43,0),0)</f>
        <v>0</v>
      </c>
      <c r="AZ26" s="1345" t="s">
        <v>1499</v>
      </c>
      <c r="BB26" s="973"/>
      <c r="BC26" s="1354" t="s">
        <v>1588</v>
      </c>
      <c r="BD26" s="1357">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IF(LEFT('2.LUC'!$K63,8)=LEFT(Matrix!BD$23,8), '2.LUC'!$P63, 0),0)</f>
        <v>0</v>
      </c>
      <c r="BE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IF(LEFT('2.LUC'!$K63,8)=LEFT(Matrix!BE$23,8), '2.LUC'!$P63, 0),0)</f>
        <v>0</v>
      </c>
      <c r="BF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IF(LEFT('2.LUC'!$K63,8)=LEFT(Matrix!BF$23,8), '2.LUC'!$P63, 0),0)</f>
        <v>0</v>
      </c>
      <c r="BG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IF(LEFT('2.LUC'!$K63,8)=LEFT(Matrix!BG$23,8), '2.LUC'!$P63, 0),0)</f>
        <v>0</v>
      </c>
      <c r="BH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IF(LEFT('2.LUC'!$K63,8)=LEFT(Matrix!BH$23,8), '2.LUC'!$P63, 0),0)</f>
        <v>0</v>
      </c>
      <c r="BI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IF(LEFT('2.LUC'!$K63,8)=LEFT(Matrix!BI$23,8), '2.LUC'!$P63, 0),0)</f>
        <v>0</v>
      </c>
      <c r="BJ26" s="973"/>
      <c r="BM26" s="973"/>
      <c r="BN26" s="1354" t="s">
        <v>1384</v>
      </c>
      <c r="BO26" s="1354">
        <f>IF(LEFT('2.LUC'!$I63,8)=LEFT($BN$26,8),IF(LEFT('2.LUC'!$K63,8)=LEFT(BO$23,8), luc!$E43,0),0)</f>
        <v>0</v>
      </c>
      <c r="BP26" s="1354">
        <f>IF(LEFT('2.LUC'!$I63,8)=LEFT($BN$26,8),IF(LEFT('2.LUC'!$K63,8)=LEFT(BP$23,8), luc!$E43,0),0)</f>
        <v>0</v>
      </c>
      <c r="BQ26" s="1354">
        <f>IF(LEFT('2.LUC'!$I63,8)=LEFT($BN$26,8),IF(LEFT('2.LUC'!$K63,8)=LEFT(BQ$23,8), luc!$E43,0),0)</f>
        <v>0</v>
      </c>
      <c r="BR26" s="1355">
        <f>IF(LEFT('2.LUC'!$I63,8)=LEFT($BN$26,8),IF((OR(LEFT('2.LUC'!$K63,8)=LEFT(BR$23,8),LEFT('2.LUC'!$K63,8)=LEFT(AZ$3,8), 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0</v>
      </c>
      <c r="BS26" s="1355">
        <f>IF(LEFT('2.LUC'!$I63,8)=LEFT($BN$26,8),IF(LEFT('2.LUC'!$K63,8)=LEFT(BS$23,8), luc!$E43,0),0)</f>
        <v>0</v>
      </c>
      <c r="BT26" s="1354">
        <f>IF(LEFT('2.LUC'!$I63,8)=LEFT($BN$26,8),IF(LEFT('2.LUC'!$K63,8)=LEFT(BT$23,8), luc!$E43,0),0)</f>
        <v>0</v>
      </c>
      <c r="BU26" s="973"/>
      <c r="BX26" s="973"/>
      <c r="BY26" s="1355" t="s">
        <v>1590</v>
      </c>
      <c r="BZ26" s="1355">
        <f>IF(LEFT('2.LUC'!$I63,8)=LEFT($BY$26,8),IF(LEFT('2.LUC'!$K63,8)=LEFT(BZ$23,8), luc!$E43,0),0)</f>
        <v>0</v>
      </c>
      <c r="CA26" s="1355">
        <f>IF(LEFT('2.LUC'!$I63,8)=LEFT($BY$26,8),IF(LEFT('2.LUC'!$K63,8)=LEFT(CA$23,8), luc!$E43,0),0)</f>
        <v>0</v>
      </c>
      <c r="CB26" s="1355">
        <f>IF(LEFT('2.LUC'!$I63,8)=LEFT($BY$26,8),IF(LEFT('2.LUC'!$K63,8)=LEFT(CB$23,8), luc!$E43,0),0)</f>
        <v>0</v>
      </c>
      <c r="CC26" s="1355">
        <f>IF(LEFT('2.LUC'!$I63,8)=LEFT($BY$26,8),IF((OR(LEFT('2.LUC'!$K63,8)=LEFT(CC$23,8),LEFT('2.LUC'!$K63,8)=LEFT(AZ$3,8), LEFT('2.LUC'!$K63,8)=LEFT(AZ$4,8),LEFT('2.LUC'!$K63,8)=LEFT(AZ$5,8),LEFT('2.LUC'!$K63,8)=LEFT(AZ$6,8),LEFT('2.LUC'!$K63,8)=LEFT(AZ$7,8),LEFT('2.LUC'!$K63,8)=LEFT(AZ$8,8),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0</v>
      </c>
      <c r="CD26" s="1355">
        <f>IF(LEFT('2.LUC'!$I63,8)=LEFT($BY$26,8),IF(LEFT('2.LUC'!$K63,8)=LEFT(CD$23,8), luc!$E43,0),0)</f>
        <v>0</v>
      </c>
      <c r="CE26" s="1354">
        <f>IF(LEFT('2.LUC'!$I63,8)=LEFT($BY$26,8),IF(LEFT('2.LUC'!$K63,8)=LEFT(CE$23,8), luc!$E43,0),0)</f>
        <v>0</v>
      </c>
      <c r="CF26" s="973"/>
      <c r="CI26" s="973"/>
      <c r="CJ26" s="1355" t="s">
        <v>1396</v>
      </c>
      <c r="CK26" s="1355">
        <f>IF(LEFT('2.LUC'!$I63,8)=LEFT($CJ$26,8),IF(LEFT('2.LUC'!$K63,8)=LEFT(CK$23,8), luc!$E43,0),0)</f>
        <v>0</v>
      </c>
      <c r="CL26" s="1355">
        <f>IF(LEFT('2.LUC'!$I63,8)=LEFT($CJ$26,8),IF(LEFT('2.LUC'!$K63,8)=LEFT(CL$23,8), luc!$E43,0),0)</f>
        <v>0</v>
      </c>
      <c r="CM26" s="1355">
        <f>IF(LEFT('2.LUC'!$I63,8)=LEFT($CJ$26,8),IF(LEFT('2.LUC'!$K63,8)=LEFT(CM$23,8), luc!$E43,0),0)</f>
        <v>0</v>
      </c>
      <c r="CN26" s="1354">
        <f>IF(LEFT('2.LUC'!$I63,8)=LEFT($CJ$26,8),IF((OR(LEFT('2.LUC'!$K63,8)=LEFT(CN$23,8)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0</v>
      </c>
      <c r="CO26" s="1104">
        <f>IF(LEFT('2.LUC'!$I63,8)=LEFT($CJ$26,8),IF(LEFT('2.LUC'!$K63,8)=LEFT(CO$23,8), luc!$E43,0),0)</f>
        <v>0</v>
      </c>
      <c r="CP26" s="1354">
        <f>IF(LEFT('2.LUC'!$I63,8)=LEFT($CJ$26,8),IF(LEFT('2.LUC'!$K63,8)=LEFT(CP$23,8), luc!$E43,0),0)</f>
        <v>0</v>
      </c>
      <c r="CQ26" s="973"/>
      <c r="CT26" s="973"/>
      <c r="CU26" s="1355" t="s">
        <v>1592</v>
      </c>
      <c r="CV26" s="1355">
        <f>IF(LEFT('2.LUC'!$I63,8)=LEFT($CU$26,8),IF(LEFT('2.LUC'!$K63,8)=LEFT(CV$23,8), luc!$E43,0),0)</f>
        <v>0</v>
      </c>
      <c r="CW26" s="1355">
        <f>IF(LEFT('2.LUC'!$I63,8)=LEFT($CU$26,8),IF(LEFT('2.LUC'!$K63,8)=LEFT(CW$23,8), luc!$E43,0),0)</f>
        <v>0</v>
      </c>
      <c r="CX26" s="1355">
        <f>IF(LEFT('2.LUC'!$I63,8)=LEFT($CU$26,8),IF(LEFT('2.LUC'!$K63,8)=LEFT(CX$23,8), luc!$E43,0),0)</f>
        <v>0</v>
      </c>
      <c r="CY26" s="1354">
        <f>IF(LEFT('2.LUC'!$I63,8)=LEFT($CU$26,8),IF((OR(LEFT('2.LUC'!$K63,8)=LEFT(CY$23,8)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0</v>
      </c>
      <c r="CZ26" s="1104">
        <f>IF(LEFT('2.LUC'!$I63,8)=LEFT($CU$26,8),IF(LEFT('2.LUC'!$K63,8)=LEFT(CZ$23,8), luc!$E43,0),0)</f>
        <v>0</v>
      </c>
      <c r="DA26" s="1354">
        <f>IF(LEFT('2.LUC'!$I63,8)=LEFT($CU$26,8),IF(LEFT('2.LUC'!$K63,8)=LEFT(DA$23,8), luc!$E43,0),0)</f>
        <v>0</v>
      </c>
      <c r="DB26" s="973"/>
      <c r="DD26" s="973"/>
      <c r="DE26" s="973"/>
      <c r="DF26" s="1355" t="s">
        <v>1401</v>
      </c>
      <c r="DG26" s="1355">
        <f>IF(LEFT('2.LUC'!$I63,8)=LEFT($DF$26,8),IF(LEFT('2.LUC'!$K63,8)=LEFT(DG$23,8), luc!$E43,0),0)</f>
        <v>0</v>
      </c>
      <c r="DH26" s="1355">
        <f>IF(LEFT('2.LUC'!$I63,8)=LEFT($DF$26,8),IF(LEFT('2.LUC'!$K63,8)=LEFT(DH$23,8), luc!$E43,0),0)</f>
        <v>0</v>
      </c>
      <c r="DI26" s="1355">
        <f>IF(LEFT('2.LUC'!$I63,8)=LEFT($DF$26,8),IF(LEFT('2.LUC'!$K63,8)=LEFT(DI$23,8), luc!$E43,0),0)</f>
        <v>0</v>
      </c>
      <c r="DJ26" s="1354">
        <f>IF(LEFT('2.LUC'!$I63,8)=LEFT($DF$26,8),IF((OR(LEFT('2.LUC'!$K63,8)=LEFT(DJ$23,8)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0</v>
      </c>
      <c r="DK26" s="1104">
        <f>IF(LEFT('2.LUC'!$I63,8)=LEFT($DF$26,8),IF(LEFT('2.LUC'!$K63,8)=LEFT(DK$23,8), luc!$E43,0),0)</f>
        <v>0</v>
      </c>
      <c r="DL26" s="1354">
        <f>IF(LEFT('2.LUC'!$I63,8)=LEFT($DF$26,8),IF(LEFT('2.LUC'!$K63,8)=LEFT(DL$23,8), luc!$E43,0),0)</f>
        <v>0</v>
      </c>
    </row>
    <row r="27" spans="2:116" x14ac:dyDescent="0.15">
      <c r="D27" s="973"/>
      <c r="F27" s="1368"/>
      <c r="G27" s="1391"/>
      <c r="H27" s="1392" t="s">
        <v>1384</v>
      </c>
      <c r="I27" s="3130">
        <f>$AK$32</f>
        <v>0</v>
      </c>
      <c r="J27" s="3129">
        <f>$BO$34</f>
        <v>0</v>
      </c>
      <c r="K27" s="3129">
        <f>$BR$34</f>
        <v>0</v>
      </c>
      <c r="L27" s="1438">
        <f>rice!$F$31+rice!$F$33+'3.Cropland'!K140</f>
        <v>0</v>
      </c>
      <c r="M27" s="3129">
        <f>$BS$34</f>
        <v>0</v>
      </c>
      <c r="N27" s="3129">
        <f>$BQ$34</f>
        <v>0</v>
      </c>
      <c r="O27" s="3129">
        <f>$BT$34+$BP$34</f>
        <v>0</v>
      </c>
      <c r="P27" s="3129">
        <f t="shared" si="11"/>
        <v>0</v>
      </c>
      <c r="S27" s="1168"/>
      <c r="T27" s="1688" t="s">
        <v>3172</v>
      </c>
      <c r="U27" s="1420">
        <f>IF('2.LUC'!$I14 = U$23, 1,0)* defo!$H38</f>
        <v>0</v>
      </c>
      <c r="V27" s="1421">
        <f>IF('2.LUC'!$I14 = V$23, 1,0)* defo!$H38</f>
        <v>0</v>
      </c>
      <c r="W27" s="1421">
        <f>IF('2.LUC'!$I14 = W$23, 1,0)* defo!$H38</f>
        <v>0</v>
      </c>
      <c r="X27" s="1421">
        <f>IF('2.LUC'!$I14 = X$23, 1,0)* defo!$H38</f>
        <v>0</v>
      </c>
      <c r="Y27" s="1421">
        <f>IF('2.LUC'!$I14 = Y$23, 1,0)* defo!$H38</f>
        <v>0</v>
      </c>
      <c r="Z27" s="1421">
        <f>IF('2.LUC'!$I14 = Z$23, 1,0)* defo!$H38</f>
        <v>0</v>
      </c>
      <c r="AA27" s="1422">
        <f>IF('2.LUC'!$I14 = AA$23, 1,0)* defo!$H38</f>
        <v>0</v>
      </c>
      <c r="AB27" s="973"/>
      <c r="AE27" s="1418"/>
      <c r="AF27" s="1414" t="s">
        <v>3172</v>
      </c>
      <c r="AG27" s="1420">
        <f>IF(AG$23 = '2.LUC'!$I39, '2.LUC'!$P39, 0)</f>
        <v>0</v>
      </c>
      <c r="AH27" s="1421">
        <f>IF(AH$23='2.LUC'!$I39, '2.LUC'!$P39,0)</f>
        <v>0</v>
      </c>
      <c r="AI27" s="1421">
        <f>IF(AI$23='2.LUC'!$I39, '2.LUC'!$P39, 0)</f>
        <v>0</v>
      </c>
      <c r="AJ27" s="1421">
        <f>IF(AJ$23='2.LUC'!$I39, '2.LUC'!$P39, 0)</f>
        <v>0</v>
      </c>
      <c r="AK27" s="1421">
        <f>IF(AK$23='2.LUC'!$I39, '2.LUC'!$P39, 0)</f>
        <v>0</v>
      </c>
      <c r="AL27" s="1421">
        <f>IF(AL$23 = '2.LUC'!$I39, '2.LUC'!$P39, 0)</f>
        <v>0</v>
      </c>
      <c r="AM27" s="1422">
        <f>IF(AM$23 = '2.LUC'!$I39, '2.LUC'!$P39, 0)</f>
        <v>0</v>
      </c>
      <c r="AN27" s="973"/>
      <c r="AQ27" s="973"/>
      <c r="AR27" s="1354" t="s">
        <v>3173</v>
      </c>
      <c r="AS27" s="1357">
        <f>IF(LEFT('2.LUC'!$I64,8)=LEFT($AR$26,8),IF(LEFT('2.LUC'!$K64,8)=LEFT(AS$23,8), luc!$E44,0),0)</f>
        <v>0</v>
      </c>
      <c r="AT27" s="1354">
        <f>IF(LEFT('2.LUC'!$I64,8)=LEFT($AR$26,8),IF(LEFT('2.LUC'!$K64,8)=LEFT(AT$23,8), luc!$E44,0),0)</f>
        <v>0</v>
      </c>
      <c r="AU27" s="1354">
        <f>IF(LEFT('2.LUC'!$I64,8)=LEFT($AR$26,8),IF(LEFT('2.LUC'!$K64,8)=LEFT(AU$23,8), luc!$E44,0),0)</f>
        <v>0</v>
      </c>
      <c r="AV27" s="1354">
        <f>IF(LEFT('2.LUC'!$I64,8)=LEFT($AR$26,8),IF(LEFT('2.LUC'!$K64,8)=LEFT(AV$23,8), luc!$E44,0),0)</f>
        <v>0</v>
      </c>
      <c r="AW27" s="1354">
        <f>IF(LEFT('2.LUC'!$I64,8)=LEFT($AR$26,8),IF(LEFT('2.LUC'!$K64,8)=LEFT(AW$23,8), luc!$E44,0),0)</f>
        <v>0</v>
      </c>
      <c r="AX27" s="1354">
        <f>IF(LEFT('2.LUC'!$I64,8)=LEFT($AR$26,8),IF((OR(LEFT('2.LUC'!$K64,8)=LEFT(AX$23,8)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LEFT('2.LUC'!$K64,8)=LEFT(AZ$17,8))),luc!$E44,0),0)</f>
        <v>0</v>
      </c>
      <c r="AZ27" s="1345" t="s">
        <v>1417</v>
      </c>
      <c r="BB27" s="973"/>
      <c r="BC27" s="1354" t="s">
        <v>3173</v>
      </c>
      <c r="BD27" s="1357">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IF(LEFT('2.LUC'!$K64,8)=LEFT(Matrix!BD$23,8), '2.LUC'!$P64, 0),0)</f>
        <v>0</v>
      </c>
      <c r="BE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IF(LEFT('2.LUC'!$K64,8)=LEFT(Matrix!BE$23,8), '2.LUC'!$P64, 0),0)</f>
        <v>0</v>
      </c>
      <c r="BF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IF(LEFT('2.LUC'!$K64,8)=LEFT(Matrix!BF$23,8), '2.LUC'!$P64, 0),0)</f>
        <v>0</v>
      </c>
      <c r="BG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IF(LEFT('2.LUC'!$K64,8)=LEFT(Matrix!BG$23,8), '2.LUC'!$P64, 0),0)</f>
        <v>0</v>
      </c>
      <c r="BH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IF(LEFT('2.LUC'!$K64,8)=LEFT(Matrix!BH$23,8), '2.LUC'!$P64, 0),0)</f>
        <v>0</v>
      </c>
      <c r="BI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IF(LEFT('2.LUC'!$K64,8)=LEFT(Matrix!BI$23,8), '2.LUC'!$P64, 0),0)</f>
        <v>0</v>
      </c>
      <c r="BJ27" s="973"/>
      <c r="BM27" s="973"/>
      <c r="BN27" s="1354" t="s">
        <v>3173</v>
      </c>
      <c r="BO27" s="1354">
        <f>IF(LEFT('2.LUC'!$I64,8)=LEFT($BN$26,8),IF(LEFT('2.LUC'!$K64,8)=LEFT(BO$23,8), luc!$E44,0),0)</f>
        <v>0</v>
      </c>
      <c r="BP27" s="1354">
        <f>IF(LEFT('2.LUC'!$I64,8)=LEFT($BN$26,8),IF(LEFT('2.LUC'!$K64,8)=LEFT(BP$23,8), luc!$E44,0),0)</f>
        <v>0</v>
      </c>
      <c r="BQ27" s="1354">
        <f>IF(LEFT('2.LUC'!$I64,8)=LEFT($BN$26,8),IF(LEFT('2.LUC'!$K64,8)=LEFT(BQ$23,8), luc!$E44,0),0)</f>
        <v>0</v>
      </c>
      <c r="BR27" s="1355">
        <f>IF(LEFT('2.LUC'!$I64,8)=LEFT($BN$26,8),IF((OR(LEFT('2.LUC'!$K64,8)=LEFT(BR$23,8),LEFT('2.LUC'!$K64,8)=LEFT(AZ$3,8), 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0</v>
      </c>
      <c r="BS27" s="1355">
        <f>IF(LEFT('2.LUC'!$I64,8)=LEFT($BN$26,8),IF(LEFT('2.LUC'!$K64,8)=LEFT(BS$23,8), luc!$E44,0),0)</f>
        <v>0</v>
      </c>
      <c r="BT27" s="1354">
        <f>IF(LEFT('2.LUC'!$I64,8)=LEFT($BN$26,8),IF(LEFT('2.LUC'!$K64,8)=LEFT(BT$23,8), luc!$E44,0),0)</f>
        <v>0</v>
      </c>
      <c r="BU27" s="973"/>
      <c r="BX27" s="973"/>
      <c r="BY27" s="1355" t="s">
        <v>3173</v>
      </c>
      <c r="BZ27" s="1355">
        <f>IF(LEFT('2.LUC'!$I64,8)=LEFT($BY$26,8),IF(LEFT('2.LUC'!$K64,8)=LEFT(BZ$23,8), luc!$E44,0),0)</f>
        <v>0</v>
      </c>
      <c r="CA27" s="1355">
        <f>IF(LEFT('2.LUC'!$I64,8)=LEFT($BY$26,8),IF(LEFT('2.LUC'!$K64,8)=LEFT(CA$23,8), luc!$E44,0),0)</f>
        <v>0</v>
      </c>
      <c r="CB27" s="1355">
        <f>IF(LEFT('2.LUC'!$I64,8)=LEFT($BY$26,8),IF(LEFT('2.LUC'!$K64,8)=LEFT(CB$23,8), luc!$E44,0),0)</f>
        <v>0</v>
      </c>
      <c r="CC27" s="1355">
        <f>IF(LEFT('2.LUC'!$I64,8)=LEFT($BY$26,8),IF((OR(LEFT('2.LUC'!$K64,8)=LEFT(CC$23,8),LEFT('2.LUC'!$K64,8)=LEFT(AZ$3,8), LEFT('2.LUC'!$K64,8)=LEFT(AZ$4,8),LEFT('2.LUC'!$K64,8)=LEFT(AZ$5,8),LEFT('2.LUC'!$K64,8)=LEFT(AZ$6,8),LEFT('2.LUC'!$K64,8)=LEFT(AZ$7,8),LEFT('2.LUC'!$K64,8)=LEFT(AZ$8,8),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0</v>
      </c>
      <c r="CD27" s="1355">
        <f>IF(LEFT('2.LUC'!$I64,8)=LEFT($BY$26,8),IF(LEFT('2.LUC'!$K64,8)=LEFT(CD$23,8), luc!$E44,0),0)</f>
        <v>0</v>
      </c>
      <c r="CE27" s="1354">
        <f>IF(LEFT('2.LUC'!$I64,8)=LEFT($BY$26,8),IF(LEFT('2.LUC'!$K64,8)=LEFT(CE$23,8), luc!$E44,0),0)</f>
        <v>0</v>
      </c>
      <c r="CF27" s="973"/>
      <c r="CI27" s="973"/>
      <c r="CJ27" s="1355" t="s">
        <v>3173</v>
      </c>
      <c r="CK27" s="1355">
        <f>IF(LEFT('2.LUC'!$I64,8)=LEFT($CJ$26,8),IF(LEFT('2.LUC'!$K64,8)=LEFT(CK$23,8), luc!$E44,0),0)</f>
        <v>0</v>
      </c>
      <c r="CL27" s="1355">
        <f>IF(LEFT('2.LUC'!$I64,8)=LEFT($CJ$26,8),IF(LEFT('2.LUC'!$K64,8)=LEFT(CL$23,8), luc!$E44,0),0)</f>
        <v>0</v>
      </c>
      <c r="CM27" s="1355">
        <f>IF(LEFT('2.LUC'!$I64,8)=LEFT($CJ$26,8),IF(LEFT('2.LUC'!$K64,8)=LEFT(CM$23,8), luc!$E44,0),0)</f>
        <v>0</v>
      </c>
      <c r="CN27" s="1354">
        <f>IF(LEFT('2.LUC'!$I64,8)=LEFT($CJ$26,8),IF((OR(LEFT('2.LUC'!$K64,8)=LEFT(CN$23,8)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0</v>
      </c>
      <c r="CO27" s="1104">
        <f>IF(LEFT('2.LUC'!$I64,8)=LEFT($CJ$26,8),IF(LEFT('2.LUC'!$K64,8)=LEFT(CO$23,8), luc!$E44,0),0)</f>
        <v>0</v>
      </c>
      <c r="CP27" s="1354">
        <f>IF(LEFT('2.LUC'!$I64,8)=LEFT($CJ$26,8),IF(LEFT('2.LUC'!$K64,8)=LEFT(CP$23,8), luc!$E44,0),0)</f>
        <v>0</v>
      </c>
      <c r="CQ27" s="973"/>
      <c r="CT27" s="973"/>
      <c r="CU27" s="1355" t="s">
        <v>3173</v>
      </c>
      <c r="CV27" s="1355">
        <f>IF(LEFT('2.LUC'!$I64,8)=LEFT($CU$26,8),IF(LEFT('2.LUC'!$K64,8)=LEFT(CV$23,8), luc!$E44,0),0)</f>
        <v>0</v>
      </c>
      <c r="CW27" s="1355">
        <f>IF(LEFT('2.LUC'!$I64,8)=LEFT($CU$26,8),IF(LEFT('2.LUC'!$K64,8)=LEFT(CW$23,8), luc!$E44,0),0)</f>
        <v>0</v>
      </c>
      <c r="CX27" s="1355">
        <f>IF(LEFT('2.LUC'!$I64,8)=LEFT($CU$26,8),IF(LEFT('2.LUC'!$K64,8)=LEFT(CX$23,8), luc!$E44,0),0)</f>
        <v>0</v>
      </c>
      <c r="CY27" s="1354">
        <f>IF(LEFT('2.LUC'!$I64,8)=LEFT($CU$26,8),IF((OR(LEFT('2.LUC'!$K64,8)=LEFT(CY$23,8)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0</v>
      </c>
      <c r="CZ27" s="1104">
        <f>IF(LEFT('2.LUC'!$I64,8)=LEFT($CU$26,8),IF(LEFT('2.LUC'!$K64,8)=LEFT(CZ$23,8), luc!$E44,0),0)</f>
        <v>0</v>
      </c>
      <c r="DA27" s="1354">
        <f>IF(LEFT('2.LUC'!$I64,8)=LEFT($CU$26,8),IF(LEFT('2.LUC'!$K64,8)=LEFT(DA$23,8), luc!$E44,0),0)</f>
        <v>0</v>
      </c>
      <c r="DB27" s="973"/>
      <c r="DD27" s="973"/>
      <c r="DE27" s="973"/>
      <c r="DF27" s="1355" t="s">
        <v>3173</v>
      </c>
      <c r="DG27" s="1355">
        <f>IF(LEFT('2.LUC'!$I64,8)=LEFT($DF$26,8),IF(LEFT('2.LUC'!$K64,8)=LEFT(DG$23,8), luc!$E44,0),0)</f>
        <v>0</v>
      </c>
      <c r="DH27" s="1355">
        <f>IF(LEFT('2.LUC'!$I64,8)=LEFT($DF$26,8),IF(LEFT('2.LUC'!$K64,8)=LEFT(DH$23,8), luc!$E44,0),0)</f>
        <v>0</v>
      </c>
      <c r="DI27" s="1355">
        <f>IF(LEFT('2.LUC'!$I64,8)=LEFT($DF$26,8),IF(LEFT('2.LUC'!$K64,8)=LEFT(DI$23,8), luc!$E44,0),0)</f>
        <v>0</v>
      </c>
      <c r="DJ27" s="1354">
        <f>IF(LEFT('2.LUC'!$I64,8)=LEFT($DF$26,8),IF((OR(LEFT('2.LUC'!$K64,8)=LEFT(DJ$23,8)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0</v>
      </c>
      <c r="DK27" s="1104">
        <f>IF(LEFT('2.LUC'!$I64,8)=LEFT($DF$26,8),IF(LEFT('2.LUC'!$K64,8)=LEFT(DK$23,8), luc!$E44,0),0)</f>
        <v>0</v>
      </c>
      <c r="DL27" s="1354">
        <f>IF(LEFT('2.LUC'!$I64,8)=LEFT($DF$26,8),IF(LEFT('2.LUC'!$K64,8)=LEFT(DL$23,8), luc!$E44,0),0)</f>
        <v>0</v>
      </c>
    </row>
    <row r="28" spans="2:116" x14ac:dyDescent="0.15">
      <c r="D28" s="973"/>
      <c r="F28" s="1368"/>
      <c r="G28" s="1352" t="s">
        <v>1396</v>
      </c>
      <c r="H28" s="1386" t="s">
        <v>1396</v>
      </c>
      <c r="I28" s="3130">
        <f>$AL$32</f>
        <v>0</v>
      </c>
      <c r="J28" s="3129">
        <f>$CK$34</f>
        <v>150</v>
      </c>
      <c r="K28" s="3129">
        <f>$CN$34</f>
        <v>0</v>
      </c>
      <c r="L28" s="3129">
        <f>$CL$34</f>
        <v>0</v>
      </c>
      <c r="M28" s="1438">
        <f>grass!$F$44+grass!$F$33+grass!$F$31+Coastal!$AB$14+Coastal!$AC$14+Coastal!$AB$16+Coastal!$AB$73+Coastal!$AC$73+Coastal!$AB$75</f>
        <v>300</v>
      </c>
      <c r="N28" s="3129">
        <f>$CM$34</f>
        <v>0</v>
      </c>
      <c r="O28" s="3129">
        <f>$CP$34+$CO$34</f>
        <v>0</v>
      </c>
      <c r="P28" s="3129">
        <f t="shared" si="11"/>
        <v>450</v>
      </c>
      <c r="S28" s="1168"/>
      <c r="T28" s="1688"/>
      <c r="U28" s="1420">
        <f>IF('2.LUC'!$I15 = U$23, 1,0)* defo!$H39</f>
        <v>0</v>
      </c>
      <c r="V28" s="1421">
        <f>IF('2.LUC'!$I15 = V$23, 1,0)* defo!$H39</f>
        <v>0</v>
      </c>
      <c r="W28" s="1421">
        <f>IF('2.LUC'!$I15 = W$23, 1,0)* defo!$H39</f>
        <v>0</v>
      </c>
      <c r="X28" s="1421">
        <f>IF('2.LUC'!$I15 = X$23, 1,0)* defo!$H39</f>
        <v>0</v>
      </c>
      <c r="Y28" s="1421">
        <f>IF('2.LUC'!$I15 = Y$23, 1,0)* defo!$H39</f>
        <v>0</v>
      </c>
      <c r="Z28" s="1421">
        <f>IF('2.LUC'!$I15 = Z$23, 1,0)* defo!$H39</f>
        <v>0</v>
      </c>
      <c r="AA28" s="1422">
        <f>IF('2.LUC'!$I15 = AA$23, 1,0)* defo!$H39</f>
        <v>0</v>
      </c>
      <c r="AB28" s="973"/>
      <c r="AE28" s="1418"/>
      <c r="AF28" s="1414"/>
      <c r="AG28" s="1420">
        <f>IF(AG$23 = '2.LUC'!$I40, '2.LUC'!$P40, 0)</f>
        <v>0</v>
      </c>
      <c r="AH28" s="1421">
        <f>IF(AH$23='2.LUC'!$I40, '2.LUC'!$P40,0)</f>
        <v>0</v>
      </c>
      <c r="AI28" s="1421">
        <f>IF(AI$23='2.LUC'!$I40, '2.LUC'!$P40, 0)</f>
        <v>0</v>
      </c>
      <c r="AJ28" s="1421">
        <f>IF(AJ$23='2.LUC'!$I40, '2.LUC'!$P40, 0)</f>
        <v>0</v>
      </c>
      <c r="AK28" s="1421">
        <f>IF(AK$23='2.LUC'!$I40, '2.LUC'!$P40, 0)</f>
        <v>0</v>
      </c>
      <c r="AL28" s="1421">
        <f>IF(AL$23 = '2.LUC'!$I40, '2.LUC'!$P40, 0)</f>
        <v>0</v>
      </c>
      <c r="AM28" s="1422">
        <f>IF(AM$23 = '2.LUC'!$I40, '2.LUC'!$P40, 0)</f>
        <v>0</v>
      </c>
      <c r="AN28" s="973"/>
      <c r="AQ28" s="973"/>
      <c r="AR28" s="1354"/>
      <c r="AS28" s="1357">
        <f>IF(LEFT('2.LUC'!$I65,8)=LEFT($AR$26,8),IF(LEFT('2.LUC'!$K65,8)=LEFT(AS$23,8), luc!$E45,0),0)</f>
        <v>0</v>
      </c>
      <c r="AT28" s="1354">
        <f>IF(LEFT('2.LUC'!$I65,8)=LEFT($AR$26,8),IF(LEFT('2.LUC'!$K65,8)=LEFT(AT$23,8), luc!$E45,0),0)</f>
        <v>0</v>
      </c>
      <c r="AU28" s="1354">
        <f>IF(LEFT('2.LUC'!$I65,8)=LEFT($AR$26,8),IF(LEFT('2.LUC'!$K65,8)=LEFT(AU$23,8), luc!$E45,0),0)</f>
        <v>0</v>
      </c>
      <c r="AV28" s="1354">
        <f>IF(LEFT('2.LUC'!$I65,8)=LEFT($AR$26,8),IF(LEFT('2.LUC'!$K65,8)=LEFT(AV$23,8), luc!$E45,0),0)</f>
        <v>0</v>
      </c>
      <c r="AW28" s="1354">
        <f>IF(LEFT('2.LUC'!$I65,8)=LEFT($AR$26,8),IF(LEFT('2.LUC'!$K65,8)=LEFT(AW$23,8), luc!$E45,0),0)</f>
        <v>0</v>
      </c>
      <c r="AX28" s="1354">
        <f>IF(LEFT('2.LUC'!$I65,8)=LEFT($AR$26,8),IF((OR(LEFT('2.LUC'!$K65,8)=LEFT(AX$23,8)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LEFT('2.LUC'!$K65,8)=LEFT(AZ$17,8))),luc!$E45,0),0)</f>
        <v>0</v>
      </c>
      <c r="AZ28" s="1345" t="s">
        <v>1505</v>
      </c>
      <c r="BB28" s="973"/>
      <c r="BC28" s="1354"/>
      <c r="BD28" s="1357">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IF(LEFT('2.LUC'!$K65,8)=LEFT(Matrix!BD$23,8), '2.LUC'!$P65, 0),0)</f>
        <v>0</v>
      </c>
      <c r="BE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IF(LEFT('2.LUC'!$K65,8)=LEFT(Matrix!BE$23,8), '2.LUC'!$P65, 0),0)</f>
        <v>0</v>
      </c>
      <c r="BF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IF(LEFT('2.LUC'!$K65,8)=LEFT(Matrix!BF$23,8), '2.LUC'!$P65, 0),0)</f>
        <v>0</v>
      </c>
      <c r="BG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IF(LEFT('2.LUC'!$K65,8)=LEFT(Matrix!BG$23,8), '2.LUC'!$P65, 0),0)</f>
        <v>0</v>
      </c>
      <c r="BH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IF(LEFT('2.LUC'!$K65,8)=LEFT(Matrix!BH$23,8), '2.LUC'!$P65, 0),0)</f>
        <v>0</v>
      </c>
      <c r="BI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IF(LEFT('2.LUC'!$K65,8)=LEFT(Matrix!BI$23,8), '2.LUC'!$P65, 0),0)</f>
        <v>0</v>
      </c>
      <c r="BJ28" s="973"/>
      <c r="BM28" s="973"/>
      <c r="BN28" s="1354"/>
      <c r="BO28" s="1354">
        <f>IF(LEFT('2.LUC'!$I65,8)=LEFT($BN$26,8),IF(LEFT('2.LUC'!$K65,8)=LEFT(BO$23,8), luc!$E45,0),0)</f>
        <v>0</v>
      </c>
      <c r="BP28" s="1354">
        <f>IF(LEFT('2.LUC'!$I65,8)=LEFT($BN$26,8),IF(LEFT('2.LUC'!$K65,8)=LEFT(BP$23,8), luc!$E45,0),0)</f>
        <v>0</v>
      </c>
      <c r="BQ28" s="1354">
        <f>IF(LEFT('2.LUC'!$I65,8)=LEFT($BN$26,8),IF(LEFT('2.LUC'!$K65,8)=LEFT(BQ$23,8), luc!$E45,0),0)</f>
        <v>0</v>
      </c>
      <c r="BR28" s="1355">
        <f>IF(LEFT('2.LUC'!$I65,8)=LEFT($BN$26,8),IF((OR(LEFT('2.LUC'!$K65,8)=LEFT(BR$23,8),LEFT('2.LUC'!$K65,8)=LEFT(AZ$3,8), 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0</v>
      </c>
      <c r="BS28" s="1355">
        <f>IF(LEFT('2.LUC'!$I65,8)=LEFT($BN$26,8),IF(LEFT('2.LUC'!$K65,8)=LEFT(BS$23,8), luc!$E45,0),0)</f>
        <v>0</v>
      </c>
      <c r="BT28" s="1354">
        <f>IF(LEFT('2.LUC'!$I65,8)=LEFT($BN$26,8),IF(LEFT('2.LUC'!$K65,8)=LEFT(BT$23,8), luc!$E45,0),0)</f>
        <v>0</v>
      </c>
      <c r="BU28" s="973"/>
      <c r="BX28" s="973"/>
      <c r="BY28" s="1355"/>
      <c r="BZ28" s="1355">
        <f>IF(LEFT('2.LUC'!$I65,8)=LEFT($BY$26,8),IF(LEFT('2.LUC'!$K65,8)=LEFT(BZ$23,8), luc!$E45,0),0)</f>
        <v>0</v>
      </c>
      <c r="CA28" s="1355">
        <f>IF(LEFT('2.LUC'!$I65,8)=LEFT($BY$26,8),IF(LEFT('2.LUC'!$K65,8)=LEFT(CA$23,8), luc!$E45,0),0)</f>
        <v>0</v>
      </c>
      <c r="CB28" s="1355">
        <f>IF(LEFT('2.LUC'!$I65,8)=LEFT($BY$26,8),IF(LEFT('2.LUC'!$K65,8)=LEFT(CB$23,8), luc!$E45,0),0)</f>
        <v>0</v>
      </c>
      <c r="CC28" s="1355">
        <f>IF(LEFT('2.LUC'!$I65,8)=LEFT($BY$26,8),IF((OR(LEFT('2.LUC'!$K65,8)=LEFT(CC$23,8),LEFT('2.LUC'!$K65,8)=LEFT(AZ$3,8), LEFT('2.LUC'!$K65,8)=LEFT(AZ$4,8),LEFT('2.LUC'!$K65,8)=LEFT(AZ$5,8),LEFT('2.LUC'!$K65,8)=LEFT(AZ$6,8),LEFT('2.LUC'!$K65,8)=LEFT(AZ$7,8),LEFT('2.LUC'!$K65,8)=LEFT(AZ$8,8),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0</v>
      </c>
      <c r="CD28" s="1355">
        <f>IF(LEFT('2.LUC'!$I65,8)=LEFT($BY$26,8),IF(LEFT('2.LUC'!$K65,8)=LEFT(CD$23,8), luc!$E45,0),0)</f>
        <v>0</v>
      </c>
      <c r="CE28" s="1354">
        <f>IF(LEFT('2.LUC'!$I65,8)=LEFT($BY$26,8),IF(LEFT('2.LUC'!$K65,8)=LEFT(CE$23,8), luc!$E45,0),0)</f>
        <v>0</v>
      </c>
      <c r="CF28" s="973"/>
      <c r="CI28" s="973"/>
      <c r="CJ28" s="1355"/>
      <c r="CK28" s="1355">
        <f>IF(LEFT('2.LUC'!$I65,8)=LEFT($CJ$26,8),IF(LEFT('2.LUC'!$K65,8)=LEFT(CK$23,8), luc!$E45,0),0)</f>
        <v>0</v>
      </c>
      <c r="CL28" s="1355">
        <f>IF(LEFT('2.LUC'!$I65,8)=LEFT($CJ$26,8),IF(LEFT('2.LUC'!$K65,8)=LEFT(CL$23,8), luc!$E45,0),0)</f>
        <v>0</v>
      </c>
      <c r="CM28" s="1355">
        <f>IF(LEFT('2.LUC'!$I65,8)=LEFT($CJ$26,8),IF(LEFT('2.LUC'!$K65,8)=LEFT(CM$23,8), luc!$E45,0),0)</f>
        <v>0</v>
      </c>
      <c r="CN28" s="1354">
        <f>IF(LEFT('2.LUC'!$I65,8)=LEFT($CJ$26,8),IF((OR(LEFT('2.LUC'!$K65,8)=LEFT(CN$23,8)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0</v>
      </c>
      <c r="CO28" s="1104">
        <f>IF(LEFT('2.LUC'!$I65,8)=LEFT($CJ$26,8),IF(LEFT('2.LUC'!$K65,8)=LEFT(CO$23,8), luc!$E45,0),0)</f>
        <v>0</v>
      </c>
      <c r="CP28" s="1354">
        <f>IF(LEFT('2.LUC'!$I65,8)=LEFT($CJ$26,8),IF(LEFT('2.LUC'!$K65,8)=LEFT(CP$23,8), luc!$E45,0),0)</f>
        <v>0</v>
      </c>
      <c r="CQ28" s="973"/>
      <c r="CT28" s="973"/>
      <c r="CU28" s="1355"/>
      <c r="CV28" s="1355">
        <f>IF(LEFT('2.LUC'!$I65,8)=LEFT($CU$26,8),IF(LEFT('2.LUC'!$K65,8)=LEFT(CV$23,8), luc!$E45,0),0)</f>
        <v>0</v>
      </c>
      <c r="CW28" s="1355">
        <f>IF(LEFT('2.LUC'!$I65,8)=LEFT($CU$26,8),IF(LEFT('2.LUC'!$K65,8)=LEFT(CW$23,8), luc!$E45,0),0)</f>
        <v>0</v>
      </c>
      <c r="CX28" s="1355">
        <f>IF(LEFT('2.LUC'!$I65,8)=LEFT($CU$26,8),IF(LEFT('2.LUC'!$K65,8)=LEFT(CX$23,8), luc!$E45,0),0)</f>
        <v>0</v>
      </c>
      <c r="CY28" s="1354">
        <f>IF(LEFT('2.LUC'!$I65,8)=LEFT($CU$26,8),IF((OR(LEFT('2.LUC'!$K65,8)=LEFT(CY$23,8)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0</v>
      </c>
      <c r="CZ28" s="1104">
        <f>IF(LEFT('2.LUC'!$I65,8)=LEFT($CU$26,8),IF(LEFT('2.LUC'!$K65,8)=LEFT(CZ$23,8), luc!$E45,0),0)</f>
        <v>0</v>
      </c>
      <c r="DA28" s="1354">
        <f>IF(LEFT('2.LUC'!$I65,8)=LEFT($CU$26,8),IF(LEFT('2.LUC'!$K65,8)=LEFT(DA$23,8), luc!$E45,0),0)</f>
        <v>0</v>
      </c>
      <c r="DB28" s="973"/>
      <c r="DD28" s="973"/>
      <c r="DE28" s="973"/>
      <c r="DF28" s="1355"/>
      <c r="DG28" s="1355">
        <f>IF(LEFT('2.LUC'!$I65,8)=LEFT($DF$26,8),IF(LEFT('2.LUC'!$K65,8)=LEFT(DG$23,8), luc!$E45,0),0)</f>
        <v>0</v>
      </c>
      <c r="DH28" s="1355">
        <f>IF(LEFT('2.LUC'!$I65,8)=LEFT($DF$26,8),IF(LEFT('2.LUC'!$K65,8)=LEFT(DH$23,8), luc!$E45,0),0)</f>
        <v>0</v>
      </c>
      <c r="DI28" s="1355">
        <f>IF(LEFT('2.LUC'!$I65,8)=LEFT($DF$26,8),IF(LEFT('2.LUC'!$K65,8)=LEFT(DI$23,8), luc!$E45,0),0)</f>
        <v>0</v>
      </c>
      <c r="DJ28" s="1354">
        <f>IF(LEFT('2.LUC'!$I65,8)=LEFT($DF$26,8),IF((OR(LEFT('2.LUC'!$K65,8)=LEFT(DJ$23,8)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0</v>
      </c>
      <c r="DK28" s="1104">
        <f>IF(LEFT('2.LUC'!$I65,8)=LEFT($DF$26,8),IF(LEFT('2.LUC'!$K65,8)=LEFT(DK$23,8), luc!$E45,0),0)</f>
        <v>0</v>
      </c>
      <c r="DL28" s="1354">
        <f>IF(LEFT('2.LUC'!$I65,8)=LEFT($DF$26,8),IF(LEFT('2.LUC'!$K65,8)=LEFT(DL$23,8), luc!$E45,0),0)</f>
        <v>0</v>
      </c>
    </row>
    <row r="29" spans="2:116" x14ac:dyDescent="0.15">
      <c r="C29" s="973"/>
      <c r="F29" s="1368"/>
      <c r="G29" s="1388" t="s">
        <v>2074</v>
      </c>
      <c r="H29" s="1327" t="s">
        <v>2954</v>
      </c>
      <c r="I29" s="3130">
        <f>$AJ$32</f>
        <v>0</v>
      </c>
      <c r="J29" s="3129">
        <f>$CV$34</f>
        <v>0</v>
      </c>
      <c r="K29" s="3129">
        <f>$CY$34</f>
        <v>0</v>
      </c>
      <c r="L29" s="3129">
        <f>$CW$34</f>
        <v>0</v>
      </c>
      <c r="M29" s="3129">
        <f>$CX$34</f>
        <v>0</v>
      </c>
      <c r="N29" s="1438">
        <f>MAX(SUM($I$29:$M$29,$O$29),SUM($I$12:$M$12,$O$12))-SUM($I$29:$M$29,$O$29)</f>
        <v>0</v>
      </c>
      <c r="O29" s="3129">
        <f>$DA$34+$CZ$34</f>
        <v>0</v>
      </c>
      <c r="P29" s="3129">
        <f t="shared" si="11"/>
        <v>0</v>
      </c>
      <c r="S29" s="1168"/>
      <c r="T29" s="1688"/>
      <c r="U29" s="1420">
        <f>IF('2.LUC'!$I16 = U$23, 1,0)* defo!$H40</f>
        <v>0</v>
      </c>
      <c r="V29" s="1421">
        <f>IF('2.LUC'!$I16 = V$23, 1,0)* defo!$H40</f>
        <v>0</v>
      </c>
      <c r="W29" s="1421">
        <f>IF('2.LUC'!$I16 = W$23, 1,0)* defo!$H40</f>
        <v>0</v>
      </c>
      <c r="X29" s="1421">
        <f>IF('2.LUC'!$I16 = X$23, 1,0)* defo!$H40</f>
        <v>0</v>
      </c>
      <c r="Y29" s="1421">
        <f>IF('2.LUC'!$I16 = Y$23, 1,0)* defo!$H40</f>
        <v>0</v>
      </c>
      <c r="Z29" s="1421">
        <f>IF('2.LUC'!$I16 = Z$23, 1,0)* defo!$H40</f>
        <v>0</v>
      </c>
      <c r="AA29" s="1422">
        <f>IF('2.LUC'!$I16 = AA$23, 1,0)* defo!$H40</f>
        <v>0</v>
      </c>
      <c r="AB29" s="973"/>
      <c r="AE29" s="1168"/>
      <c r="AF29" s="1414"/>
      <c r="AG29" s="1420">
        <f>IF(AG$23 = '2.LUC'!$I41, '2.LUC'!$P41, 0)</f>
        <v>0</v>
      </c>
      <c r="AH29" s="1421">
        <f>IF(AH$23='2.LUC'!$I41, '2.LUC'!$P41,0)</f>
        <v>0</v>
      </c>
      <c r="AI29" s="1421">
        <f>IF(AI$23='2.LUC'!$I41, '2.LUC'!$P41, 0)</f>
        <v>0</v>
      </c>
      <c r="AJ29" s="1421">
        <f>IF(AJ$23='2.LUC'!$I41, '2.LUC'!$P41, 0)</f>
        <v>0</v>
      </c>
      <c r="AK29" s="1421">
        <f>IF(AK$23='2.LUC'!$I41, '2.LUC'!$P41, 0)</f>
        <v>0</v>
      </c>
      <c r="AL29" s="1421">
        <f>IF(AL$23 = '2.LUC'!$I41, '2.LUC'!$P41, 0)</f>
        <v>0</v>
      </c>
      <c r="AM29" s="1422">
        <f>IF(AM$23 = '2.LUC'!$I41, '2.LUC'!$P41, 0)</f>
        <v>0</v>
      </c>
      <c r="AN29" s="973"/>
      <c r="AQ29" s="973"/>
      <c r="AR29" s="1354"/>
      <c r="AS29" s="1357">
        <f>IF(LEFT('2.LUC'!$I66,8)=LEFT($AR$26,8),IF(LEFT('2.LUC'!$K66,8)=LEFT(AS$23,8), luc!$E46,0),0)</f>
        <v>0</v>
      </c>
      <c r="AT29" s="1354">
        <f>IF(LEFT('2.LUC'!$I66,8)=LEFT($AR$26,8),IF(LEFT('2.LUC'!$K66,8)=LEFT(AT$23,8), luc!$E46,0),0)</f>
        <v>0</v>
      </c>
      <c r="AU29" s="1354">
        <f>IF(LEFT('2.LUC'!$I66,8)=LEFT($AR$26,8),IF(LEFT('2.LUC'!$K66,8)=LEFT(AU$23,8), luc!$E46,0),0)</f>
        <v>0</v>
      </c>
      <c r="AV29" s="1354">
        <f>IF(LEFT('2.LUC'!$I66,8)=LEFT($AR$26,8),IF(LEFT('2.LUC'!$K66,8)=LEFT(AV$23,8), luc!$E46,0),0)</f>
        <v>0</v>
      </c>
      <c r="AW29" s="1354">
        <f>IF(LEFT('2.LUC'!$I66,8)=LEFT($AR$26,8),IF(LEFT('2.LUC'!$K66,8)=LEFT(AW$23,8), luc!$E46,0),0)</f>
        <v>0</v>
      </c>
      <c r="AX29" s="1354">
        <f>IF(LEFT('2.LUC'!$I66,8)=LEFT($AR$26,8),IF((OR(LEFT('2.LUC'!$K66,8)=LEFT(AX$23,8)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LEFT('2.LUC'!$K66,8)=LEFT(AZ$17,8))),luc!$E46,0),0)</f>
        <v>0</v>
      </c>
      <c r="AZ29" s="1345" t="s">
        <v>1508</v>
      </c>
      <c r="BB29" s="973"/>
      <c r="BC29" s="1354"/>
      <c r="BD29" s="1357">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IF(LEFT('2.LUC'!$K66,8)=LEFT(Matrix!BD$23,8), '2.LUC'!$P66, 0),0)</f>
        <v>0</v>
      </c>
      <c r="BE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IF(LEFT('2.LUC'!$K66,8)=LEFT(Matrix!BE$23,8), '2.LUC'!$P66, 0),0)</f>
        <v>0</v>
      </c>
      <c r="BF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IF(LEFT('2.LUC'!$K66,8)=LEFT(Matrix!BF$23,8), '2.LUC'!$P66, 0),0)</f>
        <v>0</v>
      </c>
      <c r="BG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IF(LEFT('2.LUC'!$K66,8)=LEFT(Matrix!BG$23,8), '2.LUC'!$P66, 0),0)</f>
        <v>0</v>
      </c>
      <c r="BH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IF(LEFT('2.LUC'!$K66,8)=LEFT(Matrix!BH$23,8), '2.LUC'!$P66, 0),0)</f>
        <v>0</v>
      </c>
      <c r="BI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IF(LEFT('2.LUC'!$K66,8)=LEFT(Matrix!BI$23,8), '2.LUC'!$P66, 0),0)</f>
        <v>0</v>
      </c>
      <c r="BJ29" s="973"/>
      <c r="BM29" s="973"/>
      <c r="BN29" s="1354"/>
      <c r="BO29" s="1354">
        <f>IF(LEFT('2.LUC'!$I66,8)=LEFT($BN$26,8),IF(LEFT('2.LUC'!$K66,8)=LEFT(BO$23,8), luc!$E46,0),0)</f>
        <v>0</v>
      </c>
      <c r="BP29" s="1354">
        <f>IF(LEFT('2.LUC'!$I66,8)=LEFT($BN$26,8),IF(LEFT('2.LUC'!$K66,8)=LEFT(BP$23,8), luc!$E46,0),0)</f>
        <v>0</v>
      </c>
      <c r="BQ29" s="1354">
        <f>IF(LEFT('2.LUC'!$I66,8)=LEFT($BN$26,8),IF(LEFT('2.LUC'!$K66,8)=LEFT(BQ$23,8), luc!$E46,0),0)</f>
        <v>0</v>
      </c>
      <c r="BR29" s="1355">
        <f>IF(LEFT('2.LUC'!$I66,8)=LEFT($BN$26,8),IF((OR(LEFT('2.LUC'!$K66,8)=LEFT(BR$23,8),LEFT('2.LUC'!$K66,8)=LEFT(AZ$3,8), 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0</v>
      </c>
      <c r="BS29" s="1355">
        <f>IF(LEFT('2.LUC'!$I66,8)=LEFT($BN$26,8),IF(LEFT('2.LUC'!$K66,8)=LEFT(BS$23,8), luc!$E46,0),0)</f>
        <v>0</v>
      </c>
      <c r="BT29" s="1354">
        <f>IF(LEFT('2.LUC'!$I66,8)=LEFT($BN$26,8),IF(LEFT('2.LUC'!$K66,8)=LEFT(BT$23,8), luc!$E46,0),0)</f>
        <v>0</v>
      </c>
      <c r="BU29" s="973"/>
      <c r="BX29" s="973"/>
      <c r="BY29" s="1355"/>
      <c r="BZ29" s="1355">
        <f>IF(LEFT('2.LUC'!$I66,8)=LEFT($BY$26,8),IF(LEFT('2.LUC'!$K66,8)=LEFT(BZ$23,8), luc!$E46,0),0)</f>
        <v>0</v>
      </c>
      <c r="CA29" s="1355">
        <f>IF(LEFT('2.LUC'!$I66,8)=LEFT($BY$26,8),IF(LEFT('2.LUC'!$K66,8)=LEFT(CA$23,8), luc!$E46,0),0)</f>
        <v>0</v>
      </c>
      <c r="CB29" s="1355">
        <f>IF(LEFT('2.LUC'!$I66,8)=LEFT($BY$26,8),IF(LEFT('2.LUC'!$K66,8)=LEFT(CB$23,8), luc!$E46,0),0)</f>
        <v>0</v>
      </c>
      <c r="CC29" s="1355">
        <f>IF(LEFT('2.LUC'!$I66,8)=LEFT($BY$26,8),IF((OR(LEFT('2.LUC'!$K66,8)=LEFT(CC$23,8),LEFT('2.LUC'!$K66,8)=LEFT(AZ$3,8), LEFT('2.LUC'!$K66,8)=LEFT(AZ$4,8),LEFT('2.LUC'!$K66,8)=LEFT(AZ$5,8),LEFT('2.LUC'!$K66,8)=LEFT(AZ$6,8),LEFT('2.LUC'!$K66,8)=LEFT(AZ$7,8),LEFT('2.LUC'!$K66,8)=LEFT(AZ$8,8),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0</v>
      </c>
      <c r="CD29" s="1355">
        <f>IF(LEFT('2.LUC'!$I66,8)=LEFT($BY$26,8),IF(LEFT('2.LUC'!$K66,8)=LEFT(CD$23,8), luc!$E46,0),0)</f>
        <v>0</v>
      </c>
      <c r="CE29" s="1354">
        <f>IF(LEFT('2.LUC'!$I66,8)=LEFT($BY$26,8),IF(LEFT('2.LUC'!$K66,8)=LEFT(CE$23,8), luc!$E46,0),0)</f>
        <v>0</v>
      </c>
      <c r="CF29" s="973"/>
      <c r="CI29" s="973"/>
      <c r="CJ29" s="1355"/>
      <c r="CK29" s="1355">
        <f>IF(LEFT('2.LUC'!$I66,8)=LEFT($CJ$26,8),IF(LEFT('2.LUC'!$K66,8)=LEFT(CK$23,8), luc!$E46,0),0)</f>
        <v>0</v>
      </c>
      <c r="CL29" s="1355">
        <f>IF(LEFT('2.LUC'!$I66,8)=LEFT($CJ$26,8),IF(LEFT('2.LUC'!$K66,8)=LEFT(CL$23,8), luc!$E46,0),0)</f>
        <v>0</v>
      </c>
      <c r="CM29" s="1355">
        <f>IF(LEFT('2.LUC'!$I66,8)=LEFT($CJ$26,8),IF(LEFT('2.LUC'!$K66,8)=LEFT(CM$23,8), luc!$E46,0),0)</f>
        <v>0</v>
      </c>
      <c r="CN29" s="1354">
        <f>IF(LEFT('2.LUC'!$I66,8)=LEFT($CJ$26,8),IF((OR(LEFT('2.LUC'!$K66,8)=LEFT(CN$23,8)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0</v>
      </c>
      <c r="CO29" s="1104">
        <f>IF(LEFT('2.LUC'!$I66,8)=LEFT($CJ$26,8),IF(LEFT('2.LUC'!$K66,8)=LEFT(CO$23,8), luc!$E46,0),0)</f>
        <v>0</v>
      </c>
      <c r="CP29" s="1354">
        <f>IF(LEFT('2.LUC'!$I66,8)=LEFT($CJ$26,8),IF(LEFT('2.LUC'!$K66,8)=LEFT(CP$23,8), luc!$E46,0),0)</f>
        <v>0</v>
      </c>
      <c r="CQ29" s="973"/>
      <c r="CT29" s="973"/>
      <c r="CU29" s="1355"/>
      <c r="CV29" s="1355">
        <f>IF(LEFT('2.LUC'!$I66,8)=LEFT($CU$26,8),IF(LEFT('2.LUC'!$K66,8)=LEFT(CV$23,8), luc!$E46,0),0)</f>
        <v>0</v>
      </c>
      <c r="CW29" s="1355">
        <f>IF(LEFT('2.LUC'!$I66,8)=LEFT($CU$26,8),IF(LEFT('2.LUC'!$K66,8)=LEFT(CW$23,8), luc!$E46,0),0)</f>
        <v>0</v>
      </c>
      <c r="CX29" s="1355">
        <f>IF(LEFT('2.LUC'!$I66,8)=LEFT($CU$26,8),IF(LEFT('2.LUC'!$K66,8)=LEFT(CX$23,8), luc!$E46,0),0)</f>
        <v>0</v>
      </c>
      <c r="CY29" s="1354">
        <f>IF(LEFT('2.LUC'!$I66,8)=LEFT($CU$26,8),IF((OR(LEFT('2.LUC'!$K66,8)=LEFT(CY$23,8)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0</v>
      </c>
      <c r="CZ29" s="1104">
        <f>IF(LEFT('2.LUC'!$I66,8)=LEFT($CU$26,8),IF(LEFT('2.LUC'!$K66,8)=LEFT(CZ$23,8), luc!$E46,0),0)</f>
        <v>0</v>
      </c>
      <c r="DA29" s="1354">
        <f>IF(LEFT('2.LUC'!$I66,8)=LEFT($CU$26,8),IF(LEFT('2.LUC'!$K66,8)=LEFT(DA$23,8), luc!$E46,0),0)</f>
        <v>0</v>
      </c>
      <c r="DB29" s="973"/>
      <c r="DD29" s="973"/>
      <c r="DE29" s="973"/>
      <c r="DF29" s="1355"/>
      <c r="DG29" s="1355">
        <f>IF(LEFT('2.LUC'!$I66,8)=LEFT($DF$26,8),IF(LEFT('2.LUC'!$K66,8)=LEFT(DG$23,8), luc!$E46,0),0)</f>
        <v>0</v>
      </c>
      <c r="DH29" s="1355">
        <f>IF(LEFT('2.LUC'!$I66,8)=LEFT($DF$26,8),IF(LEFT('2.LUC'!$K66,8)=LEFT(DH$23,8), luc!$E46,0),0)</f>
        <v>0</v>
      </c>
      <c r="DI29" s="1355">
        <f>IF(LEFT('2.LUC'!$I66,8)=LEFT($DF$26,8),IF(LEFT('2.LUC'!$K66,8)=LEFT(DI$23,8), luc!$E46,0),0)</f>
        <v>0</v>
      </c>
      <c r="DJ29" s="1354">
        <f>IF(LEFT('2.LUC'!$I66,8)=LEFT($DF$26,8),IF((OR(LEFT('2.LUC'!$K66,8)=LEFT(DJ$23,8)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0</v>
      </c>
      <c r="DK29" s="1104">
        <f>IF(LEFT('2.LUC'!$I66,8)=LEFT($DF$26,8),IF(LEFT('2.LUC'!$K66,8)=LEFT(DK$23,8), luc!$E46,0),0)</f>
        <v>0</v>
      </c>
      <c r="DL29" s="1354">
        <f>IF(LEFT('2.LUC'!$I66,8)=LEFT($DF$26,8),IF(LEFT('2.LUC'!$K66,8)=LEFT(DL$23,8), luc!$E46,0),0)</f>
        <v>0</v>
      </c>
    </row>
    <row r="30" spans="2:116" x14ac:dyDescent="0.15">
      <c r="D30" s="973"/>
      <c r="F30" s="1368"/>
      <c r="G30" s="1370"/>
      <c r="H30" s="1392" t="s">
        <v>1401</v>
      </c>
      <c r="I30" s="3130">
        <f>$AM$32+$AI$32</f>
        <v>0</v>
      </c>
      <c r="J30" s="3129">
        <f>$DG$34+$BZ$34</f>
        <v>0</v>
      </c>
      <c r="K30" s="3129">
        <f>$DJ$34+$CC$34</f>
        <v>0</v>
      </c>
      <c r="L30" s="3129">
        <f>$DH$34+$CA$34</f>
        <v>0</v>
      </c>
      <c r="M30" s="3129">
        <f>$DI$34+$CD$34</f>
        <v>0</v>
      </c>
      <c r="N30" s="3129">
        <f>$DL$34+$CB$34</f>
        <v>0</v>
      </c>
      <c r="O30" s="1438">
        <f>MAX(SUM($I$30:$N$30),SUM($I$13:$N$13))-SUM($I$30:$N$30)+MAX('Inl. wetlands'!$C$513,'Inl. wetlands'!D513,'Inl. wetlands'!F513)+MAX(SUM(Coastal!$D$115:$D$120),SUM(Coastal!$E$115:$E$120),SUM(Coastal!$G$115:$G$120))+MAX(CE16+DK16,CE34+DK34)+SUM(MAX(SUM(Coastal!E17:E22),SUM(Coastal!G17:G22),,SUM(Coastal!E41:E46),SUM(Coastal!H41:H46),SUM(Coastal!E51:E56),SUM(Coastal!H51:H56)),MAX(SUM(Coastal!D79:D84),SUM(Coastal!G79:G84),SUM(Coastal!D89:D94),SUM(Coastal!G89:G94),SUM(Coastal!D100:D105),SUM(Coastal!G100:G105)))</f>
        <v>128</v>
      </c>
      <c r="P30" s="3129">
        <f t="shared" si="11"/>
        <v>128</v>
      </c>
      <c r="S30" s="1168"/>
      <c r="T30" s="1688"/>
      <c r="U30" s="1420">
        <f>IF('2.LUC'!$I17 = U$23, 1,0)* defo!$H41</f>
        <v>0</v>
      </c>
      <c r="V30" s="1421">
        <f>IF('2.LUC'!$I17 = V$23, 1,0)* defo!$H41</f>
        <v>0</v>
      </c>
      <c r="W30" s="1421">
        <f>IF('2.LUC'!$I17 = W$23, 1,0)* defo!$H41</f>
        <v>0</v>
      </c>
      <c r="X30" s="1421">
        <f>IF('2.LUC'!$I17 = X$23, 1,0)* defo!$H41</f>
        <v>0</v>
      </c>
      <c r="Y30" s="1421">
        <f>IF('2.LUC'!$I17 = Y$23, 1,0)* defo!$H41</f>
        <v>0</v>
      </c>
      <c r="Z30" s="1421">
        <f>IF('2.LUC'!$I17 = Z$23, 1,0)* defo!$H41</f>
        <v>0</v>
      </c>
      <c r="AA30" s="1422">
        <f>IF('2.LUC'!$I17 = AA$23, 1,0)* defo!$H41</f>
        <v>0</v>
      </c>
      <c r="AB30" s="973"/>
      <c r="AE30" s="1168"/>
      <c r="AF30" s="1414"/>
      <c r="AG30" s="1420">
        <f>IF(AG$23 = '2.LUC'!$I42, '2.LUC'!$P42, 0)</f>
        <v>0</v>
      </c>
      <c r="AH30" s="1421">
        <f>IF(AH$23='2.LUC'!$I42, '2.LUC'!$P42,0)</f>
        <v>0</v>
      </c>
      <c r="AI30" s="1421">
        <f>IF(AI$23='2.LUC'!$I42, '2.LUC'!$P42, 0)</f>
        <v>0</v>
      </c>
      <c r="AJ30" s="1421">
        <f>IF(AJ$23='2.LUC'!$I42, '2.LUC'!$P42, 0)</f>
        <v>0</v>
      </c>
      <c r="AK30" s="1421">
        <f>IF(AK$23='2.LUC'!$I42, '2.LUC'!$P42, 0)</f>
        <v>0</v>
      </c>
      <c r="AL30" s="1421">
        <f>IF(AL$23 = '2.LUC'!$I42, '2.LUC'!$P42, 0)</f>
        <v>0</v>
      </c>
      <c r="AM30" s="1422">
        <f>IF(AM$23 = '2.LUC'!$I42, '2.LUC'!$P42, 0)</f>
        <v>0</v>
      </c>
      <c r="AN30" s="973"/>
      <c r="AQ30" s="973"/>
      <c r="AR30" s="1354"/>
      <c r="AS30" s="1357">
        <f>IF(LEFT('2.LUC'!$I67,8)=LEFT($AR$26,8),IF(LEFT('2.LUC'!$K67,8)=LEFT(AS$23,8), luc!$E47,0),0)</f>
        <v>0</v>
      </c>
      <c r="AT30" s="1354">
        <f>IF(LEFT('2.LUC'!$I67,8)=LEFT($AR$26,8),IF(LEFT('2.LUC'!$K67,8)=LEFT(AT$23,8), luc!$E47,0),0)</f>
        <v>0</v>
      </c>
      <c r="AU30" s="1354">
        <f>IF(LEFT('2.LUC'!$I67,8)=LEFT($AR$26,8),IF(LEFT('2.LUC'!$K67,8)=LEFT(AU$23,8), luc!$E47,0),0)</f>
        <v>0</v>
      </c>
      <c r="AV30" s="1354">
        <f>IF(LEFT('2.LUC'!$I67,8)=LEFT($AR$26,8),IF(LEFT('2.LUC'!$K67,8)=LEFT(AV$23,8), luc!$E47,0),0)</f>
        <v>0</v>
      </c>
      <c r="AW30" s="1354">
        <f>IF(LEFT('2.LUC'!$I67,8)=LEFT($AR$26,8),IF(LEFT('2.LUC'!$K67,8)=LEFT(AW$23,8), luc!$E47,0),0)</f>
        <v>0</v>
      </c>
      <c r="AX30" s="1354">
        <f>IF(LEFT('2.LUC'!$I67,8)=LEFT($AR$26,8),IF((OR(LEFT('2.LUC'!$K67,8)=LEFT(AX$23,8)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LEFT('2.LUC'!$K67,8)=LEFT(AZ$17,8))),luc!$E47,0),0)</f>
        <v>0</v>
      </c>
      <c r="AZ30" s="1345" t="s">
        <v>1421</v>
      </c>
      <c r="BB30" s="973"/>
      <c r="BC30" s="1354"/>
      <c r="BD30" s="1357">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IF(LEFT('2.LUC'!$K67,8)=LEFT(Matrix!BD$23,8), '2.LUC'!$P67, 0),0)</f>
        <v>0</v>
      </c>
      <c r="BE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IF(LEFT('2.LUC'!$K67,8)=LEFT(Matrix!BE$23,8), '2.LUC'!$P67, 0),0)</f>
        <v>0</v>
      </c>
      <c r="BF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IF(LEFT('2.LUC'!$K67,8)=LEFT(Matrix!BF$23,8), '2.LUC'!$P67, 0),0)</f>
        <v>0</v>
      </c>
      <c r="BG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IF(LEFT('2.LUC'!$K67,8)=LEFT(Matrix!BG$23,8), '2.LUC'!$P67, 0),0)</f>
        <v>0</v>
      </c>
      <c r="BH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IF(LEFT('2.LUC'!$K67,8)=LEFT(Matrix!BH$23,8), '2.LUC'!$P67, 0),0)</f>
        <v>0</v>
      </c>
      <c r="BI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IF(LEFT('2.LUC'!$K67,8)=LEFT(Matrix!BI$23,8), '2.LUC'!$P67, 0),0)</f>
        <v>0</v>
      </c>
      <c r="BJ30" s="973"/>
      <c r="BM30" s="973"/>
      <c r="BN30" s="1354"/>
      <c r="BO30" s="1354">
        <f>IF(LEFT('2.LUC'!$I67,8)=LEFT($BN$26,8),IF(LEFT('2.LUC'!$K67,8)=LEFT(BO$23,8), luc!$E47,0),0)</f>
        <v>0</v>
      </c>
      <c r="BP30" s="1354">
        <f>IF(LEFT('2.LUC'!$I67,8)=LEFT($BN$26,8),IF(LEFT('2.LUC'!$K67,8)=LEFT(BP$23,8), luc!$E47,0),0)</f>
        <v>0</v>
      </c>
      <c r="BQ30" s="1354">
        <f>IF(LEFT('2.LUC'!$I67,8)=LEFT($BN$26,8),IF(LEFT('2.LUC'!$K67,8)=LEFT(BQ$23,8), luc!$E47,0),0)</f>
        <v>0</v>
      </c>
      <c r="BR30" s="1355">
        <f>IF(LEFT('2.LUC'!$I67,8)=LEFT($BN$26,8),IF((OR(LEFT('2.LUC'!$K67,8)=LEFT(BR$23,8),LEFT('2.LUC'!$K67,8)=LEFT(AZ$3,8), 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0</v>
      </c>
      <c r="BS30" s="1355">
        <f>IF(LEFT('2.LUC'!$I67,8)=LEFT($BN$26,8),IF(LEFT('2.LUC'!$K67,8)=LEFT(BS$23,8), luc!$E47,0),0)</f>
        <v>0</v>
      </c>
      <c r="BT30" s="1354">
        <f>IF(LEFT('2.LUC'!$I67,8)=LEFT($BN$26,8),IF(LEFT('2.LUC'!$K67,8)=LEFT(BT$23,8), luc!$E47,0),0)</f>
        <v>0</v>
      </c>
      <c r="BU30" s="973"/>
      <c r="BX30" s="973"/>
      <c r="BY30" s="1355"/>
      <c r="BZ30" s="1355">
        <f>IF(LEFT('2.LUC'!$I67,8)=LEFT($BY$26,8),IF(LEFT('2.LUC'!$K67,8)=LEFT(BZ$23,8), luc!$E47,0),0)</f>
        <v>0</v>
      </c>
      <c r="CA30" s="1355">
        <f>IF(LEFT('2.LUC'!$I67,8)=LEFT($BY$26,8),IF(LEFT('2.LUC'!$K67,8)=LEFT(CA$23,8), luc!$E47,0),0)</f>
        <v>0</v>
      </c>
      <c r="CB30" s="1355">
        <f>IF(LEFT('2.LUC'!$I67,8)=LEFT($BY$26,8),IF(LEFT('2.LUC'!$K67,8)=LEFT(CB$23,8), luc!$E47,0),0)</f>
        <v>0</v>
      </c>
      <c r="CC30" s="1355">
        <f>IF(LEFT('2.LUC'!$I67,8)=LEFT($BY$26,8),IF((OR(LEFT('2.LUC'!$K67,8)=LEFT(CC$23,8),LEFT('2.LUC'!$K67,8)=LEFT(AZ$3,8), LEFT('2.LUC'!$K67,8)=LEFT(AZ$4,8),LEFT('2.LUC'!$K67,8)=LEFT(AZ$5,8),LEFT('2.LUC'!$K67,8)=LEFT(AZ$6,8),LEFT('2.LUC'!$K67,8)=LEFT(AZ$7,8),LEFT('2.LUC'!$K67,8)=LEFT(AZ$8,8),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0</v>
      </c>
      <c r="CD30" s="1355">
        <f>IF(LEFT('2.LUC'!$I67,8)=LEFT($BY$26,8),IF(LEFT('2.LUC'!$K67,8)=LEFT(CD$23,8), luc!$E47,0),0)</f>
        <v>0</v>
      </c>
      <c r="CE30" s="1354">
        <f>IF(LEFT('2.LUC'!$I67,8)=LEFT($BY$26,8),IF(LEFT('2.LUC'!$K67,8)=LEFT(CE$23,8), luc!$E47,0),0)</f>
        <v>0</v>
      </c>
      <c r="CF30" s="973"/>
      <c r="CI30" s="973"/>
      <c r="CJ30" s="1355"/>
      <c r="CK30" s="1355">
        <f>IF(LEFT('2.LUC'!$I67,8)=LEFT($CJ$26,8),IF(LEFT('2.LUC'!$K67,8)=LEFT(CK$23,8), luc!$E47,0),0)</f>
        <v>0</v>
      </c>
      <c r="CL30" s="1355">
        <f>IF(LEFT('2.LUC'!$I67,8)=LEFT($CJ$26,8),IF(LEFT('2.LUC'!$K67,8)=LEFT(CL$23,8), luc!$E47,0),0)</f>
        <v>0</v>
      </c>
      <c r="CM30" s="1355">
        <f>IF(LEFT('2.LUC'!$I67,8)=LEFT($CJ$26,8),IF(LEFT('2.LUC'!$K67,8)=LEFT(CM$23,8), luc!$E47,0),0)</f>
        <v>0</v>
      </c>
      <c r="CN30" s="1354">
        <f>IF(LEFT('2.LUC'!$I67,8)=LEFT($CJ$26,8),IF((OR(LEFT('2.LUC'!$K67,8)=LEFT(CN$23,8)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0</v>
      </c>
      <c r="CO30" s="1104">
        <f>IF(LEFT('2.LUC'!$I67,8)=LEFT($CJ$26,8),IF(LEFT('2.LUC'!$K67,8)=LEFT(CO$23,8), luc!$E47,0),0)</f>
        <v>0</v>
      </c>
      <c r="CP30" s="1354">
        <f>IF(LEFT('2.LUC'!$I67,8)=LEFT($CJ$26,8),IF(LEFT('2.LUC'!$K67,8)=LEFT(CP$23,8), luc!$E47,0),0)</f>
        <v>0</v>
      </c>
      <c r="CQ30" s="973"/>
      <c r="CT30" s="973"/>
      <c r="CU30" s="1355"/>
      <c r="CV30" s="1355">
        <f>IF(LEFT('2.LUC'!$I67,8)=LEFT($CU$26,8),IF(LEFT('2.LUC'!$K67,8)=LEFT(CV$23,8), luc!$E47,0),0)</f>
        <v>0</v>
      </c>
      <c r="CW30" s="1355">
        <f>IF(LEFT('2.LUC'!$I67,8)=LEFT($CU$26,8),IF(LEFT('2.LUC'!$K67,8)=LEFT(CW$23,8), luc!$E47,0),0)</f>
        <v>0</v>
      </c>
      <c r="CX30" s="1355">
        <f>IF(LEFT('2.LUC'!$I67,8)=LEFT($CU$26,8),IF(LEFT('2.LUC'!$K67,8)=LEFT(CX$23,8), luc!$E47,0),0)</f>
        <v>0</v>
      </c>
      <c r="CY30" s="1354">
        <f>IF(LEFT('2.LUC'!$I67,8)=LEFT($CU$26,8),IF((OR(LEFT('2.LUC'!$K67,8)=LEFT(CY$23,8)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0</v>
      </c>
      <c r="CZ30" s="1104">
        <f>IF(LEFT('2.LUC'!$I67,8)=LEFT($CU$26,8),IF(LEFT('2.LUC'!$K67,8)=LEFT(CZ$23,8), luc!$E47,0),0)</f>
        <v>0</v>
      </c>
      <c r="DA30" s="1354">
        <f>IF(LEFT('2.LUC'!$I67,8)=LEFT($CU$26,8),IF(LEFT('2.LUC'!$K67,8)=LEFT(DA$23,8), luc!$E47,0),0)</f>
        <v>0</v>
      </c>
      <c r="DB30" s="973"/>
      <c r="DD30" s="973"/>
      <c r="DE30" s="973"/>
      <c r="DF30" s="1355"/>
      <c r="DG30" s="1355">
        <f>IF(LEFT('2.LUC'!$I67,8)=LEFT($DF$26,8),IF(LEFT('2.LUC'!$K67,8)=LEFT(DG$23,8), luc!$E47,0),0)</f>
        <v>0</v>
      </c>
      <c r="DH30" s="1355">
        <f>IF(LEFT('2.LUC'!$I67,8)=LEFT($DF$26,8),IF(LEFT('2.LUC'!$K67,8)=LEFT(DH$23,8), luc!$E47,0),0)</f>
        <v>0</v>
      </c>
      <c r="DI30" s="1355">
        <f>IF(LEFT('2.LUC'!$I67,8)=LEFT($DF$26,8),IF(LEFT('2.LUC'!$K67,8)=LEFT(DI$23,8), luc!$E47,0),0)</f>
        <v>0</v>
      </c>
      <c r="DJ30" s="1354">
        <f>IF(LEFT('2.LUC'!$I67,8)=LEFT($DF$26,8),IF((OR(LEFT('2.LUC'!$K67,8)=LEFT(DJ$23,8)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0</v>
      </c>
      <c r="DK30" s="1104">
        <f>IF(LEFT('2.LUC'!$I67,8)=LEFT($DF$26,8),IF(LEFT('2.LUC'!$K67,8)=LEFT(DK$23,8), luc!$E47,0),0)</f>
        <v>0</v>
      </c>
      <c r="DL30" s="1354">
        <f>IF(LEFT('2.LUC'!$I67,8)=LEFT($DF$26,8),IF(LEFT('2.LUC'!$K67,8)=LEFT(DL$23,8), luc!$E47,0),0)</f>
        <v>0</v>
      </c>
    </row>
    <row r="31" spans="2:116" x14ac:dyDescent="0.15">
      <c r="D31" s="973"/>
      <c r="F31" s="1370"/>
      <c r="G31" s="1393" t="s">
        <v>3190</v>
      </c>
      <c r="H31" s="1394"/>
      <c r="I31" s="3132">
        <f t="shared" ref="I31:O31" si="12">SUM(I24:I30)</f>
        <v>0</v>
      </c>
      <c r="J31" s="3131">
        <f t="shared" si="12"/>
        <v>300</v>
      </c>
      <c r="K31" s="3131">
        <f t="shared" si="12"/>
        <v>88</v>
      </c>
      <c r="L31" s="3131">
        <f t="shared" si="12"/>
        <v>0</v>
      </c>
      <c r="M31" s="3131">
        <f t="shared" si="12"/>
        <v>300</v>
      </c>
      <c r="N31" s="3131">
        <f t="shared" si="12"/>
        <v>0</v>
      </c>
      <c r="O31" s="3131">
        <f t="shared" si="12"/>
        <v>128</v>
      </c>
      <c r="P31" s="3129">
        <f t="shared" si="11"/>
        <v>816</v>
      </c>
      <c r="S31" s="1168"/>
      <c r="T31" s="1688"/>
      <c r="U31" s="1420">
        <f>IF('2.LUC'!$I18 = U$23, 1,0)* defo!$H42</f>
        <v>0</v>
      </c>
      <c r="V31" s="1421">
        <f>IF('2.LUC'!$I18 = V$23, 1,0)* defo!$H42</f>
        <v>0</v>
      </c>
      <c r="W31" s="1421">
        <f>IF('2.LUC'!$I18 = W$23, 1,0)* defo!$H42</f>
        <v>0</v>
      </c>
      <c r="X31" s="1421">
        <f>IF('2.LUC'!$I18 = X$23, 1,0)* defo!$H42</f>
        <v>0</v>
      </c>
      <c r="Y31" s="1421">
        <f>IF('2.LUC'!$I18 = Y$23, 1,0)* defo!$H42</f>
        <v>0</v>
      </c>
      <c r="Z31" s="1421">
        <f>IF('2.LUC'!$I18 = Z$23, 1,0)* defo!$H42</f>
        <v>0</v>
      </c>
      <c r="AA31" s="1422">
        <f>IF('2.LUC'!$I18 = AA$23, 1,0)* defo!$H42</f>
        <v>0</v>
      </c>
      <c r="AB31" s="973"/>
      <c r="AE31" s="1168"/>
      <c r="AF31" s="1414"/>
      <c r="AG31" s="1420">
        <f>IF(AG$23 = '2.LUC'!$I43, '2.LUC'!$P43, 0)</f>
        <v>0</v>
      </c>
      <c r="AH31" s="1421">
        <f>IF(AH$23='2.LUC'!$I43, '2.LUC'!$P43,0)</f>
        <v>0</v>
      </c>
      <c r="AI31" s="1421">
        <f>IF(AI$23='2.LUC'!$I43, '2.LUC'!$P43, 0)</f>
        <v>0</v>
      </c>
      <c r="AJ31" s="1421">
        <f>IF(AJ$23='2.LUC'!$I43, '2.LUC'!$P43, 0)</f>
        <v>0</v>
      </c>
      <c r="AK31" s="1421">
        <f>IF(AK$23='2.LUC'!$I43, '2.LUC'!$P43, 0)</f>
        <v>0</v>
      </c>
      <c r="AL31" s="1421">
        <f>IF(AL$23 = '2.LUC'!$I43, '2.LUC'!$P43, 0)</f>
        <v>0</v>
      </c>
      <c r="AM31" s="1422">
        <f>IF(AM$23 = '2.LUC'!$I43, '2.LUC'!$P43, 0)</f>
        <v>0</v>
      </c>
      <c r="AN31" s="973"/>
      <c r="AQ31" s="973"/>
      <c r="AR31" s="1354"/>
      <c r="AS31" s="1357">
        <f>IF(LEFT('2.LUC'!$I68,8)=LEFT($AR$26,8),IF(LEFT('2.LUC'!$K68,8)=LEFT(AS$23,8), luc!$E48,0),0)</f>
        <v>0</v>
      </c>
      <c r="AT31" s="1354">
        <f>IF(LEFT('2.LUC'!$I68,8)=LEFT($AR$26,8),IF(LEFT('2.LUC'!$K68,8)=LEFT(AT$23,8), luc!$E48,0),0)</f>
        <v>0</v>
      </c>
      <c r="AU31" s="1354">
        <f>IF(LEFT('2.LUC'!$I68,8)=LEFT($AR$26,8),IF(LEFT('2.LUC'!$K68,8)=LEFT(AU$23,8), luc!$E48,0),0)</f>
        <v>0</v>
      </c>
      <c r="AV31" s="1354">
        <f>IF(LEFT('2.LUC'!$I68,8)=LEFT($AR$26,8),IF(LEFT('2.LUC'!$K68,8)=LEFT(AV$23,8), luc!$E48,0),0)</f>
        <v>0</v>
      </c>
      <c r="AW31" s="1354">
        <f>IF(LEFT('2.LUC'!$I68,8)=LEFT($AR$26,8),IF(LEFT('2.LUC'!$K68,8)=LEFT(AW$23,8), luc!$E48,0),0)</f>
        <v>0</v>
      </c>
      <c r="AX31" s="1354">
        <f>IF(LEFT('2.LUC'!$I68,8)=LEFT($AR$26,8),IF((OR(LEFT('2.LUC'!$K68,8)=LEFT(AX$23,8)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LEFT('2.LUC'!$K68,8)=LEFT(AZ$17,8))),luc!$E48,0),0)</f>
        <v>0</v>
      </c>
      <c r="AZ31" s="1345" t="s">
        <v>1501</v>
      </c>
      <c r="BB31" s="973"/>
      <c r="BC31" s="1354"/>
      <c r="BD31" s="1357">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IF(LEFT('2.LUC'!$K68,8)=LEFT(Matrix!BD$23,8), '2.LUC'!$P68, 0),0)</f>
        <v>0</v>
      </c>
      <c r="BE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IF(LEFT('2.LUC'!$K68,8)=LEFT(Matrix!BE$23,8), '2.LUC'!$P68, 0),0)</f>
        <v>0</v>
      </c>
      <c r="BF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IF(LEFT('2.LUC'!$K68,8)=LEFT(Matrix!BF$23,8), '2.LUC'!$P68, 0),0)</f>
        <v>0</v>
      </c>
      <c r="BG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IF(LEFT('2.LUC'!$K68,8)=LEFT(Matrix!BG$23,8), '2.LUC'!$P68, 0),0)</f>
        <v>0</v>
      </c>
      <c r="BH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IF(LEFT('2.LUC'!$K68,8)=LEFT(Matrix!BH$23,8), '2.LUC'!$P68, 0),0)</f>
        <v>0</v>
      </c>
      <c r="BI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IF(LEFT('2.LUC'!$K68,8)=LEFT(Matrix!BI$23,8), '2.LUC'!$P68, 0),0)</f>
        <v>0</v>
      </c>
      <c r="BJ31" s="973"/>
      <c r="BM31" s="973"/>
      <c r="BN31" s="1354"/>
      <c r="BO31" s="1354">
        <f>IF(LEFT('2.LUC'!$I68,8)=LEFT($BN$26,8),IF(LEFT('2.LUC'!$K68,8)=LEFT(BO$23,8), luc!$E48,0),0)</f>
        <v>0</v>
      </c>
      <c r="BP31" s="1354">
        <f>IF(LEFT('2.LUC'!$I68,8)=LEFT($BN$26,8),IF(LEFT('2.LUC'!$K68,8)=LEFT(BP$23,8), luc!$E48,0),0)</f>
        <v>0</v>
      </c>
      <c r="BQ31" s="1354">
        <f>IF(LEFT('2.LUC'!$I68,8)=LEFT($BN$26,8),IF(LEFT('2.LUC'!$K68,8)=LEFT(BQ$23,8), luc!$E48,0),0)</f>
        <v>0</v>
      </c>
      <c r="BR31" s="1355">
        <f>IF(LEFT('2.LUC'!$I68,8)=LEFT($BN$26,8),IF((OR(LEFT('2.LUC'!$K68,8)=LEFT(BR$23,8),LEFT('2.LUC'!$K68,8)=LEFT(AZ$3,8), 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0</v>
      </c>
      <c r="BS31" s="1355">
        <f>IF(LEFT('2.LUC'!$I68,8)=LEFT($BN$26,8),IF(LEFT('2.LUC'!$K68,8)=LEFT(BS$23,8), luc!$E48,0),0)</f>
        <v>0</v>
      </c>
      <c r="BT31" s="1354">
        <f>IF(LEFT('2.LUC'!$I68,8)=LEFT($BN$26,8),IF(LEFT('2.LUC'!$K68,8)=LEFT(BT$23,8), luc!$E48,0),0)</f>
        <v>0</v>
      </c>
      <c r="BU31" s="973"/>
      <c r="BX31" s="973"/>
      <c r="BY31" s="1355"/>
      <c r="BZ31" s="1355">
        <f>IF(LEFT('2.LUC'!$I68,8)=LEFT($BY$26,8),IF(LEFT('2.LUC'!$K68,8)=LEFT(BZ$23,8), luc!$E48,0),0)</f>
        <v>0</v>
      </c>
      <c r="CA31" s="1355">
        <f>IF(LEFT('2.LUC'!$I68,8)=LEFT($BY$26,8),IF(LEFT('2.LUC'!$K68,8)=LEFT(CA$23,8), luc!$E48,0),0)</f>
        <v>0</v>
      </c>
      <c r="CB31" s="1355">
        <f>IF(LEFT('2.LUC'!$I68,8)=LEFT($BY$26,8),IF(LEFT('2.LUC'!$K68,8)=LEFT(CB$23,8), luc!$E48,0),0)</f>
        <v>0</v>
      </c>
      <c r="CC31" s="1355">
        <f>IF(LEFT('2.LUC'!$I68,8)=LEFT($BY$26,8),IF((OR(LEFT('2.LUC'!$K68,8)=LEFT(CC$23,8),LEFT('2.LUC'!$K68,8)=LEFT(AZ$3,8), LEFT('2.LUC'!$K68,8)=LEFT(AZ$4,8),LEFT('2.LUC'!$K68,8)=LEFT(AZ$5,8),LEFT('2.LUC'!$K68,8)=LEFT(AZ$6,8),LEFT('2.LUC'!$K68,8)=LEFT(AZ$7,8),LEFT('2.LUC'!$K68,8)=LEFT(AZ$8,8),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0</v>
      </c>
      <c r="CD31" s="1355">
        <f>IF(LEFT('2.LUC'!$I68,8)=LEFT($BY$26,8),IF(LEFT('2.LUC'!$K68,8)=LEFT(CD$23,8), luc!$E48,0),0)</f>
        <v>0</v>
      </c>
      <c r="CE31" s="1354">
        <f>IF(LEFT('2.LUC'!$I68,8)=LEFT($BY$26,8),IF(LEFT('2.LUC'!$K68,8)=LEFT(CE$23,8), luc!$E48,0),0)</f>
        <v>0</v>
      </c>
      <c r="CF31" s="973"/>
      <c r="CI31" s="973"/>
      <c r="CJ31" s="1355"/>
      <c r="CK31" s="1355">
        <f>IF(LEFT('2.LUC'!$I68,8)=LEFT($CJ$26,8),IF(LEFT('2.LUC'!$K68,8)=LEFT(CK$23,8), luc!$E48,0),0)</f>
        <v>0</v>
      </c>
      <c r="CL31" s="1355">
        <f>IF(LEFT('2.LUC'!$I68,8)=LEFT($CJ$26,8),IF(LEFT('2.LUC'!$K68,8)=LEFT(CL$23,8), luc!$E48,0),0)</f>
        <v>0</v>
      </c>
      <c r="CM31" s="1355">
        <f>IF(LEFT('2.LUC'!$I68,8)=LEFT($CJ$26,8),IF(LEFT('2.LUC'!$K68,8)=LEFT(CM$23,8), luc!$E48,0),0)</f>
        <v>0</v>
      </c>
      <c r="CN31" s="1354">
        <f>IF(LEFT('2.LUC'!$I68,8)=LEFT($CJ$26,8),IF((OR(LEFT('2.LUC'!$K68,8)=LEFT(CN$23,8)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0</v>
      </c>
      <c r="CO31" s="1104">
        <f>IF(LEFT('2.LUC'!$I68,8)=LEFT($CJ$26,8),IF(LEFT('2.LUC'!$K68,8)=LEFT(CO$23,8), luc!$E48,0),0)</f>
        <v>0</v>
      </c>
      <c r="CP31" s="1354">
        <f>IF(LEFT('2.LUC'!$I68,8)=LEFT($CJ$26,8),IF(LEFT('2.LUC'!$K68,8)=LEFT(CP$23,8), luc!$E48,0),0)</f>
        <v>0</v>
      </c>
      <c r="CQ31" s="973"/>
      <c r="CT31" s="973"/>
      <c r="CU31" s="1355"/>
      <c r="CV31" s="1355">
        <f>IF(LEFT('2.LUC'!$I68,8)=LEFT($CU$26,8),IF(LEFT('2.LUC'!$K68,8)=LEFT(CV$23,8), luc!$E48,0),0)</f>
        <v>0</v>
      </c>
      <c r="CW31" s="1355">
        <f>IF(LEFT('2.LUC'!$I68,8)=LEFT($CU$26,8),IF(LEFT('2.LUC'!$K68,8)=LEFT(CW$23,8), luc!$E48,0),0)</f>
        <v>0</v>
      </c>
      <c r="CX31" s="1355">
        <f>IF(LEFT('2.LUC'!$I68,8)=LEFT($CU$26,8),IF(LEFT('2.LUC'!$K68,8)=LEFT(CX$23,8), luc!$E48,0),0)</f>
        <v>0</v>
      </c>
      <c r="CY31" s="1354">
        <f>IF(LEFT('2.LUC'!$I68,8)=LEFT($CU$26,8),IF((OR(LEFT('2.LUC'!$K68,8)=LEFT(CY$23,8)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0</v>
      </c>
      <c r="CZ31" s="1104">
        <f>IF(LEFT('2.LUC'!$I68,8)=LEFT($CU$26,8),IF(LEFT('2.LUC'!$K68,8)=LEFT(CZ$23,8), luc!$E48,0),0)</f>
        <v>0</v>
      </c>
      <c r="DA31" s="1354">
        <f>IF(LEFT('2.LUC'!$I68,8)=LEFT($CU$26,8),IF(LEFT('2.LUC'!$K68,8)=LEFT(DA$23,8), luc!$E48,0),0)</f>
        <v>0</v>
      </c>
      <c r="DB31" s="973"/>
      <c r="DD31" s="973"/>
      <c r="DE31" s="973"/>
      <c r="DF31" s="1355"/>
      <c r="DG31" s="1355">
        <f>IF(LEFT('2.LUC'!$I68,8)=LEFT($DF$26,8),IF(LEFT('2.LUC'!$K68,8)=LEFT(DG$23,8), luc!$E48,0),0)</f>
        <v>0</v>
      </c>
      <c r="DH31" s="1355">
        <f>IF(LEFT('2.LUC'!$I68,8)=LEFT($DF$26,8),IF(LEFT('2.LUC'!$K68,8)=LEFT(DH$23,8), luc!$E48,0),0)</f>
        <v>0</v>
      </c>
      <c r="DI31" s="1355">
        <f>IF(LEFT('2.LUC'!$I68,8)=LEFT($DF$26,8),IF(LEFT('2.LUC'!$K68,8)=LEFT(DI$23,8), luc!$E48,0),0)</f>
        <v>0</v>
      </c>
      <c r="DJ31" s="1354">
        <f>IF(LEFT('2.LUC'!$I68,8)=LEFT($DF$26,8),IF((OR(LEFT('2.LUC'!$K68,8)=LEFT(DJ$23,8)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0</v>
      </c>
      <c r="DK31" s="1104">
        <f>IF(LEFT('2.LUC'!$I68,8)=LEFT($DF$26,8),IF(LEFT('2.LUC'!$K68,8)=LEFT(DK$23,8), luc!$E48,0),0)</f>
        <v>0</v>
      </c>
      <c r="DL31" s="1354">
        <f>IF(LEFT('2.LUC'!$I68,8)=LEFT($DF$26,8),IF(LEFT('2.LUC'!$K68,8)=LEFT(DL$23,8), luc!$E48,0),0)</f>
        <v>0</v>
      </c>
    </row>
    <row r="32" spans="2:116" x14ac:dyDescent="0.15">
      <c r="D32" s="973"/>
      <c r="F32" s="1765" t="s">
        <v>3176</v>
      </c>
      <c r="J32" s="1765" t="s">
        <v>3177</v>
      </c>
      <c r="S32" s="1168"/>
      <c r="T32" s="1749" t="s">
        <v>235</v>
      </c>
      <c r="U32" s="1374">
        <f t="shared" ref="U32:AA32" si="13">SUM(U24:U31)</f>
        <v>0</v>
      </c>
      <c r="V32" s="1374">
        <f t="shared" si="13"/>
        <v>0</v>
      </c>
      <c r="W32" s="1374">
        <f t="shared" si="13"/>
        <v>0</v>
      </c>
      <c r="X32" s="1374">
        <f t="shared" si="13"/>
        <v>0</v>
      </c>
      <c r="Y32" s="1374">
        <f t="shared" si="13"/>
        <v>0</v>
      </c>
      <c r="Z32" s="1374">
        <f t="shared" si="13"/>
        <v>0</v>
      </c>
      <c r="AA32" s="1374">
        <f t="shared" si="13"/>
        <v>0</v>
      </c>
      <c r="AB32" s="973"/>
      <c r="AE32" s="1168"/>
      <c r="AF32" s="1749" t="s">
        <v>218</v>
      </c>
      <c r="AG32" s="1759">
        <f t="shared" ref="AG32:AM32" si="14">SUM(AG24:AG31)</f>
        <v>0</v>
      </c>
      <c r="AH32" s="1759">
        <f t="shared" si="14"/>
        <v>0</v>
      </c>
      <c r="AI32" s="1759">
        <f t="shared" si="14"/>
        <v>0</v>
      </c>
      <c r="AJ32" s="1759">
        <f t="shared" si="14"/>
        <v>0</v>
      </c>
      <c r="AK32" s="1759">
        <f t="shared" si="14"/>
        <v>0</v>
      </c>
      <c r="AL32" s="1759">
        <f t="shared" si="14"/>
        <v>0</v>
      </c>
      <c r="AM32" s="1759">
        <f t="shared" si="14"/>
        <v>0</v>
      </c>
      <c r="AN32" s="973"/>
      <c r="AQ32" s="973"/>
      <c r="AR32" s="1362"/>
      <c r="AS32" s="1357">
        <f>IF(LEFT('2.LUC'!$I69,8)=LEFT($AR$26,8),IF(LEFT('2.LUC'!$K69,8)=LEFT(AS$23,8), luc!$E49,0),0)</f>
        <v>0</v>
      </c>
      <c r="AT32" s="1354">
        <f>IF(LEFT('2.LUC'!$I69,8)=LEFT($AR$26,8),IF(LEFT('2.LUC'!$K69,8)=LEFT(AT$23,8), luc!$E49,0),0)</f>
        <v>0</v>
      </c>
      <c r="AU32" s="1354">
        <f>IF(LEFT('2.LUC'!$I69,8)=LEFT($AR$26,8),IF(LEFT('2.LUC'!$K69,8)=LEFT(AU$23,8), luc!$E49,0),0)</f>
        <v>0</v>
      </c>
      <c r="AV32" s="1354">
        <f>IF(LEFT('2.LUC'!$I69,8)=LEFT($AR$26,8),IF(LEFT('2.LUC'!$K69,8)=LEFT(AV$23,8), luc!$E49,0),0)</f>
        <v>0</v>
      </c>
      <c r="AW32" s="1354">
        <f>IF(LEFT('2.LUC'!$I69,8)=LEFT($AR$26,8),IF(LEFT('2.LUC'!$K69,8)=LEFT(AW$23,8), luc!$E49,0),0)</f>
        <v>0</v>
      </c>
      <c r="AX32" s="1354">
        <f>IF(LEFT('2.LUC'!$I69,8)=LEFT($AR$26,8),IF((OR(LEFT('2.LUC'!$K69,8)=LEFT(AX$23,8)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LEFT('2.LUC'!$K69,8)=LEFT(AZ$17,8))),luc!$E49,0),0)</f>
        <v>0</v>
      </c>
      <c r="AZ32" s="1345" t="s">
        <v>1424</v>
      </c>
      <c r="BB32" s="973"/>
      <c r="BC32" s="1354"/>
      <c r="BD32" s="1357">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IF(LEFT('2.LUC'!$K69,8)=LEFT(Matrix!BD$23,8), '2.LUC'!$P69, 0),0)</f>
        <v>0</v>
      </c>
      <c r="BE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IF(LEFT('2.LUC'!$K69,8)=LEFT(Matrix!BE$23,8), '2.LUC'!$P69, 0),0)</f>
        <v>0</v>
      </c>
      <c r="BF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IF(LEFT('2.LUC'!$K69,8)=LEFT(Matrix!BF$23,8), '2.LUC'!$P69, 0),0)</f>
        <v>0</v>
      </c>
      <c r="BG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IF(LEFT('2.LUC'!$K69,8)=LEFT(Matrix!BG$23,8), '2.LUC'!$P69, 0),0)</f>
        <v>0</v>
      </c>
      <c r="BH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IF(LEFT('2.LUC'!$K69,8)=LEFT(Matrix!BH$23,8), '2.LUC'!$P69, 0),0)</f>
        <v>0</v>
      </c>
      <c r="BI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IF(LEFT('2.LUC'!$K69,8)=LEFT(Matrix!BI$23,8), '2.LUC'!$P69, 0),0)</f>
        <v>0</v>
      </c>
      <c r="BJ32" s="973"/>
      <c r="BM32" s="973"/>
      <c r="BN32" s="1354"/>
      <c r="BO32" s="1354">
        <f>IF(LEFT('2.LUC'!$I69,8)=LEFT($BN$26,8),IF(LEFT('2.LUC'!$K69,8)=LEFT(BO$23,8), luc!$E49,0),0)</f>
        <v>0</v>
      </c>
      <c r="BP32" s="1354">
        <f>IF(LEFT('2.LUC'!$I69,8)=LEFT($BN$26,8),IF(LEFT('2.LUC'!$K69,8)=LEFT(BP$23,8), luc!$E49,0),0)</f>
        <v>0</v>
      </c>
      <c r="BQ32" s="1354">
        <f>IF(LEFT('2.LUC'!$I69,8)=LEFT($BN$26,8),IF(LEFT('2.LUC'!$K69,8)=LEFT(BQ$23,8), luc!$E49,0),0)</f>
        <v>0</v>
      </c>
      <c r="BR32" s="1355">
        <f>IF(LEFT('2.LUC'!$I69,8)=LEFT($BN$26,8),IF((OR(LEFT('2.LUC'!$K69,8)=LEFT(BR$23,8),LEFT('2.LUC'!$K69,8)=LEFT(AZ$3,8), 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0</v>
      </c>
      <c r="BS32" s="1355">
        <f>IF(LEFT('2.LUC'!$I69,8)=LEFT($BN$26,8),IF(LEFT('2.LUC'!$K69,8)=LEFT(BS$23,8), luc!$E49,0),0)</f>
        <v>0</v>
      </c>
      <c r="BT32" s="1354">
        <f>IF(LEFT('2.LUC'!$I69,8)=LEFT($BN$26,8),IF(LEFT('2.LUC'!$K69,8)=LEFT(BT$23,8), luc!$E49,0),0)</f>
        <v>0</v>
      </c>
      <c r="BU32" s="973"/>
      <c r="BX32" s="973"/>
      <c r="BY32" s="1355"/>
      <c r="BZ32" s="1355">
        <f>IF(LEFT('2.LUC'!$I69,8)=LEFT($BY$26,8),IF(LEFT('2.LUC'!$K69,8)=LEFT(BZ$23,8), luc!$E49,0),0)</f>
        <v>0</v>
      </c>
      <c r="CA32" s="1355">
        <f>IF(LEFT('2.LUC'!$I69,8)=LEFT($BY$26,8),IF(LEFT('2.LUC'!$K69,8)=LEFT(CA$23,8), luc!$E49,0),0)</f>
        <v>0</v>
      </c>
      <c r="CB32" s="1355">
        <f>IF(LEFT('2.LUC'!$I69,8)=LEFT($BY$26,8),IF(LEFT('2.LUC'!$K69,8)=LEFT(CB$23,8), luc!$E49,0),0)</f>
        <v>0</v>
      </c>
      <c r="CC32" s="1355">
        <f>IF(LEFT('2.LUC'!$I69,8)=LEFT($BY$26,8),IF((OR(LEFT('2.LUC'!$K69,8)=LEFT(CC$23,8),LEFT('2.LUC'!$K69,8)=LEFT(AZ$3,8), LEFT('2.LUC'!$K69,8)=LEFT(AZ$4,8),LEFT('2.LUC'!$K69,8)=LEFT(AZ$5,8),LEFT('2.LUC'!$K69,8)=LEFT(AZ$6,8),LEFT('2.LUC'!$K69,8)=LEFT(AZ$7,8),LEFT('2.LUC'!$K69,8)=LEFT(AZ$8,8),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0</v>
      </c>
      <c r="CD32" s="1355">
        <f>IF(LEFT('2.LUC'!$I69,8)=LEFT($BY$26,8),IF(LEFT('2.LUC'!$K69,8)=LEFT(CD$23,8), luc!$E49,0),0)</f>
        <v>0</v>
      </c>
      <c r="CE32" s="1354">
        <f>IF(LEFT('2.LUC'!$I69,8)=LEFT($BY$26,8),IF(LEFT('2.LUC'!$K69,8)=LEFT(CE$23,8), luc!$E49,0),0)</f>
        <v>0</v>
      </c>
      <c r="CF32" s="973"/>
      <c r="CI32" s="973"/>
      <c r="CJ32" s="1355"/>
      <c r="CK32" s="1355">
        <f>IF(LEFT('2.LUC'!$I69,8)=LEFT($CJ$26,8),IF(LEFT('2.LUC'!$K69,8)=LEFT(CK$23,8), luc!$E49,0),0)</f>
        <v>0</v>
      </c>
      <c r="CL32" s="1355">
        <f>IF(LEFT('2.LUC'!$I69,8)=LEFT($CJ$26,8),IF(LEFT('2.LUC'!$K69,8)=LEFT(CL$23,8), luc!$E49,0),0)</f>
        <v>0</v>
      </c>
      <c r="CM32" s="1355">
        <f>IF(LEFT('2.LUC'!$I69,8)=LEFT($CJ$26,8),IF(LEFT('2.LUC'!$K69,8)=LEFT(CM$23,8), luc!$E49,0),0)</f>
        <v>0</v>
      </c>
      <c r="CN32" s="1354">
        <f>IF(LEFT('2.LUC'!$I69,8)=LEFT($CJ$26,8),IF((OR(LEFT('2.LUC'!$K69,8)=LEFT(CN$23,8)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0</v>
      </c>
      <c r="CO32" s="1104">
        <f>IF(LEFT('2.LUC'!$I69,8)=LEFT($CJ$26,8),IF(LEFT('2.LUC'!$K69,8)=LEFT(CO$23,8), luc!$E49,0),0)</f>
        <v>0</v>
      </c>
      <c r="CP32" s="1354">
        <f>IF(LEFT('2.LUC'!$I69,8)=LEFT($CJ$26,8),IF(LEFT('2.LUC'!$K69,8)=LEFT(CP$23,8), luc!$E49,0),0)</f>
        <v>0</v>
      </c>
      <c r="CQ32" s="973"/>
      <c r="CT32" s="973"/>
      <c r="CU32" s="1355"/>
      <c r="CV32" s="1355">
        <f>IF(LEFT('2.LUC'!$I69,8)=LEFT($CU$26,8),IF(LEFT('2.LUC'!$K69,8)=LEFT(CV$23,8), luc!$E49,0),0)</f>
        <v>0</v>
      </c>
      <c r="CW32" s="1355">
        <f>IF(LEFT('2.LUC'!$I69,8)=LEFT($CU$26,8),IF(LEFT('2.LUC'!$K69,8)=LEFT(CW$23,8), luc!$E49,0),0)</f>
        <v>0</v>
      </c>
      <c r="CX32" s="1355">
        <f>IF(LEFT('2.LUC'!$I69,8)=LEFT($CU$26,8),IF(LEFT('2.LUC'!$K69,8)=LEFT(CX$23,8), luc!$E49,0),0)</f>
        <v>0</v>
      </c>
      <c r="CY32" s="1354">
        <f>IF(LEFT('2.LUC'!$I69,8)=LEFT($CU$26,8),IF((OR(LEFT('2.LUC'!$K69,8)=LEFT(CY$23,8)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0</v>
      </c>
      <c r="CZ32" s="1104">
        <f>IF(LEFT('2.LUC'!$I69,8)=LEFT($CU$26,8),IF(LEFT('2.LUC'!$K69,8)=LEFT(CZ$23,8), luc!$E49,0),0)</f>
        <v>0</v>
      </c>
      <c r="DA32" s="1354">
        <f>IF(LEFT('2.LUC'!$I69,8)=LEFT($CU$26,8),IF(LEFT('2.LUC'!$K69,8)=LEFT(DA$23,8), luc!$E49,0),0)</f>
        <v>0</v>
      </c>
      <c r="DB32" s="973"/>
      <c r="DD32" s="973"/>
      <c r="DE32" s="973"/>
      <c r="DF32" s="1355"/>
      <c r="DG32" s="1355">
        <f>IF(LEFT('2.LUC'!$I69,8)=LEFT($DF$26,8),IF(LEFT('2.LUC'!$K69,8)=LEFT(DG$23,8), luc!$E49,0),0)</f>
        <v>0</v>
      </c>
      <c r="DH32" s="1355">
        <f>IF(LEFT('2.LUC'!$I69,8)=LEFT($DF$26,8),IF(LEFT('2.LUC'!$K69,8)=LEFT(DH$23,8), luc!$E49,0),0)</f>
        <v>0</v>
      </c>
      <c r="DI32" s="1355">
        <f>IF(LEFT('2.LUC'!$I69,8)=LEFT($DF$26,8),IF(LEFT('2.LUC'!$K69,8)=LEFT(DI$23,8), luc!$E49,0),0)</f>
        <v>0</v>
      </c>
      <c r="DJ32" s="1354">
        <f>IF(LEFT('2.LUC'!$I69,8)=LEFT($DF$26,8),IF((OR(LEFT('2.LUC'!$K69,8)=LEFT(DJ$23,8)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0</v>
      </c>
      <c r="DK32" s="1104">
        <f>IF(LEFT('2.LUC'!$I69,8)=LEFT($DF$26,8),IF(LEFT('2.LUC'!$K69,8)=LEFT(DK$23,8), luc!$E49,0),0)</f>
        <v>0</v>
      </c>
      <c r="DL32" s="1354">
        <f>IF(LEFT('2.LUC'!$I69,8)=LEFT($DF$26,8),IF(LEFT('2.LUC'!$K69,8)=LEFT(DL$23,8), luc!$E49,0),0)</f>
        <v>0</v>
      </c>
    </row>
    <row r="33" spans="2:118" x14ac:dyDescent="0.15">
      <c r="F33" s="1765" t="s">
        <v>3178</v>
      </c>
      <c r="J33" s="1765" t="s">
        <v>3179</v>
      </c>
      <c r="N33" s="3125"/>
      <c r="S33" s="973"/>
      <c r="T33" s="3466"/>
      <c r="U33" s="973"/>
      <c r="V33" s="973"/>
      <c r="W33" s="973"/>
      <c r="X33" s="973"/>
      <c r="Y33" s="973"/>
      <c r="Z33" s="973"/>
      <c r="AA33" s="973"/>
      <c r="AB33" s="973"/>
      <c r="AE33" s="973"/>
      <c r="AF33" s="973"/>
      <c r="AG33" s="973"/>
      <c r="AH33" s="973"/>
      <c r="AI33" s="973"/>
      <c r="AJ33" s="973"/>
      <c r="AK33" s="973"/>
      <c r="AL33" s="973"/>
      <c r="AM33" s="973"/>
      <c r="AN33" s="973"/>
      <c r="AQ33" s="973"/>
      <c r="AR33" s="1362"/>
      <c r="AS33" s="1375">
        <f>IF(LEFT('2.LUC'!$I70,8)=LEFT($AR$26,8),IF(LEFT('2.LUC'!$K70,8)=LEFT(AS$23,8), luc!$E50,0),0)</f>
        <v>0</v>
      </c>
      <c r="AT33" s="1376">
        <f>IF(LEFT('2.LUC'!$I70,8)=LEFT($AR$26,8),IF(LEFT('2.LUC'!$K70,8)=LEFT(AT$23,8), luc!$E50,0),0)</f>
        <v>0</v>
      </c>
      <c r="AU33" s="1376">
        <f>IF(LEFT('2.LUC'!$I70,8)=LEFT($AR$26,8),IF(LEFT('2.LUC'!$K70,8)=LEFT(AU$23,8), luc!$E50,0),0)</f>
        <v>0</v>
      </c>
      <c r="AV33" s="1376">
        <f>IF(LEFT('2.LUC'!$I70,8)=LEFT($AR$26,8),IF(LEFT('2.LUC'!$K70,8)=LEFT(AV$23,8), luc!$E50,0),0)</f>
        <v>0</v>
      </c>
      <c r="AW33" s="1376">
        <f>IF(LEFT('2.LUC'!$I70,8)=LEFT($AR$26,8),IF(LEFT('2.LUC'!$K70,8)=LEFT(AW$23,8), luc!$E50,0),0)</f>
        <v>0</v>
      </c>
      <c r="AX33" s="1376">
        <f>IF(LEFT('2.LUC'!$I70,8)=LEFT($AR$26,8),IF((OR(LEFT('2.LUC'!$K70,8)=LEFT(AX$23,8)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LEFT('2.LUC'!$K70,8)=LEFT(AZ$17,8))),luc!$E50,0),0)</f>
        <v>0</v>
      </c>
      <c r="AZ33" s="1345" t="s">
        <v>1427</v>
      </c>
      <c r="BB33" s="973"/>
      <c r="BC33" s="1354"/>
      <c r="BD33" s="1375">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IF(LEFT('2.LUC'!$K70,8)=LEFT(Matrix!BD$23,8), '2.LUC'!$P70, 0),0)</f>
        <v>0</v>
      </c>
      <c r="BE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IF(LEFT('2.LUC'!$K70,8)=LEFT(Matrix!BE$23,8), '2.LUC'!$P70, 0),0)</f>
        <v>0</v>
      </c>
      <c r="BF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IF(LEFT('2.LUC'!$K70,8)=LEFT(Matrix!BF$23,8), '2.LUC'!$P70, 0),0)</f>
        <v>0</v>
      </c>
      <c r="BG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IF(LEFT('2.LUC'!$K70,8)=LEFT(Matrix!BG$23,8), '2.LUC'!$P70, 0),0)</f>
        <v>0</v>
      </c>
      <c r="BH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IF(LEFT('2.LUC'!$K70,8)=LEFT(Matrix!BH$23,8), '2.LUC'!$P70, 0),0)</f>
        <v>0</v>
      </c>
      <c r="BI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IF(LEFT('2.LUC'!$K70,8)=LEFT(Matrix!BI$23,8), '2.LUC'!$P70, 0),0)</f>
        <v>0</v>
      </c>
      <c r="BJ33" s="973"/>
      <c r="BM33" s="973"/>
      <c r="BN33" s="1354"/>
      <c r="BO33" s="1376">
        <f>IF(LEFT('2.LUC'!$I70,8)=LEFT($BN$26,8),IF(LEFT('2.LUC'!$K70,8)=LEFT(BO$23,8), luc!$E50,0),0)</f>
        <v>0</v>
      </c>
      <c r="BP33" s="1376">
        <f>IF(LEFT('2.LUC'!$I70,8)=LEFT($BN$26,8),IF(LEFT('2.LUC'!$K70,8)=LEFT(BP$23,8), luc!$E50,0),0)</f>
        <v>0</v>
      </c>
      <c r="BQ33" s="1376">
        <f>IF(LEFT('2.LUC'!$I70,8)=LEFT($BN$26,8),IF(LEFT('2.LUC'!$K70,8)=LEFT(BQ$23,8), luc!$E50,0),0)</f>
        <v>0</v>
      </c>
      <c r="BR33" s="1377">
        <f>IF(LEFT('2.LUC'!$I70,8)=LEFT($BN$26,8),IF((OR(LEFT('2.LUC'!$K70,8)=LEFT(BR$23,8),LEFT('2.LUC'!$K70,8)=LEFT(AZ$3,8), 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0</v>
      </c>
      <c r="BS33" s="1377">
        <f>IF(LEFT('2.LUC'!$I70,8)=LEFT($BN$26,8),IF(LEFT('2.LUC'!$K70,8)=LEFT(BS$23,8), luc!$E50,0),0)</f>
        <v>0</v>
      </c>
      <c r="BT33" s="1376">
        <f>IF(LEFT('2.LUC'!$I70,8)=LEFT($BN$26,8),IF(LEFT('2.LUC'!$K70,8)=LEFT(BT$23,8), luc!$E50,0),0)</f>
        <v>0</v>
      </c>
      <c r="BU33" s="973"/>
      <c r="BX33" s="973"/>
      <c r="BY33" s="1355"/>
      <c r="BZ33" s="1377">
        <f>IF(LEFT('2.LUC'!$I70,8)=LEFT($BY$26,8),IF(LEFT('2.LUC'!$K70,8)=LEFT(BZ$23,8), luc!$E50,0),0)</f>
        <v>0</v>
      </c>
      <c r="CA33" s="1377">
        <f>IF(LEFT('2.LUC'!$I70,8)=LEFT($BY$26,8),IF(LEFT('2.LUC'!$K70,8)=LEFT(CA$23,8), luc!$E50,0),0)</f>
        <v>0</v>
      </c>
      <c r="CB33" s="1377">
        <f>IF(LEFT('2.LUC'!$I70,8)=LEFT($BY$26,8),IF(LEFT('2.LUC'!$K70,8)=LEFT(CB$23,8), luc!$E50,0),0)</f>
        <v>0</v>
      </c>
      <c r="CC33" s="1377">
        <f>IF(LEFT('2.LUC'!$I70,8)=LEFT($BY$26,8),IF((OR(LEFT('2.LUC'!$K70,8)=LEFT(CC$23,8),LEFT('2.LUC'!$K70,8)=LEFT(AZ$3,8), LEFT('2.LUC'!$K70,8)=LEFT(AZ$4,8),LEFT('2.LUC'!$K70,8)=LEFT(AZ$5,8),LEFT('2.LUC'!$K70,8)=LEFT(AZ$6,8),LEFT('2.LUC'!$K70,8)=LEFT(AZ$7,8),LEFT('2.LUC'!$K70,8)=LEFT(AZ$8,8),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0</v>
      </c>
      <c r="CD33" s="1377">
        <f>IF(LEFT('2.LUC'!$I70,8)=LEFT($BY$26,8),IF(LEFT('2.LUC'!$K70,8)=LEFT(CD$23,8), luc!$E50,0),0)</f>
        <v>0</v>
      </c>
      <c r="CE33" s="1376">
        <f>IF(LEFT('2.LUC'!$I70,8)=LEFT($BY$26,8),IF(LEFT('2.LUC'!$K70,8)=LEFT(CE$23,8), luc!$E50,0),0)</f>
        <v>0</v>
      </c>
      <c r="CF33" s="973"/>
      <c r="CI33" s="973"/>
      <c r="CJ33" s="1355"/>
      <c r="CK33" s="1377">
        <f>IF(LEFT('2.LUC'!$I70,8)=LEFT($CJ$26,8),IF(LEFT('2.LUC'!$K70,8)=LEFT(CK$23,8), luc!$E50,0),0)</f>
        <v>0</v>
      </c>
      <c r="CL33" s="1377">
        <f>IF(LEFT('2.LUC'!$I70,8)=LEFT($CJ$26,8),IF(LEFT('2.LUC'!$K70,8)=LEFT(CL$23,8), luc!$E50,0),0)</f>
        <v>0</v>
      </c>
      <c r="CM33" s="1377">
        <f>IF(LEFT('2.LUC'!$I70,8)=LEFT($CJ$26,8),IF(LEFT('2.LUC'!$K70,8)=LEFT(CM$23,8), luc!$E50,0),0)</f>
        <v>0</v>
      </c>
      <c r="CN33" s="1376">
        <f>IF(LEFT('2.LUC'!$I70,8)=LEFT($CJ$26,8),IF((OR(LEFT('2.LUC'!$K70,8)=LEFT(CN$23,8)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0</v>
      </c>
      <c r="CO33" s="1378">
        <f>IF(LEFT('2.LUC'!$I70,8)=LEFT($CJ$26,8),IF(LEFT('2.LUC'!$K70,8)=LEFT(CO$23,8), luc!$E50,0),0)</f>
        <v>0</v>
      </c>
      <c r="CP33" s="1376">
        <f>IF(LEFT('2.LUC'!$I70,8)=LEFT($CJ$26,8),IF(LEFT('2.LUC'!$K70,8)=LEFT(CP$23,8), luc!$E50,0),0)</f>
        <v>0</v>
      </c>
      <c r="CQ33" s="973"/>
      <c r="CT33" s="973"/>
      <c r="CU33" s="1355"/>
      <c r="CV33" s="1377">
        <f>IF(LEFT('2.LUC'!$I70,8)=LEFT($CU$26,8),IF(LEFT('2.LUC'!$K70,8)=LEFT(CV$23,8), luc!$E50,0),0)</f>
        <v>0</v>
      </c>
      <c r="CW33" s="1377">
        <f>IF(LEFT('2.LUC'!$I70,8)=LEFT($CU$26,8),IF(LEFT('2.LUC'!$K70,8)=LEFT(CW$23,8), luc!$E50,0),0)</f>
        <v>0</v>
      </c>
      <c r="CX33" s="1377">
        <f>IF(LEFT('2.LUC'!$I70,8)=LEFT($CU$26,8),IF(LEFT('2.LUC'!$K70,8)=LEFT(CX$23,8), luc!$E50,0),0)</f>
        <v>0</v>
      </c>
      <c r="CY33" s="1376">
        <f>IF(LEFT('2.LUC'!$I70,8)=LEFT($CU$26,8),IF((OR(LEFT('2.LUC'!$K70,8)=LEFT(CY$23,8)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0</v>
      </c>
      <c r="CZ33" s="1378">
        <f>IF(LEFT('2.LUC'!$I70,8)=LEFT($CU$26,8),IF(LEFT('2.LUC'!$K70,8)=LEFT(CZ$23,8), luc!$E50,0),0)</f>
        <v>0</v>
      </c>
      <c r="DA33" s="1376">
        <f>IF(LEFT('2.LUC'!$I70,8)=LEFT($CU$26,8),IF(LEFT('2.LUC'!$K70,8)=LEFT(DA$23,8), luc!$E50,0),0)</f>
        <v>0</v>
      </c>
      <c r="DB33" s="973"/>
      <c r="DD33" s="973"/>
      <c r="DE33" s="973"/>
      <c r="DF33" s="1355"/>
      <c r="DG33" s="1377">
        <f>IF(LEFT('2.LUC'!$I70,8)=LEFT($DF$26,8),IF(LEFT('2.LUC'!$K70,8)=LEFT(DG$23,8), luc!$E50,0),0)</f>
        <v>0</v>
      </c>
      <c r="DH33" s="1377">
        <f>IF(LEFT('2.LUC'!$I70,8)=LEFT($DF$26,8),IF(LEFT('2.LUC'!$K70,8)=LEFT(DH$23,8), luc!$E50,0),0)</f>
        <v>0</v>
      </c>
      <c r="DI33" s="1377">
        <f>IF(LEFT('2.LUC'!$I70,8)=LEFT($DF$26,8),IF(LEFT('2.LUC'!$K70,8)=LEFT(DI$23,8), luc!$E50,0),0)</f>
        <v>0</v>
      </c>
      <c r="DJ33" s="1376">
        <f>IF(LEFT('2.LUC'!$I70,8)=LEFT($DF$26,8),IF((OR(LEFT('2.LUC'!$K70,8)=LEFT(DJ$23,8)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0</v>
      </c>
      <c r="DK33" s="1378">
        <f>IF(LEFT('2.LUC'!$I70,8)=LEFT($DF$26,8),IF(LEFT('2.LUC'!$K70,8)=LEFT(DK$23,8), luc!$E50,0),0)</f>
        <v>0</v>
      </c>
      <c r="DL33" s="1376">
        <f>IF(LEFT('2.LUC'!$I70,8)=LEFT($DF$26,8),IF(LEFT('2.LUC'!$K70,8)=LEFT(DL$23,8), luc!$E50,0),0)</f>
        <v>0</v>
      </c>
    </row>
    <row r="34" spans="2:118" x14ac:dyDescent="0.15">
      <c r="D34" s="973"/>
      <c r="J34" s="1765" t="s">
        <v>3180</v>
      </c>
      <c r="N34" s="3125"/>
      <c r="S34" s="973"/>
      <c r="T34" s="973"/>
      <c r="U34" s="973"/>
      <c r="V34" s="973"/>
      <c r="W34" s="973"/>
      <c r="X34" s="973"/>
      <c r="Y34" s="973"/>
      <c r="Z34" s="973"/>
      <c r="AA34" s="973"/>
      <c r="AB34" s="973"/>
      <c r="AE34" s="973"/>
      <c r="AF34" s="973"/>
      <c r="AG34" s="973"/>
      <c r="AH34" s="973"/>
      <c r="AI34" s="973"/>
      <c r="AJ34" s="973"/>
      <c r="AK34" s="973"/>
      <c r="AL34" s="973"/>
      <c r="AM34" s="973"/>
      <c r="AN34" s="973"/>
      <c r="AQ34" s="973"/>
      <c r="AR34" s="1380" t="s">
        <v>218</v>
      </c>
      <c r="AS34" s="1380">
        <f t="shared" ref="AS34:AX34" si="15">SUM(AS24:AS33)</f>
        <v>0</v>
      </c>
      <c r="AT34" s="1380">
        <f t="shared" si="15"/>
        <v>0</v>
      </c>
      <c r="AU34" s="1380">
        <f t="shared" si="15"/>
        <v>0</v>
      </c>
      <c r="AV34" s="1380">
        <f t="shared" si="15"/>
        <v>0</v>
      </c>
      <c r="AW34" s="1380">
        <f t="shared" si="15"/>
        <v>0</v>
      </c>
      <c r="AX34" s="1380">
        <f t="shared" si="15"/>
        <v>0</v>
      </c>
      <c r="AZ34" s="1345" t="s">
        <v>1507</v>
      </c>
      <c r="BB34" s="973"/>
      <c r="BC34" s="1380" t="s">
        <v>218</v>
      </c>
      <c r="BD34" s="1381">
        <f t="shared" ref="BD34:BI34" si="16">SUM(BD24:BD33)</f>
        <v>0</v>
      </c>
      <c r="BE34" s="1381">
        <f t="shared" si="16"/>
        <v>0</v>
      </c>
      <c r="BF34" s="1381">
        <f t="shared" si="16"/>
        <v>0</v>
      </c>
      <c r="BG34" s="1381">
        <f t="shared" si="16"/>
        <v>0</v>
      </c>
      <c r="BH34" s="1381">
        <f t="shared" si="16"/>
        <v>0</v>
      </c>
      <c r="BI34" s="1381">
        <f t="shared" si="16"/>
        <v>0</v>
      </c>
      <c r="BJ34" s="973"/>
      <c r="BM34" s="973"/>
      <c r="BN34" s="1380" t="s">
        <v>218</v>
      </c>
      <c r="BO34" s="1381">
        <f t="shared" ref="BO34:BT34" si="17">SUM(BO24:BO33)</f>
        <v>0</v>
      </c>
      <c r="BP34" s="1381">
        <f t="shared" si="17"/>
        <v>0</v>
      </c>
      <c r="BQ34" s="1381">
        <f t="shared" si="17"/>
        <v>0</v>
      </c>
      <c r="BR34" s="1381">
        <f t="shared" si="17"/>
        <v>0</v>
      </c>
      <c r="BS34" s="1381">
        <f t="shared" si="17"/>
        <v>0</v>
      </c>
      <c r="BT34" s="1381">
        <f t="shared" si="17"/>
        <v>0</v>
      </c>
      <c r="BU34" s="973"/>
      <c r="BX34" s="973"/>
      <c r="BY34" s="1380" t="s">
        <v>218</v>
      </c>
      <c r="BZ34" s="1382">
        <f t="shared" ref="BZ34:CE34" si="18">SUM(BZ24:BZ33)</f>
        <v>0</v>
      </c>
      <c r="CA34" s="1382">
        <f t="shared" si="18"/>
        <v>0</v>
      </c>
      <c r="CB34" s="1382">
        <f t="shared" si="18"/>
        <v>0</v>
      </c>
      <c r="CC34" s="1382">
        <f t="shared" si="18"/>
        <v>0</v>
      </c>
      <c r="CD34" s="1382">
        <f t="shared" si="18"/>
        <v>0</v>
      </c>
      <c r="CE34" s="1382">
        <f t="shared" si="18"/>
        <v>0</v>
      </c>
      <c r="CF34" s="973"/>
      <c r="CI34" s="973"/>
      <c r="CJ34" s="1380" t="s">
        <v>218</v>
      </c>
      <c r="CK34" s="1382">
        <f t="shared" ref="CK34:CP34" si="19">SUM(CK24:CK33)</f>
        <v>150</v>
      </c>
      <c r="CL34" s="1382">
        <f t="shared" si="19"/>
        <v>0</v>
      </c>
      <c r="CM34" s="1382">
        <f t="shared" si="19"/>
        <v>0</v>
      </c>
      <c r="CN34" s="1382">
        <f t="shared" si="19"/>
        <v>0</v>
      </c>
      <c r="CO34" s="1382">
        <f t="shared" si="19"/>
        <v>0</v>
      </c>
      <c r="CP34" s="1382">
        <f t="shared" si="19"/>
        <v>0</v>
      </c>
      <c r="CQ34" s="973"/>
      <c r="CT34" s="973"/>
      <c r="CU34" s="1380" t="s">
        <v>218</v>
      </c>
      <c r="CV34" s="1382">
        <f t="shared" ref="CV34:DA34" si="20">SUM(CV24:CV33)</f>
        <v>0</v>
      </c>
      <c r="CW34" s="1382">
        <f t="shared" si="20"/>
        <v>0</v>
      </c>
      <c r="CX34" s="1382">
        <f t="shared" si="20"/>
        <v>0</v>
      </c>
      <c r="CY34" s="1382">
        <f t="shared" si="20"/>
        <v>0</v>
      </c>
      <c r="CZ34" s="1382">
        <f t="shared" si="20"/>
        <v>0</v>
      </c>
      <c r="DA34" s="1382">
        <f t="shared" si="20"/>
        <v>0</v>
      </c>
      <c r="DB34" s="973"/>
      <c r="DD34" s="973"/>
      <c r="DE34" s="973"/>
      <c r="DF34" s="1380" t="s">
        <v>218</v>
      </c>
      <c r="DG34" s="1382">
        <f t="shared" ref="DG34:DL34" si="21">SUM(DG24:DG33)</f>
        <v>0</v>
      </c>
      <c r="DH34" s="1382">
        <f t="shared" si="21"/>
        <v>0</v>
      </c>
      <c r="DI34" s="1382">
        <f t="shared" si="21"/>
        <v>0</v>
      </c>
      <c r="DJ34" s="1382">
        <f t="shared" si="21"/>
        <v>0</v>
      </c>
      <c r="DK34" s="1382">
        <f t="shared" si="21"/>
        <v>0</v>
      </c>
      <c r="DL34" s="1381">
        <f t="shared" si="21"/>
        <v>0</v>
      </c>
    </row>
    <row r="35" spans="2:118" x14ac:dyDescent="0.15">
      <c r="S35" s="973"/>
      <c r="AQ35" s="973"/>
      <c r="AR35" s="973"/>
      <c r="AS35" s="973"/>
      <c r="AT35" s="973"/>
      <c r="AU35" s="973"/>
      <c r="AV35" s="973"/>
      <c r="AW35" s="973"/>
      <c r="AX35" s="973"/>
      <c r="AZ35" s="1384" t="s">
        <v>1510</v>
      </c>
      <c r="BB35" s="973"/>
      <c r="BC35" s="973"/>
      <c r="BD35" s="973"/>
      <c r="BE35" s="973"/>
      <c r="BF35" s="973"/>
      <c r="BG35" s="973"/>
      <c r="BH35" s="973"/>
      <c r="BI35" s="973"/>
      <c r="BJ35" s="973"/>
      <c r="BK35" s="973"/>
      <c r="BL35" s="973"/>
      <c r="BM35" s="973"/>
      <c r="BN35" s="973"/>
      <c r="BO35" s="973"/>
      <c r="BP35" s="973"/>
      <c r="BQ35" s="973"/>
      <c r="BR35" s="973"/>
      <c r="BS35" s="973"/>
      <c r="BT35" s="973"/>
      <c r="BU35" s="973"/>
      <c r="BV35" s="973"/>
      <c r="BW35" s="973"/>
      <c r="BX35" s="973"/>
      <c r="BY35" s="973"/>
      <c r="BZ35" s="973"/>
      <c r="CA35" s="973"/>
      <c r="CB35" s="973"/>
      <c r="CC35" s="973"/>
      <c r="CD35" s="973"/>
      <c r="CE35" s="973"/>
      <c r="CF35" s="973"/>
      <c r="CG35" s="973"/>
      <c r="CH35" s="973"/>
      <c r="CI35" s="973"/>
      <c r="CJ35" s="973"/>
      <c r="CK35" s="973"/>
      <c r="CL35" s="973"/>
      <c r="CM35" s="973"/>
      <c r="CN35" s="973"/>
      <c r="CO35" s="973"/>
      <c r="CP35" s="973"/>
      <c r="CQ35" s="973"/>
      <c r="CR35" s="973"/>
      <c r="CS35" s="973"/>
      <c r="CT35" s="973"/>
      <c r="CU35" s="973"/>
      <c r="CV35" s="973"/>
      <c r="CW35" s="973"/>
      <c r="CX35" s="973"/>
      <c r="CY35" s="973"/>
      <c r="CZ35" s="973"/>
      <c r="DA35" s="973"/>
      <c r="DB35" s="973"/>
      <c r="DC35" s="973"/>
      <c r="DD35" s="973"/>
      <c r="DE35" s="973"/>
      <c r="DF35" s="973"/>
      <c r="DG35" s="973"/>
      <c r="DH35" s="973"/>
      <c r="DI35" s="973"/>
      <c r="DJ35" s="973"/>
      <c r="DK35" s="973"/>
      <c r="DL35" s="973"/>
      <c r="DN35" s="973"/>
    </row>
    <row r="37" spans="2:118" x14ac:dyDescent="0.15">
      <c r="AT37" s="1395" t="s">
        <v>265</v>
      </c>
      <c r="AU37" s="1396">
        <f>SUM(AS16:AX16)</f>
        <v>0</v>
      </c>
    </row>
    <row r="38" spans="2:118" x14ac:dyDescent="0.15">
      <c r="O38" s="1397"/>
      <c r="AT38" s="1395" t="s">
        <v>266</v>
      </c>
      <c r="AU38" s="1396">
        <f>SUM(AS34:AX34)</f>
        <v>0</v>
      </c>
      <c r="AV38" s="1387">
        <f>AU38-AU37</f>
        <v>0</v>
      </c>
    </row>
    <row r="40" spans="2:118" s="1398" customFormat="1" x14ac:dyDescent="0.15"/>
    <row r="41" spans="2:118" s="1398" customFormat="1" ht="25" x14ac:dyDescent="0.25">
      <c r="B41" s="1399" t="s">
        <v>3191</v>
      </c>
    </row>
    <row r="42" spans="2:118" s="1398" customFormat="1" x14ac:dyDescent="0.15"/>
    <row r="43" spans="2:118" x14ac:dyDescent="0.15">
      <c r="S43" s="973"/>
      <c r="T43" s="973"/>
      <c r="U43" s="1281"/>
      <c r="V43" s="973"/>
      <c r="W43" s="973"/>
      <c r="X43" s="973"/>
      <c r="Y43" s="973"/>
      <c r="Z43" s="973"/>
      <c r="AA43" s="973"/>
      <c r="AB43" s="973"/>
      <c r="AC43" s="973"/>
      <c r="AD43" s="973"/>
      <c r="AE43" s="973"/>
      <c r="AF43" s="973"/>
      <c r="AG43" s="973"/>
      <c r="AH43" s="973"/>
      <c r="AI43" s="973"/>
      <c r="AJ43" s="973"/>
      <c r="AK43" s="973"/>
      <c r="AL43" s="973"/>
      <c r="AM43" s="973"/>
      <c r="AN43" s="973"/>
      <c r="AO43" s="973"/>
      <c r="AP43" s="973"/>
      <c r="AQ43" s="973"/>
      <c r="AR43" s="973"/>
      <c r="AS43" s="973"/>
      <c r="AT43" s="973"/>
      <c r="AU43" s="973"/>
      <c r="AV43" s="973"/>
      <c r="AW43" s="973"/>
      <c r="AX43" s="973"/>
      <c r="AZ43" s="1325" t="s">
        <v>293</v>
      </c>
      <c r="BB43" s="973"/>
      <c r="BC43" s="973"/>
      <c r="BD43" s="973"/>
      <c r="BE43" s="973"/>
      <c r="BF43" s="973"/>
      <c r="BG43" s="973"/>
      <c r="BH43" s="973"/>
      <c r="BI43" s="973"/>
      <c r="BJ43" s="973"/>
      <c r="BM43" s="973"/>
      <c r="BN43" s="973"/>
      <c r="BO43" s="973"/>
      <c r="BP43" s="973"/>
      <c r="BQ43" s="973"/>
      <c r="BR43" s="973"/>
      <c r="BS43" s="973"/>
      <c r="BT43" s="973"/>
      <c r="BU43" s="973"/>
      <c r="BX43" s="973"/>
      <c r="BY43" s="973"/>
      <c r="BZ43" s="973"/>
      <c r="CA43" s="973"/>
      <c r="CB43" s="973"/>
      <c r="CC43" s="973"/>
      <c r="CD43" s="973"/>
      <c r="CE43" s="973"/>
      <c r="CF43" s="973"/>
      <c r="CI43" s="973"/>
      <c r="CJ43" s="973"/>
      <c r="CK43" s="973"/>
      <c r="CL43" s="973"/>
      <c r="CM43" s="973"/>
      <c r="CN43" s="973"/>
      <c r="CO43" s="973"/>
      <c r="CP43" s="973"/>
      <c r="CQ43" s="973"/>
      <c r="CT43" s="973"/>
      <c r="CU43" s="973"/>
      <c r="CV43" s="973"/>
      <c r="CW43" s="973"/>
      <c r="CX43" s="973"/>
      <c r="CY43" s="973"/>
      <c r="CZ43" s="973"/>
      <c r="DA43" s="973"/>
      <c r="DB43" s="973"/>
      <c r="DC43" s="973"/>
      <c r="DD43" s="973"/>
      <c r="DE43" s="973"/>
      <c r="DF43" s="973"/>
      <c r="DG43" s="973"/>
      <c r="DH43" s="973"/>
      <c r="DI43" s="973"/>
      <c r="DJ43" s="973"/>
      <c r="DK43" s="973"/>
      <c r="DL43" s="973"/>
      <c r="DM43" s="973"/>
    </row>
    <row r="44" spans="2:118" x14ac:dyDescent="0.15">
      <c r="S44" s="973"/>
      <c r="T44" s="973"/>
      <c r="U44" s="973"/>
      <c r="V44" s="973"/>
      <c r="W44" s="973"/>
      <c r="X44" s="973"/>
      <c r="Y44" s="973"/>
      <c r="Z44" s="973"/>
      <c r="AA44" s="973"/>
      <c r="AB44" s="973"/>
      <c r="AC44" s="973"/>
      <c r="AD44" s="973"/>
      <c r="AE44" s="973"/>
      <c r="AF44" s="973"/>
      <c r="AG44" s="973"/>
      <c r="AH44" s="973"/>
      <c r="AI44" s="973"/>
      <c r="AJ44" s="973"/>
      <c r="AK44" s="973"/>
      <c r="AL44" s="973"/>
      <c r="AM44" s="973"/>
      <c r="AN44" s="973"/>
      <c r="AO44" s="973"/>
      <c r="AP44" s="973"/>
      <c r="AQ44" s="973"/>
      <c r="AR44" s="973"/>
      <c r="AS44" s="973"/>
      <c r="AT44" s="973"/>
      <c r="AU44" s="973"/>
      <c r="AV44" s="973"/>
      <c r="AW44" s="973"/>
      <c r="AX44" s="973"/>
      <c r="AZ44" s="1345" t="s">
        <v>1352</v>
      </c>
      <c r="BB44" s="973"/>
      <c r="BC44" s="973"/>
      <c r="BD44" s="973"/>
      <c r="BE44" s="973"/>
      <c r="BF44" s="973"/>
      <c r="BG44" s="973"/>
      <c r="BH44" s="973"/>
      <c r="BI44" s="973"/>
      <c r="BJ44" s="973"/>
      <c r="BM44" s="973"/>
      <c r="BN44" s="973"/>
      <c r="BO44" s="973"/>
      <c r="BP44" s="973"/>
      <c r="BQ44" s="973"/>
      <c r="BR44" s="973"/>
      <c r="BS44" s="973"/>
      <c r="BT44" s="973"/>
      <c r="BU44" s="973"/>
      <c r="BX44" s="973"/>
      <c r="BY44" s="973"/>
      <c r="BZ44" s="973"/>
      <c r="CA44" s="973"/>
      <c r="CB44" s="973"/>
      <c r="CC44" s="973"/>
      <c r="CD44" s="973"/>
      <c r="CE44" s="973"/>
      <c r="CF44" s="973"/>
      <c r="CI44" s="973"/>
      <c r="CJ44" s="973"/>
      <c r="CK44" s="973"/>
      <c r="CL44" s="973"/>
      <c r="CM44" s="973"/>
      <c r="CN44" s="973"/>
      <c r="CO44" s="973"/>
      <c r="CP44" s="973"/>
      <c r="CQ44" s="973"/>
      <c r="CT44" s="973"/>
      <c r="CU44" s="973"/>
      <c r="CV44" s="973"/>
      <c r="CW44" s="973"/>
      <c r="CX44" s="973"/>
      <c r="CY44" s="973"/>
      <c r="CZ44" s="973"/>
      <c r="DA44" s="973"/>
      <c r="DB44" s="973"/>
      <c r="DE44" s="973"/>
      <c r="DF44" s="973"/>
      <c r="DG44" s="973"/>
      <c r="DH44" s="973"/>
      <c r="DI44" s="973"/>
      <c r="DJ44" s="973"/>
      <c r="DK44" s="973"/>
      <c r="DL44" s="973"/>
      <c r="DM44" s="973"/>
    </row>
    <row r="45" spans="2:118" x14ac:dyDescent="0.15">
      <c r="AB45" s="973"/>
      <c r="AC45" s="973"/>
      <c r="AD45" s="973"/>
      <c r="AE45" s="973"/>
      <c r="AF45" s="973"/>
      <c r="AG45" s="973"/>
      <c r="AH45" s="973"/>
      <c r="AI45" s="973"/>
      <c r="AJ45" s="973"/>
      <c r="AK45" s="973"/>
      <c r="AL45" s="973"/>
      <c r="AM45" s="973"/>
      <c r="AN45" s="973"/>
      <c r="AO45" s="973"/>
      <c r="AP45" s="973"/>
      <c r="AQ45" s="973"/>
      <c r="AR45" s="973"/>
      <c r="AS45" s="973"/>
      <c r="AT45" s="973"/>
      <c r="AU45" s="973"/>
      <c r="AV45" s="973"/>
      <c r="AW45" s="973"/>
      <c r="AX45" s="973"/>
      <c r="AZ45" s="1345" t="s">
        <v>1407</v>
      </c>
      <c r="BB45" s="973"/>
      <c r="BC45" s="973"/>
      <c r="BD45" s="973"/>
      <c r="BE45" s="973"/>
      <c r="BF45" s="973"/>
      <c r="BG45" s="973"/>
      <c r="BH45" s="973"/>
      <c r="BI45" s="973"/>
      <c r="BJ45" s="973"/>
      <c r="BM45" s="973"/>
      <c r="BN45" s="973"/>
      <c r="BO45" s="973"/>
      <c r="BP45" s="973"/>
      <c r="BQ45" s="973"/>
      <c r="BR45" s="973"/>
      <c r="BS45" s="973"/>
      <c r="BT45" s="973"/>
      <c r="BU45" s="973"/>
      <c r="BX45" s="973"/>
      <c r="BY45" s="973"/>
      <c r="BZ45" s="973"/>
      <c r="CA45" s="973"/>
      <c r="CB45" s="973"/>
      <c r="CC45" s="973"/>
      <c r="CD45" s="973"/>
      <c r="CE45" s="973"/>
      <c r="CF45" s="973"/>
      <c r="CI45" s="973"/>
      <c r="CJ45" s="973"/>
      <c r="CK45" s="973"/>
      <c r="CL45" s="973"/>
      <c r="CM45" s="973"/>
      <c r="CN45" s="973"/>
      <c r="CO45" s="973"/>
      <c r="CP45" s="973"/>
      <c r="CQ45" s="973"/>
      <c r="CT45" s="973"/>
      <c r="CU45" s="973"/>
      <c r="CV45" s="973"/>
      <c r="CW45" s="973"/>
      <c r="CX45" s="973"/>
      <c r="CY45" s="973"/>
      <c r="CZ45" s="973"/>
      <c r="DA45" s="973"/>
      <c r="DB45" s="973"/>
      <c r="DE45" s="973"/>
      <c r="DF45" s="973"/>
      <c r="DG45" s="973"/>
      <c r="DH45" s="973"/>
      <c r="DI45" s="973"/>
      <c r="DJ45" s="973"/>
      <c r="DK45" s="973"/>
      <c r="DL45" s="973"/>
      <c r="DM45" s="973"/>
    </row>
    <row r="46" spans="2:118" ht="21" x14ac:dyDescent="0.15">
      <c r="F46" s="1058"/>
      <c r="G46" s="1128"/>
      <c r="H46" s="1058"/>
      <c r="I46" s="1058"/>
      <c r="J46" s="1431"/>
      <c r="K46" s="1431"/>
      <c r="L46" s="1431"/>
      <c r="M46" s="1431"/>
      <c r="N46" s="1431"/>
      <c r="O46" s="1431"/>
      <c r="P46" s="1577"/>
      <c r="AB46" s="973"/>
      <c r="AC46" s="973"/>
      <c r="AD46" s="973"/>
      <c r="AE46" s="973"/>
      <c r="AF46" s="973"/>
      <c r="AG46" s="973"/>
      <c r="AH46" s="973"/>
      <c r="AI46" s="973"/>
      <c r="AJ46" s="973"/>
      <c r="AK46" s="973"/>
      <c r="AL46" s="973"/>
      <c r="AM46" s="973"/>
      <c r="AN46" s="973"/>
      <c r="AO46" s="973"/>
      <c r="AP46" s="973"/>
      <c r="AQ46" s="973"/>
      <c r="AR46" s="973"/>
      <c r="AS46" s="973"/>
      <c r="AT46" s="973"/>
      <c r="AU46" s="973"/>
      <c r="AV46" s="973"/>
      <c r="AW46" s="973"/>
      <c r="AX46" s="973"/>
      <c r="AZ46" s="1345" t="s">
        <v>1413</v>
      </c>
      <c r="BB46" s="973"/>
      <c r="BC46" s="973"/>
      <c r="BD46" s="973"/>
      <c r="BE46" s="973"/>
      <c r="BF46" s="973"/>
      <c r="BG46" s="973"/>
      <c r="BH46" s="973"/>
      <c r="BI46" s="973"/>
      <c r="BJ46" s="973"/>
      <c r="BM46" s="973"/>
      <c r="BN46" s="973"/>
      <c r="BO46" s="973"/>
      <c r="BP46" s="973"/>
      <c r="BQ46" s="973"/>
      <c r="BR46" s="973"/>
      <c r="BS46" s="973"/>
      <c r="BT46" s="973"/>
      <c r="BU46" s="973"/>
      <c r="BX46" s="973"/>
      <c r="BY46" s="973"/>
      <c r="BZ46" s="973"/>
      <c r="CA46" s="973"/>
      <c r="CB46" s="973"/>
      <c r="CC46" s="973"/>
      <c r="CD46" s="973"/>
      <c r="CE46" s="973"/>
      <c r="CF46" s="973"/>
      <c r="CI46" s="973"/>
      <c r="CJ46" s="973"/>
      <c r="CK46" s="973"/>
      <c r="CL46" s="973"/>
      <c r="CM46" s="973"/>
      <c r="CN46" s="973"/>
      <c r="CO46" s="973"/>
      <c r="CP46" s="973"/>
      <c r="CQ46" s="973"/>
      <c r="CT46" s="973"/>
      <c r="CU46" s="973"/>
      <c r="CV46" s="973"/>
      <c r="CW46" s="973"/>
      <c r="CX46" s="973"/>
      <c r="CY46" s="973"/>
      <c r="CZ46" s="973"/>
      <c r="DA46" s="973"/>
      <c r="DB46" s="973"/>
      <c r="DE46" s="973"/>
      <c r="DF46" s="973"/>
      <c r="DG46" s="973"/>
      <c r="DH46" s="973"/>
      <c r="DI46" s="973"/>
      <c r="DJ46" s="973"/>
      <c r="DK46" s="973"/>
      <c r="DL46" s="973"/>
      <c r="DM46" s="973"/>
    </row>
    <row r="47" spans="2:118" ht="18.75" customHeight="1" x14ac:dyDescent="0.15">
      <c r="F47" s="1326"/>
      <c r="G47" s="1331"/>
      <c r="H47" s="1331"/>
      <c r="I47" s="1331"/>
      <c r="J47" s="1331"/>
      <c r="K47" s="1331"/>
      <c r="L47" s="1331"/>
      <c r="M47" s="1331"/>
      <c r="N47" s="1331"/>
      <c r="O47" s="1331"/>
      <c r="P47" s="1327"/>
      <c r="R47" s="973"/>
      <c r="S47" s="973"/>
      <c r="AB47" s="973"/>
      <c r="AC47" s="973"/>
      <c r="AD47" s="973"/>
      <c r="AE47" s="973"/>
      <c r="AN47" s="973"/>
      <c r="AO47" s="973"/>
      <c r="AP47" s="973"/>
      <c r="AQ47" s="973"/>
      <c r="AR47" s="1281" t="s">
        <v>3192</v>
      </c>
      <c r="AS47" s="1281"/>
      <c r="AT47" s="1281"/>
      <c r="AU47" s="1281"/>
      <c r="AV47" s="1281"/>
      <c r="AW47" s="1281"/>
      <c r="AX47" s="1281"/>
      <c r="AZ47" s="1345" t="s">
        <v>1502</v>
      </c>
      <c r="BB47" s="973"/>
      <c r="BC47" s="1281" t="s">
        <v>3193</v>
      </c>
      <c r="BD47" s="973"/>
      <c r="BE47" s="973"/>
      <c r="BF47" s="973"/>
      <c r="BG47" s="973"/>
      <c r="BH47" s="973"/>
      <c r="BI47" s="973"/>
      <c r="BJ47" s="973"/>
      <c r="BM47" s="973"/>
      <c r="BN47" s="1281" t="s">
        <v>3194</v>
      </c>
      <c r="BO47" s="973"/>
      <c r="BP47" s="973"/>
      <c r="BQ47" s="973"/>
      <c r="BR47" s="973"/>
      <c r="BS47" s="973"/>
      <c r="BT47" s="973"/>
      <c r="BU47" s="973"/>
      <c r="BX47" s="973"/>
      <c r="BY47" s="1281" t="s">
        <v>3195</v>
      </c>
      <c r="BZ47" s="973"/>
      <c r="CA47" s="973"/>
      <c r="CB47" s="973"/>
      <c r="CC47" s="973"/>
      <c r="CD47" s="973"/>
      <c r="CE47" s="973"/>
      <c r="CF47" s="973"/>
      <c r="CI47" s="973"/>
      <c r="CJ47" s="1281" t="s">
        <v>3196</v>
      </c>
      <c r="CK47" s="973"/>
      <c r="CL47" s="973"/>
      <c r="CM47" s="973"/>
      <c r="CN47" s="973"/>
      <c r="CO47" s="973"/>
      <c r="CP47" s="973"/>
      <c r="CQ47" s="973"/>
      <c r="CT47" s="973"/>
      <c r="CU47" s="1281" t="s">
        <v>3197</v>
      </c>
      <c r="CV47" s="973"/>
      <c r="CW47" s="973"/>
      <c r="CX47" s="973"/>
      <c r="CY47" s="973"/>
      <c r="CZ47" s="973"/>
      <c r="DA47" s="973"/>
      <c r="DB47" s="973"/>
      <c r="DE47" s="973"/>
      <c r="DF47" s="1281" t="s">
        <v>3198</v>
      </c>
      <c r="DG47" s="973"/>
      <c r="DH47" s="973"/>
      <c r="DI47" s="973"/>
      <c r="DJ47" s="973"/>
      <c r="DK47" s="973"/>
      <c r="DL47" s="973"/>
      <c r="DM47" s="973"/>
    </row>
    <row r="48" spans="2:118" ht="21" x14ac:dyDescent="0.2">
      <c r="F48" s="1332"/>
      <c r="G48" s="1333"/>
      <c r="H48" s="1434"/>
      <c r="I48" s="1437" t="s">
        <v>3199</v>
      </c>
      <c r="J48" s="1435"/>
      <c r="K48" s="1435"/>
      <c r="L48" s="1435"/>
      <c r="M48" s="1435"/>
      <c r="N48" s="1435"/>
      <c r="O48" s="1435"/>
      <c r="P48" s="1394"/>
      <c r="R48" s="973"/>
      <c r="S48" s="973"/>
      <c r="T48" s="1400"/>
      <c r="U48" s="1401"/>
      <c r="V48" s="1402" t="s">
        <v>3160</v>
      </c>
      <c r="W48" s="1403"/>
      <c r="X48" s="1401"/>
      <c r="Y48" s="1401"/>
      <c r="Z48" s="1401"/>
      <c r="AA48" s="1404"/>
      <c r="AE48" s="973"/>
      <c r="AF48" s="1400"/>
      <c r="AG48" s="1401"/>
      <c r="AH48" s="1402" t="s">
        <v>3161</v>
      </c>
      <c r="AI48" s="1403"/>
      <c r="AJ48" s="1401"/>
      <c r="AK48" s="1401"/>
      <c r="AL48" s="1401"/>
      <c r="AM48" s="1404"/>
      <c r="AN48" s="973"/>
      <c r="AQ48" s="973"/>
      <c r="AR48" s="1326"/>
      <c r="AS48" s="1328" t="s">
        <v>3162</v>
      </c>
      <c r="AT48" s="1329"/>
      <c r="AU48" s="1330"/>
      <c r="AV48" s="1331"/>
      <c r="AW48" s="1331"/>
      <c r="AX48" s="1327"/>
      <c r="AZ48" s="1345" t="s">
        <v>1497</v>
      </c>
      <c r="BB48" s="973"/>
      <c r="BC48" s="1326"/>
      <c r="BD48" s="1328" t="s">
        <v>3162</v>
      </c>
      <c r="BE48" s="1329"/>
      <c r="BF48" s="1330"/>
      <c r="BG48" s="1331"/>
      <c r="BH48" s="1331"/>
      <c r="BI48" s="1327"/>
      <c r="BJ48" s="973"/>
      <c r="BM48" s="973"/>
      <c r="BN48" s="1326"/>
      <c r="BO48" s="1328" t="s">
        <v>3162</v>
      </c>
      <c r="BP48" s="1329"/>
      <c r="BQ48" s="1330"/>
      <c r="BR48" s="1331"/>
      <c r="BS48" s="1331"/>
      <c r="BT48" s="1327"/>
      <c r="BU48" s="973"/>
      <c r="BX48" s="973"/>
      <c r="BY48" s="1326"/>
      <c r="BZ48" s="1328" t="s">
        <v>3162</v>
      </c>
      <c r="CA48" s="1329"/>
      <c r="CB48" s="1330"/>
      <c r="CC48" s="1331"/>
      <c r="CD48" s="1331"/>
      <c r="CE48" s="1327"/>
      <c r="CF48" s="973"/>
      <c r="CI48" s="973"/>
      <c r="CJ48" s="1326"/>
      <c r="CK48" s="1328" t="s">
        <v>3162</v>
      </c>
      <c r="CL48" s="1329"/>
      <c r="CM48" s="1330"/>
      <c r="CN48" s="1331"/>
      <c r="CO48" s="1331"/>
      <c r="CP48" s="1327"/>
      <c r="CQ48" s="973"/>
      <c r="CT48" s="973"/>
      <c r="CU48" s="1326"/>
      <c r="CV48" s="1328" t="s">
        <v>3162</v>
      </c>
      <c r="CW48" s="1329"/>
      <c r="CX48" s="1330"/>
      <c r="CY48" s="1331"/>
      <c r="CZ48" s="1331"/>
      <c r="DA48" s="1327"/>
      <c r="DB48" s="973"/>
      <c r="DE48" s="973"/>
      <c r="DF48" s="1326"/>
      <c r="DG48" s="1328" t="s">
        <v>3162</v>
      </c>
      <c r="DH48" s="1329"/>
      <c r="DI48" s="1330"/>
      <c r="DJ48" s="1331"/>
      <c r="DK48" s="1331"/>
      <c r="DL48" s="1327"/>
      <c r="DM48" s="973"/>
    </row>
    <row r="49" spans="2:117" ht="16" x14ac:dyDescent="0.2">
      <c r="F49" s="1351"/>
      <c r="G49" s="1352" t="s">
        <v>3167</v>
      </c>
      <c r="H49" s="1432" t="s">
        <v>3168</v>
      </c>
      <c r="I49" s="1374" t="s">
        <v>3169</v>
      </c>
      <c r="J49" s="1374" t="s">
        <v>2071</v>
      </c>
      <c r="K49" s="1374" t="s">
        <v>2072</v>
      </c>
      <c r="L49" s="1374" t="s">
        <v>1384</v>
      </c>
      <c r="M49" s="1374" t="str">
        <f>H54</f>
        <v>Grassland</v>
      </c>
      <c r="N49" s="1374" t="s">
        <v>1592</v>
      </c>
      <c r="O49" s="1374" t="s">
        <v>1401</v>
      </c>
      <c r="P49" s="1433" t="s">
        <v>3200</v>
      </c>
      <c r="S49" s="1576"/>
      <c r="T49" s="1334" t="s">
        <v>323</v>
      </c>
      <c r="U49" s="1408" t="s">
        <v>3163</v>
      </c>
      <c r="V49" s="1409"/>
      <c r="W49" s="1410"/>
      <c r="X49" s="1410"/>
      <c r="Y49" s="1410"/>
      <c r="Z49" s="1410"/>
      <c r="AA49" s="1411"/>
      <c r="AE49" s="1168"/>
      <c r="AF49" s="1412" t="s">
        <v>323</v>
      </c>
      <c r="AG49" s="1405" t="s">
        <v>3164</v>
      </c>
      <c r="AH49" s="1406"/>
      <c r="AI49" s="1407"/>
      <c r="AJ49" s="1407"/>
      <c r="AK49" s="1407"/>
      <c r="AL49" s="1407"/>
      <c r="AM49" s="1413"/>
      <c r="AN49" s="973"/>
      <c r="AQ49" s="973"/>
      <c r="AR49" s="1335" t="s">
        <v>323</v>
      </c>
      <c r="AS49" s="1336"/>
      <c r="AT49" s="1337"/>
      <c r="AU49" s="1338"/>
      <c r="AV49" s="1338"/>
      <c r="AW49" s="1338"/>
      <c r="AX49" s="1339"/>
      <c r="AZ49" s="1345" t="s">
        <v>1499</v>
      </c>
      <c r="BB49" s="973"/>
      <c r="BC49" s="1335" t="s">
        <v>323</v>
      </c>
      <c r="BD49" s="1336"/>
      <c r="BE49" s="1337"/>
      <c r="BF49" s="1338"/>
      <c r="BG49" s="1338"/>
      <c r="BH49" s="1338"/>
      <c r="BI49" s="1339"/>
      <c r="BJ49" s="973"/>
      <c r="BM49" s="973"/>
      <c r="BN49" s="1335" t="s">
        <v>323</v>
      </c>
      <c r="BO49" s="1336"/>
      <c r="BP49" s="1337"/>
      <c r="BQ49" s="1338"/>
      <c r="BR49" s="1338"/>
      <c r="BS49" s="1338"/>
      <c r="BT49" s="1339"/>
      <c r="BU49" s="973"/>
      <c r="BX49" s="973"/>
      <c r="BY49" s="1335" t="s">
        <v>323</v>
      </c>
      <c r="BZ49" s="1336"/>
      <c r="CA49" s="1337"/>
      <c r="CB49" s="1338"/>
      <c r="CC49" s="1338"/>
      <c r="CD49" s="1338"/>
      <c r="CE49" s="1339"/>
      <c r="CF49" s="973"/>
      <c r="CI49" s="973"/>
      <c r="CJ49" s="1335" t="s">
        <v>323</v>
      </c>
      <c r="CK49" s="1336"/>
      <c r="CL49" s="1337"/>
      <c r="CM49" s="1338"/>
      <c r="CN49" s="1338"/>
      <c r="CO49" s="1338"/>
      <c r="CP49" s="1339"/>
      <c r="CQ49" s="973"/>
      <c r="CT49" s="973"/>
      <c r="CU49" s="1335" t="s">
        <v>323</v>
      </c>
      <c r="CV49" s="1336"/>
      <c r="CW49" s="1337"/>
      <c r="CX49" s="1338"/>
      <c r="CY49" s="1338"/>
      <c r="CZ49" s="1338"/>
      <c r="DA49" s="1339"/>
      <c r="DB49" s="973"/>
      <c r="DE49" s="973"/>
      <c r="DF49" s="1335" t="s">
        <v>323</v>
      </c>
      <c r="DG49" s="1336"/>
      <c r="DH49" s="1337"/>
      <c r="DI49" s="1338"/>
      <c r="DJ49" s="1338"/>
      <c r="DK49" s="1338"/>
      <c r="DL49" s="1339"/>
      <c r="DM49" s="973"/>
    </row>
    <row r="50" spans="2:117" ht="15" x14ac:dyDescent="0.15">
      <c r="F50" s="1362"/>
      <c r="G50" s="1363" t="s">
        <v>2959</v>
      </c>
      <c r="H50" s="1364" t="s">
        <v>3169</v>
      </c>
      <c r="I50" s="2842">
        <f>SUM('Inl. wetlands'!$N36:$N41)-SUM('Inl. wetlands'!$S36:$S41)+SUM('Inl. wetlands'!$L339:$L344)+Coastal!$AA$15+Coastal!$AA$74</f>
        <v>100</v>
      </c>
      <c r="J50" s="3133">
        <f>V57</f>
        <v>0</v>
      </c>
      <c r="K50" s="3133">
        <f>U57</f>
        <v>0</v>
      </c>
      <c r="L50" s="3133">
        <f>Y57</f>
        <v>0</v>
      </c>
      <c r="M50" s="3133">
        <f>Z57</f>
        <v>0</v>
      </c>
      <c r="N50" s="3133">
        <f>X57</f>
        <v>0</v>
      </c>
      <c r="O50" s="3133">
        <f>AA57+W57</f>
        <v>0</v>
      </c>
      <c r="P50" s="3134">
        <f t="shared" ref="P50:P56" si="22">SUM(I50:O50)</f>
        <v>100</v>
      </c>
      <c r="S50" s="1576"/>
      <c r="T50" s="1340" t="s">
        <v>3166</v>
      </c>
      <c r="U50" s="1290" t="s">
        <v>1588</v>
      </c>
      <c r="V50" s="1290" t="s">
        <v>1382</v>
      </c>
      <c r="W50" s="1290" t="s">
        <v>1590</v>
      </c>
      <c r="X50" s="1290" t="s">
        <v>1592</v>
      </c>
      <c r="Y50" s="1290" t="s">
        <v>1384</v>
      </c>
      <c r="Z50" s="1290" t="s">
        <v>1396</v>
      </c>
      <c r="AA50" s="1430" t="s">
        <v>1401</v>
      </c>
      <c r="AE50" s="1168"/>
      <c r="AF50" s="1340" t="s">
        <v>3166</v>
      </c>
      <c r="AG50" s="1760" t="s">
        <v>1588</v>
      </c>
      <c r="AH50" s="1752" t="s">
        <v>1382</v>
      </c>
      <c r="AI50" s="1752" t="s">
        <v>1590</v>
      </c>
      <c r="AJ50" s="1752" t="s">
        <v>1592</v>
      </c>
      <c r="AK50" s="1752" t="s">
        <v>1384</v>
      </c>
      <c r="AL50" s="1752" t="s">
        <v>1396</v>
      </c>
      <c r="AM50" s="1753" t="s">
        <v>1401</v>
      </c>
      <c r="AN50" s="973"/>
      <c r="AQ50" s="973"/>
      <c r="AR50" s="1342" t="s">
        <v>3166</v>
      </c>
      <c r="AS50" s="1343" t="s">
        <v>1590</v>
      </c>
      <c r="AT50" s="1344" t="s">
        <v>1592</v>
      </c>
      <c r="AU50" s="1344" t="s">
        <v>1384</v>
      </c>
      <c r="AV50" s="1344" t="s">
        <v>1396</v>
      </c>
      <c r="AW50" s="1344" t="s">
        <v>1401</v>
      </c>
      <c r="AX50" s="1341" t="s">
        <v>1588</v>
      </c>
      <c r="AZ50" s="1345" t="s">
        <v>1417</v>
      </c>
      <c r="BB50" s="973"/>
      <c r="BC50" s="1342" t="s">
        <v>3166</v>
      </c>
      <c r="BD50" s="1354" t="s">
        <v>1382</v>
      </c>
      <c r="BE50" s="1347" t="s">
        <v>1590</v>
      </c>
      <c r="BF50" s="1347" t="s">
        <v>1592</v>
      </c>
      <c r="BG50" s="1347" t="s">
        <v>1384</v>
      </c>
      <c r="BH50" s="1347" t="s">
        <v>1396</v>
      </c>
      <c r="BI50" s="1348" t="s">
        <v>1401</v>
      </c>
      <c r="BJ50" s="973"/>
      <c r="BM50" s="973"/>
      <c r="BN50" s="1349" t="s">
        <v>3166</v>
      </c>
      <c r="BO50" s="1354" t="s">
        <v>1382</v>
      </c>
      <c r="BP50" s="1347" t="s">
        <v>1590</v>
      </c>
      <c r="BQ50" s="1347" t="s">
        <v>1592</v>
      </c>
      <c r="BR50" s="1347" t="s">
        <v>1588</v>
      </c>
      <c r="BS50" s="1347" t="s">
        <v>1396</v>
      </c>
      <c r="BT50" s="1341" t="s">
        <v>1401</v>
      </c>
      <c r="BU50" s="973"/>
      <c r="BX50" s="973"/>
      <c r="BY50" s="1349" t="s">
        <v>3166</v>
      </c>
      <c r="BZ50" s="1354" t="s">
        <v>1382</v>
      </c>
      <c r="CA50" s="1347" t="s">
        <v>1384</v>
      </c>
      <c r="CB50" s="1347" t="s">
        <v>1592</v>
      </c>
      <c r="CC50" s="1347" t="s">
        <v>1588</v>
      </c>
      <c r="CD50" s="1347" t="s">
        <v>1396</v>
      </c>
      <c r="CE50" s="1347" t="s">
        <v>1401</v>
      </c>
      <c r="CF50" s="973"/>
      <c r="CI50" s="973"/>
      <c r="CJ50" s="1349" t="s">
        <v>3166</v>
      </c>
      <c r="CK50" s="1354" t="s">
        <v>1382</v>
      </c>
      <c r="CL50" s="1347" t="s">
        <v>1384</v>
      </c>
      <c r="CM50" s="1347" t="s">
        <v>1592</v>
      </c>
      <c r="CN50" s="1347" t="s">
        <v>1588</v>
      </c>
      <c r="CO50" s="1347" t="s">
        <v>1590</v>
      </c>
      <c r="CP50" s="1347" t="s">
        <v>1401</v>
      </c>
      <c r="CQ50" s="973"/>
      <c r="CT50" s="973"/>
      <c r="CU50" s="1349" t="s">
        <v>3166</v>
      </c>
      <c r="CV50" s="1354" t="s">
        <v>1382</v>
      </c>
      <c r="CW50" s="1347" t="s">
        <v>1384</v>
      </c>
      <c r="CX50" s="1347" t="s">
        <v>1396</v>
      </c>
      <c r="CY50" s="1347" t="s">
        <v>1588</v>
      </c>
      <c r="CZ50" s="1347" t="s">
        <v>1590</v>
      </c>
      <c r="DA50" s="1347" t="s">
        <v>1401</v>
      </c>
      <c r="DB50" s="973"/>
      <c r="DE50" s="973"/>
      <c r="DF50" s="1349" t="s">
        <v>3166</v>
      </c>
      <c r="DG50" s="1354" t="s">
        <v>1382</v>
      </c>
      <c r="DH50" s="1347" t="s">
        <v>1384</v>
      </c>
      <c r="DI50" s="1347" t="s">
        <v>1396</v>
      </c>
      <c r="DJ50" s="1347" t="s">
        <v>1588</v>
      </c>
      <c r="DK50" s="1347" t="s">
        <v>1590</v>
      </c>
      <c r="DL50" s="1350" t="s">
        <v>1592</v>
      </c>
      <c r="DM50" s="973"/>
    </row>
    <row r="51" spans="2:117" ht="18" x14ac:dyDescent="0.2">
      <c r="B51" s="1439" t="s">
        <v>222</v>
      </c>
      <c r="C51" s="1440"/>
      <c r="F51" s="1354"/>
      <c r="G51" s="1366" t="s">
        <v>2949</v>
      </c>
      <c r="H51" s="1351" t="s">
        <v>3201</v>
      </c>
      <c r="I51" s="3135">
        <f>AH57</f>
        <v>0</v>
      </c>
      <c r="J51" s="2842">
        <f>SUMIF('Inl. wetlands'!$C413:$C418,$J$49,'Inl. wetlands'!$F413:$F418)+MAX(SUM(K51:O51,I51),SUM(K67:O67,I67))-SUM(K51:O51,I51)</f>
        <v>0</v>
      </c>
      <c r="K51" s="3134">
        <f>AX57</f>
        <v>0</v>
      </c>
      <c r="L51" s="3134">
        <f>AU57</f>
        <v>0</v>
      </c>
      <c r="M51" s="3134">
        <f>AV57</f>
        <v>0</v>
      </c>
      <c r="N51" s="3134">
        <f>AT57</f>
        <v>0</v>
      </c>
      <c r="O51" s="3134">
        <f>AW57+$AS$57</f>
        <v>0</v>
      </c>
      <c r="P51" s="3134">
        <f t="shared" si="22"/>
        <v>0</v>
      </c>
      <c r="S51" s="1576"/>
      <c r="T51" s="1414"/>
      <c r="U51" s="1415">
        <f>IF('6.Inland wetlands'!$I13 = $U$50, 1,0)* 'Inl. wetlands'!$S36</f>
        <v>0</v>
      </c>
      <c r="V51" s="1416">
        <f>IF('6.Inland wetlands'!$I13 = $V$50, 1,0)* 'Inl. wetlands'!$S36</f>
        <v>0</v>
      </c>
      <c r="W51" s="1416">
        <f>IF('6.Inland wetlands'!$I13 = $W$50, 1,0)* 'Inl. wetlands'!$S36</f>
        <v>0</v>
      </c>
      <c r="X51" s="1416">
        <f>IF('6.Inland wetlands'!$I13 = $X$50, 1,0)* 'Inl. wetlands'!$S36</f>
        <v>0</v>
      </c>
      <c r="Y51" s="1416">
        <f>IF('6.Inland wetlands'!$I13 = $Y$50, 1,0)* 'Inl. wetlands'!$S36</f>
        <v>0</v>
      </c>
      <c r="Z51" s="1416">
        <f>IF('6.Inland wetlands'!$I13 = $Z$50, 1,0)* 'Inl. wetlands'!$S36</f>
        <v>0</v>
      </c>
      <c r="AA51" s="1417">
        <f>IF('6.Inland wetlands'!$I13 = $AA$50, 1,0)* 'Inl. wetlands'!$S36</f>
        <v>0</v>
      </c>
      <c r="AE51" s="1418"/>
      <c r="AF51" s="1414"/>
      <c r="AG51" s="1415">
        <f>IF(AG$50='6.Inland wetlands'!$I46, '6.Inland wetlands'!$N46,0)</f>
        <v>0</v>
      </c>
      <c r="AH51" s="1416">
        <f>IF(AH$50='6.Inland wetlands'!$I46, '6.Inland wetlands'!$N46,0)</f>
        <v>0</v>
      </c>
      <c r="AI51" s="1416">
        <f>IF(AI$50='6.Inland wetlands'!$I46, '6.Inland wetlands'!$N46,0)</f>
        <v>0</v>
      </c>
      <c r="AJ51" s="1416">
        <f>IF(AJ$50='6.Inland wetlands'!$I46, '6.Inland wetlands'!$N46,0)</f>
        <v>0</v>
      </c>
      <c r="AK51" s="1416">
        <f>IF(AK$50='6.Inland wetlands'!$I46, '6.Inland wetlands'!$N46,0)</f>
        <v>0</v>
      </c>
      <c r="AL51" s="1416">
        <f>IF(AL$50='6.Inland wetlands'!$I46, '6.Inland wetlands'!$N46,0)</f>
        <v>0</v>
      </c>
      <c r="AM51" s="1417">
        <f>IF(AM$50='6.Inland wetlands'!$I46, '6.Inland wetlands'!$N46,0)</f>
        <v>0</v>
      </c>
      <c r="AN51" s="973"/>
      <c r="AQ51" s="973"/>
      <c r="AR51" s="1351"/>
      <c r="AS51" s="1356">
        <f>IF(LEFT('6.Inland wetlands'!$I80,8)=LEFT($AR$53,8),IF(LEFT('6.Inland wetlands'!$K80,8)=LEFT(AS$50,8), '6.Inland wetlands'!$N80,0),0)</f>
        <v>0</v>
      </c>
      <c r="AT51" s="1356">
        <f>IF(LEFT('6.Inland wetlands'!$I80,8)=LEFT($AR$53,8),IF(LEFT('6.Inland wetlands'!$K80,8)=LEFT(AT$50,8), '6.Inland wetlands'!$N80,0),0)</f>
        <v>0</v>
      </c>
      <c r="AU51" s="1356">
        <f>IF(LEFT('6.Inland wetlands'!$I80,8)=LEFT($AR$53,8),IF(LEFT('6.Inland wetlands'!$K80,8)=LEFT(AU$50,8), '6.Inland wetlands'!$N80,0),0)</f>
        <v>0</v>
      </c>
      <c r="AV51" s="1356">
        <f>IF(LEFT('6.Inland wetlands'!$I80,8)=LEFT($AR$53,8),IF(LEFT('6.Inland wetlands'!$K80,8)=LEFT(AV$50,8), '6.Inland wetlands'!$N80,0),0)</f>
        <v>0</v>
      </c>
      <c r="AW51" s="1356">
        <f>IF(LEFT('6.Inland wetlands'!$I80,8)=LEFT($AR$53,8),IF(LEFT('6.Inland wetlands'!$K80,8)=LEFT(AW$50,8), '6.Inland wetlands'!$N80,0),0)</f>
        <v>0</v>
      </c>
      <c r="AX51" s="1356">
        <f>IF(LEFT('6.Inland wetlands'!$I80,8)=LEFT($AR$53,8),IF((OR(LEFT('6.Inland wetlands'!$K80,8)=LEFT(AX$50,8),LEFT('6.Inland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0</v>
      </c>
      <c r="AZ51" s="1345" t="s">
        <v>1505</v>
      </c>
      <c r="BB51" s="973"/>
      <c r="BC51" s="1351"/>
      <c r="BD51" s="1356">
        <f>IF((OR(LEFT('6.Inland wetlands'!$I80,8)=LEFT(Matrix!$BC$53,8), LEFT('6.Inland wetlands'!$I80,8)=LEFT(Matrix!$AZ$44,8), LEFT('6.Inland wetlands'!$I80,8)=LEFT(Matrix!$AZ$45,8), LEFT('6.Inland wetlands'!$I80,8)=LEFT(Matrix!$AZ$46,8), LEFT('6.Inland wetlands'!$I80,8)=LEFT(Matrix!AZ$47,8),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wetlands'!$K80,8)=LEFT(Matrix!BD$50,8), '6.Inland wetlands'!$N80, 0),0)</f>
        <v>0</v>
      </c>
      <c r="BE51" s="1356">
        <f>IF((OR(LEFT('6.Inland wetlands'!$I80,8)=LEFT(Matrix!$BC$53,8), LEFT('6.Inland wetlands'!$I80,8)=LEFT(Matrix!$AZ$44,8), LEFT('6.Inland wetlands'!$I80,8)=LEFT(Matrix!$AZ$45,8), LEFT('6.Inland wetlands'!$I80,8)=LEFT(Matrix!$AZ$46,8), LEFT('6.Inland wetlands'!$I80,8)=LEFT(Matrix!BA$47,8),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wetlands'!$K80,8)=LEFT(Matrix!BE$50,8), '6.Inland wetlands'!$N80, 0),0)</f>
        <v>0</v>
      </c>
      <c r="BF51" s="1356">
        <f>IF((OR(LEFT('6.Inland wetlands'!$I80,8)=LEFT(Matrix!$BC$53,8), LEFT('6.Inland wetlands'!$I80,8)=LEFT(Matrix!$AZ$44,8), LEFT('6.Inland wetlands'!$I80,8)=LEFT(Matrix!$AZ$45,8), LEFT('6.Inland wetlands'!$I80,8)=LEFT(Matrix!$AZ$46,8), LEFT('6.Inland wetlands'!$I80,8)=LEFT(Matrix!BB$47,8),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wetlands'!$K80,8)=LEFT(Matrix!BF$50,8), '6.Inland wetlands'!$N80, 0),0)</f>
        <v>0</v>
      </c>
      <c r="BG51" s="1356">
        <f>IF((OR(LEFT('6.Inland wetlands'!$I80,8)=LEFT(Matrix!$BC$53,8), LEFT('6.Inland wetlands'!$I80,8)=LEFT(Matrix!$AZ$44,8), LEFT('6.Inland wetlands'!$I80,8)=LEFT(Matrix!$AZ$45,8), LEFT('6.Inland wetlands'!$I80,8)=LEFT(Matrix!$AZ$46,8), LEFT('6.Inland wetlands'!$I80,8)=LEFT(Matrix!BC$47,8),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wetlands'!$K80,8)=LEFT(Matrix!BG$50,8), '6.Inland wetlands'!$N80, 0),0)</f>
        <v>0</v>
      </c>
      <c r="BH51" s="1356">
        <f>IF((OR(LEFT('6.Inland wetlands'!$I80,8)=LEFT(Matrix!$BC$53,8), LEFT('6.Inland wetlands'!$I80,8)=LEFT(Matrix!$AZ$44,8), LEFT('6.Inland wetlands'!$I80,8)=LEFT(Matrix!$AZ$45,8), LEFT('6.Inland wetlands'!$I80,8)=LEFT(Matrix!$AZ$46,8), LEFT('6.Inland wetlands'!$I80,8)=LEFT(Matrix!BD$47,8),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wetlands'!$K80,8)=LEFT(Matrix!BH$50,8), '6.Inland wetlands'!$N80, 0),0)</f>
        <v>0</v>
      </c>
      <c r="BI51" s="1356">
        <f>IF((OR(LEFT('6.Inland wetlands'!$I80,8)=LEFT(Matrix!$BC$53,8), LEFT('6.Inland wetlands'!$I80,8)=LEFT(Matrix!$AZ$44,8), LEFT('6.Inland wetlands'!$I80,8)=LEFT(Matrix!$AZ$45,8), LEFT('6.Inland wetlands'!$I80,8)=LEFT(Matrix!$AZ$46,8), LEFT('6.Inland wetlands'!$I80,8)=LEFT(Matrix!BE$47,8),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wetlands'!$K80,8)=LEFT(Matrix!BI$50,8), '6.Inland wetlands'!$N80, 0),0)</f>
        <v>0</v>
      </c>
      <c r="BJ51" s="973"/>
      <c r="BM51" s="973"/>
      <c r="BN51" s="1359"/>
      <c r="BO51" s="1356">
        <f>IF(LEFT('6.Inland wetlands'!$I80,8)=LEFT($BN$53,8),IF(LEFT('6.Inland wetlands'!$K80,8)=LEFT(BO$50,8),'6.Inland wetlands'!$N80,0),0)</f>
        <v>0</v>
      </c>
      <c r="BP51" s="1356">
        <f>IF(LEFT('6.Inland wetlands'!$I80,8)=LEFT($BN$53,8),IF(LEFT('6.Inland wetlands'!$K80,8)=LEFT(BP$50,8),'6.Inland wetlands'!$N80,0),0)</f>
        <v>0</v>
      </c>
      <c r="BQ51" s="1356">
        <f>IF(LEFT('6.Inland wetlands'!$I80,8)=LEFT($BN$53,8),IF(LEFT('6.Inland wetlands'!$K80,8)=LEFT(BQ$50,8),'6.Inland wetlands'!$N80,0),0)</f>
        <v>0</v>
      </c>
      <c r="BR51" s="1356">
        <f>IF(LEFT('6.Inland wetlands'!$I80,8)=LEFT($BN$53,8),IF((OR(LEFT('6.Inland wetlands'!$K80,8)=LEFT(BR$50,8),LEFT('6.Inland wetlands'!$K80,8)=LEFT($AZ$3,8), LEFT('6.Inland wetlands'!$K80,8)=LEFT($AZ$4,9),LEFT('6.Inland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0</v>
      </c>
      <c r="BS51" s="1356">
        <f>IF(LEFT('6.Inland wetlands'!$I80,8)=LEFT($BN$53,8),IF(LEFT('6.Inland wetlands'!$K80,8)=LEFT(BS$50,8),'6.Inland wetlands'!$N80,0),0)</f>
        <v>0</v>
      </c>
      <c r="BT51" s="1356">
        <f>IF(LEFT('6.Inland wetlands'!$I80,8)=LEFT($BN$53,8),IF(LEFT('6.Inland wetlands'!$K80,8)=LEFT(BT$50,8),'6.Inland wetlands'!$N80,0),0)</f>
        <v>0</v>
      </c>
      <c r="BU51" s="973"/>
      <c r="BX51" s="973"/>
      <c r="BY51" s="1359"/>
      <c r="BZ51" s="1356">
        <f>IF(LEFT('6.Inland wetlands'!$I80,8)=LEFT($BY$8,8),IF(LEFT('6.Inland wetlands'!$K80,8)=LEFT(BZ$5,8),'6.Inland wetlands'!$N80,0),0)</f>
        <v>0</v>
      </c>
      <c r="CA51" s="1356">
        <f>IF(LEFT('6.Inland wetlands'!$I80,8)=LEFT($BY$8,8),IF(LEFT('6.Inland wetlands'!$K80,8)=LEFT(CA$5,8),'6.Inland wetlands'!$N80,0),0)</f>
        <v>0</v>
      </c>
      <c r="CB51" s="1356">
        <f>IF(LEFT('6.Inland wetlands'!$I80,8)=LEFT($BY$8,8),IF(LEFT('6.Inland wetlands'!$K80,8)=LEFT(CB$5,8),'6.Inland wetlands'!$N80,0),0)</f>
        <v>0</v>
      </c>
      <c r="CC51" s="1356">
        <f>IF(LEFT('6.Inland wetlands'!$I80,8)=LEFT($BY$8,8),IF((OR(LEFT('6.Inland wetlands'!$K80,8)=LEFT(CC$5,8),LEFT('6.Inland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0</v>
      </c>
      <c r="CD51" s="1356">
        <f>IF(LEFT('6.Inland wetlands'!$I80,8)=LEFT($BY$8,8),IF(LEFT('6.Inland wetlands'!$K80,8)=LEFT(CD$5,8),'6.Inland wetlands'!$N80,0),0)</f>
        <v>0</v>
      </c>
      <c r="CE51" s="1356">
        <f>IF(LEFT('6.Inland wetlands'!$I80,8)=LEFT($BY$8,8),IF(LEFT('6.Inland wetlands'!$K80,8)=LEFT(CE$5,8),'6.Inland wetlands'!$N80,0),0)</f>
        <v>0</v>
      </c>
      <c r="CF51" s="973"/>
      <c r="CI51" s="973"/>
      <c r="CJ51" s="1359"/>
      <c r="CK51" s="1356">
        <f>IF(LEFT('6.Inland wetlands'!$I80,8)=LEFT($CJ$8,8),IF(LEFT('6.Inland wetlands'!$K80,8)=LEFT(CK$5,8),'6.Inland wetlands'!$N80,0),0)</f>
        <v>0</v>
      </c>
      <c r="CL51" s="1356">
        <f>IF(LEFT('6.Inland wetlands'!$I80,8)=LEFT($CJ$8,8),IF(LEFT('6.Inland wetlands'!$K80,8)=LEFT(CL$5,8),'6.Inland wetlands'!$N80,0),0)</f>
        <v>0</v>
      </c>
      <c r="CM51" s="1360">
        <f>IF(LEFT('6.Inland wetlands'!$I80,8)=LEFT($CJ$8,8),IF(LEFT('6.Inland wetlands'!$K80,8)=LEFT(CM$5,8),'6.Inland wetlands'!$N80,0),0)</f>
        <v>0</v>
      </c>
      <c r="CN51" s="1356">
        <f>IF(LEFT('6.Inland wetlands'!$I80,8)=LEFT($CJ$8,8),IF((OR(LEFT('6.Inland wetlands'!$K80,8)=LEFT(CN$5,8),LEFT('6.Inland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0</v>
      </c>
      <c r="CO51" s="1358">
        <f>IF(LEFT('6.Inland wetlands'!$I80,8)=LEFT($CJ$8,8),IF(LEFT('6.Inland wetlands'!$K80,8)=LEFT(CO$5,8),'6.Inland wetlands'!$N80,0),0)</f>
        <v>0</v>
      </c>
      <c r="CP51" s="1356">
        <f>IF(LEFT('6.Inland wetlands'!$I80,8)=LEFT($CJ$8,8),IF(LEFT('6.Inland wetlands'!$K80,8)=LEFT(CP$5,8),'6.Inland wetlands'!$N80,0),0)</f>
        <v>0</v>
      </c>
      <c r="CQ51" s="973"/>
      <c r="CT51" s="973"/>
      <c r="CU51" s="1359"/>
      <c r="CV51" s="1360">
        <f>IF(LEFT('6.Inland wetlands'!$I80,8)=LEFT($CU$53,8),IF(LEFT('6.Inland wetlands'!$K80,8)=LEFT(CV$50,8),'6.Inland wetlands'!$N80,0),0)</f>
        <v>0</v>
      </c>
      <c r="CW51" s="1360">
        <f>IF(LEFT('6.Inland wetlands'!$I80,8)=LEFT($CU$53,8),IF(LEFT('6.Inland wetlands'!$K80,8)=LEFT(CW$50,8),'6.Inland wetlands'!$N80,0),0)</f>
        <v>0</v>
      </c>
      <c r="CX51" s="1360">
        <f>IF(LEFT('6.Inland wetlands'!$I80,8)=LEFT($CU$53,8),IF(LEFT('6.Inland wetlands'!$K80,8)=LEFT(CX$50,8),'6.Inland wetlands'!$N80,0),0)</f>
        <v>0</v>
      </c>
      <c r="CY51" s="1356">
        <f>IF(LEFT('6.Inland wetlands'!$I80,8)=LEFT($CU$53,8),IF((OR(LEFT('6.Inland wetlands'!$K80,8)=LEFT($CY$50,8),LEFT('6.Inland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0</v>
      </c>
      <c r="CZ51" s="1361">
        <f>IF(LEFT('6.Inland wetlands'!$I80,8)=LEFT($CU$53,8),IF(LEFT('6.Inland wetlands'!$K80,8)=LEFT(CZ$50,8),'6.Inland wetlands'!$N80,0),0)</f>
        <v>0</v>
      </c>
      <c r="DA51" s="1356">
        <f>IF(LEFT('6.Inland wetlands'!$I80,8)=LEFT($CU$53,8),IF(LEFT('6.Inland wetlands'!$K80,8)=LEFT(DA$50,8),'6.Inland wetlands'!$N80,0),0)</f>
        <v>0</v>
      </c>
      <c r="DB51" s="973"/>
      <c r="DE51" s="973"/>
      <c r="DF51" s="1359"/>
      <c r="DG51" s="1360">
        <f>IF(LEFT('6.Inland wetlands'!$I80,8)=LEFT($DF$53,8),IF(LEFT('6.Inland wetlands'!$K80,8)=LEFT(DG$50,8),'6.Inland wetlands'!$N80,0),0)</f>
        <v>0</v>
      </c>
      <c r="DH51" s="1360">
        <f>IF(LEFT('6.Inland wetlands'!$I80,8)=LEFT($DF$53,8),IF(LEFT('6.Inland wetlands'!$K80,8)=LEFT(DH$50,8),'6.Inland wetlands'!$N80,0),0)</f>
        <v>0</v>
      </c>
      <c r="DI51" s="1360">
        <f>IF(LEFT('6.Inland wetlands'!$I80,8)=LEFT($DF$53,8),IF(LEFT('6.Inland wetlands'!$K80,8)=LEFT(DI$50,8),'6.Inland wetlands'!$N80,0),0)</f>
        <v>0</v>
      </c>
      <c r="DJ51" s="1356">
        <f>IF(LEFT('6.Inland wetlands'!$I80,8)=LEFT($DF$53,8),IF((OR(LEFT('6.Inland wetlands'!$K80,8)=LEFT($DJ50,8),LEFT('6.Inland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0</v>
      </c>
      <c r="DK51" s="1360">
        <f>IF(LEFT('6.Inland wetlands'!$I80,8)=LEFT($DF$53,8),IF(LEFT('6.Inland wetlands'!$K80,8)=LEFT(DK$50,8),'6.Inland wetlands'!$N80,0),0)</f>
        <v>0</v>
      </c>
      <c r="DL51" s="1356">
        <f>IF(LEFT('6.Inland wetlands'!$I80,8)=LEFT($DF$53,8),IF(LEFT('6.Inland wetlands'!$K80,8)=LEFT(DL$50,8),'6.Inland wetlands'!$N80,0),0)</f>
        <v>0</v>
      </c>
      <c r="DM51" s="973"/>
    </row>
    <row r="52" spans="2:117" ht="18" x14ac:dyDescent="0.2">
      <c r="B52" s="1441" t="s">
        <v>303</v>
      </c>
      <c r="C52" s="1442"/>
      <c r="D52" s="973"/>
      <c r="F52" s="1436" t="s">
        <v>199</v>
      </c>
      <c r="G52" s="1367"/>
      <c r="H52" s="1368" t="s">
        <v>1588</v>
      </c>
      <c r="I52" s="3135">
        <f>AG57</f>
        <v>0</v>
      </c>
      <c r="J52" s="3134">
        <f>BD57</f>
        <v>0</v>
      </c>
      <c r="K52" s="2842">
        <f>SUMIF('Inl. wetlands'!$C413:$C418,$K$49,'Inl. wetlands'!$F413:$F418)+MAX(SUM(I52:J52,L52:O52),SUM(I68:J68,L68:O68))-SUM(I52:J52,L52:O52)</f>
        <v>0</v>
      </c>
      <c r="L52" s="3134">
        <f>BG57</f>
        <v>0</v>
      </c>
      <c r="M52" s="3134">
        <f>BH57</f>
        <v>0</v>
      </c>
      <c r="N52" s="3134">
        <f>BF57</f>
        <v>0</v>
      </c>
      <c r="O52" s="3134">
        <f>BI57+BE57</f>
        <v>0</v>
      </c>
      <c r="P52" s="3134">
        <f t="shared" si="22"/>
        <v>0</v>
      </c>
      <c r="S52" s="1576"/>
      <c r="T52" s="1414" t="s">
        <v>199</v>
      </c>
      <c r="U52" s="1420">
        <f>IF('6.Inland wetlands'!$I14 = $U$50, 1,0)* 'Inl. wetlands'!$S37</f>
        <v>0</v>
      </c>
      <c r="V52" s="1421">
        <f>IF('6.Inland wetlands'!$I14 = $V$50, 1,0)* 'Inl. wetlands'!$S37</f>
        <v>0</v>
      </c>
      <c r="W52" s="1421">
        <f>IF('6.Inland wetlands'!$I14 = $W$50, 1,0)* 'Inl. wetlands'!$S37</f>
        <v>0</v>
      </c>
      <c r="X52" s="1421">
        <f>IF('6.Inland wetlands'!$I14 = $X$50, 1,0)* 'Inl. wetlands'!$S37</f>
        <v>0</v>
      </c>
      <c r="Y52" s="1421">
        <f>IF('6.Inland wetlands'!$I14 = $Y$50, 1,0)* 'Inl. wetlands'!$S37</f>
        <v>0</v>
      </c>
      <c r="Z52" s="1421">
        <f>IF('6.Inland wetlands'!$I14 = $Z$50, 1,0)* 'Inl. wetlands'!$S37</f>
        <v>0</v>
      </c>
      <c r="AA52" s="1422">
        <f>IF('6.Inland wetlands'!$I14 = $AA$50, 1,0)* 'Inl. wetlands'!$S37</f>
        <v>0</v>
      </c>
      <c r="AE52" s="1418"/>
      <c r="AF52" s="1414" t="s">
        <v>199</v>
      </c>
      <c r="AG52" s="1420">
        <f>IF(AG$50='6.Inland wetlands'!$I47, '6.Inland wetlands'!$N47,0)</f>
        <v>0</v>
      </c>
      <c r="AH52" s="1421">
        <f>IF(AH$50='6.Inland wetlands'!$I47, '6.Inland wetlands'!$N47,0)</f>
        <v>0</v>
      </c>
      <c r="AI52" s="1421">
        <f>IF(AI$50='6.Inland wetlands'!$I47, '6.Inland wetlands'!$N47,0)</f>
        <v>0</v>
      </c>
      <c r="AJ52" s="1421">
        <f>IF(AJ$50='6.Inland wetlands'!$I47, '6.Inland wetlands'!$N47,0)</f>
        <v>0</v>
      </c>
      <c r="AK52" s="1421">
        <f>IF(AK$50='6.Inland wetlands'!$I47, '6.Inland wetlands'!$N47,0)</f>
        <v>0</v>
      </c>
      <c r="AL52" s="1421">
        <f>IF(AL$50='6.Inland wetlands'!$I47, '6.Inland wetlands'!$N47,0)</f>
        <v>0</v>
      </c>
      <c r="AM52" s="1422">
        <f>IF(AM$50='6.Inland wetlands'!$I47, '6.Inland wetlands'!$N47,0)</f>
        <v>0</v>
      </c>
      <c r="AN52" s="973"/>
      <c r="AQ52" s="973"/>
      <c r="AR52" s="1362" t="s">
        <v>199</v>
      </c>
      <c r="AS52" s="1354">
        <f>IF(LEFT('6.Inland wetlands'!$I81,8)=LEFT($AR$53,8),IF(LEFT('6.Inland wetlands'!$K81,8)=LEFT(AS$50,8), '6.Inland wetlands'!$N81,0),0)</f>
        <v>0</v>
      </c>
      <c r="AT52" s="1354">
        <f>IF(LEFT('6.Inland wetlands'!$I81,8)=LEFT($AR$53,8),IF(LEFT('6.Inland wetlands'!$K81,8)=LEFT(AT$50,8), '6.Inland wetlands'!$N81,0),0)</f>
        <v>0</v>
      </c>
      <c r="AU52" s="1354">
        <f>IF(LEFT('6.Inland wetlands'!$I81,8)=LEFT($AR$53,8),IF(LEFT('6.Inland wetlands'!$K81,8)=LEFT(AU$50,8), '6.Inland wetlands'!$N81,0),0)</f>
        <v>0</v>
      </c>
      <c r="AV52" s="1354">
        <f>IF(LEFT('6.Inland wetlands'!$I81,8)=LEFT($AR$53,8),IF(LEFT('6.Inland wetlands'!$K81,8)=LEFT(AV$50,8), '6.Inland wetlands'!$N81,0),0)</f>
        <v>0</v>
      </c>
      <c r="AW52" s="1354">
        <f>IF(LEFT('6.Inland wetlands'!$I81,8)=LEFT($AR$53,8),IF(LEFT('6.Inland wetlands'!$K81,8)=LEFT(AW$50,8), '6.Inland wetlands'!$N81,0),0)</f>
        <v>0</v>
      </c>
      <c r="AX52" s="1354">
        <f>IF(LEFT('6.Inland wetlands'!$I81,8)=LEFT($AR$53,8),IF((OR(LEFT('6.Inland wetlands'!$K81,8)=LEFT(AX$50,8),LEFT('6.Inland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0</v>
      </c>
      <c r="AZ52" s="1345" t="s">
        <v>1508</v>
      </c>
      <c r="BB52" s="973"/>
      <c r="BC52" s="1362" t="s">
        <v>199</v>
      </c>
      <c r="BD52" s="1354">
        <f>IF((OR(LEFT('6.Inland wetlands'!$I81,8)=LEFT(Matrix!$BC$53,8), LEFT('6.Inland wetlands'!$I81,8)=LEFT(Matrix!$AZ$44,8), LEFT('6.Inland wetlands'!$I81,8)=LEFT(Matrix!$AZ$45,8), LEFT('6.Inland wetlands'!$I81,8)=LEFT(Matrix!$AZ$46,8), LEFT('6.Inland wetlands'!$I81,8)=LEFT(Matrix!AZ$47,8),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wetlands'!$K81,8)=LEFT(Matrix!BD$50,8), '6.Inland wetlands'!$N81, 0),0)</f>
        <v>0</v>
      </c>
      <c r="BE52" s="1354">
        <f>IF((OR(LEFT('6.Inland wetlands'!$I81,8)=LEFT(Matrix!$BC$53,8), LEFT('6.Inland wetlands'!$I81,8)=LEFT(Matrix!$AZ$44,8), LEFT('6.Inland wetlands'!$I81,8)=LEFT(Matrix!$AZ$45,8), LEFT('6.Inland wetlands'!$I81,8)=LEFT(Matrix!$AZ$46,8), LEFT('6.Inland wetlands'!$I81,8)=LEFT(Matrix!BA$47,8),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wetlands'!$K81,8)=LEFT(Matrix!BE$50,8), '6.Inland wetlands'!$N81, 0),0)</f>
        <v>0</v>
      </c>
      <c r="BF52" s="1354">
        <f>IF((OR(LEFT('6.Inland wetlands'!$I81,8)=LEFT(Matrix!$BC$53,8), LEFT('6.Inland wetlands'!$I81,8)=LEFT(Matrix!$AZ$44,8), LEFT('6.Inland wetlands'!$I81,8)=LEFT(Matrix!$AZ$45,8), LEFT('6.Inland wetlands'!$I81,8)=LEFT(Matrix!$AZ$46,8), LEFT('6.Inland wetlands'!$I81,8)=LEFT(Matrix!BB$47,8),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wetlands'!$K81,8)=LEFT(Matrix!BF$50,8), '6.Inland wetlands'!$N81, 0),0)</f>
        <v>0</v>
      </c>
      <c r="BG52" s="1354">
        <f>IF((OR(LEFT('6.Inland wetlands'!$I81,8)=LEFT(Matrix!$BC$53,8), LEFT('6.Inland wetlands'!$I81,8)=LEFT(Matrix!$AZ$44,8), LEFT('6.Inland wetlands'!$I81,8)=LEFT(Matrix!$AZ$45,8), LEFT('6.Inland wetlands'!$I81,8)=LEFT(Matrix!$AZ$46,8), LEFT('6.Inland wetlands'!$I81,8)=LEFT(Matrix!BC$47,8),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wetlands'!$K81,8)=LEFT(Matrix!BG$50,8), '6.Inland wetlands'!$N81, 0),0)</f>
        <v>0</v>
      </c>
      <c r="BH52" s="1354">
        <f>IF((OR(LEFT('6.Inland wetlands'!$I81,8)=LEFT(Matrix!$BC$53,8), LEFT('6.Inland wetlands'!$I81,8)=LEFT(Matrix!$AZ$44,8), LEFT('6.Inland wetlands'!$I81,8)=LEFT(Matrix!$AZ$45,8), LEFT('6.Inland wetlands'!$I81,8)=LEFT(Matrix!$AZ$46,8), LEFT('6.Inland wetlands'!$I81,8)=LEFT(Matrix!BD$47,8),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wetlands'!$K81,8)=LEFT(Matrix!BH$50,8), '6.Inland wetlands'!$N81, 0),0)</f>
        <v>0</v>
      </c>
      <c r="BI52" s="1354">
        <f>IF((OR(LEFT('6.Inland wetlands'!$I81,8)=LEFT(Matrix!$BC$53,8), LEFT('6.Inland wetlands'!$I81,8)=LEFT(Matrix!$AZ$44,8), LEFT('6.Inland wetlands'!$I81,8)=LEFT(Matrix!$AZ$45,8), LEFT('6.Inland wetlands'!$I81,8)=LEFT(Matrix!$AZ$46,8), LEFT('6.Inland wetlands'!$I81,8)=LEFT(Matrix!BE$47,8),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wetlands'!$K81,8)=LEFT(Matrix!BI$50,8), '6.Inland wetlands'!$N81, 0),0)</f>
        <v>0</v>
      </c>
      <c r="BJ52" s="973"/>
      <c r="BM52" s="973"/>
      <c r="BN52" s="1365" t="s">
        <v>199</v>
      </c>
      <c r="BO52" s="1354">
        <f>IF(LEFT('6.Inland wetlands'!$I81,8)=LEFT($BN$53,8),IF(LEFT('6.Inland wetlands'!$K81,8)=LEFT(BO$50,8),'6.Inland wetlands'!$N81,0),0)</f>
        <v>0</v>
      </c>
      <c r="BP52" s="1354">
        <f>IF(LEFT('6.Inland wetlands'!$I81,8)=LEFT($BN$53,8),IF(LEFT('6.Inland wetlands'!$K81,8)=LEFT(BP$50,8),'6.Inland wetlands'!$N81,0),0)</f>
        <v>0</v>
      </c>
      <c r="BQ52" s="1354">
        <f>IF(LEFT('6.Inland wetlands'!$I81,8)=LEFT($BN$53,8),IF(LEFT('6.Inland wetlands'!$K81,8)=LEFT(BQ$50,8),'6.Inland wetlands'!$N81,0),0)</f>
        <v>0</v>
      </c>
      <c r="BR52" s="1354">
        <f>IF(LEFT('6.Inland wetlands'!$I81,8)=LEFT($BN$53,8),IF((OR(LEFT('6.Inland wetlands'!$K81,8)=LEFT(BR$50,8),LEFT('6.Inland wetlands'!$K81,8)=LEFT($AZ$3,8), LEFT('6.Inland wetlands'!$K81,8)=LEFT($AZ$4,9),LEFT('6.Inland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0</v>
      </c>
      <c r="BS52" s="1354">
        <f>IF(LEFT('6.Inland wetlands'!$I81,8)=LEFT($BN$53,8),IF(LEFT('6.Inland wetlands'!$K81,8)=LEFT(BS$50,8),'6.Inland wetlands'!$N81,0),0)</f>
        <v>0</v>
      </c>
      <c r="BT52" s="1354">
        <f>IF(LEFT('6.Inland wetlands'!$I81,8)=LEFT($BN$53,8),IF(LEFT('6.Inland wetlands'!$K81,8)=LEFT(BT$50,8),'6.Inland wetlands'!$N81,0),0)</f>
        <v>0</v>
      </c>
      <c r="BU52" s="973"/>
      <c r="BX52" s="973"/>
      <c r="BY52" s="1365" t="s">
        <v>199</v>
      </c>
      <c r="BZ52" s="1354">
        <f>IF(LEFT('6.Inland wetlands'!$I81,8)=LEFT($BY$8,8),IF(LEFT('6.Inland wetlands'!$K81,8)=LEFT(BZ$5,8),'6.Inland wetlands'!$N81,0),0)</f>
        <v>0</v>
      </c>
      <c r="CA52" s="1354">
        <f>IF(LEFT('6.Inland wetlands'!$I81,8)=LEFT($BY$8,8),IF(LEFT('6.Inland wetlands'!$K81,8)=LEFT(CA$5,8),'6.Inland wetlands'!$N81,0),0)</f>
        <v>0</v>
      </c>
      <c r="CB52" s="1354">
        <f>IF(LEFT('6.Inland wetlands'!$I81,8)=LEFT($BY$8,8),IF(LEFT('6.Inland wetlands'!$K81,8)=LEFT(CB$5,8),'6.Inland wetlands'!$N81,0),0)</f>
        <v>0</v>
      </c>
      <c r="CC52" s="1354">
        <f>IF(LEFT('6.Inland wetlands'!$I81,8)=LEFT($BY$8,8),IF((OR(LEFT('6.Inland wetlands'!$K81,8)=LEFT(CC$5,8),LEFT('6.Inland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0</v>
      </c>
      <c r="CD52" s="1354">
        <f>IF(LEFT('6.Inland wetlands'!$I81,8)=LEFT($BY$8,8),IF(LEFT('6.Inland wetlands'!$K81,8)=LEFT(CD$5,8),'6.Inland wetlands'!$N81,0),0)</f>
        <v>0</v>
      </c>
      <c r="CE52" s="1354">
        <f>IF(LEFT('6.Inland wetlands'!$I81,8)=LEFT($BY$8,8),IF(LEFT('6.Inland wetlands'!$K81,8)=LEFT(CE$5,8),'6.Inland wetlands'!$N81,0),0)</f>
        <v>0</v>
      </c>
      <c r="CF52" s="973"/>
      <c r="CI52" s="973"/>
      <c r="CJ52" s="1365" t="s">
        <v>199</v>
      </c>
      <c r="CK52" s="1354">
        <f>IF(LEFT('6.Inland wetlands'!$I81,8)=LEFT($CJ$8,8),IF(LEFT('6.Inland wetlands'!$K81,8)=LEFT(CK$5,8),'6.Inland wetlands'!$N81,0),0)</f>
        <v>0</v>
      </c>
      <c r="CL52" s="1354">
        <f>IF(LEFT('6.Inland wetlands'!$I81,8)=LEFT($CJ$8,8),IF(LEFT('6.Inland wetlands'!$K81,8)=LEFT(CL$5,8),'6.Inland wetlands'!$N81,0),0)</f>
        <v>0</v>
      </c>
      <c r="CM52" s="1355">
        <f>IF(LEFT('6.Inland wetlands'!$I81,8)=LEFT($CJ$8,8),IF(LEFT('6.Inland wetlands'!$K81,8)=LEFT(CM$5,8),'6.Inland wetlands'!$N81,0),0)</f>
        <v>0</v>
      </c>
      <c r="CN52" s="1354">
        <f>IF(LEFT('6.Inland wetlands'!$I81,8)=LEFT($CJ$8,8),IF((OR(LEFT('6.Inland wetlands'!$K81,8)=LEFT(CN$5,8),LEFT('6.Inland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0</v>
      </c>
      <c r="CO52" s="1357">
        <f>IF(LEFT('6.Inland wetlands'!$I81,8)=LEFT($CJ$8,8),IF(LEFT('6.Inland wetlands'!$K81,8)=LEFT(CO$5,8),'6.Inland wetlands'!$N81,0),0)</f>
        <v>0</v>
      </c>
      <c r="CP52" s="1354">
        <f>IF(LEFT('6.Inland wetlands'!$I81,8)=LEFT($CJ$8,8),IF(LEFT('6.Inland wetlands'!$K81,8)=LEFT(CP$5,8),'6.Inland wetlands'!$N81,0),0)</f>
        <v>0</v>
      </c>
      <c r="CQ52" s="973"/>
      <c r="CT52" s="973"/>
      <c r="CU52" s="1365" t="s">
        <v>199</v>
      </c>
      <c r="CV52" s="1355">
        <f>IF(LEFT('6.Inland wetlands'!$I81,8)=LEFT($CU$53,8),IF(LEFT('6.Inland wetlands'!$K81,8)=LEFT(CV$50,8),'6.Inland wetlands'!$N81,0),0)</f>
        <v>0</v>
      </c>
      <c r="CW52" s="1355">
        <f>IF(LEFT('6.Inland wetlands'!$I81,8)=LEFT($CU$53,8),IF(LEFT('6.Inland wetlands'!$K81,8)=LEFT(CW$50,8),'6.Inland wetlands'!$N81,0),0)</f>
        <v>0</v>
      </c>
      <c r="CX52" s="1355">
        <f>IF(LEFT('6.Inland wetlands'!$I81,8)=LEFT($CU$53,8),IF(LEFT('6.Inland wetlands'!$K81,8)=LEFT(CX$50,8),'6.Inland wetlands'!$N81,0),0)</f>
        <v>0</v>
      </c>
      <c r="CY52" s="1354">
        <f>IF(LEFT('6.Inland wetlands'!$I81,8)=LEFT($CU$53,8),IF((OR(LEFT('6.Inland wetlands'!$K81,8)=LEFT($CY$50,8),LEFT('6.Inland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0</v>
      </c>
      <c r="CZ52" s="1104">
        <f>IF(LEFT('6.Inland wetlands'!$I81,8)=LEFT($CU$53,8),IF(LEFT('6.Inland wetlands'!$K81,8)=LEFT(CZ$50,8),'6.Inland wetlands'!$N81,0),0)</f>
        <v>0</v>
      </c>
      <c r="DA52" s="1354">
        <f>IF(LEFT('6.Inland wetlands'!$I81,8)=LEFT($CU$53,8),IF(LEFT('6.Inland wetlands'!$K81,8)=LEFT(DA$50,8),'6.Inland wetlands'!$N81,0),0)</f>
        <v>0</v>
      </c>
      <c r="DB52" s="973"/>
      <c r="DE52" s="973"/>
      <c r="DF52" s="1365" t="s">
        <v>199</v>
      </c>
      <c r="DG52" s="1355">
        <f>IF(LEFT('6.Inland wetlands'!$I81,8)=LEFT($DF$53,8),IF(LEFT('6.Inland wetlands'!$K81,8)=LEFT(DG$50,8),'6.Inland wetlands'!$N81,0),0)</f>
        <v>0</v>
      </c>
      <c r="DH52" s="1355">
        <f>IF(LEFT('6.Inland wetlands'!$I81,8)=LEFT($DF$53,8),IF(LEFT('6.Inland wetlands'!$K81,8)=LEFT(DH$50,8),'6.Inland wetlands'!$N81,0),0)</f>
        <v>0</v>
      </c>
      <c r="DI52" s="1355">
        <f>IF(LEFT('6.Inland wetlands'!$I81,8)=LEFT($DF$53,8),IF(LEFT('6.Inland wetlands'!$K81,8)=LEFT(DI$50,8),'6.Inland wetlands'!$N81,0),0)</f>
        <v>0</v>
      </c>
      <c r="DJ52" s="1354">
        <f>IF(LEFT('6.Inland wetlands'!$I81,8)=LEFT($DF$53,8),IF((OR(LEFT('6.Inland wetlands'!$K81,8)=LEFT($DJ51,8),LEFT('6.Inland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0</v>
      </c>
      <c r="DK52" s="1355">
        <f>IF(LEFT('6.Inland wetlands'!$I81,8)=LEFT($DF$53,8),IF(LEFT('6.Inland wetlands'!$K81,8)=LEFT(DK$50,8),'6.Inland wetlands'!$N81,0),0)</f>
        <v>0</v>
      </c>
      <c r="DL52" s="1354">
        <f>IF(LEFT('6.Inland wetlands'!$I81,8)=LEFT($DF$53,8),IF(LEFT('6.Inland wetlands'!$K81,8)=LEFT(DL$50,8),'6.Inland wetlands'!$N81,0),0)</f>
        <v>0</v>
      </c>
    </row>
    <row r="53" spans="2:117" x14ac:dyDescent="0.15">
      <c r="B53" s="1443" t="s">
        <v>3174</v>
      </c>
      <c r="C53" s="1444"/>
      <c r="D53" s="973"/>
      <c r="F53" s="1368"/>
      <c r="G53" s="1369"/>
      <c r="H53" s="1370" t="s">
        <v>1384</v>
      </c>
      <c r="I53" s="3135">
        <f>AK57</f>
        <v>0</v>
      </c>
      <c r="J53" s="3134">
        <f>BO57</f>
        <v>0</v>
      </c>
      <c r="K53" s="3134">
        <f>BR57</f>
        <v>0</v>
      </c>
      <c r="L53" s="2842">
        <f>SUMIF('Inl. wetlands'!$C413:$C418,$L$49,'Inl. wetlands'!$F413:$F418)+MAX(SUM(I69:K69,M69:O69),(I53:K53,M53:O53))-SUM(I53:K53,M53:O53)</f>
        <v>0</v>
      </c>
      <c r="M53" s="3134">
        <f>BS57</f>
        <v>0</v>
      </c>
      <c r="N53" s="3134">
        <f>BQ57</f>
        <v>0</v>
      </c>
      <c r="O53" s="3134">
        <f>BT57+BP57</f>
        <v>0</v>
      </c>
      <c r="P53" s="3134">
        <f t="shared" si="22"/>
        <v>0</v>
      </c>
      <c r="S53" s="1576"/>
      <c r="T53" s="1414" t="s">
        <v>3172</v>
      </c>
      <c r="U53" s="1420">
        <f>IF('6.Inland wetlands'!$I15 = $U$50, 1,0)* 'Inl. wetlands'!$S38</f>
        <v>0</v>
      </c>
      <c r="V53" s="1421">
        <f>IF('6.Inland wetlands'!$I15 = $V$50, 1,0)* 'Inl. wetlands'!$S38</f>
        <v>0</v>
      </c>
      <c r="W53" s="1421">
        <f>IF('6.Inland wetlands'!$I15 = $W$50, 1,0)* 'Inl. wetlands'!$S38</f>
        <v>0</v>
      </c>
      <c r="X53" s="1421">
        <f>IF('6.Inland wetlands'!$I15 = $X$50, 1,0)* 'Inl. wetlands'!$S38</f>
        <v>0</v>
      </c>
      <c r="Y53" s="1421">
        <f>IF('6.Inland wetlands'!$I15 = $Y$50, 1,0)* 'Inl. wetlands'!$S38</f>
        <v>0</v>
      </c>
      <c r="Z53" s="1421">
        <f>IF('6.Inland wetlands'!$I15 = $Z$50, 1,0)* 'Inl. wetlands'!$S38</f>
        <v>0</v>
      </c>
      <c r="AA53" s="1422">
        <f>IF('6.Inland wetlands'!$I15 = $AA$50, 1,0)* 'Inl. wetlands'!$S38</f>
        <v>0</v>
      </c>
      <c r="AE53" s="1418"/>
      <c r="AF53" s="1414" t="s">
        <v>3172</v>
      </c>
      <c r="AG53" s="1420">
        <f>IF(AG$50='6.Inland wetlands'!$I48, '6.Inland wetlands'!$N48,0)</f>
        <v>0</v>
      </c>
      <c r="AH53" s="1421">
        <f>IF(AH$50='6.Inland wetlands'!$I48, '6.Inland wetlands'!$N48,0)</f>
        <v>0</v>
      </c>
      <c r="AI53" s="1421">
        <f>IF(AI$50='6.Inland wetlands'!$I48, '6.Inland wetlands'!$N48,0)</f>
        <v>0</v>
      </c>
      <c r="AJ53" s="1421">
        <f>IF(AJ$50='6.Inland wetlands'!$I48, '6.Inland wetlands'!$N48,0)</f>
        <v>0</v>
      </c>
      <c r="AK53" s="1421">
        <f>IF(AK$50='6.Inland wetlands'!$I48, '6.Inland wetlands'!$N48,0)</f>
        <v>0</v>
      </c>
      <c r="AL53" s="1421">
        <f>IF(AL$50='6.Inland wetlands'!$I48, '6.Inland wetlands'!$N48,0)</f>
        <v>0</v>
      </c>
      <c r="AM53" s="1422">
        <f>IF(AM$50='6.Inland wetlands'!$I48, '6.Inland wetlands'!$N48,0)</f>
        <v>0</v>
      </c>
      <c r="AN53" s="973"/>
      <c r="AQ53" s="973"/>
      <c r="AR53" s="1354" t="s">
        <v>1382</v>
      </c>
      <c r="AS53" s="1354">
        <f>IF(LEFT('6.Inland wetlands'!$I82,8)=LEFT($AR$53,8),IF(LEFT('6.Inland wetlands'!$K82,8)=LEFT(AS$50,8), '6.Inland wetlands'!$N82,0),0)</f>
        <v>0</v>
      </c>
      <c r="AT53" s="1354">
        <f>IF(LEFT('6.Inland wetlands'!$I82,8)=LEFT($AR$53,8),IF(LEFT('6.Inland wetlands'!$K82,8)=LEFT(AT$50,8), '6.Inland wetlands'!$N82,0),0)</f>
        <v>0</v>
      </c>
      <c r="AU53" s="1354">
        <f>IF(LEFT('6.Inland wetlands'!$I82,8)=LEFT($AR$53,8),IF(LEFT('6.Inland wetlands'!$K82,8)=LEFT(AU$50,8), '6.Inland wetlands'!$N82,0),0)</f>
        <v>0</v>
      </c>
      <c r="AV53" s="1354">
        <f>IF(LEFT('6.Inland wetlands'!$I82,8)=LEFT($AR$53,8),IF(LEFT('6.Inland wetlands'!$K82,8)=LEFT(AV$50,8), '6.Inland wetlands'!$N82,0),0)</f>
        <v>0</v>
      </c>
      <c r="AW53" s="1354">
        <f>IF(LEFT('6.Inland wetlands'!$I82,8)=LEFT($AR$53,8),IF(LEFT('6.Inland wetlands'!$K82,8)=LEFT(AW$50,8), '6.Inland wetlands'!$N82,0),0)</f>
        <v>0</v>
      </c>
      <c r="AX53" s="1354">
        <f>IF(LEFT('6.Inland wetlands'!$I82,8)=LEFT($AR$53,8),IF((OR(LEFT('6.Inland wetlands'!$K82,8)=LEFT(AX$50,8),LEFT('6.Inland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0</v>
      </c>
      <c r="AZ53" s="1345" t="s">
        <v>1421</v>
      </c>
      <c r="BB53" s="973"/>
      <c r="BC53" s="1354" t="s">
        <v>1588</v>
      </c>
      <c r="BD53" s="1354">
        <f>IF((OR(LEFT('6.Inland wetlands'!$I82,8)=LEFT(Matrix!$BC$53,8), LEFT('6.Inland wetlands'!$I82,8)=LEFT(Matrix!$AZ$44,8), LEFT('6.Inland wetlands'!$I82,8)=LEFT(Matrix!$AZ$45,8), LEFT('6.Inland wetlands'!$I82,8)=LEFT(Matrix!$AZ$46,8), LEFT('6.Inland wetlands'!$I82,8)=LEFT(Matrix!AZ$47,8),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wetlands'!$K82,8)=LEFT(Matrix!BD$50,8), '6.Inland wetlands'!$N82, 0),0)</f>
        <v>0</v>
      </c>
      <c r="BE53" s="1354">
        <f>IF((OR(LEFT('6.Inland wetlands'!$I82,8)=LEFT(Matrix!$BC$53,8), LEFT('6.Inland wetlands'!$I82,8)=LEFT(Matrix!$AZ$44,8), LEFT('6.Inland wetlands'!$I82,8)=LEFT(Matrix!$AZ$45,8), LEFT('6.Inland wetlands'!$I82,8)=LEFT(Matrix!$AZ$46,8), LEFT('6.Inland wetlands'!$I82,8)=LEFT(Matrix!BA$47,8),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wetlands'!$K82,8)=LEFT(Matrix!BE$50,8), '6.Inland wetlands'!$N82, 0),0)</f>
        <v>0</v>
      </c>
      <c r="BF53" s="1354">
        <f>IF((OR(LEFT('6.Inland wetlands'!$I82,8)=LEFT(Matrix!$BC$53,8), LEFT('6.Inland wetlands'!$I82,8)=LEFT(Matrix!$AZ$44,8), LEFT('6.Inland wetlands'!$I82,8)=LEFT(Matrix!$AZ$45,8), LEFT('6.Inland wetlands'!$I82,8)=LEFT(Matrix!$AZ$46,8), LEFT('6.Inland wetlands'!$I82,8)=LEFT(Matrix!BB$47,8),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wetlands'!$K82,8)=LEFT(Matrix!BF$50,8), '6.Inland wetlands'!$N82, 0),0)</f>
        <v>0</v>
      </c>
      <c r="BG53" s="1354">
        <f>IF((OR(LEFT('6.Inland wetlands'!$I82,8)=LEFT(Matrix!$BC$53,8), LEFT('6.Inland wetlands'!$I82,8)=LEFT(Matrix!$AZ$44,8), LEFT('6.Inland wetlands'!$I82,8)=LEFT(Matrix!$AZ$45,8), LEFT('6.Inland wetlands'!$I82,8)=LEFT(Matrix!$AZ$46,8), LEFT('6.Inland wetlands'!$I82,8)=LEFT(Matrix!BC$47,8),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wetlands'!$K82,8)=LEFT(Matrix!BG$50,8), '6.Inland wetlands'!$N82, 0),0)</f>
        <v>0</v>
      </c>
      <c r="BH53" s="1354">
        <f>IF((OR(LEFT('6.Inland wetlands'!$I82,8)=LEFT(Matrix!$BC$53,8), LEFT('6.Inland wetlands'!$I82,8)=LEFT(Matrix!$AZ$44,8), LEFT('6.Inland wetlands'!$I82,8)=LEFT(Matrix!$AZ$45,8), LEFT('6.Inland wetlands'!$I82,8)=LEFT(Matrix!$AZ$46,8), LEFT('6.Inland wetlands'!$I82,8)=LEFT(Matrix!BD$47,8),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wetlands'!$K82,8)=LEFT(Matrix!BH$50,8), '6.Inland wetlands'!$N82, 0),0)</f>
        <v>0</v>
      </c>
      <c r="BI53" s="1354">
        <f>IF((OR(LEFT('6.Inland wetlands'!$I82,8)=LEFT(Matrix!$BC$53,8), LEFT('6.Inland wetlands'!$I82,8)=LEFT(Matrix!$AZ$44,8), LEFT('6.Inland wetlands'!$I82,8)=LEFT(Matrix!$AZ$45,8), LEFT('6.Inland wetlands'!$I82,8)=LEFT(Matrix!$AZ$46,8), LEFT('6.Inland wetlands'!$I82,8)=LEFT(Matrix!BE$47,8),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wetlands'!$K82,8)=LEFT(Matrix!BI$50,8), '6.Inland wetlands'!$N82, 0),0)</f>
        <v>0</v>
      </c>
      <c r="BJ53" s="973"/>
      <c r="BM53" s="973"/>
      <c r="BN53" s="1355" t="s">
        <v>1384</v>
      </c>
      <c r="BO53" s="1354">
        <f>IF(LEFT('6.Inland wetlands'!$I82,8)=LEFT($BN$53,8),IF(LEFT('6.Inland wetlands'!$K82,8)=LEFT(BO$50,8),'6.Inland wetlands'!$N82,0),0)</f>
        <v>0</v>
      </c>
      <c r="BP53" s="1354">
        <f>IF(LEFT('6.Inland wetlands'!$I82,8)=LEFT($BN$53,8),IF(LEFT('6.Inland wetlands'!$K82,8)=LEFT(BP$50,8),'6.Inland wetlands'!$N82,0),0)</f>
        <v>0</v>
      </c>
      <c r="BQ53" s="1354">
        <f>IF(LEFT('6.Inland wetlands'!$I82,8)=LEFT($BN$53,8),IF(LEFT('6.Inland wetlands'!$K82,8)=LEFT(BQ$50,8),'6.Inland wetlands'!$N82,0),0)</f>
        <v>0</v>
      </c>
      <c r="BR53" s="1354">
        <f>IF(LEFT('6.Inland wetlands'!$I82,8)=LEFT($BN$53,8),IF((OR(LEFT('6.Inland wetlands'!$K82,8)=LEFT(BR$50,8),LEFT('6.Inland wetlands'!$K82,8)=LEFT($AZ$3,8), LEFT('6.Inland wetlands'!$K82,8)=LEFT($AZ$4,9),LEFT('6.Inland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0</v>
      </c>
      <c r="BS53" s="1354">
        <f>IF(LEFT('6.Inland wetlands'!$I82,8)=LEFT($BN$53,8),IF(LEFT('6.Inland wetlands'!$K82,8)=LEFT(BS$50,8),'6.Inland wetlands'!$N82,0),0)</f>
        <v>0</v>
      </c>
      <c r="BT53" s="1354">
        <f>IF(LEFT('6.Inland wetlands'!$I82,8)=LEFT($BN$53,8),IF(LEFT('6.Inland wetlands'!$K82,8)=LEFT(BT$50,8),'6.Inland wetlands'!$N82,0),0)</f>
        <v>0</v>
      </c>
      <c r="BU53" s="973"/>
      <c r="BX53" s="973"/>
      <c r="BY53" s="1355" t="s">
        <v>1590</v>
      </c>
      <c r="BZ53" s="1354">
        <f>IF(LEFT('6.Inland wetlands'!$I82,8)=LEFT($BY$8,8),IF(LEFT('6.Inland wetlands'!$K82,8)=LEFT(BZ$5,8),'6.Inland wetlands'!$N82,0),0)</f>
        <v>0</v>
      </c>
      <c r="CA53" s="1354">
        <f>IF(LEFT('6.Inland wetlands'!$I82,8)=LEFT($BY$8,8),IF(LEFT('6.Inland wetlands'!$K82,8)=LEFT(CA$5,8),'6.Inland wetlands'!$N82,0),0)</f>
        <v>0</v>
      </c>
      <c r="CB53" s="1354">
        <f>IF(LEFT('6.Inland wetlands'!$I82,8)=LEFT($BY$8,8),IF(LEFT('6.Inland wetlands'!$K82,8)=LEFT(CB$5,8),'6.Inland wetlands'!$N82,0),0)</f>
        <v>0</v>
      </c>
      <c r="CC53" s="1354">
        <f>IF(LEFT('6.Inland wetlands'!$I82,8)=LEFT($BY$8,8),IF((OR(LEFT('6.Inland wetlands'!$K82,8)=LEFT(CC$5,8),LEFT('6.Inland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0</v>
      </c>
      <c r="CD53" s="1354">
        <f>IF(LEFT('6.Inland wetlands'!$I82,8)=LEFT($BY$8,8),IF(LEFT('6.Inland wetlands'!$K82,8)=LEFT(CD$5,8),'6.Inland wetlands'!$N82,0),0)</f>
        <v>0</v>
      </c>
      <c r="CE53" s="1354">
        <f>IF(LEFT('6.Inland wetlands'!$I82,8)=LEFT($BY$8,8),IF(LEFT('6.Inland wetlands'!$K82,8)=LEFT(CE$5,8),'6.Inland wetlands'!$N82,0),0)</f>
        <v>0</v>
      </c>
      <c r="CF53" s="973"/>
      <c r="CI53" s="973"/>
      <c r="CJ53" s="1355" t="s">
        <v>1396</v>
      </c>
      <c r="CK53" s="1354">
        <f>IF(LEFT('6.Inland wetlands'!$I82,8)=LEFT($CJ$8,8),IF(LEFT('6.Inland wetlands'!$K82,8)=LEFT(CK$5,8),'6.Inland wetlands'!$N82,0),0)</f>
        <v>0</v>
      </c>
      <c r="CL53" s="1354">
        <f>IF(LEFT('6.Inland wetlands'!$I82,8)=LEFT($CJ$8,8),IF(LEFT('6.Inland wetlands'!$K82,8)=LEFT(CL$5,8),'6.Inland wetlands'!$N82,0),0)</f>
        <v>0</v>
      </c>
      <c r="CM53" s="1355">
        <f>IF(LEFT('6.Inland wetlands'!$I82,8)=LEFT($CJ$8,8),IF(LEFT('6.Inland wetlands'!$K82,8)=LEFT(CM$5,8),'6.Inland wetlands'!$N82,0),0)</f>
        <v>0</v>
      </c>
      <c r="CN53" s="1354">
        <f>IF(LEFT('6.Inland wetlands'!$I82,8)=LEFT($CJ$8,8),IF((OR(LEFT('6.Inland wetlands'!$K82,8)=LEFT(CN$5,8),LEFT('6.Inland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0</v>
      </c>
      <c r="CO53" s="1357">
        <f>IF(LEFT('6.Inland wetlands'!$I82,8)=LEFT($CJ$8,8),IF(LEFT('6.Inland wetlands'!$K82,8)=LEFT(CO$5,8),'6.Inland wetlands'!$N82,0),0)</f>
        <v>0</v>
      </c>
      <c r="CP53" s="1354">
        <f>IF(LEFT('6.Inland wetlands'!$I82,8)=LEFT($CJ$8,8),IF(LEFT('6.Inland wetlands'!$K82,8)=LEFT(CP$5,8),'6.Inland wetlands'!$N82,0),0)</f>
        <v>0</v>
      </c>
      <c r="CQ53" s="973"/>
      <c r="CT53" s="973"/>
      <c r="CU53" s="1355" t="s">
        <v>1592</v>
      </c>
      <c r="CV53" s="1355">
        <f>IF(LEFT('6.Inland wetlands'!$I82,8)=LEFT($CU$53,8),IF(LEFT('6.Inland wetlands'!$K82,8)=LEFT(CV$50,8),'6.Inland wetlands'!$N82,0),0)</f>
        <v>0</v>
      </c>
      <c r="CW53" s="1355">
        <f>IF(LEFT('6.Inland wetlands'!$I82,8)=LEFT($CU$53,8),IF(LEFT('6.Inland wetlands'!$K82,8)=LEFT(CW$50,8),'6.Inland wetlands'!$N82,0),0)</f>
        <v>0</v>
      </c>
      <c r="CX53" s="1355">
        <f>IF(LEFT('6.Inland wetlands'!$I82,8)=LEFT($CU$53,8),IF(LEFT('6.Inland wetlands'!$K82,8)=LEFT(CX$50,8),'6.Inland wetlands'!$N82,0),0)</f>
        <v>0</v>
      </c>
      <c r="CY53" s="1354">
        <f>IF(LEFT('6.Inland wetlands'!$I82,8)=LEFT($CU$53,8),IF((OR(LEFT('6.Inland wetlands'!$K82,8)=LEFT($CY$50,8),LEFT('6.Inland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0</v>
      </c>
      <c r="CZ53" s="1104">
        <f>IF(LEFT('6.Inland wetlands'!$I82,8)=LEFT($CU$53,8),IF(LEFT('6.Inland wetlands'!$K82,8)=LEFT(CZ$50,8),'6.Inland wetlands'!$N82,0),0)</f>
        <v>0</v>
      </c>
      <c r="DA53" s="1354">
        <f>IF(LEFT('6.Inland wetlands'!$I82,8)=LEFT($CU$53,8),IF(LEFT('6.Inland wetlands'!$K82,8)=LEFT(DA$50,8),'6.Inland wetlands'!$N82,0),0)</f>
        <v>0</v>
      </c>
      <c r="DB53" s="973"/>
      <c r="DE53" s="973"/>
      <c r="DF53" s="1355" t="s">
        <v>1401</v>
      </c>
      <c r="DG53" s="1355">
        <f>IF(LEFT('6.Inland wetlands'!$I82,8)=LEFT($DF$53,8),IF(LEFT('6.Inland wetlands'!$K82,8)=LEFT(DG$50,8),'6.Inland wetlands'!$N82,0),0)</f>
        <v>0</v>
      </c>
      <c r="DH53" s="1355">
        <f>IF(LEFT('6.Inland wetlands'!$I82,8)=LEFT($DF$53,8),IF(LEFT('6.Inland wetlands'!$K82,8)=LEFT(DH$50,8),'6.Inland wetlands'!$N82,0),0)</f>
        <v>0</v>
      </c>
      <c r="DI53" s="1355">
        <f>IF(LEFT('6.Inland wetlands'!$I82,8)=LEFT($DF$53,8),IF(LEFT('6.Inland wetlands'!$K82,8)=LEFT(DI$50,8),'6.Inland wetlands'!$N82,0),0)</f>
        <v>0</v>
      </c>
      <c r="DJ53" s="1354">
        <f>IF(LEFT('6.Inland wetlands'!$I82,8)=LEFT($DF$53,8),IF((OR(LEFT('6.Inland wetlands'!$K82,8)=LEFT($DJ52,8),LEFT('6.Inland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0</v>
      </c>
      <c r="DK53" s="1355">
        <f>IF(LEFT('6.Inland wetlands'!$I82,8)=LEFT($DF$53,8),IF(LEFT('6.Inland wetlands'!$K82,8)=LEFT(DK$50,8),'6.Inland wetlands'!$N82,0),0)</f>
        <v>0</v>
      </c>
      <c r="DL53" s="1354">
        <f>IF(LEFT('6.Inland wetlands'!$I82,8)=LEFT($DF$53,8),IF(LEFT('6.Inland wetlands'!$K82,8)=LEFT(DL$50,8),'6.Inland wetlands'!$N82,0),0)</f>
        <v>0</v>
      </c>
    </row>
    <row r="54" spans="2:117" x14ac:dyDescent="0.15">
      <c r="D54" s="973"/>
      <c r="F54" s="1368"/>
      <c r="G54" s="1363" t="s">
        <v>1396</v>
      </c>
      <c r="H54" s="1364" t="s">
        <v>1396</v>
      </c>
      <c r="I54" s="3135">
        <f>AL57</f>
        <v>0</v>
      </c>
      <c r="J54" s="3136">
        <f>CK57</f>
        <v>0</v>
      </c>
      <c r="K54" s="3136">
        <f>CN57</f>
        <v>0</v>
      </c>
      <c r="L54" s="3136">
        <f>CL57</f>
        <v>0</v>
      </c>
      <c r="M54" s="2842">
        <f>SUMIF('Inl. wetlands'!$C413:$C418,$M$49,'Inl. wetlands'!$F413:$F418)+MAX(SUM(I70:L70,N70:O70), SUM(I54:L54,N54:O54))-SUM(I54:L54,N54:O54)+Coastal!$AB$15+Coastal!$AB$74</f>
        <v>0</v>
      </c>
      <c r="N54" s="3136">
        <f>CM57</f>
        <v>0</v>
      </c>
      <c r="O54" s="3136">
        <f>CP57+CO57</f>
        <v>0</v>
      </c>
      <c r="P54" s="3134">
        <f t="shared" si="22"/>
        <v>0</v>
      </c>
      <c r="S54" s="1576"/>
      <c r="T54" s="1414"/>
      <c r="U54" s="1420">
        <f>IF('6.Inland wetlands'!$I16 = $U$50, 1,0)* 'Inl. wetlands'!$S39</f>
        <v>0</v>
      </c>
      <c r="V54" s="1421">
        <f>IF('6.Inland wetlands'!$I16 = $V$50, 1,0)* 'Inl. wetlands'!$S39</f>
        <v>0</v>
      </c>
      <c r="W54" s="1421">
        <f>IF('6.Inland wetlands'!$I16 = $W$50, 1,0)* 'Inl. wetlands'!$S39</f>
        <v>0</v>
      </c>
      <c r="X54" s="1421">
        <f>IF('6.Inland wetlands'!$I16 = $X$50, 1,0)* 'Inl. wetlands'!$S39</f>
        <v>0</v>
      </c>
      <c r="Y54" s="1421">
        <f>IF('6.Inland wetlands'!$I16 = $Y$50, 1,0)* 'Inl. wetlands'!$S39</f>
        <v>0</v>
      </c>
      <c r="Z54" s="1421">
        <f>IF('6.Inland wetlands'!$I16 = $Z$50, 1,0)* 'Inl. wetlands'!$S39</f>
        <v>0</v>
      </c>
      <c r="AA54" s="1422">
        <f>IF('6.Inland wetlands'!$I16 = $AA$50, 1,0)* 'Inl. wetlands'!$S39</f>
        <v>0</v>
      </c>
      <c r="AE54" s="1168"/>
      <c r="AF54" s="1414"/>
      <c r="AG54" s="1420">
        <f>IF(AG$50='6.Inland wetlands'!$I49, '6.Inland wetlands'!$N49,0)</f>
        <v>0</v>
      </c>
      <c r="AH54" s="1421">
        <f>IF(AH$50='6.Inland wetlands'!$I49, '6.Inland wetlands'!$N49,0)</f>
        <v>0</v>
      </c>
      <c r="AI54" s="1421">
        <f>IF(AI$50='6.Inland wetlands'!$I49, '6.Inland wetlands'!$N49,0)</f>
        <v>0</v>
      </c>
      <c r="AJ54" s="1421">
        <f>IF(AJ$50='6.Inland wetlands'!$I49, '6.Inland wetlands'!$N49,0)</f>
        <v>0</v>
      </c>
      <c r="AK54" s="1421">
        <f>IF(AK$50='6.Inland wetlands'!$I49, '6.Inland wetlands'!$N49,0)</f>
        <v>0</v>
      </c>
      <c r="AL54" s="1421">
        <f>IF(AL$50='6.Inland wetlands'!$I49, '6.Inland wetlands'!$N49,0)</f>
        <v>0</v>
      </c>
      <c r="AM54" s="1422">
        <f>IF(AM$50='6.Inland wetlands'!$I49, '6.Inland wetlands'!$N49,0)</f>
        <v>0</v>
      </c>
      <c r="AN54" s="973"/>
      <c r="AQ54" s="973"/>
      <c r="AR54" s="1354" t="s">
        <v>3173</v>
      </c>
      <c r="AS54" s="1354">
        <f>IF(LEFT('6.Inland wetlands'!$I83,8)=LEFT($AR$53,8),IF(LEFT('6.Inland wetlands'!$K83,8)=LEFT(AS$50,8), '6.Inland wetlands'!$N83,0),0)</f>
        <v>0</v>
      </c>
      <c r="AT54" s="1354">
        <f>IF(LEFT('6.Inland wetlands'!$I83,8)=LEFT($AR$53,8),IF(LEFT('6.Inland wetlands'!$K83,8)=LEFT(AT$50,8), '6.Inland wetlands'!$N83,0),0)</f>
        <v>0</v>
      </c>
      <c r="AU54" s="1354">
        <f>IF(LEFT('6.Inland wetlands'!$I83,8)=LEFT($AR$53,8),IF(LEFT('6.Inland wetlands'!$K83,8)=LEFT(AU$50,8), '6.Inland wetlands'!$N83,0),0)</f>
        <v>0</v>
      </c>
      <c r="AV54" s="1354">
        <f>IF(LEFT('6.Inland wetlands'!$I83,8)=LEFT($AR$53,8),IF(LEFT('6.Inland wetlands'!$K83,8)=LEFT(AV$50,8), '6.Inland wetlands'!$N83,0),0)</f>
        <v>0</v>
      </c>
      <c r="AW54" s="1354">
        <f>IF(LEFT('6.Inland wetlands'!$I83,8)=LEFT($AR$53,8),IF(LEFT('6.Inland wetlands'!$K83,8)=LEFT(AW$50,8), '6.Inland wetlands'!$N83,0),0)</f>
        <v>0</v>
      </c>
      <c r="AX54" s="1354">
        <f>IF(LEFT('6.Inland wetlands'!$I83,8)=LEFT($AR$53,8),IF((OR(LEFT('6.Inland wetlands'!$K83,8)=LEFT(AX$50,8),LEFT('6.Inland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0</v>
      </c>
      <c r="AZ54" s="1345" t="s">
        <v>1501</v>
      </c>
      <c r="BB54" s="973"/>
      <c r="BC54" s="1354" t="s">
        <v>3173</v>
      </c>
      <c r="BD54" s="1354">
        <f>IF((OR(LEFT('6.Inland wetlands'!$I83,8)=LEFT(Matrix!$BC$53,8), LEFT('6.Inland wetlands'!$I83,8)=LEFT(Matrix!$AZ$44,8), LEFT('6.Inland wetlands'!$I83,8)=LEFT(Matrix!$AZ$45,8), LEFT('6.Inland wetlands'!$I83,8)=LEFT(Matrix!$AZ$46,8), LEFT('6.Inland wetlands'!$I83,8)=LEFT(Matrix!AZ$47,8),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wetlands'!$K83,8)=LEFT(Matrix!BD$50,8), '6.Inland wetlands'!$N83, 0),0)</f>
        <v>0</v>
      </c>
      <c r="BE54" s="1354">
        <f>IF((OR(LEFT('6.Inland wetlands'!$I83,8)=LEFT(Matrix!$BC$53,8), LEFT('6.Inland wetlands'!$I83,8)=LEFT(Matrix!$AZ$44,8), LEFT('6.Inland wetlands'!$I83,8)=LEFT(Matrix!$AZ$45,8), LEFT('6.Inland wetlands'!$I83,8)=LEFT(Matrix!$AZ$46,8), LEFT('6.Inland wetlands'!$I83,8)=LEFT(Matrix!BA$47,8),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wetlands'!$K83,8)=LEFT(Matrix!BE$50,8), '6.Inland wetlands'!$N83, 0),0)</f>
        <v>0</v>
      </c>
      <c r="BF54" s="1354">
        <f>IF((OR(LEFT('6.Inland wetlands'!$I83,8)=LEFT(Matrix!$BC$53,8), LEFT('6.Inland wetlands'!$I83,8)=LEFT(Matrix!$AZ$44,8), LEFT('6.Inland wetlands'!$I83,8)=LEFT(Matrix!$AZ$45,8), LEFT('6.Inland wetlands'!$I83,8)=LEFT(Matrix!$AZ$46,8), LEFT('6.Inland wetlands'!$I83,8)=LEFT(Matrix!BB$47,8),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wetlands'!$K83,8)=LEFT(Matrix!BF$50,8), '6.Inland wetlands'!$N83, 0),0)</f>
        <v>0</v>
      </c>
      <c r="BG54" s="1354">
        <f>IF((OR(LEFT('6.Inland wetlands'!$I83,8)=LEFT(Matrix!$BC$53,8), LEFT('6.Inland wetlands'!$I83,8)=LEFT(Matrix!$AZ$44,8), LEFT('6.Inland wetlands'!$I83,8)=LEFT(Matrix!$AZ$45,8), LEFT('6.Inland wetlands'!$I83,8)=LEFT(Matrix!$AZ$46,8), LEFT('6.Inland wetlands'!$I83,8)=LEFT(Matrix!BC$47,8),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wetlands'!$K83,8)=LEFT(Matrix!BG$50,8), '6.Inland wetlands'!$N83, 0),0)</f>
        <v>0</v>
      </c>
      <c r="BH54" s="1354">
        <f>IF((OR(LEFT('6.Inland wetlands'!$I83,8)=LEFT(Matrix!$BC$53,8), LEFT('6.Inland wetlands'!$I83,8)=LEFT(Matrix!$AZ$44,8), LEFT('6.Inland wetlands'!$I83,8)=LEFT(Matrix!$AZ$45,8), LEFT('6.Inland wetlands'!$I83,8)=LEFT(Matrix!$AZ$46,8), LEFT('6.Inland wetlands'!$I83,8)=LEFT(Matrix!BD$47,8),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wetlands'!$K83,8)=LEFT(Matrix!BH$50,8), '6.Inland wetlands'!$N83, 0),0)</f>
        <v>0</v>
      </c>
      <c r="BI54" s="1354">
        <f>IF((OR(LEFT('6.Inland wetlands'!$I83,8)=LEFT(Matrix!$BC$53,8), LEFT('6.Inland wetlands'!$I83,8)=LEFT(Matrix!$AZ$44,8), LEFT('6.Inland wetlands'!$I83,8)=LEFT(Matrix!$AZ$45,8), LEFT('6.Inland wetlands'!$I83,8)=LEFT(Matrix!$AZ$46,8), LEFT('6.Inland wetlands'!$I83,8)=LEFT(Matrix!BE$47,8),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wetlands'!$K83,8)=LEFT(Matrix!BI$50,8), '6.Inland wetlands'!$N83, 0),0)</f>
        <v>0</v>
      </c>
      <c r="BJ54" s="973"/>
      <c r="BM54" s="973"/>
      <c r="BN54" s="1355" t="s">
        <v>3173</v>
      </c>
      <c r="BO54" s="1354">
        <f>IF(LEFT('6.Inland wetlands'!$I83,8)=LEFT($BN$53,8),IF(LEFT('6.Inland wetlands'!$K83,8)=LEFT(BO$50,8),'6.Inland wetlands'!$N83,0),0)</f>
        <v>0</v>
      </c>
      <c r="BP54" s="1354">
        <f>IF(LEFT('6.Inland wetlands'!$I83,8)=LEFT($BN$53,8),IF(LEFT('6.Inland wetlands'!$K83,8)=LEFT(BP$50,8),'6.Inland wetlands'!$N83,0),0)</f>
        <v>0</v>
      </c>
      <c r="BQ54" s="1354">
        <f>IF(LEFT('6.Inland wetlands'!$I83,8)=LEFT($BN$53,8),IF(LEFT('6.Inland wetlands'!$K83,8)=LEFT(BQ$50,8),'6.Inland wetlands'!$N83,0),0)</f>
        <v>0</v>
      </c>
      <c r="BR54" s="1354">
        <f>IF(LEFT('6.Inland wetlands'!$I83,8)=LEFT($BN$53,8),IF((OR(LEFT('6.Inland wetlands'!$K83,8)=LEFT(BR$50,8),LEFT('6.Inland wetlands'!$K83,8)=LEFT($AZ$3,8), LEFT('6.Inland wetlands'!$K83,8)=LEFT($AZ$4,9),LEFT('6.Inland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0</v>
      </c>
      <c r="BS54" s="1354">
        <f>IF(LEFT('6.Inland wetlands'!$I83,8)=LEFT($BN$53,8),IF(LEFT('6.Inland wetlands'!$K83,8)=LEFT(BS$50,8),'6.Inland wetlands'!$N83,0),0)</f>
        <v>0</v>
      </c>
      <c r="BT54" s="1354">
        <f>IF(LEFT('6.Inland wetlands'!$I83,8)=LEFT($BN$53,8),IF(LEFT('6.Inland wetlands'!$K83,8)=LEFT(BT$50,8),'6.Inland wetlands'!$N83,0),0)</f>
        <v>0</v>
      </c>
      <c r="BU54" s="973"/>
      <c r="BX54" s="973"/>
      <c r="BY54" s="1355" t="s">
        <v>3173</v>
      </c>
      <c r="BZ54" s="1354">
        <f>IF(LEFT('6.Inland wetlands'!$I83,8)=LEFT($BY$8,8),IF(LEFT('6.Inland wetlands'!$K83,8)=LEFT(BZ$5,8),'6.Inland wetlands'!$N83,0),0)</f>
        <v>0</v>
      </c>
      <c r="CA54" s="1354">
        <f>IF(LEFT('6.Inland wetlands'!$I83,8)=LEFT($BY$8,8),IF(LEFT('6.Inland wetlands'!$K83,8)=LEFT(CA$5,8),'6.Inland wetlands'!$N83,0),0)</f>
        <v>0</v>
      </c>
      <c r="CB54" s="1354">
        <f>IF(LEFT('6.Inland wetlands'!$I83,8)=LEFT($BY$8,8),IF(LEFT('6.Inland wetlands'!$K83,8)=LEFT(CB$5,8),'6.Inland wetlands'!$N83,0),0)</f>
        <v>0</v>
      </c>
      <c r="CC54" s="1354">
        <f>IF(LEFT('6.Inland wetlands'!$I83,8)=LEFT($BY$8,8),IF((OR(LEFT('6.Inland wetlands'!$K83,8)=LEFT(CC$5,8),LEFT('6.Inland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0</v>
      </c>
      <c r="CD54" s="1354">
        <f>IF(LEFT('6.Inland wetlands'!$I83,8)=LEFT($BY$8,8),IF(LEFT('6.Inland wetlands'!$K83,8)=LEFT(CD$5,8),'6.Inland wetlands'!$N83,0),0)</f>
        <v>0</v>
      </c>
      <c r="CE54" s="1354">
        <f>IF(LEFT('6.Inland wetlands'!$I83,8)=LEFT($BY$8,8),IF(LEFT('6.Inland wetlands'!$K83,8)=LEFT(CE$5,8),'6.Inland wetlands'!$N83,0),0)</f>
        <v>0</v>
      </c>
      <c r="CF54" s="973"/>
      <c r="CI54" s="973"/>
      <c r="CJ54" s="1355" t="s">
        <v>3173</v>
      </c>
      <c r="CK54" s="1354">
        <f>IF(LEFT('6.Inland wetlands'!$I83,8)=LEFT($CJ$8,8),IF(LEFT('6.Inland wetlands'!$K83,8)=LEFT(CK$5,8),'6.Inland wetlands'!$N83,0),0)</f>
        <v>0</v>
      </c>
      <c r="CL54" s="1354">
        <f>IF(LEFT('6.Inland wetlands'!$I83,8)=LEFT($CJ$8,8),IF(LEFT('6.Inland wetlands'!$K83,8)=LEFT(CL$5,8),'6.Inland wetlands'!$N83,0),0)</f>
        <v>0</v>
      </c>
      <c r="CM54" s="1355">
        <f>IF(LEFT('6.Inland wetlands'!$I83,8)=LEFT($CJ$8,8),IF(LEFT('6.Inland wetlands'!$K83,8)=LEFT(CM$5,8),'6.Inland wetlands'!$N83,0),0)</f>
        <v>0</v>
      </c>
      <c r="CN54" s="1354">
        <f>IF(LEFT('6.Inland wetlands'!$I83,8)=LEFT($CJ$8,8),IF((OR(LEFT('6.Inland wetlands'!$K83,8)=LEFT(CN$5,8),LEFT('6.Inland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0</v>
      </c>
      <c r="CO54" s="1357">
        <f>IF(LEFT('6.Inland wetlands'!$I83,8)=LEFT($CJ$8,8),IF(LEFT('6.Inland wetlands'!$K83,8)=LEFT(CO$5,8),'6.Inland wetlands'!$N83,0),0)</f>
        <v>0</v>
      </c>
      <c r="CP54" s="1354">
        <f>IF(LEFT('6.Inland wetlands'!$I83,8)=LEFT($CJ$8,8),IF(LEFT('6.Inland wetlands'!$K83,8)=LEFT(CP$5,8),'6.Inland wetlands'!$N83,0),0)</f>
        <v>0</v>
      </c>
      <c r="CQ54" s="973"/>
      <c r="CT54" s="973"/>
      <c r="CU54" s="1355" t="s">
        <v>3173</v>
      </c>
      <c r="CV54" s="1355">
        <f>IF(LEFT('6.Inland wetlands'!$I83,8)=LEFT($CU$53,8),IF(LEFT('6.Inland wetlands'!$K83,8)=LEFT(CV$50,8),'6.Inland wetlands'!$N83,0),0)</f>
        <v>0</v>
      </c>
      <c r="CW54" s="1355">
        <f>IF(LEFT('6.Inland wetlands'!$I83,8)=LEFT($CU$53,8),IF(LEFT('6.Inland wetlands'!$K83,8)=LEFT(CW$50,8),'6.Inland wetlands'!$N83,0),0)</f>
        <v>0</v>
      </c>
      <c r="CX54" s="1355">
        <f>IF(LEFT('6.Inland wetlands'!$I83,8)=LEFT($CU$53,8),IF(LEFT('6.Inland wetlands'!$K83,8)=LEFT(CX$50,8),'6.Inland wetlands'!$N83,0),0)</f>
        <v>0</v>
      </c>
      <c r="CY54" s="1354">
        <f>IF(LEFT('6.Inland wetlands'!$I83,8)=LEFT($CU$53,8),IF((OR(LEFT('6.Inland wetlands'!$K83,8)=LEFT($CY$50,8),LEFT('6.Inland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0</v>
      </c>
      <c r="CZ54" s="1104">
        <f>IF(LEFT('6.Inland wetlands'!$I83,8)=LEFT($CU$53,8),IF(LEFT('6.Inland wetlands'!$K83,8)=LEFT(CZ$50,8),'6.Inland wetlands'!$N83,0),0)</f>
        <v>0</v>
      </c>
      <c r="DA54" s="1354">
        <f>IF(LEFT('6.Inland wetlands'!$I83,8)=LEFT($CU$53,8),IF(LEFT('6.Inland wetlands'!$K83,8)=LEFT(DA$50,8),'6.Inland wetlands'!$N83,0),0)</f>
        <v>0</v>
      </c>
      <c r="DB54" s="973"/>
      <c r="DE54" s="973"/>
      <c r="DF54" s="1355" t="s">
        <v>3173</v>
      </c>
      <c r="DG54" s="1355">
        <f>IF(LEFT('6.Inland wetlands'!$I83,8)=LEFT($DF$53,8),IF(LEFT('6.Inland wetlands'!$K83,8)=LEFT(DG$50,8),'6.Inland wetlands'!$N83,0),0)</f>
        <v>0</v>
      </c>
      <c r="DH54" s="1355">
        <f>IF(LEFT('6.Inland wetlands'!$I83,8)=LEFT($DF$53,8),IF(LEFT('6.Inland wetlands'!$K83,8)=LEFT(DH$50,8),'6.Inland wetlands'!$N83,0),0)</f>
        <v>0</v>
      </c>
      <c r="DI54" s="1355">
        <f>IF(LEFT('6.Inland wetlands'!$I83,8)=LEFT($DF$53,8),IF(LEFT('6.Inland wetlands'!$K83,8)=LEFT(DI$50,8),'6.Inland wetlands'!$N83,0),0)</f>
        <v>0</v>
      </c>
      <c r="DJ54" s="1354">
        <f>IF(LEFT('6.Inland wetlands'!$I83,8)=LEFT($DF$53,8),IF((OR(LEFT('6.Inland wetlands'!$K83,8)=LEFT($DJ53,8),LEFT('6.Inland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0</v>
      </c>
      <c r="DK54" s="1355">
        <f>IF(LEFT('6.Inland wetlands'!$I83,8)=LEFT($DF$53,8),IF(LEFT('6.Inland wetlands'!$K83,8)=LEFT(DK$50,8),'6.Inland wetlands'!$N83,0),0)</f>
        <v>0</v>
      </c>
      <c r="DL54" s="1354">
        <f>IF(LEFT('6.Inland wetlands'!$I83,8)=LEFT($DF$53,8),IF(LEFT('6.Inland wetlands'!$K83,8)=LEFT(DL$50,8),'6.Inland wetlands'!$N83,0),0)</f>
        <v>0</v>
      </c>
    </row>
    <row r="55" spans="2:117" x14ac:dyDescent="0.15">
      <c r="D55" s="973"/>
      <c r="F55" s="1368"/>
      <c r="G55" s="1367" t="s">
        <v>2074</v>
      </c>
      <c r="H55" s="1368" t="s">
        <v>2954</v>
      </c>
      <c r="I55" s="3135">
        <f>AJ57</f>
        <v>0</v>
      </c>
      <c r="J55" s="3134">
        <f>CV57</f>
        <v>0</v>
      </c>
      <c r="K55" s="3134">
        <f>CY57</f>
        <v>0</v>
      </c>
      <c r="L55" s="3134">
        <f>CW57</f>
        <v>0</v>
      </c>
      <c r="M55" s="3134">
        <f>CX57</f>
        <v>0</v>
      </c>
      <c r="N55" s="2842">
        <f>SUMIF('Inl. wetlands'!$C413:$C418,$N$49,'Inl. wetlands'!$F413:$F418)+(MAX(SUM(I55:M55,O55),SUM(I71:M71,O71))-SUM(I55:M55,O55))+MAX(SUM('6.Inland wetlands'!$M$176:$M$179),SUM('6.Inland wetlands'!$N$176:$N$179),SUM('6.Inland wetlands'!$P$176:$P$179))</f>
        <v>500</v>
      </c>
      <c r="O55" s="3134">
        <f>DA57+CZ57</f>
        <v>0</v>
      </c>
      <c r="P55" s="3134">
        <f t="shared" si="22"/>
        <v>500</v>
      </c>
      <c r="S55" s="1576"/>
      <c r="T55" s="1414"/>
      <c r="U55" s="1420">
        <f>IF('6.Inland wetlands'!$I17 = $U$50, 1,0)* 'Inl. wetlands'!$S40</f>
        <v>0</v>
      </c>
      <c r="V55" s="1421">
        <f>IF('6.Inland wetlands'!$I17 = $V$50, 1,0)* 'Inl. wetlands'!$S40</f>
        <v>0</v>
      </c>
      <c r="W55" s="1421">
        <f>IF('6.Inland wetlands'!$I17 = $W$50, 1,0)* 'Inl. wetlands'!$S40</f>
        <v>0</v>
      </c>
      <c r="X55" s="1421">
        <f>IF('6.Inland wetlands'!$I17 = $X$50, 1,0)* 'Inl. wetlands'!$S40</f>
        <v>0</v>
      </c>
      <c r="Y55" s="1421">
        <f>IF('6.Inland wetlands'!$I17 = $Y$50, 1,0)* 'Inl. wetlands'!$S40</f>
        <v>0</v>
      </c>
      <c r="Z55" s="1421">
        <f>IF('6.Inland wetlands'!$I17 = $Z$50, 1,0)* 'Inl. wetlands'!$S40</f>
        <v>0</v>
      </c>
      <c r="AA55" s="1422">
        <f>IF('6.Inland wetlands'!$I17 = $AA$50, 1,0)* 'Inl. wetlands'!$S40</f>
        <v>0</v>
      </c>
      <c r="AE55" s="1168"/>
      <c r="AF55" s="1414"/>
      <c r="AG55" s="1420">
        <f>IF(AG$50='6.Inland wetlands'!$I50, '6.Inland wetlands'!$N50,0)</f>
        <v>0</v>
      </c>
      <c r="AH55" s="1421">
        <f>IF(AH$50='6.Inland wetlands'!$I50, '6.Inland wetlands'!$N50,0)</f>
        <v>0</v>
      </c>
      <c r="AI55" s="1421">
        <f>IF(AI$50='6.Inland wetlands'!$I50, '6.Inland wetlands'!$N50,0)</f>
        <v>0</v>
      </c>
      <c r="AJ55" s="1421">
        <f>IF(AJ$50='6.Inland wetlands'!$I50, '6.Inland wetlands'!$N50,0)</f>
        <v>0</v>
      </c>
      <c r="AK55" s="1421">
        <f>IF(AK$50='6.Inland wetlands'!$I50, '6.Inland wetlands'!$N50,0)</f>
        <v>0</v>
      </c>
      <c r="AL55" s="1421">
        <f>IF(AL$50='6.Inland wetlands'!$I50, '6.Inland wetlands'!$N50,0)</f>
        <v>0</v>
      </c>
      <c r="AM55" s="1422">
        <f>IF(AM$50='6.Inland wetlands'!$I50, '6.Inland wetlands'!$N50,0)</f>
        <v>0</v>
      </c>
      <c r="AN55" s="973"/>
      <c r="AQ55" s="973"/>
      <c r="AR55" s="1354"/>
      <c r="AS55" s="1354">
        <f>IF(LEFT('6.Inland wetlands'!$I84,8)=LEFT($AR$53,8),IF(LEFT('6.Inland wetlands'!$K84,8)=LEFT(AS$50,8), '6.Inland wetlands'!$N84,0),0)</f>
        <v>0</v>
      </c>
      <c r="AT55" s="1354">
        <f>IF(LEFT('6.Inland wetlands'!$I84,8)=LEFT($AR$53,8),IF(LEFT('6.Inland wetlands'!$K84,8)=LEFT(AT$50,8), '6.Inland wetlands'!$N84,0),0)</f>
        <v>0</v>
      </c>
      <c r="AU55" s="1354">
        <f>IF(LEFT('6.Inland wetlands'!$I84,8)=LEFT($AR$53,8),IF(LEFT('6.Inland wetlands'!$K84,8)=LEFT(AU$50,8), '6.Inland wetlands'!$N84,0),0)</f>
        <v>0</v>
      </c>
      <c r="AV55" s="1354">
        <f>IF(LEFT('6.Inland wetlands'!$I84,8)=LEFT($AR$53,8),IF(LEFT('6.Inland wetlands'!$K84,8)=LEFT(AV$50,8), '6.Inland wetlands'!$N84,0),0)</f>
        <v>0</v>
      </c>
      <c r="AW55" s="1354">
        <f>IF(LEFT('6.Inland wetlands'!$I84,8)=LEFT($AR$53,8),IF(LEFT('6.Inland wetlands'!$K84,8)=LEFT(AW$50,8), '6.Inland wetlands'!$N84,0),0)</f>
        <v>0</v>
      </c>
      <c r="AX55" s="1354">
        <f>IF(LEFT('6.Inland wetlands'!$I84,8)=LEFT($AR$53,8),IF((OR(LEFT('6.Inland wetlands'!$K84,8)=LEFT(AX$50,8),LEFT('6.Inland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0</v>
      </c>
      <c r="AZ55" s="1345" t="s">
        <v>1424</v>
      </c>
      <c r="BB55" s="973"/>
      <c r="BC55" s="1354"/>
      <c r="BD55" s="1354">
        <f>IF((OR(LEFT('6.Inland wetlands'!$I84,8)=LEFT(Matrix!$BC$53,8), LEFT('6.Inland wetlands'!$I84,8)=LEFT(Matrix!$AZ$44,8), LEFT('6.Inland wetlands'!$I84,8)=LEFT(Matrix!$AZ$45,8), LEFT('6.Inland wetlands'!$I84,8)=LEFT(Matrix!$AZ$46,8), LEFT('6.Inland wetlands'!$I84,8)=LEFT(Matrix!AZ$47,8),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wetlands'!$K84,8)=LEFT(Matrix!BD$50,8), '6.Inland wetlands'!$N84, 0),0)</f>
        <v>0</v>
      </c>
      <c r="BE55" s="1354">
        <f>IF((OR(LEFT('6.Inland wetlands'!$I84,8)=LEFT(Matrix!$BC$53,8), LEFT('6.Inland wetlands'!$I84,8)=LEFT(Matrix!$AZ$44,8), LEFT('6.Inland wetlands'!$I84,8)=LEFT(Matrix!$AZ$45,8), LEFT('6.Inland wetlands'!$I84,8)=LEFT(Matrix!$AZ$46,8), LEFT('6.Inland wetlands'!$I84,8)=LEFT(Matrix!BA$47,8),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wetlands'!$K84,8)=LEFT(Matrix!BE$50,8), '6.Inland wetlands'!$N84, 0),0)</f>
        <v>0</v>
      </c>
      <c r="BF55" s="1354">
        <f>IF((OR(LEFT('6.Inland wetlands'!$I84,8)=LEFT(Matrix!$BC$53,8), LEFT('6.Inland wetlands'!$I84,8)=LEFT(Matrix!$AZ$44,8), LEFT('6.Inland wetlands'!$I84,8)=LEFT(Matrix!$AZ$45,8), LEFT('6.Inland wetlands'!$I84,8)=LEFT(Matrix!$AZ$46,8), LEFT('6.Inland wetlands'!$I84,8)=LEFT(Matrix!BB$47,8),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wetlands'!$K84,8)=LEFT(Matrix!BF$50,8), '6.Inland wetlands'!$N84, 0),0)</f>
        <v>0</v>
      </c>
      <c r="BG55" s="1354">
        <f>IF((OR(LEFT('6.Inland wetlands'!$I84,8)=LEFT(Matrix!$BC$53,8), LEFT('6.Inland wetlands'!$I84,8)=LEFT(Matrix!$AZ$44,8), LEFT('6.Inland wetlands'!$I84,8)=LEFT(Matrix!$AZ$45,8), LEFT('6.Inland wetlands'!$I84,8)=LEFT(Matrix!$AZ$46,8), LEFT('6.Inland wetlands'!$I84,8)=LEFT(Matrix!BC$47,8),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wetlands'!$K84,8)=LEFT(Matrix!BG$50,8), '6.Inland wetlands'!$N84, 0),0)</f>
        <v>0</v>
      </c>
      <c r="BH55" s="1354">
        <f>IF((OR(LEFT('6.Inland wetlands'!$I84,8)=LEFT(Matrix!$BC$53,8), LEFT('6.Inland wetlands'!$I84,8)=LEFT(Matrix!$AZ$44,8), LEFT('6.Inland wetlands'!$I84,8)=LEFT(Matrix!$AZ$45,8), LEFT('6.Inland wetlands'!$I84,8)=LEFT(Matrix!$AZ$46,8), LEFT('6.Inland wetlands'!$I84,8)=LEFT(Matrix!BD$47,8),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wetlands'!$K84,8)=LEFT(Matrix!BH$50,8), '6.Inland wetlands'!$N84, 0),0)</f>
        <v>0</v>
      </c>
      <c r="BI55" s="1354">
        <f>IF((OR(LEFT('6.Inland wetlands'!$I84,8)=LEFT(Matrix!$BC$53,8), LEFT('6.Inland wetlands'!$I84,8)=LEFT(Matrix!$AZ$44,8), LEFT('6.Inland wetlands'!$I84,8)=LEFT(Matrix!$AZ$45,8), LEFT('6.Inland wetlands'!$I84,8)=LEFT(Matrix!$AZ$46,8), LEFT('6.Inland wetlands'!$I84,8)=LEFT(Matrix!BE$47,8),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wetlands'!$K84,8)=LEFT(Matrix!BI$50,8), '6.Inland wetlands'!$N84, 0),0)</f>
        <v>0</v>
      </c>
      <c r="BJ55" s="973"/>
      <c r="BM55" s="973"/>
      <c r="BN55" s="1355"/>
      <c r="BO55" s="1354">
        <f>IF(LEFT('6.Inland wetlands'!$I84,8)=LEFT($BN$53,8),IF(LEFT('6.Inland wetlands'!$K84,8)=LEFT(BO$50,8),'6.Inland wetlands'!$N84,0),0)</f>
        <v>0</v>
      </c>
      <c r="BP55" s="1354">
        <f>IF(LEFT('6.Inland wetlands'!$I84,8)=LEFT($BN$53,8),IF(LEFT('6.Inland wetlands'!$K84,8)=LEFT(BP$50,8),'6.Inland wetlands'!$N84,0),0)</f>
        <v>0</v>
      </c>
      <c r="BQ55" s="1354">
        <f>IF(LEFT('6.Inland wetlands'!$I84,8)=LEFT($BN$53,8),IF(LEFT('6.Inland wetlands'!$K84,8)=LEFT(BQ$50,8),'6.Inland wetlands'!$N84,0),0)</f>
        <v>0</v>
      </c>
      <c r="BR55" s="1354">
        <f>IF(LEFT('6.Inland wetlands'!$I84,8)=LEFT($BN$53,8),IF((OR(LEFT('6.Inland wetlands'!$K84,8)=LEFT(BR$50,8),LEFT('6.Inland wetlands'!$K84,8)=LEFT($AZ$3,8), LEFT('6.Inland wetlands'!$K84,8)=LEFT($AZ$4,9),LEFT('6.Inland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0</v>
      </c>
      <c r="BS55" s="1354">
        <f>IF(LEFT('6.Inland wetlands'!$I84,8)=LEFT($BN$53,8),IF(LEFT('6.Inland wetlands'!$K84,8)=LEFT(BS$50,8),'6.Inland wetlands'!$N84,0),0)</f>
        <v>0</v>
      </c>
      <c r="BT55" s="1354">
        <f>IF(LEFT('6.Inland wetlands'!$I84,8)=LEFT($BN$53,8),IF(LEFT('6.Inland wetlands'!$K84,8)=LEFT(BT$50,8),'6.Inland wetlands'!$N84,0),0)</f>
        <v>0</v>
      </c>
      <c r="BU55" s="973"/>
      <c r="BX55" s="973"/>
      <c r="BY55" s="1355"/>
      <c r="BZ55" s="1354">
        <f>IF(LEFT('6.Inland wetlands'!$I84,8)=LEFT($BY$8,8),IF(LEFT('6.Inland wetlands'!$K84,8)=LEFT(BZ$5,8),'6.Inland wetlands'!$N84,0),0)</f>
        <v>0</v>
      </c>
      <c r="CA55" s="1354">
        <f>IF(LEFT('6.Inland wetlands'!$I84,8)=LEFT($BY$8,8),IF(LEFT('6.Inland wetlands'!$K84,8)=LEFT(CA$5,8),'6.Inland wetlands'!$N84,0),0)</f>
        <v>0</v>
      </c>
      <c r="CB55" s="1354">
        <f>IF(LEFT('6.Inland wetlands'!$I84,8)=LEFT($BY$8,8),IF(LEFT('6.Inland wetlands'!$K84,8)=LEFT(CB$5,8),'6.Inland wetlands'!$N84,0),0)</f>
        <v>0</v>
      </c>
      <c r="CC55" s="1354">
        <f>IF(LEFT('6.Inland wetlands'!$I84,8)=LEFT($BY$8,8),IF((OR(LEFT('6.Inland wetlands'!$K84,8)=LEFT(CC$5,8),LEFT('6.Inland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0</v>
      </c>
      <c r="CD55" s="1354">
        <f>IF(LEFT('6.Inland wetlands'!$I84,8)=LEFT($BY$8,8),IF(LEFT('6.Inland wetlands'!$K84,8)=LEFT(CD$5,8),'6.Inland wetlands'!$N84,0),0)</f>
        <v>0</v>
      </c>
      <c r="CE55" s="1354">
        <f>IF(LEFT('6.Inland wetlands'!$I84,8)=LEFT($BY$8,8),IF(LEFT('6.Inland wetlands'!$K84,8)=LEFT(CE$5,8),'6.Inland wetlands'!$N84,0),0)</f>
        <v>0</v>
      </c>
      <c r="CF55" s="973"/>
      <c r="CI55" s="973"/>
      <c r="CJ55" s="1355"/>
      <c r="CK55" s="1354">
        <f>IF(LEFT('6.Inland wetlands'!$I84,8)=LEFT($CJ$8,8),IF(LEFT('6.Inland wetlands'!$K84,8)=LEFT(CK$5,8),'6.Inland wetlands'!$N84,0),0)</f>
        <v>0</v>
      </c>
      <c r="CL55" s="1354">
        <f>IF(LEFT('6.Inland wetlands'!$I84,8)=LEFT($CJ$8,8),IF(LEFT('6.Inland wetlands'!$K84,8)=LEFT(CL$5,8),'6.Inland wetlands'!$N84,0),0)</f>
        <v>0</v>
      </c>
      <c r="CM55" s="1355">
        <f>IF(LEFT('6.Inland wetlands'!$I84,8)=LEFT($CJ$8,8),IF(LEFT('6.Inland wetlands'!$K84,8)=LEFT(CM$5,8),'6.Inland wetlands'!$N84,0),0)</f>
        <v>0</v>
      </c>
      <c r="CN55" s="1354">
        <f>IF(LEFT('6.Inland wetlands'!$I84,8)=LEFT($CJ$8,8),IF((OR(LEFT('6.Inland wetlands'!$K84,8)=LEFT(CN$5,8),LEFT('6.Inland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0</v>
      </c>
      <c r="CO55" s="1357">
        <f>IF(LEFT('6.Inland wetlands'!$I84,8)=LEFT($CJ$8,8),IF(LEFT('6.Inland wetlands'!$K84,8)=LEFT(CO$5,8),'6.Inland wetlands'!$N84,0),0)</f>
        <v>0</v>
      </c>
      <c r="CP55" s="1354">
        <f>IF(LEFT('6.Inland wetlands'!$I84,8)=LEFT($CJ$8,8),IF(LEFT('6.Inland wetlands'!$K84,8)=LEFT(CP$5,8),'6.Inland wetlands'!$N84,0),0)</f>
        <v>0</v>
      </c>
      <c r="CQ55" s="973"/>
      <c r="CT55" s="973"/>
      <c r="CU55" s="1355"/>
      <c r="CV55" s="1355">
        <f>IF(LEFT('6.Inland wetlands'!$I84,8)=LEFT($CU$53,8),IF(LEFT('6.Inland wetlands'!$K84,8)=LEFT(CV$50,8),'6.Inland wetlands'!$N84,0),0)</f>
        <v>0</v>
      </c>
      <c r="CW55" s="1355">
        <f>IF(LEFT('6.Inland wetlands'!$I84,8)=LEFT($CU$53,8),IF(LEFT('6.Inland wetlands'!$K84,8)=LEFT(CW$50,8),'6.Inland wetlands'!$N84,0),0)</f>
        <v>0</v>
      </c>
      <c r="CX55" s="1355">
        <f>IF(LEFT('6.Inland wetlands'!$I84,8)=LEFT($CU$53,8),IF(LEFT('6.Inland wetlands'!$K84,8)=LEFT(CX$50,8),'6.Inland wetlands'!$N84,0),0)</f>
        <v>0</v>
      </c>
      <c r="CY55" s="1354">
        <f>IF(LEFT('6.Inland wetlands'!$I84,8)=LEFT($CU$53,8),IF((OR(LEFT('6.Inland wetlands'!$K84,8)=LEFT($CY$50,8),LEFT('6.Inland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0</v>
      </c>
      <c r="CZ55" s="1104">
        <f>IF(LEFT('6.Inland wetlands'!$I84,8)=LEFT($CU$53,8),IF(LEFT('6.Inland wetlands'!$K84,8)=LEFT(CZ$50,8),'6.Inland wetlands'!$N84,0),0)</f>
        <v>0</v>
      </c>
      <c r="DA55" s="1354">
        <f>IF(LEFT('6.Inland wetlands'!$I84,8)=LEFT($CU$53,8),IF(LEFT('6.Inland wetlands'!$K84,8)=LEFT(DA$50,8),'6.Inland wetlands'!$N84,0),0)</f>
        <v>0</v>
      </c>
      <c r="DB55" s="973"/>
      <c r="DE55" s="973"/>
      <c r="DF55" s="1355"/>
      <c r="DG55" s="1355">
        <f>IF(LEFT('6.Inland wetlands'!$I84,8)=LEFT($DF$53,8),IF(LEFT('6.Inland wetlands'!$K84,8)=LEFT(DG$50,8),'6.Inland wetlands'!$N84,0),0)</f>
        <v>0</v>
      </c>
      <c r="DH55" s="1355">
        <f>IF(LEFT('6.Inland wetlands'!$I84,8)=LEFT($DF$53,8),IF(LEFT('6.Inland wetlands'!$K84,8)=LEFT(DH$50,8),'6.Inland wetlands'!$N84,0),0)</f>
        <v>0</v>
      </c>
      <c r="DI55" s="1355">
        <f>IF(LEFT('6.Inland wetlands'!$I84,8)=LEFT($DF$53,8),IF(LEFT('6.Inland wetlands'!$K84,8)=LEFT(DI$50,8),'6.Inland wetlands'!$N84,0),0)</f>
        <v>0</v>
      </c>
      <c r="DJ55" s="1354">
        <f>IF(LEFT('6.Inland wetlands'!$I84,8)=LEFT($DF$53,8),IF((OR(LEFT('6.Inland wetlands'!$K84,8)=LEFT($DJ54,8),LEFT('6.Inland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0</v>
      </c>
      <c r="DK55" s="1355">
        <f>IF(LEFT('6.Inland wetlands'!$I84,8)=LEFT($DF$53,8),IF(LEFT('6.Inland wetlands'!$K84,8)=LEFT(DK$50,8),'6.Inland wetlands'!$N84,0),0)</f>
        <v>0</v>
      </c>
      <c r="DL55" s="1354">
        <f>IF(LEFT('6.Inland wetlands'!$I84,8)=LEFT($DF$53,8),IF(LEFT('6.Inland wetlands'!$K84,8)=LEFT(DL$50,8),'6.Inland wetlands'!$N84,0),0)</f>
        <v>0</v>
      </c>
    </row>
    <row r="56" spans="2:117" x14ac:dyDescent="0.15">
      <c r="D56" s="973"/>
      <c r="F56" s="1368"/>
      <c r="G56" s="1371"/>
      <c r="H56" s="1370" t="s">
        <v>1401</v>
      </c>
      <c r="I56" s="3135">
        <f>AM57+AI57</f>
        <v>0</v>
      </c>
      <c r="J56" s="3134">
        <f>DG57+BZ57</f>
        <v>0</v>
      </c>
      <c r="K56" s="3134">
        <f>DJ57+CC57</f>
        <v>0</v>
      </c>
      <c r="L56" s="3134">
        <f>DH57+CA57</f>
        <v>0</v>
      </c>
      <c r="M56" s="3134">
        <f>DI57+CD57</f>
        <v>0</v>
      </c>
      <c r="N56" s="3134">
        <f>DL57+CB57</f>
        <v>0</v>
      </c>
      <c r="O56" s="2842">
        <f>SUMIF('Inl. wetlands'!$C413:$C418,$O$49,'Inl. wetlands'!$F413:$F418)+(MAX(SUM(I56:N56),SUM(I72:N72))-SUM(I56:N56))+MAX(CE57+DK57,CE73+DK73)</f>
        <v>0</v>
      </c>
      <c r="P56" s="3134">
        <f t="shared" si="22"/>
        <v>0</v>
      </c>
      <c r="S56" s="1576"/>
      <c r="T56" s="1414"/>
      <c r="U56" s="1424">
        <f>IF('6.Inland wetlands'!$I18 = $U$50, 1,0)* 'Inl. wetlands'!$S41</f>
        <v>0</v>
      </c>
      <c r="V56" s="1425">
        <f>IF('6.Inland wetlands'!$I18 = $V$50, 1,0)* 'Inl. wetlands'!$S41</f>
        <v>0</v>
      </c>
      <c r="W56" s="1425">
        <f>IF('6.Inland wetlands'!$I18 = $W$50, 1,0)* 'Inl. wetlands'!$S41</f>
        <v>0</v>
      </c>
      <c r="X56" s="1425">
        <f>IF('6.Inland wetlands'!$I18 = $X$50, 1,0)* 'Inl. wetlands'!$S41</f>
        <v>0</v>
      </c>
      <c r="Y56" s="1425">
        <f>IF('6.Inland wetlands'!$I18 = $Y$50, 1,0)* 'Inl. wetlands'!$S41</f>
        <v>0</v>
      </c>
      <c r="Z56" s="1425">
        <f>IF('6.Inland wetlands'!$I18 = $Z$50, 1,0)* 'Inl. wetlands'!$S41</f>
        <v>0</v>
      </c>
      <c r="AA56" s="1426">
        <f>IF('6.Inland wetlands'!$I18 = $AA$50, 1,0)* 'Inl. wetlands'!$S41</f>
        <v>0</v>
      </c>
      <c r="AB56" s="973"/>
      <c r="AE56" s="1168"/>
      <c r="AF56" s="1414"/>
      <c r="AG56" s="1424">
        <f>IF(AG$50='6.Inland wetlands'!$I51, '6.Inland wetlands'!$N51,0)</f>
        <v>0</v>
      </c>
      <c r="AH56" s="1425">
        <f>IF(AH$50='6.Inland wetlands'!$I51, '6.Inland wetlands'!$N51,0)</f>
        <v>0</v>
      </c>
      <c r="AI56" s="1425">
        <f>IF(AI$50='6.Inland wetlands'!$I51, '6.Inland wetlands'!$N51,0)</f>
        <v>0</v>
      </c>
      <c r="AJ56" s="1425">
        <f>IF(AJ$50='6.Inland wetlands'!$I51, '6.Inland wetlands'!$N51,0)</f>
        <v>0</v>
      </c>
      <c r="AK56" s="1425">
        <f>IF(AK$50='6.Inland wetlands'!$I51, '6.Inland wetlands'!$N51,0)</f>
        <v>0</v>
      </c>
      <c r="AL56" s="1425">
        <f>IF(AL$50='6.Inland wetlands'!$I51, '6.Inland wetlands'!$N51,0)</f>
        <v>0</v>
      </c>
      <c r="AM56" s="1426">
        <f>IF(AM$50='6.Inland wetlands'!$I51, '6.Inland wetlands'!$N51,0)</f>
        <v>0</v>
      </c>
      <c r="AN56" s="973"/>
      <c r="AQ56" s="973"/>
      <c r="AR56" s="1354"/>
      <c r="AS56" s="1376">
        <f>IF(LEFT('6.Inland wetlands'!$I85,8)=LEFT($AR$53,8),IF(LEFT('6.Inland wetlands'!$K85,8)=LEFT(AS$50,8), '6.Inland wetlands'!$N85,0),0)</f>
        <v>0</v>
      </c>
      <c r="AT56" s="1376">
        <f>IF(LEFT('6.Inland wetlands'!$I85,8)=LEFT($AR$53,8),IF(LEFT('6.Inland wetlands'!$K85,8)=LEFT(AT$50,8), '6.Inland wetlands'!$N85,0),0)</f>
        <v>0</v>
      </c>
      <c r="AU56" s="1376">
        <f>IF(LEFT('6.Inland wetlands'!$I85,8)=LEFT($AR$53,8),IF(LEFT('6.Inland wetlands'!$K85,8)=LEFT(AU$50,8), '6.Inland wetlands'!$N85,0),0)</f>
        <v>0</v>
      </c>
      <c r="AV56" s="1376">
        <f>IF(LEFT('6.Inland wetlands'!$I85,8)=LEFT($AR$53,8),IF(LEFT('6.Inland wetlands'!$K85,8)=LEFT(AV$50,8), '6.Inland wetlands'!$N85,0),0)</f>
        <v>0</v>
      </c>
      <c r="AW56" s="1376">
        <f>IF(LEFT('6.Inland wetlands'!$I85,8)=LEFT($AR$53,8),IF(LEFT('6.Inland wetlands'!$K85,8)=LEFT(AW$50,8), '6.Inland wetlands'!$N85,0),0)</f>
        <v>0</v>
      </c>
      <c r="AX56" s="1376">
        <f>IF(LEFT('6.Inland wetlands'!$I85,8)=LEFT($AR$53,8),IF((OR(LEFT('6.Inland wetlands'!$K85,8)=LEFT(AX$50,8),LEFT('6.Inland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0</v>
      </c>
      <c r="AZ56" s="1345" t="s">
        <v>1427</v>
      </c>
      <c r="BB56" s="973"/>
      <c r="BC56" s="1354"/>
      <c r="BD56" s="1376">
        <f>IF((OR(LEFT('6.Inland wetlands'!$I85,8)=LEFT(Matrix!$BC$53,8), LEFT('6.Inland wetlands'!$I85,8)=LEFT(Matrix!$AZ$44,8), LEFT('6.Inland wetlands'!$I85,8)=LEFT(Matrix!$AZ$45,8), LEFT('6.Inland wetlands'!$I85,8)=LEFT(Matrix!$AZ$46,8), LEFT('6.Inland wetlands'!$I85,8)=LEFT(Matrix!AZ$47,8),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wetlands'!$K85,8)=LEFT(Matrix!BD$50,8), '6.Inland wetlands'!$N85, 0),0)</f>
        <v>0</v>
      </c>
      <c r="BE56" s="1376">
        <f>IF((OR(LEFT('6.Inland wetlands'!$I85,8)=LEFT(Matrix!$BC$53,8), LEFT('6.Inland wetlands'!$I85,8)=LEFT(Matrix!$AZ$44,8), LEFT('6.Inland wetlands'!$I85,8)=LEFT(Matrix!$AZ$45,8), LEFT('6.Inland wetlands'!$I85,8)=LEFT(Matrix!$AZ$46,8), LEFT('6.Inland wetlands'!$I85,8)=LEFT(Matrix!BA$47,8),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wetlands'!$K85,8)=LEFT(Matrix!BE$50,8), '6.Inland wetlands'!$N85, 0),0)</f>
        <v>0</v>
      </c>
      <c r="BF56" s="1376">
        <f>IF((OR(LEFT('6.Inland wetlands'!$I85,8)=LEFT(Matrix!$BC$53,8), LEFT('6.Inland wetlands'!$I85,8)=LEFT(Matrix!$AZ$44,8), LEFT('6.Inland wetlands'!$I85,8)=LEFT(Matrix!$AZ$45,8), LEFT('6.Inland wetlands'!$I85,8)=LEFT(Matrix!$AZ$46,8), LEFT('6.Inland wetlands'!$I85,8)=LEFT(Matrix!BB$47,8),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wetlands'!$K85,8)=LEFT(Matrix!BF$50,8), '6.Inland wetlands'!$N85, 0),0)</f>
        <v>0</v>
      </c>
      <c r="BG56" s="1376">
        <f>IF((OR(LEFT('6.Inland wetlands'!$I85,8)=LEFT(Matrix!$BC$53,8), LEFT('6.Inland wetlands'!$I85,8)=LEFT(Matrix!$AZ$44,8), LEFT('6.Inland wetlands'!$I85,8)=LEFT(Matrix!$AZ$45,8), LEFT('6.Inland wetlands'!$I85,8)=LEFT(Matrix!$AZ$46,8), LEFT('6.Inland wetlands'!$I85,8)=LEFT(Matrix!BC$47,8),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wetlands'!$K85,8)=LEFT(Matrix!BG$50,8), '6.Inland wetlands'!$N85, 0),0)</f>
        <v>0</v>
      </c>
      <c r="BH56" s="1376">
        <f>IF((OR(LEFT('6.Inland wetlands'!$I85,8)=LEFT(Matrix!$BC$53,8), LEFT('6.Inland wetlands'!$I85,8)=LEFT(Matrix!$AZ$44,8), LEFT('6.Inland wetlands'!$I85,8)=LEFT(Matrix!$AZ$45,8), LEFT('6.Inland wetlands'!$I85,8)=LEFT(Matrix!$AZ$46,8), LEFT('6.Inland wetlands'!$I85,8)=LEFT(Matrix!BD$47,8),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wetlands'!$K85,8)=LEFT(Matrix!BH$50,8), '6.Inland wetlands'!$N85, 0),0)</f>
        <v>0</v>
      </c>
      <c r="BI56" s="1376">
        <f>IF((OR(LEFT('6.Inland wetlands'!$I85,8)=LEFT(Matrix!$BC$53,8), LEFT('6.Inland wetlands'!$I85,8)=LEFT(Matrix!$AZ$44,8), LEFT('6.Inland wetlands'!$I85,8)=LEFT(Matrix!$AZ$45,8), LEFT('6.Inland wetlands'!$I85,8)=LEFT(Matrix!$AZ$46,8), LEFT('6.Inland wetlands'!$I85,8)=LEFT(Matrix!BE$47,8),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wetlands'!$K85,8)=LEFT(Matrix!BI$50,8), '6.Inland wetlands'!$N85, 0),0)</f>
        <v>0</v>
      </c>
      <c r="BJ56" s="973"/>
      <c r="BM56" s="973"/>
      <c r="BN56" s="1355"/>
      <c r="BO56" s="1376">
        <f>IF(LEFT('6.Inland wetlands'!$I85,8)=LEFT($BN$53,8),IF(LEFT('6.Inland wetlands'!$K85,8)=LEFT(BO$50,8),'6.Inland wetlands'!$N85,0),0)</f>
        <v>0</v>
      </c>
      <c r="BP56" s="1376">
        <f>IF(LEFT('6.Inland wetlands'!$I85,8)=LEFT($BN$53,8),IF(LEFT('6.Inland wetlands'!$K85,8)=LEFT(BP$50,8),'6.Inland wetlands'!$N85,0),0)</f>
        <v>0</v>
      </c>
      <c r="BQ56" s="1376">
        <f>IF(LEFT('6.Inland wetlands'!$I85,8)=LEFT($BN$53,8),IF(LEFT('6.Inland wetlands'!$K85,8)=LEFT(BQ$50,8),'6.Inland wetlands'!$N85,0),0)</f>
        <v>0</v>
      </c>
      <c r="BR56" s="1376">
        <f>IF(LEFT('6.Inland wetlands'!$I85,8)=LEFT($BN$53,8),IF((OR(LEFT('6.Inland wetlands'!$K85,8)=LEFT(BR$50,8),LEFT('6.Inland wetlands'!$K85,8)=LEFT($AZ$3,8), LEFT('6.Inland wetlands'!$K85,8)=LEFT($AZ$4,9),LEFT('6.Inland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0</v>
      </c>
      <c r="BS56" s="1376">
        <f>IF(LEFT('6.Inland wetlands'!$I85,8)=LEFT($BN$53,8),IF(LEFT('6.Inland wetlands'!$K85,8)=LEFT(BS$50,8),'6.Inland wetlands'!$N85,0),0)</f>
        <v>0</v>
      </c>
      <c r="BT56" s="1376">
        <f>IF(LEFT('6.Inland wetlands'!$I85,8)=LEFT($BN$53,8),IF(LEFT('6.Inland wetlands'!$K85,8)=LEFT(BT$50,8),'6.Inland wetlands'!$N85,0),0)</f>
        <v>0</v>
      </c>
      <c r="BU56" s="973"/>
      <c r="BX56" s="973"/>
      <c r="BY56" s="1355"/>
      <c r="BZ56" s="1376">
        <f>IF(LEFT('6.Inland wetlands'!$I85,8)=LEFT($BY$8,8),IF(LEFT('6.Inland wetlands'!$K85,8)=LEFT(BZ$5,8),'6.Inland wetlands'!$N85,0),0)</f>
        <v>0</v>
      </c>
      <c r="CA56" s="1376">
        <f>IF(LEFT('6.Inland wetlands'!$I85,8)=LEFT($BY$8,8),IF(LEFT('6.Inland wetlands'!$K85,8)=LEFT(CA$5,8),'6.Inland wetlands'!$N85,0),0)</f>
        <v>0</v>
      </c>
      <c r="CB56" s="1376">
        <f>IF(LEFT('6.Inland wetlands'!$I85,8)=LEFT($BY$8,8),IF(LEFT('6.Inland wetlands'!$K85,8)=LEFT(CB$5,8),'6.Inland wetlands'!$N85,0),0)</f>
        <v>0</v>
      </c>
      <c r="CC56" s="1376">
        <f>IF(LEFT('6.Inland wetlands'!$I85,8)=LEFT($BY$8,8),IF((OR(LEFT('6.Inland wetlands'!$K85,8)=LEFT(CC$5,8),LEFT('6.Inland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0</v>
      </c>
      <c r="CD56" s="1376">
        <f>IF(LEFT('6.Inland wetlands'!$I85,8)=LEFT($BY$8,8),IF(LEFT('6.Inland wetlands'!$K85,8)=LEFT(CD$5,8),'6.Inland wetlands'!$N85,0),0)</f>
        <v>0</v>
      </c>
      <c r="CE56" s="1376">
        <f>IF(LEFT('6.Inland wetlands'!$I85,8)=LEFT($BY$8,8),IF(LEFT('6.Inland wetlands'!$K85,8)=LEFT(CE$5,8),'6.Inland wetlands'!$N85,0),0)</f>
        <v>0</v>
      </c>
      <c r="CF56" s="973"/>
      <c r="CI56" s="973"/>
      <c r="CJ56" s="1355"/>
      <c r="CK56" s="1376">
        <f>IF(LEFT('6.Inland wetlands'!$I85,8)=LEFT($CJ$8,8),IF(LEFT('6.Inland wetlands'!$K85,8)=LEFT(CK$5,8),'6.Inland wetlands'!$N85,0),0)</f>
        <v>0</v>
      </c>
      <c r="CL56" s="1376">
        <f>IF(LEFT('6.Inland wetlands'!$I85,8)=LEFT($CJ$8,8),IF(LEFT('6.Inland wetlands'!$K85,8)=LEFT(CL$5,8),'6.Inland wetlands'!$N85,0),0)</f>
        <v>0</v>
      </c>
      <c r="CM56" s="1377">
        <f>IF(LEFT('6.Inland wetlands'!$I85,8)=LEFT($CJ$8,8),IF(LEFT('6.Inland wetlands'!$K85,8)=LEFT(CM$5,8),'6.Inland wetlands'!$N85,0),0)</f>
        <v>0</v>
      </c>
      <c r="CN56" s="1376">
        <f>IF(LEFT('6.Inland wetlands'!$I85,8)=LEFT($CJ$8,8),IF((OR(LEFT('6.Inland wetlands'!$K85,8)=LEFT(CN$5,8),LEFT('6.Inland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0</v>
      </c>
      <c r="CO56" s="1375">
        <f>IF(LEFT('6.Inland wetlands'!$I85,8)=LEFT($CJ$8,8),IF(LEFT('6.Inland wetlands'!$K85,8)=LEFT(CO$5,8),'6.Inland wetlands'!$N85,0),0)</f>
        <v>0</v>
      </c>
      <c r="CP56" s="1376">
        <f>IF(LEFT('6.Inland wetlands'!$I85,8)=LEFT($CJ$8,8),IF(LEFT('6.Inland wetlands'!$K85,8)=LEFT(CP$5,8),'6.Inland wetlands'!$N85,0),0)</f>
        <v>0</v>
      </c>
      <c r="CQ56" s="973"/>
      <c r="CT56" s="973"/>
      <c r="CU56" s="1355"/>
      <c r="CV56" s="1377">
        <f>IF(LEFT('6.Inland wetlands'!$I85,8)=LEFT($CU$53,8),IF(LEFT('6.Inland wetlands'!$K85,8)=LEFT(CV$50,8),'6.Inland wetlands'!$N85,0),0)</f>
        <v>0</v>
      </c>
      <c r="CW56" s="1377">
        <f>IF(LEFT('6.Inland wetlands'!$I85,8)=LEFT($CU$53,8),IF(LEFT('6.Inland wetlands'!$K85,8)=LEFT(CW$50,8),'6.Inland wetlands'!$N85,0),0)</f>
        <v>0</v>
      </c>
      <c r="CX56" s="1377">
        <f>IF(LEFT('6.Inland wetlands'!$I85,8)=LEFT($CU$53,8),IF(LEFT('6.Inland wetlands'!$K85,8)=LEFT(CX$50,8),'6.Inland wetlands'!$N85,0),0)</f>
        <v>0</v>
      </c>
      <c r="CY56" s="1376">
        <f>IF(LEFT('6.Inland wetlands'!$I85,8)=LEFT($CU$53,8),IF((OR(LEFT('6.Inland wetlands'!$K85,8)=LEFT($CY$50,8),LEFT('6.Inland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0</v>
      </c>
      <c r="CZ56" s="1378">
        <f>IF(LEFT('6.Inland wetlands'!$I85,8)=LEFT($CU$53,8),IF(LEFT('6.Inland wetlands'!$K85,8)=LEFT(CZ$50,8),'6.Inland wetlands'!$N85,0),0)</f>
        <v>0</v>
      </c>
      <c r="DA56" s="1376">
        <f>IF(LEFT('6.Inland wetlands'!$I85,8)=LEFT($CU$53,8),IF(LEFT('6.Inland wetlands'!$K85,8)=LEFT(DA$50,8),'6.Inland wetlands'!$N85,0),0)</f>
        <v>0</v>
      </c>
      <c r="DB56" s="973"/>
      <c r="DE56" s="973"/>
      <c r="DF56" s="1355"/>
      <c r="DG56" s="1377">
        <f>IF(LEFT('6.Inland wetlands'!$I85,8)=LEFT($DF$53,8),IF(LEFT('6.Inland wetlands'!$K85,8)=LEFT(DG$50,8),'6.Inland wetlands'!$N85,0),0)</f>
        <v>0</v>
      </c>
      <c r="DH56" s="1377">
        <f>IF(LEFT('6.Inland wetlands'!$I85,8)=LEFT($DF$53,8),IF(LEFT('6.Inland wetlands'!$K85,8)=LEFT(DH$50,8),'6.Inland wetlands'!$N85,0),0)</f>
        <v>0</v>
      </c>
      <c r="DI56" s="1377">
        <f>IF(LEFT('6.Inland wetlands'!$I85,8)=LEFT($DF$53,8),IF(LEFT('6.Inland wetlands'!$K85,8)=LEFT(DI$50,8),'6.Inland wetlands'!$N85,0),0)</f>
        <v>0</v>
      </c>
      <c r="DJ56" s="1376">
        <f>IF(LEFT('6.Inland wetlands'!$I85,8)=LEFT($DF$53,8),IF((OR(LEFT('6.Inland wetlands'!$K85,8)=LEFT($DJ55,8),LEFT('6.Inland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0</v>
      </c>
      <c r="DK56" s="1377">
        <f>IF(LEFT('6.Inland wetlands'!$I85,8)=LEFT($DF$53,8),IF(LEFT('6.Inland wetlands'!$K85,8)=LEFT(DK$50,8),'6.Inland wetlands'!$N85,0),0)</f>
        <v>0</v>
      </c>
      <c r="DL56" s="1376">
        <f>IF(LEFT('6.Inland wetlands'!$I85,8)=LEFT($DF$53,8),IF(LEFT('6.Inland wetlands'!$K85,8)=LEFT(DL$50,8),'6.Inland wetlands'!$N85,0),0)</f>
        <v>0</v>
      </c>
    </row>
    <row r="57" spans="2:117" x14ac:dyDescent="0.15">
      <c r="F57" s="1370"/>
      <c r="G57" s="1372" t="s">
        <v>3202</v>
      </c>
      <c r="H57" s="1373"/>
      <c r="I57" s="3131">
        <f t="shared" ref="I57:O57" si="23">SUM(I50:I56)</f>
        <v>100</v>
      </c>
      <c r="J57" s="3131">
        <f t="shared" si="23"/>
        <v>0</v>
      </c>
      <c r="K57" s="3131">
        <f t="shared" si="23"/>
        <v>0</v>
      </c>
      <c r="L57" s="3131">
        <f t="shared" si="23"/>
        <v>0</v>
      </c>
      <c r="M57" s="3131">
        <f t="shared" si="23"/>
        <v>0</v>
      </c>
      <c r="N57" s="3131">
        <f t="shared" si="23"/>
        <v>500</v>
      </c>
      <c r="O57" s="3131">
        <f t="shared" si="23"/>
        <v>0</v>
      </c>
      <c r="P57" s="3137">
        <f>SUM(P50:P56)</f>
        <v>600</v>
      </c>
      <c r="R57" s="973"/>
      <c r="T57" s="1374" t="s">
        <v>235</v>
      </c>
      <c r="U57" s="1124">
        <f t="shared" ref="U57:AA57" si="24">SUM(U51:U56)</f>
        <v>0</v>
      </c>
      <c r="V57" s="1124">
        <f t="shared" si="24"/>
        <v>0</v>
      </c>
      <c r="W57" s="1124">
        <f t="shared" si="24"/>
        <v>0</v>
      </c>
      <c r="X57" s="1124">
        <f t="shared" si="24"/>
        <v>0</v>
      </c>
      <c r="Y57" s="1124">
        <f t="shared" si="24"/>
        <v>0</v>
      </c>
      <c r="Z57" s="1124">
        <f t="shared" si="24"/>
        <v>0</v>
      </c>
      <c r="AA57" s="1124">
        <f t="shared" si="24"/>
        <v>0</v>
      </c>
      <c r="AB57" s="973"/>
      <c r="AE57" s="973"/>
      <c r="AF57" s="1374" t="s">
        <v>235</v>
      </c>
      <c r="AG57" s="1124">
        <f t="shared" ref="AG57:AM57" si="25">SUM(AG51:AG56)</f>
        <v>0</v>
      </c>
      <c r="AH57" s="1124">
        <f t="shared" si="25"/>
        <v>0</v>
      </c>
      <c r="AI57" s="1124">
        <f t="shared" si="25"/>
        <v>0</v>
      </c>
      <c r="AJ57" s="1124">
        <f t="shared" si="25"/>
        <v>0</v>
      </c>
      <c r="AK57" s="1124">
        <f t="shared" si="25"/>
        <v>0</v>
      </c>
      <c r="AL57" s="1124">
        <f t="shared" si="25"/>
        <v>0</v>
      </c>
      <c r="AM57" s="1124">
        <f t="shared" si="25"/>
        <v>0</v>
      </c>
      <c r="AN57" s="973"/>
      <c r="AQ57" s="973"/>
      <c r="AR57" s="1379" t="s">
        <v>218</v>
      </c>
      <c r="AS57" s="1380">
        <f t="shared" ref="AS57:AX57" si="26">SUM(AS51:AS56)</f>
        <v>0</v>
      </c>
      <c r="AT57" s="1380">
        <f t="shared" si="26"/>
        <v>0</v>
      </c>
      <c r="AU57" s="1380">
        <f t="shared" si="26"/>
        <v>0</v>
      </c>
      <c r="AV57" s="1380">
        <f t="shared" si="26"/>
        <v>0</v>
      </c>
      <c r="AW57" s="1380">
        <f t="shared" si="26"/>
        <v>0</v>
      </c>
      <c r="AX57" s="1380">
        <f t="shared" si="26"/>
        <v>0</v>
      </c>
      <c r="AZ57" s="1345" t="s">
        <v>1507</v>
      </c>
      <c r="BB57" s="973"/>
      <c r="BC57" s="1379" t="s">
        <v>218</v>
      </c>
      <c r="BD57" s="1380">
        <f t="shared" ref="BD57:BI57" si="27">SUM(BD51:BD56)</f>
        <v>0</v>
      </c>
      <c r="BE57" s="1380">
        <f t="shared" si="27"/>
        <v>0</v>
      </c>
      <c r="BF57" s="1380">
        <f t="shared" si="27"/>
        <v>0</v>
      </c>
      <c r="BG57" s="1380">
        <f t="shared" si="27"/>
        <v>0</v>
      </c>
      <c r="BH57" s="1380">
        <f t="shared" si="27"/>
        <v>0</v>
      </c>
      <c r="BI57" s="1380">
        <f t="shared" si="27"/>
        <v>0</v>
      </c>
      <c r="BJ57" s="973"/>
      <c r="BM57" s="973"/>
      <c r="BN57" s="1380" t="s">
        <v>218</v>
      </c>
      <c r="BO57" s="1381">
        <f t="shared" ref="BO57:BT57" si="28">SUM(BO51:BO56)</f>
        <v>0</v>
      </c>
      <c r="BP57" s="1381">
        <f t="shared" si="28"/>
        <v>0</v>
      </c>
      <c r="BQ57" s="1381">
        <f t="shared" si="28"/>
        <v>0</v>
      </c>
      <c r="BR57" s="1381">
        <f t="shared" si="28"/>
        <v>0</v>
      </c>
      <c r="BS57" s="1381">
        <f t="shared" si="28"/>
        <v>0</v>
      </c>
      <c r="BT57" s="1381">
        <f t="shared" si="28"/>
        <v>0</v>
      </c>
      <c r="BU57" s="973"/>
      <c r="BX57" s="973"/>
      <c r="BY57" s="1380" t="s">
        <v>218</v>
      </c>
      <c r="BZ57" s="1382">
        <f t="shared" ref="BZ57:CE57" si="29">SUM(BZ51:BZ56)</f>
        <v>0</v>
      </c>
      <c r="CA57" s="1382">
        <f t="shared" si="29"/>
        <v>0</v>
      </c>
      <c r="CB57" s="1382">
        <f t="shared" si="29"/>
        <v>0</v>
      </c>
      <c r="CC57" s="1382">
        <f t="shared" si="29"/>
        <v>0</v>
      </c>
      <c r="CD57" s="1382">
        <f t="shared" si="29"/>
        <v>0</v>
      </c>
      <c r="CE57" s="1382">
        <f t="shared" si="29"/>
        <v>0</v>
      </c>
      <c r="CF57" s="973"/>
      <c r="CI57" s="973"/>
      <c r="CJ57" s="1380" t="s">
        <v>218</v>
      </c>
      <c r="CK57" s="1382">
        <f t="shared" ref="CK57:CP57" si="30">SUM(CK51:CK56)</f>
        <v>0</v>
      </c>
      <c r="CL57" s="1382">
        <f t="shared" si="30"/>
        <v>0</v>
      </c>
      <c r="CM57" s="1382">
        <f t="shared" si="30"/>
        <v>0</v>
      </c>
      <c r="CN57" s="1382">
        <f t="shared" si="30"/>
        <v>0</v>
      </c>
      <c r="CO57" s="1382">
        <f t="shared" si="30"/>
        <v>0</v>
      </c>
      <c r="CP57" s="1382">
        <f t="shared" si="30"/>
        <v>0</v>
      </c>
      <c r="CQ57" s="973"/>
      <c r="CT57" s="973"/>
      <c r="CU57" s="1380" t="s">
        <v>218</v>
      </c>
      <c r="CV57" s="1382">
        <f t="shared" ref="CV57:DA57" si="31">SUM(CV51:CV56)</f>
        <v>0</v>
      </c>
      <c r="CW57" s="1382">
        <f t="shared" si="31"/>
        <v>0</v>
      </c>
      <c r="CX57" s="1382">
        <f t="shared" si="31"/>
        <v>0</v>
      </c>
      <c r="CY57" s="1382">
        <f t="shared" si="31"/>
        <v>0</v>
      </c>
      <c r="CZ57" s="1382">
        <f t="shared" si="31"/>
        <v>0</v>
      </c>
      <c r="DA57" s="1382">
        <f t="shared" si="31"/>
        <v>0</v>
      </c>
      <c r="DB57" s="973"/>
      <c r="DE57" s="973"/>
      <c r="DF57" s="1380" t="s">
        <v>218</v>
      </c>
      <c r="DG57" s="1382">
        <f t="shared" ref="DG57:DL57" si="32">SUM(DG51:DG56)</f>
        <v>0</v>
      </c>
      <c r="DH57" s="1382">
        <f t="shared" si="32"/>
        <v>0</v>
      </c>
      <c r="DI57" s="1382">
        <f t="shared" si="32"/>
        <v>0</v>
      </c>
      <c r="DJ57" s="1382">
        <f t="shared" si="32"/>
        <v>0</v>
      </c>
      <c r="DK57" s="1382">
        <f t="shared" si="32"/>
        <v>0</v>
      </c>
      <c r="DL57" s="1381">
        <f t="shared" si="32"/>
        <v>0</v>
      </c>
    </row>
    <row r="58" spans="2:117" x14ac:dyDescent="0.15">
      <c r="D58" s="973"/>
      <c r="F58" s="1765" t="s">
        <v>3176</v>
      </c>
      <c r="J58" s="1765" t="s">
        <v>3177</v>
      </c>
      <c r="S58" s="973"/>
      <c r="T58" s="973"/>
      <c r="U58" s="973"/>
      <c r="V58" s="973"/>
      <c r="W58" s="973"/>
      <c r="X58" s="973"/>
      <c r="Y58" s="973"/>
      <c r="Z58" s="973"/>
      <c r="AA58" s="973"/>
      <c r="AB58" s="973"/>
      <c r="AE58" s="973"/>
      <c r="AF58" s="973"/>
      <c r="AG58" s="973"/>
      <c r="AH58" s="973"/>
      <c r="AI58" s="973"/>
      <c r="AJ58" s="973"/>
      <c r="AK58" s="973"/>
      <c r="AL58" s="973"/>
      <c r="AM58" s="973"/>
      <c r="AN58" s="973"/>
      <c r="AQ58" s="973"/>
      <c r="AR58" s="973"/>
      <c r="AS58" s="973"/>
      <c r="AT58" s="973"/>
      <c r="AU58" s="973"/>
      <c r="AV58" s="973"/>
      <c r="AW58" s="973"/>
      <c r="AX58" s="973"/>
      <c r="AZ58" s="1384" t="s">
        <v>1510</v>
      </c>
      <c r="BB58" s="973"/>
      <c r="BC58" s="973"/>
      <c r="BD58" s="973"/>
      <c r="BE58" s="973"/>
      <c r="BF58" s="973"/>
      <c r="BG58" s="973"/>
      <c r="BH58" s="973"/>
      <c r="BI58" s="973"/>
      <c r="BJ58" s="973"/>
      <c r="BM58" s="973"/>
      <c r="BN58" s="973"/>
      <c r="BO58" s="973"/>
      <c r="BP58" s="973"/>
      <c r="BQ58" s="973"/>
      <c r="BR58" s="973"/>
      <c r="BS58" s="973"/>
      <c r="BT58" s="973"/>
      <c r="BU58" s="973"/>
      <c r="BX58" s="973"/>
      <c r="BY58" s="973"/>
      <c r="BZ58" s="973"/>
      <c r="CA58" s="973"/>
      <c r="CB58" s="973"/>
      <c r="CC58" s="973"/>
      <c r="CD58" s="973"/>
      <c r="CE58" s="973"/>
      <c r="CF58" s="973"/>
      <c r="CI58" s="973"/>
      <c r="CJ58" s="973"/>
      <c r="CK58" s="973"/>
      <c r="CL58" s="973"/>
      <c r="CM58" s="973"/>
      <c r="CN58" s="973"/>
      <c r="CO58" s="973"/>
      <c r="CP58" s="973"/>
      <c r="CQ58" s="973"/>
      <c r="CT58" s="973"/>
      <c r="CU58" s="973"/>
      <c r="CV58" s="973"/>
      <c r="CW58" s="973"/>
      <c r="CX58" s="973"/>
      <c r="CY58" s="973"/>
      <c r="CZ58" s="973"/>
      <c r="DA58" s="973"/>
      <c r="DB58" s="973"/>
      <c r="DE58" s="973"/>
      <c r="DF58" s="973"/>
      <c r="DG58" s="973"/>
      <c r="DH58" s="973"/>
      <c r="DI58" s="973"/>
      <c r="DJ58" s="973"/>
      <c r="DK58" s="973"/>
      <c r="DL58" s="973"/>
    </row>
    <row r="59" spans="2:117" x14ac:dyDescent="0.15">
      <c r="B59" s="973"/>
      <c r="C59" s="1469"/>
      <c r="D59" s="1576"/>
      <c r="F59" s="1765" t="s">
        <v>3203</v>
      </c>
      <c r="J59" s="1765" t="s">
        <v>3204</v>
      </c>
      <c r="AQ59" s="973"/>
      <c r="CI59" s="973"/>
      <c r="CJ59" s="973"/>
      <c r="CK59" s="973"/>
      <c r="CL59" s="973"/>
      <c r="CM59" s="973"/>
      <c r="CN59" s="973"/>
      <c r="CO59" s="973"/>
      <c r="CP59" s="973"/>
      <c r="CQ59" s="973"/>
    </row>
    <row r="60" spans="2:117" x14ac:dyDescent="0.15">
      <c r="B60" s="973"/>
      <c r="C60" s="1469"/>
      <c r="D60" s="1454"/>
      <c r="CI60" s="973"/>
      <c r="CJ60" s="973"/>
      <c r="CK60" s="973"/>
      <c r="CL60" s="973"/>
      <c r="CM60" s="973"/>
      <c r="CN60" s="973"/>
      <c r="CO60" s="973"/>
      <c r="CP60" s="973"/>
      <c r="CQ60" s="973"/>
    </row>
    <row r="61" spans="2:117" x14ac:dyDescent="0.15">
      <c r="B61" s="973"/>
      <c r="C61" s="973"/>
      <c r="D61" s="973"/>
      <c r="S61" s="973"/>
      <c r="T61" s="973"/>
      <c r="U61" s="1281"/>
      <c r="V61" s="973"/>
      <c r="W61" s="973"/>
      <c r="X61" s="973"/>
      <c r="Y61" s="973"/>
      <c r="Z61" s="973"/>
      <c r="AA61" s="973"/>
      <c r="AB61" s="973"/>
      <c r="AC61" s="973"/>
      <c r="AD61" s="973"/>
      <c r="AE61" s="973"/>
      <c r="AF61" s="973"/>
      <c r="AG61" s="973"/>
      <c r="AH61" s="973"/>
      <c r="AI61" s="973"/>
      <c r="AJ61" s="973"/>
      <c r="AK61" s="973"/>
      <c r="AL61" s="973"/>
      <c r="AM61" s="973"/>
      <c r="AN61" s="973"/>
      <c r="AQ61" s="973"/>
      <c r="AS61" s="973"/>
      <c r="AT61" s="973"/>
      <c r="AU61" s="973"/>
      <c r="AV61" s="973"/>
      <c r="AW61" s="973"/>
      <c r="AX61" s="973"/>
      <c r="AZ61" s="1325" t="s">
        <v>293</v>
      </c>
      <c r="BB61" s="973"/>
      <c r="BJ61" s="973"/>
      <c r="BM61" s="973"/>
      <c r="BN61" s="973"/>
      <c r="BO61" s="973"/>
      <c r="BP61" s="973"/>
      <c r="BQ61" s="973"/>
      <c r="BR61" s="973"/>
      <c r="BS61" s="973"/>
      <c r="BT61" s="973"/>
      <c r="BU61" s="973"/>
      <c r="BX61" s="973"/>
      <c r="BY61" s="973"/>
      <c r="BZ61" s="973"/>
      <c r="CA61" s="973"/>
      <c r="CB61" s="973"/>
      <c r="CC61" s="973"/>
      <c r="CD61" s="973"/>
      <c r="CE61" s="973"/>
      <c r="CF61" s="973"/>
      <c r="CG61" s="973"/>
      <c r="CI61" s="973"/>
      <c r="CJ61" s="973"/>
      <c r="CK61" s="973"/>
      <c r="CL61" s="973"/>
      <c r="CM61" s="973"/>
      <c r="CN61" s="973"/>
      <c r="CO61" s="973"/>
      <c r="CP61" s="973"/>
      <c r="CQ61" s="973"/>
      <c r="CT61" s="973"/>
      <c r="CU61" s="973"/>
      <c r="CV61" s="973"/>
      <c r="CW61" s="973"/>
      <c r="CX61" s="973"/>
      <c r="CY61" s="973"/>
      <c r="CZ61" s="973"/>
      <c r="DA61" s="973"/>
      <c r="DB61" s="973"/>
      <c r="DE61" s="973"/>
      <c r="DF61" s="973"/>
      <c r="DG61" s="973"/>
      <c r="DH61" s="973"/>
      <c r="DI61" s="973"/>
      <c r="DJ61" s="973"/>
      <c r="DK61" s="973"/>
      <c r="DL61" s="973"/>
    </row>
    <row r="62" spans="2:117" ht="21" x14ac:dyDescent="0.15">
      <c r="D62" s="973"/>
      <c r="F62" s="973"/>
      <c r="G62" s="1281"/>
      <c r="H62" s="973"/>
      <c r="I62" s="1429"/>
      <c r="J62" s="1429"/>
      <c r="K62" s="1429"/>
      <c r="L62" s="1429"/>
      <c r="M62" s="1429"/>
      <c r="N62" s="1429"/>
      <c r="O62" s="1429"/>
      <c r="P62" s="1576"/>
      <c r="Q62" s="973"/>
      <c r="S62" s="973"/>
      <c r="T62" s="973"/>
      <c r="U62" s="973"/>
      <c r="V62" s="973"/>
      <c r="W62" s="973"/>
      <c r="X62" s="973"/>
      <c r="Y62" s="973"/>
      <c r="Z62" s="973"/>
      <c r="AA62" s="973"/>
      <c r="AB62" s="973"/>
      <c r="AC62" s="973"/>
      <c r="AD62" s="973"/>
      <c r="AE62" s="973"/>
      <c r="AF62" s="973"/>
      <c r="AG62" s="973"/>
      <c r="AH62" s="973"/>
      <c r="AI62" s="973"/>
      <c r="AJ62" s="973"/>
      <c r="AK62" s="973"/>
      <c r="AL62" s="973"/>
      <c r="AM62" s="973"/>
      <c r="AN62" s="973"/>
      <c r="AQ62" s="973"/>
      <c r="AZ62" s="1345" t="s">
        <v>1352</v>
      </c>
      <c r="BB62" s="973"/>
      <c r="BJ62" s="973"/>
      <c r="BM62" s="973"/>
      <c r="BU62" s="973"/>
      <c r="BX62" s="973"/>
      <c r="BY62" s="973"/>
      <c r="BZ62" s="973"/>
      <c r="CA62" s="973"/>
      <c r="CB62" s="973"/>
      <c r="CC62" s="973"/>
      <c r="CD62" s="973"/>
      <c r="CE62" s="973"/>
      <c r="CF62" s="973"/>
      <c r="CG62" s="973"/>
      <c r="CI62" s="973"/>
      <c r="CQ62" s="973"/>
      <c r="CT62" s="973"/>
      <c r="CU62" s="973"/>
      <c r="CV62" s="973"/>
      <c r="CW62" s="973"/>
      <c r="CX62" s="973"/>
      <c r="CY62" s="973"/>
      <c r="CZ62" s="973"/>
      <c r="DA62" s="973"/>
      <c r="DB62" s="973"/>
      <c r="DE62" s="973"/>
      <c r="DF62" s="973"/>
      <c r="DG62" s="973"/>
      <c r="DH62" s="973"/>
      <c r="DI62" s="973"/>
      <c r="DJ62" s="973"/>
      <c r="DK62" s="973"/>
      <c r="DL62" s="973"/>
    </row>
    <row r="63" spans="2:117" ht="16.5" customHeight="1" x14ac:dyDescent="0.15">
      <c r="D63" s="973"/>
      <c r="F63" s="1326"/>
      <c r="G63" s="1331"/>
      <c r="H63" s="1331"/>
      <c r="I63" s="1331"/>
      <c r="J63" s="1331"/>
      <c r="K63" s="1331"/>
      <c r="L63" s="1331"/>
      <c r="M63" s="1331"/>
      <c r="N63" s="1331"/>
      <c r="O63" s="1331"/>
      <c r="P63" s="1327"/>
      <c r="S63" s="973"/>
      <c r="T63" s="973"/>
      <c r="U63" s="973"/>
      <c r="V63" s="973"/>
      <c r="W63" s="973"/>
      <c r="X63" s="973"/>
      <c r="Y63" s="973"/>
      <c r="Z63" s="973"/>
      <c r="AA63" s="973"/>
      <c r="AB63" s="973"/>
      <c r="AC63" s="973"/>
      <c r="AD63" s="973"/>
      <c r="AE63" s="973"/>
      <c r="AF63" s="973"/>
      <c r="AG63" s="973"/>
      <c r="AH63" s="973"/>
      <c r="AI63" s="973"/>
      <c r="AJ63" s="973"/>
      <c r="AK63" s="973"/>
      <c r="AL63" s="973"/>
      <c r="AM63" s="973"/>
      <c r="AN63" s="973"/>
      <c r="AQ63" s="973"/>
      <c r="AR63" s="1281" t="s">
        <v>3205</v>
      </c>
      <c r="AZ63" s="1345" t="s">
        <v>1407</v>
      </c>
      <c r="BB63" s="973"/>
      <c r="BC63" s="1281" t="s">
        <v>3206</v>
      </c>
      <c r="BD63" s="973"/>
      <c r="BE63" s="973"/>
      <c r="BF63" s="973"/>
      <c r="BG63" s="973"/>
      <c r="BH63" s="973"/>
      <c r="BI63" s="973"/>
      <c r="BJ63" s="973"/>
      <c r="BM63" s="973"/>
      <c r="BN63" s="1281" t="s">
        <v>3207</v>
      </c>
      <c r="BU63" s="973"/>
      <c r="BX63" s="973"/>
      <c r="BY63" s="1281" t="s">
        <v>3208</v>
      </c>
      <c r="CF63" s="973"/>
      <c r="CI63" s="973"/>
      <c r="CJ63" s="1281" t="s">
        <v>3209</v>
      </c>
      <c r="CQ63" s="973"/>
      <c r="CT63" s="973"/>
      <c r="CU63" s="1281" t="s">
        <v>3210</v>
      </c>
      <c r="CV63" s="973"/>
      <c r="CW63" s="973"/>
      <c r="CX63" s="973"/>
      <c r="CY63" s="973"/>
      <c r="CZ63" s="973"/>
      <c r="DA63" s="973"/>
      <c r="DB63" s="973"/>
      <c r="DE63" s="973"/>
      <c r="DF63" s="1281" t="s">
        <v>3211</v>
      </c>
      <c r="DG63" s="973"/>
      <c r="DH63" s="973"/>
      <c r="DI63" s="973"/>
      <c r="DJ63" s="973"/>
      <c r="DK63" s="973"/>
      <c r="DL63" s="973"/>
    </row>
    <row r="64" spans="2:117" ht="18.75" customHeight="1" x14ac:dyDescent="0.2">
      <c r="D64" s="973"/>
      <c r="F64" s="1332"/>
      <c r="G64" s="1333"/>
      <c r="H64" s="1434"/>
      <c r="I64" s="1437" t="s">
        <v>3212</v>
      </c>
      <c r="J64" s="1435"/>
      <c r="K64" s="1435"/>
      <c r="L64" s="1435"/>
      <c r="M64" s="1435"/>
      <c r="N64" s="1435"/>
      <c r="O64" s="1435"/>
      <c r="P64" s="1394"/>
      <c r="S64" s="973"/>
      <c r="T64" s="1400"/>
      <c r="U64" s="1401"/>
      <c r="V64" s="1402" t="s">
        <v>3181</v>
      </c>
      <c r="W64" s="1403"/>
      <c r="X64" s="1401"/>
      <c r="Y64" s="1401"/>
      <c r="Z64" s="1401"/>
      <c r="AA64" s="1404"/>
      <c r="AB64" s="973"/>
      <c r="AE64" s="973"/>
      <c r="AF64" s="1400"/>
      <c r="AG64" s="1401"/>
      <c r="AH64" s="1402" t="s">
        <v>3182</v>
      </c>
      <c r="AI64" s="1403"/>
      <c r="AJ64" s="1401"/>
      <c r="AK64" s="1401"/>
      <c r="AL64" s="1401"/>
      <c r="AM64" s="1404"/>
      <c r="AN64" s="973"/>
      <c r="AQ64" s="973"/>
      <c r="AR64" s="1326"/>
      <c r="AS64" s="1328" t="s">
        <v>3183</v>
      </c>
      <c r="AT64" s="1329"/>
      <c r="AU64" s="1330"/>
      <c r="AV64" s="1331"/>
      <c r="AW64" s="1331"/>
      <c r="AX64" s="1327"/>
      <c r="AZ64" s="1345" t="s">
        <v>1413</v>
      </c>
      <c r="BB64" s="973"/>
      <c r="BC64" s="1326"/>
      <c r="BD64" s="1328" t="s">
        <v>3184</v>
      </c>
      <c r="BE64" s="1329"/>
      <c r="BF64" s="1330"/>
      <c r="BG64" s="1331"/>
      <c r="BH64" s="1331"/>
      <c r="BI64" s="1327"/>
      <c r="BJ64" s="973"/>
      <c r="BM64" s="973"/>
      <c r="BN64" s="1326"/>
      <c r="BO64" s="1328" t="s">
        <v>3184</v>
      </c>
      <c r="BP64" s="1329"/>
      <c r="BQ64" s="1330"/>
      <c r="BR64" s="1331"/>
      <c r="BS64" s="1331"/>
      <c r="BT64" s="1327"/>
      <c r="BU64" s="973"/>
      <c r="BX64" s="973"/>
      <c r="BY64" s="1326"/>
      <c r="BZ64" s="1328" t="s">
        <v>3183</v>
      </c>
      <c r="CA64" s="1329"/>
      <c r="CB64" s="1330"/>
      <c r="CC64" s="1331"/>
      <c r="CD64" s="1331"/>
      <c r="CE64" s="1327"/>
      <c r="CF64" s="973"/>
      <c r="CI64" s="973"/>
      <c r="CJ64" s="1326"/>
      <c r="CK64" s="1328" t="s">
        <v>3184</v>
      </c>
      <c r="CL64" s="1329"/>
      <c r="CM64" s="1330"/>
      <c r="CN64" s="1331"/>
      <c r="CO64" s="1331"/>
      <c r="CP64" s="1327"/>
      <c r="CQ64" s="973"/>
      <c r="CT64" s="973"/>
      <c r="CU64" s="1326"/>
      <c r="CV64" s="1328" t="s">
        <v>3183</v>
      </c>
      <c r="CW64" s="1329"/>
      <c r="CX64" s="1330"/>
      <c r="CY64" s="1331"/>
      <c r="CZ64" s="1331"/>
      <c r="DA64" s="1327"/>
      <c r="DB64" s="973"/>
      <c r="DE64" s="973"/>
      <c r="DF64" s="1326"/>
      <c r="DG64" s="1328" t="s">
        <v>3183</v>
      </c>
      <c r="DH64" s="1329"/>
      <c r="DI64" s="1330"/>
      <c r="DJ64" s="1331"/>
      <c r="DK64" s="1331"/>
      <c r="DL64" s="1327"/>
    </row>
    <row r="65" spans="3:118" ht="16" x14ac:dyDescent="0.2">
      <c r="D65" s="973"/>
      <c r="F65" s="1351"/>
      <c r="G65" s="1352" t="s">
        <v>3167</v>
      </c>
      <c r="H65" s="1432" t="s">
        <v>3168</v>
      </c>
      <c r="I65" s="1374" t="s">
        <v>3169</v>
      </c>
      <c r="J65" s="1374" t="s">
        <v>2071</v>
      </c>
      <c r="K65" s="1374" t="s">
        <v>2072</v>
      </c>
      <c r="L65" s="1374" t="s">
        <v>1384</v>
      </c>
      <c r="M65" s="1374" t="str">
        <f>H70</f>
        <v>Grassland</v>
      </c>
      <c r="N65" s="1374" t="s">
        <v>1592</v>
      </c>
      <c r="O65" s="1374" t="str">
        <f>H72</f>
        <v>Other land (non-vegetated)</v>
      </c>
      <c r="P65" s="1433" t="s">
        <v>3200</v>
      </c>
      <c r="S65" s="973"/>
      <c r="T65" s="1385" t="s">
        <v>323</v>
      </c>
      <c r="U65" s="1408" t="s">
        <v>3186</v>
      </c>
      <c r="V65" s="1409"/>
      <c r="W65" s="1410"/>
      <c r="X65" s="1410"/>
      <c r="Y65" s="1410"/>
      <c r="Z65" s="1410"/>
      <c r="AA65" s="1411"/>
      <c r="AB65" s="973"/>
      <c r="AE65" s="973"/>
      <c r="AF65" s="1412" t="s">
        <v>323</v>
      </c>
      <c r="AG65" s="1405" t="s">
        <v>3164</v>
      </c>
      <c r="AH65" s="1406"/>
      <c r="AI65" s="1407"/>
      <c r="AJ65" s="1407"/>
      <c r="AK65" s="1407"/>
      <c r="AL65" s="1407"/>
      <c r="AM65" s="1413"/>
      <c r="AN65" s="973"/>
      <c r="AQ65" s="973"/>
      <c r="AR65" s="1335" t="s">
        <v>323</v>
      </c>
      <c r="AS65" s="1336"/>
      <c r="AT65" s="1337"/>
      <c r="AU65" s="1338"/>
      <c r="AV65" s="1338"/>
      <c r="AW65" s="1338"/>
      <c r="AX65" s="1339"/>
      <c r="AZ65" s="1345" t="s">
        <v>1502</v>
      </c>
      <c r="BB65" s="973"/>
      <c r="BC65" s="1335" t="s">
        <v>323</v>
      </c>
      <c r="BD65" s="1336"/>
      <c r="BE65" s="1337"/>
      <c r="BF65" s="1338"/>
      <c r="BG65" s="1338"/>
      <c r="BH65" s="1338"/>
      <c r="BI65" s="1339"/>
      <c r="BJ65" s="973"/>
      <c r="BM65" s="973"/>
      <c r="BN65" s="1335" t="s">
        <v>323</v>
      </c>
      <c r="BO65" s="1336"/>
      <c r="BP65" s="1337"/>
      <c r="BQ65" s="1338"/>
      <c r="BR65" s="1338"/>
      <c r="BS65" s="1338"/>
      <c r="BT65" s="1339"/>
      <c r="BU65" s="973"/>
      <c r="BX65" s="973"/>
      <c r="BY65" s="1335" t="s">
        <v>323</v>
      </c>
      <c r="BZ65" s="1336"/>
      <c r="CA65" s="1337"/>
      <c r="CB65" s="1338"/>
      <c r="CC65" s="1338"/>
      <c r="CD65" s="1338"/>
      <c r="CE65" s="1339"/>
      <c r="CF65" s="973"/>
      <c r="CI65" s="973"/>
      <c r="CJ65" s="1335" t="s">
        <v>323</v>
      </c>
      <c r="CK65" s="1336"/>
      <c r="CL65" s="1337"/>
      <c r="CM65" s="1338"/>
      <c r="CN65" s="1338"/>
      <c r="CO65" s="1338"/>
      <c r="CP65" s="1339"/>
      <c r="CQ65" s="973"/>
      <c r="CT65" s="973"/>
      <c r="CU65" s="1335" t="s">
        <v>323</v>
      </c>
      <c r="CV65" s="1336"/>
      <c r="CW65" s="1337"/>
      <c r="CX65" s="1338"/>
      <c r="CY65" s="1338"/>
      <c r="CZ65" s="1338"/>
      <c r="DA65" s="1339"/>
      <c r="DB65" s="973"/>
      <c r="DE65" s="973"/>
      <c r="DF65" s="1335" t="s">
        <v>323</v>
      </c>
      <c r="DG65" s="1336"/>
      <c r="DH65" s="1337"/>
      <c r="DI65" s="1338"/>
      <c r="DJ65" s="1338"/>
      <c r="DK65" s="1338"/>
      <c r="DL65" s="1339"/>
    </row>
    <row r="66" spans="3:118" ht="16" x14ac:dyDescent="0.2">
      <c r="D66" s="973"/>
      <c r="F66" s="1362"/>
      <c r="G66" s="1352" t="s">
        <v>2959</v>
      </c>
      <c r="H66" s="1386" t="s">
        <v>3169</v>
      </c>
      <c r="I66" s="2842">
        <f>SUM('Inl. wetlands'!$N36:$N41)-SUM('Inl. wetlands'!$T36:$T41)+SUM('Inl. wetlands'!$L339:$L344)+Coastal!$AA$15+Coastal!$AA$74</f>
        <v>100</v>
      </c>
      <c r="J66" s="3138">
        <f>V73</f>
        <v>0</v>
      </c>
      <c r="K66" s="3138">
        <f>U73</f>
        <v>0</v>
      </c>
      <c r="L66" s="3138">
        <f>Y73</f>
        <v>0</v>
      </c>
      <c r="M66" s="3138">
        <f>Z73</f>
        <v>0</v>
      </c>
      <c r="N66" s="3138">
        <f>X73</f>
        <v>0</v>
      </c>
      <c r="O66" s="3138">
        <f>AA73+W73</f>
        <v>0</v>
      </c>
      <c r="P66" s="3134">
        <f t="shared" ref="P66:P72" si="33">SUM(I66:O66)</f>
        <v>100</v>
      </c>
      <c r="R66" s="973"/>
      <c r="S66" s="973"/>
      <c r="T66" s="1302" t="s">
        <v>1647</v>
      </c>
      <c r="U66" s="1290" t="s">
        <v>1588</v>
      </c>
      <c r="V66" s="1290" t="s">
        <v>1382</v>
      </c>
      <c r="W66" s="1290" t="s">
        <v>1590</v>
      </c>
      <c r="X66" s="1290" t="s">
        <v>1592</v>
      </c>
      <c r="Y66" s="1290" t="s">
        <v>1384</v>
      </c>
      <c r="Z66" s="1290" t="s">
        <v>1396</v>
      </c>
      <c r="AA66" s="1430" t="s">
        <v>1401</v>
      </c>
      <c r="AB66" s="973"/>
      <c r="AE66" s="973"/>
      <c r="AF66" s="1758" t="s">
        <v>3187</v>
      </c>
      <c r="AG66" s="1761" t="s">
        <v>1588</v>
      </c>
      <c r="AH66" s="1754" t="s">
        <v>1382</v>
      </c>
      <c r="AI66" s="1754" t="s">
        <v>1590</v>
      </c>
      <c r="AJ66" s="1754" t="s">
        <v>1592</v>
      </c>
      <c r="AK66" s="1754" t="s">
        <v>1384</v>
      </c>
      <c r="AL66" s="1754" t="s">
        <v>1396</v>
      </c>
      <c r="AM66" s="1755" t="s">
        <v>1401</v>
      </c>
      <c r="AN66" s="973"/>
      <c r="AQ66" s="973"/>
      <c r="AR66" s="1342" t="s">
        <v>3188</v>
      </c>
      <c r="AS66" s="1343" t="s">
        <v>1590</v>
      </c>
      <c r="AT66" s="1347" t="s">
        <v>1592</v>
      </c>
      <c r="AU66" s="1347" t="s">
        <v>1384</v>
      </c>
      <c r="AV66" s="1347" t="s">
        <v>1396</v>
      </c>
      <c r="AW66" s="1347" t="s">
        <v>1401</v>
      </c>
      <c r="AX66" s="1341" t="s">
        <v>1588</v>
      </c>
      <c r="AZ66" s="1345" t="s">
        <v>1497</v>
      </c>
      <c r="BB66" s="973"/>
      <c r="BC66" s="1342" t="s">
        <v>3189</v>
      </c>
      <c r="BD66" s="1354" t="s">
        <v>1382</v>
      </c>
      <c r="BE66" s="1347" t="s">
        <v>1590</v>
      </c>
      <c r="BF66" s="1347" t="s">
        <v>1592</v>
      </c>
      <c r="BG66" s="1347" t="s">
        <v>1384</v>
      </c>
      <c r="BH66" s="1347" t="s">
        <v>1396</v>
      </c>
      <c r="BI66" s="1348" t="s">
        <v>1401</v>
      </c>
      <c r="BJ66" s="973"/>
      <c r="BM66" s="973"/>
      <c r="BN66" s="1342" t="s">
        <v>3189</v>
      </c>
      <c r="BO66" s="1354" t="s">
        <v>1382</v>
      </c>
      <c r="BP66" s="1347" t="s">
        <v>1590</v>
      </c>
      <c r="BQ66" s="1347" t="s">
        <v>1592</v>
      </c>
      <c r="BR66" s="1347" t="s">
        <v>1588</v>
      </c>
      <c r="BS66" s="1347" t="s">
        <v>1396</v>
      </c>
      <c r="BT66" s="1347" t="s">
        <v>1401</v>
      </c>
      <c r="BU66" s="973"/>
      <c r="BX66" s="973"/>
      <c r="BY66" s="1349" t="s">
        <v>3189</v>
      </c>
      <c r="BZ66" s="1354" t="s">
        <v>1382</v>
      </c>
      <c r="CA66" s="1347" t="s">
        <v>1384</v>
      </c>
      <c r="CB66" s="1347" t="s">
        <v>1592</v>
      </c>
      <c r="CC66" s="1347" t="s">
        <v>1588</v>
      </c>
      <c r="CD66" s="1347" t="s">
        <v>1396</v>
      </c>
      <c r="CE66" s="1347" t="s">
        <v>1401</v>
      </c>
      <c r="CF66" s="973"/>
      <c r="CI66" s="973"/>
      <c r="CJ66" s="1349" t="s">
        <v>3189</v>
      </c>
      <c r="CK66" s="1354" t="s">
        <v>1382</v>
      </c>
      <c r="CL66" s="1347" t="s">
        <v>1384</v>
      </c>
      <c r="CM66" s="1347" t="s">
        <v>1592</v>
      </c>
      <c r="CN66" s="1347" t="s">
        <v>1588</v>
      </c>
      <c r="CO66" s="1347" t="s">
        <v>1590</v>
      </c>
      <c r="CP66" s="1347" t="s">
        <v>1401</v>
      </c>
      <c r="CQ66" s="973"/>
      <c r="CT66" s="973"/>
      <c r="CU66" s="1349" t="s">
        <v>3188</v>
      </c>
      <c r="CV66" s="1354" t="s">
        <v>1382</v>
      </c>
      <c r="CW66" s="1347" t="s">
        <v>1384</v>
      </c>
      <c r="CX66" s="1347" t="s">
        <v>1396</v>
      </c>
      <c r="CY66" s="1347" t="s">
        <v>1588</v>
      </c>
      <c r="CZ66" s="1347" t="s">
        <v>1590</v>
      </c>
      <c r="DA66" s="1347" t="s">
        <v>1401</v>
      </c>
      <c r="DB66" s="973"/>
      <c r="DE66" s="973"/>
      <c r="DF66" s="1349" t="s">
        <v>3189</v>
      </c>
      <c r="DG66" s="1354" t="s">
        <v>1382</v>
      </c>
      <c r="DH66" s="1347" t="s">
        <v>1384</v>
      </c>
      <c r="DI66" s="1347" t="s">
        <v>1396</v>
      </c>
      <c r="DJ66" s="1347" t="s">
        <v>1588</v>
      </c>
      <c r="DK66" s="1347" t="s">
        <v>1590</v>
      </c>
      <c r="DL66" s="1428" t="s">
        <v>1592</v>
      </c>
    </row>
    <row r="67" spans="3:118" x14ac:dyDescent="0.15">
      <c r="D67" s="973"/>
      <c r="F67" s="1354"/>
      <c r="G67" s="1388" t="s">
        <v>2949</v>
      </c>
      <c r="H67" s="1351" t="s">
        <v>3201</v>
      </c>
      <c r="I67" s="3135">
        <f>AH73</f>
        <v>0</v>
      </c>
      <c r="J67" s="2842">
        <f>SUMIF('Inl. wetlands'!$C413:$C418,$J$65,'Inl. wetlands'!$J413:$J418)+MAX(SUM(K67:O67,I67),SUM(I51,K51:O51))-SUM(K67:O67,I67)</f>
        <v>0</v>
      </c>
      <c r="K67" s="3134">
        <f>AX73</f>
        <v>0</v>
      </c>
      <c r="L67" s="3134">
        <f>AU73</f>
        <v>0</v>
      </c>
      <c r="M67" s="3134">
        <f>AV73</f>
        <v>0</v>
      </c>
      <c r="N67" s="3134">
        <f>AT73</f>
        <v>0</v>
      </c>
      <c r="O67" s="3134">
        <f>AW73+$AS$73</f>
        <v>0</v>
      </c>
      <c r="P67" s="3134">
        <f t="shared" si="33"/>
        <v>0</v>
      </c>
      <c r="R67" s="973"/>
      <c r="S67" s="1168"/>
      <c r="T67" s="1414"/>
      <c r="U67" s="1415">
        <f>IF('6.Inland wetlands'!$I13 =U$66, 1,0)* '6.Inland wetlands'!$T13</f>
        <v>0</v>
      </c>
      <c r="V67" s="1416">
        <f>IF('6.Inland wetlands'!$I13 =V$66, 1,0)* '6.Inland wetlands'!$T13</f>
        <v>0</v>
      </c>
      <c r="W67" s="1416">
        <f>IF('6.Inland wetlands'!$I13 =W$66, 1,0)* '6.Inland wetlands'!$T13</f>
        <v>0</v>
      </c>
      <c r="X67" s="1416">
        <f>IF('6.Inland wetlands'!$I13 =X$66, 1,0)* '6.Inland wetlands'!$T13</f>
        <v>0</v>
      </c>
      <c r="Y67" s="1416">
        <f>IF('6.Inland wetlands'!$I13 =Y$66, 1,0)* '6.Inland wetlands'!$T13</f>
        <v>0</v>
      </c>
      <c r="Z67" s="1416">
        <f>IF('6.Inland wetlands'!$I13 =Z$66, 1,0)* '6.Inland wetlands'!$T13</f>
        <v>0</v>
      </c>
      <c r="AA67" s="1417">
        <f>IF('6.Inland wetlands'!$I13 =AA$66, 1,0)* '6.Inland wetlands'!$T13</f>
        <v>0</v>
      </c>
      <c r="AB67" s="973"/>
      <c r="AE67" s="1168"/>
      <c r="AF67" s="1414"/>
      <c r="AG67" s="1415">
        <f>IF(AG$66 = '6.Inland wetlands'!$I46, '6.Inland wetlands'!$P46, 0)</f>
        <v>0</v>
      </c>
      <c r="AH67" s="1416">
        <f>IF(AH$66 = '6.Inland wetlands'!$I46, '6.Inland wetlands'!$P46, 0)</f>
        <v>0</v>
      </c>
      <c r="AI67" s="1416">
        <f>IF(AI$66 = '6.Inland wetlands'!$I46, '6.Inland wetlands'!$P46, 0)</f>
        <v>0</v>
      </c>
      <c r="AJ67" s="1416">
        <f>IF(AJ$66 = '6.Inland wetlands'!$I46, '6.Inland wetlands'!$P46, 0)</f>
        <v>0</v>
      </c>
      <c r="AK67" s="1416">
        <f>IF(AK$66 = '6.Inland wetlands'!$I46, '6.Inland wetlands'!$P46, 0)</f>
        <v>0</v>
      </c>
      <c r="AL67" s="1416">
        <f>IF(AL$66 = '6.Inland wetlands'!$I46, '6.Inland wetlands'!$P46, 0)</f>
        <v>0</v>
      </c>
      <c r="AM67" s="1417">
        <f>IF(AM$66 = '6.Inland wetlands'!$I46, '6.Inland wetlands'!$P46, 0)</f>
        <v>0</v>
      </c>
      <c r="AN67" s="973"/>
      <c r="AQ67" s="973"/>
      <c r="AR67" s="1351"/>
      <c r="AS67" s="1356">
        <f>IF(LEFT('6.Inland wetlands'!$I80,8)=LEFT($AR$69,8),IF(LEFT('6.Inland wetlands'!$K80,8)=LEFT(AS$66,8), '6.Inland wetlands'!$P80,0),0)</f>
        <v>0</v>
      </c>
      <c r="AT67" s="1356">
        <f>IF(LEFT('6.Inland wetlands'!$I80,8)=LEFT($AR$69,8),IF(LEFT('6.Inland wetlands'!$K80,8)=LEFT(AT$66,8), '6.Inland wetlands'!$P80,0),0)</f>
        <v>0</v>
      </c>
      <c r="AU67" s="1356">
        <f>IF(LEFT('6.Inland wetlands'!$I80,8)=LEFT($AR$69,8),IF(LEFT('6.Inland wetlands'!$K80,8)=LEFT(AU$66,8), '6.Inland wetlands'!$P80,0),0)</f>
        <v>0</v>
      </c>
      <c r="AV67" s="1356">
        <f>IF(LEFT('6.Inland wetlands'!$I80,8)=LEFT($AR$69,8),IF(LEFT('6.Inland wetlands'!$K80,8)=LEFT(AV$66,8), '6.Inland wetlands'!$P80,0),0)</f>
        <v>0</v>
      </c>
      <c r="AW67" s="1356">
        <f>IF(LEFT('6.Inland wetlands'!$I80,8)=LEFT($AR$69,8),IF(LEFT('6.Inland wetlands'!$K80,8)=LEFT(AW$66,8), '6.Inland wetlands'!$P80,0),0)</f>
        <v>0</v>
      </c>
      <c r="AX67" s="1356">
        <f>IF(LEFT('6.Inland wetlands'!$I80,8)=LEFT($AR$69,8),IF((OR(LEFT('6.Inland wetlands'!$K80,8)=LEFT(AX$66,8),LEFT('6.Inland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0</v>
      </c>
      <c r="AZ67" s="1345" t="s">
        <v>1499</v>
      </c>
      <c r="BB67" s="973"/>
      <c r="BC67" s="1351"/>
      <c r="BD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wetlands'!$K80,8)=LEFT(Matrix!BD$66,8), '6.Inland wetlands'!$P80, 0),0)</f>
        <v>0</v>
      </c>
      <c r="BE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wetlands'!$K80,8)=LEFT(Matrix!BE$66,8), '6.Inland wetlands'!$P80, 0),0)</f>
        <v>0</v>
      </c>
      <c r="BF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wetlands'!$K80,8)=LEFT(Matrix!BF$66,8), '6.Inland wetlands'!$P80, 0),0)</f>
        <v>0</v>
      </c>
      <c r="BG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wetlands'!$K80,8)=LEFT(Matrix!BG$66,8), '6.Inland wetlands'!$P80, 0),0)</f>
        <v>0</v>
      </c>
      <c r="BH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wetlands'!$K80,8)=LEFT(Matrix!BH$66,8), '6.Inland wetlands'!$P80, 0),0)</f>
        <v>0</v>
      </c>
      <c r="BI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wetlands'!$K80,8)=LEFT(Matrix!BI$66,8), '6.Inland wetlands'!$P80, 0),0)</f>
        <v>0</v>
      </c>
      <c r="BJ67" s="973"/>
      <c r="BM67" s="973"/>
      <c r="BN67" s="1351"/>
      <c r="BO67" s="1356">
        <f>IF(LEFT('6.Inland wetlands'!$I80,8)=LEFT($BN$26,8),IF(LEFT('6.Inland wetlands'!$K80,8)=LEFT(BO$23,8),'6.Inland wetlands'!$P80,0),0)</f>
        <v>0</v>
      </c>
      <c r="BP67" s="1356">
        <f>IF(LEFT('6.Inland wetlands'!$I80,8)=LEFT($BN$26,8),IF(LEFT('6.Inland wetlands'!$K80,8)=LEFT(BP$23,8),'6.Inland wetlands'!$P80,0),0)</f>
        <v>0</v>
      </c>
      <c r="BQ67" s="1356">
        <f>IF(LEFT('6.Inland wetlands'!$I80,8)=LEFT($BN$26,8),IF(LEFT('6.Inland wetlands'!$K80,8)=LEFT(BQ$23,8),'6.Inland wetlands'!$P80,0),0)</f>
        <v>0</v>
      </c>
      <c r="BR67" s="1356">
        <f>IF(LEFT('6.Inland wetlands'!$I80,8)=LEFT($BN$69,8),IF((OR(LEFT('6.Inland wetlands'!$K80,8)=LEFT(BR$66,8),LEFT('6.Inland wetlands'!$K80,8)=LEFT($AZ$3,8), 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0</v>
      </c>
      <c r="BS67" s="1356">
        <f>IF(LEFT('6.Inland wetlands'!$I80,8)=LEFT($BN$26,8),IF(LEFT('6.Inland wetlands'!$K80,8)=LEFT(BS$23,8),'6.Inland wetlands'!$P80,0),0)</f>
        <v>0</v>
      </c>
      <c r="BT67" s="1356">
        <f>IF(LEFT('6.Inland wetlands'!$I80,8)=LEFT($BN$26,8),IF(LEFT('6.Inland wetlands'!$K80,8)=LEFT(BT$23,8),'6.Inland wetlands'!$P80,0),0)</f>
        <v>0</v>
      </c>
      <c r="BU67" s="973"/>
      <c r="BX67" s="973"/>
      <c r="BY67" s="1359"/>
      <c r="BZ67" s="1356">
        <f>IF(LEFT('6.Inland wetlands'!$I80,8)=LEFT($BY$26,8),IF(LEFT('6.Inland wetlands'!$K80,8)=LEFT(BZ$23,8),'6.Inland wetlands'!$P80,0),0)</f>
        <v>0</v>
      </c>
      <c r="CA67" s="1356">
        <f>IF(LEFT('6.Inland wetlands'!$I80,8)=LEFT($BY$26,8),IF(LEFT('6.Inland wetlands'!$K80,8)=LEFT(CA$23,8),'6.Inland wetlands'!$P80,0),0)</f>
        <v>0</v>
      </c>
      <c r="CB67" s="1356">
        <f>IF(LEFT('6.Inland wetlands'!$I80,8)=LEFT($BY$26,8),IF(LEFT('6.Inland wetlands'!$K80,8)=LEFT(CB$23,8),'6.Inland wetlands'!$P80,0),0)</f>
        <v>0</v>
      </c>
      <c r="CC67" s="1356">
        <f>IF(LEFT('6.Inland wetlands'!$I80,8)=LEFT($BY$26,8),IF((OR(LEFT('6.Inland wetlands'!$K80,8)=LEFT(CC$23,8),LEFT('6.Inland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0</v>
      </c>
      <c r="CD67" s="1356">
        <f>IF(LEFT('6.Inland wetlands'!$I80,8)=LEFT($BY$26,8),IF(LEFT('6.Inland wetlands'!$K80,8)=LEFT(CD$23,8),'6.Inland wetlands'!$P80,0),0)</f>
        <v>0</v>
      </c>
      <c r="CE67" s="1356">
        <f>IF(LEFT('6.Inland wetlands'!$I80,8)=LEFT($BY$26,8),IF(LEFT('6.Inland wetlands'!$K80,8)=LEFT(CE$23,8),'6.Inland wetlands'!$P80,0),0)</f>
        <v>0</v>
      </c>
      <c r="CF67" s="973"/>
      <c r="CI67" s="973"/>
      <c r="CJ67" s="1359"/>
      <c r="CK67" s="1360">
        <f>IF(LEFT('6.Inland wetlands'!$I80,8)=LEFT($CJ$8,8),IF(LEFT('6.Inland wetlands'!$K80,8)=LEFT(CK$5,8),'6.Inland wetlands'!$P80,0),0)</f>
        <v>0</v>
      </c>
      <c r="CL67" s="1360">
        <f>IF(LEFT('6.Inland wetlands'!$I80,8)=LEFT($CJ$8,8),IF(LEFT('6.Inland wetlands'!$K80,8)=LEFT(CL$5,8),'6.Inland wetlands'!$P80,0),0)</f>
        <v>0</v>
      </c>
      <c r="CM67" s="1360">
        <f>IF(LEFT('6.Inland wetlands'!$I80,8)=LEFT($CJ$8,8),IF(LEFT('6.Inland wetlands'!$K80,8)=LEFT(CM$5,8),'6.Inland wetlands'!$P80,0),0)</f>
        <v>0</v>
      </c>
      <c r="CN67" s="1356">
        <f>IF(LEFT('6.Inland wetlands'!$I80,8)=LEFT($CJ$8,8),IF((OR(LEFT('6.Inland wetlands'!$K80,8)=LEFT(CN$5,8),LEFT('6.Inland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0</v>
      </c>
      <c r="CO67" s="1360">
        <f>IF(LEFT('6.Inland wetlands'!$I80,8)=LEFT($CJ$8,8),IF(LEFT('6.Inland wetlands'!$K80,8)=LEFT(CO$5,8),'6.Inland wetlands'!$P80,0),0)</f>
        <v>0</v>
      </c>
      <c r="CP67" s="1356">
        <f>IF(LEFT('6.Inland wetlands'!$I80,8)=LEFT($CJ$8,8),IF(LEFT('6.Inland wetlands'!$K80,8)=LEFT(CP$5,8),'6.Inland wetlands'!$P80,0),0)</f>
        <v>0</v>
      </c>
      <c r="CQ67" s="973"/>
      <c r="CT67" s="973"/>
      <c r="CU67" s="1359"/>
      <c r="CV67" s="1360">
        <f>IF(LEFT('6.Inland wetlands'!$I80,8)=LEFT($CU$53,8),IF(LEFT('6.Inland wetlands'!$K80,8)=LEFT(CV$50,8),'6.Inland wetlands'!$P80,0),0)</f>
        <v>0</v>
      </c>
      <c r="CW67" s="1360">
        <f>IF(LEFT('6.Inland wetlands'!$I80,8)=LEFT($CU$53,8),IF(LEFT('6.Inland wetlands'!$K80,8)=LEFT(CW$50,8),'6.Inland wetlands'!$P80,0),0)</f>
        <v>0</v>
      </c>
      <c r="CX67" s="1360">
        <f>IF(LEFT('6.Inland wetlands'!$I80,8)=LEFT($CU$53,8),IF(LEFT('6.Inland wetlands'!$K80,8)=LEFT(CX$50,8),'6.Inland wetlands'!$P80,0),0)</f>
        <v>0</v>
      </c>
      <c r="CY67" s="1356">
        <f>IF(LEFT('6.Inland wetlands'!$I80,8)=LEFT($CU$53,8),IF((OR(LEFT('6.Inland wetlands'!$K80,8)=LEFT($CY$50,8),LEFT('6.Inland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0</v>
      </c>
      <c r="CZ67" s="1361">
        <f>IF(LEFT('6.Inland wetlands'!$I80,8)=LEFT($CU$53,8),IF(LEFT('6.Inland wetlands'!$K80,8)=LEFT(CZ$50,8),'6.Inland wetlands'!$P80,0),0)</f>
        <v>0</v>
      </c>
      <c r="DA67" s="1356">
        <f>IF(LEFT('6.Inland wetlands'!$I80,8)=LEFT($CU$53,8),IF(LEFT('6.Inland wetlands'!$K80,8)=LEFT(DA$50,8),'6.Inland wetlands'!$P80,0),0)</f>
        <v>0</v>
      </c>
      <c r="DB67" s="973"/>
      <c r="DE67" s="973"/>
      <c r="DF67" s="1359"/>
      <c r="DG67" s="1360">
        <f>IF(LEFT('6.Inland wetlands'!$I80,8)=LEFT($DF$53,8),IF(LEFT('6.Inland wetlands'!$K80,8)=LEFT(DG$50,8),'6.Inland wetlands'!$P80,0),0)</f>
        <v>0</v>
      </c>
      <c r="DH67" s="1360">
        <f>IF(LEFT('6.Inland wetlands'!$I80,8)=LEFT($DF$53,8),IF(LEFT('6.Inland wetlands'!$K80,8)=LEFT(DH$50,8),'6.Inland wetlands'!$P80,0),0)</f>
        <v>0</v>
      </c>
      <c r="DI67" s="1360">
        <f>IF(LEFT('6.Inland wetlands'!$I80,8)=LEFT($DF$53,8),IF(LEFT('6.Inland wetlands'!$K80,8)=LEFT(DI$50,8),'6.Inland wetlands'!$P80,0),0)</f>
        <v>0</v>
      </c>
      <c r="DJ67" s="1356">
        <f>IF(LEFT('6.Inland wetlands'!$I80,8)=LEFT($DF$53,8),IF((OR(LEFT('6.Inland wetlands'!$K80,8)=LEFT($DJ50,8),LEFT('6.Inland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0</v>
      </c>
      <c r="DK67" s="1360">
        <f>IF(LEFT('6.Inland wetlands'!$I80,8)=LEFT($DF$53,8),IF(LEFT('6.Inland wetlands'!$K80,8)=LEFT(DK$50,8),'6.Inland wetlands'!$P80,0),0)</f>
        <v>0</v>
      </c>
      <c r="DL67" s="1356">
        <f>IF(LEFT('6.Inland wetlands'!$I80,8)=LEFT($DF$53,8),IF(LEFT('6.Inland wetlands'!$K80,8)=LEFT(DL$50,8),'6.Inland wetlands'!$P80,0),0)</f>
        <v>0</v>
      </c>
    </row>
    <row r="68" spans="3:118" ht="18" x14ac:dyDescent="0.2">
      <c r="D68" s="973"/>
      <c r="F68" s="1436" t="s">
        <v>199</v>
      </c>
      <c r="G68" s="1389"/>
      <c r="H68" s="1390" t="s">
        <v>1588</v>
      </c>
      <c r="I68" s="3135">
        <f>AG73</f>
        <v>0</v>
      </c>
      <c r="J68" s="3134">
        <f>BD73</f>
        <v>0</v>
      </c>
      <c r="K68" s="2842">
        <f>SUMIF('Inl. wetlands'!$C413:$C418,$K$65,'Inl. wetlands'!$J413:$J418)+MAX(SUM(I68:J68,L68:O68),SUM(I52:J52,L52:O52))-SUM(I68:J68,L68:O68)</f>
        <v>0</v>
      </c>
      <c r="L68" s="3134">
        <f>BG73</f>
        <v>0</v>
      </c>
      <c r="M68" s="3134">
        <f>BH73</f>
        <v>0</v>
      </c>
      <c r="N68" s="3134">
        <f>BF73</f>
        <v>0</v>
      </c>
      <c r="O68" s="3134">
        <f>BI73+BE73</f>
        <v>0</v>
      </c>
      <c r="P68" s="3134">
        <f t="shared" si="33"/>
        <v>0</v>
      </c>
      <c r="R68" s="973"/>
      <c r="S68" s="1168"/>
      <c r="T68" s="1414" t="s">
        <v>199</v>
      </c>
      <c r="U68" s="1420">
        <f>IF('6.Inland wetlands'!$I14 =U$66, 1,0)* '6.Inland wetlands'!$T14</f>
        <v>0</v>
      </c>
      <c r="V68" s="1421">
        <f>IF('6.Inland wetlands'!$I14 =V$66, 1,0)* '6.Inland wetlands'!$T14</f>
        <v>0</v>
      </c>
      <c r="W68" s="1421">
        <f>IF('6.Inland wetlands'!$I14 =W$66, 1,0)* '6.Inland wetlands'!$T14</f>
        <v>0</v>
      </c>
      <c r="X68" s="1421">
        <f>IF('6.Inland wetlands'!$I14 =X$66, 1,0)* '6.Inland wetlands'!$T14</f>
        <v>0</v>
      </c>
      <c r="Y68" s="1421">
        <f>IF('6.Inland wetlands'!$I14 =Y$66, 1,0)* '6.Inland wetlands'!$T14</f>
        <v>0</v>
      </c>
      <c r="Z68" s="1421">
        <f>IF('6.Inland wetlands'!$I14 =Z$66, 1,0)* '6.Inland wetlands'!$T14</f>
        <v>0</v>
      </c>
      <c r="AA68" s="1422">
        <f>IF('6.Inland wetlands'!$I14 =AA$66, 1,0)* '6.Inland wetlands'!$T14</f>
        <v>0</v>
      </c>
      <c r="AB68" s="973"/>
      <c r="AE68" s="1168"/>
      <c r="AF68" s="1414" t="s">
        <v>199</v>
      </c>
      <c r="AG68" s="1420">
        <f>IF(AG$66 = '6.Inland wetlands'!$I47, '6.Inland wetlands'!$P47, 0)</f>
        <v>0</v>
      </c>
      <c r="AH68" s="1421">
        <f>IF(AH$66 = '6.Inland wetlands'!$I47, '6.Inland wetlands'!$P47, 0)</f>
        <v>0</v>
      </c>
      <c r="AI68" s="1421">
        <f>IF(AI$66 = '6.Inland wetlands'!$I47, '6.Inland wetlands'!$P47, 0)</f>
        <v>0</v>
      </c>
      <c r="AJ68" s="1421">
        <f>IF(AJ$66 = '6.Inland wetlands'!$I47, '6.Inland wetlands'!$P47, 0)</f>
        <v>0</v>
      </c>
      <c r="AK68" s="1421">
        <f>IF(AK$66 = '6.Inland wetlands'!$I47, '6.Inland wetlands'!$P47, 0)</f>
        <v>0</v>
      </c>
      <c r="AL68" s="1421">
        <f>IF(AL$66 = '6.Inland wetlands'!$I47, '6.Inland wetlands'!$P47, 0)</f>
        <v>0</v>
      </c>
      <c r="AM68" s="1422">
        <f>IF(AM$66 = '6.Inland wetlands'!$I47, '6.Inland wetlands'!$P47, 0)</f>
        <v>0</v>
      </c>
      <c r="AN68" s="973"/>
      <c r="AQ68" s="973"/>
      <c r="AR68" s="1362" t="s">
        <v>199</v>
      </c>
      <c r="AS68" s="1354">
        <f>IF(LEFT('6.Inland wetlands'!$I81,8)=LEFT($AR$69,8),IF(LEFT('6.Inland wetlands'!$K81,8)=LEFT(AS$66,8), '6.Inland wetlands'!$P81,0),0)</f>
        <v>0</v>
      </c>
      <c r="AT68" s="1354">
        <f>IF(LEFT('6.Inland wetlands'!$I81,8)=LEFT($AR$69,8),IF(LEFT('6.Inland wetlands'!$K81,8)=LEFT(AT$66,8), '6.Inland wetlands'!$P81,0),0)</f>
        <v>0</v>
      </c>
      <c r="AU68" s="1354">
        <f>IF(LEFT('6.Inland wetlands'!$I81,8)=LEFT($AR$69,8),IF(LEFT('6.Inland wetlands'!$K81,8)=LEFT(AU$66,8), '6.Inland wetlands'!$P81,0),0)</f>
        <v>0</v>
      </c>
      <c r="AV68" s="1354">
        <f>IF(LEFT('6.Inland wetlands'!$I81,8)=LEFT($AR$69,8),IF(LEFT('6.Inland wetlands'!$K81,8)=LEFT(AV$66,8), '6.Inland wetlands'!$P81,0),0)</f>
        <v>0</v>
      </c>
      <c r="AW68" s="1354">
        <f>IF(LEFT('6.Inland wetlands'!$I81,8)=LEFT($AR$69,8),IF(LEFT('6.Inland wetlands'!$K81,8)=LEFT(AW$66,8), '6.Inland wetlands'!$P81,0),0)</f>
        <v>0</v>
      </c>
      <c r="AX68" s="1354">
        <f>IF(LEFT('6.Inland wetlands'!$I81,8)=LEFT($AR$69,8),IF((OR(LEFT('6.Inland wetlands'!$K81,8)=LEFT(AX$66,8),LEFT('6.Inland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0</v>
      </c>
      <c r="AZ68" s="1345" t="s">
        <v>1417</v>
      </c>
      <c r="BB68" s="973"/>
      <c r="BC68" s="1362" t="s">
        <v>199</v>
      </c>
      <c r="BD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wetlands'!$K81,8)=LEFT(Matrix!BD$66,8), '6.Inland wetlands'!$P81, 0),0)</f>
        <v>0</v>
      </c>
      <c r="BE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wetlands'!$K81,8)=LEFT(Matrix!BE$66,8), '6.Inland wetlands'!$P81, 0),0)</f>
        <v>0</v>
      </c>
      <c r="BF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wetlands'!$K81,8)=LEFT(Matrix!BF$66,8), '6.Inland wetlands'!$P81, 0),0)</f>
        <v>0</v>
      </c>
      <c r="BG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wetlands'!$K81,8)=LEFT(Matrix!BG$66,8), '6.Inland wetlands'!$P81, 0),0)</f>
        <v>0</v>
      </c>
      <c r="BH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wetlands'!$K81,8)=LEFT(Matrix!BH$66,8), '6.Inland wetlands'!$P81, 0),0)</f>
        <v>0</v>
      </c>
      <c r="BI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wetlands'!$K81,8)=LEFT(Matrix!BI$66,8), '6.Inland wetlands'!$P81, 0),0)</f>
        <v>0</v>
      </c>
      <c r="BJ68" s="973"/>
      <c r="BM68" s="973"/>
      <c r="BN68" s="1362" t="s">
        <v>199</v>
      </c>
      <c r="BO68" s="1354">
        <f>IF(LEFT('6.Inland wetlands'!$I81,8)=LEFT($BN$26,8),IF(LEFT('6.Inland wetlands'!$K81,8)=LEFT(BO$23,8),'6.Inland wetlands'!$P81,0),0)</f>
        <v>0</v>
      </c>
      <c r="BP68" s="1354">
        <f>IF(LEFT('6.Inland wetlands'!$I81,8)=LEFT($BN$26,8),IF(LEFT('6.Inland wetlands'!$K81,8)=LEFT(BP$23,8),'6.Inland wetlands'!$P81,0),0)</f>
        <v>0</v>
      </c>
      <c r="BQ68" s="1354">
        <f>IF(LEFT('6.Inland wetlands'!$I81,8)=LEFT($BN$26,8),IF(LEFT('6.Inland wetlands'!$K81,8)=LEFT(BQ$23,8),'6.Inland wetlands'!$P81,0),0)</f>
        <v>0</v>
      </c>
      <c r="BR68" s="1354">
        <f>IF(LEFT('6.Inland wetlands'!$I81,8)=LEFT($BN$69,8),IF((OR(LEFT('6.Inland wetlands'!$K81,8)=LEFT(BR$66,8),LEFT('6.Inland wetlands'!$K81,8)=LEFT($AZ$3,8), 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0</v>
      </c>
      <c r="BS68" s="1354">
        <f>IF(LEFT('6.Inland wetlands'!$I81,8)=LEFT($BN$26,8),IF(LEFT('6.Inland wetlands'!$K81,8)=LEFT(BS$23,8),'6.Inland wetlands'!$P81,0),0)</f>
        <v>0</v>
      </c>
      <c r="BT68" s="1354">
        <f>IF(LEFT('6.Inland wetlands'!$I81,8)=LEFT($BN$26,8),IF(LEFT('6.Inland wetlands'!$K81,8)=LEFT(BT$23,8),'6.Inland wetlands'!$P81,0),0)</f>
        <v>0</v>
      </c>
      <c r="BU68" s="973"/>
      <c r="BX68" s="973"/>
      <c r="BY68" s="1365" t="s">
        <v>199</v>
      </c>
      <c r="BZ68" s="1354">
        <f>IF(LEFT('6.Inland wetlands'!$I81,8)=LEFT($BY$26,8),IF(LEFT('6.Inland wetlands'!$K81,8)=LEFT(BZ$23,8),'6.Inland wetlands'!$P81,0),0)</f>
        <v>0</v>
      </c>
      <c r="CA68" s="1354">
        <f>IF(LEFT('6.Inland wetlands'!$I81,8)=LEFT($BY$26,8),IF(LEFT('6.Inland wetlands'!$K81,8)=LEFT(CA$23,8),'6.Inland wetlands'!$P81,0),0)</f>
        <v>0</v>
      </c>
      <c r="CB68" s="1354">
        <f>IF(LEFT('6.Inland wetlands'!$I81,8)=LEFT($BY$26,8),IF(LEFT('6.Inland wetlands'!$K81,8)=LEFT(CB$23,8),'6.Inland wetlands'!$P81,0),0)</f>
        <v>0</v>
      </c>
      <c r="CC68" s="1354">
        <f>IF(LEFT('6.Inland wetlands'!$I81,8)=LEFT($BY$26,8),IF((OR(LEFT('6.Inland wetlands'!$K81,8)=LEFT(CC$23,8),LEFT('6.Inland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0</v>
      </c>
      <c r="CD68" s="1354">
        <f>IF(LEFT('6.Inland wetlands'!$I81,8)=LEFT($BY$26,8),IF(LEFT('6.Inland wetlands'!$K81,8)=LEFT(CD$23,8),'6.Inland wetlands'!$P81,0),0)</f>
        <v>0</v>
      </c>
      <c r="CE68" s="1354">
        <f>IF(LEFT('6.Inland wetlands'!$I81,8)=LEFT($BY$26,8),IF(LEFT('6.Inland wetlands'!$K81,8)=LEFT(CE$23,8),'6.Inland wetlands'!$P81,0),0)</f>
        <v>0</v>
      </c>
      <c r="CF68" s="973"/>
      <c r="CI68" s="973"/>
      <c r="CJ68" s="1365" t="s">
        <v>199</v>
      </c>
      <c r="CK68" s="1355">
        <f>IF(LEFT('6.Inland wetlands'!$I81,8)=LEFT($CJ$8,8),IF(LEFT('6.Inland wetlands'!$K81,8)=LEFT(CK$5,8),'6.Inland wetlands'!$P81,0),0)</f>
        <v>0</v>
      </c>
      <c r="CL68" s="1355">
        <f>IF(LEFT('6.Inland wetlands'!$I81,8)=LEFT($CJ$8,8),IF(LEFT('6.Inland wetlands'!$K81,8)=LEFT(CL$5,8),'6.Inland wetlands'!$P81,0),0)</f>
        <v>0</v>
      </c>
      <c r="CM68" s="1355">
        <f>IF(LEFT('6.Inland wetlands'!$I81,8)=LEFT($CJ$8,8),IF(LEFT('6.Inland wetlands'!$K81,8)=LEFT(CM$5,8),'6.Inland wetlands'!$P81,0),0)</f>
        <v>0</v>
      </c>
      <c r="CN68" s="1354">
        <f>IF(LEFT('6.Inland wetlands'!$I81,8)=LEFT($CJ$8,8),IF((OR(LEFT('6.Inland wetlands'!$K81,8)=LEFT(CN$5,8),LEFT('6.Inland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0</v>
      </c>
      <c r="CO68" s="1355">
        <f>IF(LEFT('6.Inland wetlands'!$I81,8)=LEFT($CJ$8,8),IF(LEFT('6.Inland wetlands'!$K81,8)=LEFT(CO$5,8),'6.Inland wetlands'!$P81,0),0)</f>
        <v>0</v>
      </c>
      <c r="CP68" s="1354">
        <f>IF(LEFT('6.Inland wetlands'!$I81,8)=LEFT($CJ$8,8),IF(LEFT('6.Inland wetlands'!$K81,8)=LEFT(CP$5,8),'6.Inland wetlands'!$P81,0),0)</f>
        <v>0</v>
      </c>
      <c r="CQ68" s="973"/>
      <c r="CT68" s="973"/>
      <c r="CU68" s="1365" t="s">
        <v>199</v>
      </c>
      <c r="CV68" s="1355">
        <f>IF(LEFT('6.Inland wetlands'!$I81,8)=LEFT($CU$53,8),IF(LEFT('6.Inland wetlands'!$K81,8)=LEFT(CV$50,8),'6.Inland wetlands'!$P81,0),0)</f>
        <v>0</v>
      </c>
      <c r="CW68" s="1355">
        <f>IF(LEFT('6.Inland wetlands'!$I81,8)=LEFT($CU$53,8),IF(LEFT('6.Inland wetlands'!$K81,8)=LEFT(CW$50,8),'6.Inland wetlands'!$P81,0),0)</f>
        <v>0</v>
      </c>
      <c r="CX68" s="1355">
        <f>IF(LEFT('6.Inland wetlands'!$I81,8)=LEFT($CU$53,8),IF(LEFT('6.Inland wetlands'!$K81,8)=LEFT(CX$50,8),'6.Inland wetlands'!$P81,0),0)</f>
        <v>0</v>
      </c>
      <c r="CY68" s="1354">
        <f>IF(LEFT('6.Inland wetlands'!$I81,8)=LEFT($CU$53,8),IF((OR(LEFT('6.Inland wetlands'!$K81,8)=LEFT($CY$50,8),LEFT('6.Inland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0</v>
      </c>
      <c r="CZ68" s="1104">
        <f>IF(LEFT('6.Inland wetlands'!$I81,8)=LEFT($CU$53,8),IF(LEFT('6.Inland wetlands'!$K81,8)=LEFT(CZ$50,8),'6.Inland wetlands'!$P81,0),0)</f>
        <v>0</v>
      </c>
      <c r="DA68" s="1354">
        <f>IF(LEFT('6.Inland wetlands'!$I81,8)=LEFT($CU$53,8),IF(LEFT('6.Inland wetlands'!$K81,8)=LEFT(DA$50,8),'6.Inland wetlands'!$P81,0),0)</f>
        <v>0</v>
      </c>
      <c r="DB68" s="973"/>
      <c r="DE68" s="973"/>
      <c r="DF68" s="1365" t="s">
        <v>199</v>
      </c>
      <c r="DG68" s="1355">
        <f>IF(LEFT('6.Inland wetlands'!$I81,8)=LEFT($DF$53,8),IF(LEFT('6.Inland wetlands'!$K81,8)=LEFT(DG$50,8),'6.Inland wetlands'!$P81,0),0)</f>
        <v>0</v>
      </c>
      <c r="DH68" s="1355">
        <f>IF(LEFT('6.Inland wetlands'!$I81,8)=LEFT($DF$53,8),IF(LEFT('6.Inland wetlands'!$K81,8)=LEFT(DH$50,8),'6.Inland wetlands'!$P81,0),0)</f>
        <v>0</v>
      </c>
      <c r="DI68" s="1355">
        <f>IF(LEFT('6.Inland wetlands'!$I81,8)=LEFT($DF$53,8),IF(LEFT('6.Inland wetlands'!$K81,8)=LEFT(DI$50,8),'6.Inland wetlands'!$P81,0),0)</f>
        <v>0</v>
      </c>
      <c r="DJ68" s="1354">
        <f>IF(LEFT('6.Inland wetlands'!$I81,8)=LEFT($DF$53,8),IF((OR(LEFT('6.Inland wetlands'!$K81,8)=LEFT($DJ51,8),LEFT('6.Inland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0</v>
      </c>
      <c r="DK68" s="1355">
        <f>IF(LEFT('6.Inland wetlands'!$I81,8)=LEFT($DF$53,8),IF(LEFT('6.Inland wetlands'!$K81,8)=LEFT(DK$50,8),'6.Inland wetlands'!$P81,0),0)</f>
        <v>0</v>
      </c>
      <c r="DL68" s="1354">
        <f>IF(LEFT('6.Inland wetlands'!$I81,8)=LEFT($DF$53,8),IF(LEFT('6.Inland wetlands'!$K81,8)=LEFT(DL$50,8),'6.Inland wetlands'!$P81,0),0)</f>
        <v>0</v>
      </c>
    </row>
    <row r="69" spans="3:118" x14ac:dyDescent="0.15">
      <c r="D69" s="973"/>
      <c r="F69" s="1368"/>
      <c r="G69" s="1391"/>
      <c r="H69" s="1392" t="s">
        <v>1384</v>
      </c>
      <c r="I69" s="3135">
        <f>AK73</f>
        <v>0</v>
      </c>
      <c r="J69" s="3134">
        <f>BO73</f>
        <v>0</v>
      </c>
      <c r="K69" s="3134">
        <f>BR73</f>
        <v>0</v>
      </c>
      <c r="L69" s="2842">
        <f>SUMIF('Inl. wetlands'!$C413:$C418,$L$65,'Inl. wetlands'!$J413:$J418)+MAX(SUM(I69:K69,M69:O69),SUM(I53:K53,M53:O53))-SUM(I69:K69,M69:O69)</f>
        <v>0</v>
      </c>
      <c r="M69" s="3134">
        <f>BS73</f>
        <v>0</v>
      </c>
      <c r="N69" s="3134">
        <f>BQ73</f>
        <v>0</v>
      </c>
      <c r="O69" s="3134">
        <f>BT73+BP73</f>
        <v>0</v>
      </c>
      <c r="P69" s="3134">
        <f t="shared" si="33"/>
        <v>0</v>
      </c>
      <c r="R69" s="973"/>
      <c r="S69" s="1418"/>
      <c r="T69" s="1414" t="s">
        <v>3172</v>
      </c>
      <c r="U69" s="1420">
        <f>IF('6.Inland wetlands'!$I15 =U$66, 1,0)* '6.Inland wetlands'!$T15</f>
        <v>0</v>
      </c>
      <c r="V69" s="1421">
        <f>IF('6.Inland wetlands'!$I15 =V$66, 1,0)* '6.Inland wetlands'!$T15</f>
        <v>0</v>
      </c>
      <c r="W69" s="1421">
        <f>IF('6.Inland wetlands'!$I15 =W$66, 1,0)* '6.Inland wetlands'!$T15</f>
        <v>0</v>
      </c>
      <c r="X69" s="1421">
        <f>IF('6.Inland wetlands'!$I15 =X$66, 1,0)* '6.Inland wetlands'!$T15</f>
        <v>0</v>
      </c>
      <c r="Y69" s="1421">
        <f>IF('6.Inland wetlands'!$I15 =Y$66, 1,0)* '6.Inland wetlands'!$T15</f>
        <v>0</v>
      </c>
      <c r="Z69" s="1421">
        <f>IF('6.Inland wetlands'!$I15 =Z$66, 1,0)* '6.Inland wetlands'!$T15</f>
        <v>0</v>
      </c>
      <c r="AA69" s="1422">
        <f>IF('6.Inland wetlands'!$I15 =AA$66, 1,0)* '6.Inland wetlands'!$T15</f>
        <v>0</v>
      </c>
      <c r="AB69" s="973"/>
      <c r="AE69" s="1418"/>
      <c r="AF69" s="1414" t="s">
        <v>3172</v>
      </c>
      <c r="AG69" s="1420">
        <f>IF(AG$66 = '6.Inland wetlands'!$I48, '6.Inland wetlands'!$P48, 0)</f>
        <v>0</v>
      </c>
      <c r="AH69" s="1421">
        <f>IF(AH$66 = '6.Inland wetlands'!$I48, '6.Inland wetlands'!$P48, 0)</f>
        <v>0</v>
      </c>
      <c r="AI69" s="1421">
        <f>IF(AI$66 = '6.Inland wetlands'!$I48, '6.Inland wetlands'!$P48, 0)</f>
        <v>0</v>
      </c>
      <c r="AJ69" s="1421">
        <f>IF(AJ$66 = '6.Inland wetlands'!$I48, '6.Inland wetlands'!$P48, 0)</f>
        <v>0</v>
      </c>
      <c r="AK69" s="1421">
        <f>IF(AK$66 = '6.Inland wetlands'!$I48, '6.Inland wetlands'!$P48, 0)</f>
        <v>0</v>
      </c>
      <c r="AL69" s="1421">
        <f>IF(AL$66 = '6.Inland wetlands'!$I48, '6.Inland wetlands'!$P48, 0)</f>
        <v>0</v>
      </c>
      <c r="AM69" s="1422">
        <f>IF(AM$66 = '6.Inland wetlands'!$I48, '6.Inland wetlands'!$P48, 0)</f>
        <v>0</v>
      </c>
      <c r="AN69" s="973"/>
      <c r="AQ69" s="973"/>
      <c r="AR69" s="1354" t="s">
        <v>1382</v>
      </c>
      <c r="AS69" s="1354">
        <f>IF(LEFT('6.Inland wetlands'!$I82,8)=LEFT($AR$69,8),IF(LEFT('6.Inland wetlands'!$K82,8)=LEFT(AS$66,8), '6.Inland wetlands'!$P82,0),0)</f>
        <v>0</v>
      </c>
      <c r="AT69" s="1354">
        <f>IF(LEFT('6.Inland wetlands'!$I82,8)=LEFT($AR$69,8),IF(LEFT('6.Inland wetlands'!$K82,8)=LEFT(AT$66,8), '6.Inland wetlands'!$P82,0),0)</f>
        <v>0</v>
      </c>
      <c r="AU69" s="1354">
        <f>IF(LEFT('6.Inland wetlands'!$I82,8)=LEFT($AR$69,8),IF(LEFT('6.Inland wetlands'!$K82,8)=LEFT(AU$66,8), '6.Inland wetlands'!$P82,0),0)</f>
        <v>0</v>
      </c>
      <c r="AV69" s="1354">
        <f>IF(LEFT('6.Inland wetlands'!$I82,8)=LEFT($AR$69,8),IF(LEFT('6.Inland wetlands'!$K82,8)=LEFT(AV$66,8), '6.Inland wetlands'!$P82,0),0)</f>
        <v>0</v>
      </c>
      <c r="AW69" s="1354">
        <f>IF(LEFT('6.Inland wetlands'!$I82,8)=LEFT($AR$69,8),IF(LEFT('6.Inland wetlands'!$K82,8)=LEFT(AW$66,8), '6.Inland wetlands'!$P82,0),0)</f>
        <v>0</v>
      </c>
      <c r="AX69" s="1354">
        <f>IF(LEFT('6.Inland wetlands'!$I82,8)=LEFT($AR$69,8),IF((OR(LEFT('6.Inland wetlands'!$K82,8)=LEFT(AX$66,8),LEFT('6.Inland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0</v>
      </c>
      <c r="AZ69" s="1345" t="s">
        <v>1505</v>
      </c>
      <c r="BB69" s="973"/>
      <c r="BC69" s="1354" t="s">
        <v>1588</v>
      </c>
      <c r="BD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wetlands'!$K82,8)=LEFT(Matrix!BD$66,8), '6.Inland wetlands'!$P82, 0),0)</f>
        <v>0</v>
      </c>
      <c r="BE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wetlands'!$K82,8)=LEFT(Matrix!BE$66,8), '6.Inland wetlands'!$P82, 0),0)</f>
        <v>0</v>
      </c>
      <c r="BF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wetlands'!$K82,8)=LEFT(Matrix!BF$66,8), '6.Inland wetlands'!$P82, 0),0)</f>
        <v>0</v>
      </c>
      <c r="BG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wetlands'!$K82,8)=LEFT(Matrix!BG$66,8), '6.Inland wetlands'!$P82, 0),0)</f>
        <v>0</v>
      </c>
      <c r="BH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wetlands'!$K82,8)=LEFT(Matrix!BH$66,8), '6.Inland wetlands'!$P82, 0),0)</f>
        <v>0</v>
      </c>
      <c r="BI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wetlands'!$K82,8)=LEFT(Matrix!BI$66,8), '6.Inland wetlands'!$P82, 0),0)</f>
        <v>0</v>
      </c>
      <c r="BJ69" s="973"/>
      <c r="BM69" s="973"/>
      <c r="BN69" s="1354" t="s">
        <v>1384</v>
      </c>
      <c r="BO69" s="1354">
        <f>IF(LEFT('6.Inland wetlands'!$I82,8)=LEFT($BN$26,8),IF(LEFT('6.Inland wetlands'!$K82,8)=LEFT(BO$23,8),'6.Inland wetlands'!$P82,0),0)</f>
        <v>0</v>
      </c>
      <c r="BP69" s="1354">
        <f>IF(LEFT('6.Inland wetlands'!$I82,8)=LEFT($BN$26,8),IF(LEFT('6.Inland wetlands'!$K82,8)=LEFT(BP$23,8),'6.Inland wetlands'!$P82,0),0)</f>
        <v>0</v>
      </c>
      <c r="BQ69" s="1354">
        <f>IF(LEFT('6.Inland wetlands'!$I82,8)=LEFT($BN$26,8),IF(LEFT('6.Inland wetlands'!$K82,8)=LEFT(BQ$23,8),'6.Inland wetlands'!$P82,0),0)</f>
        <v>0</v>
      </c>
      <c r="BR69" s="1354">
        <f>IF(LEFT('6.Inland wetlands'!$I82,8)=LEFT($BN$69,8),IF((OR(LEFT('6.Inland wetlands'!$K82,8)=LEFT(BR$66,8),LEFT('6.Inland wetlands'!$K82,8)=LEFT($AZ$3,8), 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0</v>
      </c>
      <c r="BS69" s="1354">
        <f>IF(LEFT('6.Inland wetlands'!$I82,8)=LEFT($BN$26,8),IF(LEFT('6.Inland wetlands'!$K82,8)=LEFT(BS$23,8),'6.Inland wetlands'!$P82,0),0)</f>
        <v>0</v>
      </c>
      <c r="BT69" s="1354">
        <f>IF(LEFT('6.Inland wetlands'!$I82,8)=LEFT($BN$26,8),IF(LEFT('6.Inland wetlands'!$K82,8)=LEFT(BT$23,8),'6.Inland wetlands'!$P82,0),0)</f>
        <v>0</v>
      </c>
      <c r="BU69" s="973"/>
      <c r="BX69" s="973"/>
      <c r="BY69" s="1355" t="s">
        <v>1590</v>
      </c>
      <c r="BZ69" s="1354">
        <f>IF(LEFT('6.Inland wetlands'!$I82,8)=LEFT($BY$26,8),IF(LEFT('6.Inland wetlands'!$K82,8)=LEFT(BZ$23,8),'6.Inland wetlands'!$P82,0),0)</f>
        <v>0</v>
      </c>
      <c r="CA69" s="1354">
        <f>IF(LEFT('6.Inland wetlands'!$I82,8)=LEFT($BY$26,8),IF(LEFT('6.Inland wetlands'!$K82,8)=LEFT(CA$23,8),'6.Inland wetlands'!$P82,0),0)</f>
        <v>0</v>
      </c>
      <c r="CB69" s="1354">
        <f>IF(LEFT('6.Inland wetlands'!$I82,8)=LEFT($BY$26,8),IF(LEFT('6.Inland wetlands'!$K82,8)=LEFT(CB$23,8),'6.Inland wetlands'!$P82,0),0)</f>
        <v>0</v>
      </c>
      <c r="CC69" s="1354">
        <f>IF(LEFT('6.Inland wetlands'!$I82,8)=LEFT($BY$26,8),IF((OR(LEFT('6.Inland wetlands'!$K82,8)=LEFT(CC$23,8),LEFT('6.Inland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0</v>
      </c>
      <c r="CD69" s="1354">
        <f>IF(LEFT('6.Inland wetlands'!$I82,8)=LEFT($BY$26,8),IF(LEFT('6.Inland wetlands'!$K82,8)=LEFT(CD$23,8),'6.Inland wetlands'!$P82,0),0)</f>
        <v>0</v>
      </c>
      <c r="CE69" s="1354">
        <f>IF(LEFT('6.Inland wetlands'!$I82,8)=LEFT($BY$26,8),IF(LEFT('6.Inland wetlands'!$K82,8)=LEFT(CE$23,8),'6.Inland wetlands'!$P82,0),0)</f>
        <v>0</v>
      </c>
      <c r="CF69" s="973"/>
      <c r="CI69" s="973"/>
      <c r="CJ69" s="1355" t="s">
        <v>1396</v>
      </c>
      <c r="CK69" s="1355">
        <f>IF(LEFT('6.Inland wetlands'!$I82,8)=LEFT($CJ$8,8),IF(LEFT('6.Inland wetlands'!$K82,8)=LEFT(CK$5,8),'6.Inland wetlands'!$P82,0),0)</f>
        <v>0</v>
      </c>
      <c r="CL69" s="1355">
        <f>IF(LEFT('6.Inland wetlands'!$I82,8)=LEFT($CJ$8,8),IF(LEFT('6.Inland wetlands'!$K82,8)=LEFT(CL$5,8),'6.Inland wetlands'!$P82,0),0)</f>
        <v>0</v>
      </c>
      <c r="CM69" s="1355">
        <f>IF(LEFT('6.Inland wetlands'!$I82,8)=LEFT($CJ$8,8),IF(LEFT('6.Inland wetlands'!$K82,8)=LEFT(CM$5,8),'6.Inland wetlands'!$P82,0),0)</f>
        <v>0</v>
      </c>
      <c r="CN69" s="1354">
        <f>IF(LEFT('6.Inland wetlands'!$I82,8)=LEFT($CJ$8,8),IF((OR(LEFT('6.Inland wetlands'!$K82,8)=LEFT(CN$5,8),LEFT('6.Inland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0</v>
      </c>
      <c r="CO69" s="1355">
        <f>IF(LEFT('6.Inland wetlands'!$I82,8)=LEFT($CJ$8,8),IF(LEFT('6.Inland wetlands'!$K82,8)=LEFT(CO$5,8),'6.Inland wetlands'!$P82,0),0)</f>
        <v>0</v>
      </c>
      <c r="CP69" s="1354">
        <f>IF(LEFT('6.Inland wetlands'!$I82,8)=LEFT($CJ$8,8),IF(LEFT('6.Inland wetlands'!$K82,8)=LEFT(CP$5,8),'6.Inland wetlands'!$P82,0),0)</f>
        <v>0</v>
      </c>
      <c r="CQ69" s="973"/>
      <c r="CT69" s="973"/>
      <c r="CU69" s="1355" t="s">
        <v>1592</v>
      </c>
      <c r="CV69" s="1355">
        <f>IF(LEFT('6.Inland wetlands'!$I82,8)=LEFT($CU$53,8),IF(LEFT('6.Inland wetlands'!$K82,8)=LEFT(CV$50,8),'6.Inland wetlands'!$P82,0),0)</f>
        <v>0</v>
      </c>
      <c r="CW69" s="1355">
        <f>IF(LEFT('6.Inland wetlands'!$I82,8)=LEFT($CU$53,8),IF(LEFT('6.Inland wetlands'!$K82,8)=LEFT(CW$50,8),'6.Inland wetlands'!$P82,0),0)</f>
        <v>0</v>
      </c>
      <c r="CX69" s="1355">
        <f>IF(LEFT('6.Inland wetlands'!$I82,8)=LEFT($CU$53,8),IF(LEFT('6.Inland wetlands'!$K82,8)=LEFT(CX$50,8),'6.Inland wetlands'!$P82,0),0)</f>
        <v>0</v>
      </c>
      <c r="CY69" s="1354">
        <f>IF(LEFT('6.Inland wetlands'!$I82,8)=LEFT($CU$53,8),IF((OR(LEFT('6.Inland wetlands'!$K82,8)=LEFT($CY$50,8),LEFT('6.Inland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0</v>
      </c>
      <c r="CZ69" s="1104">
        <f>IF(LEFT('6.Inland wetlands'!$I82,8)=LEFT($CU$53,8),IF(LEFT('6.Inland wetlands'!$K82,8)=LEFT(CZ$50,8),'6.Inland wetlands'!$P82,0),0)</f>
        <v>0</v>
      </c>
      <c r="DA69" s="1354">
        <f>IF(LEFT('6.Inland wetlands'!$I82,8)=LEFT($CU$53,8),IF(LEFT('6.Inland wetlands'!$K82,8)=LEFT(DA$50,8),'6.Inland wetlands'!$P82,0),0)</f>
        <v>0</v>
      </c>
      <c r="DB69" s="973"/>
      <c r="DE69" s="973"/>
      <c r="DF69" s="1355" t="s">
        <v>1401</v>
      </c>
      <c r="DG69" s="1355">
        <f>IF(LEFT('6.Inland wetlands'!$I82,8)=LEFT($DF$53,8),IF(LEFT('6.Inland wetlands'!$K82,8)=LEFT(DG$50,8),'6.Inland wetlands'!$P82,0),0)</f>
        <v>0</v>
      </c>
      <c r="DH69" s="1355">
        <f>IF(LEFT('6.Inland wetlands'!$I82,8)=LEFT($DF$53,8),IF(LEFT('6.Inland wetlands'!$K82,8)=LEFT(DH$50,8),'6.Inland wetlands'!$P82,0),0)</f>
        <v>0</v>
      </c>
      <c r="DI69" s="1355">
        <f>IF(LEFT('6.Inland wetlands'!$I82,8)=LEFT($DF$53,8),IF(LEFT('6.Inland wetlands'!$K82,8)=LEFT(DI$50,8),'6.Inland wetlands'!$P82,0),0)</f>
        <v>0</v>
      </c>
      <c r="DJ69" s="1354">
        <f>IF(LEFT('6.Inland wetlands'!$I82,8)=LEFT($DF$53,8),IF((OR(LEFT('6.Inland wetlands'!$K82,8)=LEFT($DJ52,8),LEFT('6.Inland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0</v>
      </c>
      <c r="DK69" s="1355">
        <f>IF(LEFT('6.Inland wetlands'!$I82,8)=LEFT($DF$53,8),IF(LEFT('6.Inland wetlands'!$K82,8)=LEFT(DK$50,8),'6.Inland wetlands'!$P82,0),0)</f>
        <v>0</v>
      </c>
      <c r="DL69" s="1354">
        <f>IF(LEFT('6.Inland wetlands'!$I82,8)=LEFT($DF$53,8),IF(LEFT('6.Inland wetlands'!$K82,8)=LEFT(DL$50,8),'6.Inland wetlands'!$P82,0),0)</f>
        <v>0</v>
      </c>
    </row>
    <row r="70" spans="3:118" x14ac:dyDescent="0.15">
      <c r="D70" s="973"/>
      <c r="F70" s="1368"/>
      <c r="G70" s="1352" t="s">
        <v>1396</v>
      </c>
      <c r="H70" s="1386" t="s">
        <v>1396</v>
      </c>
      <c r="I70" s="3135">
        <f>AL73</f>
        <v>0</v>
      </c>
      <c r="J70" s="3136">
        <f>CK73</f>
        <v>0</v>
      </c>
      <c r="K70" s="3136">
        <f>CN73</f>
        <v>0</v>
      </c>
      <c r="L70" s="3136">
        <f>CL73</f>
        <v>0</v>
      </c>
      <c r="M70" s="2842">
        <f>SUMIF('Inl. wetlands'!$C413:$C418,$M$65,'Inl. wetlands'!$J413:$J418)+MAX(SUM(I70:L70,N70:O70), SUM(I54:L54,N54:O54))-SUM(I70:L70,N70:O70)+Coastal!$AB$15+Coastal!$AB$74</f>
        <v>0</v>
      </c>
      <c r="N70" s="3136">
        <f>CM73</f>
        <v>0</v>
      </c>
      <c r="O70" s="3136">
        <f>CP73+CO73</f>
        <v>0</v>
      </c>
      <c r="P70" s="3134">
        <f t="shared" si="33"/>
        <v>0</v>
      </c>
      <c r="R70" s="973"/>
      <c r="S70" s="1168"/>
      <c r="T70" s="1414"/>
      <c r="U70" s="1420">
        <f>IF('6.Inland wetlands'!$I16 =U$66, 1,0)* '6.Inland wetlands'!$T16</f>
        <v>0</v>
      </c>
      <c r="V70" s="1421">
        <f>IF('6.Inland wetlands'!$I16 =V$66, 1,0)* '6.Inland wetlands'!$T16</f>
        <v>0</v>
      </c>
      <c r="W70" s="1421">
        <f>IF('6.Inland wetlands'!$I16 =W$66, 1,0)* '6.Inland wetlands'!$T16</f>
        <v>0</v>
      </c>
      <c r="X70" s="1421">
        <f>IF('6.Inland wetlands'!$I16 =X$66, 1,0)* '6.Inland wetlands'!$T16</f>
        <v>0</v>
      </c>
      <c r="Y70" s="1421">
        <f>IF('6.Inland wetlands'!$I16 =Y$66, 1,0)* '6.Inland wetlands'!$T16</f>
        <v>0</v>
      </c>
      <c r="Z70" s="1421">
        <f>IF('6.Inland wetlands'!$I16 =Z$66, 1,0)* '6.Inland wetlands'!$T16</f>
        <v>0</v>
      </c>
      <c r="AA70" s="1422">
        <f>IF('6.Inland wetlands'!$I16 =AA$66, 1,0)* '6.Inland wetlands'!$T16</f>
        <v>0</v>
      </c>
      <c r="AB70" s="973"/>
      <c r="AE70" s="1418"/>
      <c r="AF70" s="1414"/>
      <c r="AG70" s="1420">
        <f>IF(AG$66 = '6.Inland wetlands'!$I49, '6.Inland wetlands'!$P49, 0)</f>
        <v>0</v>
      </c>
      <c r="AH70" s="1421">
        <f>IF(AH$66 = '6.Inland wetlands'!$I49, '6.Inland wetlands'!$P49, 0)</f>
        <v>0</v>
      </c>
      <c r="AI70" s="1421">
        <f>IF(AI$66 = '6.Inland wetlands'!$I49, '6.Inland wetlands'!$P49, 0)</f>
        <v>0</v>
      </c>
      <c r="AJ70" s="1421">
        <f>IF(AJ$66 = '6.Inland wetlands'!$I49, '6.Inland wetlands'!$P49, 0)</f>
        <v>0</v>
      </c>
      <c r="AK70" s="1421">
        <f>IF(AK$66 = '6.Inland wetlands'!$I49, '6.Inland wetlands'!$P49, 0)</f>
        <v>0</v>
      </c>
      <c r="AL70" s="1421">
        <f>IF(AL$66 = '6.Inland wetlands'!$I49, '6.Inland wetlands'!$P49, 0)</f>
        <v>0</v>
      </c>
      <c r="AM70" s="1422">
        <f>IF(AM$66 = '6.Inland wetlands'!$I49, '6.Inland wetlands'!$P49, 0)</f>
        <v>0</v>
      </c>
      <c r="AN70" s="973"/>
      <c r="AQ70" s="973"/>
      <c r="AR70" s="1354" t="s">
        <v>3173</v>
      </c>
      <c r="AS70" s="1354">
        <f>IF(LEFT('6.Inland wetlands'!$I83,8)=LEFT($AR$69,8),IF(LEFT('6.Inland wetlands'!$K83,8)=LEFT(AS$66,8), '6.Inland wetlands'!$P83,0),0)</f>
        <v>0</v>
      </c>
      <c r="AT70" s="1354">
        <f>IF(LEFT('6.Inland wetlands'!$I83,8)=LEFT($AR$69,8),IF(LEFT('6.Inland wetlands'!$K83,8)=LEFT(AT$66,8), '6.Inland wetlands'!$P83,0),0)</f>
        <v>0</v>
      </c>
      <c r="AU70" s="1354">
        <f>IF(LEFT('6.Inland wetlands'!$I83,8)=LEFT($AR$69,8),IF(LEFT('6.Inland wetlands'!$K83,8)=LEFT(AU$66,8), '6.Inland wetlands'!$P83,0),0)</f>
        <v>0</v>
      </c>
      <c r="AV70" s="1354">
        <f>IF(LEFT('6.Inland wetlands'!$I83,8)=LEFT($AR$69,8),IF(LEFT('6.Inland wetlands'!$K83,8)=LEFT(AV$66,8), '6.Inland wetlands'!$P83,0),0)</f>
        <v>0</v>
      </c>
      <c r="AW70" s="1354">
        <f>IF(LEFT('6.Inland wetlands'!$I83,8)=LEFT($AR$69,8),IF(LEFT('6.Inland wetlands'!$K83,8)=LEFT(AW$66,8), '6.Inland wetlands'!$P83,0),0)</f>
        <v>0</v>
      </c>
      <c r="AX70" s="1354">
        <f>IF(LEFT('6.Inland wetlands'!$I83,8)=LEFT($AR$69,8),IF((OR(LEFT('6.Inland wetlands'!$K83,8)=LEFT(AX$66,8),LEFT('6.Inland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0</v>
      </c>
      <c r="AZ70" s="1345" t="s">
        <v>1508</v>
      </c>
      <c r="BB70" s="973"/>
      <c r="BC70" s="1354" t="s">
        <v>3173</v>
      </c>
      <c r="BD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wetlands'!$K83,8)=LEFT(Matrix!BD$66,8), '6.Inland wetlands'!$P83, 0),0)</f>
        <v>0</v>
      </c>
      <c r="BE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wetlands'!$K83,8)=LEFT(Matrix!BE$66,8), '6.Inland wetlands'!$P83, 0),0)</f>
        <v>0</v>
      </c>
      <c r="BF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wetlands'!$K83,8)=LEFT(Matrix!BF$66,8), '6.Inland wetlands'!$P83, 0),0)</f>
        <v>0</v>
      </c>
      <c r="BG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wetlands'!$K83,8)=LEFT(Matrix!BG$66,8), '6.Inland wetlands'!$P83, 0),0)</f>
        <v>0</v>
      </c>
      <c r="BH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wetlands'!$K83,8)=LEFT(Matrix!BH$66,8), '6.Inland wetlands'!$P83, 0),0)</f>
        <v>0</v>
      </c>
      <c r="BI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wetlands'!$K83,8)=LEFT(Matrix!BI$66,8), '6.Inland wetlands'!$P83, 0),0)</f>
        <v>0</v>
      </c>
      <c r="BJ70" s="973"/>
      <c r="BM70" s="973"/>
      <c r="BN70" s="1354" t="s">
        <v>3173</v>
      </c>
      <c r="BO70" s="1354">
        <f>IF(LEFT('6.Inland wetlands'!$I83,8)=LEFT($BN$26,8),IF(LEFT('6.Inland wetlands'!$K83,8)=LEFT(BO$23,8),'6.Inland wetlands'!$P83,0),0)</f>
        <v>0</v>
      </c>
      <c r="BP70" s="1354">
        <f>IF(LEFT('6.Inland wetlands'!$I83,8)=LEFT($BN$26,8),IF(LEFT('6.Inland wetlands'!$K83,8)=LEFT(BP$23,8),'6.Inland wetlands'!$P83,0),0)</f>
        <v>0</v>
      </c>
      <c r="BQ70" s="1354">
        <f>IF(LEFT('6.Inland wetlands'!$I83,8)=LEFT($BN$26,8),IF(LEFT('6.Inland wetlands'!$K83,8)=LEFT(BQ$23,8),'6.Inland wetlands'!$P83,0),0)</f>
        <v>0</v>
      </c>
      <c r="BR70" s="1354">
        <f>IF(LEFT('6.Inland wetlands'!$I83,8)=LEFT($BN$69,8),IF((OR(LEFT('6.Inland wetlands'!$K83,8)=LEFT(BR$66,8),LEFT('6.Inland wetlands'!$K83,8)=LEFT($AZ$3,8), 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0</v>
      </c>
      <c r="BS70" s="1354">
        <f>IF(LEFT('6.Inland wetlands'!$I83,8)=LEFT($BN$26,8),IF(LEFT('6.Inland wetlands'!$K83,8)=LEFT(BS$23,8),'6.Inland wetlands'!$P83,0),0)</f>
        <v>0</v>
      </c>
      <c r="BT70" s="1354">
        <f>IF(LEFT('6.Inland wetlands'!$I83,8)=LEFT($BN$26,8),IF(LEFT('6.Inland wetlands'!$K83,8)=LEFT(BT$23,8),'6.Inland wetlands'!$P83,0),0)</f>
        <v>0</v>
      </c>
      <c r="BU70" s="973"/>
      <c r="BX70" s="973"/>
      <c r="BY70" s="1355" t="s">
        <v>3173</v>
      </c>
      <c r="BZ70" s="1354">
        <f>IF(LEFT('6.Inland wetlands'!$I83,8)=LEFT($BY$26,8),IF(LEFT('6.Inland wetlands'!$K83,8)=LEFT(BZ$23,8),'6.Inland wetlands'!$P83,0),0)</f>
        <v>0</v>
      </c>
      <c r="CA70" s="1354">
        <f>IF(LEFT('6.Inland wetlands'!$I83,8)=LEFT($BY$26,8),IF(LEFT('6.Inland wetlands'!$K83,8)=LEFT(CA$23,8),'6.Inland wetlands'!$P83,0),0)</f>
        <v>0</v>
      </c>
      <c r="CB70" s="1354">
        <f>IF(LEFT('6.Inland wetlands'!$I83,8)=LEFT($BY$26,8),IF(LEFT('6.Inland wetlands'!$K83,8)=LEFT(CB$23,8),'6.Inland wetlands'!$P83,0),0)</f>
        <v>0</v>
      </c>
      <c r="CC70" s="1354">
        <f>IF(LEFT('6.Inland wetlands'!$I83,8)=LEFT($BY$26,8),IF((OR(LEFT('6.Inland wetlands'!$K83,8)=LEFT(CC$23,8),LEFT('6.Inland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0</v>
      </c>
      <c r="CD70" s="1354">
        <f>IF(LEFT('6.Inland wetlands'!$I83,8)=LEFT($BY$26,8),IF(LEFT('6.Inland wetlands'!$K83,8)=LEFT(CD$23,8),'6.Inland wetlands'!$P83,0),0)</f>
        <v>0</v>
      </c>
      <c r="CE70" s="1354">
        <f>IF(LEFT('6.Inland wetlands'!$I83,8)=LEFT($BY$26,8),IF(LEFT('6.Inland wetlands'!$K83,8)=LEFT(CE$23,8),'6.Inland wetlands'!$P83,0),0)</f>
        <v>0</v>
      </c>
      <c r="CF70" s="973"/>
      <c r="CI70" s="973"/>
      <c r="CJ70" s="1355" t="s">
        <v>3173</v>
      </c>
      <c r="CK70" s="1355">
        <f>IF(LEFT('6.Inland wetlands'!$I83,8)=LEFT($CJ$8,8),IF(LEFT('6.Inland wetlands'!$K83,8)=LEFT(CK$5,8),'6.Inland wetlands'!$P83,0),0)</f>
        <v>0</v>
      </c>
      <c r="CL70" s="1355">
        <f>IF(LEFT('6.Inland wetlands'!$I83,8)=LEFT($CJ$8,8),IF(LEFT('6.Inland wetlands'!$K83,8)=LEFT(CL$5,8),'6.Inland wetlands'!$P83,0),0)</f>
        <v>0</v>
      </c>
      <c r="CM70" s="1355">
        <f>IF(LEFT('6.Inland wetlands'!$I83,8)=LEFT($CJ$8,8),IF(LEFT('6.Inland wetlands'!$K83,8)=LEFT(CM$5,8),'6.Inland wetlands'!$P83,0),0)</f>
        <v>0</v>
      </c>
      <c r="CN70" s="1354">
        <f>IF(LEFT('6.Inland wetlands'!$I83,8)=LEFT($CJ$8,8),IF((OR(LEFT('6.Inland wetlands'!$K83,8)=LEFT(CN$5,8),LEFT('6.Inland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0</v>
      </c>
      <c r="CO70" s="1355">
        <f>IF(LEFT('6.Inland wetlands'!$I83,8)=LEFT($CJ$8,8),IF(LEFT('6.Inland wetlands'!$K83,8)=LEFT(CO$5,8),'6.Inland wetlands'!$P83,0),0)</f>
        <v>0</v>
      </c>
      <c r="CP70" s="1354">
        <f>IF(LEFT('6.Inland wetlands'!$I83,8)=LEFT($CJ$8,8),IF(LEFT('6.Inland wetlands'!$K83,8)=LEFT(CP$5,8),'6.Inland wetlands'!$P83,0),0)</f>
        <v>0</v>
      </c>
      <c r="CQ70" s="973"/>
      <c r="CT70" s="973"/>
      <c r="CU70" s="1355" t="s">
        <v>3173</v>
      </c>
      <c r="CV70" s="1355">
        <f>IF(LEFT('6.Inland wetlands'!$I83,8)=LEFT($CU$53,8),IF(LEFT('6.Inland wetlands'!$K83,8)=LEFT(CV$50,8),'6.Inland wetlands'!$P83,0),0)</f>
        <v>0</v>
      </c>
      <c r="CW70" s="1355">
        <f>IF(LEFT('6.Inland wetlands'!$I83,8)=LEFT($CU$53,8),IF(LEFT('6.Inland wetlands'!$K83,8)=LEFT(CW$50,8),'6.Inland wetlands'!$P83,0),0)</f>
        <v>0</v>
      </c>
      <c r="CX70" s="1355">
        <f>IF(LEFT('6.Inland wetlands'!$I83,8)=LEFT($CU$53,8),IF(LEFT('6.Inland wetlands'!$K83,8)=LEFT(CX$50,8),'6.Inland wetlands'!$P83,0),0)</f>
        <v>0</v>
      </c>
      <c r="CY70" s="1354">
        <f>IF(LEFT('6.Inland wetlands'!$I83,8)=LEFT($CU$53,8),IF((OR(LEFT('6.Inland wetlands'!$K83,8)=LEFT($CY$50,8),LEFT('6.Inland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0</v>
      </c>
      <c r="CZ70" s="1104">
        <f>IF(LEFT('6.Inland wetlands'!$I83,8)=LEFT($CU$53,8),IF(LEFT('6.Inland wetlands'!$K83,8)=LEFT(CZ$50,8),'6.Inland wetlands'!$P83,0),0)</f>
        <v>0</v>
      </c>
      <c r="DA70" s="1354">
        <f>IF(LEFT('6.Inland wetlands'!$I83,8)=LEFT($CU$53,8),IF(LEFT('6.Inland wetlands'!$K83,8)=LEFT(DA$50,8),'6.Inland wetlands'!$P83,0),0)</f>
        <v>0</v>
      </c>
      <c r="DB70" s="973"/>
      <c r="DE70" s="973"/>
      <c r="DF70" s="1355" t="s">
        <v>3173</v>
      </c>
      <c r="DG70" s="1355">
        <f>IF(LEFT('6.Inland wetlands'!$I83,8)=LEFT($DF$53,8),IF(LEFT('6.Inland wetlands'!$K83,8)=LEFT(DG$50,8),'6.Inland wetlands'!$P83,0),0)</f>
        <v>0</v>
      </c>
      <c r="DH70" s="1355">
        <f>IF(LEFT('6.Inland wetlands'!$I83,8)=LEFT($DF$53,8),IF(LEFT('6.Inland wetlands'!$K83,8)=LEFT(DH$50,8),'6.Inland wetlands'!$P83,0),0)</f>
        <v>0</v>
      </c>
      <c r="DI70" s="1355">
        <f>IF(LEFT('6.Inland wetlands'!$I83,8)=LEFT($DF$53,8),IF(LEFT('6.Inland wetlands'!$K83,8)=LEFT(DI$50,8),'6.Inland wetlands'!$P83,0),0)</f>
        <v>0</v>
      </c>
      <c r="DJ70" s="1354">
        <f>IF(LEFT('6.Inland wetlands'!$I83,8)=LEFT($DF$53,8),IF((OR(LEFT('6.Inland wetlands'!$K83,8)=LEFT($DJ53,8),LEFT('6.Inland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0</v>
      </c>
      <c r="DK70" s="1355">
        <f>IF(LEFT('6.Inland wetlands'!$I83,8)=LEFT($DF$53,8),IF(LEFT('6.Inland wetlands'!$K83,8)=LEFT(DK$50,8),'6.Inland wetlands'!$P83,0),0)</f>
        <v>0</v>
      </c>
      <c r="DL70" s="1354">
        <f>IF(LEFT('6.Inland wetlands'!$I83,8)=LEFT($DF$53,8),IF(LEFT('6.Inland wetlands'!$K83,8)=LEFT(DL$50,8),'6.Inland wetlands'!$P83,0),0)</f>
        <v>0</v>
      </c>
    </row>
    <row r="71" spans="3:118" x14ac:dyDescent="0.15">
      <c r="D71" s="973"/>
      <c r="F71" s="1368"/>
      <c r="G71" s="1388" t="s">
        <v>2074</v>
      </c>
      <c r="H71" s="1327" t="s">
        <v>2954</v>
      </c>
      <c r="I71" s="3135">
        <f>AJ73</f>
        <v>0</v>
      </c>
      <c r="J71" s="3134">
        <f>CV73</f>
        <v>0</v>
      </c>
      <c r="K71" s="3134">
        <f>CY73</f>
        <v>0</v>
      </c>
      <c r="L71" s="3134">
        <f>CW73</f>
        <v>0</v>
      </c>
      <c r="M71" s="3134">
        <f>CX73</f>
        <v>0</v>
      </c>
      <c r="N71" s="2842">
        <f>SUMIF('Inl. wetlands'!$C413:$C418,$N$65,'Inl. wetlands'!$J413:$J418)+(MAX(SUM(I55:M55,O55),SUM(I71:M71,O71))-SUM(I71:M71,O71))+MAX(SUM('6.Inland wetlands'!$M$176:$M$179),SUM('6.Inland wetlands'!$N$176:$N$179),SUM('6.Inland wetlands'!$P$176:$P$179))</f>
        <v>500</v>
      </c>
      <c r="O71" s="3134">
        <f>DA73+CZ73</f>
        <v>0</v>
      </c>
      <c r="P71" s="3134">
        <f t="shared" si="33"/>
        <v>500</v>
      </c>
      <c r="R71" s="973"/>
      <c r="S71" s="1168"/>
      <c r="T71" s="1414"/>
      <c r="U71" s="1420">
        <f>IF('6.Inland wetlands'!$I17 =U$66, 1,0)* '6.Inland wetlands'!$T17</f>
        <v>0</v>
      </c>
      <c r="V71" s="1421">
        <f>IF('6.Inland wetlands'!$I17 =V$66, 1,0)* '6.Inland wetlands'!$T17</f>
        <v>0</v>
      </c>
      <c r="W71" s="1421">
        <f>IF('6.Inland wetlands'!$I17 =W$66, 1,0)* '6.Inland wetlands'!$T17</f>
        <v>0</v>
      </c>
      <c r="X71" s="1421">
        <f>IF('6.Inland wetlands'!$I17 =X$66, 1,0)* '6.Inland wetlands'!$T17</f>
        <v>0</v>
      </c>
      <c r="Y71" s="1421">
        <f>IF('6.Inland wetlands'!$I17 =Y$66, 1,0)* '6.Inland wetlands'!$T17</f>
        <v>0</v>
      </c>
      <c r="Z71" s="1421">
        <f>IF('6.Inland wetlands'!$I17 =Z$66, 1,0)* '6.Inland wetlands'!$T17</f>
        <v>0</v>
      </c>
      <c r="AA71" s="1422">
        <f>IF('6.Inland wetlands'!$I17 =AA$66, 1,0)* '6.Inland wetlands'!$T17</f>
        <v>0</v>
      </c>
      <c r="AB71" s="973"/>
      <c r="AE71" s="1418"/>
      <c r="AF71" s="1414"/>
      <c r="AG71" s="1420">
        <f>IF(AG$66 = '6.Inland wetlands'!$I50, '6.Inland wetlands'!$P50, 0)</f>
        <v>0</v>
      </c>
      <c r="AH71" s="1421">
        <f>IF(AH$66 = '6.Inland wetlands'!$I50, '6.Inland wetlands'!$P50, 0)</f>
        <v>0</v>
      </c>
      <c r="AI71" s="1421">
        <f>IF(AI$66 = '6.Inland wetlands'!$I50, '6.Inland wetlands'!$P50, 0)</f>
        <v>0</v>
      </c>
      <c r="AJ71" s="1421">
        <f>IF(AJ$66 = '6.Inland wetlands'!$I50, '6.Inland wetlands'!$P50, 0)</f>
        <v>0</v>
      </c>
      <c r="AK71" s="1421">
        <f>IF(AK$66 = '6.Inland wetlands'!$I50, '6.Inland wetlands'!$P50, 0)</f>
        <v>0</v>
      </c>
      <c r="AL71" s="1421">
        <f>IF(AL$66 = '6.Inland wetlands'!$I50, '6.Inland wetlands'!$P50, 0)</f>
        <v>0</v>
      </c>
      <c r="AM71" s="1422">
        <f>IF(AM$66 = '6.Inland wetlands'!$I50, '6.Inland wetlands'!$P50, 0)</f>
        <v>0</v>
      </c>
      <c r="AN71" s="973"/>
      <c r="AQ71" s="973"/>
      <c r="AR71" s="1354"/>
      <c r="AS71" s="1354">
        <f>IF(LEFT('6.Inland wetlands'!$I84,8)=LEFT($AR$69,8),IF(LEFT('6.Inland wetlands'!$K84,8)=LEFT(AS$66,8), '6.Inland wetlands'!$P84,0),0)</f>
        <v>0</v>
      </c>
      <c r="AT71" s="1354">
        <f>IF(LEFT('6.Inland wetlands'!$I84,8)=LEFT($AR$69,8),IF(LEFT('6.Inland wetlands'!$K84,8)=LEFT(AT$66,8), '6.Inland wetlands'!$P84,0),0)</f>
        <v>0</v>
      </c>
      <c r="AU71" s="1354">
        <f>IF(LEFT('6.Inland wetlands'!$I84,8)=LEFT($AR$69,8),IF(LEFT('6.Inland wetlands'!$K84,8)=LEFT(AU$66,8), '6.Inland wetlands'!$P84,0),0)</f>
        <v>0</v>
      </c>
      <c r="AV71" s="1354">
        <f>IF(LEFT('6.Inland wetlands'!$I84,8)=LEFT($AR$69,8),IF(LEFT('6.Inland wetlands'!$K84,8)=LEFT(AV$66,8), '6.Inland wetlands'!$P84,0),0)</f>
        <v>0</v>
      </c>
      <c r="AW71" s="1354">
        <f>IF(LEFT('6.Inland wetlands'!$I84,8)=LEFT($AR$69,8),IF(LEFT('6.Inland wetlands'!$K84,8)=LEFT(AW$66,8), '6.Inland wetlands'!$P84,0),0)</f>
        <v>0</v>
      </c>
      <c r="AX71" s="1354">
        <f>IF(LEFT('6.Inland wetlands'!$I84,8)=LEFT($AR$69,8),IF((OR(LEFT('6.Inland wetlands'!$K84,8)=LEFT(AX$66,8),LEFT('6.Inland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0</v>
      </c>
      <c r="AZ71" s="1345" t="s">
        <v>1421</v>
      </c>
      <c r="BB71" s="973"/>
      <c r="BC71" s="1354"/>
      <c r="BD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wetlands'!$K84,8)=LEFT(Matrix!BD$66,8), '6.Inland wetlands'!$P84, 0),0)</f>
        <v>0</v>
      </c>
      <c r="BE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wetlands'!$K84,8)=LEFT(Matrix!BE$66,8), '6.Inland wetlands'!$P84, 0),0)</f>
        <v>0</v>
      </c>
      <c r="BF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wetlands'!$K84,8)=LEFT(Matrix!BF$66,8), '6.Inland wetlands'!$P84, 0),0)</f>
        <v>0</v>
      </c>
      <c r="BG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wetlands'!$K84,8)=LEFT(Matrix!BG$66,8), '6.Inland wetlands'!$P84, 0),0)</f>
        <v>0</v>
      </c>
      <c r="BH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wetlands'!$K84,8)=LEFT(Matrix!BH$66,8), '6.Inland wetlands'!$P84, 0),0)</f>
        <v>0</v>
      </c>
      <c r="BI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wetlands'!$K84,8)=LEFT(Matrix!BI$66,8), '6.Inland wetlands'!$P84, 0),0)</f>
        <v>0</v>
      </c>
      <c r="BJ71" s="973"/>
      <c r="BM71" s="973"/>
      <c r="BN71" s="1354"/>
      <c r="BO71" s="1354">
        <f>IF(LEFT('6.Inland wetlands'!$I84,8)=LEFT($BN$26,8),IF(LEFT('6.Inland wetlands'!$K84,8)=LEFT(BO$23,8),'6.Inland wetlands'!$P84,0),0)</f>
        <v>0</v>
      </c>
      <c r="BP71" s="1354">
        <f>IF(LEFT('6.Inland wetlands'!$I84,8)=LEFT($BN$26,8),IF(LEFT('6.Inland wetlands'!$K84,8)=LEFT(BP$23,8),'6.Inland wetlands'!$P84,0),0)</f>
        <v>0</v>
      </c>
      <c r="BQ71" s="1354">
        <f>IF(LEFT('6.Inland wetlands'!$I84,8)=LEFT($BN$26,8),IF(LEFT('6.Inland wetlands'!$K84,8)=LEFT(BQ$23,8),'6.Inland wetlands'!$P84,0),0)</f>
        <v>0</v>
      </c>
      <c r="BR71" s="1354">
        <f>IF(LEFT('6.Inland wetlands'!$I84,8)=LEFT($BN$69,8),IF((OR(LEFT('6.Inland wetlands'!$K84,8)=LEFT(BR$66,8),LEFT('6.Inland wetlands'!$K84,8)=LEFT($AZ$3,8), 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0</v>
      </c>
      <c r="BS71" s="1354">
        <f>IF(LEFT('6.Inland wetlands'!$I84,8)=LEFT($BN$26,8),IF(LEFT('6.Inland wetlands'!$K84,8)=LEFT(BS$23,8),'6.Inland wetlands'!$P84,0),0)</f>
        <v>0</v>
      </c>
      <c r="BT71" s="1354">
        <f>IF(LEFT('6.Inland wetlands'!$I84,8)=LEFT($BN$26,8),IF(LEFT('6.Inland wetlands'!$K84,8)=LEFT(BT$23,8),'6.Inland wetlands'!$P84,0),0)</f>
        <v>0</v>
      </c>
      <c r="BU71" s="973"/>
      <c r="BX71" s="973"/>
      <c r="BY71" s="1355"/>
      <c r="BZ71" s="1354">
        <f>IF(LEFT('6.Inland wetlands'!$I84,8)=LEFT($BY$26,8),IF(LEFT('6.Inland wetlands'!$K84,8)=LEFT(BZ$23,8),'6.Inland wetlands'!$P84,0),0)</f>
        <v>0</v>
      </c>
      <c r="CA71" s="1354">
        <f>IF(LEFT('6.Inland wetlands'!$I84,8)=LEFT($BY$26,8),IF(LEFT('6.Inland wetlands'!$K84,8)=LEFT(CA$23,8),'6.Inland wetlands'!$P84,0),0)</f>
        <v>0</v>
      </c>
      <c r="CB71" s="1354">
        <f>IF(LEFT('6.Inland wetlands'!$I84,8)=LEFT($BY$26,8),IF(LEFT('6.Inland wetlands'!$K84,8)=LEFT(CB$23,8),'6.Inland wetlands'!$P84,0),0)</f>
        <v>0</v>
      </c>
      <c r="CC71" s="1354">
        <f>IF(LEFT('6.Inland wetlands'!$I84,8)=LEFT($BY$26,8),IF((OR(LEFT('6.Inland wetlands'!$K84,8)=LEFT(CC$23,8),LEFT('6.Inland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0</v>
      </c>
      <c r="CD71" s="1354">
        <f>IF(LEFT('6.Inland wetlands'!$I84,8)=LEFT($BY$26,8),IF(LEFT('6.Inland wetlands'!$K84,8)=LEFT(CD$23,8),'6.Inland wetlands'!$P84,0),0)</f>
        <v>0</v>
      </c>
      <c r="CE71" s="1354">
        <f>IF(LEFT('6.Inland wetlands'!$I84,8)=LEFT($BY$26,8),IF(LEFT('6.Inland wetlands'!$K84,8)=LEFT(CE$23,8),'6.Inland wetlands'!$P84,0),0)</f>
        <v>0</v>
      </c>
      <c r="CF71" s="973"/>
      <c r="CI71" s="973"/>
      <c r="CJ71" s="1355"/>
      <c r="CK71" s="1355">
        <f>IF(LEFT('6.Inland wetlands'!$I84,8)=LEFT($CJ$8,8),IF(LEFT('6.Inland wetlands'!$K84,8)=LEFT(CK$5,8),'6.Inland wetlands'!$P84,0),0)</f>
        <v>0</v>
      </c>
      <c r="CL71" s="1355">
        <f>IF(LEFT('6.Inland wetlands'!$I84,8)=LEFT($CJ$8,8),IF(LEFT('6.Inland wetlands'!$K84,8)=LEFT(CL$5,8),'6.Inland wetlands'!$P84,0),0)</f>
        <v>0</v>
      </c>
      <c r="CM71" s="1355">
        <f>IF(LEFT('6.Inland wetlands'!$I84,8)=LEFT($CJ$8,8),IF(LEFT('6.Inland wetlands'!$K84,8)=LEFT(CM$5,8),'6.Inland wetlands'!$P84,0),0)</f>
        <v>0</v>
      </c>
      <c r="CN71" s="1354">
        <f>IF(LEFT('6.Inland wetlands'!$I84,8)=LEFT($CJ$8,8),IF((OR(LEFT('6.Inland wetlands'!$K84,8)=LEFT(CN$5,8),LEFT('6.Inland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0</v>
      </c>
      <c r="CO71" s="1355">
        <f>IF(LEFT('6.Inland wetlands'!$I84,8)=LEFT($CJ$8,8),IF(LEFT('6.Inland wetlands'!$K84,8)=LEFT(CO$5,8),'6.Inland wetlands'!$P84,0),0)</f>
        <v>0</v>
      </c>
      <c r="CP71" s="1354">
        <f>IF(LEFT('6.Inland wetlands'!$I84,8)=LEFT($CJ$8,8),IF(LEFT('6.Inland wetlands'!$K84,8)=LEFT(CP$5,8),'6.Inland wetlands'!$P84,0),0)</f>
        <v>0</v>
      </c>
      <c r="CQ71" s="973"/>
      <c r="CT71" s="973"/>
      <c r="CU71" s="1355"/>
      <c r="CV71" s="1355">
        <f>IF(LEFT('6.Inland wetlands'!$I84,8)=LEFT($CU$53,8),IF(LEFT('6.Inland wetlands'!$K84,8)=LEFT(CV$50,8),'6.Inland wetlands'!$P84,0),0)</f>
        <v>0</v>
      </c>
      <c r="CW71" s="1355">
        <f>IF(LEFT('6.Inland wetlands'!$I84,8)=LEFT($CU$53,8),IF(LEFT('6.Inland wetlands'!$K84,8)=LEFT(CW$50,8),'6.Inland wetlands'!$P84,0),0)</f>
        <v>0</v>
      </c>
      <c r="CX71" s="1355">
        <f>IF(LEFT('6.Inland wetlands'!$I84,8)=LEFT($CU$53,8),IF(LEFT('6.Inland wetlands'!$K84,8)=LEFT(CX$50,8),'6.Inland wetlands'!$P84,0),0)</f>
        <v>0</v>
      </c>
      <c r="CY71" s="1354">
        <f>IF(LEFT('6.Inland wetlands'!$I84,8)=LEFT($CU$53,8),IF((OR(LEFT('6.Inland wetlands'!$K84,8)=LEFT($CY$50,8),LEFT('6.Inland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0</v>
      </c>
      <c r="CZ71" s="1104">
        <f>IF(LEFT('6.Inland wetlands'!$I84,8)=LEFT($CU$53,8),IF(LEFT('6.Inland wetlands'!$K84,8)=LEFT(CZ$50,8),'6.Inland wetlands'!$P84,0),0)</f>
        <v>0</v>
      </c>
      <c r="DA71" s="1354">
        <f>IF(LEFT('6.Inland wetlands'!$I84,8)=LEFT($CU$53,8),IF(LEFT('6.Inland wetlands'!$K84,8)=LEFT(DA$50,8),'6.Inland wetlands'!$P84,0),0)</f>
        <v>0</v>
      </c>
      <c r="DB71" s="973"/>
      <c r="DE71" s="973"/>
      <c r="DF71" s="1355"/>
      <c r="DG71" s="1355">
        <f>IF(LEFT('6.Inland wetlands'!$I84,8)=LEFT($DF$53,8),IF(LEFT('6.Inland wetlands'!$K84,8)=LEFT(DG$50,8),'6.Inland wetlands'!$P84,0),0)</f>
        <v>0</v>
      </c>
      <c r="DH71" s="1355">
        <f>IF(LEFT('6.Inland wetlands'!$I84,8)=LEFT($DF$53,8),IF(LEFT('6.Inland wetlands'!$K84,8)=LEFT(DH$50,8),'6.Inland wetlands'!$P84,0),0)</f>
        <v>0</v>
      </c>
      <c r="DI71" s="1355">
        <f>IF(LEFT('6.Inland wetlands'!$I84,8)=LEFT($DF$53,8),IF(LEFT('6.Inland wetlands'!$K84,8)=LEFT(DI$50,8),'6.Inland wetlands'!$P84,0),0)</f>
        <v>0</v>
      </c>
      <c r="DJ71" s="1354">
        <f>IF(LEFT('6.Inland wetlands'!$I84,8)=LEFT($DF$53,8),IF((OR(LEFT('6.Inland wetlands'!$K84,8)=LEFT($DJ54,8),LEFT('6.Inland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0</v>
      </c>
      <c r="DK71" s="1355">
        <f>IF(LEFT('6.Inland wetlands'!$I84,8)=LEFT($DF$53,8),IF(LEFT('6.Inland wetlands'!$K84,8)=LEFT(DK$50,8),'6.Inland wetlands'!$P84,0),0)</f>
        <v>0</v>
      </c>
      <c r="DL71" s="1354">
        <f>IF(LEFT('6.Inland wetlands'!$I84,8)=LEFT($DF$53,8),IF(LEFT('6.Inland wetlands'!$K84,8)=LEFT(DL$50,8),'6.Inland wetlands'!$P84,0),0)</f>
        <v>0</v>
      </c>
    </row>
    <row r="72" spans="3:118" x14ac:dyDescent="0.15">
      <c r="D72" s="973"/>
      <c r="F72" s="1368"/>
      <c r="G72" s="1370"/>
      <c r="H72" s="1392" t="s">
        <v>1401</v>
      </c>
      <c r="I72" s="3135">
        <f>AM73+AI73</f>
        <v>0</v>
      </c>
      <c r="J72" s="3134">
        <f>DG73+BZ73</f>
        <v>0</v>
      </c>
      <c r="K72" s="3134">
        <f>DJ73+CC73</f>
        <v>0</v>
      </c>
      <c r="L72" s="3134">
        <f>DH73+CA73</f>
        <v>0</v>
      </c>
      <c r="M72" s="3134">
        <f>DI73+CD73</f>
        <v>0</v>
      </c>
      <c r="N72" s="3134">
        <f>DL73+CB73</f>
        <v>0</v>
      </c>
      <c r="O72" s="2842">
        <f>SUMIF('Inl. wetlands'!$C413:$C418,$O$65,'Inl. wetlands'!$J413:$J418)+(MAX(SUM(I56:N56),SUM(I72:N72))-SUM(I72:N72))+MAX(CE57+DK57,CE73+DK73)</f>
        <v>0</v>
      </c>
      <c r="P72" s="3134">
        <f t="shared" si="33"/>
        <v>0</v>
      </c>
      <c r="R72" s="973"/>
      <c r="S72" s="1168"/>
      <c r="T72" s="1414"/>
      <c r="U72" s="1424">
        <f>IF('6.Inland wetlands'!$I18 =U$66, 1,0)* '6.Inland wetlands'!$T18</f>
        <v>0</v>
      </c>
      <c r="V72" s="1425">
        <f>IF('6.Inland wetlands'!$I18 =V$66, 1,0)* '6.Inland wetlands'!$T18</f>
        <v>0</v>
      </c>
      <c r="W72" s="1425">
        <f>IF('6.Inland wetlands'!$I18 =W$66, 1,0)* '6.Inland wetlands'!$T18</f>
        <v>0</v>
      </c>
      <c r="X72" s="1425">
        <f>IF('6.Inland wetlands'!$I18 =X$66, 1,0)* '6.Inland wetlands'!$T18</f>
        <v>0</v>
      </c>
      <c r="Y72" s="1425">
        <f>IF('6.Inland wetlands'!$I18 =Y$66, 1,0)* '6.Inland wetlands'!$T18</f>
        <v>0</v>
      </c>
      <c r="Z72" s="1425">
        <f>IF('6.Inland wetlands'!$I18 =Z$66, 1,0)* '6.Inland wetlands'!$T18</f>
        <v>0</v>
      </c>
      <c r="AA72" s="1426">
        <f>IF('6.Inland wetlands'!$I18 =AA$66, 1,0)* '6.Inland wetlands'!$T18</f>
        <v>0</v>
      </c>
      <c r="AB72" s="973"/>
      <c r="AE72" s="1168"/>
      <c r="AF72" s="1414"/>
      <c r="AG72" s="1424">
        <f>IF(AG$66 = '6.Inland wetlands'!$I51, '6.Inland wetlands'!$P51, 0)</f>
        <v>0</v>
      </c>
      <c r="AH72" s="1425">
        <f>IF(AH$66 = '6.Inland wetlands'!$I51, '6.Inland wetlands'!$P51, 0)</f>
        <v>0</v>
      </c>
      <c r="AI72" s="1425">
        <f>IF(AI$66 = '6.Inland wetlands'!$I51, '6.Inland wetlands'!$P51, 0)</f>
        <v>0</v>
      </c>
      <c r="AJ72" s="1425">
        <f>IF(AJ$66 = '6.Inland wetlands'!$I51, '6.Inland wetlands'!$P51, 0)</f>
        <v>0</v>
      </c>
      <c r="AK72" s="1425">
        <f>IF(AK$66 = '6.Inland wetlands'!$I51, '6.Inland wetlands'!$P51, 0)</f>
        <v>0</v>
      </c>
      <c r="AL72" s="1425">
        <f>IF(AL$66 = '6.Inland wetlands'!$I51, '6.Inland wetlands'!$P51, 0)</f>
        <v>0</v>
      </c>
      <c r="AM72" s="1426">
        <f>IF(AM$66 = '6.Inland wetlands'!$I51, '6.Inland wetlands'!$P51, 0)</f>
        <v>0</v>
      </c>
      <c r="AN72" s="973"/>
      <c r="AQ72" s="973"/>
      <c r="AR72" s="1354"/>
      <c r="AS72" s="1376">
        <f>IF(LEFT('6.Inland wetlands'!$I85,8)=LEFT($AR$69,8),IF(LEFT('6.Inland wetlands'!$K85,8)=LEFT(AS$66,8), '6.Inland wetlands'!$P85,0),0)</f>
        <v>0</v>
      </c>
      <c r="AT72" s="1376">
        <f>IF(LEFT('6.Inland wetlands'!$I85,8)=LEFT($AR$69,8),IF(LEFT('6.Inland wetlands'!$K85,8)=LEFT(AT$66,8), '6.Inland wetlands'!$P85,0),0)</f>
        <v>0</v>
      </c>
      <c r="AU72" s="1376">
        <f>IF(LEFT('6.Inland wetlands'!$I85,8)=LEFT($AR$69,8),IF(LEFT('6.Inland wetlands'!$K85,8)=LEFT(AU$66,8), '6.Inland wetlands'!$P85,0),0)</f>
        <v>0</v>
      </c>
      <c r="AV72" s="1376">
        <f>IF(LEFT('6.Inland wetlands'!$I85,8)=LEFT($AR$69,8),IF(LEFT('6.Inland wetlands'!$K85,8)=LEFT(AV$66,8), '6.Inland wetlands'!$P85,0),0)</f>
        <v>0</v>
      </c>
      <c r="AW72" s="1376">
        <f>IF(LEFT('6.Inland wetlands'!$I85,8)=LEFT($AR$69,8),IF(LEFT('6.Inland wetlands'!$K85,8)=LEFT(AW$66,8), '6.Inland wetlands'!$P85,0),0)</f>
        <v>0</v>
      </c>
      <c r="AX72" s="1376">
        <f>IF(LEFT('6.Inland wetlands'!$I85,8)=LEFT($AR$69,8),IF((OR(LEFT('6.Inland wetlands'!$K85,8)=LEFT(AX$66,8),LEFT('6.Inland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0</v>
      </c>
      <c r="AZ72" s="1345" t="s">
        <v>1501</v>
      </c>
      <c r="BB72" s="973"/>
      <c r="BC72" s="1354"/>
      <c r="BD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wetlands'!$K85,8)=LEFT(Matrix!BD$66,8), '6.Inland wetlands'!$P85, 0),0)</f>
        <v>0</v>
      </c>
      <c r="BE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wetlands'!$K85,8)=LEFT(Matrix!BE$66,8), '6.Inland wetlands'!$P85, 0),0)</f>
        <v>0</v>
      </c>
      <c r="BF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wetlands'!$K85,8)=LEFT(Matrix!BF$66,8), '6.Inland wetlands'!$P85, 0),0)</f>
        <v>0</v>
      </c>
      <c r="BG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wetlands'!$K85,8)=LEFT(Matrix!BG$66,8), '6.Inland wetlands'!$P85, 0),0)</f>
        <v>0</v>
      </c>
      <c r="BH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wetlands'!$K85,8)=LEFT(Matrix!BH$66,8), '6.Inland wetlands'!$P85, 0),0)</f>
        <v>0</v>
      </c>
      <c r="BI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wetlands'!$K85,8)=LEFT(Matrix!BI$66,8), '6.Inland wetlands'!$P85, 0),0)</f>
        <v>0</v>
      </c>
      <c r="BJ72" s="973"/>
      <c r="BM72" s="973"/>
      <c r="BN72" s="1354"/>
      <c r="BO72" s="1376">
        <f>IF(LEFT('6.Inland wetlands'!$I85,8)=LEFT($BN$26,8),IF(LEFT('6.Inland wetlands'!$K85,8)=LEFT(BO$23,8),'6.Inland wetlands'!$P85,0),0)</f>
        <v>0</v>
      </c>
      <c r="BP72" s="1376">
        <f>IF(LEFT('6.Inland wetlands'!$I85,8)=LEFT($BN$26,8),IF(LEFT('6.Inland wetlands'!$K85,8)=LEFT(BP$23,8),'6.Inland wetlands'!$P85,0),0)</f>
        <v>0</v>
      </c>
      <c r="BQ72" s="1376">
        <f>IF(LEFT('6.Inland wetlands'!$I85,8)=LEFT($BN$26,8),IF(LEFT('6.Inland wetlands'!$K85,8)=LEFT(BQ$23,8),'6.Inland wetlands'!$P85,0),0)</f>
        <v>0</v>
      </c>
      <c r="BR72" s="1376">
        <f>IF(LEFT('6.Inland wetlands'!$I85,8)=LEFT($BN$69,8),IF((OR(LEFT('6.Inland wetlands'!$K85,8)=LEFT(BR$66,8),LEFT('6.Inland wetlands'!$K85,8)=LEFT($AZ$3,8), 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0</v>
      </c>
      <c r="BS72" s="1376">
        <f>IF(LEFT('6.Inland wetlands'!$I85,8)=LEFT($BN$26,8),IF(LEFT('6.Inland wetlands'!$K85,8)=LEFT(BS$23,8),'6.Inland wetlands'!$P85,0),0)</f>
        <v>0</v>
      </c>
      <c r="BT72" s="1376">
        <f>IF(LEFT('6.Inland wetlands'!$I85,8)=LEFT($BN$26,8),IF(LEFT('6.Inland wetlands'!$K85,8)=LEFT(BT$23,8),'6.Inland wetlands'!$P85,0),0)</f>
        <v>0</v>
      </c>
      <c r="BU72" s="973"/>
      <c r="BX72" s="973"/>
      <c r="BY72" s="1355"/>
      <c r="BZ72" s="1376">
        <f>IF(LEFT('6.Inland wetlands'!$I85,8)=LEFT($BY$26,8),IF(LEFT('6.Inland wetlands'!$K85,8)=LEFT(BZ$23,8),'6.Inland wetlands'!$P85,0),0)</f>
        <v>0</v>
      </c>
      <c r="CA72" s="1376">
        <f>IF(LEFT('6.Inland wetlands'!$I85,8)=LEFT($BY$26,8),IF(LEFT('6.Inland wetlands'!$K85,8)=LEFT(CA$23,8),'6.Inland wetlands'!$P85,0),0)</f>
        <v>0</v>
      </c>
      <c r="CB72" s="1376">
        <f>IF(LEFT('6.Inland wetlands'!$I85,8)=LEFT($BY$26,8),IF(LEFT('6.Inland wetlands'!$K85,8)=LEFT(CB$23,8),'6.Inland wetlands'!$P85,0),0)</f>
        <v>0</v>
      </c>
      <c r="CC72" s="1376">
        <f>IF(LEFT('6.Inland wetlands'!$I85,8)=LEFT($BY$26,8),IF((OR(LEFT('6.Inland wetlands'!$K85,8)=LEFT(CC$23,8),LEFT('6.Inland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0</v>
      </c>
      <c r="CD72" s="1376">
        <f>IF(LEFT('6.Inland wetlands'!$I85,8)=LEFT($BY$26,8),IF(LEFT('6.Inland wetlands'!$K85,8)=LEFT(CD$23,8),'6.Inland wetlands'!$P85,0),0)</f>
        <v>0</v>
      </c>
      <c r="CE72" s="1376">
        <f>IF(LEFT('6.Inland wetlands'!$I85,8)=LEFT($BY$26,8),IF(LEFT('6.Inland wetlands'!$K85,8)=LEFT(CE$23,8),'6.Inland wetlands'!$P85,0),0)</f>
        <v>0</v>
      </c>
      <c r="CF72" s="973"/>
      <c r="CI72" s="973"/>
      <c r="CJ72" s="1355"/>
      <c r="CK72" s="1377">
        <f>IF(LEFT('6.Inland wetlands'!$I85,8)=LEFT($CJ$8,8),IF(LEFT('6.Inland wetlands'!$K85,8)=LEFT(CK$5,8),'6.Inland wetlands'!$P85,0),0)</f>
        <v>0</v>
      </c>
      <c r="CL72" s="1377">
        <f>IF(LEFT('6.Inland wetlands'!$I85,8)=LEFT($CJ$8,8),IF(LEFT('6.Inland wetlands'!$K85,8)=LEFT(CL$5,8),'6.Inland wetlands'!$P85,0),0)</f>
        <v>0</v>
      </c>
      <c r="CM72" s="1377">
        <f>IF(LEFT('6.Inland wetlands'!$I85,8)=LEFT($CJ$8,8),IF(LEFT('6.Inland wetlands'!$K85,8)=LEFT(CM$5,8),'6.Inland wetlands'!$P85,0),0)</f>
        <v>0</v>
      </c>
      <c r="CN72" s="1376">
        <f>IF(LEFT('6.Inland wetlands'!$I85,8)=LEFT($CJ$8,8),IF((OR(LEFT('6.Inland wetlands'!$K85,8)=LEFT(CN$5,8),LEFT('6.Inland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0</v>
      </c>
      <c r="CO72" s="1377">
        <f>IF(LEFT('6.Inland wetlands'!$I85,8)=LEFT($CJ$8,8),IF(LEFT('6.Inland wetlands'!$K85,8)=LEFT(CO$5,8),'6.Inland wetlands'!$P85,0),0)</f>
        <v>0</v>
      </c>
      <c r="CP72" s="1376">
        <f>IF(LEFT('6.Inland wetlands'!$I85,8)=LEFT($CJ$8,8),IF(LEFT('6.Inland wetlands'!$K85,8)=LEFT(CP$5,8),'6.Inland wetlands'!$P85,0),0)</f>
        <v>0</v>
      </c>
      <c r="CQ72" s="973"/>
      <c r="CT72" s="973"/>
      <c r="CU72" s="1355"/>
      <c r="CV72" s="1377">
        <f>IF(LEFT('6.Inland wetlands'!$I85,8)=LEFT($CU$53,8),IF(LEFT('6.Inland wetlands'!$K85,8)=LEFT(CV$50,8),'6.Inland wetlands'!$P85,0),0)</f>
        <v>0</v>
      </c>
      <c r="CW72" s="1377">
        <f>IF(LEFT('6.Inland wetlands'!$I85,8)=LEFT($CU$53,8),IF(LEFT('6.Inland wetlands'!$K85,8)=LEFT(CW$50,8),'6.Inland wetlands'!$P85,0),0)</f>
        <v>0</v>
      </c>
      <c r="CX72" s="1377">
        <f>IF(LEFT('6.Inland wetlands'!$I85,8)=LEFT($CU$53,8),IF(LEFT('6.Inland wetlands'!$K85,8)=LEFT(CX$50,8),'6.Inland wetlands'!$P85,0),0)</f>
        <v>0</v>
      </c>
      <c r="CY72" s="1376">
        <f>IF(LEFT('6.Inland wetlands'!$I85,8)=LEFT($CU$53,8),IF((OR(LEFT('6.Inland wetlands'!$K85,8)=LEFT($CY$50,8),LEFT('6.Inland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0</v>
      </c>
      <c r="CZ72" s="1378">
        <f>IF(LEFT('6.Inland wetlands'!$I85,8)=LEFT($CU$53,8),IF(LEFT('6.Inland wetlands'!$K85,8)=LEFT(CZ$50,8),'6.Inland wetlands'!$P85,0),0)</f>
        <v>0</v>
      </c>
      <c r="DA72" s="1376">
        <f>IF(LEFT('6.Inland wetlands'!$I85,8)=LEFT($CU$53,8),IF(LEFT('6.Inland wetlands'!$K85,8)=LEFT(DA$50,8),'6.Inland wetlands'!$P85,0),0)</f>
        <v>0</v>
      </c>
      <c r="DB72" s="973"/>
      <c r="DE72" s="973"/>
      <c r="DF72" s="1355"/>
      <c r="DG72" s="1377">
        <f>IF(LEFT('6.Inland wetlands'!$I85,8)=LEFT($DF$53,8),IF(LEFT('6.Inland wetlands'!$K85,8)=LEFT(DG$50,8),'6.Inland wetlands'!$P85,0),0)</f>
        <v>0</v>
      </c>
      <c r="DH72" s="1377">
        <f>IF(LEFT('6.Inland wetlands'!$I85,8)=LEFT($DF$53,8),IF(LEFT('6.Inland wetlands'!$K85,8)=LEFT(DH$50,8),'6.Inland wetlands'!$P85,0),0)</f>
        <v>0</v>
      </c>
      <c r="DI72" s="1377">
        <f>IF(LEFT('6.Inland wetlands'!$I85,8)=LEFT($DF$53,8),IF(LEFT('6.Inland wetlands'!$K85,8)=LEFT(DI$50,8),'6.Inland wetlands'!$P85,0),0)</f>
        <v>0</v>
      </c>
      <c r="DJ72" s="1376">
        <f>IF(LEFT('6.Inland wetlands'!$I85,8)=LEFT($DF$53,8),IF((OR(LEFT('6.Inland wetlands'!$K85,8)=LEFT($DJ55,8),LEFT('6.Inland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0</v>
      </c>
      <c r="DK72" s="1377">
        <f>IF(LEFT('6.Inland wetlands'!$I85,8)=LEFT($DF$53,8),IF(LEFT('6.Inland wetlands'!$K85,8)=LEFT(DK$50,8),'6.Inland wetlands'!$P85,0),0)</f>
        <v>0</v>
      </c>
      <c r="DL72" s="1376">
        <f>IF(LEFT('6.Inland wetlands'!$I85,8)=LEFT($DF$53,8),IF(LEFT('6.Inland wetlands'!$K85,8)=LEFT(DL$50,8),'6.Inland wetlands'!$P85,0),0)</f>
        <v>0</v>
      </c>
    </row>
    <row r="73" spans="3:118" x14ac:dyDescent="0.15">
      <c r="F73" s="1370"/>
      <c r="G73" s="1393" t="s">
        <v>3213</v>
      </c>
      <c r="H73" s="1394"/>
      <c r="I73" s="3132">
        <f t="shared" ref="I73:P73" si="34">SUM(I66:I72)</f>
        <v>100</v>
      </c>
      <c r="J73" s="3131">
        <f t="shared" si="34"/>
        <v>0</v>
      </c>
      <c r="K73" s="3131">
        <f t="shared" si="34"/>
        <v>0</v>
      </c>
      <c r="L73" s="3131">
        <f t="shared" si="34"/>
        <v>0</v>
      </c>
      <c r="M73" s="3131">
        <f t="shared" si="34"/>
        <v>0</v>
      </c>
      <c r="N73" s="3131">
        <f t="shared" si="34"/>
        <v>500</v>
      </c>
      <c r="O73" s="3131">
        <f t="shared" si="34"/>
        <v>0</v>
      </c>
      <c r="P73" s="3137">
        <f t="shared" si="34"/>
        <v>600</v>
      </c>
      <c r="S73" s="973"/>
      <c r="T73" s="1374" t="s">
        <v>235</v>
      </c>
      <c r="U73" s="1374">
        <f t="shared" ref="U73:AA73" si="35">SUM(U67:U72)</f>
        <v>0</v>
      </c>
      <c r="V73" s="1374">
        <f t="shared" si="35"/>
        <v>0</v>
      </c>
      <c r="W73" s="1374">
        <f t="shared" si="35"/>
        <v>0</v>
      </c>
      <c r="X73" s="1374">
        <f t="shared" si="35"/>
        <v>0</v>
      </c>
      <c r="Y73" s="1374">
        <f t="shared" si="35"/>
        <v>0</v>
      </c>
      <c r="Z73" s="1374">
        <f t="shared" si="35"/>
        <v>0</v>
      </c>
      <c r="AA73" s="1374">
        <f t="shared" si="35"/>
        <v>0</v>
      </c>
      <c r="AB73" s="973"/>
      <c r="AE73" s="1168"/>
      <c r="AF73" s="1374" t="s">
        <v>235</v>
      </c>
      <c r="AG73" s="1124">
        <f t="shared" ref="AG73:AM73" si="36">SUM(AG67:AG72)</f>
        <v>0</v>
      </c>
      <c r="AH73" s="1124">
        <f t="shared" si="36"/>
        <v>0</v>
      </c>
      <c r="AI73" s="1124">
        <f t="shared" si="36"/>
        <v>0</v>
      </c>
      <c r="AJ73" s="1124">
        <f t="shared" si="36"/>
        <v>0</v>
      </c>
      <c r="AK73" s="1124">
        <f t="shared" si="36"/>
        <v>0</v>
      </c>
      <c r="AL73" s="1124">
        <f t="shared" si="36"/>
        <v>0</v>
      </c>
      <c r="AM73" s="1124">
        <f t="shared" si="36"/>
        <v>0</v>
      </c>
      <c r="AN73" s="973"/>
      <c r="AQ73" s="973"/>
      <c r="AR73" s="1380" t="s">
        <v>218</v>
      </c>
      <c r="AS73" s="1380">
        <f t="shared" ref="AS73:AX73" si="37">SUM(AS67:AS72)</f>
        <v>0</v>
      </c>
      <c r="AT73" s="1380">
        <f t="shared" si="37"/>
        <v>0</v>
      </c>
      <c r="AU73" s="1380">
        <f t="shared" si="37"/>
        <v>0</v>
      </c>
      <c r="AV73" s="1380">
        <f t="shared" si="37"/>
        <v>0</v>
      </c>
      <c r="AW73" s="1380">
        <f t="shared" si="37"/>
        <v>0</v>
      </c>
      <c r="AX73" s="1380">
        <f t="shared" si="37"/>
        <v>0</v>
      </c>
      <c r="AZ73" s="1345" t="s">
        <v>1424</v>
      </c>
      <c r="BB73" s="973"/>
      <c r="BC73" s="1380" t="s">
        <v>218</v>
      </c>
      <c r="BD73" s="1381">
        <f t="shared" ref="BD73:BI73" si="38">SUM(BD67:BD72)</f>
        <v>0</v>
      </c>
      <c r="BE73" s="1381">
        <f t="shared" si="38"/>
        <v>0</v>
      </c>
      <c r="BF73" s="1381">
        <f t="shared" si="38"/>
        <v>0</v>
      </c>
      <c r="BG73" s="1381">
        <f t="shared" si="38"/>
        <v>0</v>
      </c>
      <c r="BH73" s="1381">
        <f t="shared" si="38"/>
        <v>0</v>
      </c>
      <c r="BI73" s="1381">
        <f t="shared" si="38"/>
        <v>0</v>
      </c>
      <c r="BJ73" s="973"/>
      <c r="BM73" s="973"/>
      <c r="BN73" s="1380" t="s">
        <v>218</v>
      </c>
      <c r="BO73" s="1381">
        <f t="shared" ref="BO73:BT73" si="39">SUM(BO67:BO72)</f>
        <v>0</v>
      </c>
      <c r="BP73" s="1381">
        <f t="shared" si="39"/>
        <v>0</v>
      </c>
      <c r="BQ73" s="1381">
        <f t="shared" si="39"/>
        <v>0</v>
      </c>
      <c r="BR73" s="1381">
        <f t="shared" si="39"/>
        <v>0</v>
      </c>
      <c r="BS73" s="1381">
        <f t="shared" si="39"/>
        <v>0</v>
      </c>
      <c r="BT73" s="1381">
        <f t="shared" si="39"/>
        <v>0</v>
      </c>
      <c r="BU73" s="973"/>
      <c r="BX73" s="973"/>
      <c r="BY73" s="1380" t="s">
        <v>218</v>
      </c>
      <c r="BZ73" s="1382">
        <f t="shared" ref="BZ73:CE73" si="40">SUM(BZ67:BZ72)</f>
        <v>0</v>
      </c>
      <c r="CA73" s="1382">
        <f t="shared" si="40"/>
        <v>0</v>
      </c>
      <c r="CB73" s="1382">
        <f t="shared" si="40"/>
        <v>0</v>
      </c>
      <c r="CC73" s="1382">
        <f t="shared" si="40"/>
        <v>0</v>
      </c>
      <c r="CD73" s="1382">
        <f t="shared" si="40"/>
        <v>0</v>
      </c>
      <c r="CE73" s="1382">
        <f t="shared" si="40"/>
        <v>0</v>
      </c>
      <c r="CF73" s="973"/>
      <c r="CI73" s="973"/>
      <c r="CJ73" s="1380" t="s">
        <v>218</v>
      </c>
      <c r="CK73" s="1382">
        <f t="shared" ref="CK73:CP73" si="41">SUM(CK67:CK72)</f>
        <v>0</v>
      </c>
      <c r="CL73" s="1382">
        <f t="shared" si="41"/>
        <v>0</v>
      </c>
      <c r="CM73" s="1382">
        <f t="shared" si="41"/>
        <v>0</v>
      </c>
      <c r="CN73" s="1382">
        <f t="shared" si="41"/>
        <v>0</v>
      </c>
      <c r="CO73" s="1382">
        <f t="shared" si="41"/>
        <v>0</v>
      </c>
      <c r="CP73" s="1382">
        <f t="shared" si="41"/>
        <v>0</v>
      </c>
      <c r="CQ73" s="973"/>
      <c r="CT73" s="973"/>
      <c r="CU73" s="1380" t="s">
        <v>218</v>
      </c>
      <c r="CV73" s="1382">
        <f t="shared" ref="CV73:DA73" si="42">SUM(CV67:CV72)</f>
        <v>0</v>
      </c>
      <c r="CW73" s="1382">
        <f t="shared" si="42"/>
        <v>0</v>
      </c>
      <c r="CX73" s="1382">
        <f t="shared" si="42"/>
        <v>0</v>
      </c>
      <c r="CY73" s="1382">
        <f t="shared" si="42"/>
        <v>0</v>
      </c>
      <c r="CZ73" s="1382">
        <f t="shared" si="42"/>
        <v>0</v>
      </c>
      <c r="DA73" s="1382">
        <f t="shared" si="42"/>
        <v>0</v>
      </c>
      <c r="DB73" s="973"/>
      <c r="DE73" s="973"/>
      <c r="DF73" s="1380" t="s">
        <v>218</v>
      </c>
      <c r="DG73" s="1382">
        <f t="shared" ref="DG73:DL73" si="43">SUM(DG67:DG72)</f>
        <v>0</v>
      </c>
      <c r="DH73" s="1382">
        <f t="shared" si="43"/>
        <v>0</v>
      </c>
      <c r="DI73" s="1382">
        <f t="shared" si="43"/>
        <v>0</v>
      </c>
      <c r="DJ73" s="1382">
        <f t="shared" si="43"/>
        <v>0</v>
      </c>
      <c r="DK73" s="1382">
        <f t="shared" si="43"/>
        <v>0</v>
      </c>
      <c r="DL73" s="1383">
        <f t="shared" si="43"/>
        <v>0</v>
      </c>
    </row>
    <row r="74" spans="3:118" x14ac:dyDescent="0.15">
      <c r="F74" s="1765" t="s">
        <v>3176</v>
      </c>
      <c r="J74" s="1765" t="s">
        <v>3177</v>
      </c>
      <c r="S74" s="973"/>
      <c r="T74" s="973"/>
      <c r="U74" s="973"/>
      <c r="V74" s="973"/>
      <c r="W74" s="973"/>
      <c r="X74" s="973"/>
      <c r="Y74" s="973"/>
      <c r="Z74" s="973"/>
      <c r="AA74" s="973"/>
      <c r="AB74" s="973"/>
      <c r="AE74" s="973"/>
      <c r="AF74" s="973"/>
      <c r="AG74" s="973"/>
      <c r="AH74" s="973"/>
      <c r="AI74" s="973"/>
      <c r="AJ74" s="973"/>
      <c r="AK74" s="973"/>
      <c r="AL74" s="973"/>
      <c r="AM74" s="973"/>
      <c r="AN74" s="973"/>
      <c r="AQ74" s="973"/>
      <c r="AZ74" s="1345" t="s">
        <v>1427</v>
      </c>
      <c r="BB74" s="973"/>
    </row>
    <row r="75" spans="3:118" x14ac:dyDescent="0.15">
      <c r="F75" s="1765" t="s">
        <v>3203</v>
      </c>
      <c r="J75" s="1765" t="s">
        <v>3204</v>
      </c>
      <c r="S75" s="973"/>
      <c r="T75" s="973"/>
      <c r="U75" s="973"/>
      <c r="V75" s="973"/>
      <c r="W75" s="973"/>
      <c r="X75" s="973"/>
      <c r="Y75" s="973"/>
      <c r="Z75" s="973"/>
      <c r="AA75" s="973"/>
      <c r="AB75" s="973"/>
      <c r="AE75" s="973"/>
      <c r="AF75" s="973"/>
      <c r="AG75" s="973"/>
      <c r="AH75" s="973"/>
      <c r="AI75" s="973"/>
      <c r="AJ75" s="973"/>
      <c r="AK75" s="973"/>
      <c r="AL75" s="973"/>
      <c r="AM75" s="973"/>
      <c r="AN75" s="973"/>
      <c r="AQ75" s="973"/>
      <c r="AZ75" s="1345" t="s">
        <v>1507</v>
      </c>
      <c r="BB75" s="973"/>
      <c r="CQ75" s="973"/>
      <c r="CT75" s="973"/>
    </row>
    <row r="76" spans="3:118" x14ac:dyDescent="0.15">
      <c r="J76" s="1765"/>
      <c r="AQ76" s="973"/>
      <c r="AR76" s="973"/>
      <c r="AS76" s="973"/>
      <c r="AT76" s="973"/>
      <c r="AU76" s="973"/>
      <c r="AV76" s="973"/>
      <c r="AW76" s="973"/>
      <c r="AX76" s="973"/>
      <c r="AZ76" s="1384" t="s">
        <v>1510</v>
      </c>
      <c r="BB76" s="973"/>
      <c r="BC76" s="973"/>
      <c r="BD76" s="973"/>
      <c r="BE76" s="973"/>
      <c r="BF76" s="973"/>
      <c r="BG76" s="973"/>
      <c r="BH76" s="973"/>
      <c r="BI76" s="973"/>
      <c r="BJ76" s="973"/>
      <c r="BM76" s="973"/>
      <c r="BN76" s="973"/>
      <c r="BO76" s="973"/>
      <c r="BP76" s="973"/>
      <c r="BQ76" s="973"/>
      <c r="BR76" s="973"/>
      <c r="BS76" s="973"/>
      <c r="BT76" s="973"/>
      <c r="BU76" s="973"/>
      <c r="BX76" s="973"/>
      <c r="BY76" s="973"/>
      <c r="BZ76" s="973"/>
      <c r="CA76" s="973"/>
      <c r="CB76" s="973"/>
      <c r="CC76" s="973"/>
      <c r="CD76" s="973"/>
      <c r="CE76" s="973"/>
      <c r="CF76" s="973"/>
      <c r="CI76" s="973"/>
      <c r="CJ76" s="973"/>
      <c r="CK76" s="973"/>
      <c r="CL76" s="973"/>
      <c r="CM76" s="973"/>
      <c r="CN76" s="973"/>
      <c r="CO76" s="973"/>
      <c r="CP76" s="973"/>
      <c r="CQ76" s="973"/>
      <c r="CT76" s="973"/>
      <c r="CU76" s="973"/>
      <c r="CV76" s="973"/>
      <c r="CW76" s="973"/>
      <c r="CX76" s="973"/>
      <c r="CY76" s="973"/>
      <c r="CZ76" s="973"/>
      <c r="DA76" s="973"/>
      <c r="DB76" s="973"/>
      <c r="DE76" s="973"/>
      <c r="DF76" s="973"/>
      <c r="DG76" s="973"/>
      <c r="DH76" s="973"/>
      <c r="DI76" s="973"/>
      <c r="DJ76" s="973"/>
      <c r="DK76" s="973"/>
      <c r="DL76" s="973"/>
      <c r="DM76" s="973"/>
      <c r="DN76" s="973"/>
    </row>
    <row r="77" spans="3:118" x14ac:dyDescent="0.15">
      <c r="F77" s="1765"/>
      <c r="BX77" s="973"/>
      <c r="BY77" s="973"/>
      <c r="BZ77" s="973"/>
      <c r="CA77" s="973"/>
      <c r="CB77" s="973"/>
      <c r="CC77" s="973"/>
      <c r="CD77" s="973"/>
      <c r="CE77" s="973"/>
      <c r="CF77" s="973"/>
      <c r="CJ77" s="973"/>
      <c r="CK77" s="973"/>
      <c r="CL77" s="973"/>
      <c r="CM77" s="973"/>
      <c r="CN77" s="973"/>
      <c r="CO77" s="973"/>
      <c r="CP77" s="973"/>
      <c r="CQ77" s="973"/>
      <c r="CT77" s="973"/>
      <c r="DB77" s="973"/>
      <c r="DE77" s="973"/>
      <c r="DF77" s="973"/>
      <c r="DG77" s="973"/>
      <c r="DH77" s="973"/>
      <c r="DI77" s="973"/>
      <c r="DJ77" s="973"/>
      <c r="DK77" s="973"/>
      <c r="DL77" s="973"/>
      <c r="DM77" s="973"/>
      <c r="DN77" s="973"/>
    </row>
    <row r="78" spans="3:118" x14ac:dyDescent="0.15">
      <c r="D78" s="1324" t="s">
        <v>219</v>
      </c>
      <c r="E78" s="1324" t="s">
        <v>267</v>
      </c>
      <c r="F78" s="1324" t="s">
        <v>266</v>
      </c>
    </row>
    <row r="79" spans="3:118" x14ac:dyDescent="0.15">
      <c r="C79" s="3991" t="s">
        <v>1179</v>
      </c>
    </row>
    <row r="80" spans="3:118" x14ac:dyDescent="0.15">
      <c r="C80" s="3991" t="s">
        <v>1194</v>
      </c>
    </row>
    <row r="81" spans="3:3" x14ac:dyDescent="0.15">
      <c r="C81" s="3991" t="s">
        <v>3214</v>
      </c>
    </row>
  </sheetData>
  <sortState xmlns:xlrd2="http://schemas.microsoft.com/office/spreadsheetml/2017/richdata2" ref="AZ8:AZ22">
    <sortCondition ref="AZ8"/>
  </sortState>
  <pageMargins left="0.7" right="0.7" top="0.75" bottom="0.75" header="0.3" footer="0.3"/>
  <pageSetup paperSize="9" orientation="portrait" horizontalDpi="300" verticalDpi="300" r:id="rId1"/>
  <drawing r:id="rId2"/>
  <mc:AlternateContent xmlns:mc="http://schemas.openxmlformats.org/markup-compatibility/2006">
    <mc:Choice Requires="v">
      <legacyDrawing r:id="rId3"/>
    </mc:Choice>
  </mc:AlternateContent>
</worksheet>
</file>

<file path=xl/worksheets/sheet39.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tabColor theme="0" tint="-0.14999847407452621"/>
  </sheetPr>
  <dimension ref="A1:R349"/>
  <sheetViews>
    <sheetView topLeftCell="A91" zoomScale="90" zoomScaleNormal="85" workbookViewId="0">
      <selection activeCell="E117" sqref="E117"/>
    </sheetView>
  </sheetViews>
  <sheetFormatPr baseColWidth="10" defaultColWidth="8.6640625" defaultRowHeight="15" x14ac:dyDescent="0.2"/>
  <cols>
    <col min="1" max="1" width="9.33203125" customWidth="1"/>
    <col min="2" max="2" width="43.5" customWidth="1"/>
    <col min="3" max="3" width="25.5" customWidth="1"/>
    <col min="4" max="4" width="29.33203125" customWidth="1"/>
    <col min="5" max="5" width="21.5" bestFit="1" customWidth="1"/>
    <col min="6" max="6" width="31.5" customWidth="1"/>
    <col min="7" max="7" width="27" customWidth="1"/>
    <col min="8" max="8" width="37.5" customWidth="1"/>
    <col min="9" max="9" width="40" customWidth="1"/>
    <col min="10" max="10" width="31.5" bestFit="1" customWidth="1"/>
    <col min="11" max="11" width="35.33203125" customWidth="1"/>
    <col min="12" max="12" width="26" bestFit="1" customWidth="1"/>
    <col min="13" max="13" width="29.5" bestFit="1" customWidth="1"/>
    <col min="14" max="14" width="26" bestFit="1" customWidth="1"/>
    <col min="15" max="15" width="20.33203125" customWidth="1"/>
    <col min="16" max="16" width="22.6640625" customWidth="1"/>
    <col min="17" max="21" width="9.33203125" customWidth="1"/>
    <col min="23" max="23" width="34.5" customWidth="1"/>
  </cols>
  <sheetData>
    <row r="1" spans="2:16" s="4" customFormat="1" ht="23" customHeight="1" x14ac:dyDescent="0.2"/>
    <row r="2" spans="2:16" s="4" customFormat="1" ht="8.75" customHeight="1" x14ac:dyDescent="0.2"/>
    <row r="3" spans="2:16" s="4" customFormat="1" ht="14.25" customHeight="1" x14ac:dyDescent="0.2"/>
    <row r="4" spans="2:16" s="4" customFormat="1" ht="14" customHeight="1" x14ac:dyDescent="0.2"/>
    <row r="5" spans="2:16" x14ac:dyDescent="0.2">
      <c r="B5" t="s">
        <v>1305</v>
      </c>
      <c r="C5" t="s">
        <v>1306</v>
      </c>
      <c r="L5" s="312" t="s">
        <v>1307</v>
      </c>
      <c r="M5" s="312" t="s">
        <v>1308</v>
      </c>
    </row>
    <row r="6" spans="2:16" ht="19" x14ac:dyDescent="0.25">
      <c r="B6" s="206" t="s">
        <v>1309</v>
      </c>
      <c r="F6" s="3" t="s">
        <v>1310</v>
      </c>
      <c r="G6" s="5" t="s">
        <v>1311</v>
      </c>
      <c r="I6" s="742" t="s">
        <v>1312</v>
      </c>
      <c r="L6" s="313" t="str">
        <f>G7</f>
        <v>Please select</v>
      </c>
      <c r="M6" s="313" t="str">
        <f>L6</f>
        <v>Please select</v>
      </c>
      <c r="O6" s="313" t="s">
        <v>781</v>
      </c>
      <c r="P6" s="313" t="s">
        <v>977</v>
      </c>
    </row>
    <row r="7" spans="2:16" x14ac:dyDescent="0.2">
      <c r="B7" s="207" t="s">
        <v>1313</v>
      </c>
      <c r="F7" s="1" t="str">
        <f>G7</f>
        <v>Please select</v>
      </c>
      <c r="G7" s="260" t="s">
        <v>57</v>
      </c>
      <c r="I7" s="775"/>
      <c r="L7" s="313" t="s">
        <v>1314</v>
      </c>
      <c r="M7" s="313" t="s">
        <v>1315</v>
      </c>
      <c r="O7" s="313" t="s">
        <v>57</v>
      </c>
      <c r="P7" s="794" t="s">
        <v>995</v>
      </c>
    </row>
    <row r="8" spans="2:16" x14ac:dyDescent="0.2">
      <c r="B8" s="207" t="s">
        <v>1316</v>
      </c>
      <c r="F8" s="1" t="s">
        <v>1317</v>
      </c>
      <c r="G8" s="261" t="str">
        <f>F21</f>
        <v>Boreal</v>
      </c>
      <c r="I8" s="741" t="str">
        <f>IF(climate="Tropical Montane", "Tropical Montane", CONCATENATE(climate," ",moist_type,))</f>
        <v>Warm Temperate Dry</v>
      </c>
      <c r="L8" s="313" t="s">
        <v>1318</v>
      </c>
      <c r="M8" s="313" t="s">
        <v>1319</v>
      </c>
      <c r="O8" s="313" t="s">
        <v>978</v>
      </c>
      <c r="P8" s="1245">
        <v>0</v>
      </c>
    </row>
    <row r="9" spans="2:16" x14ac:dyDescent="0.2">
      <c r="B9" s="206" t="s">
        <v>1320</v>
      </c>
      <c r="F9" s="1" t="s">
        <v>1321</v>
      </c>
      <c r="G9" s="283" t="str">
        <f>G21</f>
        <v>Cool Temperate</v>
      </c>
      <c r="I9" s="741" t="str">
        <f>CONCATENATE(clim_moist,continent_selected)</f>
        <v>Warm Temperate DryEurope</v>
      </c>
      <c r="L9" s="313" t="s">
        <v>1322</v>
      </c>
      <c r="M9" s="313" t="s">
        <v>1323</v>
      </c>
      <c r="O9" s="313" t="s">
        <v>979</v>
      </c>
      <c r="P9" s="1245">
        <v>0.1</v>
      </c>
    </row>
    <row r="10" spans="2:16" x14ac:dyDescent="0.2">
      <c r="B10" s="207" t="s">
        <v>1324</v>
      </c>
      <c r="F10" s="1" t="s">
        <v>1325</v>
      </c>
      <c r="G10" s="283" t="str">
        <f>H21</f>
        <v>Tropical</v>
      </c>
      <c r="I10" s="741" t="str">
        <f>climate</f>
        <v>Warm Temperate</v>
      </c>
      <c r="L10" s="313" t="s">
        <v>1326</v>
      </c>
      <c r="M10" s="313" t="s">
        <v>1327</v>
      </c>
      <c r="O10" s="313" t="s">
        <v>980</v>
      </c>
      <c r="P10" s="1245">
        <v>0.2</v>
      </c>
    </row>
    <row r="11" spans="2:16" x14ac:dyDescent="0.2">
      <c r="B11" s="207" t="s">
        <v>1328</v>
      </c>
      <c r="F11" s="1" t="s">
        <v>1329</v>
      </c>
      <c r="G11" s="283" t="str">
        <f>I21</f>
        <v>Tropical Montane</v>
      </c>
      <c r="I11" s="741" t="str">
        <f>IF(climate="Cool Temperate","CoolTemperate",IF(climate="Warm Temperate","WarmTemperate",IF(climate="Tropical Montane","TropicalMontane",climate)))</f>
        <v>WarmTemperate</v>
      </c>
      <c r="L11" s="313" t="s">
        <v>1330</v>
      </c>
      <c r="M11" s="313" t="s">
        <v>1331</v>
      </c>
      <c r="O11" s="313" t="s">
        <v>981</v>
      </c>
      <c r="P11" s="1245">
        <v>0.4</v>
      </c>
    </row>
    <row r="12" spans="2:16" x14ac:dyDescent="0.2">
      <c r="B12" s="207" t="s">
        <v>1332</v>
      </c>
      <c r="F12" s="1" t="s">
        <v>1333</v>
      </c>
      <c r="G12" s="283" t="str">
        <f>J21</f>
        <v>Warm Temperate</v>
      </c>
      <c r="I12" s="741" t="str">
        <f>IF(climate="Cool Temperate","CoolTemperate2",IF(climate="Warm Temperate","WarmTemperate2",IF(climate="Tropical Montane","TropicalMontane2",IF(climate="Boreal","Boreal2",IF(climate="Tropical","Tropical2","")))))</f>
        <v>WarmTemperate2</v>
      </c>
      <c r="L12" s="313" t="s">
        <v>1334</v>
      </c>
      <c r="M12" s="313" t="s">
        <v>1335</v>
      </c>
      <c r="O12" s="313" t="s">
        <v>982</v>
      </c>
      <c r="P12" s="1245">
        <v>0.6</v>
      </c>
    </row>
    <row r="13" spans="2:16" x14ac:dyDescent="0.2">
      <c r="B13" s="207" t="s">
        <v>1336</v>
      </c>
      <c r="F13" s="1" t="s">
        <v>1337</v>
      </c>
      <c r="G13" s="261"/>
      <c r="I13" s="741" t="str">
        <f>IF(soil_full="High activity clay soils ","HAC",IF(soil_full="Low activity clay soils","LAC",IF(soil_full="Sandy soils","SAN",IF(soil_full="Spodic soils","POD",IF(soil_full="Volcanic soils","VOL",IF(soil_full="Wetland soils","WET",IF(soil_full="Organic soils","ORG","Please select")))))))</f>
        <v>HAC</v>
      </c>
      <c r="L13" s="313" t="s">
        <v>1338</v>
      </c>
      <c r="M13" s="313" t="s">
        <v>1339</v>
      </c>
      <c r="O13" s="313" t="s">
        <v>983</v>
      </c>
      <c r="P13" s="1245">
        <v>0.8</v>
      </c>
    </row>
    <row r="14" spans="2:16" x14ac:dyDescent="0.2">
      <c r="B14" s="206" t="s">
        <v>1340</v>
      </c>
      <c r="F14" s="1" t="s">
        <v>1341</v>
      </c>
      <c r="G14" s="261"/>
      <c r="I14" s="776">
        <f>IF('1.Description'!$S$25&lt;&gt;0, '1.Description'!$S$25, INDEX(IPCC!$B$39:$I$49,MATCH(clim_moist,IPCC!$A$39:$A$49,0),MATCH(soil,IPCC!$B$38:$I$38,0)))</f>
        <v>24</v>
      </c>
    </row>
    <row r="15" spans="2:16" x14ac:dyDescent="0.2">
      <c r="B15" s="207" t="s">
        <v>1342</v>
      </c>
      <c r="F15" s="1" t="s">
        <v>1343</v>
      </c>
      <c r="G15" s="261"/>
      <c r="M15" s="234" t="s">
        <v>1344</v>
      </c>
    </row>
    <row r="16" spans="2:16" x14ac:dyDescent="0.2">
      <c r="B16" s="206" t="s">
        <v>1345</v>
      </c>
      <c r="F16" s="1" t="s">
        <v>1346</v>
      </c>
      <c r="G16" s="261"/>
      <c r="M16" s="6" t="str">
        <f>F7</f>
        <v>Please select</v>
      </c>
    </row>
    <row r="17" spans="2:13" x14ac:dyDescent="0.2">
      <c r="B17" s="207" t="s">
        <v>1347</v>
      </c>
      <c r="C17" s="662" t="s">
        <v>1348</v>
      </c>
      <c r="F17" s="1" t="s">
        <v>1349</v>
      </c>
      <c r="G17" s="261"/>
      <c r="M17" s="6" t="s">
        <v>65</v>
      </c>
    </row>
    <row r="18" spans="2:13" x14ac:dyDescent="0.2">
      <c r="B18" s="206" t="s">
        <v>1350</v>
      </c>
      <c r="C18" s="461" t="s">
        <v>57</v>
      </c>
      <c r="F18" s="2" t="s">
        <v>1351</v>
      </c>
      <c r="G18" s="262"/>
      <c r="M18" s="6" t="s">
        <v>1352</v>
      </c>
    </row>
    <row r="19" spans="2:13" x14ac:dyDescent="0.2">
      <c r="C19" s="661" t="s">
        <v>1353</v>
      </c>
      <c r="M19" s="6" t="s">
        <v>1354</v>
      </c>
    </row>
    <row r="20" spans="2:13" x14ac:dyDescent="0.2">
      <c r="C20" s="661" t="s">
        <v>1355</v>
      </c>
      <c r="M20" s="6" t="s">
        <v>1356</v>
      </c>
    </row>
    <row r="21" spans="2:13" x14ac:dyDescent="0.2">
      <c r="C21" s="661" t="s">
        <v>1357</v>
      </c>
      <c r="F21" s="290" t="s">
        <v>114</v>
      </c>
      <c r="G21" s="290" t="s">
        <v>1358</v>
      </c>
      <c r="H21" s="290" t="s">
        <v>111</v>
      </c>
      <c r="I21" s="290" t="s">
        <v>1359</v>
      </c>
      <c r="J21" s="290" t="s">
        <v>1360</v>
      </c>
      <c r="M21" s="6" t="s">
        <v>1361</v>
      </c>
    </row>
    <row r="22" spans="2:13" x14ac:dyDescent="0.2">
      <c r="C22" s="661" t="s">
        <v>1362</v>
      </c>
      <c r="F22" s="288" t="s">
        <v>57</v>
      </c>
      <c r="G22" s="288" t="s">
        <v>57</v>
      </c>
      <c r="H22" s="288" t="s">
        <v>57</v>
      </c>
      <c r="I22" s="288" t="s">
        <v>57</v>
      </c>
      <c r="J22" s="288" t="s">
        <v>57</v>
      </c>
      <c r="M22" s="6" t="s">
        <v>1363</v>
      </c>
    </row>
    <row r="23" spans="2:13" x14ac:dyDescent="0.2">
      <c r="F23" s="289" t="s">
        <v>1364</v>
      </c>
      <c r="G23" s="289" t="s">
        <v>1364</v>
      </c>
      <c r="H23" s="289" t="s">
        <v>1364</v>
      </c>
      <c r="I23" s="289" t="s">
        <v>1364</v>
      </c>
      <c r="J23" s="289" t="s">
        <v>1364</v>
      </c>
      <c r="M23" s="6" t="s">
        <v>1365</v>
      </c>
    </row>
    <row r="24" spans="2:13" x14ac:dyDescent="0.2">
      <c r="F24" s="285" t="s">
        <v>1366</v>
      </c>
      <c r="G24" s="285" t="s">
        <v>1366</v>
      </c>
      <c r="H24" s="289" t="s">
        <v>1366</v>
      </c>
      <c r="I24" s="285"/>
      <c r="J24" s="285" t="s">
        <v>1366</v>
      </c>
      <c r="M24" s="6" t="s">
        <v>1367</v>
      </c>
    </row>
    <row r="25" spans="2:13" x14ac:dyDescent="0.2">
      <c r="F25" s="287"/>
      <c r="G25" s="287"/>
      <c r="H25" s="285" t="s">
        <v>1368</v>
      </c>
      <c r="I25" s="287"/>
      <c r="J25" s="287"/>
      <c r="M25" s="6" t="s">
        <v>1369</v>
      </c>
    </row>
    <row r="26" spans="2:13" x14ac:dyDescent="0.2">
      <c r="F26" s="284"/>
      <c r="G26" s="284"/>
      <c r="H26" s="284"/>
      <c r="I26" s="284"/>
      <c r="J26" s="284"/>
    </row>
    <row r="29" spans="2:13" x14ac:dyDescent="0.2">
      <c r="B29" s="206" t="s">
        <v>1370</v>
      </c>
      <c r="E29">
        <f>list!N7</f>
        <v>0</v>
      </c>
      <c r="F29" s="6" t="s">
        <v>1371</v>
      </c>
    </row>
    <row r="30" spans="2:13" x14ac:dyDescent="0.2">
      <c r="B30" s="206" t="s">
        <v>1372</v>
      </c>
    </row>
    <row r="31" spans="2:13" x14ac:dyDescent="0.2">
      <c r="B31" s="207" t="s">
        <v>1373</v>
      </c>
      <c r="F31" s="225" t="s">
        <v>1233</v>
      </c>
      <c r="G31" s="225" t="s">
        <v>1374</v>
      </c>
      <c r="I31" s="6" t="s">
        <v>1375</v>
      </c>
      <c r="J31" s="6"/>
      <c r="K31" s="6"/>
    </row>
    <row r="32" spans="2:13" ht="15" customHeight="1" x14ac:dyDescent="0.25">
      <c r="B32" s="207" t="s">
        <v>1376</v>
      </c>
      <c r="E32" s="6"/>
      <c r="F32" s="6" t="str">
        <f>F22</f>
        <v>Please select</v>
      </c>
      <c r="G32" s="6" t="s">
        <v>391</v>
      </c>
      <c r="I32" s="64" t="s">
        <v>1377</v>
      </c>
      <c r="J32" s="64" t="s">
        <v>1377</v>
      </c>
      <c r="K32" s="64" t="s">
        <v>1378</v>
      </c>
      <c r="L32" s="64" t="s">
        <v>1379</v>
      </c>
    </row>
    <row r="33" spans="2:12" ht="15" customHeight="1" x14ac:dyDescent="0.2">
      <c r="B33" s="207" t="s">
        <v>1380</v>
      </c>
      <c r="E33" s="6" t="s">
        <v>1381</v>
      </c>
      <c r="F33" s="6" t="s">
        <v>1382</v>
      </c>
      <c r="G33" s="188" t="s">
        <v>65</v>
      </c>
      <c r="I33" s="6" t="str">
        <f>K33</f>
        <v>Please select</v>
      </c>
      <c r="J33" s="6" t="str">
        <f>L33</f>
        <v>Please select</v>
      </c>
      <c r="K33" s="6" t="str">
        <f>F7</f>
        <v>Please select</v>
      </c>
      <c r="L33" s="6" t="str">
        <f>K33</f>
        <v>Please select</v>
      </c>
    </row>
    <row r="34" spans="2:12" ht="15" customHeight="1" x14ac:dyDescent="0.2">
      <c r="B34" s="206" t="s">
        <v>1383</v>
      </c>
      <c r="E34" s="6"/>
      <c r="F34" s="6" t="s">
        <v>1384</v>
      </c>
      <c r="G34" s="188" t="s">
        <v>675</v>
      </c>
      <c r="I34" s="6" t="s">
        <v>1385</v>
      </c>
      <c r="J34" s="318" t="s">
        <v>1386</v>
      </c>
      <c r="K34" s="6" t="s">
        <v>1387</v>
      </c>
      <c r="L34" s="6" t="s">
        <v>1388</v>
      </c>
    </row>
    <row r="35" spans="2:12" x14ac:dyDescent="0.2">
      <c r="B35" s="207" t="s">
        <v>1389</v>
      </c>
      <c r="E35" s="6" t="s">
        <v>1390</v>
      </c>
      <c r="F35" s="6" t="s">
        <v>1391</v>
      </c>
      <c r="G35" s="188" t="s">
        <v>1392</v>
      </c>
      <c r="I35" s="6"/>
      <c r="J35" s="6"/>
      <c r="K35" s="6" t="s">
        <v>1393</v>
      </c>
      <c r="L35" s="6" t="s">
        <v>1394</v>
      </c>
    </row>
    <row r="36" spans="2:12" x14ac:dyDescent="0.2">
      <c r="B36" s="206" t="s">
        <v>1395</v>
      </c>
      <c r="E36" s="6"/>
      <c r="F36" s="6" t="s">
        <v>1396</v>
      </c>
      <c r="G36" s="188" t="s">
        <v>1397</v>
      </c>
      <c r="I36" s="6"/>
      <c r="J36" s="6"/>
      <c r="K36" s="6" t="s">
        <v>1398</v>
      </c>
      <c r="L36" s="6" t="s">
        <v>1399</v>
      </c>
    </row>
    <row r="37" spans="2:12" x14ac:dyDescent="0.2">
      <c r="B37" s="207" t="s">
        <v>1400</v>
      </c>
      <c r="E37" s="6"/>
      <c r="F37" s="6" t="s">
        <v>1401</v>
      </c>
      <c r="G37" s="188" t="s">
        <v>1347</v>
      </c>
      <c r="I37" s="6"/>
      <c r="J37" s="6"/>
      <c r="K37" s="6"/>
      <c r="L37" s="6" t="s">
        <v>1402</v>
      </c>
    </row>
    <row r="38" spans="2:12" x14ac:dyDescent="0.2">
      <c r="B38" s="207" t="s">
        <v>1403</v>
      </c>
      <c r="E38" s="6" t="s">
        <v>1404</v>
      </c>
      <c r="F38" s="6" t="s">
        <v>1405</v>
      </c>
      <c r="G38" s="188" t="s">
        <v>491</v>
      </c>
    </row>
    <row r="39" spans="2:12" x14ac:dyDescent="0.2">
      <c r="B39" s="206" t="s">
        <v>1406</v>
      </c>
      <c r="E39" s="6" t="s">
        <v>1404</v>
      </c>
      <c r="F39" s="6" t="s">
        <v>1407</v>
      </c>
      <c r="G39" s="188" t="s">
        <v>1408</v>
      </c>
    </row>
    <row r="40" spans="2:12" x14ac:dyDescent="0.2">
      <c r="B40" s="206" t="s">
        <v>1409</v>
      </c>
      <c r="E40" s="6" t="s">
        <v>1404</v>
      </c>
      <c r="F40" s="6" t="s">
        <v>1352</v>
      </c>
      <c r="G40" s="188" t="s">
        <v>1410</v>
      </c>
      <c r="I40" s="319" t="s">
        <v>1411</v>
      </c>
      <c r="J40" s="260" t="s">
        <v>1411</v>
      </c>
    </row>
    <row r="41" spans="2:12" x14ac:dyDescent="0.2">
      <c r="B41" s="207" t="s">
        <v>1412</v>
      </c>
      <c r="E41" s="6" t="s">
        <v>1404</v>
      </c>
      <c r="F41" s="6" t="s">
        <v>1413</v>
      </c>
      <c r="G41" s="188" t="s">
        <v>1414</v>
      </c>
      <c r="I41" s="320" t="s">
        <v>57</v>
      </c>
      <c r="J41" s="261" t="s">
        <v>1415</v>
      </c>
    </row>
    <row r="42" spans="2:12" x14ac:dyDescent="0.2">
      <c r="B42" s="206" t="s">
        <v>1416</v>
      </c>
      <c r="E42" s="6" t="s">
        <v>1404</v>
      </c>
      <c r="F42" s="6" t="s">
        <v>1417</v>
      </c>
      <c r="G42" s="188" t="s">
        <v>1418</v>
      </c>
      <c r="I42" s="320" t="s">
        <v>1419</v>
      </c>
      <c r="J42" s="262" t="s">
        <v>85</v>
      </c>
    </row>
    <row r="43" spans="2:12" x14ac:dyDescent="0.2">
      <c r="B43" s="207" t="s">
        <v>1420</v>
      </c>
      <c r="E43" s="6" t="s">
        <v>1404</v>
      </c>
      <c r="F43" s="6" t="s">
        <v>1421</v>
      </c>
      <c r="G43" s="188" t="s">
        <v>530</v>
      </c>
      <c r="I43" s="261" t="s">
        <v>1422</v>
      </c>
    </row>
    <row r="44" spans="2:12" x14ac:dyDescent="0.2">
      <c r="B44" s="206" t="s">
        <v>1423</v>
      </c>
      <c r="E44" s="6" t="s">
        <v>1404</v>
      </c>
      <c r="F44" s="6" t="s">
        <v>1424</v>
      </c>
      <c r="G44" s="188" t="s">
        <v>548</v>
      </c>
      <c r="I44" s="262" t="s">
        <v>1425</v>
      </c>
    </row>
    <row r="45" spans="2:12" x14ac:dyDescent="0.2">
      <c r="B45" s="206" t="s">
        <v>1426</v>
      </c>
      <c r="E45" s="6" t="s">
        <v>1404</v>
      </c>
      <c r="F45" s="6" t="s">
        <v>1427</v>
      </c>
      <c r="G45" s="188" t="s">
        <v>1428</v>
      </c>
    </row>
    <row r="46" spans="2:12" x14ac:dyDescent="0.2">
      <c r="B46" s="207" t="s">
        <v>1429</v>
      </c>
      <c r="E46" s="6" t="s">
        <v>1404</v>
      </c>
      <c r="F46" s="6" t="s">
        <v>1407</v>
      </c>
      <c r="G46" s="188" t="s">
        <v>1430</v>
      </c>
    </row>
    <row r="47" spans="2:12" x14ac:dyDescent="0.2">
      <c r="B47" s="206" t="s">
        <v>676</v>
      </c>
      <c r="E47" s="6" t="s">
        <v>1404</v>
      </c>
      <c r="F47" s="6" t="s">
        <v>1424</v>
      </c>
      <c r="G47" s="188" t="s">
        <v>1431</v>
      </c>
      <c r="I47" s="68" t="s">
        <v>1432</v>
      </c>
      <c r="J47" s="146"/>
      <c r="K47" s="68"/>
      <c r="L47" s="69"/>
    </row>
    <row r="48" spans="2:12" x14ac:dyDescent="0.2">
      <c r="B48" s="207" t="s">
        <v>1433</v>
      </c>
      <c r="E48" s="6" t="s">
        <v>1404</v>
      </c>
      <c r="F48" s="6" t="s">
        <v>1427</v>
      </c>
      <c r="G48" s="188" t="s">
        <v>1434</v>
      </c>
      <c r="I48" s="69" t="s">
        <v>1435</v>
      </c>
      <c r="J48" s="67" t="s">
        <v>1436</v>
      </c>
      <c r="K48" s="70">
        <v>1</v>
      </c>
      <c r="L48" s="70" t="s">
        <v>1435</v>
      </c>
    </row>
    <row r="49" spans="2:17" x14ac:dyDescent="0.2">
      <c r="B49" s="207" t="s">
        <v>1437</v>
      </c>
      <c r="E49" s="6" t="s">
        <v>1404</v>
      </c>
      <c r="F49" s="6" t="s">
        <v>1371</v>
      </c>
      <c r="G49" s="6" t="s">
        <v>3713</v>
      </c>
      <c r="I49" s="69" t="s">
        <v>86</v>
      </c>
      <c r="J49" s="67" t="s">
        <v>625</v>
      </c>
      <c r="K49" s="70">
        <v>0.5</v>
      </c>
      <c r="L49" s="70" t="s">
        <v>86</v>
      </c>
    </row>
    <row r="50" spans="2:17" x14ac:dyDescent="0.2">
      <c r="B50" s="207" t="s">
        <v>1438</v>
      </c>
      <c r="G50" s="6" t="s">
        <v>3717</v>
      </c>
      <c r="I50" s="69" t="s">
        <v>1439</v>
      </c>
      <c r="J50" s="67" t="s">
        <v>1440</v>
      </c>
      <c r="K50" s="70">
        <v>0.78</v>
      </c>
      <c r="L50" s="70" t="s">
        <v>1439</v>
      </c>
    </row>
    <row r="51" spans="2:17" x14ac:dyDescent="0.2">
      <c r="B51" s="206" t="s">
        <v>1441</v>
      </c>
    </row>
    <row r="52" spans="2:17" x14ac:dyDescent="0.2">
      <c r="B52" s="206" t="s">
        <v>1442</v>
      </c>
      <c r="C52" s="1643"/>
      <c r="D52" s="1643"/>
      <c r="E52" s="1643"/>
      <c r="F52" s="1643"/>
      <c r="G52" s="1643"/>
      <c r="H52" s="1643"/>
      <c r="I52" s="1643"/>
      <c r="J52" s="1643"/>
      <c r="K52" s="1643"/>
      <c r="L52" s="1643"/>
      <c r="M52" s="1643"/>
      <c r="N52" s="1643"/>
      <c r="O52" s="1643"/>
      <c r="P52" s="1643"/>
      <c r="Q52" s="1643"/>
    </row>
    <row r="53" spans="2:17" x14ac:dyDescent="0.2">
      <c r="B53" s="206" t="s">
        <v>1443</v>
      </c>
    </row>
    <row r="54" spans="2:17" x14ac:dyDescent="0.2">
      <c r="B54" s="206" t="s">
        <v>1444</v>
      </c>
      <c r="G54" s="142" t="s">
        <v>1445</v>
      </c>
      <c r="H54" s="143"/>
    </row>
    <row r="55" spans="2:17" x14ac:dyDescent="0.2">
      <c r="B55" s="206" t="s">
        <v>1446</v>
      </c>
      <c r="G55" s="138" t="s">
        <v>1447</v>
      </c>
      <c r="H55" s="139"/>
    </row>
    <row r="56" spans="2:17" x14ac:dyDescent="0.2">
      <c r="B56" s="207" t="s">
        <v>1448</v>
      </c>
      <c r="G56" s="138" t="s">
        <v>1449</v>
      </c>
      <c r="H56" s="139"/>
    </row>
    <row r="57" spans="2:17" x14ac:dyDescent="0.2">
      <c r="B57" s="206" t="s">
        <v>1450</v>
      </c>
      <c r="G57" s="141">
        <f>44/28</f>
        <v>1.5714285714285714</v>
      </c>
      <c r="H57" s="140"/>
    </row>
    <row r="58" spans="2:17" x14ac:dyDescent="0.2">
      <c r="B58" s="206" t="s">
        <v>1451</v>
      </c>
      <c r="F58" t="s">
        <v>1452</v>
      </c>
    </row>
    <row r="59" spans="2:17" ht="43" x14ac:dyDescent="0.2">
      <c r="B59" s="206" t="s">
        <v>1453</v>
      </c>
      <c r="F59" s="4241" t="s">
        <v>1459</v>
      </c>
      <c r="G59" s="429" t="s">
        <v>1454</v>
      </c>
      <c r="H59" s="428" t="s">
        <v>1455</v>
      </c>
      <c r="I59" s="428" t="s">
        <v>1456</v>
      </c>
      <c r="J59" s="4390" t="s">
        <v>1457</v>
      </c>
      <c r="K59" s="4390" t="s">
        <v>1458</v>
      </c>
      <c r="L59" s="4390" t="s">
        <v>3710</v>
      </c>
      <c r="M59" s="144"/>
    </row>
    <row r="60" spans="2:17" x14ac:dyDescent="0.2">
      <c r="B60" s="207" t="s">
        <v>1460</v>
      </c>
      <c r="F60" s="4241" t="s">
        <v>1462</v>
      </c>
      <c r="G60" s="427" t="s">
        <v>1461</v>
      </c>
      <c r="H60" s="427">
        <v>1</v>
      </c>
      <c r="I60" s="427">
        <v>1</v>
      </c>
      <c r="J60" s="427">
        <v>1</v>
      </c>
      <c r="K60" s="427">
        <v>1</v>
      </c>
      <c r="L60" s="427">
        <v>1</v>
      </c>
      <c r="M60" s="144"/>
    </row>
    <row r="61" spans="2:17" x14ac:dyDescent="0.2">
      <c r="B61" s="206" t="s">
        <v>1463</v>
      </c>
      <c r="F61" s="4241" t="s">
        <v>1464</v>
      </c>
      <c r="G61" s="427" t="s">
        <v>348</v>
      </c>
      <c r="H61" s="427">
        <v>21</v>
      </c>
      <c r="I61" s="427">
        <v>25</v>
      </c>
      <c r="J61" s="427">
        <v>34</v>
      </c>
      <c r="K61" s="427">
        <v>28</v>
      </c>
      <c r="L61" s="427">
        <v>27</v>
      </c>
      <c r="M61" s="144"/>
    </row>
    <row r="62" spans="2:17" x14ac:dyDescent="0.2">
      <c r="B62" s="207" t="s">
        <v>1465</v>
      </c>
      <c r="F62" s="4241" t="s">
        <v>64</v>
      </c>
      <c r="G62" s="79" t="s">
        <v>1466</v>
      </c>
      <c r="H62" s="79">
        <v>310</v>
      </c>
      <c r="I62" s="79">
        <v>298</v>
      </c>
      <c r="J62" s="79">
        <v>298</v>
      </c>
      <c r="K62" s="79">
        <v>265</v>
      </c>
      <c r="L62" s="79">
        <v>273</v>
      </c>
      <c r="M62" s="144"/>
    </row>
    <row r="63" spans="2:17" x14ac:dyDescent="0.2">
      <c r="B63" s="206" t="s">
        <v>1467</v>
      </c>
      <c r="F63" s="4241" t="s">
        <v>1468</v>
      </c>
      <c r="G63" s="145"/>
      <c r="I63" s="144"/>
      <c r="J63" s="144"/>
    </row>
    <row r="64" spans="2:17" x14ac:dyDescent="0.2">
      <c r="B64" s="207" t="s">
        <v>1469</v>
      </c>
      <c r="F64" s="4241" t="s">
        <v>3709</v>
      </c>
      <c r="G64" s="145"/>
      <c r="I64" s="144"/>
      <c r="J64" s="144"/>
      <c r="K64" s="144"/>
    </row>
    <row r="65" spans="2:15" x14ac:dyDescent="0.2">
      <c r="B65" s="207" t="s">
        <v>1470</v>
      </c>
      <c r="F65" s="4241" t="s">
        <v>3711</v>
      </c>
      <c r="G65" s="147" t="s">
        <v>1471</v>
      </c>
      <c r="H65" s="148"/>
      <c r="I65" s="149"/>
      <c r="J65" s="144"/>
      <c r="K65" s="144"/>
    </row>
    <row r="66" spans="2:15" x14ac:dyDescent="0.2">
      <c r="B66" s="206" t="s">
        <v>1472</v>
      </c>
      <c r="G66" s="154" t="s">
        <v>1473</v>
      </c>
      <c r="H66" s="155" t="s">
        <v>1474</v>
      </c>
      <c r="I66" s="156" t="s">
        <v>1475</v>
      </c>
    </row>
    <row r="67" spans="2:15" x14ac:dyDescent="0.2">
      <c r="B67" s="207" t="s">
        <v>1476</v>
      </c>
      <c r="G67" s="150" t="s">
        <v>57</v>
      </c>
      <c r="H67" s="151" t="s">
        <v>57</v>
      </c>
      <c r="I67" s="152" t="s">
        <v>57</v>
      </c>
    </row>
    <row r="68" spans="2:15" x14ac:dyDescent="0.2">
      <c r="B68" s="207" t="s">
        <v>1477</v>
      </c>
      <c r="G68" s="152" t="s">
        <v>1419</v>
      </c>
      <c r="H68" s="152" t="s">
        <v>1419</v>
      </c>
      <c r="I68" s="152" t="s">
        <v>1419</v>
      </c>
    </row>
    <row r="69" spans="2:15" x14ac:dyDescent="0.2">
      <c r="B69" s="207" t="s">
        <v>1478</v>
      </c>
      <c r="G69" s="152" t="s">
        <v>1422</v>
      </c>
      <c r="H69" s="152" t="s">
        <v>1422</v>
      </c>
      <c r="I69" s="152" t="s">
        <v>1422</v>
      </c>
    </row>
    <row r="70" spans="2:15" x14ac:dyDescent="0.2">
      <c r="B70" s="207" t="s">
        <v>1479</v>
      </c>
      <c r="G70" s="153" t="s">
        <v>1425</v>
      </c>
      <c r="H70" s="153" t="s">
        <v>1425</v>
      </c>
      <c r="I70" s="153" t="s">
        <v>1425</v>
      </c>
    </row>
    <row r="71" spans="2:15" x14ac:dyDescent="0.2">
      <c r="B71" s="206" t="s">
        <v>1480</v>
      </c>
    </row>
    <row r="72" spans="2:15" x14ac:dyDescent="0.2">
      <c r="B72" s="206" t="s">
        <v>1481</v>
      </c>
    </row>
    <row r="73" spans="2:15" x14ac:dyDescent="0.2">
      <c r="B73" s="207" t="s">
        <v>1482</v>
      </c>
      <c r="F73" s="286" t="s">
        <v>1483</v>
      </c>
      <c r="G73" s="286" t="s">
        <v>1484</v>
      </c>
      <c r="H73" s="286" t="s">
        <v>1485</v>
      </c>
      <c r="I73" s="286" t="s">
        <v>1486</v>
      </c>
      <c r="J73" s="286" t="s">
        <v>1487</v>
      </c>
      <c r="K73" s="286" t="s">
        <v>1488</v>
      </c>
      <c r="L73" s="286" t="s">
        <v>1489</v>
      </c>
      <c r="M73" s="286" t="str">
        <f>list!$G$11</f>
        <v>Tropical Montane</v>
      </c>
      <c r="N73" s="286" t="s">
        <v>1490</v>
      </c>
      <c r="O73" s="286" t="s">
        <v>1491</v>
      </c>
    </row>
    <row r="74" spans="2:15" x14ac:dyDescent="0.2">
      <c r="B74" s="207" t="s">
        <v>1492</v>
      </c>
      <c r="F74" s="295" t="s">
        <v>57</v>
      </c>
      <c r="G74" s="295" t="s">
        <v>57</v>
      </c>
      <c r="H74" s="295" t="s">
        <v>57</v>
      </c>
      <c r="I74" s="295" t="s">
        <v>57</v>
      </c>
      <c r="J74" s="295" t="s">
        <v>57</v>
      </c>
      <c r="K74" s="295" t="s">
        <v>57</v>
      </c>
      <c r="L74" s="295" t="s">
        <v>57</v>
      </c>
      <c r="M74" s="295" t="s">
        <v>57</v>
      </c>
      <c r="N74" s="295" t="s">
        <v>57</v>
      </c>
      <c r="O74" s="295" t="s">
        <v>57</v>
      </c>
    </row>
    <row r="75" spans="2:15" x14ac:dyDescent="0.2">
      <c r="B75" s="206" t="s">
        <v>1493</v>
      </c>
      <c r="F75" s="6" t="s">
        <v>1494</v>
      </c>
      <c r="G75" s="6" t="s">
        <v>1494</v>
      </c>
      <c r="H75" s="6" t="s">
        <v>1494</v>
      </c>
      <c r="I75" s="6" t="s">
        <v>1494</v>
      </c>
      <c r="J75" s="6" t="s">
        <v>1494</v>
      </c>
      <c r="K75" s="6" t="s">
        <v>1494</v>
      </c>
      <c r="L75" s="6" t="s">
        <v>1494</v>
      </c>
      <c r="M75" s="6" t="s">
        <v>1494</v>
      </c>
      <c r="N75" s="6" t="s">
        <v>1494</v>
      </c>
      <c r="O75" s="6" t="s">
        <v>1494</v>
      </c>
    </row>
    <row r="76" spans="2:15" x14ac:dyDescent="0.2">
      <c r="B76" s="206" t="s">
        <v>1495</v>
      </c>
      <c r="F76" s="629" t="s">
        <v>1407</v>
      </c>
      <c r="G76" s="629" t="s">
        <v>1407</v>
      </c>
      <c r="H76" s="629" t="s">
        <v>1407</v>
      </c>
      <c r="I76" s="629" t="s">
        <v>1407</v>
      </c>
      <c r="J76" s="629" t="s">
        <v>1352</v>
      </c>
      <c r="K76" s="629" t="s">
        <v>1352</v>
      </c>
      <c r="L76" s="629" t="s">
        <v>1352</v>
      </c>
      <c r="M76" s="629" t="s">
        <v>1352</v>
      </c>
      <c r="N76" s="629" t="s">
        <v>1407</v>
      </c>
      <c r="O76" s="629" t="s">
        <v>1407</v>
      </c>
    </row>
    <row r="77" spans="2:15" x14ac:dyDescent="0.2">
      <c r="B77" s="206" t="s">
        <v>1496</v>
      </c>
      <c r="F77" s="629" t="s">
        <v>1497</v>
      </c>
      <c r="G77" s="629" t="s">
        <v>1497</v>
      </c>
      <c r="H77" s="629" t="s">
        <v>1497</v>
      </c>
      <c r="I77" s="629" t="s">
        <v>1497</v>
      </c>
      <c r="J77" s="629" t="s">
        <v>1407</v>
      </c>
      <c r="K77" s="629" t="s">
        <v>1407</v>
      </c>
      <c r="L77" s="629" t="s">
        <v>1407</v>
      </c>
      <c r="M77" s="629" t="s">
        <v>1407</v>
      </c>
      <c r="N77" s="629" t="s">
        <v>1497</v>
      </c>
      <c r="O77" s="629" t="s">
        <v>1497</v>
      </c>
    </row>
    <row r="78" spans="2:15" x14ac:dyDescent="0.2">
      <c r="B78" s="207" t="s">
        <v>1498</v>
      </c>
      <c r="F78" s="629" t="s">
        <v>1499</v>
      </c>
      <c r="G78" s="629" t="s">
        <v>1499</v>
      </c>
      <c r="H78" s="629" t="s">
        <v>1499</v>
      </c>
      <c r="I78" s="629" t="s">
        <v>1499</v>
      </c>
      <c r="J78" s="629" t="s">
        <v>1413</v>
      </c>
      <c r="K78" s="629" t="s">
        <v>1413</v>
      </c>
      <c r="L78" s="629" t="s">
        <v>1413</v>
      </c>
      <c r="M78" s="629" t="s">
        <v>1413</v>
      </c>
      <c r="N78" s="629" t="s">
        <v>1499</v>
      </c>
      <c r="O78" s="629" t="s">
        <v>1499</v>
      </c>
    </row>
    <row r="79" spans="2:15" x14ac:dyDescent="0.2">
      <c r="B79" s="207" t="s">
        <v>1500</v>
      </c>
      <c r="F79" s="629" t="s">
        <v>1501</v>
      </c>
      <c r="G79" s="629" t="s">
        <v>1501</v>
      </c>
      <c r="H79" s="629" t="s">
        <v>1501</v>
      </c>
      <c r="I79" s="629" t="s">
        <v>1501</v>
      </c>
      <c r="J79" s="629" t="s">
        <v>1502</v>
      </c>
      <c r="K79" s="629" t="s">
        <v>1502</v>
      </c>
      <c r="L79" s="629" t="s">
        <v>1502</v>
      </c>
      <c r="M79" s="629" t="s">
        <v>1502</v>
      </c>
      <c r="N79" s="629" t="s">
        <v>1501</v>
      </c>
      <c r="O79" s="629" t="s">
        <v>1501</v>
      </c>
    </row>
    <row r="80" spans="2:15" x14ac:dyDescent="0.2">
      <c r="B80" s="206" t="s">
        <v>1503</v>
      </c>
      <c r="F80" s="629" t="s">
        <v>1424</v>
      </c>
      <c r="G80" s="629" t="s">
        <v>1424</v>
      </c>
      <c r="H80" s="629" t="s">
        <v>1424</v>
      </c>
      <c r="I80" s="629" t="s">
        <v>1424</v>
      </c>
      <c r="J80" s="629" t="s">
        <v>1417</v>
      </c>
      <c r="K80" s="629" t="s">
        <v>1417</v>
      </c>
      <c r="L80" s="629" t="s">
        <v>1417</v>
      </c>
      <c r="M80" s="629" t="s">
        <v>1417</v>
      </c>
      <c r="N80" s="629" t="s">
        <v>1424</v>
      </c>
      <c r="O80" s="629" t="s">
        <v>1424</v>
      </c>
    </row>
    <row r="81" spans="2:15" x14ac:dyDescent="0.2">
      <c r="B81" s="206" t="s">
        <v>1504</v>
      </c>
      <c r="F81" s="629" t="s">
        <v>1427</v>
      </c>
      <c r="G81" s="629" t="s">
        <v>1427</v>
      </c>
      <c r="H81" s="629" t="s">
        <v>1427</v>
      </c>
      <c r="I81" s="629" t="s">
        <v>1427</v>
      </c>
      <c r="J81" s="629" t="s">
        <v>1505</v>
      </c>
      <c r="K81" s="629" t="s">
        <v>1505</v>
      </c>
      <c r="L81" s="629" t="s">
        <v>1505</v>
      </c>
      <c r="M81" s="629" t="s">
        <v>1505</v>
      </c>
      <c r="N81" s="629" t="s">
        <v>1427</v>
      </c>
      <c r="O81" s="629" t="s">
        <v>1427</v>
      </c>
    </row>
    <row r="82" spans="2:15" x14ac:dyDescent="0.2">
      <c r="B82" s="206" t="s">
        <v>1506</v>
      </c>
      <c r="F82" s="629" t="s">
        <v>1507</v>
      </c>
      <c r="G82" s="629" t="s">
        <v>1507</v>
      </c>
      <c r="H82" s="629" t="s">
        <v>1507</v>
      </c>
      <c r="I82" s="629" t="s">
        <v>1507</v>
      </c>
      <c r="J82" s="629" t="s">
        <v>1508</v>
      </c>
      <c r="K82" s="629" t="s">
        <v>1508</v>
      </c>
      <c r="L82" s="629" t="s">
        <v>1508</v>
      </c>
      <c r="M82" s="629" t="s">
        <v>1508</v>
      </c>
      <c r="N82" s="629" t="s">
        <v>1507</v>
      </c>
      <c r="O82" s="629" t="s">
        <v>1507</v>
      </c>
    </row>
    <row r="83" spans="2:15" x14ac:dyDescent="0.2">
      <c r="B83" s="207" t="s">
        <v>1509</v>
      </c>
      <c r="F83" s="629" t="s">
        <v>1510</v>
      </c>
      <c r="G83" s="629" t="s">
        <v>1510</v>
      </c>
      <c r="H83" s="629" t="s">
        <v>1510</v>
      </c>
      <c r="I83" s="629" t="s">
        <v>1510</v>
      </c>
      <c r="J83" s="629" t="s">
        <v>1421</v>
      </c>
      <c r="K83" s="629" t="s">
        <v>1421</v>
      </c>
      <c r="L83" s="629" t="s">
        <v>1421</v>
      </c>
      <c r="M83" s="629" t="s">
        <v>1421</v>
      </c>
      <c r="N83" s="629" t="s">
        <v>1510</v>
      </c>
      <c r="O83" s="629" t="s">
        <v>1510</v>
      </c>
    </row>
    <row r="84" spans="2:15" x14ac:dyDescent="0.2">
      <c r="B84" s="207" t="s">
        <v>1511</v>
      </c>
      <c r="F84" s="6"/>
      <c r="G84" s="6"/>
      <c r="H84" s="6"/>
      <c r="I84" s="6"/>
      <c r="J84" s="629" t="s">
        <v>1424</v>
      </c>
      <c r="K84" s="629" t="s">
        <v>1424</v>
      </c>
      <c r="L84" s="629" t="s">
        <v>1424</v>
      </c>
      <c r="M84" s="629" t="s">
        <v>1424</v>
      </c>
      <c r="N84" s="6"/>
      <c r="O84" s="6"/>
    </row>
    <row r="85" spans="2:15" x14ac:dyDescent="0.2">
      <c r="B85" s="207" t="s">
        <v>1512</v>
      </c>
      <c r="F85" s="6"/>
      <c r="G85" s="6"/>
      <c r="H85" s="6"/>
      <c r="I85" s="6"/>
      <c r="J85" s="629" t="s">
        <v>1427</v>
      </c>
      <c r="K85" s="629" t="s">
        <v>1427</v>
      </c>
      <c r="L85" s="629" t="s">
        <v>1427</v>
      </c>
      <c r="M85" s="629" t="s">
        <v>1427</v>
      </c>
      <c r="N85" s="6"/>
      <c r="O85" s="6"/>
    </row>
    <row r="86" spans="2:15" x14ac:dyDescent="0.2">
      <c r="B86" s="207" t="s">
        <v>1513</v>
      </c>
      <c r="F86" s="6"/>
      <c r="G86" s="6"/>
      <c r="H86" s="6"/>
      <c r="I86" s="6"/>
      <c r="J86" s="629" t="s">
        <v>1507</v>
      </c>
      <c r="K86" s="629" t="s">
        <v>1507</v>
      </c>
      <c r="L86" s="629" t="s">
        <v>1507</v>
      </c>
      <c r="M86" s="629" t="s">
        <v>1507</v>
      </c>
      <c r="N86" s="6"/>
      <c r="O86" s="6"/>
    </row>
    <row r="87" spans="2:15" x14ac:dyDescent="0.2">
      <c r="B87" s="207" t="s">
        <v>1514</v>
      </c>
    </row>
    <row r="88" spans="2:15" x14ac:dyDescent="0.2">
      <c r="B88" s="207" t="s">
        <v>1515</v>
      </c>
    </row>
    <row r="89" spans="2:15" x14ac:dyDescent="0.2">
      <c r="B89" s="207" t="s">
        <v>1516</v>
      </c>
      <c r="F89" s="361" t="s">
        <v>1517</v>
      </c>
      <c r="G89" s="361" t="s">
        <v>1518</v>
      </c>
      <c r="H89" s="361" t="s">
        <v>1519</v>
      </c>
    </row>
    <row r="90" spans="2:15" x14ac:dyDescent="0.2">
      <c r="B90" s="207" t="s">
        <v>1520</v>
      </c>
      <c r="F90" s="238" t="str">
        <f>F74</f>
        <v>Please select</v>
      </c>
      <c r="G90" s="362" t="str">
        <f>F90</f>
        <v>Please select</v>
      </c>
      <c r="H90" s="238" t="str">
        <f>G90</f>
        <v>Please select</v>
      </c>
    </row>
    <row r="91" spans="2:15" x14ac:dyDescent="0.2">
      <c r="B91" s="207" t="s">
        <v>1521</v>
      </c>
      <c r="F91" s="236" t="s">
        <v>1522</v>
      </c>
      <c r="G91" t="s">
        <v>1523</v>
      </c>
      <c r="H91" t="s">
        <v>738</v>
      </c>
    </row>
    <row r="92" spans="2:15" x14ac:dyDescent="0.2">
      <c r="B92" s="207" t="s">
        <v>1524</v>
      </c>
      <c r="F92" s="236" t="s">
        <v>1525</v>
      </c>
      <c r="G92" t="s">
        <v>1526</v>
      </c>
      <c r="H92" t="s">
        <v>1527</v>
      </c>
    </row>
    <row r="93" spans="2:15" x14ac:dyDescent="0.2">
      <c r="B93" s="207" t="s">
        <v>1528</v>
      </c>
      <c r="F93" s="236" t="s">
        <v>1529</v>
      </c>
      <c r="G93" s="341" t="s">
        <v>1530</v>
      </c>
      <c r="H93" s="236" t="s">
        <v>1531</v>
      </c>
    </row>
    <row r="94" spans="2:15" x14ac:dyDescent="0.2">
      <c r="B94" s="206" t="s">
        <v>1532</v>
      </c>
      <c r="F94" s="236" t="s">
        <v>1533</v>
      </c>
      <c r="H94" s="236" t="s">
        <v>1534</v>
      </c>
    </row>
    <row r="95" spans="2:15" x14ac:dyDescent="0.2">
      <c r="B95" s="206" t="s">
        <v>1535</v>
      </c>
      <c r="F95" s="236" t="s">
        <v>1536</v>
      </c>
      <c r="H95" s="236" t="s">
        <v>1537</v>
      </c>
    </row>
    <row r="96" spans="2:15" x14ac:dyDescent="0.2">
      <c r="B96" s="206" t="s">
        <v>1538</v>
      </c>
      <c r="F96" s="237" t="s">
        <v>1539</v>
      </c>
      <c r="H96" s="236" t="s">
        <v>1540</v>
      </c>
    </row>
    <row r="97" spans="2:8" x14ac:dyDescent="0.2">
      <c r="B97" s="207" t="s">
        <v>1541</v>
      </c>
      <c r="H97" s="237" t="s">
        <v>1542</v>
      </c>
    </row>
    <row r="98" spans="2:8" x14ac:dyDescent="0.2">
      <c r="B98" s="207" t="s">
        <v>1543</v>
      </c>
    </row>
    <row r="99" spans="2:8" x14ac:dyDescent="0.2">
      <c r="B99" s="206" t="s">
        <v>491</v>
      </c>
    </row>
    <row r="100" spans="2:8" x14ac:dyDescent="0.2">
      <c r="B100" s="206" t="s">
        <v>1544</v>
      </c>
    </row>
    <row r="101" spans="2:8" x14ac:dyDescent="0.2">
      <c r="B101" s="206" t="s">
        <v>1546</v>
      </c>
    </row>
    <row r="102" spans="2:8" x14ac:dyDescent="0.2">
      <c r="B102" s="207" t="s">
        <v>1548</v>
      </c>
    </row>
    <row r="103" spans="2:8" x14ac:dyDescent="0.2">
      <c r="B103" s="207" t="s">
        <v>1549</v>
      </c>
    </row>
    <row r="104" spans="2:8" x14ac:dyDescent="0.2">
      <c r="B104" s="206" t="s">
        <v>1551</v>
      </c>
    </row>
    <row r="105" spans="2:8" x14ac:dyDescent="0.2">
      <c r="B105" s="207" t="s">
        <v>1553</v>
      </c>
    </row>
    <row r="106" spans="2:8" x14ac:dyDescent="0.2">
      <c r="B106" s="207" t="s">
        <v>530</v>
      </c>
    </row>
    <row r="107" spans="2:8" x14ac:dyDescent="0.2">
      <c r="B107" s="207" t="s">
        <v>1556</v>
      </c>
    </row>
    <row r="108" spans="2:8" x14ac:dyDescent="0.2">
      <c r="B108" s="207" t="s">
        <v>1558</v>
      </c>
    </row>
    <row r="109" spans="2:8" x14ac:dyDescent="0.2">
      <c r="B109" s="206" t="s">
        <v>1560</v>
      </c>
    </row>
    <row r="110" spans="2:8" x14ac:dyDescent="0.2">
      <c r="B110" s="207" t="s">
        <v>1561</v>
      </c>
    </row>
    <row r="111" spans="2:8" x14ac:dyDescent="0.2">
      <c r="B111" s="207" t="s">
        <v>1408</v>
      </c>
    </row>
    <row r="112" spans="2:8" x14ac:dyDescent="0.2">
      <c r="B112" s="206" t="s">
        <v>1562</v>
      </c>
    </row>
    <row r="113" spans="2:7" x14ac:dyDescent="0.2">
      <c r="B113" s="207" t="s">
        <v>1564</v>
      </c>
    </row>
    <row r="114" spans="2:7" x14ac:dyDescent="0.2">
      <c r="B114" s="206" t="s">
        <v>1566</v>
      </c>
    </row>
    <row r="115" spans="2:7" x14ac:dyDescent="0.2">
      <c r="B115" s="207" t="s">
        <v>1568</v>
      </c>
    </row>
    <row r="116" spans="2:7" x14ac:dyDescent="0.2">
      <c r="B116" s="206" t="s">
        <v>1570</v>
      </c>
    </row>
    <row r="117" spans="2:7" x14ac:dyDescent="0.2">
      <c r="B117" s="206" t="s">
        <v>1572</v>
      </c>
    </row>
    <row r="118" spans="2:7" x14ac:dyDescent="0.2">
      <c r="B118" s="206" t="s">
        <v>1573</v>
      </c>
    </row>
    <row r="119" spans="2:7" x14ac:dyDescent="0.2">
      <c r="B119" s="206" t="s">
        <v>1574</v>
      </c>
      <c r="F119" s="430" t="s">
        <v>1396</v>
      </c>
    </row>
    <row r="120" spans="2:7" x14ac:dyDescent="0.2">
      <c r="B120" s="207" t="s">
        <v>1575</v>
      </c>
      <c r="F120" s="238" t="str">
        <f>F90</f>
        <v>Please select</v>
      </c>
    </row>
    <row r="121" spans="2:7" x14ac:dyDescent="0.2">
      <c r="B121" s="206" t="s">
        <v>1576</v>
      </c>
      <c r="F121" s="236" t="s">
        <v>843</v>
      </c>
      <c r="G121" s="236"/>
    </row>
    <row r="122" spans="2:7" x14ac:dyDescent="0.2">
      <c r="B122" s="206" t="s">
        <v>1577</v>
      </c>
      <c r="F122" s="236" t="s">
        <v>845</v>
      </c>
    </row>
    <row r="123" spans="2:7" x14ac:dyDescent="0.2">
      <c r="B123" s="207" t="s">
        <v>1578</v>
      </c>
      <c r="F123" s="236" t="s">
        <v>846</v>
      </c>
    </row>
    <row r="124" spans="2:7" x14ac:dyDescent="0.2">
      <c r="B124" s="206" t="s">
        <v>1579</v>
      </c>
      <c r="F124" s="236" t="s">
        <v>848</v>
      </c>
    </row>
    <row r="125" spans="2:7" x14ac:dyDescent="0.2">
      <c r="B125" s="207" t="s">
        <v>1580</v>
      </c>
      <c r="F125" s="236" t="s">
        <v>847</v>
      </c>
    </row>
    <row r="126" spans="2:7" x14ac:dyDescent="0.2">
      <c r="B126" s="207" t="s">
        <v>1581</v>
      </c>
      <c r="F126" s="237" t="s">
        <v>849</v>
      </c>
    </row>
    <row r="127" spans="2:7" x14ac:dyDescent="0.2">
      <c r="B127" s="206" t="s">
        <v>1582</v>
      </c>
    </row>
    <row r="128" spans="2:7" x14ac:dyDescent="0.2">
      <c r="B128" s="206" t="s">
        <v>1583</v>
      </c>
    </row>
    <row r="129" spans="2:15" x14ac:dyDescent="0.2">
      <c r="B129" s="207" t="s">
        <v>1584</v>
      </c>
      <c r="F129" s="295" t="s">
        <v>1233</v>
      </c>
      <c r="G129" s="295" t="s">
        <v>1233</v>
      </c>
      <c r="H129" s="295" t="s">
        <v>1233</v>
      </c>
      <c r="I129" s="295" t="s">
        <v>1233</v>
      </c>
      <c r="J129" s="295" t="s">
        <v>1233</v>
      </c>
      <c r="K129" s="295" t="s">
        <v>1233</v>
      </c>
      <c r="L129" s="295" t="s">
        <v>1233</v>
      </c>
      <c r="M129" s="295" t="s">
        <v>1233</v>
      </c>
      <c r="N129" s="295" t="s">
        <v>1233</v>
      </c>
      <c r="O129" s="295" t="s">
        <v>1233</v>
      </c>
    </row>
    <row r="130" spans="2:15" x14ac:dyDescent="0.2">
      <c r="B130" s="206" t="s">
        <v>1585</v>
      </c>
      <c r="F130" s="286" t="s">
        <v>1483</v>
      </c>
      <c r="G130" s="286" t="s">
        <v>1484</v>
      </c>
      <c r="H130" s="286" t="s">
        <v>1485</v>
      </c>
      <c r="I130" s="286" t="s">
        <v>1486</v>
      </c>
      <c r="J130" s="286" t="s">
        <v>1487</v>
      </c>
      <c r="K130" s="286" t="s">
        <v>1488</v>
      </c>
      <c r="L130" s="286" t="s">
        <v>1489</v>
      </c>
      <c r="M130" s="286" t="str">
        <f>list!$G$11</f>
        <v>Tropical Montane</v>
      </c>
      <c r="N130" s="286" t="s">
        <v>1490</v>
      </c>
      <c r="O130" s="286" t="s">
        <v>1491</v>
      </c>
    </row>
    <row r="131" spans="2:15" x14ac:dyDescent="0.2">
      <c r="B131" s="206" t="s">
        <v>1586</v>
      </c>
      <c r="F131" s="260" t="s">
        <v>57</v>
      </c>
      <c r="G131" s="260" t="s">
        <v>57</v>
      </c>
      <c r="H131" s="260" t="s">
        <v>57</v>
      </c>
      <c r="I131" s="260" t="s">
        <v>57</v>
      </c>
      <c r="J131" s="260" t="s">
        <v>57</v>
      </c>
      <c r="K131" s="260" t="s">
        <v>57</v>
      </c>
      <c r="L131" s="260" t="s">
        <v>57</v>
      </c>
      <c r="M131" s="260" t="s">
        <v>57</v>
      </c>
      <c r="N131" s="260" t="s">
        <v>57</v>
      </c>
      <c r="O131" s="260" t="s">
        <v>57</v>
      </c>
    </row>
    <row r="132" spans="2:15" x14ac:dyDescent="0.2">
      <c r="B132" s="207" t="s">
        <v>1587</v>
      </c>
      <c r="F132" s="261" t="s">
        <v>1588</v>
      </c>
      <c r="G132" s="261" t="s">
        <v>1588</v>
      </c>
      <c r="H132" s="261" t="s">
        <v>1588</v>
      </c>
      <c r="I132" s="261" t="s">
        <v>1588</v>
      </c>
      <c r="J132" s="261" t="s">
        <v>1588</v>
      </c>
      <c r="K132" s="261" t="s">
        <v>1588</v>
      </c>
      <c r="L132" s="261" t="s">
        <v>1588</v>
      </c>
      <c r="M132" s="261" t="s">
        <v>1588</v>
      </c>
      <c r="N132" s="261" t="s">
        <v>1588</v>
      </c>
      <c r="O132" s="261" t="s">
        <v>1588</v>
      </c>
    </row>
    <row r="133" spans="2:15" x14ac:dyDescent="0.2">
      <c r="B133" s="207" t="s">
        <v>1589</v>
      </c>
      <c r="F133" s="261" t="s">
        <v>1382</v>
      </c>
      <c r="G133" s="261" t="s">
        <v>1382</v>
      </c>
      <c r="H133" s="261" t="s">
        <v>1382</v>
      </c>
      <c r="I133" s="261" t="s">
        <v>1382</v>
      </c>
      <c r="J133" s="261" t="s">
        <v>1382</v>
      </c>
      <c r="K133" s="261" t="s">
        <v>1382</v>
      </c>
      <c r="L133" s="261" t="s">
        <v>1382</v>
      </c>
      <c r="M133" s="261" t="s">
        <v>1382</v>
      </c>
      <c r="N133" s="261" t="s">
        <v>1382</v>
      </c>
      <c r="O133" s="261" t="s">
        <v>1382</v>
      </c>
    </row>
    <row r="134" spans="2:15" x14ac:dyDescent="0.2">
      <c r="B134" s="206" t="s">
        <v>1410</v>
      </c>
      <c r="F134" s="261" t="s">
        <v>1590</v>
      </c>
      <c r="G134" s="261" t="s">
        <v>1590</v>
      </c>
      <c r="H134" s="261" t="s">
        <v>1590</v>
      </c>
      <c r="I134" s="261" t="s">
        <v>1590</v>
      </c>
      <c r="J134" s="261" t="s">
        <v>1590</v>
      </c>
      <c r="K134" s="261" t="s">
        <v>1590</v>
      </c>
      <c r="L134" s="261" t="s">
        <v>1590</v>
      </c>
      <c r="M134" s="261" t="s">
        <v>1590</v>
      </c>
      <c r="N134" s="261" t="s">
        <v>1590</v>
      </c>
      <c r="O134" s="261" t="s">
        <v>1590</v>
      </c>
    </row>
    <row r="135" spans="2:15" x14ac:dyDescent="0.2">
      <c r="B135" s="206" t="s">
        <v>1591</v>
      </c>
      <c r="F135" s="261" t="s">
        <v>1592</v>
      </c>
      <c r="G135" s="261" t="s">
        <v>1592</v>
      </c>
      <c r="H135" s="261" t="s">
        <v>1592</v>
      </c>
      <c r="I135" s="261" t="s">
        <v>1592</v>
      </c>
      <c r="J135" s="261" t="s">
        <v>1592</v>
      </c>
      <c r="K135" s="261" t="s">
        <v>1592</v>
      </c>
      <c r="L135" s="261" t="s">
        <v>1592</v>
      </c>
      <c r="M135" s="261" t="s">
        <v>1592</v>
      </c>
      <c r="N135" s="261" t="s">
        <v>1592</v>
      </c>
      <c r="O135" s="261" t="s">
        <v>1592</v>
      </c>
    </row>
    <row r="136" spans="2:15" x14ac:dyDescent="0.2">
      <c r="B136" s="206" t="s">
        <v>1593</v>
      </c>
      <c r="F136" s="261" t="s">
        <v>1384</v>
      </c>
      <c r="G136" s="261" t="s">
        <v>1384</v>
      </c>
      <c r="H136" s="261" t="s">
        <v>1384</v>
      </c>
      <c r="I136" s="261" t="s">
        <v>1384</v>
      </c>
      <c r="J136" s="261" t="s">
        <v>1384</v>
      </c>
      <c r="K136" s="261" t="s">
        <v>1384</v>
      </c>
      <c r="L136" s="261" t="s">
        <v>1384</v>
      </c>
      <c r="M136" s="261" t="s">
        <v>1384</v>
      </c>
      <c r="N136" s="261" t="s">
        <v>1384</v>
      </c>
      <c r="O136" s="261" t="s">
        <v>1384</v>
      </c>
    </row>
    <row r="137" spans="2:15" x14ac:dyDescent="0.2">
      <c r="B137" s="206" t="s">
        <v>1594</v>
      </c>
      <c r="F137" s="261" t="s">
        <v>1396</v>
      </c>
      <c r="G137" s="261" t="s">
        <v>1396</v>
      </c>
      <c r="H137" s="261" t="s">
        <v>1396</v>
      </c>
      <c r="I137" s="261" t="s">
        <v>1396</v>
      </c>
      <c r="J137" s="261" t="s">
        <v>1396</v>
      </c>
      <c r="K137" s="261" t="s">
        <v>1396</v>
      </c>
      <c r="L137" s="261" t="s">
        <v>1396</v>
      </c>
      <c r="M137" s="261" t="s">
        <v>1396</v>
      </c>
      <c r="N137" s="261" t="s">
        <v>1396</v>
      </c>
      <c r="O137" s="261" t="s">
        <v>1396</v>
      </c>
    </row>
    <row r="138" spans="2:15" x14ac:dyDescent="0.2">
      <c r="B138" s="207" t="s">
        <v>1595</v>
      </c>
      <c r="F138" s="262" t="s">
        <v>1401</v>
      </c>
      <c r="G138" s="262" t="s">
        <v>1401</v>
      </c>
      <c r="H138" s="262" t="s">
        <v>1401</v>
      </c>
      <c r="I138" s="262" t="s">
        <v>1401</v>
      </c>
      <c r="J138" s="262" t="s">
        <v>1401</v>
      </c>
      <c r="K138" s="262" t="s">
        <v>1401</v>
      </c>
      <c r="L138" s="262" t="s">
        <v>1401</v>
      </c>
      <c r="M138" s="262" t="s">
        <v>1401</v>
      </c>
      <c r="N138" s="262" t="s">
        <v>1401</v>
      </c>
      <c r="O138" s="262" t="s">
        <v>1401</v>
      </c>
    </row>
    <row r="139" spans="2:15" s="71" customFormat="1" x14ac:dyDescent="0.2">
      <c r="B139" s="207" t="s">
        <v>1596</v>
      </c>
      <c r="F139" s="286" t="s">
        <v>1483</v>
      </c>
      <c r="G139" s="286" t="s">
        <v>1484</v>
      </c>
      <c r="H139" s="286" t="s">
        <v>1485</v>
      </c>
      <c r="I139" s="286" t="s">
        <v>1486</v>
      </c>
      <c r="J139" s="632" t="s">
        <v>1487</v>
      </c>
      <c r="K139" s="286" t="s">
        <v>1488</v>
      </c>
      <c r="L139" s="286" t="s">
        <v>1489</v>
      </c>
      <c r="M139" s="286" t="str">
        <f>list!$G$11</f>
        <v>Tropical Montane</v>
      </c>
      <c r="N139" s="286" t="s">
        <v>1490</v>
      </c>
      <c r="O139" s="286" t="s">
        <v>1491</v>
      </c>
    </row>
    <row r="140" spans="2:15" x14ac:dyDescent="0.2">
      <c r="B140" s="207" t="s">
        <v>1597</v>
      </c>
      <c r="F140" s="556" t="s">
        <v>57</v>
      </c>
      <c r="G140" s="556" t="s">
        <v>57</v>
      </c>
      <c r="H140" s="556" t="s">
        <v>57</v>
      </c>
      <c r="I140" s="556" t="s">
        <v>57</v>
      </c>
      <c r="J140" s="556" t="s">
        <v>57</v>
      </c>
      <c r="K140" s="556" t="s">
        <v>57</v>
      </c>
      <c r="L140" s="556" t="s">
        <v>57</v>
      </c>
      <c r="M140" s="556" t="s">
        <v>57</v>
      </c>
      <c r="N140" s="556" t="s">
        <v>57</v>
      </c>
      <c r="O140" s="556" t="s">
        <v>57</v>
      </c>
    </row>
    <row r="141" spans="2:15" x14ac:dyDescent="0.2">
      <c r="B141" s="207" t="s">
        <v>1598</v>
      </c>
      <c r="F141" s="556" t="s">
        <v>1407</v>
      </c>
      <c r="G141" s="556" t="s">
        <v>1407</v>
      </c>
      <c r="H141" s="556" t="s">
        <v>1407</v>
      </c>
      <c r="I141" s="556" t="s">
        <v>1407</v>
      </c>
      <c r="J141" s="557" t="s">
        <v>1352</v>
      </c>
      <c r="K141" s="556" t="s">
        <v>1352</v>
      </c>
      <c r="L141" s="560" t="s">
        <v>1352</v>
      </c>
      <c r="M141" s="560" t="s">
        <v>1352</v>
      </c>
      <c r="N141" s="556" t="s">
        <v>1407</v>
      </c>
      <c r="O141" s="556" t="s">
        <v>1407</v>
      </c>
    </row>
    <row r="142" spans="2:15" x14ac:dyDescent="0.2">
      <c r="B142" s="207" t="s">
        <v>1599</v>
      </c>
      <c r="F142" s="556" t="s">
        <v>1497</v>
      </c>
      <c r="G142" s="556" t="s">
        <v>1497</v>
      </c>
      <c r="H142" s="556" t="s">
        <v>1497</v>
      </c>
      <c r="I142" s="556" t="s">
        <v>1497</v>
      </c>
      <c r="J142" s="557" t="s">
        <v>1407</v>
      </c>
      <c r="K142" s="556" t="s">
        <v>1407</v>
      </c>
      <c r="L142" s="560" t="s">
        <v>1407</v>
      </c>
      <c r="M142" s="560" t="s">
        <v>1407</v>
      </c>
      <c r="N142" s="556" t="s">
        <v>1497</v>
      </c>
      <c r="O142" s="556" t="s">
        <v>1497</v>
      </c>
    </row>
    <row r="143" spans="2:15" x14ac:dyDescent="0.2">
      <c r="B143" s="207" t="s">
        <v>1600</v>
      </c>
      <c r="F143" s="556" t="s">
        <v>1499</v>
      </c>
      <c r="G143" s="556" t="s">
        <v>1499</v>
      </c>
      <c r="H143" s="556" t="s">
        <v>1499</v>
      </c>
      <c r="I143" s="556" t="s">
        <v>1499</v>
      </c>
      <c r="J143" s="557" t="s">
        <v>1413</v>
      </c>
      <c r="K143" s="556" t="s">
        <v>1413</v>
      </c>
      <c r="L143" s="560" t="s">
        <v>1413</v>
      </c>
      <c r="M143" s="560" t="s">
        <v>1413</v>
      </c>
      <c r="N143" s="556" t="s">
        <v>1499</v>
      </c>
      <c r="O143" s="556" t="s">
        <v>1499</v>
      </c>
    </row>
    <row r="144" spans="2:15" x14ac:dyDescent="0.2">
      <c r="B144" s="206" t="s">
        <v>1601</v>
      </c>
      <c r="F144" s="556" t="s">
        <v>1501</v>
      </c>
      <c r="G144" s="556" t="s">
        <v>1501</v>
      </c>
      <c r="H144" s="556" t="s">
        <v>1501</v>
      </c>
      <c r="I144" s="556" t="s">
        <v>1501</v>
      </c>
      <c r="J144" s="557" t="s">
        <v>1502</v>
      </c>
      <c r="K144" s="556" t="s">
        <v>1502</v>
      </c>
      <c r="L144" s="560" t="s">
        <v>1502</v>
      </c>
      <c r="M144" s="560" t="s">
        <v>1502</v>
      </c>
      <c r="N144" s="556" t="s">
        <v>1501</v>
      </c>
      <c r="O144" s="556" t="s">
        <v>1501</v>
      </c>
    </row>
    <row r="145" spans="2:15" x14ac:dyDescent="0.2">
      <c r="B145" s="206" t="s">
        <v>1602</v>
      </c>
      <c r="F145" s="556" t="s">
        <v>1424</v>
      </c>
      <c r="G145" s="556" t="s">
        <v>1424</v>
      </c>
      <c r="H145" s="556" t="s">
        <v>1424</v>
      </c>
      <c r="I145" s="556" t="s">
        <v>1424</v>
      </c>
      <c r="J145" s="557" t="s">
        <v>1417</v>
      </c>
      <c r="K145" s="556" t="s">
        <v>1417</v>
      </c>
      <c r="L145" s="560" t="s">
        <v>1417</v>
      </c>
      <c r="M145" s="560" t="s">
        <v>1417</v>
      </c>
      <c r="N145" s="556" t="s">
        <v>1424</v>
      </c>
      <c r="O145" s="556" t="s">
        <v>1424</v>
      </c>
    </row>
    <row r="146" spans="2:15" x14ac:dyDescent="0.2">
      <c r="B146" s="206" t="s">
        <v>1603</v>
      </c>
      <c r="F146" s="556" t="s">
        <v>1427</v>
      </c>
      <c r="G146" s="556" t="s">
        <v>1427</v>
      </c>
      <c r="H146" s="556" t="s">
        <v>1427</v>
      </c>
      <c r="I146" s="556" t="s">
        <v>1427</v>
      </c>
      <c r="J146" s="557" t="s">
        <v>1505</v>
      </c>
      <c r="K146" s="556" t="s">
        <v>1505</v>
      </c>
      <c r="L146" s="560" t="s">
        <v>1505</v>
      </c>
      <c r="M146" s="560" t="s">
        <v>1505</v>
      </c>
      <c r="N146" s="556" t="s">
        <v>1427</v>
      </c>
      <c r="O146" s="556" t="s">
        <v>1427</v>
      </c>
    </row>
    <row r="147" spans="2:15" x14ac:dyDescent="0.2">
      <c r="B147" s="206" t="s">
        <v>1604</v>
      </c>
      <c r="F147" s="556" t="s">
        <v>1507</v>
      </c>
      <c r="G147" s="556" t="s">
        <v>1507</v>
      </c>
      <c r="H147" s="556" t="s">
        <v>1507</v>
      </c>
      <c r="I147" s="556" t="s">
        <v>1507</v>
      </c>
      <c r="J147" s="557" t="s">
        <v>1508</v>
      </c>
      <c r="K147" s="556" t="s">
        <v>1508</v>
      </c>
      <c r="L147" s="560" t="s">
        <v>1508</v>
      </c>
      <c r="M147" s="560" t="s">
        <v>1508</v>
      </c>
      <c r="N147" s="556" t="s">
        <v>1507</v>
      </c>
      <c r="O147" s="556" t="s">
        <v>1507</v>
      </c>
    </row>
    <row r="148" spans="2:15" x14ac:dyDescent="0.2">
      <c r="B148" s="207" t="s">
        <v>1428</v>
      </c>
      <c r="F148" s="556" t="s">
        <v>1510</v>
      </c>
      <c r="G148" s="556" t="s">
        <v>1510</v>
      </c>
      <c r="H148" s="556" t="s">
        <v>1510</v>
      </c>
      <c r="I148" s="556" t="s">
        <v>1510</v>
      </c>
      <c r="J148" s="557" t="s">
        <v>1421</v>
      </c>
      <c r="K148" s="556" t="s">
        <v>1421</v>
      </c>
      <c r="L148" s="560" t="s">
        <v>1421</v>
      </c>
      <c r="M148" s="560" t="s">
        <v>1421</v>
      </c>
      <c r="N148" s="556" t="s">
        <v>1510</v>
      </c>
      <c r="O148" s="556" t="s">
        <v>1510</v>
      </c>
    </row>
    <row r="149" spans="2:15" x14ac:dyDescent="0.2">
      <c r="B149" s="207" t="s">
        <v>1605</v>
      </c>
      <c r="F149" s="556" t="s">
        <v>1494</v>
      </c>
      <c r="G149" s="556" t="s">
        <v>1494</v>
      </c>
      <c r="H149" s="556" t="s">
        <v>1494</v>
      </c>
      <c r="I149" s="556" t="s">
        <v>1494</v>
      </c>
      <c r="J149" s="557" t="s">
        <v>1424</v>
      </c>
      <c r="K149" s="556" t="s">
        <v>1424</v>
      </c>
      <c r="L149" s="560" t="s">
        <v>1424</v>
      </c>
      <c r="M149" s="560" t="s">
        <v>1424</v>
      </c>
      <c r="N149" s="556" t="s">
        <v>1494</v>
      </c>
      <c r="O149" s="556" t="s">
        <v>1494</v>
      </c>
    </row>
    <row r="150" spans="2:15" x14ac:dyDescent="0.2">
      <c r="B150" s="206" t="s">
        <v>1606</v>
      </c>
      <c r="F150" s="556"/>
      <c r="G150" s="556"/>
      <c r="H150" s="556"/>
      <c r="I150" s="556"/>
      <c r="J150" s="557" t="s">
        <v>1427</v>
      </c>
      <c r="K150" s="556" t="s">
        <v>1427</v>
      </c>
      <c r="L150" s="560" t="s">
        <v>1427</v>
      </c>
      <c r="M150" s="560" t="s">
        <v>1427</v>
      </c>
      <c r="N150" s="556"/>
      <c r="O150" s="556"/>
    </row>
    <row r="151" spans="2:15" x14ac:dyDescent="0.2">
      <c r="B151" s="206" t="s">
        <v>1607</v>
      </c>
      <c r="F151" s="558"/>
      <c r="G151" s="558"/>
      <c r="H151" s="558"/>
      <c r="I151" s="558"/>
      <c r="J151" s="559" t="s">
        <v>1507</v>
      </c>
      <c r="K151" s="559" t="s">
        <v>1507</v>
      </c>
      <c r="L151" s="3455" t="s">
        <v>1507</v>
      </c>
      <c r="M151" s="561" t="s">
        <v>1507</v>
      </c>
      <c r="N151" s="558"/>
      <c r="O151" s="558"/>
    </row>
    <row r="152" spans="2:15" x14ac:dyDescent="0.2">
      <c r="B152" s="206" t="s">
        <v>1608</v>
      </c>
      <c r="J152" t="s">
        <v>1494</v>
      </c>
      <c r="K152" t="s">
        <v>1494</v>
      </c>
      <c r="L152" t="s">
        <v>1494</v>
      </c>
      <c r="M152" t="s">
        <v>1494</v>
      </c>
    </row>
    <row r="153" spans="2:15" x14ac:dyDescent="0.2">
      <c r="B153" s="206" t="s">
        <v>548</v>
      </c>
    </row>
    <row r="154" spans="2:15" x14ac:dyDescent="0.2">
      <c r="B154" s="207" t="s">
        <v>1414</v>
      </c>
      <c r="F154" s="3460" t="s">
        <v>1609</v>
      </c>
    </row>
    <row r="155" spans="2:15" x14ac:dyDescent="0.2">
      <c r="B155" s="206" t="s">
        <v>1610</v>
      </c>
      <c r="F155" s="480" t="s">
        <v>57</v>
      </c>
    </row>
    <row r="156" spans="2:15" x14ac:dyDescent="0.2">
      <c r="B156" s="206" t="s">
        <v>551</v>
      </c>
      <c r="F156" s="480" t="s">
        <v>1588</v>
      </c>
    </row>
    <row r="157" spans="2:15" x14ac:dyDescent="0.2">
      <c r="B157" s="207" t="s">
        <v>1611</v>
      </c>
      <c r="F157" s="480" t="s">
        <v>1382</v>
      </c>
    </row>
    <row r="158" spans="2:15" x14ac:dyDescent="0.2">
      <c r="B158" s="206" t="s">
        <v>1612</v>
      </c>
      <c r="F158" s="480" t="s">
        <v>1590</v>
      </c>
    </row>
    <row r="159" spans="2:15" x14ac:dyDescent="0.2">
      <c r="B159" s="207" t="s">
        <v>1613</v>
      </c>
      <c r="F159" s="480" t="s">
        <v>1592</v>
      </c>
    </row>
    <row r="160" spans="2:15" x14ac:dyDescent="0.2">
      <c r="B160" s="206" t="s">
        <v>1614</v>
      </c>
      <c r="F160" s="480" t="s">
        <v>1384</v>
      </c>
    </row>
    <row r="161" spans="2:12" x14ac:dyDescent="0.2">
      <c r="B161" s="207" t="s">
        <v>1615</v>
      </c>
      <c r="F161" s="480" t="s">
        <v>1396</v>
      </c>
    </row>
    <row r="162" spans="2:12" x14ac:dyDescent="0.2">
      <c r="B162" s="207" t="s">
        <v>1616</v>
      </c>
    </row>
    <row r="163" spans="2:12" x14ac:dyDescent="0.2">
      <c r="B163" s="206" t="s">
        <v>1617</v>
      </c>
    </row>
    <row r="164" spans="2:12" x14ac:dyDescent="0.2">
      <c r="B164" s="207" t="s">
        <v>1618</v>
      </c>
    </row>
    <row r="165" spans="2:12" x14ac:dyDescent="0.2">
      <c r="B165" s="206" t="s">
        <v>1619</v>
      </c>
    </row>
    <row r="166" spans="2:12" x14ac:dyDescent="0.2">
      <c r="B166" s="206" t="s">
        <v>1620</v>
      </c>
    </row>
    <row r="167" spans="2:12" x14ac:dyDescent="0.2">
      <c r="B167" s="207" t="s">
        <v>1507</v>
      </c>
      <c r="F167" s="328"/>
      <c r="G167" s="438"/>
      <c r="H167" s="438"/>
      <c r="I167" s="439"/>
      <c r="J167" s="440"/>
      <c r="K167" s="440"/>
      <c r="L167" s="439"/>
    </row>
    <row r="168" spans="2:12" x14ac:dyDescent="0.2">
      <c r="B168" s="206" t="s">
        <v>1621</v>
      </c>
      <c r="F168" s="278"/>
      <c r="G168" s="435"/>
      <c r="H168" s="435"/>
      <c r="I168" s="436"/>
      <c r="J168" s="437"/>
      <c r="K168" s="437"/>
      <c r="L168" s="436"/>
    </row>
    <row r="169" spans="2:12" x14ac:dyDescent="0.2">
      <c r="B169" s="206" t="s">
        <v>1622</v>
      </c>
      <c r="F169" s="441" t="s">
        <v>1623</v>
      </c>
      <c r="G169" s="442" t="s">
        <v>111</v>
      </c>
      <c r="H169" s="442" t="s">
        <v>1360</v>
      </c>
      <c r="I169" s="442" t="s">
        <v>1358</v>
      </c>
      <c r="J169" s="442" t="s">
        <v>114</v>
      </c>
      <c r="K169" s="442" t="s">
        <v>1359</v>
      </c>
      <c r="L169" s="443"/>
    </row>
    <row r="170" spans="2:12" x14ac:dyDescent="0.2">
      <c r="B170" s="207" t="s">
        <v>1624</v>
      </c>
      <c r="F170" s="446" t="s">
        <v>995</v>
      </c>
      <c r="G170" s="447" t="s">
        <v>57</v>
      </c>
      <c r="H170" s="447" t="s">
        <v>57</v>
      </c>
      <c r="I170" s="447" t="s">
        <v>57</v>
      </c>
      <c r="J170" s="447" t="s">
        <v>57</v>
      </c>
      <c r="K170" s="447" t="s">
        <v>57</v>
      </c>
      <c r="L170" s="440"/>
    </row>
    <row r="171" spans="2:12" x14ac:dyDescent="0.2">
      <c r="B171" s="207" t="s">
        <v>1625</v>
      </c>
      <c r="F171" s="63"/>
      <c r="G171" s="63" t="s">
        <v>118</v>
      </c>
      <c r="H171" s="63" t="s">
        <v>119</v>
      </c>
      <c r="I171" s="63" t="s">
        <v>120</v>
      </c>
      <c r="J171" s="63" t="s">
        <v>121</v>
      </c>
      <c r="K171" s="63" t="s">
        <v>122</v>
      </c>
      <c r="L171" s="63"/>
    </row>
    <row r="172" spans="2:12" x14ac:dyDescent="0.2">
      <c r="B172" s="206" t="s">
        <v>1626</v>
      </c>
      <c r="F172" s="20"/>
      <c r="G172" s="20" t="s">
        <v>123</v>
      </c>
      <c r="H172" s="20" t="s">
        <v>124</v>
      </c>
      <c r="I172" s="20" t="s">
        <v>125</v>
      </c>
      <c r="J172" s="20" t="s">
        <v>126</v>
      </c>
      <c r="K172" s="20" t="s">
        <v>127</v>
      </c>
      <c r="L172" s="20"/>
    </row>
    <row r="173" spans="2:12" x14ac:dyDescent="0.2">
      <c r="B173" s="206" t="s">
        <v>1627</v>
      </c>
      <c r="F173" s="20"/>
      <c r="G173" s="20" t="s">
        <v>128</v>
      </c>
      <c r="H173" s="20" t="s">
        <v>129</v>
      </c>
      <c r="I173" s="20" t="s">
        <v>130</v>
      </c>
      <c r="J173" s="20" t="s">
        <v>131</v>
      </c>
      <c r="K173" s="20"/>
      <c r="L173" s="20"/>
    </row>
    <row r="174" spans="2:12" x14ac:dyDescent="0.2">
      <c r="B174" s="207" t="s">
        <v>1628</v>
      </c>
      <c r="F174" s="20"/>
      <c r="G174" s="20" t="s">
        <v>132</v>
      </c>
      <c r="H174" s="20" t="s">
        <v>133</v>
      </c>
      <c r="I174" s="445" t="s">
        <v>134</v>
      </c>
      <c r="J174" s="20" t="s">
        <v>135</v>
      </c>
      <c r="K174" s="20"/>
      <c r="L174" s="20"/>
    </row>
    <row r="175" spans="2:12" x14ac:dyDescent="0.2">
      <c r="B175" s="207" t="s">
        <v>1629</v>
      </c>
      <c r="F175" s="20"/>
      <c r="G175" s="20" t="s">
        <v>140</v>
      </c>
      <c r="H175" s="20" t="s">
        <v>137</v>
      </c>
      <c r="I175" s="445" t="s">
        <v>138</v>
      </c>
      <c r="J175" s="20" t="s">
        <v>139</v>
      </c>
      <c r="K175" s="20"/>
      <c r="L175" s="20"/>
    </row>
    <row r="176" spans="2:12" x14ac:dyDescent="0.2">
      <c r="B176" s="207" t="s">
        <v>1630</v>
      </c>
      <c r="F176" s="20"/>
      <c r="G176" s="20" t="s">
        <v>144</v>
      </c>
      <c r="H176" s="20" t="s">
        <v>141</v>
      </c>
      <c r="I176" s="20" t="s">
        <v>142</v>
      </c>
      <c r="J176" s="20" t="s">
        <v>143</v>
      </c>
      <c r="K176" s="20"/>
      <c r="L176" s="20"/>
    </row>
    <row r="177" spans="2:12" x14ac:dyDescent="0.2">
      <c r="B177" s="206" t="s">
        <v>1631</v>
      </c>
      <c r="F177" s="20"/>
      <c r="G177" s="20" t="s">
        <v>147</v>
      </c>
      <c r="H177" s="20" t="s">
        <v>145</v>
      </c>
      <c r="I177" s="20" t="s">
        <v>146</v>
      </c>
      <c r="J177" s="20"/>
      <c r="K177" s="20"/>
      <c r="L177" s="20"/>
    </row>
    <row r="178" spans="2:12" x14ac:dyDescent="0.2">
      <c r="B178" s="207" t="s">
        <v>1418</v>
      </c>
      <c r="F178" s="20"/>
      <c r="G178" s="20" t="s">
        <v>150</v>
      </c>
      <c r="H178" s="20" t="s">
        <v>148</v>
      </c>
      <c r="I178" s="20" t="s">
        <v>149</v>
      </c>
      <c r="J178" s="20"/>
      <c r="K178" s="20"/>
      <c r="L178" s="20"/>
    </row>
    <row r="179" spans="2:12" x14ac:dyDescent="0.2">
      <c r="B179" s="206" t="s">
        <v>1632</v>
      </c>
      <c r="F179" s="20"/>
      <c r="G179" s="20"/>
      <c r="H179" s="20"/>
      <c r="I179" s="21" t="s">
        <v>151</v>
      </c>
      <c r="J179" s="20"/>
      <c r="K179" s="20"/>
      <c r="L179" s="20"/>
    </row>
    <row r="180" spans="2:12" x14ac:dyDescent="0.2">
      <c r="B180" s="206" t="s">
        <v>1633</v>
      </c>
      <c r="F180" s="20"/>
      <c r="G180" s="20"/>
      <c r="H180" s="20"/>
      <c r="I180" s="20" t="s">
        <v>152</v>
      </c>
      <c r="J180" s="20"/>
      <c r="K180" s="20"/>
      <c r="L180" s="20"/>
    </row>
    <row r="181" spans="2:12" x14ac:dyDescent="0.2">
      <c r="F181" s="20"/>
      <c r="G181" s="20"/>
      <c r="H181" s="20"/>
      <c r="I181" s="20"/>
      <c r="J181" s="20"/>
      <c r="K181" s="20"/>
      <c r="L181" s="20"/>
    </row>
    <row r="182" spans="2:12" x14ac:dyDescent="0.2">
      <c r="F182" s="37"/>
      <c r="G182" s="37"/>
      <c r="H182" s="37"/>
      <c r="I182" s="37"/>
      <c r="J182" s="37"/>
      <c r="K182" s="37"/>
      <c r="L182" s="37"/>
    </row>
    <row r="185" spans="2:12" x14ac:dyDescent="0.2">
      <c r="F185" s="744" t="s">
        <v>1634</v>
      </c>
      <c r="G185" s="684"/>
      <c r="H185" s="684"/>
      <c r="I185" s="684"/>
      <c r="J185" s="743"/>
    </row>
    <row r="186" spans="2:12" x14ac:dyDescent="0.2">
      <c r="F186" s="779" t="s">
        <v>114</v>
      </c>
      <c r="G186" s="779" t="s">
        <v>1358</v>
      </c>
      <c r="H186" s="779" t="s">
        <v>111</v>
      </c>
      <c r="I186" s="779" t="s">
        <v>1359</v>
      </c>
      <c r="J186" s="779" t="s">
        <v>1360</v>
      </c>
    </row>
    <row r="187" spans="2:12" x14ac:dyDescent="0.2">
      <c r="F187" s="456" t="s">
        <v>57</v>
      </c>
      <c r="G187" s="456" t="s">
        <v>57</v>
      </c>
      <c r="H187" s="456" t="s">
        <v>57</v>
      </c>
      <c r="I187" s="456" t="s">
        <v>57</v>
      </c>
      <c r="J187" s="456" t="s">
        <v>57</v>
      </c>
    </row>
    <row r="188" spans="2:12" x14ac:dyDescent="0.2">
      <c r="F188" s="745" t="s">
        <v>1382</v>
      </c>
      <c r="G188" s="745" t="s">
        <v>1382</v>
      </c>
      <c r="H188" s="745" t="s">
        <v>1382</v>
      </c>
      <c r="I188" s="745" t="s">
        <v>1382</v>
      </c>
      <c r="J188" s="745" t="s">
        <v>1382</v>
      </c>
    </row>
    <row r="189" spans="2:12" x14ac:dyDescent="0.2">
      <c r="F189" s="745" t="s">
        <v>1590</v>
      </c>
      <c r="G189" s="745" t="s">
        <v>1590</v>
      </c>
      <c r="H189" s="745" t="s">
        <v>1590</v>
      </c>
      <c r="I189" s="745" t="s">
        <v>1590</v>
      </c>
      <c r="J189" s="745" t="s">
        <v>1590</v>
      </c>
    </row>
    <row r="190" spans="2:12" x14ac:dyDescent="0.2">
      <c r="F190" s="745" t="s">
        <v>1592</v>
      </c>
      <c r="G190" s="745" t="s">
        <v>1592</v>
      </c>
      <c r="H190" s="745" t="s">
        <v>1592</v>
      </c>
      <c r="I190" s="745" t="s">
        <v>1592</v>
      </c>
      <c r="J190" s="745" t="s">
        <v>1592</v>
      </c>
    </row>
    <row r="191" spans="2:12" x14ac:dyDescent="0.2">
      <c r="F191" s="745" t="s">
        <v>1384</v>
      </c>
      <c r="G191" s="745" t="s">
        <v>1384</v>
      </c>
      <c r="H191" s="745" t="s">
        <v>1384</v>
      </c>
      <c r="I191" s="745" t="s">
        <v>1384</v>
      </c>
      <c r="J191" s="745" t="s">
        <v>1384</v>
      </c>
      <c r="L191" s="58"/>
    </row>
    <row r="192" spans="2:12" x14ac:dyDescent="0.2">
      <c r="F192" s="745" t="s">
        <v>1396</v>
      </c>
      <c r="G192" s="745" t="s">
        <v>1396</v>
      </c>
      <c r="H192" s="745" t="s">
        <v>1396</v>
      </c>
      <c r="I192" s="745" t="s">
        <v>1396</v>
      </c>
      <c r="J192" s="745" t="s">
        <v>1396</v>
      </c>
    </row>
    <row r="193" spans="1:10" x14ac:dyDescent="0.2">
      <c r="F193" s="745" t="s">
        <v>1401</v>
      </c>
      <c r="G193" s="745" t="s">
        <v>1401</v>
      </c>
      <c r="H193" s="745" t="s">
        <v>1401</v>
      </c>
      <c r="I193" s="745" t="s">
        <v>1401</v>
      </c>
      <c r="J193" s="745" t="s">
        <v>1401</v>
      </c>
    </row>
    <row r="194" spans="1:10" x14ac:dyDescent="0.2">
      <c r="F194" s="745" t="s">
        <v>1494</v>
      </c>
      <c r="G194" s="745" t="s">
        <v>1494</v>
      </c>
      <c r="H194" s="745" t="s">
        <v>1494</v>
      </c>
      <c r="I194" s="745" t="s">
        <v>1494</v>
      </c>
      <c r="J194" s="745" t="s">
        <v>1494</v>
      </c>
    </row>
    <row r="195" spans="1:10" x14ac:dyDescent="0.2">
      <c r="F195" s="745" t="s">
        <v>1407</v>
      </c>
      <c r="G195" s="745" t="s">
        <v>1407</v>
      </c>
      <c r="H195" s="745" t="s">
        <v>1352</v>
      </c>
      <c r="I195" s="747" t="s">
        <v>1352</v>
      </c>
      <c r="J195" s="745" t="s">
        <v>1407</v>
      </c>
    </row>
    <row r="196" spans="1:10" x14ac:dyDescent="0.2">
      <c r="F196" s="745" t="s">
        <v>1497</v>
      </c>
      <c r="G196" s="745" t="s">
        <v>1497</v>
      </c>
      <c r="H196" s="745" t="s">
        <v>1407</v>
      </c>
      <c r="I196" s="747" t="s">
        <v>1407</v>
      </c>
      <c r="J196" s="745" t="s">
        <v>1497</v>
      </c>
    </row>
    <row r="197" spans="1:10" x14ac:dyDescent="0.2">
      <c r="F197" s="745" t="s">
        <v>1499</v>
      </c>
      <c r="G197" s="745" t="s">
        <v>1499</v>
      </c>
      <c r="H197" s="745" t="s">
        <v>1413</v>
      </c>
      <c r="I197" s="747" t="s">
        <v>1413</v>
      </c>
      <c r="J197" s="745" t="s">
        <v>1499</v>
      </c>
    </row>
    <row r="198" spans="1:10" x14ac:dyDescent="0.2">
      <c r="F198" s="745" t="s">
        <v>1501</v>
      </c>
      <c r="G198" s="745" t="s">
        <v>1501</v>
      </c>
      <c r="H198" s="745" t="s">
        <v>1502</v>
      </c>
      <c r="I198" s="747" t="s">
        <v>1502</v>
      </c>
      <c r="J198" s="745" t="s">
        <v>1501</v>
      </c>
    </row>
    <row r="199" spans="1:10" x14ac:dyDescent="0.2">
      <c r="F199" s="745" t="s">
        <v>1424</v>
      </c>
      <c r="G199" s="745" t="s">
        <v>1424</v>
      </c>
      <c r="H199" s="745" t="s">
        <v>1417</v>
      </c>
      <c r="I199" s="747" t="s">
        <v>1417</v>
      </c>
      <c r="J199" s="745" t="s">
        <v>1424</v>
      </c>
    </row>
    <row r="200" spans="1:10" x14ac:dyDescent="0.2">
      <c r="F200" s="745" t="s">
        <v>1427</v>
      </c>
      <c r="G200" s="745" t="s">
        <v>1427</v>
      </c>
      <c r="H200" s="745" t="s">
        <v>1505</v>
      </c>
      <c r="I200" s="747" t="s">
        <v>1505</v>
      </c>
      <c r="J200" s="745" t="s">
        <v>1427</v>
      </c>
    </row>
    <row r="201" spans="1:10" x14ac:dyDescent="0.2">
      <c r="F201" s="745" t="s">
        <v>1507</v>
      </c>
      <c r="G201" s="745" t="s">
        <v>1507</v>
      </c>
      <c r="H201" s="745" t="s">
        <v>1508</v>
      </c>
      <c r="I201" s="747" t="s">
        <v>1508</v>
      </c>
      <c r="J201" s="745" t="s">
        <v>1507</v>
      </c>
    </row>
    <row r="202" spans="1:10" x14ac:dyDescent="0.2">
      <c r="F202" s="745" t="s">
        <v>1510</v>
      </c>
      <c r="G202" s="745" t="s">
        <v>1510</v>
      </c>
      <c r="H202" s="745" t="s">
        <v>1421</v>
      </c>
      <c r="I202" s="747" t="s">
        <v>1421</v>
      </c>
      <c r="J202" s="745" t="s">
        <v>1510</v>
      </c>
    </row>
    <row r="203" spans="1:10" x14ac:dyDescent="0.2">
      <c r="F203" s="745"/>
      <c r="G203" s="745"/>
      <c r="H203" s="745" t="s">
        <v>1424</v>
      </c>
      <c r="I203" s="747" t="s">
        <v>1424</v>
      </c>
      <c r="J203" s="745"/>
    </row>
    <row r="204" spans="1:10" x14ac:dyDescent="0.2">
      <c r="F204" s="745"/>
      <c r="G204" s="745"/>
      <c r="H204" s="745" t="s">
        <v>1427</v>
      </c>
      <c r="I204" s="747" t="s">
        <v>1427</v>
      </c>
      <c r="J204" s="745"/>
    </row>
    <row r="205" spans="1:10" x14ac:dyDescent="0.2">
      <c r="F205" s="746"/>
      <c r="G205" s="746"/>
      <c r="H205" s="746" t="s">
        <v>1507</v>
      </c>
      <c r="I205" s="780" t="s">
        <v>1507</v>
      </c>
      <c r="J205" s="746"/>
    </row>
    <row r="206" spans="1:10" x14ac:dyDescent="0.2">
      <c r="I206" s="208"/>
    </row>
    <row r="207" spans="1:10" s="1077" customFormat="1" ht="30.5" customHeight="1" x14ac:dyDescent="0.2">
      <c r="A207" s="1079"/>
      <c r="B207" s="1611" t="s">
        <v>1635</v>
      </c>
      <c r="I207" s="1613"/>
    </row>
    <row r="209" spans="2:18" ht="33" x14ac:dyDescent="0.25">
      <c r="C209" s="1095" t="s">
        <v>1636</v>
      </c>
      <c r="E209" s="1078" t="s">
        <v>1637</v>
      </c>
      <c r="F209" s="1078" t="s">
        <v>1638</v>
      </c>
      <c r="G209" s="1079" t="s">
        <v>222</v>
      </c>
      <c r="H209" s="1079" t="s">
        <v>1639</v>
      </c>
      <c r="I209" s="1094" t="s">
        <v>1640</v>
      </c>
      <c r="J209" s="1088" t="s">
        <v>1641</v>
      </c>
      <c r="L209" s="441" t="s">
        <v>1623</v>
      </c>
      <c r="M209" s="442" t="s">
        <v>111</v>
      </c>
      <c r="N209" s="442" t="s">
        <v>1360</v>
      </c>
      <c r="O209" s="442" t="s">
        <v>1358</v>
      </c>
      <c r="P209" s="442" t="s">
        <v>114</v>
      </c>
      <c r="Q209" s="442" t="s">
        <v>1359</v>
      </c>
      <c r="R209" s="443"/>
    </row>
    <row r="210" spans="2:18" x14ac:dyDescent="0.2">
      <c r="C210" s="1079" t="s">
        <v>1642</v>
      </c>
      <c r="E210" t="s">
        <v>1053</v>
      </c>
      <c r="F210" t="s">
        <v>57</v>
      </c>
      <c r="G210" t="s">
        <v>1643</v>
      </c>
      <c r="H210" t="s">
        <v>1643</v>
      </c>
      <c r="I210" t="s">
        <v>1643</v>
      </c>
      <c r="J210" s="236" t="s">
        <v>1055</v>
      </c>
      <c r="L210" s="446" t="s">
        <v>995</v>
      </c>
      <c r="M210" s="447" t="s">
        <v>57</v>
      </c>
      <c r="N210" s="447" t="s">
        <v>57</v>
      </c>
      <c r="O210" s="447" t="s">
        <v>57</v>
      </c>
      <c r="P210" s="447" t="s">
        <v>57</v>
      </c>
      <c r="Q210" s="447" t="s">
        <v>57</v>
      </c>
      <c r="R210" s="440"/>
    </row>
    <row r="211" spans="2:18" ht="16" x14ac:dyDescent="0.2">
      <c r="C211" s="260" t="s">
        <v>57</v>
      </c>
      <c r="E211" t="s">
        <v>1644</v>
      </c>
      <c r="F211" s="1096" t="s">
        <v>1645</v>
      </c>
      <c r="G211" t="s">
        <v>995</v>
      </c>
      <c r="H211" t="s">
        <v>995</v>
      </c>
      <c r="I211" t="s">
        <v>995</v>
      </c>
      <c r="J211" s="237" t="s">
        <v>1646</v>
      </c>
      <c r="L211" s="63"/>
      <c r="M211" s="456" t="s">
        <v>118</v>
      </c>
      <c r="N211" s="63" t="s">
        <v>119</v>
      </c>
      <c r="O211" s="63" t="s">
        <v>120</v>
      </c>
      <c r="P211" s="63" t="s">
        <v>121</v>
      </c>
      <c r="Q211" s="63" t="s">
        <v>122</v>
      </c>
      <c r="R211" s="63"/>
    </row>
    <row r="212" spans="2:18" ht="16" x14ac:dyDescent="0.2">
      <c r="C212" s="261" t="s">
        <v>1494</v>
      </c>
      <c r="E212" t="s">
        <v>1647</v>
      </c>
      <c r="F212" s="1096" t="s">
        <v>1071</v>
      </c>
      <c r="G212" t="s">
        <v>1648</v>
      </c>
      <c r="H212" t="s">
        <v>1648</v>
      </c>
      <c r="I212" t="s">
        <v>1648</v>
      </c>
      <c r="L212" s="20"/>
      <c r="M212" s="20" t="s">
        <v>123</v>
      </c>
      <c r="N212" s="20" t="s">
        <v>124</v>
      </c>
      <c r="O212" s="20" t="s">
        <v>125</v>
      </c>
      <c r="P212" s="20" t="s">
        <v>126</v>
      </c>
      <c r="Q212" s="20" t="s">
        <v>127</v>
      </c>
      <c r="R212" s="20"/>
    </row>
    <row r="213" spans="2:18" ht="16" x14ac:dyDescent="0.2">
      <c r="C213" s="261" t="s">
        <v>1382</v>
      </c>
      <c r="E213" t="s">
        <v>1649</v>
      </c>
      <c r="F213" s="1096" t="s">
        <v>1650</v>
      </c>
      <c r="G213" t="s">
        <v>1651</v>
      </c>
      <c r="H213" t="s">
        <v>1651</v>
      </c>
      <c r="I213" t="s">
        <v>1651</v>
      </c>
      <c r="L213" s="20"/>
      <c r="M213" s="20" t="s">
        <v>128</v>
      </c>
      <c r="N213" s="20" t="s">
        <v>129</v>
      </c>
      <c r="O213" s="20" t="s">
        <v>130</v>
      </c>
      <c r="P213" s="20" t="s">
        <v>131</v>
      </c>
      <c r="Q213" s="20"/>
      <c r="R213" s="20"/>
    </row>
    <row r="214" spans="2:18" x14ac:dyDescent="0.2">
      <c r="C214" s="261" t="s">
        <v>1590</v>
      </c>
      <c r="E214" t="s">
        <v>99</v>
      </c>
      <c r="G214" t="s">
        <v>1652</v>
      </c>
      <c r="H214" t="s">
        <v>1652</v>
      </c>
      <c r="I214" t="s">
        <v>1652</v>
      </c>
      <c r="L214" s="20"/>
      <c r="M214" s="20" t="s">
        <v>132</v>
      </c>
      <c r="N214" s="20" t="s">
        <v>133</v>
      </c>
      <c r="O214" s="445" t="s">
        <v>134</v>
      </c>
      <c r="P214" s="20" t="s">
        <v>135</v>
      </c>
      <c r="Q214" s="20"/>
      <c r="R214" s="20"/>
    </row>
    <row r="215" spans="2:18" x14ac:dyDescent="0.2">
      <c r="C215" s="261" t="s">
        <v>1592</v>
      </c>
      <c r="L215" s="20"/>
      <c r="M215" s="20" t="s">
        <v>140</v>
      </c>
      <c r="N215" s="20" t="s">
        <v>137</v>
      </c>
      <c r="O215" s="445" t="s">
        <v>138</v>
      </c>
      <c r="P215" s="20" t="s">
        <v>139</v>
      </c>
      <c r="Q215" s="20"/>
      <c r="R215" s="20"/>
    </row>
    <row r="216" spans="2:18" ht="19" x14ac:dyDescent="0.25">
      <c r="C216" s="261" t="s">
        <v>1384</v>
      </c>
      <c r="E216" s="1078" t="s">
        <v>1079</v>
      </c>
      <c r="G216" t="s">
        <v>1653</v>
      </c>
      <c r="L216" s="20"/>
      <c r="M216" s="20" t="s">
        <v>144</v>
      </c>
      <c r="N216" s="20" t="s">
        <v>141</v>
      </c>
      <c r="O216" s="20" t="s">
        <v>142</v>
      </c>
      <c r="P216" s="20" t="s">
        <v>143</v>
      </c>
      <c r="Q216" s="20"/>
      <c r="R216" s="20"/>
    </row>
    <row r="217" spans="2:18" x14ac:dyDescent="0.2">
      <c r="C217" s="261" t="s">
        <v>1396</v>
      </c>
      <c r="E217" t="s">
        <v>57</v>
      </c>
      <c r="G217" t="s">
        <v>995</v>
      </c>
      <c r="L217" s="20"/>
      <c r="M217" s="20" t="s">
        <v>147</v>
      </c>
      <c r="N217" s="20" t="s">
        <v>145</v>
      </c>
      <c r="O217" s="20" t="s">
        <v>146</v>
      </c>
      <c r="P217" s="20"/>
      <c r="Q217" s="20"/>
      <c r="R217" s="20"/>
    </row>
    <row r="218" spans="2:18" x14ac:dyDescent="0.2">
      <c r="C218" s="307" t="s">
        <v>1401</v>
      </c>
      <c r="E218" t="s">
        <v>1654</v>
      </c>
      <c r="G218" t="s">
        <v>1648</v>
      </c>
      <c r="L218" s="20"/>
      <c r="M218" s="20" t="s">
        <v>150</v>
      </c>
      <c r="N218" s="20" t="s">
        <v>148</v>
      </c>
      <c r="O218" s="20" t="s">
        <v>149</v>
      </c>
      <c r="P218" s="20"/>
      <c r="Q218" s="20"/>
      <c r="R218" s="20"/>
    </row>
    <row r="219" spans="2:18" x14ac:dyDescent="0.2">
      <c r="E219" t="s">
        <v>1655</v>
      </c>
      <c r="G219" t="s">
        <v>1651</v>
      </c>
      <c r="L219" s="20"/>
      <c r="M219" s="21"/>
      <c r="N219" s="20"/>
      <c r="O219" s="21" t="s">
        <v>151</v>
      </c>
      <c r="P219" s="20"/>
      <c r="Q219" s="20"/>
      <c r="R219" s="20"/>
    </row>
    <row r="220" spans="2:18" x14ac:dyDescent="0.2">
      <c r="L220" s="20"/>
      <c r="M220" s="20"/>
      <c r="N220" s="20"/>
      <c r="O220" s="20" t="s">
        <v>152</v>
      </c>
      <c r="P220" s="20"/>
      <c r="Q220" s="20"/>
      <c r="R220" s="20"/>
    </row>
    <row r="221" spans="2:18" x14ac:dyDescent="0.2">
      <c r="E221" t="s">
        <v>1656</v>
      </c>
      <c r="L221" s="20"/>
      <c r="M221" s="20"/>
      <c r="N221" s="20"/>
      <c r="O221" s="20"/>
      <c r="P221" s="20"/>
      <c r="Q221" s="20"/>
      <c r="R221" s="20"/>
    </row>
    <row r="222" spans="2:18" x14ac:dyDescent="0.2">
      <c r="B222" t="s">
        <v>1301</v>
      </c>
      <c r="E222" t="s">
        <v>57</v>
      </c>
      <c r="L222" s="37"/>
      <c r="M222" s="37"/>
      <c r="N222" s="37"/>
      <c r="O222" s="37"/>
      <c r="P222" s="37"/>
      <c r="Q222" s="37"/>
      <c r="R222" s="37"/>
    </row>
    <row r="223" spans="2:18" x14ac:dyDescent="0.2">
      <c r="B223" t="s">
        <v>57</v>
      </c>
      <c r="E223" t="s">
        <v>1657</v>
      </c>
    </row>
    <row r="224" spans="2:18" x14ac:dyDescent="0.2">
      <c r="B224" t="s">
        <v>1658</v>
      </c>
      <c r="E224" t="s">
        <v>99</v>
      </c>
    </row>
    <row r="225" spans="2:14" x14ac:dyDescent="0.2">
      <c r="B225" t="s">
        <v>1659</v>
      </c>
    </row>
    <row r="226" spans="2:14" x14ac:dyDescent="0.2">
      <c r="B226" t="s">
        <v>1660</v>
      </c>
    </row>
    <row r="229" spans="2:14" s="1079" customFormat="1" ht="30.5" customHeight="1" x14ac:dyDescent="0.2">
      <c r="B229" s="1612" t="s">
        <v>1661</v>
      </c>
    </row>
    <row r="231" spans="2:14" x14ac:dyDescent="0.2">
      <c r="C231" s="1604" t="s">
        <v>1662</v>
      </c>
    </row>
    <row r="232" spans="2:14" x14ac:dyDescent="0.2">
      <c r="B232" t="s">
        <v>863</v>
      </c>
      <c r="C232" t="s">
        <v>57</v>
      </c>
      <c r="I232" s="1643"/>
      <c r="J232" s="1643"/>
      <c r="K232" s="1643"/>
      <c r="L232" s="1643"/>
      <c r="M232" s="1643"/>
      <c r="N232" s="1643"/>
    </row>
    <row r="233" spans="2:14" x14ac:dyDescent="0.2">
      <c r="B233" t="s">
        <v>57</v>
      </c>
      <c r="C233" t="s">
        <v>1663</v>
      </c>
    </row>
    <row r="234" spans="2:14" x14ac:dyDescent="0.2">
      <c r="B234" t="s">
        <v>65</v>
      </c>
      <c r="C234" t="s">
        <v>1664</v>
      </c>
    </row>
    <row r="235" spans="2:14" x14ac:dyDescent="0.2">
      <c r="B235" t="s">
        <v>5285</v>
      </c>
      <c r="C235" t="s">
        <v>1665</v>
      </c>
    </row>
    <row r="236" spans="2:14" x14ac:dyDescent="0.2">
      <c r="B236" t="s">
        <v>5286</v>
      </c>
      <c r="C236" t="s">
        <v>1666</v>
      </c>
    </row>
    <row r="237" spans="2:14" x14ac:dyDescent="0.2">
      <c r="C237" t="s">
        <v>1667</v>
      </c>
    </row>
    <row r="238" spans="2:14" x14ac:dyDescent="0.2">
      <c r="C238" t="s">
        <v>1668</v>
      </c>
    </row>
    <row r="239" spans="2:14" x14ac:dyDescent="0.2">
      <c r="C239" t="s">
        <v>1669</v>
      </c>
    </row>
    <row r="240" spans="2:14" x14ac:dyDescent="0.2">
      <c r="C240" t="s">
        <v>1670</v>
      </c>
    </row>
    <row r="241" spans="2:7" x14ac:dyDescent="0.2">
      <c r="C241" t="s">
        <v>1671</v>
      </c>
    </row>
    <row r="242" spans="2:7" x14ac:dyDescent="0.2">
      <c r="C242" t="s">
        <v>1672</v>
      </c>
    </row>
    <row r="243" spans="2:7" x14ac:dyDescent="0.2">
      <c r="C243" t="s">
        <v>1673</v>
      </c>
    </row>
    <row r="244" spans="2:7" x14ac:dyDescent="0.2">
      <c r="C244" t="s">
        <v>1674</v>
      </c>
    </row>
    <row r="245" spans="2:7" x14ac:dyDescent="0.2">
      <c r="C245" t="s">
        <v>1675</v>
      </c>
    </row>
    <row r="246" spans="2:7" x14ac:dyDescent="0.2">
      <c r="C246" t="s">
        <v>1676</v>
      </c>
    </row>
    <row r="247" spans="2:7" x14ac:dyDescent="0.2">
      <c r="C247" t="s">
        <v>1677</v>
      </c>
    </row>
    <row r="250" spans="2:7" s="1079" customFormat="1" ht="30.5" customHeight="1" x14ac:dyDescent="0.2">
      <c r="B250" s="1612" t="s">
        <v>1678</v>
      </c>
      <c r="F250" s="1079" t="s">
        <v>1679</v>
      </c>
    </row>
    <row r="251" spans="2:7" x14ac:dyDescent="0.2">
      <c r="E251" s="1615"/>
    </row>
    <row r="252" spans="2:7" x14ac:dyDescent="0.2">
      <c r="B252" s="661" t="s">
        <v>1680</v>
      </c>
      <c r="E252" s="1615"/>
      <c r="F252" t="s">
        <v>1681</v>
      </c>
      <c r="G252" t="s">
        <v>1682</v>
      </c>
    </row>
    <row r="253" spans="2:7" x14ac:dyDescent="0.2">
      <c r="B253" s="1676" t="s">
        <v>57</v>
      </c>
      <c r="C253" t="s">
        <v>1683</v>
      </c>
      <c r="D253" t="s">
        <v>864</v>
      </c>
      <c r="E253" s="1615"/>
      <c r="F253" t="s">
        <v>57</v>
      </c>
      <c r="G253" t="s">
        <v>57</v>
      </c>
    </row>
    <row r="254" spans="2:7" x14ac:dyDescent="0.2">
      <c r="B254" s="1676" t="s">
        <v>1684</v>
      </c>
      <c r="C254" t="s">
        <v>1685</v>
      </c>
      <c r="D254" t="s">
        <v>1686</v>
      </c>
      <c r="E254" s="1615"/>
      <c r="F254" t="s">
        <v>1687</v>
      </c>
      <c r="G254" t="s">
        <v>1688</v>
      </c>
    </row>
    <row r="255" spans="2:7" x14ac:dyDescent="0.2">
      <c r="B255" s="1676" t="s">
        <v>1689</v>
      </c>
      <c r="C255" t="s">
        <v>1690</v>
      </c>
      <c r="E255" s="1615"/>
      <c r="F255" t="s">
        <v>1691</v>
      </c>
      <c r="G255" t="s">
        <v>1692</v>
      </c>
    </row>
    <row r="256" spans="2:7" x14ac:dyDescent="0.2">
      <c r="B256" s="1676" t="s">
        <v>1693</v>
      </c>
      <c r="E256" s="1615"/>
      <c r="F256" t="s">
        <v>1694</v>
      </c>
      <c r="G256" t="s">
        <v>1695</v>
      </c>
    </row>
    <row r="257" spans="2:7" x14ac:dyDescent="0.2">
      <c r="B257" s="1676" t="s">
        <v>1696</v>
      </c>
      <c r="E257" s="1615"/>
      <c r="F257" t="s">
        <v>1697</v>
      </c>
      <c r="G257" t="s">
        <v>1698</v>
      </c>
    </row>
    <row r="258" spans="2:7" x14ac:dyDescent="0.2">
      <c r="E258" s="1615"/>
      <c r="F258" t="s">
        <v>1699</v>
      </c>
      <c r="G258" t="s">
        <v>1700</v>
      </c>
    </row>
    <row r="259" spans="2:7" x14ac:dyDescent="0.2">
      <c r="E259" s="1615"/>
      <c r="F259" t="s">
        <v>1701</v>
      </c>
      <c r="G259" t="s">
        <v>1702</v>
      </c>
    </row>
    <row r="260" spans="2:7" x14ac:dyDescent="0.2">
      <c r="B260" t="s">
        <v>1703</v>
      </c>
      <c r="E260" s="1615"/>
      <c r="F260" t="s">
        <v>1704</v>
      </c>
      <c r="G260" t="s">
        <v>1705</v>
      </c>
    </row>
    <row r="261" spans="2:7" x14ac:dyDescent="0.2">
      <c r="B261" s="1676" t="s">
        <v>1684</v>
      </c>
      <c r="C261" s="1676" t="s">
        <v>1689</v>
      </c>
      <c r="D261" s="1676" t="s">
        <v>1693</v>
      </c>
      <c r="E261" s="1615"/>
      <c r="F261" s="1676" t="s">
        <v>1706</v>
      </c>
      <c r="G261" t="s">
        <v>1706</v>
      </c>
    </row>
    <row r="262" spans="2:7" x14ac:dyDescent="0.2">
      <c r="B262" t="s">
        <v>1707</v>
      </c>
      <c r="C262" t="s">
        <v>1707</v>
      </c>
      <c r="D262" t="s">
        <v>1707</v>
      </c>
      <c r="E262" s="1615"/>
    </row>
    <row r="263" spans="2:7" x14ac:dyDescent="0.2">
      <c r="B263" t="s">
        <v>1708</v>
      </c>
      <c r="C263" t="s">
        <v>1708</v>
      </c>
      <c r="E263" s="1615"/>
    </row>
    <row r="264" spans="2:7" x14ac:dyDescent="0.2">
      <c r="B264" t="s">
        <v>1709</v>
      </c>
      <c r="C264" t="s">
        <v>1709</v>
      </c>
      <c r="E264" s="1615"/>
    </row>
    <row r="265" spans="2:7" x14ac:dyDescent="0.2">
      <c r="E265" s="1615"/>
    </row>
    <row r="266" spans="2:7" x14ac:dyDescent="0.2">
      <c r="E266" s="1615"/>
    </row>
    <row r="267" spans="2:7" x14ac:dyDescent="0.2">
      <c r="B267" t="s">
        <v>1301</v>
      </c>
      <c r="E267" s="1615"/>
    </row>
    <row r="268" spans="2:7" x14ac:dyDescent="0.2">
      <c r="B268" t="s">
        <v>57</v>
      </c>
      <c r="E268" s="1615"/>
    </row>
    <row r="269" spans="2:7" x14ac:dyDescent="0.2">
      <c r="B269" t="s">
        <v>1710</v>
      </c>
      <c r="E269" s="1615"/>
    </row>
    <row r="270" spans="2:7" x14ac:dyDescent="0.2">
      <c r="B270" t="s">
        <v>1659</v>
      </c>
      <c r="E270" s="1615"/>
    </row>
    <row r="271" spans="2:7" x14ac:dyDescent="0.2">
      <c r="E271" s="1615"/>
    </row>
    <row r="272" spans="2:7" x14ac:dyDescent="0.2">
      <c r="E272" s="1615"/>
    </row>
    <row r="273" spans="2:5" x14ac:dyDescent="0.2">
      <c r="E273" s="1615"/>
    </row>
    <row r="274" spans="2:5" x14ac:dyDescent="0.2">
      <c r="E274" s="1615"/>
    </row>
    <row r="275" spans="2:5" x14ac:dyDescent="0.2">
      <c r="E275" s="1615"/>
    </row>
    <row r="276" spans="2:5" x14ac:dyDescent="0.2">
      <c r="E276" s="1615"/>
    </row>
    <row r="277" spans="2:5" x14ac:dyDescent="0.2">
      <c r="B277" s="4270" t="s">
        <v>1711</v>
      </c>
      <c r="E277" s="1615"/>
    </row>
    <row r="278" spans="2:5" x14ac:dyDescent="0.2">
      <c r="E278" s="1615"/>
    </row>
    <row r="279" spans="2:5" x14ac:dyDescent="0.2">
      <c r="B279" s="71" t="s">
        <v>1712</v>
      </c>
      <c r="E279" s="1615"/>
    </row>
    <row r="280" spans="2:5" x14ac:dyDescent="0.2">
      <c r="E280" s="1615"/>
    </row>
    <row r="281" spans="2:5" x14ac:dyDescent="0.2">
      <c r="B281" t="s">
        <v>1713</v>
      </c>
      <c r="E281" s="1615"/>
    </row>
    <row r="282" spans="2:5" x14ac:dyDescent="0.2">
      <c r="E282" s="1615"/>
    </row>
    <row r="283" spans="2:5" x14ac:dyDescent="0.2">
      <c r="E283" s="1615"/>
    </row>
    <row r="288" spans="2:5" x14ac:dyDescent="0.2">
      <c r="B288" t="s">
        <v>881</v>
      </c>
      <c r="C288" t="s">
        <v>1714</v>
      </c>
      <c r="D288" t="s">
        <v>1715</v>
      </c>
    </row>
    <row r="289" spans="2:4" x14ac:dyDescent="0.2">
      <c r="B289" t="s">
        <v>886</v>
      </c>
      <c r="C289" t="s">
        <v>1716</v>
      </c>
      <c r="D289" t="s">
        <v>1717</v>
      </c>
    </row>
    <row r="290" spans="2:4" x14ac:dyDescent="0.2">
      <c r="B290" t="s">
        <v>888</v>
      </c>
      <c r="C290" t="s">
        <v>1718</v>
      </c>
      <c r="D290" t="s">
        <v>1719</v>
      </c>
    </row>
    <row r="291" spans="2:4" x14ac:dyDescent="0.2">
      <c r="B291" t="s">
        <v>890</v>
      </c>
      <c r="C291" t="s">
        <v>1720</v>
      </c>
      <c r="D291" t="s">
        <v>1721</v>
      </c>
    </row>
    <row r="292" spans="2:4" x14ac:dyDescent="0.2">
      <c r="B292" t="s">
        <v>893</v>
      </c>
      <c r="C292" t="s">
        <v>1722</v>
      </c>
      <c r="D292" t="s">
        <v>1723</v>
      </c>
    </row>
    <row r="293" spans="2:4" x14ac:dyDescent="0.2">
      <c r="B293" t="s">
        <v>896</v>
      </c>
      <c r="C293" t="s">
        <v>1724</v>
      </c>
      <c r="D293" t="s">
        <v>1725</v>
      </c>
    </row>
    <row r="294" spans="2:4" x14ac:dyDescent="0.2">
      <c r="B294" t="s">
        <v>899</v>
      </c>
      <c r="C294" t="s">
        <v>1726</v>
      </c>
      <c r="D294" t="s">
        <v>1727</v>
      </c>
    </row>
    <row r="295" spans="2:4" x14ac:dyDescent="0.2">
      <c r="B295" t="s">
        <v>902</v>
      </c>
      <c r="C295" t="s">
        <v>1728</v>
      </c>
      <c r="D295" t="s">
        <v>1729</v>
      </c>
    </row>
    <row r="296" spans="2:4" x14ac:dyDescent="0.2">
      <c r="B296" t="s">
        <v>907</v>
      </c>
      <c r="C296" t="s">
        <v>1730</v>
      </c>
      <c r="D296" t="s">
        <v>1731</v>
      </c>
    </row>
    <row r="297" spans="2:4" x14ac:dyDescent="0.2">
      <c r="B297" t="s">
        <v>911</v>
      </c>
      <c r="C297" t="s">
        <v>1732</v>
      </c>
      <c r="D297" t="s">
        <v>1733</v>
      </c>
    </row>
    <row r="298" spans="2:4" x14ac:dyDescent="0.2">
      <c r="B298" t="s">
        <v>911</v>
      </c>
      <c r="C298" t="s">
        <v>1732</v>
      </c>
      <c r="D298" t="s">
        <v>1733</v>
      </c>
    </row>
    <row r="299" spans="2:4" x14ac:dyDescent="0.2">
      <c r="B299" t="s">
        <v>911</v>
      </c>
      <c r="C299" t="s">
        <v>1732</v>
      </c>
      <c r="D299" t="s">
        <v>1733</v>
      </c>
    </row>
    <row r="300" spans="2:4" x14ac:dyDescent="0.2">
      <c r="B300" t="s">
        <v>920</v>
      </c>
      <c r="C300" t="s">
        <v>1734</v>
      </c>
      <c r="D300" t="s">
        <v>1735</v>
      </c>
    </row>
    <row r="301" spans="2:4" x14ac:dyDescent="0.2">
      <c r="B301" t="s">
        <v>922</v>
      </c>
      <c r="C301" t="s">
        <v>1736</v>
      </c>
      <c r="D301" t="s">
        <v>1737</v>
      </c>
    </row>
    <row r="302" spans="2:4" x14ac:dyDescent="0.2">
      <c r="B302" t="s">
        <v>926</v>
      </c>
      <c r="C302" t="s">
        <v>1738</v>
      </c>
      <c r="D302" t="s">
        <v>1739</v>
      </c>
    </row>
    <row r="303" spans="2:4" x14ac:dyDescent="0.2">
      <c r="B303" t="s">
        <v>928</v>
      </c>
      <c r="C303" t="s">
        <v>1740</v>
      </c>
      <c r="D303" t="s">
        <v>1741</v>
      </c>
    </row>
    <row r="304" spans="2:4" x14ac:dyDescent="0.2">
      <c r="B304" t="s">
        <v>911</v>
      </c>
      <c r="C304" t="s">
        <v>1732</v>
      </c>
      <c r="D304" t="s">
        <v>1733</v>
      </c>
    </row>
    <row r="305" spans="2:4" x14ac:dyDescent="0.2">
      <c r="B305" t="s">
        <v>900</v>
      </c>
      <c r="C305" t="s">
        <v>1742</v>
      </c>
      <c r="D305" t="s">
        <v>1743</v>
      </c>
    </row>
    <row r="306" spans="2:4" x14ac:dyDescent="0.2">
      <c r="B306" t="s">
        <v>903</v>
      </c>
      <c r="C306" t="s">
        <v>1744</v>
      </c>
      <c r="D306" t="s">
        <v>1745</v>
      </c>
    </row>
    <row r="307" spans="2:4" x14ac:dyDescent="0.2">
      <c r="B307" t="s">
        <v>929</v>
      </c>
      <c r="C307" t="s">
        <v>1746</v>
      </c>
      <c r="D307" t="s">
        <v>1747</v>
      </c>
    </row>
    <row r="308" spans="2:4" x14ac:dyDescent="0.2">
      <c r="B308" t="s">
        <v>899</v>
      </c>
      <c r="C308" t="s">
        <v>1726</v>
      </c>
      <c r="D308" t="s">
        <v>1727</v>
      </c>
    </row>
    <row r="309" spans="2:4" x14ac:dyDescent="0.2">
      <c r="B309" t="s">
        <v>902</v>
      </c>
      <c r="C309" t="s">
        <v>1728</v>
      </c>
      <c r="D309" t="s">
        <v>1729</v>
      </c>
    </row>
    <row r="310" spans="2:4" x14ac:dyDescent="0.2">
      <c r="B310" t="s">
        <v>928</v>
      </c>
      <c r="C310" t="s">
        <v>1740</v>
      </c>
      <c r="D310" t="s">
        <v>1741</v>
      </c>
    </row>
    <row r="312" spans="2:4" x14ac:dyDescent="0.2">
      <c r="B312" t="s">
        <v>879</v>
      </c>
      <c r="C312" t="s">
        <v>1748</v>
      </c>
      <c r="D312" t="s">
        <v>1749</v>
      </c>
    </row>
    <row r="313" spans="2:4" x14ac:dyDescent="0.2">
      <c r="B313" t="s">
        <v>884</v>
      </c>
      <c r="C313" t="s">
        <v>1750</v>
      </c>
      <c r="D313" t="s">
        <v>1751</v>
      </c>
    </row>
    <row r="314" spans="2:4" x14ac:dyDescent="0.2">
      <c r="B314" t="s">
        <v>884</v>
      </c>
      <c r="C314" t="s">
        <v>1750</v>
      </c>
      <c r="D314" t="s">
        <v>1751</v>
      </c>
    </row>
    <row r="315" spans="2:4" x14ac:dyDescent="0.2">
      <c r="B315" t="s">
        <v>884</v>
      </c>
      <c r="C315" t="s">
        <v>1750</v>
      </c>
      <c r="D315" t="s">
        <v>1751</v>
      </c>
    </row>
    <row r="316" spans="2:4" x14ac:dyDescent="0.2">
      <c r="B316" t="s">
        <v>891</v>
      </c>
      <c r="C316" t="s">
        <v>1752</v>
      </c>
      <c r="D316" t="s">
        <v>1753</v>
      </c>
    </row>
    <row r="317" spans="2:4" x14ac:dyDescent="0.2">
      <c r="B317" t="s">
        <v>891</v>
      </c>
      <c r="C317" t="s">
        <v>1752</v>
      </c>
      <c r="D317" t="s">
        <v>1753</v>
      </c>
    </row>
    <row r="318" spans="2:4" x14ac:dyDescent="0.2">
      <c r="B318" t="s">
        <v>897</v>
      </c>
      <c r="C318" t="s">
        <v>1754</v>
      </c>
      <c r="D318" t="s">
        <v>1755</v>
      </c>
    </row>
    <row r="319" spans="2:4" x14ac:dyDescent="0.2">
      <c r="B319" t="s">
        <v>897</v>
      </c>
      <c r="C319" t="s">
        <v>1754</v>
      </c>
      <c r="D319" t="s">
        <v>1755</v>
      </c>
    </row>
    <row r="320" spans="2:4" x14ac:dyDescent="0.2">
      <c r="B320" t="s">
        <v>905</v>
      </c>
      <c r="C320" t="s">
        <v>1756</v>
      </c>
      <c r="D320" t="s">
        <v>1757</v>
      </c>
    </row>
    <row r="321" spans="2:4" x14ac:dyDescent="0.2">
      <c r="B321" t="s">
        <v>909</v>
      </c>
      <c r="C321" t="s">
        <v>1758</v>
      </c>
      <c r="D321" t="s">
        <v>1759</v>
      </c>
    </row>
    <row r="322" spans="2:4" x14ac:dyDescent="0.2">
      <c r="B322" t="s">
        <v>913</v>
      </c>
      <c r="C322" t="s">
        <v>1760</v>
      </c>
      <c r="D322" t="s">
        <v>1761</v>
      </c>
    </row>
    <row r="323" spans="2:4" x14ac:dyDescent="0.2">
      <c r="B323" t="s">
        <v>916</v>
      </c>
      <c r="C323" t="s">
        <v>1762</v>
      </c>
      <c r="D323" t="s">
        <v>1763</v>
      </c>
    </row>
    <row r="324" spans="2:4" x14ac:dyDescent="0.2">
      <c r="C324" t="s">
        <v>1764</v>
      </c>
      <c r="D324" t="s">
        <v>1765</v>
      </c>
    </row>
    <row r="325" spans="2:4" x14ac:dyDescent="0.2">
      <c r="C325" t="s">
        <v>1764</v>
      </c>
      <c r="D325" t="s">
        <v>1765</v>
      </c>
    </row>
    <row r="326" spans="2:4" x14ac:dyDescent="0.2">
      <c r="B326" t="s">
        <v>924</v>
      </c>
      <c r="C326" t="s">
        <v>1766</v>
      </c>
      <c r="D326" t="s">
        <v>1767</v>
      </c>
    </row>
    <row r="327" spans="2:4" x14ac:dyDescent="0.2">
      <c r="B327" t="s">
        <v>924</v>
      </c>
      <c r="C327" t="s">
        <v>1766</v>
      </c>
      <c r="D327" t="s">
        <v>1767</v>
      </c>
    </row>
    <row r="328" spans="2:4" x14ac:dyDescent="0.2">
      <c r="B328" t="s">
        <v>880</v>
      </c>
      <c r="C328" t="s">
        <v>1768</v>
      </c>
      <c r="D328" t="s">
        <v>1769</v>
      </c>
    </row>
    <row r="329" spans="2:4" x14ac:dyDescent="0.2">
      <c r="B329" t="s">
        <v>885</v>
      </c>
      <c r="C329" t="s">
        <v>1770</v>
      </c>
      <c r="D329" t="s">
        <v>1771</v>
      </c>
    </row>
    <row r="330" spans="2:4" x14ac:dyDescent="0.2">
      <c r="B330" t="s">
        <v>892</v>
      </c>
      <c r="C330" t="s">
        <v>1772</v>
      </c>
      <c r="D330" t="s">
        <v>1773</v>
      </c>
    </row>
    <row r="331" spans="2:4" x14ac:dyDescent="0.2">
      <c r="B331" t="s">
        <v>892</v>
      </c>
      <c r="C331" t="s">
        <v>1772</v>
      </c>
      <c r="D331" t="s">
        <v>1773</v>
      </c>
    </row>
    <row r="332" spans="2:4" x14ac:dyDescent="0.2">
      <c r="B332" t="s">
        <v>898</v>
      </c>
      <c r="C332" t="s">
        <v>1774</v>
      </c>
      <c r="D332" t="s">
        <v>1775</v>
      </c>
    </row>
    <row r="333" spans="2:4" x14ac:dyDescent="0.2">
      <c r="B333" t="s">
        <v>898</v>
      </c>
      <c r="C333" t="s">
        <v>1774</v>
      </c>
      <c r="D333" t="s">
        <v>1775</v>
      </c>
    </row>
    <row r="334" spans="2:4" x14ac:dyDescent="0.2">
      <c r="B334" t="s">
        <v>906</v>
      </c>
      <c r="C334" t="s">
        <v>1776</v>
      </c>
      <c r="D334" t="s">
        <v>1777</v>
      </c>
    </row>
    <row r="335" spans="2:4" x14ac:dyDescent="0.2">
      <c r="B335" t="s">
        <v>910</v>
      </c>
      <c r="C335" t="s">
        <v>1778</v>
      </c>
      <c r="D335" t="s">
        <v>1779</v>
      </c>
    </row>
    <row r="336" spans="2:4" x14ac:dyDescent="0.2">
      <c r="B336" t="s">
        <v>914</v>
      </c>
      <c r="C336" t="s">
        <v>1780</v>
      </c>
      <c r="D336" t="s">
        <v>1781</v>
      </c>
    </row>
    <row r="337" spans="2:4" x14ac:dyDescent="0.2">
      <c r="B337" t="s">
        <v>917</v>
      </c>
      <c r="C337" t="s">
        <v>1782</v>
      </c>
      <c r="D337" t="s">
        <v>1783</v>
      </c>
    </row>
    <row r="338" spans="2:4" x14ac:dyDescent="0.2">
      <c r="B338" t="s">
        <v>925</v>
      </c>
      <c r="C338" t="s">
        <v>1784</v>
      </c>
      <c r="D338" t="s">
        <v>1785</v>
      </c>
    </row>
    <row r="339" spans="2:4" x14ac:dyDescent="0.2">
      <c r="B339" t="s">
        <v>925</v>
      </c>
      <c r="C339" t="s">
        <v>1784</v>
      </c>
      <c r="D339" t="s">
        <v>1785</v>
      </c>
    </row>
    <row r="341" spans="2:4" x14ac:dyDescent="0.2">
      <c r="B341" t="s">
        <v>882</v>
      </c>
      <c r="C341" t="s">
        <v>1786</v>
      </c>
      <c r="D341" t="s">
        <v>1787</v>
      </c>
    </row>
    <row r="342" spans="2:4" x14ac:dyDescent="0.2">
      <c r="B342" t="s">
        <v>894</v>
      </c>
      <c r="C342" t="s">
        <v>1788</v>
      </c>
      <c r="D342" t="s">
        <v>1789</v>
      </c>
    </row>
    <row r="344" spans="2:4" x14ac:dyDescent="0.2">
      <c r="B344" t="s">
        <v>883</v>
      </c>
      <c r="C344" t="s">
        <v>1790</v>
      </c>
      <c r="D344" t="s">
        <v>1791</v>
      </c>
    </row>
    <row r="345" spans="2:4" x14ac:dyDescent="0.2">
      <c r="B345" t="s">
        <v>887</v>
      </c>
      <c r="C345" t="s">
        <v>1792</v>
      </c>
      <c r="D345" t="s">
        <v>1793</v>
      </c>
    </row>
    <row r="346" spans="2:4" x14ac:dyDescent="0.2">
      <c r="B346" t="s">
        <v>889</v>
      </c>
      <c r="C346" t="s">
        <v>1794</v>
      </c>
      <c r="D346" t="s">
        <v>1795</v>
      </c>
    </row>
    <row r="347" spans="2:4" x14ac:dyDescent="0.2">
      <c r="B347" t="s">
        <v>901</v>
      </c>
      <c r="C347" t="s">
        <v>1796</v>
      </c>
      <c r="D347" t="s">
        <v>1797</v>
      </c>
    </row>
    <row r="349" spans="2:4" x14ac:dyDescent="0.2">
      <c r="B349" t="s">
        <v>965</v>
      </c>
      <c r="C349" t="s">
        <v>1798</v>
      </c>
      <c r="D349" t="s">
        <v>1799</v>
      </c>
    </row>
  </sheetData>
  <sortState xmlns:xlrd2="http://schemas.microsoft.com/office/spreadsheetml/2017/richdata2" ref="B233:C273">
    <sortCondition ref="B232:B272"/>
  </sortState>
  <conditionalFormatting sqref="M16:M25">
    <cfRule type="duplicateValues" dxfId="50" priority="7"/>
  </conditionalFormatting>
  <conditionalFormatting sqref="AA19">
    <cfRule type="expression" priority="240">
      <formula>$T$19=$G$213</formula>
    </cfRule>
  </conditionalFormatting>
  <conditionalFormatting sqref="AB26">
    <cfRule type="expression" priority="5">
      <formula>$W$26=$G$213</formula>
    </cfRule>
  </conditionalFormatting>
  <conditionalFormatting sqref="DK43">
    <cfRule type="expression" priority="4">
      <formula>OR($R$43=$E$210,$R$43=$E$214)</formula>
    </cfRule>
  </conditionalFormatting>
  <dataValidations count="2">
    <dataValidation type="list" allowBlank="1" showInputMessage="1" showErrorMessage="1" sqref="E262" xr:uid="{00000000-0002-0000-1300-000000000000}">
      <formula1>OFFSET($B$261,1,MATCH($B$254, $B$261:$D$261,0)-1, COUNTA(OFFSET($B$261,1, MATCH(clim_moist, $B$261:$D$261,0)-1,5,1)), 1)</formula1>
    </dataValidation>
    <dataValidation type="list" allowBlank="1" showInputMessage="1" showErrorMessage="1" sqref="N9" xr:uid="{00000000-0002-0000-1300-000001000000}">
      <formula1>OFFSET($F$21, 1, MATCH(climate, $F$21:$J$21,0)-1, COUNTA(OFFSET($F$21,1,MATCH(climate, $F$21:$J$21,0)-1,6,1)),1)</formula1>
    </dataValidation>
  </dataValidations>
  <pageMargins left="0.7" right="0.7" top="0.75" bottom="0.75" header="0.3" footer="0.3"/>
  <pageSetup paperSize="9" orientation="portrait" r:id="rId1"/>
  <drawing r:id="rId2"/>
  <mc:AlternateContent xmlns:mc="http://schemas.openxmlformats.org/markup-compatibility/2006">
    <mc:Choice Requires="v">
      <legacyDrawing r:id="rId3"/>
    </mc:Choice>
  </mc:AlternateContent>
  <tableParts count="5">
    <tablePart r:id="rId4"/>
    <tablePart r:id="rId5"/>
    <tablePart r:id="rId6"/>
    <tablePart r:id="rId7"/>
    <tablePart r:id="rId8"/>
  </tableParts>
</worksheet>
</file>

<file path=xl/worksheets/sheet4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
  <sheetViews>
    <sheetView zoomScale="115" zoomScaleNormal="115" workbookViewId="0">
      <selection activeCell="C5" sqref="C5"/>
    </sheetView>
  </sheetViews>
  <sheetFormatPr baseColWidth="10" defaultColWidth="8.6640625" defaultRowHeight="15" x14ac:dyDescent="0.2"/>
  <sheetData>
    <row r="1" spans="1:1" x14ac:dyDescent="0.2">
      <c r="A1" s="4278" t="str">
        <f>Languages!B823</f>
        <v>This worksheet is foreseen for user-defined calculations.</v>
      </c>
    </row>
  </sheetData>
  <pageMargins left="0.7" right="0.7" top="0.75" bottom="0.75" header="0.3" footer="0.3"/>
</worksheet>
</file>

<file path=xl/worksheets/sheet4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3"/>
  <sheetViews>
    <sheetView workbookViewId="0"/>
  </sheetViews>
  <sheetFormatPr baseColWidth="10" defaultColWidth="8.6640625" defaultRowHeight="15" x14ac:dyDescent="0.2"/>
  <sheetData>
    <row r="1" spans="1:1" x14ac:dyDescent="0.2">
      <c r="A1" s="4278" t="str">
        <f>Languages!B824</f>
        <v>Users can find climate and soil related data on Earth Map:</v>
      </c>
    </row>
    <row r="2" spans="1:1" x14ac:dyDescent="0.2">
      <c r="A2" s="145" t="s">
        <v>3246</v>
      </c>
    </row>
    <row r="3" spans="1:1" x14ac:dyDescent="0.2">
      <c r="A3" s="4278" t="str">
        <f>Languages!B825</f>
        <v>The website allows to run a script to download all the data of interest to EX-ACT analysis for a preselected polygon (NB. The script may not run correctly for larger areas due to server calculation capaity limits). The downloaded data may be pasted here and subsequently must be processed by the user to derive the average values to be included in the EX-ACT analysis.</v>
      </c>
    </row>
  </sheetData>
  <hyperlinks>
    <hyperlink ref="A2" r:id="rId1" xr:uid="{00000000-0004-0000-2800-000000000000}"/>
  </hyperlinks>
  <pageMargins left="0.7" right="0.7" top="0.75" bottom="0.75" header="0.3" footer="0.3"/>
</worksheet>
</file>

<file path=xl/worksheets/sheet4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7">
    <tabColor rgb="FFFFC000"/>
  </sheetPr>
  <dimension ref="A1:G133"/>
  <sheetViews>
    <sheetView topLeftCell="A25" zoomScaleNormal="100" workbookViewId="0">
      <selection activeCell="B47" sqref="B47"/>
    </sheetView>
  </sheetViews>
  <sheetFormatPr baseColWidth="10" defaultColWidth="9.33203125" defaultRowHeight="14" x14ac:dyDescent="0.15"/>
  <cols>
    <col min="1" max="1" width="9.33203125" style="973"/>
    <col min="2" max="2" width="38" style="1222" customWidth="1"/>
    <col min="3" max="3" width="123.5" style="1222" customWidth="1"/>
    <col min="4" max="4" width="14.33203125" style="973" customWidth="1"/>
    <col min="5" max="5" width="74.33203125" style="973" customWidth="1"/>
    <col min="6" max="6" width="64.33203125" style="973" customWidth="1"/>
    <col min="7" max="16384" width="9.33203125" style="973"/>
  </cols>
  <sheetData>
    <row r="1" spans="1:7" ht="29.5" customHeight="1" x14ac:dyDescent="0.15">
      <c r="B1" s="4637"/>
      <c r="C1" s="4637"/>
      <c r="D1" s="4428"/>
      <c r="E1" s="4428"/>
      <c r="F1" s="4428"/>
    </row>
    <row r="2" spans="1:7" ht="13.25" customHeight="1" x14ac:dyDescent="0.15">
      <c r="A2" s="1281"/>
      <c r="B2" s="1220"/>
      <c r="C2" s="1220"/>
      <c r="D2" s="1281"/>
      <c r="E2" s="1281"/>
      <c r="F2" s="1281"/>
      <c r="G2" s="1281"/>
    </row>
    <row r="3" spans="1:7" ht="43.5" customHeight="1" x14ac:dyDescent="0.15">
      <c r="A3" s="1281"/>
      <c r="B3" s="1223" t="s">
        <v>3247</v>
      </c>
      <c r="C3" s="1221"/>
      <c r="D3" s="1281"/>
      <c r="E3" s="1223" t="s">
        <v>4378</v>
      </c>
      <c r="G3" s="1204"/>
    </row>
    <row r="4" spans="1:7" ht="12.75" customHeight="1" x14ac:dyDescent="0.15">
      <c r="A4" s="1281"/>
    </row>
    <row r="5" spans="1:7" ht="30.75" customHeight="1" x14ac:dyDescent="0.15">
      <c r="A5" s="1281"/>
      <c r="B5" s="1209" t="s">
        <v>1385</v>
      </c>
      <c r="C5" s="1211" t="str">
        <f>Languages!B713</f>
        <v>Represents area that has been continuously managed for predominantly annual crops over 50 yrs.</v>
      </c>
      <c r="D5" s="1203"/>
      <c r="E5" s="4441" t="s">
        <v>4379</v>
      </c>
      <c r="G5" s="1203"/>
    </row>
    <row r="6" spans="1:7" ht="25.5" customHeight="1" x14ac:dyDescent="0.15">
      <c r="A6" s="1281"/>
      <c r="B6" s="1212" t="s">
        <v>1386</v>
      </c>
      <c r="C6" s="1211" t="str">
        <f>Languages!B714</f>
        <v>Long-term perennial tree crops such as fruit and nut trees, coffee and cacao.</v>
      </c>
      <c r="D6" s="1203"/>
      <c r="E6" s="4441" t="s">
        <v>4380</v>
      </c>
      <c r="G6" s="1203"/>
    </row>
    <row r="7" spans="1:7" ht="42" customHeight="1" x14ac:dyDescent="0.15">
      <c r="A7" s="1281"/>
      <c r="B7" s="1212" t="s">
        <v>1387</v>
      </c>
      <c r="C7" s="1211" t="str">
        <f>Languages!B715</f>
        <v>Substantial soil disturbance with full inversion and/or frequent (within year) tillage operations.  At planting time, little (e.g., &lt;30%) of the surface is covered by residues.</v>
      </c>
      <c r="D7" s="1203"/>
      <c r="E7" s="4441" t="s">
        <v>4381</v>
      </c>
      <c r="G7" s="1203"/>
    </row>
    <row r="8" spans="1:7" ht="41.25" customHeight="1" x14ac:dyDescent="0.15">
      <c r="A8" s="1281"/>
      <c r="B8" s="1212" t="s">
        <v>1393</v>
      </c>
      <c r="C8" s="1211" t="str">
        <f>Languages!B716</f>
        <v>Primary and/or secondary tillage but with reduced soil disturbance (usually shallow and without full soil inversion). Normally leaves surface with &gt;30% coverage by residues at planting.</v>
      </c>
      <c r="D8" s="1204"/>
      <c r="E8" s="1204"/>
      <c r="F8" s="1206"/>
      <c r="G8" s="1204"/>
    </row>
    <row r="9" spans="1:7" ht="43.5" customHeight="1" x14ac:dyDescent="0.15">
      <c r="A9" s="1281"/>
      <c r="B9" s="1213" t="s">
        <v>3252</v>
      </c>
      <c r="C9" s="1211" t="str">
        <f>Languages!B717</f>
        <v>Direct seeding without primary tillage, with only minimal soil disturbance in the seeding zone.  Herbicides are typically used for weed control.</v>
      </c>
      <c r="D9" s="1205"/>
      <c r="E9" s="1205"/>
      <c r="F9" s="1206"/>
      <c r="G9" s="1205"/>
    </row>
    <row r="10" spans="1:7" ht="109.5" customHeight="1" x14ac:dyDescent="0.15">
      <c r="A10" s="1281"/>
      <c r="B10" s="1212" t="s">
        <v>3254</v>
      </c>
      <c r="C10" s="1211" t="str">
        <f>Languages!B718</f>
        <v>Low C input cropland systems are defined by one of the following conditions: 
(1) The crop residues of annual crops are removed or burnt without using organic amendments (e.g. manure) or 
(2) Low residue yielding crops are cultivated (e.g cotton, green maize, vegetables, tobacco) or frequent rotation with bare fallow without  organic  amendments, cover crops/green manures, and mixed crop/grass systems or 
(3) Annual crops with no mineral fertilization or N-fixing crops without irrigation, cover crops/green manures, vegetated fallows, high residue yielding crops and mixed crop/grass systems</v>
      </c>
      <c r="D10" s="1206"/>
      <c r="E10" s="1206"/>
      <c r="F10" s="1206"/>
      <c r="G10" s="1206"/>
    </row>
    <row r="11" spans="1:7" ht="120" x14ac:dyDescent="0.15">
      <c r="A11" s="1281"/>
      <c r="B11" s="1212" t="s">
        <v>3255</v>
      </c>
      <c r="C11" s="1211" t="str">
        <f>Languages!B719</f>
        <v>Medium C input cropland systems are defined by one of the following conditions: 
(1) annual cropping with cereals where all crop residues are returned to the field; or 
(2) the crop residues of annual crops are removed or burnt BUT  organic amendments (e.g. manure) are applied or 
(3) low residue crops are cultivated (e.g cotton, green maize, vegetables, tobacco) or frequent rotation with bare fallow  BUT using practices that increase C input above low residue varieties such as using organic amendments,  cover crops/green manures, and mixed crop/grass systems or 
(4) annual crops with no mineral fertilization or N-fixing crops BUT using practices that increase C input by enhancing residue production such as irrigation, cover crops/green manures, vegetated fallows, high residue yielding.</v>
      </c>
      <c r="D11" s="1206"/>
      <c r="E11" s="1206"/>
      <c r="F11" s="1206"/>
      <c r="G11" s="1206"/>
    </row>
    <row r="12" spans="1:7" ht="60" x14ac:dyDescent="0.15">
      <c r="A12" s="1281"/>
      <c r="B12" s="1212" t="s">
        <v>3256</v>
      </c>
      <c r="C12" s="1211" t="str">
        <f>Languages!B720</f>
        <v xml:space="preserve">The crop residues of annual crops are neither  removed nor burnt. It represents significantly greater crop residue inputs over medium C input cropping systems due to additional practices, such as production of high residue yielding crops, use of green manures, cover crops, improved vegetated fallows, irrigation, frequent use of perennial grasses in annual crop rotations,  but without manure applied. 
</v>
      </c>
      <c r="D12" s="1207"/>
      <c r="E12" s="1207"/>
      <c r="F12" s="1207"/>
      <c r="G12" s="1207"/>
    </row>
    <row r="13" spans="1:7" ht="42.75" customHeight="1" x14ac:dyDescent="0.15">
      <c r="A13" s="1281"/>
      <c r="B13" s="1214" t="s">
        <v>3258</v>
      </c>
      <c r="C13" s="1211" t="str">
        <f>Languages!B721</f>
        <v>Represents significantly higher C input over medium C input cropping systems due to an additional practice of regular addition of animal manure.</v>
      </c>
      <c r="D13" s="1204"/>
      <c r="E13" s="1204"/>
      <c r="F13" s="1204"/>
      <c r="G13" s="1204"/>
    </row>
    <row r="14" spans="1:7" ht="42.75" customHeight="1" x14ac:dyDescent="0.15">
      <c r="A14" s="1281"/>
      <c r="B14" s="4306" t="s">
        <v>3260</v>
      </c>
      <c r="C14" s="1211" t="str">
        <f>Languages!B722</f>
        <v>Crop residues are left on the field site to decompose and be re-incorporated in the crop’s soil. Retaining of residues is usually associated with reduced or no-till practices.</v>
      </c>
      <c r="D14" s="1204"/>
      <c r="E14" s="1204"/>
      <c r="F14" s="1204"/>
      <c r="G14" s="1204"/>
    </row>
    <row r="15" spans="1:7" ht="42.75" customHeight="1" x14ac:dyDescent="0.15">
      <c r="A15" s="1281"/>
      <c r="B15" s="4306" t="s">
        <v>3262</v>
      </c>
      <c r="C15" s="1211" t="str">
        <f>Languages!B723</f>
        <v>Crop residues are removed from the field site, in order to be used for other activities (e.g. feeding, energy production). </v>
      </c>
      <c r="D15" s="1204"/>
      <c r="E15" s="1204"/>
      <c r="F15" s="1204"/>
      <c r="G15" s="1204"/>
    </row>
    <row r="16" spans="1:7" ht="42.75" customHeight="1" x14ac:dyDescent="0.15">
      <c r="A16" s="1281"/>
      <c r="B16" s="4306" t="s">
        <v>3264</v>
      </c>
      <c r="C16" s="1211" t="str">
        <f>Languages!B724</f>
        <v>Crop residues are burnt.</v>
      </c>
      <c r="D16" s="1204"/>
      <c r="E16" s="1204"/>
      <c r="F16" s="1204"/>
      <c r="G16" s="1204"/>
    </row>
    <row r="17" spans="1:7" ht="42.75" customHeight="1" x14ac:dyDescent="0.15">
      <c r="A17" s="1281"/>
      <c r="B17" s="1215"/>
      <c r="C17" s="1215"/>
      <c r="D17" s="1204"/>
      <c r="E17" s="1204"/>
      <c r="F17" s="1204"/>
      <c r="G17" s="1204"/>
    </row>
    <row r="18" spans="1:7" ht="57.5" customHeight="1" x14ac:dyDescent="0.15">
      <c r="A18" s="1281"/>
      <c r="B18" s="1223" t="s">
        <v>3266</v>
      </c>
      <c r="C18" s="1223"/>
      <c r="D18" s="1204"/>
      <c r="E18" s="1204"/>
      <c r="F18" s="1204"/>
      <c r="G18" s="1204"/>
    </row>
    <row r="19" spans="1:7" ht="30" x14ac:dyDescent="0.15">
      <c r="A19" s="1281"/>
      <c r="B19" s="1209" t="s">
        <v>3267</v>
      </c>
      <c r="C19" s="1211" t="str">
        <f>Languages!B726</f>
        <v>Land rested from cultivation, but comprises planted and managed trees, often leguminous, shrubs and herbaceous cover crops before it is cultivated again. Includes improved and natural fallows, and can be implemented before any of the following systems.</v>
      </c>
      <c r="D19" s="1204"/>
      <c r="E19" s="1204"/>
      <c r="F19" s="1204"/>
      <c r="G19" s="1204"/>
    </row>
    <row r="20" spans="1:7" ht="15" x14ac:dyDescent="0.15">
      <c r="A20" s="1281"/>
      <c r="B20" s="1212" t="s">
        <v>1356</v>
      </c>
      <c r="C20" s="1211" t="str">
        <f>Languages!B727</f>
        <v>Linear plantation around fields, including shelterbelts, windbreaks, boundary plantings and live fences.</v>
      </c>
      <c r="D20" s="1204"/>
      <c r="E20" s="1204"/>
      <c r="F20" s="1204"/>
      <c r="G20" s="1204"/>
    </row>
    <row r="21" spans="1:7" ht="45" x14ac:dyDescent="0.15">
      <c r="A21" s="1281"/>
      <c r="B21" s="1212" t="s">
        <v>1352</v>
      </c>
      <c r="C21" s="1211" t="str">
        <f>Languages!B728</f>
        <v>Fast-growing, usually leguminous, woody species (mainly shrubs) grown in crop fields, usually at high densities. The woody species are regularly pruned  and the prunings are applied as mulch into the alleys as a source of organic matter and nutrients. Also known as intercropping.</v>
      </c>
      <c r="D21" s="1204"/>
      <c r="E21" s="1204"/>
      <c r="F21" s="1204"/>
      <c r="G21" s="1204"/>
    </row>
    <row r="22" spans="1:7" ht="30" x14ac:dyDescent="0.15">
      <c r="A22" s="1281"/>
      <c r="B22" s="1212" t="s">
        <v>1361</v>
      </c>
      <c r="C22" s="1211" t="str">
        <f>Languages!B729</f>
        <v>Multistorey combinations of a large number of various trees and perennial and annual crops. They include home gardens and agroforests.</v>
      </c>
      <c r="D22" s="1204"/>
      <c r="E22" s="1204"/>
      <c r="F22" s="1204"/>
      <c r="G22" s="1204"/>
    </row>
    <row r="23" spans="1:7" ht="30" x14ac:dyDescent="0.15">
      <c r="A23" s="1281"/>
      <c r="B23" s="1212" t="s">
        <v>1363</v>
      </c>
      <c r="C23" s="1211" t="str">
        <f>Languages!B730</f>
        <v>Intercropping of agricultural crops or grazing land under low density mature scattered trees.  Typical of dry areas like Sahel (e.g. Faidherbia albida).</v>
      </c>
      <c r="D23" s="1208"/>
      <c r="E23" s="1208"/>
      <c r="F23" s="1208"/>
      <c r="G23" s="1208"/>
    </row>
    <row r="24" spans="1:7" ht="30" x14ac:dyDescent="0.15">
      <c r="A24" s="1281"/>
      <c r="B24" s="1212" t="s">
        <v>3273</v>
      </c>
      <c r="C24" s="1211" t="str">
        <f>Languages!B731</f>
        <v>Growing shade-tolerant species such as cacao and coffee under, or in between, overstorey shade trees that can be used for timber or other commercial tree products</v>
      </c>
      <c r="D24" s="1204"/>
      <c r="E24" s="1204"/>
      <c r="F24" s="1204"/>
      <c r="G24" s="1204"/>
    </row>
    <row r="25" spans="1:7" ht="30" x14ac:dyDescent="0.15">
      <c r="A25" s="1281"/>
      <c r="B25" s="1212" t="s">
        <v>1367</v>
      </c>
      <c r="C25" s="1211" t="str">
        <f>Languages!B732</f>
        <v>Woody species planted in parallel tree rows to allow mechanization and intercropped with an annual crop; usually used for timber (e.p. Juglans spp), but also for fuel (e.g. Populus spp). Usually low tree density per hectare.</v>
      </c>
      <c r="D25" s="1204"/>
      <c r="E25" s="1204"/>
      <c r="F25" s="1204"/>
      <c r="G25" s="1204"/>
    </row>
    <row r="26" spans="1:7" ht="15" x14ac:dyDescent="0.15">
      <c r="A26" s="1281"/>
      <c r="B26" s="1214" t="s">
        <v>1369</v>
      </c>
      <c r="C26" s="1211" t="str">
        <f>Languages!B733</f>
        <v>Woody species planted on permanent grasslands, often grazed.</v>
      </c>
      <c r="D26" s="1208"/>
      <c r="E26" s="1208"/>
      <c r="F26" s="1208"/>
      <c r="G26" s="1208"/>
    </row>
    <row r="27" spans="1:7" x14ac:dyDescent="0.15">
      <c r="A27" s="1281"/>
      <c r="B27" s="1216"/>
      <c r="C27" s="1217"/>
      <c r="D27" s="1208"/>
      <c r="E27" s="1208"/>
      <c r="F27" s="1208"/>
      <c r="G27" s="1208"/>
    </row>
    <row r="28" spans="1:7" ht="44.75" customHeight="1" x14ac:dyDescent="0.15">
      <c r="A28" s="1281"/>
      <c r="B28" s="1223" t="s">
        <v>1384</v>
      </c>
      <c r="C28" s="1223"/>
      <c r="D28" s="1208"/>
      <c r="E28" s="1208"/>
      <c r="F28" s="1208"/>
      <c r="G28" s="1208"/>
    </row>
    <row r="29" spans="1:7" ht="27.75" customHeight="1" x14ac:dyDescent="0.15">
      <c r="A29" s="1281"/>
      <c r="B29" s="1209" t="s">
        <v>3277</v>
      </c>
      <c r="C29" s="1210" t="str">
        <f>Languages!B735</f>
        <v>Fields are flooded for a significant period of time and the water regime is fully controlled.</v>
      </c>
      <c r="D29" s="1208"/>
      <c r="E29" s="1208"/>
      <c r="F29" s="1208"/>
      <c r="G29" s="1208"/>
    </row>
    <row r="30" spans="1:7" ht="59.25" customHeight="1" x14ac:dyDescent="0.15">
      <c r="A30" s="1281"/>
      <c r="B30" s="1212" t="s">
        <v>3279</v>
      </c>
      <c r="C30" s="1210" t="str">
        <f>Languages!B736</f>
        <v>Fields have standing water throughout the rice growing season and may only dry out for harvest  end-season drainage. Rice is cultivated under continuously  flooded condintion but sometimes an end-season drainage before rice harvest included.</v>
      </c>
      <c r="D30" s="1204"/>
      <c r="E30" s="1204"/>
      <c r="F30" s="1204"/>
      <c r="G30" s="1204"/>
    </row>
    <row r="31" spans="1:7" ht="60" customHeight="1" x14ac:dyDescent="0.15">
      <c r="A31" s="1281"/>
      <c r="B31" s="1212" t="s">
        <v>3281</v>
      </c>
      <c r="C31" s="1210" t="str">
        <f>Languages!B737</f>
        <v>Fields have a single drainage event and period during the cropping season at any growth stage, in addition to the end of season drainage. One mid-season drainage and an end-season drainage are adopted over the entire rice-growing season.</v>
      </c>
      <c r="D31" s="1204"/>
      <c r="E31" s="1204"/>
      <c r="F31" s="1204"/>
      <c r="G31" s="1204"/>
    </row>
    <row r="32" spans="1:7" ht="78.75" customHeight="1" x14ac:dyDescent="0.15">
      <c r="A32" s="1281"/>
      <c r="B32" s="1212" t="s">
        <v>3283</v>
      </c>
      <c r="C32" s="1210" t="str">
        <f>Languages!B738</f>
        <v>Fields have more than one drainage event and period of time without flooded conditions during the cropping season, in addition to an end of season drainage, including alternate wetting and drying (AWD). Also called 'intermittent irrigation', in which the number of drainage events was not clear, but there are more than one events during the growing season.</v>
      </c>
      <c r="D32" s="1204"/>
      <c r="E32" s="1204"/>
      <c r="F32" s="1204"/>
      <c r="G32" s="1204"/>
    </row>
    <row r="33" spans="1:7" ht="32" customHeight="1" x14ac:dyDescent="0.15">
      <c r="A33" s="1281"/>
      <c r="B33" s="1212" t="s">
        <v>3285</v>
      </c>
      <c r="C33" s="1210" t="str">
        <f>Languages!B739</f>
        <v>Fields are flooded for a significant period of time with water regimes that depend solely on precipitation.</v>
      </c>
      <c r="D33" s="1204"/>
      <c r="E33" s="1204"/>
      <c r="F33" s="1204"/>
      <c r="G33" s="1204"/>
    </row>
    <row r="34" spans="1:7" ht="41.25" customHeight="1" x14ac:dyDescent="0.15">
      <c r="A34" s="1281"/>
      <c r="B34" s="1212" t="s">
        <v>1533</v>
      </c>
      <c r="C34" s="1210" t="str">
        <f>Languages!B740</f>
        <v>Rice cultivation that relies on rainfall for water, in this case the field is flood prone during the rice-growing season. The water level may rise up to 50 cm during the cropping season.</v>
      </c>
      <c r="D34" s="1204"/>
      <c r="E34" s="1204"/>
      <c r="F34" s="1204"/>
      <c r="G34" s="1204"/>
    </row>
    <row r="35" spans="1:7" ht="30" x14ac:dyDescent="0.15">
      <c r="A35" s="1281"/>
      <c r="B35" s="1212" t="s">
        <v>1536</v>
      </c>
      <c r="C35" s="1210" t="str">
        <f>Languages!B741</f>
        <v>Rice cultivation that relies on rainfall for water, in this case the field is drought prone during the rice-growing season. Drought periods occur during every cropping season.</v>
      </c>
      <c r="D35" s="1204"/>
      <c r="E35" s="1204"/>
      <c r="F35" s="1204"/>
      <c r="G35" s="1204"/>
    </row>
    <row r="36" spans="1:7" ht="15" x14ac:dyDescent="0.15">
      <c r="A36" s="1281"/>
      <c r="B36" s="1212" t="s">
        <v>3289</v>
      </c>
      <c r="C36" s="1210" t="str">
        <f>Languages!B742</f>
        <v>Water level rises to more than 50 cm above the soil for a significant period of time during the cropping season.</v>
      </c>
      <c r="D36" s="1205"/>
      <c r="E36" s="1205"/>
      <c r="F36" s="1205"/>
      <c r="G36" s="1205"/>
    </row>
    <row r="37" spans="1:7" ht="68" customHeight="1" x14ac:dyDescent="0.15">
      <c r="A37" s="1281"/>
      <c r="B37" s="1212" t="s">
        <v>3291</v>
      </c>
      <c r="C37" s="1210" t="str">
        <f>Languages!B743</f>
        <v>Permanently flooded rice fields are assumed to have a preseason water regime of ‘flooded pre-season’. Late rice (e.g., in China) is usually planted immediately after early rice on the same field and is therefore regarded as having a pre-season water regime of ‘flooded pre-season’.</v>
      </c>
      <c r="D37" s="1204"/>
      <c r="E37" s="1204"/>
      <c r="F37" s="1204"/>
      <c r="G37" s="1204"/>
    </row>
    <row r="38" spans="1:7" ht="48.5" customHeight="1" x14ac:dyDescent="0.15">
      <c r="A38" s="1281"/>
      <c r="B38" s="1212" t="s">
        <v>3293</v>
      </c>
      <c r="C38" s="1210" t="str">
        <f>Languages!B744</f>
        <v>If rice is planted once a year and the field is not flooded in the non-rice growing season, the preseason water regime is classified as  ‘non flooded pre-season &gt;180 d’.</v>
      </c>
      <c r="D38" s="1204"/>
      <c r="E38" s="1204"/>
      <c r="F38" s="1204"/>
      <c r="G38" s="1204"/>
    </row>
    <row r="39" spans="1:7" ht="50.25" customHeight="1" x14ac:dyDescent="0.15">
      <c r="A39" s="1281"/>
      <c r="B39" s="1212" t="s">
        <v>3295</v>
      </c>
      <c r="C39" s="1210" t="str">
        <f>Languages!B745</f>
        <v>Rice is planted more than once a year, but there is more than one month of fallow time between the two seasons, ‘non-flooded pre-season &lt;180 d’ usually implies pre-season drainage.</v>
      </c>
      <c r="D39" s="1204"/>
      <c r="E39" s="1204"/>
      <c r="F39" s="1204"/>
      <c r="G39" s="1204"/>
    </row>
    <row r="40" spans="1:7" ht="32" customHeight="1" x14ac:dyDescent="0.15">
      <c r="A40" s="1281"/>
      <c r="B40" s="1212" t="s">
        <v>3297</v>
      </c>
      <c r="C40" s="1210" t="str">
        <f>Languages!B746</f>
        <v>Refers to the number of times rice is harvested per year. By default 1.</v>
      </c>
      <c r="D40" s="1208"/>
      <c r="E40" s="1208"/>
      <c r="F40" s="1208"/>
      <c r="G40" s="1208"/>
    </row>
    <row r="41" spans="1:7" ht="69.75" customHeight="1" x14ac:dyDescent="0.15">
      <c r="A41" s="1281"/>
      <c r="B41" s="1212" t="s">
        <v>3299</v>
      </c>
      <c r="C41" s="1210" t="str">
        <f>Languages!B747</f>
        <v>Straw applied just before rice transplanting as on-season; straw that is left on the soil surface in the fallow season and incorporated into the soil before the next rice transplanting is also categorized as ‘straw incorporated shortly (&lt;30 days) before cultivation’. The amount of straw return is expressed in dry weight (t ha-1).</v>
      </c>
      <c r="D41" s="1204"/>
      <c r="E41" s="1204"/>
      <c r="F41" s="1204"/>
      <c r="G41" s="1204"/>
    </row>
    <row r="42" spans="1:7" ht="43.5" customHeight="1" x14ac:dyDescent="0.15">
      <c r="A42" s="1281"/>
      <c r="B42" s="1214" t="s">
        <v>3301</v>
      </c>
      <c r="C42" s="1210" t="str">
        <f>Languages!B748</f>
        <v>Straw incorporated into soils in the previous season (upland crop or fallow) is categorized as ‘straw incorporated long (&gt;30 days) before cultivation’.  The amount of straw return is expressed in dry weight (t ha-1).</v>
      </c>
      <c r="D42" s="1204"/>
      <c r="E42" s="1204"/>
      <c r="F42" s="1204"/>
      <c r="G42" s="1204"/>
    </row>
    <row r="44" spans="1:7" ht="43.5" customHeight="1" x14ac:dyDescent="0.15">
      <c r="A44" s="1281"/>
      <c r="B44" s="1223" t="s">
        <v>3303</v>
      </c>
      <c r="C44" s="1221"/>
      <c r="D44" s="1281"/>
      <c r="E44" s="1281"/>
      <c r="F44" s="1281"/>
      <c r="G44" s="1281"/>
    </row>
    <row r="46" spans="1:7" ht="15" x14ac:dyDescent="0.15">
      <c r="B46" s="1212" t="s">
        <v>3304</v>
      </c>
      <c r="C46" s="1614" t="str">
        <f>Languages!B750</f>
        <v>Productivity systems</v>
      </c>
    </row>
    <row r="47" spans="1:7" ht="30" x14ac:dyDescent="0.15">
      <c r="B47" s="1212" t="s">
        <v>878</v>
      </c>
      <c r="C47" s="1218" t="str">
        <f>Languages!B751</f>
        <v>Mature cows (first lactation and beyond) that are producing milk in commercial quantities for consumption. Dairy cow population should not be confused with multi-purpose cows that may be used for more than one production purpose milk, meat or draft.</v>
      </c>
    </row>
    <row r="48" spans="1:7" ht="45" x14ac:dyDescent="0.15">
      <c r="B48" s="1214" t="s">
        <v>3307</v>
      </c>
      <c r="C48" s="1218" t="str">
        <f>Languages!B752</f>
        <v>High-yielding dairy cows that are concentrated in confinement production systems or grazing on high quality pastures with supplements. The farms are 100-percent market oriented for commercial milk production, for national markets and/or export; Purebred or crossbred cattle are genetically improved through selective breeding for milk production.</v>
      </c>
    </row>
    <row r="49" spans="2:3" ht="45" x14ac:dyDescent="0.15">
      <c r="B49" s="1212" t="s">
        <v>3309</v>
      </c>
      <c r="C49" s="1218" t="str">
        <f>Languages!B753</f>
        <v>Low-yielding dairy cows, grazing non improved pastures, and using locally produced roughage (e.g. crop residues), and agro-industrial by-products. Local breeds or crossbred cows are bred locally, without intensive selection for milk productivity. Milk production is mostly for local market and local consumption.</v>
      </c>
    </row>
    <row r="50" spans="2:3" ht="60" x14ac:dyDescent="0.15">
      <c r="B50" s="1214" t="s">
        <v>3311</v>
      </c>
      <c r="C50" s="1218" t="str">
        <f>Languages!B754</f>
        <v>Based on animal feeding systems using forage (e.g. high-quality grass) and concentrates in confinement production systems or grazing with supplements or on improved pastures, producing high rates of daily weight gain. Animals can be purebred or crossbred and are genetically improved through selective breeding for improved commercial meat production. Growing cattle may be finished young in "intensive grazing with supplements" or feedlot systems, and meat is produced for national markets and/or export.</v>
      </c>
    </row>
    <row r="51" spans="2:3" ht="45" x14ac:dyDescent="0.15">
      <c r="B51" s="1214" t="s">
        <v>3313</v>
      </c>
      <c r="C51" s="1218" t="str">
        <f>Languages!B755</f>
        <v>Based on animal feeding systems where locally produced roughage (e.g. crop residues) or low quality rangelands represent the major source of feed utilized, producing low rates of daily weight gain. Animals can be represented by local breeds or may be crossbred and can also be used for multiple purposes such as draft, meat and milk for self consumption and markets.</v>
      </c>
    </row>
    <row r="52" spans="2:3" ht="45" x14ac:dyDescent="0.15">
      <c r="B52" s="1214" t="s">
        <v>3315</v>
      </c>
      <c r="C52" s="1218" t="str">
        <f>Languages!B756</f>
        <v>Are 100 percent market oriented with high level of capital input requirements and high level of overall herd (flock) performance. Feed is purchased from local or international market or intensively produced on farm. Animals are improved through breeding practices for commercial production. The high-productivity systems are common in swine, poultry, goats and sheep production.</v>
      </c>
    </row>
    <row r="53" spans="2:3" ht="75" x14ac:dyDescent="0.15">
      <c r="B53" s="1214" t="s">
        <v>3317</v>
      </c>
      <c r="C53" s="1218" t="str">
        <f>Languages!B757</f>
        <v>Are mainly driven by local market or by self-consumption, with low capital input requirements and low level of overall herd (fowl) performance typically using large areas for production or backyards. Locally produced feed represents the major source of feed utilized or animals are kept-free range for major part or all of their production cycle, the yield of the activity being linked to the natural fertility of the land and the seasonal production of the pastures. The low-productivity systems are common in swine, poultry, goats and sheep production</v>
      </c>
    </row>
    <row r="56" spans="2:3" x14ac:dyDescent="0.15">
      <c r="B56" s="1625" t="s">
        <v>3319</v>
      </c>
      <c r="C56" s="1619"/>
    </row>
    <row r="57" spans="2:3" ht="45" x14ac:dyDescent="0.15">
      <c r="B57" s="1214" t="s">
        <v>1343</v>
      </c>
      <c r="C57" s="1219" t="str">
        <f>Languages!B759</f>
        <v>Cattle: Highly productive commercialized dairy sector feeding high quality forage and grain. Separate beef cow herd, primarily grazing with feed supplements seasonally. Fast-growing beef steers/heifers finished in feedlots on grain. Dairy cows are a small part of the population. There are no buffalo herds, but American bison may be raised.</v>
      </c>
    </row>
    <row r="58" spans="2:3" ht="60" x14ac:dyDescent="0.15">
      <c r="B58" s="1214" t="s">
        <v>1351</v>
      </c>
      <c r="C58" s="1219" t="str">
        <f>Languages!B760</f>
        <v>Cattle: Highly productive commercialised dairy sector feeding high quality forage and grain. Dairy cows also used for beef calf production. Very small dedicated beef cow herd. Minor amount of feedlot feeding with grains.
Buffalo: Buffalo farming system is exclusively intensive. The concentrates are largely used only during the lactation phase. Animals are maintained in paddocks, grazing practices are not widespread.</v>
      </c>
    </row>
    <row r="59" spans="2:3" ht="60" x14ac:dyDescent="0.15">
      <c r="B59" s="1214" t="s">
        <v>1337</v>
      </c>
      <c r="C59" s="1219" t="str">
        <f>Languages!B761</f>
        <v>Cattle: Commercialised dairy sector feeding based on forages and gains. Separate beef cow herd, primarily grazing. Minor amount of feedlot feeding with grains.
Buffalo: Commercialized buffalo sector feeding primarily with roughages. Buffaloes are managed according to their categories. Animals are maintained paddock and tied up during the winter, in summer they are allowed to graze.</v>
      </c>
    </row>
    <row r="60" spans="2:3" ht="30" x14ac:dyDescent="0.15">
      <c r="B60" s="1214" t="s">
        <v>1346</v>
      </c>
      <c r="C60" s="1219" t="str">
        <f>Languages!B762</f>
        <v>Cattle: Commercialised dairy sector based on grazing. Separate beef cow herd, primarily grazing rangelands5 and hill country of widely varying quality. Growing amount of feedlot feeding with grains. Dairy cows are a small part of the population. No Buffalo herd.</v>
      </c>
    </row>
    <row r="61" spans="2:3" ht="75" x14ac:dyDescent="0.15">
      <c r="B61" s="1214" t="s">
        <v>3320</v>
      </c>
      <c r="C61" s="1219" t="str">
        <f>Languages!B763</f>
        <v>Cattle: Commercialised dairy sector based on grazing. Separate beef cow herd grazing pastures and rangelands. Minor amount of feedlot feeding with grains. Growing non-dairy cattle comprise a large portion of the population.
Buffalo: Buffalo husbandry is based on extensive systems in native or cultivated pastures in lowlands and uplands, most often without supply of concentrated feed. Milk production is based on pasture with frequent supplementation of roughage (sugar cane, silage, etc.), with a predominance of one single milking.</v>
      </c>
    </row>
    <row r="62" spans="2:3" ht="90" x14ac:dyDescent="0.15">
      <c r="B62" s="1214" t="s">
        <v>3321</v>
      </c>
      <c r="C62" s="1219" t="str">
        <f>Languages!B764</f>
        <v>Cattle: Commercialised dairy sector is experienced fundamental changes due to increasing number of large farms with intensive production system based on grains and forage. Cattle kept in traditional production systems are multi-purpose, providing draft power and some milk within farming regions. Cattle of all types are smaller than those found in most other regions.
Buffalo: Buffaloes are generally swamp type. Buffaloes are raised by smallholder farmers as source of draft power. Animals are commonly grazed in field and fed on agriculture residual products. Milk yield per cow is low. Nevertheless, the dairy buffalo breeding is rapidly developing in countryside of Asia.</v>
      </c>
    </row>
    <row r="63" spans="2:3" ht="75" x14ac:dyDescent="0.15">
      <c r="B63" s="1214" t="s">
        <v>1317</v>
      </c>
      <c r="C63" s="1219" t="str">
        <f>Languages!B765</f>
        <v>Cattle: Commercialised dairy sector based on grazing with low production per cow. Most cattle are multi-purpose, providing draft power and some milk within farming regions. Some cattle graze over very large areas. Cattle are smaller than those found in most other regions.
Buffalo: Small-scale buffalo sector well-integrated with cropland. Animals are raised for multi-purpose. Feeding primarily depends on roughages and crop-residues. Minor commercial dairy buffalo farms feeding with concentrate feed mixture.</v>
      </c>
    </row>
    <row r="64" spans="2:3" ht="75" x14ac:dyDescent="0.15">
      <c r="B64" s="1214" t="s">
        <v>1341</v>
      </c>
      <c r="C64" s="1219" t="str">
        <f>Languages!B766</f>
        <v>Cattle: Majority of cattle population is still kept by small holders in the traditional production systems. The animals are fed primarily by crop residues and are grazed. Most animals are dual-purpose. In contrast to the small-scale farms, commercial dairy sector is generally intensive, mainly based on compound feed and grains.
Buffalo: Buffalo farming system primarily based on smallholders rearing animals for meat, milk and draught. Animals obtain their feeding by grazing. Minor commercialized buffalo sector feeding forage and concentrate supplemented feed.</v>
      </c>
    </row>
    <row r="65" spans="2:3" ht="90" x14ac:dyDescent="0.15">
      <c r="B65" s="1214" t="s">
        <v>3322</v>
      </c>
      <c r="C65" s="1219" t="str">
        <f>Languages!B767</f>
        <v>Cattle: Commercialised dairy sector based on crop by-product feeding with low production per cow. Most bullocks provide draft power and cows provide some milk in farming regions. Cattle in this region are the smallest compared to cattle found in all other regions.
Buffalo: Smallholder buffalo sector feeding poor quality roughages and crop-residues. Buffaloes are primarily free grazing. Concentrates are fed to dairy animals during last months of pregnancy. Dairy and meat production are intimately related. Animals are used as draft power. Minor commercialized buffalo sector providing animals with balanced ration.</v>
      </c>
    </row>
    <row r="66" spans="2:3" x14ac:dyDescent="0.15">
      <c r="B66" s="1215"/>
      <c r="C66" s="1627"/>
    </row>
    <row r="67" spans="2:3" x14ac:dyDescent="0.15">
      <c r="B67" s="1215"/>
      <c r="C67" s="1627"/>
    </row>
    <row r="68" spans="2:3" ht="10.5" customHeight="1" x14ac:dyDescent="0.15">
      <c r="B68" s="1215"/>
      <c r="C68" s="1627"/>
    </row>
    <row r="69" spans="2:3" ht="6" customHeight="1" x14ac:dyDescent="0.15">
      <c r="B69" s="1215"/>
      <c r="C69" s="1627"/>
    </row>
    <row r="70" spans="2:3" ht="45" customHeight="1" x14ac:dyDescent="0.15">
      <c r="B70" s="1223" t="s">
        <v>3323</v>
      </c>
      <c r="C70" s="1223"/>
    </row>
    <row r="71" spans="2:3" ht="15" x14ac:dyDescent="0.15">
      <c r="B71" s="1626" t="s">
        <v>3323</v>
      </c>
      <c r="C71" s="1626"/>
    </row>
    <row r="72" spans="2:3" ht="15" x14ac:dyDescent="0.15">
      <c r="B72" s="1214" t="s">
        <v>2174</v>
      </c>
      <c r="C72" s="1219" t="str">
        <f>Languages!B769</f>
        <v>The manure from pasture and range grazing animals is allowed to lie as deposited, and is not managed.</v>
      </c>
    </row>
    <row r="73" spans="2:3" ht="15" x14ac:dyDescent="0.15">
      <c r="B73" s="1214" t="s">
        <v>1668</v>
      </c>
      <c r="C73" s="1219" t="str">
        <f>Languages!B770</f>
        <v>Manure is routinely removed from a confinement facility and is applied to cropland or pasture within 24 hours of excretion.</v>
      </c>
    </row>
    <row r="74" spans="2:3" ht="30" x14ac:dyDescent="0.15">
      <c r="B74" s="1214" t="s">
        <v>1666</v>
      </c>
      <c r="C74" s="1219" t="str">
        <f>Languages!B771</f>
        <v>The storage of manure, typically for a period of several months, in unconfined piles or stacks. Manure is able to be stacked because of the presence of a sufficient amount of bedding material or loss of moisture by evaporation</v>
      </c>
    </row>
    <row r="75" spans="2:3" ht="30" x14ac:dyDescent="0.15">
      <c r="B75" s="1214" t="s">
        <v>1667</v>
      </c>
      <c r="C75" s="1219" t="str">
        <f>Languages!B772</f>
        <v>A paved or unpaved open confinement area without any significant vegetative cover. Dry lots do not require the addition of bedding to control moisture. Manure may be removed periodically and spread on fields.</v>
      </c>
    </row>
    <row r="76" spans="2:3" ht="45" x14ac:dyDescent="0.15">
      <c r="B76" s="1214" t="s">
        <v>3328</v>
      </c>
      <c r="C76" s="1219" t="str">
        <f>Languages!B773</f>
        <v>Manure is stored as excreted or with some minimal addition of water or bedding material in tanks or ponds outside the animal housing. Manure is removed and spread on fields once or more in a calendar year. Manure is agitated before removal from the tank/ponds to ensure that most of the VS are removed from the tank..</v>
      </c>
    </row>
    <row r="77" spans="2:3" ht="60" x14ac:dyDescent="0.15">
      <c r="B77" s="1214" t="s">
        <v>3330</v>
      </c>
      <c r="C77" s="1219" t="str">
        <f>Languages!B774</f>
        <v>A type of liquid storage system designed and operated to combine waste stabilization and storage. Lagoons have a lower depth and a much larger surface compared to liquid slurry stores. Anaerobic lagoons are designed with varying lengths of storage (up to a year or greater), depending on the climate region, the volatile solids loading rate, and other operational factors. The supernatant water from the lagoon may be recycled as flush water or used to irrigate and fertilise fields.</v>
      </c>
    </row>
    <row r="78" spans="2:3" ht="45" x14ac:dyDescent="0.15">
      <c r="B78" s="1214" t="s">
        <v>3332</v>
      </c>
      <c r="C78" s="1219" t="str">
        <f>Languages!B775</f>
        <v>Collection and storage of manure usually with little or no added water typically below a slatted floor in an enclosed animal confinement facility, usually for periods less than one year. Manure may be pumped out of the storage to a secondary storage tank multiple times in one year, or stored and applied directly to fields. It is assumed that VS removal rates on tank emptying are &gt;90%.</v>
      </c>
    </row>
    <row r="79" spans="2:3" ht="15" x14ac:dyDescent="0.15">
      <c r="B79" s="1214" t="s">
        <v>3334</v>
      </c>
      <c r="C79" s="1219" t="str">
        <f>Languages!B776</f>
        <v>Anaerobic fermentation of slurry and/or solid. Biogas is captured and flared or used as a fuel.</v>
      </c>
    </row>
    <row r="80" spans="2:3" ht="15" x14ac:dyDescent="0.15">
      <c r="B80" s="1214" t="s">
        <v>1670</v>
      </c>
      <c r="C80" s="1219" t="str">
        <f>Languages!B777</f>
        <v>The dung and urine are excreted on fields. The sun dried dung cakes are burned for fuel</v>
      </c>
    </row>
    <row r="81" spans="2:3" ht="15" x14ac:dyDescent="0.15">
      <c r="B81" s="1214" t="s">
        <v>3332</v>
      </c>
      <c r="C81" s="1219" t="str">
        <f>Languages!B778</f>
        <v>Mixture of excreta and washing water, stored within the livestock building, usually below the confined animals</v>
      </c>
    </row>
    <row r="82" spans="2:3" ht="60" x14ac:dyDescent="0.15">
      <c r="B82" s="1214" t="s">
        <v>1673</v>
      </c>
      <c r="C82" s="1219" t="str">
        <f>Languages!B779</f>
        <v>Similar to cattle and swine deep bedding except usually not combined with a dry lot or pasture. Typically used for all poultry breeder flocks, for alternative systems for layers and for the production of meat type chickens (broilers) and other fowl. Litter and manure are left in place with added bedding during the poultry production cycle and cleaned between poultry cycles, typically 5 to 9 weeks in productive systems and greater in lower productivity systems.</v>
      </c>
    </row>
    <row r="83" spans="2:3" ht="30" x14ac:dyDescent="0.15">
      <c r="B83" s="1214" t="s">
        <v>1675</v>
      </c>
      <c r="C83" s="1219" t="str">
        <f>Languages!B780</f>
        <v>Biological oxidation of a solid waste including manure usually with bedding or another organic carbon source typically at thermophilic temperatures produced by microbial heat production.</v>
      </c>
    </row>
    <row r="87" spans="2:3" ht="45" customHeight="1" x14ac:dyDescent="0.15">
      <c r="B87" s="1223" t="s">
        <v>3340</v>
      </c>
      <c r="C87" s="1223"/>
    </row>
    <row r="88" spans="2:3" ht="31" thickBot="1" x14ac:dyDescent="0.2">
      <c r="B88" s="4299" t="s">
        <v>846</v>
      </c>
      <c r="C88" s="4298" t="str">
        <f>Languages!B782</f>
        <v>Implies major long-term loss of productivity and vegetation cover, due to severe mechanical damage to the vegetation and/or severe soil erosion.</v>
      </c>
    </row>
    <row r="89" spans="2:3" ht="31" thickBot="1" x14ac:dyDescent="0.2">
      <c r="B89" s="4299" t="s">
        <v>845</v>
      </c>
      <c r="C89" s="4298" t="str">
        <f>Languages!B783</f>
        <v>Represents high intensity grazing systems (or cutting and removal of vegetation) with shifts in vegetation composition and possibly productivity but is not severely degraded.</v>
      </c>
    </row>
    <row r="90" spans="2:3" ht="31" thickBot="1" x14ac:dyDescent="0.2">
      <c r="B90" s="4299" t="s">
        <v>843</v>
      </c>
      <c r="C90" s="4298" t="str">
        <f>Languages!B784</f>
        <v>Represents low or medium intensity grazing regimes, in addition to periodic cutting and removal of above-ground vegetation, without significant management improvements.</v>
      </c>
    </row>
    <row r="91" spans="2:3" ht="31" thickBot="1" x14ac:dyDescent="0.2">
      <c r="B91" s="4299" t="s">
        <v>848</v>
      </c>
      <c r="C91" s="4298" t="str">
        <f>Languages!B785</f>
        <v>Represents grassland which is sustainably managed with light to moderate grazing pressure (or cutting and removal of vegetation) and that receive at least one improvement (e.g., fertilization, species improvement, irrigation).</v>
      </c>
    </row>
    <row r="92" spans="2:3" ht="16" thickBot="1" x14ac:dyDescent="0.2">
      <c r="B92" s="4299" t="s">
        <v>847</v>
      </c>
      <c r="C92" s="4298" t="str">
        <f>Languages!B786</f>
        <v>Applies to improved grassland where no additional management inputs have been used.</v>
      </c>
    </row>
    <row r="93" spans="2:3" ht="31" thickBot="1" x14ac:dyDescent="0.2">
      <c r="B93" s="4297" t="s">
        <v>849</v>
      </c>
      <c r="C93" s="4298" t="str">
        <f>Languages!B787</f>
        <v>Applies to improved grassland where one or more additional management inputs/improvements have been used (beyond that required to be classified as improved grassland).</v>
      </c>
    </row>
    <row r="96" spans="2:3" ht="45" customHeight="1" x14ac:dyDescent="0.15">
      <c r="B96" s="1223" t="s">
        <v>3125</v>
      </c>
      <c r="C96" s="1223"/>
    </row>
    <row r="97" spans="2:3" ht="31" thickBot="1" x14ac:dyDescent="0.2">
      <c r="B97" s="4299" t="s">
        <v>1462</v>
      </c>
      <c r="C97" s="4298" t="str">
        <f>Languages!B789</f>
        <v>Global warming potential over 100 years from the Second Assessment Report (SAR), Climate Change 1995 - The science of climate change https://www.ipcc.ch/site/assets/uploads/2018/02/ipcc_sar_wg_I_full_report.pdf.</v>
      </c>
    </row>
    <row r="98" spans="2:3" ht="31" thickBot="1" x14ac:dyDescent="0.2">
      <c r="B98" s="4299" t="s">
        <v>1464</v>
      </c>
      <c r="C98" s="4298" t="str">
        <f>Languages!B790</f>
        <v>Global warming potential over 100 years from the Fourth Assessment Report (AR4),  Climate Change 2007 - The physical science basis https://www.ipcc.ch/site/assets/uploads/2018/05/ar4_wg1_full_report-1.pdf.</v>
      </c>
    </row>
    <row r="99" spans="2:3" ht="31" thickBot="1" x14ac:dyDescent="0.2">
      <c r="B99" s="4299" t="s">
        <v>64</v>
      </c>
      <c r="C99" s="4298" t="str">
        <f>Languages!B791</f>
        <v>Global warming potential over 100 years from the Fifth Assessment Report (AR5) with climate carbon feedback, Climate Change 2013 - The physical science basis https://www.ipcc.ch/site/assets/uploads/2018/02/WG1AR5_all_final.pdf.</v>
      </c>
    </row>
    <row r="100" spans="2:3" ht="31" thickBot="1" x14ac:dyDescent="0.2">
      <c r="B100" s="4299" t="s">
        <v>1468</v>
      </c>
      <c r="C100" s="4298" t="str">
        <f>Languages!B792</f>
        <v>Global warming potential over 100 years from the Fifth Assessment Report (AR5) without climate carbon feedback, Climate Change 2013 - The physical science basis https://www.ipcc.ch/site/assets/uploads/2018/02/WG1AR5_all_final.pdf.</v>
      </c>
    </row>
    <row r="101" spans="2:3" ht="46" thickBot="1" x14ac:dyDescent="0.2">
      <c r="B101" s="4299" t="s">
        <v>3709</v>
      </c>
      <c r="C101" s="4298" t="str">
        <f>Languages!B793</f>
        <v>Global warming potential over 100 years from the Sixth Assessment Report (AR6),  Climate Change 2021 - The physical science basis https://www.ipcc.ch/report/ar6/wg1/. The AR6 includes a specific coefficient for the GWP of methane from fossil fuel origin. In the tool, this coefficient is applied to the energy use of charcoal and peat (inputs module).</v>
      </c>
    </row>
    <row r="103" spans="2:3" ht="45" customHeight="1" x14ac:dyDescent="0.15">
      <c r="B103" s="1223" t="s">
        <v>3351</v>
      </c>
      <c r="C103" s="1223"/>
    </row>
    <row r="104" spans="2:3" ht="16" thickBot="1" x14ac:dyDescent="0.2">
      <c r="B104" s="4299" t="s">
        <v>2894</v>
      </c>
      <c r="C104" s="4298" t="str">
        <f>Languages!B795</f>
        <v>Surface irrigation without an irrigation runoff return system</v>
      </c>
    </row>
    <row r="105" spans="2:3" ht="16" thickBot="1" x14ac:dyDescent="0.2">
      <c r="B105" s="4299" t="s">
        <v>2899</v>
      </c>
      <c r="C105" s="4298" t="str">
        <f>Languages!B796</f>
        <v>Surface irrigation with an irrigation runoff return system</v>
      </c>
    </row>
    <row r="106" spans="2:3" ht="16" thickBot="1" x14ac:dyDescent="0.2">
      <c r="B106" s="4299" t="s">
        <v>2903</v>
      </c>
      <c r="C106" s="4298" t="str">
        <f>Languages!B797</f>
        <v>Irrigation with vertical tubes that are stationary for the duration of the irrigation season</v>
      </c>
    </row>
    <row r="107" spans="2:3" ht="16" thickBot="1" x14ac:dyDescent="0.2">
      <c r="B107" s="4299" t="s">
        <v>2907</v>
      </c>
      <c r="C107" s="4298" t="str">
        <f>Languages!B798</f>
        <v>Irrigation with vertical tubes that cannot be moved from the moment they are installed</v>
      </c>
    </row>
    <row r="108" spans="2:3" ht="31" thickBot="1" x14ac:dyDescent="0.2">
      <c r="B108" s="4299" t="s">
        <v>2912</v>
      </c>
      <c r="C108" s="4298" t="str">
        <f>Languages!B799</f>
        <v>Irrigation with sprinklers that can be displaced throughout the irrigation season. This kind of sprinkler is usually used for smaller crop extensions as the continuous movement implies a high rate of labour</v>
      </c>
    </row>
    <row r="109" spans="2:3" ht="31" thickBot="1" x14ac:dyDescent="0.2">
      <c r="B109" s="4299" t="s">
        <v>2915</v>
      </c>
      <c r="C109" s="4298" t="str">
        <f>Languages!B800</f>
        <v>An aluminum sprinkler line mounted on wheels which irrigates in place. A mover unit powered by a small gasoline engine is located in the center of the line. The sprinkler line is connected to a supply or mainline by a flexible hose.</v>
      </c>
    </row>
    <row r="110" spans="2:3" ht="46" thickBot="1" x14ac:dyDescent="0.2">
      <c r="B110" s="4299" t="s">
        <v>3358</v>
      </c>
      <c r="C110" s="4298" t="str">
        <f>Languages!B801</f>
        <v>Overhead sprinkler irrigation consisting of several segments of pipe, with sprinklers positioned along their length, joined together and supported by trusses, and mounted on wheeled towers. The machine moves in a circular pattern and is fed with water from the pivot point at the center of the circle</v>
      </c>
    </row>
    <row r="111" spans="2:3" ht="16" thickBot="1" x14ac:dyDescent="0.2">
      <c r="B111" s="4299" t="s">
        <v>2917</v>
      </c>
      <c r="C111" s="4298" t="str">
        <f>Languages!B802</f>
        <v>Fully movable irrigation system. It does not entail the construction of any stable irrigation infrastructure on the field</v>
      </c>
    </row>
    <row r="112" spans="2:3" ht="16" thickBot="1" x14ac:dyDescent="0.2">
      <c r="B112" s="4299" t="s">
        <v>2896</v>
      </c>
      <c r="C112" s="4298" t="str">
        <f>Languages!B803</f>
        <v>High precision, high efficiency drip irrigation</v>
      </c>
    </row>
    <row r="115" spans="2:3" ht="24" x14ac:dyDescent="0.15">
      <c r="B115" s="1223" t="s">
        <v>3729</v>
      </c>
      <c r="C115" s="4419" t="s">
        <v>3730</v>
      </c>
    </row>
    <row r="116" spans="2:3" ht="46" thickBot="1" x14ac:dyDescent="0.2">
      <c r="B116" s="4299" t="s">
        <v>2959</v>
      </c>
      <c r="C116" s="4298" t="str">
        <f>Languages!B805</f>
        <v>A minimum area of land of 0.5 – 1.0 hectares with tree crown cover (or equivalent stocking level) of more than 10 – 30 per cent with trees with the potential to reach a minimum height of 2 – 5 meters at maturity in situ. It comprises several tree species of different age classes, spaced unevenly and according to their development needs.</v>
      </c>
    </row>
    <row r="117" spans="2:3" ht="46" thickBot="1" x14ac:dyDescent="0.2">
      <c r="B117" s="4299" t="s">
        <v>3740</v>
      </c>
      <c r="C117" s="4298" t="str">
        <f>Languages!B806</f>
        <v>Forest stands of one or two species at planting, even age class and regular spacing. Usually established by planting or/and seeding in the process of afforestation or reforestation. They are either of introduced species (all planted stands), or intensively managed stands of indigenous species.</v>
      </c>
    </row>
    <row r="118" spans="2:3" ht="61" thickBot="1" x14ac:dyDescent="0.2">
      <c r="B118" s="4299" t="s">
        <v>1382</v>
      </c>
      <c r="C118" s="4298" t="str">
        <f>Languages!B807</f>
        <v>Plants that perform their entire life cycle from seed to flower to seed, within a single growing season. All roots, stems and leaves of the plant die annually. Only the dormant seed bridges the gap between one generation and the next. Selected, non woody pluriannual species are also included in this category (e.g. sugarcane) whenever their growth implies a harvest cycle for the entire plant.</v>
      </c>
    </row>
    <row r="119" spans="2:3" ht="31" thickBot="1" x14ac:dyDescent="0.2">
      <c r="B119" s="4299" t="s">
        <v>3741</v>
      </c>
      <c r="C119" s="4298" t="str">
        <f>Languages!B808</f>
        <v>It includes plants and other woody species that persist for many growing seasons. Generally the top portion of the plant dies back each winter and regrows the following spring from the same root system.</v>
      </c>
    </row>
    <row r="120" spans="2:3" ht="31" thickBot="1" x14ac:dyDescent="0.2">
      <c r="B120" s="4299" t="s">
        <v>1384</v>
      </c>
      <c r="C120" s="4298" t="str">
        <f>Languages!B809</f>
        <v>It refers to only flooded (permanently or part of the year), lowland rice fields. Non flooded rice, i.e. upland rice or pure rain-fed rice is considered an annual crop.</v>
      </c>
    </row>
    <row r="121" spans="2:3" ht="31" thickBot="1" x14ac:dyDescent="0.2">
      <c r="B121" s="4299" t="s">
        <v>1590</v>
      </c>
      <c r="C121" s="4298" t="str">
        <f>Languages!B810</f>
        <v>Annual fallow land represents land that is temporary set aside from annual crop production (e.g., conservation reserves) or other idle cropland that has been revegetated</v>
      </c>
    </row>
    <row r="122" spans="2:3" ht="31" thickBot="1" x14ac:dyDescent="0.2">
      <c r="B122" s="4299" t="s">
        <v>1396</v>
      </c>
      <c r="C122" s="4298" t="str">
        <f>Languages!B811</f>
        <v>Grasslands are generally defined by having vegetation that is dominated by perennial grasses, with grazing as the predominant land use.</v>
      </c>
    </row>
    <row r="123" spans="2:3" ht="31" thickBot="1" x14ac:dyDescent="0.2">
      <c r="B123" s="4299" t="s">
        <v>1592</v>
      </c>
      <c r="C123" s="4298" t="str">
        <f>Languages!B812</f>
        <v>Degraded lands are those whose native vegetation has been heavily disturbed. The land has strongly degraded biomass and soil organic carbon levels.</v>
      </c>
    </row>
    <row r="124" spans="2:3" ht="31" thickBot="1" x14ac:dyDescent="0.2">
      <c r="B124" s="4299" t="s">
        <v>3739</v>
      </c>
      <c r="C124" s="4298" t="str">
        <f>Languages!B813</f>
        <v>All developed land - i.e., residential, transportation, commercial, and production infrastructure of any size, unless it is already included under other land-use categories.</v>
      </c>
    </row>
    <row r="126" spans="2:3" ht="43.25" customHeight="1" x14ac:dyDescent="0.15">
      <c r="B126" s="1223" t="s">
        <v>3757</v>
      </c>
      <c r="C126" s="4419" t="s">
        <v>3766</v>
      </c>
    </row>
    <row r="127" spans="2:3" ht="31" thickBot="1" x14ac:dyDescent="0.2">
      <c r="B127" s="4299" t="s">
        <v>3760</v>
      </c>
      <c r="C127" s="4298" t="str">
        <f>Languages!B815</f>
        <v xml:space="preserve">Soils with high activity clay (HAC) minerals are lightly to moderately weathered soils which are dominated by
2:1 silicated clay minerals (in FAO classification included: Vertisols, Chernozems, Phaezems, Luvisols). </v>
      </c>
    </row>
    <row r="128" spans="2:3" ht="31" thickBot="1" x14ac:dyDescent="0.2">
      <c r="B128" s="4299" t="s">
        <v>3761</v>
      </c>
      <c r="C128" s="4298" t="str">
        <f>Languages!B816</f>
        <v>Soils with low activity clay (LAC) minerals are highly weathered soils dominated by 1:1 clay mineral and
amorphous iron and aluminium oxides (in FAO classification included: Acrisols, Nitosols, Ferrasols).</v>
      </c>
    </row>
    <row r="129" spans="2:3" ht="31" thickBot="1" x14ac:dyDescent="0.2">
      <c r="B129" s="4299" t="s">
        <v>1322</v>
      </c>
      <c r="C129" s="4298" t="str">
        <f>Languages!B817</f>
        <v>Includes all soils (regardless of taxonomic classification) having &gt; 70% sand and &lt; 8 % clay (based on standard
textural measurements (in FAO classification include: Arenosols, sandy Regosols))</v>
      </c>
    </row>
    <row r="130" spans="2:3" ht="16" thickBot="1" x14ac:dyDescent="0.2">
      <c r="B130" s="4299" t="s">
        <v>1326</v>
      </c>
      <c r="C130" s="4298" t="str">
        <f>Languages!B818</f>
        <v>Soils exhibiting strong podzolization (in FAO classification includes many Podzolic groups).</v>
      </c>
    </row>
    <row r="131" spans="2:3" ht="16" thickBot="1" x14ac:dyDescent="0.2">
      <c r="B131" s="4299" t="s">
        <v>1330</v>
      </c>
      <c r="C131" s="4298" t="str">
        <f>Languages!B819</f>
        <v>Soils formed by weathering of volcanogenic materials. Most of them are classified as Andisols.</v>
      </c>
    </row>
    <row r="132" spans="2:3" ht="31" thickBot="1" x14ac:dyDescent="0.2">
      <c r="B132" s="4299" t="s">
        <v>1334</v>
      </c>
      <c r="C132" s="4298" t="str">
        <f>Languages!B820</f>
        <v>This category includes soils that are covered or saturated by water for all or part of the year. Wetland soils include organic soils and mineral soils</v>
      </c>
    </row>
    <row r="133" spans="2:3" ht="186" customHeight="1" thickBot="1" x14ac:dyDescent="0.2">
      <c r="B133" s="4299" t="s">
        <v>1338</v>
      </c>
      <c r="C133" s="4298" t="str">
        <f>Languages!B821</f>
        <v>Soils are organic if they satisfy the requirements 1 and 2, or 1 and 3 below (FAO, 1998):
1. Thickness of 10 cm or more. A horizon less than 20 cm thick must have 12 percent or more organic carbon
when mixed to a depth of 20 cm;
2. If the soil is never saturated with water for more than a few days, and contains more than 20 percent (by
weight) organic carbon (about 35 percent organic matter);
3. If the soil is subject to water saturation episodes and has either:
(i) At least 12 percent (by weight) organic carbon (about 20 percent organic matter) if it has no clay;
or
(ii) At least 18 percent (by weight) organic carbon (about 30 percent organic matter) if it has 60 percent
or more clay; or
(iii) An intermediate, proportional amount of organic carbon for intermediate amounts of clay.</v>
      </c>
    </row>
  </sheetData>
  <sheetProtection algorithmName="SHA-512" hashValue="J9o7bSX9SzRWCCs3u0yEuYTycN6gmnol8a3yoAIwp7Z3ReoM0JR1P3qjZPe9IXKGlzdp63YoloP1diTlLf7CUg==" saltValue="3/NtMXXqf0gL8vM83Km3PA==" spinCount="100000" sheet="1"/>
  <mergeCells count="1">
    <mergeCell ref="B1:C1"/>
  </mergeCells>
  <hyperlinks>
    <hyperlink ref="E5" r:id="rId1" xr:uid="{00000000-0004-0000-2900-000000000000}"/>
    <hyperlink ref="E6" r:id="rId2" xr:uid="{00000000-0004-0000-2900-000001000000}"/>
    <hyperlink ref="E7" r:id="rId3" display="the glossary of IPCC Refinement to the 2006 Guidelines for National GHG Inventories (2006)" xr:uid="{00000000-0004-0000-2900-000002000000}"/>
  </hyperlinks>
  <pageMargins left="0.7" right="0.7" top="0.75" bottom="0.75" header="0.3" footer="0.3"/>
  <pageSetup orientation="portrait" r:id="rId4"/>
  <drawing r:id="rId5"/>
</worksheet>
</file>

<file path=xl/worksheets/sheet4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8">
    <tabColor rgb="FFFFC000"/>
  </sheetPr>
  <dimension ref="A2:AE141"/>
  <sheetViews>
    <sheetView zoomScale="85" zoomScaleNormal="85" workbookViewId="0">
      <selection activeCell="W12" sqref="W12"/>
    </sheetView>
  </sheetViews>
  <sheetFormatPr baseColWidth="10" defaultColWidth="9.33203125" defaultRowHeight="14" x14ac:dyDescent="0.15"/>
  <cols>
    <col min="1" max="18" width="9.33203125" style="973"/>
    <col min="19" max="19" width="10.6640625" style="973" customWidth="1"/>
    <col min="20" max="20" width="9.33203125" style="973"/>
    <col min="21" max="21" width="20.5" style="973" customWidth="1"/>
    <col min="22" max="22" width="13.5" style="973" customWidth="1"/>
    <col min="23" max="25" width="9.33203125" style="973"/>
    <col min="26" max="26" width="15.33203125" style="973" customWidth="1"/>
    <col min="27" max="27" width="15.5" style="973" customWidth="1"/>
    <col min="28" max="28" width="21.5" style="973" customWidth="1"/>
    <col min="29" max="29" width="31.5" style="973" customWidth="1"/>
    <col min="30" max="16384" width="9.33203125" style="973"/>
  </cols>
  <sheetData>
    <row r="2" spans="1:31" ht="45" customHeight="1" x14ac:dyDescent="0.15">
      <c r="A2" s="1398"/>
      <c r="B2" s="1605" t="s">
        <v>3362</v>
      </c>
      <c r="C2" s="1398"/>
      <c r="D2" s="1398"/>
      <c r="E2" s="1398"/>
      <c r="F2" s="1398"/>
      <c r="G2" s="1398"/>
      <c r="H2" s="1398"/>
      <c r="I2" s="1398"/>
      <c r="J2" s="1398"/>
      <c r="K2" s="1398"/>
      <c r="L2" s="1398"/>
      <c r="M2" s="1398"/>
      <c r="N2" s="1398"/>
      <c r="O2" s="1398"/>
      <c r="P2" s="1398"/>
      <c r="Q2" s="1398"/>
      <c r="R2" s="1398"/>
      <c r="S2" s="1398"/>
      <c r="T2" s="1398"/>
      <c r="U2" s="1398"/>
      <c r="V2" s="1398"/>
      <c r="W2" s="1398"/>
      <c r="X2" s="1398"/>
      <c r="Y2" s="1398"/>
      <c r="Z2" s="1398"/>
      <c r="AA2" s="1398"/>
      <c r="AB2" s="1398"/>
      <c r="AC2" s="1398"/>
    </row>
    <row r="4" spans="1:31" ht="15" thickBot="1" x14ac:dyDescent="0.2">
      <c r="Z4" s="2949" t="str">
        <f>Languages!B619</f>
        <v>Climate and moisture regime to be specified in the "Description" module</v>
      </c>
      <c r="AA4" s="2950"/>
      <c r="AB4" s="2950"/>
      <c r="AC4" s="2950"/>
    </row>
    <row r="5" spans="1:31" ht="21" x14ac:dyDescent="0.25">
      <c r="S5" s="4243" t="s">
        <v>3363</v>
      </c>
      <c r="T5" s="4244"/>
      <c r="U5" s="4244"/>
      <c r="V5" s="4244"/>
      <c r="W5" s="4244"/>
      <c r="X5" s="4245"/>
      <c r="Z5" s="2951" t="str">
        <f>Languages!B620</f>
        <v>Climate</v>
      </c>
      <c r="AA5" s="2951" t="str">
        <f>Languages!B621</f>
        <v>Elevation in m</v>
      </c>
      <c r="AB5" s="2951" t="str">
        <f>Languages!B622</f>
        <v>MAP and PET in mm</v>
      </c>
      <c r="AC5" s="2951" t="str">
        <f>Languages!B623</f>
        <v>Climate &amp; Moisture regime</v>
      </c>
      <c r="AD5" s="2950"/>
      <c r="AE5" s="1058"/>
    </row>
    <row r="6" spans="1:31" ht="15" x14ac:dyDescent="0.2">
      <c r="S6" s="4246" t="s">
        <v>463</v>
      </c>
      <c r="T6" s="1116" t="str">
        <f>Languages!B624</f>
        <v>Mean Annual Temperature in C</v>
      </c>
      <c r="U6" s="1116"/>
      <c r="V6" s="1116"/>
      <c r="W6" s="4247">
        <v>20</v>
      </c>
      <c r="X6" s="4248"/>
      <c r="Z6" s="2950" t="s">
        <v>3364</v>
      </c>
      <c r="AA6" s="2952" t="s">
        <v>3365</v>
      </c>
      <c r="AB6" s="2950" t="s">
        <v>3366</v>
      </c>
      <c r="AC6" s="2950" t="s">
        <v>1489</v>
      </c>
      <c r="AD6" s="2949"/>
    </row>
    <row r="7" spans="1:31" ht="15" x14ac:dyDescent="0.2">
      <c r="S7" s="4249"/>
      <c r="T7" s="1116"/>
      <c r="U7" s="1116"/>
      <c r="V7" s="1116"/>
      <c r="W7" s="1116"/>
      <c r="X7" s="4248"/>
      <c r="Z7" s="2950" t="s">
        <v>3364</v>
      </c>
      <c r="AA7" s="2952" t="s">
        <v>3365</v>
      </c>
      <c r="AB7" s="2950" t="s">
        <v>3367</v>
      </c>
      <c r="AC7" s="2950" t="s">
        <v>1488</v>
      </c>
      <c r="AD7" s="2950"/>
    </row>
    <row r="8" spans="1:31" x14ac:dyDescent="0.15">
      <c r="S8" s="4246" t="s">
        <v>464</v>
      </c>
      <c r="T8" s="1116" t="str">
        <f>Languages!B625</f>
        <v>Mean Annual Precipitation in mm</v>
      </c>
      <c r="U8" s="1116"/>
      <c r="V8" s="1116"/>
      <c r="W8" s="4250">
        <v>2400</v>
      </c>
      <c r="X8" s="4248"/>
      <c r="Z8" s="2950" t="s">
        <v>3364</v>
      </c>
      <c r="AA8" s="2952" t="s">
        <v>3365</v>
      </c>
      <c r="AB8" s="2950" t="s">
        <v>3368</v>
      </c>
      <c r="AC8" s="2950" t="s">
        <v>1487</v>
      </c>
      <c r="AD8" s="2950"/>
    </row>
    <row r="9" spans="1:31" ht="15" x14ac:dyDescent="0.2">
      <c r="S9" s="4249"/>
      <c r="T9" s="1116"/>
      <c r="U9" s="1116"/>
      <c r="V9" s="1116"/>
      <c r="W9" s="1116"/>
      <c r="X9" s="4248"/>
      <c r="Z9" s="2950" t="s">
        <v>3364</v>
      </c>
      <c r="AA9" s="2952" t="s">
        <v>3369</v>
      </c>
      <c r="AB9" s="2950" t="s">
        <v>3370</v>
      </c>
      <c r="AC9" s="2950" t="s">
        <v>1359</v>
      </c>
      <c r="AD9" s="2950"/>
    </row>
    <row r="10" spans="1:31" ht="15" x14ac:dyDescent="0.2">
      <c r="S10" s="4246" t="s">
        <v>3371</v>
      </c>
      <c r="T10" s="1116" t="str">
        <f>Languages!B626</f>
        <v>Potential Evapotranspiration in mm</v>
      </c>
      <c r="U10" s="1116"/>
      <c r="V10" s="1116"/>
      <c r="W10" s="4250">
        <v>1000</v>
      </c>
      <c r="X10" s="4248"/>
      <c r="Z10" s="2950" t="s">
        <v>3364</v>
      </c>
      <c r="AA10" s="2952" t="s">
        <v>3369</v>
      </c>
      <c r="AB10" s="2950" t="s">
        <v>3368</v>
      </c>
      <c r="AC10" s="2950" t="s">
        <v>1359</v>
      </c>
      <c r="AD10" s="2950"/>
    </row>
    <row r="11" spans="1:31" ht="15" x14ac:dyDescent="0.2">
      <c r="S11" s="4249"/>
      <c r="T11" s="1116"/>
      <c r="U11" s="1116"/>
      <c r="V11" s="1116"/>
      <c r="W11" s="1116"/>
      <c r="X11" s="4248"/>
      <c r="Z11" s="2950" t="s">
        <v>3372</v>
      </c>
      <c r="AA11" s="2952" t="s">
        <v>3365</v>
      </c>
      <c r="AB11" s="2950" t="s">
        <v>3373</v>
      </c>
      <c r="AC11" s="2950" t="s">
        <v>1486</v>
      </c>
      <c r="AD11" s="2950"/>
    </row>
    <row r="12" spans="1:31" ht="15" x14ac:dyDescent="0.2">
      <c r="S12" s="4246" t="s">
        <v>3374</v>
      </c>
      <c r="T12" s="1116" t="str">
        <f>Languages!B627</f>
        <v>Elevation above sea level</v>
      </c>
      <c r="U12" s="1116"/>
      <c r="V12" s="1116"/>
      <c r="W12" s="4250">
        <v>900</v>
      </c>
      <c r="X12" s="4248"/>
      <c r="Z12" s="2950" t="s">
        <v>3372</v>
      </c>
      <c r="AA12" s="2952" t="s">
        <v>3365</v>
      </c>
      <c r="AB12" s="2950" t="s">
        <v>3375</v>
      </c>
      <c r="AC12" s="2950" t="s">
        <v>1485</v>
      </c>
      <c r="AD12" s="2950"/>
    </row>
    <row r="13" spans="1:31" ht="16" thickBot="1" x14ac:dyDescent="0.25">
      <c r="S13" s="4251"/>
      <c r="T13" s="4252"/>
      <c r="U13" s="4252"/>
      <c r="V13" s="4252"/>
      <c r="W13" s="4252"/>
      <c r="X13" s="4253"/>
      <c r="Z13" s="2950" t="s">
        <v>3376</v>
      </c>
      <c r="AA13" s="2952" t="s">
        <v>3365</v>
      </c>
      <c r="AB13" s="2950" t="s">
        <v>3373</v>
      </c>
      <c r="AC13" s="2950" t="s">
        <v>1484</v>
      </c>
      <c r="AD13" s="2950"/>
    </row>
    <row r="14" spans="1:31" ht="17" thickBot="1" x14ac:dyDescent="0.25">
      <c r="S14" s="4254" t="s">
        <v>1623</v>
      </c>
      <c r="T14" s="4257" t="str">
        <f>IFERROR(IF(AND(W6&gt;=18,W12&gt;=1000),"Tropical Montane",IF(AND(W6&gt;18,W12&lt;1000), "Tropical",IF(AND(W6&lt;=18,W6&gt;10),"Warm Temperate",IF(AND(W6&lt;=10,W6&gt;0),"Cool Temperate",IF(AND(W6&lt;=0,W6&gt;-10),"Boreal","Polar"))))),0)</f>
        <v>Tropical</v>
      </c>
      <c r="U14" s="4255"/>
      <c r="V14" s="4255"/>
      <c r="W14" s="4255"/>
      <c r="X14" s="4256"/>
      <c r="Z14" s="2950" t="s">
        <v>3376</v>
      </c>
      <c r="AA14" s="2952" t="s">
        <v>3365</v>
      </c>
      <c r="AB14" s="2950" t="s">
        <v>3375</v>
      </c>
      <c r="AC14" s="2950" t="s">
        <v>1483</v>
      </c>
      <c r="AD14" s="2950"/>
    </row>
    <row r="15" spans="1:31" ht="17" thickBot="1" x14ac:dyDescent="0.25">
      <c r="S15" s="4254" t="s">
        <v>3377</v>
      </c>
      <c r="T15" s="4257" t="str">
        <f>IFERROR(IF(T14="Tropical Montane", "Dry",IF(T14="Tropical",IF(W8&gt;2000,"Wet",IF(AND(W8&lt;2000,W8&gt;=1000),"Moist","Dry")),IF(W8&gt;=W10,"Moist","Dry"))),0)</f>
        <v>Wet</v>
      </c>
      <c r="U15" s="4255"/>
      <c r="V15" s="4255"/>
      <c r="W15" s="4255"/>
      <c r="X15" s="4256"/>
      <c r="Z15" s="2955" t="s">
        <v>3378</v>
      </c>
      <c r="AA15" s="2952" t="s">
        <v>3365</v>
      </c>
      <c r="AB15" s="2950" t="s">
        <v>3373</v>
      </c>
      <c r="AC15" s="2950" t="s">
        <v>1491</v>
      </c>
      <c r="AD15" s="2950"/>
    </row>
    <row r="16" spans="1:31" ht="15" x14ac:dyDescent="0.2">
      <c r="Z16" s="2955" t="s">
        <v>3378</v>
      </c>
      <c r="AA16" s="2952" t="s">
        <v>3365</v>
      </c>
      <c r="AB16" s="2950" t="s">
        <v>3375</v>
      </c>
      <c r="AC16" s="2950" t="s">
        <v>1490</v>
      </c>
      <c r="AD16" s="2950"/>
    </row>
    <row r="17" spans="1:30" ht="15" x14ac:dyDescent="0.2">
      <c r="Z17" s="2950" t="s">
        <v>3379</v>
      </c>
      <c r="AA17" s="2952" t="s">
        <v>3365</v>
      </c>
      <c r="AB17" s="2950" t="s">
        <v>3373</v>
      </c>
      <c r="AC17" s="2950" t="s">
        <v>3380</v>
      </c>
      <c r="AD17" s="2950"/>
    </row>
    <row r="18" spans="1:30" ht="15" x14ac:dyDescent="0.2">
      <c r="Z18" s="2950" t="s">
        <v>3379</v>
      </c>
      <c r="AA18" s="2952" t="s">
        <v>3365</v>
      </c>
      <c r="AB18" s="2950" t="s">
        <v>3375</v>
      </c>
      <c r="AC18" s="2950" t="s">
        <v>3381</v>
      </c>
      <c r="AD18" s="2950"/>
    </row>
    <row r="19" spans="1:30" x14ac:dyDescent="0.15">
      <c r="AD19" s="2950"/>
    </row>
    <row r="20" spans="1:30" x14ac:dyDescent="0.15">
      <c r="AD20" s="2950"/>
    </row>
    <row r="21" spans="1:30" x14ac:dyDescent="0.15">
      <c r="Z21" s="2950"/>
      <c r="AA21" s="2950"/>
      <c r="AB21" s="2950"/>
      <c r="AC21" s="2950"/>
      <c r="AD21" s="2950"/>
    </row>
    <row r="22" spans="1:30" x14ac:dyDescent="0.15">
      <c r="Z22" s="2950"/>
      <c r="AA22" s="2950"/>
      <c r="AB22" s="2950"/>
      <c r="AC22" s="2950"/>
      <c r="AD22" s="2950"/>
    </row>
    <row r="23" spans="1:30" x14ac:dyDescent="0.15">
      <c r="AD23" s="2950"/>
    </row>
    <row r="24" spans="1:30" x14ac:dyDescent="0.15">
      <c r="AD24" s="2950"/>
    </row>
    <row r="25" spans="1:30" x14ac:dyDescent="0.15">
      <c r="AD25" s="2950"/>
    </row>
    <row r="26" spans="1:30" x14ac:dyDescent="0.15">
      <c r="AD26" s="2950"/>
    </row>
    <row r="27" spans="1:30" x14ac:dyDescent="0.15">
      <c r="AD27" s="2950"/>
    </row>
    <row r="30" spans="1:30" ht="45" customHeight="1" x14ac:dyDescent="0.15">
      <c r="A30" s="1398"/>
      <c r="B30" s="1605" t="s">
        <v>3382</v>
      </c>
      <c r="C30" s="1398"/>
      <c r="D30" s="1398"/>
      <c r="E30" s="1398"/>
      <c r="F30" s="1398"/>
      <c r="G30" s="1398"/>
      <c r="H30" s="1398"/>
      <c r="I30" s="1398"/>
      <c r="J30" s="1398"/>
      <c r="K30" s="1398"/>
      <c r="L30" s="1398"/>
      <c r="M30" s="1398"/>
      <c r="N30" s="1398"/>
      <c r="O30" s="1398"/>
      <c r="P30" s="1398"/>
      <c r="Q30" s="1398"/>
      <c r="R30" s="1398"/>
      <c r="S30" s="1398"/>
      <c r="T30" s="1398"/>
      <c r="U30" s="1398"/>
      <c r="V30" s="1398"/>
      <c r="W30" s="1398"/>
      <c r="X30" s="1398"/>
      <c r="Y30" s="1398"/>
      <c r="Z30" s="1398"/>
      <c r="AA30" s="1398"/>
      <c r="AB30" s="1398"/>
      <c r="AC30" s="1398"/>
    </row>
    <row r="31" spans="1:30" x14ac:dyDescent="0.15">
      <c r="U31" s="1608" t="s">
        <v>3383</v>
      </c>
      <c r="V31" s="1606"/>
    </row>
    <row r="32" spans="1:30" x14ac:dyDescent="0.15">
      <c r="U32" s="1609" t="s">
        <v>3384</v>
      </c>
      <c r="V32" s="1609" t="s">
        <v>864</v>
      </c>
    </row>
    <row r="33" spans="21:22" x14ac:dyDescent="0.15">
      <c r="U33" s="1607"/>
      <c r="V33" s="1607"/>
    </row>
    <row r="34" spans="21:22" x14ac:dyDescent="0.15">
      <c r="U34" s="1607" t="s">
        <v>3385</v>
      </c>
      <c r="V34" s="1607" t="s">
        <v>3386</v>
      </c>
    </row>
    <row r="35" spans="21:22" x14ac:dyDescent="0.15">
      <c r="U35" s="1607" t="s">
        <v>3387</v>
      </c>
      <c r="V35" s="1607" t="s">
        <v>3388</v>
      </c>
    </row>
    <row r="36" spans="21:22" x14ac:dyDescent="0.15">
      <c r="U36" s="1607" t="s">
        <v>3389</v>
      </c>
      <c r="V36" s="1607" t="s">
        <v>3390</v>
      </c>
    </row>
    <row r="37" spans="21:22" x14ac:dyDescent="0.15">
      <c r="U37" s="1607" t="s">
        <v>3391</v>
      </c>
      <c r="V37" s="1607" t="s">
        <v>3386</v>
      </c>
    </row>
    <row r="38" spans="21:22" x14ac:dyDescent="0.15">
      <c r="U38" s="1607" t="s">
        <v>3392</v>
      </c>
      <c r="V38" s="1607" t="s">
        <v>3393</v>
      </c>
    </row>
    <row r="39" spans="21:22" x14ac:dyDescent="0.15">
      <c r="U39" s="1607" t="s">
        <v>3394</v>
      </c>
      <c r="V39" s="1607" t="s">
        <v>3388</v>
      </c>
    </row>
    <row r="40" spans="21:22" x14ac:dyDescent="0.15">
      <c r="U40" s="1607" t="s">
        <v>3395</v>
      </c>
      <c r="V40" s="1607" t="s">
        <v>3388</v>
      </c>
    </row>
    <row r="41" spans="21:22" x14ac:dyDescent="0.15">
      <c r="U41" s="1607" t="s">
        <v>3396</v>
      </c>
      <c r="V41" s="1607" t="s">
        <v>3388</v>
      </c>
    </row>
    <row r="42" spans="21:22" x14ac:dyDescent="0.15">
      <c r="U42" s="1607" t="s">
        <v>3397</v>
      </c>
      <c r="V42" s="1607" t="s">
        <v>3386</v>
      </c>
    </row>
    <row r="43" spans="21:22" x14ac:dyDescent="0.15">
      <c r="U43" s="1607" t="s">
        <v>3398</v>
      </c>
      <c r="V43" s="1607" t="s">
        <v>3386</v>
      </c>
    </row>
    <row r="44" spans="21:22" x14ac:dyDescent="0.15">
      <c r="U44" s="1607" t="s">
        <v>3399</v>
      </c>
      <c r="V44" s="1607" t="s">
        <v>3386</v>
      </c>
    </row>
    <row r="45" spans="21:22" x14ac:dyDescent="0.15">
      <c r="U45" s="1607" t="s">
        <v>3400</v>
      </c>
      <c r="V45" s="1607" t="s">
        <v>3388</v>
      </c>
    </row>
    <row r="46" spans="21:22" x14ac:dyDescent="0.15">
      <c r="U46" s="1607" t="s">
        <v>3401</v>
      </c>
      <c r="V46" s="1607" t="s">
        <v>3402</v>
      </c>
    </row>
    <row r="47" spans="21:22" x14ac:dyDescent="0.15">
      <c r="U47" s="1607" t="s">
        <v>3403</v>
      </c>
      <c r="V47" s="1607" t="s">
        <v>3388</v>
      </c>
    </row>
    <row r="48" spans="21:22" x14ac:dyDescent="0.15">
      <c r="U48" s="1607" t="s">
        <v>3404</v>
      </c>
      <c r="V48" s="1607" t="s">
        <v>3405</v>
      </c>
    </row>
    <row r="49" spans="2:22" x14ac:dyDescent="0.15">
      <c r="U49" s="1607" t="s">
        <v>3406</v>
      </c>
      <c r="V49" s="1607" t="s">
        <v>3388</v>
      </c>
    </row>
    <row r="50" spans="2:22" x14ac:dyDescent="0.15">
      <c r="U50" s="1607" t="s">
        <v>3407</v>
      </c>
      <c r="V50" s="1607" t="s">
        <v>3388</v>
      </c>
    </row>
    <row r="51" spans="2:22" x14ac:dyDescent="0.15">
      <c r="U51" s="1607" t="s">
        <v>3408</v>
      </c>
      <c r="V51" s="1607" t="s">
        <v>3386</v>
      </c>
    </row>
    <row r="52" spans="2:22" x14ac:dyDescent="0.15">
      <c r="U52" s="1607" t="s">
        <v>3409</v>
      </c>
      <c r="V52" s="1607" t="s">
        <v>3388</v>
      </c>
    </row>
    <row r="53" spans="2:22" x14ac:dyDescent="0.15">
      <c r="U53" s="1607" t="s">
        <v>3410</v>
      </c>
      <c r="V53" s="1607" t="s">
        <v>3386</v>
      </c>
    </row>
    <row r="54" spans="2:22" x14ac:dyDescent="0.15">
      <c r="U54" s="1607" t="s">
        <v>3411</v>
      </c>
      <c r="V54" s="1607" t="s">
        <v>3388</v>
      </c>
    </row>
    <row r="55" spans="2:22" x14ac:dyDescent="0.15">
      <c r="U55" s="1607" t="s">
        <v>3412</v>
      </c>
      <c r="V55" s="1607" t="s">
        <v>3386</v>
      </c>
    </row>
    <row r="56" spans="2:22" x14ac:dyDescent="0.15">
      <c r="U56" s="1607" t="s">
        <v>3413</v>
      </c>
      <c r="V56" s="1607" t="s">
        <v>3386</v>
      </c>
    </row>
    <row r="57" spans="2:22" x14ac:dyDescent="0.15">
      <c r="U57" s="1607" t="s">
        <v>3414</v>
      </c>
      <c r="V57" s="1607" t="s">
        <v>3415</v>
      </c>
    </row>
    <row r="58" spans="2:22" x14ac:dyDescent="0.15">
      <c r="U58" s="1607" t="s">
        <v>3416</v>
      </c>
      <c r="V58" s="1607" t="s">
        <v>3388</v>
      </c>
    </row>
    <row r="59" spans="2:22" x14ac:dyDescent="0.15">
      <c r="U59" s="1607" t="s">
        <v>3417</v>
      </c>
      <c r="V59" s="1607" t="s">
        <v>3388</v>
      </c>
    </row>
    <row r="60" spans="2:22" x14ac:dyDescent="0.15">
      <c r="B60" s="145"/>
      <c r="U60" s="1607" t="s">
        <v>3418</v>
      </c>
      <c r="V60" s="1607" t="s">
        <v>3386</v>
      </c>
    </row>
    <row r="61" spans="2:22" x14ac:dyDescent="0.15">
      <c r="B61" s="973" t="s">
        <v>3419</v>
      </c>
      <c r="U61" s="1607" t="s">
        <v>3420</v>
      </c>
      <c r="V61" s="1607" t="s">
        <v>3388</v>
      </c>
    </row>
    <row r="62" spans="2:22" x14ac:dyDescent="0.15">
      <c r="B62" s="1610" t="s">
        <v>3421</v>
      </c>
      <c r="U62" s="1607" t="s">
        <v>3422</v>
      </c>
      <c r="V62" s="1607" t="s">
        <v>3386</v>
      </c>
    </row>
    <row r="63" spans="2:22" x14ac:dyDescent="0.15">
      <c r="B63" s="1610" t="s">
        <v>3423</v>
      </c>
      <c r="U63" s="1607" t="s">
        <v>3424</v>
      </c>
      <c r="V63" s="1607" t="s">
        <v>3386</v>
      </c>
    </row>
    <row r="64" spans="2:22" x14ac:dyDescent="0.15">
      <c r="B64" s="973" t="s">
        <v>3756</v>
      </c>
      <c r="H64" s="1059" t="s">
        <v>3755</v>
      </c>
      <c r="U64" s="1607" t="s">
        <v>3425</v>
      </c>
      <c r="V64" s="1607" t="s">
        <v>3388</v>
      </c>
    </row>
    <row r="65" spans="1:29" x14ac:dyDescent="0.15">
      <c r="U65" s="1607" t="s">
        <v>3426</v>
      </c>
      <c r="V65" s="1607" t="s">
        <v>3388</v>
      </c>
    </row>
    <row r="66" spans="1:29" ht="45" customHeight="1" x14ac:dyDescent="0.15">
      <c r="A66" s="1398"/>
      <c r="B66" s="1605" t="s">
        <v>3427</v>
      </c>
      <c r="C66" s="1398"/>
      <c r="D66" s="1398"/>
      <c r="E66" s="1398"/>
      <c r="F66" s="1398"/>
      <c r="G66" s="1398"/>
      <c r="H66" s="1398"/>
      <c r="I66" s="1398"/>
      <c r="J66" s="1398"/>
      <c r="K66" s="1398"/>
      <c r="L66" s="1398"/>
      <c r="M66" s="1398"/>
      <c r="N66" s="1398"/>
      <c r="O66" s="1398"/>
      <c r="P66" s="1398"/>
      <c r="Q66" s="1398"/>
      <c r="R66" s="1398"/>
      <c r="S66" s="1398"/>
      <c r="T66" s="1398"/>
      <c r="U66" s="1398"/>
      <c r="V66" s="1398"/>
      <c r="W66" s="1398"/>
      <c r="X66" s="1398"/>
      <c r="Y66" s="1398"/>
      <c r="Z66" s="1398"/>
      <c r="AA66" s="1398"/>
      <c r="AB66" s="1398"/>
      <c r="AC66" s="1398"/>
    </row>
    <row r="99" spans="1:29" x14ac:dyDescent="0.15">
      <c r="B99" s="973" t="s">
        <v>3428</v>
      </c>
    </row>
    <row r="100" spans="1:29" x14ac:dyDescent="0.15">
      <c r="B100" s="973" t="s">
        <v>3429</v>
      </c>
    </row>
    <row r="103" spans="1:29" ht="45" customHeight="1" x14ac:dyDescent="0.15">
      <c r="A103" s="1398"/>
      <c r="B103" s="1605" t="s">
        <v>3430</v>
      </c>
      <c r="C103" s="1398"/>
      <c r="D103" s="1398"/>
      <c r="E103" s="1398"/>
      <c r="F103" s="1398"/>
      <c r="G103" s="1398"/>
      <c r="H103" s="1398"/>
      <c r="I103" s="1398"/>
      <c r="J103" s="1398"/>
      <c r="K103" s="1398"/>
      <c r="L103" s="1398"/>
      <c r="M103" s="1398"/>
      <c r="N103" s="1398"/>
      <c r="O103" s="1398"/>
      <c r="P103" s="1398"/>
      <c r="Q103" s="1398"/>
      <c r="R103" s="1398"/>
      <c r="S103" s="1398"/>
      <c r="T103" s="1398"/>
      <c r="U103" s="1398"/>
      <c r="V103" s="1398"/>
      <c r="W103" s="1398"/>
      <c r="X103" s="1398"/>
      <c r="Y103" s="1398"/>
      <c r="Z103" s="1398"/>
      <c r="AA103" s="1398"/>
      <c r="AB103" s="1398"/>
      <c r="AC103" s="1398"/>
    </row>
    <row r="129" spans="1:29" x14ac:dyDescent="0.15">
      <c r="A129" s="973" t="s">
        <v>3431</v>
      </c>
    </row>
    <row r="130" spans="1:29" x14ac:dyDescent="0.15">
      <c r="A130" s="973" t="s">
        <v>3432</v>
      </c>
    </row>
    <row r="133" spans="1:29" ht="45" customHeight="1" x14ac:dyDescent="0.15">
      <c r="A133" s="1398"/>
      <c r="B133" s="1605" t="s">
        <v>3770</v>
      </c>
      <c r="C133" s="1398"/>
      <c r="D133" s="1398"/>
      <c r="E133" s="1398"/>
      <c r="F133" s="1398"/>
      <c r="G133" s="1398"/>
      <c r="H133" s="1398"/>
      <c r="I133" s="1398"/>
      <c r="J133" s="1398"/>
      <c r="K133" s="1398"/>
      <c r="L133" s="1398"/>
      <c r="M133" s="1398"/>
      <c r="N133" s="1398"/>
      <c r="O133" s="1398"/>
      <c r="P133" s="1398"/>
      <c r="Q133" s="1398"/>
      <c r="R133" s="1398"/>
      <c r="S133" s="1398"/>
      <c r="T133" s="1398"/>
      <c r="U133" s="1398"/>
      <c r="V133" s="1398"/>
      <c r="W133" s="1398"/>
      <c r="X133" s="1398"/>
      <c r="Y133" s="1398"/>
      <c r="Z133" s="1398"/>
      <c r="AA133" s="1398"/>
      <c r="AB133" s="1398"/>
      <c r="AC133" s="1398"/>
    </row>
    <row r="134" spans="1:29" ht="15" customHeight="1" x14ac:dyDescent="0.15">
      <c r="A134" s="973" t="s">
        <v>4386</v>
      </c>
    </row>
    <row r="135" spans="1:29" ht="40.5" customHeight="1" x14ac:dyDescent="0.15">
      <c r="A135" s="973" t="s">
        <v>4388</v>
      </c>
      <c r="V135" s="973" t="s">
        <v>4389</v>
      </c>
    </row>
    <row r="136" spans="1:29" x14ac:dyDescent="0.15">
      <c r="A136" s="973">
        <v>1</v>
      </c>
      <c r="B136" s="973" t="s">
        <v>4394</v>
      </c>
      <c r="V136" s="1059" t="s">
        <v>4395</v>
      </c>
    </row>
    <row r="137" spans="1:29" x14ac:dyDescent="0.15">
      <c r="A137" s="973">
        <v>2</v>
      </c>
      <c r="B137" s="973" t="s">
        <v>4387</v>
      </c>
    </row>
    <row r="138" spans="1:29" x14ac:dyDescent="0.15">
      <c r="A138" s="973">
        <v>3</v>
      </c>
      <c r="B138" s="973" t="s">
        <v>4392</v>
      </c>
    </row>
    <row r="139" spans="1:29" x14ac:dyDescent="0.15">
      <c r="A139" s="973">
        <v>4</v>
      </c>
      <c r="B139" s="973" t="s">
        <v>4391</v>
      </c>
      <c r="V139" s="1059" t="s">
        <v>4396</v>
      </c>
    </row>
    <row r="140" spans="1:29" x14ac:dyDescent="0.15">
      <c r="A140" s="973">
        <v>5</v>
      </c>
      <c r="B140" s="973" t="s">
        <v>4393</v>
      </c>
      <c r="V140" s="1059" t="s">
        <v>4397</v>
      </c>
      <c r="W140" s="1059" t="s">
        <v>4398</v>
      </c>
      <c r="Y140" s="1059"/>
    </row>
    <row r="141" spans="1:29" x14ac:dyDescent="0.15">
      <c r="A141" s="973">
        <v>6</v>
      </c>
      <c r="B141" s="973" t="s">
        <v>4390</v>
      </c>
    </row>
  </sheetData>
  <sheetProtection algorithmName="SHA-512" hashValue="dSkoVs1HxKXFy38pAxBq9UVtch2Z3olOXsfQKsqe5USkw0Lx/Pis+qt5XBUc0cRwobH3BYxDF2XjU3TmZ3siPA==" saltValue="tCzg/aNDCtoy9YNlt8Y9+Q==" spinCount="100000" sheet="1"/>
  <sortState xmlns:xlrd2="http://schemas.microsoft.com/office/spreadsheetml/2017/richdata2" ref="U34:V65">
    <sortCondition ref="U34:U65"/>
  </sortState>
  <conditionalFormatting sqref="Z6:AC18">
    <cfRule type="expression" dxfId="49" priority="2">
      <formula>CONCATENATE($T$14," ",$T$15)=$AC6</formula>
    </cfRule>
  </conditionalFormatting>
  <conditionalFormatting sqref="Z9:AC10">
    <cfRule type="expression" dxfId="48" priority="1">
      <formula>$T$14="Tropical Montane"</formula>
    </cfRule>
  </conditionalFormatting>
  <conditionalFormatting sqref="AD7:AD27">
    <cfRule type="expression" dxfId="47" priority="7">
      <formula>CONCATENATE($L$33," ",$L$34)=$P7</formula>
    </cfRule>
  </conditionalFormatting>
  <conditionalFormatting sqref="AD8">
    <cfRule type="expression" dxfId="46" priority="6">
      <formula>CONCATENATE($L$33," ",$L$34)=AJ8</formula>
    </cfRule>
  </conditionalFormatting>
  <dataValidations count="1">
    <dataValidation type="decimal" operator="greaterThan" allowBlank="1" showInputMessage="1" showErrorMessage="1" sqref="W6" xr:uid="{00000000-0002-0000-2A00-000000000000}">
      <formula1>-10</formula1>
    </dataValidation>
  </dataValidations>
  <hyperlinks>
    <hyperlink ref="B62" r:id="rId1" xr:uid="{00000000-0004-0000-2A00-000000000000}"/>
    <hyperlink ref="B63" r:id="rId2" xr:uid="{00000000-0004-0000-2A00-000001000000}"/>
    <hyperlink ref="H64" location="Definitions!B126" display="Definitions tab" xr:uid="{00000000-0004-0000-2A00-000002000000}"/>
    <hyperlink ref="V136" r:id="rId3" xr:uid="{00000000-0004-0000-2A00-000003000000}"/>
    <hyperlink ref="V139" r:id="rId4" location="/home" xr:uid="{00000000-0004-0000-2A00-000004000000}"/>
    <hyperlink ref="W140" r:id="rId5" xr:uid="{00000000-0004-0000-2A00-000005000000}"/>
    <hyperlink ref="V140" r:id="rId6" xr:uid="{00000000-0004-0000-2A00-000006000000}"/>
  </hyperlinks>
  <pageMargins left="0.7" right="0.7" top="0.75" bottom="0.75" header="0.3" footer="0.3"/>
  <pageSetup orientation="portrait" r:id="rId7"/>
  <drawing r:id="rId8"/>
</worksheet>
</file>

<file path=xl/worksheets/sheet44.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5">
    <tabColor theme="8" tint="-0.499984740745262"/>
  </sheetPr>
  <dimension ref="A1:BN2640"/>
  <sheetViews>
    <sheetView topLeftCell="C1" zoomScale="115" zoomScaleNormal="115" workbookViewId="0">
      <pane ySplit="1" topLeftCell="A2" activePane="bottomLeft" state="frozen"/>
      <selection pane="bottomLeft" activeCell="E2641" sqref="E2641"/>
    </sheetView>
  </sheetViews>
  <sheetFormatPr baseColWidth="10" defaultColWidth="9.33203125" defaultRowHeight="15" x14ac:dyDescent="0.2"/>
  <cols>
    <col min="1" max="1" width="60.5" customWidth="1"/>
    <col min="2" max="2" width="17" customWidth="1"/>
    <col min="3" max="3" width="33.5" customWidth="1"/>
    <col min="4" max="4" width="28.33203125" customWidth="1"/>
    <col min="5" max="5" width="46.5" customWidth="1"/>
    <col min="6" max="9" width="9" customWidth="1"/>
    <col min="11" max="13" width="9" customWidth="1"/>
    <col min="62" max="62" width="12.6640625" customWidth="1"/>
    <col min="66" max="66" width="20" customWidth="1"/>
  </cols>
  <sheetData>
    <row r="1" spans="1:66" x14ac:dyDescent="0.2">
      <c r="A1" s="205" t="s">
        <v>3670</v>
      </c>
      <c r="B1" s="205" t="s">
        <v>3671</v>
      </c>
      <c r="C1" s="205" t="s">
        <v>3672</v>
      </c>
      <c r="D1" s="205" t="s">
        <v>3673</v>
      </c>
      <c r="E1" s="205" t="s">
        <v>3674</v>
      </c>
      <c r="F1" s="205">
        <v>2016</v>
      </c>
      <c r="G1" s="205">
        <v>2017</v>
      </c>
      <c r="H1" s="205">
        <v>2018</v>
      </c>
      <c r="I1" s="205">
        <v>2019</v>
      </c>
      <c r="J1" s="205">
        <v>2020</v>
      </c>
      <c r="K1" s="4396"/>
      <c r="L1" s="205" t="s">
        <v>3715</v>
      </c>
      <c r="M1" s="4396"/>
      <c r="N1" s="4396"/>
      <c r="O1" s="4396"/>
      <c r="P1" s="4396"/>
      <c r="Q1" s="4396"/>
      <c r="R1" s="4396"/>
      <c r="S1" s="4396"/>
      <c r="T1" s="4396"/>
      <c r="U1" s="4396"/>
      <c r="V1" s="4396"/>
      <c r="W1" s="4396"/>
      <c r="X1" s="4396"/>
      <c r="Y1" s="4396"/>
      <c r="Z1" s="4396"/>
      <c r="AA1" s="4396"/>
      <c r="AB1" s="4396"/>
      <c r="AC1" s="4396"/>
      <c r="AD1" s="4396"/>
      <c r="AE1" s="4396"/>
      <c r="AF1" s="4396"/>
      <c r="AG1" s="4396"/>
      <c r="AH1" s="4396"/>
      <c r="AI1" s="4396"/>
      <c r="AJ1" s="4396"/>
      <c r="AK1" s="4396"/>
      <c r="AL1" s="4396"/>
      <c r="AM1" s="4396"/>
      <c r="AN1" s="4396"/>
      <c r="AO1" s="4396"/>
      <c r="AP1" s="4396"/>
    </row>
    <row r="2" spans="1:66" x14ac:dyDescent="0.2">
      <c r="A2" t="str">
        <f t="shared" ref="A2:A73" si="0">CONCATENATE(B2,C2)</f>
        <v>CaribbeanCereals,Total</v>
      </c>
      <c r="B2" t="s">
        <v>1547</v>
      </c>
      <c r="C2" s="206" t="s">
        <v>676</v>
      </c>
      <c r="D2" s="206" t="str">
        <f>VLOOKUP(B2, [2]list_region_country!$B$3:$D$20, 3, FALSE)</f>
        <v>Caribbean</v>
      </c>
      <c r="E2" s="206" t="str">
        <f t="shared" ref="E2:E73" si="1">CONCATENATE(D2,C2)</f>
        <v>CaribbeanCereals,Total</v>
      </c>
      <c r="F2">
        <v>23524</v>
      </c>
      <c r="G2">
        <v>23897</v>
      </c>
      <c r="H2">
        <v>22463</v>
      </c>
      <c r="I2">
        <v>29280</v>
      </c>
      <c r="J2">
        <v>26349</v>
      </c>
      <c r="L2">
        <f>AVERAGE(F2:J2)/10000</f>
        <v>2.5102599999999997</v>
      </c>
      <c r="BK2" s="58"/>
      <c r="BL2" s="58"/>
      <c r="BM2" s="58"/>
      <c r="BN2" s="58"/>
    </row>
    <row r="3" spans="1:66" x14ac:dyDescent="0.2">
      <c r="A3" t="str">
        <f t="shared" si="0"/>
        <v>CaribbeanPulses,Total</v>
      </c>
      <c r="B3" t="s">
        <v>1547</v>
      </c>
      <c r="C3" s="207" t="s">
        <v>1593</v>
      </c>
      <c r="D3" s="206" t="str">
        <f>VLOOKUP(B3, [2]list_region_country!$B$3:$D$20, 3, FALSE)</f>
        <v>Caribbean</v>
      </c>
      <c r="E3" s="206" t="str">
        <f t="shared" si="1"/>
        <v>CaribbeanPulses,Total</v>
      </c>
      <c r="F3">
        <v>7938</v>
      </c>
      <c r="G3">
        <v>7626</v>
      </c>
      <c r="H3">
        <v>6065</v>
      </c>
      <c r="I3">
        <v>7634</v>
      </c>
      <c r="J3">
        <v>7018</v>
      </c>
      <c r="L3">
        <f t="shared" ref="L3:L74" si="2">AVERAGE(F3:J3)/10000</f>
        <v>0.72561999999999993</v>
      </c>
      <c r="BK3" s="58"/>
      <c r="BL3" s="58"/>
      <c r="BM3" s="58"/>
      <c r="BN3" s="58"/>
    </row>
    <row r="4" spans="1:66" x14ac:dyDescent="0.2">
      <c r="A4" t="str">
        <f t="shared" si="0"/>
        <v>CaribbeanRoots and Tubers,Total</v>
      </c>
      <c r="B4" t="s">
        <v>1547</v>
      </c>
      <c r="C4" s="207" t="s">
        <v>1603</v>
      </c>
      <c r="D4" s="206" t="str">
        <f>VLOOKUP(B4, [2]list_region_country!$B$3:$D$20, 3, FALSE)</f>
        <v>Caribbean</v>
      </c>
      <c r="E4" s="206" t="str">
        <f t="shared" si="1"/>
        <v>CaribbeanRoots and Tubers,Total</v>
      </c>
      <c r="F4">
        <v>68510</v>
      </c>
      <c r="G4">
        <v>68613</v>
      </c>
      <c r="H4">
        <v>63025</v>
      </c>
      <c r="I4">
        <v>69023</v>
      </c>
      <c r="J4">
        <v>68243</v>
      </c>
      <c r="L4">
        <f t="shared" si="2"/>
        <v>6.7482800000000003</v>
      </c>
      <c r="BK4" s="58"/>
      <c r="BL4" s="58"/>
      <c r="BM4" s="58"/>
      <c r="BN4" s="58"/>
    </row>
    <row r="5" spans="1:66" x14ac:dyDescent="0.2">
      <c r="A5" t="str">
        <f t="shared" si="0"/>
        <v>CaribbeanBarley</v>
      </c>
      <c r="B5" t="s">
        <v>1547</v>
      </c>
      <c r="C5" s="206" t="s">
        <v>1347</v>
      </c>
      <c r="D5" s="206" t="str">
        <f>VLOOKUP(B5, [2]list_region_country!$B$3:$D$20, 3, FALSE)</f>
        <v>Caribbean</v>
      </c>
      <c r="E5" s="206" t="str">
        <f t="shared" si="1"/>
        <v>CaribbeanBarley</v>
      </c>
      <c r="F5">
        <v>0</v>
      </c>
      <c r="G5">
        <v>0</v>
      </c>
      <c r="H5">
        <v>0</v>
      </c>
      <c r="I5">
        <v>0</v>
      </c>
      <c r="J5">
        <v>0</v>
      </c>
      <c r="L5">
        <f t="shared" si="2"/>
        <v>0</v>
      </c>
      <c r="BK5" s="58"/>
      <c r="BL5" s="58"/>
      <c r="BM5" s="58"/>
      <c r="BN5" s="58"/>
    </row>
    <row r="6" spans="1:66" x14ac:dyDescent="0.2">
      <c r="A6" t="str">
        <f t="shared" si="0"/>
        <v>CaribbeanMaize</v>
      </c>
      <c r="B6" t="s">
        <v>1547</v>
      </c>
      <c r="C6" s="207" t="s">
        <v>491</v>
      </c>
      <c r="D6" s="206" t="str">
        <f>VLOOKUP(B6, [2]list_region_country!$B$3:$D$20, 3, FALSE)</f>
        <v>Caribbean</v>
      </c>
      <c r="E6" s="206" t="str">
        <f t="shared" si="1"/>
        <v>CaribbeanMaize</v>
      </c>
      <c r="F6">
        <v>13531</v>
      </c>
      <c r="G6">
        <v>13722</v>
      </c>
      <c r="H6">
        <v>10919</v>
      </c>
      <c r="I6">
        <v>16556</v>
      </c>
      <c r="J6">
        <v>13170</v>
      </c>
      <c r="L6">
        <f t="shared" si="2"/>
        <v>1.3579600000000001</v>
      </c>
      <c r="BK6" s="58"/>
      <c r="BL6" s="58"/>
      <c r="BM6" s="58"/>
      <c r="BN6" s="58"/>
    </row>
    <row r="7" spans="1:66" x14ac:dyDescent="0.2">
      <c r="A7" t="str">
        <f t="shared" si="0"/>
        <v>CaribbeanOats</v>
      </c>
      <c r="B7" t="s">
        <v>1547</v>
      </c>
      <c r="C7" s="207" t="s">
        <v>1408</v>
      </c>
      <c r="D7" s="206" t="str">
        <f>VLOOKUP(B7, [2]list_region_country!$B$3:$D$20, 3, FALSE)</f>
        <v>Caribbean</v>
      </c>
      <c r="E7" s="206" t="str">
        <f t="shared" si="1"/>
        <v>CaribbeanOats</v>
      </c>
      <c r="F7">
        <v>0</v>
      </c>
      <c r="G7">
        <v>0</v>
      </c>
      <c r="H7">
        <v>0</v>
      </c>
      <c r="I7">
        <v>0</v>
      </c>
      <c r="J7">
        <v>0</v>
      </c>
      <c r="L7">
        <f t="shared" si="2"/>
        <v>0</v>
      </c>
      <c r="BK7" s="58"/>
      <c r="BL7" s="58"/>
      <c r="BM7" s="58"/>
      <c r="BN7" s="58"/>
    </row>
    <row r="8" spans="1:66" x14ac:dyDescent="0.2">
      <c r="A8" t="str">
        <f t="shared" si="0"/>
        <v>CaribbeanPotatoes</v>
      </c>
      <c r="B8" t="s">
        <v>1547</v>
      </c>
      <c r="C8" s="207" t="s">
        <v>1410</v>
      </c>
      <c r="D8" s="206" t="str">
        <f>VLOOKUP(B8, [2]list_region_country!$B$3:$D$20, 3, FALSE)</f>
        <v>Caribbean</v>
      </c>
      <c r="E8" s="206" t="str">
        <f t="shared" si="1"/>
        <v>CaribbeanPotatoes</v>
      </c>
      <c r="F8">
        <v>203783</v>
      </c>
      <c r="G8">
        <v>205092</v>
      </c>
      <c r="H8">
        <v>205171</v>
      </c>
      <c r="I8">
        <v>201210</v>
      </c>
      <c r="J8">
        <v>200469</v>
      </c>
      <c r="L8">
        <f t="shared" si="2"/>
        <v>20.314499999999999</v>
      </c>
      <c r="BK8" s="58"/>
      <c r="BL8" s="58"/>
      <c r="BM8" s="58"/>
      <c r="BN8" s="58"/>
    </row>
    <row r="9" spans="1:66" x14ac:dyDescent="0.2">
      <c r="A9" t="str">
        <f t="shared" si="0"/>
        <v>CaribbeanSoybeans</v>
      </c>
      <c r="B9" t="s">
        <v>1547</v>
      </c>
      <c r="C9" s="207" t="s">
        <v>1414</v>
      </c>
      <c r="D9" s="206" t="str">
        <f>VLOOKUP(B9, [2]list_region_country!$B$3:$D$20, 3, FALSE)</f>
        <v>Caribbean</v>
      </c>
      <c r="E9" s="206" t="str">
        <f t="shared" si="1"/>
        <v>CaribbeanSoybeans</v>
      </c>
      <c r="F9">
        <v>0</v>
      </c>
      <c r="G9">
        <v>0</v>
      </c>
      <c r="H9">
        <v>0</v>
      </c>
      <c r="I9">
        <v>0</v>
      </c>
      <c r="J9">
        <v>0</v>
      </c>
      <c r="L9">
        <f t="shared" si="2"/>
        <v>0</v>
      </c>
      <c r="BK9" s="58"/>
      <c r="BL9" s="58"/>
      <c r="BM9" s="58"/>
      <c r="BN9" s="58"/>
    </row>
    <row r="10" spans="1:66" x14ac:dyDescent="0.2">
      <c r="A10" t="str">
        <f t="shared" si="0"/>
        <v>CaribbeanWheat</v>
      </c>
      <c r="B10" t="s">
        <v>1547</v>
      </c>
      <c r="C10" s="206" t="s">
        <v>1418</v>
      </c>
      <c r="D10" s="206" t="str">
        <f>VLOOKUP(B10, [2]list_region_country!$B$3:$D$20, 3, FALSE)</f>
        <v>Caribbean</v>
      </c>
      <c r="E10" s="206" t="str">
        <f t="shared" si="1"/>
        <v>CaribbeanWheat</v>
      </c>
      <c r="F10">
        <v>0</v>
      </c>
      <c r="G10">
        <v>0</v>
      </c>
      <c r="H10">
        <v>0</v>
      </c>
      <c r="I10">
        <v>0</v>
      </c>
      <c r="J10">
        <v>0</v>
      </c>
      <c r="L10">
        <f t="shared" si="2"/>
        <v>0</v>
      </c>
      <c r="BK10" s="58"/>
      <c r="BL10" s="58"/>
      <c r="BM10" s="58"/>
      <c r="BN10" s="58"/>
    </row>
    <row r="11" spans="1:66" x14ac:dyDescent="0.2">
      <c r="A11" t="str">
        <f t="shared" si="0"/>
        <v>CaribbeanMillet</v>
      </c>
      <c r="B11" t="s">
        <v>1547</v>
      </c>
      <c r="C11" s="207" t="s">
        <v>530</v>
      </c>
      <c r="D11" s="206" t="str">
        <f>VLOOKUP(B11, [2]list_region_country!$B$3:$D$20, 3, FALSE)</f>
        <v>Caribbean</v>
      </c>
      <c r="E11" s="206" t="str">
        <f t="shared" si="1"/>
        <v>CaribbeanMillet</v>
      </c>
      <c r="F11">
        <v>0</v>
      </c>
      <c r="G11">
        <v>0</v>
      </c>
      <c r="H11">
        <v>0</v>
      </c>
      <c r="I11">
        <v>0</v>
      </c>
      <c r="J11">
        <v>0</v>
      </c>
      <c r="L11">
        <f t="shared" si="2"/>
        <v>0</v>
      </c>
      <c r="BK11" s="58"/>
      <c r="BL11" s="58"/>
      <c r="BM11" s="58"/>
      <c r="BN11" s="58"/>
    </row>
    <row r="12" spans="1:66" x14ac:dyDescent="0.2">
      <c r="A12" t="str">
        <f t="shared" si="0"/>
        <v>CaribbeanSorghum</v>
      </c>
      <c r="B12" t="s">
        <v>1547</v>
      </c>
      <c r="C12" s="206" t="s">
        <v>548</v>
      </c>
      <c r="D12" s="206" t="str">
        <f>VLOOKUP(B12, [2]list_region_country!$B$3:$D$20, 3, FALSE)</f>
        <v>Caribbean</v>
      </c>
      <c r="E12" s="206" t="str">
        <f t="shared" si="1"/>
        <v>CaribbeanSorghum</v>
      </c>
      <c r="F12">
        <v>8827</v>
      </c>
      <c r="G12">
        <v>8289</v>
      </c>
      <c r="H12">
        <v>6333</v>
      </c>
      <c r="I12">
        <v>11549</v>
      </c>
      <c r="J12">
        <v>9230</v>
      </c>
      <c r="L12">
        <f t="shared" si="2"/>
        <v>0.88456000000000001</v>
      </c>
      <c r="BK12" s="58"/>
      <c r="BL12" s="58"/>
      <c r="BM12" s="58"/>
      <c r="BN12" s="58"/>
    </row>
    <row r="13" spans="1:66" x14ac:dyDescent="0.2">
      <c r="A13" t="str">
        <f t="shared" si="0"/>
        <v>CaribbeanRice, paddy</v>
      </c>
      <c r="B13" t="s">
        <v>1547</v>
      </c>
      <c r="C13" s="4393" t="s">
        <v>1601</v>
      </c>
      <c r="D13" s="206" t="str">
        <f>VLOOKUP(B13, [2]list_region_country!$B$3:$D$20, 3, FALSE)</f>
        <v>Caribbean</v>
      </c>
      <c r="E13" s="206" t="str">
        <f t="shared" si="1"/>
        <v>CaribbeanRice, paddy</v>
      </c>
      <c r="F13">
        <v>42098</v>
      </c>
      <c r="G13">
        <v>42406</v>
      </c>
      <c r="H13">
        <v>41454</v>
      </c>
      <c r="I13">
        <v>41958</v>
      </c>
      <c r="J13">
        <v>42997</v>
      </c>
      <c r="L13">
        <f t="shared" si="2"/>
        <v>4.2182599999999999</v>
      </c>
      <c r="BK13" s="58"/>
      <c r="BL13" s="58"/>
      <c r="BM13" s="58"/>
      <c r="BN13" s="58"/>
    </row>
    <row r="14" spans="1:66" x14ac:dyDescent="0.2">
      <c r="A14" t="str">
        <f t="shared" si="0"/>
        <v>CaribbeanRye</v>
      </c>
      <c r="B14" t="s">
        <v>1547</v>
      </c>
      <c r="C14" s="206" t="s">
        <v>1428</v>
      </c>
      <c r="D14" s="206" t="str">
        <f>VLOOKUP(B14, [2]list_region_country!$B$3:$D$20, 3, FALSE)</f>
        <v>Caribbean</v>
      </c>
      <c r="E14" s="206" t="str">
        <f t="shared" si="1"/>
        <v>CaribbeanRye</v>
      </c>
      <c r="F14">
        <v>0</v>
      </c>
      <c r="G14">
        <v>0</v>
      </c>
      <c r="H14">
        <v>0</v>
      </c>
      <c r="I14">
        <v>0</v>
      </c>
      <c r="J14">
        <v>0</v>
      </c>
      <c r="L14">
        <f t="shared" si="2"/>
        <v>0</v>
      </c>
      <c r="BK14" s="58"/>
      <c r="BL14" s="58"/>
      <c r="BM14" s="58"/>
      <c r="BN14" s="58"/>
    </row>
    <row r="15" spans="1:66" x14ac:dyDescent="0.2">
      <c r="A15" t="str">
        <f t="shared" si="0"/>
        <v>CaribbeanGroundnuts, with shell</v>
      </c>
      <c r="B15" t="s">
        <v>1547</v>
      </c>
      <c r="C15" s="206" t="s">
        <v>1506</v>
      </c>
      <c r="D15" s="206" t="str">
        <f>VLOOKUP(B15, [2]list_region_country!$B$3:$D$20, 3, FALSE)</f>
        <v>Caribbean</v>
      </c>
      <c r="E15" s="206" t="str">
        <f t="shared" si="1"/>
        <v>CaribbeanGroundnuts, with shell</v>
      </c>
      <c r="F15">
        <v>9192</v>
      </c>
      <c r="G15">
        <v>8860</v>
      </c>
      <c r="H15">
        <v>8543</v>
      </c>
      <c r="I15">
        <v>5942</v>
      </c>
      <c r="J15">
        <v>8847</v>
      </c>
      <c r="L15">
        <f t="shared" si="2"/>
        <v>0.82767999999999997</v>
      </c>
      <c r="BK15" s="58"/>
      <c r="BL15" s="58"/>
      <c r="BM15" s="58"/>
      <c r="BN15" s="58"/>
    </row>
    <row r="16" spans="1:66" x14ac:dyDescent="0.2">
      <c r="A16" t="str">
        <f t="shared" si="0"/>
        <v>CaribbeanBeans, dry</v>
      </c>
      <c r="B16" t="s">
        <v>1547</v>
      </c>
      <c r="C16" s="206" t="s">
        <v>1370</v>
      </c>
      <c r="D16" s="206" t="str">
        <f>VLOOKUP(B16, [2]list_region_country!$B$3:$D$20, 3, FALSE)</f>
        <v>Caribbean</v>
      </c>
      <c r="E16" s="206" t="str">
        <f t="shared" si="1"/>
        <v>CaribbeanBeans, dry</v>
      </c>
      <c r="F16">
        <v>7465</v>
      </c>
      <c r="G16">
        <v>6970</v>
      </c>
      <c r="H16">
        <v>5226</v>
      </c>
      <c r="I16">
        <v>6963</v>
      </c>
      <c r="J16">
        <v>6067</v>
      </c>
      <c r="L16">
        <f t="shared" si="2"/>
        <v>0.65381999999999996</v>
      </c>
      <c r="BK16" s="58"/>
      <c r="BL16" s="58"/>
      <c r="BM16" s="58"/>
      <c r="BN16" s="58"/>
    </row>
    <row r="17" spans="1:66" x14ac:dyDescent="0.2">
      <c r="A17" t="str">
        <f t="shared" si="0"/>
        <v>CaribbeanVegetables</v>
      </c>
      <c r="B17" t="s">
        <v>1547</v>
      </c>
      <c r="C17" s="207" t="s">
        <v>3717</v>
      </c>
      <c r="D17" s="206" t="str">
        <f>VLOOKUP(B17, [2]list_region_country!$B$3:$D$20, 3, FALSE)</f>
        <v>Caribbean</v>
      </c>
      <c r="E17" s="206" t="str">
        <f t="shared" si="1"/>
        <v>CaribbeanVegetables</v>
      </c>
      <c r="F17">
        <v>124228</v>
      </c>
      <c r="G17">
        <v>122092</v>
      </c>
      <c r="H17">
        <v>123201</v>
      </c>
      <c r="I17">
        <v>123861</v>
      </c>
      <c r="J17">
        <v>120935</v>
      </c>
      <c r="L17">
        <f t="shared" si="2"/>
        <v>12.286339999999999</v>
      </c>
      <c r="BK17" s="58"/>
      <c r="BL17" s="58"/>
      <c r="BM17" s="58"/>
      <c r="BN17" s="58"/>
    </row>
    <row r="18" spans="1:66" x14ac:dyDescent="0.2">
      <c r="A18" t="str">
        <f t="shared" si="0"/>
        <v>CaribbeanOilseeds</v>
      </c>
      <c r="B18" t="s">
        <v>1547</v>
      </c>
      <c r="C18" s="207" t="s">
        <v>3713</v>
      </c>
      <c r="D18" s="206" t="str">
        <f>VLOOKUP(B18, [2]list_region_country!$B$3:$D$20, 3, FALSE)</f>
        <v>Caribbean</v>
      </c>
      <c r="E18" s="206" t="str">
        <f t="shared" si="1"/>
        <v>CaribbeanOilseeds</v>
      </c>
      <c r="F18">
        <v>5326</v>
      </c>
      <c r="G18">
        <v>5205</v>
      </c>
      <c r="H18">
        <v>5100</v>
      </c>
      <c r="I18">
        <v>4232.666666666667</v>
      </c>
      <c r="J18">
        <v>5204</v>
      </c>
      <c r="L18">
        <f>AVERAGE(F18:J18)/10000</f>
        <v>0.50135333333333343</v>
      </c>
      <c r="BK18" s="58"/>
      <c r="BL18" s="58"/>
      <c r="BM18" s="58"/>
      <c r="BN18" s="58"/>
    </row>
    <row r="19" spans="1:66" s="480" customFormat="1" x14ac:dyDescent="0.2">
      <c r="A19" s="480" t="str">
        <f t="shared" si="0"/>
        <v>CaribbeanDefault</v>
      </c>
      <c r="B19" s="480" t="s">
        <v>1547</v>
      </c>
      <c r="C19" s="4394" t="s">
        <v>65</v>
      </c>
      <c r="D19" s="483" t="str">
        <f>VLOOKUP(B19, [2]list_region_country!$B$3:$D$20, 3, FALSE)</f>
        <v>Caribbean</v>
      </c>
      <c r="E19" s="483" t="str">
        <f t="shared" si="1"/>
        <v>CaribbeanDefault</v>
      </c>
      <c r="L19" s="480">
        <f>AVERAGEIF(L2:L18,"&gt;0")</f>
        <v>4.6389666666666676</v>
      </c>
      <c r="BK19" s="4397"/>
      <c r="BL19" s="4397"/>
      <c r="BM19" s="4397"/>
      <c r="BN19" s="4397"/>
    </row>
    <row r="20" spans="1:66" x14ac:dyDescent="0.2">
      <c r="A20" t="str">
        <f t="shared" si="0"/>
        <v>Central AfricaCereals,Total</v>
      </c>
      <c r="B20" t="s">
        <v>1557</v>
      </c>
      <c r="C20" s="206" t="s">
        <v>676</v>
      </c>
      <c r="D20" s="206" t="str">
        <f>VLOOKUP(B20, [2]list_region_country!$B$3:$D$20, 3, FALSE)</f>
        <v>Central Africa</v>
      </c>
      <c r="E20" s="206" t="str">
        <f t="shared" si="1"/>
        <v>Central AfricaCereals,Total</v>
      </c>
      <c r="F20">
        <v>9752</v>
      </c>
      <c r="G20">
        <v>9506</v>
      </c>
      <c r="H20">
        <v>10006</v>
      </c>
      <c r="I20">
        <v>10060</v>
      </c>
      <c r="J20">
        <v>10149</v>
      </c>
      <c r="L20">
        <f>AVERAGE(F20:J20)/10000</f>
        <v>0.98946000000000001</v>
      </c>
      <c r="BK20" s="58"/>
      <c r="BL20" s="58"/>
      <c r="BM20" s="58"/>
      <c r="BN20" s="58"/>
    </row>
    <row r="21" spans="1:66" x14ac:dyDescent="0.2">
      <c r="A21" t="str">
        <f t="shared" si="0"/>
        <v>Central AfricaPulses,Total</v>
      </c>
      <c r="B21" t="s">
        <v>1557</v>
      </c>
      <c r="C21" s="207" t="s">
        <v>1593</v>
      </c>
      <c r="D21" s="206" t="str">
        <f>VLOOKUP(B21, [2]list_region_country!$B$3:$D$20, 3, FALSE)</f>
        <v>Central Africa</v>
      </c>
      <c r="E21" s="206" t="str">
        <f t="shared" si="1"/>
        <v>Central AfricaPulses,Total</v>
      </c>
      <c r="F21">
        <v>6450</v>
      </c>
      <c r="G21">
        <v>6403</v>
      </c>
      <c r="H21">
        <v>6377</v>
      </c>
      <c r="I21">
        <v>6301</v>
      </c>
      <c r="J21">
        <v>6323</v>
      </c>
      <c r="L21">
        <f t="shared" si="2"/>
        <v>0.63707999999999998</v>
      </c>
      <c r="BK21" s="58"/>
      <c r="BL21" s="58"/>
      <c r="BM21" s="58"/>
      <c r="BN21" s="58"/>
    </row>
    <row r="22" spans="1:66" x14ac:dyDescent="0.2">
      <c r="A22" t="str">
        <f t="shared" si="0"/>
        <v>Central AfricaRoots and Tubers,Total</v>
      </c>
      <c r="B22" t="s">
        <v>1557</v>
      </c>
      <c r="C22" s="207" t="s">
        <v>1603</v>
      </c>
      <c r="D22" s="206" t="str">
        <f>VLOOKUP(B22, [2]list_region_country!$B$3:$D$20, 3, FALSE)</f>
        <v>Central Africa</v>
      </c>
      <c r="E22" s="206" t="str">
        <f t="shared" si="1"/>
        <v>Central AfricaRoots and Tubers,Total</v>
      </c>
      <c r="F22">
        <v>78557</v>
      </c>
      <c r="G22">
        <v>81120</v>
      </c>
      <c r="H22">
        <v>82694</v>
      </c>
      <c r="I22">
        <v>82928</v>
      </c>
      <c r="J22">
        <v>82953</v>
      </c>
      <c r="L22">
        <f t="shared" si="2"/>
        <v>8.1650399999999994</v>
      </c>
      <c r="BK22" s="58"/>
      <c r="BL22" s="58"/>
      <c r="BM22" s="58"/>
      <c r="BN22" s="58"/>
    </row>
    <row r="23" spans="1:66" x14ac:dyDescent="0.2">
      <c r="A23" t="str">
        <f t="shared" si="0"/>
        <v>Central AfricaBarley</v>
      </c>
      <c r="B23" t="s">
        <v>1557</v>
      </c>
      <c r="C23" s="206" t="s">
        <v>1347</v>
      </c>
      <c r="D23" s="206" t="str">
        <f>VLOOKUP(B23, [2]list_region_country!$B$3:$D$20, 3, FALSE)</f>
        <v>Central Africa</v>
      </c>
      <c r="E23" s="206" t="str">
        <f t="shared" si="1"/>
        <v>Central AfricaBarley</v>
      </c>
      <c r="F23">
        <v>6789</v>
      </c>
      <c r="G23">
        <v>6783</v>
      </c>
      <c r="H23">
        <v>6785</v>
      </c>
      <c r="I23">
        <v>6783</v>
      </c>
      <c r="J23">
        <v>6788</v>
      </c>
      <c r="L23">
        <f t="shared" si="2"/>
        <v>0.67856000000000005</v>
      </c>
      <c r="BK23" s="58"/>
      <c r="BL23" s="58"/>
      <c r="BM23" s="58"/>
      <c r="BN23" s="58"/>
    </row>
    <row r="24" spans="1:66" x14ac:dyDescent="0.2">
      <c r="A24" t="str">
        <f t="shared" si="0"/>
        <v>Central AfricaMaize</v>
      </c>
      <c r="B24" t="s">
        <v>1557</v>
      </c>
      <c r="C24" s="207" t="s">
        <v>491</v>
      </c>
      <c r="D24" s="206" t="str">
        <f>VLOOKUP(B24, [2]list_region_country!$B$3:$D$20, 3, FALSE)</f>
        <v>Central Africa</v>
      </c>
      <c r="E24" s="206" t="str">
        <f t="shared" si="1"/>
        <v>Central AfricaMaize</v>
      </c>
      <c r="F24">
        <v>10561</v>
      </c>
      <c r="G24">
        <v>10035</v>
      </c>
      <c r="H24">
        <v>10677</v>
      </c>
      <c r="I24">
        <v>10767</v>
      </c>
      <c r="J24">
        <v>10776</v>
      </c>
      <c r="L24">
        <f t="shared" si="2"/>
        <v>1.0563200000000001</v>
      </c>
      <c r="BK24" s="58"/>
      <c r="BL24" s="58"/>
      <c r="BM24" s="58"/>
      <c r="BN24" s="58"/>
    </row>
    <row r="25" spans="1:66" x14ac:dyDescent="0.2">
      <c r="A25" t="str">
        <f t="shared" si="0"/>
        <v>Central AfricaOats</v>
      </c>
      <c r="B25" t="s">
        <v>1557</v>
      </c>
      <c r="C25" s="207" t="s">
        <v>1408</v>
      </c>
      <c r="D25" s="206" t="str">
        <f>VLOOKUP(B25, [2]list_region_country!$B$3:$D$20, 3, FALSE)</f>
        <v>Central Africa</v>
      </c>
      <c r="E25" s="206" t="str">
        <f t="shared" si="1"/>
        <v>Central AfricaOats</v>
      </c>
      <c r="F25">
        <v>0</v>
      </c>
      <c r="G25">
        <v>0</v>
      </c>
      <c r="H25">
        <v>0</v>
      </c>
      <c r="I25">
        <v>0</v>
      </c>
      <c r="J25">
        <v>0</v>
      </c>
      <c r="L25">
        <f t="shared" si="2"/>
        <v>0</v>
      </c>
      <c r="BK25" s="58"/>
      <c r="BL25" s="58"/>
      <c r="BM25" s="58"/>
      <c r="BN25" s="58"/>
    </row>
    <row r="26" spans="1:66" x14ac:dyDescent="0.2">
      <c r="A26" t="str">
        <f t="shared" si="0"/>
        <v>Central AfricaPotatoes</v>
      </c>
      <c r="B26" t="s">
        <v>1557</v>
      </c>
      <c r="C26" s="207" t="s">
        <v>1410</v>
      </c>
      <c r="D26" s="206" t="str">
        <f>VLOOKUP(B26, [2]list_region_country!$B$3:$D$20, 3, FALSE)</f>
        <v>Central Africa</v>
      </c>
      <c r="E26" s="206" t="str">
        <f t="shared" si="1"/>
        <v>Central AfricaPotatoes</v>
      </c>
      <c r="F26">
        <v>75309</v>
      </c>
      <c r="G26">
        <v>82197</v>
      </c>
      <c r="H26">
        <v>82242</v>
      </c>
      <c r="I26">
        <v>84677</v>
      </c>
      <c r="J26">
        <v>79657</v>
      </c>
      <c r="L26">
        <f t="shared" si="2"/>
        <v>8.0816400000000002</v>
      </c>
      <c r="BK26" s="58"/>
      <c r="BL26" s="58"/>
      <c r="BM26" s="58"/>
      <c r="BN26" s="58"/>
    </row>
    <row r="27" spans="1:66" x14ac:dyDescent="0.2">
      <c r="A27" t="str">
        <f t="shared" si="0"/>
        <v>Central AfricaSoybeans</v>
      </c>
      <c r="B27" t="s">
        <v>1557</v>
      </c>
      <c r="C27" s="207" t="s">
        <v>1414</v>
      </c>
      <c r="D27" s="206" t="str">
        <f>VLOOKUP(B27, [2]list_region_country!$B$3:$D$20, 3, FALSE)</f>
        <v>Central Africa</v>
      </c>
      <c r="E27" s="206" t="str">
        <f t="shared" si="1"/>
        <v>Central AfricaSoybeans</v>
      </c>
      <c r="F27">
        <v>7159</v>
      </c>
      <c r="G27">
        <v>8181</v>
      </c>
      <c r="H27">
        <v>8451</v>
      </c>
      <c r="I27">
        <v>8721</v>
      </c>
      <c r="J27">
        <v>8828</v>
      </c>
      <c r="L27">
        <f t="shared" si="2"/>
        <v>0.82679999999999998</v>
      </c>
      <c r="BK27" s="58"/>
      <c r="BL27" s="58"/>
      <c r="BM27" s="58"/>
      <c r="BN27" s="58"/>
    </row>
    <row r="28" spans="1:66" x14ac:dyDescent="0.2">
      <c r="A28" t="str">
        <f t="shared" si="0"/>
        <v>Central AfricaWheat</v>
      </c>
      <c r="B28" t="s">
        <v>1557</v>
      </c>
      <c r="C28" s="206" t="s">
        <v>1418</v>
      </c>
      <c r="D28" s="206" t="str">
        <f>VLOOKUP(B28, [2]list_region_country!$B$3:$D$20, 3, FALSE)</f>
        <v>Central Africa</v>
      </c>
      <c r="E28" s="206" t="str">
        <f t="shared" si="1"/>
        <v>Central AfricaWheat</v>
      </c>
      <c r="F28">
        <v>12346</v>
      </c>
      <c r="G28">
        <v>12226</v>
      </c>
      <c r="H28">
        <v>12360</v>
      </c>
      <c r="I28">
        <v>11930</v>
      </c>
      <c r="J28">
        <v>11258</v>
      </c>
      <c r="L28">
        <f t="shared" si="2"/>
        <v>1.2023999999999999</v>
      </c>
      <c r="BK28" s="58"/>
      <c r="BL28" s="58"/>
      <c r="BM28" s="58"/>
      <c r="BN28" s="58"/>
    </row>
    <row r="29" spans="1:66" x14ac:dyDescent="0.2">
      <c r="A29" t="str">
        <f t="shared" si="0"/>
        <v>Central AfricaMillet</v>
      </c>
      <c r="B29" t="s">
        <v>1557</v>
      </c>
      <c r="C29" s="207" t="s">
        <v>530</v>
      </c>
      <c r="D29" s="206" t="str">
        <f>VLOOKUP(B29, [2]list_region_country!$B$3:$D$20, 3, FALSE)</f>
        <v>Central Africa</v>
      </c>
      <c r="E29" s="206" t="str">
        <f t="shared" si="1"/>
        <v>Central AfricaMillet</v>
      </c>
      <c r="F29">
        <v>5976</v>
      </c>
      <c r="G29">
        <v>5606</v>
      </c>
      <c r="H29">
        <v>5932</v>
      </c>
      <c r="I29">
        <v>5837</v>
      </c>
      <c r="J29">
        <v>5745</v>
      </c>
      <c r="L29">
        <f t="shared" si="2"/>
        <v>0.58191999999999999</v>
      </c>
      <c r="BK29" s="58"/>
      <c r="BL29" s="58"/>
      <c r="BM29" s="58"/>
      <c r="BN29" s="58"/>
    </row>
    <row r="30" spans="1:66" x14ac:dyDescent="0.2">
      <c r="A30" t="str">
        <f t="shared" si="0"/>
        <v>Central AfricaSorghum</v>
      </c>
      <c r="B30" t="s">
        <v>1557</v>
      </c>
      <c r="C30" s="206" t="s">
        <v>548</v>
      </c>
      <c r="D30" s="206" t="str">
        <f>VLOOKUP(B30, [2]list_region_country!$B$3:$D$20, 3, FALSE)</f>
        <v>Central Africa</v>
      </c>
      <c r="E30" s="206" t="str">
        <f t="shared" si="1"/>
        <v>Central AfricaSorghum</v>
      </c>
      <c r="F30">
        <v>10199</v>
      </c>
      <c r="G30">
        <v>10728</v>
      </c>
      <c r="H30">
        <v>11026</v>
      </c>
      <c r="I30">
        <v>11078</v>
      </c>
      <c r="J30">
        <v>10389</v>
      </c>
      <c r="L30">
        <f t="shared" si="2"/>
        <v>1.0684</v>
      </c>
      <c r="BK30" s="58"/>
      <c r="BL30" s="58"/>
      <c r="BM30" s="58"/>
      <c r="BN30" s="58"/>
    </row>
    <row r="31" spans="1:66" x14ac:dyDescent="0.2">
      <c r="A31" t="str">
        <f t="shared" si="0"/>
        <v>Central AfricaRice, paddy</v>
      </c>
      <c r="B31" t="s">
        <v>1557</v>
      </c>
      <c r="C31" s="4393" t="s">
        <v>1601</v>
      </c>
      <c r="D31" s="206" t="str">
        <f>VLOOKUP(B31, [2]list_region_country!$B$3:$D$20, 3, FALSE)</f>
        <v>Central Africa</v>
      </c>
      <c r="E31" s="206" t="str">
        <f t="shared" si="1"/>
        <v>Central AfricaRice, paddy</v>
      </c>
      <c r="F31">
        <v>9395</v>
      </c>
      <c r="G31">
        <v>9358</v>
      </c>
      <c r="H31">
        <v>9491</v>
      </c>
      <c r="I31">
        <v>9704</v>
      </c>
      <c r="J31">
        <v>11161</v>
      </c>
      <c r="L31">
        <f t="shared" si="2"/>
        <v>0.98217999999999994</v>
      </c>
      <c r="BK31" s="58"/>
      <c r="BL31" s="58"/>
      <c r="BM31" s="58"/>
      <c r="BN31" s="58"/>
    </row>
    <row r="32" spans="1:66" x14ac:dyDescent="0.2">
      <c r="A32" t="str">
        <f t="shared" si="0"/>
        <v>Central AfricaRye</v>
      </c>
      <c r="B32" t="s">
        <v>1557</v>
      </c>
      <c r="C32" s="206" t="s">
        <v>1428</v>
      </c>
      <c r="D32" s="206" t="str">
        <f>VLOOKUP(B32, [2]list_region_country!$B$3:$D$20, 3, FALSE)</f>
        <v>Central Africa</v>
      </c>
      <c r="E32" s="206" t="str">
        <f t="shared" si="1"/>
        <v>Central AfricaRye</v>
      </c>
      <c r="F32">
        <v>0</v>
      </c>
      <c r="G32">
        <v>0</v>
      </c>
      <c r="H32">
        <v>0</v>
      </c>
      <c r="I32">
        <v>0</v>
      </c>
      <c r="J32">
        <v>0</v>
      </c>
      <c r="L32">
        <f t="shared" si="2"/>
        <v>0</v>
      </c>
      <c r="BK32" s="58"/>
      <c r="BL32" s="58"/>
      <c r="BM32" s="58"/>
      <c r="BN32" s="58"/>
    </row>
    <row r="33" spans="1:66" x14ac:dyDescent="0.2">
      <c r="A33" t="str">
        <f t="shared" si="0"/>
        <v>Central AfricaGroundnuts, with shell</v>
      </c>
      <c r="B33" t="s">
        <v>1557</v>
      </c>
      <c r="C33" s="206" t="s">
        <v>1506</v>
      </c>
      <c r="D33" s="206" t="str">
        <f>VLOOKUP(B33, [2]list_region_country!$B$3:$D$20, 3, FALSE)</f>
        <v>Central Africa</v>
      </c>
      <c r="E33" s="206" t="str">
        <f t="shared" si="1"/>
        <v>Central AfricaGroundnuts, with shell</v>
      </c>
      <c r="F33">
        <v>10452</v>
      </c>
      <c r="G33">
        <v>10001</v>
      </c>
      <c r="H33">
        <v>9947</v>
      </c>
      <c r="I33">
        <v>10028</v>
      </c>
      <c r="J33">
        <v>9290</v>
      </c>
      <c r="L33">
        <f t="shared" si="2"/>
        <v>0.99436000000000002</v>
      </c>
      <c r="BK33" s="58"/>
      <c r="BL33" s="58"/>
      <c r="BM33" s="58"/>
      <c r="BN33" s="58"/>
    </row>
    <row r="34" spans="1:66" x14ac:dyDescent="0.2">
      <c r="A34" t="str">
        <f t="shared" si="0"/>
        <v>Central AfricaBeans, dry</v>
      </c>
      <c r="B34" t="s">
        <v>1557</v>
      </c>
      <c r="C34" s="206" t="s">
        <v>1370</v>
      </c>
      <c r="D34" s="206" t="str">
        <f>VLOOKUP(B34, [2]list_region_country!$B$3:$D$20, 3, FALSE)</f>
        <v>Central Africa</v>
      </c>
      <c r="E34" s="206" t="str">
        <f t="shared" si="1"/>
        <v>Central AfricaBeans, dry</v>
      </c>
      <c r="F34">
        <v>6436</v>
      </c>
      <c r="G34">
        <v>6396</v>
      </c>
      <c r="H34">
        <v>6345</v>
      </c>
      <c r="I34">
        <v>6249</v>
      </c>
      <c r="J34">
        <v>6274</v>
      </c>
      <c r="L34">
        <f t="shared" si="2"/>
        <v>0.63400000000000001</v>
      </c>
      <c r="BK34" s="58"/>
      <c r="BL34" s="58"/>
      <c r="BM34" s="58"/>
      <c r="BN34" s="58"/>
    </row>
    <row r="35" spans="1:66" x14ac:dyDescent="0.2">
      <c r="A35" t="str">
        <f>CONCATENATE(B35,C35)</f>
        <v>Central AfricaVegetables</v>
      </c>
      <c r="B35" t="s">
        <v>1557</v>
      </c>
      <c r="C35" s="207" t="s">
        <v>3717</v>
      </c>
      <c r="D35" s="206" t="str">
        <f>VLOOKUP(B35, [2]list_region_country!$B$3:$D$20, 3, FALSE)</f>
        <v>Central Africa</v>
      </c>
      <c r="E35" s="206" t="str">
        <f t="shared" si="1"/>
        <v>Central AfricaVegetables</v>
      </c>
      <c r="F35">
        <v>45055</v>
      </c>
      <c r="G35">
        <v>44344</v>
      </c>
      <c r="H35">
        <v>44064</v>
      </c>
      <c r="I35">
        <v>43808</v>
      </c>
      <c r="J35">
        <v>43367</v>
      </c>
      <c r="L35">
        <f t="shared" si="2"/>
        <v>4.4127599999999996</v>
      </c>
      <c r="BK35" s="58"/>
      <c r="BL35" s="58"/>
      <c r="BM35" s="58"/>
      <c r="BN35" s="58"/>
    </row>
    <row r="36" spans="1:66" x14ac:dyDescent="0.2">
      <c r="A36" t="str">
        <f>CONCATENATE(B36,C36)</f>
        <v>Central AfricaOilseeds</v>
      </c>
      <c r="B36" t="s">
        <v>1557</v>
      </c>
      <c r="C36" s="207" t="s">
        <v>3713</v>
      </c>
      <c r="D36" s="206" t="str">
        <f>VLOOKUP(B36, [2]list_region_country!$B$3:$D$20, 3, FALSE)</f>
        <v>Central Africa</v>
      </c>
      <c r="E36" s="206" t="str">
        <f t="shared" si="1"/>
        <v>Central AfricaOilseeds</v>
      </c>
      <c r="F36">
        <v>7661.4</v>
      </c>
      <c r="G36">
        <v>7770.6</v>
      </c>
      <c r="H36">
        <v>7343.4</v>
      </c>
      <c r="I36">
        <v>8076.6</v>
      </c>
      <c r="J36">
        <v>7734.4</v>
      </c>
      <c r="L36">
        <f t="shared" si="2"/>
        <v>0.77172800000000008</v>
      </c>
      <c r="BK36" s="58"/>
      <c r="BL36" s="58"/>
      <c r="BM36" s="58"/>
      <c r="BN36" s="58"/>
    </row>
    <row r="37" spans="1:66" s="480" customFormat="1" x14ac:dyDescent="0.2">
      <c r="A37" s="480" t="str">
        <f>CONCATENATE(B37,C37)</f>
        <v>Central AfricaDefault</v>
      </c>
      <c r="B37" s="480" t="s">
        <v>1557</v>
      </c>
      <c r="C37" s="4394" t="str">
        <f>C19</f>
        <v>Default</v>
      </c>
      <c r="D37" s="483" t="str">
        <f>VLOOKUP(B37, [2]list_region_country!$B$3:$D$20, 3, FALSE)</f>
        <v>Central Africa</v>
      </c>
      <c r="E37" s="483" t="str">
        <f t="shared" si="1"/>
        <v>Central AfricaDefault</v>
      </c>
      <c r="F37" s="483"/>
      <c r="G37" s="483"/>
      <c r="H37" s="483"/>
      <c r="I37" s="483"/>
      <c r="J37" s="483"/>
      <c r="L37" s="480">
        <f>AVERAGEIF(L20:L36,"&gt;0")</f>
        <v>2.0721765333333333</v>
      </c>
      <c r="BK37" s="4397"/>
      <c r="BL37" s="4397"/>
      <c r="BM37" s="4397"/>
      <c r="BN37" s="4397"/>
    </row>
    <row r="38" spans="1:66" x14ac:dyDescent="0.2">
      <c r="A38" t="str">
        <f t="shared" si="0"/>
        <v>Central AmericaCereals,Total</v>
      </c>
      <c r="B38" t="s">
        <v>1333</v>
      </c>
      <c r="C38" s="206" t="s">
        <v>676</v>
      </c>
      <c r="D38" s="206" t="str">
        <f>VLOOKUP(B38, [2]list_region_country!$B$3:$D$20, 3, FALSE)</f>
        <v>Central America</v>
      </c>
      <c r="E38" s="206" t="str">
        <f t="shared" si="1"/>
        <v>Central AmericaCereals,Total</v>
      </c>
      <c r="F38">
        <v>34687</v>
      </c>
      <c r="G38">
        <v>35121</v>
      </c>
      <c r="H38">
        <v>35190</v>
      </c>
      <c r="I38">
        <v>36680</v>
      </c>
      <c r="J38">
        <v>35248</v>
      </c>
      <c r="L38">
        <f t="shared" si="2"/>
        <v>3.5385199999999997</v>
      </c>
      <c r="BK38" s="58"/>
      <c r="BL38" s="58"/>
      <c r="BM38" s="58"/>
      <c r="BN38" s="58"/>
    </row>
    <row r="39" spans="1:66" x14ac:dyDescent="0.2">
      <c r="A39" t="str">
        <f t="shared" si="0"/>
        <v>Central AmericaPulses,Total</v>
      </c>
      <c r="B39" t="s">
        <v>1333</v>
      </c>
      <c r="C39" s="207" t="s">
        <v>1593</v>
      </c>
      <c r="D39" s="206" t="str">
        <f>VLOOKUP(B39, [2]list_region_country!$B$3:$D$20, 3, FALSE)</f>
        <v>Central America</v>
      </c>
      <c r="E39" s="206" t="str">
        <f t="shared" si="1"/>
        <v>Central AmericaPulses,Total</v>
      </c>
      <c r="F39">
        <v>8408</v>
      </c>
      <c r="G39">
        <v>8798</v>
      </c>
      <c r="H39">
        <v>9254</v>
      </c>
      <c r="I39">
        <v>9223</v>
      </c>
      <c r="J39">
        <v>8480</v>
      </c>
      <c r="L39">
        <f t="shared" si="2"/>
        <v>0.88326000000000005</v>
      </c>
      <c r="BK39" s="58"/>
      <c r="BL39" s="58"/>
      <c r="BM39" s="58"/>
      <c r="BN39" s="58"/>
    </row>
    <row r="40" spans="1:66" x14ac:dyDescent="0.2">
      <c r="A40" t="str">
        <f t="shared" si="0"/>
        <v>Central AmericaRoots and Tubers,Total</v>
      </c>
      <c r="B40" t="s">
        <v>1333</v>
      </c>
      <c r="C40" s="207" t="s">
        <v>1603</v>
      </c>
      <c r="D40" s="206" t="str">
        <f>VLOOKUP(B40, [2]list_region_country!$B$3:$D$20, 3, FALSE)</f>
        <v>Central America</v>
      </c>
      <c r="E40" s="206" t="str">
        <f t="shared" si="1"/>
        <v>Central AmericaRoots and Tubers,Total</v>
      </c>
      <c r="F40">
        <v>196945</v>
      </c>
      <c r="G40">
        <v>196671</v>
      </c>
      <c r="H40">
        <v>201603</v>
      </c>
      <c r="I40">
        <v>202082</v>
      </c>
      <c r="J40">
        <v>209124</v>
      </c>
      <c r="L40">
        <f t="shared" si="2"/>
        <v>20.128499999999999</v>
      </c>
      <c r="BK40" s="58"/>
      <c r="BL40" s="58"/>
      <c r="BM40" s="58"/>
      <c r="BN40" s="58"/>
    </row>
    <row r="41" spans="1:66" x14ac:dyDescent="0.2">
      <c r="A41" t="str">
        <f t="shared" si="0"/>
        <v>Central AmericaBarley</v>
      </c>
      <c r="B41" t="s">
        <v>1333</v>
      </c>
      <c r="C41" s="206" t="s">
        <v>1347</v>
      </c>
      <c r="D41" s="206" t="str">
        <f>VLOOKUP(B41, [2]list_region_country!$B$3:$D$20, 3, FALSE)</f>
        <v>Central America</v>
      </c>
      <c r="E41" s="206" t="str">
        <f t="shared" si="1"/>
        <v>Central AmericaBarley</v>
      </c>
      <c r="F41">
        <v>29670</v>
      </c>
      <c r="G41">
        <v>28418</v>
      </c>
      <c r="H41">
        <v>28645</v>
      </c>
      <c r="I41">
        <v>26930</v>
      </c>
      <c r="J41">
        <v>29376</v>
      </c>
      <c r="L41">
        <f t="shared" si="2"/>
        <v>2.8607800000000001</v>
      </c>
      <c r="BK41" s="58"/>
      <c r="BL41" s="58"/>
      <c r="BM41" s="58"/>
      <c r="BN41" s="58"/>
    </row>
    <row r="42" spans="1:66" x14ac:dyDescent="0.2">
      <c r="A42" t="str">
        <f t="shared" si="0"/>
        <v>Central AmericaMaize</v>
      </c>
      <c r="B42" t="s">
        <v>1333</v>
      </c>
      <c r="C42" s="207" t="s">
        <v>491</v>
      </c>
      <c r="D42" s="206" t="str">
        <f>VLOOKUP(B42, [2]list_region_country!$B$3:$D$20, 3, FALSE)</f>
        <v>Central America</v>
      </c>
      <c r="E42" s="206" t="str">
        <f t="shared" si="1"/>
        <v>Central AmericaMaize</v>
      </c>
      <c r="F42">
        <v>33813</v>
      </c>
      <c r="G42">
        <v>34370</v>
      </c>
      <c r="H42">
        <v>34374</v>
      </c>
      <c r="I42">
        <v>36437</v>
      </c>
      <c r="J42">
        <v>34707</v>
      </c>
      <c r="L42">
        <f t="shared" si="2"/>
        <v>3.4740199999999999</v>
      </c>
      <c r="BK42" s="58"/>
      <c r="BL42" s="58"/>
      <c r="BM42" s="58"/>
      <c r="BN42" s="58"/>
    </row>
    <row r="43" spans="1:66" x14ac:dyDescent="0.2">
      <c r="A43" t="str">
        <f t="shared" si="0"/>
        <v>Central AmericaOats</v>
      </c>
      <c r="B43" t="s">
        <v>1333</v>
      </c>
      <c r="C43" s="207" t="s">
        <v>1408</v>
      </c>
      <c r="D43" s="206" t="str">
        <f>VLOOKUP(B43, [2]list_region_country!$B$3:$D$20, 3, FALSE)</f>
        <v>Central America</v>
      </c>
      <c r="E43" s="206" t="str">
        <f t="shared" si="1"/>
        <v>Central AmericaOats</v>
      </c>
      <c r="F43">
        <v>18536</v>
      </c>
      <c r="G43">
        <v>16646</v>
      </c>
      <c r="H43">
        <v>19896</v>
      </c>
      <c r="I43">
        <v>20719</v>
      </c>
      <c r="J43">
        <v>22489</v>
      </c>
      <c r="L43">
        <f t="shared" si="2"/>
        <v>1.9657200000000001</v>
      </c>
      <c r="BK43" s="58"/>
      <c r="BL43" s="58"/>
      <c r="BM43" s="58"/>
      <c r="BN43" s="58"/>
    </row>
    <row r="44" spans="1:66" x14ac:dyDescent="0.2">
      <c r="A44" t="str">
        <f t="shared" si="0"/>
        <v>Central AmericaPotatoes</v>
      </c>
      <c r="B44" t="s">
        <v>1333</v>
      </c>
      <c r="C44" s="207" t="s">
        <v>1410</v>
      </c>
      <c r="D44" s="206" t="str">
        <f>VLOOKUP(B44, [2]list_region_country!$B$3:$D$20, 3, FALSE)</f>
        <v>Central America</v>
      </c>
      <c r="E44" s="206" t="str">
        <f t="shared" si="1"/>
        <v>Central AmericaPotatoes</v>
      </c>
      <c r="F44">
        <v>266961</v>
      </c>
      <c r="G44">
        <v>272801</v>
      </c>
      <c r="H44">
        <v>276886</v>
      </c>
      <c r="I44">
        <v>280482</v>
      </c>
      <c r="J44">
        <v>290443</v>
      </c>
      <c r="L44">
        <f t="shared" si="2"/>
        <v>27.751459999999998</v>
      </c>
      <c r="BK44" s="58"/>
      <c r="BL44" s="58"/>
      <c r="BM44" s="58"/>
      <c r="BN44" s="58"/>
    </row>
    <row r="45" spans="1:66" x14ac:dyDescent="0.2">
      <c r="A45" t="str">
        <f t="shared" si="0"/>
        <v>Central AmericaSoybeans</v>
      </c>
      <c r="B45" t="s">
        <v>1333</v>
      </c>
      <c r="C45" s="207" t="s">
        <v>1414</v>
      </c>
      <c r="D45" s="206" t="str">
        <f>VLOOKUP(B45, [2]list_region_country!$B$3:$D$20, 3, FALSE)</f>
        <v>Central America</v>
      </c>
      <c r="E45" s="206" t="str">
        <f t="shared" si="1"/>
        <v>Central AmericaSoybeans</v>
      </c>
      <c r="F45">
        <v>18659</v>
      </c>
      <c r="G45">
        <v>17014</v>
      </c>
      <c r="H45">
        <v>17629</v>
      </c>
      <c r="I45">
        <v>16846</v>
      </c>
      <c r="J45">
        <v>16583</v>
      </c>
      <c r="L45">
        <f t="shared" si="2"/>
        <v>1.7346200000000001</v>
      </c>
      <c r="BK45" s="58"/>
      <c r="BL45" s="58"/>
      <c r="BM45" s="58"/>
      <c r="BN45" s="58"/>
    </row>
    <row r="46" spans="1:66" x14ac:dyDescent="0.2">
      <c r="A46" t="str">
        <f t="shared" si="0"/>
        <v>Central AmericaWheat</v>
      </c>
      <c r="B46" t="s">
        <v>1333</v>
      </c>
      <c r="C46" s="206" t="s">
        <v>1418</v>
      </c>
      <c r="D46" s="206" t="str">
        <f>VLOOKUP(B46, [2]list_region_country!$B$3:$D$20, 3, FALSE)</f>
        <v>Central America</v>
      </c>
      <c r="E46" s="206" t="str">
        <f t="shared" si="1"/>
        <v>Central AmericaWheat</v>
      </c>
      <c r="F46">
        <v>53222</v>
      </c>
      <c r="G46">
        <v>52788</v>
      </c>
      <c r="H46">
        <v>54152</v>
      </c>
      <c r="I46">
        <v>55105</v>
      </c>
      <c r="J46">
        <v>52995</v>
      </c>
      <c r="L46">
        <f t="shared" si="2"/>
        <v>5.36524</v>
      </c>
      <c r="BK46" s="58"/>
      <c r="BL46" s="58"/>
      <c r="BM46" s="58"/>
      <c r="BN46" s="58"/>
    </row>
    <row r="47" spans="1:66" x14ac:dyDescent="0.2">
      <c r="A47" t="str">
        <f t="shared" si="0"/>
        <v>Central AmericaMillet</v>
      </c>
      <c r="B47" t="s">
        <v>1333</v>
      </c>
      <c r="C47" s="207" t="s">
        <v>530</v>
      </c>
      <c r="D47" s="206" t="str">
        <f>VLOOKUP(B47, [2]list_region_country!$B$3:$D$20, 3, FALSE)</f>
        <v>Central America</v>
      </c>
      <c r="E47" s="206" t="str">
        <f t="shared" si="1"/>
        <v>Central AmericaMillet</v>
      </c>
      <c r="F47">
        <v>135000</v>
      </c>
      <c r="H47">
        <v>157857</v>
      </c>
      <c r="I47">
        <v>138000</v>
      </c>
      <c r="J47">
        <v>146842</v>
      </c>
      <c r="L47">
        <f>AVERAGE(F47:J47)/10000</f>
        <v>14.442475</v>
      </c>
      <c r="BK47" s="58"/>
      <c r="BL47" s="58"/>
      <c r="BM47" s="58"/>
      <c r="BN47" s="58"/>
    </row>
    <row r="48" spans="1:66" x14ac:dyDescent="0.2">
      <c r="A48" t="str">
        <f t="shared" si="0"/>
        <v>Central AmericaSorghum</v>
      </c>
      <c r="B48" t="s">
        <v>1333</v>
      </c>
      <c r="C48" s="206" t="s">
        <v>548</v>
      </c>
      <c r="D48" s="206" t="str">
        <f>VLOOKUP(B48, [2]list_region_country!$B$3:$D$20, 3, FALSE)</f>
        <v>Central America</v>
      </c>
      <c r="E48" s="206" t="str">
        <f t="shared" si="1"/>
        <v>Central AmericaSorghum</v>
      </c>
      <c r="F48">
        <v>31042</v>
      </c>
      <c r="G48">
        <v>32119</v>
      </c>
      <c r="H48">
        <v>32727</v>
      </c>
      <c r="I48">
        <v>31253</v>
      </c>
      <c r="J48">
        <v>30919</v>
      </c>
      <c r="L48">
        <f t="shared" si="2"/>
        <v>3.1612</v>
      </c>
      <c r="BK48" s="58"/>
      <c r="BL48" s="58"/>
      <c r="BM48" s="58"/>
      <c r="BN48" s="58"/>
    </row>
    <row r="49" spans="1:66" x14ac:dyDescent="0.2">
      <c r="A49" t="str">
        <f t="shared" si="0"/>
        <v>Central AmericaRice, paddy</v>
      </c>
      <c r="B49" t="s">
        <v>1333</v>
      </c>
      <c r="C49" s="4393" t="s">
        <v>1601</v>
      </c>
      <c r="D49" s="206" t="str">
        <f>VLOOKUP(B49, [2]list_region_country!$B$3:$D$20, 3, FALSE)</f>
        <v>Central America</v>
      </c>
      <c r="E49" s="206" t="str">
        <f t="shared" si="1"/>
        <v>Central AmericaRice, paddy</v>
      </c>
      <c r="F49">
        <v>47053</v>
      </c>
      <c r="G49">
        <v>47148</v>
      </c>
      <c r="H49">
        <v>49305</v>
      </c>
      <c r="I49">
        <v>49572</v>
      </c>
      <c r="J49">
        <v>49066</v>
      </c>
      <c r="L49">
        <f t="shared" si="2"/>
        <v>4.8428800000000001</v>
      </c>
      <c r="BK49" s="58"/>
      <c r="BL49" s="58"/>
      <c r="BM49" s="58"/>
      <c r="BN49" s="58"/>
    </row>
    <row r="50" spans="1:66" x14ac:dyDescent="0.2">
      <c r="A50" t="str">
        <f t="shared" si="0"/>
        <v>Central AmericaRye</v>
      </c>
      <c r="B50" t="s">
        <v>1333</v>
      </c>
      <c r="C50" s="206" t="s">
        <v>1428</v>
      </c>
      <c r="D50" s="206" t="str">
        <f>VLOOKUP(B50, [2]list_region_country!$B$3:$D$20, 3, FALSE)</f>
        <v>Central America</v>
      </c>
      <c r="E50" s="206" t="str">
        <f t="shared" si="1"/>
        <v>Central AmericaRye</v>
      </c>
      <c r="F50">
        <v>14000</v>
      </c>
      <c r="G50">
        <v>18333</v>
      </c>
      <c r="H50">
        <v>18000</v>
      </c>
      <c r="I50">
        <v>17500</v>
      </c>
      <c r="J50">
        <v>17778</v>
      </c>
      <c r="L50">
        <f t="shared" si="2"/>
        <v>1.7122200000000001</v>
      </c>
      <c r="BK50" s="58"/>
      <c r="BL50" s="58"/>
      <c r="BM50" s="58"/>
      <c r="BN50" s="58"/>
    </row>
    <row r="51" spans="1:66" x14ac:dyDescent="0.2">
      <c r="A51" t="str">
        <f t="shared" si="0"/>
        <v>Central AmericaGroundnuts, with shell</v>
      </c>
      <c r="B51" t="s">
        <v>1333</v>
      </c>
      <c r="C51" s="206" t="s">
        <v>1506</v>
      </c>
      <c r="D51" s="206" t="str">
        <f>VLOOKUP(B51, [2]list_region_country!$B$3:$D$20, 3, FALSE)</f>
        <v>Central America</v>
      </c>
      <c r="E51" s="206" t="str">
        <f t="shared" si="1"/>
        <v>Central AmericaGroundnuts, with shell</v>
      </c>
      <c r="F51">
        <v>28920</v>
      </c>
      <c r="G51">
        <v>29198</v>
      </c>
      <c r="H51">
        <v>29433</v>
      </c>
      <c r="I51">
        <v>28563</v>
      </c>
      <c r="J51">
        <v>27658</v>
      </c>
      <c r="L51">
        <f t="shared" si="2"/>
        <v>2.8754400000000002</v>
      </c>
      <c r="BK51" s="58"/>
      <c r="BL51" s="58"/>
      <c r="BM51" s="58"/>
      <c r="BN51" s="58"/>
    </row>
    <row r="52" spans="1:66" x14ac:dyDescent="0.2">
      <c r="A52" t="str">
        <f t="shared" si="0"/>
        <v>Central AmericaBeans, dry</v>
      </c>
      <c r="B52" t="s">
        <v>1333</v>
      </c>
      <c r="C52" s="206" t="s">
        <v>1370</v>
      </c>
      <c r="D52" s="206" t="str">
        <f>VLOOKUP(B52, [2]list_region_country!$B$3:$D$20, 3, FALSE)</f>
        <v>Central America</v>
      </c>
      <c r="E52" s="206" t="str">
        <f t="shared" si="1"/>
        <v>Central AmericaBeans, dry</v>
      </c>
      <c r="F52">
        <v>7470</v>
      </c>
      <c r="G52">
        <v>7804</v>
      </c>
      <c r="H52">
        <v>7972</v>
      </c>
      <c r="I52">
        <v>7993</v>
      </c>
      <c r="J52">
        <v>7534</v>
      </c>
      <c r="L52">
        <f t="shared" si="2"/>
        <v>0.77546000000000004</v>
      </c>
      <c r="BK52" s="58"/>
      <c r="BL52" s="58"/>
      <c r="BM52" s="58"/>
      <c r="BN52" s="58"/>
    </row>
    <row r="53" spans="1:66" x14ac:dyDescent="0.2">
      <c r="A53" t="str">
        <f t="shared" si="0"/>
        <v>Central AmericaVegetables</v>
      </c>
      <c r="B53" t="s">
        <v>1333</v>
      </c>
      <c r="C53" s="207" t="s">
        <v>3717</v>
      </c>
      <c r="D53" s="206" t="str">
        <f>VLOOKUP(B53, [2]list_region_country!$B$3:$D$20, 3, FALSE)</f>
        <v>Central America</v>
      </c>
      <c r="E53" s="206" t="str">
        <f t="shared" si="1"/>
        <v>Central AmericaVegetables</v>
      </c>
      <c r="F53">
        <v>196262</v>
      </c>
      <c r="G53">
        <v>213056</v>
      </c>
      <c r="H53">
        <v>220200</v>
      </c>
      <c r="I53">
        <v>215422</v>
      </c>
      <c r="J53">
        <v>208588</v>
      </c>
      <c r="L53">
        <f t="shared" si="2"/>
        <v>21.07056</v>
      </c>
      <c r="BK53" s="58"/>
      <c r="BL53" s="58"/>
      <c r="BM53" s="58"/>
      <c r="BN53" s="58"/>
    </row>
    <row r="54" spans="1:66" x14ac:dyDescent="0.2">
      <c r="A54" t="str">
        <f t="shared" si="0"/>
        <v>Central AmericaOilseeds</v>
      </c>
      <c r="B54" t="s">
        <v>1333</v>
      </c>
      <c r="C54" s="207" t="s">
        <v>3713</v>
      </c>
      <c r="D54" s="206" t="str">
        <f>VLOOKUP(B54, [2]list_region_country!$B$3:$D$20, 3, FALSE)</f>
        <v>Central America</v>
      </c>
      <c r="E54" s="206" t="str">
        <f t="shared" si="1"/>
        <v>Central AmericaOilseeds</v>
      </c>
      <c r="F54">
        <v>16094.875</v>
      </c>
      <c r="G54">
        <v>16222.125</v>
      </c>
      <c r="H54">
        <v>17918.375</v>
      </c>
      <c r="I54">
        <v>16968.375</v>
      </c>
      <c r="J54">
        <v>16655.125</v>
      </c>
      <c r="L54">
        <f t="shared" si="2"/>
        <v>1.6771775000000002</v>
      </c>
      <c r="BK54" s="58"/>
      <c r="BL54" s="58"/>
      <c r="BM54" s="58"/>
      <c r="BN54" s="58"/>
    </row>
    <row r="55" spans="1:66" s="480" customFormat="1" x14ac:dyDescent="0.2">
      <c r="A55" s="480" t="str">
        <f t="shared" si="0"/>
        <v>Central AmericaDefault</v>
      </c>
      <c r="B55" s="480" t="s">
        <v>1333</v>
      </c>
      <c r="C55" s="4394" t="str">
        <f>C37</f>
        <v>Default</v>
      </c>
      <c r="D55" s="483" t="str">
        <f>VLOOKUP(B55, [2]list_region_country!$B$3:$D$20, 3, FALSE)</f>
        <v>Central America</v>
      </c>
      <c r="E55" s="483" t="str">
        <f t="shared" si="1"/>
        <v>Central AmericaDefault</v>
      </c>
      <c r="F55" s="483"/>
      <c r="G55" s="483"/>
      <c r="H55" s="483"/>
      <c r="I55" s="483"/>
      <c r="J55" s="483"/>
      <c r="K55" s="483"/>
      <c r="L55" s="483">
        <f>AVERAGEIF(L38:L54,"&gt;0")</f>
        <v>6.9564430882352939</v>
      </c>
      <c r="BK55" s="4397"/>
      <c r="BL55" s="4397"/>
      <c r="BM55" s="4397"/>
      <c r="BN55" s="4397"/>
    </row>
    <row r="56" spans="1:66" x14ac:dyDescent="0.2">
      <c r="A56" t="str">
        <f t="shared" si="0"/>
        <v>Central AsiaCereals,Total</v>
      </c>
      <c r="B56" t="s">
        <v>1550</v>
      </c>
      <c r="C56" s="206" t="s">
        <v>676</v>
      </c>
      <c r="D56" s="206" t="str">
        <f>VLOOKUP(B56, [2]list_region_country!$B$3:$D$20, 3, FALSE)</f>
        <v>Central Asia</v>
      </c>
      <c r="E56" s="206" t="str">
        <f t="shared" si="1"/>
        <v>Central AsiaCereals,Total</v>
      </c>
      <c r="F56">
        <v>17541</v>
      </c>
      <c r="G56">
        <v>16969</v>
      </c>
      <c r="H56">
        <v>16816</v>
      </c>
      <c r="I56">
        <v>15705</v>
      </c>
      <c r="J56">
        <v>16693</v>
      </c>
      <c r="L56">
        <f t="shared" si="2"/>
        <v>1.67448</v>
      </c>
      <c r="BK56" s="58"/>
      <c r="BL56" s="58"/>
      <c r="BM56" s="58"/>
      <c r="BN56" s="58"/>
    </row>
    <row r="57" spans="1:66" x14ac:dyDescent="0.2">
      <c r="A57" t="str">
        <f t="shared" si="0"/>
        <v>Central AsiaPulses,Total</v>
      </c>
      <c r="B57" t="s">
        <v>1550</v>
      </c>
      <c r="C57" s="207" t="s">
        <v>1593</v>
      </c>
      <c r="D57" s="206" t="str">
        <f>VLOOKUP(B57, [2]list_region_country!$B$3:$D$20, 3, FALSE)</f>
        <v>Central Asia</v>
      </c>
      <c r="E57" s="206" t="str">
        <f t="shared" si="1"/>
        <v>Central AsiaPulses,Total</v>
      </c>
      <c r="F57">
        <v>15969</v>
      </c>
      <c r="G57">
        <v>12059</v>
      </c>
      <c r="H57">
        <v>11407</v>
      </c>
      <c r="I57">
        <v>12708</v>
      </c>
      <c r="J57">
        <v>13603</v>
      </c>
      <c r="L57">
        <f t="shared" si="2"/>
        <v>1.3149200000000001</v>
      </c>
      <c r="BK57" s="58"/>
      <c r="BL57" s="58"/>
      <c r="BM57" s="58"/>
      <c r="BN57" s="58"/>
    </row>
    <row r="58" spans="1:66" x14ac:dyDescent="0.2">
      <c r="A58" t="str">
        <f t="shared" si="0"/>
        <v>Central AsiaRoots and Tubers,Total</v>
      </c>
      <c r="B58" t="s">
        <v>1550</v>
      </c>
      <c r="C58" s="207" t="s">
        <v>1603</v>
      </c>
      <c r="D58" s="206" t="str">
        <f>VLOOKUP(B58, [2]list_region_country!$B$3:$D$20, 3, FALSE)</f>
        <v>Central Asia</v>
      </c>
      <c r="E58" s="206" t="str">
        <f t="shared" si="1"/>
        <v>Central AsiaRoots and Tubers,Total</v>
      </c>
      <c r="F58">
        <v>217478</v>
      </c>
      <c r="G58">
        <v>221276</v>
      </c>
      <c r="H58">
        <v>220447</v>
      </c>
      <c r="I58">
        <v>226214</v>
      </c>
      <c r="J58">
        <v>229627</v>
      </c>
      <c r="L58">
        <f t="shared" si="2"/>
        <v>22.300840000000001</v>
      </c>
      <c r="BK58" s="58"/>
      <c r="BL58" s="58"/>
      <c r="BM58" s="58"/>
      <c r="BN58" s="58"/>
    </row>
    <row r="59" spans="1:66" x14ac:dyDescent="0.2">
      <c r="A59" t="str">
        <f t="shared" si="0"/>
        <v>Central AsiaBarley</v>
      </c>
      <c r="B59" t="s">
        <v>1550</v>
      </c>
      <c r="C59" s="206" t="s">
        <v>1347</v>
      </c>
      <c r="D59" s="206" t="str">
        <f>VLOOKUP(B59, [2]list_region_country!$B$3:$D$20, 3, FALSE)</f>
        <v>Central Asia</v>
      </c>
      <c r="E59" s="206" t="str">
        <f t="shared" si="1"/>
        <v>Central AsiaBarley</v>
      </c>
      <c r="F59">
        <v>17473</v>
      </c>
      <c r="G59">
        <v>16428</v>
      </c>
      <c r="H59">
        <v>16069</v>
      </c>
      <c r="I59">
        <v>13693</v>
      </c>
      <c r="J59">
        <v>14315</v>
      </c>
      <c r="L59">
        <f t="shared" si="2"/>
        <v>1.5595600000000001</v>
      </c>
      <c r="BK59" s="58"/>
      <c r="BL59" s="58"/>
      <c r="BM59" s="58"/>
      <c r="BN59" s="58"/>
    </row>
    <row r="60" spans="1:66" x14ac:dyDescent="0.2">
      <c r="A60" t="str">
        <f t="shared" si="0"/>
        <v>Central AsiaMaize</v>
      </c>
      <c r="B60" t="s">
        <v>1550</v>
      </c>
      <c r="C60" s="207" t="s">
        <v>491</v>
      </c>
      <c r="D60" s="206" t="str">
        <f>VLOOKUP(B60, [2]list_region_country!$B$3:$D$20, 3, FALSE)</f>
        <v>Central Asia</v>
      </c>
      <c r="E60" s="206" t="str">
        <f t="shared" si="1"/>
        <v>Central AsiaMaize</v>
      </c>
      <c r="F60">
        <v>65012</v>
      </c>
      <c r="G60">
        <v>63289</v>
      </c>
      <c r="H60">
        <v>65313</v>
      </c>
      <c r="I60">
        <v>63500</v>
      </c>
      <c r="J60">
        <v>62826</v>
      </c>
      <c r="L60">
        <f t="shared" si="2"/>
        <v>6.3987999999999996</v>
      </c>
      <c r="BK60" s="58"/>
      <c r="BL60" s="58"/>
      <c r="BM60" s="58"/>
      <c r="BN60" s="58"/>
    </row>
    <row r="61" spans="1:66" x14ac:dyDescent="0.2">
      <c r="A61" t="str">
        <f t="shared" si="0"/>
        <v>Central AsiaOats</v>
      </c>
      <c r="B61" t="s">
        <v>1550</v>
      </c>
      <c r="C61" s="207" t="s">
        <v>1408</v>
      </c>
      <c r="D61" s="206" t="str">
        <f>VLOOKUP(B61, [2]list_region_country!$B$3:$D$20, 3, FALSE)</f>
        <v>Central Asia</v>
      </c>
      <c r="E61" s="206" t="str">
        <f t="shared" si="1"/>
        <v>Central AsiaOats</v>
      </c>
      <c r="F61">
        <v>15969</v>
      </c>
      <c r="G61">
        <v>13386</v>
      </c>
      <c r="H61">
        <v>14310</v>
      </c>
      <c r="I61">
        <v>11039</v>
      </c>
      <c r="J61">
        <v>10580</v>
      </c>
      <c r="L61">
        <f t="shared" si="2"/>
        <v>1.30568</v>
      </c>
      <c r="BK61" s="58"/>
      <c r="BL61" s="58"/>
      <c r="BM61" s="58"/>
      <c r="BN61" s="58"/>
    </row>
    <row r="62" spans="1:66" x14ac:dyDescent="0.2">
      <c r="A62" t="str">
        <f t="shared" si="0"/>
        <v>Central AsiaPotatoes</v>
      </c>
      <c r="B62" t="s">
        <v>1550</v>
      </c>
      <c r="C62" s="207" t="s">
        <v>1410</v>
      </c>
      <c r="D62" s="206" t="str">
        <f>VLOOKUP(B62, [2]list_region_country!$B$3:$D$20, 3, FALSE)</f>
        <v>Central Asia</v>
      </c>
      <c r="E62" s="206" t="str">
        <f t="shared" si="1"/>
        <v>Central AsiaPotatoes</v>
      </c>
      <c r="F62">
        <v>217478</v>
      </c>
      <c r="G62">
        <v>221276</v>
      </c>
      <c r="H62">
        <v>220447</v>
      </c>
      <c r="I62">
        <v>226214</v>
      </c>
      <c r="J62">
        <v>229627</v>
      </c>
      <c r="L62">
        <f t="shared" si="2"/>
        <v>22.300840000000001</v>
      </c>
      <c r="BK62" s="58"/>
      <c r="BL62" s="58"/>
      <c r="BM62" s="58"/>
      <c r="BN62" s="58"/>
    </row>
    <row r="63" spans="1:66" x14ac:dyDescent="0.2">
      <c r="A63" t="str">
        <f t="shared" si="0"/>
        <v>Central AsiaSoybeans</v>
      </c>
      <c r="B63" t="s">
        <v>1550</v>
      </c>
      <c r="C63" s="207" t="s">
        <v>1414</v>
      </c>
      <c r="D63" s="206" t="str">
        <f>VLOOKUP(B63, [2]list_region_country!$B$3:$D$20, 3, FALSE)</f>
        <v>Central Asia</v>
      </c>
      <c r="E63" s="206" t="str">
        <f t="shared" si="1"/>
        <v>Central AsiaSoybeans</v>
      </c>
      <c r="F63">
        <v>21680</v>
      </c>
      <c r="G63">
        <v>20206</v>
      </c>
      <c r="H63">
        <v>20542</v>
      </c>
      <c r="I63">
        <v>20625</v>
      </c>
      <c r="J63">
        <v>20722</v>
      </c>
      <c r="L63">
        <f t="shared" si="2"/>
        <v>2.0754999999999999</v>
      </c>
      <c r="BK63" s="58"/>
      <c r="BL63" s="58"/>
      <c r="BM63" s="58"/>
      <c r="BN63" s="58"/>
    </row>
    <row r="64" spans="1:66" x14ac:dyDescent="0.2">
      <c r="A64" t="str">
        <f t="shared" si="0"/>
        <v>Central AsiaWheat</v>
      </c>
      <c r="B64" t="s">
        <v>1550</v>
      </c>
      <c r="C64" s="206" t="s">
        <v>1418</v>
      </c>
      <c r="D64" s="206" t="str">
        <f>VLOOKUP(B64, [2]list_region_country!$B$3:$D$20, 3, FALSE)</f>
        <v>Central Asia</v>
      </c>
      <c r="E64" s="206" t="str">
        <f t="shared" si="1"/>
        <v>Central AsiaWheat</v>
      </c>
      <c r="F64">
        <v>16224</v>
      </c>
      <c r="G64">
        <v>15845</v>
      </c>
      <c r="H64">
        <v>15657</v>
      </c>
      <c r="I64">
        <v>14620</v>
      </c>
      <c r="J64">
        <v>15764</v>
      </c>
      <c r="L64">
        <f t="shared" si="2"/>
        <v>1.5622</v>
      </c>
      <c r="BK64" s="58"/>
      <c r="BL64" s="58"/>
      <c r="BM64" s="58"/>
      <c r="BN64" s="58"/>
    </row>
    <row r="65" spans="1:66" x14ac:dyDescent="0.2">
      <c r="A65" t="str">
        <f t="shared" si="0"/>
        <v>Central AsiaMillet</v>
      </c>
      <c r="B65" t="s">
        <v>1550</v>
      </c>
      <c r="C65" s="207" t="s">
        <v>530</v>
      </c>
      <c r="D65" s="206" t="str">
        <f>VLOOKUP(B65, [2]list_region_country!$B$3:$D$20, 3, FALSE)</f>
        <v>Central Asia</v>
      </c>
      <c r="E65" s="206" t="str">
        <f t="shared" si="1"/>
        <v>Central AsiaMillet</v>
      </c>
      <c r="F65">
        <v>11889</v>
      </c>
      <c r="G65">
        <v>10686</v>
      </c>
      <c r="H65">
        <v>10512</v>
      </c>
      <c r="I65">
        <v>9465</v>
      </c>
      <c r="J65">
        <v>9026</v>
      </c>
      <c r="L65">
        <f t="shared" si="2"/>
        <v>1.03156</v>
      </c>
      <c r="BK65" s="58"/>
      <c r="BL65" s="58"/>
      <c r="BM65" s="58"/>
      <c r="BN65" s="58"/>
    </row>
    <row r="66" spans="1:66" x14ac:dyDescent="0.2">
      <c r="A66" t="str">
        <f t="shared" si="0"/>
        <v>Central AsiaSorghum</v>
      </c>
      <c r="B66" t="s">
        <v>1550</v>
      </c>
      <c r="C66" s="206" t="s">
        <v>548</v>
      </c>
      <c r="D66" s="206" t="str">
        <f>VLOOKUP(B66, [2]list_region_country!$B$3:$D$20, 3, FALSE)</f>
        <v>Central Asia</v>
      </c>
      <c r="E66" s="206" t="str">
        <f t="shared" si="1"/>
        <v>Central AsiaSorghum</v>
      </c>
      <c r="F66">
        <v>20076</v>
      </c>
      <c r="G66">
        <v>16122</v>
      </c>
      <c r="H66">
        <v>24727</v>
      </c>
      <c r="I66">
        <v>14758</v>
      </c>
      <c r="J66">
        <v>12905</v>
      </c>
      <c r="L66">
        <f t="shared" si="2"/>
        <v>1.7717599999999998</v>
      </c>
      <c r="BK66" s="58"/>
      <c r="BL66" s="58"/>
      <c r="BM66" s="58"/>
      <c r="BN66" s="58"/>
    </row>
    <row r="67" spans="1:66" x14ac:dyDescent="0.2">
      <c r="A67" t="str">
        <f t="shared" si="0"/>
        <v>Central AsiaRice, paddy</v>
      </c>
      <c r="B67" t="s">
        <v>1550</v>
      </c>
      <c r="C67" s="4393" t="s">
        <v>1601</v>
      </c>
      <c r="D67" s="206" t="str">
        <f>VLOOKUP(B67, [2]list_region_country!$B$3:$D$20, 3, FALSE)</f>
        <v>Central Asia</v>
      </c>
      <c r="E67" s="206" t="str">
        <f t="shared" si="1"/>
        <v>Central AsiaRice, paddy</v>
      </c>
      <c r="F67">
        <v>36414</v>
      </c>
      <c r="G67">
        <v>33069</v>
      </c>
      <c r="H67">
        <v>28419</v>
      </c>
      <c r="I67">
        <v>37258</v>
      </c>
      <c r="J67">
        <v>36902</v>
      </c>
      <c r="L67">
        <f t="shared" si="2"/>
        <v>3.4412400000000001</v>
      </c>
      <c r="BK67" s="58"/>
      <c r="BL67" s="58"/>
      <c r="BM67" s="58"/>
      <c r="BN67" s="58"/>
    </row>
    <row r="68" spans="1:66" x14ac:dyDescent="0.2">
      <c r="A68" t="str">
        <f t="shared" si="0"/>
        <v>Central AsiaRye</v>
      </c>
      <c r="B68" t="s">
        <v>1550</v>
      </c>
      <c r="C68" s="206" t="s">
        <v>1428</v>
      </c>
      <c r="D68" s="206" t="str">
        <f>VLOOKUP(B68, [2]list_region_country!$B$3:$D$20, 3, FALSE)</f>
        <v>Central Asia</v>
      </c>
      <c r="E68" s="206" t="str">
        <f t="shared" si="1"/>
        <v>Central AsiaRye</v>
      </c>
      <c r="F68">
        <v>13203</v>
      </c>
      <c r="G68">
        <v>14467</v>
      </c>
      <c r="H68">
        <v>13481</v>
      </c>
      <c r="I68">
        <v>14099</v>
      </c>
      <c r="J68">
        <v>15115</v>
      </c>
      <c r="L68">
        <f t="shared" si="2"/>
        <v>1.4073</v>
      </c>
      <c r="BK68" s="58"/>
      <c r="BL68" s="58"/>
      <c r="BM68" s="58"/>
      <c r="BN68" s="58"/>
    </row>
    <row r="69" spans="1:66" x14ac:dyDescent="0.2">
      <c r="A69" t="str">
        <f t="shared" si="0"/>
        <v>Central AsiaGroundnuts, with shell</v>
      </c>
      <c r="B69" t="s">
        <v>1550</v>
      </c>
      <c r="C69" s="206" t="s">
        <v>1506</v>
      </c>
      <c r="D69" s="206" t="str">
        <f>VLOOKUP(B69, [2]list_region_country!$B$3:$D$20, 3, FALSE)</f>
        <v>Central Asia</v>
      </c>
      <c r="E69" s="206" t="str">
        <f t="shared" si="1"/>
        <v>Central AsiaGroundnuts, with shell</v>
      </c>
      <c r="F69">
        <v>37455</v>
      </c>
      <c r="G69">
        <v>72190</v>
      </c>
      <c r="H69">
        <v>68870</v>
      </c>
      <c r="I69">
        <v>90325</v>
      </c>
      <c r="J69">
        <v>94389</v>
      </c>
      <c r="L69">
        <f t="shared" si="2"/>
        <v>7.2645800000000005</v>
      </c>
      <c r="BK69" s="58"/>
      <c r="BL69" s="58"/>
      <c r="BM69" s="58"/>
      <c r="BN69" s="58"/>
    </row>
    <row r="70" spans="1:66" x14ac:dyDescent="0.2">
      <c r="A70" t="str">
        <f t="shared" si="0"/>
        <v>Central AsiaBeans, dry</v>
      </c>
      <c r="B70" t="s">
        <v>1550</v>
      </c>
      <c r="C70" s="206" t="s">
        <v>1370</v>
      </c>
      <c r="D70" s="206" t="str">
        <f>VLOOKUP(B70, [2]list_region_country!$B$3:$D$20, 3, FALSE)</f>
        <v>Central Asia</v>
      </c>
      <c r="E70" s="206" t="str">
        <f t="shared" si="1"/>
        <v>Central AsiaBeans, dry</v>
      </c>
      <c r="F70">
        <v>14627</v>
      </c>
      <c r="G70">
        <v>11189</v>
      </c>
      <c r="H70">
        <v>10988</v>
      </c>
      <c r="I70">
        <v>11790</v>
      </c>
      <c r="J70">
        <v>12604</v>
      </c>
      <c r="L70">
        <f t="shared" si="2"/>
        <v>1.2239599999999999</v>
      </c>
      <c r="BK70" s="58"/>
      <c r="BL70" s="58"/>
      <c r="BM70" s="58"/>
      <c r="BN70" s="58"/>
    </row>
    <row r="71" spans="1:66" x14ac:dyDescent="0.2">
      <c r="A71" t="str">
        <f t="shared" si="0"/>
        <v>Central AsiaVegetables</v>
      </c>
      <c r="B71" t="s">
        <v>1550</v>
      </c>
      <c r="C71" s="207" t="s">
        <v>3717</v>
      </c>
      <c r="D71" s="206" t="str">
        <f>VLOOKUP(B71, [2]list_region_country!$B$3:$D$20, 3, FALSE)</f>
        <v>Central Asia</v>
      </c>
      <c r="E71" s="206" t="str">
        <f t="shared" si="1"/>
        <v>Central AsiaVegetables</v>
      </c>
      <c r="F71">
        <v>372620</v>
      </c>
      <c r="G71">
        <v>364154</v>
      </c>
      <c r="H71">
        <v>337011</v>
      </c>
      <c r="I71">
        <v>342082</v>
      </c>
      <c r="J71">
        <v>343158</v>
      </c>
      <c r="L71">
        <f t="shared" si="2"/>
        <v>35.180500000000002</v>
      </c>
      <c r="BK71" s="58"/>
      <c r="BL71" s="58"/>
      <c r="BM71" s="58"/>
      <c r="BN71" s="58"/>
    </row>
    <row r="72" spans="1:66" x14ac:dyDescent="0.2">
      <c r="A72" t="str">
        <f t="shared" si="0"/>
        <v>Central AsiaOilseeds</v>
      </c>
      <c r="B72" t="s">
        <v>1550</v>
      </c>
      <c r="C72" s="207" t="s">
        <v>3713</v>
      </c>
      <c r="D72" s="206" t="str">
        <f>VLOOKUP(B72, [2]list_region_country!$B$3:$D$20, 3, FALSE)</f>
        <v>Central Asia</v>
      </c>
      <c r="E72" s="206" t="str">
        <f t="shared" si="1"/>
        <v>Central AsiaOilseeds</v>
      </c>
      <c r="F72">
        <v>13669.5</v>
      </c>
      <c r="G72">
        <v>18679</v>
      </c>
      <c r="H72">
        <v>18241.75</v>
      </c>
      <c r="I72">
        <v>21046.125</v>
      </c>
      <c r="J72">
        <v>22285.375</v>
      </c>
      <c r="L72">
        <f t="shared" si="2"/>
        <v>1.8784349999999999</v>
      </c>
      <c r="BK72" s="58"/>
      <c r="BL72" s="58"/>
      <c r="BM72" s="58"/>
      <c r="BN72" s="58"/>
    </row>
    <row r="73" spans="1:66" s="480" customFormat="1" x14ac:dyDescent="0.2">
      <c r="A73" s="480" t="str">
        <f t="shared" si="0"/>
        <v>Central AsiaDefault</v>
      </c>
      <c r="B73" s="480" t="s">
        <v>1550</v>
      </c>
      <c r="C73" s="4394" t="str">
        <f>C55</f>
        <v>Default</v>
      </c>
      <c r="D73" s="483" t="str">
        <f>VLOOKUP(B73, [2]list_region_country!$B$3:$D$20, 3, FALSE)</f>
        <v>Central Asia</v>
      </c>
      <c r="E73" s="483" t="str">
        <f t="shared" si="1"/>
        <v>Central AsiaDefault</v>
      </c>
      <c r="F73" s="483"/>
      <c r="G73" s="483"/>
      <c r="H73" s="483"/>
      <c r="I73" s="483"/>
      <c r="J73" s="483"/>
      <c r="K73" s="483"/>
      <c r="L73" s="480">
        <f>AVERAGEIF(L56:L72,"&gt;0")</f>
        <v>6.6877738235294126</v>
      </c>
      <c r="BK73" s="4397"/>
      <c r="BL73" s="4397"/>
      <c r="BM73" s="4397"/>
      <c r="BN73" s="4397"/>
    </row>
    <row r="74" spans="1:66" x14ac:dyDescent="0.2">
      <c r="A74" t="str">
        <f t="shared" ref="A74:A137" si="3">CONCATENATE(B74,C74)</f>
        <v>Eastern AfricaCereals,Total</v>
      </c>
      <c r="B74" t="s">
        <v>1552</v>
      </c>
      <c r="C74" s="206" t="s">
        <v>676</v>
      </c>
      <c r="D74" s="206" t="str">
        <f>VLOOKUP(B74, [2]list_region_country!$B$3:$D$20, 3, FALSE)</f>
        <v>Eastern Africa</v>
      </c>
      <c r="E74" s="206" t="str">
        <f t="shared" ref="E74:E137" si="4">CONCATENATE(D74,C74)</f>
        <v>Eastern AfricaCereals,Total</v>
      </c>
      <c r="F74">
        <v>18081</v>
      </c>
      <c r="G74">
        <v>19754</v>
      </c>
      <c r="H74">
        <v>20427</v>
      </c>
      <c r="I74">
        <v>21097</v>
      </c>
      <c r="J74">
        <v>20481</v>
      </c>
      <c r="L74">
        <f t="shared" si="2"/>
        <v>1.9967999999999999</v>
      </c>
      <c r="BK74" s="58"/>
      <c r="BL74" s="58"/>
      <c r="BM74" s="58"/>
      <c r="BN74" s="58"/>
    </row>
    <row r="75" spans="1:66" x14ac:dyDescent="0.2">
      <c r="A75" t="str">
        <f t="shared" si="3"/>
        <v>Eastern AfricaPulses,Total</v>
      </c>
      <c r="B75" t="s">
        <v>1552</v>
      </c>
      <c r="C75" s="207" t="s">
        <v>1593</v>
      </c>
      <c r="D75" s="206" t="str">
        <f>VLOOKUP(B75, [2]list_region_country!$B$3:$D$20, 3, FALSE)</f>
        <v>Eastern Africa</v>
      </c>
      <c r="E75" s="206" t="str">
        <f t="shared" si="4"/>
        <v>Eastern AfricaPulses,Total</v>
      </c>
      <c r="F75">
        <v>9779</v>
      </c>
      <c r="G75">
        <v>10348</v>
      </c>
      <c r="H75">
        <v>10000</v>
      </c>
      <c r="I75">
        <v>9700</v>
      </c>
      <c r="J75">
        <v>9865</v>
      </c>
      <c r="L75">
        <f t="shared" ref="L75:L138" si="5">AVERAGE(F75:J75)/10000</f>
        <v>0.99383999999999995</v>
      </c>
      <c r="BK75" s="58"/>
      <c r="BL75" s="58"/>
      <c r="BM75" s="58"/>
      <c r="BN75" s="58"/>
    </row>
    <row r="76" spans="1:66" x14ac:dyDescent="0.2">
      <c r="A76" t="str">
        <f t="shared" si="3"/>
        <v>Eastern AfricaRoots and Tubers,Total</v>
      </c>
      <c r="B76" t="s">
        <v>1552</v>
      </c>
      <c r="C76" s="207" t="s">
        <v>1603</v>
      </c>
      <c r="D76" s="206" t="str">
        <f>VLOOKUP(B76, [2]list_region_country!$B$3:$D$20, 3, FALSE)</f>
        <v>Eastern Africa</v>
      </c>
      <c r="E76" s="206" t="str">
        <f t="shared" si="4"/>
        <v>Eastern AfricaRoots and Tubers,Total</v>
      </c>
      <c r="F76">
        <v>75946</v>
      </c>
      <c r="G76">
        <v>76575</v>
      </c>
      <c r="H76">
        <v>88033</v>
      </c>
      <c r="I76">
        <v>83796</v>
      </c>
      <c r="J76">
        <v>88214</v>
      </c>
      <c r="L76">
        <f t="shared" si="5"/>
        <v>8.2512799999999995</v>
      </c>
      <c r="BK76" s="58"/>
      <c r="BL76" s="58"/>
      <c r="BM76" s="58"/>
      <c r="BN76" s="58"/>
    </row>
    <row r="77" spans="1:66" x14ac:dyDescent="0.2">
      <c r="A77" t="str">
        <f t="shared" si="3"/>
        <v>Eastern AfricaBarley</v>
      </c>
      <c r="B77" t="s">
        <v>1552</v>
      </c>
      <c r="C77" s="206" t="s">
        <v>1347</v>
      </c>
      <c r="D77" s="206" t="str">
        <f>VLOOKUP(B77, [2]list_region_country!$B$3:$D$20, 3, FALSE)</f>
        <v>Eastern Africa</v>
      </c>
      <c r="E77" s="206" t="str">
        <f t="shared" si="4"/>
        <v>Eastern AfricaBarley</v>
      </c>
      <c r="F77">
        <v>19368</v>
      </c>
      <c r="G77">
        <v>19837</v>
      </c>
      <c r="H77">
        <v>22196</v>
      </c>
      <c r="I77">
        <v>25060</v>
      </c>
      <c r="J77">
        <v>25059</v>
      </c>
      <c r="L77">
        <f t="shared" si="5"/>
        <v>2.2303999999999999</v>
      </c>
      <c r="BK77" s="58"/>
      <c r="BL77" s="58"/>
      <c r="BM77" s="58"/>
      <c r="BN77" s="58"/>
    </row>
    <row r="78" spans="1:66" x14ac:dyDescent="0.2">
      <c r="A78" t="str">
        <f t="shared" si="3"/>
        <v>Eastern AfricaMaize</v>
      </c>
      <c r="B78" t="s">
        <v>1552</v>
      </c>
      <c r="C78" s="207" t="s">
        <v>491</v>
      </c>
      <c r="D78" s="206" t="str">
        <f>VLOOKUP(B78, [2]list_region_country!$B$3:$D$20, 3, FALSE)</f>
        <v>Eastern Africa</v>
      </c>
      <c r="E78" s="206" t="str">
        <f t="shared" si="4"/>
        <v>Eastern AfricaMaize</v>
      </c>
      <c r="F78">
        <v>17328</v>
      </c>
      <c r="G78">
        <v>20118</v>
      </c>
      <c r="H78">
        <v>20798</v>
      </c>
      <c r="I78">
        <v>20730</v>
      </c>
      <c r="J78">
        <v>20128</v>
      </c>
      <c r="L78">
        <f t="shared" si="5"/>
        <v>1.9820400000000002</v>
      </c>
      <c r="BK78" s="58"/>
      <c r="BL78" s="58"/>
      <c r="BM78" s="58"/>
      <c r="BN78" s="58"/>
    </row>
    <row r="79" spans="1:66" x14ac:dyDescent="0.2">
      <c r="A79" t="str">
        <f t="shared" si="3"/>
        <v>Eastern AfricaOats</v>
      </c>
      <c r="B79" t="s">
        <v>1552</v>
      </c>
      <c r="C79" s="207" t="s">
        <v>1408</v>
      </c>
      <c r="D79" s="206" t="str">
        <f>VLOOKUP(B79, [2]list_region_country!$B$3:$D$20, 3, FALSE)</f>
        <v>Eastern Africa</v>
      </c>
      <c r="E79" s="206" t="str">
        <f t="shared" si="4"/>
        <v>Eastern AfricaOats</v>
      </c>
      <c r="F79">
        <v>18137</v>
      </c>
      <c r="G79">
        <v>17210</v>
      </c>
      <c r="H79">
        <v>17607</v>
      </c>
      <c r="I79">
        <v>19601</v>
      </c>
      <c r="J79">
        <v>18321</v>
      </c>
      <c r="L79">
        <f t="shared" si="5"/>
        <v>1.81752</v>
      </c>
      <c r="BK79" s="58"/>
      <c r="BL79" s="58"/>
      <c r="BM79" s="58"/>
      <c r="BN79" s="58"/>
    </row>
    <row r="80" spans="1:66" x14ac:dyDescent="0.2">
      <c r="A80" t="str">
        <f t="shared" si="3"/>
        <v>Eastern AfricaPotatoes</v>
      </c>
      <c r="B80" t="s">
        <v>1552</v>
      </c>
      <c r="C80" s="207" t="s">
        <v>1410</v>
      </c>
      <c r="D80" s="206" t="str">
        <f>VLOOKUP(B80, [2]list_region_country!$B$3:$D$20, 3, FALSE)</f>
        <v>Eastern Africa</v>
      </c>
      <c r="E80" s="206" t="str">
        <f t="shared" si="4"/>
        <v>Eastern AfricaPotatoes</v>
      </c>
      <c r="F80">
        <v>94683</v>
      </c>
      <c r="G80">
        <v>91618</v>
      </c>
      <c r="H80">
        <v>101003</v>
      </c>
      <c r="I80">
        <v>99971</v>
      </c>
      <c r="J80">
        <v>106637</v>
      </c>
      <c r="L80">
        <f t="shared" si="5"/>
        <v>9.8782399999999999</v>
      </c>
      <c r="BK80" s="58"/>
      <c r="BL80" s="58"/>
      <c r="BM80" s="58"/>
      <c r="BN80" s="58"/>
    </row>
    <row r="81" spans="1:66" x14ac:dyDescent="0.2">
      <c r="A81" t="str">
        <f t="shared" si="3"/>
        <v>Eastern AfricaSoybeans</v>
      </c>
      <c r="B81" t="s">
        <v>1552</v>
      </c>
      <c r="C81" s="207" t="s">
        <v>1414</v>
      </c>
      <c r="D81" s="206" t="str">
        <f>VLOOKUP(B81, [2]list_region_country!$B$3:$D$20, 3, FALSE)</f>
        <v>Eastern Africa</v>
      </c>
      <c r="E81" s="206" t="str">
        <f t="shared" si="4"/>
        <v>Eastern AfricaSoybeans</v>
      </c>
      <c r="F81">
        <v>12406</v>
      </c>
      <c r="G81">
        <v>12692</v>
      </c>
      <c r="H81">
        <v>14169</v>
      </c>
      <c r="I81">
        <v>13166</v>
      </c>
      <c r="J81">
        <v>13717</v>
      </c>
      <c r="L81">
        <f t="shared" si="5"/>
        <v>1.323</v>
      </c>
      <c r="BK81" s="58"/>
      <c r="BL81" s="58"/>
      <c r="BM81" s="58"/>
      <c r="BN81" s="58"/>
    </row>
    <row r="82" spans="1:66" x14ac:dyDescent="0.2">
      <c r="A82" t="str">
        <f t="shared" si="3"/>
        <v>Eastern AfricaWheat</v>
      </c>
      <c r="B82" t="s">
        <v>1552</v>
      </c>
      <c r="C82" s="206" t="s">
        <v>1418</v>
      </c>
      <c r="D82" s="206" t="str">
        <f>VLOOKUP(B82, [2]list_region_country!$B$3:$D$20, 3, FALSE)</f>
        <v>Eastern Africa</v>
      </c>
      <c r="E82" s="206" t="str">
        <f t="shared" si="4"/>
        <v>Eastern AfricaWheat</v>
      </c>
      <c r="F82">
        <v>24965</v>
      </c>
      <c r="G82">
        <v>25769</v>
      </c>
      <c r="H82">
        <v>26554</v>
      </c>
      <c r="I82">
        <v>28640</v>
      </c>
      <c r="J82">
        <v>28899</v>
      </c>
      <c r="L82">
        <f t="shared" si="5"/>
        <v>2.6965400000000002</v>
      </c>
      <c r="BK82" s="58"/>
      <c r="BL82" s="58"/>
      <c r="BM82" s="58"/>
      <c r="BN82" s="58"/>
    </row>
    <row r="83" spans="1:66" x14ac:dyDescent="0.2">
      <c r="A83" t="str">
        <f t="shared" si="3"/>
        <v>Eastern AfricaMillet</v>
      </c>
      <c r="B83" t="s">
        <v>1552</v>
      </c>
      <c r="C83" s="207" t="s">
        <v>530</v>
      </c>
      <c r="D83" s="206" t="str">
        <f>VLOOKUP(B83, [2]list_region_country!$B$3:$D$20, 3, FALSE)</f>
        <v>Eastern Africa</v>
      </c>
      <c r="E83" s="206" t="str">
        <f t="shared" si="4"/>
        <v>Eastern AfricaMillet</v>
      </c>
      <c r="F83">
        <v>12214</v>
      </c>
      <c r="G83">
        <v>12542</v>
      </c>
      <c r="H83">
        <v>13601</v>
      </c>
      <c r="I83">
        <v>15764</v>
      </c>
      <c r="J83">
        <v>14675</v>
      </c>
      <c r="L83">
        <f t="shared" si="5"/>
        <v>1.37592</v>
      </c>
      <c r="BK83" s="58"/>
      <c r="BL83" s="58"/>
      <c r="BM83" s="58"/>
      <c r="BN83" s="58"/>
    </row>
    <row r="84" spans="1:66" x14ac:dyDescent="0.2">
      <c r="A84" t="str">
        <f t="shared" si="3"/>
        <v>Eastern AfricaSorghum</v>
      </c>
      <c r="B84" t="s">
        <v>1552</v>
      </c>
      <c r="C84" s="206" t="s">
        <v>548</v>
      </c>
      <c r="D84" s="206" t="str">
        <f>VLOOKUP(B84, [2]list_region_country!$B$3:$D$20, 3, FALSE)</f>
        <v>Eastern Africa</v>
      </c>
      <c r="E84" s="206" t="str">
        <f t="shared" si="4"/>
        <v>Eastern AfricaSorghum</v>
      </c>
      <c r="F84">
        <v>15344</v>
      </c>
      <c r="G84">
        <v>15689</v>
      </c>
      <c r="H84">
        <v>16235</v>
      </c>
      <c r="I84">
        <v>17181</v>
      </c>
      <c r="J84">
        <v>16019</v>
      </c>
      <c r="L84">
        <f t="shared" si="5"/>
        <v>1.6093600000000001</v>
      </c>
      <c r="BK84" s="58"/>
      <c r="BL84" s="58"/>
      <c r="BM84" s="58"/>
      <c r="BN84" s="58"/>
    </row>
    <row r="85" spans="1:66" x14ac:dyDescent="0.2">
      <c r="A85" t="str">
        <f t="shared" si="3"/>
        <v>Eastern AfricaRice, paddy</v>
      </c>
      <c r="B85" t="s">
        <v>1552</v>
      </c>
      <c r="C85" s="4393" t="s">
        <v>1601</v>
      </c>
      <c r="D85" s="206" t="str">
        <f>VLOOKUP(B85, [2]list_region_country!$B$3:$D$20, 3, FALSE)</f>
        <v>Eastern Africa</v>
      </c>
      <c r="E85" s="206" t="str">
        <f t="shared" si="4"/>
        <v>Eastern AfricaRice, paddy</v>
      </c>
      <c r="F85">
        <v>27146</v>
      </c>
      <c r="G85">
        <v>27889</v>
      </c>
      <c r="H85">
        <v>26289</v>
      </c>
      <c r="I85">
        <v>27063</v>
      </c>
      <c r="J85">
        <v>25449</v>
      </c>
      <c r="L85">
        <f t="shared" si="5"/>
        <v>2.67672</v>
      </c>
      <c r="BK85" s="58"/>
      <c r="BL85" s="58"/>
      <c r="BM85" s="58"/>
      <c r="BN85" s="58"/>
    </row>
    <row r="86" spans="1:66" x14ac:dyDescent="0.2">
      <c r="A86" t="str">
        <f t="shared" si="3"/>
        <v>Eastern AfricaRye</v>
      </c>
      <c r="B86" t="s">
        <v>1552</v>
      </c>
      <c r="C86" s="206" t="s">
        <v>1428</v>
      </c>
      <c r="D86" s="206" t="str">
        <f>VLOOKUP(B86, [2]list_region_country!$B$3:$D$20, 3, FALSE)</f>
        <v>Eastern Africa</v>
      </c>
      <c r="E86" s="206" t="str">
        <f t="shared" si="4"/>
        <v>Eastern AfricaRye</v>
      </c>
      <c r="F86">
        <v>0</v>
      </c>
      <c r="G86">
        <v>0</v>
      </c>
      <c r="H86">
        <v>0</v>
      </c>
      <c r="I86">
        <v>0</v>
      </c>
      <c r="J86">
        <v>0</v>
      </c>
      <c r="L86">
        <f t="shared" si="5"/>
        <v>0</v>
      </c>
      <c r="BK86" s="58"/>
      <c r="BL86" s="58"/>
      <c r="BM86" s="58"/>
      <c r="BN86" s="58"/>
    </row>
    <row r="87" spans="1:66" x14ac:dyDescent="0.2">
      <c r="A87" t="str">
        <f t="shared" si="3"/>
        <v>Eastern AfricaGroundnuts, with shell</v>
      </c>
      <c r="B87" t="s">
        <v>1552</v>
      </c>
      <c r="C87" s="206" t="s">
        <v>1506</v>
      </c>
      <c r="D87" s="206" t="str">
        <f>VLOOKUP(B87, [2]list_region_country!$B$3:$D$20, 3, FALSE)</f>
        <v>Eastern Africa</v>
      </c>
      <c r="E87" s="206" t="str">
        <f t="shared" si="4"/>
        <v>Eastern AfricaGroundnuts, with shell</v>
      </c>
      <c r="F87">
        <v>6228</v>
      </c>
      <c r="G87">
        <v>6826</v>
      </c>
      <c r="H87">
        <v>6496</v>
      </c>
      <c r="I87">
        <v>6844</v>
      </c>
      <c r="J87">
        <v>7381</v>
      </c>
      <c r="L87">
        <f t="shared" si="5"/>
        <v>0.67549999999999999</v>
      </c>
      <c r="BK87" s="58"/>
      <c r="BL87" s="58"/>
      <c r="BM87" s="58"/>
      <c r="BN87" s="58"/>
    </row>
    <row r="88" spans="1:66" x14ac:dyDescent="0.2">
      <c r="A88" t="str">
        <f t="shared" si="3"/>
        <v>Eastern AfricaBeans, dry</v>
      </c>
      <c r="B88" t="s">
        <v>1552</v>
      </c>
      <c r="C88" s="206" t="s">
        <v>1370</v>
      </c>
      <c r="D88" s="206" t="str">
        <f>VLOOKUP(B88, [2]list_region_country!$B$3:$D$20, 3, FALSE)</f>
        <v>Eastern Africa</v>
      </c>
      <c r="E88" s="206" t="str">
        <f t="shared" si="4"/>
        <v>Eastern AfricaBeans, dry</v>
      </c>
      <c r="F88">
        <v>9047</v>
      </c>
      <c r="G88">
        <v>9761</v>
      </c>
      <c r="H88">
        <v>9058</v>
      </c>
      <c r="I88">
        <v>8495</v>
      </c>
      <c r="J88">
        <v>8619</v>
      </c>
      <c r="L88">
        <f t="shared" si="5"/>
        <v>0.89959999999999996</v>
      </c>
      <c r="BK88" s="58"/>
      <c r="BL88" s="58"/>
      <c r="BM88" s="58"/>
      <c r="BN88" s="58"/>
    </row>
    <row r="89" spans="1:66" x14ac:dyDescent="0.2">
      <c r="A89" t="str">
        <f t="shared" si="3"/>
        <v>Eastern AfricaVegetables</v>
      </c>
      <c r="B89" t="s">
        <v>1552</v>
      </c>
      <c r="C89" s="207" t="s">
        <v>3717</v>
      </c>
      <c r="D89" s="206" t="str">
        <f>VLOOKUP(B89, [2]list_region_country!$B$3:$D$20, 3, FALSE)</f>
        <v>Eastern Africa</v>
      </c>
      <c r="E89" s="206" t="str">
        <f t="shared" si="4"/>
        <v>Eastern AfricaVegetables</v>
      </c>
      <c r="F89">
        <v>75987</v>
      </c>
      <c r="G89">
        <v>78276</v>
      </c>
      <c r="H89">
        <v>79925</v>
      </c>
      <c r="I89">
        <v>80571</v>
      </c>
      <c r="J89">
        <v>84216</v>
      </c>
      <c r="L89">
        <f t="shared" si="5"/>
        <v>7.9794999999999998</v>
      </c>
      <c r="BK89" s="58"/>
      <c r="BL89" s="58"/>
      <c r="BM89" s="58"/>
      <c r="BN89" s="58"/>
    </row>
    <row r="90" spans="1:66" x14ac:dyDescent="0.2">
      <c r="A90" t="str">
        <f t="shared" si="3"/>
        <v>Eastern AfricaOilseeds</v>
      </c>
      <c r="B90" t="s">
        <v>1552</v>
      </c>
      <c r="C90" s="207" t="s">
        <v>3713</v>
      </c>
      <c r="D90" s="206" t="str">
        <f>VLOOKUP(B90, [2]list_region_country!$B$3:$D$20, 3, FALSE)</f>
        <v>Eastern Africa</v>
      </c>
      <c r="E90" s="206" t="str">
        <f t="shared" si="4"/>
        <v>Eastern AfricaOilseeds</v>
      </c>
      <c r="F90">
        <v>8509.1111111111113</v>
      </c>
      <c r="G90">
        <v>8846.7777777777774</v>
      </c>
      <c r="H90">
        <v>8929.4444444444453</v>
      </c>
      <c r="I90">
        <v>8911.2222222222226</v>
      </c>
      <c r="J90">
        <v>8557.7777777777774</v>
      </c>
      <c r="L90">
        <f t="shared" si="5"/>
        <v>0.8750866666666669</v>
      </c>
      <c r="BK90" s="58"/>
      <c r="BL90" s="58"/>
      <c r="BM90" s="58"/>
      <c r="BN90" s="58"/>
    </row>
    <row r="91" spans="1:66" s="480" customFormat="1" x14ac:dyDescent="0.2">
      <c r="A91" s="480" t="str">
        <f t="shared" si="3"/>
        <v>Eastern AfricaDefault</v>
      </c>
      <c r="B91" s="480" t="s">
        <v>1552</v>
      </c>
      <c r="C91" s="4394" t="str">
        <f>C73</f>
        <v>Default</v>
      </c>
      <c r="D91" s="483" t="str">
        <f>VLOOKUP(B91, [2]list_region_country!$B$3:$D$20, 3, FALSE)</f>
        <v>Eastern Africa</v>
      </c>
      <c r="E91" s="483" t="str">
        <f t="shared" si="4"/>
        <v>Eastern AfricaDefault</v>
      </c>
      <c r="L91" s="480">
        <f>AVERAGEIF(L74:L90,"&gt;0")</f>
        <v>2.9538341666666672</v>
      </c>
      <c r="BK91" s="4397"/>
      <c r="BL91" s="4397"/>
      <c r="BM91" s="4397"/>
      <c r="BN91" s="4397"/>
    </row>
    <row r="92" spans="1:66" x14ac:dyDescent="0.2">
      <c r="A92" t="str">
        <f t="shared" si="3"/>
        <v>Eastern AsiaCereals,Total</v>
      </c>
      <c r="B92" t="s">
        <v>1554</v>
      </c>
      <c r="C92" s="206" t="s">
        <v>676</v>
      </c>
      <c r="D92" s="206" t="str">
        <f>VLOOKUP(B92, [2]list_region_country!$B$3:$D$20, 3, FALSE)</f>
        <v>Eastern Asia</v>
      </c>
      <c r="E92" s="206" t="str">
        <f t="shared" si="4"/>
        <v>Eastern AsiaCereals,Total</v>
      </c>
      <c r="F92">
        <v>59891</v>
      </c>
      <c r="G92">
        <v>60806</v>
      </c>
      <c r="H92">
        <v>60924</v>
      </c>
      <c r="I92">
        <v>62343</v>
      </c>
      <c r="J92">
        <v>62370</v>
      </c>
      <c r="L92">
        <f t="shared" si="5"/>
        <v>6.1266800000000003</v>
      </c>
      <c r="BK92" s="58"/>
      <c r="BL92" s="58"/>
      <c r="BM92" s="58"/>
      <c r="BN92" s="58"/>
    </row>
    <row r="93" spans="1:66" x14ac:dyDescent="0.2">
      <c r="A93" t="str">
        <f t="shared" si="3"/>
        <v>Eastern AsiaPulses,Total</v>
      </c>
      <c r="B93" t="s">
        <v>1554</v>
      </c>
      <c r="C93" s="207" t="s">
        <v>1593</v>
      </c>
      <c r="D93" s="206" t="str">
        <f>VLOOKUP(B93, [2]list_region_country!$B$3:$D$20, 3, FALSE)</f>
        <v>Eastern Asia</v>
      </c>
      <c r="E93" s="206" t="str">
        <f t="shared" si="4"/>
        <v>Eastern AsiaPulses,Total</v>
      </c>
      <c r="F93">
        <v>16197</v>
      </c>
      <c r="G93">
        <v>17393</v>
      </c>
      <c r="H93">
        <v>17057</v>
      </c>
      <c r="I93">
        <v>16890</v>
      </c>
      <c r="J93">
        <v>16997</v>
      </c>
      <c r="L93">
        <f t="shared" si="5"/>
        <v>1.69068</v>
      </c>
      <c r="BK93" s="58"/>
      <c r="BL93" s="58"/>
      <c r="BM93" s="58"/>
      <c r="BN93" s="58"/>
    </row>
    <row r="94" spans="1:66" x14ac:dyDescent="0.2">
      <c r="A94" t="str">
        <f t="shared" si="3"/>
        <v>Eastern AsiaRoots and Tubers,Total</v>
      </c>
      <c r="B94" t="s">
        <v>1554</v>
      </c>
      <c r="C94" s="207" t="s">
        <v>1603</v>
      </c>
      <c r="D94" s="206" t="str">
        <f>VLOOKUP(B94, [2]list_region_country!$B$3:$D$20, 3, FALSE)</f>
        <v>Eastern Asia</v>
      </c>
      <c r="E94" s="206" t="str">
        <f t="shared" si="4"/>
        <v>Eastern AsiaRoots and Tubers,Total</v>
      </c>
      <c r="F94">
        <v>185164</v>
      </c>
      <c r="G94">
        <v>191443</v>
      </c>
      <c r="H94">
        <v>196463</v>
      </c>
      <c r="I94">
        <v>195402</v>
      </c>
      <c r="J94">
        <v>193037</v>
      </c>
      <c r="L94">
        <f t="shared" si="5"/>
        <v>19.230179999999997</v>
      </c>
      <c r="BK94" s="58"/>
      <c r="BL94" s="58"/>
      <c r="BM94" s="58"/>
      <c r="BN94" s="58"/>
    </row>
    <row r="95" spans="1:66" x14ac:dyDescent="0.2">
      <c r="A95" t="str">
        <f t="shared" si="3"/>
        <v>Eastern AsiaBarley</v>
      </c>
      <c r="B95" t="s">
        <v>1554</v>
      </c>
      <c r="C95" s="206" t="s">
        <v>1347</v>
      </c>
      <c r="D95" s="206" t="str">
        <f>VLOOKUP(B95, [2]list_region_country!$B$3:$D$20, 3, FALSE)</f>
        <v>Eastern Asia</v>
      </c>
      <c r="E95" s="206" t="str">
        <f t="shared" si="4"/>
        <v>Eastern AsiaBarley</v>
      </c>
      <c r="F95">
        <v>33743</v>
      </c>
      <c r="G95">
        <v>30794</v>
      </c>
      <c r="H95">
        <v>31758</v>
      </c>
      <c r="I95">
        <v>31934</v>
      </c>
      <c r="J95">
        <v>30820</v>
      </c>
      <c r="L95">
        <f t="shared" si="5"/>
        <v>3.1809799999999999</v>
      </c>
      <c r="BK95" s="58"/>
      <c r="BL95" s="58"/>
      <c r="BM95" s="58"/>
      <c r="BN95" s="58"/>
    </row>
    <row r="96" spans="1:66" x14ac:dyDescent="0.2">
      <c r="A96" t="str">
        <f t="shared" si="3"/>
        <v>Eastern AsiaMaize</v>
      </c>
      <c r="B96" t="s">
        <v>1554</v>
      </c>
      <c r="C96" s="207" t="s">
        <v>491</v>
      </c>
      <c r="D96" s="206" t="str">
        <f>VLOOKUP(B96, [2]list_region_country!$B$3:$D$20, 3, FALSE)</f>
        <v>Eastern Asia</v>
      </c>
      <c r="E96" s="206" t="str">
        <f t="shared" si="4"/>
        <v>Eastern AsiaMaize</v>
      </c>
      <c r="F96">
        <v>59428</v>
      </c>
      <c r="G96">
        <v>60885</v>
      </c>
      <c r="H96">
        <v>60751</v>
      </c>
      <c r="I96">
        <v>62944</v>
      </c>
      <c r="J96">
        <v>62826</v>
      </c>
      <c r="L96">
        <f t="shared" si="5"/>
        <v>6.1366800000000001</v>
      </c>
      <c r="BK96" s="58"/>
      <c r="BL96" s="58"/>
      <c r="BM96" s="58"/>
      <c r="BN96" s="58"/>
    </row>
    <row r="97" spans="1:66" x14ac:dyDescent="0.2">
      <c r="A97" t="str">
        <f t="shared" si="3"/>
        <v>Eastern AsiaOats</v>
      </c>
      <c r="B97" t="s">
        <v>1554</v>
      </c>
      <c r="C97" s="207" t="s">
        <v>1408</v>
      </c>
      <c r="D97" s="206" t="str">
        <f>VLOOKUP(B97, [2]list_region_country!$B$3:$D$20, 3, FALSE)</f>
        <v>Eastern Asia</v>
      </c>
      <c r="E97" s="206" t="str">
        <f t="shared" si="4"/>
        <v>Eastern AsiaOats</v>
      </c>
      <c r="F97">
        <v>30804</v>
      </c>
      <c r="G97">
        <v>30671</v>
      </c>
      <c r="H97">
        <v>30489</v>
      </c>
      <c r="I97">
        <v>30169</v>
      </c>
      <c r="J97">
        <v>29782</v>
      </c>
      <c r="L97">
        <f t="shared" si="5"/>
        <v>3.0383</v>
      </c>
      <c r="BK97" s="58"/>
      <c r="BL97" s="58"/>
      <c r="BM97" s="58"/>
      <c r="BN97" s="58"/>
    </row>
    <row r="98" spans="1:66" x14ac:dyDescent="0.2">
      <c r="A98" t="str">
        <f t="shared" si="3"/>
        <v>Eastern AsiaPotatoes</v>
      </c>
      <c r="B98" t="s">
        <v>1554</v>
      </c>
      <c r="C98" s="207" t="s">
        <v>1410</v>
      </c>
      <c r="D98" s="206" t="str">
        <f>VLOOKUP(B98, [2]list_region_country!$B$3:$D$20, 3, FALSE)</f>
        <v>Eastern Asia</v>
      </c>
      <c r="E98" s="206" t="str">
        <f t="shared" si="4"/>
        <v>Eastern AsiaPotatoes</v>
      </c>
      <c r="F98">
        <v>174396</v>
      </c>
      <c r="G98">
        <v>179190</v>
      </c>
      <c r="H98">
        <v>186130</v>
      </c>
      <c r="I98">
        <v>185056</v>
      </c>
      <c r="J98">
        <v>183032</v>
      </c>
      <c r="L98">
        <f t="shared" si="5"/>
        <v>18.156079999999999</v>
      </c>
      <c r="BK98" s="58"/>
      <c r="BL98" s="58"/>
      <c r="BM98" s="58"/>
      <c r="BN98" s="58"/>
    </row>
    <row r="99" spans="1:66" x14ac:dyDescent="0.2">
      <c r="A99" t="str">
        <f t="shared" si="3"/>
        <v>Eastern AsiaSoybeans</v>
      </c>
      <c r="B99" t="s">
        <v>1554</v>
      </c>
      <c r="C99" s="207" t="s">
        <v>1414</v>
      </c>
      <c r="D99" s="206" t="str">
        <f>VLOOKUP(B99, [2]list_region_country!$B$3:$D$20, 3, FALSE)</f>
        <v>Eastern Asia</v>
      </c>
      <c r="E99" s="206" t="str">
        <f t="shared" si="4"/>
        <v>Eastern AsiaSoybeans</v>
      </c>
      <c r="F99">
        <v>17924</v>
      </c>
      <c r="G99">
        <v>18443</v>
      </c>
      <c r="H99">
        <v>18816</v>
      </c>
      <c r="I99">
        <v>19349</v>
      </c>
      <c r="J99">
        <v>19682</v>
      </c>
      <c r="L99">
        <f t="shared" si="5"/>
        <v>1.88428</v>
      </c>
      <c r="BK99" s="58"/>
      <c r="BL99" s="58"/>
      <c r="BM99" s="58"/>
      <c r="BN99" s="58"/>
    </row>
    <row r="100" spans="1:66" x14ac:dyDescent="0.2">
      <c r="A100" t="str">
        <f t="shared" si="3"/>
        <v>Eastern AsiaWheat</v>
      </c>
      <c r="B100" t="s">
        <v>1554</v>
      </c>
      <c r="C100" s="206" t="s">
        <v>1418</v>
      </c>
      <c r="D100" s="206" t="str">
        <f>VLOOKUP(B100, [2]list_region_country!$B$3:$D$20, 3, FALSE)</f>
        <v>Eastern Asia</v>
      </c>
      <c r="E100" s="206" t="str">
        <f t="shared" si="4"/>
        <v>Eastern AsiaWheat</v>
      </c>
      <c r="F100">
        <v>53185</v>
      </c>
      <c r="G100">
        <v>54166</v>
      </c>
      <c r="H100">
        <v>53441</v>
      </c>
      <c r="I100">
        <v>55520</v>
      </c>
      <c r="J100">
        <v>56545</v>
      </c>
      <c r="L100">
        <f t="shared" si="5"/>
        <v>5.4571399999999999</v>
      </c>
      <c r="BK100" s="58"/>
      <c r="BL100" s="58"/>
      <c r="BM100" s="58"/>
      <c r="BN100" s="58"/>
    </row>
    <row r="101" spans="1:66" x14ac:dyDescent="0.2">
      <c r="A101" t="str">
        <f t="shared" si="3"/>
        <v>Eastern AsiaMillet</v>
      </c>
      <c r="B101" t="s">
        <v>1554</v>
      </c>
      <c r="C101" s="207" t="s">
        <v>530</v>
      </c>
      <c r="D101" s="206" t="str">
        <f>VLOOKUP(B101, [2]list_region_country!$B$3:$D$20, 3, FALSE)</f>
        <v>Eastern Asia</v>
      </c>
      <c r="E101" s="206" t="str">
        <f t="shared" si="4"/>
        <v>Eastern AsiaMillet</v>
      </c>
      <c r="F101">
        <v>23590</v>
      </c>
      <c r="G101">
        <v>28108</v>
      </c>
      <c r="H101">
        <v>28442</v>
      </c>
      <c r="I101">
        <v>24447</v>
      </c>
      <c r="J101">
        <v>24429</v>
      </c>
      <c r="L101">
        <f t="shared" si="5"/>
        <v>2.5803199999999999</v>
      </c>
      <c r="BK101" s="58"/>
      <c r="BL101" s="58"/>
      <c r="BM101" s="58"/>
      <c r="BN101" s="58"/>
    </row>
    <row r="102" spans="1:66" x14ac:dyDescent="0.2">
      <c r="A102" t="str">
        <f t="shared" si="3"/>
        <v>Eastern AsiaSorghum</v>
      </c>
      <c r="B102" t="s">
        <v>1554</v>
      </c>
      <c r="C102" s="206" t="s">
        <v>548</v>
      </c>
      <c r="D102" s="206" t="str">
        <f>VLOOKUP(B102, [2]list_region_country!$B$3:$D$20, 3, FALSE)</f>
        <v>Eastern Asia</v>
      </c>
      <c r="E102" s="206" t="str">
        <f t="shared" si="4"/>
        <v>Eastern AsiaSorghum</v>
      </c>
      <c r="F102">
        <v>44142</v>
      </c>
      <c r="G102">
        <v>46665</v>
      </c>
      <c r="H102">
        <v>45476</v>
      </c>
      <c r="I102">
        <v>46643</v>
      </c>
      <c r="J102">
        <v>47219</v>
      </c>
      <c r="L102">
        <f t="shared" si="5"/>
        <v>4.6029</v>
      </c>
      <c r="BK102" s="58"/>
      <c r="BL102" s="58"/>
      <c r="BM102" s="58"/>
      <c r="BN102" s="58"/>
    </row>
    <row r="103" spans="1:66" x14ac:dyDescent="0.2">
      <c r="A103" t="str">
        <f t="shared" si="3"/>
        <v>Eastern AsiaRice, paddy</v>
      </c>
      <c r="B103" t="s">
        <v>1554</v>
      </c>
      <c r="C103" s="4393" t="s">
        <v>1601</v>
      </c>
      <c r="D103" s="206" t="str">
        <f>VLOOKUP(B103, [2]list_region_country!$B$3:$D$20, 3, FALSE)</f>
        <v>Eastern Asia</v>
      </c>
      <c r="E103" s="206" t="str">
        <f t="shared" si="4"/>
        <v>Eastern AsiaRice, paddy</v>
      </c>
      <c r="F103">
        <v>68498</v>
      </c>
      <c r="G103">
        <v>68880</v>
      </c>
      <c r="H103">
        <v>69996</v>
      </c>
      <c r="I103">
        <v>70421</v>
      </c>
      <c r="J103">
        <v>69739</v>
      </c>
      <c r="L103">
        <f t="shared" si="5"/>
        <v>6.9506800000000002</v>
      </c>
      <c r="BK103" s="58"/>
      <c r="BL103" s="58"/>
      <c r="BM103" s="58"/>
      <c r="BN103" s="58"/>
    </row>
    <row r="104" spans="1:66" x14ac:dyDescent="0.2">
      <c r="A104" t="str">
        <f t="shared" si="3"/>
        <v>Eastern AsiaRye</v>
      </c>
      <c r="B104" t="s">
        <v>1554</v>
      </c>
      <c r="C104" s="206" t="s">
        <v>1428</v>
      </c>
      <c r="D104" s="206" t="str">
        <f>VLOOKUP(B104, [2]list_region_country!$B$3:$D$20, 3, FALSE)</f>
        <v>Eastern Asia</v>
      </c>
      <c r="E104" s="206" t="str">
        <f t="shared" si="4"/>
        <v>Eastern AsiaRye</v>
      </c>
      <c r="F104">
        <v>27362</v>
      </c>
      <c r="G104">
        <v>26686</v>
      </c>
      <c r="H104">
        <v>26900</v>
      </c>
      <c r="I104">
        <v>26985</v>
      </c>
      <c r="J104">
        <v>26857</v>
      </c>
      <c r="L104">
        <f t="shared" si="5"/>
        <v>2.6958000000000002</v>
      </c>
      <c r="BK104" s="58"/>
      <c r="BL104" s="58"/>
      <c r="BM104" s="58"/>
      <c r="BN104" s="58"/>
    </row>
    <row r="105" spans="1:66" x14ac:dyDescent="0.2">
      <c r="A105" t="str">
        <f t="shared" si="3"/>
        <v>Eastern AsiaGroundnuts, with shell</v>
      </c>
      <c r="B105" t="s">
        <v>1554</v>
      </c>
      <c r="C105" s="206" t="s">
        <v>1506</v>
      </c>
      <c r="D105" s="206" t="str">
        <f>VLOOKUP(B105, [2]list_region_country!$B$3:$D$20, 3, FALSE)</f>
        <v>Eastern Asia</v>
      </c>
      <c r="E105" s="206" t="str">
        <f t="shared" si="4"/>
        <v>Eastern AsiaGroundnuts, with shell</v>
      </c>
      <c r="F105">
        <v>36714</v>
      </c>
      <c r="G105">
        <v>37031</v>
      </c>
      <c r="H105">
        <v>37448</v>
      </c>
      <c r="I105">
        <v>37828</v>
      </c>
      <c r="J105">
        <v>39030</v>
      </c>
      <c r="L105">
        <f t="shared" si="5"/>
        <v>3.7610199999999998</v>
      </c>
      <c r="BK105" s="58"/>
      <c r="BL105" s="58"/>
      <c r="BM105" s="58"/>
      <c r="BN105" s="58"/>
    </row>
    <row r="106" spans="1:66" x14ac:dyDescent="0.2">
      <c r="A106" t="str">
        <f t="shared" si="3"/>
        <v>Eastern AsiaBeans, dry</v>
      </c>
      <c r="B106" t="s">
        <v>1554</v>
      </c>
      <c r="C106" s="206" t="s">
        <v>1370</v>
      </c>
      <c r="D106" s="206" t="str">
        <f>VLOOKUP(B106, [2]list_region_country!$B$3:$D$20, 3, FALSE)</f>
        <v>Eastern Asia</v>
      </c>
      <c r="E106" s="206" t="str">
        <f t="shared" si="4"/>
        <v>Eastern AsiaBeans, dry</v>
      </c>
      <c r="F106">
        <v>13792</v>
      </c>
      <c r="G106">
        <v>14890</v>
      </c>
      <c r="H106">
        <v>14726</v>
      </c>
      <c r="I106">
        <v>14804</v>
      </c>
      <c r="J106">
        <v>14618</v>
      </c>
      <c r="L106">
        <f t="shared" si="5"/>
        <v>1.4565999999999999</v>
      </c>
      <c r="BK106" s="58"/>
      <c r="BL106" s="58"/>
      <c r="BM106" s="58"/>
      <c r="BN106" s="58"/>
    </row>
    <row r="107" spans="1:66" x14ac:dyDescent="0.2">
      <c r="A107" t="str">
        <f t="shared" si="3"/>
        <v>Eastern AsiaVegetables</v>
      </c>
      <c r="B107" t="s">
        <v>1554</v>
      </c>
      <c r="C107" s="207" t="s">
        <v>3717</v>
      </c>
      <c r="D107" s="206" t="str">
        <f>VLOOKUP(B107, [2]list_region_country!$B$3:$D$20, 3, FALSE)</f>
        <v>Eastern Asia</v>
      </c>
      <c r="E107" s="206" t="str">
        <f t="shared" si="4"/>
        <v>Eastern AsiaVegetables</v>
      </c>
      <c r="F107">
        <v>243880</v>
      </c>
      <c r="G107">
        <v>248954</v>
      </c>
      <c r="H107">
        <v>249319</v>
      </c>
      <c r="I107">
        <v>252798</v>
      </c>
      <c r="J107">
        <v>255613</v>
      </c>
      <c r="L107">
        <f t="shared" si="5"/>
        <v>25.011279999999999</v>
      </c>
      <c r="BK107" s="58"/>
      <c r="BL107" s="58"/>
      <c r="BM107" s="58"/>
      <c r="BN107" s="58"/>
    </row>
    <row r="108" spans="1:66" x14ac:dyDescent="0.2">
      <c r="A108" t="str">
        <f t="shared" si="3"/>
        <v>Eastern AsiaOilseeds</v>
      </c>
      <c r="B108" t="s">
        <v>1554</v>
      </c>
      <c r="C108" s="207" t="s">
        <v>3713</v>
      </c>
      <c r="D108" s="206" t="str">
        <f>VLOOKUP(B108, [2]list_region_country!$B$3:$D$20, 3, FALSE)</f>
        <v>Eastern Asia</v>
      </c>
      <c r="E108" s="206" t="str">
        <f t="shared" si="4"/>
        <v>Eastern AsiaOilseeds</v>
      </c>
      <c r="F108">
        <v>21495.777777777777</v>
      </c>
      <c r="G108">
        <v>20439.111111111109</v>
      </c>
      <c r="H108">
        <v>22847.555555555555</v>
      </c>
      <c r="I108">
        <v>24457.222222222223</v>
      </c>
      <c r="J108">
        <v>26876.555555555555</v>
      </c>
      <c r="L108">
        <f t="shared" si="5"/>
        <v>2.3223244444444444</v>
      </c>
      <c r="BK108" s="58"/>
      <c r="BL108" s="58"/>
      <c r="BM108" s="58"/>
      <c r="BN108" s="58"/>
    </row>
    <row r="109" spans="1:66" s="1011" customFormat="1" x14ac:dyDescent="0.2">
      <c r="A109" s="1011" t="str">
        <f t="shared" si="3"/>
        <v>Eastern AsiaDefault</v>
      </c>
      <c r="B109" s="1011" t="s">
        <v>1554</v>
      </c>
      <c r="C109" s="4394" t="str">
        <f>C91</f>
        <v>Default</v>
      </c>
      <c r="D109" s="4395" t="str">
        <f>VLOOKUP(B109, [2]list_region_country!$B$3:$D$20, 3, FALSE)</f>
        <v>Eastern Asia</v>
      </c>
      <c r="E109" s="4395" t="str">
        <f t="shared" si="4"/>
        <v>Eastern AsiaDefault</v>
      </c>
      <c r="L109" s="1011">
        <f>AVERAGEIF(L92:L108,"&gt;0")</f>
        <v>6.7224661437908502</v>
      </c>
      <c r="BK109" s="4398"/>
      <c r="BL109" s="4398"/>
      <c r="BM109" s="4398"/>
      <c r="BN109" s="4398"/>
    </row>
    <row r="110" spans="1:66" x14ac:dyDescent="0.2">
      <c r="A110" t="str">
        <f t="shared" si="3"/>
        <v>EuropeCereals,Total</v>
      </c>
      <c r="B110" t="s">
        <v>1555</v>
      </c>
      <c r="C110" s="206" t="s">
        <v>676</v>
      </c>
      <c r="D110" s="206" t="str">
        <f>VLOOKUP(B110, [2]list_region_country!$B$3:$D$20, 3, FALSE)</f>
        <v>Europe</v>
      </c>
      <c r="E110" s="206" t="str">
        <f t="shared" si="4"/>
        <v>EuropeCereals,Total</v>
      </c>
      <c r="F110">
        <v>42073</v>
      </c>
      <c r="G110">
        <v>43871</v>
      </c>
      <c r="H110">
        <v>42426</v>
      </c>
      <c r="I110">
        <v>44843</v>
      </c>
      <c r="J110">
        <v>43458</v>
      </c>
      <c r="L110">
        <f t="shared" si="5"/>
        <v>4.3334199999999994</v>
      </c>
      <c r="BK110" s="58"/>
      <c r="BL110" s="58"/>
      <c r="BM110" s="58"/>
      <c r="BN110" s="58"/>
    </row>
    <row r="111" spans="1:66" x14ac:dyDescent="0.2">
      <c r="A111" t="str">
        <f t="shared" si="3"/>
        <v>EuropePulses,Total</v>
      </c>
      <c r="B111" t="s">
        <v>1555</v>
      </c>
      <c r="C111" s="207" t="s">
        <v>1593</v>
      </c>
      <c r="D111" s="206" t="str">
        <f>VLOOKUP(B111, [2]list_region_country!$B$3:$D$20, 3, FALSE)</f>
        <v>Europe</v>
      </c>
      <c r="E111" s="206" t="str">
        <f t="shared" si="4"/>
        <v>EuropePulses,Total</v>
      </c>
      <c r="F111">
        <v>21617</v>
      </c>
      <c r="G111">
        <v>22655</v>
      </c>
      <c r="H111">
        <v>16508</v>
      </c>
      <c r="I111">
        <v>19205</v>
      </c>
      <c r="J111">
        <v>20582</v>
      </c>
      <c r="L111">
        <f t="shared" si="5"/>
        <v>2.0113400000000001</v>
      </c>
      <c r="BK111" s="58"/>
      <c r="BL111" s="58"/>
      <c r="BM111" s="58"/>
      <c r="BN111" s="58"/>
    </row>
    <row r="112" spans="1:66" x14ac:dyDescent="0.2">
      <c r="A112" t="str">
        <f t="shared" si="3"/>
        <v>EuropeRoots and Tubers,Total</v>
      </c>
      <c r="B112" t="s">
        <v>1555</v>
      </c>
      <c r="C112" s="207" t="s">
        <v>1603</v>
      </c>
      <c r="D112" s="206" t="str">
        <f>VLOOKUP(B112, [2]list_region_country!$B$3:$D$20, 3, FALSE)</f>
        <v>Europe</v>
      </c>
      <c r="E112" s="206" t="str">
        <f t="shared" si="4"/>
        <v>EuropeRoots and Tubers,Total</v>
      </c>
      <c r="F112">
        <v>223130</v>
      </c>
      <c r="G112">
        <v>237712</v>
      </c>
      <c r="H112">
        <v>221402</v>
      </c>
      <c r="I112">
        <v>228555</v>
      </c>
      <c r="J112">
        <v>235579</v>
      </c>
      <c r="L112">
        <f t="shared" si="5"/>
        <v>22.92756</v>
      </c>
      <c r="BK112" s="58"/>
      <c r="BL112" s="58"/>
      <c r="BM112" s="58"/>
      <c r="BN112" s="58"/>
    </row>
    <row r="113" spans="1:66" x14ac:dyDescent="0.2">
      <c r="A113" t="str">
        <f t="shared" si="3"/>
        <v>EuropeBarley</v>
      </c>
      <c r="B113" t="s">
        <v>1555</v>
      </c>
      <c r="C113" s="206" t="s">
        <v>1347</v>
      </c>
      <c r="D113" s="206" t="str">
        <f>VLOOKUP(B113, [2]list_region_country!$B$3:$D$20, 3, FALSE)</f>
        <v>Europe</v>
      </c>
      <c r="E113" s="206" t="str">
        <f t="shared" si="4"/>
        <v>EuropeBarley</v>
      </c>
      <c r="F113">
        <v>37401</v>
      </c>
      <c r="G113">
        <v>39044</v>
      </c>
      <c r="H113">
        <v>35517</v>
      </c>
      <c r="I113">
        <v>39486</v>
      </c>
      <c r="J113">
        <v>39577</v>
      </c>
      <c r="L113">
        <f t="shared" si="5"/>
        <v>3.8205</v>
      </c>
      <c r="BK113" s="58"/>
      <c r="BL113" s="58"/>
      <c r="BM113" s="58"/>
      <c r="BN113" s="58"/>
    </row>
    <row r="114" spans="1:66" x14ac:dyDescent="0.2">
      <c r="A114" t="str">
        <f t="shared" si="3"/>
        <v>EuropeMaize</v>
      </c>
      <c r="B114" t="s">
        <v>1555</v>
      </c>
      <c r="C114" s="207" t="s">
        <v>491</v>
      </c>
      <c r="D114" s="206" t="str">
        <f>VLOOKUP(B114, [2]list_region_country!$B$3:$D$20, 3, FALSE)</f>
        <v>Europe</v>
      </c>
      <c r="E114" s="206" t="str">
        <f t="shared" si="4"/>
        <v>EuropeMaize</v>
      </c>
      <c r="F114">
        <v>67433</v>
      </c>
      <c r="G114">
        <v>63916</v>
      </c>
      <c r="H114">
        <v>75282</v>
      </c>
      <c r="I114">
        <v>72371</v>
      </c>
      <c r="J114">
        <v>63824</v>
      </c>
      <c r="L114">
        <f t="shared" si="5"/>
        <v>6.8565199999999997</v>
      </c>
      <c r="BK114" s="58"/>
      <c r="BL114" s="58"/>
      <c r="BM114" s="58"/>
      <c r="BN114" s="58"/>
    </row>
    <row r="115" spans="1:66" x14ac:dyDescent="0.2">
      <c r="A115" t="str">
        <f t="shared" si="3"/>
        <v>EuropeOats</v>
      </c>
      <c r="B115" t="s">
        <v>1555</v>
      </c>
      <c r="C115" s="207" t="s">
        <v>1408</v>
      </c>
      <c r="D115" s="206" t="str">
        <f>VLOOKUP(B115, [2]list_region_country!$B$3:$D$20, 3, FALSE)</f>
        <v>Europe</v>
      </c>
      <c r="E115" s="206" t="str">
        <f t="shared" si="4"/>
        <v>EuropeOats</v>
      </c>
      <c r="F115">
        <v>24667</v>
      </c>
      <c r="G115">
        <v>25466</v>
      </c>
      <c r="H115">
        <v>22842</v>
      </c>
      <c r="I115">
        <v>24995</v>
      </c>
      <c r="J115">
        <v>26974</v>
      </c>
      <c r="L115">
        <f t="shared" si="5"/>
        <v>2.4988799999999998</v>
      </c>
      <c r="BK115" s="58"/>
      <c r="BL115" s="58"/>
      <c r="BM115" s="58"/>
      <c r="BN115" s="58"/>
    </row>
    <row r="116" spans="1:66" x14ac:dyDescent="0.2">
      <c r="A116" t="str">
        <f t="shared" si="3"/>
        <v>EuropePotatoes</v>
      </c>
      <c r="B116" t="s">
        <v>1555</v>
      </c>
      <c r="C116" s="207" t="s">
        <v>1410</v>
      </c>
      <c r="D116" s="206" t="str">
        <f>VLOOKUP(B116, [2]list_region_country!$B$3:$D$20, 3, FALSE)</f>
        <v>Europe</v>
      </c>
      <c r="E116" s="206" t="str">
        <f t="shared" si="4"/>
        <v>EuropePotatoes</v>
      </c>
      <c r="F116">
        <v>223453</v>
      </c>
      <c r="G116">
        <v>238068</v>
      </c>
      <c r="H116">
        <v>221401</v>
      </c>
      <c r="I116">
        <v>228554</v>
      </c>
      <c r="J116">
        <v>235578</v>
      </c>
      <c r="L116">
        <f t="shared" si="5"/>
        <v>22.941079999999999</v>
      </c>
      <c r="BK116" s="58"/>
      <c r="BL116" s="58"/>
      <c r="BM116" s="58"/>
      <c r="BN116" s="58"/>
    </row>
    <row r="117" spans="1:66" x14ac:dyDescent="0.2">
      <c r="A117" t="str">
        <f t="shared" si="3"/>
        <v>EuropeSoybeans</v>
      </c>
      <c r="B117" t="s">
        <v>1555</v>
      </c>
      <c r="C117" s="207" t="s">
        <v>1414</v>
      </c>
      <c r="D117" s="206" t="str">
        <f>VLOOKUP(B117, [2]list_region_country!$B$3:$D$20, 3, FALSE)</f>
        <v>Europe</v>
      </c>
      <c r="E117" s="206" t="str">
        <f t="shared" si="4"/>
        <v>EuropeSoybeans</v>
      </c>
      <c r="F117">
        <v>20936</v>
      </c>
      <c r="G117">
        <v>18613</v>
      </c>
      <c r="H117">
        <v>21435</v>
      </c>
      <c r="I117">
        <v>20944</v>
      </c>
      <c r="J117">
        <v>20072</v>
      </c>
      <c r="L117">
        <f t="shared" si="5"/>
        <v>2.04</v>
      </c>
      <c r="BK117" s="58"/>
      <c r="BL117" s="58"/>
      <c r="BM117" s="58"/>
      <c r="BN117" s="58"/>
    </row>
    <row r="118" spans="1:66" x14ac:dyDescent="0.2">
      <c r="A118" t="str">
        <f t="shared" si="3"/>
        <v>EuropeWheat</v>
      </c>
      <c r="B118" t="s">
        <v>1555</v>
      </c>
      <c r="C118" s="206" t="s">
        <v>1418</v>
      </c>
      <c r="D118" s="206" t="str">
        <f>VLOOKUP(B118, [2]list_region_country!$B$3:$D$20, 3, FALSE)</f>
        <v>Europe</v>
      </c>
      <c r="E118" s="206" t="str">
        <f t="shared" si="4"/>
        <v>EuropeWheat</v>
      </c>
      <c r="F118">
        <v>40290</v>
      </c>
      <c r="G118">
        <v>44018</v>
      </c>
      <c r="H118">
        <v>39956</v>
      </c>
      <c r="I118">
        <v>42659</v>
      </c>
      <c r="J118">
        <v>41370</v>
      </c>
      <c r="L118">
        <f t="shared" si="5"/>
        <v>4.1658599999999995</v>
      </c>
      <c r="BK118" s="58"/>
      <c r="BL118" s="58"/>
      <c r="BM118" s="58"/>
      <c r="BN118" s="58"/>
    </row>
    <row r="119" spans="1:66" x14ac:dyDescent="0.2">
      <c r="A119" t="str">
        <f t="shared" si="3"/>
        <v>EuropeMillet</v>
      </c>
      <c r="B119" t="s">
        <v>1555</v>
      </c>
      <c r="C119" s="207" t="s">
        <v>530</v>
      </c>
      <c r="D119" s="206" t="str">
        <f>VLOOKUP(B119, [2]list_region_country!$B$3:$D$20, 3, FALSE)</f>
        <v>Europe</v>
      </c>
      <c r="E119" s="206" t="str">
        <f t="shared" si="4"/>
        <v>EuropeMillet</v>
      </c>
      <c r="F119">
        <v>16516</v>
      </c>
      <c r="G119">
        <v>14972</v>
      </c>
      <c r="H119">
        <v>12521</v>
      </c>
      <c r="I119">
        <v>13759</v>
      </c>
      <c r="J119">
        <v>12649</v>
      </c>
      <c r="L119">
        <f t="shared" si="5"/>
        <v>1.4083399999999999</v>
      </c>
      <c r="BK119" s="58"/>
      <c r="BL119" s="58"/>
      <c r="BM119" s="58"/>
      <c r="BN119" s="58"/>
    </row>
    <row r="120" spans="1:66" x14ac:dyDescent="0.2">
      <c r="A120" t="str">
        <f t="shared" si="3"/>
        <v>EuropeSorghum</v>
      </c>
      <c r="B120" t="s">
        <v>1555</v>
      </c>
      <c r="C120" s="206" t="s">
        <v>548</v>
      </c>
      <c r="D120" s="206" t="str">
        <f>VLOOKUP(B120, [2]list_region_country!$B$3:$D$20, 3, FALSE)</f>
        <v>Europe</v>
      </c>
      <c r="E120" s="206" t="str">
        <f t="shared" si="4"/>
        <v>EuropeSorghum</v>
      </c>
      <c r="F120">
        <v>31583</v>
      </c>
      <c r="G120">
        <v>33604</v>
      </c>
      <c r="H120">
        <v>46148</v>
      </c>
      <c r="I120">
        <v>42478</v>
      </c>
      <c r="J120">
        <v>40561</v>
      </c>
      <c r="L120">
        <f t="shared" si="5"/>
        <v>3.8874800000000005</v>
      </c>
      <c r="BK120" s="58"/>
      <c r="BL120" s="58"/>
      <c r="BM120" s="58"/>
      <c r="BN120" s="58"/>
    </row>
    <row r="121" spans="1:66" x14ac:dyDescent="0.2">
      <c r="A121" t="str">
        <f t="shared" si="3"/>
        <v>EuropeRice, paddy</v>
      </c>
      <c r="B121" t="s">
        <v>1555</v>
      </c>
      <c r="C121" s="4393" t="s">
        <v>1601</v>
      </c>
      <c r="D121" s="206" t="str">
        <f>VLOOKUP(B121, [2]list_region_country!$B$3:$D$20, 3, FALSE)</f>
        <v>Europe</v>
      </c>
      <c r="E121" s="206" t="str">
        <f t="shared" si="4"/>
        <v>EuropeRice, paddy</v>
      </c>
      <c r="F121">
        <v>63596</v>
      </c>
      <c r="G121">
        <v>64460</v>
      </c>
      <c r="H121">
        <v>64694</v>
      </c>
      <c r="I121">
        <v>64646</v>
      </c>
      <c r="J121">
        <v>63766</v>
      </c>
      <c r="L121">
        <f t="shared" si="5"/>
        <v>6.4232399999999998</v>
      </c>
      <c r="BK121" s="58"/>
      <c r="BL121" s="58"/>
      <c r="BM121" s="58"/>
      <c r="BN121" s="58"/>
    </row>
    <row r="122" spans="1:66" x14ac:dyDescent="0.2">
      <c r="A122" t="str">
        <f t="shared" si="3"/>
        <v>EuropeRye</v>
      </c>
      <c r="B122" t="s">
        <v>1555</v>
      </c>
      <c r="C122" s="206" t="s">
        <v>1428</v>
      </c>
      <c r="D122" s="206" t="str">
        <f>VLOOKUP(B122, [2]list_region_country!$B$3:$D$20, 3, FALSE)</f>
        <v>Europe</v>
      </c>
      <c r="E122" s="206" t="str">
        <f t="shared" si="4"/>
        <v>EuropeRye</v>
      </c>
      <c r="F122">
        <v>30996</v>
      </c>
      <c r="G122">
        <v>31338</v>
      </c>
      <c r="H122">
        <v>27384</v>
      </c>
      <c r="I122">
        <v>31457</v>
      </c>
      <c r="J122">
        <v>35969</v>
      </c>
      <c r="L122">
        <f t="shared" si="5"/>
        <v>3.1428799999999999</v>
      </c>
      <c r="BK122" s="58"/>
      <c r="BL122" s="58"/>
      <c r="BM122" s="58"/>
      <c r="BN122" s="58"/>
    </row>
    <row r="123" spans="1:66" x14ac:dyDescent="0.2">
      <c r="A123" t="str">
        <f t="shared" si="3"/>
        <v>EuropeGroundnuts, with shell</v>
      </c>
      <c r="B123" t="s">
        <v>1555</v>
      </c>
      <c r="C123" s="206" t="s">
        <v>1506</v>
      </c>
      <c r="D123" s="206" t="str">
        <f>VLOOKUP(B123, [2]list_region_country!$B$3:$D$20, 3, FALSE)</f>
        <v>Europe</v>
      </c>
      <c r="E123" s="206" t="str">
        <f t="shared" si="4"/>
        <v>EuropeGroundnuts, with shell</v>
      </c>
      <c r="F123">
        <v>26077</v>
      </c>
      <c r="G123">
        <v>27763</v>
      </c>
      <c r="L123">
        <f t="shared" si="5"/>
        <v>2.6920000000000002</v>
      </c>
      <c r="BK123" s="58"/>
      <c r="BL123" s="58"/>
      <c r="BM123" s="58"/>
      <c r="BN123" s="58"/>
    </row>
    <row r="124" spans="1:66" x14ac:dyDescent="0.2">
      <c r="A124" t="str">
        <f t="shared" si="3"/>
        <v>EuropeBeans, dry</v>
      </c>
      <c r="B124" t="s">
        <v>1555</v>
      </c>
      <c r="C124" s="206" t="s">
        <v>1370</v>
      </c>
      <c r="D124" s="206" t="str">
        <f>VLOOKUP(B124, [2]list_region_country!$B$3:$D$20, 3, FALSE)</f>
        <v>Europe</v>
      </c>
      <c r="E124" s="206" t="str">
        <f t="shared" si="4"/>
        <v>EuropeBeans, dry</v>
      </c>
      <c r="F124">
        <v>22988</v>
      </c>
      <c r="G124">
        <v>24315</v>
      </c>
      <c r="H124">
        <v>18434</v>
      </c>
      <c r="I124">
        <v>18109</v>
      </c>
      <c r="J124">
        <v>20406</v>
      </c>
      <c r="L124">
        <f t="shared" si="5"/>
        <v>2.0850400000000002</v>
      </c>
      <c r="BK124" s="58"/>
      <c r="BL124" s="58"/>
      <c r="BM124" s="58"/>
      <c r="BN124" s="58"/>
    </row>
    <row r="125" spans="1:66" x14ac:dyDescent="0.2">
      <c r="A125" t="str">
        <f t="shared" si="3"/>
        <v>EuropeVegetables</v>
      </c>
      <c r="B125" t="s">
        <v>1555</v>
      </c>
      <c r="C125" s="207" t="s">
        <v>3717</v>
      </c>
      <c r="D125" s="206" t="str">
        <f>VLOOKUP(B125, [2]list_region_country!$B$3:$D$20, 3, FALSE)</f>
        <v>Europe</v>
      </c>
      <c r="E125" s="206" t="str">
        <f t="shared" si="4"/>
        <v>EuropeVegetables</v>
      </c>
      <c r="F125">
        <v>257501</v>
      </c>
      <c r="G125">
        <v>259275</v>
      </c>
      <c r="H125">
        <v>262560</v>
      </c>
      <c r="I125">
        <v>266562</v>
      </c>
      <c r="J125">
        <v>261510</v>
      </c>
      <c r="L125">
        <f t="shared" si="5"/>
        <v>26.148160000000001</v>
      </c>
      <c r="BK125" s="58"/>
      <c r="BL125" s="58"/>
      <c r="BM125" s="58"/>
      <c r="BN125" s="58"/>
    </row>
    <row r="126" spans="1:66" x14ac:dyDescent="0.2">
      <c r="A126" t="str">
        <f t="shared" si="3"/>
        <v>EuropeOilseeds</v>
      </c>
      <c r="B126" t="s">
        <v>1555</v>
      </c>
      <c r="C126" s="207" t="s">
        <v>3713</v>
      </c>
      <c r="D126" s="206" t="str">
        <f>VLOOKUP(B126, [2]list_region_country!$B$3:$D$20, 3, FALSE)</f>
        <v>Europe</v>
      </c>
      <c r="E126" s="206" t="str">
        <f t="shared" si="4"/>
        <v>EuropeOilseeds</v>
      </c>
      <c r="F126">
        <v>15179.363636363636</v>
      </c>
      <c r="G126">
        <v>15561.727272727272</v>
      </c>
      <c r="H126">
        <v>13403.222222222223</v>
      </c>
      <c r="I126">
        <v>14189.777777777777</v>
      </c>
      <c r="J126">
        <v>13582.111111111111</v>
      </c>
      <c r="L126">
        <f t="shared" si="5"/>
        <v>1.4383240404040403</v>
      </c>
      <c r="BK126" s="58"/>
      <c r="BL126" s="58"/>
      <c r="BM126" s="58"/>
      <c r="BN126" s="58"/>
    </row>
    <row r="127" spans="1:66" s="480" customFormat="1" x14ac:dyDescent="0.2">
      <c r="A127" s="480" t="str">
        <f t="shared" si="3"/>
        <v>EuropeDefault</v>
      </c>
      <c r="B127" s="480" t="s">
        <v>1555</v>
      </c>
      <c r="C127" s="4394" t="str">
        <f>C109</f>
        <v>Default</v>
      </c>
      <c r="D127" s="483" t="str">
        <f>VLOOKUP(B127, [2]list_region_country!$B$3:$D$20, 3, FALSE)</f>
        <v>Europe</v>
      </c>
      <c r="E127" s="483" t="str">
        <f t="shared" si="4"/>
        <v>EuropeDefault</v>
      </c>
      <c r="L127" s="480">
        <f>AVERAGEIF(L110:L126,"&gt;0")</f>
        <v>6.9894484729649449</v>
      </c>
      <c r="BK127" s="4397"/>
      <c r="BL127" s="4397"/>
      <c r="BM127" s="4397"/>
      <c r="BN127" s="4397"/>
    </row>
    <row r="128" spans="1:66" x14ac:dyDescent="0.2">
      <c r="A128" t="str">
        <f t="shared" si="3"/>
        <v>Northern AfricaCereals,Total</v>
      </c>
      <c r="B128" t="s">
        <v>1559</v>
      </c>
      <c r="C128" s="206" t="s">
        <v>676</v>
      </c>
      <c r="D128" s="206" t="str">
        <f>VLOOKUP(B128, [2]list_region_country!$B$3:$D$20, 3, FALSE)</f>
        <v>Northern Africa</v>
      </c>
      <c r="E128" s="206" t="str">
        <f t="shared" si="4"/>
        <v>Northern AfricaCereals,Total</v>
      </c>
      <c r="F128">
        <v>16790</v>
      </c>
      <c r="G128">
        <v>19010</v>
      </c>
      <c r="H128">
        <v>18587</v>
      </c>
      <c r="I128">
        <v>18514</v>
      </c>
      <c r="J128">
        <v>16955</v>
      </c>
      <c r="L128">
        <f t="shared" si="5"/>
        <v>1.7971200000000001</v>
      </c>
      <c r="BK128" s="58"/>
      <c r="BL128" s="58"/>
      <c r="BM128" s="58"/>
      <c r="BN128" s="58"/>
    </row>
    <row r="129" spans="1:66" x14ac:dyDescent="0.2">
      <c r="A129" t="str">
        <f t="shared" si="3"/>
        <v>Northern AfricaPulses,Total</v>
      </c>
      <c r="B129" t="s">
        <v>1559</v>
      </c>
      <c r="C129" s="207" t="s">
        <v>1593</v>
      </c>
      <c r="D129" s="206" t="str">
        <f>VLOOKUP(B129, [2]list_region_country!$B$3:$D$20, 3, FALSE)</f>
        <v>Northern Africa</v>
      </c>
      <c r="E129" s="206" t="str">
        <f t="shared" si="4"/>
        <v>Northern AfricaPulses,Total</v>
      </c>
      <c r="G129">
        <v>13063</v>
      </c>
      <c r="H129">
        <v>13954</v>
      </c>
      <c r="I129">
        <v>11256</v>
      </c>
      <c r="J129">
        <v>7311</v>
      </c>
      <c r="L129">
        <f t="shared" si="5"/>
        <v>1.1395999999999999</v>
      </c>
      <c r="BK129" s="58"/>
      <c r="BL129" s="58"/>
      <c r="BM129" s="58"/>
      <c r="BN129" s="58"/>
    </row>
    <row r="130" spans="1:66" x14ac:dyDescent="0.2">
      <c r="A130" t="str">
        <f t="shared" si="3"/>
        <v>Northern AfricaRoots and Tubers,Total</v>
      </c>
      <c r="B130" t="s">
        <v>1559</v>
      </c>
      <c r="C130" s="207" t="s">
        <v>1603</v>
      </c>
      <c r="D130" s="206" t="str">
        <f>VLOOKUP(B130, [2]list_region_country!$B$3:$D$20, 3, FALSE)</f>
        <v>Northern Africa</v>
      </c>
      <c r="E130" s="206" t="str">
        <f t="shared" si="4"/>
        <v>Northern AfricaRoots and Tubers,Total</v>
      </c>
      <c r="F130">
        <v>224679</v>
      </c>
      <c r="G130">
        <v>231347</v>
      </c>
      <c r="H130">
        <v>234919</v>
      </c>
      <c r="I130">
        <v>240695</v>
      </c>
      <c r="J130">
        <v>234832</v>
      </c>
      <c r="L130">
        <f t="shared" si="5"/>
        <v>23.329439999999998</v>
      </c>
      <c r="BK130" s="58"/>
      <c r="BL130" s="58"/>
      <c r="BM130" s="58"/>
      <c r="BN130" s="58"/>
    </row>
    <row r="131" spans="1:66" x14ac:dyDescent="0.2">
      <c r="A131" t="str">
        <f t="shared" si="3"/>
        <v>Northern AfricaBarley</v>
      </c>
      <c r="B131" t="s">
        <v>1559</v>
      </c>
      <c r="C131" s="206" t="s">
        <v>1347</v>
      </c>
      <c r="D131" s="206" t="str">
        <f>VLOOKUP(B131, [2]list_region_country!$B$3:$D$20, 3, FALSE)</f>
        <v>Northern Africa</v>
      </c>
      <c r="E131" s="206" t="str">
        <f t="shared" si="4"/>
        <v>Northern AfricaBarley</v>
      </c>
      <c r="F131">
        <v>6971</v>
      </c>
      <c r="G131">
        <v>10202</v>
      </c>
      <c r="H131">
        <v>15846</v>
      </c>
      <c r="I131">
        <v>13362</v>
      </c>
      <c r="J131">
        <v>7852</v>
      </c>
      <c r="L131">
        <f t="shared" si="5"/>
        <v>1.08466</v>
      </c>
      <c r="BK131" s="58"/>
      <c r="BL131" s="58"/>
      <c r="BM131" s="58"/>
      <c r="BN131" s="58"/>
    </row>
    <row r="132" spans="1:66" x14ac:dyDescent="0.2">
      <c r="A132" t="str">
        <f t="shared" si="3"/>
        <v>Northern AfricaMaize</v>
      </c>
      <c r="B132" t="s">
        <v>1559</v>
      </c>
      <c r="C132" s="207" t="s">
        <v>491</v>
      </c>
      <c r="D132" s="206" t="str">
        <f>VLOOKUP(B132, [2]list_region_country!$B$3:$D$20, 3, FALSE)</f>
        <v>Northern Africa</v>
      </c>
      <c r="E132" s="206" t="str">
        <f t="shared" si="4"/>
        <v>Northern AfricaMaize</v>
      </c>
      <c r="F132">
        <v>66419</v>
      </c>
      <c r="G132">
        <v>69833</v>
      </c>
      <c r="H132">
        <v>61326</v>
      </c>
      <c r="I132">
        <v>47209</v>
      </c>
      <c r="J132">
        <v>48665</v>
      </c>
      <c r="L132">
        <f t="shared" si="5"/>
        <v>5.86904</v>
      </c>
      <c r="BK132" s="58"/>
      <c r="BL132" s="58"/>
      <c r="BM132" s="58"/>
      <c r="BN132" s="58"/>
    </row>
    <row r="133" spans="1:66" x14ac:dyDescent="0.2">
      <c r="A133" t="str">
        <f t="shared" si="3"/>
        <v>Northern AfricaOats</v>
      </c>
      <c r="B133" t="s">
        <v>1559</v>
      </c>
      <c r="C133" s="207" t="s">
        <v>1408</v>
      </c>
      <c r="D133" s="206" t="str">
        <f>VLOOKUP(B133, [2]list_region_country!$B$3:$D$20, 3, FALSE)</f>
        <v>Northern Africa</v>
      </c>
      <c r="E133" s="206" t="str">
        <f t="shared" si="4"/>
        <v>Northern AfricaOats</v>
      </c>
      <c r="F133">
        <v>8377</v>
      </c>
      <c r="G133">
        <v>8222</v>
      </c>
      <c r="H133">
        <v>14961</v>
      </c>
      <c r="I133">
        <v>11678</v>
      </c>
      <c r="J133">
        <v>9331</v>
      </c>
      <c r="L133">
        <f t="shared" si="5"/>
        <v>1.05138</v>
      </c>
      <c r="BK133" s="58"/>
      <c r="BL133" s="58"/>
      <c r="BM133" s="58"/>
      <c r="BN133" s="58"/>
    </row>
    <row r="134" spans="1:66" x14ac:dyDescent="0.2">
      <c r="A134" t="str">
        <f t="shared" si="3"/>
        <v>Northern AfricaPotatoes</v>
      </c>
      <c r="B134" t="s">
        <v>1559</v>
      </c>
      <c r="C134" s="207" t="s">
        <v>1410</v>
      </c>
      <c r="D134" s="206" t="str">
        <f>VLOOKUP(B134, [2]list_region_country!$B$3:$D$20, 3, FALSE)</f>
        <v>Northern Africa</v>
      </c>
      <c r="E134" s="206" t="str">
        <f t="shared" si="4"/>
        <v>Northern AfricaPotatoes</v>
      </c>
      <c r="F134">
        <v>263941</v>
      </c>
      <c r="G134">
        <v>272166</v>
      </c>
      <c r="H134">
        <v>276002</v>
      </c>
      <c r="I134">
        <v>281975</v>
      </c>
      <c r="J134">
        <v>275874</v>
      </c>
      <c r="L134">
        <f t="shared" si="5"/>
        <v>27.399159999999998</v>
      </c>
      <c r="BK134" s="58"/>
      <c r="BL134" s="58"/>
      <c r="BM134" s="58"/>
      <c r="BN134" s="58"/>
    </row>
    <row r="135" spans="1:66" x14ac:dyDescent="0.2">
      <c r="A135" t="str">
        <f t="shared" si="3"/>
        <v>Northern AfricaSoybeans</v>
      </c>
      <c r="B135" t="s">
        <v>1559</v>
      </c>
      <c r="C135" s="207" t="s">
        <v>1414</v>
      </c>
      <c r="D135" s="206" t="str">
        <f>VLOOKUP(B135, [2]list_region_country!$B$3:$D$20, 3, FALSE)</f>
        <v>Northern Africa</v>
      </c>
      <c r="E135" s="206" t="str">
        <f t="shared" si="4"/>
        <v>Northern AfricaSoybeans</v>
      </c>
      <c r="F135">
        <v>31913</v>
      </c>
      <c r="G135">
        <v>27198</v>
      </c>
      <c r="H135">
        <v>28375</v>
      </c>
      <c r="I135">
        <v>28170</v>
      </c>
      <c r="J135">
        <v>28604</v>
      </c>
      <c r="L135">
        <f t="shared" si="5"/>
        <v>2.8852000000000002</v>
      </c>
      <c r="BK135" s="58"/>
      <c r="BL135" s="58"/>
      <c r="BM135" s="58"/>
      <c r="BN135" s="58"/>
    </row>
    <row r="136" spans="1:66" x14ac:dyDescent="0.2">
      <c r="A136" t="str">
        <f t="shared" si="3"/>
        <v>Northern AfricaWheat</v>
      </c>
      <c r="B136" t="s">
        <v>1559</v>
      </c>
      <c r="C136" s="206" t="s">
        <v>1418</v>
      </c>
      <c r="D136" s="206" t="str">
        <f>VLOOKUP(B136, [2]list_region_country!$B$3:$D$20, 3, FALSE)</f>
        <v>Northern Africa</v>
      </c>
      <c r="E136" s="206" t="str">
        <f t="shared" si="4"/>
        <v>Northern AfricaWheat</v>
      </c>
      <c r="F136">
        <v>23506</v>
      </c>
      <c r="G136">
        <v>25327</v>
      </c>
      <c r="H136">
        <v>29696</v>
      </c>
      <c r="I136">
        <v>27120</v>
      </c>
      <c r="J136">
        <v>23174</v>
      </c>
      <c r="L136">
        <f t="shared" si="5"/>
        <v>2.57646</v>
      </c>
      <c r="BK136" s="58"/>
      <c r="BL136" s="58"/>
      <c r="BM136" s="58"/>
      <c r="BN136" s="58"/>
    </row>
    <row r="137" spans="1:66" x14ac:dyDescent="0.2">
      <c r="A137" t="str">
        <f t="shared" si="3"/>
        <v>Northern AfricaMillet</v>
      </c>
      <c r="B137" t="s">
        <v>1559</v>
      </c>
      <c r="C137" s="207" t="s">
        <v>530</v>
      </c>
      <c r="D137" s="206" t="str">
        <f>VLOOKUP(B137, [2]list_region_country!$B$3:$D$20, 3, FALSE)</f>
        <v>Northern Africa</v>
      </c>
      <c r="E137" s="206" t="str">
        <f t="shared" si="4"/>
        <v>Northern AfricaMillet</v>
      </c>
      <c r="F137">
        <v>4845</v>
      </c>
      <c r="G137">
        <v>3530</v>
      </c>
      <c r="H137">
        <v>7071</v>
      </c>
      <c r="I137">
        <v>3785</v>
      </c>
      <c r="J137">
        <v>2041</v>
      </c>
      <c r="L137">
        <f t="shared" si="5"/>
        <v>0.42543999999999998</v>
      </c>
      <c r="BK137" s="58"/>
      <c r="BL137" s="58"/>
      <c r="BM137" s="58"/>
      <c r="BN137" s="58"/>
    </row>
    <row r="138" spans="1:66" x14ac:dyDescent="0.2">
      <c r="A138" t="str">
        <f t="shared" ref="A138:A180" si="6">CONCATENATE(B138,C138)</f>
        <v>Northern AfricaSorghum</v>
      </c>
      <c r="B138" t="s">
        <v>1559</v>
      </c>
      <c r="C138" s="206" t="s">
        <v>548</v>
      </c>
      <c r="D138" s="206" t="str">
        <f>VLOOKUP(B138, [2]list_region_country!$B$3:$D$20, 3, FALSE)</f>
        <v>Northern Africa</v>
      </c>
      <c r="E138" s="206" t="str">
        <f t="shared" ref="E138:E180" si="7">CONCATENATE(D138,C138)</f>
        <v>Northern AfricaSorghum</v>
      </c>
      <c r="F138">
        <v>7735</v>
      </c>
      <c r="G138">
        <v>7495</v>
      </c>
      <c r="H138">
        <v>7613</v>
      </c>
      <c r="I138">
        <v>6410</v>
      </c>
      <c r="J138">
        <v>5504</v>
      </c>
      <c r="L138">
        <f t="shared" si="5"/>
        <v>0.69513999999999998</v>
      </c>
      <c r="BK138" s="58"/>
      <c r="BL138" s="58"/>
      <c r="BM138" s="58"/>
      <c r="BN138" s="58"/>
    </row>
    <row r="139" spans="1:66" x14ac:dyDescent="0.2">
      <c r="A139" t="str">
        <f t="shared" si="6"/>
        <v>Northern AfricaRice, paddy</v>
      </c>
      <c r="B139" t="s">
        <v>1559</v>
      </c>
      <c r="C139" s="4393" t="s">
        <v>1601</v>
      </c>
      <c r="D139" s="206" t="str">
        <f>VLOOKUP(B139, [2]list_region_country!$B$3:$D$20, 3, FALSE)</f>
        <v>Northern Africa</v>
      </c>
      <c r="E139" s="206" t="str">
        <f t="shared" si="7"/>
        <v>Northern AfricaRice, paddy</v>
      </c>
      <c r="F139">
        <v>92378</v>
      </c>
      <c r="G139">
        <v>88666</v>
      </c>
      <c r="H139">
        <v>84503</v>
      </c>
      <c r="I139">
        <v>86254</v>
      </c>
      <c r="J139">
        <v>86981</v>
      </c>
      <c r="L139">
        <f t="shared" ref="L139:L210" si="8">AVERAGE(F139:J139)/10000</f>
        <v>8.7756399999999992</v>
      </c>
      <c r="BK139" s="58"/>
      <c r="BL139" s="58"/>
      <c r="BM139" s="58"/>
      <c r="BN139" s="58"/>
    </row>
    <row r="140" spans="1:66" x14ac:dyDescent="0.2">
      <c r="A140" t="str">
        <f t="shared" si="6"/>
        <v>Northern AfricaRye</v>
      </c>
      <c r="B140" t="s">
        <v>1559</v>
      </c>
      <c r="C140" s="206" t="s">
        <v>1428</v>
      </c>
      <c r="D140" s="206" t="str">
        <f>VLOOKUP(B140, [2]list_region_country!$B$3:$D$20, 3, FALSE)</f>
        <v>Northern Africa</v>
      </c>
      <c r="E140" s="206" t="str">
        <f t="shared" si="7"/>
        <v>Northern AfricaRye</v>
      </c>
      <c r="F140">
        <v>19032</v>
      </c>
      <c r="G140">
        <v>18978</v>
      </c>
      <c r="H140">
        <v>18975</v>
      </c>
      <c r="I140">
        <v>18953</v>
      </c>
      <c r="J140">
        <v>18968</v>
      </c>
      <c r="L140">
        <f t="shared" si="8"/>
        <v>1.89812</v>
      </c>
      <c r="BK140" s="58"/>
      <c r="BL140" s="58"/>
      <c r="BM140" s="58"/>
      <c r="BN140" s="58"/>
    </row>
    <row r="141" spans="1:66" x14ac:dyDescent="0.2">
      <c r="A141" t="str">
        <f t="shared" si="6"/>
        <v>Northern AfricaGroundnuts, with shell</v>
      </c>
      <c r="B141" t="s">
        <v>1559</v>
      </c>
      <c r="C141" s="206" t="s">
        <v>1506</v>
      </c>
      <c r="D141" s="206" t="str">
        <f>VLOOKUP(B141, [2]list_region_country!$B$3:$D$20, 3, FALSE)</f>
        <v>Northern Africa</v>
      </c>
      <c r="E141" s="206" t="str">
        <f t="shared" si="7"/>
        <v>Northern AfricaGroundnuts, with shell</v>
      </c>
      <c r="F141">
        <v>8690</v>
      </c>
      <c r="G141">
        <v>8466</v>
      </c>
      <c r="H141">
        <v>10010</v>
      </c>
      <c r="I141">
        <v>9614</v>
      </c>
      <c r="J141">
        <v>9280</v>
      </c>
      <c r="L141">
        <f t="shared" si="8"/>
        <v>0.92120000000000002</v>
      </c>
      <c r="BK141" s="58"/>
      <c r="BL141" s="58"/>
      <c r="BM141" s="58"/>
      <c r="BN141" s="58"/>
    </row>
    <row r="142" spans="1:66" x14ac:dyDescent="0.2">
      <c r="A142" t="str">
        <f t="shared" si="6"/>
        <v>Northern AfricaBeans, dry</v>
      </c>
      <c r="B142" t="s">
        <v>1559</v>
      </c>
      <c r="C142" s="206" t="s">
        <v>1370</v>
      </c>
      <c r="D142" s="206" t="str">
        <f>VLOOKUP(B142, [2]list_region_country!$B$3:$D$20, 3, FALSE)</f>
        <v>Northern Africa</v>
      </c>
      <c r="E142" s="206" t="str">
        <f t="shared" si="7"/>
        <v>Northern AfricaBeans, dry</v>
      </c>
      <c r="F142">
        <v>24031</v>
      </c>
      <c r="G142">
        <v>25426</v>
      </c>
      <c r="H142">
        <v>51374</v>
      </c>
      <c r="I142">
        <v>45689</v>
      </c>
      <c r="J142">
        <v>37581</v>
      </c>
      <c r="L142">
        <f t="shared" si="8"/>
        <v>3.6820199999999996</v>
      </c>
      <c r="BK142" s="58"/>
      <c r="BL142" s="58"/>
      <c r="BM142" s="58"/>
      <c r="BN142" s="58"/>
    </row>
    <row r="143" spans="1:66" x14ac:dyDescent="0.2">
      <c r="A143" t="str">
        <f t="shared" si="6"/>
        <v>Northern AfricaVegetables</v>
      </c>
      <c r="B143" t="s">
        <v>1559</v>
      </c>
      <c r="C143" s="206" t="s">
        <v>3717</v>
      </c>
      <c r="D143" s="206" t="str">
        <f>VLOOKUP(B143, [2]list_region_country!$B$3:$D$20, 3, FALSE)</f>
        <v>Northern Africa</v>
      </c>
      <c r="E143" s="206" t="str">
        <f t="shared" si="7"/>
        <v>Northern AfricaVegetables</v>
      </c>
      <c r="F143">
        <v>220716</v>
      </c>
      <c r="G143">
        <v>223692</v>
      </c>
      <c r="H143">
        <v>223322</v>
      </c>
      <c r="I143">
        <v>227091</v>
      </c>
      <c r="J143">
        <v>226571</v>
      </c>
      <c r="L143">
        <f t="shared" si="8"/>
        <v>22.42784</v>
      </c>
      <c r="BK143" s="58"/>
      <c r="BL143" s="58"/>
      <c r="BM143" s="58"/>
      <c r="BN143" s="58"/>
    </row>
    <row r="144" spans="1:66" x14ac:dyDescent="0.2">
      <c r="A144" t="str">
        <f t="shared" si="6"/>
        <v>Northern AfricaOilseeds</v>
      </c>
      <c r="B144" t="s">
        <v>1559</v>
      </c>
      <c r="C144" s="206" t="s">
        <v>3713</v>
      </c>
      <c r="D144" s="206" t="str">
        <f>VLOOKUP(B144, [2]list_region_country!$B$3:$D$20, 3, FALSE)</f>
        <v>Northern Africa</v>
      </c>
      <c r="E144" s="206" t="str">
        <f t="shared" si="7"/>
        <v>Northern AfricaOilseeds</v>
      </c>
      <c r="F144">
        <v>10565</v>
      </c>
      <c r="G144">
        <v>10720.285714285714</v>
      </c>
      <c r="H144">
        <v>10963.857142857143</v>
      </c>
      <c r="I144">
        <v>10350.285714285714</v>
      </c>
      <c r="J144">
        <v>10694.285714285714</v>
      </c>
      <c r="L144">
        <f t="shared" si="8"/>
        <v>1.0658742857142856</v>
      </c>
      <c r="BK144" s="58"/>
      <c r="BL144" s="58"/>
      <c r="BM144" s="58"/>
      <c r="BN144" s="58"/>
    </row>
    <row r="145" spans="1:66" s="480" customFormat="1" x14ac:dyDescent="0.2">
      <c r="A145" s="480" t="str">
        <f t="shared" si="6"/>
        <v>Northern AfricaDefault</v>
      </c>
      <c r="B145" s="480" t="s">
        <v>1559</v>
      </c>
      <c r="C145" s="4394" t="str">
        <f>C127</f>
        <v>Default</v>
      </c>
      <c r="D145" s="483" t="str">
        <f>VLOOKUP(B145, [2]list_region_country!$B$3:$D$20, 3, FALSE)</f>
        <v>Northern Africa</v>
      </c>
      <c r="E145" s="483" t="str">
        <f t="shared" si="7"/>
        <v>Northern AfricaDefault</v>
      </c>
      <c r="L145" s="480">
        <f>AVERAGEIF(L128:L144,"&gt;0")</f>
        <v>6.2954902521008398</v>
      </c>
      <c r="BK145" s="4397"/>
      <c r="BL145" s="4397"/>
      <c r="BM145" s="4397"/>
      <c r="BN145" s="4397"/>
    </row>
    <row r="146" spans="1:66" x14ac:dyDescent="0.2">
      <c r="A146" t="str">
        <f t="shared" si="6"/>
        <v>Northern AmericaCereals,Total</v>
      </c>
      <c r="B146" t="s">
        <v>3714</v>
      </c>
      <c r="C146" s="206" t="s">
        <v>676</v>
      </c>
      <c r="D146" s="206" t="str">
        <f>VLOOKUP(B146, [2]list_region_country!$B$3:$D$20, 3, FALSE)</f>
        <v>North America</v>
      </c>
      <c r="E146" s="206" t="str">
        <f t="shared" si="7"/>
        <v>North AmericaCereals,Total</v>
      </c>
      <c r="F146">
        <v>77738</v>
      </c>
      <c r="G146">
        <v>74190</v>
      </c>
      <c r="H146">
        <v>72605</v>
      </c>
      <c r="I146">
        <v>71039</v>
      </c>
      <c r="J146">
        <v>72309</v>
      </c>
      <c r="L146">
        <f t="shared" si="8"/>
        <v>7.3576199999999998</v>
      </c>
      <c r="BK146" s="58"/>
      <c r="BL146" s="58"/>
      <c r="BM146" s="58"/>
      <c r="BN146" s="58"/>
    </row>
    <row r="147" spans="1:66" x14ac:dyDescent="0.2">
      <c r="A147" t="str">
        <f t="shared" si="6"/>
        <v>Northern AmericaPulses,Total</v>
      </c>
      <c r="B147" t="s">
        <v>3714</v>
      </c>
      <c r="C147" s="207" t="s">
        <v>1593</v>
      </c>
      <c r="D147" s="206" t="str">
        <f>VLOOKUP(B147, [2]list_region_country!$B$3:$D$20, 3, FALSE)</f>
        <v>North America</v>
      </c>
      <c r="E147" s="206" t="str">
        <f t="shared" si="7"/>
        <v>North AmericaPulses,Total</v>
      </c>
      <c r="F147">
        <v>20517</v>
      </c>
      <c r="G147">
        <v>18413</v>
      </c>
      <c r="H147">
        <v>19738</v>
      </c>
      <c r="I147">
        <v>20299</v>
      </c>
      <c r="J147">
        <v>22011</v>
      </c>
      <c r="L147">
        <f t="shared" si="8"/>
        <v>2.0195599999999998</v>
      </c>
      <c r="BK147" s="58"/>
      <c r="BL147" s="58"/>
      <c r="BM147" s="58"/>
      <c r="BN147" s="58"/>
    </row>
    <row r="148" spans="1:66" x14ac:dyDescent="0.2">
      <c r="A148" t="str">
        <f t="shared" si="6"/>
        <v>Northern AmericaRoots and Tubers,Total</v>
      </c>
      <c r="B148" t="s">
        <v>3714</v>
      </c>
      <c r="C148" s="207" t="s">
        <v>1603</v>
      </c>
      <c r="D148" s="206" t="str">
        <f>VLOOKUP(B148, [2]list_region_country!$B$3:$D$20, 3, FALSE)</f>
        <v>North America</v>
      </c>
      <c r="E148" s="206" t="str">
        <f t="shared" si="7"/>
        <v>North AmericaRoots and Tubers,Total</v>
      </c>
      <c r="F148">
        <v>435965</v>
      </c>
      <c r="G148">
        <v>439915</v>
      </c>
      <c r="H148">
        <v>445602</v>
      </c>
      <c r="I148">
        <v>454670</v>
      </c>
      <c r="J148">
        <v>444358</v>
      </c>
      <c r="L148">
        <f t="shared" si="8"/>
        <v>44.410200000000003</v>
      </c>
      <c r="BK148" s="58"/>
      <c r="BL148" s="58"/>
      <c r="BM148" s="58"/>
      <c r="BN148" s="58"/>
    </row>
    <row r="149" spans="1:66" x14ac:dyDescent="0.2">
      <c r="A149" t="str">
        <f t="shared" si="6"/>
        <v>Northern AmericaBarley</v>
      </c>
      <c r="B149" t="s">
        <v>3714</v>
      </c>
      <c r="C149" s="206" t="s">
        <v>1347</v>
      </c>
      <c r="D149" s="206" t="str">
        <f>VLOOKUP(B149, [2]list_region_country!$B$3:$D$20, 3, FALSE)</f>
        <v>North America</v>
      </c>
      <c r="E149" s="206" t="str">
        <f t="shared" si="7"/>
        <v>North AmericaBarley</v>
      </c>
      <c r="F149">
        <v>39931</v>
      </c>
      <c r="G149">
        <v>37869</v>
      </c>
      <c r="H149">
        <v>36663</v>
      </c>
      <c r="I149">
        <v>38988</v>
      </c>
      <c r="J149">
        <v>39054</v>
      </c>
      <c r="L149">
        <f t="shared" si="8"/>
        <v>3.8500999999999999</v>
      </c>
      <c r="BK149" s="58"/>
      <c r="BL149" s="58"/>
      <c r="BM149" s="58"/>
      <c r="BN149" s="58"/>
    </row>
    <row r="150" spans="1:66" x14ac:dyDescent="0.2">
      <c r="A150" t="str">
        <f t="shared" si="6"/>
        <v>Northern AmericaMaize</v>
      </c>
      <c r="B150" t="s">
        <v>3714</v>
      </c>
      <c r="C150" s="207" t="s">
        <v>491</v>
      </c>
      <c r="D150" s="206" t="str">
        <f>VLOOKUP(B150, [2]list_region_country!$B$3:$D$20, 3, FALSE)</f>
        <v>North America</v>
      </c>
      <c r="E150" s="206" t="str">
        <f t="shared" si="7"/>
        <v>North AmericaMaize</v>
      </c>
      <c r="F150">
        <v>116691</v>
      </c>
      <c r="G150">
        <v>110410</v>
      </c>
      <c r="H150">
        <v>110175</v>
      </c>
      <c r="I150">
        <v>104566</v>
      </c>
      <c r="J150">
        <v>107474</v>
      </c>
      <c r="L150">
        <f t="shared" si="8"/>
        <v>10.986319999999999</v>
      </c>
      <c r="BK150" s="58"/>
      <c r="BL150" s="58"/>
      <c r="BM150" s="58"/>
      <c r="BN150" s="58"/>
    </row>
    <row r="151" spans="1:66" x14ac:dyDescent="0.2">
      <c r="A151" t="str">
        <f t="shared" si="6"/>
        <v>Northern AmericaOats</v>
      </c>
      <c r="B151" t="s">
        <v>3714</v>
      </c>
      <c r="C151" s="207" t="s">
        <v>1408</v>
      </c>
      <c r="D151" s="206" t="str">
        <f>VLOOKUP(B151, [2]list_region_country!$B$3:$D$20, 3, FALSE)</f>
        <v>North America</v>
      </c>
      <c r="E151" s="206" t="str">
        <f t="shared" si="7"/>
        <v>North AmericaOats</v>
      </c>
      <c r="F151">
        <v>31566</v>
      </c>
      <c r="G151">
        <v>32330</v>
      </c>
      <c r="H151">
        <v>31372</v>
      </c>
      <c r="I151">
        <v>33289</v>
      </c>
      <c r="J151">
        <v>32107</v>
      </c>
      <c r="L151">
        <f t="shared" si="8"/>
        <v>3.2132800000000001</v>
      </c>
      <c r="BK151" s="58"/>
      <c r="BL151" s="58"/>
      <c r="BM151" s="58"/>
      <c r="BN151" s="58"/>
    </row>
    <row r="152" spans="1:66" x14ac:dyDescent="0.2">
      <c r="A152" t="str">
        <f t="shared" si="6"/>
        <v>Northern AmericaPotatoes</v>
      </c>
      <c r="B152" t="s">
        <v>3714</v>
      </c>
      <c r="C152" s="207" t="s">
        <v>1410</v>
      </c>
      <c r="D152" s="206" t="str">
        <f>VLOOKUP(B152, [2]list_region_country!$B$3:$D$20, 3, FALSE)</f>
        <v>North America</v>
      </c>
      <c r="E152" s="206" t="str">
        <f t="shared" si="7"/>
        <v>North AmericaPotatoes</v>
      </c>
      <c r="F152">
        <v>462037</v>
      </c>
      <c r="G152">
        <v>461755</v>
      </c>
      <c r="H152">
        <v>470706</v>
      </c>
      <c r="I152">
        <v>475516</v>
      </c>
      <c r="J152">
        <v>469003</v>
      </c>
      <c r="L152">
        <f t="shared" si="8"/>
        <v>46.780340000000002</v>
      </c>
      <c r="BK152" s="58"/>
      <c r="BL152" s="58"/>
      <c r="BM152" s="58"/>
      <c r="BN152" s="58"/>
    </row>
    <row r="153" spans="1:66" x14ac:dyDescent="0.2">
      <c r="A153" t="str">
        <f t="shared" si="6"/>
        <v>Northern AmericaSoybeans</v>
      </c>
      <c r="B153" t="s">
        <v>3714</v>
      </c>
      <c r="C153" s="207" t="s">
        <v>1414</v>
      </c>
      <c r="D153" s="206" t="str">
        <f>VLOOKUP(B153, [2]list_region_country!$B$3:$D$20, 3, FALSE)</f>
        <v>North America</v>
      </c>
      <c r="E153" s="206" t="str">
        <f t="shared" si="7"/>
        <v>North AmericaSoybeans</v>
      </c>
      <c r="F153">
        <v>34600</v>
      </c>
      <c r="G153">
        <v>32621</v>
      </c>
      <c r="H153">
        <v>33677</v>
      </c>
      <c r="I153">
        <v>31540</v>
      </c>
      <c r="J153">
        <v>33633</v>
      </c>
      <c r="L153">
        <f t="shared" si="8"/>
        <v>3.3214199999999998</v>
      </c>
      <c r="BK153" s="58"/>
      <c r="BL153" s="58"/>
      <c r="BM153" s="58"/>
      <c r="BN153" s="58"/>
    </row>
    <row r="154" spans="1:66" x14ac:dyDescent="0.2">
      <c r="A154" t="str">
        <f t="shared" si="6"/>
        <v>Northern AmericaWheat</v>
      </c>
      <c r="B154" t="s">
        <v>3714</v>
      </c>
      <c r="C154" s="206" t="s">
        <v>1418</v>
      </c>
      <c r="D154" s="206" t="str">
        <f>VLOOKUP(B154, [2]list_region_country!$B$3:$D$20, 3, FALSE)</f>
        <v>North America</v>
      </c>
      <c r="E154" s="206" t="str">
        <f t="shared" si="7"/>
        <v>North AmericaWheat</v>
      </c>
      <c r="F154">
        <v>35542</v>
      </c>
      <c r="G154">
        <v>32156</v>
      </c>
      <c r="H154">
        <v>32286</v>
      </c>
      <c r="I154">
        <v>34391</v>
      </c>
      <c r="J154">
        <v>34102</v>
      </c>
      <c r="L154">
        <f t="shared" si="8"/>
        <v>3.3695400000000002</v>
      </c>
      <c r="BK154" s="58"/>
      <c r="BL154" s="58"/>
      <c r="BM154" s="58"/>
      <c r="BN154" s="58"/>
    </row>
    <row r="155" spans="1:66" x14ac:dyDescent="0.2">
      <c r="A155" t="str">
        <f t="shared" si="6"/>
        <v>Northern AmericaMillet</v>
      </c>
      <c r="B155" t="s">
        <v>3714</v>
      </c>
      <c r="C155" s="207" t="s">
        <v>530</v>
      </c>
      <c r="D155" s="206" t="str">
        <f>VLOOKUP(B155, [2]list_region_country!$B$3:$D$20, 3, FALSE)</f>
        <v>North America</v>
      </c>
      <c r="E155" s="206" t="str">
        <f t="shared" si="7"/>
        <v>North AmericaMillet</v>
      </c>
      <c r="F155">
        <v>20448</v>
      </c>
      <c r="G155">
        <v>20705</v>
      </c>
      <c r="H155">
        <v>16662</v>
      </c>
      <c r="I155">
        <v>20016</v>
      </c>
      <c r="J155">
        <v>10664</v>
      </c>
      <c r="L155">
        <f t="shared" si="8"/>
        <v>1.7699</v>
      </c>
      <c r="BK155" s="58"/>
      <c r="BL155" s="58"/>
      <c r="BM155" s="58"/>
      <c r="BN155" s="58"/>
    </row>
    <row r="156" spans="1:66" x14ac:dyDescent="0.2">
      <c r="A156" t="str">
        <f t="shared" si="6"/>
        <v>Northern AmericaSorghum</v>
      </c>
      <c r="B156" t="s">
        <v>3714</v>
      </c>
      <c r="C156" s="206" t="s">
        <v>548</v>
      </c>
      <c r="D156" s="206" t="str">
        <f>VLOOKUP(B156, [2]list_region_country!$B$3:$D$20, 3, FALSE)</f>
        <v>North America</v>
      </c>
      <c r="E156" s="206" t="str">
        <f t="shared" si="7"/>
        <v>North AmericaSorghum</v>
      </c>
      <c r="F156">
        <v>48912</v>
      </c>
      <c r="G156">
        <v>45031</v>
      </c>
      <c r="H156">
        <v>45266</v>
      </c>
      <c r="I156">
        <v>45845</v>
      </c>
      <c r="J156">
        <v>45946</v>
      </c>
      <c r="L156">
        <f t="shared" si="8"/>
        <v>4.62</v>
      </c>
      <c r="BK156" s="58"/>
      <c r="BL156" s="58"/>
      <c r="BM156" s="58"/>
      <c r="BN156" s="58"/>
    </row>
    <row r="157" spans="1:66" x14ac:dyDescent="0.2">
      <c r="A157" t="str">
        <f t="shared" si="6"/>
        <v>Northern AmericaRice, paddy</v>
      </c>
      <c r="B157" t="s">
        <v>3714</v>
      </c>
      <c r="C157" s="4393" t="s">
        <v>1601</v>
      </c>
      <c r="D157" s="206" t="str">
        <f>VLOOKUP(B157, [2]list_region_country!$B$3:$D$20, 3, FALSE)</f>
        <v>North America</v>
      </c>
      <c r="E157" s="206" t="str">
        <f t="shared" si="7"/>
        <v>North AmericaRice, paddy</v>
      </c>
      <c r="F157">
        <v>81121</v>
      </c>
      <c r="G157">
        <v>84147</v>
      </c>
      <c r="H157">
        <v>86213</v>
      </c>
      <c r="I157">
        <v>83759</v>
      </c>
      <c r="J157">
        <v>85398</v>
      </c>
      <c r="L157">
        <f t="shared" si="8"/>
        <v>8.4127600000000005</v>
      </c>
      <c r="BK157" s="58"/>
      <c r="BL157" s="58"/>
      <c r="BM157" s="58"/>
      <c r="BN157" s="58"/>
    </row>
    <row r="158" spans="1:66" x14ac:dyDescent="0.2">
      <c r="A158" t="str">
        <f t="shared" si="6"/>
        <v>Northern AmericaRye</v>
      </c>
      <c r="B158" t="s">
        <v>3714</v>
      </c>
      <c r="C158" s="206" t="s">
        <v>1428</v>
      </c>
      <c r="D158" s="206" t="str">
        <f>VLOOKUP(B158, [2]list_region_country!$B$3:$D$20, 3, FALSE)</f>
        <v>North America</v>
      </c>
      <c r="E158" s="206" t="str">
        <f t="shared" si="7"/>
        <v>North AmericaRye</v>
      </c>
      <c r="F158">
        <v>23736</v>
      </c>
      <c r="G158">
        <v>27091</v>
      </c>
      <c r="H158">
        <v>23767</v>
      </c>
      <c r="I158">
        <v>26451</v>
      </c>
      <c r="J158">
        <v>27246</v>
      </c>
      <c r="L158">
        <f t="shared" si="8"/>
        <v>2.56582</v>
      </c>
      <c r="BK158" s="58"/>
      <c r="BL158" s="58"/>
      <c r="BM158" s="58"/>
      <c r="BN158" s="58"/>
    </row>
    <row r="159" spans="1:66" x14ac:dyDescent="0.2">
      <c r="A159" t="str">
        <f t="shared" si="6"/>
        <v>Northern AmericaGroundnuts, with shell</v>
      </c>
      <c r="B159" t="s">
        <v>3714</v>
      </c>
      <c r="C159" s="206" t="s">
        <v>1506</v>
      </c>
      <c r="D159" s="206" t="str">
        <f>VLOOKUP(B159, [2]list_region_country!$B$3:$D$20, 3, FALSE)</f>
        <v>North America</v>
      </c>
      <c r="E159" s="206" t="str">
        <f t="shared" si="7"/>
        <v>North AmericaGroundnuts, with shell</v>
      </c>
      <c r="F159">
        <v>40730</v>
      </c>
      <c r="G159">
        <v>44916</v>
      </c>
      <c r="H159">
        <v>44849</v>
      </c>
      <c r="I159">
        <v>44089</v>
      </c>
      <c r="J159">
        <v>42549</v>
      </c>
      <c r="L159">
        <f t="shared" si="8"/>
        <v>4.3426599999999995</v>
      </c>
      <c r="BK159" s="58"/>
      <c r="BL159" s="58"/>
      <c r="BM159" s="58"/>
      <c r="BN159" s="58"/>
    </row>
    <row r="160" spans="1:66" x14ac:dyDescent="0.2">
      <c r="A160" t="str">
        <f t="shared" si="6"/>
        <v>Northern AmericaBeans, dry</v>
      </c>
      <c r="B160" t="s">
        <v>3714</v>
      </c>
      <c r="C160" s="206" t="s">
        <v>1370</v>
      </c>
      <c r="D160" s="206" t="str">
        <f>VLOOKUP(B160, [2]list_region_country!$B$3:$D$20, 3, FALSE)</f>
        <v>North America</v>
      </c>
      <c r="E160" s="206" t="str">
        <f t="shared" si="7"/>
        <v>North AmericaBeans, dry</v>
      </c>
      <c r="F160">
        <v>20704</v>
      </c>
      <c r="G160">
        <v>23347</v>
      </c>
      <c r="H160">
        <v>24025</v>
      </c>
      <c r="I160">
        <v>20110</v>
      </c>
      <c r="J160">
        <v>23047</v>
      </c>
      <c r="L160">
        <f t="shared" si="8"/>
        <v>2.2246599999999996</v>
      </c>
      <c r="BK160" s="58"/>
      <c r="BL160" s="58"/>
      <c r="BM160" s="58"/>
      <c r="BN160" s="58"/>
    </row>
    <row r="161" spans="1:66" x14ac:dyDescent="0.2">
      <c r="A161" t="str">
        <f t="shared" si="6"/>
        <v>Northern AmericaVegetables</v>
      </c>
      <c r="B161" t="s">
        <v>3714</v>
      </c>
      <c r="C161" s="4394" t="s">
        <v>3717</v>
      </c>
      <c r="D161" s="206" t="str">
        <f>VLOOKUP(B161, [2]list_region_country!$B$3:$D$20, 3, FALSE)</f>
        <v>North America</v>
      </c>
      <c r="E161" s="206" t="str">
        <f t="shared" si="7"/>
        <v>North AmericaVegetables</v>
      </c>
      <c r="F161">
        <v>334497</v>
      </c>
      <c r="G161">
        <v>326044</v>
      </c>
      <c r="H161">
        <v>331506</v>
      </c>
      <c r="I161">
        <v>371474</v>
      </c>
      <c r="J161">
        <v>377256</v>
      </c>
      <c r="L161">
        <f t="shared" si="8"/>
        <v>34.815540000000006</v>
      </c>
      <c r="BK161" s="58"/>
      <c r="BL161" s="58"/>
      <c r="BM161" s="58"/>
      <c r="BN161" s="58"/>
    </row>
    <row r="162" spans="1:66" x14ac:dyDescent="0.2">
      <c r="A162" t="str">
        <f t="shared" si="6"/>
        <v>Northern AmericaOilseeds</v>
      </c>
      <c r="B162" t="s">
        <v>3714</v>
      </c>
      <c r="C162" s="4394" t="s">
        <v>3713</v>
      </c>
      <c r="D162" s="206" t="str">
        <f>VLOOKUP(B162, [2]list_region_country!$B$3:$D$20, 3, FALSE)</f>
        <v>North America</v>
      </c>
      <c r="E162" s="206" t="str">
        <f t="shared" si="7"/>
        <v>North AmericaOilseeds</v>
      </c>
      <c r="F162">
        <v>21939.857142857141</v>
      </c>
      <c r="G162">
        <v>20856.714285714286</v>
      </c>
      <c r="H162">
        <v>21932.857142857141</v>
      </c>
      <c r="I162">
        <v>21281.714285714286</v>
      </c>
      <c r="J162">
        <v>21616.714285714286</v>
      </c>
      <c r="L162">
        <f t="shared" si="8"/>
        <v>2.1525571428571428</v>
      </c>
      <c r="BK162" s="58"/>
      <c r="BL162" s="58"/>
      <c r="BM162" s="58"/>
      <c r="BN162" s="58"/>
    </row>
    <row r="163" spans="1:66" s="480" customFormat="1" x14ac:dyDescent="0.2">
      <c r="A163" s="480" t="str">
        <f>CONCATENATE(B163,C163)</f>
        <v>Northern AmericaDefault</v>
      </c>
      <c r="B163" s="480" t="s">
        <v>3714</v>
      </c>
      <c r="C163" s="4394" t="str">
        <f>C145</f>
        <v>Default</v>
      </c>
      <c r="D163" s="483" t="str">
        <f>VLOOKUP(B163, [2]list_region_country!$B$3:$D$20, 3, FALSE)</f>
        <v>North America</v>
      </c>
      <c r="E163" s="483" t="str">
        <f>CONCATENATE(D163,C163)</f>
        <v>North AmericaDefault</v>
      </c>
      <c r="L163" s="480">
        <f>AVERAGEIF(L146:L162,"&gt;0")</f>
        <v>10.953663361344537</v>
      </c>
      <c r="BK163" s="4397"/>
      <c r="BL163" s="4397"/>
      <c r="BM163" s="4397"/>
      <c r="BN163" s="4397"/>
    </row>
    <row r="164" spans="1:66" x14ac:dyDescent="0.2">
      <c r="A164" t="str">
        <f t="shared" si="6"/>
        <v>OceaniaCereals,Total</v>
      </c>
      <c r="B164" t="s">
        <v>1346</v>
      </c>
      <c r="C164" s="206" t="s">
        <v>676</v>
      </c>
      <c r="D164" s="206" t="str">
        <f>VLOOKUP(B164, [2]list_region_country!$B$3:$D$20, 3, FALSE)</f>
        <v>Oceania</v>
      </c>
      <c r="E164" s="206" t="str">
        <f t="shared" si="7"/>
        <v>OceaniaCereals,Total</v>
      </c>
      <c r="F164">
        <v>21243</v>
      </c>
      <c r="G164">
        <v>27087</v>
      </c>
      <c r="H164">
        <v>20804</v>
      </c>
      <c r="I164">
        <v>18179</v>
      </c>
      <c r="J164">
        <v>17032</v>
      </c>
      <c r="L164">
        <f t="shared" si="8"/>
        <v>2.0869</v>
      </c>
      <c r="BK164" s="58"/>
      <c r="BL164" s="58"/>
      <c r="BM164" s="58"/>
      <c r="BN164" s="58"/>
    </row>
    <row r="165" spans="1:66" x14ac:dyDescent="0.2">
      <c r="A165" t="str">
        <f t="shared" si="6"/>
        <v>OceaniaPulses,Total</v>
      </c>
      <c r="B165" t="s">
        <v>1346</v>
      </c>
      <c r="C165" s="207" t="s">
        <v>1593</v>
      </c>
      <c r="D165" s="206" t="str">
        <f>VLOOKUP(B165, [2]list_region_country!$B$3:$D$20, 3, FALSE)</f>
        <v>Oceania</v>
      </c>
      <c r="E165" s="206" t="str">
        <f t="shared" si="7"/>
        <v>OceaniaPulses,Total</v>
      </c>
      <c r="F165">
        <v>11596</v>
      </c>
      <c r="G165">
        <v>17034</v>
      </c>
      <c r="H165">
        <v>10896</v>
      </c>
      <c r="I165">
        <v>9572</v>
      </c>
      <c r="J165">
        <v>10892</v>
      </c>
      <c r="L165">
        <f t="shared" si="8"/>
        <v>1.1998</v>
      </c>
      <c r="BK165" s="58"/>
      <c r="BL165" s="58"/>
      <c r="BM165" s="58"/>
      <c r="BN165" s="58"/>
    </row>
    <row r="166" spans="1:66" x14ac:dyDescent="0.2">
      <c r="A166" t="str">
        <f t="shared" si="6"/>
        <v>OceaniaRoots and Tubers,Total</v>
      </c>
      <c r="B166" t="s">
        <v>1346</v>
      </c>
      <c r="C166" s="207" t="s">
        <v>1603</v>
      </c>
      <c r="D166" s="206" t="str">
        <f>VLOOKUP(B166, [2]list_region_country!$B$3:$D$20, 3, FALSE)</f>
        <v>Oceania</v>
      </c>
      <c r="E166" s="206" t="str">
        <f t="shared" si="7"/>
        <v>OceaniaRoots and Tubers,Total</v>
      </c>
      <c r="F166">
        <v>124755</v>
      </c>
      <c r="G166">
        <v>125959</v>
      </c>
      <c r="H166">
        <v>128905</v>
      </c>
      <c r="I166">
        <v>130266</v>
      </c>
      <c r="J166">
        <v>127141</v>
      </c>
      <c r="L166">
        <f t="shared" si="8"/>
        <v>12.74052</v>
      </c>
      <c r="BK166" s="58"/>
      <c r="BL166" s="58"/>
      <c r="BM166" s="58"/>
      <c r="BN166" s="58"/>
    </row>
    <row r="167" spans="1:66" x14ac:dyDescent="0.2">
      <c r="A167" t="str">
        <f t="shared" si="6"/>
        <v>OceaniaBarley</v>
      </c>
      <c r="B167" t="s">
        <v>1346</v>
      </c>
      <c r="C167" s="206" t="s">
        <v>1347</v>
      </c>
      <c r="D167" s="206" t="str">
        <f>VLOOKUP(B167, [2]list_region_country!$B$3:$D$20, 3, FALSE)</f>
        <v>Oceania</v>
      </c>
      <c r="E167" s="206" t="str">
        <f t="shared" si="7"/>
        <v>OceaniaBarley</v>
      </c>
      <c r="F167">
        <v>22494</v>
      </c>
      <c r="G167">
        <v>28309</v>
      </c>
      <c r="H167">
        <v>23044</v>
      </c>
      <c r="I167">
        <v>20486</v>
      </c>
      <c r="J167">
        <v>20576</v>
      </c>
      <c r="L167">
        <f t="shared" si="8"/>
        <v>2.2981799999999999</v>
      </c>
      <c r="BK167" s="58"/>
      <c r="BL167" s="58"/>
      <c r="BM167" s="58"/>
      <c r="BN167" s="58"/>
    </row>
    <row r="168" spans="1:66" x14ac:dyDescent="0.2">
      <c r="A168" t="str">
        <f t="shared" si="6"/>
        <v>OceaniaMaize</v>
      </c>
      <c r="B168" t="s">
        <v>1346</v>
      </c>
      <c r="C168" s="207" t="s">
        <v>491</v>
      </c>
      <c r="D168" s="206" t="str">
        <f>VLOOKUP(B168, [2]list_region_country!$B$3:$D$20, 3, FALSE)</f>
        <v>Oceania</v>
      </c>
      <c r="E168" s="206" t="str">
        <f t="shared" si="7"/>
        <v>OceaniaMaize</v>
      </c>
      <c r="F168">
        <v>82820</v>
      </c>
      <c r="G168">
        <v>70271</v>
      </c>
      <c r="H168">
        <v>80055</v>
      </c>
      <c r="I168">
        <v>67500</v>
      </c>
      <c r="J168">
        <v>82103</v>
      </c>
      <c r="L168">
        <f t="shared" si="8"/>
        <v>7.6549800000000001</v>
      </c>
      <c r="BK168" s="58"/>
      <c r="BL168" s="58"/>
      <c r="BM168" s="58"/>
      <c r="BN168" s="58"/>
    </row>
    <row r="169" spans="1:66" x14ac:dyDescent="0.2">
      <c r="A169" t="str">
        <f t="shared" si="6"/>
        <v>OceaniaOats</v>
      </c>
      <c r="B169" t="s">
        <v>1346</v>
      </c>
      <c r="C169" s="207" t="s">
        <v>1408</v>
      </c>
      <c r="D169" s="206" t="str">
        <f>VLOOKUP(B169, [2]list_region_country!$B$3:$D$20, 3, FALSE)</f>
        <v>Oceania</v>
      </c>
      <c r="E169" s="206" t="str">
        <f t="shared" si="7"/>
        <v>OceaniaOats</v>
      </c>
      <c r="F169">
        <v>16222</v>
      </c>
      <c r="G169">
        <v>22250</v>
      </c>
      <c r="H169">
        <v>14253</v>
      </c>
      <c r="I169">
        <v>12316</v>
      </c>
      <c r="J169">
        <v>14220</v>
      </c>
      <c r="L169">
        <f t="shared" si="8"/>
        <v>1.5852200000000001</v>
      </c>
      <c r="BK169" s="58"/>
      <c r="BL169" s="58"/>
      <c r="BM169" s="58"/>
      <c r="BN169" s="58"/>
    </row>
    <row r="170" spans="1:66" x14ac:dyDescent="0.2">
      <c r="A170" t="str">
        <f t="shared" si="6"/>
        <v>OceaniaPotatoes</v>
      </c>
      <c r="B170" t="s">
        <v>1346</v>
      </c>
      <c r="C170" s="207" t="s">
        <v>1410</v>
      </c>
      <c r="D170" s="206" t="str">
        <f>VLOOKUP(B170, [2]list_region_country!$B$3:$D$20, 3, FALSE)</f>
        <v>Oceania</v>
      </c>
      <c r="E170" s="206" t="str">
        <f t="shared" si="7"/>
        <v>OceaniaPotatoes</v>
      </c>
      <c r="F170">
        <v>423469</v>
      </c>
      <c r="G170">
        <v>413130</v>
      </c>
      <c r="H170">
        <v>420397</v>
      </c>
      <c r="I170">
        <v>404281</v>
      </c>
      <c r="J170">
        <v>424105</v>
      </c>
      <c r="L170">
        <f t="shared" si="8"/>
        <v>41.707640000000005</v>
      </c>
      <c r="BK170" s="58"/>
      <c r="BL170" s="58"/>
      <c r="BM170" s="58"/>
      <c r="BN170" s="58"/>
    </row>
    <row r="171" spans="1:66" x14ac:dyDescent="0.2">
      <c r="A171" t="str">
        <f t="shared" si="6"/>
        <v>OceaniaSoybeans</v>
      </c>
      <c r="B171" t="s">
        <v>1346</v>
      </c>
      <c r="C171" s="207" t="s">
        <v>1414</v>
      </c>
      <c r="D171" s="206" t="str">
        <f>VLOOKUP(B171, [2]list_region_country!$B$3:$D$20, 3, FALSE)</f>
        <v>Oceania</v>
      </c>
      <c r="E171" s="206" t="str">
        <f t="shared" si="7"/>
        <v>OceaniaSoybeans</v>
      </c>
      <c r="F171">
        <v>14144</v>
      </c>
      <c r="G171">
        <v>18811</v>
      </c>
      <c r="H171">
        <v>9012</v>
      </c>
      <c r="I171">
        <v>11298</v>
      </c>
      <c r="J171">
        <v>17722</v>
      </c>
      <c r="L171">
        <f t="shared" si="8"/>
        <v>1.41974</v>
      </c>
      <c r="BK171" s="58"/>
      <c r="BL171" s="58"/>
      <c r="BM171" s="58"/>
      <c r="BN171" s="58"/>
    </row>
    <row r="172" spans="1:66" x14ac:dyDescent="0.2">
      <c r="A172" t="str">
        <f t="shared" si="6"/>
        <v>OceaniaWheat</v>
      </c>
      <c r="B172" t="s">
        <v>1346</v>
      </c>
      <c r="C172" s="206" t="s">
        <v>1418</v>
      </c>
      <c r="D172" s="206" t="str">
        <f>VLOOKUP(B172, [2]list_region_country!$B$3:$D$20, 3, FALSE)</f>
        <v>Oceania</v>
      </c>
      <c r="E172" s="206" t="str">
        <f t="shared" si="7"/>
        <v>OceaniaWheat</v>
      </c>
      <c r="F172">
        <v>20061</v>
      </c>
      <c r="G172">
        <v>26343</v>
      </c>
      <c r="H172">
        <v>19444</v>
      </c>
      <c r="I172">
        <v>17225</v>
      </c>
      <c r="J172">
        <v>15071</v>
      </c>
      <c r="L172">
        <f t="shared" si="8"/>
        <v>1.96288</v>
      </c>
      <c r="BK172" s="58"/>
      <c r="BL172" s="58"/>
      <c r="BM172" s="58"/>
      <c r="BN172" s="58"/>
    </row>
    <row r="173" spans="1:66" x14ac:dyDescent="0.2">
      <c r="A173" t="str">
        <f t="shared" si="6"/>
        <v>OceaniaMillet</v>
      </c>
      <c r="B173" t="s">
        <v>1346</v>
      </c>
      <c r="C173" s="207" t="s">
        <v>530</v>
      </c>
      <c r="D173" s="206" t="str">
        <f>VLOOKUP(B173, [2]list_region_country!$B$3:$D$20, 3, FALSE)</f>
        <v>Oceania</v>
      </c>
      <c r="E173" s="206" t="str">
        <f t="shared" si="7"/>
        <v>OceaniaMillet</v>
      </c>
      <c r="F173">
        <v>10228</v>
      </c>
      <c r="G173">
        <v>10216</v>
      </c>
      <c r="H173">
        <v>10188</v>
      </c>
      <c r="I173">
        <v>10185</v>
      </c>
      <c r="J173">
        <v>10183</v>
      </c>
      <c r="L173">
        <f t="shared" si="8"/>
        <v>1.02</v>
      </c>
      <c r="BK173" s="58"/>
      <c r="BL173" s="58"/>
      <c r="BM173" s="58"/>
      <c r="BN173" s="58"/>
    </row>
    <row r="174" spans="1:66" x14ac:dyDescent="0.2">
      <c r="A174" t="str">
        <f t="shared" si="6"/>
        <v>OceaniaSorghum</v>
      </c>
      <c r="B174" t="s">
        <v>1346</v>
      </c>
      <c r="C174" s="206" t="s">
        <v>548</v>
      </c>
      <c r="D174" s="206" t="str">
        <f>VLOOKUP(B174, [2]list_region_country!$B$3:$D$20, 3, FALSE)</f>
        <v>Oceania</v>
      </c>
      <c r="E174" s="206" t="str">
        <f t="shared" si="7"/>
        <v>OceaniaSorghum</v>
      </c>
      <c r="F174">
        <v>34387</v>
      </c>
      <c r="G174">
        <v>27048</v>
      </c>
      <c r="H174">
        <v>27231</v>
      </c>
      <c r="I174">
        <v>21131</v>
      </c>
      <c r="J174">
        <v>19595</v>
      </c>
      <c r="L174">
        <f t="shared" si="8"/>
        <v>2.5878400000000004</v>
      </c>
      <c r="BK174" s="58"/>
      <c r="BL174" s="58"/>
      <c r="BM174" s="58"/>
      <c r="BN174" s="58"/>
    </row>
    <row r="175" spans="1:66" x14ac:dyDescent="0.2">
      <c r="A175" t="str">
        <f t="shared" si="6"/>
        <v>OceaniaRice, paddy</v>
      </c>
      <c r="B175" t="s">
        <v>1346</v>
      </c>
      <c r="C175" s="4393" t="s">
        <v>1601</v>
      </c>
      <c r="D175" s="206" t="str">
        <f>VLOOKUP(B175, [2]list_region_country!$B$3:$D$20, 3, FALSE)</f>
        <v>Oceania</v>
      </c>
      <c r="E175" s="206" t="str">
        <f t="shared" si="7"/>
        <v>OceaniaRice, paddy</v>
      </c>
      <c r="F175">
        <v>91108</v>
      </c>
      <c r="G175">
        <v>94079</v>
      </c>
      <c r="H175">
        <v>98696</v>
      </c>
      <c r="I175">
        <v>66550</v>
      </c>
      <c r="J175">
        <v>66937</v>
      </c>
      <c r="L175">
        <f t="shared" si="8"/>
        <v>8.3474000000000004</v>
      </c>
      <c r="BK175" s="58"/>
      <c r="BL175" s="58"/>
      <c r="BM175" s="58"/>
      <c r="BN175" s="58"/>
    </row>
    <row r="176" spans="1:66" x14ac:dyDescent="0.2">
      <c r="A176" t="str">
        <f t="shared" si="6"/>
        <v>OceaniaRye</v>
      </c>
      <c r="B176" t="s">
        <v>1346</v>
      </c>
      <c r="C176" s="206" t="s">
        <v>1428</v>
      </c>
      <c r="D176" s="206" t="str">
        <f>VLOOKUP(B176, [2]list_region_country!$B$3:$D$20, 3, FALSE)</f>
        <v>Oceania</v>
      </c>
      <c r="E176" s="206" t="str">
        <f t="shared" si="7"/>
        <v>OceaniaRye</v>
      </c>
      <c r="F176">
        <v>6910</v>
      </c>
      <c r="G176">
        <v>7500</v>
      </c>
      <c r="H176">
        <v>7308</v>
      </c>
      <c r="I176">
        <v>7002</v>
      </c>
      <c r="J176">
        <v>7166</v>
      </c>
      <c r="L176">
        <f t="shared" si="8"/>
        <v>0.71772000000000002</v>
      </c>
      <c r="BK176" s="58"/>
      <c r="BL176" s="58"/>
      <c r="BM176" s="58"/>
      <c r="BN176" s="58"/>
    </row>
    <row r="177" spans="1:66" x14ac:dyDescent="0.2">
      <c r="A177" t="str">
        <f t="shared" si="6"/>
        <v>OceaniaGroundnuts, with shell</v>
      </c>
      <c r="B177" t="s">
        <v>1346</v>
      </c>
      <c r="C177" s="206" t="s">
        <v>1506</v>
      </c>
      <c r="D177" s="206" t="str">
        <f>VLOOKUP(B177, [2]list_region_country!$B$3:$D$20, 3, FALSE)</f>
        <v>Oceania</v>
      </c>
      <c r="E177" s="206" t="str">
        <f t="shared" si="7"/>
        <v>OceaniaGroundnuts, with shell</v>
      </c>
      <c r="F177">
        <v>18852</v>
      </c>
      <c r="G177">
        <v>18929</v>
      </c>
      <c r="H177">
        <v>19614</v>
      </c>
      <c r="I177">
        <v>19234</v>
      </c>
      <c r="J177">
        <v>18891</v>
      </c>
      <c r="L177">
        <f t="shared" si="8"/>
        <v>1.9104000000000001</v>
      </c>
      <c r="BK177" s="58"/>
      <c r="BL177" s="58"/>
      <c r="BM177" s="58"/>
      <c r="BN177" s="58"/>
    </row>
    <row r="178" spans="1:66" x14ac:dyDescent="0.2">
      <c r="A178" t="str">
        <f t="shared" si="6"/>
        <v>OceaniaBeans, dry</v>
      </c>
      <c r="B178" t="s">
        <v>1346</v>
      </c>
      <c r="C178" s="206" t="s">
        <v>1370</v>
      </c>
      <c r="D178" s="206" t="str">
        <f>VLOOKUP(B178, [2]list_region_country!$B$3:$D$20, 3, FALSE)</f>
        <v>Oceania</v>
      </c>
      <c r="E178" s="206" t="str">
        <f t="shared" si="7"/>
        <v>OceaniaBeans, dry</v>
      </c>
      <c r="F178">
        <v>9462</v>
      </c>
      <c r="G178">
        <v>9600</v>
      </c>
      <c r="H178">
        <v>9330</v>
      </c>
      <c r="I178">
        <v>9040</v>
      </c>
      <c r="J178">
        <v>8978</v>
      </c>
      <c r="L178">
        <f t="shared" si="8"/>
        <v>0.92820000000000003</v>
      </c>
      <c r="BK178" s="58"/>
      <c r="BL178" s="58"/>
      <c r="BM178" s="58"/>
      <c r="BN178" s="58"/>
    </row>
    <row r="179" spans="1:66" x14ac:dyDescent="0.2">
      <c r="A179" t="str">
        <f t="shared" si="6"/>
        <v>OceaniaVegetables</v>
      </c>
      <c r="B179" t="s">
        <v>1346</v>
      </c>
      <c r="C179" s="4394" t="s">
        <v>3717</v>
      </c>
      <c r="D179" s="206" t="str">
        <f>VLOOKUP(B179, [2]list_region_country!$B$3:$D$20, 3, FALSE)</f>
        <v>Oceania</v>
      </c>
      <c r="E179" s="206" t="str">
        <f t="shared" si="7"/>
        <v>OceaniaVegetables</v>
      </c>
      <c r="F179">
        <v>198701</v>
      </c>
      <c r="G179">
        <v>197071</v>
      </c>
      <c r="H179">
        <v>198983</v>
      </c>
      <c r="I179">
        <v>196982</v>
      </c>
      <c r="J179">
        <v>195838</v>
      </c>
      <c r="L179">
        <f t="shared" si="8"/>
        <v>19.7515</v>
      </c>
      <c r="BK179" s="58"/>
      <c r="BL179" s="58"/>
      <c r="BM179" s="58"/>
      <c r="BN179" s="58"/>
    </row>
    <row r="180" spans="1:66" x14ac:dyDescent="0.2">
      <c r="A180" t="str">
        <f t="shared" si="6"/>
        <v>OceaniaOilseeds</v>
      </c>
      <c r="B180" t="s">
        <v>1346</v>
      </c>
      <c r="C180" s="4394" t="s">
        <v>3713</v>
      </c>
      <c r="D180" s="206" t="str">
        <f>VLOOKUP(B180, [2]list_region_country!$B$3:$D$20, 3, FALSE)</f>
        <v>Oceania</v>
      </c>
      <c r="E180" s="206" t="str">
        <f t="shared" si="7"/>
        <v>OceaniaOilseeds</v>
      </c>
      <c r="F180">
        <v>18544.833333333332</v>
      </c>
      <c r="G180">
        <v>17067.833333333332</v>
      </c>
      <c r="H180">
        <v>18071</v>
      </c>
      <c r="I180">
        <v>17877.333333333332</v>
      </c>
      <c r="J180">
        <v>18736.666666666668</v>
      </c>
      <c r="L180">
        <f t="shared" si="8"/>
        <v>1.8059533333333333</v>
      </c>
      <c r="BK180" s="58"/>
      <c r="BL180" s="58"/>
      <c r="BM180" s="58"/>
      <c r="BN180" s="58"/>
    </row>
    <row r="181" spans="1:66" s="480" customFormat="1" x14ac:dyDescent="0.2">
      <c r="A181" s="480" t="str">
        <f>CONCATENATE(B181,C181)</f>
        <v>OceaniaDefault</v>
      </c>
      <c r="B181" s="480" t="s">
        <v>1346</v>
      </c>
      <c r="C181" s="4394" t="str">
        <f>C163</f>
        <v>Default</v>
      </c>
      <c r="D181" s="483" t="str">
        <f>VLOOKUP(B181, [2]list_region_country!$B$3:$D$20, 3, FALSE)</f>
        <v>Oceania</v>
      </c>
      <c r="E181" s="483" t="str">
        <f>CONCATENATE(D181,C181)</f>
        <v>OceaniaDefault</v>
      </c>
      <c r="L181" s="480">
        <f>AVERAGEIF(L164:L180,"&gt;0")</f>
        <v>6.4544043137254894</v>
      </c>
      <c r="BK181" s="4397"/>
      <c r="BL181" s="4397"/>
      <c r="BM181" s="4397"/>
      <c r="BN181" s="4397"/>
    </row>
    <row r="182" spans="1:66" x14ac:dyDescent="0.2">
      <c r="A182" t="str">
        <f t="shared" ref="A182:A252" si="9">CONCATENATE(B182,C182)</f>
        <v>South AmericaCereals,Total</v>
      </c>
      <c r="B182" t="s">
        <v>1349</v>
      </c>
      <c r="C182" s="206" t="s">
        <v>676</v>
      </c>
      <c r="D182" s="206" t="str">
        <f>VLOOKUP(B182, [2]list_region_country!$B$3:$D$20, 3, FALSE)</f>
        <v>South America</v>
      </c>
      <c r="E182" s="206" t="str">
        <f t="shared" ref="E182:E252" si="10">CONCATENATE(D182,C182)</f>
        <v>South AmericaCereals,Total</v>
      </c>
      <c r="F182">
        <v>44609</v>
      </c>
      <c r="G182">
        <v>50628</v>
      </c>
      <c r="H182">
        <v>46442</v>
      </c>
      <c r="I182">
        <v>51937</v>
      </c>
      <c r="J182">
        <v>50620</v>
      </c>
      <c r="L182">
        <f t="shared" si="8"/>
        <v>4.8847199999999997</v>
      </c>
      <c r="BK182" s="58"/>
      <c r="BL182" s="58"/>
      <c r="BM182" s="58"/>
      <c r="BN182" s="58"/>
    </row>
    <row r="183" spans="1:66" x14ac:dyDescent="0.2">
      <c r="A183" t="str">
        <f t="shared" si="9"/>
        <v>South AmericaPulses,Total</v>
      </c>
      <c r="B183" t="s">
        <v>1349</v>
      </c>
      <c r="C183" s="207" t="s">
        <v>1593</v>
      </c>
      <c r="D183" s="206" t="str">
        <f>VLOOKUP(B183, [2]list_region_country!$B$3:$D$20, 3, FALSE)</f>
        <v>South America</v>
      </c>
      <c r="E183" s="206" t="str">
        <f t="shared" si="10"/>
        <v>South AmericaPulses,Total</v>
      </c>
      <c r="F183">
        <v>10412</v>
      </c>
      <c r="G183">
        <v>11483</v>
      </c>
      <c r="H183">
        <v>10833</v>
      </c>
      <c r="I183">
        <v>11632</v>
      </c>
      <c r="J183">
        <v>11881</v>
      </c>
      <c r="L183">
        <f t="shared" si="8"/>
        <v>1.1248200000000002</v>
      </c>
      <c r="BK183" s="58"/>
      <c r="BL183" s="58"/>
      <c r="BM183" s="58"/>
      <c r="BN183" s="58"/>
    </row>
    <row r="184" spans="1:66" x14ac:dyDescent="0.2">
      <c r="A184" t="str">
        <f t="shared" si="9"/>
        <v>South AmericaRoots and Tubers,Total</v>
      </c>
      <c r="B184" t="s">
        <v>1349</v>
      </c>
      <c r="C184" s="207" t="s">
        <v>1603</v>
      </c>
      <c r="D184" s="206" t="str">
        <f>VLOOKUP(B184, [2]list_region_country!$B$3:$D$20, 3, FALSE)</f>
        <v>South America</v>
      </c>
      <c r="E184" s="206" t="str">
        <f t="shared" si="10"/>
        <v>South AmericaRoots and Tubers,Total</v>
      </c>
      <c r="F184">
        <v>149347</v>
      </c>
      <c r="G184">
        <v>154370</v>
      </c>
      <c r="H184">
        <v>154315</v>
      </c>
      <c r="I184">
        <v>156971</v>
      </c>
      <c r="J184">
        <v>157124</v>
      </c>
      <c r="L184">
        <f t="shared" si="8"/>
        <v>15.442539999999999</v>
      </c>
      <c r="BK184" s="58"/>
      <c r="BL184" s="58"/>
      <c r="BM184" s="58"/>
      <c r="BN184" s="58"/>
    </row>
    <row r="185" spans="1:66" x14ac:dyDescent="0.2">
      <c r="A185" t="str">
        <f t="shared" si="9"/>
        <v>South AmericaBarley</v>
      </c>
      <c r="B185" t="s">
        <v>1349</v>
      </c>
      <c r="C185" s="206" t="s">
        <v>1347</v>
      </c>
      <c r="D185" s="206" t="str">
        <f>VLOOKUP(B185, [2]list_region_country!$B$3:$D$20, 3, FALSE)</f>
        <v>South America</v>
      </c>
      <c r="E185" s="206" t="str">
        <f t="shared" si="10"/>
        <v>South AmericaBarley</v>
      </c>
      <c r="F185">
        <v>36510</v>
      </c>
      <c r="G185">
        <v>36432</v>
      </c>
      <c r="H185">
        <v>36801</v>
      </c>
      <c r="I185">
        <v>37606</v>
      </c>
      <c r="J185">
        <v>37511</v>
      </c>
      <c r="L185">
        <f t="shared" si="8"/>
        <v>3.6972</v>
      </c>
      <c r="BK185" s="58"/>
      <c r="BL185" s="58"/>
      <c r="BM185" s="58"/>
      <c r="BN185" s="58"/>
    </row>
    <row r="186" spans="1:66" x14ac:dyDescent="0.2">
      <c r="A186" t="str">
        <f t="shared" si="9"/>
        <v>South AmericaMaize</v>
      </c>
      <c r="B186" t="s">
        <v>1349</v>
      </c>
      <c r="C186" s="207" t="s">
        <v>491</v>
      </c>
      <c r="D186" s="206" t="str">
        <f>VLOOKUP(B186, [2]list_region_country!$B$3:$D$20, 3, FALSE)</f>
        <v>South America</v>
      </c>
      <c r="E186" s="206" t="str">
        <f t="shared" si="10"/>
        <v>South AmericaMaize</v>
      </c>
      <c r="F186">
        <v>49863</v>
      </c>
      <c r="G186">
        <v>59297</v>
      </c>
      <c r="H186">
        <v>52567</v>
      </c>
      <c r="I186">
        <v>61281</v>
      </c>
      <c r="J186">
        <v>60218</v>
      </c>
      <c r="L186">
        <f t="shared" si="8"/>
        <v>5.6645199999999996</v>
      </c>
      <c r="BK186" s="58"/>
      <c r="BL186" s="58"/>
      <c r="BM186" s="58"/>
      <c r="BN186" s="58"/>
    </row>
    <row r="187" spans="1:66" x14ac:dyDescent="0.2">
      <c r="A187" t="str">
        <f t="shared" si="9"/>
        <v>South AmericaOats</v>
      </c>
      <c r="B187" t="s">
        <v>1349</v>
      </c>
      <c r="C187" s="207" t="s">
        <v>1408</v>
      </c>
      <c r="D187" s="206" t="str">
        <f>VLOOKUP(B187, [2]list_region_country!$B$3:$D$20, 3, FALSE)</f>
        <v>South America</v>
      </c>
      <c r="E187" s="206" t="str">
        <f t="shared" si="10"/>
        <v>South AmericaOats</v>
      </c>
      <c r="F187">
        <v>27950</v>
      </c>
      <c r="G187">
        <v>25016</v>
      </c>
      <c r="H187">
        <v>25116</v>
      </c>
      <c r="I187">
        <v>24315</v>
      </c>
      <c r="J187">
        <v>21822</v>
      </c>
      <c r="L187">
        <f t="shared" si="8"/>
        <v>2.4843799999999998</v>
      </c>
      <c r="BK187" s="58"/>
      <c r="BL187" s="58"/>
      <c r="BM187" s="58"/>
      <c r="BN187" s="58"/>
    </row>
    <row r="188" spans="1:66" x14ac:dyDescent="0.2">
      <c r="A188" t="str">
        <f t="shared" si="9"/>
        <v>South AmericaPotatoes</v>
      </c>
      <c r="B188" t="s">
        <v>1349</v>
      </c>
      <c r="C188" s="207" t="s">
        <v>1410</v>
      </c>
      <c r="D188" s="206" t="str">
        <f>VLOOKUP(B188, [2]list_region_country!$B$3:$D$20, 3, FALSE)</f>
        <v>South America</v>
      </c>
      <c r="E188" s="206" t="str">
        <f t="shared" si="10"/>
        <v>South AmericaPotatoes</v>
      </c>
      <c r="F188">
        <v>175701</v>
      </c>
      <c r="G188">
        <v>187848</v>
      </c>
      <c r="H188">
        <v>188692</v>
      </c>
      <c r="I188">
        <v>194059</v>
      </c>
      <c r="J188">
        <v>191916</v>
      </c>
      <c r="L188">
        <f t="shared" si="8"/>
        <v>18.764320000000001</v>
      </c>
      <c r="BK188" s="58"/>
      <c r="BL188" s="58"/>
      <c r="BM188" s="58"/>
      <c r="BN188" s="58"/>
    </row>
    <row r="189" spans="1:66" x14ac:dyDescent="0.2">
      <c r="A189" t="str">
        <f t="shared" si="9"/>
        <v>South AmericaSoybeans</v>
      </c>
      <c r="B189" t="s">
        <v>1349</v>
      </c>
      <c r="C189" s="207" t="s">
        <v>1414</v>
      </c>
      <c r="D189" s="206" t="str">
        <f>VLOOKUP(B189, [2]list_region_country!$B$3:$D$20, 3, FALSE)</f>
        <v>South America</v>
      </c>
      <c r="E189" s="206" t="str">
        <f t="shared" si="10"/>
        <v>South AmericaSoybeans</v>
      </c>
      <c r="F189">
        <v>28997</v>
      </c>
      <c r="G189">
        <v>32614</v>
      </c>
      <c r="H189">
        <v>29957</v>
      </c>
      <c r="I189">
        <v>31482</v>
      </c>
      <c r="J189">
        <v>31157</v>
      </c>
      <c r="L189">
        <f t="shared" si="8"/>
        <v>3.0841400000000001</v>
      </c>
      <c r="BK189" s="58"/>
      <c r="BL189" s="58"/>
      <c r="BM189" s="58"/>
      <c r="BN189" s="58"/>
    </row>
    <row r="190" spans="1:66" x14ac:dyDescent="0.2">
      <c r="A190" t="str">
        <f t="shared" si="9"/>
        <v>South AmericaWheat</v>
      </c>
      <c r="B190" t="s">
        <v>1349</v>
      </c>
      <c r="C190" s="206" t="s">
        <v>1418</v>
      </c>
      <c r="D190" s="206" t="str">
        <f>VLOOKUP(B190, [2]list_region_country!$B$3:$D$20, 3, FALSE)</f>
        <v>South America</v>
      </c>
      <c r="E190" s="206" t="str">
        <f t="shared" si="10"/>
        <v>South AmericaWheat</v>
      </c>
      <c r="F190">
        <v>29847</v>
      </c>
      <c r="G190">
        <v>30033</v>
      </c>
      <c r="H190">
        <v>29828</v>
      </c>
      <c r="I190">
        <v>30872</v>
      </c>
      <c r="J190">
        <v>28759</v>
      </c>
      <c r="L190">
        <f t="shared" si="8"/>
        <v>2.98678</v>
      </c>
      <c r="BK190" s="58"/>
      <c r="BL190" s="58"/>
      <c r="BM190" s="58"/>
      <c r="BN190" s="58"/>
    </row>
    <row r="191" spans="1:66" x14ac:dyDescent="0.2">
      <c r="A191" t="str">
        <f t="shared" si="9"/>
        <v>South AmericaMillet</v>
      </c>
      <c r="B191" t="s">
        <v>1349</v>
      </c>
      <c r="C191" s="207" t="s">
        <v>530</v>
      </c>
      <c r="D191" s="206" t="str">
        <f>VLOOKUP(B191, [2]list_region_country!$B$3:$D$20, 3, FALSE)</f>
        <v>South America</v>
      </c>
      <c r="E191" s="206" t="str">
        <f>CONCATENATE(D191,C191)</f>
        <v>South AmericaMillet</v>
      </c>
      <c r="F191">
        <v>15536</v>
      </c>
      <c r="G191">
        <v>19235</v>
      </c>
      <c r="H191">
        <v>12522</v>
      </c>
      <c r="I191">
        <v>18921</v>
      </c>
      <c r="J191">
        <v>15488</v>
      </c>
      <c r="L191">
        <f t="shared" si="8"/>
        <v>1.6340399999999999</v>
      </c>
      <c r="BK191" s="58"/>
      <c r="BL191" s="58"/>
      <c r="BM191" s="58"/>
      <c r="BN191" s="58"/>
    </row>
    <row r="192" spans="1:66" x14ac:dyDescent="0.2">
      <c r="A192" t="str">
        <f t="shared" si="9"/>
        <v>South AmericaSorghum</v>
      </c>
      <c r="B192" t="s">
        <v>1349</v>
      </c>
      <c r="C192" s="206" t="s">
        <v>548</v>
      </c>
      <c r="D192" s="206" t="str">
        <f>VLOOKUP(B192, [2]list_region_country!$B$3:$D$20, 3, FALSE)</f>
        <v>South America</v>
      </c>
      <c r="E192" s="206" t="str">
        <f t="shared" si="10"/>
        <v>South AmericaSorghum</v>
      </c>
      <c r="F192">
        <v>32927</v>
      </c>
      <c r="G192">
        <v>33721</v>
      </c>
      <c r="H192">
        <v>29907</v>
      </c>
      <c r="I192">
        <v>33704</v>
      </c>
      <c r="J192">
        <v>32663</v>
      </c>
      <c r="L192">
        <f t="shared" si="8"/>
        <v>3.2584400000000002</v>
      </c>
      <c r="BK192" s="58"/>
      <c r="BL192" s="58"/>
      <c r="BM192" s="58"/>
      <c r="BN192" s="58"/>
    </row>
    <row r="193" spans="1:66" x14ac:dyDescent="0.2">
      <c r="A193" t="str">
        <f t="shared" si="9"/>
        <v>South AmericaRice, paddy</v>
      </c>
      <c r="B193" t="s">
        <v>1349</v>
      </c>
      <c r="C193" s="4393" t="s">
        <v>1601</v>
      </c>
      <c r="D193" s="206" t="str">
        <f>VLOOKUP(B193, [2]list_region_country!$B$3:$D$20, 3, FALSE)</f>
        <v>South America</v>
      </c>
      <c r="E193" s="206" t="str">
        <f t="shared" si="10"/>
        <v>South AmericaRice, paddy</v>
      </c>
      <c r="F193">
        <v>55079</v>
      </c>
      <c r="G193">
        <v>57270</v>
      </c>
      <c r="H193">
        <v>61079</v>
      </c>
      <c r="I193">
        <v>58375</v>
      </c>
      <c r="J193">
        <v>61154</v>
      </c>
      <c r="L193">
        <f t="shared" si="8"/>
        <v>5.85914</v>
      </c>
      <c r="BK193" s="58"/>
      <c r="BL193" s="58"/>
      <c r="BM193" s="58"/>
      <c r="BN193" s="58"/>
    </row>
    <row r="194" spans="1:66" x14ac:dyDescent="0.2">
      <c r="A194" t="str">
        <f t="shared" si="9"/>
        <v>South AmericaRye</v>
      </c>
      <c r="B194" t="s">
        <v>1349</v>
      </c>
      <c r="C194" s="206" t="s">
        <v>1428</v>
      </c>
      <c r="D194" s="206" t="str">
        <f>VLOOKUP(B194, [2]list_region_country!$B$3:$D$20, 3, FALSE)</f>
        <v>South America</v>
      </c>
      <c r="E194" s="206" t="str">
        <f t="shared" si="10"/>
        <v>South AmericaRye</v>
      </c>
      <c r="F194">
        <v>18377</v>
      </c>
      <c r="G194">
        <v>18994</v>
      </c>
      <c r="H194">
        <v>19149</v>
      </c>
      <c r="I194">
        <v>17865</v>
      </c>
      <c r="J194">
        <v>20322</v>
      </c>
      <c r="L194">
        <f t="shared" si="8"/>
        <v>1.8941400000000002</v>
      </c>
      <c r="BK194" s="58"/>
      <c r="BL194" s="58"/>
      <c r="BM194" s="58"/>
      <c r="BN194" s="58"/>
    </row>
    <row r="195" spans="1:66" x14ac:dyDescent="0.2">
      <c r="A195" t="str">
        <f t="shared" si="9"/>
        <v>South AmericaGroundnuts, with shell</v>
      </c>
      <c r="B195" t="s">
        <v>1349</v>
      </c>
      <c r="C195" s="206" t="s">
        <v>1506</v>
      </c>
      <c r="D195" s="206" t="str">
        <f>VLOOKUP(B195, [2]list_region_country!$B$3:$D$20, 3, FALSE)</f>
        <v>South America</v>
      </c>
      <c r="E195" s="206" t="str">
        <f t="shared" si="10"/>
        <v>South AmericaGroundnuts, with shell</v>
      </c>
      <c r="F195">
        <v>28839</v>
      </c>
      <c r="G195">
        <v>29607</v>
      </c>
      <c r="H195">
        <v>23478</v>
      </c>
      <c r="I195">
        <v>31690</v>
      </c>
      <c r="J195">
        <v>32664</v>
      </c>
      <c r="L195">
        <f t="shared" si="8"/>
        <v>2.9255599999999999</v>
      </c>
      <c r="BK195" s="58"/>
      <c r="BL195" s="58"/>
      <c r="BM195" s="58"/>
      <c r="BN195" s="58"/>
    </row>
    <row r="196" spans="1:66" x14ac:dyDescent="0.2">
      <c r="A196" t="str">
        <f t="shared" si="9"/>
        <v>South AmericaBeans, dry</v>
      </c>
      <c r="B196" t="s">
        <v>1349</v>
      </c>
      <c r="C196" s="206" t="s">
        <v>1370</v>
      </c>
      <c r="D196" s="206" t="str">
        <f>VLOOKUP(B196, [2]list_region_country!$B$3:$D$20, 3, FALSE)</f>
        <v>South America</v>
      </c>
      <c r="E196" s="206" t="str">
        <f t="shared" si="10"/>
        <v>South AmericaBeans, dry</v>
      </c>
      <c r="F196">
        <v>10020</v>
      </c>
      <c r="G196">
        <v>10731</v>
      </c>
      <c r="H196">
        <v>10450</v>
      </c>
      <c r="I196">
        <v>11236</v>
      </c>
      <c r="J196">
        <v>11461</v>
      </c>
      <c r="L196">
        <f t="shared" si="8"/>
        <v>1.07796</v>
      </c>
      <c r="BK196" s="58"/>
      <c r="BL196" s="58"/>
      <c r="BM196" s="58"/>
      <c r="BN196" s="58"/>
    </row>
    <row r="197" spans="1:66" x14ac:dyDescent="0.2">
      <c r="A197" t="str">
        <f t="shared" si="9"/>
        <v>South AmericaVegetables</v>
      </c>
      <c r="B197" t="s">
        <v>1349</v>
      </c>
      <c r="C197" s="4394" t="s">
        <v>3717</v>
      </c>
      <c r="D197" s="206" t="str">
        <f>VLOOKUP(B197, [2]list_region_country!$B$3:$D$20, 3, FALSE)</f>
        <v>South America</v>
      </c>
      <c r="E197" s="206" t="str">
        <f>CONCATENATE(D197,C197)</f>
        <v>South AmericaVegetables</v>
      </c>
      <c r="F197">
        <v>184887</v>
      </c>
      <c r="G197">
        <v>187526</v>
      </c>
      <c r="H197">
        <v>191727</v>
      </c>
      <c r="I197">
        <v>189207</v>
      </c>
      <c r="J197">
        <v>185367</v>
      </c>
      <c r="L197">
        <f t="shared" si="8"/>
        <v>18.774279999999997</v>
      </c>
      <c r="BK197" s="58"/>
      <c r="BL197" s="58"/>
      <c r="BM197" s="58"/>
      <c r="BN197" s="58"/>
    </row>
    <row r="198" spans="1:66" x14ac:dyDescent="0.2">
      <c r="A198" t="str">
        <f t="shared" si="9"/>
        <v>South AmericaOilseeds</v>
      </c>
      <c r="B198" t="s">
        <v>1349</v>
      </c>
      <c r="C198" s="4394" t="s">
        <v>3713</v>
      </c>
      <c r="D198" s="206" t="str">
        <f>VLOOKUP(B198, [2]list_region_country!$B$3:$D$20, 3, FALSE)</f>
        <v>South America</v>
      </c>
      <c r="E198" s="206" t="str">
        <f>CONCATENATE(D198,C198)</f>
        <v>South AmericaOilseeds</v>
      </c>
      <c r="F198">
        <v>15686.625</v>
      </c>
      <c r="G198">
        <v>16125.375</v>
      </c>
      <c r="H198">
        <v>16584.375</v>
      </c>
      <c r="I198">
        <v>17536</v>
      </c>
      <c r="J198">
        <v>17631.625</v>
      </c>
      <c r="L198">
        <f t="shared" si="8"/>
        <v>1.6712799999999999</v>
      </c>
      <c r="BK198" s="58"/>
      <c r="BL198" s="58"/>
      <c r="BM198" s="58"/>
      <c r="BN198" s="58"/>
    </row>
    <row r="199" spans="1:66" s="480" customFormat="1" x14ac:dyDescent="0.2">
      <c r="A199" s="480" t="str">
        <f>CONCATENATE(B199,C199)</f>
        <v>South AmericaDefault</v>
      </c>
      <c r="B199" s="480" t="s">
        <v>1349</v>
      </c>
      <c r="C199" s="4394" t="str">
        <f>C181</f>
        <v>Default</v>
      </c>
      <c r="D199" s="483" t="str">
        <f>VLOOKUP(B199, [2]list_region_country!$B$3:$D$20, 3, FALSE)</f>
        <v>South America</v>
      </c>
      <c r="E199" s="483" t="str">
        <f>CONCATENATE(D199,C199)</f>
        <v>South AmericaDefault</v>
      </c>
      <c r="L199" s="480">
        <f>AVERAGEIF(L182:L198,"&gt;0")</f>
        <v>5.6016623529411769</v>
      </c>
      <c r="BK199" s="4397"/>
      <c r="BL199" s="4397"/>
      <c r="BM199" s="4397"/>
      <c r="BN199" s="4397"/>
    </row>
    <row r="200" spans="1:66" x14ac:dyDescent="0.2">
      <c r="A200" t="str">
        <f t="shared" si="9"/>
        <v>South-eastern AsiaCereals,Total</v>
      </c>
      <c r="B200" t="s">
        <v>1563</v>
      </c>
      <c r="C200" s="206" t="s">
        <v>676</v>
      </c>
      <c r="D200" s="206" t="str">
        <f>VLOOKUP(B200, [2]list_region_country!$B$3:$D$20, 3, FALSE)</f>
        <v>South-eastern Asia</v>
      </c>
      <c r="E200" s="206" t="str">
        <f t="shared" si="10"/>
        <v>South-eastern AsiaCereals,Total</v>
      </c>
      <c r="F200">
        <v>42113</v>
      </c>
      <c r="G200">
        <v>42633</v>
      </c>
      <c r="H200">
        <v>43455</v>
      </c>
      <c r="I200">
        <v>43006</v>
      </c>
      <c r="J200">
        <v>43216</v>
      </c>
      <c r="L200">
        <f t="shared" si="8"/>
        <v>4.2884599999999997</v>
      </c>
      <c r="BK200" s="58"/>
      <c r="BL200" s="58"/>
      <c r="BM200" s="58"/>
      <c r="BN200" s="58"/>
    </row>
    <row r="201" spans="1:66" x14ac:dyDescent="0.2">
      <c r="A201" t="str">
        <f t="shared" si="9"/>
        <v>South-eastern AsiaPulses,Total</v>
      </c>
      <c r="B201" t="s">
        <v>1563</v>
      </c>
      <c r="C201" s="207" t="s">
        <v>1593</v>
      </c>
      <c r="D201" s="206" t="str">
        <f>VLOOKUP(B201, [2]list_region_country!$B$3:$D$20, 3, FALSE)</f>
        <v>South-eastern Asia</v>
      </c>
      <c r="E201" s="206" t="str">
        <f t="shared" si="10"/>
        <v>South-eastern AsiaPulses,Total</v>
      </c>
      <c r="F201">
        <v>9988</v>
      </c>
      <c r="G201">
        <v>9657</v>
      </c>
      <c r="H201">
        <v>9667</v>
      </c>
      <c r="I201">
        <v>9550</v>
      </c>
      <c r="J201">
        <v>9453</v>
      </c>
      <c r="L201">
        <f t="shared" si="8"/>
        <v>0.96630000000000005</v>
      </c>
      <c r="BK201" s="58"/>
      <c r="BL201" s="58"/>
      <c r="BM201" s="58"/>
      <c r="BN201" s="58"/>
    </row>
    <row r="202" spans="1:66" x14ac:dyDescent="0.2">
      <c r="A202" t="str">
        <f t="shared" si="9"/>
        <v>South-eastern AsiaRoots and Tubers,Total</v>
      </c>
      <c r="B202" t="s">
        <v>1563</v>
      </c>
      <c r="C202" s="207" t="s">
        <v>1603</v>
      </c>
      <c r="D202" s="206" t="str">
        <f>VLOOKUP(B202, [2]list_region_country!$B$3:$D$20, 3, FALSE)</f>
        <v>South-eastern Asia</v>
      </c>
      <c r="E202" s="206" t="str">
        <f t="shared" si="10"/>
        <v>South-eastern AsiaRoots and Tubers,Total</v>
      </c>
      <c r="F202">
        <v>205869</v>
      </c>
      <c r="G202">
        <v>205015</v>
      </c>
      <c r="H202">
        <v>203326</v>
      </c>
      <c r="I202">
        <v>208015</v>
      </c>
      <c r="J202">
        <v>207829</v>
      </c>
      <c r="L202">
        <f t="shared" si="8"/>
        <v>20.60108</v>
      </c>
      <c r="BK202" s="58"/>
      <c r="BL202" s="58"/>
      <c r="BM202" s="58"/>
      <c r="BN202" s="58"/>
    </row>
    <row r="203" spans="1:66" x14ac:dyDescent="0.2">
      <c r="A203" t="str">
        <f t="shared" si="9"/>
        <v>South-eastern AsiaBarley</v>
      </c>
      <c r="B203" t="s">
        <v>1563</v>
      </c>
      <c r="C203" s="206" t="s">
        <v>1347</v>
      </c>
      <c r="D203" s="206" t="str">
        <f>VLOOKUP(B203, [2]list_region_country!$B$3:$D$20, 3, FALSE)</f>
        <v>South-eastern Asia</v>
      </c>
      <c r="E203" s="206" t="str">
        <f t="shared" si="10"/>
        <v>South-eastern AsiaBarley</v>
      </c>
      <c r="F203">
        <v>22910</v>
      </c>
      <c r="G203">
        <v>23184</v>
      </c>
      <c r="H203">
        <v>23223</v>
      </c>
      <c r="I203">
        <v>23434</v>
      </c>
      <c r="J203">
        <v>23645</v>
      </c>
      <c r="L203">
        <f t="shared" si="8"/>
        <v>2.3279200000000002</v>
      </c>
      <c r="BK203" s="58"/>
      <c r="BL203" s="58"/>
      <c r="BM203" s="58"/>
      <c r="BN203" s="58"/>
    </row>
    <row r="204" spans="1:66" x14ac:dyDescent="0.2">
      <c r="A204" t="str">
        <f t="shared" si="9"/>
        <v>South-eastern AsiaMaize</v>
      </c>
      <c r="B204" t="s">
        <v>1563</v>
      </c>
      <c r="C204" s="207" t="s">
        <v>491</v>
      </c>
      <c r="D204" s="206" t="str">
        <f>VLOOKUP(B204, [2]list_region_country!$B$3:$D$20, 3, FALSE)</f>
        <v>South-eastern Asia</v>
      </c>
      <c r="E204" s="206" t="str">
        <f t="shared" si="10"/>
        <v>South-eastern AsiaMaize</v>
      </c>
      <c r="F204">
        <v>44568</v>
      </c>
      <c r="G204">
        <v>45615</v>
      </c>
      <c r="H204">
        <v>46317</v>
      </c>
      <c r="I204">
        <v>45600</v>
      </c>
      <c r="J204">
        <v>46642</v>
      </c>
      <c r="L204">
        <f t="shared" si="8"/>
        <v>4.57484</v>
      </c>
      <c r="BK204" s="58"/>
      <c r="BL204" s="58"/>
      <c r="BM204" s="58"/>
      <c r="BN204" s="58"/>
    </row>
    <row r="205" spans="1:66" x14ac:dyDescent="0.2">
      <c r="A205" t="str">
        <f t="shared" si="9"/>
        <v>South-eastern AsiaOats</v>
      </c>
      <c r="B205" t="s">
        <v>1563</v>
      </c>
      <c r="C205" s="207" t="s">
        <v>1408</v>
      </c>
      <c r="D205" s="206" t="str">
        <f>VLOOKUP(B205, [2]list_region_country!$B$3:$D$20, 3, FALSE)</f>
        <v>South-eastern Asia</v>
      </c>
      <c r="E205" s="206" t="str">
        <f t="shared" si="10"/>
        <v>South-eastern AsiaOats</v>
      </c>
      <c r="F205">
        <v>0</v>
      </c>
      <c r="G205">
        <v>0</v>
      </c>
      <c r="H205">
        <v>0</v>
      </c>
      <c r="I205">
        <v>0</v>
      </c>
      <c r="J205">
        <v>0</v>
      </c>
      <c r="L205">
        <f t="shared" si="8"/>
        <v>0</v>
      </c>
      <c r="BK205" s="58"/>
      <c r="BL205" s="58"/>
      <c r="BM205" s="58"/>
      <c r="BN205" s="58"/>
    </row>
    <row r="206" spans="1:66" x14ac:dyDescent="0.2">
      <c r="A206" t="str">
        <f t="shared" si="9"/>
        <v>South-eastern AsiaPotatoes</v>
      </c>
      <c r="B206" t="s">
        <v>1563</v>
      </c>
      <c r="C206" s="207" t="s">
        <v>1410</v>
      </c>
      <c r="D206" s="206" t="str">
        <f>VLOOKUP(B206, [2]list_region_country!$B$3:$D$20, 3, FALSE)</f>
        <v>South-eastern Asia</v>
      </c>
      <c r="E206" s="206" t="str">
        <f t="shared" si="10"/>
        <v>South-eastern AsiaPotatoes</v>
      </c>
      <c r="F206">
        <v>165901</v>
      </c>
      <c r="G206">
        <v>152693</v>
      </c>
      <c r="H206">
        <v>169702</v>
      </c>
      <c r="I206">
        <v>173634</v>
      </c>
      <c r="J206">
        <v>175741</v>
      </c>
      <c r="L206">
        <f t="shared" si="8"/>
        <v>16.753420000000002</v>
      </c>
      <c r="BK206" s="58"/>
      <c r="BL206" s="58"/>
      <c r="BM206" s="58"/>
      <c r="BN206" s="58"/>
    </row>
    <row r="207" spans="1:66" x14ac:dyDescent="0.2">
      <c r="A207" t="str">
        <f t="shared" si="9"/>
        <v>South-eastern AsiaSoybeans</v>
      </c>
      <c r="B207" t="s">
        <v>1563</v>
      </c>
      <c r="C207" s="207" t="s">
        <v>1414</v>
      </c>
      <c r="D207" s="206" t="str">
        <f>VLOOKUP(B207, [2]list_region_country!$B$3:$D$20, 3, FALSE)</f>
        <v>South-eastern Asia</v>
      </c>
      <c r="E207" s="206" t="str">
        <f t="shared" si="10"/>
        <v>South-eastern AsiaSoybeans</v>
      </c>
      <c r="F207">
        <v>14405</v>
      </c>
      <c r="G207">
        <v>14435</v>
      </c>
      <c r="H207">
        <v>13317</v>
      </c>
      <c r="I207">
        <v>14293</v>
      </c>
      <c r="J207">
        <v>14651</v>
      </c>
      <c r="L207">
        <f t="shared" si="8"/>
        <v>1.4220200000000001</v>
      </c>
      <c r="BK207" s="58"/>
      <c r="BL207" s="58"/>
      <c r="BM207" s="58"/>
      <c r="BN207" s="58"/>
    </row>
    <row r="208" spans="1:66" x14ac:dyDescent="0.2">
      <c r="A208" t="str">
        <f t="shared" si="9"/>
        <v>South-eastern AsiaWheat</v>
      </c>
      <c r="B208" t="s">
        <v>1563</v>
      </c>
      <c r="C208" s="206" t="s">
        <v>1418</v>
      </c>
      <c r="D208" s="206" t="str">
        <f>VLOOKUP(B208, [2]list_region_country!$B$3:$D$20, 3, FALSE)</f>
        <v>South-eastern Asia</v>
      </c>
      <c r="E208" s="206" t="str">
        <f t="shared" si="10"/>
        <v>South-eastern AsiaWheat</v>
      </c>
      <c r="F208">
        <v>11837</v>
      </c>
      <c r="G208">
        <v>18682</v>
      </c>
      <c r="H208">
        <v>18581</v>
      </c>
      <c r="I208">
        <v>18649</v>
      </c>
      <c r="J208">
        <v>18627</v>
      </c>
      <c r="L208">
        <f t="shared" si="8"/>
        <v>1.7275200000000002</v>
      </c>
      <c r="BK208" s="58"/>
      <c r="BL208" s="58"/>
      <c r="BM208" s="58"/>
      <c r="BN208" s="58"/>
    </row>
    <row r="209" spans="1:66" x14ac:dyDescent="0.2">
      <c r="A209" t="str">
        <f t="shared" si="9"/>
        <v>South-eastern AsiaMillet</v>
      </c>
      <c r="B209" t="s">
        <v>1563</v>
      </c>
      <c r="C209" s="207" t="s">
        <v>530</v>
      </c>
      <c r="D209" s="206" t="str">
        <f>VLOOKUP(B209, [2]list_region_country!$B$3:$D$20, 3, FALSE)</f>
        <v>South-eastern Asia</v>
      </c>
      <c r="E209" s="206" t="str">
        <f t="shared" si="10"/>
        <v>South-eastern AsiaMillet</v>
      </c>
      <c r="F209">
        <v>10329</v>
      </c>
      <c r="G209">
        <v>9794</v>
      </c>
      <c r="H209">
        <v>9680</v>
      </c>
      <c r="I209">
        <v>9602</v>
      </c>
      <c r="J209">
        <v>9689</v>
      </c>
      <c r="L209">
        <f t="shared" si="8"/>
        <v>0.98187999999999998</v>
      </c>
      <c r="BK209" s="58"/>
      <c r="BL209" s="58"/>
      <c r="BM209" s="58"/>
      <c r="BN209" s="58"/>
    </row>
    <row r="210" spans="1:66" x14ac:dyDescent="0.2">
      <c r="A210" t="str">
        <f t="shared" si="9"/>
        <v>South-eastern AsiaSorghum</v>
      </c>
      <c r="B210" t="s">
        <v>1563</v>
      </c>
      <c r="C210" s="206" t="s">
        <v>548</v>
      </c>
      <c r="D210" s="206" t="str">
        <f>VLOOKUP(B210, [2]list_region_country!$B$3:$D$20, 3, FALSE)</f>
        <v>South-eastern Asia</v>
      </c>
      <c r="E210" s="206" t="str">
        <f t="shared" si="10"/>
        <v>South-eastern AsiaSorghum</v>
      </c>
      <c r="F210">
        <v>11054</v>
      </c>
      <c r="G210">
        <v>10497</v>
      </c>
      <c r="H210">
        <v>10577</v>
      </c>
      <c r="I210">
        <v>10594</v>
      </c>
      <c r="J210">
        <v>10833</v>
      </c>
      <c r="L210">
        <f t="shared" si="8"/>
        <v>1.0710999999999999</v>
      </c>
      <c r="BK210" s="58"/>
      <c r="BL210" s="58"/>
      <c r="BM210" s="58"/>
      <c r="BN210" s="58"/>
    </row>
    <row r="211" spans="1:66" x14ac:dyDescent="0.2">
      <c r="A211" t="str">
        <f t="shared" si="9"/>
        <v>South-eastern AsiaRice, paddy</v>
      </c>
      <c r="B211" t="s">
        <v>1563</v>
      </c>
      <c r="C211" s="4393" t="s">
        <v>1601</v>
      </c>
      <c r="D211" s="206" t="str">
        <f>VLOOKUP(B211, [2]list_region_country!$B$3:$D$20, 3, FALSE)</f>
        <v>South-eastern Asia</v>
      </c>
      <c r="E211" s="206" t="str">
        <f t="shared" si="10"/>
        <v>South-eastern AsiaRice, paddy</v>
      </c>
      <c r="F211">
        <v>42119</v>
      </c>
      <c r="G211">
        <v>42416</v>
      </c>
      <c r="H211">
        <v>43210</v>
      </c>
      <c r="I211">
        <v>42893</v>
      </c>
      <c r="J211">
        <v>42911</v>
      </c>
      <c r="L211">
        <f t="shared" ref="L211:L282" si="11">AVERAGE(F211:J211)/10000</f>
        <v>4.2709800000000007</v>
      </c>
      <c r="BK211" s="58"/>
      <c r="BL211" s="58"/>
      <c r="BM211" s="58"/>
      <c r="BN211" s="58"/>
    </row>
    <row r="212" spans="1:66" x14ac:dyDescent="0.2">
      <c r="A212" t="str">
        <f t="shared" si="9"/>
        <v>South-eastern AsiaRye</v>
      </c>
      <c r="B212" t="s">
        <v>1563</v>
      </c>
      <c r="C212" s="206" t="s">
        <v>1428</v>
      </c>
      <c r="D212" s="206" t="str">
        <f>VLOOKUP(B212, [2]list_region_country!$B$3:$D$20, 3, FALSE)</f>
        <v>South-eastern Asia</v>
      </c>
      <c r="E212" s="206" t="str">
        <f t="shared" si="10"/>
        <v>South-eastern AsiaRye</v>
      </c>
      <c r="F212">
        <v>0</v>
      </c>
      <c r="G212">
        <v>0</v>
      </c>
      <c r="H212">
        <v>0</v>
      </c>
      <c r="I212">
        <v>0</v>
      </c>
      <c r="J212">
        <v>0</v>
      </c>
      <c r="L212">
        <f t="shared" si="11"/>
        <v>0</v>
      </c>
      <c r="BK212" s="58"/>
      <c r="BL212" s="58"/>
      <c r="BM212" s="58"/>
      <c r="BN212" s="58"/>
    </row>
    <row r="213" spans="1:66" x14ac:dyDescent="0.2">
      <c r="A213" t="str">
        <f t="shared" si="9"/>
        <v>South-eastern AsiaGroundnuts, with shell</v>
      </c>
      <c r="B213" t="s">
        <v>1563</v>
      </c>
      <c r="C213" s="206" t="s">
        <v>1506</v>
      </c>
      <c r="D213" s="206" t="str">
        <f>VLOOKUP(B213, [2]list_region_country!$B$3:$D$20, 3, FALSE)</f>
        <v>South-eastern Asia</v>
      </c>
      <c r="E213" s="206" t="str">
        <f t="shared" si="10"/>
        <v>South-eastern AsiaGroundnuts, with shell</v>
      </c>
      <c r="F213">
        <v>18182</v>
      </c>
      <c r="G213">
        <v>17842</v>
      </c>
      <c r="H213">
        <v>18131</v>
      </c>
      <c r="I213">
        <v>17958</v>
      </c>
      <c r="J213">
        <v>17766</v>
      </c>
      <c r="L213">
        <f t="shared" si="11"/>
        <v>1.79758</v>
      </c>
      <c r="BK213" s="58"/>
      <c r="BL213" s="58"/>
      <c r="BM213" s="58"/>
      <c r="BN213" s="58"/>
    </row>
    <row r="214" spans="1:66" x14ac:dyDescent="0.2">
      <c r="A214" t="str">
        <f t="shared" si="9"/>
        <v>South-eastern AsiaBeans, dry</v>
      </c>
      <c r="B214" t="s">
        <v>1563</v>
      </c>
      <c r="C214" s="206" t="s">
        <v>1370</v>
      </c>
      <c r="D214" s="206" t="str">
        <f>VLOOKUP(B214, [2]list_region_country!$B$3:$D$20, 3, FALSE)</f>
        <v>South-eastern Asia</v>
      </c>
      <c r="E214" s="206" t="str">
        <f t="shared" si="10"/>
        <v>South-eastern AsiaBeans, dry</v>
      </c>
      <c r="F214">
        <v>9682</v>
      </c>
      <c r="G214">
        <v>9493</v>
      </c>
      <c r="H214">
        <v>9461</v>
      </c>
      <c r="I214">
        <v>9420</v>
      </c>
      <c r="J214">
        <v>9314</v>
      </c>
      <c r="L214">
        <f t="shared" si="11"/>
        <v>0.94740000000000002</v>
      </c>
      <c r="BK214" s="58"/>
      <c r="BL214" s="58"/>
      <c r="BM214" s="58"/>
      <c r="BN214" s="58"/>
    </row>
    <row r="215" spans="1:66" x14ac:dyDescent="0.2">
      <c r="A215" t="str">
        <f t="shared" si="9"/>
        <v>South-eastern AsiaVegetables</v>
      </c>
      <c r="B215" t="s">
        <v>1563</v>
      </c>
      <c r="C215" s="4394" t="s">
        <v>3717</v>
      </c>
      <c r="D215" s="206" t="str">
        <f>VLOOKUP(B215, [2]list_region_country!$B$3:$D$20, 3, FALSE)</f>
        <v>South-eastern Asia</v>
      </c>
      <c r="E215" s="206" t="str">
        <f t="shared" si="10"/>
        <v>South-eastern AsiaVegetables</v>
      </c>
      <c r="F215">
        <v>112674</v>
      </c>
      <c r="G215">
        <v>111149</v>
      </c>
      <c r="H215">
        <v>113021</v>
      </c>
      <c r="I215">
        <v>115952</v>
      </c>
      <c r="J215">
        <v>116995</v>
      </c>
      <c r="L215">
        <f t="shared" si="11"/>
        <v>11.395820000000001</v>
      </c>
      <c r="BK215" s="58"/>
      <c r="BL215" s="58"/>
      <c r="BM215" s="58"/>
      <c r="BN215" s="58"/>
    </row>
    <row r="216" spans="1:66" x14ac:dyDescent="0.2">
      <c r="A216" t="str">
        <f t="shared" si="9"/>
        <v>South-eastern AsiaOilseeds</v>
      </c>
      <c r="B216" t="s">
        <v>1563</v>
      </c>
      <c r="C216" s="4394" t="s">
        <v>3713</v>
      </c>
      <c r="D216" s="206" t="str">
        <f>VLOOKUP(B216, [2]list_region_country!$B$3:$D$20, 3, FALSE)</f>
        <v>South-eastern Asia</v>
      </c>
      <c r="E216" s="206" t="str">
        <f t="shared" si="10"/>
        <v>South-eastern AsiaOilseeds</v>
      </c>
      <c r="F216">
        <v>12612.2</v>
      </c>
      <c r="G216">
        <v>12165</v>
      </c>
      <c r="H216">
        <v>11631.2</v>
      </c>
      <c r="I216">
        <v>11554.6</v>
      </c>
      <c r="J216">
        <v>11653.8</v>
      </c>
      <c r="L216">
        <f t="shared" si="11"/>
        <v>1.1923360000000001</v>
      </c>
      <c r="BK216" s="58"/>
      <c r="BL216" s="58"/>
      <c r="BM216" s="58"/>
      <c r="BN216" s="58"/>
    </row>
    <row r="217" spans="1:66" s="480" customFormat="1" x14ac:dyDescent="0.2">
      <c r="A217" s="480" t="str">
        <f>CONCATENATE(B217,C217)</f>
        <v>South-eastern AsiaDefault</v>
      </c>
      <c r="B217" s="480" t="s">
        <v>1563</v>
      </c>
      <c r="C217" s="4394" t="str">
        <f>C199</f>
        <v>Default</v>
      </c>
      <c r="D217" s="483" t="str">
        <f>VLOOKUP(B217, [2]list_region_country!$B$3:$D$20, 3, FALSE)</f>
        <v>South-eastern Asia</v>
      </c>
      <c r="E217" s="483" t="str">
        <f>CONCATENATE(D217,C217)</f>
        <v>South-eastern AsiaDefault</v>
      </c>
      <c r="L217" s="480">
        <f>AVERAGEIF(L200:L216,"&gt;0")</f>
        <v>4.9545770666666673</v>
      </c>
      <c r="BK217" s="4397"/>
      <c r="BL217" s="4397"/>
      <c r="BM217" s="4397"/>
      <c r="BN217" s="4397"/>
    </row>
    <row r="218" spans="1:66" x14ac:dyDescent="0.2">
      <c r="A218" t="str">
        <f t="shared" si="9"/>
        <v>Southern AfricaCereals,Total</v>
      </c>
      <c r="B218" t="s">
        <v>1565</v>
      </c>
      <c r="C218" s="206" t="s">
        <v>676</v>
      </c>
      <c r="D218" s="206" t="str">
        <f>VLOOKUP(B218, [2]list_region_country!$B$3:$D$20, 3, FALSE)</f>
        <v>Southern Africa</v>
      </c>
      <c r="E218" s="206" t="str">
        <f t="shared" si="10"/>
        <v>Southern AfricaCereals,Total</v>
      </c>
      <c r="F218">
        <v>33086</v>
      </c>
      <c r="G218">
        <v>48404</v>
      </c>
      <c r="H218">
        <v>40780</v>
      </c>
      <c r="I218">
        <v>39805</v>
      </c>
      <c r="J218">
        <v>44072</v>
      </c>
      <c r="L218">
        <f t="shared" si="11"/>
        <v>4.1229399999999998</v>
      </c>
      <c r="BK218" s="58"/>
      <c r="BL218" s="58"/>
      <c r="BM218" s="58"/>
      <c r="BN218" s="58"/>
    </row>
    <row r="219" spans="1:66" x14ac:dyDescent="0.2">
      <c r="A219" t="str">
        <f t="shared" si="9"/>
        <v>Southern AfricaPulses,Total</v>
      </c>
      <c r="B219" t="s">
        <v>1565</v>
      </c>
      <c r="C219" s="207" t="s">
        <v>1593</v>
      </c>
      <c r="D219" s="206" t="str">
        <f>VLOOKUP(B219, [2]list_region_country!$B$3:$D$20, 3, FALSE)</f>
        <v>Southern Africa</v>
      </c>
      <c r="E219" s="206" t="str">
        <f t="shared" si="10"/>
        <v>Southern AfricaPulses,Total</v>
      </c>
      <c r="F219">
        <v>7858</v>
      </c>
      <c r="G219">
        <v>9142</v>
      </c>
      <c r="H219">
        <v>7819</v>
      </c>
      <c r="I219">
        <v>8871</v>
      </c>
      <c r="J219">
        <v>8711</v>
      </c>
      <c r="L219">
        <f t="shared" si="11"/>
        <v>0.84802000000000011</v>
      </c>
      <c r="BK219" s="58"/>
      <c r="BL219" s="58"/>
      <c r="BM219" s="58"/>
      <c r="BN219" s="58"/>
    </row>
    <row r="220" spans="1:66" x14ac:dyDescent="0.2">
      <c r="A220" t="str">
        <f t="shared" si="9"/>
        <v>Southern AfricaRoots and Tubers,Total</v>
      </c>
      <c r="B220" t="s">
        <v>1565</v>
      </c>
      <c r="C220" s="207" t="s">
        <v>1603</v>
      </c>
      <c r="D220" s="206" t="str">
        <f>VLOOKUP(B220, [2]list_region_country!$B$3:$D$20, 3, FALSE)</f>
        <v>Southern Africa</v>
      </c>
      <c r="E220" s="206" t="str">
        <f t="shared" si="10"/>
        <v>Southern AfricaRoots and Tubers,Total</v>
      </c>
      <c r="F220">
        <v>188022</v>
      </c>
      <c r="G220">
        <v>193985</v>
      </c>
      <c r="H220">
        <v>190150</v>
      </c>
      <c r="I220">
        <v>189404</v>
      </c>
      <c r="J220">
        <v>192475</v>
      </c>
      <c r="L220">
        <f t="shared" si="11"/>
        <v>19.080719999999999</v>
      </c>
      <c r="BK220" s="58"/>
      <c r="BL220" s="58"/>
      <c r="BM220" s="58"/>
      <c r="BN220" s="58"/>
    </row>
    <row r="221" spans="1:66" x14ac:dyDescent="0.2">
      <c r="A221" t="str">
        <f t="shared" si="9"/>
        <v>Southern AfricaBarley</v>
      </c>
      <c r="B221" t="s">
        <v>1565</v>
      </c>
      <c r="C221" s="206" t="s">
        <v>1347</v>
      </c>
      <c r="D221" s="206" t="str">
        <f>VLOOKUP(B221, [2]list_region_country!$B$3:$D$20, 3, FALSE)</f>
        <v>Southern Africa</v>
      </c>
      <c r="E221" s="206" t="str">
        <f t="shared" si="10"/>
        <v>Southern AfricaBarley</v>
      </c>
      <c r="F221">
        <v>39288</v>
      </c>
      <c r="G221">
        <v>33008</v>
      </c>
      <c r="H221">
        <v>34942</v>
      </c>
      <c r="I221">
        <v>25833</v>
      </c>
      <c r="J221">
        <v>41149</v>
      </c>
      <c r="L221">
        <f t="shared" si="11"/>
        <v>3.4843999999999999</v>
      </c>
      <c r="BK221" s="58"/>
      <c r="BL221" s="58"/>
      <c r="BM221" s="58"/>
      <c r="BN221" s="58"/>
    </row>
    <row r="222" spans="1:66" x14ac:dyDescent="0.2">
      <c r="A222" t="str">
        <f t="shared" si="9"/>
        <v>Southern AfricaMaize</v>
      </c>
      <c r="B222" t="s">
        <v>1565</v>
      </c>
      <c r="C222" s="207" t="s">
        <v>491</v>
      </c>
      <c r="D222" s="206" t="str">
        <f>VLOOKUP(B222, [2]list_region_country!$B$3:$D$20, 3, FALSE)</f>
        <v>Southern Africa</v>
      </c>
      <c r="E222" s="206" t="str">
        <f t="shared" si="10"/>
        <v>Southern AfricaMaize</v>
      </c>
      <c r="F222">
        <v>37616</v>
      </c>
      <c r="G222">
        <v>58307</v>
      </c>
      <c r="H222">
        <v>48614</v>
      </c>
      <c r="I222">
        <v>46192</v>
      </c>
      <c r="J222">
        <v>53978</v>
      </c>
      <c r="L222">
        <f t="shared" si="11"/>
        <v>4.8941400000000002</v>
      </c>
      <c r="BK222" s="58"/>
      <c r="BL222" s="58"/>
      <c r="BM222" s="58"/>
      <c r="BN222" s="58"/>
    </row>
    <row r="223" spans="1:66" x14ac:dyDescent="0.2">
      <c r="A223" t="str">
        <f t="shared" si="9"/>
        <v>Southern AfricaOats</v>
      </c>
      <c r="B223" t="s">
        <v>1565</v>
      </c>
      <c r="C223" s="207" t="s">
        <v>1408</v>
      </c>
      <c r="D223" s="206" t="str">
        <f>VLOOKUP(B223, [2]list_region_country!$B$3:$D$20, 3, FALSE)</f>
        <v>Southern Africa</v>
      </c>
      <c r="E223" s="206" t="str">
        <f t="shared" si="10"/>
        <v>Southern AfricaOats</v>
      </c>
      <c r="F223">
        <v>16276</v>
      </c>
      <c r="G223">
        <v>16485</v>
      </c>
      <c r="H223">
        <v>16980</v>
      </c>
      <c r="I223">
        <v>7931</v>
      </c>
      <c r="J223">
        <v>21382</v>
      </c>
      <c r="L223">
        <f t="shared" si="11"/>
        <v>1.5810799999999998</v>
      </c>
      <c r="BK223" s="58"/>
      <c r="BL223" s="58"/>
      <c r="BM223" s="58"/>
      <c r="BN223" s="58"/>
    </row>
    <row r="224" spans="1:66" x14ac:dyDescent="0.2">
      <c r="A224" t="str">
        <f t="shared" si="9"/>
        <v>Southern AfricaPotatoes</v>
      </c>
      <c r="B224" t="s">
        <v>1565</v>
      </c>
      <c r="C224" s="207" t="s">
        <v>1410</v>
      </c>
      <c r="D224" s="206" t="str">
        <f>VLOOKUP(B224, [2]list_region_country!$B$3:$D$20, 3, FALSE)</f>
        <v>Southern Africa</v>
      </c>
      <c r="E224" s="206" t="str">
        <f t="shared" si="10"/>
        <v>Southern AfricaPotatoes</v>
      </c>
      <c r="F224">
        <v>319974</v>
      </c>
      <c r="G224">
        <v>324908</v>
      </c>
      <c r="H224">
        <v>327183</v>
      </c>
      <c r="I224">
        <v>328333</v>
      </c>
      <c r="J224">
        <v>329316</v>
      </c>
      <c r="L224">
        <f t="shared" si="11"/>
        <v>32.594279999999998</v>
      </c>
      <c r="BK224" s="58"/>
      <c r="BL224" s="58"/>
      <c r="BM224" s="58"/>
      <c r="BN224" s="58"/>
    </row>
    <row r="225" spans="1:66" x14ac:dyDescent="0.2">
      <c r="A225" t="str">
        <f t="shared" si="9"/>
        <v>Southern AfricaSoybeans</v>
      </c>
      <c r="B225" t="s">
        <v>1565</v>
      </c>
      <c r="C225" s="207" t="s">
        <v>1414</v>
      </c>
      <c r="D225" s="206" t="str">
        <f>VLOOKUP(B225, [2]list_region_country!$B$3:$D$20, 3, FALSE)</f>
        <v>Southern Africa</v>
      </c>
      <c r="E225" s="206" t="str">
        <f t="shared" si="10"/>
        <v>Southern AfricaSoybeans</v>
      </c>
      <c r="F225">
        <v>14757</v>
      </c>
      <c r="G225">
        <v>22929</v>
      </c>
      <c r="H225">
        <v>19563</v>
      </c>
      <c r="I225">
        <v>16021</v>
      </c>
      <c r="J225">
        <v>17667</v>
      </c>
      <c r="L225">
        <f t="shared" si="11"/>
        <v>1.8187400000000002</v>
      </c>
      <c r="BK225" s="58"/>
      <c r="BL225" s="58"/>
      <c r="BM225" s="58"/>
      <c r="BN225" s="58"/>
    </row>
    <row r="226" spans="1:66" x14ac:dyDescent="0.2">
      <c r="A226" t="str">
        <f t="shared" si="9"/>
        <v>Southern AfricaWheat</v>
      </c>
      <c r="B226" t="s">
        <v>1565</v>
      </c>
      <c r="C226" s="206" t="s">
        <v>1418</v>
      </c>
      <c r="D226" s="206" t="str">
        <f>VLOOKUP(B226, [2]list_region_country!$B$3:$D$20, 3, FALSE)</f>
        <v>Southern Africa</v>
      </c>
      <c r="E226" s="206" t="str">
        <f t="shared" si="10"/>
        <v>Southern AfricaWheat</v>
      </c>
      <c r="F226">
        <v>37115</v>
      </c>
      <c r="G226">
        <v>31015</v>
      </c>
      <c r="H226">
        <v>36690</v>
      </c>
      <c r="I226">
        <v>28308</v>
      </c>
      <c r="J226">
        <v>40904</v>
      </c>
      <c r="L226">
        <f t="shared" si="11"/>
        <v>3.4806400000000002</v>
      </c>
      <c r="BK226" s="58"/>
      <c r="BL226" s="58"/>
      <c r="BM226" s="58"/>
      <c r="BN226" s="58"/>
    </row>
    <row r="227" spans="1:66" x14ac:dyDescent="0.2">
      <c r="A227" t="str">
        <f t="shared" si="9"/>
        <v>Southern AfricaMillet</v>
      </c>
      <c r="B227" t="s">
        <v>1565</v>
      </c>
      <c r="C227" s="207" t="s">
        <v>530</v>
      </c>
      <c r="D227" s="206" t="str">
        <f>VLOOKUP(B227, [2]list_region_country!$B$3:$D$20, 3, FALSE)</f>
        <v>Southern Africa</v>
      </c>
      <c r="E227" s="206" t="str">
        <f t="shared" si="10"/>
        <v>Southern AfricaMillet</v>
      </c>
      <c r="F227">
        <v>1064</v>
      </c>
      <c r="G227">
        <v>2292</v>
      </c>
      <c r="H227">
        <v>3295</v>
      </c>
      <c r="I227">
        <v>2627</v>
      </c>
      <c r="J227">
        <v>2114</v>
      </c>
      <c r="L227">
        <f t="shared" si="11"/>
        <v>0.22784000000000001</v>
      </c>
      <c r="BK227" s="58"/>
      <c r="BL227" s="58"/>
      <c r="BM227" s="58"/>
      <c r="BN227" s="58"/>
    </row>
    <row r="228" spans="1:66" x14ac:dyDescent="0.2">
      <c r="A228" t="str">
        <f t="shared" si="9"/>
        <v>Southern AfricaSorghum</v>
      </c>
      <c r="B228" t="s">
        <v>1565</v>
      </c>
      <c r="C228" s="206" t="s">
        <v>548</v>
      </c>
      <c r="D228" s="206" t="str">
        <f>VLOOKUP(B228, [2]list_region_country!$B$3:$D$20, 3, FALSE)</f>
        <v>Southern Africa</v>
      </c>
      <c r="E228" s="206" t="str">
        <f t="shared" si="10"/>
        <v>Southern AfricaSorghum</v>
      </c>
      <c r="F228">
        <v>9548</v>
      </c>
      <c r="G228">
        <v>15321</v>
      </c>
      <c r="H228">
        <v>10832</v>
      </c>
      <c r="I228">
        <v>17323</v>
      </c>
      <c r="J228">
        <v>20322</v>
      </c>
      <c r="L228">
        <f t="shared" si="11"/>
        <v>1.46692</v>
      </c>
      <c r="BK228" s="58"/>
      <c r="BL228" s="58"/>
      <c r="BM228" s="58"/>
      <c r="BN228" s="58"/>
    </row>
    <row r="229" spans="1:66" x14ac:dyDescent="0.2">
      <c r="A229" t="str">
        <f t="shared" si="9"/>
        <v>Southern AfricaRice, paddy</v>
      </c>
      <c r="B229" t="s">
        <v>1565</v>
      </c>
      <c r="C229" s="4393" t="s">
        <v>1601</v>
      </c>
      <c r="D229" s="206" t="str">
        <f>VLOOKUP(B229, [2]list_region_country!$B$3:$D$20, 3, FALSE)</f>
        <v>Southern Africa</v>
      </c>
      <c r="E229" s="206" t="str">
        <f t="shared" si="10"/>
        <v>Southern AfricaRice, paddy</v>
      </c>
      <c r="F229">
        <v>28412</v>
      </c>
      <c r="G229">
        <v>28585</v>
      </c>
      <c r="H229">
        <v>28914</v>
      </c>
      <c r="I229">
        <v>29066</v>
      </c>
      <c r="J229">
        <v>29177</v>
      </c>
      <c r="L229">
        <f t="shared" si="11"/>
        <v>2.8830800000000001</v>
      </c>
      <c r="BK229" s="58"/>
      <c r="BL229" s="58"/>
      <c r="BM229" s="58"/>
      <c r="BN229" s="58"/>
    </row>
    <row r="230" spans="1:66" x14ac:dyDescent="0.2">
      <c r="A230" t="str">
        <f t="shared" si="9"/>
        <v>Southern AfricaRye</v>
      </c>
      <c r="B230" t="s">
        <v>1565</v>
      </c>
      <c r="C230" s="206" t="s">
        <v>1428</v>
      </c>
      <c r="D230" s="206" t="str">
        <f>VLOOKUP(B230, [2]list_region_country!$B$3:$D$20, 3, FALSE)</f>
        <v>Southern Africa</v>
      </c>
      <c r="E230" s="206" t="str">
        <f t="shared" si="10"/>
        <v>Southern AfricaRye</v>
      </c>
      <c r="F230">
        <v>10971</v>
      </c>
      <c r="G230">
        <v>11199</v>
      </c>
      <c r="H230">
        <v>11286</v>
      </c>
      <c r="I230">
        <v>11150</v>
      </c>
      <c r="J230">
        <v>11207</v>
      </c>
      <c r="L230">
        <f t="shared" si="11"/>
        <v>1.11626</v>
      </c>
      <c r="BK230" s="58"/>
      <c r="BL230" s="58"/>
      <c r="BM230" s="58"/>
      <c r="BN230" s="58"/>
    </row>
    <row r="231" spans="1:66" x14ac:dyDescent="0.2">
      <c r="A231" t="str">
        <f t="shared" si="9"/>
        <v>Southern AfricaGroundnuts, with shell</v>
      </c>
      <c r="B231" t="s">
        <v>1565</v>
      </c>
      <c r="C231" s="206" t="s">
        <v>1506</v>
      </c>
      <c r="D231" s="206" t="str">
        <f>VLOOKUP(B231, [2]list_region_country!$B$3:$D$20, 3, FALSE)</f>
        <v>Southern Africa</v>
      </c>
      <c r="E231" s="206" t="str">
        <f t="shared" si="10"/>
        <v>Southern AfricaGroundnuts, with shell</v>
      </c>
      <c r="F231">
        <v>6955</v>
      </c>
      <c r="G231">
        <v>15035</v>
      </c>
      <c r="H231">
        <v>9346</v>
      </c>
      <c r="I231">
        <v>8287</v>
      </c>
      <c r="J231">
        <v>11869</v>
      </c>
      <c r="L231">
        <f t="shared" si="11"/>
        <v>1.0298399999999999</v>
      </c>
      <c r="BK231" s="58"/>
      <c r="BL231" s="58"/>
      <c r="BM231" s="58"/>
      <c r="BN231" s="58"/>
    </row>
    <row r="232" spans="1:66" x14ac:dyDescent="0.2">
      <c r="A232" t="str">
        <f t="shared" si="9"/>
        <v>Southern AfricaBeans, dry</v>
      </c>
      <c r="B232" t="s">
        <v>1565</v>
      </c>
      <c r="C232" s="206" t="s">
        <v>1370</v>
      </c>
      <c r="D232" s="206" t="str">
        <f>VLOOKUP(B232, [2]list_region_country!$B$3:$D$20, 3, FALSE)</f>
        <v>Southern Africa</v>
      </c>
      <c r="E232" s="206" t="str">
        <f t="shared" si="10"/>
        <v>Southern AfricaBeans, dry</v>
      </c>
      <c r="F232">
        <v>9602</v>
      </c>
      <c r="G232">
        <v>11191</v>
      </c>
      <c r="H232">
        <v>9889</v>
      </c>
      <c r="I232">
        <v>10769</v>
      </c>
      <c r="J232">
        <v>11560</v>
      </c>
      <c r="L232">
        <f t="shared" si="11"/>
        <v>1.0602200000000002</v>
      </c>
      <c r="BK232" s="58"/>
      <c r="BL232" s="58"/>
      <c r="BM232" s="58"/>
      <c r="BN232" s="58"/>
    </row>
    <row r="233" spans="1:66" x14ac:dyDescent="0.2">
      <c r="A233" t="str">
        <f t="shared" si="9"/>
        <v>Southern AfricaVegetables</v>
      </c>
      <c r="B233" t="s">
        <v>1565</v>
      </c>
      <c r="C233" s="4394" t="s">
        <v>3717</v>
      </c>
      <c r="D233" s="206" t="str">
        <f>VLOOKUP(B233, [2]list_region_country!$B$3:$D$20, 3, FALSE)</f>
        <v>Southern Africa</v>
      </c>
      <c r="E233" s="206" t="str">
        <f t="shared" si="10"/>
        <v>Southern AfricaVegetables</v>
      </c>
      <c r="F233">
        <v>181392</v>
      </c>
      <c r="G233">
        <v>182255</v>
      </c>
      <c r="H233">
        <v>177241</v>
      </c>
      <c r="I233">
        <v>178239</v>
      </c>
      <c r="J233">
        <v>180073</v>
      </c>
      <c r="L233">
        <f t="shared" si="11"/>
        <v>17.984000000000002</v>
      </c>
      <c r="BK233" s="58"/>
      <c r="BL233" s="58"/>
      <c r="BM233" s="58"/>
      <c r="BN233" s="58"/>
    </row>
    <row r="234" spans="1:66" x14ac:dyDescent="0.2">
      <c r="A234" t="str">
        <f t="shared" si="9"/>
        <v>Southern AfricaOilseeds</v>
      </c>
      <c r="B234" t="s">
        <v>1565</v>
      </c>
      <c r="C234" s="4394" t="s">
        <v>3713</v>
      </c>
      <c r="D234" s="206" t="str">
        <f>VLOOKUP(B234, [2]list_region_country!$B$3:$D$20, 3, FALSE)</f>
        <v>Southern Africa</v>
      </c>
      <c r="E234" s="206" t="str">
        <f t="shared" si="10"/>
        <v>Southern AfricaOilseeds</v>
      </c>
      <c r="F234">
        <v>15490</v>
      </c>
      <c r="G234">
        <v>15331.25</v>
      </c>
      <c r="H234">
        <v>15831.25</v>
      </c>
      <c r="I234">
        <v>15689</v>
      </c>
      <c r="J234">
        <v>19147.75</v>
      </c>
      <c r="L234">
        <f t="shared" si="11"/>
        <v>1.629785</v>
      </c>
      <c r="BK234" s="58"/>
      <c r="BL234" s="58"/>
      <c r="BM234" s="58"/>
      <c r="BN234" s="58"/>
    </row>
    <row r="235" spans="1:66" s="480" customFormat="1" x14ac:dyDescent="0.2">
      <c r="A235" s="480" t="str">
        <f>CONCATENATE(B235,C235)</f>
        <v>Southern AfricaDefault</v>
      </c>
      <c r="B235" s="480" t="s">
        <v>1565</v>
      </c>
      <c r="C235" s="4394" t="str">
        <f>C217</f>
        <v>Default</v>
      </c>
      <c r="D235" s="483" t="str">
        <f>VLOOKUP(B235, [2]list_region_country!$B$3:$D$20, 3, FALSE)</f>
        <v>Southern Africa</v>
      </c>
      <c r="E235" s="483" t="str">
        <f>CONCATENATE(D235,C235)</f>
        <v>Southern AfricaDefault</v>
      </c>
      <c r="L235" s="480">
        <f>AVERAGEIF(L218:L234,"&gt;0")</f>
        <v>5.8413473529411775</v>
      </c>
      <c r="BK235" s="4397"/>
      <c r="BL235" s="4397"/>
      <c r="BM235" s="4397"/>
      <c r="BN235" s="4397"/>
    </row>
    <row r="236" spans="1:66" x14ac:dyDescent="0.2">
      <c r="A236" t="str">
        <f t="shared" si="9"/>
        <v>Southern AsiaCereals,Total</v>
      </c>
      <c r="B236" t="s">
        <v>1567</v>
      </c>
      <c r="C236" s="206" t="s">
        <v>676</v>
      </c>
      <c r="D236" s="206" t="str">
        <f>VLOOKUP(B236, [2]list_region_country!$B$3:$D$20, 3, FALSE)</f>
        <v>Southern Asia</v>
      </c>
      <c r="E236" s="206" t="str">
        <f t="shared" si="10"/>
        <v>Southern AsiaCereals,Total</v>
      </c>
      <c r="F236">
        <v>30990</v>
      </c>
      <c r="G236">
        <v>31731</v>
      </c>
      <c r="H236">
        <v>32732</v>
      </c>
      <c r="I236">
        <v>33524</v>
      </c>
      <c r="J236">
        <v>32950</v>
      </c>
      <c r="L236">
        <f t="shared" si="11"/>
        <v>3.23854</v>
      </c>
      <c r="BK236" s="58"/>
      <c r="BL236" s="58"/>
      <c r="BM236" s="58"/>
      <c r="BN236" s="58"/>
    </row>
    <row r="237" spans="1:66" x14ac:dyDescent="0.2">
      <c r="A237" t="str">
        <f t="shared" si="9"/>
        <v>Southern AsiaPulses,Total</v>
      </c>
      <c r="B237" t="s">
        <v>1567</v>
      </c>
      <c r="C237" s="207" t="s">
        <v>1593</v>
      </c>
      <c r="D237" s="206" t="str">
        <f>VLOOKUP(B237, [2]list_region_country!$B$3:$D$20, 3, FALSE)</f>
        <v>Southern Asia</v>
      </c>
      <c r="E237" s="206" t="str">
        <f t="shared" si="10"/>
        <v>Southern AsiaPulses,Total</v>
      </c>
      <c r="F237">
        <v>5981</v>
      </c>
      <c r="G237">
        <v>6809</v>
      </c>
      <c r="H237">
        <v>7325</v>
      </c>
      <c r="I237">
        <v>6983</v>
      </c>
      <c r="J237">
        <v>7085</v>
      </c>
      <c r="L237">
        <f t="shared" si="11"/>
        <v>0.68366000000000005</v>
      </c>
      <c r="BK237" s="58"/>
      <c r="BL237" s="58"/>
      <c r="BM237" s="58"/>
      <c r="BN237" s="58"/>
    </row>
    <row r="238" spans="1:66" x14ac:dyDescent="0.2">
      <c r="A238" t="str">
        <f t="shared" si="9"/>
        <v>Southern AsiaRoots and Tubers,Total</v>
      </c>
      <c r="B238" t="s">
        <v>1567</v>
      </c>
      <c r="C238" s="207" t="s">
        <v>1603</v>
      </c>
      <c r="D238" s="206" t="str">
        <f>VLOOKUP(B238, [2]list_region_country!$B$3:$D$20, 3, FALSE)</f>
        <v>Southern Asia</v>
      </c>
      <c r="E238" s="206" t="str">
        <f t="shared" si="10"/>
        <v>Southern AsiaRoots and Tubers,Total</v>
      </c>
      <c r="F238">
        <v>199816</v>
      </c>
      <c r="G238">
        <v>210606</v>
      </c>
      <c r="H238">
        <v>226052</v>
      </c>
      <c r="I238">
        <v>222742</v>
      </c>
      <c r="J238">
        <v>228012</v>
      </c>
      <c r="L238">
        <f t="shared" si="11"/>
        <v>21.74456</v>
      </c>
      <c r="BK238" s="58"/>
      <c r="BL238" s="58"/>
      <c r="BM238" s="58"/>
      <c r="BN238" s="58"/>
    </row>
    <row r="239" spans="1:66" x14ac:dyDescent="0.2">
      <c r="A239" t="str">
        <f t="shared" si="9"/>
        <v>Southern AsiaBarley</v>
      </c>
      <c r="B239" t="s">
        <v>1567</v>
      </c>
      <c r="C239" s="206" t="s">
        <v>1347</v>
      </c>
      <c r="D239" s="206" t="str">
        <f>VLOOKUP(B239, [2]list_region_country!$B$3:$D$20, 3, FALSE)</f>
        <v>Southern Asia</v>
      </c>
      <c r="E239" s="206" t="str">
        <f t="shared" si="10"/>
        <v>Southern AsiaBarley</v>
      </c>
      <c r="F239">
        <v>20872</v>
      </c>
      <c r="G239">
        <v>18140</v>
      </c>
      <c r="H239">
        <v>17914</v>
      </c>
      <c r="I239">
        <v>19046</v>
      </c>
      <c r="J239">
        <v>19457</v>
      </c>
      <c r="L239">
        <f t="shared" si="11"/>
        <v>1.9085799999999999</v>
      </c>
      <c r="BK239" s="58"/>
      <c r="BL239" s="58"/>
      <c r="BM239" s="58"/>
      <c r="BN239" s="58"/>
    </row>
    <row r="240" spans="1:66" x14ac:dyDescent="0.2">
      <c r="A240" t="str">
        <f t="shared" si="9"/>
        <v>Southern AsiaMaize</v>
      </c>
      <c r="B240" t="s">
        <v>1567</v>
      </c>
      <c r="C240" s="207" t="s">
        <v>491</v>
      </c>
      <c r="D240" s="206" t="str">
        <f>VLOOKUP(B240, [2]list_region_country!$B$3:$D$20, 3, FALSE)</f>
        <v>Southern Asia</v>
      </c>
      <c r="E240" s="206" t="str">
        <f t="shared" si="10"/>
        <v>Southern AsiaMaize</v>
      </c>
      <c r="F240">
        <v>29916</v>
      </c>
      <c r="G240">
        <v>30649</v>
      </c>
      <c r="H240">
        <v>34393</v>
      </c>
      <c r="I240">
        <v>35826</v>
      </c>
      <c r="J240">
        <v>36130</v>
      </c>
      <c r="L240">
        <f t="shared" si="11"/>
        <v>3.3382800000000001</v>
      </c>
      <c r="BK240" s="58"/>
      <c r="BL240" s="58"/>
      <c r="BM240" s="58"/>
      <c r="BN240" s="58"/>
    </row>
    <row r="241" spans="1:66" x14ac:dyDescent="0.2">
      <c r="A241" t="str">
        <f t="shared" si="9"/>
        <v>Southern AsiaOats</v>
      </c>
      <c r="B241" t="s">
        <v>1567</v>
      </c>
      <c r="C241" s="207" t="s">
        <v>1408</v>
      </c>
      <c r="D241" s="206" t="str">
        <f>VLOOKUP(B241, [2]list_region_country!$B$3:$D$20, 3, FALSE)</f>
        <v>Southern Asia</v>
      </c>
      <c r="E241" s="206" t="str">
        <f t="shared" si="10"/>
        <v>Southern AsiaOats</v>
      </c>
      <c r="F241">
        <v>0</v>
      </c>
      <c r="G241">
        <v>0</v>
      </c>
      <c r="H241">
        <v>0</v>
      </c>
      <c r="I241">
        <v>0</v>
      </c>
      <c r="J241">
        <v>0</v>
      </c>
      <c r="L241">
        <f t="shared" si="11"/>
        <v>0</v>
      </c>
      <c r="BK241" s="58"/>
      <c r="BL241" s="58"/>
      <c r="BM241" s="58"/>
      <c r="BN241" s="58"/>
    </row>
    <row r="242" spans="1:66" x14ac:dyDescent="0.2">
      <c r="A242" t="str">
        <f t="shared" si="9"/>
        <v>Southern AsiaPotatoes</v>
      </c>
      <c r="B242" t="s">
        <v>1567</v>
      </c>
      <c r="C242" s="207" t="s">
        <v>1410</v>
      </c>
      <c r="D242" s="206" t="str">
        <f>VLOOKUP(B242, [2]list_region_country!$B$3:$D$20, 3, FALSE)</f>
        <v>Southern Asia</v>
      </c>
      <c r="E242" s="206" t="str">
        <f t="shared" si="10"/>
        <v>Southern AsiaPotatoes</v>
      </c>
      <c r="F242">
        <v>205436</v>
      </c>
      <c r="G242">
        <v>217999</v>
      </c>
      <c r="H242">
        <v>231402</v>
      </c>
      <c r="I242">
        <v>226325</v>
      </c>
      <c r="J242">
        <v>232426</v>
      </c>
      <c r="L242">
        <f t="shared" si="11"/>
        <v>22.27176</v>
      </c>
      <c r="BK242" s="58"/>
      <c r="BL242" s="58"/>
      <c r="BM242" s="58"/>
      <c r="BN242" s="58"/>
    </row>
    <row r="243" spans="1:66" x14ac:dyDescent="0.2">
      <c r="A243" t="str">
        <f t="shared" si="9"/>
        <v>Southern AsiaSoybeans</v>
      </c>
      <c r="B243" t="s">
        <v>1567</v>
      </c>
      <c r="C243" s="207" t="s">
        <v>1414</v>
      </c>
      <c r="D243" s="206" t="str">
        <f>VLOOKUP(B243, [2]list_region_country!$B$3:$D$20, 3, FALSE)</f>
        <v>Southern Asia</v>
      </c>
      <c r="E243" s="206" t="str">
        <f t="shared" si="10"/>
        <v>Southern AsiaSoybeans</v>
      </c>
      <c r="F243">
        <v>11871</v>
      </c>
      <c r="G243">
        <v>11849</v>
      </c>
      <c r="H243">
        <v>10697</v>
      </c>
      <c r="I243">
        <v>12018</v>
      </c>
      <c r="J243">
        <v>9398</v>
      </c>
      <c r="L243">
        <f t="shared" si="11"/>
        <v>1.11666</v>
      </c>
      <c r="BK243" s="58"/>
      <c r="BL243" s="58"/>
      <c r="BM243" s="58"/>
      <c r="BN243" s="58"/>
    </row>
    <row r="244" spans="1:66" x14ac:dyDescent="0.2">
      <c r="A244" t="str">
        <f t="shared" si="9"/>
        <v>Southern AsiaWheat</v>
      </c>
      <c r="B244" t="s">
        <v>1567</v>
      </c>
      <c r="C244" s="206" t="s">
        <v>1418</v>
      </c>
      <c r="D244" s="206" t="str">
        <f>VLOOKUP(B244, [2]list_region_country!$B$3:$D$20, 3, FALSE)</f>
        <v>Southern Asia</v>
      </c>
      <c r="E244" s="206" t="str">
        <f t="shared" si="10"/>
        <v>Southern AsiaWheat</v>
      </c>
      <c r="F244">
        <v>28566</v>
      </c>
      <c r="G244">
        <v>29342</v>
      </c>
      <c r="H244">
        <v>30239</v>
      </c>
      <c r="I244">
        <v>30611</v>
      </c>
      <c r="J244">
        <v>30364</v>
      </c>
      <c r="L244">
        <f t="shared" si="11"/>
        <v>2.98244</v>
      </c>
      <c r="BK244" s="58"/>
      <c r="BL244" s="58"/>
      <c r="BM244" s="58"/>
      <c r="BN244" s="58"/>
    </row>
    <row r="245" spans="1:66" x14ac:dyDescent="0.2">
      <c r="A245" t="str">
        <f t="shared" si="9"/>
        <v>Southern AsiaMillet</v>
      </c>
      <c r="B245" t="s">
        <v>1567</v>
      </c>
      <c r="C245" s="207" t="s">
        <v>530</v>
      </c>
      <c r="D245" s="206" t="str">
        <f>VLOOKUP(B245, [2]list_region_country!$B$3:$D$20, 3, FALSE)</f>
        <v>Southern Asia</v>
      </c>
      <c r="E245" s="206" t="str">
        <f t="shared" si="10"/>
        <v>Southern AsiaMillet</v>
      </c>
      <c r="F245">
        <v>11380</v>
      </c>
      <c r="G245">
        <v>12398</v>
      </c>
      <c r="H245">
        <v>12374</v>
      </c>
      <c r="I245">
        <v>11842</v>
      </c>
      <c r="J245">
        <v>12662</v>
      </c>
      <c r="L245">
        <f t="shared" si="11"/>
        <v>1.21312</v>
      </c>
      <c r="BK245" s="58"/>
      <c r="BL245" s="58"/>
      <c r="BM245" s="58"/>
      <c r="BN245" s="58"/>
    </row>
    <row r="246" spans="1:66" x14ac:dyDescent="0.2">
      <c r="A246" t="str">
        <f t="shared" si="9"/>
        <v>Southern AsiaSorghum</v>
      </c>
      <c r="B246" t="s">
        <v>1567</v>
      </c>
      <c r="C246" s="206" t="s">
        <v>548</v>
      </c>
      <c r="D246" s="206" t="str">
        <f>VLOOKUP(B246, [2]list_region_country!$B$3:$D$20, 3, FALSE)</f>
        <v>Southern Asia</v>
      </c>
      <c r="E246" s="206" t="str">
        <f t="shared" si="10"/>
        <v>Southern AsiaSorghum</v>
      </c>
      <c r="F246">
        <v>6926</v>
      </c>
      <c r="G246">
        <v>8029</v>
      </c>
      <c r="H246">
        <v>9404</v>
      </c>
      <c r="I246">
        <v>8378</v>
      </c>
      <c r="J246">
        <v>8645</v>
      </c>
      <c r="L246">
        <f t="shared" si="11"/>
        <v>0.82763999999999993</v>
      </c>
      <c r="BK246" s="58"/>
      <c r="BL246" s="58"/>
      <c r="BM246" s="58"/>
      <c r="BN246" s="58"/>
    </row>
    <row r="247" spans="1:66" x14ac:dyDescent="0.2">
      <c r="A247" t="str">
        <f t="shared" si="9"/>
        <v>Southern AsiaRice, paddy</v>
      </c>
      <c r="B247" t="s">
        <v>1567</v>
      </c>
      <c r="C247" s="4393" t="s">
        <v>1601</v>
      </c>
      <c r="D247" s="206" t="str">
        <f>VLOOKUP(B247, [2]list_region_country!$B$3:$D$20, 3, FALSE)</f>
        <v>Southern Asia</v>
      </c>
      <c r="E247" s="206" t="str">
        <f t="shared" si="10"/>
        <v>Southern AsiaRice, paddy</v>
      </c>
      <c r="F247">
        <v>39316</v>
      </c>
      <c r="G247">
        <v>39865</v>
      </c>
      <c r="H247">
        <v>40281</v>
      </c>
      <c r="I247">
        <v>41128</v>
      </c>
      <c r="J247">
        <v>40533</v>
      </c>
      <c r="L247">
        <f t="shared" si="11"/>
        <v>4.0224599999999997</v>
      </c>
      <c r="BK247" s="58"/>
      <c r="BL247" s="58"/>
      <c r="BM247" s="58"/>
      <c r="BN247" s="58"/>
    </row>
    <row r="248" spans="1:66" x14ac:dyDescent="0.2">
      <c r="A248" t="str">
        <f t="shared" si="9"/>
        <v>Southern AsiaRye</v>
      </c>
      <c r="B248" t="s">
        <v>1567</v>
      </c>
      <c r="C248" s="206" t="s">
        <v>1428</v>
      </c>
      <c r="D248" s="206" t="str">
        <f>VLOOKUP(B248, [2]list_region_country!$B$3:$D$20, 3, FALSE)</f>
        <v>Southern Asia</v>
      </c>
      <c r="E248" s="206" t="str">
        <f t="shared" si="10"/>
        <v>Southern AsiaRye</v>
      </c>
      <c r="F248">
        <v>8984</v>
      </c>
      <c r="G248">
        <v>9286</v>
      </c>
      <c r="H248">
        <v>8983</v>
      </c>
      <c r="I248">
        <v>9087</v>
      </c>
      <c r="J248">
        <v>9108</v>
      </c>
      <c r="L248">
        <f t="shared" si="11"/>
        <v>0.90895999999999999</v>
      </c>
      <c r="BK248" s="58"/>
      <c r="BL248" s="58"/>
      <c r="BM248" s="58"/>
      <c r="BN248" s="58"/>
    </row>
    <row r="249" spans="1:66" x14ac:dyDescent="0.2">
      <c r="A249" t="str">
        <f t="shared" si="9"/>
        <v>Southern AsiaGroundnuts, with shell</v>
      </c>
      <c r="B249" t="s">
        <v>1567</v>
      </c>
      <c r="C249" s="206" t="s">
        <v>1506</v>
      </c>
      <c r="D249" s="206" t="str">
        <f>VLOOKUP(B249, [2]list_region_country!$B$3:$D$20, 3, FALSE)</f>
        <v>Southern Asia</v>
      </c>
      <c r="E249" s="206" t="str">
        <f t="shared" si="10"/>
        <v>Southern AsiaGroundnuts, with shell</v>
      </c>
      <c r="F249">
        <v>13987</v>
      </c>
      <c r="G249">
        <v>13932</v>
      </c>
      <c r="H249">
        <v>18753</v>
      </c>
      <c r="I249">
        <v>14171</v>
      </c>
      <c r="J249">
        <v>16189</v>
      </c>
      <c r="L249">
        <f t="shared" si="11"/>
        <v>1.54064</v>
      </c>
      <c r="BK249" s="58"/>
      <c r="BL249" s="58"/>
      <c r="BM249" s="58"/>
      <c r="BN249" s="58"/>
    </row>
    <row r="250" spans="1:66" x14ac:dyDescent="0.2">
      <c r="A250" t="str">
        <f t="shared" si="9"/>
        <v>Southern AsiaBeans, dry</v>
      </c>
      <c r="B250" t="s">
        <v>1567</v>
      </c>
      <c r="C250" s="206" t="s">
        <v>1370</v>
      </c>
      <c r="D250" s="206" t="str">
        <f>VLOOKUP(B250, [2]list_region_country!$B$3:$D$20, 3, FALSE)</f>
        <v>Southern Asia</v>
      </c>
      <c r="E250" s="206" t="str">
        <f t="shared" si="10"/>
        <v>Southern AsiaBeans, dry</v>
      </c>
      <c r="F250">
        <v>4338</v>
      </c>
      <c r="G250">
        <v>4304</v>
      </c>
      <c r="H250">
        <v>4307</v>
      </c>
      <c r="I250">
        <v>4351</v>
      </c>
      <c r="J250">
        <v>4419</v>
      </c>
      <c r="L250">
        <f t="shared" si="11"/>
        <v>0.43438000000000004</v>
      </c>
      <c r="BK250" s="58"/>
      <c r="BL250" s="58"/>
      <c r="BM250" s="58"/>
      <c r="BN250" s="58"/>
    </row>
    <row r="251" spans="1:66" x14ac:dyDescent="0.2">
      <c r="A251" t="str">
        <f t="shared" si="9"/>
        <v>Southern AsiaVegetables</v>
      </c>
      <c r="B251" t="s">
        <v>1567</v>
      </c>
      <c r="C251" s="4394" t="s">
        <v>3717</v>
      </c>
      <c r="D251" s="206" t="str">
        <f>VLOOKUP(B251, [2]list_region_country!$B$3:$D$20, 3, FALSE)</f>
        <v>Southern Asia</v>
      </c>
      <c r="E251" s="206" t="str">
        <f t="shared" si="10"/>
        <v>Southern AsiaVegetables</v>
      </c>
      <c r="F251">
        <v>148179</v>
      </c>
      <c r="G251">
        <v>149631</v>
      </c>
      <c r="H251">
        <v>151340</v>
      </c>
      <c r="I251">
        <v>152981</v>
      </c>
      <c r="J251">
        <v>154181</v>
      </c>
      <c r="L251">
        <f t="shared" si="11"/>
        <v>15.126239999999999</v>
      </c>
      <c r="BK251" s="58"/>
      <c r="BL251" s="58"/>
      <c r="BM251" s="58"/>
      <c r="BN251" s="58"/>
    </row>
    <row r="252" spans="1:66" x14ac:dyDescent="0.2">
      <c r="A252" t="str">
        <f t="shared" si="9"/>
        <v>Southern AsiaOilseeds</v>
      </c>
      <c r="B252" t="s">
        <v>1567</v>
      </c>
      <c r="C252" s="4394" t="s">
        <v>3713</v>
      </c>
      <c r="D252" s="206" t="str">
        <f>VLOOKUP(B252, [2]list_region_country!$B$3:$D$20, 3, FALSE)</f>
        <v>Southern Asia</v>
      </c>
      <c r="E252" s="206" t="str">
        <f t="shared" si="10"/>
        <v>Southern AsiaOilseeds</v>
      </c>
      <c r="F252">
        <v>8866.9</v>
      </c>
      <c r="G252">
        <v>9317.2999999999993</v>
      </c>
      <c r="H252">
        <v>10181.700000000001</v>
      </c>
      <c r="I252">
        <v>9783.7000000000007</v>
      </c>
      <c r="J252">
        <v>9666.5</v>
      </c>
      <c r="L252">
        <f t="shared" si="11"/>
        <v>0.95632199999999989</v>
      </c>
      <c r="BK252" s="58"/>
      <c r="BL252" s="58"/>
      <c r="BM252" s="58"/>
      <c r="BN252" s="58"/>
    </row>
    <row r="253" spans="1:66" s="480" customFormat="1" x14ac:dyDescent="0.2">
      <c r="A253" s="480" t="str">
        <f>CONCATENATE(B253,C253)</f>
        <v>Southern AsiaDefault</v>
      </c>
      <c r="B253" s="480" t="s">
        <v>1567</v>
      </c>
      <c r="C253" s="4394" t="str">
        <f>C235</f>
        <v>Default</v>
      </c>
      <c r="D253" s="483" t="str">
        <f>VLOOKUP(B253, [2]list_region_country!$B$3:$D$20, 3, FALSE)</f>
        <v>Southern Asia</v>
      </c>
      <c r="E253" s="483" t="str">
        <f>CONCATENATE(D253,C253)</f>
        <v>Southern AsiaDefault</v>
      </c>
      <c r="L253" s="480">
        <f>AVERAGEIF(L236:L252,"&gt;0")</f>
        <v>5.1446401250000005</v>
      </c>
      <c r="BK253" s="4397"/>
      <c r="BL253" s="4397"/>
      <c r="BM253" s="4397"/>
      <c r="BN253" s="4397"/>
    </row>
    <row r="254" spans="1:66" x14ac:dyDescent="0.2">
      <c r="A254" t="str">
        <f t="shared" ref="A254:A288" si="12">CONCATENATE(B254,C254)</f>
        <v>Western AfricaCereals,Total</v>
      </c>
      <c r="B254" t="s">
        <v>1569</v>
      </c>
      <c r="C254" s="206" t="s">
        <v>676</v>
      </c>
      <c r="D254" s="206" t="str">
        <f>VLOOKUP(B254, [2]list_region_country!$B$3:$D$20, 3, FALSE)</f>
        <v>Western Africa</v>
      </c>
      <c r="E254" s="206" t="str">
        <f t="shared" ref="E254:E288" si="13">CONCATENATE(D254,C254)</f>
        <v>Western AfricaCereals,Total</v>
      </c>
      <c r="F254">
        <v>12426</v>
      </c>
      <c r="G254">
        <v>12079</v>
      </c>
      <c r="H254">
        <v>12536</v>
      </c>
      <c r="I254">
        <v>12900</v>
      </c>
      <c r="J254">
        <v>13083</v>
      </c>
      <c r="L254">
        <f t="shared" si="11"/>
        <v>1.2604799999999998</v>
      </c>
      <c r="BK254" s="58"/>
      <c r="BL254" s="58"/>
      <c r="BM254" s="58"/>
      <c r="BN254" s="58"/>
    </row>
    <row r="255" spans="1:66" x14ac:dyDescent="0.2">
      <c r="A255" t="str">
        <f t="shared" si="12"/>
        <v>Western AfricaPulses,Total</v>
      </c>
      <c r="B255" t="s">
        <v>1569</v>
      </c>
      <c r="C255" s="207" t="s">
        <v>1593</v>
      </c>
      <c r="D255" s="206" t="str">
        <f>VLOOKUP(B255, [2]list_region_country!$B$3:$D$20, 3, FALSE)</f>
        <v>Western Africa</v>
      </c>
      <c r="E255" s="206" t="str">
        <f t="shared" si="13"/>
        <v>Western AfricaPulses,Total</v>
      </c>
      <c r="F255">
        <v>5833</v>
      </c>
      <c r="G255">
        <v>5533</v>
      </c>
      <c r="H255">
        <v>5871</v>
      </c>
      <c r="I255">
        <v>5972</v>
      </c>
      <c r="J255">
        <v>6157</v>
      </c>
      <c r="L255">
        <f t="shared" si="11"/>
        <v>0.58731999999999995</v>
      </c>
      <c r="BK255" s="58"/>
      <c r="BL255" s="58"/>
      <c r="BM255" s="58"/>
      <c r="BN255" s="58"/>
    </row>
    <row r="256" spans="1:66" x14ac:dyDescent="0.2">
      <c r="A256" t="str">
        <f t="shared" si="12"/>
        <v>Western AfricaRoots and Tubers,Total</v>
      </c>
      <c r="B256" t="s">
        <v>1569</v>
      </c>
      <c r="C256" s="207" t="s">
        <v>1603</v>
      </c>
      <c r="D256" s="206" t="str">
        <f>VLOOKUP(B256, [2]list_region_country!$B$3:$D$20, 3, FALSE)</f>
        <v>Western Africa</v>
      </c>
      <c r="E256" s="206" t="str">
        <f t="shared" si="13"/>
        <v>Western AfricaRoots and Tubers,Total</v>
      </c>
      <c r="F256">
        <v>85882</v>
      </c>
      <c r="G256">
        <v>83545</v>
      </c>
      <c r="H256">
        <v>81847</v>
      </c>
      <c r="I256">
        <v>80109</v>
      </c>
      <c r="J256">
        <v>81051</v>
      </c>
      <c r="L256">
        <f t="shared" si="11"/>
        <v>8.2486800000000002</v>
      </c>
      <c r="BK256" s="58"/>
      <c r="BL256" s="58"/>
      <c r="BM256" s="58"/>
      <c r="BN256" s="58"/>
    </row>
    <row r="257" spans="1:66" x14ac:dyDescent="0.2">
      <c r="A257" t="str">
        <f t="shared" si="12"/>
        <v>Western AfricaBarley</v>
      </c>
      <c r="B257" t="s">
        <v>1569</v>
      </c>
      <c r="C257" s="206" t="s">
        <v>1347</v>
      </c>
      <c r="D257" s="206" t="str">
        <f>VLOOKUP(B257, [2]list_region_country!$B$3:$D$20, 3, FALSE)</f>
        <v>Western Africa</v>
      </c>
      <c r="E257" s="206" t="str">
        <f t="shared" si="13"/>
        <v>Western AfricaBarley</v>
      </c>
      <c r="F257">
        <v>29184</v>
      </c>
      <c r="G257">
        <v>29737</v>
      </c>
      <c r="H257">
        <v>30660</v>
      </c>
      <c r="I257">
        <v>30599</v>
      </c>
      <c r="J257">
        <v>31080</v>
      </c>
      <c r="L257">
        <f t="shared" si="11"/>
        <v>3.0251999999999999</v>
      </c>
      <c r="BK257" s="58"/>
      <c r="BL257" s="58"/>
      <c r="BM257" s="58"/>
      <c r="BN257" s="58"/>
    </row>
    <row r="258" spans="1:66" x14ac:dyDescent="0.2">
      <c r="A258" t="str">
        <f t="shared" si="12"/>
        <v>Western AfricaMaize</v>
      </c>
      <c r="B258" t="s">
        <v>1569</v>
      </c>
      <c r="C258" s="207" t="s">
        <v>491</v>
      </c>
      <c r="D258" s="206" t="str">
        <f>VLOOKUP(B258, [2]list_region_country!$B$3:$D$20, 3, FALSE)</f>
        <v>Western Africa</v>
      </c>
      <c r="E258" s="206" t="str">
        <f t="shared" si="13"/>
        <v>Western AfricaMaize</v>
      </c>
      <c r="F258">
        <v>16593</v>
      </c>
      <c r="G258">
        <v>17141</v>
      </c>
      <c r="H258">
        <v>17256</v>
      </c>
      <c r="I258">
        <v>16940</v>
      </c>
      <c r="J258">
        <v>17303</v>
      </c>
      <c r="L258">
        <f t="shared" si="11"/>
        <v>1.7046599999999998</v>
      </c>
      <c r="BK258" s="58"/>
      <c r="BL258" s="58"/>
      <c r="BM258" s="58"/>
      <c r="BN258" s="58"/>
    </row>
    <row r="259" spans="1:66" x14ac:dyDescent="0.2">
      <c r="A259" t="str">
        <f t="shared" si="12"/>
        <v>Western AfricaOats</v>
      </c>
      <c r="B259" t="s">
        <v>1569</v>
      </c>
      <c r="C259" s="207" t="s">
        <v>1408</v>
      </c>
      <c r="D259" s="206" t="str">
        <f>VLOOKUP(B259, [2]list_region_country!$B$3:$D$20, 3, FALSE)</f>
        <v>Western Africa</v>
      </c>
      <c r="E259" s="206" t="str">
        <f t="shared" si="13"/>
        <v>Western AfricaOats</v>
      </c>
      <c r="F259">
        <v>8913</v>
      </c>
      <c r="G259">
        <v>9111</v>
      </c>
      <c r="H259">
        <v>9091</v>
      </c>
      <c r="I259">
        <v>8889</v>
      </c>
      <c r="J259">
        <v>9111</v>
      </c>
      <c r="L259">
        <f t="shared" si="11"/>
        <v>0.90229999999999999</v>
      </c>
      <c r="BK259" s="58"/>
      <c r="BL259" s="58"/>
      <c r="BM259" s="58"/>
      <c r="BN259" s="58"/>
    </row>
    <row r="260" spans="1:66" x14ac:dyDescent="0.2">
      <c r="A260" t="str">
        <f t="shared" si="12"/>
        <v>Western AfricaPotatoes</v>
      </c>
      <c r="B260" t="s">
        <v>1569</v>
      </c>
      <c r="C260" s="207" t="s">
        <v>1410</v>
      </c>
      <c r="D260" s="206" t="str">
        <f>VLOOKUP(B260, [2]list_region_country!$B$3:$D$20, 3, FALSE)</f>
        <v>Western Africa</v>
      </c>
      <c r="E260" s="206" t="str">
        <f t="shared" si="13"/>
        <v>Western AfricaPotatoes</v>
      </c>
      <c r="F260">
        <v>51466</v>
      </c>
      <c r="G260">
        <v>53384</v>
      </c>
      <c r="H260">
        <v>56040</v>
      </c>
      <c r="I260">
        <v>56937</v>
      </c>
      <c r="J260">
        <v>59357</v>
      </c>
      <c r="L260">
        <f t="shared" si="11"/>
        <v>5.5436800000000002</v>
      </c>
      <c r="BK260" s="58"/>
      <c r="BL260" s="58"/>
      <c r="BM260" s="58"/>
      <c r="BN260" s="58"/>
    </row>
    <row r="261" spans="1:66" x14ac:dyDescent="0.2">
      <c r="A261" t="str">
        <f t="shared" si="12"/>
        <v>Western AfricaSoybeans</v>
      </c>
      <c r="B261" t="s">
        <v>1569</v>
      </c>
      <c r="C261" s="207" t="s">
        <v>1414</v>
      </c>
      <c r="D261" s="206" t="str">
        <f>VLOOKUP(B261, [2]list_region_country!$B$3:$D$20, 3, FALSE)</f>
        <v>Western Africa</v>
      </c>
      <c r="E261" s="206" t="str">
        <f t="shared" si="13"/>
        <v>Western AfricaSoybeans</v>
      </c>
      <c r="F261">
        <v>9388</v>
      </c>
      <c r="G261">
        <v>9563</v>
      </c>
      <c r="H261">
        <v>10333</v>
      </c>
      <c r="I261">
        <v>10841</v>
      </c>
      <c r="J261">
        <v>10679</v>
      </c>
      <c r="L261">
        <f t="shared" si="11"/>
        <v>1.0160799999999999</v>
      </c>
      <c r="BK261" s="58"/>
      <c r="BL261" s="58"/>
      <c r="BM261" s="58"/>
      <c r="BN261" s="58"/>
    </row>
    <row r="262" spans="1:66" x14ac:dyDescent="0.2">
      <c r="A262" t="str">
        <f t="shared" si="12"/>
        <v>Western AfricaWheat</v>
      </c>
      <c r="B262" t="s">
        <v>1569</v>
      </c>
      <c r="C262" s="206" t="s">
        <v>1418</v>
      </c>
      <c r="D262" s="206" t="str">
        <f>VLOOKUP(B262, [2]list_region_country!$B$3:$D$20, 3, FALSE)</f>
        <v>Western Africa</v>
      </c>
      <c r="E262" s="206" t="str">
        <f t="shared" si="13"/>
        <v>Western AfricaWheat</v>
      </c>
      <c r="F262">
        <v>16082</v>
      </c>
      <c r="G262">
        <v>14551</v>
      </c>
      <c r="H262">
        <v>14540</v>
      </c>
      <c r="I262">
        <v>12376</v>
      </c>
      <c r="J262">
        <v>16754</v>
      </c>
      <c r="L262">
        <f t="shared" si="11"/>
        <v>1.4860599999999999</v>
      </c>
      <c r="BK262" s="58"/>
      <c r="BL262" s="58"/>
      <c r="BM262" s="58"/>
      <c r="BN262" s="58"/>
    </row>
    <row r="263" spans="1:66" x14ac:dyDescent="0.2">
      <c r="A263" t="str">
        <f t="shared" si="12"/>
        <v>Western AfricaMillet</v>
      </c>
      <c r="B263" t="s">
        <v>1569</v>
      </c>
      <c r="C263" s="207" t="s">
        <v>530</v>
      </c>
      <c r="D263" s="206" t="str">
        <f>VLOOKUP(B263, [2]list_region_country!$B$3:$D$20, 3, FALSE)</f>
        <v>Western Africa</v>
      </c>
      <c r="E263" s="206" t="str">
        <f t="shared" si="13"/>
        <v>Western AfricaMillet</v>
      </c>
      <c r="F263">
        <v>6897</v>
      </c>
      <c r="G263">
        <v>6625</v>
      </c>
      <c r="H263">
        <v>7440</v>
      </c>
      <c r="I263">
        <v>7050</v>
      </c>
      <c r="J263">
        <v>7400</v>
      </c>
      <c r="L263">
        <f t="shared" si="11"/>
        <v>0.70823999999999998</v>
      </c>
      <c r="BK263" s="58"/>
      <c r="BL263" s="58"/>
      <c r="BM263" s="58"/>
      <c r="BN263" s="58"/>
    </row>
    <row r="264" spans="1:66" x14ac:dyDescent="0.2">
      <c r="A264" t="str">
        <f t="shared" si="12"/>
        <v>Western AfricaSorghum</v>
      </c>
      <c r="B264" t="s">
        <v>1569</v>
      </c>
      <c r="C264" s="206" t="s">
        <v>548</v>
      </c>
      <c r="D264" s="206" t="str">
        <f>VLOOKUP(B264, [2]list_region_country!$B$3:$D$20, 3, FALSE)</f>
        <v>Western Africa</v>
      </c>
      <c r="E264" s="206" t="str">
        <f t="shared" si="13"/>
        <v>Western AfricaSorghum</v>
      </c>
      <c r="F264">
        <v>9907</v>
      </c>
      <c r="G264">
        <v>9053</v>
      </c>
      <c r="H264">
        <v>9602</v>
      </c>
      <c r="I264">
        <v>9541</v>
      </c>
      <c r="J264">
        <v>9732</v>
      </c>
      <c r="L264">
        <f t="shared" si="11"/>
        <v>0.95669999999999999</v>
      </c>
      <c r="BK264" s="58"/>
      <c r="BL264" s="58"/>
      <c r="BM264" s="58"/>
      <c r="BN264" s="58"/>
    </row>
    <row r="265" spans="1:66" x14ac:dyDescent="0.2">
      <c r="A265" t="str">
        <f t="shared" si="12"/>
        <v>Western AfricaRice, paddy</v>
      </c>
      <c r="B265" t="s">
        <v>1569</v>
      </c>
      <c r="C265" s="4393" t="s">
        <v>1601</v>
      </c>
      <c r="D265" s="206" t="str">
        <f>VLOOKUP(B265, [2]list_region_country!$B$3:$D$20, 3, FALSE)</f>
        <v>Western Africa</v>
      </c>
      <c r="E265" s="206" t="str">
        <f t="shared" si="13"/>
        <v>Western AfricaRice, paddy</v>
      </c>
      <c r="F265">
        <v>17996</v>
      </c>
      <c r="G265">
        <v>17123</v>
      </c>
      <c r="H265">
        <v>17058</v>
      </c>
      <c r="I265">
        <v>19137</v>
      </c>
      <c r="J265">
        <v>19235</v>
      </c>
      <c r="L265">
        <f t="shared" si="11"/>
        <v>1.81098</v>
      </c>
      <c r="BK265" s="58"/>
      <c r="BL265" s="58"/>
      <c r="BM265" s="58"/>
      <c r="BN265" s="58"/>
    </row>
    <row r="266" spans="1:66" x14ac:dyDescent="0.2">
      <c r="A266" t="str">
        <f t="shared" si="12"/>
        <v>Western AfricaRye</v>
      </c>
      <c r="B266" t="s">
        <v>1569</v>
      </c>
      <c r="C266" s="206" t="s">
        <v>1428</v>
      </c>
      <c r="D266" s="206" t="str">
        <f>VLOOKUP(B266, [2]list_region_country!$B$3:$D$20, 3, FALSE)</f>
        <v>Western Africa</v>
      </c>
      <c r="E266" s="206" t="str">
        <f t="shared" si="13"/>
        <v>Western AfricaRye</v>
      </c>
      <c r="F266">
        <v>0</v>
      </c>
      <c r="G266">
        <v>0</v>
      </c>
      <c r="H266">
        <v>0</v>
      </c>
      <c r="I266">
        <v>0</v>
      </c>
      <c r="J266">
        <v>0</v>
      </c>
      <c r="L266">
        <f t="shared" si="11"/>
        <v>0</v>
      </c>
      <c r="BK266" s="58"/>
      <c r="BL266" s="58"/>
      <c r="BM266" s="58"/>
      <c r="BN266" s="58"/>
    </row>
    <row r="267" spans="1:66" x14ac:dyDescent="0.2">
      <c r="A267" t="str">
        <f t="shared" si="12"/>
        <v>Western AfricaGroundnuts, with shell</v>
      </c>
      <c r="B267" t="s">
        <v>1569</v>
      </c>
      <c r="C267" s="206" t="s">
        <v>1506</v>
      </c>
      <c r="D267" s="206" t="str">
        <f>VLOOKUP(B267, [2]list_region_country!$B$3:$D$20, 3, FALSE)</f>
        <v>Western Africa</v>
      </c>
      <c r="E267" s="206" t="str">
        <f t="shared" si="13"/>
        <v>Western AfricaGroundnuts, with shell</v>
      </c>
      <c r="F267">
        <v>10317</v>
      </c>
      <c r="G267">
        <v>10443</v>
      </c>
      <c r="H267">
        <v>11182</v>
      </c>
      <c r="I267">
        <v>10753</v>
      </c>
      <c r="J267">
        <v>10608</v>
      </c>
      <c r="L267">
        <f t="shared" si="11"/>
        <v>1.06606</v>
      </c>
      <c r="BK267" s="58"/>
      <c r="BL267" s="58"/>
      <c r="BM267" s="58"/>
      <c r="BN267" s="58"/>
    </row>
    <row r="268" spans="1:66" x14ac:dyDescent="0.2">
      <c r="A268" t="str">
        <f t="shared" si="12"/>
        <v>Western AfricaBeans, dry</v>
      </c>
      <c r="B268" t="s">
        <v>1569</v>
      </c>
      <c r="C268" s="206" t="s">
        <v>1370</v>
      </c>
      <c r="D268" s="206" t="str">
        <f>VLOOKUP(B268, [2]list_region_country!$B$3:$D$20, 3, FALSE)</f>
        <v>Western Africa</v>
      </c>
      <c r="E268" s="206" t="str">
        <f t="shared" si="13"/>
        <v>Western AfricaBeans, dry</v>
      </c>
      <c r="F268">
        <v>9424</v>
      </c>
      <c r="G268">
        <v>9516</v>
      </c>
      <c r="H268">
        <v>9647</v>
      </c>
      <c r="I268">
        <v>9805</v>
      </c>
      <c r="J268">
        <v>9797</v>
      </c>
      <c r="L268">
        <f t="shared" si="11"/>
        <v>0.96377999999999997</v>
      </c>
      <c r="BK268" s="58"/>
      <c r="BL268" s="58"/>
      <c r="BM268" s="58"/>
      <c r="BN268" s="58"/>
    </row>
    <row r="269" spans="1:66" x14ac:dyDescent="0.2">
      <c r="A269" t="str">
        <f t="shared" si="12"/>
        <v>Western AfricaVegetables</v>
      </c>
      <c r="B269" t="s">
        <v>1569</v>
      </c>
      <c r="C269" s="4393" t="s">
        <v>3717</v>
      </c>
      <c r="D269" s="206" t="str">
        <f>VLOOKUP(B269, [2]list_region_country!$B$3:$D$20, 3, FALSE)</f>
        <v>Western Africa</v>
      </c>
      <c r="E269" s="206" t="str">
        <f t="shared" si="13"/>
        <v>Western AfricaVegetables</v>
      </c>
      <c r="F269">
        <v>48847</v>
      </c>
      <c r="G269">
        <v>48915</v>
      </c>
      <c r="H269">
        <v>46126</v>
      </c>
      <c r="I269">
        <v>47430</v>
      </c>
      <c r="J269">
        <v>47614</v>
      </c>
      <c r="L269">
        <f t="shared" si="11"/>
        <v>4.7786400000000002</v>
      </c>
      <c r="BK269" s="58"/>
      <c r="BL269" s="58"/>
      <c r="BM269" s="58"/>
      <c r="BN269" s="58"/>
    </row>
    <row r="270" spans="1:66" x14ac:dyDescent="0.2">
      <c r="A270" t="str">
        <f t="shared" si="12"/>
        <v>Western AfricaOilseeds</v>
      </c>
      <c r="B270" t="s">
        <v>1569</v>
      </c>
      <c r="C270" s="4393" t="s">
        <v>3713</v>
      </c>
      <c r="D270" s="206" t="str">
        <f>VLOOKUP(B270, [2]list_region_country!$B$3:$D$20, 3, FALSE)</f>
        <v>Western Africa</v>
      </c>
      <c r="E270" s="206" t="str">
        <f t="shared" si="13"/>
        <v>Western AfricaOilseeds</v>
      </c>
      <c r="F270">
        <v>8211.75</v>
      </c>
      <c r="G270">
        <v>8129.5</v>
      </c>
      <c r="H270">
        <v>8394</v>
      </c>
      <c r="I270">
        <v>8513.75</v>
      </c>
      <c r="J270">
        <v>8601.5</v>
      </c>
      <c r="L270">
        <f t="shared" si="11"/>
        <v>0.83701000000000003</v>
      </c>
      <c r="BK270" s="58"/>
      <c r="BL270" s="58"/>
      <c r="BM270" s="58"/>
      <c r="BN270" s="58"/>
    </row>
    <row r="271" spans="1:66" s="480" customFormat="1" x14ac:dyDescent="0.2">
      <c r="A271" s="480" t="str">
        <f>CONCATENATE(B271,C271)</f>
        <v>Western AfricaDefault</v>
      </c>
      <c r="B271" s="480" t="s">
        <v>1569</v>
      </c>
      <c r="C271" s="4394" t="str">
        <f>C253</f>
        <v>Default</v>
      </c>
      <c r="D271" s="483" t="str">
        <f>VLOOKUP(B271, [2]list_region_country!$B$3:$D$20, 3, FALSE)</f>
        <v>Western Africa</v>
      </c>
      <c r="E271" s="483" t="str">
        <f>CONCATENATE(D271,C271)</f>
        <v>Western AfricaDefault</v>
      </c>
      <c r="L271" s="480">
        <f>AVERAGEIF(L254:L270,"&gt;0")</f>
        <v>2.1809918750000001</v>
      </c>
      <c r="BK271" s="4397"/>
      <c r="BL271" s="4397"/>
      <c r="BM271" s="4397"/>
      <c r="BN271" s="4397"/>
    </row>
    <row r="272" spans="1:66" x14ac:dyDescent="0.2">
      <c r="A272" t="str">
        <f t="shared" si="12"/>
        <v>Western AsiaCereals,Total</v>
      </c>
      <c r="B272" t="s">
        <v>1571</v>
      </c>
      <c r="C272" s="206" t="s">
        <v>676</v>
      </c>
      <c r="D272" s="206" t="str">
        <f>VLOOKUP(B272, [2]list_region_country!$B$3:$D$20, 3, FALSE)</f>
        <v>Western Asia</v>
      </c>
      <c r="E272" s="206" t="str">
        <f t="shared" si="13"/>
        <v>Western AsiaCereals,Total</v>
      </c>
      <c r="F272">
        <v>27752</v>
      </c>
      <c r="G272">
        <v>28504</v>
      </c>
      <c r="H272">
        <v>27189</v>
      </c>
      <c r="I272">
        <v>29012</v>
      </c>
      <c r="J272">
        <v>29145</v>
      </c>
      <c r="L272">
        <f t="shared" si="11"/>
        <v>2.8320400000000001</v>
      </c>
      <c r="BK272" s="58"/>
      <c r="BL272" s="58"/>
      <c r="BM272" s="58"/>
      <c r="BN272" s="58"/>
    </row>
    <row r="273" spans="1:66" x14ac:dyDescent="0.2">
      <c r="A273" t="str">
        <f t="shared" si="12"/>
        <v>Western AsiaPulses,Total</v>
      </c>
      <c r="B273" t="s">
        <v>1571</v>
      </c>
      <c r="C273" s="207" t="s">
        <v>1593</v>
      </c>
      <c r="D273" s="206" t="str">
        <f>VLOOKUP(B273, [2]list_region_country!$B$3:$D$20, 3, FALSE)</f>
        <v>Western Asia</v>
      </c>
      <c r="E273" s="206" t="str">
        <f t="shared" si="13"/>
        <v>Western AsiaPulses,Total</v>
      </c>
      <c r="F273">
        <v>14414</v>
      </c>
      <c r="G273">
        <v>14225</v>
      </c>
      <c r="H273">
        <v>13435</v>
      </c>
      <c r="I273">
        <v>13429</v>
      </c>
      <c r="J273">
        <v>15134</v>
      </c>
      <c r="L273">
        <f t="shared" si="11"/>
        <v>1.4127399999999999</v>
      </c>
      <c r="BK273" s="58"/>
      <c r="BL273" s="58"/>
      <c r="BM273" s="58"/>
      <c r="BN273" s="58"/>
    </row>
    <row r="274" spans="1:66" x14ac:dyDescent="0.2">
      <c r="A274" t="str">
        <f t="shared" si="12"/>
        <v>Western AsiaRoots and Tubers,Total</v>
      </c>
      <c r="B274" t="s">
        <v>1571</v>
      </c>
      <c r="C274" s="207" t="s">
        <v>1603</v>
      </c>
      <c r="D274" s="206" t="str">
        <f>VLOOKUP(B274, [2]list_region_country!$B$3:$D$20, 3, FALSE)</f>
        <v>Western Asia</v>
      </c>
      <c r="E274" s="206" t="str">
        <f t="shared" si="13"/>
        <v>Western AsiaRoots and Tubers,Total</v>
      </c>
      <c r="F274">
        <v>256664</v>
      </c>
      <c r="G274">
        <v>262008</v>
      </c>
      <c r="H274">
        <v>258523</v>
      </c>
      <c r="I274">
        <v>275279</v>
      </c>
      <c r="J274">
        <v>278170</v>
      </c>
      <c r="L274">
        <f t="shared" si="11"/>
        <v>26.612880000000001</v>
      </c>
      <c r="BK274" s="58"/>
      <c r="BL274" s="58"/>
      <c r="BM274" s="58"/>
      <c r="BN274" s="58"/>
    </row>
    <row r="275" spans="1:66" x14ac:dyDescent="0.2">
      <c r="A275" t="str">
        <f t="shared" si="12"/>
        <v>Western AsiaBarley</v>
      </c>
      <c r="B275" t="s">
        <v>1571</v>
      </c>
      <c r="C275" s="206" t="s">
        <v>1347</v>
      </c>
      <c r="D275" s="206" t="str">
        <f>VLOOKUP(B275, [2]list_region_country!$B$3:$D$20, 3, FALSE)</f>
        <v>Western Asia</v>
      </c>
      <c r="E275" s="206" t="str">
        <f t="shared" si="13"/>
        <v>Western AsiaBarley</v>
      </c>
      <c r="F275">
        <v>20778</v>
      </c>
      <c r="G275">
        <v>23011</v>
      </c>
      <c r="H275">
        <v>20540</v>
      </c>
      <c r="I275">
        <v>23686</v>
      </c>
      <c r="J275">
        <v>22121</v>
      </c>
      <c r="L275">
        <f t="shared" si="11"/>
        <v>2.2027200000000002</v>
      </c>
      <c r="BK275" s="58"/>
      <c r="BL275" s="58"/>
      <c r="BM275" s="58"/>
      <c r="BN275" s="58"/>
    </row>
    <row r="276" spans="1:66" x14ac:dyDescent="0.2">
      <c r="A276" t="str">
        <f t="shared" si="12"/>
        <v>Western AsiaMaize</v>
      </c>
      <c r="B276" t="s">
        <v>1571</v>
      </c>
      <c r="C276" s="207" t="s">
        <v>491</v>
      </c>
      <c r="D276" s="206" t="str">
        <f>VLOOKUP(B276, [2]list_region_country!$B$3:$D$20, 3, FALSE)</f>
        <v>Western Asia</v>
      </c>
      <c r="E276" s="206" t="str">
        <f t="shared" si="13"/>
        <v>Western AsiaMaize</v>
      </c>
      <c r="F276">
        <v>78180</v>
      </c>
      <c r="G276">
        <v>77120</v>
      </c>
      <c r="H276">
        <v>81048</v>
      </c>
      <c r="I276">
        <v>77847</v>
      </c>
      <c r="J276">
        <v>78295</v>
      </c>
      <c r="L276">
        <f t="shared" si="11"/>
        <v>7.8498000000000001</v>
      </c>
      <c r="BK276" s="58"/>
      <c r="BL276" s="58"/>
      <c r="BM276" s="58"/>
      <c r="BN276" s="58"/>
    </row>
    <row r="277" spans="1:66" x14ac:dyDescent="0.2">
      <c r="A277" t="str">
        <f t="shared" si="12"/>
        <v>Western AsiaOats</v>
      </c>
      <c r="B277" t="s">
        <v>1571</v>
      </c>
      <c r="C277" s="207" t="s">
        <v>1408</v>
      </c>
      <c r="D277" s="206" t="str">
        <f>VLOOKUP(B277, [2]list_region_country!$B$3:$D$20, 3, FALSE)</f>
        <v>Western Asia</v>
      </c>
      <c r="E277" s="206" t="str">
        <f t="shared" si="13"/>
        <v>Western AsiaOats</v>
      </c>
      <c r="F277">
        <v>22436</v>
      </c>
      <c r="G277">
        <v>21777</v>
      </c>
      <c r="H277">
        <v>24070</v>
      </c>
      <c r="I277">
        <v>23620</v>
      </c>
      <c r="J277">
        <v>26771</v>
      </c>
      <c r="L277">
        <f t="shared" si="11"/>
        <v>2.3734799999999998</v>
      </c>
      <c r="BK277" s="58"/>
      <c r="BL277" s="58"/>
      <c r="BM277" s="58"/>
      <c r="BN277" s="58"/>
    </row>
    <row r="278" spans="1:66" x14ac:dyDescent="0.2">
      <c r="A278" t="str">
        <f t="shared" si="12"/>
        <v>Western AsiaPotatoes</v>
      </c>
      <c r="B278" t="s">
        <v>1571</v>
      </c>
      <c r="C278" s="207" t="s">
        <v>1410</v>
      </c>
      <c r="D278" s="206" t="str">
        <f>VLOOKUP(B278, [2]list_region_country!$B$3:$D$20, 3, FALSE)</f>
        <v>Western Asia</v>
      </c>
      <c r="E278" s="206" t="str">
        <f t="shared" si="13"/>
        <v>Western AsiaPotatoes</v>
      </c>
      <c r="F278">
        <v>257386</v>
      </c>
      <c r="G278">
        <v>262787</v>
      </c>
      <c r="H278">
        <v>259475</v>
      </c>
      <c r="I278">
        <v>276208</v>
      </c>
      <c r="J278">
        <v>279162</v>
      </c>
      <c r="L278">
        <f>AVERAGE(F278:J278)/10000</f>
        <v>26.700359999999996</v>
      </c>
      <c r="BK278" s="58"/>
      <c r="BL278" s="58"/>
      <c r="BM278" s="58"/>
      <c r="BN278" s="58"/>
    </row>
    <row r="279" spans="1:66" x14ac:dyDescent="0.2">
      <c r="A279" t="str">
        <f t="shared" si="12"/>
        <v>Western AsiaSoybeans</v>
      </c>
      <c r="B279" t="s">
        <v>1571</v>
      </c>
      <c r="C279" s="207" t="s">
        <v>1414</v>
      </c>
      <c r="D279" s="206" t="str">
        <f>VLOOKUP(B279, [2]list_region_country!$B$3:$D$20, 3, FALSE)</f>
        <v>Western Asia</v>
      </c>
      <c r="E279" s="206" t="str">
        <f t="shared" si="13"/>
        <v>Western AsiaSoybeans</v>
      </c>
      <c r="F279">
        <v>41962</v>
      </c>
      <c r="G279">
        <v>41914</v>
      </c>
      <c r="H279">
        <v>41733</v>
      </c>
      <c r="I279">
        <v>41270</v>
      </c>
      <c r="J279">
        <v>42146</v>
      </c>
      <c r="L279">
        <f t="shared" si="11"/>
        <v>4.1805000000000003</v>
      </c>
      <c r="BK279" s="58"/>
      <c r="BL279" s="58"/>
      <c r="BM279" s="58"/>
      <c r="BN279" s="58"/>
    </row>
    <row r="280" spans="1:66" x14ac:dyDescent="0.2">
      <c r="A280" t="str">
        <f t="shared" si="12"/>
        <v>Western AsiaWheat</v>
      </c>
      <c r="B280" t="s">
        <v>1571</v>
      </c>
      <c r="C280" s="206" t="s">
        <v>1418</v>
      </c>
      <c r="D280" s="206" t="str">
        <f>VLOOKUP(B280, [2]list_region_country!$B$3:$D$20, 3, FALSE)</f>
        <v>Western Asia</v>
      </c>
      <c r="E280" s="206" t="str">
        <f t="shared" si="13"/>
        <v>Western AsiaWheat</v>
      </c>
      <c r="F280">
        <v>26738</v>
      </c>
      <c r="G280">
        <v>26980</v>
      </c>
      <c r="H280">
        <v>25929</v>
      </c>
      <c r="I280">
        <v>27637</v>
      </c>
      <c r="J280">
        <v>28691</v>
      </c>
      <c r="L280">
        <f t="shared" si="11"/>
        <v>2.7195</v>
      </c>
      <c r="BK280" s="58"/>
      <c r="BL280" s="58"/>
      <c r="BM280" s="58"/>
      <c r="BN280" s="58"/>
    </row>
    <row r="281" spans="1:66" x14ac:dyDescent="0.2">
      <c r="A281" t="str">
        <f t="shared" si="12"/>
        <v>Western AsiaMillet</v>
      </c>
      <c r="B281" t="s">
        <v>1571</v>
      </c>
      <c r="C281" s="207" t="s">
        <v>530</v>
      </c>
      <c r="D281" s="206" t="str">
        <f>VLOOKUP(B281, [2]list_region_country!$B$3:$D$20, 3, FALSE)</f>
        <v>Western Asia</v>
      </c>
      <c r="E281" s="206" t="str">
        <f t="shared" si="13"/>
        <v>Western AsiaMillet</v>
      </c>
      <c r="F281">
        <v>6298</v>
      </c>
      <c r="G281">
        <v>6514</v>
      </c>
      <c r="H281">
        <v>6491</v>
      </c>
      <c r="I281">
        <v>7010</v>
      </c>
      <c r="J281">
        <v>5971</v>
      </c>
      <c r="L281">
        <f t="shared" si="11"/>
        <v>0.64568000000000003</v>
      </c>
      <c r="BK281" s="58"/>
      <c r="BL281" s="58"/>
      <c r="BM281" s="58"/>
      <c r="BN281" s="58"/>
    </row>
    <row r="282" spans="1:66" x14ac:dyDescent="0.2">
      <c r="A282" t="str">
        <f t="shared" si="12"/>
        <v>Western AsiaSorghum</v>
      </c>
      <c r="B282" t="s">
        <v>1571</v>
      </c>
      <c r="C282" s="206" t="s">
        <v>548</v>
      </c>
      <c r="D282" s="206" t="str">
        <f>VLOOKUP(B282, [2]list_region_country!$B$3:$D$20, 3, FALSE)</f>
        <v>Western Asia</v>
      </c>
      <c r="E282" s="206" t="str">
        <f t="shared" si="13"/>
        <v>Western AsiaSorghum</v>
      </c>
      <c r="F282">
        <v>9735</v>
      </c>
      <c r="G282">
        <v>9882</v>
      </c>
      <c r="H282">
        <v>9591</v>
      </c>
      <c r="I282">
        <v>11294</v>
      </c>
      <c r="J282">
        <v>14459</v>
      </c>
      <c r="L282">
        <f t="shared" si="11"/>
        <v>1.0992200000000001</v>
      </c>
      <c r="BK282" s="58"/>
      <c r="BL282" s="58"/>
      <c r="BM282" s="58"/>
      <c r="BN282" s="58"/>
    </row>
    <row r="283" spans="1:66" x14ac:dyDescent="0.2">
      <c r="A283" t="str">
        <f t="shared" si="12"/>
        <v>Western AsiaRice, paddy</v>
      </c>
      <c r="B283" t="s">
        <v>1571</v>
      </c>
      <c r="C283" s="4393" t="s">
        <v>1601</v>
      </c>
      <c r="D283" s="206" t="str">
        <f>VLOOKUP(B283, [2]list_region_country!$B$3:$D$20, 3, FALSE)</f>
        <v>Western Asia</v>
      </c>
      <c r="E283" s="206" t="str">
        <f t="shared" si="13"/>
        <v>Western AsiaRice, paddy</v>
      </c>
      <c r="F283">
        <v>70809</v>
      </c>
      <c r="G283">
        <v>69972</v>
      </c>
      <c r="H283">
        <v>74862</v>
      </c>
      <c r="I283">
        <v>61440</v>
      </c>
      <c r="J283">
        <v>63167</v>
      </c>
      <c r="L283">
        <f t="shared" ref="L283:L288" si="14">AVERAGE(F283:J283)/10000</f>
        <v>6.8049999999999997</v>
      </c>
      <c r="BK283" s="58"/>
      <c r="BL283" s="58"/>
      <c r="BM283" s="58"/>
      <c r="BN283" s="58"/>
    </row>
    <row r="284" spans="1:66" x14ac:dyDescent="0.2">
      <c r="A284" t="str">
        <f t="shared" si="12"/>
        <v>Western AsiaRye</v>
      </c>
      <c r="B284" t="s">
        <v>1571</v>
      </c>
      <c r="C284" s="206" t="s">
        <v>1428</v>
      </c>
      <c r="D284" s="206" t="str">
        <f>VLOOKUP(B284, [2]list_region_country!$B$3:$D$20, 3, FALSE)</f>
        <v>Western Asia</v>
      </c>
      <c r="E284" s="206" t="str">
        <f t="shared" si="13"/>
        <v>Western AsiaRye</v>
      </c>
      <c r="F284">
        <v>26288</v>
      </c>
      <c r="G284">
        <v>31605</v>
      </c>
      <c r="H284">
        <v>28793</v>
      </c>
      <c r="I284">
        <v>27624</v>
      </c>
      <c r="J284">
        <v>28315</v>
      </c>
      <c r="L284">
        <f t="shared" si="14"/>
        <v>2.8525</v>
      </c>
      <c r="BK284" s="58"/>
      <c r="BL284" s="58"/>
      <c r="BM284" s="58"/>
      <c r="BN284" s="58"/>
    </row>
    <row r="285" spans="1:66" x14ac:dyDescent="0.2">
      <c r="A285" t="str">
        <f t="shared" si="12"/>
        <v>Western AsiaGroundnuts, with shell</v>
      </c>
      <c r="B285" t="s">
        <v>1571</v>
      </c>
      <c r="C285" s="206" t="s">
        <v>1506</v>
      </c>
      <c r="D285" s="206" t="str">
        <f>VLOOKUP(B285, [2]list_region_country!$B$3:$D$20, 3, FALSE)</f>
        <v>Western Asia</v>
      </c>
      <c r="E285" s="206" t="str">
        <f t="shared" si="13"/>
        <v>Western AsiaGroundnuts, with shell</v>
      </c>
      <c r="F285">
        <v>37755</v>
      </c>
      <c r="G285">
        <v>37996</v>
      </c>
      <c r="H285">
        <v>37732</v>
      </c>
      <c r="I285">
        <v>38123</v>
      </c>
      <c r="J285">
        <v>38135</v>
      </c>
      <c r="L285">
        <f t="shared" si="14"/>
        <v>3.7948199999999996</v>
      </c>
      <c r="BK285" s="58"/>
      <c r="BL285" s="58"/>
      <c r="BM285" s="58"/>
      <c r="BN285" s="58"/>
    </row>
    <row r="286" spans="1:66" x14ac:dyDescent="0.2">
      <c r="A286" t="str">
        <f t="shared" si="12"/>
        <v>Western AsiaBeans, dry</v>
      </c>
      <c r="B286" t="s">
        <v>1571</v>
      </c>
      <c r="C286" s="206" t="s">
        <v>1370</v>
      </c>
      <c r="D286" s="206" t="str">
        <f>VLOOKUP(B286, [2]list_region_country!$B$3:$D$20, 3, FALSE)</f>
        <v>Western Asia</v>
      </c>
      <c r="E286" s="206" t="str">
        <f t="shared" si="13"/>
        <v>Western AsiaBeans, dry</v>
      </c>
      <c r="F286">
        <v>25877</v>
      </c>
      <c r="G286">
        <v>25694</v>
      </c>
      <c r="H286">
        <v>25150</v>
      </c>
      <c r="I286">
        <v>24877</v>
      </c>
      <c r="J286">
        <v>26574</v>
      </c>
      <c r="L286">
        <f t="shared" si="14"/>
        <v>2.5634399999999999</v>
      </c>
      <c r="BK286" s="58"/>
      <c r="BL286" s="58"/>
      <c r="BM286" s="58"/>
      <c r="BN286" s="58"/>
    </row>
    <row r="287" spans="1:66" x14ac:dyDescent="0.2">
      <c r="A287" t="str">
        <f t="shared" si="12"/>
        <v>Western AsiaVegetables</v>
      </c>
      <c r="B287" t="s">
        <v>1571</v>
      </c>
      <c r="C287" s="206" t="s">
        <v>3717</v>
      </c>
      <c r="D287" s="206" t="str">
        <f>VLOOKUP(B287, [2]list_region_country!$B$3:$D$20, 3, FALSE)</f>
        <v>Western Asia</v>
      </c>
      <c r="E287" s="206" t="str">
        <f t="shared" si="13"/>
        <v>Western AsiaVegetables</v>
      </c>
      <c r="F287">
        <v>279871</v>
      </c>
      <c r="G287">
        <v>275683</v>
      </c>
      <c r="H287">
        <v>280587</v>
      </c>
      <c r="I287">
        <v>283304</v>
      </c>
      <c r="J287">
        <v>277794</v>
      </c>
      <c r="L287">
        <f t="shared" si="14"/>
        <v>27.944779999999998</v>
      </c>
      <c r="BK287" s="58"/>
      <c r="BL287" s="58"/>
      <c r="BM287" s="58"/>
      <c r="BN287" s="58"/>
    </row>
    <row r="288" spans="1:66" x14ac:dyDescent="0.2">
      <c r="A288" t="str">
        <f t="shared" si="12"/>
        <v>Western AsiaOilseeds</v>
      </c>
      <c r="B288" t="s">
        <v>1571</v>
      </c>
      <c r="C288" s="206" t="s">
        <v>3713</v>
      </c>
      <c r="D288" s="206" t="str">
        <f>VLOOKUP(B288, [2]list_region_country!$B$3:$D$20, 3, FALSE)</f>
        <v>Western Asia</v>
      </c>
      <c r="E288" s="206" t="str">
        <f t="shared" si="13"/>
        <v>Western AsiaOilseeds</v>
      </c>
      <c r="F288">
        <v>20097</v>
      </c>
      <c r="G288">
        <v>20986.111111111109</v>
      </c>
      <c r="H288">
        <v>20259.777777777777</v>
      </c>
      <c r="I288">
        <v>19757.888888888891</v>
      </c>
      <c r="J288">
        <v>20951</v>
      </c>
      <c r="L288">
        <f t="shared" si="14"/>
        <v>2.0410355555555557</v>
      </c>
      <c r="BK288" s="58"/>
      <c r="BL288" s="58"/>
      <c r="BM288" s="58"/>
      <c r="BN288" s="58"/>
    </row>
    <row r="289" spans="1:66" s="480" customFormat="1" x14ac:dyDescent="0.2">
      <c r="A289" s="480" t="str">
        <f>CONCATENATE(B289,C289)</f>
        <v>Western AsiaDefault</v>
      </c>
      <c r="B289" s="480" t="s">
        <v>1571</v>
      </c>
      <c r="C289" s="4394" t="str">
        <f>C271</f>
        <v>Default</v>
      </c>
      <c r="D289" s="483" t="str">
        <f>VLOOKUP(B289, [2]list_region_country!$B$3:$D$20, 3, FALSE)</f>
        <v>Western Asia</v>
      </c>
      <c r="E289" s="483" t="str">
        <f>CONCATENATE(D289,C289)</f>
        <v>Western AsiaDefault</v>
      </c>
      <c r="L289" s="480">
        <f>AVERAGEIF(L272:L288,"&gt;0")</f>
        <v>7.3312056209150329</v>
      </c>
      <c r="BK289" s="4397"/>
      <c r="BL289" s="4397"/>
      <c r="BM289" s="4397"/>
      <c r="BN289" s="4397"/>
    </row>
    <row r="290" spans="1:66" x14ac:dyDescent="0.2">
      <c r="C290" s="207"/>
      <c r="D290" s="206"/>
      <c r="E290" s="206"/>
      <c r="BK290" s="58"/>
      <c r="BL290" s="58"/>
      <c r="BM290" s="58"/>
      <c r="BN290" s="58"/>
    </row>
    <row r="291" spans="1:66" x14ac:dyDescent="0.2">
      <c r="C291" s="207"/>
      <c r="D291" s="206"/>
      <c r="E291" s="206"/>
      <c r="BK291" s="58"/>
      <c r="BL291" s="58"/>
      <c r="BM291" s="58"/>
      <c r="BN291" s="58"/>
    </row>
    <row r="292" spans="1:66" x14ac:dyDescent="0.2">
      <c r="C292" s="206"/>
      <c r="D292" s="206"/>
      <c r="E292" s="206"/>
      <c r="BK292" s="58"/>
      <c r="BL292" s="58"/>
      <c r="BM292" s="58"/>
      <c r="BN292" s="58"/>
    </row>
    <row r="293" spans="1:66" x14ac:dyDescent="0.2">
      <c r="C293" s="207"/>
      <c r="D293" s="206"/>
      <c r="E293" s="206"/>
      <c r="BK293" s="58"/>
      <c r="BL293" s="58"/>
      <c r="BM293" s="58"/>
      <c r="BN293" s="58"/>
    </row>
    <row r="294" spans="1:66" x14ac:dyDescent="0.2">
      <c r="C294" s="207"/>
      <c r="D294" s="206"/>
      <c r="E294" s="206"/>
      <c r="BK294" s="58"/>
      <c r="BL294" s="58"/>
      <c r="BM294" s="58"/>
      <c r="BN294" s="58"/>
    </row>
    <row r="295" spans="1:66" x14ac:dyDescent="0.2">
      <c r="C295" s="207"/>
      <c r="D295" s="206"/>
      <c r="E295" s="206"/>
      <c r="BK295" s="58"/>
      <c r="BL295" s="58"/>
      <c r="BM295" s="58"/>
      <c r="BN295" s="58"/>
    </row>
    <row r="296" spans="1:66" x14ac:dyDescent="0.2">
      <c r="C296" s="207"/>
      <c r="D296" s="206"/>
      <c r="E296" s="206"/>
      <c r="BK296" s="58"/>
      <c r="BL296" s="58"/>
      <c r="BM296" s="58"/>
      <c r="BN296" s="58"/>
    </row>
    <row r="297" spans="1:66" x14ac:dyDescent="0.2">
      <c r="C297" s="206"/>
      <c r="D297" s="206"/>
      <c r="E297" s="206"/>
      <c r="BK297" s="58"/>
      <c r="BL297" s="58"/>
      <c r="BM297" s="58"/>
      <c r="BN297" s="58"/>
    </row>
    <row r="298" spans="1:66" x14ac:dyDescent="0.2">
      <c r="C298" s="207"/>
      <c r="D298" s="206"/>
      <c r="E298" s="206"/>
      <c r="BK298" s="58"/>
      <c r="BL298" s="58"/>
      <c r="BM298" s="58"/>
      <c r="BN298" s="58"/>
    </row>
    <row r="299" spans="1:66" x14ac:dyDescent="0.2">
      <c r="C299" s="206"/>
      <c r="D299" s="206"/>
      <c r="E299" s="206"/>
      <c r="BK299" s="58"/>
      <c r="BL299" s="58"/>
      <c r="BM299" s="58"/>
      <c r="BN299" s="58"/>
    </row>
    <row r="300" spans="1:66" x14ac:dyDescent="0.2">
      <c r="C300" s="4393"/>
      <c r="D300" s="206"/>
      <c r="E300" s="206"/>
      <c r="BK300" s="58"/>
      <c r="BL300" s="58"/>
      <c r="BM300" s="58"/>
      <c r="BN300" s="58"/>
    </row>
    <row r="301" spans="1:66" x14ac:dyDescent="0.2">
      <c r="C301" s="206"/>
      <c r="D301" s="206"/>
      <c r="E301" s="206"/>
      <c r="BK301" s="58"/>
      <c r="BL301" s="58"/>
      <c r="BM301" s="58"/>
      <c r="BN301" s="58"/>
    </row>
    <row r="302" spans="1:66" x14ac:dyDescent="0.2">
      <c r="C302" s="206"/>
      <c r="D302" s="206"/>
      <c r="E302" s="206"/>
      <c r="BK302" s="58"/>
      <c r="BL302" s="58"/>
      <c r="BM302" s="58"/>
      <c r="BN302" s="58"/>
    </row>
    <row r="303" spans="1:66" x14ac:dyDescent="0.2">
      <c r="C303" s="206"/>
      <c r="D303" s="206"/>
      <c r="E303" s="206"/>
      <c r="BK303" s="58"/>
      <c r="BL303" s="58"/>
      <c r="BM303" s="58"/>
      <c r="BN303" s="58"/>
    </row>
    <row r="304" spans="1:66" x14ac:dyDescent="0.2">
      <c r="C304" s="4394"/>
      <c r="D304" s="206"/>
      <c r="E304" s="206"/>
      <c r="BK304" s="58"/>
      <c r="BL304" s="58"/>
      <c r="BM304" s="58"/>
      <c r="BN304" s="58"/>
    </row>
    <row r="305" spans="3:66" x14ac:dyDescent="0.2">
      <c r="C305" s="206"/>
      <c r="D305" s="206"/>
      <c r="E305" s="206"/>
      <c r="BK305" s="58"/>
      <c r="BL305" s="58"/>
      <c r="BM305" s="58"/>
      <c r="BN305" s="58"/>
    </row>
    <row r="306" spans="3:66" x14ac:dyDescent="0.2">
      <c r="C306" s="206"/>
      <c r="D306" s="206"/>
      <c r="E306" s="206"/>
      <c r="BK306" s="58"/>
      <c r="BL306" s="58"/>
      <c r="BM306" s="58"/>
      <c r="BN306" s="58"/>
    </row>
    <row r="307" spans="3:66" x14ac:dyDescent="0.2">
      <c r="C307" s="206"/>
      <c r="D307" s="206"/>
      <c r="E307" s="206"/>
      <c r="BK307" s="58"/>
      <c r="BL307" s="58"/>
      <c r="BM307" s="58"/>
      <c r="BN307" s="58"/>
    </row>
    <row r="308" spans="3:66" x14ac:dyDescent="0.2">
      <c r="C308" s="206"/>
      <c r="D308" s="206"/>
      <c r="E308" s="206"/>
      <c r="BK308" s="58"/>
      <c r="BL308" s="58"/>
      <c r="BM308" s="58"/>
      <c r="BN308" s="58"/>
    </row>
    <row r="309" spans="3:66" x14ac:dyDescent="0.2">
      <c r="C309" s="206"/>
      <c r="D309" s="206"/>
      <c r="E309" s="206"/>
      <c r="BK309" s="58"/>
      <c r="BL309" s="58"/>
      <c r="BM309" s="58"/>
      <c r="BN309" s="58"/>
    </row>
    <row r="310" spans="3:66" x14ac:dyDescent="0.2">
      <c r="C310" s="206"/>
      <c r="D310" s="206"/>
      <c r="E310" s="206"/>
      <c r="BK310" s="58"/>
      <c r="BL310" s="58"/>
      <c r="BM310" s="58"/>
      <c r="BN310" s="58"/>
    </row>
    <row r="311" spans="3:66" x14ac:dyDescent="0.2">
      <c r="C311" s="207"/>
      <c r="D311" s="206"/>
      <c r="E311" s="206"/>
      <c r="BK311" s="58"/>
      <c r="BL311" s="58"/>
      <c r="BM311" s="58"/>
      <c r="BN311" s="58"/>
    </row>
    <row r="312" spans="3:66" x14ac:dyDescent="0.2">
      <c r="C312" s="206"/>
      <c r="D312" s="206"/>
      <c r="E312" s="206"/>
      <c r="BK312" s="58"/>
      <c r="BL312" s="58"/>
      <c r="BM312" s="58"/>
      <c r="BN312" s="58"/>
    </row>
    <row r="313" spans="3:66" x14ac:dyDescent="0.2">
      <c r="C313" s="206"/>
      <c r="D313" s="206"/>
      <c r="E313" s="206"/>
      <c r="BK313" s="58"/>
      <c r="BL313" s="58"/>
      <c r="BM313" s="58"/>
      <c r="BN313" s="58"/>
    </row>
    <row r="314" spans="3:66" x14ac:dyDescent="0.2">
      <c r="C314" s="207"/>
      <c r="D314" s="206"/>
      <c r="E314" s="206"/>
      <c r="BK314" s="58"/>
      <c r="BL314" s="58"/>
      <c r="BM314" s="58"/>
      <c r="BN314" s="58"/>
    </row>
    <row r="315" spans="3:66" x14ac:dyDescent="0.2">
      <c r="C315" s="206"/>
      <c r="D315" s="206"/>
      <c r="E315" s="206"/>
      <c r="BK315" s="58"/>
      <c r="BL315" s="58"/>
      <c r="BM315" s="58"/>
      <c r="BN315" s="58"/>
    </row>
    <row r="316" spans="3:66" x14ac:dyDescent="0.2">
      <c r="C316" s="206"/>
      <c r="D316" s="206"/>
      <c r="E316" s="206"/>
      <c r="BK316" s="58"/>
      <c r="BL316" s="58"/>
      <c r="BM316" s="58"/>
      <c r="BN316" s="58"/>
    </row>
    <row r="317" spans="3:66" x14ac:dyDescent="0.2">
      <c r="C317" s="206"/>
      <c r="D317" s="206"/>
      <c r="E317" s="206"/>
      <c r="BK317" s="58"/>
      <c r="BL317" s="58"/>
      <c r="BM317" s="58"/>
      <c r="BN317" s="58"/>
    </row>
    <row r="318" spans="3:66" x14ac:dyDescent="0.2">
      <c r="C318" s="206"/>
      <c r="D318" s="206"/>
      <c r="E318" s="206"/>
      <c r="BK318" s="58"/>
      <c r="BL318" s="58"/>
      <c r="BM318" s="58"/>
      <c r="BN318" s="58"/>
    </row>
    <row r="319" spans="3:66" x14ac:dyDescent="0.2">
      <c r="C319" s="206"/>
      <c r="D319" s="206"/>
      <c r="E319" s="206"/>
      <c r="BK319" s="58"/>
      <c r="BL319" s="58"/>
      <c r="BM319" s="58"/>
      <c r="BN319" s="58"/>
    </row>
    <row r="320" spans="3:66" x14ac:dyDescent="0.2">
      <c r="C320" s="206"/>
      <c r="D320" s="206"/>
      <c r="E320" s="206"/>
      <c r="BK320" s="58"/>
      <c r="BL320" s="58"/>
      <c r="BM320" s="58"/>
      <c r="BN320" s="58"/>
    </row>
    <row r="321" spans="3:66" x14ac:dyDescent="0.2">
      <c r="C321" s="207"/>
      <c r="D321" s="206"/>
      <c r="E321" s="206"/>
      <c r="BK321" s="58"/>
      <c r="BL321" s="58"/>
      <c r="BM321" s="58"/>
      <c r="BN321" s="58"/>
    </row>
    <row r="322" spans="3:66" x14ac:dyDescent="0.2">
      <c r="C322" s="206"/>
      <c r="D322" s="206"/>
      <c r="E322" s="206"/>
      <c r="BK322" s="58"/>
      <c r="BL322" s="58"/>
      <c r="BM322" s="58"/>
      <c r="BN322" s="58"/>
    </row>
    <row r="323" spans="3:66" x14ac:dyDescent="0.2">
      <c r="C323" s="206"/>
      <c r="D323" s="206"/>
      <c r="E323" s="206"/>
      <c r="BK323" s="58"/>
      <c r="BL323" s="58"/>
      <c r="BM323" s="58"/>
      <c r="BN323" s="58"/>
    </row>
    <row r="324" spans="3:66" x14ac:dyDescent="0.2">
      <c r="C324" s="206"/>
      <c r="D324" s="206"/>
      <c r="E324" s="206"/>
      <c r="BK324" s="58"/>
      <c r="BL324" s="58"/>
      <c r="BM324" s="58"/>
      <c r="BN324" s="58"/>
    </row>
    <row r="325" spans="3:66" x14ac:dyDescent="0.2">
      <c r="C325" s="206"/>
      <c r="D325" s="206"/>
      <c r="E325" s="206"/>
      <c r="BK325" s="58"/>
      <c r="BL325" s="58"/>
      <c r="BM325" s="58"/>
      <c r="BN325" s="58"/>
    </row>
    <row r="326" spans="3:66" x14ac:dyDescent="0.2">
      <c r="C326" s="206"/>
      <c r="D326" s="206"/>
      <c r="E326" s="206"/>
      <c r="BK326" s="58"/>
      <c r="BL326" s="58"/>
      <c r="BM326" s="58"/>
      <c r="BN326" s="58"/>
    </row>
    <row r="327" spans="3:66" x14ac:dyDescent="0.2">
      <c r="C327" s="206"/>
      <c r="D327" s="206"/>
      <c r="E327" s="206"/>
      <c r="BK327" s="58"/>
      <c r="BL327" s="58"/>
      <c r="BM327" s="58"/>
      <c r="BN327" s="58"/>
    </row>
    <row r="328" spans="3:66" x14ac:dyDescent="0.2">
      <c r="C328" s="206"/>
      <c r="D328" s="206"/>
      <c r="E328" s="206"/>
      <c r="BK328" s="58"/>
      <c r="BL328" s="58"/>
      <c r="BM328" s="58"/>
      <c r="BN328" s="58"/>
    </row>
    <row r="329" spans="3:66" x14ac:dyDescent="0.2">
      <c r="C329" s="206"/>
      <c r="D329" s="206"/>
      <c r="E329" s="206"/>
      <c r="BK329" s="58"/>
      <c r="BL329" s="58"/>
      <c r="BM329" s="58"/>
      <c r="BN329" s="58"/>
    </row>
    <row r="330" spans="3:66" x14ac:dyDescent="0.2">
      <c r="C330" s="206"/>
      <c r="D330" s="206"/>
      <c r="E330" s="206"/>
      <c r="BK330" s="58"/>
      <c r="BL330" s="58"/>
      <c r="BM330" s="58"/>
      <c r="BN330" s="58"/>
    </row>
    <row r="331" spans="3:66" s="4399" customFormat="1" x14ac:dyDescent="0.2">
      <c r="C331" s="4400"/>
      <c r="D331" s="4401"/>
      <c r="E331" s="4401"/>
      <c r="L331"/>
      <c r="AF331" s="4402"/>
      <c r="AG331" s="4402"/>
      <c r="AH331" s="4402"/>
      <c r="AI331" s="4402"/>
      <c r="AJ331" s="4402"/>
      <c r="BK331" s="4402"/>
      <c r="BL331" s="4402"/>
      <c r="BM331" s="4402"/>
      <c r="BN331" s="4402"/>
    </row>
    <row r="332" spans="3:66" x14ac:dyDescent="0.2">
      <c r="C332" s="206"/>
      <c r="D332" s="206"/>
      <c r="E332" s="206"/>
      <c r="AF332" s="58"/>
      <c r="AG332" s="58"/>
      <c r="AH332" s="58"/>
      <c r="AI332" s="58"/>
      <c r="AJ332" s="58"/>
      <c r="BK332" s="58"/>
      <c r="BL332" s="58"/>
      <c r="BM332" s="58"/>
      <c r="BN332" s="58"/>
    </row>
    <row r="333" spans="3:66" x14ac:dyDescent="0.2">
      <c r="C333" s="207"/>
      <c r="D333" s="206"/>
      <c r="E333" s="206"/>
      <c r="AF333" s="58"/>
      <c r="AG333" s="58"/>
      <c r="AH333" s="58"/>
      <c r="AI333" s="58"/>
      <c r="AJ333" s="58"/>
      <c r="BK333" s="58"/>
      <c r="BL333" s="58"/>
      <c r="BM333" s="58"/>
      <c r="BN333" s="58"/>
    </row>
    <row r="334" spans="3:66" x14ac:dyDescent="0.2">
      <c r="C334" s="206"/>
      <c r="D334" s="206"/>
      <c r="E334" s="206"/>
      <c r="AF334" s="58"/>
      <c r="AG334" s="58"/>
      <c r="AH334" s="58"/>
      <c r="AI334" s="58"/>
      <c r="AJ334" s="58"/>
      <c r="BK334" s="58"/>
      <c r="BL334" s="58"/>
      <c r="BM334" s="58"/>
      <c r="BN334" s="58"/>
    </row>
    <row r="335" spans="3:66" x14ac:dyDescent="0.2">
      <c r="C335" s="206"/>
      <c r="D335" s="206"/>
      <c r="E335" s="206"/>
      <c r="AF335" s="58"/>
      <c r="AG335" s="58"/>
      <c r="AH335" s="58"/>
      <c r="AI335" s="58"/>
      <c r="AJ335" s="58"/>
      <c r="BK335" s="58"/>
      <c r="BL335" s="58"/>
      <c r="BM335" s="58"/>
      <c r="BN335" s="58"/>
    </row>
    <row r="336" spans="3:66" x14ac:dyDescent="0.2">
      <c r="C336" s="207"/>
      <c r="D336" s="206"/>
      <c r="E336" s="206"/>
      <c r="AF336" s="58"/>
      <c r="AG336" s="58"/>
      <c r="AH336" s="58"/>
      <c r="AI336" s="58"/>
      <c r="AJ336" s="58"/>
      <c r="BK336" s="58"/>
      <c r="BL336" s="58"/>
      <c r="BM336" s="58"/>
      <c r="BN336" s="58"/>
    </row>
    <row r="337" spans="3:66" x14ac:dyDescent="0.2">
      <c r="C337" s="206"/>
      <c r="D337" s="206"/>
      <c r="E337" s="206"/>
      <c r="AF337" s="58"/>
      <c r="AG337" s="58"/>
      <c r="AH337" s="58"/>
      <c r="AI337" s="58"/>
      <c r="AJ337" s="58"/>
      <c r="BK337" s="58"/>
      <c r="BL337" s="58"/>
      <c r="BM337" s="58"/>
      <c r="BN337" s="58"/>
    </row>
    <row r="338" spans="3:66" x14ac:dyDescent="0.2">
      <c r="C338" s="207"/>
      <c r="D338" s="206"/>
      <c r="E338" s="206"/>
      <c r="AF338" s="58"/>
      <c r="AG338" s="58"/>
      <c r="AH338" s="58"/>
      <c r="AI338" s="58"/>
      <c r="AJ338" s="58"/>
      <c r="BK338" s="58"/>
      <c r="BL338" s="58"/>
      <c r="BM338" s="58"/>
      <c r="BN338" s="58"/>
    </row>
    <row r="339" spans="3:66" x14ac:dyDescent="0.2">
      <c r="C339" s="207"/>
      <c r="D339" s="206"/>
      <c r="E339" s="206"/>
      <c r="AF339" s="58"/>
      <c r="AG339" s="58"/>
      <c r="AH339" s="58"/>
      <c r="AI339" s="58"/>
      <c r="AJ339" s="58"/>
      <c r="BK339" s="58"/>
      <c r="BL339" s="58"/>
      <c r="BM339" s="58"/>
      <c r="BN339" s="58"/>
    </row>
    <row r="340" spans="3:66" x14ac:dyDescent="0.2">
      <c r="C340" s="207"/>
      <c r="D340" s="206"/>
      <c r="E340" s="206"/>
      <c r="AF340" s="58"/>
      <c r="AG340" s="58"/>
      <c r="AH340" s="58"/>
      <c r="AI340" s="58"/>
      <c r="AJ340" s="58"/>
      <c r="BK340" s="58"/>
      <c r="BL340" s="58"/>
      <c r="BM340" s="58"/>
      <c r="BN340" s="58"/>
    </row>
    <row r="341" spans="3:66" x14ac:dyDescent="0.2">
      <c r="C341" s="207"/>
      <c r="D341" s="206"/>
      <c r="E341" s="206"/>
      <c r="AF341" s="58"/>
      <c r="AG341" s="58"/>
      <c r="AH341" s="58"/>
      <c r="AI341" s="58"/>
      <c r="AJ341" s="58"/>
      <c r="BK341" s="58"/>
      <c r="BL341" s="58"/>
      <c r="BM341" s="58"/>
      <c r="BN341" s="58"/>
    </row>
    <row r="342" spans="3:66" x14ac:dyDescent="0.2">
      <c r="C342" s="206"/>
      <c r="D342" s="206"/>
      <c r="E342" s="206"/>
      <c r="AF342" s="58"/>
      <c r="AG342" s="58"/>
      <c r="AH342" s="58"/>
      <c r="AI342" s="58"/>
      <c r="AJ342" s="58"/>
      <c r="BK342" s="58"/>
      <c r="BL342" s="58"/>
      <c r="BM342" s="58"/>
      <c r="BN342" s="58"/>
    </row>
    <row r="343" spans="3:66" x14ac:dyDescent="0.2">
      <c r="C343" s="207"/>
      <c r="D343" s="206"/>
      <c r="E343" s="206"/>
      <c r="AF343" s="58"/>
      <c r="AG343" s="58"/>
      <c r="AH343" s="58"/>
      <c r="AI343" s="58"/>
      <c r="AJ343" s="58"/>
      <c r="BK343" s="58"/>
      <c r="BL343" s="58"/>
      <c r="BM343" s="58"/>
      <c r="BN343" s="58"/>
    </row>
    <row r="344" spans="3:66" x14ac:dyDescent="0.2">
      <c r="C344" s="206"/>
      <c r="D344" s="206"/>
      <c r="E344" s="206"/>
      <c r="AF344" s="58"/>
      <c r="AG344" s="58"/>
      <c r="AH344" s="58"/>
      <c r="AI344" s="58"/>
      <c r="AJ344" s="58"/>
      <c r="BK344" s="58"/>
      <c r="BL344" s="58"/>
      <c r="BM344" s="58"/>
      <c r="BN344" s="58"/>
    </row>
    <row r="345" spans="3:66" x14ac:dyDescent="0.2">
      <c r="C345" s="206"/>
      <c r="D345" s="206"/>
      <c r="E345" s="206"/>
      <c r="AF345" s="58"/>
      <c r="AG345" s="58"/>
      <c r="AH345" s="58"/>
      <c r="AI345" s="58"/>
      <c r="AJ345" s="58"/>
      <c r="BK345" s="58"/>
      <c r="BL345" s="58"/>
      <c r="BM345" s="58"/>
      <c r="BN345" s="58"/>
    </row>
    <row r="346" spans="3:66" x14ac:dyDescent="0.2">
      <c r="C346" s="206"/>
      <c r="D346" s="206"/>
      <c r="E346" s="206"/>
      <c r="AF346" s="58"/>
      <c r="AG346" s="58"/>
      <c r="AH346" s="58"/>
      <c r="AI346" s="58"/>
      <c r="AJ346" s="58"/>
      <c r="BK346" s="58"/>
      <c r="BL346" s="58"/>
      <c r="BM346" s="58"/>
      <c r="BN346" s="58"/>
    </row>
    <row r="347" spans="3:66" x14ac:dyDescent="0.2">
      <c r="C347" s="206"/>
      <c r="D347" s="206"/>
      <c r="E347" s="206"/>
      <c r="AF347" s="58"/>
      <c r="AG347" s="58"/>
      <c r="AH347" s="58"/>
      <c r="AI347" s="58"/>
      <c r="AJ347" s="58"/>
      <c r="BK347" s="58"/>
      <c r="BL347" s="58"/>
      <c r="BM347" s="58"/>
      <c r="BN347" s="58"/>
    </row>
    <row r="348" spans="3:66" x14ac:dyDescent="0.2">
      <c r="C348" s="207"/>
      <c r="D348" s="206"/>
      <c r="E348" s="206"/>
      <c r="AF348" s="58"/>
      <c r="AG348" s="58"/>
      <c r="AH348" s="58"/>
      <c r="AI348" s="58"/>
      <c r="AJ348" s="58"/>
      <c r="BK348" s="58"/>
      <c r="BL348" s="58"/>
      <c r="BM348" s="58"/>
      <c r="BN348" s="58"/>
    </row>
    <row r="349" spans="3:66" x14ac:dyDescent="0.2">
      <c r="C349" s="206"/>
      <c r="D349" s="206"/>
      <c r="E349" s="206"/>
      <c r="AF349" s="58"/>
      <c r="AG349" s="58"/>
      <c r="AH349" s="58"/>
      <c r="AI349" s="58"/>
      <c r="AJ349" s="58"/>
      <c r="BK349" s="58"/>
      <c r="BL349" s="58"/>
      <c r="BM349" s="58"/>
      <c r="BN349" s="58"/>
    </row>
    <row r="350" spans="3:66" x14ac:dyDescent="0.2">
      <c r="C350" s="206"/>
      <c r="D350" s="206"/>
      <c r="E350" s="206"/>
      <c r="AF350" s="58"/>
      <c r="AG350" s="58"/>
      <c r="AH350" s="58"/>
      <c r="AI350" s="58"/>
      <c r="AJ350" s="58"/>
      <c r="BK350" s="58"/>
      <c r="BL350" s="58"/>
      <c r="BM350" s="58"/>
      <c r="BN350" s="58"/>
    </row>
    <row r="351" spans="3:66" x14ac:dyDescent="0.2">
      <c r="C351" s="206"/>
      <c r="D351" s="206"/>
      <c r="E351" s="206"/>
      <c r="AF351" s="58"/>
      <c r="AG351" s="58"/>
      <c r="AH351" s="58"/>
      <c r="AI351" s="58"/>
      <c r="AJ351" s="58"/>
      <c r="BK351" s="58"/>
      <c r="BL351" s="58"/>
      <c r="BM351" s="58"/>
      <c r="BN351" s="58"/>
    </row>
    <row r="352" spans="3:66" x14ac:dyDescent="0.2">
      <c r="C352" s="207"/>
      <c r="D352" s="206"/>
      <c r="E352" s="206"/>
      <c r="AF352" s="58"/>
      <c r="AG352" s="58"/>
      <c r="AH352" s="58"/>
      <c r="AI352" s="58"/>
      <c r="AJ352" s="58"/>
      <c r="BK352" s="58"/>
      <c r="BL352" s="58"/>
      <c r="BM352" s="58"/>
      <c r="BN352" s="58"/>
    </row>
    <row r="353" spans="3:66" x14ac:dyDescent="0.2">
      <c r="C353" s="207"/>
      <c r="D353" s="206"/>
      <c r="E353" s="206"/>
      <c r="AF353" s="58"/>
      <c r="AG353" s="58"/>
      <c r="AH353" s="58"/>
      <c r="AI353" s="58"/>
      <c r="AJ353" s="58"/>
      <c r="BK353" s="58"/>
      <c r="BL353" s="58"/>
      <c r="BM353" s="58"/>
      <c r="BN353" s="58"/>
    </row>
    <row r="354" spans="3:66" x14ac:dyDescent="0.2">
      <c r="C354" s="206"/>
      <c r="D354" s="206"/>
      <c r="E354" s="206"/>
      <c r="AF354" s="58"/>
      <c r="AG354" s="58"/>
      <c r="AH354" s="58"/>
      <c r="AI354" s="58"/>
      <c r="AJ354" s="58"/>
      <c r="BK354" s="58"/>
      <c r="BL354" s="58"/>
      <c r="BM354" s="58"/>
      <c r="BN354" s="58"/>
    </row>
    <row r="355" spans="3:66" x14ac:dyDescent="0.2">
      <c r="C355" s="207"/>
      <c r="D355" s="206"/>
      <c r="E355" s="206"/>
      <c r="AF355" s="58"/>
      <c r="AG355" s="58"/>
      <c r="AH355" s="58"/>
      <c r="AI355" s="58"/>
      <c r="AJ355" s="58"/>
      <c r="BK355" s="58"/>
      <c r="BL355" s="58"/>
      <c r="BM355" s="58"/>
      <c r="BN355" s="58"/>
    </row>
    <row r="356" spans="3:66" x14ac:dyDescent="0.2">
      <c r="C356" s="207"/>
      <c r="D356" s="206"/>
      <c r="E356" s="206"/>
      <c r="AF356" s="58"/>
      <c r="AG356" s="58"/>
      <c r="AH356" s="58"/>
      <c r="AI356" s="58"/>
      <c r="AJ356" s="58"/>
      <c r="BK356" s="58"/>
      <c r="BL356" s="58"/>
      <c r="BM356" s="58"/>
      <c r="BN356" s="58"/>
    </row>
    <row r="357" spans="3:66" x14ac:dyDescent="0.2">
      <c r="C357" s="207"/>
      <c r="D357" s="206"/>
      <c r="E357" s="206"/>
      <c r="AF357" s="58"/>
      <c r="AG357" s="58"/>
      <c r="AH357" s="58"/>
      <c r="AI357" s="58"/>
      <c r="AJ357" s="58"/>
      <c r="BK357" s="58"/>
      <c r="BL357" s="58"/>
      <c r="BM357" s="58"/>
      <c r="BN357" s="58"/>
    </row>
    <row r="358" spans="3:66" x14ac:dyDescent="0.2">
      <c r="C358" s="207"/>
      <c r="D358" s="206"/>
      <c r="E358" s="206"/>
      <c r="AF358" s="58"/>
      <c r="AG358" s="58"/>
      <c r="AH358" s="58"/>
      <c r="AI358" s="58"/>
      <c r="AJ358" s="58"/>
      <c r="BK358" s="58"/>
      <c r="BL358" s="58"/>
      <c r="BM358" s="58"/>
      <c r="BN358" s="58"/>
    </row>
    <row r="359" spans="3:66" x14ac:dyDescent="0.2">
      <c r="C359" s="207"/>
      <c r="D359" s="206"/>
      <c r="E359" s="206"/>
      <c r="AF359" s="58"/>
      <c r="AG359" s="58"/>
      <c r="AH359" s="58"/>
      <c r="AI359" s="58"/>
      <c r="AJ359" s="58"/>
      <c r="BK359" s="58"/>
      <c r="BL359" s="58"/>
      <c r="BM359" s="58"/>
      <c r="BN359" s="58"/>
    </row>
    <row r="360" spans="3:66" x14ac:dyDescent="0.2">
      <c r="C360" s="206"/>
      <c r="D360" s="206"/>
      <c r="E360" s="206"/>
      <c r="AF360" s="58"/>
      <c r="AG360" s="58"/>
      <c r="AH360" s="58"/>
      <c r="AI360" s="58"/>
      <c r="AJ360" s="58"/>
      <c r="BK360" s="58"/>
      <c r="BL360" s="58"/>
      <c r="BM360" s="58"/>
      <c r="BN360" s="58"/>
    </row>
    <row r="361" spans="3:66" x14ac:dyDescent="0.2">
      <c r="C361" s="206"/>
      <c r="D361" s="206"/>
      <c r="E361" s="206"/>
      <c r="AF361" s="58"/>
      <c r="AG361" s="58"/>
      <c r="AH361" s="58"/>
      <c r="AI361" s="58"/>
      <c r="AJ361" s="58"/>
      <c r="BK361" s="58"/>
      <c r="BL361" s="58"/>
      <c r="BM361" s="58"/>
      <c r="BN361" s="58"/>
    </row>
    <row r="362" spans="3:66" x14ac:dyDescent="0.2">
      <c r="C362" s="206"/>
      <c r="D362" s="206"/>
      <c r="E362" s="206"/>
      <c r="AF362" s="58"/>
      <c r="AG362" s="58"/>
      <c r="AH362" s="58"/>
      <c r="AI362" s="58"/>
      <c r="AJ362" s="58"/>
      <c r="BK362" s="58"/>
      <c r="BL362" s="58"/>
      <c r="BM362" s="58"/>
      <c r="BN362" s="58"/>
    </row>
    <row r="363" spans="3:66" x14ac:dyDescent="0.2">
      <c r="C363" s="206"/>
      <c r="D363" s="206"/>
      <c r="E363" s="206"/>
      <c r="AF363" s="58"/>
      <c r="AG363" s="58"/>
      <c r="AH363" s="58"/>
      <c r="AI363" s="58"/>
      <c r="AJ363" s="58"/>
      <c r="BK363" s="58"/>
      <c r="BL363" s="58"/>
      <c r="BM363" s="58"/>
      <c r="BN363" s="58"/>
    </row>
    <row r="364" spans="3:66" x14ac:dyDescent="0.2">
      <c r="C364" s="206"/>
      <c r="D364" s="206"/>
      <c r="E364" s="206"/>
      <c r="AF364" s="58"/>
      <c r="AG364" s="58"/>
      <c r="AH364" s="58"/>
      <c r="AI364" s="58"/>
      <c r="AJ364" s="58"/>
      <c r="BK364" s="58"/>
      <c r="BL364" s="58"/>
      <c r="BM364" s="58"/>
      <c r="BN364" s="58"/>
    </row>
    <row r="365" spans="3:66" x14ac:dyDescent="0.2">
      <c r="C365" s="207"/>
      <c r="D365" s="206"/>
      <c r="E365" s="206"/>
      <c r="AF365" s="58"/>
      <c r="AG365" s="58"/>
      <c r="AH365" s="58"/>
      <c r="AI365" s="58"/>
      <c r="AJ365" s="58"/>
      <c r="BK365" s="58"/>
      <c r="BL365" s="58"/>
      <c r="BM365" s="58"/>
      <c r="BN365" s="58"/>
    </row>
    <row r="366" spans="3:66" x14ac:dyDescent="0.2">
      <c r="C366" s="206"/>
      <c r="D366" s="206"/>
      <c r="E366" s="206"/>
      <c r="AF366" s="58"/>
      <c r="AG366" s="58"/>
      <c r="AH366" s="58"/>
      <c r="AI366" s="58"/>
      <c r="AJ366" s="58"/>
      <c r="BK366" s="58"/>
      <c r="BL366" s="58"/>
      <c r="BM366" s="58"/>
      <c r="BN366" s="58"/>
    </row>
    <row r="367" spans="3:66" x14ac:dyDescent="0.2">
      <c r="C367" s="206"/>
      <c r="D367" s="206"/>
      <c r="E367" s="206"/>
      <c r="AF367" s="58"/>
      <c r="AG367" s="58"/>
      <c r="AH367" s="58"/>
      <c r="AI367" s="58"/>
      <c r="AJ367" s="58"/>
      <c r="BK367" s="58"/>
      <c r="BL367" s="58"/>
      <c r="BM367" s="58"/>
      <c r="BN367" s="58"/>
    </row>
    <row r="368" spans="3:66" x14ac:dyDescent="0.2">
      <c r="C368" s="206"/>
      <c r="D368" s="206"/>
      <c r="E368" s="206"/>
      <c r="AF368" s="58"/>
      <c r="AG368" s="58"/>
      <c r="AH368" s="58"/>
      <c r="AI368" s="58"/>
      <c r="AJ368" s="58"/>
      <c r="BK368" s="58"/>
      <c r="BL368" s="58"/>
      <c r="BM368" s="58"/>
      <c r="BN368" s="58"/>
    </row>
    <row r="369" spans="3:66" x14ac:dyDescent="0.2">
      <c r="C369" s="206"/>
      <c r="D369" s="206"/>
      <c r="E369" s="206"/>
      <c r="AF369" s="58"/>
      <c r="AG369" s="58"/>
      <c r="AH369" s="58"/>
      <c r="AI369" s="58"/>
      <c r="AJ369" s="58"/>
      <c r="BK369" s="58"/>
      <c r="BL369" s="58"/>
      <c r="BM369" s="58"/>
      <c r="BN369" s="58"/>
    </row>
    <row r="370" spans="3:66" x14ac:dyDescent="0.2">
      <c r="C370" s="207"/>
      <c r="D370" s="206"/>
      <c r="E370" s="206"/>
      <c r="AF370" s="58"/>
      <c r="AG370" s="58"/>
      <c r="AH370" s="58"/>
      <c r="AI370" s="58"/>
      <c r="AJ370" s="58"/>
      <c r="BK370" s="58"/>
      <c r="BL370" s="58"/>
      <c r="BM370" s="58"/>
      <c r="BN370" s="58"/>
    </row>
    <row r="371" spans="3:66" x14ac:dyDescent="0.2">
      <c r="C371" s="207"/>
      <c r="D371" s="206"/>
      <c r="E371" s="206"/>
      <c r="AF371" s="58"/>
      <c r="AG371" s="58"/>
      <c r="AH371" s="58"/>
      <c r="AI371" s="58"/>
      <c r="AJ371" s="58"/>
      <c r="BK371" s="58"/>
      <c r="BL371" s="58"/>
      <c r="BM371" s="58"/>
      <c r="BN371" s="58"/>
    </row>
    <row r="372" spans="3:66" x14ac:dyDescent="0.2">
      <c r="C372" s="207"/>
      <c r="D372" s="206"/>
      <c r="E372" s="206"/>
      <c r="AF372" s="58"/>
      <c r="AG372" s="58"/>
      <c r="AH372" s="58"/>
      <c r="AI372" s="58"/>
      <c r="AJ372" s="58"/>
      <c r="BK372" s="58"/>
      <c r="BL372" s="58"/>
      <c r="BM372" s="58"/>
      <c r="BN372" s="58"/>
    </row>
    <row r="373" spans="3:66" x14ac:dyDescent="0.2">
      <c r="C373" s="207"/>
      <c r="D373" s="206"/>
      <c r="E373" s="206"/>
      <c r="AF373" s="58"/>
      <c r="AG373" s="58"/>
      <c r="AH373" s="58"/>
      <c r="AI373" s="58"/>
      <c r="AJ373" s="58"/>
      <c r="BK373" s="58"/>
      <c r="BL373" s="58"/>
      <c r="BM373" s="58"/>
      <c r="BN373" s="58"/>
    </row>
    <row r="374" spans="3:66" x14ac:dyDescent="0.2">
      <c r="C374" s="207"/>
      <c r="D374" s="206"/>
      <c r="E374" s="206"/>
      <c r="AF374" s="58"/>
      <c r="AG374" s="58"/>
      <c r="AH374" s="58"/>
      <c r="AI374" s="58"/>
      <c r="AJ374" s="58"/>
      <c r="BK374" s="58"/>
      <c r="BL374" s="58"/>
      <c r="BM374" s="58"/>
      <c r="BN374" s="58"/>
    </row>
    <row r="375" spans="3:66" x14ac:dyDescent="0.2">
      <c r="C375" s="207"/>
      <c r="D375" s="206"/>
      <c r="E375" s="206"/>
      <c r="AF375" s="58"/>
      <c r="AG375" s="58"/>
      <c r="AH375" s="58"/>
      <c r="AI375" s="58"/>
      <c r="AJ375" s="58"/>
      <c r="BK375" s="58"/>
      <c r="BL375" s="58"/>
      <c r="BM375" s="58"/>
      <c r="BN375" s="58"/>
    </row>
    <row r="376" spans="3:66" x14ac:dyDescent="0.2">
      <c r="C376" s="207"/>
      <c r="D376" s="206"/>
      <c r="E376" s="206"/>
      <c r="AF376" s="58"/>
      <c r="AG376" s="58"/>
      <c r="AH376" s="58"/>
      <c r="AI376" s="58"/>
      <c r="AJ376" s="58"/>
      <c r="BK376" s="58"/>
      <c r="BL376" s="58"/>
      <c r="BM376" s="58"/>
      <c r="BN376" s="58"/>
    </row>
    <row r="377" spans="3:66" x14ac:dyDescent="0.2">
      <c r="C377" s="207"/>
      <c r="D377" s="206"/>
      <c r="E377" s="206"/>
      <c r="AF377" s="58"/>
      <c r="AG377" s="58"/>
      <c r="AH377" s="58"/>
      <c r="AI377" s="58"/>
      <c r="AJ377" s="58"/>
      <c r="BK377" s="58"/>
      <c r="BL377" s="58"/>
      <c r="BM377" s="58"/>
      <c r="BN377" s="58"/>
    </row>
    <row r="378" spans="3:66" x14ac:dyDescent="0.2">
      <c r="C378" s="206"/>
      <c r="D378" s="206"/>
      <c r="E378" s="206"/>
      <c r="AF378" s="58"/>
      <c r="AG378" s="58"/>
      <c r="AH378" s="58"/>
      <c r="AI378" s="58"/>
      <c r="AJ378" s="58"/>
      <c r="BK378" s="58"/>
      <c r="BL378" s="58"/>
      <c r="BM378" s="58"/>
      <c r="BN378" s="58"/>
    </row>
    <row r="379" spans="3:66" x14ac:dyDescent="0.2">
      <c r="C379" s="206"/>
      <c r="D379" s="206"/>
      <c r="E379" s="206"/>
      <c r="AF379" s="58"/>
      <c r="AG379" s="58"/>
      <c r="AH379" s="58"/>
      <c r="AI379" s="58"/>
      <c r="AJ379" s="58"/>
      <c r="BK379" s="58"/>
      <c r="BL379" s="58"/>
      <c r="BM379" s="58"/>
      <c r="BN379" s="58"/>
    </row>
    <row r="380" spans="3:66" x14ac:dyDescent="0.2">
      <c r="C380" s="207"/>
      <c r="D380" s="206"/>
      <c r="E380" s="206"/>
      <c r="AF380" s="58"/>
      <c r="AG380" s="58"/>
      <c r="AH380" s="58"/>
      <c r="AI380" s="58"/>
      <c r="AJ380" s="58"/>
      <c r="BK380" s="58"/>
      <c r="BL380" s="58"/>
      <c r="BM380" s="58"/>
      <c r="BN380" s="58"/>
    </row>
    <row r="381" spans="3:66" x14ac:dyDescent="0.2">
      <c r="C381" s="206"/>
      <c r="D381" s="206"/>
      <c r="E381" s="206"/>
      <c r="AF381" s="58"/>
      <c r="AG381" s="58"/>
      <c r="AH381" s="58"/>
      <c r="AI381" s="58"/>
      <c r="AJ381" s="58"/>
      <c r="BK381" s="58"/>
      <c r="BL381" s="58"/>
      <c r="BM381" s="58"/>
      <c r="BN381" s="58"/>
    </row>
    <row r="382" spans="3:66" x14ac:dyDescent="0.2">
      <c r="C382" s="207"/>
      <c r="D382" s="206"/>
      <c r="E382" s="206"/>
      <c r="AF382" s="58"/>
      <c r="AG382" s="58"/>
      <c r="AH382" s="58"/>
      <c r="AI382" s="58"/>
      <c r="AJ382" s="58"/>
      <c r="BK382" s="58"/>
      <c r="BL382" s="58"/>
      <c r="BM382" s="58"/>
      <c r="BN382" s="58"/>
    </row>
    <row r="383" spans="3:66" x14ac:dyDescent="0.2">
      <c r="C383" s="206"/>
      <c r="D383" s="206"/>
      <c r="E383" s="206"/>
      <c r="AF383" s="58"/>
      <c r="AG383" s="58"/>
      <c r="AH383" s="58"/>
      <c r="AI383" s="58"/>
      <c r="AJ383" s="58"/>
      <c r="BK383" s="58"/>
      <c r="BL383" s="58"/>
      <c r="BM383" s="58"/>
      <c r="BN383" s="58"/>
    </row>
    <row r="384" spans="3:66" x14ac:dyDescent="0.2">
      <c r="C384" s="207"/>
      <c r="D384" s="206"/>
      <c r="E384" s="206"/>
      <c r="AF384" s="58"/>
      <c r="AG384" s="58"/>
      <c r="AH384" s="58"/>
      <c r="AI384" s="58"/>
      <c r="AJ384" s="58"/>
      <c r="BK384" s="58"/>
      <c r="BL384" s="58"/>
      <c r="BM384" s="58"/>
      <c r="BN384" s="58"/>
    </row>
    <row r="385" spans="3:66" x14ac:dyDescent="0.2">
      <c r="C385" s="207"/>
      <c r="D385" s="206"/>
      <c r="E385" s="206"/>
      <c r="AF385" s="58"/>
      <c r="AG385" s="58"/>
      <c r="AH385" s="58"/>
      <c r="AI385" s="58"/>
      <c r="AJ385" s="58"/>
      <c r="BK385" s="58"/>
      <c r="BL385" s="58"/>
      <c r="BM385" s="58"/>
      <c r="BN385" s="58"/>
    </row>
    <row r="386" spans="3:66" x14ac:dyDescent="0.2">
      <c r="C386" s="206"/>
      <c r="D386" s="206"/>
      <c r="E386" s="206"/>
      <c r="AF386" s="58"/>
      <c r="AG386" s="58"/>
      <c r="AH386" s="58"/>
      <c r="AI386" s="58"/>
      <c r="AJ386" s="58"/>
      <c r="BK386" s="58"/>
      <c r="BL386" s="58"/>
      <c r="BM386" s="58"/>
      <c r="BN386" s="58"/>
    </row>
    <row r="387" spans="3:66" x14ac:dyDescent="0.2">
      <c r="C387" s="206"/>
      <c r="D387" s="206"/>
      <c r="E387" s="206"/>
      <c r="AF387" s="58"/>
      <c r="AG387" s="58"/>
      <c r="AH387" s="58"/>
      <c r="AI387" s="58"/>
      <c r="AJ387" s="58"/>
      <c r="BK387" s="58"/>
      <c r="BL387" s="58"/>
      <c r="BM387" s="58"/>
      <c r="BN387" s="58"/>
    </row>
    <row r="388" spans="3:66" x14ac:dyDescent="0.2">
      <c r="C388" s="206"/>
      <c r="D388" s="206"/>
      <c r="E388" s="206"/>
      <c r="AF388" s="58"/>
      <c r="AG388" s="58"/>
      <c r="AH388" s="58"/>
      <c r="AI388" s="58"/>
      <c r="AJ388" s="58"/>
      <c r="BK388" s="58"/>
      <c r="BL388" s="58"/>
      <c r="BM388" s="58"/>
      <c r="BN388" s="58"/>
    </row>
    <row r="389" spans="3:66" x14ac:dyDescent="0.2">
      <c r="C389" s="206"/>
      <c r="D389" s="206"/>
      <c r="E389" s="206"/>
      <c r="AF389" s="58"/>
      <c r="AG389" s="58"/>
      <c r="AH389" s="58"/>
      <c r="AI389" s="58"/>
      <c r="AJ389" s="58"/>
      <c r="BK389" s="58"/>
      <c r="BL389" s="58"/>
      <c r="BM389" s="58"/>
      <c r="BN389" s="58"/>
    </row>
    <row r="390" spans="3:66" x14ac:dyDescent="0.2">
      <c r="C390" s="207"/>
      <c r="D390" s="206"/>
      <c r="E390" s="206"/>
      <c r="AF390" s="58"/>
      <c r="AG390" s="58"/>
      <c r="AH390" s="58"/>
      <c r="AI390" s="58"/>
      <c r="AJ390" s="58"/>
      <c r="BK390" s="58"/>
      <c r="BL390" s="58"/>
      <c r="BM390" s="58"/>
      <c r="BN390" s="58"/>
    </row>
    <row r="391" spans="3:66" x14ac:dyDescent="0.2">
      <c r="C391" s="206"/>
      <c r="D391" s="206"/>
      <c r="E391" s="206"/>
      <c r="AF391" s="58"/>
      <c r="AG391" s="58"/>
      <c r="AH391" s="58"/>
      <c r="AI391" s="58"/>
      <c r="AJ391" s="58"/>
      <c r="BK391" s="58"/>
      <c r="BL391" s="58"/>
      <c r="BM391" s="58"/>
      <c r="BN391" s="58"/>
    </row>
    <row r="392" spans="3:66" x14ac:dyDescent="0.2">
      <c r="C392" s="207"/>
      <c r="D392" s="206"/>
      <c r="E392" s="206"/>
      <c r="AF392" s="58"/>
      <c r="AG392" s="58"/>
      <c r="AH392" s="58"/>
      <c r="AI392" s="58"/>
      <c r="AJ392" s="58"/>
      <c r="BK392" s="58"/>
      <c r="BL392" s="58"/>
      <c r="BM392" s="58"/>
      <c r="BN392" s="58"/>
    </row>
    <row r="393" spans="3:66" x14ac:dyDescent="0.2">
      <c r="C393" s="206"/>
      <c r="D393" s="206"/>
      <c r="E393" s="206"/>
      <c r="AF393" s="58"/>
      <c r="AG393" s="58"/>
      <c r="AH393" s="58"/>
      <c r="AI393" s="58"/>
      <c r="AJ393" s="58"/>
      <c r="BK393" s="58"/>
      <c r="BL393" s="58"/>
      <c r="BM393" s="58"/>
      <c r="BN393" s="58"/>
    </row>
    <row r="394" spans="3:66" x14ac:dyDescent="0.2">
      <c r="C394" s="206"/>
      <c r="D394" s="206"/>
      <c r="E394" s="206"/>
      <c r="AF394" s="58"/>
      <c r="AG394" s="58"/>
      <c r="AH394" s="58"/>
      <c r="AI394" s="58"/>
      <c r="AJ394" s="58"/>
      <c r="BK394" s="58"/>
      <c r="BL394" s="58"/>
      <c r="BM394" s="58"/>
      <c r="BN394" s="58"/>
    </row>
    <row r="395" spans="3:66" x14ac:dyDescent="0.2">
      <c r="C395" s="206"/>
      <c r="D395" s="206"/>
      <c r="E395" s="206"/>
      <c r="AF395" s="58"/>
      <c r="AG395" s="58"/>
      <c r="AH395" s="58"/>
      <c r="AI395" s="58"/>
      <c r="AJ395" s="58"/>
      <c r="BK395" s="58"/>
      <c r="BL395" s="58"/>
      <c r="BM395" s="58"/>
      <c r="BN395" s="58"/>
    </row>
    <row r="396" spans="3:66" x14ac:dyDescent="0.2">
      <c r="C396" s="206"/>
      <c r="D396" s="206"/>
      <c r="E396" s="206"/>
      <c r="AF396" s="58"/>
      <c r="AG396" s="58"/>
      <c r="AH396" s="58"/>
      <c r="AI396" s="58"/>
      <c r="AJ396" s="58"/>
      <c r="BK396" s="58"/>
      <c r="BL396" s="58"/>
      <c r="BM396" s="58"/>
      <c r="BN396" s="58"/>
    </row>
    <row r="397" spans="3:66" x14ac:dyDescent="0.2">
      <c r="C397" s="206"/>
      <c r="D397" s="206"/>
      <c r="E397" s="206"/>
      <c r="AF397" s="58"/>
      <c r="AG397" s="58"/>
      <c r="AH397" s="58"/>
      <c r="AI397" s="58"/>
      <c r="AJ397" s="58"/>
      <c r="BK397" s="58"/>
      <c r="BL397" s="58"/>
      <c r="BM397" s="58"/>
      <c r="BN397" s="58"/>
    </row>
    <row r="398" spans="3:66" x14ac:dyDescent="0.2">
      <c r="C398" s="206"/>
      <c r="D398" s="206"/>
      <c r="E398" s="206"/>
      <c r="AF398" s="58"/>
      <c r="AG398" s="58"/>
      <c r="AH398" s="58"/>
      <c r="AI398" s="58"/>
      <c r="AJ398" s="58"/>
      <c r="BK398" s="58"/>
      <c r="BL398" s="58"/>
      <c r="BM398" s="58"/>
      <c r="BN398" s="58"/>
    </row>
    <row r="399" spans="3:66" x14ac:dyDescent="0.2">
      <c r="C399" s="207"/>
      <c r="D399" s="206"/>
      <c r="E399" s="206"/>
      <c r="AF399" s="58"/>
      <c r="AG399" s="58"/>
      <c r="AH399" s="58"/>
      <c r="AI399" s="58"/>
      <c r="AJ399" s="58"/>
      <c r="BK399" s="58"/>
      <c r="BL399" s="58"/>
      <c r="BM399" s="58"/>
      <c r="BN399" s="58"/>
    </row>
    <row r="400" spans="3:66" x14ac:dyDescent="0.2">
      <c r="C400" s="207"/>
      <c r="D400" s="206"/>
      <c r="E400" s="206"/>
      <c r="AF400" s="58"/>
      <c r="AG400" s="58"/>
      <c r="AH400" s="58"/>
      <c r="AI400" s="58"/>
      <c r="AJ400" s="58"/>
      <c r="BK400" s="58"/>
      <c r="BL400" s="58"/>
      <c r="BM400" s="58"/>
      <c r="BN400" s="58"/>
    </row>
    <row r="401" spans="3:66" x14ac:dyDescent="0.2">
      <c r="C401" s="207"/>
      <c r="D401" s="206"/>
      <c r="E401" s="206"/>
      <c r="AF401" s="58"/>
      <c r="AG401" s="58"/>
      <c r="AH401" s="58"/>
      <c r="AI401" s="58"/>
      <c r="AJ401" s="58"/>
      <c r="BK401" s="58"/>
      <c r="BL401" s="58"/>
      <c r="BM401" s="58"/>
      <c r="BN401" s="58"/>
    </row>
    <row r="402" spans="3:66" x14ac:dyDescent="0.2">
      <c r="C402" s="207"/>
      <c r="D402" s="206"/>
      <c r="E402" s="206"/>
      <c r="AF402" s="58"/>
      <c r="AG402" s="58"/>
      <c r="AH402" s="58"/>
      <c r="AI402" s="58"/>
      <c r="AJ402" s="58"/>
      <c r="BK402" s="58"/>
      <c r="BL402" s="58"/>
      <c r="BM402" s="58"/>
      <c r="BN402" s="58"/>
    </row>
    <row r="403" spans="3:66" x14ac:dyDescent="0.2">
      <c r="C403" s="206"/>
      <c r="D403" s="206"/>
      <c r="E403" s="206"/>
      <c r="AF403" s="58"/>
      <c r="AG403" s="58"/>
      <c r="AH403" s="58"/>
      <c r="AI403" s="58"/>
      <c r="AJ403" s="58"/>
      <c r="BK403" s="58"/>
      <c r="BL403" s="58"/>
      <c r="BM403" s="58"/>
      <c r="BN403" s="58"/>
    </row>
    <row r="404" spans="3:66" x14ac:dyDescent="0.2">
      <c r="C404" s="207"/>
      <c r="D404" s="206"/>
      <c r="E404" s="206"/>
      <c r="AF404" s="58"/>
      <c r="AG404" s="58"/>
      <c r="AH404" s="58"/>
      <c r="AI404" s="58"/>
      <c r="AJ404" s="58"/>
      <c r="BK404" s="58"/>
      <c r="BL404" s="58"/>
      <c r="BM404" s="58"/>
      <c r="BN404" s="58"/>
    </row>
    <row r="405" spans="3:66" x14ac:dyDescent="0.2">
      <c r="C405" s="207"/>
      <c r="D405" s="206"/>
      <c r="E405" s="206"/>
      <c r="AF405" s="58"/>
      <c r="AG405" s="58"/>
      <c r="AH405" s="58"/>
      <c r="AI405" s="58"/>
      <c r="AJ405" s="58"/>
      <c r="BK405" s="58"/>
      <c r="BL405" s="58"/>
      <c r="BM405" s="58"/>
      <c r="BN405" s="58"/>
    </row>
    <row r="406" spans="3:66" x14ac:dyDescent="0.2">
      <c r="C406" s="206"/>
      <c r="D406" s="206"/>
      <c r="E406" s="206"/>
      <c r="AF406" s="58"/>
      <c r="AG406" s="58"/>
      <c r="AH406" s="58"/>
      <c r="AI406" s="58"/>
      <c r="AJ406" s="58"/>
      <c r="BK406" s="58"/>
      <c r="BL406" s="58"/>
      <c r="BM406" s="58"/>
      <c r="BN406" s="58"/>
    </row>
    <row r="407" spans="3:66" x14ac:dyDescent="0.2">
      <c r="C407" s="207"/>
      <c r="D407" s="206"/>
      <c r="E407" s="206"/>
      <c r="AF407" s="58"/>
      <c r="AG407" s="58"/>
      <c r="AH407" s="58"/>
      <c r="AI407" s="58"/>
      <c r="AJ407" s="58"/>
      <c r="BK407" s="58"/>
      <c r="BL407" s="58"/>
      <c r="BM407" s="58"/>
      <c r="BN407" s="58"/>
    </row>
    <row r="408" spans="3:66" x14ac:dyDescent="0.2">
      <c r="C408" s="206"/>
      <c r="D408" s="206"/>
      <c r="E408" s="206"/>
      <c r="AF408" s="58"/>
      <c r="AG408" s="58"/>
      <c r="AH408" s="58"/>
      <c r="AI408" s="58"/>
      <c r="AJ408" s="58"/>
      <c r="BK408" s="58"/>
      <c r="BL408" s="58"/>
      <c r="BM408" s="58"/>
      <c r="BN408" s="58"/>
    </row>
    <row r="409" spans="3:66" x14ac:dyDescent="0.2">
      <c r="C409" s="206"/>
      <c r="D409" s="206"/>
      <c r="E409" s="206"/>
      <c r="AF409" s="58"/>
      <c r="AG409" s="58"/>
      <c r="AH409" s="58"/>
      <c r="AI409" s="58"/>
      <c r="AJ409" s="58"/>
      <c r="BK409" s="58"/>
      <c r="BL409" s="58"/>
      <c r="BM409" s="58"/>
      <c r="BN409" s="58"/>
    </row>
    <row r="410" spans="3:66" x14ac:dyDescent="0.2">
      <c r="C410" s="206"/>
      <c r="D410" s="206"/>
      <c r="E410" s="206"/>
      <c r="AF410" s="58"/>
      <c r="AG410" s="58"/>
      <c r="AH410" s="58"/>
      <c r="AI410" s="58"/>
      <c r="AJ410" s="58"/>
      <c r="BK410" s="58"/>
      <c r="BL410" s="58"/>
      <c r="BM410" s="58"/>
      <c r="BN410" s="58"/>
    </row>
    <row r="411" spans="3:66" x14ac:dyDescent="0.2">
      <c r="C411" s="206"/>
      <c r="D411" s="206"/>
      <c r="E411" s="206"/>
      <c r="AF411" s="58"/>
      <c r="AG411" s="58"/>
      <c r="AH411" s="58"/>
      <c r="AI411" s="58"/>
      <c r="AJ411" s="58"/>
      <c r="BK411" s="58"/>
      <c r="BL411" s="58"/>
      <c r="BM411" s="58"/>
      <c r="BN411" s="58"/>
    </row>
    <row r="412" spans="3:66" x14ac:dyDescent="0.2">
      <c r="C412" s="206"/>
      <c r="D412" s="206"/>
      <c r="E412" s="206"/>
      <c r="AF412" s="58"/>
      <c r="AG412" s="58"/>
      <c r="AH412" s="58"/>
      <c r="AI412" s="58"/>
      <c r="AJ412" s="58"/>
      <c r="BK412" s="58"/>
      <c r="BL412" s="58"/>
      <c r="BM412" s="58"/>
      <c r="BN412" s="58"/>
    </row>
    <row r="413" spans="3:66" x14ac:dyDescent="0.2">
      <c r="C413" s="207"/>
      <c r="D413" s="206"/>
      <c r="E413" s="206"/>
      <c r="AF413" s="58"/>
      <c r="AG413" s="58"/>
      <c r="AH413" s="58"/>
      <c r="AI413" s="58"/>
      <c r="AJ413" s="58"/>
      <c r="BK413" s="58"/>
      <c r="BL413" s="58"/>
      <c r="BM413" s="58"/>
      <c r="BN413" s="58"/>
    </row>
    <row r="414" spans="3:66" x14ac:dyDescent="0.2">
      <c r="C414" s="206"/>
      <c r="D414" s="206"/>
      <c r="E414" s="206"/>
      <c r="AF414" s="58"/>
      <c r="AG414" s="58"/>
      <c r="AH414" s="58"/>
      <c r="AI414" s="58"/>
      <c r="AJ414" s="58"/>
      <c r="BK414" s="58"/>
      <c r="BL414" s="58"/>
      <c r="BM414" s="58"/>
      <c r="BN414" s="58"/>
    </row>
    <row r="415" spans="3:66" x14ac:dyDescent="0.2">
      <c r="C415" s="206"/>
      <c r="D415" s="206"/>
      <c r="E415" s="206"/>
      <c r="AF415" s="58"/>
      <c r="AG415" s="58"/>
      <c r="AH415" s="58"/>
      <c r="AI415" s="58"/>
      <c r="AJ415" s="58"/>
      <c r="BK415" s="58"/>
      <c r="BL415" s="58"/>
      <c r="BM415" s="58"/>
      <c r="BN415" s="58"/>
    </row>
    <row r="416" spans="3:66" x14ac:dyDescent="0.2">
      <c r="C416" s="207"/>
      <c r="D416" s="206"/>
      <c r="E416" s="206"/>
      <c r="AF416" s="58"/>
      <c r="AG416" s="58"/>
      <c r="AH416" s="58"/>
      <c r="AI416" s="58"/>
      <c r="AJ416" s="58"/>
      <c r="BK416" s="58"/>
      <c r="BL416" s="58"/>
      <c r="BM416" s="58"/>
      <c r="BN416" s="58"/>
    </row>
    <row r="417" spans="3:66" x14ac:dyDescent="0.2">
      <c r="C417" s="207"/>
      <c r="D417" s="206"/>
      <c r="E417" s="206"/>
      <c r="AF417" s="58"/>
      <c r="AG417" s="58"/>
      <c r="AH417" s="58"/>
      <c r="AI417" s="58"/>
      <c r="AJ417" s="58"/>
      <c r="BK417" s="58"/>
      <c r="BL417" s="58"/>
      <c r="BM417" s="58"/>
      <c r="BN417" s="58"/>
    </row>
    <row r="418" spans="3:66" x14ac:dyDescent="0.2">
      <c r="C418" s="207"/>
      <c r="D418" s="206"/>
      <c r="E418" s="206"/>
      <c r="AF418" s="58"/>
      <c r="AG418" s="58"/>
      <c r="AH418" s="58"/>
      <c r="AI418" s="58"/>
      <c r="AJ418" s="58"/>
      <c r="BK418" s="58"/>
      <c r="BL418" s="58"/>
      <c r="BM418" s="58"/>
      <c r="BN418" s="58"/>
    </row>
    <row r="419" spans="3:66" x14ac:dyDescent="0.2">
      <c r="C419" s="206"/>
      <c r="D419" s="206"/>
      <c r="E419" s="206"/>
      <c r="AF419" s="58"/>
      <c r="AG419" s="58"/>
      <c r="AH419" s="58"/>
      <c r="AI419" s="58"/>
      <c r="AJ419" s="58"/>
      <c r="BK419" s="58"/>
      <c r="BL419" s="58"/>
      <c r="BM419" s="58"/>
      <c r="BN419" s="58"/>
    </row>
    <row r="420" spans="3:66" x14ac:dyDescent="0.2">
      <c r="C420" s="207"/>
      <c r="D420" s="206"/>
      <c r="E420" s="206"/>
      <c r="AF420" s="58"/>
      <c r="AG420" s="58"/>
      <c r="AH420" s="58"/>
      <c r="AI420" s="58"/>
      <c r="AJ420" s="58"/>
      <c r="BK420" s="58"/>
      <c r="BL420" s="58"/>
      <c r="BM420" s="58"/>
      <c r="BN420" s="58"/>
    </row>
    <row r="421" spans="3:66" x14ac:dyDescent="0.2">
      <c r="C421" s="206"/>
      <c r="D421" s="206"/>
      <c r="E421" s="206"/>
      <c r="AF421" s="58"/>
      <c r="AG421" s="58"/>
      <c r="AH421" s="58"/>
      <c r="AI421" s="58"/>
      <c r="AJ421" s="58"/>
      <c r="BK421" s="58"/>
      <c r="BL421" s="58"/>
      <c r="BM421" s="58"/>
      <c r="BN421" s="58"/>
    </row>
    <row r="422" spans="3:66" x14ac:dyDescent="0.2">
      <c r="C422" s="207"/>
      <c r="D422" s="206"/>
      <c r="E422" s="206"/>
      <c r="AF422" s="58"/>
      <c r="AG422" s="58"/>
      <c r="AH422" s="58"/>
      <c r="AI422" s="58"/>
      <c r="AJ422" s="58"/>
      <c r="BK422" s="58"/>
      <c r="BL422" s="58"/>
      <c r="BM422" s="58"/>
      <c r="BN422" s="58"/>
    </row>
    <row r="423" spans="3:66" x14ac:dyDescent="0.2">
      <c r="C423" s="206"/>
      <c r="D423" s="206"/>
      <c r="E423" s="206"/>
      <c r="AF423" s="58"/>
      <c r="AG423" s="58"/>
      <c r="AH423" s="58"/>
      <c r="AI423" s="58"/>
      <c r="AJ423" s="58"/>
      <c r="BK423" s="58"/>
      <c r="BL423" s="58"/>
      <c r="BM423" s="58"/>
      <c r="BN423" s="58"/>
    </row>
    <row r="424" spans="3:66" x14ac:dyDescent="0.2">
      <c r="C424" s="207"/>
      <c r="D424" s="206"/>
      <c r="E424" s="206"/>
      <c r="AF424" s="58"/>
      <c r="AG424" s="58"/>
      <c r="AH424" s="58"/>
      <c r="AI424" s="58"/>
      <c r="AJ424" s="58"/>
      <c r="BK424" s="58"/>
      <c r="BL424" s="58"/>
      <c r="BM424" s="58"/>
      <c r="BN424" s="58"/>
    </row>
    <row r="425" spans="3:66" x14ac:dyDescent="0.2">
      <c r="C425" s="206"/>
      <c r="D425" s="206"/>
      <c r="E425" s="206"/>
      <c r="AF425" s="58"/>
      <c r="AG425" s="58"/>
      <c r="AH425" s="58"/>
      <c r="AI425" s="58"/>
      <c r="AJ425" s="58"/>
      <c r="BK425" s="58"/>
      <c r="BL425" s="58"/>
      <c r="BM425" s="58"/>
      <c r="BN425" s="58"/>
    </row>
    <row r="426" spans="3:66" x14ac:dyDescent="0.2">
      <c r="C426" s="206"/>
      <c r="D426" s="206"/>
      <c r="E426" s="206"/>
      <c r="AF426" s="58"/>
      <c r="AG426" s="58"/>
      <c r="AH426" s="58"/>
      <c r="AI426" s="58"/>
      <c r="AJ426" s="58"/>
      <c r="BK426" s="58"/>
      <c r="BL426" s="58"/>
      <c r="BM426" s="58"/>
      <c r="BN426" s="58"/>
    </row>
    <row r="427" spans="3:66" x14ac:dyDescent="0.2">
      <c r="C427" s="207"/>
      <c r="D427" s="206"/>
      <c r="E427" s="206"/>
      <c r="AF427" s="58"/>
      <c r="AG427" s="58"/>
      <c r="AH427" s="58"/>
      <c r="AI427" s="58"/>
      <c r="AJ427" s="58"/>
      <c r="BK427" s="58"/>
      <c r="BL427" s="58"/>
      <c r="BM427" s="58"/>
      <c r="BN427" s="58"/>
    </row>
    <row r="428" spans="3:66" x14ac:dyDescent="0.2">
      <c r="C428" s="206"/>
      <c r="D428" s="206"/>
      <c r="E428" s="206"/>
      <c r="AF428" s="58"/>
      <c r="AG428" s="58"/>
      <c r="AH428" s="58"/>
      <c r="AI428" s="58"/>
      <c r="AJ428" s="58"/>
      <c r="BK428" s="58"/>
      <c r="BL428" s="58"/>
      <c r="BM428" s="58"/>
      <c r="BN428" s="58"/>
    </row>
    <row r="429" spans="3:66" x14ac:dyDescent="0.2">
      <c r="C429" s="207"/>
      <c r="D429" s="206"/>
      <c r="E429" s="206"/>
      <c r="AF429" s="58"/>
      <c r="AG429" s="58"/>
      <c r="AH429" s="58"/>
      <c r="AI429" s="58"/>
      <c r="AJ429" s="58"/>
      <c r="BK429" s="58"/>
      <c r="BL429" s="58"/>
      <c r="BM429" s="58"/>
      <c r="BN429" s="58"/>
    </row>
    <row r="430" spans="3:66" x14ac:dyDescent="0.2">
      <c r="C430" s="206"/>
      <c r="D430" s="206"/>
      <c r="E430" s="206"/>
      <c r="AF430" s="58"/>
      <c r="AG430" s="58"/>
      <c r="AH430" s="58"/>
      <c r="AI430" s="58"/>
      <c r="AJ430" s="58"/>
      <c r="BK430" s="58"/>
      <c r="BL430" s="58"/>
      <c r="BM430" s="58"/>
      <c r="BN430" s="58"/>
    </row>
    <row r="431" spans="3:66" x14ac:dyDescent="0.2">
      <c r="C431" s="206"/>
      <c r="D431" s="206"/>
      <c r="E431" s="206"/>
      <c r="AF431" s="58"/>
      <c r="AG431" s="58"/>
      <c r="AH431" s="58"/>
      <c r="AI431" s="58"/>
      <c r="AJ431" s="58"/>
      <c r="BK431" s="58"/>
      <c r="BL431" s="58"/>
      <c r="BM431" s="58"/>
      <c r="BN431" s="58"/>
    </row>
    <row r="432" spans="3:66" x14ac:dyDescent="0.2">
      <c r="C432" s="206"/>
      <c r="D432" s="206"/>
      <c r="E432" s="206"/>
      <c r="AF432" s="58"/>
      <c r="AG432" s="58"/>
      <c r="AH432" s="58"/>
      <c r="AI432" s="58"/>
      <c r="AJ432" s="58"/>
      <c r="BK432" s="58"/>
      <c r="BL432" s="58"/>
      <c r="BM432" s="58"/>
      <c r="BN432" s="58"/>
    </row>
    <row r="433" spans="3:66" x14ac:dyDescent="0.2">
      <c r="C433" s="206"/>
      <c r="D433" s="206"/>
      <c r="E433" s="206"/>
      <c r="AF433" s="58"/>
      <c r="AG433" s="58"/>
      <c r="AH433" s="58"/>
      <c r="AI433" s="58"/>
      <c r="AJ433" s="58"/>
      <c r="BK433" s="58"/>
      <c r="BL433" s="58"/>
      <c r="BM433" s="58"/>
      <c r="BN433" s="58"/>
    </row>
    <row r="434" spans="3:66" x14ac:dyDescent="0.2">
      <c r="C434" s="207"/>
      <c r="D434" s="206"/>
      <c r="E434" s="206"/>
      <c r="AF434" s="58"/>
      <c r="AG434" s="58"/>
      <c r="AH434" s="58"/>
      <c r="AI434" s="58"/>
      <c r="AJ434" s="58"/>
      <c r="BK434" s="58"/>
      <c r="BL434" s="58"/>
      <c r="BM434" s="58"/>
      <c r="BN434" s="58"/>
    </row>
    <row r="435" spans="3:66" x14ac:dyDescent="0.2">
      <c r="C435" s="206"/>
      <c r="D435" s="206"/>
      <c r="E435" s="206"/>
      <c r="AF435" s="58"/>
      <c r="AG435" s="58"/>
      <c r="AH435" s="58"/>
      <c r="AI435" s="58"/>
      <c r="AJ435" s="58"/>
      <c r="BK435" s="58"/>
      <c r="BL435" s="58"/>
      <c r="BM435" s="58"/>
      <c r="BN435" s="58"/>
    </row>
    <row r="436" spans="3:66" x14ac:dyDescent="0.2">
      <c r="C436" s="206"/>
      <c r="D436" s="206"/>
      <c r="E436" s="206"/>
      <c r="AF436" s="58"/>
      <c r="AG436" s="58"/>
      <c r="AH436" s="58"/>
      <c r="AI436" s="58"/>
      <c r="AJ436" s="58"/>
      <c r="BK436" s="58"/>
      <c r="BL436" s="58"/>
      <c r="BM436" s="58"/>
      <c r="BN436" s="58"/>
    </row>
    <row r="437" spans="3:66" x14ac:dyDescent="0.2">
      <c r="C437" s="206"/>
      <c r="D437" s="206"/>
      <c r="E437" s="206"/>
      <c r="AF437" s="58"/>
      <c r="AG437" s="58"/>
      <c r="AH437" s="58"/>
      <c r="AI437" s="58"/>
      <c r="AJ437" s="58"/>
      <c r="BK437" s="58"/>
      <c r="BL437" s="58"/>
      <c r="BM437" s="58"/>
      <c r="BN437" s="58"/>
    </row>
    <row r="438" spans="3:66" x14ac:dyDescent="0.2">
      <c r="C438" s="206"/>
      <c r="D438" s="206"/>
      <c r="E438" s="206"/>
      <c r="AF438" s="58"/>
      <c r="AG438" s="58"/>
      <c r="AH438" s="58"/>
      <c r="AI438" s="58"/>
      <c r="AJ438" s="58"/>
      <c r="BK438" s="58"/>
      <c r="BL438" s="58"/>
      <c r="BM438" s="58"/>
      <c r="BN438" s="58"/>
    </row>
    <row r="439" spans="3:66" x14ac:dyDescent="0.2">
      <c r="C439" s="206"/>
      <c r="D439" s="206"/>
      <c r="E439" s="206"/>
      <c r="AF439" s="58"/>
      <c r="AG439" s="58"/>
      <c r="AH439" s="58"/>
      <c r="AI439" s="58"/>
      <c r="AJ439" s="58"/>
      <c r="BK439" s="58"/>
      <c r="BL439" s="58"/>
      <c r="BM439" s="58"/>
      <c r="BN439" s="58"/>
    </row>
    <row r="440" spans="3:66" x14ac:dyDescent="0.2">
      <c r="C440" s="207"/>
      <c r="D440" s="206"/>
      <c r="E440" s="206"/>
      <c r="AF440" s="58"/>
      <c r="AG440" s="58"/>
      <c r="AH440" s="58"/>
      <c r="AI440" s="58"/>
      <c r="AJ440" s="58"/>
      <c r="BK440" s="58"/>
      <c r="BL440" s="58"/>
      <c r="BM440" s="58"/>
      <c r="BN440" s="58"/>
    </row>
    <row r="441" spans="3:66" x14ac:dyDescent="0.2">
      <c r="C441" s="206"/>
      <c r="D441" s="206"/>
      <c r="E441" s="206"/>
      <c r="AF441" s="58"/>
      <c r="AG441" s="58"/>
      <c r="AH441" s="58"/>
      <c r="AI441" s="58"/>
      <c r="AJ441" s="58"/>
      <c r="BK441" s="58"/>
      <c r="BL441" s="58"/>
      <c r="BM441" s="58"/>
      <c r="BN441" s="58"/>
    </row>
    <row r="442" spans="3:66" x14ac:dyDescent="0.2">
      <c r="C442" s="207"/>
      <c r="D442" s="206"/>
      <c r="E442" s="206"/>
      <c r="AF442" s="58"/>
      <c r="AG442" s="58"/>
      <c r="AH442" s="58"/>
      <c r="AI442" s="58"/>
      <c r="AJ442" s="58"/>
      <c r="BK442" s="58"/>
      <c r="BL442" s="58"/>
      <c r="BM442" s="58"/>
      <c r="BN442" s="58"/>
    </row>
    <row r="443" spans="3:66" x14ac:dyDescent="0.2">
      <c r="C443" s="207"/>
      <c r="D443" s="206"/>
      <c r="E443" s="206"/>
      <c r="AF443" s="58"/>
      <c r="AG443" s="58"/>
      <c r="AH443" s="58"/>
      <c r="AI443" s="58"/>
      <c r="AJ443" s="58"/>
      <c r="BK443" s="58"/>
      <c r="BL443" s="58"/>
      <c r="BM443" s="58"/>
      <c r="BN443" s="58"/>
    </row>
    <row r="444" spans="3:66" x14ac:dyDescent="0.2">
      <c r="C444" s="206"/>
      <c r="D444" s="206"/>
      <c r="E444" s="206"/>
      <c r="AF444" s="58"/>
      <c r="AG444" s="58"/>
      <c r="AH444" s="58"/>
      <c r="AI444" s="58"/>
      <c r="AJ444" s="58"/>
      <c r="BK444" s="58"/>
      <c r="BL444" s="58"/>
      <c r="BM444" s="58"/>
      <c r="BN444" s="58"/>
    </row>
    <row r="445" spans="3:66" x14ac:dyDescent="0.2">
      <c r="C445" s="207"/>
      <c r="D445" s="206"/>
      <c r="E445" s="206"/>
      <c r="AF445" s="58"/>
      <c r="AG445" s="58"/>
      <c r="AH445" s="58"/>
      <c r="AI445" s="58"/>
      <c r="AJ445" s="58"/>
      <c r="BK445" s="58"/>
      <c r="BL445" s="58"/>
      <c r="BM445" s="58"/>
      <c r="BN445" s="58"/>
    </row>
    <row r="446" spans="3:66" x14ac:dyDescent="0.2">
      <c r="C446" s="206"/>
      <c r="D446" s="206"/>
      <c r="E446" s="206"/>
      <c r="AF446" s="58"/>
      <c r="AG446" s="58"/>
      <c r="AH446" s="58"/>
      <c r="AI446" s="58"/>
      <c r="AJ446" s="58"/>
      <c r="BK446" s="58"/>
      <c r="BL446" s="58"/>
      <c r="BM446" s="58"/>
      <c r="BN446" s="58"/>
    </row>
    <row r="447" spans="3:66" x14ac:dyDescent="0.2">
      <c r="C447" s="207"/>
      <c r="D447" s="206"/>
      <c r="E447" s="206"/>
      <c r="AF447" s="58"/>
      <c r="AG447" s="58"/>
      <c r="AH447" s="58"/>
      <c r="AI447" s="58"/>
      <c r="AJ447" s="58"/>
      <c r="BK447" s="58"/>
      <c r="BL447" s="58"/>
      <c r="BM447" s="58"/>
      <c r="BN447" s="58"/>
    </row>
    <row r="448" spans="3:66" x14ac:dyDescent="0.2">
      <c r="C448" s="207"/>
      <c r="D448" s="206"/>
      <c r="E448" s="206"/>
      <c r="AF448" s="58"/>
      <c r="AG448" s="58"/>
      <c r="AH448" s="58"/>
      <c r="AI448" s="58"/>
      <c r="AJ448" s="58"/>
      <c r="BK448" s="58"/>
      <c r="BL448" s="58"/>
      <c r="BM448" s="58"/>
      <c r="BN448" s="58"/>
    </row>
    <row r="449" spans="3:66" x14ac:dyDescent="0.2">
      <c r="C449" s="206"/>
      <c r="D449" s="206"/>
      <c r="E449" s="206"/>
      <c r="AF449" s="58"/>
      <c r="AG449" s="58"/>
      <c r="AH449" s="58"/>
      <c r="AI449" s="58"/>
      <c r="AJ449" s="58"/>
      <c r="BK449" s="58"/>
      <c r="BL449" s="58"/>
      <c r="BM449" s="58"/>
      <c r="BN449" s="58"/>
    </row>
    <row r="450" spans="3:66" x14ac:dyDescent="0.2">
      <c r="C450" s="206"/>
      <c r="D450" s="206"/>
      <c r="E450" s="206"/>
      <c r="AF450" s="58"/>
      <c r="AG450" s="58"/>
      <c r="AH450" s="58"/>
      <c r="AI450" s="58"/>
      <c r="AJ450" s="58"/>
      <c r="BK450" s="58"/>
      <c r="BL450" s="58"/>
      <c r="BM450" s="58"/>
      <c r="BN450" s="58"/>
    </row>
    <row r="451" spans="3:66" x14ac:dyDescent="0.2">
      <c r="C451" s="206"/>
      <c r="D451" s="206"/>
      <c r="E451" s="206"/>
      <c r="AF451" s="58"/>
      <c r="AG451" s="58"/>
      <c r="AH451" s="58"/>
      <c r="AI451" s="58"/>
      <c r="AJ451" s="58"/>
      <c r="BK451" s="58"/>
      <c r="BL451" s="58"/>
      <c r="BM451" s="58"/>
      <c r="BN451" s="58"/>
    </row>
    <row r="452" spans="3:66" x14ac:dyDescent="0.2">
      <c r="C452" s="206"/>
      <c r="D452" s="206"/>
      <c r="E452" s="206"/>
      <c r="AF452" s="58"/>
      <c r="AG452" s="58"/>
      <c r="AH452" s="58"/>
      <c r="AI452" s="58"/>
      <c r="AJ452" s="58"/>
      <c r="BK452" s="58"/>
      <c r="BL452" s="58"/>
      <c r="BM452" s="58"/>
      <c r="BN452" s="58"/>
    </row>
    <row r="453" spans="3:66" x14ac:dyDescent="0.2">
      <c r="C453" s="207"/>
      <c r="D453" s="206"/>
      <c r="E453" s="206"/>
      <c r="AF453" s="58"/>
      <c r="AG453" s="58"/>
      <c r="AH453" s="58"/>
      <c r="AI453" s="58"/>
      <c r="AJ453" s="58"/>
      <c r="BK453" s="58"/>
      <c r="BL453" s="58"/>
      <c r="BM453" s="58"/>
      <c r="BN453" s="58"/>
    </row>
    <row r="454" spans="3:66" x14ac:dyDescent="0.2">
      <c r="C454" s="206"/>
      <c r="D454" s="206"/>
      <c r="E454" s="206"/>
      <c r="AF454" s="58"/>
      <c r="AG454" s="58"/>
      <c r="AH454" s="58"/>
      <c r="AI454" s="58"/>
      <c r="AJ454" s="58"/>
      <c r="BK454" s="58"/>
      <c r="BL454" s="58"/>
      <c r="BM454" s="58"/>
      <c r="BN454" s="58"/>
    </row>
    <row r="455" spans="3:66" x14ac:dyDescent="0.2">
      <c r="C455" s="207"/>
      <c r="D455" s="206"/>
      <c r="E455" s="206"/>
      <c r="AF455" s="58"/>
      <c r="AG455" s="58"/>
      <c r="AH455" s="58"/>
      <c r="AI455" s="58"/>
      <c r="AJ455" s="58"/>
      <c r="BK455" s="58"/>
      <c r="BL455" s="58"/>
      <c r="BM455" s="58"/>
      <c r="BN455" s="58"/>
    </row>
    <row r="456" spans="3:66" x14ac:dyDescent="0.2">
      <c r="C456" s="207"/>
      <c r="D456" s="206"/>
      <c r="E456" s="206"/>
      <c r="AF456" s="58"/>
      <c r="AG456" s="58"/>
      <c r="AH456" s="58"/>
      <c r="AI456" s="58"/>
      <c r="AJ456" s="58"/>
      <c r="BK456" s="58"/>
      <c r="BL456" s="58"/>
      <c r="BM456" s="58"/>
      <c r="BN456" s="58"/>
    </row>
    <row r="457" spans="3:66" x14ac:dyDescent="0.2">
      <c r="C457" s="206"/>
      <c r="D457" s="206"/>
      <c r="E457" s="206"/>
      <c r="AF457" s="58"/>
      <c r="AG457" s="58"/>
      <c r="AH457" s="58"/>
      <c r="AI457" s="58"/>
      <c r="AJ457" s="58"/>
      <c r="BK457" s="58"/>
      <c r="BL457" s="58"/>
      <c r="BM457" s="58"/>
      <c r="BN457" s="58"/>
    </row>
    <row r="458" spans="3:66" x14ac:dyDescent="0.2">
      <c r="C458" s="206"/>
      <c r="D458" s="206"/>
      <c r="E458" s="206"/>
      <c r="AF458" s="58"/>
      <c r="AG458" s="58"/>
      <c r="AH458" s="58"/>
      <c r="AI458" s="58"/>
      <c r="AJ458" s="58"/>
      <c r="BK458" s="58"/>
      <c r="BL458" s="58"/>
      <c r="BM458" s="58"/>
      <c r="BN458" s="58"/>
    </row>
    <row r="459" spans="3:66" x14ac:dyDescent="0.2">
      <c r="C459" s="206"/>
      <c r="D459" s="206"/>
      <c r="E459" s="206"/>
      <c r="AF459" s="58"/>
      <c r="AG459" s="58"/>
      <c r="AH459" s="58"/>
      <c r="AI459" s="58"/>
      <c r="AJ459" s="58"/>
      <c r="BK459" s="58"/>
      <c r="BL459" s="58"/>
      <c r="BM459" s="58"/>
      <c r="BN459" s="58"/>
    </row>
    <row r="460" spans="3:66" x14ac:dyDescent="0.2">
      <c r="C460" s="207"/>
      <c r="D460" s="206"/>
      <c r="E460" s="206"/>
      <c r="AF460" s="58"/>
      <c r="AG460" s="58"/>
      <c r="AH460" s="58"/>
      <c r="AI460" s="58"/>
      <c r="AJ460" s="58"/>
      <c r="BK460" s="58"/>
      <c r="BL460" s="58"/>
      <c r="BM460" s="58"/>
      <c r="BN460" s="58"/>
    </row>
    <row r="461" spans="3:66" x14ac:dyDescent="0.2">
      <c r="C461" s="206"/>
      <c r="D461" s="206"/>
      <c r="E461" s="206"/>
      <c r="AF461" s="58"/>
      <c r="AG461" s="58"/>
      <c r="AH461" s="58"/>
      <c r="AI461" s="58"/>
      <c r="AJ461" s="58"/>
      <c r="BK461" s="58"/>
      <c r="BL461" s="58"/>
      <c r="BM461" s="58"/>
      <c r="BN461" s="58"/>
    </row>
    <row r="462" spans="3:66" x14ac:dyDescent="0.2">
      <c r="C462" s="207"/>
      <c r="D462" s="206"/>
      <c r="E462" s="206"/>
      <c r="AF462" s="58"/>
      <c r="AG462" s="58"/>
      <c r="AH462" s="58"/>
      <c r="AI462" s="58"/>
      <c r="AJ462" s="58"/>
      <c r="BK462" s="58"/>
      <c r="BL462" s="58"/>
      <c r="BM462" s="58"/>
      <c r="BN462" s="58"/>
    </row>
    <row r="463" spans="3:66" x14ac:dyDescent="0.2">
      <c r="C463" s="206"/>
      <c r="D463" s="206"/>
      <c r="E463" s="206"/>
      <c r="AF463" s="58"/>
      <c r="AG463" s="58"/>
      <c r="AH463" s="58"/>
      <c r="AI463" s="58"/>
      <c r="AJ463" s="58"/>
      <c r="BK463" s="58"/>
      <c r="BL463" s="58"/>
      <c r="BM463" s="58"/>
      <c r="BN463" s="58"/>
    </row>
    <row r="464" spans="3:66" x14ac:dyDescent="0.2">
      <c r="C464" s="206"/>
      <c r="D464" s="206"/>
      <c r="E464" s="206"/>
      <c r="AF464" s="58"/>
      <c r="AG464" s="58"/>
      <c r="AH464" s="58"/>
      <c r="AI464" s="58"/>
      <c r="AJ464" s="58"/>
      <c r="BK464" s="58"/>
      <c r="BL464" s="58"/>
      <c r="BM464" s="58"/>
      <c r="BN464" s="58"/>
    </row>
    <row r="465" spans="3:66" x14ac:dyDescent="0.2">
      <c r="C465" s="206"/>
      <c r="D465" s="206"/>
      <c r="E465" s="206"/>
      <c r="AF465" s="58"/>
      <c r="AG465" s="58"/>
      <c r="AH465" s="58"/>
      <c r="AI465" s="58"/>
      <c r="AJ465" s="58"/>
      <c r="BK465" s="58"/>
      <c r="BL465" s="58"/>
      <c r="BM465" s="58"/>
      <c r="BN465" s="58"/>
    </row>
    <row r="466" spans="3:66" x14ac:dyDescent="0.2">
      <c r="C466" s="206"/>
      <c r="D466" s="206"/>
      <c r="E466" s="206"/>
      <c r="AF466" s="58"/>
      <c r="AG466" s="58"/>
      <c r="AH466" s="58"/>
      <c r="AI466" s="58"/>
      <c r="AJ466" s="58"/>
      <c r="BK466" s="58"/>
      <c r="BL466" s="58"/>
      <c r="BM466" s="58"/>
      <c r="BN466" s="58"/>
    </row>
    <row r="467" spans="3:66" x14ac:dyDescent="0.2">
      <c r="C467" s="207"/>
      <c r="D467" s="206"/>
      <c r="E467" s="206"/>
      <c r="AF467" s="58"/>
      <c r="AG467" s="58"/>
      <c r="AH467" s="58"/>
      <c r="AI467" s="58"/>
      <c r="AJ467" s="58"/>
      <c r="BK467" s="58"/>
      <c r="BL467" s="58"/>
      <c r="BM467" s="58"/>
      <c r="BN467" s="58"/>
    </row>
    <row r="468" spans="3:66" x14ac:dyDescent="0.2">
      <c r="C468" s="206"/>
      <c r="D468" s="206"/>
      <c r="E468" s="206"/>
      <c r="AF468" s="58"/>
      <c r="AG468" s="58"/>
      <c r="AH468" s="58"/>
      <c r="AI468" s="58"/>
      <c r="AJ468" s="58"/>
      <c r="BK468" s="58"/>
      <c r="BL468" s="58"/>
      <c r="BM468" s="58"/>
      <c r="BN468" s="58"/>
    </row>
    <row r="469" spans="3:66" x14ac:dyDescent="0.2">
      <c r="C469" s="206"/>
      <c r="D469" s="206"/>
      <c r="E469" s="206"/>
      <c r="AF469" s="58"/>
      <c r="AG469" s="58"/>
      <c r="AH469" s="58"/>
      <c r="AI469" s="58"/>
      <c r="AJ469" s="58"/>
      <c r="BK469" s="58"/>
      <c r="BL469" s="58"/>
      <c r="BM469" s="58"/>
      <c r="BN469" s="58"/>
    </row>
    <row r="470" spans="3:66" x14ac:dyDescent="0.2">
      <c r="C470" s="206"/>
      <c r="D470" s="206"/>
      <c r="E470" s="206"/>
      <c r="AF470" s="58"/>
      <c r="AG470" s="58"/>
      <c r="AH470" s="58"/>
      <c r="AI470" s="58"/>
      <c r="AJ470" s="58"/>
      <c r="BK470" s="58"/>
      <c r="BL470" s="58"/>
      <c r="BM470" s="58"/>
      <c r="BN470" s="58"/>
    </row>
    <row r="471" spans="3:66" x14ac:dyDescent="0.2">
      <c r="C471" s="207"/>
      <c r="D471" s="206"/>
      <c r="E471" s="206"/>
      <c r="AF471" s="58"/>
      <c r="AG471" s="58"/>
      <c r="AH471" s="58"/>
      <c r="AI471" s="58"/>
      <c r="AJ471" s="58"/>
      <c r="BK471" s="58"/>
      <c r="BL471" s="58"/>
      <c r="BM471" s="58"/>
      <c r="BN471" s="58"/>
    </row>
    <row r="472" spans="3:66" x14ac:dyDescent="0.2">
      <c r="C472" s="206"/>
      <c r="D472" s="206"/>
      <c r="E472" s="206"/>
      <c r="AF472" s="58"/>
      <c r="AG472" s="58"/>
      <c r="AH472" s="58"/>
      <c r="AI472" s="58"/>
      <c r="AJ472" s="58"/>
      <c r="BK472" s="58"/>
      <c r="BL472" s="58"/>
      <c r="BM472" s="58"/>
      <c r="BN472" s="58"/>
    </row>
    <row r="473" spans="3:66" x14ac:dyDescent="0.2">
      <c r="C473" s="207"/>
      <c r="D473" s="206"/>
      <c r="E473" s="206"/>
      <c r="AF473" s="58"/>
      <c r="AG473" s="58"/>
      <c r="AH473" s="58"/>
      <c r="AI473" s="58"/>
      <c r="AJ473" s="58"/>
      <c r="BK473" s="58"/>
      <c r="BL473" s="58"/>
      <c r="BM473" s="58"/>
      <c r="BN473" s="58"/>
    </row>
    <row r="474" spans="3:66" x14ac:dyDescent="0.2">
      <c r="C474" s="206"/>
      <c r="D474" s="206"/>
      <c r="E474" s="206"/>
      <c r="AF474" s="58"/>
      <c r="AG474" s="58"/>
      <c r="AH474" s="58"/>
      <c r="AI474" s="58"/>
      <c r="AJ474" s="58"/>
      <c r="BK474" s="58"/>
      <c r="BL474" s="58"/>
      <c r="BM474" s="58"/>
      <c r="BN474" s="58"/>
    </row>
    <row r="475" spans="3:66" x14ac:dyDescent="0.2">
      <c r="C475" s="207"/>
      <c r="D475" s="206"/>
      <c r="E475" s="206"/>
      <c r="AF475" s="58"/>
      <c r="AG475" s="58"/>
      <c r="AH475" s="58"/>
      <c r="AI475" s="58"/>
      <c r="AJ475" s="58"/>
      <c r="BK475" s="58"/>
      <c r="BL475" s="58"/>
      <c r="BM475" s="58"/>
      <c r="BN475" s="58"/>
    </row>
    <row r="476" spans="3:66" x14ac:dyDescent="0.2">
      <c r="C476" s="207"/>
      <c r="D476" s="206"/>
      <c r="E476" s="206"/>
      <c r="AF476" s="58"/>
      <c r="AG476" s="58"/>
      <c r="AH476" s="58"/>
      <c r="AI476" s="58"/>
      <c r="AJ476" s="58"/>
      <c r="BK476" s="58"/>
      <c r="BL476" s="58"/>
      <c r="BM476" s="58"/>
      <c r="BN476" s="58"/>
    </row>
    <row r="477" spans="3:66" x14ac:dyDescent="0.2">
      <c r="C477" s="206"/>
      <c r="D477" s="206"/>
      <c r="E477" s="206"/>
      <c r="AF477" s="58"/>
      <c r="AG477" s="58"/>
      <c r="AH477" s="58"/>
      <c r="AI477" s="58"/>
      <c r="AJ477" s="58"/>
      <c r="BK477" s="58"/>
      <c r="BL477" s="58"/>
      <c r="BM477" s="58"/>
      <c r="BN477" s="58"/>
    </row>
    <row r="478" spans="3:66" x14ac:dyDescent="0.2">
      <c r="C478" s="207"/>
      <c r="D478" s="206"/>
      <c r="E478" s="206"/>
      <c r="AF478" s="58"/>
      <c r="AG478" s="58"/>
      <c r="AH478" s="58"/>
      <c r="AI478" s="58"/>
      <c r="AJ478" s="58"/>
      <c r="BK478" s="58"/>
      <c r="BL478" s="58"/>
      <c r="BM478" s="58"/>
      <c r="BN478" s="58"/>
    </row>
    <row r="479" spans="3:66" x14ac:dyDescent="0.2">
      <c r="C479" s="207"/>
      <c r="D479" s="206"/>
      <c r="E479" s="206"/>
      <c r="AF479" s="58"/>
      <c r="AG479" s="58"/>
      <c r="AH479" s="58"/>
      <c r="AI479" s="58"/>
      <c r="AJ479" s="58"/>
      <c r="BK479" s="58"/>
      <c r="BL479" s="58"/>
      <c r="BM479" s="58"/>
      <c r="BN479" s="58"/>
    </row>
    <row r="480" spans="3:66" x14ac:dyDescent="0.2">
      <c r="C480" s="206"/>
      <c r="D480" s="206"/>
      <c r="E480" s="206"/>
      <c r="AF480" s="58"/>
      <c r="AG480" s="58"/>
      <c r="AH480" s="58"/>
      <c r="AI480" s="58"/>
      <c r="AJ480" s="58"/>
      <c r="BK480" s="58"/>
      <c r="BL480" s="58"/>
      <c r="BM480" s="58"/>
      <c r="BN480" s="58"/>
    </row>
    <row r="481" spans="3:66" x14ac:dyDescent="0.2">
      <c r="C481" s="207"/>
      <c r="D481" s="206"/>
      <c r="E481" s="206"/>
      <c r="AF481" s="58"/>
      <c r="AG481" s="58"/>
      <c r="AH481" s="58"/>
      <c r="AI481" s="58"/>
      <c r="AJ481" s="58"/>
      <c r="BK481" s="58"/>
      <c r="BL481" s="58"/>
      <c r="BM481" s="58"/>
      <c r="BN481" s="58"/>
    </row>
    <row r="482" spans="3:66" x14ac:dyDescent="0.2">
      <c r="C482" s="207"/>
      <c r="D482" s="206"/>
      <c r="E482" s="206"/>
      <c r="AF482" s="58"/>
      <c r="AG482" s="58"/>
      <c r="AH482" s="58"/>
      <c r="AI482" s="58"/>
      <c r="AJ482" s="58"/>
      <c r="BK482" s="58"/>
      <c r="BL482" s="58"/>
      <c r="BM482" s="58"/>
      <c r="BN482" s="58"/>
    </row>
    <row r="483" spans="3:66" x14ac:dyDescent="0.2">
      <c r="C483" s="206"/>
      <c r="D483" s="206"/>
      <c r="E483" s="206"/>
      <c r="AF483" s="58"/>
      <c r="AG483" s="58"/>
      <c r="AH483" s="58"/>
      <c r="AI483" s="58"/>
      <c r="AJ483" s="58"/>
      <c r="BK483" s="58"/>
      <c r="BL483" s="58"/>
      <c r="BM483" s="58"/>
      <c r="BN483" s="58"/>
    </row>
    <row r="484" spans="3:66" x14ac:dyDescent="0.2">
      <c r="C484" s="206"/>
      <c r="D484" s="206"/>
      <c r="E484" s="206"/>
      <c r="AF484" s="58"/>
      <c r="AG484" s="58"/>
      <c r="AH484" s="58"/>
      <c r="AI484" s="58"/>
      <c r="AJ484" s="58"/>
      <c r="BK484" s="58"/>
      <c r="BL484" s="58"/>
      <c r="BM484" s="58"/>
      <c r="BN484" s="58"/>
    </row>
    <row r="485" spans="3:66" x14ac:dyDescent="0.2">
      <c r="C485" s="206"/>
      <c r="D485" s="206"/>
      <c r="E485" s="206"/>
      <c r="AF485" s="58"/>
      <c r="AG485" s="58"/>
      <c r="AH485" s="58"/>
      <c r="AI485" s="58"/>
      <c r="AJ485" s="58"/>
      <c r="BK485" s="58"/>
      <c r="BL485" s="58"/>
      <c r="BM485" s="58"/>
      <c r="BN485" s="58"/>
    </row>
    <row r="486" spans="3:66" x14ac:dyDescent="0.2">
      <c r="C486" s="207"/>
      <c r="D486" s="206"/>
      <c r="E486" s="206"/>
      <c r="AF486" s="58"/>
      <c r="AG486" s="58"/>
      <c r="AH486" s="58"/>
      <c r="AI486" s="58"/>
      <c r="AJ486" s="58"/>
      <c r="BK486" s="58"/>
      <c r="BL486" s="58"/>
      <c r="BM486" s="58"/>
      <c r="BN486" s="58"/>
    </row>
    <row r="487" spans="3:66" x14ac:dyDescent="0.2">
      <c r="C487" s="207"/>
      <c r="D487" s="206"/>
      <c r="E487" s="206"/>
      <c r="AF487" s="58"/>
      <c r="AG487" s="58"/>
      <c r="AH487" s="58"/>
      <c r="AI487" s="58"/>
      <c r="AJ487" s="58"/>
      <c r="BK487" s="58"/>
      <c r="BL487" s="58"/>
      <c r="BM487" s="58"/>
      <c r="BN487" s="58"/>
    </row>
    <row r="488" spans="3:66" x14ac:dyDescent="0.2">
      <c r="C488" s="206"/>
      <c r="D488" s="206"/>
      <c r="E488" s="206"/>
      <c r="AF488" s="58"/>
      <c r="AG488" s="58"/>
      <c r="AH488" s="58"/>
      <c r="AI488" s="58"/>
      <c r="AJ488" s="58"/>
      <c r="BK488" s="58"/>
      <c r="BL488" s="58"/>
      <c r="BM488" s="58"/>
      <c r="BN488" s="58"/>
    </row>
    <row r="489" spans="3:66" x14ac:dyDescent="0.2">
      <c r="C489" s="206"/>
      <c r="D489" s="206"/>
      <c r="E489" s="206"/>
      <c r="AF489" s="58"/>
      <c r="AG489" s="58"/>
      <c r="AH489" s="58"/>
      <c r="AI489" s="58"/>
      <c r="AJ489" s="58"/>
      <c r="BK489" s="58"/>
      <c r="BL489" s="58"/>
      <c r="BM489" s="58"/>
      <c r="BN489" s="58"/>
    </row>
    <row r="490" spans="3:66" x14ac:dyDescent="0.2">
      <c r="C490" s="207"/>
      <c r="D490" s="206"/>
      <c r="E490" s="206"/>
      <c r="AF490" s="58"/>
      <c r="AG490" s="58"/>
      <c r="AH490" s="58"/>
      <c r="AI490" s="58"/>
      <c r="AJ490" s="58"/>
      <c r="BK490" s="58"/>
      <c r="BL490" s="58"/>
      <c r="BM490" s="58"/>
      <c r="BN490" s="58"/>
    </row>
    <row r="491" spans="3:66" x14ac:dyDescent="0.2">
      <c r="C491" s="206"/>
      <c r="D491" s="206"/>
      <c r="E491" s="206"/>
      <c r="AF491" s="58"/>
      <c r="AG491" s="58"/>
      <c r="AH491" s="58"/>
      <c r="AI491" s="58"/>
      <c r="AJ491" s="58"/>
      <c r="BK491" s="58"/>
      <c r="BL491" s="58"/>
      <c r="BM491" s="58"/>
      <c r="BN491" s="58"/>
    </row>
    <row r="492" spans="3:66" x14ac:dyDescent="0.2">
      <c r="C492" s="206"/>
      <c r="D492" s="206"/>
      <c r="E492" s="206"/>
      <c r="AF492" s="58"/>
      <c r="AG492" s="58"/>
      <c r="AH492" s="58"/>
      <c r="AI492" s="58"/>
      <c r="AJ492" s="58"/>
      <c r="BK492" s="58"/>
      <c r="BL492" s="58"/>
      <c r="BM492" s="58"/>
      <c r="BN492" s="58"/>
    </row>
    <row r="493" spans="3:66" x14ac:dyDescent="0.2">
      <c r="C493" s="206"/>
      <c r="D493" s="206"/>
      <c r="E493" s="206"/>
      <c r="AF493" s="58"/>
      <c r="AG493" s="58"/>
      <c r="AH493" s="58"/>
      <c r="AI493" s="58"/>
      <c r="AJ493" s="58"/>
      <c r="BK493" s="58"/>
      <c r="BL493" s="58"/>
      <c r="BM493" s="58"/>
      <c r="BN493" s="58"/>
    </row>
    <row r="494" spans="3:66" x14ac:dyDescent="0.2">
      <c r="C494" s="207"/>
      <c r="D494" s="206"/>
      <c r="E494" s="206"/>
      <c r="AF494" s="58"/>
      <c r="AG494" s="58"/>
      <c r="AH494" s="58"/>
      <c r="AI494" s="58"/>
      <c r="AJ494" s="58"/>
      <c r="BK494" s="58"/>
      <c r="BL494" s="58"/>
      <c r="BM494" s="58"/>
      <c r="BN494" s="58"/>
    </row>
    <row r="495" spans="3:66" x14ac:dyDescent="0.2">
      <c r="C495" s="207"/>
      <c r="D495" s="206"/>
      <c r="E495" s="206"/>
      <c r="AF495" s="58"/>
      <c r="AG495" s="58"/>
      <c r="AH495" s="58"/>
      <c r="AI495" s="58"/>
      <c r="AJ495" s="58"/>
      <c r="BK495" s="58"/>
      <c r="BL495" s="58"/>
      <c r="BM495" s="58"/>
      <c r="BN495" s="58"/>
    </row>
    <row r="496" spans="3:66" x14ac:dyDescent="0.2">
      <c r="C496" s="207"/>
      <c r="D496" s="206"/>
      <c r="E496" s="206"/>
      <c r="BK496" s="58"/>
      <c r="BL496" s="58"/>
      <c r="BM496" s="58"/>
      <c r="BN496" s="58"/>
    </row>
    <row r="497" spans="3:66" x14ac:dyDescent="0.2">
      <c r="C497" s="207"/>
      <c r="D497" s="206"/>
      <c r="E497" s="206"/>
      <c r="BK497" s="58"/>
      <c r="BL497" s="58"/>
      <c r="BM497" s="58"/>
      <c r="BN497" s="58"/>
    </row>
    <row r="498" spans="3:66" x14ac:dyDescent="0.2">
      <c r="C498" s="206"/>
      <c r="D498" s="206"/>
      <c r="E498" s="206"/>
      <c r="BK498" s="58"/>
      <c r="BL498" s="58"/>
      <c r="BM498" s="58"/>
      <c r="BN498" s="58"/>
    </row>
    <row r="499" spans="3:66" x14ac:dyDescent="0.2">
      <c r="C499" s="206"/>
      <c r="D499" s="206"/>
      <c r="E499" s="206"/>
      <c r="BK499" s="58"/>
      <c r="BL499" s="58"/>
      <c r="BM499" s="58"/>
      <c r="BN499" s="58"/>
    </row>
    <row r="500" spans="3:66" x14ac:dyDescent="0.2">
      <c r="C500" s="206"/>
      <c r="D500" s="206"/>
      <c r="E500" s="206"/>
      <c r="BK500" s="58"/>
      <c r="BL500" s="58"/>
      <c r="BM500" s="58"/>
      <c r="BN500" s="58"/>
    </row>
    <row r="501" spans="3:66" x14ac:dyDescent="0.2">
      <c r="C501" s="207"/>
      <c r="D501" s="206"/>
      <c r="E501" s="206"/>
      <c r="BK501" s="58"/>
      <c r="BL501" s="58"/>
      <c r="BM501" s="58"/>
      <c r="BN501" s="58"/>
    </row>
    <row r="502" spans="3:66" x14ac:dyDescent="0.2">
      <c r="C502" s="206"/>
      <c r="D502" s="206"/>
      <c r="E502" s="206"/>
      <c r="BK502" s="58"/>
      <c r="BL502" s="58"/>
      <c r="BM502" s="58"/>
      <c r="BN502" s="58"/>
    </row>
    <row r="503" spans="3:66" x14ac:dyDescent="0.2">
      <c r="C503" s="206"/>
      <c r="D503" s="206"/>
      <c r="E503" s="206"/>
      <c r="BK503" s="58"/>
      <c r="BL503" s="58"/>
      <c r="BM503" s="58"/>
      <c r="BN503" s="58"/>
    </row>
    <row r="504" spans="3:66" x14ac:dyDescent="0.2">
      <c r="C504" s="206"/>
      <c r="D504" s="206"/>
      <c r="E504" s="206"/>
      <c r="BK504" s="58"/>
      <c r="BL504" s="58"/>
      <c r="BM504" s="58"/>
      <c r="BN504" s="58"/>
    </row>
    <row r="505" spans="3:66" x14ac:dyDescent="0.2">
      <c r="C505" s="207"/>
      <c r="D505" s="206"/>
      <c r="E505" s="206"/>
      <c r="BK505" s="58"/>
      <c r="BL505" s="58"/>
      <c r="BM505" s="58"/>
      <c r="BN505" s="58"/>
    </row>
    <row r="506" spans="3:66" x14ac:dyDescent="0.2">
      <c r="C506" s="206"/>
      <c r="D506" s="206"/>
      <c r="E506" s="206"/>
      <c r="BK506" s="58"/>
      <c r="BL506" s="58"/>
      <c r="BM506" s="58"/>
      <c r="BN506" s="58"/>
    </row>
    <row r="507" spans="3:66" x14ac:dyDescent="0.2">
      <c r="C507" s="206"/>
      <c r="D507" s="206"/>
      <c r="E507" s="206"/>
      <c r="BK507" s="58"/>
      <c r="BL507" s="58"/>
      <c r="BM507" s="58"/>
      <c r="BN507" s="58"/>
    </row>
    <row r="508" spans="3:66" x14ac:dyDescent="0.2">
      <c r="C508" s="206"/>
      <c r="D508" s="206"/>
      <c r="E508" s="206"/>
      <c r="BK508" s="58"/>
      <c r="BL508" s="58"/>
      <c r="BM508" s="58"/>
      <c r="BN508" s="58"/>
    </row>
    <row r="509" spans="3:66" x14ac:dyDescent="0.2">
      <c r="C509" s="206"/>
      <c r="D509" s="206"/>
      <c r="E509" s="206"/>
      <c r="BK509" s="58"/>
      <c r="BL509" s="58"/>
      <c r="BM509" s="58"/>
      <c r="BN509" s="58"/>
    </row>
    <row r="510" spans="3:66" x14ac:dyDescent="0.2">
      <c r="C510" s="206"/>
      <c r="D510" s="206"/>
      <c r="E510" s="206"/>
      <c r="BK510" s="58"/>
      <c r="BL510" s="58"/>
      <c r="BM510" s="58"/>
      <c r="BN510" s="58"/>
    </row>
    <row r="511" spans="3:66" x14ac:dyDescent="0.2">
      <c r="C511" s="206"/>
      <c r="D511" s="206"/>
      <c r="E511" s="206"/>
      <c r="BK511" s="58"/>
      <c r="BL511" s="58"/>
      <c r="BM511" s="58"/>
      <c r="BN511" s="58"/>
    </row>
    <row r="512" spans="3:66" x14ac:dyDescent="0.2">
      <c r="C512" s="207"/>
      <c r="D512" s="206"/>
      <c r="E512" s="206"/>
      <c r="BK512" s="58"/>
      <c r="BL512" s="58"/>
      <c r="BM512" s="58"/>
      <c r="BN512" s="58"/>
    </row>
    <row r="513" spans="3:66" x14ac:dyDescent="0.2">
      <c r="C513" s="207"/>
      <c r="D513" s="206"/>
      <c r="E513" s="206"/>
      <c r="BK513" s="58"/>
      <c r="BL513" s="58"/>
      <c r="BM513" s="58"/>
      <c r="BN513" s="58"/>
    </row>
    <row r="514" spans="3:66" x14ac:dyDescent="0.2">
      <c r="C514" s="206"/>
      <c r="D514" s="206"/>
      <c r="E514" s="206"/>
      <c r="BK514" s="58"/>
      <c r="BL514" s="58"/>
      <c r="BM514" s="58"/>
      <c r="BN514" s="58"/>
    </row>
    <row r="515" spans="3:66" x14ac:dyDescent="0.2">
      <c r="C515" s="206"/>
      <c r="D515" s="206"/>
      <c r="E515" s="206"/>
      <c r="BK515" s="58"/>
      <c r="BL515" s="58"/>
      <c r="BM515" s="58"/>
      <c r="BN515" s="58"/>
    </row>
    <row r="516" spans="3:66" x14ac:dyDescent="0.2">
      <c r="C516" s="206"/>
      <c r="D516" s="206"/>
      <c r="E516" s="206"/>
      <c r="BK516" s="58"/>
      <c r="BL516" s="58"/>
      <c r="BM516" s="58"/>
      <c r="BN516" s="58"/>
    </row>
    <row r="517" spans="3:66" x14ac:dyDescent="0.2">
      <c r="C517" s="207"/>
      <c r="D517" s="206"/>
      <c r="E517" s="206"/>
      <c r="BK517" s="58"/>
      <c r="BL517" s="58"/>
      <c r="BM517" s="58"/>
      <c r="BN517" s="58"/>
    </row>
    <row r="518" spans="3:66" x14ac:dyDescent="0.2">
      <c r="C518" s="207"/>
      <c r="D518" s="206"/>
      <c r="E518" s="206"/>
      <c r="BK518" s="58"/>
      <c r="BL518" s="58"/>
      <c r="BM518" s="58"/>
      <c r="BN518" s="58"/>
    </row>
    <row r="519" spans="3:66" x14ac:dyDescent="0.2">
      <c r="C519" s="206"/>
      <c r="D519" s="206"/>
      <c r="E519" s="206"/>
      <c r="BK519" s="58"/>
      <c r="BL519" s="58"/>
      <c r="BM519" s="58"/>
      <c r="BN519" s="58"/>
    </row>
    <row r="520" spans="3:66" x14ac:dyDescent="0.2">
      <c r="C520" s="206"/>
      <c r="D520" s="206"/>
      <c r="E520" s="206"/>
      <c r="BK520" s="58"/>
      <c r="BL520" s="58"/>
      <c r="BM520" s="58"/>
      <c r="BN520" s="58"/>
    </row>
    <row r="521" spans="3:66" x14ac:dyDescent="0.2">
      <c r="C521" s="206"/>
      <c r="D521" s="206"/>
      <c r="E521" s="206"/>
      <c r="BK521" s="58"/>
      <c r="BL521" s="58"/>
      <c r="BM521" s="58"/>
      <c r="BN521" s="58"/>
    </row>
    <row r="522" spans="3:66" x14ac:dyDescent="0.2">
      <c r="C522" s="206"/>
      <c r="D522" s="206"/>
      <c r="E522" s="206"/>
      <c r="BK522" s="58"/>
      <c r="BL522" s="58"/>
      <c r="BM522" s="58"/>
      <c r="BN522" s="58"/>
    </row>
    <row r="523" spans="3:66" x14ac:dyDescent="0.2">
      <c r="C523" s="207"/>
      <c r="D523" s="206"/>
      <c r="E523" s="206"/>
      <c r="BK523" s="58"/>
      <c r="BL523" s="58"/>
      <c r="BM523" s="58"/>
      <c r="BN523" s="58"/>
    </row>
    <row r="524" spans="3:66" x14ac:dyDescent="0.2">
      <c r="C524" s="206"/>
      <c r="D524" s="206"/>
      <c r="E524" s="206"/>
      <c r="BK524" s="58"/>
      <c r="BL524" s="58"/>
      <c r="BM524" s="58"/>
      <c r="BN524" s="58"/>
    </row>
    <row r="525" spans="3:66" x14ac:dyDescent="0.2">
      <c r="C525" s="206"/>
      <c r="D525" s="206"/>
      <c r="E525" s="206"/>
      <c r="BK525" s="58"/>
      <c r="BL525" s="58"/>
      <c r="BM525" s="58"/>
      <c r="BN525" s="58"/>
    </row>
    <row r="526" spans="3:66" x14ac:dyDescent="0.2">
      <c r="C526" s="206"/>
      <c r="D526" s="206"/>
      <c r="E526" s="206"/>
      <c r="BK526" s="58"/>
      <c r="BL526" s="58"/>
      <c r="BM526" s="58"/>
      <c r="BN526" s="58"/>
    </row>
    <row r="527" spans="3:66" x14ac:dyDescent="0.2">
      <c r="C527" s="206"/>
      <c r="D527" s="206"/>
      <c r="E527" s="206"/>
      <c r="BK527" s="58"/>
      <c r="BL527" s="58"/>
      <c r="BM527" s="58"/>
      <c r="BN527" s="58"/>
    </row>
    <row r="528" spans="3:66" x14ac:dyDescent="0.2">
      <c r="C528" s="207"/>
      <c r="D528" s="206"/>
      <c r="E528" s="206"/>
      <c r="BK528" s="58"/>
      <c r="BL528" s="58"/>
      <c r="BM528" s="58"/>
      <c r="BN528" s="58"/>
    </row>
    <row r="529" spans="3:66" x14ac:dyDescent="0.2">
      <c r="C529" s="207"/>
      <c r="D529" s="206"/>
      <c r="E529" s="206"/>
      <c r="BK529" s="58"/>
      <c r="BL529" s="58"/>
      <c r="BM529" s="58"/>
      <c r="BN529" s="58"/>
    </row>
    <row r="530" spans="3:66" x14ac:dyDescent="0.2">
      <c r="C530" s="207"/>
      <c r="D530" s="206"/>
      <c r="E530" s="206"/>
      <c r="BK530" s="58"/>
      <c r="BL530" s="58"/>
      <c r="BM530" s="58"/>
      <c r="BN530" s="58"/>
    </row>
    <row r="531" spans="3:66" x14ac:dyDescent="0.2">
      <c r="C531" s="206"/>
      <c r="D531" s="206"/>
      <c r="E531" s="206"/>
      <c r="BK531" s="58"/>
      <c r="BL531" s="58"/>
      <c r="BM531" s="58"/>
      <c r="BN531" s="58"/>
    </row>
    <row r="532" spans="3:66" x14ac:dyDescent="0.2">
      <c r="C532" s="207"/>
      <c r="D532" s="206"/>
      <c r="E532" s="206"/>
      <c r="BK532" s="58"/>
      <c r="BL532" s="58"/>
      <c r="BM532" s="58"/>
      <c r="BN532" s="58"/>
    </row>
    <row r="533" spans="3:66" x14ac:dyDescent="0.2">
      <c r="C533" s="206"/>
      <c r="D533" s="206"/>
      <c r="E533" s="206"/>
      <c r="BK533" s="58"/>
      <c r="BL533" s="58"/>
      <c r="BM533" s="58"/>
      <c r="BN533" s="58"/>
    </row>
    <row r="534" spans="3:66" x14ac:dyDescent="0.2">
      <c r="C534" s="206"/>
      <c r="D534" s="206"/>
      <c r="E534" s="206"/>
      <c r="BK534" s="58"/>
      <c r="BL534" s="58"/>
      <c r="BM534" s="58"/>
      <c r="BN534" s="58"/>
    </row>
    <row r="535" spans="3:66" x14ac:dyDescent="0.2">
      <c r="C535" s="206"/>
      <c r="D535" s="206"/>
      <c r="E535" s="206"/>
      <c r="BK535" s="58"/>
      <c r="BL535" s="58"/>
      <c r="BM535" s="58"/>
      <c r="BN535" s="58"/>
    </row>
    <row r="536" spans="3:66" x14ac:dyDescent="0.2">
      <c r="C536" s="206"/>
      <c r="D536" s="206"/>
      <c r="E536" s="206"/>
      <c r="BK536" s="58"/>
      <c r="BL536" s="58"/>
      <c r="BM536" s="58"/>
      <c r="BN536" s="58"/>
    </row>
    <row r="537" spans="3:66" x14ac:dyDescent="0.2">
      <c r="C537" s="206"/>
      <c r="D537" s="206"/>
      <c r="E537" s="206"/>
      <c r="BK537" s="58"/>
      <c r="BL537" s="58"/>
      <c r="BM537" s="58"/>
      <c r="BN537" s="58"/>
    </row>
    <row r="538" spans="3:66" x14ac:dyDescent="0.2">
      <c r="C538" s="206"/>
      <c r="D538" s="206"/>
      <c r="E538" s="206"/>
      <c r="BK538" s="58"/>
      <c r="BL538" s="58"/>
      <c r="BM538" s="58"/>
      <c r="BN538" s="58"/>
    </row>
    <row r="539" spans="3:66" x14ac:dyDescent="0.2">
      <c r="C539" s="206"/>
      <c r="D539" s="206"/>
      <c r="E539" s="206"/>
      <c r="BK539" s="58"/>
      <c r="BL539" s="58"/>
      <c r="BM539" s="58"/>
      <c r="BN539" s="58"/>
    </row>
    <row r="540" spans="3:66" x14ac:dyDescent="0.2">
      <c r="C540" s="207"/>
      <c r="D540" s="206"/>
      <c r="E540" s="206"/>
      <c r="BK540" s="58"/>
      <c r="BL540" s="58"/>
      <c r="BM540" s="58"/>
      <c r="BN540" s="58"/>
    </row>
    <row r="541" spans="3:66" x14ac:dyDescent="0.2">
      <c r="C541" s="206"/>
      <c r="D541" s="206"/>
      <c r="E541" s="206"/>
      <c r="BK541" s="58"/>
      <c r="BL541" s="58"/>
      <c r="BM541" s="58"/>
      <c r="BN541" s="58"/>
    </row>
    <row r="542" spans="3:66" x14ac:dyDescent="0.2">
      <c r="C542" s="207"/>
      <c r="D542" s="206"/>
      <c r="E542" s="206"/>
      <c r="BK542" s="58"/>
      <c r="BL542" s="58"/>
      <c r="BM542" s="58"/>
      <c r="BN542" s="58"/>
    </row>
    <row r="543" spans="3:66" x14ac:dyDescent="0.2">
      <c r="C543" s="206"/>
      <c r="D543" s="206"/>
      <c r="E543" s="206"/>
      <c r="BK543" s="58"/>
      <c r="BL543" s="58"/>
      <c r="BM543" s="58"/>
      <c r="BN543" s="58"/>
    </row>
    <row r="544" spans="3:66" x14ac:dyDescent="0.2">
      <c r="C544" s="207"/>
      <c r="D544" s="206"/>
      <c r="E544" s="206"/>
      <c r="BK544" s="58"/>
      <c r="BL544" s="58"/>
      <c r="BM544" s="58"/>
      <c r="BN544" s="58"/>
    </row>
    <row r="545" spans="3:66" x14ac:dyDescent="0.2">
      <c r="C545" s="206"/>
      <c r="D545" s="206"/>
      <c r="E545" s="206"/>
      <c r="BK545" s="58"/>
      <c r="BL545" s="58"/>
      <c r="BM545" s="58"/>
      <c r="BN545" s="58"/>
    </row>
    <row r="546" spans="3:66" x14ac:dyDescent="0.2">
      <c r="C546" s="206"/>
      <c r="D546" s="206"/>
      <c r="E546" s="206"/>
      <c r="BK546" s="58"/>
      <c r="BL546" s="58"/>
      <c r="BM546" s="58"/>
      <c r="BN546" s="58"/>
    </row>
    <row r="547" spans="3:66" x14ac:dyDescent="0.2">
      <c r="C547" s="206"/>
      <c r="D547" s="206"/>
      <c r="E547" s="206"/>
      <c r="BK547" s="58"/>
      <c r="BL547" s="58"/>
      <c r="BM547" s="58"/>
      <c r="BN547" s="58"/>
    </row>
    <row r="548" spans="3:66" x14ac:dyDescent="0.2">
      <c r="C548" s="207"/>
      <c r="D548" s="206"/>
      <c r="E548" s="206"/>
      <c r="BK548" s="58"/>
      <c r="BL548" s="58"/>
      <c r="BM548" s="58"/>
      <c r="BN548" s="58"/>
    </row>
    <row r="549" spans="3:66" x14ac:dyDescent="0.2">
      <c r="C549" s="207"/>
      <c r="D549" s="206"/>
      <c r="E549" s="206"/>
      <c r="BK549" s="58"/>
      <c r="BL549" s="58"/>
      <c r="BM549" s="58"/>
      <c r="BN549" s="58"/>
    </row>
    <row r="550" spans="3:66" x14ac:dyDescent="0.2">
      <c r="C550" s="207"/>
      <c r="D550" s="206"/>
      <c r="E550" s="206"/>
      <c r="BK550" s="58"/>
      <c r="BL550" s="58"/>
      <c r="BM550" s="58"/>
      <c r="BN550" s="58"/>
    </row>
    <row r="551" spans="3:66" x14ac:dyDescent="0.2">
      <c r="C551" s="206"/>
      <c r="D551" s="206"/>
      <c r="E551" s="206"/>
      <c r="BK551" s="58"/>
      <c r="BL551" s="58"/>
      <c r="BM551" s="58"/>
      <c r="BN551" s="58"/>
    </row>
    <row r="552" spans="3:66" x14ac:dyDescent="0.2">
      <c r="C552" s="206"/>
      <c r="D552" s="206"/>
      <c r="E552" s="206"/>
      <c r="BK552" s="58"/>
      <c r="BL552" s="58"/>
      <c r="BM552" s="58"/>
      <c r="BN552" s="58"/>
    </row>
    <row r="553" spans="3:66" x14ac:dyDescent="0.2">
      <c r="C553" s="207"/>
      <c r="D553" s="206"/>
      <c r="E553" s="206"/>
      <c r="BK553" s="58"/>
      <c r="BL553" s="58"/>
      <c r="BM553" s="58"/>
      <c r="BN553" s="58"/>
    </row>
    <row r="554" spans="3:66" x14ac:dyDescent="0.2">
      <c r="C554" s="206"/>
      <c r="D554" s="206"/>
      <c r="E554" s="206"/>
      <c r="BK554" s="58"/>
      <c r="BL554" s="58"/>
      <c r="BM554" s="58"/>
      <c r="BN554" s="58"/>
    </row>
    <row r="555" spans="3:66" x14ac:dyDescent="0.2">
      <c r="C555" s="206"/>
      <c r="D555" s="206"/>
      <c r="E555" s="206"/>
      <c r="BK555" s="58"/>
      <c r="BL555" s="58"/>
      <c r="BM555" s="58"/>
      <c r="BN555" s="58"/>
    </row>
    <row r="556" spans="3:66" x14ac:dyDescent="0.2">
      <c r="C556" s="206"/>
      <c r="D556" s="206"/>
      <c r="E556" s="206"/>
      <c r="BK556" s="58"/>
      <c r="BL556" s="58"/>
      <c r="BM556" s="58"/>
      <c r="BN556" s="58"/>
    </row>
    <row r="557" spans="3:66" x14ac:dyDescent="0.2">
      <c r="C557" s="206"/>
      <c r="D557" s="206"/>
      <c r="E557" s="206"/>
      <c r="BK557" s="58"/>
      <c r="BL557" s="58"/>
      <c r="BM557" s="58"/>
      <c r="BN557" s="58"/>
    </row>
    <row r="558" spans="3:66" x14ac:dyDescent="0.2">
      <c r="C558" s="207"/>
      <c r="D558" s="206"/>
      <c r="E558" s="206"/>
      <c r="BK558" s="58"/>
      <c r="BL558" s="58"/>
      <c r="BM558" s="58"/>
      <c r="BN558" s="58"/>
    </row>
    <row r="559" spans="3:66" x14ac:dyDescent="0.2">
      <c r="C559" s="207"/>
      <c r="D559" s="206"/>
      <c r="E559" s="206"/>
      <c r="BK559" s="58"/>
      <c r="BL559" s="58"/>
      <c r="BM559" s="58"/>
      <c r="BN559" s="58"/>
    </row>
    <row r="560" spans="3:66" x14ac:dyDescent="0.2">
      <c r="C560" s="206"/>
      <c r="D560" s="206"/>
      <c r="E560" s="206"/>
      <c r="BK560" s="58"/>
      <c r="BL560" s="58"/>
      <c r="BM560" s="58"/>
      <c r="BN560" s="58"/>
    </row>
    <row r="561" spans="3:66" x14ac:dyDescent="0.2">
      <c r="C561" s="206"/>
      <c r="D561" s="206"/>
      <c r="E561" s="206"/>
      <c r="BK561" s="58"/>
      <c r="BL561" s="58"/>
      <c r="BM561" s="58"/>
      <c r="BN561" s="58"/>
    </row>
    <row r="562" spans="3:66" x14ac:dyDescent="0.2">
      <c r="C562" s="206"/>
      <c r="D562" s="206"/>
      <c r="E562" s="206"/>
      <c r="BK562" s="58"/>
      <c r="BL562" s="58"/>
      <c r="BM562" s="58"/>
      <c r="BN562" s="58"/>
    </row>
    <row r="563" spans="3:66" x14ac:dyDescent="0.2">
      <c r="C563" s="207"/>
      <c r="D563" s="206"/>
      <c r="E563" s="206"/>
      <c r="BK563" s="58"/>
      <c r="BL563" s="58"/>
      <c r="BM563" s="58"/>
      <c r="BN563" s="58"/>
    </row>
    <row r="564" spans="3:66" x14ac:dyDescent="0.2">
      <c r="C564" s="207"/>
      <c r="D564" s="206"/>
      <c r="E564" s="206"/>
      <c r="BK564" s="58"/>
      <c r="BL564" s="58"/>
      <c r="BM564" s="58"/>
      <c r="BN564" s="58"/>
    </row>
    <row r="565" spans="3:66" x14ac:dyDescent="0.2">
      <c r="C565" s="207"/>
      <c r="D565" s="206"/>
      <c r="E565" s="206"/>
      <c r="BK565" s="58"/>
      <c r="BL565" s="58"/>
      <c r="BM565" s="58"/>
      <c r="BN565" s="58"/>
    </row>
    <row r="566" spans="3:66" x14ac:dyDescent="0.2">
      <c r="C566" s="206"/>
      <c r="D566" s="206"/>
      <c r="E566" s="206"/>
      <c r="BK566" s="58"/>
      <c r="BL566" s="58"/>
      <c r="BM566" s="58"/>
      <c r="BN566" s="58"/>
    </row>
    <row r="567" spans="3:66" x14ac:dyDescent="0.2">
      <c r="C567" s="207"/>
      <c r="D567" s="206"/>
      <c r="E567" s="206"/>
      <c r="BK567" s="58"/>
      <c r="BL567" s="58"/>
      <c r="BM567" s="58"/>
      <c r="BN567" s="58"/>
    </row>
    <row r="568" spans="3:66" x14ac:dyDescent="0.2">
      <c r="C568" s="206"/>
      <c r="D568" s="206"/>
      <c r="E568" s="206"/>
      <c r="BK568" s="58"/>
      <c r="BL568" s="58"/>
      <c r="BM568" s="58"/>
      <c r="BN568" s="58"/>
    </row>
    <row r="569" spans="3:66" x14ac:dyDescent="0.2">
      <c r="C569" s="207"/>
      <c r="D569" s="206"/>
      <c r="E569" s="206"/>
      <c r="BK569" s="58"/>
      <c r="BL569" s="58"/>
      <c r="BM569" s="58"/>
      <c r="BN569" s="58"/>
    </row>
    <row r="570" spans="3:66" x14ac:dyDescent="0.2">
      <c r="C570" s="207"/>
      <c r="D570" s="206"/>
      <c r="E570" s="206"/>
      <c r="BK570" s="58"/>
      <c r="BL570" s="58"/>
      <c r="BM570" s="58"/>
      <c r="BN570" s="58"/>
    </row>
    <row r="571" spans="3:66" x14ac:dyDescent="0.2">
      <c r="C571" s="207"/>
      <c r="D571" s="206"/>
      <c r="E571" s="206"/>
      <c r="BK571" s="58"/>
      <c r="BL571" s="58"/>
      <c r="BM571" s="58"/>
      <c r="BN571" s="58"/>
    </row>
    <row r="572" spans="3:66" x14ac:dyDescent="0.2">
      <c r="C572" s="207"/>
      <c r="D572" s="206"/>
      <c r="E572" s="206"/>
      <c r="BK572" s="58"/>
      <c r="BL572" s="58"/>
      <c r="BM572" s="58"/>
      <c r="BN572" s="58"/>
    </row>
    <row r="573" spans="3:66" x14ac:dyDescent="0.2">
      <c r="C573" s="206"/>
      <c r="D573" s="206"/>
      <c r="E573" s="206"/>
      <c r="BK573" s="58"/>
      <c r="BL573" s="58"/>
      <c r="BM573" s="58"/>
      <c r="BN573" s="58"/>
    </row>
    <row r="574" spans="3:66" x14ac:dyDescent="0.2">
      <c r="C574" s="206"/>
      <c r="D574" s="206"/>
      <c r="E574" s="206"/>
      <c r="BK574" s="58"/>
      <c r="BL574" s="58"/>
      <c r="BM574" s="58"/>
      <c r="BN574" s="58"/>
    </row>
    <row r="575" spans="3:66" x14ac:dyDescent="0.2">
      <c r="C575" s="206"/>
      <c r="D575" s="206"/>
      <c r="E575" s="206"/>
      <c r="BK575" s="58"/>
      <c r="BL575" s="58"/>
      <c r="BM575" s="58"/>
      <c r="BN575" s="58"/>
    </row>
    <row r="576" spans="3:66" x14ac:dyDescent="0.2">
      <c r="C576" s="206"/>
      <c r="D576" s="206"/>
      <c r="E576" s="206"/>
      <c r="BK576" s="58"/>
      <c r="BL576" s="58"/>
      <c r="BM576" s="58"/>
      <c r="BN576" s="58"/>
    </row>
    <row r="577" spans="3:66" x14ac:dyDescent="0.2">
      <c r="C577" s="206"/>
      <c r="D577" s="206"/>
      <c r="E577" s="206"/>
      <c r="BK577" s="58"/>
      <c r="BL577" s="58"/>
      <c r="BM577" s="58"/>
      <c r="BN577" s="58"/>
    </row>
    <row r="578" spans="3:66" x14ac:dyDescent="0.2">
      <c r="C578" s="207"/>
      <c r="D578" s="206"/>
      <c r="E578" s="206"/>
      <c r="BK578" s="58"/>
      <c r="BL578" s="58"/>
      <c r="BM578" s="58"/>
      <c r="BN578" s="58"/>
    </row>
    <row r="579" spans="3:66" x14ac:dyDescent="0.2">
      <c r="C579" s="206"/>
      <c r="D579" s="206"/>
      <c r="E579" s="206"/>
      <c r="BK579" s="58"/>
      <c r="BL579" s="58"/>
      <c r="BM579" s="58"/>
      <c r="BN579" s="58"/>
    </row>
    <row r="580" spans="3:66" x14ac:dyDescent="0.2">
      <c r="C580" s="206"/>
      <c r="D580" s="206"/>
      <c r="E580" s="206"/>
      <c r="BK580" s="58"/>
      <c r="BL580" s="58"/>
      <c r="BM580" s="58"/>
      <c r="BN580" s="58"/>
    </row>
    <row r="581" spans="3:66" x14ac:dyDescent="0.2">
      <c r="C581" s="206"/>
      <c r="D581" s="206"/>
      <c r="E581" s="206"/>
      <c r="BK581" s="58"/>
      <c r="BL581" s="58"/>
      <c r="BM581" s="58"/>
      <c r="BN581" s="58"/>
    </row>
    <row r="582" spans="3:66" x14ac:dyDescent="0.2">
      <c r="C582" s="207"/>
      <c r="D582" s="206"/>
      <c r="E582" s="206"/>
      <c r="BK582" s="58"/>
      <c r="BL582" s="58"/>
      <c r="BM582" s="58"/>
      <c r="BN582" s="58"/>
    </row>
    <row r="583" spans="3:66" x14ac:dyDescent="0.2">
      <c r="C583" s="207"/>
      <c r="D583" s="206"/>
      <c r="E583" s="206"/>
      <c r="BK583" s="58"/>
      <c r="BL583" s="58"/>
      <c r="BM583" s="58"/>
      <c r="BN583" s="58"/>
    </row>
    <row r="584" spans="3:66" x14ac:dyDescent="0.2">
      <c r="C584" s="206"/>
      <c r="D584" s="206"/>
      <c r="E584" s="206"/>
      <c r="BK584" s="58"/>
      <c r="BL584" s="58"/>
      <c r="BM584" s="58"/>
      <c r="BN584" s="58"/>
    </row>
    <row r="585" spans="3:66" x14ac:dyDescent="0.2">
      <c r="C585" s="206"/>
      <c r="D585" s="206"/>
      <c r="E585" s="206"/>
      <c r="BK585" s="58"/>
      <c r="BL585" s="58"/>
      <c r="BM585" s="58"/>
      <c r="BN585" s="58"/>
    </row>
    <row r="586" spans="3:66" x14ac:dyDescent="0.2">
      <c r="C586" s="206"/>
      <c r="D586" s="206"/>
      <c r="E586" s="206"/>
      <c r="BK586" s="58"/>
      <c r="BL586" s="58"/>
      <c r="BM586" s="58"/>
      <c r="BN586" s="58"/>
    </row>
    <row r="587" spans="3:66" x14ac:dyDescent="0.2">
      <c r="C587" s="207"/>
      <c r="D587" s="206"/>
      <c r="E587" s="206"/>
      <c r="BK587" s="58"/>
      <c r="BL587" s="58"/>
      <c r="BM587" s="58"/>
      <c r="BN587" s="58"/>
    </row>
    <row r="588" spans="3:66" x14ac:dyDescent="0.2">
      <c r="C588" s="206"/>
      <c r="D588" s="206"/>
      <c r="E588" s="206"/>
      <c r="BK588" s="58"/>
      <c r="BL588" s="58"/>
      <c r="BM588" s="58"/>
      <c r="BN588" s="58"/>
    </row>
    <row r="589" spans="3:66" x14ac:dyDescent="0.2">
      <c r="C589" s="206"/>
      <c r="D589" s="206"/>
      <c r="E589" s="206"/>
      <c r="BK589" s="58"/>
      <c r="BL589" s="58"/>
      <c r="BM589" s="58"/>
      <c r="BN589" s="58"/>
    </row>
    <row r="590" spans="3:66" x14ac:dyDescent="0.2">
      <c r="C590" s="206"/>
      <c r="D590" s="206"/>
      <c r="E590" s="206"/>
      <c r="BK590" s="58"/>
      <c r="BL590" s="58"/>
      <c r="BM590" s="58"/>
      <c r="BN590" s="58"/>
    </row>
    <row r="591" spans="3:66" x14ac:dyDescent="0.2">
      <c r="C591" s="206"/>
      <c r="D591" s="206"/>
      <c r="E591" s="206"/>
      <c r="BK591" s="58"/>
      <c r="BL591" s="58"/>
      <c r="BM591" s="58"/>
      <c r="BN591" s="58"/>
    </row>
    <row r="592" spans="3:66" x14ac:dyDescent="0.2">
      <c r="C592" s="206"/>
      <c r="D592" s="206"/>
      <c r="E592" s="206"/>
      <c r="BK592" s="58"/>
      <c r="BL592" s="58"/>
      <c r="BM592" s="58"/>
      <c r="BN592" s="58"/>
    </row>
    <row r="593" spans="3:66" x14ac:dyDescent="0.2">
      <c r="C593" s="206"/>
      <c r="D593" s="206"/>
      <c r="E593" s="206"/>
      <c r="BK593" s="58"/>
      <c r="BL593" s="58"/>
      <c r="BM593" s="58"/>
      <c r="BN593" s="58"/>
    </row>
    <row r="594" spans="3:66" x14ac:dyDescent="0.2">
      <c r="C594" s="206"/>
      <c r="D594" s="206"/>
      <c r="E594" s="206"/>
      <c r="BK594" s="58"/>
      <c r="BL594" s="58"/>
      <c r="BM594" s="58"/>
      <c r="BN594" s="58"/>
    </row>
    <row r="595" spans="3:66" x14ac:dyDescent="0.2">
      <c r="C595" s="207"/>
      <c r="D595" s="206"/>
      <c r="E595" s="206"/>
      <c r="BK595" s="58"/>
      <c r="BL595" s="58"/>
      <c r="BM595" s="58"/>
      <c r="BN595" s="58"/>
    </row>
    <row r="596" spans="3:66" x14ac:dyDescent="0.2">
      <c r="C596" s="206"/>
      <c r="D596" s="206"/>
      <c r="E596" s="206"/>
      <c r="BK596" s="58"/>
      <c r="BL596" s="58"/>
      <c r="BM596" s="58"/>
      <c r="BN596" s="58"/>
    </row>
    <row r="597" spans="3:66" x14ac:dyDescent="0.2">
      <c r="C597" s="206"/>
      <c r="D597" s="206"/>
      <c r="E597" s="206"/>
      <c r="BK597" s="58"/>
      <c r="BL597" s="58"/>
      <c r="BM597" s="58"/>
      <c r="BN597" s="58"/>
    </row>
    <row r="598" spans="3:66" x14ac:dyDescent="0.2">
      <c r="C598" s="206"/>
      <c r="D598" s="206"/>
      <c r="E598" s="206"/>
      <c r="BK598" s="58"/>
      <c r="BL598" s="58"/>
      <c r="BM598" s="58"/>
      <c r="BN598" s="58"/>
    </row>
    <row r="599" spans="3:66" x14ac:dyDescent="0.2">
      <c r="C599" s="206"/>
      <c r="D599" s="206"/>
      <c r="E599" s="206"/>
      <c r="BK599" s="58"/>
      <c r="BL599" s="58"/>
      <c r="BM599" s="58"/>
      <c r="BN599" s="58"/>
    </row>
    <row r="600" spans="3:66" x14ac:dyDescent="0.2">
      <c r="C600" s="206"/>
      <c r="D600" s="206"/>
      <c r="E600" s="206"/>
      <c r="BK600" s="58"/>
      <c r="BL600" s="58"/>
      <c r="BM600" s="58"/>
      <c r="BN600" s="58"/>
    </row>
    <row r="601" spans="3:66" x14ac:dyDescent="0.2">
      <c r="C601" s="206"/>
      <c r="D601" s="206"/>
      <c r="E601" s="206"/>
      <c r="BK601" s="58"/>
      <c r="BL601" s="58"/>
      <c r="BM601" s="58"/>
      <c r="BN601" s="58"/>
    </row>
    <row r="602" spans="3:66" x14ac:dyDescent="0.2">
      <c r="C602" s="206"/>
      <c r="D602" s="206"/>
      <c r="E602" s="206"/>
      <c r="BK602" s="58"/>
      <c r="BL602" s="58"/>
      <c r="BM602" s="58"/>
      <c r="BN602" s="58"/>
    </row>
    <row r="603" spans="3:66" x14ac:dyDescent="0.2">
      <c r="C603" s="206"/>
      <c r="D603" s="206"/>
      <c r="E603" s="206"/>
      <c r="BK603" s="58"/>
      <c r="BL603" s="58"/>
      <c r="BM603" s="58"/>
      <c r="BN603" s="58"/>
    </row>
    <row r="604" spans="3:66" x14ac:dyDescent="0.2">
      <c r="C604" s="206"/>
      <c r="D604" s="206"/>
      <c r="E604" s="206"/>
      <c r="BK604" s="58"/>
      <c r="BL604" s="58"/>
      <c r="BM604" s="58"/>
      <c r="BN604" s="58"/>
    </row>
    <row r="605" spans="3:66" x14ac:dyDescent="0.2">
      <c r="C605" s="207"/>
      <c r="D605" s="206"/>
      <c r="E605" s="206"/>
      <c r="BK605" s="58"/>
      <c r="BL605" s="58"/>
      <c r="BM605" s="58"/>
      <c r="BN605" s="58"/>
    </row>
    <row r="606" spans="3:66" x14ac:dyDescent="0.2">
      <c r="C606" s="207"/>
      <c r="D606" s="206"/>
      <c r="E606" s="206"/>
      <c r="BK606" s="58"/>
      <c r="BL606" s="58"/>
      <c r="BM606" s="58"/>
      <c r="BN606" s="58"/>
    </row>
    <row r="607" spans="3:66" x14ac:dyDescent="0.2">
      <c r="C607" s="206"/>
      <c r="D607" s="206"/>
      <c r="E607" s="206"/>
      <c r="BK607" s="58"/>
      <c r="BL607" s="58"/>
      <c r="BM607" s="58"/>
      <c r="BN607" s="58"/>
    </row>
    <row r="608" spans="3:66" x14ac:dyDescent="0.2">
      <c r="C608" s="206"/>
      <c r="D608" s="206"/>
      <c r="E608" s="206"/>
      <c r="BK608" s="58"/>
      <c r="BL608" s="58"/>
      <c r="BM608" s="58"/>
      <c r="BN608" s="58"/>
    </row>
    <row r="609" spans="3:66" x14ac:dyDescent="0.2">
      <c r="C609" s="206"/>
      <c r="D609" s="206"/>
      <c r="E609" s="206"/>
      <c r="BK609" s="58"/>
      <c r="BL609" s="58"/>
      <c r="BM609" s="58"/>
      <c r="BN609" s="58"/>
    </row>
    <row r="610" spans="3:66" x14ac:dyDescent="0.2">
      <c r="C610" s="206"/>
      <c r="D610" s="206"/>
      <c r="E610" s="206"/>
      <c r="BK610" s="58"/>
      <c r="BL610" s="58"/>
      <c r="BM610" s="58"/>
      <c r="BN610" s="58"/>
    </row>
    <row r="611" spans="3:66" x14ac:dyDescent="0.2">
      <c r="C611" s="206"/>
      <c r="D611" s="206"/>
      <c r="E611" s="206"/>
      <c r="BK611" s="58"/>
      <c r="BL611" s="58"/>
      <c r="BM611" s="58"/>
      <c r="BN611" s="58"/>
    </row>
    <row r="612" spans="3:66" x14ac:dyDescent="0.2">
      <c r="C612" s="207"/>
      <c r="D612" s="206"/>
      <c r="E612" s="206"/>
      <c r="BK612" s="58"/>
      <c r="BL612" s="58"/>
      <c r="BM612" s="58"/>
      <c r="BN612" s="58"/>
    </row>
    <row r="613" spans="3:66" x14ac:dyDescent="0.2">
      <c r="C613" s="207"/>
      <c r="D613" s="206"/>
      <c r="E613" s="206"/>
      <c r="BK613" s="58"/>
      <c r="BL613" s="58"/>
      <c r="BM613" s="58"/>
      <c r="BN613" s="58"/>
    </row>
    <row r="614" spans="3:66" x14ac:dyDescent="0.2">
      <c r="C614" s="206"/>
      <c r="D614" s="206"/>
      <c r="E614" s="206"/>
      <c r="BK614" s="58"/>
      <c r="BL614" s="58"/>
      <c r="BM614" s="58"/>
      <c r="BN614" s="58"/>
    </row>
    <row r="615" spans="3:66" x14ac:dyDescent="0.2">
      <c r="C615" s="206"/>
      <c r="D615" s="206"/>
      <c r="E615" s="206"/>
      <c r="BK615" s="58"/>
      <c r="BL615" s="58"/>
      <c r="BM615" s="58"/>
      <c r="BN615" s="58"/>
    </row>
    <row r="616" spans="3:66" x14ac:dyDescent="0.2">
      <c r="C616" s="206"/>
      <c r="D616" s="206"/>
      <c r="E616" s="206"/>
      <c r="BK616" s="58"/>
      <c r="BL616" s="58"/>
      <c r="BM616" s="58"/>
      <c r="BN616" s="58"/>
    </row>
    <row r="617" spans="3:66" x14ac:dyDescent="0.2">
      <c r="C617" s="206"/>
      <c r="D617" s="206"/>
      <c r="E617" s="206"/>
      <c r="BK617" s="58"/>
      <c r="BL617" s="58"/>
      <c r="BM617" s="58"/>
      <c r="BN617" s="58"/>
    </row>
    <row r="618" spans="3:66" x14ac:dyDescent="0.2">
      <c r="C618" s="206"/>
      <c r="D618" s="206"/>
      <c r="E618" s="206"/>
      <c r="BK618" s="58"/>
      <c r="BL618" s="58"/>
      <c r="BM618" s="58"/>
      <c r="BN618" s="58"/>
    </row>
    <row r="619" spans="3:66" x14ac:dyDescent="0.2">
      <c r="C619" s="207"/>
      <c r="D619" s="206"/>
      <c r="E619" s="206"/>
      <c r="BK619" s="58"/>
      <c r="BL619" s="58"/>
      <c r="BM619" s="58"/>
      <c r="BN619" s="58"/>
    </row>
    <row r="620" spans="3:66" x14ac:dyDescent="0.2">
      <c r="C620" s="207"/>
      <c r="D620" s="206"/>
      <c r="E620" s="206"/>
      <c r="BK620" s="58"/>
      <c r="BL620" s="58"/>
      <c r="BM620" s="58"/>
      <c r="BN620" s="58"/>
    </row>
    <row r="621" spans="3:66" x14ac:dyDescent="0.2">
      <c r="C621" s="207"/>
      <c r="D621" s="206"/>
      <c r="E621" s="206"/>
      <c r="BK621" s="58"/>
      <c r="BL621" s="58"/>
      <c r="BM621" s="58"/>
      <c r="BN621" s="58"/>
    </row>
    <row r="622" spans="3:66" x14ac:dyDescent="0.2">
      <c r="C622" s="206"/>
      <c r="D622" s="206"/>
      <c r="E622" s="206"/>
      <c r="BK622" s="58"/>
      <c r="BL622" s="58"/>
      <c r="BM622" s="58"/>
      <c r="BN622" s="58"/>
    </row>
    <row r="623" spans="3:66" x14ac:dyDescent="0.2">
      <c r="C623" s="206"/>
      <c r="D623" s="206"/>
      <c r="E623" s="206"/>
      <c r="BK623" s="58"/>
      <c r="BL623" s="58"/>
      <c r="BM623" s="58"/>
      <c r="BN623" s="58"/>
    </row>
    <row r="624" spans="3:66" x14ac:dyDescent="0.2">
      <c r="C624" s="206"/>
      <c r="D624" s="206"/>
      <c r="E624" s="206"/>
      <c r="BK624" s="58"/>
      <c r="BL624" s="58"/>
      <c r="BM624" s="58"/>
      <c r="BN624" s="58"/>
    </row>
    <row r="625" spans="3:66" x14ac:dyDescent="0.2">
      <c r="C625" s="206"/>
      <c r="D625" s="206"/>
      <c r="E625" s="206"/>
      <c r="BK625" s="58"/>
      <c r="BL625" s="58"/>
      <c r="BM625" s="58"/>
      <c r="BN625" s="58"/>
    </row>
    <row r="626" spans="3:66" x14ac:dyDescent="0.2">
      <c r="C626" s="206"/>
      <c r="D626" s="206"/>
      <c r="E626" s="206"/>
      <c r="BK626" s="58"/>
      <c r="BL626" s="58"/>
      <c r="BM626" s="58"/>
      <c r="BN626" s="58"/>
    </row>
    <row r="627" spans="3:66" x14ac:dyDescent="0.2">
      <c r="C627" s="207"/>
      <c r="D627" s="206"/>
      <c r="E627" s="206"/>
      <c r="BK627" s="58"/>
      <c r="BL627" s="58"/>
      <c r="BM627" s="58"/>
      <c r="BN627" s="58"/>
    </row>
    <row r="628" spans="3:66" x14ac:dyDescent="0.2">
      <c r="C628" s="207"/>
      <c r="D628" s="206"/>
      <c r="E628" s="206"/>
      <c r="BK628" s="58"/>
      <c r="BL628" s="58"/>
      <c r="BM628" s="58"/>
      <c r="BN628" s="58"/>
    </row>
    <row r="629" spans="3:66" x14ac:dyDescent="0.2">
      <c r="C629" s="206"/>
      <c r="D629" s="206"/>
      <c r="E629" s="206"/>
      <c r="BK629" s="58"/>
      <c r="BL629" s="58"/>
      <c r="BM629" s="58"/>
      <c r="BN629" s="58"/>
    </row>
    <row r="630" spans="3:66" x14ac:dyDescent="0.2">
      <c r="C630" s="206"/>
      <c r="D630" s="206"/>
      <c r="E630" s="206"/>
      <c r="BK630" s="58"/>
      <c r="BL630" s="58"/>
      <c r="BM630" s="58"/>
      <c r="BN630" s="58"/>
    </row>
    <row r="631" spans="3:66" x14ac:dyDescent="0.2">
      <c r="C631" s="206"/>
      <c r="D631" s="206"/>
      <c r="E631" s="206"/>
      <c r="BK631" s="58"/>
      <c r="BL631" s="58"/>
      <c r="BM631" s="58"/>
      <c r="BN631" s="58"/>
    </row>
    <row r="632" spans="3:66" x14ac:dyDescent="0.2">
      <c r="C632" s="206"/>
      <c r="D632" s="206"/>
      <c r="E632" s="206"/>
      <c r="BK632" s="58"/>
      <c r="BL632" s="58"/>
      <c r="BM632" s="58"/>
      <c r="BN632" s="58"/>
    </row>
    <row r="633" spans="3:66" x14ac:dyDescent="0.2">
      <c r="C633" s="206"/>
      <c r="D633" s="206"/>
      <c r="E633" s="206"/>
      <c r="BK633" s="58"/>
      <c r="BL633" s="58"/>
      <c r="BM633" s="58"/>
      <c r="BN633" s="58"/>
    </row>
    <row r="634" spans="3:66" x14ac:dyDescent="0.2">
      <c r="C634" s="206"/>
      <c r="D634" s="206"/>
      <c r="E634" s="206"/>
      <c r="BK634" s="58"/>
      <c r="BL634" s="58"/>
      <c r="BM634" s="58"/>
      <c r="BN634" s="58"/>
    </row>
    <row r="635" spans="3:66" x14ac:dyDescent="0.2">
      <c r="C635" s="206"/>
      <c r="D635" s="206"/>
      <c r="E635" s="206"/>
      <c r="BK635" s="58"/>
      <c r="BL635" s="58"/>
      <c r="BM635" s="58"/>
      <c r="BN635" s="58"/>
    </row>
    <row r="636" spans="3:66" x14ac:dyDescent="0.2">
      <c r="C636" s="206"/>
      <c r="D636" s="206"/>
      <c r="E636" s="206"/>
      <c r="BK636" s="58"/>
      <c r="BL636" s="58"/>
      <c r="BM636" s="58"/>
      <c r="BN636" s="58"/>
    </row>
    <row r="637" spans="3:66" x14ac:dyDescent="0.2">
      <c r="C637" s="206"/>
      <c r="D637" s="206"/>
      <c r="E637" s="206"/>
      <c r="BK637" s="58"/>
      <c r="BL637" s="58"/>
      <c r="BM637" s="58"/>
      <c r="BN637" s="58"/>
    </row>
    <row r="638" spans="3:66" x14ac:dyDescent="0.2">
      <c r="C638" s="207"/>
      <c r="D638" s="206"/>
      <c r="E638" s="206"/>
      <c r="BK638" s="58"/>
      <c r="BL638" s="58"/>
      <c r="BM638" s="58"/>
      <c r="BN638" s="58"/>
    </row>
    <row r="639" spans="3:66" x14ac:dyDescent="0.2">
      <c r="C639" s="207"/>
      <c r="D639" s="206"/>
      <c r="E639" s="206"/>
      <c r="BK639" s="58"/>
      <c r="BL639" s="58"/>
      <c r="BM639" s="58"/>
      <c r="BN639" s="58"/>
    </row>
    <row r="640" spans="3:66" x14ac:dyDescent="0.2">
      <c r="C640" s="206"/>
      <c r="D640" s="206"/>
      <c r="E640" s="206"/>
      <c r="BK640" s="58"/>
      <c r="BL640" s="58"/>
      <c r="BM640" s="58"/>
      <c r="BN640" s="58"/>
    </row>
    <row r="641" spans="3:66" x14ac:dyDescent="0.2">
      <c r="C641" s="207"/>
      <c r="D641" s="206"/>
      <c r="E641" s="206"/>
      <c r="BK641" s="58"/>
      <c r="BL641" s="58"/>
      <c r="BM641" s="58"/>
      <c r="BN641" s="58"/>
    </row>
    <row r="642" spans="3:66" x14ac:dyDescent="0.2">
      <c r="C642" s="206"/>
      <c r="D642" s="206"/>
      <c r="E642" s="206"/>
      <c r="BK642" s="58"/>
      <c r="BL642" s="58"/>
      <c r="BM642" s="58"/>
      <c r="BN642" s="58"/>
    </row>
    <row r="643" spans="3:66" x14ac:dyDescent="0.2">
      <c r="C643" s="206"/>
      <c r="D643" s="206"/>
      <c r="E643" s="206"/>
      <c r="BK643" s="58"/>
      <c r="BL643" s="58"/>
      <c r="BM643" s="58"/>
      <c r="BN643" s="58"/>
    </row>
    <row r="644" spans="3:66" x14ac:dyDescent="0.2">
      <c r="C644" s="207"/>
      <c r="D644" s="206"/>
      <c r="E644" s="206"/>
      <c r="BK644" s="58"/>
      <c r="BL644" s="58"/>
      <c r="BM644" s="58"/>
      <c r="BN644" s="58"/>
    </row>
    <row r="645" spans="3:66" x14ac:dyDescent="0.2">
      <c r="C645" s="206"/>
      <c r="D645" s="206"/>
      <c r="E645" s="206"/>
      <c r="BK645" s="58"/>
      <c r="BL645" s="58"/>
      <c r="BM645" s="58"/>
      <c r="BN645" s="58"/>
    </row>
    <row r="646" spans="3:66" x14ac:dyDescent="0.2">
      <c r="C646" s="206"/>
      <c r="D646" s="206"/>
      <c r="E646" s="206"/>
      <c r="BK646" s="58"/>
      <c r="BL646" s="58"/>
      <c r="BM646" s="58"/>
      <c r="BN646" s="58"/>
    </row>
    <row r="647" spans="3:66" x14ac:dyDescent="0.2">
      <c r="C647" s="206"/>
      <c r="D647" s="206"/>
      <c r="E647" s="206"/>
      <c r="BK647" s="58"/>
      <c r="BL647" s="58"/>
      <c r="BM647" s="58"/>
      <c r="BN647" s="58"/>
    </row>
    <row r="648" spans="3:66" x14ac:dyDescent="0.2">
      <c r="C648" s="206"/>
      <c r="D648" s="206"/>
      <c r="E648" s="206"/>
      <c r="BK648" s="58"/>
      <c r="BL648" s="58"/>
      <c r="BM648" s="58"/>
      <c r="BN648" s="58"/>
    </row>
    <row r="649" spans="3:66" x14ac:dyDescent="0.2">
      <c r="C649" s="206"/>
      <c r="D649" s="206"/>
      <c r="E649" s="206"/>
      <c r="BK649" s="58"/>
      <c r="BL649" s="58"/>
      <c r="BM649" s="58"/>
      <c r="BN649" s="58"/>
    </row>
    <row r="650" spans="3:66" x14ac:dyDescent="0.2">
      <c r="C650" s="207"/>
      <c r="D650" s="206"/>
      <c r="E650" s="206"/>
      <c r="BK650" s="58"/>
      <c r="BL650" s="58"/>
      <c r="BM650" s="58"/>
      <c r="BN650" s="58"/>
    </row>
    <row r="651" spans="3:66" x14ac:dyDescent="0.2">
      <c r="C651" s="206"/>
      <c r="D651" s="206"/>
      <c r="E651" s="206"/>
      <c r="BK651" s="58"/>
      <c r="BL651" s="58"/>
      <c r="BM651" s="58"/>
      <c r="BN651" s="58"/>
    </row>
    <row r="652" spans="3:66" x14ac:dyDescent="0.2">
      <c r="C652" s="206"/>
      <c r="D652" s="206"/>
      <c r="E652" s="206"/>
      <c r="BK652" s="58"/>
      <c r="BL652" s="58"/>
      <c r="BM652" s="58"/>
      <c r="BN652" s="58"/>
    </row>
    <row r="653" spans="3:66" x14ac:dyDescent="0.2">
      <c r="C653" s="206"/>
      <c r="D653" s="206"/>
      <c r="E653" s="206"/>
      <c r="BK653" s="58"/>
      <c r="BL653" s="58"/>
      <c r="BM653" s="58"/>
      <c r="BN653" s="58"/>
    </row>
    <row r="654" spans="3:66" x14ac:dyDescent="0.2">
      <c r="C654" s="206"/>
      <c r="D654" s="206"/>
      <c r="E654" s="206"/>
      <c r="BK654" s="58"/>
      <c r="BL654" s="58"/>
      <c r="BM654" s="58"/>
      <c r="BN654" s="58"/>
    </row>
    <row r="655" spans="3:66" x14ac:dyDescent="0.2">
      <c r="C655" s="206"/>
      <c r="D655" s="206"/>
      <c r="E655" s="206"/>
      <c r="BK655" s="58"/>
      <c r="BL655" s="58"/>
      <c r="BM655" s="58"/>
      <c r="BN655" s="58"/>
    </row>
    <row r="656" spans="3:66" x14ac:dyDescent="0.2">
      <c r="C656" s="207"/>
      <c r="D656" s="206"/>
      <c r="E656" s="206"/>
      <c r="BK656" s="58"/>
      <c r="BL656" s="58"/>
      <c r="BM656" s="58"/>
      <c r="BN656" s="58"/>
    </row>
    <row r="657" spans="3:66" x14ac:dyDescent="0.2">
      <c r="C657" s="206"/>
      <c r="D657" s="206"/>
      <c r="E657" s="206"/>
      <c r="BK657" s="58"/>
      <c r="BL657" s="58"/>
      <c r="BM657" s="58"/>
      <c r="BN657" s="58"/>
    </row>
    <row r="658" spans="3:66" x14ac:dyDescent="0.2">
      <c r="C658" s="206"/>
      <c r="D658" s="206"/>
      <c r="E658" s="206"/>
      <c r="BK658" s="58"/>
      <c r="BL658" s="58"/>
      <c r="BM658" s="58"/>
      <c r="BN658" s="58"/>
    </row>
    <row r="659" spans="3:66" s="4399" customFormat="1" x14ac:dyDescent="0.2">
      <c r="C659" s="4401"/>
      <c r="D659" s="4401"/>
      <c r="E659" s="4401"/>
      <c r="L659"/>
      <c r="BK659" s="4402"/>
      <c r="BL659" s="4402"/>
      <c r="BM659" s="4402"/>
      <c r="BN659" s="4402"/>
    </row>
    <row r="660" spans="3:66" x14ac:dyDescent="0.2">
      <c r="C660" s="207"/>
      <c r="D660" s="206"/>
      <c r="E660" s="206"/>
      <c r="BK660" s="58"/>
      <c r="BL660" s="58"/>
      <c r="BM660" s="58"/>
      <c r="BN660" s="58"/>
    </row>
    <row r="661" spans="3:66" x14ac:dyDescent="0.2">
      <c r="C661" s="207"/>
      <c r="D661" s="206"/>
      <c r="E661" s="206"/>
      <c r="BK661" s="58"/>
      <c r="BL661" s="58"/>
      <c r="BM661" s="58"/>
      <c r="BN661" s="58"/>
    </row>
    <row r="662" spans="3:66" x14ac:dyDescent="0.2">
      <c r="C662" s="206"/>
      <c r="D662" s="206"/>
      <c r="E662" s="206"/>
      <c r="BK662" s="58"/>
      <c r="BL662" s="58"/>
      <c r="BM662" s="58"/>
      <c r="BN662" s="58"/>
    </row>
    <row r="663" spans="3:66" x14ac:dyDescent="0.2">
      <c r="C663" s="206"/>
      <c r="D663" s="206"/>
      <c r="E663" s="206"/>
      <c r="BK663" s="58"/>
      <c r="BL663" s="58"/>
      <c r="BM663" s="58"/>
      <c r="BN663" s="58"/>
    </row>
    <row r="664" spans="3:66" x14ac:dyDescent="0.2">
      <c r="C664" s="206"/>
      <c r="D664" s="206"/>
      <c r="E664" s="206"/>
      <c r="BK664" s="58"/>
      <c r="BL664" s="58"/>
      <c r="BM664" s="58"/>
      <c r="BN664" s="58"/>
    </row>
    <row r="665" spans="3:66" x14ac:dyDescent="0.2">
      <c r="C665" s="206"/>
      <c r="D665" s="206"/>
      <c r="E665" s="206"/>
      <c r="BK665" s="58"/>
      <c r="BL665" s="58"/>
      <c r="BM665" s="58"/>
      <c r="BN665" s="58"/>
    </row>
    <row r="666" spans="3:66" x14ac:dyDescent="0.2">
      <c r="C666" s="206"/>
      <c r="D666" s="206"/>
      <c r="E666" s="206"/>
      <c r="BK666" s="58"/>
      <c r="BL666" s="58"/>
      <c r="BM666" s="58"/>
      <c r="BN666" s="58"/>
    </row>
    <row r="667" spans="3:66" x14ac:dyDescent="0.2">
      <c r="C667" s="206"/>
      <c r="D667" s="206"/>
      <c r="E667" s="206"/>
      <c r="BK667" s="58"/>
      <c r="BL667" s="58"/>
      <c r="BM667" s="58"/>
      <c r="BN667" s="58"/>
    </row>
    <row r="668" spans="3:66" x14ac:dyDescent="0.2">
      <c r="C668" s="206"/>
      <c r="D668" s="206"/>
      <c r="E668" s="206"/>
      <c r="BK668" s="58"/>
      <c r="BL668" s="58"/>
      <c r="BM668" s="58"/>
      <c r="BN668" s="58"/>
    </row>
    <row r="669" spans="3:66" x14ac:dyDescent="0.2">
      <c r="C669" s="206"/>
      <c r="D669" s="206"/>
      <c r="E669" s="206"/>
      <c r="BK669" s="58"/>
      <c r="BL669" s="58"/>
      <c r="BM669" s="58"/>
      <c r="BN669" s="58"/>
    </row>
    <row r="670" spans="3:66" x14ac:dyDescent="0.2">
      <c r="C670" s="207"/>
      <c r="D670" s="206"/>
      <c r="E670" s="206"/>
      <c r="BK670" s="58"/>
      <c r="BL670" s="58"/>
      <c r="BM670" s="58"/>
      <c r="BN670" s="58"/>
    </row>
    <row r="671" spans="3:66" x14ac:dyDescent="0.2">
      <c r="C671" s="206"/>
      <c r="D671" s="206"/>
      <c r="E671" s="206"/>
      <c r="BK671" s="58"/>
      <c r="BL671" s="58"/>
      <c r="BM671" s="58"/>
      <c r="BN671" s="58"/>
    </row>
    <row r="672" spans="3:66" x14ac:dyDescent="0.2">
      <c r="C672" s="206"/>
      <c r="D672" s="206"/>
      <c r="E672" s="206"/>
      <c r="BK672" s="58"/>
      <c r="BL672" s="58"/>
      <c r="BM672" s="58"/>
      <c r="BN672" s="58"/>
    </row>
    <row r="673" spans="3:66" x14ac:dyDescent="0.2">
      <c r="C673" s="206"/>
      <c r="D673" s="206"/>
      <c r="E673" s="206"/>
      <c r="BK673" s="58"/>
      <c r="BL673" s="58"/>
      <c r="BM673" s="58"/>
      <c r="BN673" s="58"/>
    </row>
    <row r="674" spans="3:66" x14ac:dyDescent="0.2">
      <c r="C674" s="206"/>
      <c r="D674" s="206"/>
      <c r="E674" s="206"/>
      <c r="BK674" s="58"/>
      <c r="BL674" s="58"/>
      <c r="BM674" s="58"/>
      <c r="BN674" s="58"/>
    </row>
    <row r="675" spans="3:66" x14ac:dyDescent="0.2">
      <c r="C675" s="206"/>
      <c r="D675" s="206"/>
      <c r="E675" s="206"/>
      <c r="BK675" s="58"/>
      <c r="BL675" s="58"/>
      <c r="BM675" s="58"/>
      <c r="BN675" s="58"/>
    </row>
    <row r="676" spans="3:66" x14ac:dyDescent="0.2">
      <c r="C676" s="206"/>
      <c r="D676" s="206"/>
      <c r="E676" s="206"/>
      <c r="BK676" s="58"/>
      <c r="BL676" s="58"/>
      <c r="BM676" s="58"/>
      <c r="BN676" s="58"/>
    </row>
    <row r="677" spans="3:66" x14ac:dyDescent="0.2">
      <c r="C677" s="207"/>
      <c r="D677" s="206"/>
      <c r="E677" s="206"/>
      <c r="BK677" s="58"/>
      <c r="BL677" s="58"/>
      <c r="BM677" s="58"/>
      <c r="BN677" s="58"/>
    </row>
    <row r="678" spans="3:66" x14ac:dyDescent="0.2">
      <c r="C678" s="207"/>
      <c r="D678" s="206"/>
      <c r="E678" s="206"/>
      <c r="BK678" s="58"/>
      <c r="BL678" s="58"/>
      <c r="BM678" s="58"/>
      <c r="BN678" s="58"/>
    </row>
    <row r="679" spans="3:66" x14ac:dyDescent="0.2">
      <c r="C679" s="206"/>
      <c r="D679" s="206"/>
      <c r="E679" s="206"/>
      <c r="BK679" s="58"/>
      <c r="BL679" s="58"/>
      <c r="BM679" s="58"/>
      <c r="BN679" s="58"/>
    </row>
    <row r="680" spans="3:66" x14ac:dyDescent="0.2">
      <c r="C680" s="206"/>
      <c r="D680" s="206"/>
      <c r="E680" s="206"/>
      <c r="BK680" s="58"/>
      <c r="BL680" s="58"/>
      <c r="BM680" s="58"/>
      <c r="BN680" s="58"/>
    </row>
    <row r="681" spans="3:66" x14ac:dyDescent="0.2">
      <c r="C681" s="206"/>
      <c r="D681" s="206"/>
      <c r="E681" s="206"/>
      <c r="BK681" s="58"/>
      <c r="BL681" s="58"/>
      <c r="BM681" s="58"/>
      <c r="BN681" s="58"/>
    </row>
    <row r="682" spans="3:66" x14ac:dyDescent="0.2">
      <c r="C682" s="207"/>
      <c r="D682" s="206"/>
      <c r="E682" s="206"/>
      <c r="BK682" s="58"/>
      <c r="BL682" s="58"/>
      <c r="BM682" s="58"/>
      <c r="BN682" s="58"/>
    </row>
    <row r="683" spans="3:66" x14ac:dyDescent="0.2">
      <c r="C683" s="207"/>
      <c r="D683" s="206"/>
      <c r="E683" s="206"/>
      <c r="BK683" s="58"/>
      <c r="BL683" s="58"/>
      <c r="BM683" s="58"/>
      <c r="BN683" s="58"/>
    </row>
    <row r="684" spans="3:66" x14ac:dyDescent="0.2">
      <c r="C684" s="206"/>
      <c r="D684" s="206"/>
      <c r="E684" s="206"/>
      <c r="BK684" s="58"/>
      <c r="BL684" s="58"/>
      <c r="BM684" s="58"/>
      <c r="BN684" s="58"/>
    </row>
    <row r="685" spans="3:66" x14ac:dyDescent="0.2">
      <c r="C685" s="206"/>
      <c r="D685" s="206"/>
      <c r="E685" s="206"/>
      <c r="BK685" s="58"/>
      <c r="BL685" s="58"/>
      <c r="BM685" s="58"/>
      <c r="BN685" s="58"/>
    </row>
    <row r="686" spans="3:66" x14ac:dyDescent="0.2">
      <c r="C686" s="207"/>
      <c r="D686" s="206"/>
      <c r="E686" s="206"/>
      <c r="BK686" s="58"/>
      <c r="BL686" s="58"/>
      <c r="BM686" s="58"/>
      <c r="BN686" s="58"/>
    </row>
    <row r="687" spans="3:66" x14ac:dyDescent="0.2">
      <c r="C687" s="206"/>
      <c r="D687" s="206"/>
      <c r="E687" s="206"/>
      <c r="BK687" s="58"/>
      <c r="BL687" s="58"/>
      <c r="BM687" s="58"/>
      <c r="BN687" s="58"/>
    </row>
    <row r="688" spans="3:66" x14ac:dyDescent="0.2">
      <c r="C688" s="207"/>
      <c r="D688" s="206"/>
      <c r="E688" s="206"/>
      <c r="BK688" s="58"/>
      <c r="BL688" s="58"/>
      <c r="BM688" s="58"/>
      <c r="BN688" s="58"/>
    </row>
    <row r="689" spans="3:66" x14ac:dyDescent="0.2">
      <c r="C689" s="206"/>
      <c r="D689" s="206"/>
      <c r="E689" s="206"/>
      <c r="BK689" s="58"/>
      <c r="BL689" s="58"/>
      <c r="BM689" s="58"/>
      <c r="BN689" s="58"/>
    </row>
    <row r="690" spans="3:66" x14ac:dyDescent="0.2">
      <c r="C690" s="206"/>
      <c r="D690" s="206"/>
      <c r="E690" s="206"/>
      <c r="BK690" s="58"/>
      <c r="BL690" s="58"/>
      <c r="BM690" s="58"/>
      <c r="BN690" s="58"/>
    </row>
    <row r="691" spans="3:66" x14ac:dyDescent="0.2">
      <c r="C691" s="206"/>
      <c r="D691" s="206"/>
      <c r="E691" s="206"/>
      <c r="BK691" s="58"/>
      <c r="BL691" s="58"/>
      <c r="BM691" s="58"/>
      <c r="BN691" s="58"/>
    </row>
    <row r="692" spans="3:66" x14ac:dyDescent="0.2">
      <c r="C692" s="206"/>
      <c r="D692" s="206"/>
      <c r="E692" s="206"/>
      <c r="BK692" s="58"/>
      <c r="BL692" s="58"/>
      <c r="BM692" s="58"/>
      <c r="BN692" s="58"/>
    </row>
    <row r="693" spans="3:66" x14ac:dyDescent="0.2">
      <c r="C693" s="206"/>
      <c r="D693" s="206"/>
      <c r="E693" s="206"/>
      <c r="BK693" s="58"/>
      <c r="BL693" s="58"/>
      <c r="BM693" s="58"/>
      <c r="BN693" s="58"/>
    </row>
    <row r="694" spans="3:66" x14ac:dyDescent="0.2">
      <c r="C694" s="207"/>
      <c r="D694" s="206"/>
      <c r="E694" s="206"/>
      <c r="BK694" s="58"/>
      <c r="BL694" s="58"/>
      <c r="BM694" s="58"/>
      <c r="BN694" s="58"/>
    </row>
    <row r="695" spans="3:66" x14ac:dyDescent="0.2">
      <c r="C695" s="206"/>
      <c r="D695" s="206"/>
      <c r="E695" s="206"/>
      <c r="BK695" s="58"/>
      <c r="BL695" s="58"/>
      <c r="BM695" s="58"/>
      <c r="BN695" s="58"/>
    </row>
    <row r="696" spans="3:66" x14ac:dyDescent="0.2">
      <c r="C696" s="206"/>
      <c r="D696" s="206"/>
      <c r="E696" s="206"/>
      <c r="BK696" s="58"/>
      <c r="BL696" s="58"/>
      <c r="BM696" s="58"/>
      <c r="BN696" s="58"/>
    </row>
    <row r="697" spans="3:66" x14ac:dyDescent="0.2">
      <c r="C697" s="207"/>
      <c r="D697" s="206"/>
      <c r="E697" s="206"/>
      <c r="BK697" s="58"/>
      <c r="BL697" s="58"/>
      <c r="BM697" s="58"/>
      <c r="BN697" s="58"/>
    </row>
    <row r="698" spans="3:66" x14ac:dyDescent="0.2">
      <c r="C698" s="206"/>
      <c r="D698" s="206"/>
      <c r="E698" s="206"/>
      <c r="BK698" s="58"/>
      <c r="BL698" s="58"/>
      <c r="BM698" s="58"/>
      <c r="BN698" s="58"/>
    </row>
    <row r="699" spans="3:66" x14ac:dyDescent="0.2">
      <c r="C699" s="206"/>
      <c r="D699" s="206"/>
      <c r="E699" s="206"/>
      <c r="BK699" s="58"/>
      <c r="BL699" s="58"/>
      <c r="BM699" s="58"/>
      <c r="BN699" s="58"/>
    </row>
    <row r="700" spans="3:66" x14ac:dyDescent="0.2">
      <c r="C700" s="206"/>
      <c r="D700" s="206"/>
      <c r="E700" s="206"/>
      <c r="BK700" s="58"/>
      <c r="BL700" s="58"/>
      <c r="BM700" s="58"/>
      <c r="BN700" s="58"/>
    </row>
    <row r="701" spans="3:66" x14ac:dyDescent="0.2">
      <c r="C701" s="206"/>
      <c r="D701" s="206"/>
      <c r="E701" s="206"/>
      <c r="BK701" s="58"/>
      <c r="BL701" s="58"/>
      <c r="BM701" s="58"/>
      <c r="BN701" s="58"/>
    </row>
    <row r="702" spans="3:66" x14ac:dyDescent="0.2">
      <c r="C702" s="207"/>
      <c r="D702" s="206"/>
      <c r="E702" s="206"/>
      <c r="BK702" s="58"/>
      <c r="BL702" s="58"/>
      <c r="BM702" s="58"/>
      <c r="BN702" s="58"/>
    </row>
    <row r="703" spans="3:66" x14ac:dyDescent="0.2">
      <c r="C703" s="206"/>
      <c r="D703" s="206"/>
      <c r="E703" s="206"/>
      <c r="BK703" s="58"/>
      <c r="BL703" s="58"/>
      <c r="BM703" s="58"/>
      <c r="BN703" s="58"/>
    </row>
    <row r="704" spans="3:66" x14ac:dyDescent="0.2">
      <c r="C704" s="206"/>
      <c r="D704" s="206"/>
      <c r="E704" s="206"/>
      <c r="BK704" s="58"/>
      <c r="BL704" s="58"/>
      <c r="BM704" s="58"/>
      <c r="BN704" s="58"/>
    </row>
    <row r="705" spans="3:66" x14ac:dyDescent="0.2">
      <c r="C705" s="207"/>
      <c r="D705" s="206"/>
      <c r="E705" s="206"/>
      <c r="BK705" s="58"/>
      <c r="BL705" s="58"/>
      <c r="BM705" s="58"/>
      <c r="BN705" s="58"/>
    </row>
    <row r="706" spans="3:66" x14ac:dyDescent="0.2">
      <c r="C706" s="206"/>
      <c r="D706" s="206"/>
      <c r="E706" s="206"/>
      <c r="BK706" s="58"/>
      <c r="BL706" s="58"/>
      <c r="BM706" s="58"/>
      <c r="BN706" s="58"/>
    </row>
    <row r="707" spans="3:66" x14ac:dyDescent="0.2">
      <c r="C707" s="207"/>
      <c r="D707" s="206"/>
      <c r="E707" s="206"/>
      <c r="BK707" s="58"/>
      <c r="BL707" s="58"/>
      <c r="BM707" s="58"/>
      <c r="BN707" s="58"/>
    </row>
    <row r="708" spans="3:66" x14ac:dyDescent="0.2">
      <c r="C708" s="206"/>
      <c r="D708" s="206"/>
      <c r="E708" s="206"/>
      <c r="BK708" s="58"/>
      <c r="BL708" s="58"/>
      <c r="BM708" s="58"/>
      <c r="BN708" s="58"/>
    </row>
    <row r="709" spans="3:66" x14ac:dyDescent="0.2">
      <c r="C709" s="206"/>
      <c r="D709" s="206"/>
      <c r="E709" s="206"/>
      <c r="BK709" s="58"/>
      <c r="BL709" s="58"/>
      <c r="BM709" s="58"/>
      <c r="BN709" s="58"/>
    </row>
    <row r="710" spans="3:66" x14ac:dyDescent="0.2">
      <c r="C710" s="206"/>
      <c r="D710" s="206"/>
      <c r="E710" s="206"/>
      <c r="BK710" s="58"/>
      <c r="BL710" s="58"/>
      <c r="BM710" s="58"/>
      <c r="BN710" s="58"/>
    </row>
    <row r="711" spans="3:66" x14ac:dyDescent="0.2">
      <c r="C711" s="206"/>
      <c r="D711" s="206"/>
      <c r="E711" s="206"/>
      <c r="BK711" s="58"/>
      <c r="BL711" s="58"/>
      <c r="BM711" s="58"/>
      <c r="BN711" s="58"/>
    </row>
    <row r="712" spans="3:66" x14ac:dyDescent="0.2">
      <c r="C712" s="206"/>
      <c r="D712" s="206"/>
      <c r="E712" s="206"/>
      <c r="BK712" s="58"/>
      <c r="BL712" s="58"/>
      <c r="BM712" s="58"/>
      <c r="BN712" s="58"/>
    </row>
    <row r="713" spans="3:66" x14ac:dyDescent="0.2">
      <c r="C713" s="206"/>
      <c r="D713" s="206"/>
      <c r="E713" s="206"/>
      <c r="BK713" s="58"/>
      <c r="BL713" s="58"/>
      <c r="BM713" s="58"/>
      <c r="BN713" s="58"/>
    </row>
    <row r="714" spans="3:66" x14ac:dyDescent="0.2">
      <c r="C714" s="206"/>
      <c r="D714" s="206"/>
      <c r="E714" s="206"/>
      <c r="BK714" s="58"/>
      <c r="BL714" s="58"/>
      <c r="BM714" s="58"/>
      <c r="BN714" s="58"/>
    </row>
    <row r="715" spans="3:66" x14ac:dyDescent="0.2">
      <c r="C715" s="207"/>
      <c r="D715" s="206"/>
      <c r="E715" s="206"/>
      <c r="BK715" s="58"/>
      <c r="BL715" s="58"/>
      <c r="BM715" s="58"/>
      <c r="BN715" s="58"/>
    </row>
    <row r="716" spans="3:66" x14ac:dyDescent="0.2">
      <c r="C716" s="206"/>
      <c r="D716" s="206"/>
      <c r="E716" s="206"/>
      <c r="BK716" s="58"/>
      <c r="BL716" s="58"/>
      <c r="BM716" s="58"/>
      <c r="BN716" s="58"/>
    </row>
    <row r="717" spans="3:66" x14ac:dyDescent="0.2">
      <c r="C717" s="206"/>
      <c r="D717" s="206"/>
      <c r="E717" s="206"/>
      <c r="BK717" s="58"/>
      <c r="BL717" s="58"/>
      <c r="BM717" s="58"/>
      <c r="BN717" s="58"/>
    </row>
    <row r="718" spans="3:66" x14ac:dyDescent="0.2">
      <c r="C718" s="207"/>
      <c r="D718" s="206"/>
      <c r="E718" s="206"/>
      <c r="BK718" s="58"/>
      <c r="BL718" s="58"/>
      <c r="BM718" s="58"/>
      <c r="BN718" s="58"/>
    </row>
    <row r="719" spans="3:66" x14ac:dyDescent="0.2">
      <c r="C719" s="206"/>
      <c r="D719" s="206"/>
      <c r="E719" s="206"/>
      <c r="BK719" s="58"/>
      <c r="BL719" s="58"/>
      <c r="BM719" s="58"/>
      <c r="BN719" s="58"/>
    </row>
    <row r="720" spans="3:66" x14ac:dyDescent="0.2">
      <c r="C720" s="206"/>
      <c r="D720" s="206"/>
      <c r="E720" s="206"/>
      <c r="BK720" s="58"/>
      <c r="BL720" s="58"/>
      <c r="BM720" s="58"/>
      <c r="BN720" s="58"/>
    </row>
    <row r="721" spans="3:66" x14ac:dyDescent="0.2">
      <c r="C721" s="206"/>
      <c r="D721" s="206"/>
      <c r="E721" s="206"/>
      <c r="BK721" s="58"/>
      <c r="BL721" s="58"/>
      <c r="BM721" s="58"/>
      <c r="BN721" s="58"/>
    </row>
    <row r="722" spans="3:66" x14ac:dyDescent="0.2">
      <c r="C722" s="206"/>
      <c r="D722" s="206"/>
      <c r="E722" s="206"/>
      <c r="BK722" s="58"/>
      <c r="BL722" s="58"/>
      <c r="BM722" s="58"/>
      <c r="BN722" s="58"/>
    </row>
    <row r="723" spans="3:66" x14ac:dyDescent="0.2">
      <c r="C723" s="207"/>
      <c r="D723" s="206"/>
      <c r="E723" s="206"/>
      <c r="BK723" s="58"/>
      <c r="BL723" s="58"/>
      <c r="BM723" s="58"/>
      <c r="BN723" s="58"/>
    </row>
    <row r="724" spans="3:66" x14ac:dyDescent="0.2">
      <c r="C724" s="207"/>
      <c r="D724" s="206"/>
      <c r="E724" s="206"/>
      <c r="BK724" s="58"/>
      <c r="BL724" s="58"/>
      <c r="BM724" s="58"/>
      <c r="BN724" s="58"/>
    </row>
    <row r="725" spans="3:66" x14ac:dyDescent="0.2">
      <c r="C725" s="206"/>
      <c r="D725" s="206"/>
      <c r="E725" s="206"/>
      <c r="BK725" s="58"/>
      <c r="BL725" s="58"/>
      <c r="BM725" s="58"/>
      <c r="BN725" s="58"/>
    </row>
    <row r="726" spans="3:66" x14ac:dyDescent="0.2">
      <c r="C726" s="206"/>
      <c r="D726" s="206"/>
      <c r="E726" s="206"/>
      <c r="BK726" s="58"/>
      <c r="BL726" s="58"/>
      <c r="BM726" s="58"/>
      <c r="BN726" s="58"/>
    </row>
    <row r="727" spans="3:66" x14ac:dyDescent="0.2">
      <c r="C727" s="206"/>
      <c r="D727" s="206"/>
      <c r="E727" s="206"/>
      <c r="BK727" s="58"/>
      <c r="BL727" s="58"/>
      <c r="BM727" s="58"/>
      <c r="BN727" s="58"/>
    </row>
    <row r="728" spans="3:66" x14ac:dyDescent="0.2">
      <c r="C728" s="206"/>
      <c r="D728" s="206"/>
      <c r="E728" s="206"/>
      <c r="BK728" s="58"/>
      <c r="BL728" s="58"/>
      <c r="BM728" s="58"/>
      <c r="BN728" s="58"/>
    </row>
    <row r="729" spans="3:66" x14ac:dyDescent="0.2">
      <c r="C729" s="206"/>
      <c r="D729" s="206"/>
      <c r="E729" s="206"/>
      <c r="BK729" s="58"/>
      <c r="BL729" s="58"/>
      <c r="BM729" s="58"/>
      <c r="BN729" s="58"/>
    </row>
    <row r="730" spans="3:66" x14ac:dyDescent="0.2">
      <c r="C730" s="206"/>
      <c r="D730" s="206"/>
      <c r="E730" s="206"/>
      <c r="BK730" s="58"/>
      <c r="BL730" s="58"/>
      <c r="BM730" s="58"/>
      <c r="BN730" s="58"/>
    </row>
    <row r="731" spans="3:66" x14ac:dyDescent="0.2">
      <c r="C731" s="206"/>
      <c r="D731" s="206"/>
      <c r="E731" s="206"/>
      <c r="BK731" s="58"/>
      <c r="BL731" s="58"/>
      <c r="BM731" s="58"/>
      <c r="BN731" s="58"/>
    </row>
    <row r="732" spans="3:66" x14ac:dyDescent="0.2">
      <c r="C732" s="207"/>
      <c r="D732" s="206"/>
      <c r="E732" s="206"/>
      <c r="BK732" s="58"/>
      <c r="BL732" s="58"/>
      <c r="BM732" s="58"/>
      <c r="BN732" s="58"/>
    </row>
    <row r="733" spans="3:66" x14ac:dyDescent="0.2">
      <c r="C733" s="206"/>
      <c r="D733" s="206"/>
      <c r="E733" s="206"/>
      <c r="BK733" s="58"/>
      <c r="BL733" s="58"/>
      <c r="BM733" s="58"/>
      <c r="BN733" s="58"/>
    </row>
    <row r="734" spans="3:66" x14ac:dyDescent="0.2">
      <c r="C734" s="207"/>
      <c r="D734" s="206"/>
      <c r="E734" s="206"/>
      <c r="BK734" s="58"/>
      <c r="BL734" s="58"/>
      <c r="BM734" s="58"/>
      <c r="BN734" s="58"/>
    </row>
    <row r="735" spans="3:66" x14ac:dyDescent="0.2">
      <c r="C735" s="207"/>
      <c r="D735" s="206"/>
      <c r="E735" s="206"/>
      <c r="BK735" s="58"/>
      <c r="BL735" s="58"/>
      <c r="BM735" s="58"/>
      <c r="BN735" s="58"/>
    </row>
    <row r="736" spans="3:66" x14ac:dyDescent="0.2">
      <c r="C736" s="206"/>
      <c r="D736" s="206"/>
      <c r="E736" s="206"/>
      <c r="BK736" s="58"/>
      <c r="BL736" s="58"/>
      <c r="BM736" s="58"/>
      <c r="BN736" s="58"/>
    </row>
    <row r="737" spans="3:66" x14ac:dyDescent="0.2">
      <c r="C737" s="207"/>
      <c r="D737" s="206"/>
      <c r="E737" s="206"/>
      <c r="BK737" s="58"/>
      <c r="BL737" s="58"/>
      <c r="BM737" s="58"/>
      <c r="BN737" s="58"/>
    </row>
    <row r="738" spans="3:66" x14ac:dyDescent="0.2">
      <c r="C738" s="206"/>
      <c r="D738" s="206"/>
      <c r="E738" s="206"/>
      <c r="BK738" s="58"/>
      <c r="BL738" s="58"/>
      <c r="BM738" s="58"/>
      <c r="BN738" s="58"/>
    </row>
    <row r="739" spans="3:66" x14ac:dyDescent="0.2">
      <c r="C739" s="206"/>
      <c r="D739" s="206"/>
      <c r="E739" s="206"/>
      <c r="BK739" s="58"/>
      <c r="BL739" s="58"/>
      <c r="BM739" s="58"/>
      <c r="BN739" s="58"/>
    </row>
    <row r="740" spans="3:66" x14ac:dyDescent="0.2">
      <c r="C740" s="206"/>
      <c r="D740" s="206"/>
      <c r="E740" s="206"/>
      <c r="BK740" s="58"/>
      <c r="BL740" s="58"/>
      <c r="BM740" s="58"/>
      <c r="BN740" s="58"/>
    </row>
    <row r="741" spans="3:66" x14ac:dyDescent="0.2">
      <c r="C741" s="206"/>
      <c r="D741" s="206"/>
      <c r="E741" s="206"/>
      <c r="BK741" s="58"/>
      <c r="BL741" s="58"/>
      <c r="BM741" s="58"/>
      <c r="BN741" s="58"/>
    </row>
    <row r="742" spans="3:66" x14ac:dyDescent="0.2">
      <c r="C742" s="206"/>
      <c r="D742" s="206"/>
      <c r="E742" s="206"/>
      <c r="BK742" s="58"/>
      <c r="BL742" s="58"/>
      <c r="BM742" s="58"/>
      <c r="BN742" s="58"/>
    </row>
    <row r="743" spans="3:66" x14ac:dyDescent="0.2">
      <c r="C743" s="207"/>
      <c r="D743" s="206"/>
      <c r="E743" s="206"/>
      <c r="BK743" s="58"/>
      <c r="BL743" s="58"/>
      <c r="BM743" s="58"/>
      <c r="BN743" s="58"/>
    </row>
    <row r="744" spans="3:66" x14ac:dyDescent="0.2">
      <c r="C744" s="206"/>
      <c r="D744" s="206"/>
      <c r="E744" s="206"/>
      <c r="BK744" s="58"/>
      <c r="BL744" s="58"/>
      <c r="BM744" s="58"/>
      <c r="BN744" s="58"/>
    </row>
    <row r="745" spans="3:66" x14ac:dyDescent="0.2">
      <c r="C745" s="206"/>
      <c r="D745" s="206"/>
      <c r="E745" s="206"/>
      <c r="BK745" s="58"/>
      <c r="BL745" s="58"/>
      <c r="BM745" s="58"/>
      <c r="BN745" s="58"/>
    </row>
    <row r="746" spans="3:66" x14ac:dyDescent="0.2">
      <c r="C746" s="206"/>
      <c r="D746" s="206"/>
      <c r="E746" s="206"/>
      <c r="BK746" s="58"/>
      <c r="BL746" s="58"/>
      <c r="BM746" s="58"/>
      <c r="BN746" s="58"/>
    </row>
    <row r="747" spans="3:66" x14ac:dyDescent="0.2">
      <c r="C747" s="207"/>
      <c r="D747" s="206"/>
      <c r="E747" s="206"/>
      <c r="BK747" s="58"/>
      <c r="BL747" s="58"/>
      <c r="BM747" s="58"/>
      <c r="BN747" s="58"/>
    </row>
    <row r="748" spans="3:66" x14ac:dyDescent="0.2">
      <c r="C748" s="207"/>
      <c r="D748" s="206"/>
      <c r="E748" s="206"/>
      <c r="BK748" s="58"/>
      <c r="BL748" s="58"/>
      <c r="BM748" s="58"/>
      <c r="BN748" s="58"/>
    </row>
    <row r="749" spans="3:66" x14ac:dyDescent="0.2">
      <c r="C749" s="206"/>
      <c r="D749" s="206"/>
      <c r="E749" s="206"/>
      <c r="BK749" s="58"/>
      <c r="BL749" s="58"/>
      <c r="BM749" s="58"/>
      <c r="BN749" s="58"/>
    </row>
    <row r="750" spans="3:66" x14ac:dyDescent="0.2">
      <c r="C750" s="206"/>
      <c r="D750" s="206"/>
      <c r="E750" s="206"/>
      <c r="BK750" s="58"/>
      <c r="BL750" s="58"/>
      <c r="BM750" s="58"/>
      <c r="BN750" s="58"/>
    </row>
    <row r="751" spans="3:66" x14ac:dyDescent="0.2">
      <c r="C751" s="206"/>
      <c r="D751" s="206"/>
      <c r="E751" s="206"/>
      <c r="BK751" s="58"/>
      <c r="BL751" s="58"/>
      <c r="BM751" s="58"/>
      <c r="BN751" s="58"/>
    </row>
    <row r="752" spans="3:66" x14ac:dyDescent="0.2">
      <c r="C752" s="206"/>
      <c r="D752" s="206"/>
      <c r="E752" s="206"/>
      <c r="BK752" s="58"/>
      <c r="BL752" s="58"/>
      <c r="BM752" s="58"/>
      <c r="BN752" s="58"/>
    </row>
    <row r="753" spans="3:66" x14ac:dyDescent="0.2">
      <c r="C753" s="206"/>
      <c r="D753" s="206"/>
      <c r="E753" s="206"/>
      <c r="BK753" s="58"/>
      <c r="BL753" s="58"/>
      <c r="BM753" s="58"/>
      <c r="BN753" s="58"/>
    </row>
    <row r="754" spans="3:66" x14ac:dyDescent="0.2">
      <c r="C754" s="207"/>
      <c r="D754" s="206"/>
      <c r="E754" s="206"/>
      <c r="BK754" s="58"/>
      <c r="BL754" s="58"/>
      <c r="BM754" s="58"/>
      <c r="BN754" s="58"/>
    </row>
    <row r="755" spans="3:66" x14ac:dyDescent="0.2">
      <c r="C755" s="206"/>
      <c r="D755" s="206"/>
      <c r="E755" s="206"/>
      <c r="BK755" s="58"/>
      <c r="BL755" s="58"/>
      <c r="BM755" s="58"/>
      <c r="BN755" s="58"/>
    </row>
    <row r="756" spans="3:66" x14ac:dyDescent="0.2">
      <c r="C756" s="206"/>
      <c r="D756" s="206"/>
      <c r="E756" s="206"/>
      <c r="BK756" s="58"/>
      <c r="BL756" s="58"/>
      <c r="BM756" s="58"/>
      <c r="BN756" s="58"/>
    </row>
    <row r="757" spans="3:66" x14ac:dyDescent="0.2">
      <c r="C757" s="206"/>
      <c r="D757" s="206"/>
      <c r="E757" s="206"/>
      <c r="BK757" s="58"/>
      <c r="BL757" s="58"/>
      <c r="BM757" s="58"/>
      <c r="BN757" s="58"/>
    </row>
    <row r="758" spans="3:66" x14ac:dyDescent="0.2">
      <c r="C758" s="206"/>
      <c r="D758" s="206"/>
      <c r="E758" s="206"/>
      <c r="BK758" s="58"/>
      <c r="BL758" s="58"/>
      <c r="BM758" s="58"/>
      <c r="BN758" s="58"/>
    </row>
    <row r="759" spans="3:66" x14ac:dyDescent="0.2">
      <c r="C759" s="207"/>
      <c r="D759" s="206"/>
      <c r="E759" s="206"/>
      <c r="BK759" s="58"/>
      <c r="BL759" s="58"/>
      <c r="BM759" s="58"/>
      <c r="BN759" s="58"/>
    </row>
    <row r="760" spans="3:66" x14ac:dyDescent="0.2">
      <c r="C760" s="206"/>
      <c r="D760" s="206"/>
      <c r="E760" s="206"/>
      <c r="BK760" s="58"/>
      <c r="BL760" s="58"/>
      <c r="BM760" s="58"/>
      <c r="BN760" s="58"/>
    </row>
    <row r="761" spans="3:66" x14ac:dyDescent="0.2">
      <c r="C761" s="206"/>
      <c r="D761" s="206"/>
      <c r="E761" s="206"/>
      <c r="BK761" s="58"/>
      <c r="BL761" s="58"/>
      <c r="BM761" s="58"/>
      <c r="BN761" s="58"/>
    </row>
    <row r="762" spans="3:66" x14ac:dyDescent="0.2">
      <c r="C762" s="206"/>
      <c r="D762" s="206"/>
      <c r="E762" s="206"/>
      <c r="BK762" s="58"/>
      <c r="BL762" s="58"/>
      <c r="BM762" s="58"/>
      <c r="BN762" s="58"/>
    </row>
    <row r="763" spans="3:66" x14ac:dyDescent="0.2">
      <c r="C763" s="206"/>
      <c r="D763" s="206"/>
      <c r="E763" s="206"/>
      <c r="BK763" s="58"/>
      <c r="BL763" s="58"/>
      <c r="BM763" s="58"/>
      <c r="BN763" s="58"/>
    </row>
    <row r="764" spans="3:66" x14ac:dyDescent="0.2">
      <c r="C764" s="206"/>
      <c r="D764" s="206"/>
      <c r="E764" s="206"/>
      <c r="BK764" s="58"/>
      <c r="BL764" s="58"/>
      <c r="BM764" s="58"/>
      <c r="BN764" s="58"/>
    </row>
    <row r="765" spans="3:66" x14ac:dyDescent="0.2">
      <c r="C765" s="206"/>
      <c r="D765" s="206"/>
      <c r="E765" s="206"/>
      <c r="BK765" s="58"/>
      <c r="BL765" s="58"/>
      <c r="BM765" s="58"/>
      <c r="BN765" s="58"/>
    </row>
    <row r="766" spans="3:66" x14ac:dyDescent="0.2">
      <c r="C766" s="206"/>
      <c r="D766" s="206"/>
      <c r="E766" s="206"/>
      <c r="BK766" s="58"/>
      <c r="BL766" s="58"/>
      <c r="BM766" s="58"/>
      <c r="BN766" s="58"/>
    </row>
    <row r="767" spans="3:66" x14ac:dyDescent="0.2">
      <c r="C767" s="206"/>
      <c r="D767" s="206"/>
      <c r="E767" s="206"/>
      <c r="BK767" s="58"/>
      <c r="BL767" s="58"/>
      <c r="BM767" s="58"/>
      <c r="BN767" s="58"/>
    </row>
    <row r="768" spans="3:66" x14ac:dyDescent="0.2">
      <c r="C768" s="206"/>
      <c r="D768" s="206"/>
      <c r="E768" s="206"/>
      <c r="BK768" s="58"/>
      <c r="BL768" s="58"/>
      <c r="BM768" s="58"/>
      <c r="BN768" s="58"/>
    </row>
    <row r="769" spans="3:66" x14ac:dyDescent="0.2">
      <c r="C769" s="206"/>
      <c r="D769" s="206"/>
      <c r="E769" s="206"/>
      <c r="BK769" s="58"/>
      <c r="BL769" s="58"/>
      <c r="BM769" s="58"/>
      <c r="BN769" s="58"/>
    </row>
    <row r="770" spans="3:66" x14ac:dyDescent="0.2">
      <c r="C770" s="206"/>
      <c r="D770" s="206"/>
      <c r="E770" s="206"/>
      <c r="BK770" s="58"/>
      <c r="BL770" s="58"/>
      <c r="BM770" s="58"/>
      <c r="BN770" s="58"/>
    </row>
    <row r="771" spans="3:66" x14ac:dyDescent="0.2">
      <c r="C771" s="206"/>
      <c r="D771" s="206"/>
      <c r="E771" s="206"/>
      <c r="BK771" s="58"/>
      <c r="BL771" s="58"/>
      <c r="BM771" s="58"/>
      <c r="BN771" s="58"/>
    </row>
    <row r="772" spans="3:66" x14ac:dyDescent="0.2">
      <c r="C772" s="207"/>
      <c r="D772" s="206"/>
      <c r="E772" s="206"/>
      <c r="BK772" s="58"/>
      <c r="BL772" s="58"/>
      <c r="BM772" s="58"/>
      <c r="BN772" s="58"/>
    </row>
    <row r="773" spans="3:66" x14ac:dyDescent="0.2">
      <c r="C773" s="206"/>
      <c r="D773" s="206"/>
      <c r="E773" s="206"/>
      <c r="BK773" s="58"/>
      <c r="BL773" s="58"/>
      <c r="BM773" s="58"/>
      <c r="BN773" s="58"/>
    </row>
    <row r="774" spans="3:66" x14ac:dyDescent="0.2">
      <c r="C774" s="206"/>
      <c r="D774" s="206"/>
      <c r="E774" s="206"/>
      <c r="BK774" s="58"/>
      <c r="BL774" s="58"/>
      <c r="BM774" s="58"/>
      <c r="BN774" s="58"/>
    </row>
    <row r="775" spans="3:66" x14ac:dyDescent="0.2">
      <c r="C775" s="207"/>
      <c r="D775" s="206"/>
      <c r="E775" s="206"/>
      <c r="BK775" s="58"/>
      <c r="BL775" s="58"/>
      <c r="BM775" s="58"/>
      <c r="BN775" s="58"/>
    </row>
    <row r="776" spans="3:66" x14ac:dyDescent="0.2">
      <c r="C776" s="206"/>
      <c r="D776" s="206"/>
      <c r="E776" s="206"/>
      <c r="BK776" s="58"/>
      <c r="BL776" s="58"/>
      <c r="BM776" s="58"/>
      <c r="BN776" s="58"/>
    </row>
    <row r="777" spans="3:66" x14ac:dyDescent="0.2">
      <c r="C777" s="207"/>
      <c r="D777" s="206"/>
      <c r="E777" s="206"/>
      <c r="BK777" s="58"/>
      <c r="BL777" s="58"/>
      <c r="BM777" s="58"/>
      <c r="BN777" s="58"/>
    </row>
    <row r="778" spans="3:66" x14ac:dyDescent="0.2">
      <c r="C778" s="207"/>
      <c r="D778" s="206"/>
      <c r="E778" s="206"/>
      <c r="BK778" s="58"/>
      <c r="BL778" s="58"/>
      <c r="BM778" s="58"/>
      <c r="BN778" s="58"/>
    </row>
    <row r="779" spans="3:66" x14ac:dyDescent="0.2">
      <c r="C779" s="206"/>
      <c r="D779" s="206"/>
      <c r="E779" s="206"/>
      <c r="BK779" s="58"/>
      <c r="BL779" s="58"/>
      <c r="BM779" s="58"/>
      <c r="BN779" s="58"/>
    </row>
    <row r="780" spans="3:66" x14ac:dyDescent="0.2">
      <c r="C780" s="206"/>
      <c r="D780" s="206"/>
      <c r="E780" s="206"/>
      <c r="BK780" s="58"/>
      <c r="BL780" s="58"/>
      <c r="BM780" s="58"/>
      <c r="BN780" s="58"/>
    </row>
    <row r="781" spans="3:66" x14ac:dyDescent="0.2">
      <c r="C781" s="206"/>
      <c r="D781" s="206"/>
      <c r="E781" s="206"/>
      <c r="BK781" s="58"/>
      <c r="BL781" s="58"/>
      <c r="BM781" s="58"/>
      <c r="BN781" s="58"/>
    </row>
    <row r="782" spans="3:66" x14ac:dyDescent="0.2">
      <c r="C782" s="206"/>
      <c r="D782" s="206"/>
      <c r="E782" s="206"/>
      <c r="BK782" s="58"/>
      <c r="BL782" s="58"/>
      <c r="BM782" s="58"/>
      <c r="BN782" s="58"/>
    </row>
    <row r="783" spans="3:66" x14ac:dyDescent="0.2">
      <c r="C783" s="206"/>
      <c r="D783" s="206"/>
      <c r="E783" s="206"/>
      <c r="BK783" s="58"/>
      <c r="BL783" s="58"/>
      <c r="BM783" s="58"/>
      <c r="BN783" s="58"/>
    </row>
    <row r="784" spans="3:66" x14ac:dyDescent="0.2">
      <c r="C784" s="206"/>
      <c r="D784" s="206"/>
      <c r="E784" s="206"/>
      <c r="BK784" s="58"/>
      <c r="BL784" s="58"/>
      <c r="BM784" s="58"/>
      <c r="BN784" s="58"/>
    </row>
    <row r="785" spans="3:66" x14ac:dyDescent="0.2">
      <c r="C785" s="207"/>
      <c r="D785" s="206"/>
      <c r="E785" s="206"/>
      <c r="BK785" s="58"/>
      <c r="BL785" s="58"/>
      <c r="BM785" s="58"/>
      <c r="BN785" s="58"/>
    </row>
    <row r="786" spans="3:66" x14ac:dyDescent="0.2">
      <c r="C786" s="206"/>
      <c r="D786" s="206"/>
      <c r="E786" s="206"/>
      <c r="BK786" s="58"/>
      <c r="BL786" s="58"/>
      <c r="BM786" s="58"/>
      <c r="BN786" s="58"/>
    </row>
    <row r="787" spans="3:66" x14ac:dyDescent="0.2">
      <c r="C787" s="206"/>
      <c r="D787" s="206"/>
      <c r="E787" s="206"/>
      <c r="BK787" s="58"/>
      <c r="BL787" s="58"/>
      <c r="BM787" s="58"/>
      <c r="BN787" s="58"/>
    </row>
    <row r="788" spans="3:66" x14ac:dyDescent="0.2">
      <c r="C788" s="207"/>
      <c r="D788" s="206"/>
      <c r="E788" s="206"/>
      <c r="BK788" s="58"/>
      <c r="BL788" s="58"/>
      <c r="BM788" s="58"/>
      <c r="BN788" s="58"/>
    </row>
    <row r="789" spans="3:66" x14ac:dyDescent="0.2">
      <c r="C789" s="206"/>
      <c r="D789" s="206"/>
      <c r="E789" s="206"/>
      <c r="BK789" s="58"/>
      <c r="BL789" s="58"/>
      <c r="BM789" s="58"/>
      <c r="BN789" s="58"/>
    </row>
    <row r="790" spans="3:66" x14ac:dyDescent="0.2">
      <c r="C790" s="206"/>
      <c r="D790" s="206"/>
      <c r="E790" s="206"/>
      <c r="BK790" s="58"/>
      <c r="BL790" s="58"/>
      <c r="BM790" s="58"/>
      <c r="BN790" s="58"/>
    </row>
    <row r="791" spans="3:66" x14ac:dyDescent="0.2">
      <c r="C791" s="206"/>
      <c r="D791" s="206"/>
      <c r="E791" s="206"/>
      <c r="BK791" s="58"/>
      <c r="BL791" s="58"/>
      <c r="BM791" s="58"/>
      <c r="BN791" s="58"/>
    </row>
    <row r="792" spans="3:66" x14ac:dyDescent="0.2">
      <c r="C792" s="206"/>
      <c r="D792" s="206"/>
      <c r="E792" s="206"/>
      <c r="BK792" s="58"/>
      <c r="BL792" s="58"/>
      <c r="BM792" s="58"/>
      <c r="BN792" s="58"/>
    </row>
    <row r="793" spans="3:66" x14ac:dyDescent="0.2">
      <c r="C793" s="206"/>
      <c r="D793" s="206"/>
      <c r="E793" s="206"/>
      <c r="BK793" s="58"/>
      <c r="BL793" s="58"/>
      <c r="BM793" s="58"/>
      <c r="BN793" s="58"/>
    </row>
    <row r="794" spans="3:66" x14ac:dyDescent="0.2">
      <c r="C794" s="206"/>
      <c r="D794" s="206"/>
      <c r="E794" s="206"/>
      <c r="BK794" s="58"/>
      <c r="BL794" s="58"/>
      <c r="BM794" s="58"/>
      <c r="BN794" s="58"/>
    </row>
    <row r="795" spans="3:66" x14ac:dyDescent="0.2">
      <c r="C795" s="206"/>
      <c r="D795" s="206"/>
      <c r="E795" s="206"/>
      <c r="BK795" s="58"/>
      <c r="BL795" s="58"/>
      <c r="BM795" s="58"/>
      <c r="BN795" s="58"/>
    </row>
    <row r="796" spans="3:66" x14ac:dyDescent="0.2">
      <c r="C796" s="206"/>
      <c r="D796" s="206"/>
      <c r="E796" s="206"/>
      <c r="BK796" s="58"/>
      <c r="BL796" s="58"/>
      <c r="BM796" s="58"/>
      <c r="BN796" s="58"/>
    </row>
    <row r="797" spans="3:66" x14ac:dyDescent="0.2">
      <c r="C797" s="206"/>
      <c r="D797" s="206"/>
      <c r="E797" s="206"/>
      <c r="BK797" s="58"/>
      <c r="BL797" s="58"/>
      <c r="BM797" s="58"/>
      <c r="BN797" s="58"/>
    </row>
    <row r="798" spans="3:66" x14ac:dyDescent="0.2">
      <c r="C798" s="206"/>
      <c r="D798" s="206"/>
      <c r="E798" s="206"/>
      <c r="BK798" s="58"/>
      <c r="BL798" s="58"/>
      <c r="BM798" s="58"/>
      <c r="BN798" s="58"/>
    </row>
    <row r="799" spans="3:66" x14ac:dyDescent="0.2">
      <c r="C799" s="206"/>
      <c r="D799" s="206"/>
      <c r="E799" s="206"/>
      <c r="BK799" s="58"/>
      <c r="BL799" s="58"/>
      <c r="BM799" s="58"/>
      <c r="BN799" s="58"/>
    </row>
    <row r="800" spans="3:66" x14ac:dyDescent="0.2">
      <c r="C800" s="206"/>
      <c r="D800" s="206"/>
      <c r="E800" s="206"/>
      <c r="BK800" s="58"/>
      <c r="BL800" s="58"/>
      <c r="BM800" s="58"/>
      <c r="BN800" s="58"/>
    </row>
    <row r="801" spans="3:66" x14ac:dyDescent="0.2">
      <c r="C801" s="206"/>
      <c r="D801" s="206"/>
      <c r="E801" s="206"/>
      <c r="BK801" s="58"/>
      <c r="BL801" s="58"/>
      <c r="BM801" s="58"/>
      <c r="BN801" s="58"/>
    </row>
    <row r="802" spans="3:66" x14ac:dyDescent="0.2">
      <c r="C802" s="206"/>
      <c r="D802" s="206"/>
      <c r="E802" s="206"/>
      <c r="BK802" s="58"/>
      <c r="BL802" s="58"/>
      <c r="BM802" s="58"/>
      <c r="BN802" s="58"/>
    </row>
    <row r="803" spans="3:66" x14ac:dyDescent="0.2">
      <c r="C803" s="206"/>
      <c r="D803" s="206"/>
      <c r="E803" s="206"/>
      <c r="BK803" s="58"/>
      <c r="BL803" s="58"/>
      <c r="BM803" s="58"/>
      <c r="BN803" s="58"/>
    </row>
    <row r="804" spans="3:66" x14ac:dyDescent="0.2">
      <c r="C804" s="206"/>
      <c r="D804" s="206"/>
      <c r="E804" s="206"/>
      <c r="BK804" s="58"/>
      <c r="BL804" s="58"/>
      <c r="BM804" s="58"/>
      <c r="BN804" s="58"/>
    </row>
    <row r="805" spans="3:66" x14ac:dyDescent="0.2">
      <c r="C805" s="206"/>
      <c r="D805" s="206"/>
      <c r="E805" s="206"/>
      <c r="BK805" s="58"/>
      <c r="BL805" s="58"/>
      <c r="BM805" s="58"/>
      <c r="BN805" s="58"/>
    </row>
    <row r="806" spans="3:66" x14ac:dyDescent="0.2">
      <c r="C806" s="207"/>
      <c r="D806" s="206"/>
      <c r="E806" s="206"/>
      <c r="BK806" s="58"/>
      <c r="BL806" s="58"/>
      <c r="BM806" s="58"/>
      <c r="BN806" s="58"/>
    </row>
    <row r="807" spans="3:66" x14ac:dyDescent="0.2">
      <c r="C807" s="206"/>
      <c r="D807" s="206"/>
      <c r="E807" s="206"/>
      <c r="BK807" s="58"/>
      <c r="BL807" s="58"/>
      <c r="BM807" s="58"/>
      <c r="BN807" s="58"/>
    </row>
    <row r="808" spans="3:66" x14ac:dyDescent="0.2">
      <c r="C808" s="206"/>
      <c r="D808" s="206"/>
      <c r="E808" s="206"/>
      <c r="BK808" s="58"/>
      <c r="BL808" s="58"/>
      <c r="BM808" s="58"/>
      <c r="BN808" s="58"/>
    </row>
    <row r="809" spans="3:66" x14ac:dyDescent="0.2">
      <c r="C809" s="206"/>
      <c r="D809" s="206"/>
      <c r="E809" s="206"/>
      <c r="BK809" s="58"/>
      <c r="BL809" s="58"/>
      <c r="BM809" s="58"/>
      <c r="BN809" s="58"/>
    </row>
    <row r="810" spans="3:66" x14ac:dyDescent="0.2">
      <c r="C810" s="206"/>
      <c r="D810" s="206"/>
      <c r="E810" s="206"/>
      <c r="BK810" s="58"/>
      <c r="BL810" s="58"/>
      <c r="BM810" s="58"/>
      <c r="BN810" s="58"/>
    </row>
    <row r="811" spans="3:66" x14ac:dyDescent="0.2">
      <c r="C811" s="206"/>
      <c r="D811" s="206"/>
      <c r="E811" s="206"/>
      <c r="BK811" s="58"/>
      <c r="BL811" s="58"/>
      <c r="BM811" s="58"/>
      <c r="BN811" s="58"/>
    </row>
    <row r="812" spans="3:66" x14ac:dyDescent="0.2">
      <c r="C812" s="206"/>
      <c r="D812" s="206"/>
      <c r="E812" s="206"/>
      <c r="BK812" s="58"/>
      <c r="BL812" s="58"/>
      <c r="BM812" s="58"/>
      <c r="BN812" s="58"/>
    </row>
    <row r="813" spans="3:66" x14ac:dyDescent="0.2">
      <c r="C813" s="206"/>
      <c r="D813" s="206"/>
      <c r="E813" s="206"/>
      <c r="BK813" s="58"/>
      <c r="BL813" s="58"/>
      <c r="BM813" s="58"/>
      <c r="BN813" s="58"/>
    </row>
    <row r="814" spans="3:66" x14ac:dyDescent="0.2">
      <c r="C814" s="206"/>
      <c r="D814" s="206"/>
      <c r="E814" s="206"/>
      <c r="BK814" s="58"/>
      <c r="BL814" s="58"/>
      <c r="BM814" s="58"/>
      <c r="BN814" s="58"/>
    </row>
    <row r="815" spans="3:66" x14ac:dyDescent="0.2">
      <c r="C815" s="206"/>
      <c r="D815" s="206"/>
      <c r="E815" s="206"/>
      <c r="BK815" s="58"/>
      <c r="BL815" s="58"/>
      <c r="BM815" s="58"/>
      <c r="BN815" s="58"/>
    </row>
    <row r="816" spans="3:66" x14ac:dyDescent="0.2">
      <c r="C816" s="206"/>
      <c r="D816" s="206"/>
      <c r="E816" s="206"/>
      <c r="BK816" s="58"/>
      <c r="BL816" s="58"/>
      <c r="BM816" s="58"/>
      <c r="BN816" s="58"/>
    </row>
    <row r="817" spans="3:66" x14ac:dyDescent="0.2">
      <c r="C817" s="206"/>
      <c r="D817" s="206"/>
      <c r="E817" s="206"/>
      <c r="BK817" s="58"/>
      <c r="BL817" s="58"/>
      <c r="BM817" s="58"/>
      <c r="BN817" s="58"/>
    </row>
    <row r="818" spans="3:66" x14ac:dyDescent="0.2">
      <c r="C818" s="206"/>
      <c r="D818" s="206"/>
      <c r="E818" s="206"/>
      <c r="BK818" s="58"/>
      <c r="BL818" s="58"/>
      <c r="BM818" s="58"/>
      <c r="BN818" s="58"/>
    </row>
    <row r="819" spans="3:66" x14ac:dyDescent="0.2">
      <c r="C819" s="206"/>
      <c r="D819" s="206"/>
      <c r="E819" s="206"/>
      <c r="BK819" s="58"/>
      <c r="BL819" s="58"/>
      <c r="BM819" s="58"/>
      <c r="BN819" s="58"/>
    </row>
    <row r="820" spans="3:66" x14ac:dyDescent="0.2">
      <c r="C820" s="207"/>
      <c r="D820" s="206"/>
      <c r="E820" s="206"/>
      <c r="BK820" s="58"/>
      <c r="BL820" s="58"/>
      <c r="BM820" s="58"/>
      <c r="BN820" s="58"/>
    </row>
    <row r="821" spans="3:66" x14ac:dyDescent="0.2">
      <c r="C821" s="206"/>
      <c r="D821" s="206"/>
      <c r="E821" s="206"/>
      <c r="BK821" s="58"/>
      <c r="BL821" s="58"/>
      <c r="BM821" s="58"/>
      <c r="BN821" s="58"/>
    </row>
    <row r="822" spans="3:66" x14ac:dyDescent="0.2">
      <c r="C822" s="206"/>
      <c r="D822" s="206"/>
      <c r="E822" s="206"/>
      <c r="BK822" s="58"/>
      <c r="BL822" s="58"/>
      <c r="BM822" s="58"/>
      <c r="BN822" s="58"/>
    </row>
    <row r="823" spans="3:66" x14ac:dyDescent="0.2">
      <c r="C823" s="206"/>
      <c r="D823" s="206"/>
      <c r="E823" s="206"/>
      <c r="BK823" s="58"/>
      <c r="BL823" s="58"/>
      <c r="BM823" s="58"/>
      <c r="BN823" s="58"/>
    </row>
    <row r="824" spans="3:66" x14ac:dyDescent="0.2">
      <c r="C824" s="206"/>
      <c r="D824" s="206"/>
      <c r="E824" s="206"/>
      <c r="BK824" s="58"/>
      <c r="BL824" s="58"/>
      <c r="BM824" s="58"/>
      <c r="BN824" s="58"/>
    </row>
    <row r="825" spans="3:66" x14ac:dyDescent="0.2">
      <c r="C825" s="207"/>
      <c r="D825" s="206"/>
      <c r="E825" s="206"/>
      <c r="BK825" s="58"/>
      <c r="BL825" s="58"/>
      <c r="BM825" s="58"/>
      <c r="BN825" s="58"/>
    </row>
    <row r="826" spans="3:66" x14ac:dyDescent="0.2">
      <c r="C826" s="207"/>
      <c r="D826" s="206"/>
      <c r="E826" s="206"/>
      <c r="BK826" s="58"/>
      <c r="BL826" s="58"/>
      <c r="BM826" s="58"/>
      <c r="BN826" s="58"/>
    </row>
    <row r="827" spans="3:66" x14ac:dyDescent="0.2">
      <c r="C827" s="206"/>
      <c r="D827" s="206"/>
      <c r="E827" s="206"/>
      <c r="BK827" s="58"/>
      <c r="BL827" s="58"/>
      <c r="BM827" s="58"/>
      <c r="BN827" s="58"/>
    </row>
    <row r="828" spans="3:66" x14ac:dyDescent="0.2">
      <c r="C828" s="206"/>
      <c r="D828" s="206"/>
      <c r="E828" s="206"/>
      <c r="BK828" s="58"/>
      <c r="BL828" s="58"/>
      <c r="BM828" s="58"/>
      <c r="BN828" s="58"/>
    </row>
    <row r="829" spans="3:66" x14ac:dyDescent="0.2">
      <c r="C829" s="206"/>
      <c r="D829" s="206"/>
      <c r="E829" s="206"/>
      <c r="BK829" s="58"/>
      <c r="BL829" s="58"/>
      <c r="BM829" s="58"/>
      <c r="BN829" s="58"/>
    </row>
    <row r="830" spans="3:66" x14ac:dyDescent="0.2">
      <c r="C830" s="206"/>
      <c r="D830" s="206"/>
      <c r="E830" s="206"/>
      <c r="BK830" s="58"/>
      <c r="BL830" s="58"/>
      <c r="BM830" s="58"/>
      <c r="BN830" s="58"/>
    </row>
    <row r="831" spans="3:66" x14ac:dyDescent="0.2">
      <c r="C831" s="207"/>
      <c r="D831" s="206"/>
      <c r="E831" s="206"/>
      <c r="BK831" s="58"/>
      <c r="BL831" s="58"/>
      <c r="BM831" s="58"/>
      <c r="BN831" s="58"/>
    </row>
    <row r="832" spans="3:66" x14ac:dyDescent="0.2">
      <c r="C832" s="206"/>
      <c r="D832" s="206"/>
      <c r="E832" s="206"/>
      <c r="BK832" s="58"/>
      <c r="BL832" s="58"/>
      <c r="BM832" s="58"/>
      <c r="BN832" s="58"/>
    </row>
    <row r="833" spans="3:66" x14ac:dyDescent="0.2">
      <c r="C833" s="206"/>
      <c r="D833" s="206"/>
      <c r="E833" s="206"/>
      <c r="BK833" s="58"/>
      <c r="BL833" s="58"/>
      <c r="BM833" s="58"/>
      <c r="BN833" s="58"/>
    </row>
    <row r="834" spans="3:66" x14ac:dyDescent="0.2">
      <c r="C834" s="206"/>
      <c r="D834" s="206"/>
      <c r="E834" s="206"/>
      <c r="BK834" s="58"/>
      <c r="BL834" s="58"/>
      <c r="BM834" s="58"/>
      <c r="BN834" s="58"/>
    </row>
    <row r="835" spans="3:66" x14ac:dyDescent="0.2">
      <c r="C835" s="207"/>
      <c r="D835" s="206"/>
      <c r="E835" s="206"/>
      <c r="BK835" s="58"/>
      <c r="BL835" s="58"/>
      <c r="BM835" s="58"/>
      <c r="BN835" s="58"/>
    </row>
    <row r="836" spans="3:66" x14ac:dyDescent="0.2">
      <c r="C836" s="206"/>
      <c r="D836" s="206"/>
      <c r="E836" s="206"/>
      <c r="BK836" s="58"/>
      <c r="BL836" s="58"/>
      <c r="BM836" s="58"/>
      <c r="BN836" s="58"/>
    </row>
    <row r="837" spans="3:66" x14ac:dyDescent="0.2">
      <c r="C837" s="206"/>
      <c r="D837" s="206"/>
      <c r="E837" s="206"/>
      <c r="BK837" s="58"/>
      <c r="BL837" s="58"/>
      <c r="BM837" s="58"/>
      <c r="BN837" s="58"/>
    </row>
    <row r="838" spans="3:66" x14ac:dyDescent="0.2">
      <c r="C838" s="206"/>
      <c r="D838" s="206"/>
      <c r="E838" s="206"/>
      <c r="BK838" s="58"/>
      <c r="BL838" s="58"/>
      <c r="BM838" s="58"/>
      <c r="BN838" s="58"/>
    </row>
    <row r="839" spans="3:66" x14ac:dyDescent="0.2">
      <c r="C839" s="206"/>
      <c r="D839" s="206"/>
      <c r="E839" s="206"/>
      <c r="BK839" s="58"/>
      <c r="BL839" s="58"/>
      <c r="BM839" s="58"/>
      <c r="BN839" s="58"/>
    </row>
    <row r="840" spans="3:66" x14ac:dyDescent="0.2">
      <c r="C840" s="206"/>
      <c r="D840" s="206"/>
      <c r="E840" s="206"/>
      <c r="BK840" s="58"/>
      <c r="BL840" s="58"/>
      <c r="BM840" s="58"/>
      <c r="BN840" s="58"/>
    </row>
    <row r="841" spans="3:66" x14ac:dyDescent="0.2">
      <c r="C841" s="206"/>
      <c r="D841" s="206"/>
      <c r="E841" s="206"/>
      <c r="BK841" s="58"/>
      <c r="BL841" s="58"/>
      <c r="BM841" s="58"/>
      <c r="BN841" s="58"/>
    </row>
    <row r="842" spans="3:66" x14ac:dyDescent="0.2">
      <c r="C842" s="206"/>
      <c r="D842" s="206"/>
      <c r="E842" s="206"/>
      <c r="BK842" s="58"/>
      <c r="BL842" s="58"/>
      <c r="BM842" s="58"/>
      <c r="BN842" s="58"/>
    </row>
    <row r="843" spans="3:66" x14ac:dyDescent="0.2">
      <c r="C843" s="207"/>
      <c r="D843" s="206"/>
      <c r="E843" s="206"/>
      <c r="BK843" s="58"/>
      <c r="BL843" s="58"/>
      <c r="BM843" s="58"/>
      <c r="BN843" s="58"/>
    </row>
    <row r="844" spans="3:66" x14ac:dyDescent="0.2">
      <c r="C844" s="206"/>
      <c r="D844" s="206"/>
      <c r="E844" s="206"/>
      <c r="BK844" s="58"/>
      <c r="BL844" s="58"/>
      <c r="BM844" s="58"/>
      <c r="BN844" s="58"/>
    </row>
    <row r="845" spans="3:66" x14ac:dyDescent="0.2">
      <c r="C845" s="206"/>
      <c r="D845" s="206"/>
      <c r="E845" s="206"/>
      <c r="BK845" s="58"/>
      <c r="BL845" s="58"/>
      <c r="BM845" s="58"/>
      <c r="BN845" s="58"/>
    </row>
    <row r="846" spans="3:66" x14ac:dyDescent="0.2">
      <c r="C846" s="206"/>
      <c r="D846" s="206"/>
      <c r="E846" s="206"/>
      <c r="BK846" s="58"/>
      <c r="BL846" s="58"/>
      <c r="BM846" s="58"/>
      <c r="BN846" s="58"/>
    </row>
    <row r="847" spans="3:66" x14ac:dyDescent="0.2">
      <c r="C847" s="206"/>
      <c r="D847" s="206"/>
      <c r="E847" s="206"/>
      <c r="BK847" s="58"/>
      <c r="BL847" s="58"/>
      <c r="BM847" s="58"/>
      <c r="BN847" s="58"/>
    </row>
    <row r="848" spans="3:66" x14ac:dyDescent="0.2">
      <c r="C848" s="206"/>
      <c r="D848" s="206"/>
      <c r="E848" s="206"/>
      <c r="BK848" s="58"/>
      <c r="BL848" s="58"/>
      <c r="BM848" s="58"/>
      <c r="BN848" s="58"/>
    </row>
    <row r="849" spans="3:66" x14ac:dyDescent="0.2">
      <c r="C849" s="206"/>
      <c r="D849" s="206"/>
      <c r="E849" s="206"/>
      <c r="BK849" s="58"/>
      <c r="BL849" s="58"/>
      <c r="BM849" s="58"/>
      <c r="BN849" s="58"/>
    </row>
    <row r="850" spans="3:66" x14ac:dyDescent="0.2">
      <c r="C850" s="207"/>
      <c r="D850" s="206"/>
      <c r="E850" s="206"/>
      <c r="BK850" s="58"/>
      <c r="BL850" s="58"/>
      <c r="BM850" s="58"/>
      <c r="BN850" s="58"/>
    </row>
    <row r="851" spans="3:66" x14ac:dyDescent="0.2">
      <c r="C851" s="207"/>
      <c r="D851" s="206"/>
      <c r="E851" s="206"/>
      <c r="BK851" s="58"/>
      <c r="BL851" s="58"/>
      <c r="BM851" s="58"/>
      <c r="BN851" s="58"/>
    </row>
    <row r="852" spans="3:66" x14ac:dyDescent="0.2">
      <c r="C852" s="207"/>
      <c r="D852" s="206"/>
      <c r="E852" s="206"/>
      <c r="BK852" s="58"/>
      <c r="BL852" s="58"/>
      <c r="BM852" s="58"/>
      <c r="BN852" s="58"/>
    </row>
    <row r="853" spans="3:66" x14ac:dyDescent="0.2">
      <c r="C853" s="207"/>
      <c r="D853" s="206"/>
      <c r="E853" s="206"/>
      <c r="BK853" s="58"/>
      <c r="BL853" s="58"/>
      <c r="BM853" s="58"/>
      <c r="BN853" s="58"/>
    </row>
    <row r="854" spans="3:66" x14ac:dyDescent="0.2">
      <c r="C854" s="206"/>
      <c r="D854" s="206"/>
      <c r="E854" s="206"/>
      <c r="BK854" s="58"/>
      <c r="BL854" s="58"/>
      <c r="BM854" s="58"/>
      <c r="BN854" s="58"/>
    </row>
    <row r="855" spans="3:66" x14ac:dyDescent="0.2">
      <c r="C855" s="206"/>
      <c r="D855" s="206"/>
      <c r="E855" s="206"/>
      <c r="BK855" s="58"/>
      <c r="BL855" s="58"/>
      <c r="BM855" s="58"/>
      <c r="BN855" s="58"/>
    </row>
    <row r="856" spans="3:66" x14ac:dyDescent="0.2">
      <c r="C856" s="206"/>
      <c r="D856" s="206"/>
      <c r="E856" s="206"/>
      <c r="BK856" s="58"/>
      <c r="BL856" s="58"/>
      <c r="BM856" s="58"/>
      <c r="BN856" s="58"/>
    </row>
    <row r="857" spans="3:66" x14ac:dyDescent="0.2">
      <c r="C857" s="206"/>
      <c r="D857" s="206"/>
      <c r="E857" s="206"/>
      <c r="BK857" s="58"/>
      <c r="BL857" s="58"/>
      <c r="BM857" s="58"/>
      <c r="BN857" s="58"/>
    </row>
    <row r="858" spans="3:66" x14ac:dyDescent="0.2">
      <c r="C858" s="206"/>
      <c r="D858" s="206"/>
      <c r="E858" s="206"/>
      <c r="BK858" s="58"/>
      <c r="BL858" s="58"/>
      <c r="BM858" s="58"/>
      <c r="BN858" s="58"/>
    </row>
    <row r="859" spans="3:66" x14ac:dyDescent="0.2">
      <c r="C859" s="206"/>
      <c r="D859" s="206"/>
      <c r="E859" s="206"/>
      <c r="BK859" s="58"/>
      <c r="BL859" s="58"/>
      <c r="BM859" s="58"/>
      <c r="BN859" s="58"/>
    </row>
    <row r="860" spans="3:66" x14ac:dyDescent="0.2">
      <c r="C860" s="206"/>
      <c r="D860" s="206"/>
      <c r="E860" s="206"/>
      <c r="BK860" s="58"/>
      <c r="BL860" s="58"/>
      <c r="BM860" s="58"/>
      <c r="BN860" s="58"/>
    </row>
    <row r="861" spans="3:66" x14ac:dyDescent="0.2">
      <c r="C861" s="206"/>
      <c r="D861" s="206"/>
      <c r="E861" s="206"/>
      <c r="BK861" s="58"/>
      <c r="BL861" s="58"/>
      <c r="BM861" s="58"/>
      <c r="BN861" s="58"/>
    </row>
    <row r="862" spans="3:66" x14ac:dyDescent="0.2">
      <c r="C862" s="206"/>
      <c r="D862" s="206"/>
      <c r="E862" s="206"/>
      <c r="BK862" s="58"/>
      <c r="BL862" s="58"/>
      <c r="BM862" s="58"/>
      <c r="BN862" s="58"/>
    </row>
    <row r="863" spans="3:66" x14ac:dyDescent="0.2">
      <c r="C863" s="206"/>
      <c r="D863" s="206"/>
      <c r="E863" s="206"/>
      <c r="BK863" s="58"/>
      <c r="BL863" s="58"/>
      <c r="BM863" s="58"/>
      <c r="BN863" s="58"/>
    </row>
    <row r="864" spans="3:66" x14ac:dyDescent="0.2">
      <c r="C864" s="206"/>
      <c r="D864" s="206"/>
      <c r="E864" s="206"/>
      <c r="BK864" s="58"/>
      <c r="BL864" s="58"/>
      <c r="BM864" s="58"/>
      <c r="BN864" s="58"/>
    </row>
    <row r="865" spans="3:66" x14ac:dyDescent="0.2">
      <c r="C865" s="207"/>
      <c r="D865" s="206"/>
      <c r="E865" s="206"/>
      <c r="BK865" s="58"/>
      <c r="BL865" s="58"/>
      <c r="BM865" s="58"/>
      <c r="BN865" s="58"/>
    </row>
    <row r="866" spans="3:66" x14ac:dyDescent="0.2">
      <c r="C866" s="207"/>
      <c r="D866" s="206"/>
      <c r="E866" s="206"/>
      <c r="BK866" s="58"/>
      <c r="BL866" s="58"/>
      <c r="BM866" s="58"/>
      <c r="BN866" s="58"/>
    </row>
    <row r="867" spans="3:66" x14ac:dyDescent="0.2">
      <c r="C867" s="207"/>
      <c r="D867" s="206"/>
      <c r="E867" s="206"/>
      <c r="BK867" s="58"/>
      <c r="BL867" s="58"/>
      <c r="BM867" s="58"/>
      <c r="BN867" s="58"/>
    </row>
    <row r="868" spans="3:66" x14ac:dyDescent="0.2">
      <c r="C868" s="206"/>
      <c r="D868" s="206"/>
      <c r="E868" s="206"/>
      <c r="BK868" s="58"/>
      <c r="BL868" s="58"/>
      <c r="BM868" s="58"/>
      <c r="BN868" s="58"/>
    </row>
    <row r="869" spans="3:66" x14ac:dyDescent="0.2">
      <c r="C869" s="207"/>
      <c r="D869" s="206"/>
      <c r="E869" s="206"/>
      <c r="BK869" s="58"/>
      <c r="BL869" s="58"/>
      <c r="BM869" s="58"/>
      <c r="BN869" s="58"/>
    </row>
    <row r="870" spans="3:66" x14ac:dyDescent="0.2">
      <c r="C870" s="207"/>
      <c r="D870" s="206"/>
      <c r="E870" s="206"/>
      <c r="BK870" s="58"/>
      <c r="BL870" s="58"/>
      <c r="BM870" s="58"/>
      <c r="BN870" s="58"/>
    </row>
    <row r="871" spans="3:66" x14ac:dyDescent="0.2">
      <c r="C871" s="206"/>
      <c r="D871" s="206"/>
      <c r="E871" s="206"/>
      <c r="BK871" s="58"/>
      <c r="BL871" s="58"/>
      <c r="BM871" s="58"/>
      <c r="BN871" s="58"/>
    </row>
    <row r="872" spans="3:66" x14ac:dyDescent="0.2">
      <c r="C872" s="206"/>
      <c r="D872" s="206"/>
      <c r="E872" s="206"/>
      <c r="BK872" s="58"/>
      <c r="BL872" s="58"/>
      <c r="BM872" s="58"/>
      <c r="BN872" s="58"/>
    </row>
    <row r="873" spans="3:66" x14ac:dyDescent="0.2">
      <c r="C873" s="206"/>
      <c r="D873" s="206"/>
      <c r="E873" s="206"/>
      <c r="BK873" s="58"/>
      <c r="BL873" s="58"/>
      <c r="BM873" s="58"/>
      <c r="BN873" s="58"/>
    </row>
    <row r="874" spans="3:66" x14ac:dyDescent="0.2">
      <c r="C874" s="206"/>
      <c r="D874" s="206"/>
      <c r="E874" s="206"/>
      <c r="BK874" s="58"/>
      <c r="BL874" s="58"/>
      <c r="BM874" s="58"/>
      <c r="BN874" s="58"/>
    </row>
    <row r="875" spans="3:66" x14ac:dyDescent="0.2">
      <c r="C875" s="206"/>
      <c r="D875" s="206"/>
      <c r="E875" s="206"/>
      <c r="BK875" s="58"/>
      <c r="BL875" s="58"/>
      <c r="BM875" s="58"/>
      <c r="BN875" s="58"/>
    </row>
    <row r="876" spans="3:66" x14ac:dyDescent="0.2">
      <c r="C876" s="206"/>
      <c r="D876" s="206"/>
      <c r="E876" s="206"/>
      <c r="BK876" s="58"/>
      <c r="BL876" s="58"/>
      <c r="BM876" s="58"/>
      <c r="BN876" s="58"/>
    </row>
    <row r="877" spans="3:66" x14ac:dyDescent="0.2">
      <c r="C877" s="207"/>
      <c r="D877" s="206"/>
      <c r="E877" s="206"/>
      <c r="BK877" s="58"/>
      <c r="BL877" s="58"/>
      <c r="BM877" s="58"/>
      <c r="BN877" s="58"/>
    </row>
    <row r="878" spans="3:66" x14ac:dyDescent="0.2">
      <c r="C878" s="206"/>
      <c r="D878" s="206"/>
      <c r="E878" s="206"/>
      <c r="BK878" s="58"/>
      <c r="BL878" s="58"/>
      <c r="BM878" s="58"/>
      <c r="BN878" s="58"/>
    </row>
    <row r="879" spans="3:66" x14ac:dyDescent="0.2">
      <c r="C879" s="206"/>
      <c r="D879" s="206"/>
      <c r="E879" s="206"/>
      <c r="BK879" s="58"/>
      <c r="BL879" s="58"/>
      <c r="BM879" s="58"/>
      <c r="BN879" s="58"/>
    </row>
    <row r="880" spans="3:66" x14ac:dyDescent="0.2">
      <c r="C880" s="207"/>
      <c r="D880" s="206"/>
      <c r="E880" s="206"/>
      <c r="BK880" s="58"/>
      <c r="BL880" s="58"/>
      <c r="BM880" s="58"/>
      <c r="BN880" s="58"/>
    </row>
    <row r="881" spans="3:66" x14ac:dyDescent="0.2">
      <c r="C881" s="206"/>
      <c r="D881" s="206"/>
      <c r="E881" s="206"/>
      <c r="BK881" s="58"/>
      <c r="BL881" s="58"/>
      <c r="BM881" s="58"/>
      <c r="BN881" s="58"/>
    </row>
    <row r="882" spans="3:66" x14ac:dyDescent="0.2">
      <c r="C882" s="206"/>
      <c r="D882" s="206"/>
      <c r="E882" s="206"/>
      <c r="BK882" s="58"/>
      <c r="BL882" s="58"/>
      <c r="BM882" s="58"/>
      <c r="BN882" s="58"/>
    </row>
    <row r="883" spans="3:66" x14ac:dyDescent="0.2">
      <c r="C883" s="206"/>
      <c r="D883" s="206"/>
      <c r="E883" s="206"/>
      <c r="BK883" s="58"/>
      <c r="BL883" s="58"/>
      <c r="BM883" s="58"/>
      <c r="BN883" s="58"/>
    </row>
    <row r="884" spans="3:66" x14ac:dyDescent="0.2">
      <c r="C884" s="206"/>
      <c r="D884" s="206"/>
      <c r="E884" s="206"/>
      <c r="BK884" s="58"/>
      <c r="BL884" s="58"/>
      <c r="BM884" s="58"/>
      <c r="BN884" s="58"/>
    </row>
    <row r="885" spans="3:66" x14ac:dyDescent="0.2">
      <c r="C885" s="206"/>
      <c r="D885" s="206"/>
      <c r="E885" s="206"/>
      <c r="BK885" s="58"/>
      <c r="BL885" s="58"/>
      <c r="BM885" s="58"/>
      <c r="BN885" s="58"/>
    </row>
    <row r="886" spans="3:66" x14ac:dyDescent="0.2">
      <c r="C886" s="206"/>
      <c r="D886" s="206"/>
      <c r="E886" s="206"/>
      <c r="BK886" s="58"/>
      <c r="BL886" s="58"/>
      <c r="BM886" s="58"/>
      <c r="BN886" s="58"/>
    </row>
    <row r="887" spans="3:66" x14ac:dyDescent="0.2">
      <c r="C887" s="207"/>
      <c r="D887" s="206"/>
      <c r="E887" s="206"/>
      <c r="BK887" s="58"/>
      <c r="BL887" s="58"/>
      <c r="BM887" s="58"/>
      <c r="BN887" s="58"/>
    </row>
    <row r="888" spans="3:66" x14ac:dyDescent="0.2">
      <c r="C888" s="206"/>
      <c r="D888" s="206"/>
      <c r="E888" s="206"/>
      <c r="BK888" s="58"/>
      <c r="BL888" s="58"/>
      <c r="BM888" s="58"/>
      <c r="BN888" s="58"/>
    </row>
    <row r="889" spans="3:66" x14ac:dyDescent="0.2">
      <c r="C889" s="206"/>
      <c r="D889" s="206"/>
      <c r="E889" s="206"/>
      <c r="BK889" s="58"/>
      <c r="BL889" s="58"/>
      <c r="BM889" s="58"/>
      <c r="BN889" s="58"/>
    </row>
    <row r="890" spans="3:66" x14ac:dyDescent="0.2">
      <c r="C890" s="206"/>
      <c r="D890" s="206"/>
      <c r="E890" s="206"/>
      <c r="BK890" s="58"/>
      <c r="BL890" s="58"/>
      <c r="BM890" s="58"/>
      <c r="BN890" s="58"/>
    </row>
    <row r="891" spans="3:66" x14ac:dyDescent="0.2">
      <c r="C891" s="206"/>
      <c r="D891" s="206"/>
      <c r="E891" s="206"/>
      <c r="BK891" s="58"/>
      <c r="BL891" s="58"/>
      <c r="BM891" s="58"/>
      <c r="BN891" s="58"/>
    </row>
    <row r="892" spans="3:66" x14ac:dyDescent="0.2">
      <c r="C892" s="206"/>
      <c r="D892" s="206"/>
      <c r="E892" s="206"/>
      <c r="BK892" s="58"/>
      <c r="BL892" s="58"/>
      <c r="BM892" s="58"/>
      <c r="BN892" s="58"/>
    </row>
    <row r="893" spans="3:66" x14ac:dyDescent="0.2">
      <c r="C893" s="206"/>
      <c r="D893" s="206"/>
      <c r="E893" s="206"/>
      <c r="BK893" s="58"/>
      <c r="BL893" s="58"/>
      <c r="BM893" s="58"/>
      <c r="BN893" s="58"/>
    </row>
    <row r="894" spans="3:66" x14ac:dyDescent="0.2">
      <c r="C894" s="206"/>
      <c r="D894" s="206"/>
      <c r="E894" s="206"/>
      <c r="BK894" s="58"/>
      <c r="BL894" s="58"/>
      <c r="BM894" s="58"/>
      <c r="BN894" s="58"/>
    </row>
    <row r="895" spans="3:66" x14ac:dyDescent="0.2">
      <c r="C895" s="206"/>
      <c r="D895" s="206"/>
      <c r="E895" s="206"/>
      <c r="BK895" s="58"/>
      <c r="BL895" s="58"/>
      <c r="BM895" s="58"/>
      <c r="BN895" s="58"/>
    </row>
    <row r="896" spans="3:66" x14ac:dyDescent="0.2">
      <c r="C896" s="206"/>
      <c r="D896" s="206"/>
      <c r="E896" s="206"/>
      <c r="BK896" s="58"/>
      <c r="BL896" s="58"/>
      <c r="BM896" s="58"/>
      <c r="BN896" s="58"/>
    </row>
    <row r="897" spans="3:66" x14ac:dyDescent="0.2">
      <c r="C897" s="207"/>
      <c r="D897" s="206"/>
      <c r="E897" s="206"/>
      <c r="BK897" s="58"/>
      <c r="BL897" s="58"/>
      <c r="BM897" s="58"/>
      <c r="BN897" s="58"/>
    </row>
    <row r="898" spans="3:66" x14ac:dyDescent="0.2">
      <c r="C898" s="207"/>
      <c r="D898" s="206"/>
      <c r="E898" s="206"/>
      <c r="BK898" s="58"/>
      <c r="BL898" s="58"/>
      <c r="BM898" s="58"/>
      <c r="BN898" s="58"/>
    </row>
    <row r="899" spans="3:66" x14ac:dyDescent="0.2">
      <c r="C899" s="207"/>
      <c r="D899" s="206"/>
      <c r="E899" s="206"/>
      <c r="BK899" s="58"/>
      <c r="BL899" s="58"/>
      <c r="BM899" s="58"/>
      <c r="BN899" s="58"/>
    </row>
    <row r="900" spans="3:66" x14ac:dyDescent="0.2">
      <c r="C900" s="207"/>
      <c r="D900" s="206"/>
      <c r="E900" s="206"/>
      <c r="BK900" s="58"/>
      <c r="BL900" s="58"/>
      <c r="BM900" s="58"/>
      <c r="BN900" s="58"/>
    </row>
    <row r="901" spans="3:66" x14ac:dyDescent="0.2">
      <c r="C901" s="206"/>
      <c r="D901" s="206"/>
      <c r="E901" s="206"/>
      <c r="BK901" s="58"/>
      <c r="BL901" s="58"/>
      <c r="BM901" s="58"/>
      <c r="BN901" s="58"/>
    </row>
    <row r="902" spans="3:66" x14ac:dyDescent="0.2">
      <c r="C902" s="207"/>
      <c r="D902" s="206"/>
      <c r="E902" s="206"/>
      <c r="BK902" s="58"/>
      <c r="BL902" s="58"/>
      <c r="BM902" s="58"/>
      <c r="BN902" s="58"/>
    </row>
    <row r="903" spans="3:66" x14ac:dyDescent="0.2">
      <c r="C903" s="206"/>
      <c r="D903" s="206"/>
      <c r="E903" s="206"/>
      <c r="BK903" s="58"/>
      <c r="BL903" s="58"/>
      <c r="BM903" s="58"/>
      <c r="BN903" s="58"/>
    </row>
    <row r="904" spans="3:66" x14ac:dyDescent="0.2">
      <c r="C904" s="206"/>
      <c r="D904" s="206"/>
      <c r="E904" s="206"/>
      <c r="BK904" s="58"/>
      <c r="BL904" s="58"/>
      <c r="BM904" s="58"/>
      <c r="BN904" s="58"/>
    </row>
    <row r="905" spans="3:66" x14ac:dyDescent="0.2">
      <c r="C905" s="206"/>
      <c r="D905" s="206"/>
      <c r="E905" s="206"/>
      <c r="BK905" s="58"/>
      <c r="BL905" s="58"/>
      <c r="BM905" s="58"/>
      <c r="BN905" s="58"/>
    </row>
    <row r="906" spans="3:66" x14ac:dyDescent="0.2">
      <c r="C906" s="206"/>
      <c r="D906" s="206"/>
      <c r="E906" s="206"/>
      <c r="BK906" s="58"/>
      <c r="BL906" s="58"/>
      <c r="BM906" s="58"/>
      <c r="BN906" s="58"/>
    </row>
    <row r="907" spans="3:66" x14ac:dyDescent="0.2">
      <c r="C907" s="206"/>
      <c r="D907" s="206"/>
      <c r="E907" s="206"/>
      <c r="BK907" s="58"/>
      <c r="BL907" s="58"/>
      <c r="BM907" s="58"/>
      <c r="BN907" s="58"/>
    </row>
    <row r="908" spans="3:66" x14ac:dyDescent="0.2">
      <c r="C908" s="206"/>
      <c r="D908" s="206"/>
      <c r="E908" s="206"/>
      <c r="BK908" s="58"/>
      <c r="BL908" s="58"/>
      <c r="BM908" s="58"/>
      <c r="BN908" s="58"/>
    </row>
    <row r="909" spans="3:66" x14ac:dyDescent="0.2">
      <c r="C909" s="206"/>
      <c r="D909" s="206"/>
      <c r="E909" s="206"/>
      <c r="BK909" s="58"/>
      <c r="BL909" s="58"/>
      <c r="BM909" s="58"/>
      <c r="BN909" s="58"/>
    </row>
    <row r="910" spans="3:66" x14ac:dyDescent="0.2">
      <c r="C910" s="206"/>
      <c r="D910" s="206"/>
      <c r="E910" s="206"/>
      <c r="BK910" s="58"/>
      <c r="BL910" s="58"/>
      <c r="BM910" s="58"/>
      <c r="BN910" s="58"/>
    </row>
    <row r="911" spans="3:66" x14ac:dyDescent="0.2">
      <c r="C911" s="207"/>
      <c r="D911" s="206"/>
      <c r="E911" s="206"/>
      <c r="BK911" s="58"/>
      <c r="BL911" s="58"/>
      <c r="BM911" s="58"/>
      <c r="BN911" s="58"/>
    </row>
    <row r="912" spans="3:66" x14ac:dyDescent="0.2">
      <c r="C912" s="207"/>
      <c r="D912" s="206"/>
      <c r="E912" s="206"/>
      <c r="BK912" s="58"/>
      <c r="BL912" s="58"/>
      <c r="BM912" s="58"/>
      <c r="BN912" s="58"/>
    </row>
    <row r="913" spans="3:66" x14ac:dyDescent="0.2">
      <c r="C913" s="207"/>
      <c r="D913" s="206"/>
      <c r="E913" s="206"/>
      <c r="BK913" s="58"/>
      <c r="BL913" s="58"/>
      <c r="BM913" s="58"/>
      <c r="BN913" s="58"/>
    </row>
    <row r="914" spans="3:66" x14ac:dyDescent="0.2">
      <c r="C914" s="206"/>
      <c r="D914" s="206"/>
      <c r="E914" s="206"/>
      <c r="BK914" s="58"/>
      <c r="BL914" s="58"/>
      <c r="BM914" s="58"/>
      <c r="BN914" s="58"/>
    </row>
    <row r="915" spans="3:66" x14ac:dyDescent="0.2">
      <c r="C915" s="206"/>
      <c r="D915" s="206"/>
      <c r="E915" s="206"/>
      <c r="BK915" s="58"/>
      <c r="BL915" s="58"/>
      <c r="BM915" s="58"/>
      <c r="BN915" s="58"/>
    </row>
    <row r="916" spans="3:66" x14ac:dyDescent="0.2">
      <c r="C916" s="206"/>
      <c r="D916" s="206"/>
      <c r="E916" s="206"/>
      <c r="BK916" s="58"/>
      <c r="BL916" s="58"/>
      <c r="BM916" s="58"/>
      <c r="BN916" s="58"/>
    </row>
    <row r="917" spans="3:66" x14ac:dyDescent="0.2">
      <c r="C917" s="206"/>
      <c r="D917" s="206"/>
      <c r="E917" s="206"/>
      <c r="BK917" s="58"/>
      <c r="BL917" s="58"/>
      <c r="BM917" s="58"/>
      <c r="BN917" s="58"/>
    </row>
    <row r="918" spans="3:66" x14ac:dyDescent="0.2">
      <c r="C918" s="206"/>
      <c r="D918" s="206"/>
      <c r="E918" s="206"/>
      <c r="BK918" s="58"/>
      <c r="BL918" s="58"/>
      <c r="BM918" s="58"/>
      <c r="BN918" s="58"/>
    </row>
    <row r="919" spans="3:66" x14ac:dyDescent="0.2">
      <c r="C919" s="207"/>
      <c r="D919" s="206"/>
      <c r="E919" s="206"/>
      <c r="BK919" s="58"/>
      <c r="BL919" s="58"/>
      <c r="BM919" s="58"/>
      <c r="BN919" s="58"/>
    </row>
    <row r="920" spans="3:66" x14ac:dyDescent="0.2">
      <c r="C920" s="206"/>
      <c r="D920" s="206"/>
      <c r="E920" s="206"/>
      <c r="BK920" s="58"/>
      <c r="BL920" s="58"/>
      <c r="BM920" s="58"/>
      <c r="BN920" s="58"/>
    </row>
    <row r="921" spans="3:66" x14ac:dyDescent="0.2">
      <c r="C921" s="206"/>
      <c r="D921" s="206"/>
      <c r="E921" s="206"/>
      <c r="BK921" s="58"/>
      <c r="BL921" s="58"/>
      <c r="BM921" s="58"/>
      <c r="BN921" s="58"/>
    </row>
    <row r="922" spans="3:66" x14ac:dyDescent="0.2">
      <c r="C922" s="207"/>
      <c r="D922" s="206"/>
      <c r="E922" s="206"/>
      <c r="BK922" s="58"/>
      <c r="BL922" s="58"/>
      <c r="BM922" s="58"/>
      <c r="BN922" s="58"/>
    </row>
    <row r="923" spans="3:66" x14ac:dyDescent="0.2">
      <c r="C923" s="206"/>
      <c r="D923" s="206"/>
      <c r="E923" s="206"/>
      <c r="BK923" s="58"/>
      <c r="BL923" s="58"/>
      <c r="BM923" s="58"/>
      <c r="BN923" s="58"/>
    </row>
    <row r="924" spans="3:66" x14ac:dyDescent="0.2">
      <c r="C924" s="206"/>
      <c r="D924" s="206"/>
      <c r="E924" s="206"/>
      <c r="BK924" s="58"/>
      <c r="BL924" s="58"/>
      <c r="BM924" s="58"/>
      <c r="BN924" s="58"/>
    </row>
    <row r="925" spans="3:66" x14ac:dyDescent="0.2">
      <c r="C925" s="206"/>
      <c r="D925" s="206"/>
      <c r="E925" s="206"/>
      <c r="BK925" s="58"/>
      <c r="BL925" s="58"/>
      <c r="BM925" s="58"/>
      <c r="BN925" s="58"/>
    </row>
    <row r="926" spans="3:66" x14ac:dyDescent="0.2">
      <c r="C926" s="206"/>
      <c r="D926" s="206"/>
      <c r="E926" s="206"/>
      <c r="BK926" s="58"/>
      <c r="BL926" s="58"/>
      <c r="BM926" s="58"/>
      <c r="BN926" s="58"/>
    </row>
    <row r="927" spans="3:66" x14ac:dyDescent="0.2">
      <c r="C927" s="206"/>
      <c r="D927" s="206"/>
      <c r="E927" s="206"/>
      <c r="BK927" s="58"/>
      <c r="BL927" s="58"/>
      <c r="BM927" s="58"/>
      <c r="BN927" s="58"/>
    </row>
    <row r="928" spans="3:66" x14ac:dyDescent="0.2">
      <c r="C928" s="206"/>
      <c r="D928" s="206"/>
      <c r="E928" s="206"/>
      <c r="BK928" s="58"/>
      <c r="BL928" s="58"/>
      <c r="BM928" s="58"/>
      <c r="BN928" s="58"/>
    </row>
    <row r="929" spans="3:66" x14ac:dyDescent="0.2">
      <c r="C929" s="207"/>
      <c r="D929" s="206"/>
      <c r="E929" s="206"/>
      <c r="BK929" s="58"/>
      <c r="BL929" s="58"/>
      <c r="BM929" s="58"/>
      <c r="BN929" s="58"/>
    </row>
    <row r="930" spans="3:66" x14ac:dyDescent="0.2">
      <c r="C930" s="206"/>
      <c r="D930" s="206"/>
      <c r="E930" s="206"/>
      <c r="BK930" s="58"/>
      <c r="BL930" s="58"/>
      <c r="BM930" s="58"/>
      <c r="BN930" s="58"/>
    </row>
    <row r="931" spans="3:66" x14ac:dyDescent="0.2">
      <c r="C931" s="206"/>
      <c r="D931" s="206"/>
      <c r="E931" s="206"/>
      <c r="BK931" s="58"/>
      <c r="BL931" s="58"/>
      <c r="BM931" s="58"/>
      <c r="BN931" s="58"/>
    </row>
    <row r="932" spans="3:66" x14ac:dyDescent="0.2">
      <c r="C932" s="206"/>
      <c r="D932" s="206"/>
      <c r="E932" s="206"/>
      <c r="BK932" s="58"/>
      <c r="BL932" s="58"/>
      <c r="BM932" s="58"/>
      <c r="BN932" s="58"/>
    </row>
    <row r="933" spans="3:66" x14ac:dyDescent="0.2">
      <c r="C933" s="206"/>
      <c r="D933" s="206"/>
      <c r="E933" s="206"/>
      <c r="BK933" s="58"/>
      <c r="BL933" s="58"/>
      <c r="BM933" s="58"/>
      <c r="BN933" s="58"/>
    </row>
    <row r="934" spans="3:66" x14ac:dyDescent="0.2">
      <c r="C934" s="206"/>
      <c r="D934" s="206"/>
      <c r="E934" s="206"/>
      <c r="BK934" s="58"/>
      <c r="BL934" s="58"/>
      <c r="BM934" s="58"/>
      <c r="BN934" s="58"/>
    </row>
    <row r="935" spans="3:66" x14ac:dyDescent="0.2">
      <c r="C935" s="206"/>
      <c r="D935" s="206"/>
      <c r="E935" s="206"/>
      <c r="BK935" s="58"/>
      <c r="BL935" s="58"/>
      <c r="BM935" s="58"/>
      <c r="BN935" s="58"/>
    </row>
    <row r="936" spans="3:66" x14ac:dyDescent="0.2">
      <c r="C936" s="206"/>
      <c r="D936" s="206"/>
      <c r="E936" s="206"/>
      <c r="BK936" s="58"/>
      <c r="BL936" s="58"/>
      <c r="BM936" s="58"/>
      <c r="BN936" s="58"/>
    </row>
    <row r="937" spans="3:66" x14ac:dyDescent="0.2">
      <c r="C937" s="207"/>
      <c r="D937" s="206"/>
      <c r="E937" s="206"/>
      <c r="BK937" s="58"/>
      <c r="BL937" s="58"/>
      <c r="BM937" s="58"/>
      <c r="BN937" s="58"/>
    </row>
    <row r="938" spans="3:66" x14ac:dyDescent="0.2">
      <c r="C938" s="206"/>
      <c r="D938" s="206"/>
      <c r="E938" s="206"/>
      <c r="BK938" s="58"/>
      <c r="BL938" s="58"/>
      <c r="BM938" s="58"/>
      <c r="BN938" s="58"/>
    </row>
    <row r="939" spans="3:66" x14ac:dyDescent="0.2">
      <c r="C939" s="206"/>
      <c r="D939" s="206"/>
      <c r="E939" s="206"/>
      <c r="BK939" s="58"/>
      <c r="BL939" s="58"/>
      <c r="BM939" s="58"/>
      <c r="BN939" s="58"/>
    </row>
    <row r="940" spans="3:66" x14ac:dyDescent="0.2">
      <c r="C940" s="207"/>
      <c r="D940" s="206"/>
      <c r="E940" s="206"/>
      <c r="BK940" s="58"/>
      <c r="BL940" s="58"/>
      <c r="BM940" s="58"/>
      <c r="BN940" s="58"/>
    </row>
    <row r="941" spans="3:66" x14ac:dyDescent="0.2">
      <c r="C941" s="206"/>
      <c r="D941" s="206"/>
      <c r="E941" s="206"/>
      <c r="BK941" s="58"/>
      <c r="BL941" s="58"/>
      <c r="BM941" s="58"/>
      <c r="BN941" s="58"/>
    </row>
    <row r="942" spans="3:66" x14ac:dyDescent="0.2">
      <c r="C942" s="207"/>
      <c r="D942" s="206"/>
      <c r="E942" s="206"/>
      <c r="BK942" s="58"/>
      <c r="BL942" s="58"/>
      <c r="BM942" s="58"/>
      <c r="BN942" s="58"/>
    </row>
    <row r="943" spans="3:66" x14ac:dyDescent="0.2">
      <c r="C943" s="206"/>
      <c r="D943" s="206"/>
      <c r="E943" s="206"/>
      <c r="BK943" s="58"/>
      <c r="BL943" s="58"/>
      <c r="BM943" s="58"/>
      <c r="BN943" s="58"/>
    </row>
    <row r="944" spans="3:66" x14ac:dyDescent="0.2">
      <c r="C944" s="206"/>
      <c r="D944" s="206"/>
      <c r="E944" s="206"/>
      <c r="BK944" s="58"/>
      <c r="BL944" s="58"/>
      <c r="BM944" s="58"/>
      <c r="BN944" s="58"/>
    </row>
    <row r="945" spans="3:66" x14ac:dyDescent="0.2">
      <c r="C945" s="206"/>
      <c r="D945" s="206"/>
      <c r="E945" s="206"/>
      <c r="BK945" s="58"/>
      <c r="BL945" s="58"/>
      <c r="BM945" s="58"/>
      <c r="BN945" s="58"/>
    </row>
    <row r="946" spans="3:66" x14ac:dyDescent="0.2">
      <c r="C946" s="206"/>
      <c r="D946" s="206"/>
      <c r="E946" s="206"/>
      <c r="BK946" s="58"/>
      <c r="BL946" s="58"/>
      <c r="BM946" s="58"/>
      <c r="BN946" s="58"/>
    </row>
    <row r="947" spans="3:66" x14ac:dyDescent="0.2">
      <c r="C947" s="206"/>
      <c r="D947" s="206"/>
      <c r="E947" s="206"/>
      <c r="BK947" s="58"/>
      <c r="BL947" s="58"/>
      <c r="BM947" s="58"/>
      <c r="BN947" s="58"/>
    </row>
    <row r="948" spans="3:66" x14ac:dyDescent="0.2">
      <c r="C948" s="207"/>
      <c r="D948" s="206"/>
      <c r="E948" s="206"/>
      <c r="BK948" s="58"/>
      <c r="BL948" s="58"/>
      <c r="BM948" s="58"/>
      <c r="BN948" s="58"/>
    </row>
    <row r="949" spans="3:66" x14ac:dyDescent="0.2">
      <c r="C949" s="206"/>
      <c r="D949" s="206"/>
      <c r="E949" s="206"/>
      <c r="BK949" s="58"/>
      <c r="BL949" s="58"/>
      <c r="BM949" s="58"/>
      <c r="BN949" s="58"/>
    </row>
    <row r="950" spans="3:66" x14ac:dyDescent="0.2">
      <c r="C950" s="207"/>
      <c r="D950" s="206"/>
      <c r="E950" s="206"/>
      <c r="BK950" s="58"/>
      <c r="BL950" s="58"/>
      <c r="BM950" s="58"/>
      <c r="BN950" s="58"/>
    </row>
    <row r="951" spans="3:66" x14ac:dyDescent="0.2">
      <c r="C951" s="207"/>
      <c r="D951" s="206"/>
      <c r="E951" s="206"/>
      <c r="BK951" s="58"/>
      <c r="BL951" s="58"/>
      <c r="BM951" s="58"/>
      <c r="BN951" s="58"/>
    </row>
    <row r="952" spans="3:66" x14ac:dyDescent="0.2">
      <c r="C952" s="206"/>
      <c r="D952" s="206"/>
      <c r="E952" s="206"/>
      <c r="BK952" s="58"/>
      <c r="BL952" s="58"/>
      <c r="BM952" s="58"/>
      <c r="BN952" s="58"/>
    </row>
    <row r="953" spans="3:66" x14ac:dyDescent="0.2">
      <c r="C953" s="206"/>
      <c r="D953" s="206"/>
      <c r="E953" s="206"/>
      <c r="BK953" s="58"/>
      <c r="BL953" s="58"/>
      <c r="BM953" s="58"/>
      <c r="BN953" s="58"/>
    </row>
    <row r="954" spans="3:66" x14ac:dyDescent="0.2">
      <c r="C954" s="206"/>
      <c r="D954" s="206"/>
      <c r="E954" s="206"/>
      <c r="BK954" s="58"/>
      <c r="BL954" s="58"/>
      <c r="BM954" s="58"/>
      <c r="BN954" s="58"/>
    </row>
    <row r="955" spans="3:66" x14ac:dyDescent="0.2">
      <c r="C955" s="206"/>
      <c r="D955" s="206"/>
      <c r="E955" s="206"/>
      <c r="BK955" s="58"/>
      <c r="BL955" s="58"/>
      <c r="BM955" s="58"/>
      <c r="BN955" s="58"/>
    </row>
    <row r="956" spans="3:66" x14ac:dyDescent="0.2">
      <c r="C956" s="206"/>
      <c r="D956" s="206"/>
      <c r="E956" s="206"/>
      <c r="BK956" s="58"/>
      <c r="BL956" s="58"/>
      <c r="BM956" s="58"/>
      <c r="BN956" s="58"/>
    </row>
    <row r="957" spans="3:66" x14ac:dyDescent="0.2">
      <c r="C957" s="207"/>
      <c r="D957" s="206"/>
      <c r="E957" s="206"/>
      <c r="BK957" s="58"/>
      <c r="BL957" s="58"/>
      <c r="BM957" s="58"/>
      <c r="BN957" s="58"/>
    </row>
    <row r="958" spans="3:66" x14ac:dyDescent="0.2">
      <c r="C958" s="206"/>
      <c r="D958" s="206"/>
      <c r="E958" s="206"/>
      <c r="BK958" s="58"/>
      <c r="BL958" s="58"/>
      <c r="BM958" s="58"/>
      <c r="BN958" s="58"/>
    </row>
    <row r="959" spans="3:66" x14ac:dyDescent="0.2">
      <c r="C959" s="206"/>
      <c r="D959" s="206"/>
      <c r="E959" s="206"/>
      <c r="BK959" s="58"/>
      <c r="BL959" s="58"/>
      <c r="BM959" s="58"/>
      <c r="BN959" s="58"/>
    </row>
    <row r="960" spans="3:66" x14ac:dyDescent="0.2">
      <c r="C960" s="206"/>
      <c r="D960" s="206"/>
      <c r="E960" s="206"/>
      <c r="BK960" s="58"/>
      <c r="BL960" s="58"/>
      <c r="BM960" s="58"/>
      <c r="BN960" s="58"/>
    </row>
    <row r="961" spans="3:66" x14ac:dyDescent="0.2">
      <c r="C961" s="206"/>
      <c r="D961" s="206"/>
      <c r="E961" s="206"/>
      <c r="BK961" s="58"/>
      <c r="BL961" s="58"/>
      <c r="BM961" s="58"/>
      <c r="BN961" s="58"/>
    </row>
    <row r="962" spans="3:66" x14ac:dyDescent="0.2">
      <c r="C962" s="207"/>
      <c r="D962" s="206"/>
      <c r="E962" s="206"/>
      <c r="BK962" s="58"/>
      <c r="BL962" s="58"/>
      <c r="BM962" s="58"/>
      <c r="BN962" s="58"/>
    </row>
    <row r="963" spans="3:66" x14ac:dyDescent="0.2">
      <c r="C963" s="206"/>
      <c r="D963" s="206"/>
      <c r="E963" s="206"/>
      <c r="BK963" s="58"/>
      <c r="BL963" s="58"/>
      <c r="BM963" s="58"/>
      <c r="BN963" s="58"/>
    </row>
    <row r="964" spans="3:66" x14ac:dyDescent="0.2">
      <c r="C964" s="206"/>
      <c r="D964" s="206"/>
      <c r="E964" s="206"/>
      <c r="BK964" s="58"/>
      <c r="BL964" s="58"/>
      <c r="BM964" s="58"/>
      <c r="BN964" s="58"/>
    </row>
    <row r="965" spans="3:66" x14ac:dyDescent="0.2">
      <c r="C965" s="206"/>
      <c r="D965" s="206"/>
      <c r="E965" s="206"/>
      <c r="BK965" s="58"/>
      <c r="BL965" s="58"/>
      <c r="BM965" s="58"/>
      <c r="BN965" s="58"/>
    </row>
    <row r="966" spans="3:66" x14ac:dyDescent="0.2">
      <c r="C966" s="206"/>
      <c r="D966" s="206"/>
      <c r="E966" s="206"/>
      <c r="BK966" s="58"/>
      <c r="BL966" s="58"/>
      <c r="BM966" s="58"/>
      <c r="BN966" s="58"/>
    </row>
    <row r="967" spans="3:66" x14ac:dyDescent="0.2">
      <c r="C967" s="206"/>
      <c r="D967" s="206"/>
      <c r="E967" s="206"/>
      <c r="BK967" s="58"/>
      <c r="BL967" s="58"/>
      <c r="BM967" s="58"/>
      <c r="BN967" s="58"/>
    </row>
    <row r="968" spans="3:66" x14ac:dyDescent="0.2">
      <c r="C968" s="206"/>
      <c r="D968" s="206"/>
      <c r="E968" s="206"/>
      <c r="BK968" s="58"/>
      <c r="BL968" s="58"/>
      <c r="BM968" s="58"/>
      <c r="BN968" s="58"/>
    </row>
    <row r="969" spans="3:66" x14ac:dyDescent="0.2">
      <c r="C969" s="206"/>
      <c r="D969" s="206"/>
      <c r="E969" s="206"/>
      <c r="BK969" s="58"/>
      <c r="BL969" s="58"/>
      <c r="BM969" s="58"/>
      <c r="BN969" s="58"/>
    </row>
    <row r="970" spans="3:66" x14ac:dyDescent="0.2">
      <c r="C970" s="206"/>
      <c r="D970" s="206"/>
      <c r="E970" s="206"/>
      <c r="BK970" s="58"/>
      <c r="BL970" s="58"/>
      <c r="BM970" s="58"/>
      <c r="BN970" s="58"/>
    </row>
    <row r="971" spans="3:66" x14ac:dyDescent="0.2">
      <c r="C971" s="207"/>
      <c r="D971" s="206"/>
      <c r="E971" s="206"/>
      <c r="BK971" s="58"/>
      <c r="BL971" s="58"/>
      <c r="BM971" s="58"/>
      <c r="BN971" s="58"/>
    </row>
    <row r="972" spans="3:66" x14ac:dyDescent="0.2">
      <c r="C972" s="206"/>
      <c r="D972" s="206"/>
      <c r="E972" s="206"/>
      <c r="BK972" s="58"/>
      <c r="BL972" s="58"/>
      <c r="BM972" s="58"/>
      <c r="BN972" s="58"/>
    </row>
    <row r="973" spans="3:66" x14ac:dyDescent="0.2">
      <c r="C973" s="206"/>
      <c r="D973" s="206"/>
      <c r="E973" s="206"/>
      <c r="BK973" s="58"/>
      <c r="BL973" s="58"/>
      <c r="BM973" s="58"/>
      <c r="BN973" s="58"/>
    </row>
    <row r="974" spans="3:66" x14ac:dyDescent="0.2">
      <c r="C974" s="207"/>
      <c r="D974" s="206"/>
      <c r="E974" s="206"/>
      <c r="BK974" s="58"/>
      <c r="BL974" s="58"/>
      <c r="BM974" s="58"/>
      <c r="BN974" s="58"/>
    </row>
    <row r="975" spans="3:66" x14ac:dyDescent="0.2">
      <c r="C975" s="206"/>
      <c r="D975" s="206"/>
      <c r="E975" s="206"/>
      <c r="BK975" s="58"/>
      <c r="BL975" s="58"/>
      <c r="BM975" s="58"/>
      <c r="BN975" s="58"/>
    </row>
    <row r="976" spans="3:66" x14ac:dyDescent="0.2">
      <c r="C976" s="207"/>
      <c r="D976" s="206"/>
      <c r="E976" s="206"/>
      <c r="BK976" s="58"/>
      <c r="BL976" s="58"/>
      <c r="BM976" s="58"/>
      <c r="BN976" s="58"/>
    </row>
    <row r="977" spans="3:66" x14ac:dyDescent="0.2">
      <c r="C977" s="206"/>
      <c r="D977" s="206"/>
      <c r="E977" s="206"/>
      <c r="BK977" s="58"/>
      <c r="BL977" s="58"/>
      <c r="BM977" s="58"/>
      <c r="BN977" s="58"/>
    </row>
    <row r="978" spans="3:66" x14ac:dyDescent="0.2">
      <c r="C978" s="206"/>
      <c r="D978" s="206"/>
      <c r="E978" s="206"/>
      <c r="BK978" s="58"/>
      <c r="BL978" s="58"/>
      <c r="BM978" s="58"/>
      <c r="BN978" s="58"/>
    </row>
    <row r="979" spans="3:66" x14ac:dyDescent="0.2">
      <c r="C979" s="206"/>
      <c r="D979" s="206"/>
      <c r="E979" s="206"/>
      <c r="BK979" s="58"/>
      <c r="BL979" s="58"/>
      <c r="BM979" s="58"/>
      <c r="BN979" s="58"/>
    </row>
    <row r="980" spans="3:66" x14ac:dyDescent="0.2">
      <c r="C980" s="206"/>
      <c r="D980" s="206"/>
      <c r="E980" s="206"/>
      <c r="BK980" s="58"/>
      <c r="BL980" s="58"/>
      <c r="BM980" s="58"/>
      <c r="BN980" s="58"/>
    </row>
    <row r="981" spans="3:66" x14ac:dyDescent="0.2">
      <c r="C981" s="207"/>
      <c r="D981" s="206"/>
      <c r="E981" s="206"/>
      <c r="BK981" s="58"/>
      <c r="BL981" s="58"/>
      <c r="BM981" s="58"/>
      <c r="BN981" s="58"/>
    </row>
    <row r="982" spans="3:66" x14ac:dyDescent="0.2">
      <c r="C982" s="207"/>
      <c r="D982" s="206"/>
      <c r="E982" s="206"/>
      <c r="BK982" s="58"/>
      <c r="BL982" s="58"/>
      <c r="BM982" s="58"/>
      <c r="BN982" s="58"/>
    </row>
    <row r="983" spans="3:66" x14ac:dyDescent="0.2">
      <c r="C983" s="206"/>
      <c r="D983" s="206"/>
      <c r="E983" s="206"/>
      <c r="BK983" s="58"/>
      <c r="BL983" s="58"/>
      <c r="BM983" s="58"/>
      <c r="BN983" s="58"/>
    </row>
    <row r="984" spans="3:66" x14ac:dyDescent="0.2">
      <c r="C984" s="206"/>
      <c r="D984" s="206"/>
      <c r="E984" s="206"/>
      <c r="BK984" s="58"/>
      <c r="BL984" s="58"/>
      <c r="BM984" s="58"/>
      <c r="BN984" s="58"/>
    </row>
    <row r="985" spans="3:66" x14ac:dyDescent="0.2">
      <c r="C985" s="206"/>
      <c r="D985" s="206"/>
      <c r="E985" s="206"/>
      <c r="BK985" s="58"/>
      <c r="BL985" s="58"/>
      <c r="BM985" s="58"/>
      <c r="BN985" s="58"/>
    </row>
    <row r="986" spans="3:66" x14ac:dyDescent="0.2">
      <c r="C986" s="206"/>
      <c r="D986" s="206"/>
      <c r="E986" s="206"/>
      <c r="BK986" s="58"/>
      <c r="BL986" s="58"/>
      <c r="BM986" s="58"/>
      <c r="BN986" s="58"/>
    </row>
    <row r="987" spans="3:66" x14ac:dyDescent="0.2">
      <c r="C987" s="206"/>
      <c r="D987" s="206"/>
      <c r="E987" s="206"/>
      <c r="BK987" s="58"/>
      <c r="BL987" s="58"/>
      <c r="BM987" s="58"/>
      <c r="BN987" s="58"/>
    </row>
    <row r="988" spans="3:66" x14ac:dyDescent="0.2">
      <c r="C988" s="206"/>
      <c r="D988" s="206"/>
      <c r="E988" s="206"/>
      <c r="BK988" s="58"/>
      <c r="BL988" s="58"/>
      <c r="BM988" s="58"/>
      <c r="BN988" s="58"/>
    </row>
    <row r="989" spans="3:66" x14ac:dyDescent="0.2">
      <c r="C989" s="206"/>
      <c r="D989" s="206"/>
      <c r="E989" s="206"/>
      <c r="BK989" s="58"/>
      <c r="BL989" s="58"/>
      <c r="BM989" s="58"/>
      <c r="BN989" s="58"/>
    </row>
    <row r="990" spans="3:66" x14ac:dyDescent="0.2">
      <c r="C990" s="207"/>
      <c r="D990" s="206"/>
      <c r="E990" s="206"/>
      <c r="BK990" s="58"/>
      <c r="BL990" s="58"/>
      <c r="BM990" s="58"/>
      <c r="BN990" s="58"/>
    </row>
    <row r="991" spans="3:66" x14ac:dyDescent="0.2">
      <c r="C991" s="207"/>
      <c r="D991" s="206"/>
      <c r="E991" s="206"/>
      <c r="F991" s="4399"/>
      <c r="G991" s="4399"/>
      <c r="H991" s="4399"/>
      <c r="I991" s="4399"/>
      <c r="J991" s="4399"/>
      <c r="BK991" s="58"/>
      <c r="BL991" s="58"/>
      <c r="BM991" s="58"/>
      <c r="BN991" s="58"/>
    </row>
    <row r="992" spans="3:66" x14ac:dyDescent="0.2">
      <c r="C992" s="207"/>
      <c r="D992" s="206"/>
      <c r="E992" s="206"/>
      <c r="F992" s="4399"/>
      <c r="G992" s="4399"/>
      <c r="H992" s="4399"/>
      <c r="I992" s="4399"/>
      <c r="J992" s="4399"/>
      <c r="BK992" s="58"/>
      <c r="BL992" s="58"/>
      <c r="BM992" s="58"/>
      <c r="BN992" s="58"/>
    </row>
    <row r="993" spans="3:66" x14ac:dyDescent="0.2">
      <c r="C993" s="207"/>
      <c r="D993" s="206"/>
      <c r="E993" s="206"/>
      <c r="F993" s="4399"/>
      <c r="G993" s="4399"/>
      <c r="H993" s="4399"/>
      <c r="I993" s="4399"/>
      <c r="J993" s="4399"/>
      <c r="BK993" s="58"/>
      <c r="BL993" s="58"/>
      <c r="BM993" s="58"/>
      <c r="BN993" s="58"/>
    </row>
    <row r="994" spans="3:66" x14ac:dyDescent="0.2">
      <c r="C994" s="207"/>
      <c r="D994" s="206"/>
      <c r="E994" s="206"/>
      <c r="F994" s="4399"/>
      <c r="G994" s="4399"/>
      <c r="H994" s="4399"/>
      <c r="I994" s="4399"/>
      <c r="J994" s="4399"/>
      <c r="BK994" s="58"/>
      <c r="BL994" s="58"/>
      <c r="BM994" s="58"/>
      <c r="BN994" s="58"/>
    </row>
    <row r="995" spans="3:66" x14ac:dyDescent="0.2">
      <c r="C995" s="206"/>
      <c r="D995" s="206"/>
      <c r="E995" s="206"/>
      <c r="BK995" s="58"/>
      <c r="BL995" s="58"/>
      <c r="BM995" s="58"/>
      <c r="BN995" s="58"/>
    </row>
    <row r="996" spans="3:66" x14ac:dyDescent="0.2">
      <c r="C996" s="207"/>
      <c r="D996" s="206"/>
      <c r="E996" s="206"/>
      <c r="BK996" s="58"/>
      <c r="BL996" s="58"/>
      <c r="BM996" s="58"/>
      <c r="BN996" s="58"/>
    </row>
    <row r="997" spans="3:66" x14ac:dyDescent="0.2">
      <c r="C997" s="207"/>
      <c r="D997" s="206"/>
      <c r="E997" s="206"/>
      <c r="BK997" s="58"/>
      <c r="BL997" s="58"/>
      <c r="BM997" s="58"/>
      <c r="BN997" s="58"/>
    </row>
    <row r="998" spans="3:66" x14ac:dyDescent="0.2">
      <c r="C998" s="207"/>
      <c r="D998" s="206"/>
      <c r="E998" s="206"/>
      <c r="BK998" s="58"/>
      <c r="BL998" s="58"/>
      <c r="BM998" s="58"/>
      <c r="BN998" s="58"/>
    </row>
    <row r="999" spans="3:66" x14ac:dyDescent="0.2">
      <c r="C999" s="206"/>
      <c r="D999" s="206"/>
      <c r="E999" s="206"/>
      <c r="BK999" s="58"/>
      <c r="BL999" s="58"/>
      <c r="BM999" s="58"/>
      <c r="BN999" s="58"/>
    </row>
    <row r="1000" spans="3:66" x14ac:dyDescent="0.2">
      <c r="C1000" s="206"/>
      <c r="D1000" s="206"/>
      <c r="E1000" s="206"/>
      <c r="BK1000" s="58"/>
      <c r="BL1000" s="58"/>
      <c r="BM1000" s="58"/>
      <c r="BN1000" s="58"/>
    </row>
    <row r="1001" spans="3:66" x14ac:dyDescent="0.2">
      <c r="C1001" s="206"/>
      <c r="D1001" s="206"/>
      <c r="E1001" s="206"/>
      <c r="BK1001" s="58"/>
      <c r="BL1001" s="58"/>
      <c r="BM1001" s="58"/>
      <c r="BN1001" s="58"/>
    </row>
    <row r="1002" spans="3:66" x14ac:dyDescent="0.2">
      <c r="C1002" s="206"/>
      <c r="D1002" s="206"/>
      <c r="E1002" s="206"/>
      <c r="BK1002" s="58"/>
      <c r="BL1002" s="58"/>
      <c r="BM1002" s="58"/>
      <c r="BN1002" s="58"/>
    </row>
    <row r="1003" spans="3:66" x14ac:dyDescent="0.2">
      <c r="C1003" s="206"/>
      <c r="D1003" s="206"/>
      <c r="E1003" s="206"/>
      <c r="BK1003" s="58"/>
      <c r="BL1003" s="58"/>
      <c r="BM1003" s="58"/>
      <c r="BN1003" s="58"/>
    </row>
    <row r="1004" spans="3:66" x14ac:dyDescent="0.2">
      <c r="C1004" s="206"/>
      <c r="D1004" s="206"/>
      <c r="E1004" s="206"/>
      <c r="BK1004" s="58"/>
      <c r="BL1004" s="58"/>
      <c r="BM1004" s="58"/>
      <c r="BN1004" s="58"/>
    </row>
    <row r="1005" spans="3:66" x14ac:dyDescent="0.2">
      <c r="C1005" s="206"/>
      <c r="D1005" s="206"/>
      <c r="E1005" s="206"/>
      <c r="BK1005" s="58"/>
      <c r="BL1005" s="58"/>
      <c r="BM1005" s="58"/>
      <c r="BN1005" s="58"/>
    </row>
    <row r="1006" spans="3:66" x14ac:dyDescent="0.2">
      <c r="C1006" s="207"/>
      <c r="D1006" s="206"/>
      <c r="E1006" s="206"/>
      <c r="BK1006" s="58"/>
      <c r="BL1006" s="58"/>
      <c r="BM1006" s="58"/>
      <c r="BN1006" s="58"/>
    </row>
    <row r="1007" spans="3:66" x14ac:dyDescent="0.2">
      <c r="C1007" s="207"/>
      <c r="D1007" s="206"/>
      <c r="E1007" s="206"/>
      <c r="BK1007" s="58"/>
      <c r="BL1007" s="58"/>
      <c r="BM1007" s="58"/>
      <c r="BN1007" s="58"/>
    </row>
    <row r="1008" spans="3:66" x14ac:dyDescent="0.2">
      <c r="C1008" s="207"/>
      <c r="D1008" s="206"/>
      <c r="E1008" s="206"/>
      <c r="BK1008" s="58"/>
      <c r="BL1008" s="58"/>
      <c r="BM1008" s="58"/>
      <c r="BN1008" s="58"/>
    </row>
    <row r="1009" spans="3:66" x14ac:dyDescent="0.2">
      <c r="C1009" s="206"/>
      <c r="D1009" s="206"/>
      <c r="E1009" s="206"/>
      <c r="BK1009" s="58"/>
      <c r="BL1009" s="58"/>
      <c r="BM1009" s="58"/>
      <c r="BN1009" s="58"/>
    </row>
    <row r="1010" spans="3:66" x14ac:dyDescent="0.2">
      <c r="C1010" s="207"/>
      <c r="D1010" s="206"/>
      <c r="E1010" s="206"/>
      <c r="BK1010" s="58"/>
      <c r="BL1010" s="58"/>
      <c r="BM1010" s="58"/>
      <c r="BN1010" s="58"/>
    </row>
    <row r="1011" spans="3:66" x14ac:dyDescent="0.2">
      <c r="C1011" s="206"/>
      <c r="D1011" s="206"/>
      <c r="E1011" s="206"/>
      <c r="BK1011" s="58"/>
      <c r="BL1011" s="58"/>
      <c r="BM1011" s="58"/>
      <c r="BN1011" s="58"/>
    </row>
    <row r="1012" spans="3:66" x14ac:dyDescent="0.2">
      <c r="C1012" s="207"/>
      <c r="D1012" s="206"/>
      <c r="E1012" s="206"/>
      <c r="BK1012" s="58"/>
      <c r="BL1012" s="58"/>
      <c r="BM1012" s="58"/>
      <c r="BN1012" s="58"/>
    </row>
    <row r="1013" spans="3:66" x14ac:dyDescent="0.2">
      <c r="C1013" s="207"/>
      <c r="D1013" s="206"/>
      <c r="E1013" s="206"/>
      <c r="BK1013" s="58"/>
      <c r="BL1013" s="58"/>
      <c r="BM1013" s="58"/>
      <c r="BN1013" s="58"/>
    </row>
    <row r="1014" spans="3:66" x14ac:dyDescent="0.2">
      <c r="C1014" s="206"/>
      <c r="D1014" s="206"/>
      <c r="E1014" s="206"/>
      <c r="BK1014" s="58"/>
      <c r="BL1014" s="58"/>
      <c r="BM1014" s="58"/>
      <c r="BN1014" s="58"/>
    </row>
    <row r="1015" spans="3:66" x14ac:dyDescent="0.2">
      <c r="C1015" s="206"/>
      <c r="D1015" s="206"/>
      <c r="E1015" s="206"/>
      <c r="BK1015" s="58"/>
      <c r="BL1015" s="58"/>
      <c r="BM1015" s="58"/>
      <c r="BN1015" s="58"/>
    </row>
    <row r="1016" spans="3:66" x14ac:dyDescent="0.2">
      <c r="C1016" s="207"/>
      <c r="D1016" s="206"/>
      <c r="E1016" s="206"/>
      <c r="BK1016" s="58"/>
      <c r="BL1016" s="58"/>
      <c r="BM1016" s="58"/>
      <c r="BN1016" s="58"/>
    </row>
    <row r="1017" spans="3:66" x14ac:dyDescent="0.2">
      <c r="C1017" s="206"/>
      <c r="D1017" s="206"/>
      <c r="E1017" s="206"/>
      <c r="BK1017" s="58"/>
      <c r="BL1017" s="58"/>
      <c r="BM1017" s="58"/>
      <c r="BN1017" s="58"/>
    </row>
    <row r="1018" spans="3:66" x14ac:dyDescent="0.2">
      <c r="C1018" s="206"/>
      <c r="D1018" s="206"/>
      <c r="E1018" s="206"/>
      <c r="BK1018" s="58"/>
      <c r="BL1018" s="58"/>
      <c r="BM1018" s="58"/>
      <c r="BN1018" s="58"/>
    </row>
    <row r="1019" spans="3:66" x14ac:dyDescent="0.2">
      <c r="C1019" s="206"/>
      <c r="D1019" s="206"/>
      <c r="E1019" s="206"/>
      <c r="BK1019" s="58"/>
      <c r="BL1019" s="58"/>
      <c r="BM1019" s="58"/>
      <c r="BN1019" s="58"/>
    </row>
    <row r="1020" spans="3:66" x14ac:dyDescent="0.2">
      <c r="C1020" s="207"/>
      <c r="D1020" s="206"/>
      <c r="E1020" s="206"/>
      <c r="BK1020" s="58"/>
      <c r="BL1020" s="58"/>
      <c r="BM1020" s="58"/>
      <c r="BN1020" s="58"/>
    </row>
    <row r="1021" spans="3:66" x14ac:dyDescent="0.2">
      <c r="C1021" s="206"/>
      <c r="D1021" s="206"/>
      <c r="E1021" s="206"/>
      <c r="BK1021" s="58"/>
      <c r="BL1021" s="58"/>
      <c r="BM1021" s="58"/>
      <c r="BN1021" s="58"/>
    </row>
    <row r="1022" spans="3:66" x14ac:dyDescent="0.2">
      <c r="C1022" s="206"/>
      <c r="D1022" s="206"/>
      <c r="E1022" s="206"/>
      <c r="BK1022" s="58"/>
      <c r="BL1022" s="58"/>
      <c r="BM1022" s="58"/>
      <c r="BN1022" s="58"/>
    </row>
    <row r="1023" spans="3:66" x14ac:dyDescent="0.2">
      <c r="C1023" s="207"/>
      <c r="D1023" s="206"/>
      <c r="E1023" s="206"/>
      <c r="BK1023" s="58"/>
      <c r="BL1023" s="58"/>
      <c r="BM1023" s="58"/>
      <c r="BN1023" s="58"/>
    </row>
    <row r="1024" spans="3:66" x14ac:dyDescent="0.2">
      <c r="C1024" s="207"/>
      <c r="D1024" s="206"/>
      <c r="E1024" s="206"/>
      <c r="BK1024" s="58"/>
      <c r="BL1024" s="58"/>
      <c r="BM1024" s="58"/>
      <c r="BN1024" s="58"/>
    </row>
    <row r="1025" spans="3:66" x14ac:dyDescent="0.2">
      <c r="C1025" s="206"/>
      <c r="D1025" s="206"/>
      <c r="E1025" s="206"/>
      <c r="BK1025" s="58"/>
      <c r="BL1025" s="58"/>
      <c r="BM1025" s="58"/>
      <c r="BN1025" s="58"/>
    </row>
    <row r="1026" spans="3:66" x14ac:dyDescent="0.2">
      <c r="C1026" s="207"/>
      <c r="D1026" s="206"/>
      <c r="E1026" s="206"/>
      <c r="BK1026" s="58"/>
      <c r="BL1026" s="58"/>
      <c r="BM1026" s="58"/>
      <c r="BN1026" s="58"/>
    </row>
    <row r="1027" spans="3:66" x14ac:dyDescent="0.2">
      <c r="C1027" s="207"/>
      <c r="D1027" s="206"/>
      <c r="E1027" s="206"/>
      <c r="BK1027" s="58"/>
      <c r="BL1027" s="58"/>
      <c r="BM1027" s="58"/>
      <c r="BN1027" s="58"/>
    </row>
    <row r="1028" spans="3:66" x14ac:dyDescent="0.2">
      <c r="C1028" s="206"/>
      <c r="D1028" s="206"/>
      <c r="E1028" s="206"/>
      <c r="BK1028" s="58"/>
      <c r="BL1028" s="58"/>
      <c r="BM1028" s="58"/>
      <c r="BN1028" s="58"/>
    </row>
    <row r="1029" spans="3:66" x14ac:dyDescent="0.2">
      <c r="C1029" s="206"/>
      <c r="D1029" s="206"/>
      <c r="E1029" s="206"/>
      <c r="BK1029" s="58"/>
      <c r="BL1029" s="58"/>
      <c r="BM1029" s="58"/>
      <c r="BN1029" s="58"/>
    </row>
    <row r="1030" spans="3:66" x14ac:dyDescent="0.2">
      <c r="C1030" s="206"/>
      <c r="D1030" s="206"/>
      <c r="E1030" s="206"/>
      <c r="BK1030" s="58"/>
      <c r="BL1030" s="58"/>
      <c r="BM1030" s="58"/>
      <c r="BN1030" s="58"/>
    </row>
    <row r="1031" spans="3:66" x14ac:dyDescent="0.2">
      <c r="C1031" s="207"/>
      <c r="D1031" s="206"/>
      <c r="E1031" s="206"/>
      <c r="BK1031" s="58"/>
      <c r="BL1031" s="58"/>
      <c r="BM1031" s="58"/>
      <c r="BN1031" s="58"/>
    </row>
    <row r="1032" spans="3:66" x14ac:dyDescent="0.2">
      <c r="C1032" s="206"/>
      <c r="D1032" s="206"/>
      <c r="E1032" s="206"/>
      <c r="BK1032" s="58"/>
      <c r="BL1032" s="58"/>
      <c r="BM1032" s="58"/>
      <c r="BN1032" s="58"/>
    </row>
    <row r="1033" spans="3:66" x14ac:dyDescent="0.2">
      <c r="C1033" s="206"/>
      <c r="D1033" s="206"/>
      <c r="E1033" s="206"/>
      <c r="BK1033" s="58"/>
      <c r="BL1033" s="58"/>
      <c r="BM1033" s="58"/>
      <c r="BN1033" s="58"/>
    </row>
    <row r="1034" spans="3:66" x14ac:dyDescent="0.2">
      <c r="C1034" s="206"/>
      <c r="D1034" s="206"/>
      <c r="E1034" s="206"/>
      <c r="BK1034" s="58"/>
      <c r="BL1034" s="58"/>
      <c r="BM1034" s="58"/>
      <c r="BN1034" s="58"/>
    </row>
    <row r="1035" spans="3:66" x14ac:dyDescent="0.2">
      <c r="C1035" s="207"/>
      <c r="D1035" s="206"/>
      <c r="E1035" s="206"/>
      <c r="BK1035" s="58"/>
      <c r="BL1035" s="58"/>
      <c r="BM1035" s="58"/>
      <c r="BN1035" s="58"/>
    </row>
    <row r="1036" spans="3:66" x14ac:dyDescent="0.2">
      <c r="C1036" s="206"/>
      <c r="D1036" s="206"/>
      <c r="E1036" s="206"/>
      <c r="BK1036" s="58"/>
      <c r="BL1036" s="58"/>
      <c r="BM1036" s="58"/>
      <c r="BN1036" s="58"/>
    </row>
    <row r="1037" spans="3:66" x14ac:dyDescent="0.2">
      <c r="C1037" s="207"/>
      <c r="D1037" s="206"/>
      <c r="E1037" s="206"/>
      <c r="BK1037" s="58"/>
      <c r="BL1037" s="58"/>
      <c r="BM1037" s="58"/>
      <c r="BN1037" s="58"/>
    </row>
    <row r="1038" spans="3:66" x14ac:dyDescent="0.2">
      <c r="C1038" s="206"/>
      <c r="D1038" s="206"/>
      <c r="E1038" s="206"/>
      <c r="BK1038" s="58"/>
      <c r="BL1038" s="58"/>
      <c r="BM1038" s="58"/>
      <c r="BN1038" s="58"/>
    </row>
    <row r="1039" spans="3:66" x14ac:dyDescent="0.2">
      <c r="C1039" s="207"/>
      <c r="D1039" s="206"/>
      <c r="E1039" s="206"/>
      <c r="BK1039" s="58"/>
      <c r="BL1039" s="58"/>
      <c r="BM1039" s="58"/>
      <c r="BN1039" s="58"/>
    </row>
    <row r="1040" spans="3:66" x14ac:dyDescent="0.2">
      <c r="C1040" s="206"/>
      <c r="D1040" s="206"/>
      <c r="E1040" s="206"/>
      <c r="BK1040" s="58"/>
      <c r="BL1040" s="58"/>
      <c r="BM1040" s="58"/>
      <c r="BN1040" s="58"/>
    </row>
    <row r="1041" spans="3:66" x14ac:dyDescent="0.2">
      <c r="C1041" s="206"/>
      <c r="D1041" s="206"/>
      <c r="E1041" s="206"/>
      <c r="BK1041" s="58"/>
      <c r="BL1041" s="58"/>
      <c r="BM1041" s="58"/>
      <c r="BN1041" s="58"/>
    </row>
    <row r="1042" spans="3:66" x14ac:dyDescent="0.2">
      <c r="C1042" s="207"/>
      <c r="D1042" s="206"/>
      <c r="E1042" s="206"/>
      <c r="BK1042" s="58"/>
      <c r="BL1042" s="58"/>
      <c r="BM1042" s="58"/>
      <c r="BN1042" s="58"/>
    </row>
    <row r="1043" spans="3:66" x14ac:dyDescent="0.2">
      <c r="C1043" s="206"/>
      <c r="D1043" s="206"/>
      <c r="E1043" s="206"/>
      <c r="BK1043" s="58"/>
      <c r="BL1043" s="58"/>
      <c r="BM1043" s="58"/>
      <c r="BN1043" s="58"/>
    </row>
    <row r="1044" spans="3:66" x14ac:dyDescent="0.2">
      <c r="C1044" s="207"/>
      <c r="D1044" s="206"/>
      <c r="E1044" s="206"/>
      <c r="BK1044" s="58"/>
      <c r="BL1044" s="58"/>
      <c r="BM1044" s="58"/>
      <c r="BN1044" s="58"/>
    </row>
    <row r="1045" spans="3:66" x14ac:dyDescent="0.2">
      <c r="C1045" s="207"/>
      <c r="D1045" s="206"/>
      <c r="E1045" s="206"/>
      <c r="BK1045" s="58"/>
      <c r="BL1045" s="58"/>
      <c r="BM1045" s="58"/>
      <c r="BN1045" s="58"/>
    </row>
    <row r="1046" spans="3:66" x14ac:dyDescent="0.2">
      <c r="C1046" s="206"/>
      <c r="D1046" s="206"/>
      <c r="E1046" s="206"/>
      <c r="BK1046" s="58"/>
      <c r="BL1046" s="58"/>
      <c r="BM1046" s="58"/>
      <c r="BN1046" s="58"/>
    </row>
    <row r="1047" spans="3:66" x14ac:dyDescent="0.2">
      <c r="C1047" s="206"/>
      <c r="D1047" s="206"/>
      <c r="E1047" s="206"/>
      <c r="BK1047" s="58"/>
      <c r="BL1047" s="58"/>
      <c r="BM1047" s="58"/>
      <c r="BN1047" s="58"/>
    </row>
    <row r="1048" spans="3:66" x14ac:dyDescent="0.2">
      <c r="C1048" s="207"/>
      <c r="D1048" s="206"/>
      <c r="E1048" s="206"/>
      <c r="BK1048" s="58"/>
      <c r="BL1048" s="58"/>
      <c r="BM1048" s="58"/>
      <c r="BN1048" s="58"/>
    </row>
    <row r="1049" spans="3:66" x14ac:dyDescent="0.2">
      <c r="C1049" s="206"/>
      <c r="D1049" s="206"/>
      <c r="E1049" s="206"/>
      <c r="BK1049" s="58"/>
      <c r="BL1049" s="58"/>
      <c r="BM1049" s="58"/>
      <c r="BN1049" s="58"/>
    </row>
    <row r="1050" spans="3:66" x14ac:dyDescent="0.2">
      <c r="C1050" s="207"/>
      <c r="D1050" s="206"/>
      <c r="E1050" s="206"/>
      <c r="BK1050" s="58"/>
      <c r="BL1050" s="58"/>
      <c r="BM1050" s="58"/>
      <c r="BN1050" s="58"/>
    </row>
    <row r="1051" spans="3:66" x14ac:dyDescent="0.2">
      <c r="C1051" s="207"/>
      <c r="D1051" s="206"/>
      <c r="E1051" s="206"/>
      <c r="BK1051" s="58"/>
      <c r="BL1051" s="58"/>
      <c r="BM1051" s="58"/>
      <c r="BN1051" s="58"/>
    </row>
    <row r="1052" spans="3:66" x14ac:dyDescent="0.2">
      <c r="C1052" s="206"/>
      <c r="D1052" s="206"/>
      <c r="E1052" s="206"/>
      <c r="BK1052" s="58"/>
      <c r="BL1052" s="58"/>
      <c r="BM1052" s="58"/>
      <c r="BN1052" s="58"/>
    </row>
    <row r="1053" spans="3:66" x14ac:dyDescent="0.2">
      <c r="C1053" s="207"/>
      <c r="D1053" s="206"/>
      <c r="E1053" s="206"/>
      <c r="BK1053" s="58"/>
      <c r="BL1053" s="58"/>
      <c r="BM1053" s="58"/>
      <c r="BN1053" s="58"/>
    </row>
    <row r="1054" spans="3:66" x14ac:dyDescent="0.2">
      <c r="C1054" s="207"/>
      <c r="D1054" s="206"/>
      <c r="E1054" s="206"/>
      <c r="BK1054" s="58"/>
      <c r="BL1054" s="58"/>
      <c r="BM1054" s="58"/>
      <c r="BN1054" s="58"/>
    </row>
    <row r="1055" spans="3:66" x14ac:dyDescent="0.2">
      <c r="C1055" s="206"/>
      <c r="D1055" s="206"/>
      <c r="E1055" s="206"/>
      <c r="BK1055" s="58"/>
      <c r="BL1055" s="58"/>
      <c r="BM1055" s="58"/>
      <c r="BN1055" s="58"/>
    </row>
    <row r="1056" spans="3:66" x14ac:dyDescent="0.2">
      <c r="C1056" s="207"/>
      <c r="D1056" s="206"/>
      <c r="E1056" s="206"/>
      <c r="BK1056" s="58"/>
      <c r="BL1056" s="58"/>
      <c r="BM1056" s="58"/>
      <c r="BN1056" s="58"/>
    </row>
    <row r="1057" spans="3:66" x14ac:dyDescent="0.2">
      <c r="C1057" s="206"/>
      <c r="D1057" s="206"/>
      <c r="E1057" s="206"/>
      <c r="BK1057" s="58"/>
      <c r="BL1057" s="58"/>
      <c r="BM1057" s="58"/>
      <c r="BN1057" s="58"/>
    </row>
    <row r="1058" spans="3:66" x14ac:dyDescent="0.2">
      <c r="C1058" s="206"/>
      <c r="D1058" s="206"/>
      <c r="E1058" s="206"/>
      <c r="BK1058" s="58"/>
      <c r="BL1058" s="58"/>
      <c r="BM1058" s="58"/>
      <c r="BN1058" s="58"/>
    </row>
    <row r="1059" spans="3:66" x14ac:dyDescent="0.2">
      <c r="C1059" s="207"/>
      <c r="D1059" s="206"/>
      <c r="E1059" s="206"/>
      <c r="BK1059" s="58"/>
      <c r="BL1059" s="58"/>
      <c r="BM1059" s="58"/>
      <c r="BN1059" s="58"/>
    </row>
    <row r="1060" spans="3:66" x14ac:dyDescent="0.2">
      <c r="C1060" s="207"/>
      <c r="D1060" s="206"/>
      <c r="E1060" s="206"/>
      <c r="BK1060" s="58"/>
      <c r="BL1060" s="58"/>
      <c r="BM1060" s="58"/>
      <c r="BN1060" s="58"/>
    </row>
    <row r="1061" spans="3:66" x14ac:dyDescent="0.2">
      <c r="C1061" s="207"/>
      <c r="D1061" s="206"/>
      <c r="E1061" s="206"/>
      <c r="BK1061" s="58"/>
      <c r="BL1061" s="58"/>
      <c r="BM1061" s="58"/>
      <c r="BN1061" s="58"/>
    </row>
    <row r="1062" spans="3:66" x14ac:dyDescent="0.2">
      <c r="C1062" s="207"/>
      <c r="D1062" s="206"/>
      <c r="E1062" s="206"/>
      <c r="BK1062" s="58"/>
      <c r="BL1062" s="58"/>
      <c r="BM1062" s="58"/>
      <c r="BN1062" s="58"/>
    </row>
    <row r="1063" spans="3:66" x14ac:dyDescent="0.2">
      <c r="C1063" s="206"/>
      <c r="D1063" s="206"/>
      <c r="E1063" s="206"/>
      <c r="BK1063" s="58"/>
      <c r="BL1063" s="58"/>
      <c r="BM1063" s="58"/>
      <c r="BN1063" s="58"/>
    </row>
    <row r="1064" spans="3:66" x14ac:dyDescent="0.2">
      <c r="C1064" s="207"/>
      <c r="D1064" s="206"/>
      <c r="E1064" s="206"/>
      <c r="BK1064" s="58"/>
      <c r="BL1064" s="58"/>
      <c r="BM1064" s="58"/>
      <c r="BN1064" s="58"/>
    </row>
    <row r="1065" spans="3:66" x14ac:dyDescent="0.2">
      <c r="C1065" s="207"/>
      <c r="D1065" s="206"/>
      <c r="E1065" s="206"/>
      <c r="BK1065" s="58"/>
      <c r="BL1065" s="58"/>
      <c r="BM1065" s="58"/>
      <c r="BN1065" s="58"/>
    </row>
    <row r="1066" spans="3:66" x14ac:dyDescent="0.2">
      <c r="C1066" s="207"/>
      <c r="D1066" s="206"/>
      <c r="E1066" s="206"/>
      <c r="BK1066" s="58"/>
      <c r="BL1066" s="58"/>
      <c r="BM1066" s="58"/>
      <c r="BN1066" s="58"/>
    </row>
    <row r="1067" spans="3:66" x14ac:dyDescent="0.2">
      <c r="C1067" s="206"/>
      <c r="D1067" s="206"/>
      <c r="E1067" s="206"/>
      <c r="BK1067" s="58"/>
      <c r="BL1067" s="58"/>
      <c r="BM1067" s="58"/>
      <c r="BN1067" s="58"/>
    </row>
    <row r="1068" spans="3:66" x14ac:dyDescent="0.2">
      <c r="C1068" s="206"/>
      <c r="D1068" s="206"/>
      <c r="E1068" s="206"/>
      <c r="BK1068" s="58"/>
      <c r="BL1068" s="58"/>
      <c r="BM1068" s="58"/>
      <c r="BN1068" s="58"/>
    </row>
    <row r="1069" spans="3:66" x14ac:dyDescent="0.2">
      <c r="C1069" s="206"/>
      <c r="D1069" s="206"/>
      <c r="E1069" s="206"/>
      <c r="BK1069" s="58"/>
      <c r="BL1069" s="58"/>
      <c r="BM1069" s="58"/>
      <c r="BN1069" s="58"/>
    </row>
    <row r="1070" spans="3:66" x14ac:dyDescent="0.2">
      <c r="C1070" s="207"/>
      <c r="D1070" s="206"/>
      <c r="E1070" s="206"/>
      <c r="BK1070" s="58"/>
      <c r="BL1070" s="58"/>
      <c r="BM1070" s="58"/>
      <c r="BN1070" s="58"/>
    </row>
    <row r="1071" spans="3:66" x14ac:dyDescent="0.2">
      <c r="C1071" s="206"/>
      <c r="D1071" s="206"/>
      <c r="E1071" s="206"/>
      <c r="BK1071" s="58"/>
      <c r="BL1071" s="58"/>
      <c r="BM1071" s="58"/>
      <c r="BN1071" s="58"/>
    </row>
    <row r="1072" spans="3:66" x14ac:dyDescent="0.2">
      <c r="C1072" s="207"/>
      <c r="D1072" s="206"/>
      <c r="E1072" s="206"/>
      <c r="BK1072" s="58"/>
      <c r="BL1072" s="58"/>
      <c r="BM1072" s="58"/>
      <c r="BN1072" s="58"/>
    </row>
    <row r="1073" spans="3:66" x14ac:dyDescent="0.2">
      <c r="C1073" s="207"/>
      <c r="D1073" s="206"/>
      <c r="E1073" s="206"/>
      <c r="BK1073" s="58"/>
      <c r="BL1073" s="58"/>
      <c r="BM1073" s="58"/>
      <c r="BN1073" s="58"/>
    </row>
    <row r="1074" spans="3:66" x14ac:dyDescent="0.2">
      <c r="C1074" s="206"/>
      <c r="D1074" s="206"/>
      <c r="E1074" s="206"/>
      <c r="BK1074" s="58"/>
      <c r="BL1074" s="58"/>
      <c r="BM1074" s="58"/>
      <c r="BN1074" s="58"/>
    </row>
    <row r="1075" spans="3:66" x14ac:dyDescent="0.2">
      <c r="C1075" s="207"/>
      <c r="D1075" s="206"/>
      <c r="E1075" s="206"/>
      <c r="BK1075" s="58"/>
      <c r="BL1075" s="58"/>
      <c r="BM1075" s="58"/>
      <c r="BN1075" s="58"/>
    </row>
    <row r="1076" spans="3:66" x14ac:dyDescent="0.2">
      <c r="C1076" s="206"/>
      <c r="D1076" s="206"/>
      <c r="E1076" s="206"/>
      <c r="BK1076" s="58"/>
      <c r="BL1076" s="58"/>
      <c r="BM1076" s="58"/>
      <c r="BN1076" s="58"/>
    </row>
    <row r="1077" spans="3:66" x14ac:dyDescent="0.2">
      <c r="C1077" s="206"/>
      <c r="D1077" s="206"/>
      <c r="E1077" s="206"/>
      <c r="BK1077" s="58"/>
      <c r="BL1077" s="58"/>
      <c r="BM1077" s="58"/>
      <c r="BN1077" s="58"/>
    </row>
    <row r="1078" spans="3:66" x14ac:dyDescent="0.2">
      <c r="C1078" s="207"/>
      <c r="D1078" s="206"/>
      <c r="E1078" s="206"/>
      <c r="BK1078" s="58"/>
      <c r="BL1078" s="58"/>
      <c r="BM1078" s="58"/>
      <c r="BN1078" s="58"/>
    </row>
    <row r="1079" spans="3:66" x14ac:dyDescent="0.2">
      <c r="C1079" s="206"/>
      <c r="D1079" s="206"/>
      <c r="E1079" s="206"/>
      <c r="BK1079" s="58"/>
      <c r="BL1079" s="58"/>
      <c r="BM1079" s="58"/>
      <c r="BN1079" s="58"/>
    </row>
    <row r="1080" spans="3:66" x14ac:dyDescent="0.2">
      <c r="C1080" s="206"/>
      <c r="D1080" s="206"/>
      <c r="E1080" s="206"/>
      <c r="BK1080" s="58"/>
      <c r="BL1080" s="58"/>
      <c r="BM1080" s="58"/>
      <c r="BN1080" s="58"/>
    </row>
    <row r="1081" spans="3:66" x14ac:dyDescent="0.2">
      <c r="C1081" s="206"/>
      <c r="D1081" s="206"/>
      <c r="E1081" s="206"/>
      <c r="BK1081" s="58"/>
      <c r="BL1081" s="58"/>
      <c r="BM1081" s="58"/>
      <c r="BN1081" s="58"/>
    </row>
    <row r="1082" spans="3:66" x14ac:dyDescent="0.2">
      <c r="C1082" s="207"/>
      <c r="D1082" s="206"/>
      <c r="E1082" s="206"/>
      <c r="BK1082" s="58"/>
      <c r="BL1082" s="58"/>
      <c r="BM1082" s="58"/>
      <c r="BN1082" s="58"/>
    </row>
    <row r="1083" spans="3:66" x14ac:dyDescent="0.2">
      <c r="C1083" s="207"/>
      <c r="D1083" s="206"/>
      <c r="E1083" s="206"/>
      <c r="BK1083" s="58"/>
      <c r="BL1083" s="58"/>
      <c r="BM1083" s="58"/>
      <c r="BN1083" s="58"/>
    </row>
    <row r="1084" spans="3:66" x14ac:dyDescent="0.2">
      <c r="C1084" s="207"/>
      <c r="D1084" s="206"/>
      <c r="E1084" s="206"/>
      <c r="BK1084" s="58"/>
      <c r="BL1084" s="58"/>
      <c r="BM1084" s="58"/>
      <c r="BN1084" s="58"/>
    </row>
    <row r="1085" spans="3:66" x14ac:dyDescent="0.2">
      <c r="C1085" s="206"/>
      <c r="D1085" s="206"/>
      <c r="E1085" s="206"/>
      <c r="BK1085" s="58"/>
      <c r="BL1085" s="58"/>
      <c r="BM1085" s="58"/>
      <c r="BN1085" s="58"/>
    </row>
    <row r="1086" spans="3:66" x14ac:dyDescent="0.2">
      <c r="C1086" s="206"/>
      <c r="D1086" s="206"/>
      <c r="E1086" s="206"/>
      <c r="BK1086" s="58"/>
      <c r="BL1086" s="58"/>
      <c r="BM1086" s="58"/>
      <c r="BN1086" s="58"/>
    </row>
    <row r="1087" spans="3:66" x14ac:dyDescent="0.2">
      <c r="C1087" s="206"/>
      <c r="D1087" s="206"/>
      <c r="E1087" s="206"/>
      <c r="BK1087" s="58"/>
      <c r="BL1087" s="58"/>
      <c r="BM1087" s="58"/>
      <c r="BN1087" s="58"/>
    </row>
    <row r="1088" spans="3:66" x14ac:dyDescent="0.2">
      <c r="C1088" s="206"/>
      <c r="D1088" s="206"/>
      <c r="E1088" s="206"/>
      <c r="BK1088" s="58"/>
      <c r="BL1088" s="58"/>
      <c r="BM1088" s="58"/>
      <c r="BN1088" s="58"/>
    </row>
    <row r="1089" spans="3:66" x14ac:dyDescent="0.2">
      <c r="C1089" s="206"/>
      <c r="D1089" s="206"/>
      <c r="E1089" s="206"/>
      <c r="BK1089" s="58"/>
      <c r="BL1089" s="58"/>
      <c r="BM1089" s="58"/>
      <c r="BN1089" s="58"/>
    </row>
    <row r="1090" spans="3:66" x14ac:dyDescent="0.2">
      <c r="C1090" s="207"/>
      <c r="D1090" s="206"/>
      <c r="E1090" s="206"/>
      <c r="BK1090" s="58"/>
      <c r="BL1090" s="58"/>
      <c r="BM1090" s="58"/>
      <c r="BN1090" s="58"/>
    </row>
    <row r="1091" spans="3:66" x14ac:dyDescent="0.2">
      <c r="C1091" s="206"/>
      <c r="D1091" s="206"/>
      <c r="E1091" s="206"/>
      <c r="BK1091" s="58"/>
      <c r="BL1091" s="58"/>
      <c r="BM1091" s="58"/>
      <c r="BN1091" s="58"/>
    </row>
    <row r="1092" spans="3:66" x14ac:dyDescent="0.2">
      <c r="C1092" s="206"/>
      <c r="D1092" s="206"/>
      <c r="E1092" s="206"/>
      <c r="BK1092" s="58"/>
      <c r="BL1092" s="58"/>
      <c r="BM1092" s="58"/>
      <c r="BN1092" s="58"/>
    </row>
    <row r="1093" spans="3:66" x14ac:dyDescent="0.2">
      <c r="C1093" s="206"/>
      <c r="D1093" s="206"/>
      <c r="E1093" s="206"/>
      <c r="BK1093" s="58"/>
      <c r="BL1093" s="58"/>
      <c r="BM1093" s="58"/>
      <c r="BN1093" s="58"/>
    </row>
    <row r="1094" spans="3:66" x14ac:dyDescent="0.2">
      <c r="C1094" s="206"/>
      <c r="D1094" s="206"/>
      <c r="E1094" s="206"/>
      <c r="BK1094" s="58"/>
      <c r="BL1094" s="58"/>
      <c r="BM1094" s="58"/>
      <c r="BN1094" s="58"/>
    </row>
    <row r="1095" spans="3:66" x14ac:dyDescent="0.2">
      <c r="C1095" s="206"/>
      <c r="D1095" s="206"/>
      <c r="E1095" s="206"/>
      <c r="BK1095" s="58"/>
      <c r="BL1095" s="58"/>
      <c r="BM1095" s="58"/>
      <c r="BN1095" s="58"/>
    </row>
    <row r="1096" spans="3:66" x14ac:dyDescent="0.2">
      <c r="C1096" s="207"/>
      <c r="D1096" s="206"/>
      <c r="E1096" s="206"/>
      <c r="BK1096" s="58"/>
      <c r="BL1096" s="58"/>
      <c r="BM1096" s="58"/>
      <c r="BN1096" s="58"/>
    </row>
    <row r="1097" spans="3:66" x14ac:dyDescent="0.2">
      <c r="C1097" s="206"/>
      <c r="D1097" s="206"/>
      <c r="E1097" s="206"/>
      <c r="BK1097" s="58"/>
      <c r="BL1097" s="58"/>
      <c r="BM1097" s="58"/>
      <c r="BN1097" s="58"/>
    </row>
    <row r="1098" spans="3:66" x14ac:dyDescent="0.2">
      <c r="C1098" s="207"/>
      <c r="D1098" s="206"/>
      <c r="E1098" s="206"/>
      <c r="BK1098" s="58"/>
      <c r="BL1098" s="58"/>
      <c r="BM1098" s="58"/>
      <c r="BN1098" s="58"/>
    </row>
    <row r="1099" spans="3:66" x14ac:dyDescent="0.2">
      <c r="C1099" s="206"/>
      <c r="D1099" s="206"/>
      <c r="E1099" s="206"/>
      <c r="BK1099" s="58"/>
      <c r="BL1099" s="58"/>
      <c r="BM1099" s="58"/>
      <c r="BN1099" s="58"/>
    </row>
    <row r="1100" spans="3:66" x14ac:dyDescent="0.2">
      <c r="C1100" s="207"/>
      <c r="D1100" s="206"/>
      <c r="E1100" s="206"/>
      <c r="BK1100" s="58"/>
      <c r="BL1100" s="58"/>
      <c r="BM1100" s="58"/>
      <c r="BN1100" s="58"/>
    </row>
    <row r="1101" spans="3:66" x14ac:dyDescent="0.2">
      <c r="C1101" s="207"/>
      <c r="D1101" s="206"/>
      <c r="E1101" s="206"/>
      <c r="BK1101" s="58"/>
      <c r="BL1101" s="58"/>
      <c r="BM1101" s="58"/>
      <c r="BN1101" s="58"/>
    </row>
    <row r="1102" spans="3:66" x14ac:dyDescent="0.2">
      <c r="C1102" s="206"/>
      <c r="D1102" s="206"/>
      <c r="E1102" s="206"/>
      <c r="BK1102" s="58"/>
      <c r="BL1102" s="58"/>
      <c r="BM1102" s="58"/>
      <c r="BN1102" s="58"/>
    </row>
    <row r="1103" spans="3:66" x14ac:dyDescent="0.2">
      <c r="C1103" s="206"/>
      <c r="D1103" s="206"/>
      <c r="E1103" s="206"/>
      <c r="BK1103" s="58"/>
      <c r="BL1103" s="58"/>
      <c r="BM1103" s="58"/>
      <c r="BN1103" s="58"/>
    </row>
    <row r="1104" spans="3:66" x14ac:dyDescent="0.2">
      <c r="C1104" s="207"/>
      <c r="D1104" s="206"/>
      <c r="E1104" s="206"/>
      <c r="BK1104" s="58"/>
      <c r="BL1104" s="58"/>
      <c r="BM1104" s="58"/>
      <c r="BN1104" s="58"/>
    </row>
    <row r="1105" spans="3:66" x14ac:dyDescent="0.2">
      <c r="C1105" s="206"/>
      <c r="D1105" s="206"/>
      <c r="E1105" s="206"/>
      <c r="BK1105" s="58"/>
      <c r="BL1105" s="58"/>
      <c r="BM1105" s="58"/>
      <c r="BN1105" s="58"/>
    </row>
    <row r="1106" spans="3:66" x14ac:dyDescent="0.2">
      <c r="C1106" s="206"/>
      <c r="D1106" s="206"/>
      <c r="E1106" s="206"/>
      <c r="BK1106" s="58"/>
      <c r="BL1106" s="58"/>
      <c r="BM1106" s="58"/>
      <c r="BN1106" s="58"/>
    </row>
    <row r="1107" spans="3:66" x14ac:dyDescent="0.2">
      <c r="C1107" s="207"/>
      <c r="D1107" s="206"/>
      <c r="E1107" s="206"/>
      <c r="BK1107" s="58"/>
      <c r="BL1107" s="58"/>
      <c r="BM1107" s="58"/>
      <c r="BN1107" s="58"/>
    </row>
    <row r="1108" spans="3:66" x14ac:dyDescent="0.2">
      <c r="C1108" s="207"/>
      <c r="D1108" s="206"/>
      <c r="E1108" s="206"/>
      <c r="BK1108" s="58"/>
      <c r="BL1108" s="58"/>
      <c r="BM1108" s="58"/>
      <c r="BN1108" s="58"/>
    </row>
    <row r="1109" spans="3:66" x14ac:dyDescent="0.2">
      <c r="C1109" s="206"/>
      <c r="D1109" s="206"/>
      <c r="E1109" s="206"/>
      <c r="BK1109" s="58"/>
      <c r="BL1109" s="58"/>
      <c r="BM1109" s="58"/>
      <c r="BN1109" s="58"/>
    </row>
    <row r="1110" spans="3:66" x14ac:dyDescent="0.2">
      <c r="C1110" s="206"/>
      <c r="D1110" s="206"/>
      <c r="E1110" s="206"/>
      <c r="BK1110" s="58"/>
      <c r="BL1110" s="58"/>
      <c r="BM1110" s="58"/>
      <c r="BN1110" s="58"/>
    </row>
    <row r="1111" spans="3:66" x14ac:dyDescent="0.2">
      <c r="C1111" s="206"/>
      <c r="D1111" s="206"/>
      <c r="E1111" s="206"/>
      <c r="BK1111" s="58"/>
      <c r="BL1111" s="58"/>
      <c r="BM1111" s="58"/>
      <c r="BN1111" s="58"/>
    </row>
    <row r="1112" spans="3:66" x14ac:dyDescent="0.2">
      <c r="C1112" s="206"/>
      <c r="D1112" s="206"/>
      <c r="E1112" s="206"/>
      <c r="BK1112" s="58"/>
      <c r="BL1112" s="58"/>
      <c r="BM1112" s="58"/>
      <c r="BN1112" s="58"/>
    </row>
    <row r="1113" spans="3:66" x14ac:dyDescent="0.2">
      <c r="C1113" s="207"/>
      <c r="D1113" s="206"/>
      <c r="E1113" s="206"/>
      <c r="BK1113" s="58"/>
      <c r="BL1113" s="58"/>
      <c r="BM1113" s="58"/>
      <c r="BN1113" s="58"/>
    </row>
    <row r="1114" spans="3:66" x14ac:dyDescent="0.2">
      <c r="C1114" s="207"/>
      <c r="D1114" s="206"/>
      <c r="E1114" s="206"/>
      <c r="BK1114" s="58"/>
      <c r="BL1114" s="58"/>
      <c r="BM1114" s="58"/>
      <c r="BN1114" s="58"/>
    </row>
    <row r="1115" spans="3:66" x14ac:dyDescent="0.2">
      <c r="C1115" s="207"/>
      <c r="D1115" s="206"/>
      <c r="E1115" s="206"/>
      <c r="BK1115" s="58"/>
      <c r="BL1115" s="58"/>
      <c r="BM1115" s="58"/>
      <c r="BN1115" s="58"/>
    </row>
    <row r="1116" spans="3:66" x14ac:dyDescent="0.2">
      <c r="C1116" s="207"/>
      <c r="D1116" s="206"/>
      <c r="E1116" s="206"/>
      <c r="BK1116" s="58"/>
      <c r="BL1116" s="58"/>
      <c r="BM1116" s="58"/>
      <c r="BN1116" s="58"/>
    </row>
    <row r="1117" spans="3:66" x14ac:dyDescent="0.2">
      <c r="C1117" s="207"/>
      <c r="D1117" s="206"/>
      <c r="E1117" s="206"/>
      <c r="BK1117" s="58"/>
      <c r="BL1117" s="58"/>
      <c r="BM1117" s="58"/>
      <c r="BN1117" s="58"/>
    </row>
    <row r="1118" spans="3:66" x14ac:dyDescent="0.2">
      <c r="C1118" s="207"/>
      <c r="D1118" s="206"/>
      <c r="E1118" s="206"/>
      <c r="BK1118" s="58"/>
      <c r="BL1118" s="58"/>
      <c r="BM1118" s="58"/>
      <c r="BN1118" s="58"/>
    </row>
    <row r="1119" spans="3:66" x14ac:dyDescent="0.2">
      <c r="C1119" s="206"/>
      <c r="D1119" s="206"/>
      <c r="E1119" s="206"/>
      <c r="BK1119" s="58"/>
      <c r="BL1119" s="58"/>
      <c r="BM1119" s="58"/>
      <c r="BN1119" s="58"/>
    </row>
    <row r="1120" spans="3:66" x14ac:dyDescent="0.2">
      <c r="C1120" s="206"/>
      <c r="D1120" s="206"/>
      <c r="E1120" s="206"/>
      <c r="BK1120" s="58"/>
      <c r="BL1120" s="58"/>
      <c r="BM1120" s="58"/>
      <c r="BN1120" s="58"/>
    </row>
    <row r="1121" spans="3:66" x14ac:dyDescent="0.2">
      <c r="C1121" s="206"/>
      <c r="D1121" s="206"/>
      <c r="E1121" s="206"/>
      <c r="BK1121" s="58"/>
      <c r="BL1121" s="58"/>
      <c r="BM1121" s="58"/>
      <c r="BN1121" s="58"/>
    </row>
    <row r="1122" spans="3:66" x14ac:dyDescent="0.2">
      <c r="C1122" s="206"/>
      <c r="D1122" s="206"/>
      <c r="E1122" s="206"/>
      <c r="BK1122" s="58"/>
      <c r="BL1122" s="58"/>
      <c r="BM1122" s="58"/>
      <c r="BN1122" s="58"/>
    </row>
    <row r="1123" spans="3:66" x14ac:dyDescent="0.2">
      <c r="C1123" s="207"/>
      <c r="D1123" s="206"/>
      <c r="E1123" s="206"/>
      <c r="BK1123" s="58"/>
      <c r="BL1123" s="58"/>
      <c r="BM1123" s="58"/>
      <c r="BN1123" s="58"/>
    </row>
    <row r="1124" spans="3:66" x14ac:dyDescent="0.2">
      <c r="C1124" s="207"/>
      <c r="D1124" s="206"/>
      <c r="E1124" s="206"/>
      <c r="BK1124" s="58"/>
      <c r="BL1124" s="58"/>
      <c r="BM1124" s="58"/>
      <c r="BN1124" s="58"/>
    </row>
    <row r="1125" spans="3:66" x14ac:dyDescent="0.2">
      <c r="C1125" s="206"/>
      <c r="D1125" s="206"/>
      <c r="E1125" s="206"/>
      <c r="BK1125" s="58"/>
      <c r="BL1125" s="58"/>
      <c r="BM1125" s="58"/>
      <c r="BN1125" s="58"/>
    </row>
    <row r="1126" spans="3:66" x14ac:dyDescent="0.2">
      <c r="C1126" s="206"/>
      <c r="D1126" s="206"/>
      <c r="E1126" s="206"/>
      <c r="BK1126" s="58"/>
      <c r="BL1126" s="58"/>
      <c r="BM1126" s="58"/>
      <c r="BN1126" s="58"/>
    </row>
    <row r="1127" spans="3:66" x14ac:dyDescent="0.2">
      <c r="C1127" s="206"/>
      <c r="D1127" s="206"/>
      <c r="E1127" s="206"/>
      <c r="BK1127" s="58"/>
      <c r="BL1127" s="58"/>
      <c r="BM1127" s="58"/>
      <c r="BN1127" s="58"/>
    </row>
    <row r="1128" spans="3:66" x14ac:dyDescent="0.2">
      <c r="C1128" s="206"/>
      <c r="D1128" s="206"/>
      <c r="E1128" s="206"/>
      <c r="BK1128" s="58"/>
      <c r="BL1128" s="58"/>
      <c r="BM1128" s="58"/>
      <c r="BN1128" s="58"/>
    </row>
    <row r="1129" spans="3:66" x14ac:dyDescent="0.2">
      <c r="C1129" s="206"/>
      <c r="D1129" s="206"/>
      <c r="E1129" s="206"/>
      <c r="BK1129" s="58"/>
      <c r="BL1129" s="58"/>
      <c r="BM1129" s="58"/>
      <c r="BN1129" s="58"/>
    </row>
    <row r="1130" spans="3:66" x14ac:dyDescent="0.2">
      <c r="C1130" s="207"/>
      <c r="D1130" s="206"/>
      <c r="E1130" s="206"/>
      <c r="BK1130" s="58"/>
      <c r="BL1130" s="58"/>
      <c r="BM1130" s="58"/>
      <c r="BN1130" s="58"/>
    </row>
    <row r="1131" spans="3:66" x14ac:dyDescent="0.2">
      <c r="C1131" s="206"/>
      <c r="D1131" s="206"/>
      <c r="E1131" s="206"/>
      <c r="BK1131" s="58"/>
      <c r="BL1131" s="58"/>
      <c r="BM1131" s="58"/>
      <c r="BN1131" s="58"/>
    </row>
    <row r="1132" spans="3:66" x14ac:dyDescent="0.2">
      <c r="C1132" s="207"/>
      <c r="D1132" s="206"/>
      <c r="E1132" s="206"/>
      <c r="BK1132" s="58"/>
      <c r="BL1132" s="58"/>
      <c r="BM1132" s="58"/>
      <c r="BN1132" s="58"/>
    </row>
    <row r="1133" spans="3:66" x14ac:dyDescent="0.2">
      <c r="C1133" s="207"/>
      <c r="D1133" s="206"/>
      <c r="E1133" s="206"/>
      <c r="BK1133" s="58"/>
      <c r="BL1133" s="58"/>
      <c r="BM1133" s="58"/>
      <c r="BN1133" s="58"/>
    </row>
    <row r="1134" spans="3:66" x14ac:dyDescent="0.2">
      <c r="C1134" s="207"/>
      <c r="D1134" s="206"/>
      <c r="E1134" s="206"/>
      <c r="BK1134" s="58"/>
      <c r="BL1134" s="58"/>
      <c r="BM1134" s="58"/>
      <c r="BN1134" s="58"/>
    </row>
    <row r="1135" spans="3:66" x14ac:dyDescent="0.2">
      <c r="C1135" s="206"/>
      <c r="D1135" s="206"/>
      <c r="E1135" s="206"/>
      <c r="BK1135" s="58"/>
      <c r="BL1135" s="58"/>
      <c r="BM1135" s="58"/>
      <c r="BN1135" s="58"/>
    </row>
    <row r="1136" spans="3:66" x14ac:dyDescent="0.2">
      <c r="C1136" s="207"/>
      <c r="D1136" s="206"/>
      <c r="E1136" s="206"/>
      <c r="BK1136" s="58"/>
      <c r="BL1136" s="58"/>
      <c r="BM1136" s="58"/>
      <c r="BN1136" s="58"/>
    </row>
    <row r="1137" spans="3:66" x14ac:dyDescent="0.2">
      <c r="C1137" s="206"/>
      <c r="D1137" s="206"/>
      <c r="E1137" s="206"/>
      <c r="BK1137" s="58"/>
      <c r="BL1137" s="58"/>
      <c r="BM1137" s="58"/>
      <c r="BN1137" s="58"/>
    </row>
    <row r="1138" spans="3:66" x14ac:dyDescent="0.2">
      <c r="C1138" s="206"/>
      <c r="D1138" s="206"/>
      <c r="E1138" s="206"/>
      <c r="BK1138" s="58"/>
      <c r="BL1138" s="58"/>
      <c r="BM1138" s="58"/>
      <c r="BN1138" s="58"/>
    </row>
    <row r="1139" spans="3:66" x14ac:dyDescent="0.2">
      <c r="C1139" s="207"/>
      <c r="D1139" s="206"/>
      <c r="E1139" s="206"/>
      <c r="BK1139" s="58"/>
      <c r="BL1139" s="58"/>
      <c r="BM1139" s="58"/>
      <c r="BN1139" s="58"/>
    </row>
    <row r="1140" spans="3:66" x14ac:dyDescent="0.2">
      <c r="C1140" s="206"/>
      <c r="D1140" s="206"/>
      <c r="E1140" s="206"/>
      <c r="BK1140" s="58"/>
      <c r="BL1140" s="58"/>
      <c r="BM1140" s="58"/>
      <c r="BN1140" s="58"/>
    </row>
    <row r="1141" spans="3:66" x14ac:dyDescent="0.2">
      <c r="C1141" s="206"/>
      <c r="D1141" s="206"/>
      <c r="E1141" s="206"/>
      <c r="BK1141" s="58"/>
      <c r="BL1141" s="58"/>
      <c r="BM1141" s="58"/>
      <c r="BN1141" s="58"/>
    </row>
    <row r="1142" spans="3:66" x14ac:dyDescent="0.2">
      <c r="C1142" s="206"/>
      <c r="D1142" s="206"/>
      <c r="E1142" s="206"/>
      <c r="BK1142" s="58"/>
      <c r="BL1142" s="58"/>
      <c r="BM1142" s="58"/>
      <c r="BN1142" s="58"/>
    </row>
    <row r="1143" spans="3:66" x14ac:dyDescent="0.2">
      <c r="C1143" s="206"/>
      <c r="D1143" s="206"/>
      <c r="E1143" s="206"/>
      <c r="BK1143" s="58"/>
      <c r="BL1143" s="58"/>
      <c r="BM1143" s="58"/>
      <c r="BN1143" s="58"/>
    </row>
    <row r="1144" spans="3:66" x14ac:dyDescent="0.2">
      <c r="C1144" s="206"/>
      <c r="D1144" s="206"/>
      <c r="E1144" s="206"/>
      <c r="BK1144" s="58"/>
      <c r="BL1144" s="58"/>
      <c r="BM1144" s="58"/>
      <c r="BN1144" s="58"/>
    </row>
    <row r="1145" spans="3:66" x14ac:dyDescent="0.2">
      <c r="C1145" s="207"/>
      <c r="D1145" s="206"/>
      <c r="E1145" s="206"/>
      <c r="BK1145" s="58"/>
      <c r="BL1145" s="58"/>
      <c r="BM1145" s="58"/>
      <c r="BN1145" s="58"/>
    </row>
    <row r="1146" spans="3:66" x14ac:dyDescent="0.2">
      <c r="C1146" s="207"/>
      <c r="D1146" s="206"/>
      <c r="E1146" s="206"/>
      <c r="BK1146" s="58"/>
      <c r="BL1146" s="58"/>
      <c r="BM1146" s="58"/>
      <c r="BN1146" s="58"/>
    </row>
    <row r="1147" spans="3:66" x14ac:dyDescent="0.2">
      <c r="C1147" s="207"/>
      <c r="D1147" s="206"/>
      <c r="E1147" s="206"/>
      <c r="BK1147" s="58"/>
      <c r="BL1147" s="58"/>
      <c r="BM1147" s="58"/>
      <c r="BN1147" s="58"/>
    </row>
    <row r="1148" spans="3:66" x14ac:dyDescent="0.2">
      <c r="C1148" s="206"/>
      <c r="D1148" s="206"/>
      <c r="E1148" s="206"/>
      <c r="BK1148" s="58"/>
      <c r="BL1148" s="58"/>
      <c r="BM1148" s="58"/>
      <c r="BN1148" s="58"/>
    </row>
    <row r="1149" spans="3:66" x14ac:dyDescent="0.2">
      <c r="C1149" s="207"/>
      <c r="D1149" s="206"/>
      <c r="E1149" s="206"/>
      <c r="BK1149" s="58"/>
      <c r="BL1149" s="58"/>
      <c r="BM1149" s="58"/>
      <c r="BN1149" s="58"/>
    </row>
    <row r="1150" spans="3:66" x14ac:dyDescent="0.2">
      <c r="C1150" s="207"/>
      <c r="D1150" s="206"/>
      <c r="E1150" s="206"/>
      <c r="BK1150" s="58"/>
      <c r="BL1150" s="58"/>
      <c r="BM1150" s="58"/>
      <c r="BN1150" s="58"/>
    </row>
    <row r="1151" spans="3:66" x14ac:dyDescent="0.2">
      <c r="C1151" s="207"/>
      <c r="D1151" s="206"/>
      <c r="E1151" s="206"/>
      <c r="BK1151" s="58"/>
      <c r="BL1151" s="58"/>
      <c r="BM1151" s="58"/>
      <c r="BN1151" s="58"/>
    </row>
    <row r="1152" spans="3:66" x14ac:dyDescent="0.2">
      <c r="C1152" s="206"/>
      <c r="D1152" s="206"/>
      <c r="E1152" s="206"/>
      <c r="BK1152" s="58"/>
      <c r="BL1152" s="58"/>
      <c r="BM1152" s="58"/>
      <c r="BN1152" s="58"/>
    </row>
    <row r="1153" spans="3:66" x14ac:dyDescent="0.2">
      <c r="C1153" s="206"/>
      <c r="D1153" s="206"/>
      <c r="E1153" s="206"/>
      <c r="BK1153" s="58"/>
      <c r="BL1153" s="58"/>
      <c r="BM1153" s="58"/>
      <c r="BN1153" s="58"/>
    </row>
    <row r="1154" spans="3:66" x14ac:dyDescent="0.2">
      <c r="C1154" s="206"/>
      <c r="D1154" s="206"/>
      <c r="E1154" s="206"/>
      <c r="BK1154" s="58"/>
      <c r="BL1154" s="58"/>
      <c r="BM1154" s="58"/>
      <c r="BN1154" s="58"/>
    </row>
    <row r="1155" spans="3:66" x14ac:dyDescent="0.2">
      <c r="C1155" s="207"/>
      <c r="D1155" s="206"/>
      <c r="E1155" s="206"/>
      <c r="BK1155" s="58"/>
      <c r="BL1155" s="58"/>
      <c r="BM1155" s="58"/>
      <c r="BN1155" s="58"/>
    </row>
    <row r="1156" spans="3:66" x14ac:dyDescent="0.2">
      <c r="C1156" s="207"/>
      <c r="D1156" s="206"/>
      <c r="E1156" s="206"/>
      <c r="BK1156" s="58"/>
      <c r="BL1156" s="58"/>
      <c r="BM1156" s="58"/>
      <c r="BN1156" s="58"/>
    </row>
    <row r="1157" spans="3:66" x14ac:dyDescent="0.2">
      <c r="C1157" s="206"/>
      <c r="D1157" s="206"/>
      <c r="E1157" s="206"/>
      <c r="BK1157" s="58"/>
      <c r="BL1157" s="58"/>
      <c r="BM1157" s="58"/>
      <c r="BN1157" s="58"/>
    </row>
    <row r="1158" spans="3:66" x14ac:dyDescent="0.2">
      <c r="C1158" s="206"/>
      <c r="D1158" s="206"/>
      <c r="E1158" s="206"/>
      <c r="BK1158" s="58"/>
      <c r="BL1158" s="58"/>
      <c r="BM1158" s="58"/>
      <c r="BN1158" s="58"/>
    </row>
    <row r="1159" spans="3:66" x14ac:dyDescent="0.2">
      <c r="C1159" s="206"/>
      <c r="D1159" s="206"/>
      <c r="E1159" s="206"/>
      <c r="BK1159" s="58"/>
      <c r="BL1159" s="58"/>
      <c r="BM1159" s="58"/>
      <c r="BN1159" s="58"/>
    </row>
    <row r="1160" spans="3:66" x14ac:dyDescent="0.2">
      <c r="C1160" s="206"/>
      <c r="D1160" s="206"/>
      <c r="E1160" s="206"/>
      <c r="BK1160" s="58"/>
      <c r="BL1160" s="58"/>
      <c r="BM1160" s="58"/>
      <c r="BN1160" s="58"/>
    </row>
    <row r="1161" spans="3:66" x14ac:dyDescent="0.2">
      <c r="C1161" s="207"/>
      <c r="D1161" s="206"/>
      <c r="E1161" s="206"/>
      <c r="BK1161" s="58"/>
      <c r="BL1161" s="58"/>
      <c r="BM1161" s="58"/>
      <c r="BN1161" s="58"/>
    </row>
    <row r="1162" spans="3:66" x14ac:dyDescent="0.2">
      <c r="C1162" s="206"/>
      <c r="D1162" s="206"/>
      <c r="E1162" s="206"/>
      <c r="BK1162" s="58"/>
      <c r="BL1162" s="58"/>
      <c r="BM1162" s="58"/>
      <c r="BN1162" s="58"/>
    </row>
    <row r="1163" spans="3:66" x14ac:dyDescent="0.2">
      <c r="C1163" s="206"/>
      <c r="D1163" s="206"/>
      <c r="E1163" s="206"/>
      <c r="BK1163" s="58"/>
      <c r="BL1163" s="58"/>
      <c r="BM1163" s="58"/>
      <c r="BN1163" s="58"/>
    </row>
    <row r="1164" spans="3:66" x14ac:dyDescent="0.2">
      <c r="C1164" s="206"/>
      <c r="D1164" s="206"/>
      <c r="E1164" s="206"/>
      <c r="BK1164" s="58"/>
      <c r="BL1164" s="58"/>
      <c r="BM1164" s="58"/>
      <c r="BN1164" s="58"/>
    </row>
    <row r="1165" spans="3:66" x14ac:dyDescent="0.2">
      <c r="C1165" s="207"/>
      <c r="D1165" s="206"/>
      <c r="E1165" s="206"/>
      <c r="BK1165" s="58"/>
      <c r="BL1165" s="58"/>
      <c r="BM1165" s="58"/>
      <c r="BN1165" s="58"/>
    </row>
    <row r="1166" spans="3:66" x14ac:dyDescent="0.2">
      <c r="C1166" s="206"/>
      <c r="D1166" s="206"/>
      <c r="E1166" s="206"/>
      <c r="BK1166" s="58"/>
      <c r="BL1166" s="58"/>
      <c r="BM1166" s="58"/>
      <c r="BN1166" s="58"/>
    </row>
    <row r="1167" spans="3:66" x14ac:dyDescent="0.2">
      <c r="C1167" s="206"/>
      <c r="D1167" s="206"/>
      <c r="E1167" s="206"/>
      <c r="BK1167" s="58"/>
      <c r="BL1167" s="58"/>
      <c r="BM1167" s="58"/>
      <c r="BN1167" s="58"/>
    </row>
    <row r="1168" spans="3:66" x14ac:dyDescent="0.2">
      <c r="C1168" s="207"/>
      <c r="D1168" s="206"/>
      <c r="E1168" s="206"/>
      <c r="BK1168" s="58"/>
      <c r="BL1168" s="58"/>
      <c r="BM1168" s="58"/>
      <c r="BN1168" s="58"/>
    </row>
    <row r="1169" spans="3:66" x14ac:dyDescent="0.2">
      <c r="C1169" s="206"/>
      <c r="D1169" s="206"/>
      <c r="E1169" s="206"/>
      <c r="BK1169" s="58"/>
      <c r="BL1169" s="58"/>
      <c r="BM1169" s="58"/>
      <c r="BN1169" s="58"/>
    </row>
    <row r="1170" spans="3:66" x14ac:dyDescent="0.2">
      <c r="C1170" s="206"/>
      <c r="D1170" s="206"/>
      <c r="E1170" s="206"/>
      <c r="BK1170" s="58"/>
      <c r="BL1170" s="58"/>
      <c r="BM1170" s="58"/>
      <c r="BN1170" s="58"/>
    </row>
    <row r="1171" spans="3:66" x14ac:dyDescent="0.2">
      <c r="C1171" s="206"/>
      <c r="D1171" s="206"/>
      <c r="E1171" s="206"/>
      <c r="BK1171" s="58"/>
      <c r="BL1171" s="58"/>
      <c r="BM1171" s="58"/>
      <c r="BN1171" s="58"/>
    </row>
    <row r="1172" spans="3:66" x14ac:dyDescent="0.2">
      <c r="C1172" s="206"/>
      <c r="D1172" s="206"/>
      <c r="E1172" s="206"/>
      <c r="BK1172" s="58"/>
      <c r="BL1172" s="58"/>
      <c r="BM1172" s="58"/>
      <c r="BN1172" s="58"/>
    </row>
    <row r="1173" spans="3:66" x14ac:dyDescent="0.2">
      <c r="C1173" s="207"/>
      <c r="D1173" s="206"/>
      <c r="E1173" s="206"/>
      <c r="BK1173" s="58"/>
      <c r="BL1173" s="58"/>
      <c r="BM1173" s="58"/>
      <c r="BN1173" s="58"/>
    </row>
    <row r="1174" spans="3:66" x14ac:dyDescent="0.2">
      <c r="C1174" s="206"/>
      <c r="D1174" s="206"/>
      <c r="E1174" s="206"/>
      <c r="BK1174" s="58"/>
      <c r="BL1174" s="58"/>
      <c r="BM1174" s="58"/>
      <c r="BN1174" s="58"/>
    </row>
    <row r="1175" spans="3:66" x14ac:dyDescent="0.2">
      <c r="C1175" s="207"/>
      <c r="D1175" s="206"/>
      <c r="E1175" s="206"/>
      <c r="BK1175" s="58"/>
      <c r="BL1175" s="58"/>
      <c r="BM1175" s="58"/>
      <c r="BN1175" s="58"/>
    </row>
    <row r="1176" spans="3:66" x14ac:dyDescent="0.2">
      <c r="C1176" s="206"/>
      <c r="D1176" s="206"/>
      <c r="E1176" s="206"/>
      <c r="BK1176" s="58"/>
      <c r="BL1176" s="58"/>
      <c r="BM1176" s="58"/>
      <c r="BN1176" s="58"/>
    </row>
    <row r="1177" spans="3:66" x14ac:dyDescent="0.2">
      <c r="C1177" s="206"/>
      <c r="D1177" s="206"/>
      <c r="E1177" s="206"/>
      <c r="BK1177" s="58"/>
      <c r="BL1177" s="58"/>
      <c r="BM1177" s="58"/>
      <c r="BN1177" s="58"/>
    </row>
    <row r="1178" spans="3:66" x14ac:dyDescent="0.2">
      <c r="C1178" s="206"/>
      <c r="D1178" s="206"/>
      <c r="E1178" s="206"/>
      <c r="BK1178" s="58"/>
      <c r="BL1178" s="58"/>
      <c r="BM1178" s="58"/>
      <c r="BN1178" s="58"/>
    </row>
    <row r="1179" spans="3:66" x14ac:dyDescent="0.2">
      <c r="C1179" s="206"/>
      <c r="D1179" s="206"/>
      <c r="E1179" s="206"/>
      <c r="BK1179" s="58"/>
      <c r="BL1179" s="58"/>
      <c r="BM1179" s="58"/>
      <c r="BN1179" s="58"/>
    </row>
    <row r="1180" spans="3:66" x14ac:dyDescent="0.2">
      <c r="C1180" s="207"/>
      <c r="D1180" s="206"/>
      <c r="E1180" s="206"/>
      <c r="BK1180" s="58"/>
      <c r="BL1180" s="58"/>
      <c r="BM1180" s="58"/>
      <c r="BN1180" s="58"/>
    </row>
    <row r="1181" spans="3:66" x14ac:dyDescent="0.2">
      <c r="C1181" s="207"/>
      <c r="D1181" s="206"/>
      <c r="E1181" s="206"/>
      <c r="BK1181" s="58"/>
      <c r="BL1181" s="58"/>
      <c r="BM1181" s="58"/>
      <c r="BN1181" s="58"/>
    </row>
    <row r="1182" spans="3:66" x14ac:dyDescent="0.2">
      <c r="C1182" s="206"/>
      <c r="D1182" s="206"/>
      <c r="E1182" s="206"/>
      <c r="BK1182" s="58"/>
      <c r="BL1182" s="58"/>
      <c r="BM1182" s="58"/>
      <c r="BN1182" s="58"/>
    </row>
    <row r="1183" spans="3:66" x14ac:dyDescent="0.2">
      <c r="C1183" s="207"/>
      <c r="D1183" s="206"/>
      <c r="E1183" s="206"/>
      <c r="BK1183" s="58"/>
      <c r="BL1183" s="58"/>
      <c r="BM1183" s="58"/>
      <c r="BN1183" s="58"/>
    </row>
    <row r="1184" spans="3:66" x14ac:dyDescent="0.2">
      <c r="C1184" s="206"/>
      <c r="D1184" s="206"/>
      <c r="E1184" s="206"/>
      <c r="BK1184" s="58"/>
      <c r="BL1184" s="58"/>
      <c r="BM1184" s="58"/>
      <c r="BN1184" s="58"/>
    </row>
    <row r="1185" spans="3:66" x14ac:dyDescent="0.2">
      <c r="C1185" s="206"/>
      <c r="D1185" s="206"/>
      <c r="E1185" s="206"/>
      <c r="BK1185" s="58"/>
      <c r="BL1185" s="58"/>
      <c r="BM1185" s="58"/>
      <c r="BN1185" s="58"/>
    </row>
    <row r="1186" spans="3:66" x14ac:dyDescent="0.2">
      <c r="C1186" s="206"/>
      <c r="D1186" s="206"/>
      <c r="E1186" s="206"/>
      <c r="BK1186" s="58"/>
      <c r="BL1186" s="58"/>
      <c r="BM1186" s="58"/>
      <c r="BN1186" s="58"/>
    </row>
    <row r="1187" spans="3:66" x14ac:dyDescent="0.2">
      <c r="C1187" s="206"/>
      <c r="D1187" s="206"/>
      <c r="E1187" s="206"/>
      <c r="BK1187" s="58"/>
      <c r="BL1187" s="58"/>
      <c r="BM1187" s="58"/>
      <c r="BN1187" s="58"/>
    </row>
    <row r="1188" spans="3:66" x14ac:dyDescent="0.2">
      <c r="C1188" s="206"/>
      <c r="D1188" s="206"/>
      <c r="E1188" s="206"/>
      <c r="BK1188" s="58"/>
      <c r="BL1188" s="58"/>
      <c r="BM1188" s="58"/>
      <c r="BN1188" s="58"/>
    </row>
    <row r="1189" spans="3:66" x14ac:dyDescent="0.2">
      <c r="C1189" s="207"/>
      <c r="D1189" s="206"/>
      <c r="E1189" s="206"/>
      <c r="BK1189" s="58"/>
      <c r="BL1189" s="58"/>
      <c r="BM1189" s="58"/>
      <c r="BN1189" s="58"/>
    </row>
    <row r="1190" spans="3:66" x14ac:dyDescent="0.2">
      <c r="C1190" s="207"/>
      <c r="D1190" s="206"/>
      <c r="E1190" s="206"/>
      <c r="BK1190" s="58"/>
      <c r="BL1190" s="58"/>
      <c r="BM1190" s="58"/>
      <c r="BN1190" s="58"/>
    </row>
    <row r="1191" spans="3:66" x14ac:dyDescent="0.2">
      <c r="C1191" s="206"/>
      <c r="D1191" s="206"/>
      <c r="E1191" s="206"/>
      <c r="BK1191" s="58"/>
      <c r="BL1191" s="58"/>
      <c r="BM1191" s="58"/>
      <c r="BN1191" s="58"/>
    </row>
    <row r="1192" spans="3:66" x14ac:dyDescent="0.2">
      <c r="C1192" s="207"/>
      <c r="D1192" s="206"/>
      <c r="E1192" s="206"/>
      <c r="BK1192" s="58"/>
      <c r="BL1192" s="58"/>
      <c r="BM1192" s="58"/>
      <c r="BN1192" s="58"/>
    </row>
    <row r="1193" spans="3:66" x14ac:dyDescent="0.2">
      <c r="C1193" s="206"/>
      <c r="D1193" s="206"/>
      <c r="E1193" s="206"/>
      <c r="BK1193" s="58"/>
      <c r="BL1193" s="58"/>
      <c r="BM1193" s="58"/>
      <c r="BN1193" s="58"/>
    </row>
    <row r="1194" spans="3:66" x14ac:dyDescent="0.2">
      <c r="C1194" s="206"/>
      <c r="D1194" s="206"/>
      <c r="E1194" s="206"/>
      <c r="BK1194" s="58"/>
      <c r="BL1194" s="58"/>
      <c r="BM1194" s="58"/>
      <c r="BN1194" s="58"/>
    </row>
    <row r="1195" spans="3:66" x14ac:dyDescent="0.2">
      <c r="C1195" s="207"/>
      <c r="D1195" s="206"/>
      <c r="E1195" s="206"/>
      <c r="BK1195" s="58"/>
      <c r="BL1195" s="58"/>
      <c r="BM1195" s="58"/>
      <c r="BN1195" s="58"/>
    </row>
    <row r="1196" spans="3:66" x14ac:dyDescent="0.2">
      <c r="C1196" s="207"/>
      <c r="D1196" s="206"/>
      <c r="E1196" s="206"/>
      <c r="BK1196" s="58"/>
      <c r="BL1196" s="58"/>
      <c r="BM1196" s="58"/>
      <c r="BN1196" s="58"/>
    </row>
    <row r="1197" spans="3:66" x14ac:dyDescent="0.2">
      <c r="C1197" s="207"/>
      <c r="D1197" s="206"/>
      <c r="E1197" s="206"/>
      <c r="BK1197" s="58"/>
      <c r="BL1197" s="58"/>
      <c r="BM1197" s="58"/>
      <c r="BN1197" s="58"/>
    </row>
    <row r="1198" spans="3:66" x14ac:dyDescent="0.2">
      <c r="C1198" s="207"/>
      <c r="D1198" s="206"/>
      <c r="E1198" s="206"/>
      <c r="BK1198" s="58"/>
      <c r="BL1198" s="58"/>
      <c r="BM1198" s="58"/>
      <c r="BN1198" s="58"/>
    </row>
    <row r="1199" spans="3:66" x14ac:dyDescent="0.2">
      <c r="C1199" s="207"/>
      <c r="D1199" s="206"/>
      <c r="E1199" s="206"/>
      <c r="BK1199" s="58"/>
      <c r="BL1199" s="58"/>
      <c r="BM1199" s="58"/>
      <c r="BN1199" s="58"/>
    </row>
    <row r="1200" spans="3:66" x14ac:dyDescent="0.2">
      <c r="C1200" s="207"/>
      <c r="D1200" s="206"/>
      <c r="E1200" s="206"/>
      <c r="BK1200" s="58"/>
      <c r="BL1200" s="58"/>
      <c r="BM1200" s="58"/>
      <c r="BN1200" s="58"/>
    </row>
    <row r="1201" spans="3:66" x14ac:dyDescent="0.2">
      <c r="C1201" s="206"/>
      <c r="D1201" s="206"/>
      <c r="E1201" s="206"/>
      <c r="BK1201" s="58"/>
      <c r="BL1201" s="58"/>
      <c r="BM1201" s="58"/>
      <c r="BN1201" s="58"/>
    </row>
    <row r="1202" spans="3:66" x14ac:dyDescent="0.2">
      <c r="C1202" s="206"/>
      <c r="D1202" s="206"/>
      <c r="E1202" s="206"/>
      <c r="BK1202" s="58"/>
      <c r="BL1202" s="58"/>
      <c r="BM1202" s="58"/>
      <c r="BN1202" s="58"/>
    </row>
    <row r="1203" spans="3:66" x14ac:dyDescent="0.2">
      <c r="C1203" s="206"/>
      <c r="D1203" s="206"/>
      <c r="E1203" s="206"/>
      <c r="BK1203" s="58"/>
      <c r="BL1203" s="58"/>
      <c r="BM1203" s="58"/>
      <c r="BN1203" s="58"/>
    </row>
    <row r="1204" spans="3:66" x14ac:dyDescent="0.2">
      <c r="C1204" s="207"/>
      <c r="D1204" s="206"/>
      <c r="E1204" s="206"/>
      <c r="BK1204" s="58"/>
      <c r="BL1204" s="58"/>
      <c r="BM1204" s="58"/>
      <c r="BN1204" s="58"/>
    </row>
    <row r="1205" spans="3:66" x14ac:dyDescent="0.2">
      <c r="C1205" s="206"/>
      <c r="D1205" s="206"/>
      <c r="E1205" s="206"/>
      <c r="BK1205" s="58"/>
      <c r="BL1205" s="58"/>
      <c r="BM1205" s="58"/>
      <c r="BN1205" s="58"/>
    </row>
    <row r="1206" spans="3:66" x14ac:dyDescent="0.2">
      <c r="C1206" s="206"/>
      <c r="D1206" s="206"/>
      <c r="E1206" s="206"/>
      <c r="BK1206" s="58"/>
      <c r="BL1206" s="58"/>
      <c r="BM1206" s="58"/>
      <c r="BN1206" s="58"/>
    </row>
    <row r="1207" spans="3:66" x14ac:dyDescent="0.2">
      <c r="C1207" s="207"/>
      <c r="D1207" s="206"/>
      <c r="E1207" s="206"/>
      <c r="BK1207" s="58"/>
      <c r="BL1207" s="58"/>
      <c r="BM1207" s="58"/>
      <c r="BN1207" s="58"/>
    </row>
    <row r="1208" spans="3:66" x14ac:dyDescent="0.2">
      <c r="C1208" s="206"/>
      <c r="D1208" s="206"/>
      <c r="E1208" s="206"/>
      <c r="BK1208" s="58"/>
      <c r="BL1208" s="58"/>
      <c r="BM1208" s="58"/>
      <c r="BN1208" s="58"/>
    </row>
    <row r="1209" spans="3:66" x14ac:dyDescent="0.2">
      <c r="C1209" s="206"/>
      <c r="D1209" s="206"/>
      <c r="E1209" s="206"/>
      <c r="BK1209" s="58"/>
      <c r="BL1209" s="58"/>
      <c r="BM1209" s="58"/>
      <c r="BN1209" s="58"/>
    </row>
    <row r="1210" spans="3:66" x14ac:dyDescent="0.2">
      <c r="C1210" s="207"/>
      <c r="D1210" s="206"/>
      <c r="E1210" s="206"/>
      <c r="BK1210" s="58"/>
      <c r="BL1210" s="58"/>
      <c r="BM1210" s="58"/>
      <c r="BN1210" s="58"/>
    </row>
    <row r="1211" spans="3:66" x14ac:dyDescent="0.2">
      <c r="C1211" s="206"/>
      <c r="D1211" s="206"/>
      <c r="E1211" s="206"/>
      <c r="BK1211" s="58"/>
      <c r="BL1211" s="58"/>
      <c r="BM1211" s="58"/>
      <c r="BN1211" s="58"/>
    </row>
    <row r="1212" spans="3:66" x14ac:dyDescent="0.2">
      <c r="C1212" s="206"/>
      <c r="D1212" s="206"/>
      <c r="E1212" s="206"/>
      <c r="BK1212" s="58"/>
      <c r="BL1212" s="58"/>
      <c r="BM1212" s="58"/>
      <c r="BN1212" s="58"/>
    </row>
    <row r="1213" spans="3:66" x14ac:dyDescent="0.2">
      <c r="C1213" s="207"/>
      <c r="D1213" s="206"/>
      <c r="E1213" s="206"/>
      <c r="BK1213" s="58"/>
      <c r="BL1213" s="58"/>
      <c r="BM1213" s="58"/>
      <c r="BN1213" s="58"/>
    </row>
    <row r="1214" spans="3:66" x14ac:dyDescent="0.2">
      <c r="C1214" s="206"/>
      <c r="D1214" s="206"/>
      <c r="E1214" s="206"/>
      <c r="BK1214" s="58"/>
      <c r="BL1214" s="58"/>
      <c r="BM1214" s="58"/>
      <c r="BN1214" s="58"/>
    </row>
    <row r="1215" spans="3:66" x14ac:dyDescent="0.2">
      <c r="C1215" s="206"/>
      <c r="D1215" s="206"/>
      <c r="E1215" s="206"/>
      <c r="BK1215" s="58"/>
      <c r="BL1215" s="58"/>
      <c r="BM1215" s="58"/>
      <c r="BN1215" s="58"/>
    </row>
    <row r="1216" spans="3:66" x14ac:dyDescent="0.2">
      <c r="C1216" s="206"/>
      <c r="D1216" s="206"/>
      <c r="E1216" s="206"/>
      <c r="BK1216" s="58"/>
      <c r="BL1216" s="58"/>
      <c r="BM1216" s="58"/>
      <c r="BN1216" s="58"/>
    </row>
    <row r="1217" spans="3:66" x14ac:dyDescent="0.2">
      <c r="C1217" s="207"/>
      <c r="D1217" s="206"/>
      <c r="E1217" s="206"/>
      <c r="BK1217" s="58"/>
      <c r="BL1217" s="58"/>
      <c r="BM1217" s="58"/>
      <c r="BN1217" s="58"/>
    </row>
    <row r="1218" spans="3:66" x14ac:dyDescent="0.2">
      <c r="C1218" s="207"/>
      <c r="D1218" s="206"/>
      <c r="E1218" s="206"/>
      <c r="BK1218" s="58"/>
      <c r="BL1218" s="58"/>
      <c r="BM1218" s="58"/>
      <c r="BN1218" s="58"/>
    </row>
    <row r="1219" spans="3:66" x14ac:dyDescent="0.2">
      <c r="C1219" s="207"/>
      <c r="D1219" s="206"/>
      <c r="E1219" s="206"/>
      <c r="BK1219" s="58"/>
      <c r="BL1219" s="58"/>
      <c r="BM1219" s="58"/>
      <c r="BN1219" s="58"/>
    </row>
    <row r="1220" spans="3:66" x14ac:dyDescent="0.2">
      <c r="C1220" s="206"/>
      <c r="D1220" s="206"/>
      <c r="E1220" s="206"/>
      <c r="BK1220" s="58"/>
      <c r="BL1220" s="58"/>
      <c r="BM1220" s="58"/>
      <c r="BN1220" s="58"/>
    </row>
    <row r="1221" spans="3:66" x14ac:dyDescent="0.2">
      <c r="C1221" s="206"/>
      <c r="D1221" s="206"/>
      <c r="E1221" s="206"/>
      <c r="BK1221" s="58"/>
      <c r="BL1221" s="58"/>
      <c r="BM1221" s="58"/>
      <c r="BN1221" s="58"/>
    </row>
    <row r="1222" spans="3:66" x14ac:dyDescent="0.2">
      <c r="C1222" s="206"/>
      <c r="D1222" s="206"/>
      <c r="E1222" s="206"/>
      <c r="BK1222" s="58"/>
      <c r="BL1222" s="58"/>
      <c r="BM1222" s="58"/>
      <c r="BN1222" s="58"/>
    </row>
    <row r="1223" spans="3:66" x14ac:dyDescent="0.2">
      <c r="C1223" s="206"/>
      <c r="D1223" s="206"/>
      <c r="E1223" s="206"/>
      <c r="BK1223" s="58"/>
      <c r="BL1223" s="58"/>
      <c r="BM1223" s="58"/>
      <c r="BN1223" s="58"/>
    </row>
    <row r="1224" spans="3:66" x14ac:dyDescent="0.2">
      <c r="C1224" s="207"/>
      <c r="D1224" s="206"/>
      <c r="E1224" s="206"/>
      <c r="BK1224" s="58"/>
      <c r="BL1224" s="58"/>
      <c r="BM1224" s="58"/>
      <c r="BN1224" s="58"/>
    </row>
    <row r="1225" spans="3:66" x14ac:dyDescent="0.2">
      <c r="C1225" s="207"/>
      <c r="D1225" s="206"/>
      <c r="E1225" s="206"/>
      <c r="BK1225" s="58"/>
      <c r="BL1225" s="58"/>
      <c r="BM1225" s="58"/>
      <c r="BN1225" s="58"/>
    </row>
    <row r="1226" spans="3:66" x14ac:dyDescent="0.2">
      <c r="C1226" s="207"/>
      <c r="D1226" s="206"/>
      <c r="E1226" s="206"/>
      <c r="BK1226" s="58"/>
      <c r="BL1226" s="58"/>
      <c r="BM1226" s="58"/>
      <c r="BN1226" s="58"/>
    </row>
    <row r="1227" spans="3:66" x14ac:dyDescent="0.2">
      <c r="C1227" s="207"/>
      <c r="D1227" s="206"/>
      <c r="E1227" s="206"/>
      <c r="BK1227" s="58"/>
      <c r="BL1227" s="58"/>
      <c r="BM1227" s="58"/>
      <c r="BN1227" s="58"/>
    </row>
    <row r="1228" spans="3:66" x14ac:dyDescent="0.2">
      <c r="C1228" s="206"/>
      <c r="D1228" s="206"/>
      <c r="E1228" s="206"/>
      <c r="BK1228" s="58"/>
      <c r="BL1228" s="58"/>
      <c r="BM1228" s="58"/>
      <c r="BN1228" s="58"/>
    </row>
    <row r="1229" spans="3:66" x14ac:dyDescent="0.2">
      <c r="C1229" s="207"/>
      <c r="D1229" s="206"/>
      <c r="E1229" s="206"/>
      <c r="BK1229" s="58"/>
      <c r="BL1229" s="58"/>
      <c r="BM1229" s="58"/>
      <c r="BN1229" s="58"/>
    </row>
    <row r="1230" spans="3:66" x14ac:dyDescent="0.2">
      <c r="C1230" s="207"/>
      <c r="D1230" s="206"/>
      <c r="E1230" s="206"/>
      <c r="BK1230" s="58"/>
      <c r="BL1230" s="58"/>
      <c r="BM1230" s="58"/>
      <c r="BN1230" s="58"/>
    </row>
    <row r="1231" spans="3:66" x14ac:dyDescent="0.2">
      <c r="C1231" s="206"/>
      <c r="D1231" s="206"/>
      <c r="E1231" s="206"/>
      <c r="BK1231" s="58"/>
      <c r="BL1231" s="58"/>
      <c r="BM1231" s="58"/>
      <c r="BN1231" s="58"/>
    </row>
    <row r="1232" spans="3:66" x14ac:dyDescent="0.2">
      <c r="C1232" s="207"/>
      <c r="D1232" s="206"/>
      <c r="E1232" s="206"/>
      <c r="BK1232" s="58"/>
      <c r="BL1232" s="58"/>
      <c r="BM1232" s="58"/>
      <c r="BN1232" s="58"/>
    </row>
    <row r="1233" spans="3:66" x14ac:dyDescent="0.2">
      <c r="C1233" s="206"/>
      <c r="D1233" s="206"/>
      <c r="E1233" s="206"/>
      <c r="BK1233" s="58"/>
      <c r="BL1233" s="58"/>
      <c r="BM1233" s="58"/>
      <c r="BN1233" s="58"/>
    </row>
    <row r="1234" spans="3:66" x14ac:dyDescent="0.2">
      <c r="C1234" s="206"/>
      <c r="D1234" s="206"/>
      <c r="E1234" s="206"/>
      <c r="BK1234" s="58"/>
      <c r="BL1234" s="58"/>
      <c r="BM1234" s="58"/>
      <c r="BN1234" s="58"/>
    </row>
    <row r="1235" spans="3:66" x14ac:dyDescent="0.2">
      <c r="C1235" s="206"/>
      <c r="D1235" s="206"/>
      <c r="E1235" s="206"/>
      <c r="BK1235" s="58"/>
      <c r="BL1235" s="58"/>
      <c r="BM1235" s="58"/>
      <c r="BN1235" s="58"/>
    </row>
    <row r="1236" spans="3:66" x14ac:dyDescent="0.2">
      <c r="C1236" s="206"/>
      <c r="D1236" s="206"/>
      <c r="E1236" s="206"/>
      <c r="BK1236" s="58"/>
      <c r="BL1236" s="58"/>
      <c r="BM1236" s="58"/>
      <c r="BN1236" s="58"/>
    </row>
    <row r="1237" spans="3:66" x14ac:dyDescent="0.2">
      <c r="C1237" s="206"/>
      <c r="D1237" s="206"/>
      <c r="E1237" s="206"/>
      <c r="BK1237" s="58"/>
      <c r="BL1237" s="58"/>
      <c r="BM1237" s="58"/>
      <c r="BN1237" s="58"/>
    </row>
    <row r="1238" spans="3:66" x14ac:dyDescent="0.2">
      <c r="C1238" s="206"/>
      <c r="D1238" s="206"/>
      <c r="E1238" s="206"/>
      <c r="BK1238" s="58"/>
      <c r="BL1238" s="58"/>
      <c r="BM1238" s="58"/>
      <c r="BN1238" s="58"/>
    </row>
    <row r="1239" spans="3:66" x14ac:dyDescent="0.2">
      <c r="C1239" s="206"/>
      <c r="D1239" s="206"/>
      <c r="E1239" s="206"/>
      <c r="BK1239" s="58"/>
      <c r="BL1239" s="58"/>
      <c r="BM1239" s="58"/>
      <c r="BN1239" s="58"/>
    </row>
    <row r="1240" spans="3:66" x14ac:dyDescent="0.2">
      <c r="C1240" s="207"/>
      <c r="D1240" s="206"/>
      <c r="E1240" s="206"/>
      <c r="BK1240" s="58"/>
      <c r="BL1240" s="58"/>
      <c r="BM1240" s="58"/>
      <c r="BN1240" s="58"/>
    </row>
    <row r="1241" spans="3:66" x14ac:dyDescent="0.2">
      <c r="C1241" s="206"/>
      <c r="D1241" s="206"/>
      <c r="E1241" s="206"/>
      <c r="BK1241" s="58"/>
      <c r="BL1241" s="58"/>
      <c r="BM1241" s="58"/>
      <c r="BN1241" s="58"/>
    </row>
    <row r="1242" spans="3:66" x14ac:dyDescent="0.2">
      <c r="C1242" s="207"/>
      <c r="D1242" s="206"/>
      <c r="E1242" s="206"/>
      <c r="BK1242" s="58"/>
      <c r="BL1242" s="58"/>
      <c r="BM1242" s="58"/>
      <c r="BN1242" s="58"/>
    </row>
    <row r="1243" spans="3:66" x14ac:dyDescent="0.2">
      <c r="C1243" s="207"/>
      <c r="D1243" s="206"/>
      <c r="E1243" s="206"/>
      <c r="BK1243" s="58"/>
      <c r="BL1243" s="58"/>
      <c r="BM1243" s="58"/>
      <c r="BN1243" s="58"/>
    </row>
    <row r="1244" spans="3:66" x14ac:dyDescent="0.2">
      <c r="C1244" s="206"/>
      <c r="D1244" s="206"/>
      <c r="E1244" s="206"/>
      <c r="BK1244" s="58"/>
      <c r="BL1244" s="58"/>
      <c r="BM1244" s="58"/>
      <c r="BN1244" s="58"/>
    </row>
    <row r="1245" spans="3:66" x14ac:dyDescent="0.2">
      <c r="C1245" s="206"/>
      <c r="D1245" s="206"/>
      <c r="E1245" s="206"/>
      <c r="BK1245" s="58"/>
      <c r="BL1245" s="58"/>
      <c r="BM1245" s="58"/>
      <c r="BN1245" s="58"/>
    </row>
    <row r="1246" spans="3:66" x14ac:dyDescent="0.2">
      <c r="C1246" s="206"/>
      <c r="D1246" s="206"/>
      <c r="E1246" s="206"/>
      <c r="BK1246" s="58"/>
      <c r="BL1246" s="58"/>
      <c r="BM1246" s="58"/>
      <c r="BN1246" s="58"/>
    </row>
    <row r="1247" spans="3:66" x14ac:dyDescent="0.2">
      <c r="C1247" s="207"/>
      <c r="D1247" s="206"/>
      <c r="E1247" s="206"/>
      <c r="BK1247" s="58"/>
      <c r="BL1247" s="58"/>
      <c r="BM1247" s="58"/>
      <c r="BN1247" s="58"/>
    </row>
    <row r="1248" spans="3:66" x14ac:dyDescent="0.2">
      <c r="C1248" s="207"/>
      <c r="D1248" s="206"/>
      <c r="E1248" s="206"/>
      <c r="BK1248" s="58"/>
      <c r="BL1248" s="58"/>
      <c r="BM1248" s="58"/>
      <c r="BN1248" s="58"/>
    </row>
    <row r="1249" spans="3:66" x14ac:dyDescent="0.2">
      <c r="C1249" s="207"/>
      <c r="D1249" s="206"/>
      <c r="E1249" s="206"/>
      <c r="BK1249" s="58"/>
      <c r="BL1249" s="58"/>
      <c r="BM1249" s="58"/>
      <c r="BN1249" s="58"/>
    </row>
    <row r="1250" spans="3:66" x14ac:dyDescent="0.2">
      <c r="C1250" s="206"/>
      <c r="D1250" s="206"/>
      <c r="E1250" s="206"/>
      <c r="BK1250" s="58"/>
      <c r="BL1250" s="58"/>
      <c r="BM1250" s="58"/>
      <c r="BN1250" s="58"/>
    </row>
    <row r="1251" spans="3:66" x14ac:dyDescent="0.2">
      <c r="C1251" s="206"/>
      <c r="D1251" s="206"/>
      <c r="E1251" s="206"/>
      <c r="BK1251" s="58"/>
      <c r="BL1251" s="58"/>
      <c r="BM1251" s="58"/>
      <c r="BN1251" s="58"/>
    </row>
    <row r="1252" spans="3:66" x14ac:dyDescent="0.2">
      <c r="C1252" s="207"/>
      <c r="D1252" s="206"/>
      <c r="E1252" s="206"/>
      <c r="BK1252" s="58"/>
      <c r="BL1252" s="58"/>
      <c r="BM1252" s="58"/>
      <c r="BN1252" s="58"/>
    </row>
    <row r="1253" spans="3:66" x14ac:dyDescent="0.2">
      <c r="C1253" s="206"/>
      <c r="D1253" s="206"/>
      <c r="E1253" s="206"/>
      <c r="BK1253" s="58"/>
      <c r="BL1253" s="58"/>
      <c r="BM1253" s="58"/>
      <c r="BN1253" s="58"/>
    </row>
    <row r="1254" spans="3:66" x14ac:dyDescent="0.2">
      <c r="C1254" s="206"/>
      <c r="D1254" s="206"/>
      <c r="E1254" s="206"/>
      <c r="BK1254" s="58"/>
      <c r="BL1254" s="58"/>
      <c r="BM1254" s="58"/>
      <c r="BN1254" s="58"/>
    </row>
    <row r="1255" spans="3:66" x14ac:dyDescent="0.2">
      <c r="C1255" s="206"/>
      <c r="D1255" s="206"/>
      <c r="E1255" s="206"/>
      <c r="BK1255" s="58"/>
      <c r="BL1255" s="58"/>
      <c r="BM1255" s="58"/>
      <c r="BN1255" s="58"/>
    </row>
    <row r="1256" spans="3:66" x14ac:dyDescent="0.2">
      <c r="C1256" s="206"/>
      <c r="D1256" s="206"/>
      <c r="E1256" s="206"/>
      <c r="BK1256" s="58"/>
      <c r="BL1256" s="58"/>
      <c r="BM1256" s="58"/>
      <c r="BN1256" s="58"/>
    </row>
    <row r="1257" spans="3:66" x14ac:dyDescent="0.2">
      <c r="C1257" s="206"/>
      <c r="D1257" s="206"/>
      <c r="E1257" s="206"/>
      <c r="BK1257" s="58"/>
      <c r="BL1257" s="58"/>
      <c r="BM1257" s="58"/>
      <c r="BN1257" s="58"/>
    </row>
    <row r="1258" spans="3:66" x14ac:dyDescent="0.2">
      <c r="C1258" s="206"/>
      <c r="D1258" s="206"/>
      <c r="E1258" s="206"/>
      <c r="BK1258" s="58"/>
      <c r="BL1258" s="58"/>
      <c r="BM1258" s="58"/>
      <c r="BN1258" s="58"/>
    </row>
    <row r="1259" spans="3:66" x14ac:dyDescent="0.2">
      <c r="C1259" s="206"/>
      <c r="D1259" s="206"/>
      <c r="E1259" s="206"/>
      <c r="BK1259" s="58"/>
      <c r="BL1259" s="58"/>
      <c r="BM1259" s="58"/>
      <c r="BN1259" s="58"/>
    </row>
    <row r="1260" spans="3:66" x14ac:dyDescent="0.2">
      <c r="C1260" s="206"/>
      <c r="D1260" s="206"/>
      <c r="E1260" s="206"/>
      <c r="BK1260" s="58"/>
      <c r="BL1260" s="58"/>
      <c r="BM1260" s="58"/>
      <c r="BN1260" s="58"/>
    </row>
    <row r="1261" spans="3:66" x14ac:dyDescent="0.2">
      <c r="C1261" s="206"/>
      <c r="D1261" s="206"/>
      <c r="E1261" s="206"/>
      <c r="BK1261" s="58"/>
      <c r="BL1261" s="58"/>
      <c r="BM1261" s="58"/>
      <c r="BN1261" s="58"/>
    </row>
    <row r="1262" spans="3:66" x14ac:dyDescent="0.2">
      <c r="C1262" s="206"/>
      <c r="D1262" s="206"/>
      <c r="E1262" s="206"/>
      <c r="BK1262" s="58"/>
      <c r="BL1262" s="58"/>
      <c r="BM1262" s="58"/>
      <c r="BN1262" s="58"/>
    </row>
    <row r="1263" spans="3:66" x14ac:dyDescent="0.2">
      <c r="C1263" s="206"/>
      <c r="D1263" s="206"/>
      <c r="E1263" s="206"/>
      <c r="BK1263" s="58"/>
      <c r="BL1263" s="58"/>
      <c r="BM1263" s="58"/>
      <c r="BN1263" s="58"/>
    </row>
    <row r="1264" spans="3:66" x14ac:dyDescent="0.2">
      <c r="C1264" s="207"/>
      <c r="D1264" s="206"/>
      <c r="E1264" s="206"/>
      <c r="BK1264" s="58"/>
      <c r="BL1264" s="58"/>
      <c r="BM1264" s="58"/>
      <c r="BN1264" s="58"/>
    </row>
    <row r="1265" spans="3:66" x14ac:dyDescent="0.2">
      <c r="C1265" s="206"/>
      <c r="D1265" s="206"/>
      <c r="E1265" s="206"/>
      <c r="BK1265" s="58"/>
      <c r="BL1265" s="58"/>
      <c r="BM1265" s="58"/>
      <c r="BN1265" s="58"/>
    </row>
    <row r="1266" spans="3:66" x14ac:dyDescent="0.2">
      <c r="C1266" s="207"/>
      <c r="D1266" s="206"/>
      <c r="E1266" s="206"/>
      <c r="BK1266" s="58"/>
      <c r="BL1266" s="58"/>
      <c r="BM1266" s="58"/>
      <c r="BN1266" s="58"/>
    </row>
    <row r="1267" spans="3:66" x14ac:dyDescent="0.2">
      <c r="C1267" s="207"/>
      <c r="D1267" s="206"/>
      <c r="E1267" s="206"/>
      <c r="BK1267" s="58"/>
      <c r="BL1267" s="58"/>
      <c r="BM1267" s="58"/>
      <c r="BN1267" s="58"/>
    </row>
    <row r="1268" spans="3:66" x14ac:dyDescent="0.2">
      <c r="C1268" s="206"/>
      <c r="D1268" s="206"/>
      <c r="E1268" s="206"/>
      <c r="BK1268" s="58"/>
      <c r="BL1268" s="58"/>
      <c r="BM1268" s="58"/>
      <c r="BN1268" s="58"/>
    </row>
    <row r="1269" spans="3:66" x14ac:dyDescent="0.2">
      <c r="C1269" s="206"/>
      <c r="D1269" s="206"/>
      <c r="E1269" s="206"/>
      <c r="BK1269" s="58"/>
      <c r="BL1269" s="58"/>
      <c r="BM1269" s="58"/>
      <c r="BN1269" s="58"/>
    </row>
    <row r="1270" spans="3:66" x14ac:dyDescent="0.2">
      <c r="C1270" s="207"/>
      <c r="D1270" s="206"/>
      <c r="E1270" s="206"/>
      <c r="BK1270" s="58"/>
      <c r="BL1270" s="58"/>
      <c r="BM1270" s="58"/>
      <c r="BN1270" s="58"/>
    </row>
    <row r="1271" spans="3:66" x14ac:dyDescent="0.2">
      <c r="C1271" s="206"/>
      <c r="D1271" s="206"/>
      <c r="E1271" s="206"/>
      <c r="BK1271" s="58"/>
      <c r="BL1271" s="58"/>
      <c r="BM1271" s="58"/>
      <c r="BN1271" s="58"/>
    </row>
    <row r="1272" spans="3:66" x14ac:dyDescent="0.2">
      <c r="C1272" s="207"/>
      <c r="D1272" s="206"/>
      <c r="E1272" s="206"/>
      <c r="BK1272" s="58"/>
      <c r="BL1272" s="58"/>
      <c r="BM1272" s="58"/>
      <c r="BN1272" s="58"/>
    </row>
    <row r="1273" spans="3:66" x14ac:dyDescent="0.2">
      <c r="C1273" s="207"/>
      <c r="D1273" s="206"/>
      <c r="E1273" s="206"/>
      <c r="BK1273" s="58"/>
      <c r="BL1273" s="58"/>
      <c r="BM1273" s="58"/>
      <c r="BN1273" s="58"/>
    </row>
    <row r="1274" spans="3:66" x14ac:dyDescent="0.2">
      <c r="C1274" s="206"/>
      <c r="D1274" s="206"/>
      <c r="E1274" s="206"/>
      <c r="BK1274" s="58"/>
      <c r="BL1274" s="58"/>
      <c r="BM1274" s="58"/>
      <c r="BN1274" s="58"/>
    </row>
    <row r="1275" spans="3:66" x14ac:dyDescent="0.2">
      <c r="C1275" s="206"/>
      <c r="D1275" s="206"/>
      <c r="E1275" s="206"/>
      <c r="BK1275" s="58"/>
      <c r="BL1275" s="58"/>
      <c r="BM1275" s="58"/>
      <c r="BN1275" s="58"/>
    </row>
    <row r="1276" spans="3:66" x14ac:dyDescent="0.2">
      <c r="C1276" s="206"/>
      <c r="D1276" s="206"/>
      <c r="E1276" s="206"/>
      <c r="BK1276" s="58"/>
      <c r="BL1276" s="58"/>
      <c r="BM1276" s="58"/>
      <c r="BN1276" s="58"/>
    </row>
    <row r="1277" spans="3:66" x14ac:dyDescent="0.2">
      <c r="C1277" s="206"/>
      <c r="D1277" s="206"/>
      <c r="E1277" s="206"/>
      <c r="BK1277" s="58"/>
      <c r="BL1277" s="58"/>
      <c r="BM1277" s="58"/>
      <c r="BN1277" s="58"/>
    </row>
    <row r="1278" spans="3:66" x14ac:dyDescent="0.2">
      <c r="C1278" s="207"/>
      <c r="D1278" s="206"/>
      <c r="E1278" s="206"/>
      <c r="BK1278" s="58"/>
      <c r="BL1278" s="58"/>
      <c r="BM1278" s="58"/>
      <c r="BN1278" s="58"/>
    </row>
    <row r="1279" spans="3:66" x14ac:dyDescent="0.2">
      <c r="C1279" s="206"/>
      <c r="D1279" s="206"/>
      <c r="E1279" s="206"/>
      <c r="BK1279" s="58"/>
      <c r="BL1279" s="58"/>
      <c r="BM1279" s="58"/>
      <c r="BN1279" s="58"/>
    </row>
    <row r="1280" spans="3:66" x14ac:dyDescent="0.2">
      <c r="C1280" s="207"/>
      <c r="D1280" s="206"/>
      <c r="E1280" s="206"/>
      <c r="BK1280" s="58"/>
      <c r="BL1280" s="58"/>
      <c r="BM1280" s="58"/>
      <c r="BN1280" s="58"/>
    </row>
    <row r="1281" spans="3:66" x14ac:dyDescent="0.2">
      <c r="C1281" s="207"/>
      <c r="D1281" s="206"/>
      <c r="E1281" s="206"/>
      <c r="BK1281" s="58"/>
      <c r="BL1281" s="58"/>
      <c r="BM1281" s="58"/>
      <c r="BN1281" s="58"/>
    </row>
    <row r="1282" spans="3:66" x14ac:dyDescent="0.2">
      <c r="C1282" s="206"/>
      <c r="D1282" s="206"/>
      <c r="E1282" s="206"/>
      <c r="BK1282" s="58"/>
      <c r="BL1282" s="58"/>
      <c r="BM1282" s="58"/>
      <c r="BN1282" s="58"/>
    </row>
    <row r="1283" spans="3:66" x14ac:dyDescent="0.2">
      <c r="C1283" s="206"/>
      <c r="D1283" s="206"/>
      <c r="E1283" s="206"/>
      <c r="BK1283" s="58"/>
      <c r="BL1283" s="58"/>
      <c r="BM1283" s="58"/>
      <c r="BN1283" s="58"/>
    </row>
    <row r="1284" spans="3:66" x14ac:dyDescent="0.2">
      <c r="C1284" s="206"/>
      <c r="D1284" s="206"/>
      <c r="E1284" s="206"/>
      <c r="BK1284" s="58"/>
      <c r="BL1284" s="58"/>
      <c r="BM1284" s="58"/>
      <c r="BN1284" s="58"/>
    </row>
    <row r="1285" spans="3:66" x14ac:dyDescent="0.2">
      <c r="C1285" s="206"/>
      <c r="D1285" s="206"/>
      <c r="E1285" s="206"/>
      <c r="BK1285" s="58"/>
      <c r="BL1285" s="58"/>
      <c r="BM1285" s="58"/>
      <c r="BN1285" s="58"/>
    </row>
    <row r="1286" spans="3:66" x14ac:dyDescent="0.2">
      <c r="C1286" s="206"/>
      <c r="D1286" s="206"/>
      <c r="E1286" s="206"/>
      <c r="BK1286" s="58"/>
      <c r="BL1286" s="58"/>
      <c r="BM1286" s="58"/>
      <c r="BN1286" s="58"/>
    </row>
    <row r="1287" spans="3:66" x14ac:dyDescent="0.2">
      <c r="C1287" s="207"/>
      <c r="D1287" s="206"/>
      <c r="E1287" s="206"/>
      <c r="BK1287" s="58"/>
      <c r="BL1287" s="58"/>
      <c r="BM1287" s="58"/>
      <c r="BN1287" s="58"/>
    </row>
    <row r="1288" spans="3:66" x14ac:dyDescent="0.2">
      <c r="C1288" s="206"/>
      <c r="D1288" s="206"/>
      <c r="E1288" s="206"/>
      <c r="BK1288" s="58"/>
      <c r="BL1288" s="58"/>
      <c r="BM1288" s="58"/>
      <c r="BN1288" s="58"/>
    </row>
    <row r="1289" spans="3:66" x14ac:dyDescent="0.2">
      <c r="C1289" s="206"/>
      <c r="D1289" s="206"/>
      <c r="E1289" s="206"/>
      <c r="BK1289" s="58"/>
      <c r="BL1289" s="58"/>
      <c r="BM1289" s="58"/>
      <c r="BN1289" s="58"/>
    </row>
    <row r="1290" spans="3:66" x14ac:dyDescent="0.2">
      <c r="C1290" s="206"/>
      <c r="D1290" s="206"/>
      <c r="E1290" s="206"/>
      <c r="BK1290" s="58"/>
      <c r="BL1290" s="58"/>
      <c r="BM1290" s="58"/>
      <c r="BN1290" s="58"/>
    </row>
    <row r="1291" spans="3:66" x14ac:dyDescent="0.2">
      <c r="C1291" s="206"/>
      <c r="D1291" s="206"/>
      <c r="E1291" s="206"/>
      <c r="BK1291" s="58"/>
      <c r="BL1291" s="58"/>
      <c r="BM1291" s="58"/>
      <c r="BN1291" s="58"/>
    </row>
    <row r="1292" spans="3:66" x14ac:dyDescent="0.2">
      <c r="C1292" s="206"/>
      <c r="D1292" s="206"/>
      <c r="E1292" s="206"/>
      <c r="BK1292" s="58"/>
      <c r="BL1292" s="58"/>
      <c r="BM1292" s="58"/>
      <c r="BN1292" s="58"/>
    </row>
    <row r="1293" spans="3:66" x14ac:dyDescent="0.2">
      <c r="C1293" s="206"/>
      <c r="D1293" s="206"/>
      <c r="E1293" s="206"/>
      <c r="BK1293" s="58"/>
      <c r="BL1293" s="58"/>
      <c r="BM1293" s="58"/>
      <c r="BN1293" s="58"/>
    </row>
    <row r="1294" spans="3:66" x14ac:dyDescent="0.2">
      <c r="C1294" s="206"/>
      <c r="D1294" s="206"/>
      <c r="E1294" s="206"/>
      <c r="BK1294" s="58"/>
      <c r="BL1294" s="58"/>
      <c r="BM1294" s="58"/>
      <c r="BN1294" s="58"/>
    </row>
    <row r="1295" spans="3:66" x14ac:dyDescent="0.2">
      <c r="C1295" s="206"/>
      <c r="D1295" s="206"/>
      <c r="E1295" s="206"/>
      <c r="BK1295" s="58"/>
      <c r="BL1295" s="58"/>
      <c r="BM1295" s="58"/>
      <c r="BN1295" s="58"/>
    </row>
    <row r="1296" spans="3:66" x14ac:dyDescent="0.2">
      <c r="C1296" s="206"/>
      <c r="D1296" s="206"/>
      <c r="E1296" s="206"/>
      <c r="BK1296" s="58"/>
      <c r="BL1296" s="58"/>
      <c r="BM1296" s="58"/>
      <c r="BN1296" s="58"/>
    </row>
    <row r="1297" spans="3:66" x14ac:dyDescent="0.2">
      <c r="C1297" s="206"/>
      <c r="D1297" s="206"/>
      <c r="E1297" s="206"/>
      <c r="BK1297" s="58"/>
      <c r="BL1297" s="58"/>
      <c r="BM1297" s="58"/>
      <c r="BN1297" s="58"/>
    </row>
    <row r="1298" spans="3:66" x14ac:dyDescent="0.2">
      <c r="C1298" s="206"/>
      <c r="D1298" s="206"/>
      <c r="E1298" s="206"/>
      <c r="BK1298" s="58"/>
      <c r="BL1298" s="58"/>
      <c r="BM1298" s="58"/>
      <c r="BN1298" s="58"/>
    </row>
    <row r="1299" spans="3:66" x14ac:dyDescent="0.2">
      <c r="C1299" s="206"/>
      <c r="D1299" s="206"/>
      <c r="E1299" s="206"/>
      <c r="BK1299" s="58"/>
      <c r="BL1299" s="58"/>
      <c r="BM1299" s="58"/>
      <c r="BN1299" s="58"/>
    </row>
    <row r="1300" spans="3:66" x14ac:dyDescent="0.2">
      <c r="C1300" s="206"/>
      <c r="D1300" s="206"/>
      <c r="E1300" s="206"/>
      <c r="BK1300" s="58"/>
      <c r="BL1300" s="58"/>
      <c r="BM1300" s="58"/>
      <c r="BN1300" s="58"/>
    </row>
    <row r="1301" spans="3:66" x14ac:dyDescent="0.2">
      <c r="C1301" s="207"/>
      <c r="D1301" s="206"/>
      <c r="E1301" s="206"/>
      <c r="BK1301" s="58"/>
      <c r="BL1301" s="58"/>
      <c r="BM1301" s="58"/>
      <c r="BN1301" s="58"/>
    </row>
    <row r="1302" spans="3:66" x14ac:dyDescent="0.2">
      <c r="C1302" s="206"/>
      <c r="D1302" s="206"/>
      <c r="E1302" s="206"/>
      <c r="BK1302" s="58"/>
      <c r="BL1302" s="58"/>
      <c r="BM1302" s="58"/>
      <c r="BN1302" s="58"/>
    </row>
    <row r="1303" spans="3:66" x14ac:dyDescent="0.2">
      <c r="C1303" s="206"/>
      <c r="D1303" s="206"/>
      <c r="E1303" s="206"/>
      <c r="BK1303" s="58"/>
      <c r="BL1303" s="58"/>
      <c r="BM1303" s="58"/>
      <c r="BN1303" s="58"/>
    </row>
    <row r="1304" spans="3:66" x14ac:dyDescent="0.2">
      <c r="C1304" s="207"/>
      <c r="D1304" s="206"/>
      <c r="E1304" s="206"/>
      <c r="BK1304" s="58"/>
      <c r="BL1304" s="58"/>
      <c r="BM1304" s="58"/>
      <c r="BN1304" s="58"/>
    </row>
    <row r="1305" spans="3:66" x14ac:dyDescent="0.2">
      <c r="C1305" s="206"/>
      <c r="D1305" s="206"/>
      <c r="E1305" s="206"/>
      <c r="BK1305" s="58"/>
      <c r="BL1305" s="58"/>
      <c r="BM1305" s="58"/>
      <c r="BN1305" s="58"/>
    </row>
    <row r="1306" spans="3:66" x14ac:dyDescent="0.2">
      <c r="C1306" s="206"/>
      <c r="D1306" s="206"/>
      <c r="E1306" s="206"/>
      <c r="BK1306" s="58"/>
      <c r="BL1306" s="58"/>
      <c r="BM1306" s="58"/>
      <c r="BN1306" s="58"/>
    </row>
    <row r="1307" spans="3:66" x14ac:dyDescent="0.2">
      <c r="C1307" s="207"/>
      <c r="D1307" s="206"/>
      <c r="E1307" s="206"/>
      <c r="BK1307" s="58"/>
      <c r="BL1307" s="58"/>
      <c r="BM1307" s="58"/>
      <c r="BN1307" s="58"/>
    </row>
    <row r="1308" spans="3:66" x14ac:dyDescent="0.2">
      <c r="C1308" s="206"/>
      <c r="D1308" s="206"/>
      <c r="E1308" s="206"/>
      <c r="BK1308" s="58"/>
      <c r="BL1308" s="58"/>
      <c r="BM1308" s="58"/>
      <c r="BN1308" s="58"/>
    </row>
    <row r="1309" spans="3:66" x14ac:dyDescent="0.2">
      <c r="C1309" s="206"/>
      <c r="D1309" s="206"/>
      <c r="E1309" s="206"/>
      <c r="BK1309" s="58"/>
      <c r="BL1309" s="58"/>
      <c r="BM1309" s="58"/>
      <c r="BN1309" s="58"/>
    </row>
    <row r="1310" spans="3:66" x14ac:dyDescent="0.2">
      <c r="C1310" s="206"/>
      <c r="D1310" s="206"/>
      <c r="E1310" s="206"/>
      <c r="BK1310" s="58"/>
      <c r="BL1310" s="58"/>
      <c r="BM1310" s="58"/>
      <c r="BN1310" s="58"/>
    </row>
    <row r="1311" spans="3:66" x14ac:dyDescent="0.2">
      <c r="C1311" s="207"/>
      <c r="D1311" s="206"/>
      <c r="E1311" s="206"/>
      <c r="BK1311" s="58"/>
      <c r="BL1311" s="58"/>
      <c r="BM1311" s="58"/>
      <c r="BN1311" s="58"/>
    </row>
    <row r="1312" spans="3:66" x14ac:dyDescent="0.2">
      <c r="C1312" s="207"/>
      <c r="D1312" s="206"/>
      <c r="E1312" s="206"/>
      <c r="BK1312" s="58"/>
      <c r="BL1312" s="58"/>
      <c r="BM1312" s="58"/>
      <c r="BN1312" s="58"/>
    </row>
    <row r="1313" spans="3:66" x14ac:dyDescent="0.2">
      <c r="C1313" s="206"/>
      <c r="D1313" s="206"/>
      <c r="E1313" s="206"/>
      <c r="BK1313" s="58"/>
      <c r="BL1313" s="58"/>
      <c r="BM1313" s="58"/>
      <c r="BN1313" s="58"/>
    </row>
    <row r="1314" spans="3:66" x14ac:dyDescent="0.2">
      <c r="C1314" s="206"/>
      <c r="D1314" s="206"/>
      <c r="E1314" s="206"/>
      <c r="BK1314" s="58"/>
      <c r="BL1314" s="58"/>
      <c r="BM1314" s="58"/>
      <c r="BN1314" s="58"/>
    </row>
    <row r="1315" spans="3:66" x14ac:dyDescent="0.2">
      <c r="C1315" s="206"/>
      <c r="D1315" s="206"/>
      <c r="E1315" s="206"/>
      <c r="BK1315" s="58"/>
      <c r="BL1315" s="58"/>
      <c r="BM1315" s="58"/>
      <c r="BN1315" s="58"/>
    </row>
    <row r="1316" spans="3:66" x14ac:dyDescent="0.2">
      <c r="C1316" s="206"/>
      <c r="D1316" s="206"/>
      <c r="E1316" s="206"/>
      <c r="BK1316" s="58"/>
      <c r="BL1316" s="58"/>
      <c r="BM1316" s="58"/>
      <c r="BN1316" s="58"/>
    </row>
    <row r="1317" spans="3:66" x14ac:dyDescent="0.2">
      <c r="C1317" s="206"/>
      <c r="D1317" s="206"/>
      <c r="E1317" s="206"/>
      <c r="BK1317" s="58"/>
      <c r="BL1317" s="58"/>
      <c r="BM1317" s="58"/>
      <c r="BN1317" s="58"/>
    </row>
    <row r="1318" spans="3:66" x14ac:dyDescent="0.2">
      <c r="C1318" s="206"/>
      <c r="D1318" s="206"/>
      <c r="E1318" s="206"/>
      <c r="BK1318" s="58"/>
      <c r="BL1318" s="58"/>
      <c r="BM1318" s="58"/>
      <c r="BN1318" s="58"/>
    </row>
    <row r="1319" spans="3:66" x14ac:dyDescent="0.2">
      <c r="C1319" s="206"/>
      <c r="D1319" s="206"/>
      <c r="E1319" s="206"/>
      <c r="BK1319" s="58"/>
      <c r="BL1319" s="58"/>
      <c r="BM1319" s="58"/>
      <c r="BN1319" s="58"/>
    </row>
    <row r="1320" spans="3:66" x14ac:dyDescent="0.2">
      <c r="C1320" s="207"/>
      <c r="D1320" s="206"/>
      <c r="E1320" s="206"/>
      <c r="BK1320" s="58"/>
      <c r="BL1320" s="58"/>
      <c r="BM1320" s="58"/>
      <c r="BN1320" s="58"/>
    </row>
    <row r="1321" spans="3:66" x14ac:dyDescent="0.2">
      <c r="C1321" s="207"/>
      <c r="D1321" s="206"/>
      <c r="E1321" s="206"/>
      <c r="BK1321" s="58"/>
      <c r="BL1321" s="58"/>
      <c r="BM1321" s="58"/>
      <c r="BN1321" s="58"/>
    </row>
    <row r="1322" spans="3:66" x14ac:dyDescent="0.2">
      <c r="C1322" s="206"/>
      <c r="D1322" s="206"/>
      <c r="E1322" s="206"/>
      <c r="BK1322" s="58"/>
      <c r="BL1322" s="58"/>
      <c r="BM1322" s="58"/>
      <c r="BN1322" s="58"/>
    </row>
    <row r="1323" spans="3:66" x14ac:dyDescent="0.2">
      <c r="C1323" s="206"/>
      <c r="D1323" s="206"/>
      <c r="E1323" s="206"/>
      <c r="BK1323" s="58"/>
      <c r="BL1323" s="58"/>
      <c r="BM1323" s="58"/>
      <c r="BN1323" s="58"/>
    </row>
    <row r="1324" spans="3:66" x14ac:dyDescent="0.2">
      <c r="C1324" s="206"/>
      <c r="D1324" s="206"/>
      <c r="E1324" s="206"/>
      <c r="BK1324" s="58"/>
      <c r="BL1324" s="58"/>
      <c r="BM1324" s="58"/>
      <c r="BN1324" s="58"/>
    </row>
    <row r="1325" spans="3:66" x14ac:dyDescent="0.2">
      <c r="C1325" s="206"/>
      <c r="D1325" s="206"/>
      <c r="E1325" s="206"/>
      <c r="BK1325" s="58"/>
      <c r="BL1325" s="58"/>
      <c r="BM1325" s="58"/>
      <c r="BN1325" s="58"/>
    </row>
    <row r="1326" spans="3:66" x14ac:dyDescent="0.2">
      <c r="C1326" s="207"/>
      <c r="D1326" s="206"/>
      <c r="E1326" s="206"/>
      <c r="BK1326" s="58"/>
      <c r="BL1326" s="58"/>
      <c r="BM1326" s="58"/>
      <c r="BN1326" s="58"/>
    </row>
    <row r="1327" spans="3:66" x14ac:dyDescent="0.2">
      <c r="C1327" s="206"/>
      <c r="D1327" s="206"/>
      <c r="E1327" s="206"/>
      <c r="BK1327" s="58"/>
      <c r="BL1327" s="58"/>
      <c r="BM1327" s="58"/>
      <c r="BN1327" s="58"/>
    </row>
    <row r="1328" spans="3:66" x14ac:dyDescent="0.2">
      <c r="C1328" s="206"/>
      <c r="D1328" s="206"/>
      <c r="E1328" s="206"/>
      <c r="BK1328" s="58"/>
      <c r="BL1328" s="58"/>
      <c r="BM1328" s="58"/>
      <c r="BN1328" s="58"/>
    </row>
    <row r="1329" spans="3:66" x14ac:dyDescent="0.2">
      <c r="C1329" s="206"/>
      <c r="D1329" s="206"/>
      <c r="E1329" s="206"/>
      <c r="BK1329" s="58"/>
      <c r="BL1329" s="58"/>
      <c r="BM1329" s="58"/>
      <c r="BN1329" s="58"/>
    </row>
    <row r="1330" spans="3:66" x14ac:dyDescent="0.2">
      <c r="C1330" s="207"/>
      <c r="D1330" s="206"/>
      <c r="E1330" s="206"/>
      <c r="BK1330" s="58"/>
      <c r="BL1330" s="58"/>
      <c r="BM1330" s="58"/>
      <c r="BN1330" s="58"/>
    </row>
    <row r="1331" spans="3:66" x14ac:dyDescent="0.2">
      <c r="C1331" s="206"/>
      <c r="D1331" s="206"/>
      <c r="E1331" s="206"/>
      <c r="BK1331" s="58"/>
      <c r="BL1331" s="58"/>
      <c r="BM1331" s="58"/>
      <c r="BN1331" s="58"/>
    </row>
    <row r="1332" spans="3:66" x14ac:dyDescent="0.2">
      <c r="C1332" s="206"/>
      <c r="D1332" s="206"/>
      <c r="E1332" s="206"/>
      <c r="BK1332" s="58"/>
      <c r="BL1332" s="58"/>
      <c r="BM1332" s="58"/>
      <c r="BN1332" s="58"/>
    </row>
    <row r="1333" spans="3:66" x14ac:dyDescent="0.2">
      <c r="C1333" s="207"/>
      <c r="D1333" s="206"/>
      <c r="E1333" s="206"/>
      <c r="BK1333" s="58"/>
      <c r="BL1333" s="58"/>
      <c r="BM1333" s="58"/>
      <c r="BN1333" s="58"/>
    </row>
    <row r="1334" spans="3:66" x14ac:dyDescent="0.2">
      <c r="C1334" s="206"/>
      <c r="D1334" s="206"/>
      <c r="E1334" s="206"/>
      <c r="BK1334" s="58"/>
      <c r="BL1334" s="58"/>
      <c r="BM1334" s="58"/>
      <c r="BN1334" s="58"/>
    </row>
    <row r="1335" spans="3:66" x14ac:dyDescent="0.2">
      <c r="C1335" s="206"/>
      <c r="D1335" s="206"/>
      <c r="E1335" s="206"/>
      <c r="BK1335" s="58"/>
      <c r="BL1335" s="58"/>
      <c r="BM1335" s="58"/>
      <c r="BN1335" s="58"/>
    </row>
    <row r="1336" spans="3:66" x14ac:dyDescent="0.2">
      <c r="C1336" s="206"/>
      <c r="D1336" s="206"/>
      <c r="E1336" s="206"/>
      <c r="BK1336" s="58"/>
      <c r="BL1336" s="58"/>
      <c r="BM1336" s="58"/>
      <c r="BN1336" s="58"/>
    </row>
    <row r="1337" spans="3:66" x14ac:dyDescent="0.2">
      <c r="C1337" s="206"/>
      <c r="D1337" s="206"/>
      <c r="E1337" s="206"/>
      <c r="BK1337" s="58"/>
      <c r="BL1337" s="58"/>
      <c r="BM1337" s="58"/>
      <c r="BN1337" s="58"/>
    </row>
    <row r="1338" spans="3:66" x14ac:dyDescent="0.2">
      <c r="C1338" s="207"/>
      <c r="D1338" s="206"/>
      <c r="E1338" s="206"/>
      <c r="BK1338" s="58"/>
      <c r="BL1338" s="58"/>
      <c r="BM1338" s="58"/>
      <c r="BN1338" s="58"/>
    </row>
    <row r="1339" spans="3:66" x14ac:dyDescent="0.2">
      <c r="C1339" s="206"/>
      <c r="D1339" s="206"/>
      <c r="E1339" s="206"/>
      <c r="BK1339" s="58"/>
      <c r="BL1339" s="58"/>
      <c r="BM1339" s="58"/>
      <c r="BN1339" s="58"/>
    </row>
    <row r="1340" spans="3:66" x14ac:dyDescent="0.2">
      <c r="C1340" s="206"/>
      <c r="D1340" s="206"/>
      <c r="E1340" s="206"/>
      <c r="BK1340" s="58"/>
      <c r="BL1340" s="58"/>
      <c r="BM1340" s="58"/>
      <c r="BN1340" s="58"/>
    </row>
    <row r="1341" spans="3:66" x14ac:dyDescent="0.2">
      <c r="C1341" s="206"/>
      <c r="D1341" s="206"/>
      <c r="E1341" s="206"/>
      <c r="BK1341" s="58"/>
      <c r="BL1341" s="58"/>
      <c r="BM1341" s="58"/>
      <c r="BN1341" s="58"/>
    </row>
    <row r="1342" spans="3:66" x14ac:dyDescent="0.2">
      <c r="C1342" s="206"/>
      <c r="D1342" s="206"/>
      <c r="E1342" s="206"/>
      <c r="BK1342" s="58"/>
      <c r="BL1342" s="58"/>
      <c r="BM1342" s="58"/>
      <c r="BN1342" s="58"/>
    </row>
    <row r="1343" spans="3:66" x14ac:dyDescent="0.2">
      <c r="C1343" s="207"/>
      <c r="D1343" s="206"/>
      <c r="E1343" s="206"/>
      <c r="BK1343" s="58"/>
      <c r="BL1343" s="58"/>
      <c r="BM1343" s="58"/>
      <c r="BN1343" s="58"/>
    </row>
    <row r="1344" spans="3:66" x14ac:dyDescent="0.2">
      <c r="C1344" s="206"/>
      <c r="D1344" s="206"/>
      <c r="E1344" s="206"/>
      <c r="BK1344" s="58"/>
      <c r="BL1344" s="58"/>
      <c r="BM1344" s="58"/>
      <c r="BN1344" s="58"/>
    </row>
    <row r="1345" spans="3:66" x14ac:dyDescent="0.2">
      <c r="C1345" s="207"/>
      <c r="D1345" s="206"/>
      <c r="E1345" s="206"/>
      <c r="BK1345" s="58"/>
      <c r="BL1345" s="58"/>
      <c r="BM1345" s="58"/>
      <c r="BN1345" s="58"/>
    </row>
    <row r="1346" spans="3:66" x14ac:dyDescent="0.2">
      <c r="C1346" s="207"/>
      <c r="D1346" s="206"/>
      <c r="E1346" s="206"/>
      <c r="BK1346" s="58"/>
      <c r="BL1346" s="58"/>
      <c r="BM1346" s="58"/>
      <c r="BN1346" s="58"/>
    </row>
    <row r="1347" spans="3:66" x14ac:dyDescent="0.2">
      <c r="C1347" s="207"/>
      <c r="D1347" s="206"/>
      <c r="E1347" s="206"/>
      <c r="BK1347" s="58"/>
      <c r="BL1347" s="58"/>
      <c r="BM1347" s="58"/>
      <c r="BN1347" s="58"/>
    </row>
    <row r="1348" spans="3:66" x14ac:dyDescent="0.2">
      <c r="C1348" s="207"/>
      <c r="D1348" s="206"/>
      <c r="E1348" s="206"/>
      <c r="BK1348" s="58"/>
      <c r="BL1348" s="58"/>
      <c r="BM1348" s="58"/>
      <c r="BN1348" s="58"/>
    </row>
    <row r="1349" spans="3:66" x14ac:dyDescent="0.2">
      <c r="C1349" s="206"/>
      <c r="D1349" s="206"/>
      <c r="E1349" s="206"/>
      <c r="BK1349" s="58"/>
      <c r="BL1349" s="58"/>
      <c r="BM1349" s="58"/>
      <c r="BN1349" s="58"/>
    </row>
    <row r="1350" spans="3:66" x14ac:dyDescent="0.2">
      <c r="C1350" s="206"/>
      <c r="D1350" s="206"/>
      <c r="E1350" s="206"/>
      <c r="BK1350" s="58"/>
      <c r="BL1350" s="58"/>
      <c r="BM1350" s="58"/>
      <c r="BN1350" s="58"/>
    </row>
    <row r="1351" spans="3:66" x14ac:dyDescent="0.2">
      <c r="C1351" s="207"/>
      <c r="D1351" s="206"/>
      <c r="E1351" s="206"/>
      <c r="BK1351" s="58"/>
      <c r="BL1351" s="58"/>
      <c r="BM1351" s="58"/>
      <c r="BN1351" s="58"/>
    </row>
    <row r="1352" spans="3:66" x14ac:dyDescent="0.2">
      <c r="C1352" s="206"/>
      <c r="D1352" s="206"/>
      <c r="E1352" s="206"/>
      <c r="BK1352" s="58"/>
      <c r="BL1352" s="58"/>
      <c r="BM1352" s="58"/>
      <c r="BN1352" s="58"/>
    </row>
    <row r="1353" spans="3:66" x14ac:dyDescent="0.2">
      <c r="C1353" s="206"/>
      <c r="D1353" s="206"/>
      <c r="E1353" s="206"/>
      <c r="BK1353" s="58"/>
      <c r="BL1353" s="58"/>
      <c r="BM1353" s="58"/>
      <c r="BN1353" s="58"/>
    </row>
    <row r="1354" spans="3:66" x14ac:dyDescent="0.2">
      <c r="C1354" s="206"/>
      <c r="D1354" s="206"/>
      <c r="E1354" s="206"/>
      <c r="BK1354" s="58"/>
      <c r="BL1354" s="58"/>
      <c r="BM1354" s="58"/>
      <c r="BN1354" s="58"/>
    </row>
    <row r="1355" spans="3:66" x14ac:dyDescent="0.2">
      <c r="C1355" s="207"/>
      <c r="D1355" s="206"/>
      <c r="E1355" s="206"/>
      <c r="BK1355" s="58"/>
      <c r="BL1355" s="58"/>
      <c r="BM1355" s="58"/>
      <c r="BN1355" s="58"/>
    </row>
    <row r="1356" spans="3:66" x14ac:dyDescent="0.2">
      <c r="C1356" s="206"/>
      <c r="D1356" s="206"/>
      <c r="E1356" s="206"/>
      <c r="BK1356" s="58"/>
      <c r="BL1356" s="58"/>
      <c r="BM1356" s="58"/>
      <c r="BN1356" s="58"/>
    </row>
    <row r="1357" spans="3:66" x14ac:dyDescent="0.2">
      <c r="C1357" s="207"/>
      <c r="D1357" s="206"/>
      <c r="E1357" s="206"/>
      <c r="BK1357" s="58"/>
      <c r="BL1357" s="58"/>
      <c r="BM1357" s="58"/>
      <c r="BN1357" s="58"/>
    </row>
    <row r="1358" spans="3:66" x14ac:dyDescent="0.2">
      <c r="C1358" s="206"/>
      <c r="D1358" s="206"/>
      <c r="E1358" s="206"/>
      <c r="BK1358" s="58"/>
      <c r="BL1358" s="58"/>
      <c r="BM1358" s="58"/>
      <c r="BN1358" s="58"/>
    </row>
    <row r="1359" spans="3:66" x14ac:dyDescent="0.2">
      <c r="C1359" s="206"/>
      <c r="D1359" s="206"/>
      <c r="E1359" s="206"/>
      <c r="BK1359" s="58"/>
      <c r="BL1359" s="58"/>
      <c r="BM1359" s="58"/>
      <c r="BN1359" s="58"/>
    </row>
    <row r="1360" spans="3:66" x14ac:dyDescent="0.2">
      <c r="C1360" s="207"/>
      <c r="D1360" s="206"/>
      <c r="E1360" s="206"/>
      <c r="BK1360" s="58"/>
      <c r="BL1360" s="58"/>
      <c r="BM1360" s="58"/>
      <c r="BN1360" s="58"/>
    </row>
    <row r="1361" spans="3:66" x14ac:dyDescent="0.2">
      <c r="C1361" s="207"/>
      <c r="D1361" s="206"/>
      <c r="E1361" s="206"/>
      <c r="BK1361" s="58"/>
      <c r="BL1361" s="58"/>
      <c r="BM1361" s="58"/>
      <c r="BN1361" s="58"/>
    </row>
    <row r="1362" spans="3:66" x14ac:dyDescent="0.2">
      <c r="C1362" s="207"/>
      <c r="D1362" s="206"/>
      <c r="E1362" s="206"/>
      <c r="BK1362" s="58"/>
      <c r="BL1362" s="58"/>
      <c r="BM1362" s="58"/>
      <c r="BN1362" s="58"/>
    </row>
    <row r="1363" spans="3:66" x14ac:dyDescent="0.2">
      <c r="C1363" s="207"/>
      <c r="D1363" s="206"/>
      <c r="E1363" s="206"/>
      <c r="BK1363" s="58"/>
      <c r="BL1363" s="58"/>
      <c r="BM1363" s="58"/>
      <c r="BN1363" s="58"/>
    </row>
    <row r="1364" spans="3:66" x14ac:dyDescent="0.2">
      <c r="C1364" s="206"/>
      <c r="D1364" s="206"/>
      <c r="E1364" s="206"/>
      <c r="BK1364" s="58"/>
      <c r="BL1364" s="58"/>
      <c r="BM1364" s="58"/>
      <c r="BN1364" s="58"/>
    </row>
    <row r="1365" spans="3:66" x14ac:dyDescent="0.2">
      <c r="C1365" s="207"/>
      <c r="D1365" s="206"/>
      <c r="E1365" s="206"/>
      <c r="BK1365" s="58"/>
      <c r="BL1365" s="58"/>
      <c r="BM1365" s="58"/>
      <c r="BN1365" s="58"/>
    </row>
    <row r="1366" spans="3:66" x14ac:dyDescent="0.2">
      <c r="C1366" s="206"/>
      <c r="D1366" s="206"/>
      <c r="E1366" s="206"/>
      <c r="BK1366" s="58"/>
      <c r="BL1366" s="58"/>
      <c r="BM1366" s="58"/>
      <c r="BN1366" s="58"/>
    </row>
    <row r="1367" spans="3:66" x14ac:dyDescent="0.2">
      <c r="C1367" s="206"/>
      <c r="D1367" s="206"/>
      <c r="E1367" s="206"/>
      <c r="BK1367" s="58"/>
      <c r="BL1367" s="58"/>
      <c r="BM1367" s="58"/>
      <c r="BN1367" s="58"/>
    </row>
    <row r="1368" spans="3:66" x14ac:dyDescent="0.2">
      <c r="C1368" s="206"/>
      <c r="D1368" s="206"/>
      <c r="E1368" s="206"/>
      <c r="BK1368" s="58"/>
      <c r="BL1368" s="58"/>
      <c r="BM1368" s="58"/>
      <c r="BN1368" s="58"/>
    </row>
    <row r="1369" spans="3:66" x14ac:dyDescent="0.2">
      <c r="C1369" s="206"/>
      <c r="D1369" s="206"/>
      <c r="E1369" s="206"/>
      <c r="BK1369" s="58"/>
      <c r="BL1369" s="58"/>
      <c r="BM1369" s="58"/>
      <c r="BN1369" s="58"/>
    </row>
    <row r="1370" spans="3:66" x14ac:dyDescent="0.2">
      <c r="C1370" s="206"/>
      <c r="D1370" s="206"/>
      <c r="E1370" s="206"/>
      <c r="BK1370" s="58"/>
      <c r="BL1370" s="58"/>
      <c r="BM1370" s="58"/>
      <c r="BN1370" s="58"/>
    </row>
    <row r="1371" spans="3:66" x14ac:dyDescent="0.2">
      <c r="C1371" s="206"/>
      <c r="D1371" s="206"/>
      <c r="E1371" s="206"/>
      <c r="BK1371" s="58"/>
      <c r="BL1371" s="58"/>
      <c r="BM1371" s="58"/>
      <c r="BN1371" s="58"/>
    </row>
    <row r="1372" spans="3:66" x14ac:dyDescent="0.2">
      <c r="C1372" s="206"/>
      <c r="D1372" s="206"/>
      <c r="E1372" s="206"/>
      <c r="BK1372" s="58"/>
      <c r="BL1372" s="58"/>
      <c r="BM1372" s="58"/>
      <c r="BN1372" s="58"/>
    </row>
    <row r="1373" spans="3:66" x14ac:dyDescent="0.2">
      <c r="C1373" s="206"/>
      <c r="D1373" s="206"/>
      <c r="E1373" s="206"/>
      <c r="BK1373" s="58"/>
      <c r="BL1373" s="58"/>
      <c r="BM1373" s="58"/>
      <c r="BN1373" s="58"/>
    </row>
    <row r="1374" spans="3:66" x14ac:dyDescent="0.2">
      <c r="C1374" s="207"/>
      <c r="D1374" s="206"/>
      <c r="E1374" s="206"/>
      <c r="BK1374" s="58"/>
      <c r="BL1374" s="58"/>
      <c r="BM1374" s="58"/>
      <c r="BN1374" s="58"/>
    </row>
    <row r="1375" spans="3:66" x14ac:dyDescent="0.2">
      <c r="C1375" s="207"/>
      <c r="D1375" s="206"/>
      <c r="E1375" s="206"/>
      <c r="BK1375" s="58"/>
      <c r="BL1375" s="58"/>
      <c r="BM1375" s="58"/>
      <c r="BN1375" s="58"/>
    </row>
    <row r="1376" spans="3:66" x14ac:dyDescent="0.2">
      <c r="C1376" s="206"/>
      <c r="D1376" s="206"/>
      <c r="E1376" s="206"/>
      <c r="BK1376" s="58"/>
      <c r="BL1376" s="58"/>
      <c r="BM1376" s="58"/>
      <c r="BN1376" s="58"/>
    </row>
    <row r="1377" spans="3:66" x14ac:dyDescent="0.2">
      <c r="C1377" s="206"/>
      <c r="D1377" s="206"/>
      <c r="E1377" s="206"/>
      <c r="BK1377" s="58"/>
      <c r="BL1377" s="58"/>
      <c r="BM1377" s="58"/>
      <c r="BN1377" s="58"/>
    </row>
    <row r="1378" spans="3:66" x14ac:dyDescent="0.2">
      <c r="C1378" s="207"/>
      <c r="D1378" s="206"/>
      <c r="E1378" s="206"/>
      <c r="BK1378" s="58"/>
      <c r="BL1378" s="58"/>
      <c r="BM1378" s="58"/>
      <c r="BN1378" s="58"/>
    </row>
    <row r="1379" spans="3:66" x14ac:dyDescent="0.2">
      <c r="C1379" s="207"/>
      <c r="D1379" s="206"/>
      <c r="E1379" s="206"/>
      <c r="BK1379" s="58"/>
      <c r="BL1379" s="58"/>
      <c r="BM1379" s="58"/>
      <c r="BN1379" s="58"/>
    </row>
    <row r="1380" spans="3:66" x14ac:dyDescent="0.2">
      <c r="C1380" s="207"/>
      <c r="D1380" s="206"/>
      <c r="E1380" s="206"/>
      <c r="BK1380" s="58"/>
      <c r="BL1380" s="58"/>
      <c r="BM1380" s="58"/>
      <c r="BN1380" s="58"/>
    </row>
    <row r="1381" spans="3:66" x14ac:dyDescent="0.2">
      <c r="C1381" s="206"/>
      <c r="D1381" s="206"/>
      <c r="E1381" s="206"/>
      <c r="BK1381" s="58"/>
      <c r="BL1381" s="58"/>
      <c r="BM1381" s="58"/>
      <c r="BN1381" s="58"/>
    </row>
    <row r="1382" spans="3:66" x14ac:dyDescent="0.2">
      <c r="C1382" s="206"/>
      <c r="D1382" s="206"/>
      <c r="E1382" s="206"/>
      <c r="BK1382" s="58"/>
      <c r="BL1382" s="58"/>
      <c r="BM1382" s="58"/>
      <c r="BN1382" s="58"/>
    </row>
    <row r="1383" spans="3:66" x14ac:dyDescent="0.2">
      <c r="C1383" s="207"/>
      <c r="D1383" s="206"/>
      <c r="E1383" s="206"/>
      <c r="BK1383" s="58"/>
      <c r="BL1383" s="58"/>
      <c r="BM1383" s="58"/>
      <c r="BN1383" s="58"/>
    </row>
    <row r="1384" spans="3:66" x14ac:dyDescent="0.2">
      <c r="C1384" s="206"/>
      <c r="D1384" s="206"/>
      <c r="E1384" s="206"/>
      <c r="BK1384" s="58"/>
      <c r="BL1384" s="58"/>
      <c r="BM1384" s="58"/>
      <c r="BN1384" s="58"/>
    </row>
    <row r="1385" spans="3:66" x14ac:dyDescent="0.2">
      <c r="C1385" s="206"/>
      <c r="D1385" s="206"/>
      <c r="E1385" s="206"/>
      <c r="BK1385" s="58"/>
      <c r="BL1385" s="58"/>
      <c r="BM1385" s="58"/>
      <c r="BN1385" s="58"/>
    </row>
    <row r="1386" spans="3:66" x14ac:dyDescent="0.2">
      <c r="C1386" s="206"/>
      <c r="D1386" s="206"/>
      <c r="E1386" s="206"/>
      <c r="BK1386" s="58"/>
      <c r="BL1386" s="58"/>
      <c r="BM1386" s="58"/>
      <c r="BN1386" s="58"/>
    </row>
    <row r="1387" spans="3:66" x14ac:dyDescent="0.2">
      <c r="C1387" s="206"/>
      <c r="D1387" s="206"/>
      <c r="E1387" s="206"/>
      <c r="BK1387" s="58"/>
      <c r="BL1387" s="58"/>
      <c r="BM1387" s="58"/>
      <c r="BN1387" s="58"/>
    </row>
    <row r="1388" spans="3:66" x14ac:dyDescent="0.2">
      <c r="C1388" s="206"/>
      <c r="D1388" s="206"/>
      <c r="E1388" s="206"/>
      <c r="BK1388" s="58"/>
      <c r="BL1388" s="58"/>
      <c r="BM1388" s="58"/>
      <c r="BN1388" s="58"/>
    </row>
    <row r="1389" spans="3:66" x14ac:dyDescent="0.2">
      <c r="C1389" s="207"/>
      <c r="D1389" s="206"/>
      <c r="E1389" s="206"/>
      <c r="BK1389" s="58"/>
      <c r="BL1389" s="58"/>
      <c r="BM1389" s="58"/>
      <c r="BN1389" s="58"/>
    </row>
    <row r="1390" spans="3:66" x14ac:dyDescent="0.2">
      <c r="C1390" s="207"/>
      <c r="D1390" s="206"/>
      <c r="E1390" s="206"/>
      <c r="BK1390" s="58"/>
      <c r="BL1390" s="58"/>
      <c r="BM1390" s="58"/>
      <c r="BN1390" s="58"/>
    </row>
    <row r="1391" spans="3:66" x14ac:dyDescent="0.2">
      <c r="C1391" s="206"/>
      <c r="D1391" s="206"/>
      <c r="E1391" s="206"/>
      <c r="BK1391" s="58"/>
      <c r="BL1391" s="58"/>
      <c r="BM1391" s="58"/>
      <c r="BN1391" s="58"/>
    </row>
    <row r="1392" spans="3:66" x14ac:dyDescent="0.2">
      <c r="C1392" s="207"/>
      <c r="D1392" s="206"/>
      <c r="E1392" s="206"/>
      <c r="BK1392" s="58"/>
      <c r="BL1392" s="58"/>
      <c r="BM1392" s="58"/>
      <c r="BN1392" s="58"/>
    </row>
    <row r="1393" spans="3:66" x14ac:dyDescent="0.2">
      <c r="C1393" s="207"/>
      <c r="D1393" s="206"/>
      <c r="E1393" s="206"/>
      <c r="BK1393" s="58"/>
      <c r="BL1393" s="58"/>
      <c r="BM1393" s="58"/>
      <c r="BN1393" s="58"/>
    </row>
    <row r="1394" spans="3:66" x14ac:dyDescent="0.2">
      <c r="C1394" s="207"/>
      <c r="D1394" s="206"/>
      <c r="E1394" s="206"/>
      <c r="BK1394" s="58"/>
      <c r="BL1394" s="58"/>
      <c r="BM1394" s="58"/>
      <c r="BN1394" s="58"/>
    </row>
    <row r="1395" spans="3:66" x14ac:dyDescent="0.2">
      <c r="C1395" s="207"/>
      <c r="D1395" s="206"/>
      <c r="E1395" s="206"/>
      <c r="BK1395" s="58"/>
      <c r="BL1395" s="58"/>
      <c r="BM1395" s="58"/>
      <c r="BN1395" s="58"/>
    </row>
    <row r="1396" spans="3:66" x14ac:dyDescent="0.2">
      <c r="C1396" s="206"/>
      <c r="D1396" s="206"/>
      <c r="E1396" s="206"/>
      <c r="BK1396" s="58"/>
      <c r="BL1396" s="58"/>
      <c r="BM1396" s="58"/>
      <c r="BN1396" s="58"/>
    </row>
    <row r="1397" spans="3:66" x14ac:dyDescent="0.2">
      <c r="C1397" s="207"/>
      <c r="D1397" s="206"/>
      <c r="E1397" s="206"/>
      <c r="BK1397" s="58"/>
      <c r="BL1397" s="58"/>
      <c r="BM1397" s="58"/>
      <c r="BN1397" s="58"/>
    </row>
    <row r="1398" spans="3:66" x14ac:dyDescent="0.2">
      <c r="C1398" s="206"/>
      <c r="D1398" s="206"/>
      <c r="E1398" s="206"/>
      <c r="BK1398" s="58"/>
      <c r="BL1398" s="58"/>
      <c r="BM1398" s="58"/>
      <c r="BN1398" s="58"/>
    </row>
    <row r="1399" spans="3:66" x14ac:dyDescent="0.2">
      <c r="C1399" s="206"/>
      <c r="D1399" s="206"/>
      <c r="E1399" s="206"/>
      <c r="BK1399" s="58"/>
      <c r="BL1399" s="58"/>
      <c r="BM1399" s="58"/>
      <c r="BN1399" s="58"/>
    </row>
    <row r="1400" spans="3:66" x14ac:dyDescent="0.2">
      <c r="C1400" s="206"/>
      <c r="D1400" s="206"/>
      <c r="E1400" s="206"/>
      <c r="BK1400" s="58"/>
      <c r="BL1400" s="58"/>
      <c r="BM1400" s="58"/>
      <c r="BN1400" s="58"/>
    </row>
    <row r="1401" spans="3:66" x14ac:dyDescent="0.2">
      <c r="C1401" s="206"/>
      <c r="D1401" s="206"/>
      <c r="E1401" s="206"/>
      <c r="BK1401" s="58"/>
      <c r="BL1401" s="58"/>
      <c r="BM1401" s="58"/>
      <c r="BN1401" s="58"/>
    </row>
    <row r="1402" spans="3:66" x14ac:dyDescent="0.2">
      <c r="C1402" s="206"/>
      <c r="D1402" s="206"/>
      <c r="E1402" s="206"/>
      <c r="BK1402" s="58"/>
      <c r="BL1402" s="58"/>
      <c r="BM1402" s="58"/>
      <c r="BN1402" s="58"/>
    </row>
    <row r="1403" spans="3:66" x14ac:dyDescent="0.2">
      <c r="C1403" s="207"/>
      <c r="D1403" s="206"/>
      <c r="E1403" s="206"/>
      <c r="BK1403" s="58"/>
      <c r="BL1403" s="58"/>
      <c r="BM1403" s="58"/>
      <c r="BN1403" s="58"/>
    </row>
    <row r="1404" spans="3:66" x14ac:dyDescent="0.2">
      <c r="C1404" s="206"/>
      <c r="D1404" s="206"/>
      <c r="E1404" s="206"/>
      <c r="BK1404" s="58"/>
      <c r="BL1404" s="58"/>
      <c r="BM1404" s="58"/>
      <c r="BN1404" s="58"/>
    </row>
    <row r="1405" spans="3:66" x14ac:dyDescent="0.2">
      <c r="C1405" s="206"/>
      <c r="D1405" s="206"/>
      <c r="E1405" s="206"/>
      <c r="BK1405" s="58"/>
      <c r="BL1405" s="58"/>
      <c r="BM1405" s="58"/>
      <c r="BN1405" s="58"/>
    </row>
    <row r="1406" spans="3:66" x14ac:dyDescent="0.2">
      <c r="C1406" s="206"/>
      <c r="D1406" s="206"/>
      <c r="E1406" s="206"/>
      <c r="BK1406" s="58"/>
      <c r="BL1406" s="58"/>
      <c r="BM1406" s="58"/>
      <c r="BN1406" s="58"/>
    </row>
    <row r="1407" spans="3:66" x14ac:dyDescent="0.2">
      <c r="C1407" s="207"/>
      <c r="D1407" s="206"/>
      <c r="E1407" s="206"/>
      <c r="BK1407" s="58"/>
      <c r="BL1407" s="58"/>
      <c r="BM1407" s="58"/>
      <c r="BN1407" s="58"/>
    </row>
    <row r="1408" spans="3:66" x14ac:dyDescent="0.2">
      <c r="C1408" s="207"/>
      <c r="D1408" s="206"/>
      <c r="E1408" s="206"/>
      <c r="BK1408" s="58"/>
      <c r="BL1408" s="58"/>
      <c r="BM1408" s="58"/>
      <c r="BN1408" s="58"/>
    </row>
    <row r="1409" spans="3:66" x14ac:dyDescent="0.2">
      <c r="C1409" s="206"/>
      <c r="D1409" s="206"/>
      <c r="E1409" s="206"/>
      <c r="BK1409" s="58"/>
      <c r="BL1409" s="58"/>
      <c r="BM1409" s="58"/>
      <c r="BN1409" s="58"/>
    </row>
    <row r="1410" spans="3:66" x14ac:dyDescent="0.2">
      <c r="C1410" s="207"/>
      <c r="D1410" s="206"/>
      <c r="E1410" s="206"/>
      <c r="BK1410" s="58"/>
      <c r="BL1410" s="58"/>
      <c r="BM1410" s="58"/>
      <c r="BN1410" s="58"/>
    </row>
    <row r="1411" spans="3:66" x14ac:dyDescent="0.2">
      <c r="C1411" s="206"/>
      <c r="D1411" s="206"/>
      <c r="E1411" s="206"/>
      <c r="BK1411" s="58"/>
      <c r="BL1411" s="58"/>
      <c r="BM1411" s="58"/>
      <c r="BN1411" s="58"/>
    </row>
    <row r="1412" spans="3:66" x14ac:dyDescent="0.2">
      <c r="C1412" s="207"/>
      <c r="D1412" s="206"/>
      <c r="E1412" s="206"/>
      <c r="BK1412" s="58"/>
      <c r="BL1412" s="58"/>
      <c r="BM1412" s="58"/>
      <c r="BN1412" s="58"/>
    </row>
    <row r="1413" spans="3:66" x14ac:dyDescent="0.2">
      <c r="C1413" s="206"/>
      <c r="D1413" s="206"/>
      <c r="E1413" s="206"/>
      <c r="BK1413" s="58"/>
      <c r="BL1413" s="58"/>
      <c r="BM1413" s="58"/>
      <c r="BN1413" s="58"/>
    </row>
    <row r="1414" spans="3:66" x14ac:dyDescent="0.2">
      <c r="C1414" s="207"/>
      <c r="D1414" s="206"/>
      <c r="E1414" s="206"/>
      <c r="BK1414" s="58"/>
      <c r="BL1414" s="58"/>
      <c r="BM1414" s="58"/>
      <c r="BN1414" s="58"/>
    </row>
    <row r="1415" spans="3:66" x14ac:dyDescent="0.2">
      <c r="C1415" s="206"/>
      <c r="D1415" s="206"/>
      <c r="E1415" s="206"/>
      <c r="BK1415" s="58"/>
      <c r="BL1415" s="58"/>
      <c r="BM1415" s="58"/>
      <c r="BN1415" s="58"/>
    </row>
    <row r="1416" spans="3:66" x14ac:dyDescent="0.2">
      <c r="C1416" s="206"/>
      <c r="D1416" s="206"/>
      <c r="E1416" s="206"/>
      <c r="BK1416" s="58"/>
      <c r="BL1416" s="58"/>
      <c r="BM1416" s="58"/>
      <c r="BN1416" s="58"/>
    </row>
    <row r="1417" spans="3:66" x14ac:dyDescent="0.2">
      <c r="C1417" s="207"/>
      <c r="D1417" s="206"/>
      <c r="E1417" s="206"/>
      <c r="BK1417" s="58"/>
      <c r="BL1417" s="58"/>
      <c r="BM1417" s="58"/>
      <c r="BN1417" s="58"/>
    </row>
    <row r="1418" spans="3:66" x14ac:dyDescent="0.2">
      <c r="C1418" s="206"/>
      <c r="D1418" s="206"/>
      <c r="E1418" s="206"/>
      <c r="BK1418" s="58"/>
      <c r="BL1418" s="58"/>
      <c r="BM1418" s="58"/>
      <c r="BN1418" s="58"/>
    </row>
    <row r="1419" spans="3:66" x14ac:dyDescent="0.2">
      <c r="C1419" s="206"/>
      <c r="D1419" s="206"/>
      <c r="E1419" s="206"/>
      <c r="BK1419" s="58"/>
      <c r="BL1419" s="58"/>
      <c r="BM1419" s="58"/>
      <c r="BN1419" s="58"/>
    </row>
    <row r="1420" spans="3:66" x14ac:dyDescent="0.2">
      <c r="C1420" s="206"/>
      <c r="D1420" s="206"/>
      <c r="E1420" s="206"/>
      <c r="BK1420" s="58"/>
      <c r="BL1420" s="58"/>
      <c r="BM1420" s="58"/>
      <c r="BN1420" s="58"/>
    </row>
    <row r="1421" spans="3:66" x14ac:dyDescent="0.2">
      <c r="C1421" s="206"/>
      <c r="D1421" s="206"/>
      <c r="E1421" s="206"/>
      <c r="BK1421" s="58"/>
      <c r="BL1421" s="58"/>
      <c r="BM1421" s="58"/>
      <c r="BN1421" s="58"/>
    </row>
    <row r="1422" spans="3:66" x14ac:dyDescent="0.2">
      <c r="C1422" s="207"/>
      <c r="D1422" s="206"/>
      <c r="E1422" s="206"/>
      <c r="BK1422" s="58"/>
      <c r="BL1422" s="58"/>
      <c r="BM1422" s="58"/>
      <c r="BN1422" s="58"/>
    </row>
    <row r="1423" spans="3:66" x14ac:dyDescent="0.2">
      <c r="C1423" s="206"/>
      <c r="D1423" s="206"/>
      <c r="E1423" s="206"/>
      <c r="BK1423" s="58"/>
      <c r="BL1423" s="58"/>
      <c r="BM1423" s="58"/>
      <c r="BN1423" s="58"/>
    </row>
    <row r="1424" spans="3:66" x14ac:dyDescent="0.2">
      <c r="C1424" s="206"/>
      <c r="D1424" s="206"/>
      <c r="E1424" s="206"/>
      <c r="BK1424" s="58"/>
      <c r="BL1424" s="58"/>
      <c r="BM1424" s="58"/>
      <c r="BN1424" s="58"/>
    </row>
    <row r="1425" spans="3:66" x14ac:dyDescent="0.2">
      <c r="C1425" s="206"/>
      <c r="D1425" s="206"/>
      <c r="E1425" s="206"/>
      <c r="BK1425" s="58"/>
      <c r="BL1425" s="58"/>
      <c r="BM1425" s="58"/>
      <c r="BN1425" s="58"/>
    </row>
    <row r="1426" spans="3:66" x14ac:dyDescent="0.2">
      <c r="C1426" s="206"/>
      <c r="D1426" s="206"/>
      <c r="E1426" s="206"/>
      <c r="BK1426" s="58"/>
      <c r="BL1426" s="58"/>
      <c r="BM1426" s="58"/>
      <c r="BN1426" s="58"/>
    </row>
    <row r="1427" spans="3:66" x14ac:dyDescent="0.2">
      <c r="C1427" s="206"/>
      <c r="D1427" s="206"/>
      <c r="E1427" s="206"/>
      <c r="BK1427" s="58"/>
      <c r="BL1427" s="58"/>
      <c r="BM1427" s="58"/>
      <c r="BN1427" s="58"/>
    </row>
    <row r="1428" spans="3:66" x14ac:dyDescent="0.2">
      <c r="C1428" s="206"/>
      <c r="D1428" s="206"/>
      <c r="E1428" s="206"/>
      <c r="BK1428" s="58"/>
      <c r="BL1428" s="58"/>
      <c r="BM1428" s="58"/>
      <c r="BN1428" s="58"/>
    </row>
    <row r="1429" spans="3:66" x14ac:dyDescent="0.2">
      <c r="C1429" s="207"/>
      <c r="D1429" s="206"/>
      <c r="E1429" s="206"/>
      <c r="BK1429" s="58"/>
      <c r="BL1429" s="58"/>
      <c r="BM1429" s="58"/>
      <c r="BN1429" s="58"/>
    </row>
    <row r="1430" spans="3:66" x14ac:dyDescent="0.2">
      <c r="C1430" s="207"/>
      <c r="D1430" s="206"/>
      <c r="E1430" s="206"/>
      <c r="BK1430" s="58"/>
      <c r="BL1430" s="58"/>
      <c r="BM1430" s="58"/>
      <c r="BN1430" s="58"/>
    </row>
    <row r="1431" spans="3:66" x14ac:dyDescent="0.2">
      <c r="C1431" s="207"/>
      <c r="D1431" s="206"/>
      <c r="E1431" s="206"/>
      <c r="BK1431" s="58"/>
      <c r="BL1431" s="58"/>
      <c r="BM1431" s="58"/>
      <c r="BN1431" s="58"/>
    </row>
    <row r="1432" spans="3:66" x14ac:dyDescent="0.2">
      <c r="C1432" s="207"/>
      <c r="D1432" s="206"/>
      <c r="E1432" s="206"/>
      <c r="BK1432" s="58"/>
      <c r="BL1432" s="58"/>
      <c r="BM1432" s="58"/>
      <c r="BN1432" s="58"/>
    </row>
    <row r="1433" spans="3:66" x14ac:dyDescent="0.2">
      <c r="C1433" s="206"/>
      <c r="D1433" s="206"/>
      <c r="E1433" s="206"/>
      <c r="BK1433" s="58"/>
      <c r="BL1433" s="58"/>
      <c r="BM1433" s="58"/>
      <c r="BN1433" s="58"/>
    </row>
    <row r="1434" spans="3:66" x14ac:dyDescent="0.2">
      <c r="C1434" s="206"/>
      <c r="D1434" s="206"/>
      <c r="E1434" s="206"/>
      <c r="BK1434" s="58"/>
      <c r="BL1434" s="58"/>
      <c r="BM1434" s="58"/>
      <c r="BN1434" s="58"/>
    </row>
    <row r="1435" spans="3:66" x14ac:dyDescent="0.2">
      <c r="C1435" s="207"/>
      <c r="D1435" s="206"/>
      <c r="E1435" s="206"/>
      <c r="BK1435" s="58"/>
      <c r="BL1435" s="58"/>
      <c r="BM1435" s="58"/>
      <c r="BN1435" s="58"/>
    </row>
    <row r="1436" spans="3:66" x14ac:dyDescent="0.2">
      <c r="C1436" s="206"/>
      <c r="D1436" s="206"/>
      <c r="E1436" s="206"/>
      <c r="BK1436" s="58"/>
      <c r="BL1436" s="58"/>
      <c r="BM1436" s="58"/>
      <c r="BN1436" s="58"/>
    </row>
    <row r="1437" spans="3:66" x14ac:dyDescent="0.2">
      <c r="C1437" s="207"/>
      <c r="D1437" s="206"/>
      <c r="E1437" s="206"/>
      <c r="BK1437" s="58"/>
      <c r="BL1437" s="58"/>
      <c r="BM1437" s="58"/>
      <c r="BN1437" s="58"/>
    </row>
    <row r="1438" spans="3:66" x14ac:dyDescent="0.2">
      <c r="C1438" s="207"/>
      <c r="D1438" s="206"/>
      <c r="E1438" s="206"/>
      <c r="BK1438" s="58"/>
      <c r="BL1438" s="58"/>
      <c r="BM1438" s="58"/>
      <c r="BN1438" s="58"/>
    </row>
    <row r="1439" spans="3:66" x14ac:dyDescent="0.2">
      <c r="C1439" s="206"/>
      <c r="D1439" s="206"/>
      <c r="E1439" s="206"/>
      <c r="BK1439" s="58"/>
      <c r="BL1439" s="58"/>
      <c r="BM1439" s="58"/>
      <c r="BN1439" s="58"/>
    </row>
    <row r="1440" spans="3:66" x14ac:dyDescent="0.2">
      <c r="C1440" s="207"/>
      <c r="D1440" s="206"/>
      <c r="E1440" s="206"/>
      <c r="BK1440" s="58"/>
      <c r="BL1440" s="58"/>
      <c r="BM1440" s="58"/>
      <c r="BN1440" s="58"/>
    </row>
    <row r="1441" spans="3:66" x14ac:dyDescent="0.2">
      <c r="C1441" s="206"/>
      <c r="D1441" s="206"/>
      <c r="E1441" s="206"/>
      <c r="BK1441" s="58"/>
      <c r="BL1441" s="58"/>
      <c r="BM1441" s="58"/>
      <c r="BN1441" s="58"/>
    </row>
    <row r="1442" spans="3:66" x14ac:dyDescent="0.2">
      <c r="C1442" s="206"/>
      <c r="D1442" s="206"/>
      <c r="E1442" s="206"/>
      <c r="BK1442" s="58"/>
      <c r="BL1442" s="58"/>
      <c r="BM1442" s="58"/>
      <c r="BN1442" s="58"/>
    </row>
    <row r="1443" spans="3:66" x14ac:dyDescent="0.2">
      <c r="C1443" s="207"/>
      <c r="D1443" s="206"/>
      <c r="E1443" s="206"/>
      <c r="BK1443" s="58"/>
      <c r="BL1443" s="58"/>
      <c r="BM1443" s="58"/>
      <c r="BN1443" s="58"/>
    </row>
    <row r="1444" spans="3:66" x14ac:dyDescent="0.2">
      <c r="C1444" s="207"/>
      <c r="D1444" s="206"/>
      <c r="E1444" s="206"/>
      <c r="BK1444" s="58"/>
      <c r="BL1444" s="58"/>
      <c r="BM1444" s="58"/>
      <c r="BN1444" s="58"/>
    </row>
    <row r="1445" spans="3:66" x14ac:dyDescent="0.2">
      <c r="C1445" s="207"/>
      <c r="D1445" s="206"/>
      <c r="E1445" s="206"/>
      <c r="BK1445" s="58"/>
      <c r="BL1445" s="58"/>
      <c r="BM1445" s="58"/>
      <c r="BN1445" s="58"/>
    </row>
    <row r="1446" spans="3:66" x14ac:dyDescent="0.2">
      <c r="C1446" s="207"/>
      <c r="D1446" s="206"/>
      <c r="E1446" s="206"/>
      <c r="BK1446" s="58"/>
      <c r="BL1446" s="58"/>
      <c r="BM1446" s="58"/>
      <c r="BN1446" s="58"/>
    </row>
    <row r="1447" spans="3:66" x14ac:dyDescent="0.2">
      <c r="C1447" s="206"/>
      <c r="D1447" s="206"/>
      <c r="E1447" s="206"/>
      <c r="BK1447" s="58"/>
      <c r="BL1447" s="58"/>
      <c r="BM1447" s="58"/>
      <c r="BN1447" s="58"/>
    </row>
    <row r="1448" spans="3:66" x14ac:dyDescent="0.2">
      <c r="C1448" s="206"/>
      <c r="D1448" s="206"/>
      <c r="E1448" s="206"/>
      <c r="BK1448" s="58"/>
      <c r="BL1448" s="58"/>
      <c r="BM1448" s="58"/>
      <c r="BN1448" s="58"/>
    </row>
    <row r="1449" spans="3:66" x14ac:dyDescent="0.2">
      <c r="C1449" s="206"/>
      <c r="D1449" s="206"/>
      <c r="E1449" s="206"/>
      <c r="BK1449" s="58"/>
      <c r="BL1449" s="58"/>
      <c r="BM1449" s="58"/>
      <c r="BN1449" s="58"/>
    </row>
    <row r="1450" spans="3:66" x14ac:dyDescent="0.2">
      <c r="C1450" s="207"/>
      <c r="D1450" s="206"/>
      <c r="E1450" s="206"/>
      <c r="BK1450" s="58"/>
      <c r="BL1450" s="58"/>
      <c r="BM1450" s="58"/>
      <c r="BN1450" s="58"/>
    </row>
    <row r="1451" spans="3:66" x14ac:dyDescent="0.2">
      <c r="C1451" s="206"/>
      <c r="D1451" s="206"/>
      <c r="E1451" s="206"/>
      <c r="BK1451" s="58"/>
      <c r="BL1451" s="58"/>
      <c r="BM1451" s="58"/>
      <c r="BN1451" s="58"/>
    </row>
    <row r="1452" spans="3:66" x14ac:dyDescent="0.2">
      <c r="C1452" s="207"/>
      <c r="D1452" s="206"/>
      <c r="E1452" s="206"/>
      <c r="BK1452" s="58"/>
      <c r="BL1452" s="58"/>
      <c r="BM1452" s="58"/>
      <c r="BN1452" s="58"/>
    </row>
    <row r="1453" spans="3:66" x14ac:dyDescent="0.2">
      <c r="C1453" s="206"/>
      <c r="D1453" s="206"/>
      <c r="E1453" s="206"/>
      <c r="BK1453" s="58"/>
      <c r="BL1453" s="58"/>
      <c r="BM1453" s="58"/>
      <c r="BN1453" s="58"/>
    </row>
    <row r="1454" spans="3:66" x14ac:dyDescent="0.2">
      <c r="C1454" s="206"/>
      <c r="D1454" s="206"/>
      <c r="E1454" s="206"/>
      <c r="BK1454" s="58"/>
      <c r="BL1454" s="58"/>
      <c r="BM1454" s="58"/>
      <c r="BN1454" s="58"/>
    </row>
    <row r="1455" spans="3:66" x14ac:dyDescent="0.2">
      <c r="C1455" s="206"/>
      <c r="D1455" s="206"/>
      <c r="E1455" s="206"/>
      <c r="BK1455" s="58"/>
      <c r="BL1455" s="58"/>
      <c r="BM1455" s="58"/>
      <c r="BN1455" s="58"/>
    </row>
    <row r="1456" spans="3:66" x14ac:dyDescent="0.2">
      <c r="C1456" s="206"/>
      <c r="D1456" s="206"/>
      <c r="E1456" s="206"/>
      <c r="BK1456" s="58"/>
      <c r="BL1456" s="58"/>
      <c r="BM1456" s="58"/>
      <c r="BN1456" s="58"/>
    </row>
    <row r="1457" spans="3:66" x14ac:dyDescent="0.2">
      <c r="C1457" s="207"/>
      <c r="D1457" s="206"/>
      <c r="E1457" s="206"/>
      <c r="BK1457" s="58"/>
      <c r="BL1457" s="58"/>
      <c r="BM1457" s="58"/>
      <c r="BN1457" s="58"/>
    </row>
    <row r="1458" spans="3:66" x14ac:dyDescent="0.2">
      <c r="C1458" s="206"/>
      <c r="D1458" s="206"/>
      <c r="E1458" s="206"/>
      <c r="BK1458" s="58"/>
      <c r="BL1458" s="58"/>
      <c r="BM1458" s="58"/>
      <c r="BN1458" s="58"/>
    </row>
    <row r="1459" spans="3:66" x14ac:dyDescent="0.2">
      <c r="C1459" s="206"/>
      <c r="D1459" s="206"/>
      <c r="E1459" s="206"/>
      <c r="BK1459" s="58"/>
      <c r="BL1459" s="58"/>
      <c r="BM1459" s="58"/>
      <c r="BN1459" s="58"/>
    </row>
    <row r="1460" spans="3:66" x14ac:dyDescent="0.2">
      <c r="C1460" s="207"/>
      <c r="D1460" s="206"/>
      <c r="E1460" s="206"/>
      <c r="BK1460" s="58"/>
      <c r="BL1460" s="58"/>
      <c r="BM1460" s="58"/>
      <c r="BN1460" s="58"/>
    </row>
    <row r="1461" spans="3:66" x14ac:dyDescent="0.2">
      <c r="C1461" s="206"/>
      <c r="D1461" s="206"/>
      <c r="E1461" s="206"/>
      <c r="BK1461" s="58"/>
      <c r="BL1461" s="58"/>
      <c r="BM1461" s="58"/>
      <c r="BN1461" s="58"/>
    </row>
    <row r="1462" spans="3:66" x14ac:dyDescent="0.2">
      <c r="C1462" s="206"/>
      <c r="D1462" s="206"/>
      <c r="E1462" s="206"/>
      <c r="BK1462" s="58"/>
      <c r="BL1462" s="58"/>
      <c r="BM1462" s="58"/>
      <c r="BN1462" s="58"/>
    </row>
    <row r="1463" spans="3:66" x14ac:dyDescent="0.2">
      <c r="C1463" s="206"/>
      <c r="D1463" s="206"/>
      <c r="E1463" s="206"/>
      <c r="BK1463" s="58"/>
      <c r="BL1463" s="58"/>
      <c r="BM1463" s="58"/>
      <c r="BN1463" s="58"/>
    </row>
    <row r="1464" spans="3:66" x14ac:dyDescent="0.2">
      <c r="C1464" s="206"/>
      <c r="D1464" s="206"/>
      <c r="E1464" s="206"/>
      <c r="BK1464" s="58"/>
      <c r="BL1464" s="58"/>
      <c r="BM1464" s="58"/>
      <c r="BN1464" s="58"/>
    </row>
    <row r="1465" spans="3:66" x14ac:dyDescent="0.2">
      <c r="C1465" s="206"/>
      <c r="D1465" s="206"/>
      <c r="E1465" s="206"/>
      <c r="BK1465" s="58"/>
      <c r="BL1465" s="58"/>
      <c r="BM1465" s="58"/>
      <c r="BN1465" s="58"/>
    </row>
    <row r="1466" spans="3:66" x14ac:dyDescent="0.2">
      <c r="C1466" s="207"/>
      <c r="D1466" s="206"/>
      <c r="E1466" s="206"/>
      <c r="BK1466" s="58"/>
      <c r="BL1466" s="58"/>
      <c r="BM1466" s="58"/>
      <c r="BN1466" s="58"/>
    </row>
    <row r="1467" spans="3:66" x14ac:dyDescent="0.2">
      <c r="C1467" s="206"/>
      <c r="D1467" s="206"/>
      <c r="E1467" s="206"/>
      <c r="BK1467" s="58"/>
      <c r="BL1467" s="58"/>
      <c r="BM1467" s="58"/>
      <c r="BN1467" s="58"/>
    </row>
    <row r="1468" spans="3:66" x14ac:dyDescent="0.2">
      <c r="C1468" s="206"/>
      <c r="D1468" s="206"/>
      <c r="E1468" s="206"/>
      <c r="BK1468" s="58"/>
      <c r="BL1468" s="58"/>
      <c r="BM1468" s="58"/>
      <c r="BN1468" s="58"/>
    </row>
    <row r="1469" spans="3:66" x14ac:dyDescent="0.2">
      <c r="C1469" s="207"/>
      <c r="D1469" s="206"/>
      <c r="E1469" s="206"/>
      <c r="BK1469" s="58"/>
      <c r="BL1469" s="58"/>
      <c r="BM1469" s="58"/>
      <c r="BN1469" s="58"/>
    </row>
    <row r="1470" spans="3:66" x14ac:dyDescent="0.2">
      <c r="C1470" s="206"/>
      <c r="D1470" s="206"/>
      <c r="E1470" s="206"/>
      <c r="BK1470" s="58"/>
      <c r="BL1470" s="58"/>
      <c r="BM1470" s="58"/>
      <c r="BN1470" s="58"/>
    </row>
    <row r="1471" spans="3:66" x14ac:dyDescent="0.2">
      <c r="C1471" s="206"/>
      <c r="D1471" s="206"/>
      <c r="E1471" s="206"/>
      <c r="BK1471" s="58"/>
      <c r="BL1471" s="58"/>
      <c r="BM1471" s="58"/>
      <c r="BN1471" s="58"/>
    </row>
    <row r="1472" spans="3:66" x14ac:dyDescent="0.2">
      <c r="C1472" s="207"/>
      <c r="D1472" s="206"/>
      <c r="E1472" s="206"/>
      <c r="BK1472" s="58"/>
      <c r="BL1472" s="58"/>
      <c r="BM1472" s="58"/>
      <c r="BN1472" s="58"/>
    </row>
    <row r="1473" spans="3:66" x14ac:dyDescent="0.2">
      <c r="C1473" s="206"/>
      <c r="D1473" s="206"/>
      <c r="E1473" s="206"/>
      <c r="BK1473" s="58"/>
      <c r="BL1473" s="58"/>
      <c r="BM1473" s="58"/>
      <c r="BN1473" s="58"/>
    </row>
    <row r="1474" spans="3:66" x14ac:dyDescent="0.2">
      <c r="C1474" s="206"/>
      <c r="D1474" s="206"/>
      <c r="E1474" s="206"/>
      <c r="BK1474" s="58"/>
      <c r="BL1474" s="58"/>
      <c r="BM1474" s="58"/>
      <c r="BN1474" s="58"/>
    </row>
    <row r="1475" spans="3:66" x14ac:dyDescent="0.2">
      <c r="C1475" s="206"/>
      <c r="D1475" s="206"/>
      <c r="E1475" s="206"/>
      <c r="BK1475" s="58"/>
      <c r="BL1475" s="58"/>
      <c r="BM1475" s="58"/>
      <c r="BN1475" s="58"/>
    </row>
    <row r="1476" spans="3:66" x14ac:dyDescent="0.2">
      <c r="C1476" s="207"/>
      <c r="D1476" s="206"/>
      <c r="E1476" s="206"/>
      <c r="BK1476" s="58"/>
      <c r="BL1476" s="58"/>
      <c r="BM1476" s="58"/>
      <c r="BN1476" s="58"/>
    </row>
    <row r="1477" spans="3:66" x14ac:dyDescent="0.2">
      <c r="C1477" s="207"/>
      <c r="D1477" s="206"/>
      <c r="E1477" s="206"/>
      <c r="BK1477" s="58"/>
      <c r="BL1477" s="58"/>
      <c r="BM1477" s="58"/>
      <c r="BN1477" s="58"/>
    </row>
    <row r="1478" spans="3:66" x14ac:dyDescent="0.2">
      <c r="C1478" s="206"/>
      <c r="D1478" s="206"/>
      <c r="E1478" s="206"/>
      <c r="BK1478" s="58"/>
      <c r="BL1478" s="58"/>
      <c r="BM1478" s="58"/>
      <c r="BN1478" s="58"/>
    </row>
    <row r="1479" spans="3:66" x14ac:dyDescent="0.2">
      <c r="C1479" s="206"/>
      <c r="D1479" s="206"/>
      <c r="E1479" s="206"/>
      <c r="BK1479" s="58"/>
      <c r="BL1479" s="58"/>
      <c r="BM1479" s="58"/>
      <c r="BN1479" s="58"/>
    </row>
    <row r="1480" spans="3:66" x14ac:dyDescent="0.2">
      <c r="C1480" s="207"/>
      <c r="D1480" s="206"/>
      <c r="E1480" s="206"/>
      <c r="BK1480" s="58"/>
      <c r="BL1480" s="58"/>
      <c r="BM1480" s="58"/>
      <c r="BN1480" s="58"/>
    </row>
    <row r="1481" spans="3:66" x14ac:dyDescent="0.2">
      <c r="C1481" s="206"/>
      <c r="D1481" s="206"/>
      <c r="E1481" s="206"/>
      <c r="BK1481" s="58"/>
      <c r="BL1481" s="58"/>
      <c r="BM1481" s="58"/>
      <c r="BN1481" s="58"/>
    </row>
    <row r="1482" spans="3:66" x14ac:dyDescent="0.2">
      <c r="C1482" s="206"/>
      <c r="D1482" s="206"/>
      <c r="E1482" s="206"/>
      <c r="BK1482" s="58"/>
      <c r="BL1482" s="58"/>
      <c r="BM1482" s="58"/>
      <c r="BN1482" s="58"/>
    </row>
    <row r="1483" spans="3:66" x14ac:dyDescent="0.2">
      <c r="C1483" s="206"/>
      <c r="D1483" s="206"/>
      <c r="E1483" s="206"/>
      <c r="BK1483" s="58"/>
      <c r="BL1483" s="58"/>
      <c r="BM1483" s="58"/>
      <c r="BN1483" s="58"/>
    </row>
    <row r="1484" spans="3:66" x14ac:dyDescent="0.2">
      <c r="C1484" s="207"/>
      <c r="D1484" s="206"/>
      <c r="E1484" s="206"/>
      <c r="BK1484" s="58"/>
      <c r="BL1484" s="58"/>
      <c r="BM1484" s="58"/>
      <c r="BN1484" s="58"/>
    </row>
    <row r="1485" spans="3:66" x14ac:dyDescent="0.2">
      <c r="C1485" s="207"/>
      <c r="D1485" s="206"/>
      <c r="E1485" s="206"/>
      <c r="BK1485" s="58"/>
      <c r="BL1485" s="58"/>
      <c r="BM1485" s="58"/>
      <c r="BN1485" s="58"/>
    </row>
    <row r="1486" spans="3:66" x14ac:dyDescent="0.2">
      <c r="C1486" s="207"/>
      <c r="D1486" s="206"/>
      <c r="E1486" s="206"/>
      <c r="BK1486" s="58"/>
      <c r="BL1486" s="58"/>
      <c r="BM1486" s="58"/>
      <c r="BN1486" s="58"/>
    </row>
    <row r="1487" spans="3:66" x14ac:dyDescent="0.2">
      <c r="C1487" s="206"/>
      <c r="D1487" s="206"/>
      <c r="E1487" s="206"/>
      <c r="BK1487" s="58"/>
      <c r="BL1487" s="58"/>
      <c r="BM1487" s="58"/>
      <c r="BN1487" s="58"/>
    </row>
    <row r="1488" spans="3:66" x14ac:dyDescent="0.2">
      <c r="C1488" s="206"/>
      <c r="D1488" s="206"/>
      <c r="E1488" s="206"/>
      <c r="BK1488" s="58"/>
      <c r="BL1488" s="58"/>
      <c r="BM1488" s="58"/>
      <c r="BN1488" s="58"/>
    </row>
    <row r="1489" spans="3:66" x14ac:dyDescent="0.2">
      <c r="C1489" s="206"/>
      <c r="D1489" s="206"/>
      <c r="E1489" s="206"/>
      <c r="BK1489" s="58"/>
      <c r="BL1489" s="58"/>
      <c r="BM1489" s="58"/>
      <c r="BN1489" s="58"/>
    </row>
    <row r="1490" spans="3:66" x14ac:dyDescent="0.2">
      <c r="C1490" s="206"/>
      <c r="D1490" s="206"/>
      <c r="E1490" s="206"/>
      <c r="BK1490" s="58"/>
      <c r="BL1490" s="58"/>
      <c r="BM1490" s="58"/>
      <c r="BN1490" s="58"/>
    </row>
    <row r="1491" spans="3:66" x14ac:dyDescent="0.2">
      <c r="C1491" s="207"/>
      <c r="D1491" s="206"/>
      <c r="E1491" s="206"/>
      <c r="BK1491" s="58"/>
      <c r="BL1491" s="58"/>
      <c r="BM1491" s="58"/>
      <c r="BN1491" s="58"/>
    </row>
    <row r="1492" spans="3:66" x14ac:dyDescent="0.2">
      <c r="C1492" s="207"/>
      <c r="D1492" s="206"/>
      <c r="E1492" s="206"/>
      <c r="BK1492" s="58"/>
      <c r="BL1492" s="58"/>
      <c r="BM1492" s="58"/>
      <c r="BN1492" s="58"/>
    </row>
    <row r="1493" spans="3:66" x14ac:dyDescent="0.2">
      <c r="C1493" s="206"/>
      <c r="D1493" s="206"/>
      <c r="E1493" s="206"/>
      <c r="BK1493" s="58"/>
      <c r="BL1493" s="58"/>
      <c r="BM1493" s="58"/>
      <c r="BN1493" s="58"/>
    </row>
    <row r="1494" spans="3:66" x14ac:dyDescent="0.2">
      <c r="C1494" s="206"/>
      <c r="D1494" s="206"/>
      <c r="E1494" s="206"/>
      <c r="BK1494" s="58"/>
      <c r="BL1494" s="58"/>
      <c r="BM1494" s="58"/>
      <c r="BN1494" s="58"/>
    </row>
    <row r="1495" spans="3:66" x14ac:dyDescent="0.2">
      <c r="C1495" s="207"/>
      <c r="D1495" s="206"/>
      <c r="E1495" s="206"/>
      <c r="BK1495" s="58"/>
      <c r="BL1495" s="58"/>
      <c r="BM1495" s="58"/>
      <c r="BN1495" s="58"/>
    </row>
    <row r="1496" spans="3:66" x14ac:dyDescent="0.2">
      <c r="C1496" s="206"/>
      <c r="D1496" s="206"/>
      <c r="E1496" s="206"/>
      <c r="BK1496" s="58"/>
      <c r="BL1496" s="58"/>
      <c r="BM1496" s="58"/>
      <c r="BN1496" s="58"/>
    </row>
    <row r="1497" spans="3:66" x14ac:dyDescent="0.2">
      <c r="C1497" s="206"/>
      <c r="D1497" s="206"/>
      <c r="E1497" s="206"/>
      <c r="BK1497" s="58"/>
      <c r="BL1497" s="58"/>
      <c r="BM1497" s="58"/>
      <c r="BN1497" s="58"/>
    </row>
    <row r="1498" spans="3:66" x14ac:dyDescent="0.2">
      <c r="C1498" s="207"/>
      <c r="D1498" s="206"/>
      <c r="E1498" s="206"/>
      <c r="BK1498" s="58"/>
      <c r="BL1498" s="58"/>
      <c r="BM1498" s="58"/>
      <c r="BN1498" s="58"/>
    </row>
    <row r="1499" spans="3:66" x14ac:dyDescent="0.2">
      <c r="C1499" s="206"/>
      <c r="D1499" s="206"/>
      <c r="E1499" s="206"/>
      <c r="BK1499" s="58"/>
      <c r="BL1499" s="58"/>
      <c r="BM1499" s="58"/>
      <c r="BN1499" s="58"/>
    </row>
    <row r="1500" spans="3:66" x14ac:dyDescent="0.2">
      <c r="C1500" s="206"/>
      <c r="D1500" s="206"/>
      <c r="E1500" s="206"/>
      <c r="BK1500" s="58"/>
      <c r="BL1500" s="58"/>
      <c r="BM1500" s="58"/>
      <c r="BN1500" s="58"/>
    </row>
    <row r="1501" spans="3:66" x14ac:dyDescent="0.2">
      <c r="C1501" s="206"/>
      <c r="D1501" s="206"/>
      <c r="E1501" s="206"/>
      <c r="BK1501" s="58"/>
      <c r="BL1501" s="58"/>
      <c r="BM1501" s="58"/>
      <c r="BN1501" s="58"/>
    </row>
    <row r="1502" spans="3:66" x14ac:dyDescent="0.2">
      <c r="C1502" s="206"/>
      <c r="D1502" s="206"/>
      <c r="E1502" s="206"/>
      <c r="BK1502" s="58"/>
      <c r="BL1502" s="58"/>
      <c r="BM1502" s="58"/>
      <c r="BN1502" s="58"/>
    </row>
    <row r="1503" spans="3:66" x14ac:dyDescent="0.2">
      <c r="C1503" s="207"/>
      <c r="D1503" s="206"/>
      <c r="E1503" s="206"/>
      <c r="BK1503" s="58"/>
      <c r="BL1503" s="58"/>
      <c r="BM1503" s="58"/>
      <c r="BN1503" s="58"/>
    </row>
    <row r="1504" spans="3:66" x14ac:dyDescent="0.2">
      <c r="C1504" s="206"/>
      <c r="D1504" s="206"/>
      <c r="E1504" s="206"/>
      <c r="BK1504" s="58"/>
      <c r="BL1504" s="58"/>
      <c r="BM1504" s="58"/>
      <c r="BN1504" s="58"/>
    </row>
    <row r="1505" spans="3:66" x14ac:dyDescent="0.2">
      <c r="C1505" s="207"/>
      <c r="D1505" s="206"/>
      <c r="E1505" s="206"/>
      <c r="BK1505" s="58"/>
      <c r="BL1505" s="58"/>
      <c r="BM1505" s="58"/>
      <c r="BN1505" s="58"/>
    </row>
    <row r="1506" spans="3:66" x14ac:dyDescent="0.2">
      <c r="C1506" s="206"/>
      <c r="D1506" s="206"/>
      <c r="E1506" s="206"/>
      <c r="BK1506" s="58"/>
      <c r="BL1506" s="58"/>
      <c r="BM1506" s="58"/>
      <c r="BN1506" s="58"/>
    </row>
    <row r="1507" spans="3:66" x14ac:dyDescent="0.2">
      <c r="C1507" s="206"/>
      <c r="D1507" s="206"/>
      <c r="E1507" s="206"/>
      <c r="BK1507" s="58"/>
      <c r="BL1507" s="58"/>
      <c r="BM1507" s="58"/>
      <c r="BN1507" s="58"/>
    </row>
    <row r="1508" spans="3:66" x14ac:dyDescent="0.2">
      <c r="C1508" s="207"/>
      <c r="D1508" s="206"/>
      <c r="E1508" s="206"/>
      <c r="BK1508" s="58"/>
      <c r="BL1508" s="58"/>
      <c r="BM1508" s="58"/>
      <c r="BN1508" s="58"/>
    </row>
    <row r="1509" spans="3:66" x14ac:dyDescent="0.2">
      <c r="C1509" s="206"/>
      <c r="D1509" s="206"/>
      <c r="E1509" s="206"/>
      <c r="BK1509" s="58"/>
      <c r="BL1509" s="58"/>
      <c r="BM1509" s="58"/>
      <c r="BN1509" s="58"/>
    </row>
    <row r="1510" spans="3:66" x14ac:dyDescent="0.2">
      <c r="C1510" s="207"/>
      <c r="D1510" s="206"/>
      <c r="E1510" s="206"/>
      <c r="BK1510" s="58"/>
      <c r="BL1510" s="58"/>
      <c r="BM1510" s="58"/>
      <c r="BN1510" s="58"/>
    </row>
    <row r="1511" spans="3:66" x14ac:dyDescent="0.2">
      <c r="C1511" s="207"/>
      <c r="D1511" s="206"/>
      <c r="E1511" s="206"/>
      <c r="BK1511" s="58"/>
      <c r="BL1511" s="58"/>
      <c r="BM1511" s="58"/>
      <c r="BN1511" s="58"/>
    </row>
    <row r="1512" spans="3:66" x14ac:dyDescent="0.2">
      <c r="C1512" s="206"/>
      <c r="D1512" s="206"/>
      <c r="E1512" s="206"/>
      <c r="BK1512" s="58"/>
      <c r="BL1512" s="58"/>
      <c r="BM1512" s="58"/>
      <c r="BN1512" s="58"/>
    </row>
    <row r="1513" spans="3:66" x14ac:dyDescent="0.2">
      <c r="C1513" s="207"/>
      <c r="D1513" s="206"/>
      <c r="E1513" s="206"/>
      <c r="BK1513" s="58"/>
      <c r="BL1513" s="58"/>
      <c r="BM1513" s="58"/>
      <c r="BN1513" s="58"/>
    </row>
    <row r="1514" spans="3:66" x14ac:dyDescent="0.2">
      <c r="C1514" s="207"/>
      <c r="D1514" s="206"/>
      <c r="E1514" s="206"/>
      <c r="BK1514" s="58"/>
      <c r="BL1514" s="58"/>
      <c r="BM1514" s="58"/>
      <c r="BN1514" s="58"/>
    </row>
    <row r="1515" spans="3:66" x14ac:dyDescent="0.2">
      <c r="C1515" s="206"/>
      <c r="D1515" s="206"/>
      <c r="E1515" s="206"/>
      <c r="BK1515" s="58"/>
      <c r="BL1515" s="58"/>
      <c r="BM1515" s="58"/>
      <c r="BN1515" s="58"/>
    </row>
    <row r="1516" spans="3:66" x14ac:dyDescent="0.2">
      <c r="C1516" s="206"/>
      <c r="D1516" s="206"/>
      <c r="E1516" s="206"/>
      <c r="BK1516" s="58"/>
      <c r="BL1516" s="58"/>
      <c r="BM1516" s="58"/>
      <c r="BN1516" s="58"/>
    </row>
    <row r="1517" spans="3:66" x14ac:dyDescent="0.2">
      <c r="C1517" s="206"/>
      <c r="D1517" s="206"/>
      <c r="E1517" s="206"/>
      <c r="BK1517" s="58"/>
      <c r="BL1517" s="58"/>
      <c r="BM1517" s="58"/>
      <c r="BN1517" s="58"/>
    </row>
    <row r="1518" spans="3:66" x14ac:dyDescent="0.2">
      <c r="C1518" s="206"/>
      <c r="D1518" s="206"/>
      <c r="E1518" s="206"/>
      <c r="BK1518" s="58"/>
      <c r="BL1518" s="58"/>
      <c r="BM1518" s="58"/>
      <c r="BN1518" s="58"/>
    </row>
    <row r="1519" spans="3:66" x14ac:dyDescent="0.2">
      <c r="C1519" s="207"/>
      <c r="D1519" s="206"/>
      <c r="E1519" s="206"/>
      <c r="BK1519" s="58"/>
      <c r="BL1519" s="58"/>
      <c r="BM1519" s="58"/>
      <c r="BN1519" s="58"/>
    </row>
    <row r="1520" spans="3:66" x14ac:dyDescent="0.2">
      <c r="C1520" s="207"/>
      <c r="D1520" s="206"/>
      <c r="E1520" s="206"/>
      <c r="BK1520" s="58"/>
      <c r="BL1520" s="58"/>
      <c r="BM1520" s="58"/>
      <c r="BN1520" s="58"/>
    </row>
    <row r="1521" spans="3:66" x14ac:dyDescent="0.2">
      <c r="C1521" s="206"/>
      <c r="D1521" s="206"/>
      <c r="E1521" s="206"/>
      <c r="BK1521" s="58"/>
      <c r="BL1521" s="58"/>
      <c r="BM1521" s="58"/>
      <c r="BN1521" s="58"/>
    </row>
    <row r="1522" spans="3:66" x14ac:dyDescent="0.2">
      <c r="C1522" s="207"/>
      <c r="D1522" s="206"/>
      <c r="E1522" s="206"/>
      <c r="BK1522" s="58"/>
      <c r="BL1522" s="58"/>
      <c r="BM1522" s="58"/>
      <c r="BN1522" s="58"/>
    </row>
    <row r="1523" spans="3:66" x14ac:dyDescent="0.2">
      <c r="C1523" s="206"/>
      <c r="D1523" s="206"/>
      <c r="E1523" s="206"/>
      <c r="BK1523" s="58"/>
      <c r="BL1523" s="58"/>
      <c r="BM1523" s="58"/>
      <c r="BN1523" s="58"/>
    </row>
    <row r="1524" spans="3:66" x14ac:dyDescent="0.2">
      <c r="C1524" s="206"/>
      <c r="D1524" s="206"/>
      <c r="E1524" s="206"/>
      <c r="BK1524" s="58"/>
      <c r="BL1524" s="58"/>
      <c r="BM1524" s="58"/>
      <c r="BN1524" s="58"/>
    </row>
    <row r="1525" spans="3:66" x14ac:dyDescent="0.2">
      <c r="C1525" s="207"/>
      <c r="D1525" s="206"/>
      <c r="E1525" s="206"/>
      <c r="BK1525" s="58"/>
      <c r="BL1525" s="58"/>
      <c r="BM1525" s="58"/>
      <c r="BN1525" s="58"/>
    </row>
    <row r="1526" spans="3:66" x14ac:dyDescent="0.2">
      <c r="C1526" s="207"/>
      <c r="D1526" s="206"/>
      <c r="E1526" s="206"/>
      <c r="BK1526" s="58"/>
      <c r="BL1526" s="58"/>
      <c r="BM1526" s="58"/>
      <c r="BN1526" s="58"/>
    </row>
    <row r="1527" spans="3:66" x14ac:dyDescent="0.2">
      <c r="C1527" s="206"/>
      <c r="D1527" s="206"/>
      <c r="E1527" s="206"/>
      <c r="BK1527" s="58"/>
      <c r="BL1527" s="58"/>
      <c r="BM1527" s="58"/>
      <c r="BN1527" s="58"/>
    </row>
    <row r="1528" spans="3:66" x14ac:dyDescent="0.2">
      <c r="C1528" s="206"/>
      <c r="D1528" s="206"/>
      <c r="E1528" s="206"/>
      <c r="BK1528" s="58"/>
      <c r="BL1528" s="58"/>
      <c r="BM1528" s="58"/>
      <c r="BN1528" s="58"/>
    </row>
    <row r="1529" spans="3:66" x14ac:dyDescent="0.2">
      <c r="C1529" s="206"/>
      <c r="D1529" s="206"/>
      <c r="E1529" s="206"/>
      <c r="BK1529" s="58"/>
      <c r="BL1529" s="58"/>
      <c r="BM1529" s="58"/>
      <c r="BN1529" s="58"/>
    </row>
    <row r="1530" spans="3:66" x14ac:dyDescent="0.2">
      <c r="C1530" s="207"/>
      <c r="D1530" s="206"/>
      <c r="E1530" s="206"/>
      <c r="BK1530" s="58"/>
      <c r="BL1530" s="58"/>
      <c r="BM1530" s="58"/>
      <c r="BN1530" s="58"/>
    </row>
    <row r="1531" spans="3:66" x14ac:dyDescent="0.2">
      <c r="C1531" s="206"/>
      <c r="D1531" s="206"/>
      <c r="E1531" s="206"/>
      <c r="BK1531" s="58"/>
      <c r="BL1531" s="58"/>
      <c r="BM1531" s="58"/>
      <c r="BN1531" s="58"/>
    </row>
    <row r="1532" spans="3:66" x14ac:dyDescent="0.2">
      <c r="C1532" s="207"/>
      <c r="D1532" s="206"/>
      <c r="E1532" s="206"/>
      <c r="BK1532" s="58"/>
      <c r="BL1532" s="58"/>
      <c r="BM1532" s="58"/>
      <c r="BN1532" s="58"/>
    </row>
    <row r="1533" spans="3:66" x14ac:dyDescent="0.2">
      <c r="C1533" s="206"/>
      <c r="D1533" s="206"/>
      <c r="E1533" s="206"/>
      <c r="BK1533" s="58"/>
      <c r="BL1533" s="58"/>
      <c r="BM1533" s="58"/>
      <c r="BN1533" s="58"/>
    </row>
    <row r="1534" spans="3:66" x14ac:dyDescent="0.2">
      <c r="C1534" s="206"/>
      <c r="D1534" s="206"/>
      <c r="E1534" s="206"/>
      <c r="BK1534" s="58"/>
      <c r="BL1534" s="58"/>
      <c r="BM1534" s="58"/>
      <c r="BN1534" s="58"/>
    </row>
    <row r="1535" spans="3:66" x14ac:dyDescent="0.2">
      <c r="C1535" s="207"/>
      <c r="D1535" s="206"/>
      <c r="E1535" s="206"/>
      <c r="BK1535" s="58"/>
      <c r="BL1535" s="58"/>
      <c r="BM1535" s="58"/>
      <c r="BN1535" s="58"/>
    </row>
    <row r="1536" spans="3:66" x14ac:dyDescent="0.2">
      <c r="C1536" s="206"/>
      <c r="D1536" s="206"/>
      <c r="E1536" s="206"/>
      <c r="BK1536" s="58"/>
      <c r="BL1536" s="58"/>
      <c r="BM1536" s="58"/>
      <c r="BN1536" s="58"/>
    </row>
    <row r="1537" spans="3:66" x14ac:dyDescent="0.2">
      <c r="C1537" s="206"/>
      <c r="D1537" s="206"/>
      <c r="E1537" s="206"/>
      <c r="BK1537" s="58"/>
      <c r="BL1537" s="58"/>
      <c r="BM1537" s="58"/>
      <c r="BN1537" s="58"/>
    </row>
    <row r="1538" spans="3:66" x14ac:dyDescent="0.2">
      <c r="C1538" s="206"/>
      <c r="D1538" s="206"/>
      <c r="E1538" s="206"/>
      <c r="BK1538" s="58"/>
      <c r="BL1538" s="58"/>
      <c r="BM1538" s="58"/>
      <c r="BN1538" s="58"/>
    </row>
    <row r="1539" spans="3:66" x14ac:dyDescent="0.2">
      <c r="C1539" s="206"/>
      <c r="D1539" s="206"/>
      <c r="E1539" s="206"/>
      <c r="BK1539" s="58"/>
      <c r="BL1539" s="58"/>
      <c r="BM1539" s="58"/>
      <c r="BN1539" s="58"/>
    </row>
    <row r="1540" spans="3:66" x14ac:dyDescent="0.2">
      <c r="C1540" s="207"/>
      <c r="D1540" s="206"/>
      <c r="E1540" s="206"/>
      <c r="BK1540" s="58"/>
      <c r="BL1540" s="58"/>
      <c r="BM1540" s="58"/>
      <c r="BN1540" s="58"/>
    </row>
    <row r="1541" spans="3:66" x14ac:dyDescent="0.2">
      <c r="C1541" s="206"/>
      <c r="D1541" s="206"/>
      <c r="E1541" s="206"/>
      <c r="BK1541" s="58"/>
      <c r="BL1541" s="58"/>
      <c r="BM1541" s="58"/>
      <c r="BN1541" s="58"/>
    </row>
    <row r="1542" spans="3:66" x14ac:dyDescent="0.2">
      <c r="C1542" s="206"/>
      <c r="D1542" s="206"/>
      <c r="E1542" s="206"/>
      <c r="BK1542" s="58"/>
      <c r="BL1542" s="58"/>
      <c r="BM1542" s="58"/>
      <c r="BN1542" s="58"/>
    </row>
    <row r="1543" spans="3:66" x14ac:dyDescent="0.2">
      <c r="C1543" s="207"/>
      <c r="D1543" s="206"/>
      <c r="E1543" s="206"/>
      <c r="BK1543" s="58"/>
      <c r="BL1543" s="58"/>
      <c r="BM1543" s="58"/>
      <c r="BN1543" s="58"/>
    </row>
    <row r="1544" spans="3:66" x14ac:dyDescent="0.2">
      <c r="C1544" s="206"/>
      <c r="D1544" s="206"/>
      <c r="E1544" s="206"/>
      <c r="BK1544" s="58"/>
      <c r="BL1544" s="58"/>
      <c r="BM1544" s="58"/>
      <c r="BN1544" s="58"/>
    </row>
    <row r="1545" spans="3:66" x14ac:dyDescent="0.2">
      <c r="C1545" s="206"/>
      <c r="D1545" s="206"/>
      <c r="E1545" s="206"/>
      <c r="BK1545" s="58"/>
      <c r="BL1545" s="58"/>
      <c r="BM1545" s="58"/>
      <c r="BN1545" s="58"/>
    </row>
    <row r="1546" spans="3:66" x14ac:dyDescent="0.2">
      <c r="C1546" s="206"/>
      <c r="D1546" s="206"/>
      <c r="E1546" s="206"/>
      <c r="BK1546" s="58"/>
      <c r="BL1546" s="58"/>
      <c r="BM1546" s="58"/>
      <c r="BN1546" s="58"/>
    </row>
    <row r="1547" spans="3:66" x14ac:dyDescent="0.2">
      <c r="C1547" s="206"/>
      <c r="D1547" s="206"/>
      <c r="E1547" s="206"/>
      <c r="BK1547" s="58"/>
      <c r="BL1547" s="58"/>
      <c r="BM1547" s="58"/>
      <c r="BN1547" s="58"/>
    </row>
    <row r="1548" spans="3:66" x14ac:dyDescent="0.2">
      <c r="C1548" s="206"/>
      <c r="D1548" s="206"/>
      <c r="E1548" s="206"/>
      <c r="BK1548" s="58"/>
      <c r="BL1548" s="58"/>
      <c r="BM1548" s="58"/>
      <c r="BN1548" s="58"/>
    </row>
    <row r="1549" spans="3:66" x14ac:dyDescent="0.2">
      <c r="C1549" s="207"/>
      <c r="D1549" s="206"/>
      <c r="E1549" s="206"/>
      <c r="BK1549" s="58"/>
      <c r="BL1549" s="58"/>
      <c r="BM1549" s="58"/>
      <c r="BN1549" s="58"/>
    </row>
    <row r="1550" spans="3:66" x14ac:dyDescent="0.2">
      <c r="C1550" s="206"/>
      <c r="D1550" s="206"/>
      <c r="E1550" s="206"/>
      <c r="BK1550" s="58"/>
      <c r="BL1550" s="58"/>
      <c r="BM1550" s="58"/>
      <c r="BN1550" s="58"/>
    </row>
    <row r="1551" spans="3:66" x14ac:dyDescent="0.2">
      <c r="C1551" s="206"/>
      <c r="D1551" s="206"/>
      <c r="E1551" s="206"/>
      <c r="BK1551" s="58"/>
      <c r="BL1551" s="58"/>
      <c r="BM1551" s="58"/>
      <c r="BN1551" s="58"/>
    </row>
    <row r="1552" spans="3:66" x14ac:dyDescent="0.2">
      <c r="C1552" s="206"/>
      <c r="D1552" s="206"/>
      <c r="E1552" s="206"/>
      <c r="BK1552" s="58"/>
      <c r="BL1552" s="58"/>
      <c r="BM1552" s="58"/>
      <c r="BN1552" s="58"/>
    </row>
    <row r="1553" spans="3:66" x14ac:dyDescent="0.2">
      <c r="C1553" s="207"/>
      <c r="D1553" s="206"/>
      <c r="E1553" s="206"/>
      <c r="BK1553" s="58"/>
      <c r="BL1553" s="58"/>
      <c r="BM1553" s="58"/>
      <c r="BN1553" s="58"/>
    </row>
    <row r="1554" spans="3:66" x14ac:dyDescent="0.2">
      <c r="C1554" s="207"/>
      <c r="D1554" s="206"/>
      <c r="E1554" s="206"/>
      <c r="BK1554" s="58"/>
      <c r="BL1554" s="58"/>
      <c r="BM1554" s="58"/>
      <c r="BN1554" s="58"/>
    </row>
    <row r="1555" spans="3:66" x14ac:dyDescent="0.2">
      <c r="C1555" s="207"/>
      <c r="D1555" s="206"/>
      <c r="E1555" s="206"/>
      <c r="BK1555" s="58"/>
      <c r="BL1555" s="58"/>
      <c r="BM1555" s="58"/>
      <c r="BN1555" s="58"/>
    </row>
    <row r="1556" spans="3:66" x14ac:dyDescent="0.2">
      <c r="C1556" s="206"/>
      <c r="D1556" s="206"/>
      <c r="E1556" s="206"/>
      <c r="BK1556" s="58"/>
      <c r="BL1556" s="58"/>
      <c r="BM1556" s="58"/>
      <c r="BN1556" s="58"/>
    </row>
    <row r="1557" spans="3:66" x14ac:dyDescent="0.2">
      <c r="C1557" s="207"/>
      <c r="D1557" s="206"/>
      <c r="E1557" s="206"/>
      <c r="BK1557" s="58"/>
      <c r="BL1557" s="58"/>
      <c r="BM1557" s="58"/>
      <c r="BN1557" s="58"/>
    </row>
    <row r="1558" spans="3:66" x14ac:dyDescent="0.2">
      <c r="C1558" s="207"/>
      <c r="D1558" s="206"/>
      <c r="E1558" s="206"/>
      <c r="BK1558" s="58"/>
      <c r="BL1558" s="58"/>
      <c r="BM1558" s="58"/>
      <c r="BN1558" s="58"/>
    </row>
    <row r="1559" spans="3:66" x14ac:dyDescent="0.2">
      <c r="C1559" s="207"/>
      <c r="D1559" s="206"/>
      <c r="E1559" s="206"/>
      <c r="BK1559" s="58"/>
      <c r="BL1559" s="58"/>
      <c r="BM1559" s="58"/>
      <c r="BN1559" s="58"/>
    </row>
    <row r="1560" spans="3:66" x14ac:dyDescent="0.2">
      <c r="C1560" s="207"/>
      <c r="D1560" s="206"/>
      <c r="E1560" s="206"/>
      <c r="BK1560" s="58"/>
      <c r="BL1560" s="58"/>
      <c r="BM1560" s="58"/>
      <c r="BN1560" s="58"/>
    </row>
    <row r="1561" spans="3:66" x14ac:dyDescent="0.2">
      <c r="C1561" s="206"/>
      <c r="D1561" s="206"/>
      <c r="E1561" s="206"/>
      <c r="BK1561" s="58"/>
      <c r="BL1561" s="58"/>
      <c r="BM1561" s="58"/>
      <c r="BN1561" s="58"/>
    </row>
    <row r="1562" spans="3:66" x14ac:dyDescent="0.2">
      <c r="C1562" s="207"/>
      <c r="D1562" s="206"/>
      <c r="E1562" s="206"/>
      <c r="BK1562" s="58"/>
      <c r="BL1562" s="58"/>
      <c r="BM1562" s="58"/>
      <c r="BN1562" s="58"/>
    </row>
    <row r="1563" spans="3:66" x14ac:dyDescent="0.2">
      <c r="C1563" s="206"/>
      <c r="D1563" s="206"/>
      <c r="E1563" s="206"/>
      <c r="BK1563" s="58"/>
      <c r="BL1563" s="58"/>
      <c r="BM1563" s="58"/>
      <c r="BN1563" s="58"/>
    </row>
    <row r="1564" spans="3:66" x14ac:dyDescent="0.2">
      <c r="C1564" s="206"/>
      <c r="D1564" s="206"/>
      <c r="E1564" s="206"/>
      <c r="BK1564" s="58"/>
      <c r="BL1564" s="58"/>
      <c r="BM1564" s="58"/>
      <c r="BN1564" s="58"/>
    </row>
    <row r="1565" spans="3:66" x14ac:dyDescent="0.2">
      <c r="C1565" s="206"/>
      <c r="D1565" s="206"/>
      <c r="E1565" s="206"/>
      <c r="BK1565" s="58"/>
      <c r="BL1565" s="58"/>
      <c r="BM1565" s="58"/>
      <c r="BN1565" s="58"/>
    </row>
    <row r="1566" spans="3:66" x14ac:dyDescent="0.2">
      <c r="C1566" s="206"/>
      <c r="D1566" s="206"/>
      <c r="E1566" s="206"/>
      <c r="BK1566" s="58"/>
      <c r="BL1566" s="58"/>
      <c r="BM1566" s="58"/>
      <c r="BN1566" s="58"/>
    </row>
    <row r="1567" spans="3:66" x14ac:dyDescent="0.2">
      <c r="C1567" s="206"/>
      <c r="D1567" s="206"/>
      <c r="E1567" s="206"/>
      <c r="BK1567" s="58"/>
      <c r="BL1567" s="58"/>
      <c r="BM1567" s="58"/>
      <c r="BN1567" s="58"/>
    </row>
    <row r="1568" spans="3:66" x14ac:dyDescent="0.2">
      <c r="C1568" s="206"/>
      <c r="D1568" s="206"/>
      <c r="E1568" s="206"/>
      <c r="BK1568" s="58"/>
      <c r="BL1568" s="58"/>
      <c r="BM1568" s="58"/>
      <c r="BN1568" s="58"/>
    </row>
    <row r="1569" spans="3:66" x14ac:dyDescent="0.2">
      <c r="C1569" s="206"/>
      <c r="D1569" s="206"/>
      <c r="E1569" s="206"/>
      <c r="BK1569" s="58"/>
      <c r="BL1569" s="58"/>
      <c r="BM1569" s="58"/>
      <c r="BN1569" s="58"/>
    </row>
    <row r="1570" spans="3:66" x14ac:dyDescent="0.2">
      <c r="C1570" s="206"/>
      <c r="D1570" s="206"/>
      <c r="E1570" s="206"/>
      <c r="BK1570" s="58"/>
      <c r="BL1570" s="58"/>
      <c r="BM1570" s="58"/>
      <c r="BN1570" s="58"/>
    </row>
    <row r="1571" spans="3:66" x14ac:dyDescent="0.2">
      <c r="C1571" s="206"/>
      <c r="D1571" s="206"/>
      <c r="E1571" s="206"/>
      <c r="BK1571" s="58"/>
      <c r="BL1571" s="58"/>
      <c r="BM1571" s="58"/>
      <c r="BN1571" s="58"/>
    </row>
    <row r="1572" spans="3:66" x14ac:dyDescent="0.2">
      <c r="C1572" s="207"/>
      <c r="D1572" s="206"/>
      <c r="E1572" s="206"/>
      <c r="BK1572" s="58"/>
      <c r="BL1572" s="58"/>
      <c r="BM1572" s="58"/>
      <c r="BN1572" s="58"/>
    </row>
    <row r="1573" spans="3:66" x14ac:dyDescent="0.2">
      <c r="C1573" s="207"/>
      <c r="D1573" s="206"/>
      <c r="E1573" s="206"/>
      <c r="BK1573" s="58"/>
      <c r="BL1573" s="58"/>
      <c r="BM1573" s="58"/>
      <c r="BN1573" s="58"/>
    </row>
    <row r="1574" spans="3:66" x14ac:dyDescent="0.2">
      <c r="C1574" s="206"/>
      <c r="D1574" s="206"/>
      <c r="E1574" s="206"/>
      <c r="BK1574" s="58"/>
      <c r="BL1574" s="58"/>
      <c r="BM1574" s="58"/>
      <c r="BN1574" s="58"/>
    </row>
    <row r="1575" spans="3:66" x14ac:dyDescent="0.2">
      <c r="C1575" s="207"/>
      <c r="D1575" s="206"/>
      <c r="E1575" s="206"/>
      <c r="BK1575" s="58"/>
      <c r="BL1575" s="58"/>
      <c r="BM1575" s="58"/>
      <c r="BN1575" s="58"/>
    </row>
    <row r="1576" spans="3:66" x14ac:dyDescent="0.2">
      <c r="C1576" s="206"/>
      <c r="D1576" s="206"/>
      <c r="E1576" s="206"/>
      <c r="BK1576" s="58"/>
      <c r="BL1576" s="58"/>
      <c r="BM1576" s="58"/>
      <c r="BN1576" s="58"/>
    </row>
    <row r="1577" spans="3:66" x14ac:dyDescent="0.2">
      <c r="C1577" s="206"/>
      <c r="D1577" s="206"/>
      <c r="E1577" s="206"/>
      <c r="BK1577" s="58"/>
      <c r="BL1577" s="58"/>
      <c r="BM1577" s="58"/>
      <c r="BN1577" s="58"/>
    </row>
    <row r="1578" spans="3:66" x14ac:dyDescent="0.2">
      <c r="C1578" s="206"/>
      <c r="D1578" s="206"/>
      <c r="E1578" s="206"/>
      <c r="BK1578" s="58"/>
      <c r="BL1578" s="58"/>
      <c r="BM1578" s="58"/>
      <c r="BN1578" s="58"/>
    </row>
    <row r="1579" spans="3:66" x14ac:dyDescent="0.2">
      <c r="C1579" s="206"/>
      <c r="D1579" s="206"/>
      <c r="E1579" s="206"/>
      <c r="BK1579" s="58"/>
      <c r="BL1579" s="58"/>
      <c r="BM1579" s="58"/>
      <c r="BN1579" s="58"/>
    </row>
    <row r="1580" spans="3:66" x14ac:dyDescent="0.2">
      <c r="C1580" s="206"/>
      <c r="D1580" s="206"/>
      <c r="E1580" s="206"/>
      <c r="BK1580" s="58"/>
      <c r="BL1580" s="58"/>
      <c r="BM1580" s="58"/>
      <c r="BN1580" s="58"/>
    </row>
    <row r="1581" spans="3:66" x14ac:dyDescent="0.2">
      <c r="C1581" s="206"/>
      <c r="D1581" s="206"/>
      <c r="E1581" s="206"/>
      <c r="BK1581" s="58"/>
      <c r="BL1581" s="58"/>
      <c r="BM1581" s="58"/>
      <c r="BN1581" s="58"/>
    </row>
    <row r="1582" spans="3:66" x14ac:dyDescent="0.2">
      <c r="C1582" s="206"/>
      <c r="D1582" s="206"/>
      <c r="E1582" s="206"/>
      <c r="BK1582" s="58"/>
      <c r="BL1582" s="58"/>
      <c r="BM1582" s="58"/>
      <c r="BN1582" s="58"/>
    </row>
    <row r="1583" spans="3:66" x14ac:dyDescent="0.2">
      <c r="C1583" s="206"/>
      <c r="D1583" s="206"/>
      <c r="E1583" s="206"/>
      <c r="BK1583" s="58"/>
      <c r="BL1583" s="58"/>
      <c r="BM1583" s="58"/>
      <c r="BN1583" s="58"/>
    </row>
    <row r="1584" spans="3:66" x14ac:dyDescent="0.2">
      <c r="C1584" s="206"/>
      <c r="D1584" s="206"/>
      <c r="E1584" s="206"/>
      <c r="BK1584" s="58"/>
      <c r="BL1584" s="58"/>
      <c r="BM1584" s="58"/>
      <c r="BN1584" s="58"/>
    </row>
    <row r="1585" spans="3:66" x14ac:dyDescent="0.2">
      <c r="C1585" s="206"/>
      <c r="D1585" s="206"/>
      <c r="E1585" s="206"/>
      <c r="BK1585" s="58"/>
      <c r="BL1585" s="58"/>
      <c r="BM1585" s="58"/>
      <c r="BN1585" s="58"/>
    </row>
    <row r="1586" spans="3:66" x14ac:dyDescent="0.2">
      <c r="C1586" s="206"/>
      <c r="D1586" s="206"/>
      <c r="E1586" s="206"/>
      <c r="BK1586" s="58"/>
      <c r="BL1586" s="58"/>
      <c r="BM1586" s="58"/>
      <c r="BN1586" s="58"/>
    </row>
    <row r="1587" spans="3:66" x14ac:dyDescent="0.2">
      <c r="C1587" s="206"/>
      <c r="D1587" s="206"/>
      <c r="E1587" s="206"/>
      <c r="BK1587" s="58"/>
      <c r="BL1587" s="58"/>
      <c r="BM1587" s="58"/>
      <c r="BN1587" s="58"/>
    </row>
    <row r="1588" spans="3:66" x14ac:dyDescent="0.2">
      <c r="C1588" s="206"/>
      <c r="D1588" s="206"/>
      <c r="E1588" s="206"/>
      <c r="BK1588" s="58"/>
      <c r="BL1588" s="58"/>
      <c r="BM1588" s="58"/>
      <c r="BN1588" s="58"/>
    </row>
    <row r="1589" spans="3:66" x14ac:dyDescent="0.2">
      <c r="C1589" s="206"/>
      <c r="D1589" s="206"/>
      <c r="E1589" s="206"/>
      <c r="BK1589" s="58"/>
      <c r="BL1589" s="58"/>
      <c r="BM1589" s="58"/>
      <c r="BN1589" s="58"/>
    </row>
    <row r="1590" spans="3:66" x14ac:dyDescent="0.2">
      <c r="C1590" s="206"/>
      <c r="D1590" s="206"/>
      <c r="E1590" s="206"/>
      <c r="BK1590" s="58"/>
      <c r="BL1590" s="58"/>
      <c r="BM1590" s="58"/>
      <c r="BN1590" s="58"/>
    </row>
    <row r="1591" spans="3:66" x14ac:dyDescent="0.2">
      <c r="C1591" s="206"/>
      <c r="D1591" s="206"/>
      <c r="E1591" s="206"/>
      <c r="BK1591" s="58"/>
      <c r="BL1591" s="58"/>
      <c r="BM1591" s="58"/>
      <c r="BN1591" s="58"/>
    </row>
    <row r="1592" spans="3:66" x14ac:dyDescent="0.2">
      <c r="C1592" s="206"/>
      <c r="D1592" s="206"/>
      <c r="E1592" s="206"/>
      <c r="BK1592" s="58"/>
      <c r="BL1592" s="58"/>
      <c r="BM1592" s="58"/>
      <c r="BN1592" s="58"/>
    </row>
    <row r="1593" spans="3:66" x14ac:dyDescent="0.2">
      <c r="C1593" s="206"/>
      <c r="D1593" s="206"/>
      <c r="E1593" s="206"/>
      <c r="BK1593" s="58"/>
      <c r="BL1593" s="58"/>
      <c r="BM1593" s="58"/>
      <c r="BN1593" s="58"/>
    </row>
    <row r="1594" spans="3:66" x14ac:dyDescent="0.2">
      <c r="C1594" s="206"/>
      <c r="D1594" s="206"/>
      <c r="E1594" s="206"/>
      <c r="BK1594" s="58"/>
      <c r="BL1594" s="58"/>
      <c r="BM1594" s="58"/>
      <c r="BN1594" s="58"/>
    </row>
    <row r="1595" spans="3:66" x14ac:dyDescent="0.2">
      <c r="C1595" s="207"/>
      <c r="D1595" s="206"/>
      <c r="E1595" s="206"/>
      <c r="BK1595" s="58"/>
      <c r="BL1595" s="58"/>
      <c r="BM1595" s="58"/>
      <c r="BN1595" s="58"/>
    </row>
    <row r="1596" spans="3:66" x14ac:dyDescent="0.2">
      <c r="C1596" s="206"/>
      <c r="D1596" s="206"/>
      <c r="E1596" s="206"/>
      <c r="BK1596" s="58"/>
      <c r="BL1596" s="58"/>
      <c r="BM1596" s="58"/>
      <c r="BN1596" s="58"/>
    </row>
    <row r="1597" spans="3:66" x14ac:dyDescent="0.2">
      <c r="C1597" s="207"/>
      <c r="D1597" s="206"/>
      <c r="E1597" s="206"/>
      <c r="BK1597" s="58"/>
      <c r="BL1597" s="58"/>
      <c r="BM1597" s="58"/>
      <c r="BN1597" s="58"/>
    </row>
    <row r="1598" spans="3:66" x14ac:dyDescent="0.2">
      <c r="C1598" s="206"/>
      <c r="D1598" s="206"/>
      <c r="E1598" s="206"/>
      <c r="BK1598" s="58"/>
      <c r="BL1598" s="58"/>
      <c r="BM1598" s="58"/>
      <c r="BN1598" s="58"/>
    </row>
    <row r="1599" spans="3:66" x14ac:dyDescent="0.2">
      <c r="C1599" s="206"/>
      <c r="D1599" s="206"/>
      <c r="E1599" s="206"/>
      <c r="BK1599" s="58"/>
      <c r="BL1599" s="58"/>
      <c r="BM1599" s="58"/>
      <c r="BN1599" s="58"/>
    </row>
    <row r="1600" spans="3:66" x14ac:dyDescent="0.2">
      <c r="C1600" s="206"/>
      <c r="D1600" s="206"/>
      <c r="E1600" s="206"/>
      <c r="BK1600" s="58"/>
      <c r="BL1600" s="58"/>
      <c r="BM1600" s="58"/>
      <c r="BN1600" s="58"/>
    </row>
    <row r="1601" spans="3:66" x14ac:dyDescent="0.2">
      <c r="C1601" s="206"/>
      <c r="D1601" s="206"/>
      <c r="E1601" s="206"/>
      <c r="BK1601" s="58"/>
      <c r="BL1601" s="58"/>
      <c r="BM1601" s="58"/>
      <c r="BN1601" s="58"/>
    </row>
    <row r="1602" spans="3:66" x14ac:dyDescent="0.2">
      <c r="C1602" s="207"/>
      <c r="D1602" s="206"/>
      <c r="E1602" s="206"/>
      <c r="BK1602" s="58"/>
      <c r="BL1602" s="58"/>
      <c r="BM1602" s="58"/>
      <c r="BN1602" s="58"/>
    </row>
    <row r="1603" spans="3:66" x14ac:dyDescent="0.2">
      <c r="C1603" s="207"/>
      <c r="D1603" s="206"/>
      <c r="E1603" s="206"/>
      <c r="BK1603" s="58"/>
      <c r="BL1603" s="58"/>
      <c r="BM1603" s="58"/>
      <c r="BN1603" s="58"/>
    </row>
    <row r="1604" spans="3:66" x14ac:dyDescent="0.2">
      <c r="C1604" s="206"/>
      <c r="D1604" s="206"/>
      <c r="E1604" s="206"/>
      <c r="BK1604" s="58"/>
      <c r="BL1604" s="58"/>
      <c r="BM1604" s="58"/>
      <c r="BN1604" s="58"/>
    </row>
    <row r="1605" spans="3:66" x14ac:dyDescent="0.2">
      <c r="C1605" s="206"/>
      <c r="D1605" s="206"/>
      <c r="E1605" s="206"/>
      <c r="BK1605" s="58"/>
      <c r="BL1605" s="58"/>
      <c r="BM1605" s="58"/>
      <c r="BN1605" s="58"/>
    </row>
    <row r="1606" spans="3:66" x14ac:dyDescent="0.2">
      <c r="C1606" s="206"/>
      <c r="D1606" s="206"/>
      <c r="E1606" s="206"/>
      <c r="BK1606" s="58"/>
      <c r="BL1606" s="58"/>
      <c r="BM1606" s="58"/>
      <c r="BN1606" s="58"/>
    </row>
    <row r="1607" spans="3:66" x14ac:dyDescent="0.2">
      <c r="C1607" s="206"/>
      <c r="D1607" s="206"/>
      <c r="E1607" s="206"/>
      <c r="BK1607" s="58"/>
      <c r="BL1607" s="58"/>
      <c r="BM1607" s="58"/>
      <c r="BN1607" s="58"/>
    </row>
    <row r="1608" spans="3:66" x14ac:dyDescent="0.2">
      <c r="C1608" s="206"/>
      <c r="D1608" s="206"/>
      <c r="E1608" s="206"/>
      <c r="BK1608" s="58"/>
      <c r="BL1608" s="58"/>
      <c r="BM1608" s="58"/>
      <c r="BN1608" s="58"/>
    </row>
    <row r="1609" spans="3:66" x14ac:dyDescent="0.2">
      <c r="C1609" s="206"/>
      <c r="D1609" s="206"/>
      <c r="E1609" s="206"/>
      <c r="BK1609" s="58"/>
      <c r="BL1609" s="58"/>
      <c r="BM1609" s="58"/>
      <c r="BN1609" s="58"/>
    </row>
    <row r="1610" spans="3:66" x14ac:dyDescent="0.2">
      <c r="C1610" s="207"/>
      <c r="D1610" s="206"/>
      <c r="E1610" s="206"/>
      <c r="BK1610" s="58"/>
      <c r="BL1610" s="58"/>
      <c r="BM1610" s="58"/>
      <c r="BN1610" s="58"/>
    </row>
    <row r="1611" spans="3:66" x14ac:dyDescent="0.2">
      <c r="C1611" s="207"/>
      <c r="D1611" s="206"/>
      <c r="E1611" s="206"/>
      <c r="G1611" s="208"/>
      <c r="BK1611" s="58"/>
      <c r="BL1611" s="58"/>
      <c r="BM1611" s="58"/>
      <c r="BN1611" s="58"/>
    </row>
    <row r="1612" spans="3:66" x14ac:dyDescent="0.2">
      <c r="C1612" s="206"/>
      <c r="D1612" s="206"/>
      <c r="E1612" s="206"/>
      <c r="BK1612" s="58"/>
      <c r="BL1612" s="58"/>
      <c r="BM1612" s="58"/>
      <c r="BN1612" s="58"/>
    </row>
    <row r="1613" spans="3:66" x14ac:dyDescent="0.2">
      <c r="C1613" s="206"/>
      <c r="D1613" s="206"/>
      <c r="E1613" s="206"/>
      <c r="BK1613" s="58"/>
      <c r="BL1613" s="58"/>
      <c r="BM1613" s="58"/>
      <c r="BN1613" s="58"/>
    </row>
    <row r="1614" spans="3:66" x14ac:dyDescent="0.2">
      <c r="C1614" s="206"/>
      <c r="D1614" s="206"/>
      <c r="E1614" s="206"/>
      <c r="BK1614" s="58"/>
      <c r="BL1614" s="58"/>
      <c r="BM1614" s="58"/>
      <c r="BN1614" s="58"/>
    </row>
    <row r="1615" spans="3:66" x14ac:dyDescent="0.2">
      <c r="C1615" s="206"/>
      <c r="D1615" s="206"/>
      <c r="E1615" s="206"/>
      <c r="BK1615" s="58"/>
      <c r="BL1615" s="58"/>
      <c r="BM1615" s="58"/>
      <c r="BN1615" s="58"/>
    </row>
    <row r="1616" spans="3:66" x14ac:dyDescent="0.2">
      <c r="C1616" s="206"/>
      <c r="D1616" s="206"/>
      <c r="E1616" s="206"/>
      <c r="BK1616" s="58"/>
      <c r="BL1616" s="58"/>
      <c r="BM1616" s="58"/>
      <c r="BN1616" s="58"/>
    </row>
    <row r="1617" spans="3:66" x14ac:dyDescent="0.2">
      <c r="C1617" s="206"/>
      <c r="D1617" s="206"/>
      <c r="E1617" s="206"/>
      <c r="BK1617" s="58"/>
      <c r="BL1617" s="58"/>
      <c r="BM1617" s="58"/>
      <c r="BN1617" s="58"/>
    </row>
    <row r="1618" spans="3:66" x14ac:dyDescent="0.2">
      <c r="C1618" s="206"/>
      <c r="D1618" s="206"/>
      <c r="E1618" s="206"/>
      <c r="BK1618" s="58"/>
      <c r="BL1618" s="58"/>
      <c r="BM1618" s="58"/>
      <c r="BN1618" s="58"/>
    </row>
    <row r="1619" spans="3:66" x14ac:dyDescent="0.2">
      <c r="C1619" s="206"/>
      <c r="D1619" s="206"/>
      <c r="E1619" s="206"/>
      <c r="BK1619" s="58"/>
      <c r="BL1619" s="58"/>
      <c r="BM1619" s="58"/>
      <c r="BN1619" s="58"/>
    </row>
    <row r="1620" spans="3:66" x14ac:dyDescent="0.2">
      <c r="C1620" s="206"/>
      <c r="D1620" s="206"/>
      <c r="E1620" s="206"/>
      <c r="BK1620" s="58"/>
      <c r="BL1620" s="58"/>
      <c r="BM1620" s="58"/>
      <c r="BN1620" s="58"/>
    </row>
    <row r="1621" spans="3:66" x14ac:dyDescent="0.2">
      <c r="C1621" s="207"/>
      <c r="D1621" s="206"/>
      <c r="E1621" s="206"/>
      <c r="BK1621" s="58"/>
      <c r="BL1621" s="58"/>
      <c r="BM1621" s="58"/>
      <c r="BN1621" s="58"/>
    </row>
    <row r="1622" spans="3:66" x14ac:dyDescent="0.2">
      <c r="C1622" s="207"/>
      <c r="D1622" s="206"/>
      <c r="E1622" s="206"/>
      <c r="BK1622" s="58"/>
      <c r="BL1622" s="58"/>
      <c r="BM1622" s="58"/>
      <c r="BN1622" s="58"/>
    </row>
    <row r="1623" spans="3:66" x14ac:dyDescent="0.2">
      <c r="C1623" s="206"/>
      <c r="D1623" s="206"/>
      <c r="E1623" s="206"/>
      <c r="BK1623" s="58"/>
      <c r="BL1623" s="58"/>
      <c r="BM1623" s="58"/>
      <c r="BN1623" s="58"/>
    </row>
    <row r="1624" spans="3:66" x14ac:dyDescent="0.2">
      <c r="C1624" s="206"/>
      <c r="D1624" s="206"/>
      <c r="E1624" s="206"/>
      <c r="BK1624" s="58"/>
      <c r="BL1624" s="58"/>
      <c r="BM1624" s="58"/>
      <c r="BN1624" s="58"/>
    </row>
    <row r="1625" spans="3:66" x14ac:dyDescent="0.2">
      <c r="C1625" s="206"/>
      <c r="D1625" s="206"/>
      <c r="E1625" s="206"/>
      <c r="BK1625" s="58"/>
      <c r="BL1625" s="58"/>
      <c r="BM1625" s="58"/>
      <c r="BN1625" s="58"/>
    </row>
    <row r="1626" spans="3:66" x14ac:dyDescent="0.2">
      <c r="C1626" s="206"/>
      <c r="D1626" s="206"/>
      <c r="E1626" s="206"/>
      <c r="BK1626" s="58"/>
      <c r="BL1626" s="58"/>
      <c r="BM1626" s="58"/>
      <c r="BN1626" s="58"/>
    </row>
    <row r="1627" spans="3:66" x14ac:dyDescent="0.2">
      <c r="C1627" s="206"/>
      <c r="D1627" s="206"/>
      <c r="E1627" s="206"/>
      <c r="BK1627" s="58"/>
      <c r="BL1627" s="58"/>
      <c r="BM1627" s="58"/>
      <c r="BN1627" s="58"/>
    </row>
    <row r="1628" spans="3:66" x14ac:dyDescent="0.2">
      <c r="C1628" s="206"/>
      <c r="D1628" s="206"/>
      <c r="E1628" s="206"/>
      <c r="BK1628" s="58"/>
      <c r="BL1628" s="58"/>
      <c r="BM1628" s="58"/>
      <c r="BN1628" s="58"/>
    </row>
    <row r="1629" spans="3:66" x14ac:dyDescent="0.2">
      <c r="C1629" s="207"/>
      <c r="D1629" s="206"/>
      <c r="E1629" s="206"/>
      <c r="BK1629" s="58"/>
      <c r="BL1629" s="58"/>
      <c r="BM1629" s="58"/>
      <c r="BN1629" s="58"/>
    </row>
    <row r="1630" spans="3:66" x14ac:dyDescent="0.2">
      <c r="C1630" s="206"/>
      <c r="D1630" s="206"/>
      <c r="E1630" s="206"/>
      <c r="BK1630" s="58"/>
      <c r="BL1630" s="58"/>
      <c r="BM1630" s="58"/>
      <c r="BN1630" s="58"/>
    </row>
    <row r="1631" spans="3:66" x14ac:dyDescent="0.2">
      <c r="C1631" s="207"/>
      <c r="D1631" s="206"/>
      <c r="E1631" s="206"/>
      <c r="BK1631" s="58"/>
      <c r="BL1631" s="58"/>
      <c r="BM1631" s="58"/>
      <c r="BN1631" s="58"/>
    </row>
    <row r="1632" spans="3:66" x14ac:dyDescent="0.2">
      <c r="C1632" s="206"/>
      <c r="D1632" s="206"/>
      <c r="E1632" s="206"/>
      <c r="BK1632" s="58"/>
      <c r="BL1632" s="58"/>
      <c r="BM1632" s="58"/>
      <c r="BN1632" s="58"/>
    </row>
    <row r="1633" spans="3:5" x14ac:dyDescent="0.2">
      <c r="C1633" s="206"/>
      <c r="D1633" s="206"/>
      <c r="E1633" s="206"/>
    </row>
    <row r="1634" spans="3:5" x14ac:dyDescent="0.2">
      <c r="C1634" s="207"/>
      <c r="D1634" s="206"/>
      <c r="E1634" s="206"/>
    </row>
    <row r="1635" spans="3:5" x14ac:dyDescent="0.2">
      <c r="C1635" s="206"/>
      <c r="D1635" s="206"/>
      <c r="E1635" s="206"/>
    </row>
    <row r="1636" spans="3:5" x14ac:dyDescent="0.2">
      <c r="C1636" s="206"/>
      <c r="D1636" s="206"/>
      <c r="E1636" s="206"/>
    </row>
    <row r="1637" spans="3:5" x14ac:dyDescent="0.2">
      <c r="C1637" s="206"/>
      <c r="D1637" s="206"/>
      <c r="E1637" s="206"/>
    </row>
    <row r="1638" spans="3:5" x14ac:dyDescent="0.2">
      <c r="C1638" s="206"/>
      <c r="D1638" s="206"/>
      <c r="E1638" s="206"/>
    </row>
    <row r="1639" spans="3:5" x14ac:dyDescent="0.2">
      <c r="C1639" s="206"/>
      <c r="D1639" s="206"/>
      <c r="E1639" s="206"/>
    </row>
    <row r="1640" spans="3:5" x14ac:dyDescent="0.2">
      <c r="C1640" s="206"/>
      <c r="D1640" s="206"/>
      <c r="E1640" s="206"/>
    </row>
    <row r="1641" spans="3:5" x14ac:dyDescent="0.2">
      <c r="C1641" s="207"/>
      <c r="D1641" s="206"/>
      <c r="E1641" s="206"/>
    </row>
    <row r="1642" spans="3:5" x14ac:dyDescent="0.2">
      <c r="C1642" s="206"/>
      <c r="D1642" s="206"/>
      <c r="E1642" s="206"/>
    </row>
    <row r="1643" spans="3:5" x14ac:dyDescent="0.2">
      <c r="C1643" s="206"/>
      <c r="D1643" s="206"/>
      <c r="E1643" s="206"/>
    </row>
    <row r="1644" spans="3:5" x14ac:dyDescent="0.2">
      <c r="C1644" s="206"/>
      <c r="D1644" s="206"/>
      <c r="E1644" s="206"/>
    </row>
    <row r="1645" spans="3:5" x14ac:dyDescent="0.2">
      <c r="C1645" s="206"/>
      <c r="D1645" s="206"/>
      <c r="E1645" s="206"/>
    </row>
    <row r="1646" spans="3:5" x14ac:dyDescent="0.2">
      <c r="C1646" s="206"/>
      <c r="D1646" s="206"/>
      <c r="E1646" s="206"/>
    </row>
    <row r="1647" spans="3:5" x14ac:dyDescent="0.2">
      <c r="C1647" s="206"/>
      <c r="D1647" s="206"/>
      <c r="E1647" s="206"/>
    </row>
    <row r="1648" spans="3:5" x14ac:dyDescent="0.2">
      <c r="C1648" s="206"/>
      <c r="D1648" s="206"/>
      <c r="E1648" s="206"/>
    </row>
    <row r="1649" spans="3:5" x14ac:dyDescent="0.2">
      <c r="C1649" s="206"/>
      <c r="D1649" s="206"/>
      <c r="E1649" s="206"/>
    </row>
    <row r="1650" spans="3:5" x14ac:dyDescent="0.2">
      <c r="C1650" s="207"/>
      <c r="D1650" s="206"/>
      <c r="E1650" s="206"/>
    </row>
    <row r="1651" spans="3:5" x14ac:dyDescent="0.2">
      <c r="C1651" s="206"/>
      <c r="D1651" s="206"/>
      <c r="E1651" s="206"/>
    </row>
    <row r="1652" spans="3:5" x14ac:dyDescent="0.2">
      <c r="C1652" s="206"/>
      <c r="D1652" s="206"/>
      <c r="E1652" s="206"/>
    </row>
    <row r="1653" spans="3:5" x14ac:dyDescent="0.2">
      <c r="C1653" s="206"/>
      <c r="D1653" s="206"/>
      <c r="E1653" s="206"/>
    </row>
    <row r="1654" spans="3:5" x14ac:dyDescent="0.2">
      <c r="C1654" s="206"/>
      <c r="D1654" s="206"/>
      <c r="E1654" s="206"/>
    </row>
    <row r="1655" spans="3:5" x14ac:dyDescent="0.2">
      <c r="C1655" s="206"/>
      <c r="D1655" s="206"/>
      <c r="E1655" s="206"/>
    </row>
    <row r="1656" spans="3:5" x14ac:dyDescent="0.2">
      <c r="C1656" s="207"/>
      <c r="D1656" s="206"/>
      <c r="E1656" s="206"/>
    </row>
    <row r="1657" spans="3:5" x14ac:dyDescent="0.2">
      <c r="C1657" s="206"/>
      <c r="D1657" s="206"/>
      <c r="E1657" s="206"/>
    </row>
    <row r="1658" spans="3:5" x14ac:dyDescent="0.2">
      <c r="C1658" s="206"/>
      <c r="D1658" s="206"/>
      <c r="E1658" s="206"/>
    </row>
    <row r="1659" spans="3:5" x14ac:dyDescent="0.2">
      <c r="C1659" s="206"/>
      <c r="D1659" s="206"/>
      <c r="E1659" s="206"/>
    </row>
    <row r="1660" spans="3:5" x14ac:dyDescent="0.2">
      <c r="C1660" s="207"/>
      <c r="D1660" s="206"/>
      <c r="E1660" s="206"/>
    </row>
    <row r="1661" spans="3:5" x14ac:dyDescent="0.2">
      <c r="C1661" s="206"/>
      <c r="D1661" s="206"/>
      <c r="E1661" s="206"/>
    </row>
    <row r="1662" spans="3:5" x14ac:dyDescent="0.2">
      <c r="C1662" s="206"/>
      <c r="D1662" s="206"/>
      <c r="E1662" s="206"/>
    </row>
    <row r="1663" spans="3:5" x14ac:dyDescent="0.2">
      <c r="C1663" s="206"/>
      <c r="D1663" s="206"/>
      <c r="E1663" s="206"/>
    </row>
    <row r="1664" spans="3:5" x14ac:dyDescent="0.2">
      <c r="C1664" s="206"/>
      <c r="D1664" s="206"/>
      <c r="E1664" s="206"/>
    </row>
    <row r="1665" spans="3:5" x14ac:dyDescent="0.2">
      <c r="C1665" s="206"/>
      <c r="D1665" s="206"/>
      <c r="E1665" s="206"/>
    </row>
    <row r="1666" spans="3:5" x14ac:dyDescent="0.2">
      <c r="C1666" s="206"/>
      <c r="D1666" s="206"/>
      <c r="E1666" s="206"/>
    </row>
    <row r="1667" spans="3:5" x14ac:dyDescent="0.2">
      <c r="C1667" s="206"/>
      <c r="D1667" s="206"/>
      <c r="E1667" s="206"/>
    </row>
    <row r="1668" spans="3:5" x14ac:dyDescent="0.2">
      <c r="C1668" s="206"/>
      <c r="D1668" s="206"/>
      <c r="E1668" s="206"/>
    </row>
    <row r="1669" spans="3:5" x14ac:dyDescent="0.2">
      <c r="C1669" s="206"/>
      <c r="D1669" s="206"/>
      <c r="E1669" s="206"/>
    </row>
    <row r="1670" spans="3:5" x14ac:dyDescent="0.2">
      <c r="C1670" s="206"/>
      <c r="D1670" s="206"/>
      <c r="E1670" s="206"/>
    </row>
    <row r="1671" spans="3:5" x14ac:dyDescent="0.2">
      <c r="C1671" s="206"/>
      <c r="D1671" s="206"/>
      <c r="E1671" s="206"/>
    </row>
    <row r="1672" spans="3:5" x14ac:dyDescent="0.2">
      <c r="C1672" s="206"/>
      <c r="D1672" s="206"/>
      <c r="E1672" s="206"/>
    </row>
    <row r="1673" spans="3:5" x14ac:dyDescent="0.2">
      <c r="C1673" s="207"/>
      <c r="D1673" s="206"/>
      <c r="E1673" s="206"/>
    </row>
    <row r="1674" spans="3:5" x14ac:dyDescent="0.2">
      <c r="C1674" s="206"/>
      <c r="D1674" s="206"/>
      <c r="E1674" s="206"/>
    </row>
    <row r="1675" spans="3:5" x14ac:dyDescent="0.2">
      <c r="C1675" s="206"/>
      <c r="D1675" s="206"/>
      <c r="E1675" s="206"/>
    </row>
    <row r="1676" spans="3:5" x14ac:dyDescent="0.2">
      <c r="C1676" s="206"/>
      <c r="D1676" s="206"/>
      <c r="E1676" s="206"/>
    </row>
    <row r="1677" spans="3:5" x14ac:dyDescent="0.2">
      <c r="C1677" s="206"/>
      <c r="D1677" s="206"/>
      <c r="E1677" s="206"/>
    </row>
    <row r="1678" spans="3:5" x14ac:dyDescent="0.2">
      <c r="C1678" s="206"/>
      <c r="D1678" s="206"/>
      <c r="E1678" s="206"/>
    </row>
    <row r="1679" spans="3:5" x14ac:dyDescent="0.2">
      <c r="C1679" s="206"/>
      <c r="D1679" s="206"/>
      <c r="E1679" s="206"/>
    </row>
    <row r="1680" spans="3:5" x14ac:dyDescent="0.2">
      <c r="C1680" s="206"/>
      <c r="D1680" s="206"/>
      <c r="E1680" s="206"/>
    </row>
    <row r="1681" spans="3:5" x14ac:dyDescent="0.2">
      <c r="C1681" s="206"/>
      <c r="D1681" s="206"/>
      <c r="E1681" s="206"/>
    </row>
    <row r="1682" spans="3:5" x14ac:dyDescent="0.2">
      <c r="C1682" s="206"/>
      <c r="D1682" s="206"/>
      <c r="E1682" s="206"/>
    </row>
    <row r="1683" spans="3:5" x14ac:dyDescent="0.2">
      <c r="C1683" s="206"/>
      <c r="D1683" s="206"/>
      <c r="E1683" s="206"/>
    </row>
    <row r="1684" spans="3:5" x14ac:dyDescent="0.2">
      <c r="C1684" s="206"/>
      <c r="D1684" s="206"/>
      <c r="E1684" s="206"/>
    </row>
    <row r="1685" spans="3:5" x14ac:dyDescent="0.2">
      <c r="C1685" s="206"/>
      <c r="D1685" s="206"/>
      <c r="E1685" s="206"/>
    </row>
    <row r="1686" spans="3:5" x14ac:dyDescent="0.2">
      <c r="C1686" s="206"/>
      <c r="D1686" s="206"/>
      <c r="E1686" s="206"/>
    </row>
    <row r="1687" spans="3:5" x14ac:dyDescent="0.2">
      <c r="C1687" s="207"/>
      <c r="D1687" s="206"/>
      <c r="E1687" s="206"/>
    </row>
    <row r="1688" spans="3:5" x14ac:dyDescent="0.2">
      <c r="C1688" s="206"/>
      <c r="D1688" s="206"/>
      <c r="E1688" s="206"/>
    </row>
    <row r="1689" spans="3:5" x14ac:dyDescent="0.2">
      <c r="C1689" s="206"/>
      <c r="D1689" s="206"/>
      <c r="E1689" s="206"/>
    </row>
    <row r="1690" spans="3:5" x14ac:dyDescent="0.2">
      <c r="C1690" s="207"/>
      <c r="D1690" s="206"/>
      <c r="E1690" s="206"/>
    </row>
    <row r="1691" spans="3:5" x14ac:dyDescent="0.2">
      <c r="C1691" s="207"/>
      <c r="D1691" s="206"/>
      <c r="E1691" s="206"/>
    </row>
    <row r="1692" spans="3:5" x14ac:dyDescent="0.2">
      <c r="C1692" s="206"/>
      <c r="D1692" s="206"/>
      <c r="E1692" s="206"/>
    </row>
    <row r="1693" spans="3:5" x14ac:dyDescent="0.2">
      <c r="C1693" s="206"/>
      <c r="D1693" s="206"/>
      <c r="E1693" s="206"/>
    </row>
    <row r="1694" spans="3:5" x14ac:dyDescent="0.2">
      <c r="C1694" s="206"/>
      <c r="D1694" s="206"/>
      <c r="E1694" s="206"/>
    </row>
    <row r="1695" spans="3:5" x14ac:dyDescent="0.2">
      <c r="C1695" s="207"/>
      <c r="D1695" s="206"/>
      <c r="E1695" s="206"/>
    </row>
    <row r="1696" spans="3:5" x14ac:dyDescent="0.2">
      <c r="C1696" s="206"/>
      <c r="D1696" s="206"/>
      <c r="E1696" s="206"/>
    </row>
    <row r="1697" spans="3:5" x14ac:dyDescent="0.2">
      <c r="C1697" s="206"/>
      <c r="D1697" s="206"/>
      <c r="E1697" s="206"/>
    </row>
    <row r="1698" spans="3:5" x14ac:dyDescent="0.2">
      <c r="C1698" s="206"/>
      <c r="D1698" s="206"/>
      <c r="E1698" s="206"/>
    </row>
    <row r="1699" spans="3:5" x14ac:dyDescent="0.2">
      <c r="C1699" s="206"/>
      <c r="D1699" s="206"/>
      <c r="E1699" s="206"/>
    </row>
    <row r="1700" spans="3:5" x14ac:dyDescent="0.2">
      <c r="C1700" s="206"/>
      <c r="D1700" s="206"/>
      <c r="E1700" s="206"/>
    </row>
    <row r="1701" spans="3:5" x14ac:dyDescent="0.2">
      <c r="C1701" s="206"/>
      <c r="D1701" s="206"/>
      <c r="E1701" s="206"/>
    </row>
    <row r="1702" spans="3:5" x14ac:dyDescent="0.2">
      <c r="C1702" s="206"/>
      <c r="D1702" s="206"/>
      <c r="E1702" s="206"/>
    </row>
    <row r="1703" spans="3:5" x14ac:dyDescent="0.2">
      <c r="C1703" s="206"/>
      <c r="D1703" s="206"/>
      <c r="E1703" s="206"/>
    </row>
    <row r="1704" spans="3:5" x14ac:dyDescent="0.2">
      <c r="C1704" s="206"/>
      <c r="D1704" s="206"/>
      <c r="E1704" s="206"/>
    </row>
    <row r="1705" spans="3:5" x14ac:dyDescent="0.2">
      <c r="C1705" s="207"/>
      <c r="D1705" s="206"/>
      <c r="E1705" s="206"/>
    </row>
    <row r="1706" spans="3:5" x14ac:dyDescent="0.2">
      <c r="C1706" s="206"/>
      <c r="D1706" s="206"/>
      <c r="E1706" s="206"/>
    </row>
    <row r="1707" spans="3:5" x14ac:dyDescent="0.2">
      <c r="C1707" s="206"/>
      <c r="D1707" s="206"/>
      <c r="E1707" s="206"/>
    </row>
    <row r="1708" spans="3:5" x14ac:dyDescent="0.2">
      <c r="C1708" s="207"/>
      <c r="D1708" s="206"/>
      <c r="E1708" s="206"/>
    </row>
    <row r="1709" spans="3:5" x14ac:dyDescent="0.2">
      <c r="C1709" s="207"/>
      <c r="D1709" s="206"/>
      <c r="E1709" s="206"/>
    </row>
    <row r="1710" spans="3:5" x14ac:dyDescent="0.2">
      <c r="C1710" s="206"/>
      <c r="D1710" s="206"/>
      <c r="E1710" s="206"/>
    </row>
    <row r="1711" spans="3:5" x14ac:dyDescent="0.2">
      <c r="C1711" s="206"/>
      <c r="D1711" s="206"/>
      <c r="E1711" s="206"/>
    </row>
    <row r="1712" spans="3:5" x14ac:dyDescent="0.2">
      <c r="C1712" s="206"/>
      <c r="D1712" s="206"/>
      <c r="E1712" s="206"/>
    </row>
    <row r="1713" spans="3:5" x14ac:dyDescent="0.2">
      <c r="C1713" s="207"/>
      <c r="D1713" s="206"/>
      <c r="E1713" s="206"/>
    </row>
    <row r="1714" spans="3:5" x14ac:dyDescent="0.2">
      <c r="C1714" s="207"/>
      <c r="D1714" s="206"/>
      <c r="E1714" s="206"/>
    </row>
    <row r="1715" spans="3:5" x14ac:dyDescent="0.2">
      <c r="C1715" s="206"/>
      <c r="D1715" s="206"/>
      <c r="E1715" s="206"/>
    </row>
    <row r="1716" spans="3:5" x14ac:dyDescent="0.2">
      <c r="C1716" s="206"/>
      <c r="D1716" s="206"/>
      <c r="E1716" s="206"/>
    </row>
    <row r="1717" spans="3:5" x14ac:dyDescent="0.2">
      <c r="C1717" s="206"/>
      <c r="D1717" s="206"/>
      <c r="E1717" s="206"/>
    </row>
    <row r="1718" spans="3:5" x14ac:dyDescent="0.2">
      <c r="C1718" s="206"/>
      <c r="D1718" s="206"/>
      <c r="E1718" s="206"/>
    </row>
    <row r="1719" spans="3:5" x14ac:dyDescent="0.2">
      <c r="C1719" s="206"/>
      <c r="D1719" s="206"/>
      <c r="E1719" s="206"/>
    </row>
    <row r="1720" spans="3:5" x14ac:dyDescent="0.2">
      <c r="C1720" s="206"/>
      <c r="D1720" s="206"/>
      <c r="E1720" s="206"/>
    </row>
    <row r="1721" spans="3:5" x14ac:dyDescent="0.2">
      <c r="C1721" s="206"/>
      <c r="D1721" s="206"/>
      <c r="E1721" s="206"/>
    </row>
    <row r="1722" spans="3:5" x14ac:dyDescent="0.2">
      <c r="C1722" s="207"/>
      <c r="D1722" s="206"/>
      <c r="E1722" s="206"/>
    </row>
    <row r="1723" spans="3:5" x14ac:dyDescent="0.2">
      <c r="C1723" s="206"/>
      <c r="D1723" s="206"/>
      <c r="E1723" s="206"/>
    </row>
    <row r="1724" spans="3:5" x14ac:dyDescent="0.2">
      <c r="C1724" s="207"/>
      <c r="D1724" s="206"/>
      <c r="E1724" s="206"/>
    </row>
    <row r="1725" spans="3:5" x14ac:dyDescent="0.2">
      <c r="C1725" s="207"/>
      <c r="D1725" s="206"/>
      <c r="E1725" s="206"/>
    </row>
    <row r="1726" spans="3:5" x14ac:dyDescent="0.2">
      <c r="C1726" s="206"/>
      <c r="D1726" s="206"/>
      <c r="E1726" s="206"/>
    </row>
    <row r="1727" spans="3:5" x14ac:dyDescent="0.2">
      <c r="C1727" s="207"/>
      <c r="D1727" s="206"/>
      <c r="E1727" s="206"/>
    </row>
    <row r="1728" spans="3:5" x14ac:dyDescent="0.2">
      <c r="C1728" s="206"/>
      <c r="D1728" s="206"/>
      <c r="E1728" s="206"/>
    </row>
    <row r="1729" spans="3:5" x14ac:dyDescent="0.2">
      <c r="C1729" s="206"/>
      <c r="D1729" s="206"/>
      <c r="E1729" s="206"/>
    </row>
    <row r="1730" spans="3:5" x14ac:dyDescent="0.2">
      <c r="C1730" s="206"/>
      <c r="D1730" s="206"/>
      <c r="E1730" s="206"/>
    </row>
    <row r="1731" spans="3:5" x14ac:dyDescent="0.2">
      <c r="C1731" s="206"/>
      <c r="D1731" s="206"/>
      <c r="E1731" s="206"/>
    </row>
    <row r="1732" spans="3:5" x14ac:dyDescent="0.2">
      <c r="C1732" s="206"/>
      <c r="D1732" s="206"/>
      <c r="E1732" s="206"/>
    </row>
    <row r="1733" spans="3:5" x14ac:dyDescent="0.2">
      <c r="C1733" s="206"/>
      <c r="D1733" s="206"/>
      <c r="E1733" s="206"/>
    </row>
    <row r="1734" spans="3:5" x14ac:dyDescent="0.2">
      <c r="C1734" s="206"/>
      <c r="D1734" s="206"/>
      <c r="E1734" s="206"/>
    </row>
    <row r="1735" spans="3:5" x14ac:dyDescent="0.2">
      <c r="C1735" s="206"/>
      <c r="D1735" s="206"/>
      <c r="E1735" s="206"/>
    </row>
    <row r="1736" spans="3:5" x14ac:dyDescent="0.2">
      <c r="C1736" s="206"/>
      <c r="D1736" s="206"/>
      <c r="E1736" s="206"/>
    </row>
    <row r="1737" spans="3:5" x14ac:dyDescent="0.2">
      <c r="C1737" s="206"/>
      <c r="D1737" s="206"/>
      <c r="E1737" s="206"/>
    </row>
    <row r="1738" spans="3:5" x14ac:dyDescent="0.2">
      <c r="C1738" s="206"/>
      <c r="D1738" s="206"/>
      <c r="E1738" s="206"/>
    </row>
    <row r="1739" spans="3:5" x14ac:dyDescent="0.2">
      <c r="C1739" s="206"/>
      <c r="D1739" s="206"/>
      <c r="E1739" s="206"/>
    </row>
    <row r="1740" spans="3:5" x14ac:dyDescent="0.2">
      <c r="C1740" s="207"/>
      <c r="D1740" s="206"/>
      <c r="E1740" s="206"/>
    </row>
    <row r="1741" spans="3:5" x14ac:dyDescent="0.2">
      <c r="C1741" s="206"/>
      <c r="D1741" s="206"/>
      <c r="E1741" s="206"/>
    </row>
    <row r="1742" spans="3:5" x14ac:dyDescent="0.2">
      <c r="C1742" s="207"/>
      <c r="D1742" s="206"/>
      <c r="E1742" s="206"/>
    </row>
    <row r="1743" spans="3:5" x14ac:dyDescent="0.2">
      <c r="C1743" s="207"/>
      <c r="D1743" s="206"/>
      <c r="E1743" s="206"/>
    </row>
    <row r="1744" spans="3:5" x14ac:dyDescent="0.2">
      <c r="C1744" s="207"/>
      <c r="D1744" s="206"/>
      <c r="E1744" s="206"/>
    </row>
    <row r="1745" spans="3:5" x14ac:dyDescent="0.2">
      <c r="C1745" s="206"/>
      <c r="D1745" s="206"/>
      <c r="E1745" s="206"/>
    </row>
    <row r="1746" spans="3:5" x14ac:dyDescent="0.2">
      <c r="C1746" s="206"/>
      <c r="D1746" s="206"/>
      <c r="E1746" s="206"/>
    </row>
    <row r="1747" spans="3:5" x14ac:dyDescent="0.2">
      <c r="C1747" s="206"/>
      <c r="D1747" s="206"/>
      <c r="E1747" s="206"/>
    </row>
    <row r="1748" spans="3:5" x14ac:dyDescent="0.2">
      <c r="C1748" s="207"/>
      <c r="D1748" s="206"/>
      <c r="E1748" s="206"/>
    </row>
    <row r="1749" spans="3:5" x14ac:dyDescent="0.2">
      <c r="C1749" s="206"/>
      <c r="D1749" s="206"/>
      <c r="E1749" s="206"/>
    </row>
    <row r="1750" spans="3:5" x14ac:dyDescent="0.2">
      <c r="C1750" s="206"/>
      <c r="D1750" s="206"/>
      <c r="E1750" s="206"/>
    </row>
    <row r="1751" spans="3:5" x14ac:dyDescent="0.2">
      <c r="C1751" s="206"/>
      <c r="D1751" s="206"/>
      <c r="E1751" s="206"/>
    </row>
    <row r="1752" spans="3:5" x14ac:dyDescent="0.2">
      <c r="C1752" s="206"/>
      <c r="D1752" s="206"/>
      <c r="E1752" s="206"/>
    </row>
    <row r="1753" spans="3:5" x14ac:dyDescent="0.2">
      <c r="C1753" s="206"/>
      <c r="D1753" s="206"/>
      <c r="E1753" s="206"/>
    </row>
    <row r="1754" spans="3:5" x14ac:dyDescent="0.2">
      <c r="C1754" s="206"/>
      <c r="D1754" s="206"/>
      <c r="E1754" s="206"/>
    </row>
    <row r="1755" spans="3:5" x14ac:dyDescent="0.2">
      <c r="C1755" s="206"/>
      <c r="D1755" s="206"/>
      <c r="E1755" s="206"/>
    </row>
    <row r="1756" spans="3:5" x14ac:dyDescent="0.2">
      <c r="C1756" s="206"/>
      <c r="D1756" s="206"/>
      <c r="E1756" s="206"/>
    </row>
    <row r="1757" spans="3:5" x14ac:dyDescent="0.2">
      <c r="C1757" s="206"/>
      <c r="D1757" s="206"/>
      <c r="E1757" s="206"/>
    </row>
    <row r="1758" spans="3:5" x14ac:dyDescent="0.2">
      <c r="C1758" s="206"/>
      <c r="D1758" s="206"/>
      <c r="E1758" s="206"/>
    </row>
    <row r="1759" spans="3:5" x14ac:dyDescent="0.2">
      <c r="C1759" s="206"/>
      <c r="D1759" s="206"/>
      <c r="E1759" s="206"/>
    </row>
    <row r="1760" spans="3:5" x14ac:dyDescent="0.2">
      <c r="C1760" s="207"/>
      <c r="D1760" s="206"/>
      <c r="E1760" s="206"/>
    </row>
    <row r="1761" spans="3:5" x14ac:dyDescent="0.2">
      <c r="C1761" s="206"/>
      <c r="D1761" s="206"/>
      <c r="E1761" s="206"/>
    </row>
    <row r="1762" spans="3:5" x14ac:dyDescent="0.2">
      <c r="C1762" s="206"/>
      <c r="D1762" s="206"/>
      <c r="E1762" s="206"/>
    </row>
    <row r="1763" spans="3:5" x14ac:dyDescent="0.2">
      <c r="C1763" s="206"/>
      <c r="D1763" s="206"/>
      <c r="E1763" s="206"/>
    </row>
    <row r="1764" spans="3:5" x14ac:dyDescent="0.2">
      <c r="C1764" s="207"/>
      <c r="D1764" s="206"/>
      <c r="E1764" s="206"/>
    </row>
    <row r="1765" spans="3:5" x14ac:dyDescent="0.2">
      <c r="C1765" s="206"/>
      <c r="D1765" s="206"/>
      <c r="E1765" s="206"/>
    </row>
    <row r="1766" spans="3:5" x14ac:dyDescent="0.2">
      <c r="C1766" s="206"/>
      <c r="D1766" s="206"/>
      <c r="E1766" s="206"/>
    </row>
    <row r="1767" spans="3:5" x14ac:dyDescent="0.2">
      <c r="C1767" s="207"/>
      <c r="D1767" s="206"/>
      <c r="E1767" s="206"/>
    </row>
    <row r="1768" spans="3:5" x14ac:dyDescent="0.2">
      <c r="C1768" s="207"/>
      <c r="D1768" s="206"/>
      <c r="E1768" s="206"/>
    </row>
    <row r="1769" spans="3:5" x14ac:dyDescent="0.2">
      <c r="C1769" s="206"/>
      <c r="D1769" s="206"/>
      <c r="E1769" s="206"/>
    </row>
    <row r="1770" spans="3:5" x14ac:dyDescent="0.2">
      <c r="C1770" s="206"/>
      <c r="D1770" s="206"/>
      <c r="E1770" s="206"/>
    </row>
    <row r="1771" spans="3:5" x14ac:dyDescent="0.2">
      <c r="C1771" s="206"/>
      <c r="D1771" s="206"/>
      <c r="E1771" s="206"/>
    </row>
    <row r="1772" spans="3:5" x14ac:dyDescent="0.2">
      <c r="C1772" s="206"/>
      <c r="D1772" s="206"/>
      <c r="E1772" s="206"/>
    </row>
    <row r="1773" spans="3:5" x14ac:dyDescent="0.2">
      <c r="C1773" s="206"/>
      <c r="D1773" s="206"/>
      <c r="E1773" s="206"/>
    </row>
    <row r="1774" spans="3:5" x14ac:dyDescent="0.2">
      <c r="C1774" s="206"/>
      <c r="D1774" s="206"/>
      <c r="E1774" s="206"/>
    </row>
    <row r="1775" spans="3:5" x14ac:dyDescent="0.2">
      <c r="C1775" s="206"/>
      <c r="D1775" s="206"/>
      <c r="E1775" s="206"/>
    </row>
    <row r="1776" spans="3:5" x14ac:dyDescent="0.2">
      <c r="C1776" s="206"/>
      <c r="D1776" s="206"/>
      <c r="E1776" s="206"/>
    </row>
    <row r="1777" spans="3:5" x14ac:dyDescent="0.2">
      <c r="C1777" s="206"/>
      <c r="D1777" s="206"/>
      <c r="E1777" s="206"/>
    </row>
    <row r="1778" spans="3:5" x14ac:dyDescent="0.2">
      <c r="C1778" s="206"/>
      <c r="D1778" s="206"/>
      <c r="E1778" s="206"/>
    </row>
    <row r="1779" spans="3:5" x14ac:dyDescent="0.2">
      <c r="C1779" s="206"/>
      <c r="D1779" s="206"/>
      <c r="E1779" s="206"/>
    </row>
    <row r="1780" spans="3:5" x14ac:dyDescent="0.2">
      <c r="C1780" s="206"/>
      <c r="D1780" s="206"/>
      <c r="E1780" s="206"/>
    </row>
    <row r="1781" spans="3:5" x14ac:dyDescent="0.2">
      <c r="C1781" s="206"/>
      <c r="D1781" s="206"/>
      <c r="E1781" s="206"/>
    </row>
    <row r="1782" spans="3:5" x14ac:dyDescent="0.2">
      <c r="C1782" s="206"/>
      <c r="D1782" s="206"/>
      <c r="E1782" s="206"/>
    </row>
    <row r="1783" spans="3:5" x14ac:dyDescent="0.2">
      <c r="C1783" s="206"/>
      <c r="D1783" s="206"/>
      <c r="E1783" s="206"/>
    </row>
    <row r="1784" spans="3:5" x14ac:dyDescent="0.2">
      <c r="C1784" s="206"/>
      <c r="D1784" s="206"/>
      <c r="E1784" s="206"/>
    </row>
    <row r="1785" spans="3:5" x14ac:dyDescent="0.2">
      <c r="C1785" s="206"/>
      <c r="D1785" s="206"/>
      <c r="E1785" s="206"/>
    </row>
    <row r="1786" spans="3:5" x14ac:dyDescent="0.2">
      <c r="C1786" s="206"/>
      <c r="D1786" s="206"/>
      <c r="E1786" s="206"/>
    </row>
    <row r="1787" spans="3:5" x14ac:dyDescent="0.2">
      <c r="C1787" s="206"/>
      <c r="D1787" s="206"/>
      <c r="E1787" s="206"/>
    </row>
    <row r="1788" spans="3:5" x14ac:dyDescent="0.2">
      <c r="C1788" s="206"/>
      <c r="D1788" s="206"/>
      <c r="E1788" s="206"/>
    </row>
    <row r="1789" spans="3:5" x14ac:dyDescent="0.2">
      <c r="C1789" s="206"/>
      <c r="D1789" s="206"/>
      <c r="E1789" s="206"/>
    </row>
    <row r="1790" spans="3:5" x14ac:dyDescent="0.2">
      <c r="C1790" s="206"/>
      <c r="D1790" s="206"/>
      <c r="E1790" s="206"/>
    </row>
    <row r="1791" spans="3:5" x14ac:dyDescent="0.2">
      <c r="C1791" s="206"/>
      <c r="D1791" s="206"/>
      <c r="E1791" s="206"/>
    </row>
    <row r="1792" spans="3:5" x14ac:dyDescent="0.2">
      <c r="C1792" s="206"/>
      <c r="D1792" s="206"/>
      <c r="E1792" s="206"/>
    </row>
    <row r="1793" spans="3:5" x14ac:dyDescent="0.2">
      <c r="C1793" s="206"/>
      <c r="D1793" s="206"/>
      <c r="E1793" s="206"/>
    </row>
    <row r="1794" spans="3:5" x14ac:dyDescent="0.2">
      <c r="C1794" s="206"/>
      <c r="D1794" s="206"/>
      <c r="E1794" s="206"/>
    </row>
    <row r="1795" spans="3:5" x14ac:dyDescent="0.2">
      <c r="C1795" s="206"/>
      <c r="D1795" s="206"/>
      <c r="E1795" s="206"/>
    </row>
    <row r="1796" spans="3:5" x14ac:dyDescent="0.2">
      <c r="C1796" s="207"/>
      <c r="D1796" s="206"/>
      <c r="E1796" s="206"/>
    </row>
    <row r="1797" spans="3:5" x14ac:dyDescent="0.2">
      <c r="C1797" s="206"/>
      <c r="D1797" s="206"/>
      <c r="E1797" s="206"/>
    </row>
    <row r="1798" spans="3:5" x14ac:dyDescent="0.2">
      <c r="C1798" s="206"/>
      <c r="D1798" s="206"/>
      <c r="E1798" s="206"/>
    </row>
    <row r="1799" spans="3:5" x14ac:dyDescent="0.2">
      <c r="C1799" s="207"/>
      <c r="D1799" s="206"/>
      <c r="E1799" s="206"/>
    </row>
    <row r="1800" spans="3:5" x14ac:dyDescent="0.2">
      <c r="C1800" s="206"/>
      <c r="D1800" s="206"/>
      <c r="E1800" s="206"/>
    </row>
    <row r="1801" spans="3:5" x14ac:dyDescent="0.2">
      <c r="C1801" s="206"/>
      <c r="D1801" s="206"/>
      <c r="E1801" s="206"/>
    </row>
    <row r="1802" spans="3:5" x14ac:dyDescent="0.2">
      <c r="C1802" s="206"/>
      <c r="D1802" s="206"/>
      <c r="E1802" s="206"/>
    </row>
    <row r="1803" spans="3:5" x14ac:dyDescent="0.2">
      <c r="C1803" s="206"/>
      <c r="D1803" s="206"/>
      <c r="E1803" s="206"/>
    </row>
    <row r="1804" spans="3:5" x14ac:dyDescent="0.2">
      <c r="C1804" s="206"/>
      <c r="D1804" s="206"/>
      <c r="E1804" s="206"/>
    </row>
    <row r="1805" spans="3:5" x14ac:dyDescent="0.2">
      <c r="C1805" s="206"/>
      <c r="D1805" s="206"/>
      <c r="E1805" s="206"/>
    </row>
    <row r="1806" spans="3:5" x14ac:dyDescent="0.2">
      <c r="C1806" s="206"/>
      <c r="D1806" s="206"/>
      <c r="E1806" s="206"/>
    </row>
    <row r="1807" spans="3:5" x14ac:dyDescent="0.2">
      <c r="C1807" s="207"/>
      <c r="D1807" s="206"/>
      <c r="E1807" s="206"/>
    </row>
    <row r="1808" spans="3:5" x14ac:dyDescent="0.2">
      <c r="C1808" s="206"/>
      <c r="D1808" s="206"/>
      <c r="E1808" s="206"/>
    </row>
    <row r="1809" spans="3:5" x14ac:dyDescent="0.2">
      <c r="C1809" s="206"/>
      <c r="D1809" s="206"/>
      <c r="E1809" s="206"/>
    </row>
    <row r="1810" spans="3:5" x14ac:dyDescent="0.2">
      <c r="C1810" s="207"/>
      <c r="D1810" s="206"/>
      <c r="E1810" s="206"/>
    </row>
    <row r="1811" spans="3:5" x14ac:dyDescent="0.2">
      <c r="C1811" s="206"/>
      <c r="D1811" s="206"/>
      <c r="E1811" s="206"/>
    </row>
    <row r="1812" spans="3:5" x14ac:dyDescent="0.2">
      <c r="C1812" s="206"/>
      <c r="D1812" s="206"/>
      <c r="E1812" s="206"/>
    </row>
    <row r="1813" spans="3:5" x14ac:dyDescent="0.2">
      <c r="C1813" s="206"/>
      <c r="D1813" s="206"/>
      <c r="E1813" s="206"/>
    </row>
    <row r="1814" spans="3:5" x14ac:dyDescent="0.2">
      <c r="C1814" s="206"/>
      <c r="D1814" s="206"/>
      <c r="E1814" s="206"/>
    </row>
    <row r="1815" spans="3:5" x14ac:dyDescent="0.2">
      <c r="C1815" s="206"/>
      <c r="D1815" s="206"/>
      <c r="E1815" s="206"/>
    </row>
    <row r="1816" spans="3:5" x14ac:dyDescent="0.2">
      <c r="C1816" s="206"/>
      <c r="D1816" s="206"/>
      <c r="E1816" s="206"/>
    </row>
    <row r="1817" spans="3:5" x14ac:dyDescent="0.2">
      <c r="C1817" s="207"/>
      <c r="D1817" s="206"/>
      <c r="E1817" s="206"/>
    </row>
    <row r="1818" spans="3:5" x14ac:dyDescent="0.2">
      <c r="C1818" s="206"/>
      <c r="D1818" s="206"/>
      <c r="E1818" s="206"/>
    </row>
    <row r="1819" spans="3:5" x14ac:dyDescent="0.2">
      <c r="C1819" s="207"/>
      <c r="D1819" s="206"/>
      <c r="E1819" s="206"/>
    </row>
    <row r="1820" spans="3:5" x14ac:dyDescent="0.2">
      <c r="C1820" s="207"/>
      <c r="D1820" s="206"/>
      <c r="E1820" s="206"/>
    </row>
    <row r="1821" spans="3:5" x14ac:dyDescent="0.2">
      <c r="C1821" s="206"/>
      <c r="D1821" s="206"/>
      <c r="E1821" s="206"/>
    </row>
    <row r="1822" spans="3:5" x14ac:dyDescent="0.2">
      <c r="C1822" s="207"/>
      <c r="D1822" s="206"/>
      <c r="E1822" s="206"/>
    </row>
    <row r="1823" spans="3:5" x14ac:dyDescent="0.2">
      <c r="C1823" s="206"/>
      <c r="D1823" s="206"/>
      <c r="E1823" s="206"/>
    </row>
    <row r="1824" spans="3:5" x14ac:dyDescent="0.2">
      <c r="C1824" s="206"/>
      <c r="D1824" s="206"/>
      <c r="E1824" s="206"/>
    </row>
    <row r="1825" spans="3:5" x14ac:dyDescent="0.2">
      <c r="C1825" s="207"/>
      <c r="D1825" s="206"/>
      <c r="E1825" s="206"/>
    </row>
    <row r="1826" spans="3:5" x14ac:dyDescent="0.2">
      <c r="C1826" s="206"/>
      <c r="D1826" s="206"/>
      <c r="E1826" s="206"/>
    </row>
    <row r="1827" spans="3:5" x14ac:dyDescent="0.2">
      <c r="C1827" s="206"/>
      <c r="D1827" s="206"/>
      <c r="E1827" s="206"/>
    </row>
    <row r="1828" spans="3:5" x14ac:dyDescent="0.2">
      <c r="C1828" s="206"/>
      <c r="D1828" s="206"/>
      <c r="E1828" s="206"/>
    </row>
    <row r="1829" spans="3:5" x14ac:dyDescent="0.2">
      <c r="C1829" s="206"/>
      <c r="D1829" s="206"/>
      <c r="E1829" s="206"/>
    </row>
    <row r="1830" spans="3:5" x14ac:dyDescent="0.2">
      <c r="C1830" s="206"/>
      <c r="D1830" s="206"/>
      <c r="E1830" s="206"/>
    </row>
    <row r="1831" spans="3:5" x14ac:dyDescent="0.2">
      <c r="C1831" s="206"/>
      <c r="D1831" s="206"/>
      <c r="E1831" s="206"/>
    </row>
    <row r="1832" spans="3:5" x14ac:dyDescent="0.2">
      <c r="C1832" s="207"/>
      <c r="D1832" s="206"/>
      <c r="E1832" s="206"/>
    </row>
    <row r="1833" spans="3:5" x14ac:dyDescent="0.2">
      <c r="C1833" s="207"/>
      <c r="D1833" s="206"/>
      <c r="E1833" s="206"/>
    </row>
    <row r="1834" spans="3:5" x14ac:dyDescent="0.2">
      <c r="C1834" s="207"/>
      <c r="D1834" s="206"/>
      <c r="E1834" s="206"/>
    </row>
    <row r="1835" spans="3:5" x14ac:dyDescent="0.2">
      <c r="C1835" s="207"/>
      <c r="D1835" s="206"/>
      <c r="E1835" s="206"/>
    </row>
    <row r="1836" spans="3:5" x14ac:dyDescent="0.2">
      <c r="C1836" s="206"/>
      <c r="D1836" s="206"/>
      <c r="E1836" s="206"/>
    </row>
    <row r="1837" spans="3:5" x14ac:dyDescent="0.2">
      <c r="C1837" s="206"/>
      <c r="D1837" s="206"/>
      <c r="E1837" s="206"/>
    </row>
    <row r="1838" spans="3:5" x14ac:dyDescent="0.2">
      <c r="C1838" s="207"/>
      <c r="D1838" s="206"/>
      <c r="E1838" s="206"/>
    </row>
    <row r="1839" spans="3:5" x14ac:dyDescent="0.2">
      <c r="C1839" s="206"/>
      <c r="D1839" s="206"/>
      <c r="E1839" s="206"/>
    </row>
    <row r="1840" spans="3:5" x14ac:dyDescent="0.2">
      <c r="C1840" s="206"/>
      <c r="D1840" s="206"/>
      <c r="E1840" s="206"/>
    </row>
    <row r="1841" spans="3:5" x14ac:dyDescent="0.2">
      <c r="C1841" s="207"/>
      <c r="D1841" s="206"/>
      <c r="E1841" s="206"/>
    </row>
    <row r="1842" spans="3:5" x14ac:dyDescent="0.2">
      <c r="C1842" s="206"/>
      <c r="D1842" s="206"/>
      <c r="E1842" s="206"/>
    </row>
    <row r="1843" spans="3:5" x14ac:dyDescent="0.2">
      <c r="C1843" s="207"/>
      <c r="D1843" s="206"/>
      <c r="E1843" s="206"/>
    </row>
    <row r="1844" spans="3:5" x14ac:dyDescent="0.2">
      <c r="C1844" s="206"/>
      <c r="D1844" s="206"/>
      <c r="E1844" s="206"/>
    </row>
    <row r="1845" spans="3:5" x14ac:dyDescent="0.2">
      <c r="C1845" s="206"/>
      <c r="D1845" s="206"/>
      <c r="E1845" s="206"/>
    </row>
    <row r="1846" spans="3:5" x14ac:dyDescent="0.2">
      <c r="C1846" s="206"/>
      <c r="D1846" s="206"/>
      <c r="E1846" s="206"/>
    </row>
    <row r="1847" spans="3:5" x14ac:dyDescent="0.2">
      <c r="C1847" s="206"/>
      <c r="D1847" s="206"/>
      <c r="E1847" s="206"/>
    </row>
    <row r="1848" spans="3:5" x14ac:dyDescent="0.2">
      <c r="C1848" s="207"/>
      <c r="D1848" s="206"/>
      <c r="E1848" s="206"/>
    </row>
    <row r="1849" spans="3:5" x14ac:dyDescent="0.2">
      <c r="C1849" s="207"/>
      <c r="D1849" s="206"/>
      <c r="E1849" s="206"/>
    </row>
    <row r="1850" spans="3:5" x14ac:dyDescent="0.2">
      <c r="C1850" s="207"/>
      <c r="D1850" s="206"/>
      <c r="E1850" s="206"/>
    </row>
    <row r="1851" spans="3:5" x14ac:dyDescent="0.2">
      <c r="C1851" s="206"/>
      <c r="D1851" s="206"/>
      <c r="E1851" s="206"/>
    </row>
    <row r="1852" spans="3:5" x14ac:dyDescent="0.2">
      <c r="C1852" s="206"/>
      <c r="D1852" s="206"/>
      <c r="E1852" s="206"/>
    </row>
    <row r="1853" spans="3:5" x14ac:dyDescent="0.2">
      <c r="C1853" s="206"/>
      <c r="D1853" s="206"/>
      <c r="E1853" s="206"/>
    </row>
    <row r="1854" spans="3:5" x14ac:dyDescent="0.2">
      <c r="C1854" s="206"/>
      <c r="D1854" s="206"/>
      <c r="E1854" s="206"/>
    </row>
    <row r="1855" spans="3:5" x14ac:dyDescent="0.2">
      <c r="C1855" s="206"/>
      <c r="D1855" s="206"/>
      <c r="E1855" s="206"/>
    </row>
    <row r="1856" spans="3:5" x14ac:dyDescent="0.2">
      <c r="C1856" s="206"/>
      <c r="D1856" s="206"/>
      <c r="E1856" s="206"/>
    </row>
    <row r="1857" spans="3:5" x14ac:dyDescent="0.2">
      <c r="C1857" s="206"/>
      <c r="D1857" s="206"/>
      <c r="E1857" s="206"/>
    </row>
    <row r="1858" spans="3:5" x14ac:dyDescent="0.2">
      <c r="C1858" s="206"/>
      <c r="D1858" s="206"/>
      <c r="E1858" s="206"/>
    </row>
    <row r="1859" spans="3:5" x14ac:dyDescent="0.2">
      <c r="C1859" s="206"/>
      <c r="D1859" s="206"/>
      <c r="E1859" s="206"/>
    </row>
    <row r="1860" spans="3:5" x14ac:dyDescent="0.2">
      <c r="C1860" s="207"/>
      <c r="D1860" s="206"/>
      <c r="E1860" s="206"/>
    </row>
    <row r="1861" spans="3:5" x14ac:dyDescent="0.2">
      <c r="C1861" s="206"/>
      <c r="D1861" s="206"/>
      <c r="E1861" s="206"/>
    </row>
    <row r="1862" spans="3:5" x14ac:dyDescent="0.2">
      <c r="C1862" s="207"/>
      <c r="D1862" s="206"/>
      <c r="E1862" s="206"/>
    </row>
    <row r="1863" spans="3:5" x14ac:dyDescent="0.2">
      <c r="C1863" s="206"/>
      <c r="D1863" s="206"/>
      <c r="E1863" s="206"/>
    </row>
    <row r="1864" spans="3:5" x14ac:dyDescent="0.2">
      <c r="C1864" s="207"/>
      <c r="D1864" s="206"/>
      <c r="E1864" s="206"/>
    </row>
    <row r="1865" spans="3:5" x14ac:dyDescent="0.2">
      <c r="C1865" s="207"/>
      <c r="D1865" s="206"/>
      <c r="E1865" s="206"/>
    </row>
    <row r="1866" spans="3:5" x14ac:dyDescent="0.2">
      <c r="C1866" s="206"/>
      <c r="D1866" s="206"/>
      <c r="E1866" s="206"/>
    </row>
    <row r="1867" spans="3:5" x14ac:dyDescent="0.2">
      <c r="C1867" s="206"/>
      <c r="D1867" s="206"/>
      <c r="E1867" s="206"/>
    </row>
    <row r="1868" spans="3:5" x14ac:dyDescent="0.2">
      <c r="C1868" s="207"/>
      <c r="D1868" s="206"/>
      <c r="E1868" s="206"/>
    </row>
    <row r="1869" spans="3:5" x14ac:dyDescent="0.2">
      <c r="C1869" s="207"/>
      <c r="D1869" s="206"/>
      <c r="E1869" s="206"/>
    </row>
    <row r="1870" spans="3:5" x14ac:dyDescent="0.2">
      <c r="C1870" s="207"/>
      <c r="D1870" s="206"/>
      <c r="E1870" s="206"/>
    </row>
    <row r="1871" spans="3:5" x14ac:dyDescent="0.2">
      <c r="C1871" s="206"/>
      <c r="D1871" s="206"/>
      <c r="E1871" s="206"/>
    </row>
    <row r="1872" spans="3:5" x14ac:dyDescent="0.2">
      <c r="C1872" s="206"/>
      <c r="D1872" s="206"/>
      <c r="E1872" s="206"/>
    </row>
    <row r="1873" spans="3:5" x14ac:dyDescent="0.2">
      <c r="C1873" s="207"/>
      <c r="D1873" s="206"/>
      <c r="E1873" s="206"/>
    </row>
    <row r="1874" spans="3:5" x14ac:dyDescent="0.2">
      <c r="C1874" s="206"/>
      <c r="D1874" s="206"/>
      <c r="E1874" s="206"/>
    </row>
    <row r="1875" spans="3:5" x14ac:dyDescent="0.2">
      <c r="C1875" s="206"/>
      <c r="D1875" s="206"/>
      <c r="E1875" s="206"/>
    </row>
    <row r="1876" spans="3:5" x14ac:dyDescent="0.2">
      <c r="C1876" s="206"/>
      <c r="D1876" s="206"/>
      <c r="E1876" s="206"/>
    </row>
    <row r="1877" spans="3:5" x14ac:dyDescent="0.2">
      <c r="C1877" s="206"/>
      <c r="D1877" s="206"/>
      <c r="E1877" s="206"/>
    </row>
    <row r="1878" spans="3:5" x14ac:dyDescent="0.2">
      <c r="C1878" s="207"/>
      <c r="D1878" s="206"/>
      <c r="E1878" s="206"/>
    </row>
    <row r="1879" spans="3:5" x14ac:dyDescent="0.2">
      <c r="C1879" s="207"/>
      <c r="D1879" s="206"/>
      <c r="E1879" s="206"/>
    </row>
    <row r="1880" spans="3:5" x14ac:dyDescent="0.2">
      <c r="C1880" s="206"/>
      <c r="D1880" s="206"/>
      <c r="E1880" s="206"/>
    </row>
    <row r="1881" spans="3:5" x14ac:dyDescent="0.2">
      <c r="C1881" s="206"/>
      <c r="D1881" s="206"/>
      <c r="E1881" s="206"/>
    </row>
    <row r="1882" spans="3:5" x14ac:dyDescent="0.2">
      <c r="C1882" s="206"/>
      <c r="D1882" s="206"/>
      <c r="E1882" s="206"/>
    </row>
    <row r="1883" spans="3:5" x14ac:dyDescent="0.2">
      <c r="C1883" s="207"/>
      <c r="D1883" s="206"/>
      <c r="E1883" s="206"/>
    </row>
    <row r="1884" spans="3:5" x14ac:dyDescent="0.2">
      <c r="C1884" s="207"/>
      <c r="D1884" s="206"/>
      <c r="E1884" s="206"/>
    </row>
    <row r="1885" spans="3:5" x14ac:dyDescent="0.2">
      <c r="C1885" s="207"/>
      <c r="D1885" s="206"/>
      <c r="E1885" s="206"/>
    </row>
    <row r="1886" spans="3:5" x14ac:dyDescent="0.2">
      <c r="C1886" s="207"/>
      <c r="D1886" s="206"/>
      <c r="E1886" s="206"/>
    </row>
    <row r="1887" spans="3:5" x14ac:dyDescent="0.2">
      <c r="C1887" s="207"/>
      <c r="D1887" s="206"/>
      <c r="E1887" s="206"/>
    </row>
    <row r="1888" spans="3:5" x14ac:dyDescent="0.2">
      <c r="C1888" s="206"/>
      <c r="D1888" s="206"/>
      <c r="E1888" s="206"/>
    </row>
    <row r="1889" spans="3:5" x14ac:dyDescent="0.2">
      <c r="C1889" s="206"/>
      <c r="D1889" s="206"/>
      <c r="E1889" s="206"/>
    </row>
    <row r="1890" spans="3:5" x14ac:dyDescent="0.2">
      <c r="C1890" s="207"/>
      <c r="D1890" s="206"/>
      <c r="E1890" s="206"/>
    </row>
    <row r="1891" spans="3:5" x14ac:dyDescent="0.2">
      <c r="C1891" s="207"/>
      <c r="D1891" s="206"/>
      <c r="E1891" s="206"/>
    </row>
    <row r="1892" spans="3:5" x14ac:dyDescent="0.2">
      <c r="C1892" s="207"/>
      <c r="D1892" s="206"/>
      <c r="E1892" s="206"/>
    </row>
    <row r="1893" spans="3:5" x14ac:dyDescent="0.2">
      <c r="C1893" s="206"/>
      <c r="D1893" s="206"/>
      <c r="E1893" s="206"/>
    </row>
    <row r="1894" spans="3:5" x14ac:dyDescent="0.2">
      <c r="C1894" s="206"/>
      <c r="D1894" s="206"/>
      <c r="E1894" s="206"/>
    </row>
    <row r="1895" spans="3:5" x14ac:dyDescent="0.2">
      <c r="C1895" s="206"/>
      <c r="D1895" s="206"/>
      <c r="E1895" s="206"/>
    </row>
    <row r="1896" spans="3:5" x14ac:dyDescent="0.2">
      <c r="C1896" s="206"/>
      <c r="D1896" s="206"/>
      <c r="E1896" s="206"/>
    </row>
    <row r="1897" spans="3:5" x14ac:dyDescent="0.2">
      <c r="C1897" s="207"/>
      <c r="D1897" s="206"/>
      <c r="E1897" s="206"/>
    </row>
    <row r="1898" spans="3:5" x14ac:dyDescent="0.2">
      <c r="C1898" s="207"/>
      <c r="D1898" s="206"/>
      <c r="E1898" s="206"/>
    </row>
    <row r="1899" spans="3:5" x14ac:dyDescent="0.2">
      <c r="C1899" s="206"/>
      <c r="D1899" s="206"/>
      <c r="E1899" s="206"/>
    </row>
    <row r="1900" spans="3:5" x14ac:dyDescent="0.2">
      <c r="C1900" s="206"/>
      <c r="D1900" s="206"/>
      <c r="E1900" s="206"/>
    </row>
    <row r="1901" spans="3:5" x14ac:dyDescent="0.2">
      <c r="C1901" s="206"/>
      <c r="D1901" s="206"/>
      <c r="E1901" s="206"/>
    </row>
    <row r="1902" spans="3:5" x14ac:dyDescent="0.2">
      <c r="C1902" s="206"/>
      <c r="D1902" s="206"/>
      <c r="E1902" s="206"/>
    </row>
    <row r="1903" spans="3:5" x14ac:dyDescent="0.2">
      <c r="C1903" s="207"/>
      <c r="D1903" s="206"/>
      <c r="E1903" s="206"/>
    </row>
    <row r="1904" spans="3:5" x14ac:dyDescent="0.2">
      <c r="C1904" s="206"/>
      <c r="D1904" s="206"/>
      <c r="E1904" s="206"/>
    </row>
    <row r="1905" spans="3:5" x14ac:dyDescent="0.2">
      <c r="C1905" s="207"/>
      <c r="D1905" s="206"/>
      <c r="E1905" s="206"/>
    </row>
    <row r="1906" spans="3:5" x14ac:dyDescent="0.2">
      <c r="C1906" s="206"/>
      <c r="D1906" s="206"/>
      <c r="E1906" s="206"/>
    </row>
    <row r="1907" spans="3:5" x14ac:dyDescent="0.2">
      <c r="C1907" s="206"/>
      <c r="D1907" s="206"/>
      <c r="E1907" s="206"/>
    </row>
    <row r="1908" spans="3:5" x14ac:dyDescent="0.2">
      <c r="C1908" s="206"/>
      <c r="D1908" s="206"/>
      <c r="E1908" s="206"/>
    </row>
    <row r="1909" spans="3:5" x14ac:dyDescent="0.2">
      <c r="C1909" s="206"/>
      <c r="D1909" s="206"/>
      <c r="E1909" s="206"/>
    </row>
    <row r="1910" spans="3:5" x14ac:dyDescent="0.2">
      <c r="C1910" s="206"/>
      <c r="D1910" s="206"/>
      <c r="E1910" s="206"/>
    </row>
    <row r="1911" spans="3:5" x14ac:dyDescent="0.2">
      <c r="C1911" s="207"/>
      <c r="D1911" s="206"/>
      <c r="E1911" s="206"/>
    </row>
    <row r="1912" spans="3:5" x14ac:dyDescent="0.2">
      <c r="C1912" s="206"/>
      <c r="D1912" s="206"/>
      <c r="E1912" s="206"/>
    </row>
    <row r="1913" spans="3:5" x14ac:dyDescent="0.2">
      <c r="C1913" s="206"/>
      <c r="D1913" s="206"/>
      <c r="E1913" s="206"/>
    </row>
    <row r="1914" spans="3:5" x14ac:dyDescent="0.2">
      <c r="C1914" s="206"/>
      <c r="D1914" s="206"/>
      <c r="E1914" s="206"/>
    </row>
    <row r="1915" spans="3:5" x14ac:dyDescent="0.2">
      <c r="C1915" s="207"/>
      <c r="D1915" s="206"/>
      <c r="E1915" s="206"/>
    </row>
    <row r="1916" spans="3:5" x14ac:dyDescent="0.2">
      <c r="C1916" s="206"/>
      <c r="D1916" s="206"/>
      <c r="E1916" s="206"/>
    </row>
    <row r="1917" spans="3:5" x14ac:dyDescent="0.2">
      <c r="C1917" s="206"/>
      <c r="D1917" s="206"/>
      <c r="E1917" s="206"/>
    </row>
    <row r="1918" spans="3:5" x14ac:dyDescent="0.2">
      <c r="C1918" s="206"/>
      <c r="D1918" s="206"/>
      <c r="E1918" s="206"/>
    </row>
    <row r="1919" spans="3:5" x14ac:dyDescent="0.2">
      <c r="C1919" s="206"/>
      <c r="D1919" s="206"/>
      <c r="E1919" s="206"/>
    </row>
    <row r="1920" spans="3:5" x14ac:dyDescent="0.2">
      <c r="C1920" s="207"/>
      <c r="D1920" s="206"/>
      <c r="E1920" s="206"/>
    </row>
    <row r="1921" spans="3:5" x14ac:dyDescent="0.2">
      <c r="C1921" s="207"/>
      <c r="D1921" s="206"/>
      <c r="E1921" s="206"/>
    </row>
    <row r="1922" spans="3:5" x14ac:dyDescent="0.2">
      <c r="C1922" s="206"/>
      <c r="D1922" s="206"/>
      <c r="E1922" s="206"/>
    </row>
    <row r="1923" spans="3:5" x14ac:dyDescent="0.2">
      <c r="C1923" s="206"/>
      <c r="D1923" s="206"/>
      <c r="E1923" s="206"/>
    </row>
    <row r="1924" spans="3:5" x14ac:dyDescent="0.2">
      <c r="C1924" s="206"/>
      <c r="D1924" s="206"/>
      <c r="E1924" s="206"/>
    </row>
    <row r="1925" spans="3:5" x14ac:dyDescent="0.2">
      <c r="C1925" s="207"/>
      <c r="D1925" s="206"/>
      <c r="E1925" s="206"/>
    </row>
    <row r="1926" spans="3:5" x14ac:dyDescent="0.2">
      <c r="C1926" s="207"/>
      <c r="D1926" s="206"/>
      <c r="E1926" s="206"/>
    </row>
    <row r="1927" spans="3:5" x14ac:dyDescent="0.2">
      <c r="C1927" s="206"/>
      <c r="D1927" s="206"/>
      <c r="E1927" s="206"/>
    </row>
    <row r="1928" spans="3:5" x14ac:dyDescent="0.2">
      <c r="C1928" s="206"/>
      <c r="D1928" s="206"/>
      <c r="E1928" s="206"/>
    </row>
    <row r="1929" spans="3:5" x14ac:dyDescent="0.2">
      <c r="C1929" s="207"/>
      <c r="D1929" s="206"/>
      <c r="E1929" s="206"/>
    </row>
    <row r="1930" spans="3:5" x14ac:dyDescent="0.2">
      <c r="C1930" s="206"/>
      <c r="D1930" s="206"/>
      <c r="E1930" s="206"/>
    </row>
    <row r="1931" spans="3:5" x14ac:dyDescent="0.2">
      <c r="C1931" s="207"/>
      <c r="D1931" s="206"/>
      <c r="E1931" s="206"/>
    </row>
    <row r="1932" spans="3:5" x14ac:dyDescent="0.2">
      <c r="C1932" s="207"/>
      <c r="D1932" s="206"/>
      <c r="E1932" s="206"/>
    </row>
    <row r="1933" spans="3:5" x14ac:dyDescent="0.2">
      <c r="C1933" s="207"/>
      <c r="D1933" s="206"/>
      <c r="E1933" s="206"/>
    </row>
    <row r="1934" spans="3:5" x14ac:dyDescent="0.2">
      <c r="C1934" s="206"/>
      <c r="D1934" s="206"/>
      <c r="E1934" s="206"/>
    </row>
    <row r="1935" spans="3:5" x14ac:dyDescent="0.2">
      <c r="C1935" s="206"/>
      <c r="D1935" s="206"/>
      <c r="E1935" s="206"/>
    </row>
    <row r="1936" spans="3:5" x14ac:dyDescent="0.2">
      <c r="C1936" s="206"/>
      <c r="D1936" s="206"/>
      <c r="E1936" s="206"/>
    </row>
    <row r="1937" spans="3:5" x14ac:dyDescent="0.2">
      <c r="C1937" s="206"/>
      <c r="D1937" s="206"/>
      <c r="E1937" s="206"/>
    </row>
    <row r="1938" spans="3:5" x14ac:dyDescent="0.2">
      <c r="C1938" s="207"/>
      <c r="D1938" s="206"/>
      <c r="E1938" s="206"/>
    </row>
    <row r="1939" spans="3:5" x14ac:dyDescent="0.2">
      <c r="C1939" s="207"/>
      <c r="D1939" s="206"/>
      <c r="E1939" s="206"/>
    </row>
    <row r="1940" spans="3:5" x14ac:dyDescent="0.2">
      <c r="C1940" s="207"/>
      <c r="D1940" s="206"/>
      <c r="E1940" s="206"/>
    </row>
    <row r="1941" spans="3:5" x14ac:dyDescent="0.2">
      <c r="C1941" s="206"/>
      <c r="D1941" s="206"/>
      <c r="E1941" s="206"/>
    </row>
    <row r="1942" spans="3:5" x14ac:dyDescent="0.2">
      <c r="C1942" s="207"/>
      <c r="D1942" s="206"/>
      <c r="E1942" s="206"/>
    </row>
    <row r="1943" spans="3:5" x14ac:dyDescent="0.2">
      <c r="C1943" s="207"/>
      <c r="D1943" s="206"/>
      <c r="E1943" s="206"/>
    </row>
    <row r="1944" spans="3:5" x14ac:dyDescent="0.2">
      <c r="C1944" s="206"/>
      <c r="D1944" s="206"/>
      <c r="E1944" s="206"/>
    </row>
    <row r="1945" spans="3:5" x14ac:dyDescent="0.2">
      <c r="C1945" s="206"/>
      <c r="D1945" s="206"/>
      <c r="E1945" s="206"/>
    </row>
    <row r="1946" spans="3:5" x14ac:dyDescent="0.2">
      <c r="C1946" s="206"/>
      <c r="D1946" s="206"/>
      <c r="E1946" s="206"/>
    </row>
    <row r="1947" spans="3:5" x14ac:dyDescent="0.2">
      <c r="C1947" s="206"/>
      <c r="D1947" s="206"/>
      <c r="E1947" s="206"/>
    </row>
    <row r="1948" spans="3:5" x14ac:dyDescent="0.2">
      <c r="C1948" s="207"/>
      <c r="D1948" s="206"/>
      <c r="E1948" s="206"/>
    </row>
    <row r="1949" spans="3:5" x14ac:dyDescent="0.2">
      <c r="C1949" s="207"/>
      <c r="D1949" s="206"/>
      <c r="E1949" s="206"/>
    </row>
    <row r="1950" spans="3:5" x14ac:dyDescent="0.2">
      <c r="C1950" s="206"/>
      <c r="D1950" s="206"/>
      <c r="E1950" s="206"/>
    </row>
    <row r="1951" spans="3:5" x14ac:dyDescent="0.2">
      <c r="C1951" s="206"/>
      <c r="D1951" s="206"/>
      <c r="E1951" s="206"/>
    </row>
    <row r="1952" spans="3:5" x14ac:dyDescent="0.2">
      <c r="C1952" s="206"/>
      <c r="D1952" s="206"/>
      <c r="E1952" s="206"/>
    </row>
    <row r="1953" spans="3:5" x14ac:dyDescent="0.2">
      <c r="C1953" s="206"/>
      <c r="D1953" s="206"/>
      <c r="E1953" s="206"/>
    </row>
    <row r="1954" spans="3:5" x14ac:dyDescent="0.2">
      <c r="C1954" s="206"/>
      <c r="D1954" s="206"/>
      <c r="E1954" s="206"/>
    </row>
    <row r="1955" spans="3:5" x14ac:dyDescent="0.2">
      <c r="C1955" s="206"/>
      <c r="D1955" s="206"/>
      <c r="E1955" s="206"/>
    </row>
    <row r="1956" spans="3:5" x14ac:dyDescent="0.2">
      <c r="C1956" s="206"/>
      <c r="D1956" s="206"/>
      <c r="E1956" s="206"/>
    </row>
    <row r="1957" spans="3:5" x14ac:dyDescent="0.2">
      <c r="C1957" s="206"/>
      <c r="D1957" s="206"/>
      <c r="E1957" s="206"/>
    </row>
    <row r="1958" spans="3:5" x14ac:dyDescent="0.2">
      <c r="C1958" s="206"/>
      <c r="D1958" s="206"/>
      <c r="E1958" s="206"/>
    </row>
    <row r="1959" spans="3:5" x14ac:dyDescent="0.2">
      <c r="C1959" s="207"/>
      <c r="D1959" s="206"/>
      <c r="E1959" s="206"/>
    </row>
    <row r="1960" spans="3:5" x14ac:dyDescent="0.2">
      <c r="C1960" s="206"/>
      <c r="D1960" s="206"/>
      <c r="E1960" s="206"/>
    </row>
    <row r="1961" spans="3:5" x14ac:dyDescent="0.2">
      <c r="C1961" s="206"/>
      <c r="D1961" s="206"/>
      <c r="E1961" s="206"/>
    </row>
    <row r="1962" spans="3:5" x14ac:dyDescent="0.2">
      <c r="C1962" s="206"/>
      <c r="D1962" s="206"/>
      <c r="E1962" s="206"/>
    </row>
    <row r="1963" spans="3:5" x14ac:dyDescent="0.2">
      <c r="C1963" s="206"/>
      <c r="D1963" s="206"/>
      <c r="E1963" s="206"/>
    </row>
    <row r="1964" spans="3:5" x14ac:dyDescent="0.2">
      <c r="C1964" s="207"/>
      <c r="D1964" s="206"/>
      <c r="E1964" s="206"/>
    </row>
    <row r="1965" spans="3:5" x14ac:dyDescent="0.2">
      <c r="C1965" s="206"/>
      <c r="D1965" s="206"/>
      <c r="E1965" s="206"/>
    </row>
    <row r="1966" spans="3:5" x14ac:dyDescent="0.2">
      <c r="C1966" s="206"/>
      <c r="D1966" s="206"/>
      <c r="E1966" s="206"/>
    </row>
    <row r="1967" spans="3:5" x14ac:dyDescent="0.2">
      <c r="C1967" s="206"/>
      <c r="D1967" s="206"/>
      <c r="E1967" s="206"/>
    </row>
    <row r="1968" spans="3:5" x14ac:dyDescent="0.2">
      <c r="C1968" s="206"/>
      <c r="D1968" s="206"/>
      <c r="E1968" s="206"/>
    </row>
    <row r="1969" spans="3:5" x14ac:dyDescent="0.2">
      <c r="C1969" s="206"/>
      <c r="D1969" s="206"/>
      <c r="E1969" s="206"/>
    </row>
    <row r="1970" spans="3:5" x14ac:dyDescent="0.2">
      <c r="C1970" s="207"/>
      <c r="D1970" s="206"/>
      <c r="E1970" s="206"/>
    </row>
    <row r="1971" spans="3:5" x14ac:dyDescent="0.2">
      <c r="C1971" s="207"/>
      <c r="D1971" s="206"/>
      <c r="E1971" s="206"/>
    </row>
    <row r="1972" spans="3:5" x14ac:dyDescent="0.2">
      <c r="C1972" s="206"/>
      <c r="D1972" s="206"/>
      <c r="E1972" s="206"/>
    </row>
    <row r="1973" spans="3:5" x14ac:dyDescent="0.2">
      <c r="C1973" s="206"/>
      <c r="D1973" s="206"/>
      <c r="E1973" s="206"/>
    </row>
    <row r="1974" spans="3:5" x14ac:dyDescent="0.2">
      <c r="C1974" s="206"/>
      <c r="D1974" s="206"/>
      <c r="E1974" s="206"/>
    </row>
    <row r="1975" spans="3:5" x14ac:dyDescent="0.2">
      <c r="C1975" s="207"/>
      <c r="D1975" s="206"/>
      <c r="E1975" s="206"/>
    </row>
    <row r="1976" spans="3:5" x14ac:dyDescent="0.2">
      <c r="C1976" s="207"/>
      <c r="D1976" s="206"/>
      <c r="E1976" s="206"/>
    </row>
    <row r="1977" spans="3:5" x14ac:dyDescent="0.2">
      <c r="C1977" s="206"/>
      <c r="D1977" s="206"/>
      <c r="E1977" s="206"/>
    </row>
    <row r="1978" spans="3:5" x14ac:dyDescent="0.2">
      <c r="C1978" s="206"/>
      <c r="D1978" s="206"/>
      <c r="E1978" s="206"/>
    </row>
    <row r="1979" spans="3:5" x14ac:dyDescent="0.2">
      <c r="C1979" s="206"/>
      <c r="D1979" s="206"/>
      <c r="E1979" s="206"/>
    </row>
    <row r="1980" spans="3:5" x14ac:dyDescent="0.2">
      <c r="C1980" s="207"/>
      <c r="D1980" s="206"/>
      <c r="E1980" s="206"/>
    </row>
    <row r="1981" spans="3:5" x14ac:dyDescent="0.2">
      <c r="C1981" s="207"/>
      <c r="D1981" s="206"/>
      <c r="E1981" s="206"/>
    </row>
    <row r="1982" spans="3:5" x14ac:dyDescent="0.2">
      <c r="C1982" s="206"/>
      <c r="D1982" s="206"/>
      <c r="E1982" s="206"/>
    </row>
    <row r="1983" spans="3:5" x14ac:dyDescent="0.2">
      <c r="C1983" s="207"/>
      <c r="D1983" s="206"/>
      <c r="E1983" s="206"/>
    </row>
    <row r="1984" spans="3:5" x14ac:dyDescent="0.2">
      <c r="C1984" s="206"/>
      <c r="D1984" s="206"/>
      <c r="E1984" s="206"/>
    </row>
    <row r="1985" spans="3:5" x14ac:dyDescent="0.2">
      <c r="C1985" s="206"/>
      <c r="D1985" s="206"/>
      <c r="E1985" s="206"/>
    </row>
    <row r="1986" spans="3:5" x14ac:dyDescent="0.2">
      <c r="C1986" s="207"/>
      <c r="D1986" s="206"/>
      <c r="E1986" s="206"/>
    </row>
    <row r="1987" spans="3:5" x14ac:dyDescent="0.2">
      <c r="C1987" s="207"/>
      <c r="D1987" s="206"/>
      <c r="E1987" s="206"/>
    </row>
    <row r="1988" spans="3:5" x14ac:dyDescent="0.2">
      <c r="C1988" s="207"/>
      <c r="D1988" s="206"/>
      <c r="E1988" s="206"/>
    </row>
    <row r="1989" spans="3:5" x14ac:dyDescent="0.2">
      <c r="C1989" s="206"/>
      <c r="D1989" s="206"/>
      <c r="E1989" s="206"/>
    </row>
    <row r="1990" spans="3:5" x14ac:dyDescent="0.2">
      <c r="C1990" s="207"/>
      <c r="D1990" s="206"/>
      <c r="E1990" s="206"/>
    </row>
    <row r="1991" spans="3:5" x14ac:dyDescent="0.2">
      <c r="C1991" s="206"/>
      <c r="D1991" s="206"/>
      <c r="E1991" s="206"/>
    </row>
    <row r="1992" spans="3:5" x14ac:dyDescent="0.2">
      <c r="C1992" s="206"/>
      <c r="D1992" s="206"/>
      <c r="E1992" s="206"/>
    </row>
    <row r="1993" spans="3:5" x14ac:dyDescent="0.2">
      <c r="C1993" s="206"/>
      <c r="D1993" s="206"/>
      <c r="E1993" s="206"/>
    </row>
    <row r="1994" spans="3:5" x14ac:dyDescent="0.2">
      <c r="C1994" s="206"/>
      <c r="D1994" s="206"/>
      <c r="E1994" s="206"/>
    </row>
    <row r="1995" spans="3:5" x14ac:dyDescent="0.2">
      <c r="C1995" s="206"/>
      <c r="D1995" s="206"/>
      <c r="E1995" s="206"/>
    </row>
    <row r="1996" spans="3:5" x14ac:dyDescent="0.2">
      <c r="C1996" s="206"/>
      <c r="D1996" s="206"/>
      <c r="E1996" s="206"/>
    </row>
    <row r="1997" spans="3:5" x14ac:dyDescent="0.2">
      <c r="C1997" s="207"/>
      <c r="D1997" s="206"/>
      <c r="E1997" s="206"/>
    </row>
    <row r="1998" spans="3:5" x14ac:dyDescent="0.2">
      <c r="C1998" s="207"/>
      <c r="D1998" s="206"/>
      <c r="E1998" s="206"/>
    </row>
    <row r="1999" spans="3:5" x14ac:dyDescent="0.2">
      <c r="C1999" s="207"/>
      <c r="D1999" s="206"/>
      <c r="E1999" s="206"/>
    </row>
    <row r="2000" spans="3:5" x14ac:dyDescent="0.2">
      <c r="C2000" s="206"/>
      <c r="D2000" s="206"/>
      <c r="E2000" s="206"/>
    </row>
    <row r="2001" spans="3:5" x14ac:dyDescent="0.2">
      <c r="C2001" s="206"/>
      <c r="D2001" s="206"/>
      <c r="E2001" s="206"/>
    </row>
    <row r="2002" spans="3:5" x14ac:dyDescent="0.2">
      <c r="C2002" s="207"/>
      <c r="D2002" s="206"/>
      <c r="E2002" s="206"/>
    </row>
    <row r="2003" spans="3:5" x14ac:dyDescent="0.2">
      <c r="C2003" s="207"/>
      <c r="D2003" s="206"/>
      <c r="E2003" s="206"/>
    </row>
    <row r="2004" spans="3:5" x14ac:dyDescent="0.2">
      <c r="C2004" s="206"/>
      <c r="D2004" s="206"/>
      <c r="E2004" s="206"/>
    </row>
    <row r="2005" spans="3:5" x14ac:dyDescent="0.2">
      <c r="C2005" s="207"/>
      <c r="D2005" s="206"/>
      <c r="E2005" s="206"/>
    </row>
    <row r="2006" spans="3:5" x14ac:dyDescent="0.2">
      <c r="C2006" s="207"/>
      <c r="D2006" s="206"/>
      <c r="E2006" s="206"/>
    </row>
    <row r="2007" spans="3:5" x14ac:dyDescent="0.2">
      <c r="C2007" s="207"/>
      <c r="D2007" s="206"/>
      <c r="E2007" s="206"/>
    </row>
    <row r="2008" spans="3:5" x14ac:dyDescent="0.2">
      <c r="C2008" s="207"/>
      <c r="D2008" s="206"/>
      <c r="E2008" s="206"/>
    </row>
    <row r="2009" spans="3:5" x14ac:dyDescent="0.2">
      <c r="C2009" s="206"/>
      <c r="D2009" s="206"/>
      <c r="E2009" s="206"/>
    </row>
    <row r="2010" spans="3:5" x14ac:dyDescent="0.2">
      <c r="C2010" s="206"/>
      <c r="D2010" s="206"/>
      <c r="E2010" s="206"/>
    </row>
    <row r="2011" spans="3:5" x14ac:dyDescent="0.2">
      <c r="C2011" s="206"/>
      <c r="D2011" s="206"/>
      <c r="E2011" s="206"/>
    </row>
    <row r="2012" spans="3:5" x14ac:dyDescent="0.2">
      <c r="C2012" s="206"/>
      <c r="D2012" s="206"/>
      <c r="E2012" s="206"/>
    </row>
    <row r="2013" spans="3:5" x14ac:dyDescent="0.2">
      <c r="C2013" s="206"/>
      <c r="D2013" s="206"/>
      <c r="E2013" s="206"/>
    </row>
    <row r="2014" spans="3:5" x14ac:dyDescent="0.2">
      <c r="C2014" s="207"/>
      <c r="D2014" s="206"/>
      <c r="E2014" s="206"/>
    </row>
    <row r="2015" spans="3:5" x14ac:dyDescent="0.2">
      <c r="C2015" s="207"/>
      <c r="D2015" s="206"/>
      <c r="E2015" s="206"/>
    </row>
    <row r="2016" spans="3:5" x14ac:dyDescent="0.2">
      <c r="C2016" s="207"/>
      <c r="D2016" s="206"/>
      <c r="E2016" s="206"/>
    </row>
    <row r="2017" spans="3:5" x14ac:dyDescent="0.2">
      <c r="C2017" s="206"/>
      <c r="D2017" s="206"/>
      <c r="E2017" s="206"/>
    </row>
    <row r="2018" spans="3:5" x14ac:dyDescent="0.2">
      <c r="C2018" s="206"/>
      <c r="D2018" s="206"/>
      <c r="E2018" s="206"/>
    </row>
    <row r="2019" spans="3:5" x14ac:dyDescent="0.2">
      <c r="C2019" s="206"/>
      <c r="D2019" s="206"/>
      <c r="E2019" s="206"/>
    </row>
    <row r="2020" spans="3:5" x14ac:dyDescent="0.2">
      <c r="C2020" s="207"/>
      <c r="D2020" s="206"/>
      <c r="E2020" s="206"/>
    </row>
    <row r="2021" spans="3:5" x14ac:dyDescent="0.2">
      <c r="C2021" s="207"/>
      <c r="D2021" s="206"/>
      <c r="E2021" s="206"/>
    </row>
    <row r="2022" spans="3:5" x14ac:dyDescent="0.2">
      <c r="C2022" s="207"/>
      <c r="D2022" s="206"/>
      <c r="E2022" s="206"/>
    </row>
    <row r="2023" spans="3:5" x14ac:dyDescent="0.2">
      <c r="C2023" s="207"/>
      <c r="D2023" s="206"/>
      <c r="E2023" s="206"/>
    </row>
    <row r="2024" spans="3:5" x14ac:dyDescent="0.2">
      <c r="C2024" s="207"/>
      <c r="D2024" s="206"/>
      <c r="E2024" s="206"/>
    </row>
    <row r="2025" spans="3:5" x14ac:dyDescent="0.2">
      <c r="C2025" s="207"/>
      <c r="D2025" s="206"/>
      <c r="E2025" s="206"/>
    </row>
    <row r="2026" spans="3:5" x14ac:dyDescent="0.2">
      <c r="C2026" s="206"/>
      <c r="D2026" s="206"/>
      <c r="E2026" s="206"/>
    </row>
    <row r="2027" spans="3:5" x14ac:dyDescent="0.2">
      <c r="C2027" s="207"/>
      <c r="D2027" s="206"/>
      <c r="E2027" s="206"/>
    </row>
    <row r="2028" spans="3:5" x14ac:dyDescent="0.2">
      <c r="C2028" s="206"/>
      <c r="D2028" s="206"/>
      <c r="E2028" s="206"/>
    </row>
    <row r="2029" spans="3:5" x14ac:dyDescent="0.2">
      <c r="C2029" s="207"/>
      <c r="D2029" s="206"/>
      <c r="E2029" s="206"/>
    </row>
    <row r="2030" spans="3:5" x14ac:dyDescent="0.2">
      <c r="C2030" s="206"/>
      <c r="D2030" s="206"/>
      <c r="E2030" s="206"/>
    </row>
    <row r="2031" spans="3:5" x14ac:dyDescent="0.2">
      <c r="C2031" s="207"/>
      <c r="D2031" s="206"/>
      <c r="E2031" s="206"/>
    </row>
    <row r="2032" spans="3:5" x14ac:dyDescent="0.2">
      <c r="C2032" s="206"/>
      <c r="D2032" s="206"/>
      <c r="E2032" s="206"/>
    </row>
    <row r="2033" spans="3:5" x14ac:dyDescent="0.2">
      <c r="C2033" s="206"/>
      <c r="D2033" s="206"/>
      <c r="E2033" s="206"/>
    </row>
    <row r="2034" spans="3:5" x14ac:dyDescent="0.2">
      <c r="C2034" s="207"/>
      <c r="D2034" s="206"/>
      <c r="E2034" s="206"/>
    </row>
    <row r="2035" spans="3:5" x14ac:dyDescent="0.2">
      <c r="C2035" s="207"/>
      <c r="D2035" s="206"/>
      <c r="E2035" s="206"/>
    </row>
    <row r="2036" spans="3:5" x14ac:dyDescent="0.2">
      <c r="C2036" s="206"/>
      <c r="D2036" s="206"/>
      <c r="E2036" s="206"/>
    </row>
    <row r="2037" spans="3:5" x14ac:dyDescent="0.2">
      <c r="C2037" s="206"/>
      <c r="D2037" s="206"/>
      <c r="E2037" s="206"/>
    </row>
    <row r="2038" spans="3:5" x14ac:dyDescent="0.2">
      <c r="C2038" s="207"/>
      <c r="D2038" s="206"/>
      <c r="E2038" s="206"/>
    </row>
    <row r="2039" spans="3:5" x14ac:dyDescent="0.2">
      <c r="C2039" s="207"/>
      <c r="D2039" s="206"/>
      <c r="E2039" s="206"/>
    </row>
    <row r="2040" spans="3:5" x14ac:dyDescent="0.2">
      <c r="C2040" s="207"/>
      <c r="D2040" s="206"/>
      <c r="E2040" s="206"/>
    </row>
    <row r="2041" spans="3:5" x14ac:dyDescent="0.2">
      <c r="C2041" s="207"/>
      <c r="D2041" s="206"/>
      <c r="E2041" s="206"/>
    </row>
    <row r="2042" spans="3:5" x14ac:dyDescent="0.2">
      <c r="C2042" s="207"/>
      <c r="D2042" s="206"/>
      <c r="E2042" s="206"/>
    </row>
    <row r="2043" spans="3:5" x14ac:dyDescent="0.2">
      <c r="C2043" s="207"/>
      <c r="D2043" s="206"/>
      <c r="E2043" s="206"/>
    </row>
    <row r="2044" spans="3:5" x14ac:dyDescent="0.2">
      <c r="C2044" s="207"/>
      <c r="D2044" s="206"/>
      <c r="E2044" s="206"/>
    </row>
    <row r="2045" spans="3:5" x14ac:dyDescent="0.2">
      <c r="C2045" s="206"/>
      <c r="D2045" s="206"/>
      <c r="E2045" s="206"/>
    </row>
    <row r="2046" spans="3:5" x14ac:dyDescent="0.2">
      <c r="C2046" s="206"/>
      <c r="D2046" s="206"/>
      <c r="E2046" s="206"/>
    </row>
    <row r="2047" spans="3:5" x14ac:dyDescent="0.2">
      <c r="C2047" s="206"/>
      <c r="D2047" s="206"/>
      <c r="E2047" s="206"/>
    </row>
    <row r="2048" spans="3:5" x14ac:dyDescent="0.2">
      <c r="C2048" s="207"/>
      <c r="D2048" s="206"/>
      <c r="E2048" s="206"/>
    </row>
    <row r="2049" spans="3:5" x14ac:dyDescent="0.2">
      <c r="C2049" s="207"/>
      <c r="D2049" s="206"/>
      <c r="E2049" s="206"/>
    </row>
    <row r="2050" spans="3:5" x14ac:dyDescent="0.2">
      <c r="C2050" s="207"/>
      <c r="D2050" s="206"/>
      <c r="E2050" s="206"/>
    </row>
    <row r="2051" spans="3:5" x14ac:dyDescent="0.2">
      <c r="C2051" s="206"/>
      <c r="D2051" s="206"/>
      <c r="E2051" s="206"/>
    </row>
    <row r="2052" spans="3:5" x14ac:dyDescent="0.2">
      <c r="C2052" s="207"/>
      <c r="D2052" s="206"/>
      <c r="E2052" s="206"/>
    </row>
    <row r="2053" spans="3:5" x14ac:dyDescent="0.2">
      <c r="C2053" s="207"/>
      <c r="D2053" s="206"/>
      <c r="E2053" s="206"/>
    </row>
    <row r="2054" spans="3:5" x14ac:dyDescent="0.2">
      <c r="C2054" s="207"/>
      <c r="D2054" s="206"/>
      <c r="E2054" s="206"/>
    </row>
    <row r="2055" spans="3:5" x14ac:dyDescent="0.2">
      <c r="C2055" s="207"/>
      <c r="D2055" s="206"/>
      <c r="E2055" s="206"/>
    </row>
    <row r="2056" spans="3:5" x14ac:dyDescent="0.2">
      <c r="C2056" s="207"/>
      <c r="D2056" s="206"/>
      <c r="E2056" s="206"/>
    </row>
    <row r="2057" spans="3:5" x14ac:dyDescent="0.2">
      <c r="C2057" s="207"/>
      <c r="D2057" s="206"/>
      <c r="E2057" s="206"/>
    </row>
    <row r="2058" spans="3:5" x14ac:dyDescent="0.2">
      <c r="C2058" s="207"/>
      <c r="D2058" s="206"/>
      <c r="E2058" s="206"/>
    </row>
    <row r="2059" spans="3:5" x14ac:dyDescent="0.2">
      <c r="C2059" s="206"/>
      <c r="D2059" s="206"/>
      <c r="E2059" s="206"/>
    </row>
    <row r="2060" spans="3:5" x14ac:dyDescent="0.2">
      <c r="C2060" s="207"/>
      <c r="D2060" s="206"/>
      <c r="E2060" s="206"/>
    </row>
    <row r="2061" spans="3:5" x14ac:dyDescent="0.2">
      <c r="C2061" s="206"/>
      <c r="D2061" s="206"/>
      <c r="E2061" s="206"/>
    </row>
    <row r="2062" spans="3:5" x14ac:dyDescent="0.2">
      <c r="C2062" s="207"/>
      <c r="D2062" s="206"/>
      <c r="E2062" s="206"/>
    </row>
    <row r="2063" spans="3:5" x14ac:dyDescent="0.2">
      <c r="C2063" s="206"/>
      <c r="D2063" s="206"/>
      <c r="E2063" s="206"/>
    </row>
    <row r="2064" spans="3:5" x14ac:dyDescent="0.2">
      <c r="C2064" s="206"/>
      <c r="D2064" s="206"/>
      <c r="E2064" s="206"/>
    </row>
    <row r="2065" spans="3:5" x14ac:dyDescent="0.2">
      <c r="C2065" s="206"/>
      <c r="D2065" s="206"/>
      <c r="E2065" s="206"/>
    </row>
    <row r="2066" spans="3:5" x14ac:dyDescent="0.2">
      <c r="C2066" s="206"/>
      <c r="D2066" s="206"/>
      <c r="E2066" s="206"/>
    </row>
    <row r="2067" spans="3:5" x14ac:dyDescent="0.2">
      <c r="C2067" s="207"/>
      <c r="D2067" s="206"/>
      <c r="E2067" s="206"/>
    </row>
    <row r="2068" spans="3:5" x14ac:dyDescent="0.2">
      <c r="C2068" s="207"/>
      <c r="D2068" s="206"/>
      <c r="E2068" s="206"/>
    </row>
    <row r="2069" spans="3:5" x14ac:dyDescent="0.2">
      <c r="C2069" s="206"/>
      <c r="D2069" s="206"/>
      <c r="E2069" s="206"/>
    </row>
    <row r="2070" spans="3:5" x14ac:dyDescent="0.2">
      <c r="C2070" s="207"/>
      <c r="D2070" s="206"/>
      <c r="E2070" s="206"/>
    </row>
    <row r="2071" spans="3:5" x14ac:dyDescent="0.2">
      <c r="C2071" s="206"/>
      <c r="D2071" s="206"/>
      <c r="E2071" s="206"/>
    </row>
    <row r="2072" spans="3:5" x14ac:dyDescent="0.2">
      <c r="C2072" s="207"/>
      <c r="D2072" s="206"/>
      <c r="E2072" s="206"/>
    </row>
    <row r="2073" spans="3:5" x14ac:dyDescent="0.2">
      <c r="C2073" s="207"/>
      <c r="D2073" s="206"/>
      <c r="E2073" s="206"/>
    </row>
    <row r="2074" spans="3:5" x14ac:dyDescent="0.2">
      <c r="C2074" s="207"/>
      <c r="D2074" s="206"/>
      <c r="E2074" s="206"/>
    </row>
    <row r="2075" spans="3:5" x14ac:dyDescent="0.2">
      <c r="C2075" s="206"/>
      <c r="D2075" s="206"/>
      <c r="E2075" s="206"/>
    </row>
    <row r="2076" spans="3:5" x14ac:dyDescent="0.2">
      <c r="C2076" s="206"/>
      <c r="D2076" s="206"/>
      <c r="E2076" s="206"/>
    </row>
    <row r="2077" spans="3:5" x14ac:dyDescent="0.2">
      <c r="C2077" s="207"/>
      <c r="D2077" s="206"/>
      <c r="E2077" s="206"/>
    </row>
    <row r="2078" spans="3:5" x14ac:dyDescent="0.2">
      <c r="C2078" s="206"/>
      <c r="D2078" s="206"/>
      <c r="E2078" s="206"/>
    </row>
    <row r="2079" spans="3:5" x14ac:dyDescent="0.2">
      <c r="C2079" s="207"/>
      <c r="D2079" s="206"/>
      <c r="E2079" s="206"/>
    </row>
    <row r="2080" spans="3:5" x14ac:dyDescent="0.2">
      <c r="C2080" s="207"/>
      <c r="D2080" s="206"/>
      <c r="E2080" s="206"/>
    </row>
    <row r="2081" spans="3:5" x14ac:dyDescent="0.2">
      <c r="C2081" s="206"/>
      <c r="D2081" s="206"/>
      <c r="E2081" s="206"/>
    </row>
    <row r="2082" spans="3:5" x14ac:dyDescent="0.2">
      <c r="C2082" s="207"/>
      <c r="D2082" s="206"/>
      <c r="E2082" s="206"/>
    </row>
    <row r="2083" spans="3:5" x14ac:dyDescent="0.2">
      <c r="C2083" s="206"/>
      <c r="D2083" s="206"/>
      <c r="E2083" s="206"/>
    </row>
    <row r="2084" spans="3:5" x14ac:dyDescent="0.2">
      <c r="C2084" s="206"/>
      <c r="D2084" s="206"/>
      <c r="E2084" s="206"/>
    </row>
    <row r="2085" spans="3:5" x14ac:dyDescent="0.2">
      <c r="C2085" s="206"/>
      <c r="D2085" s="206"/>
      <c r="E2085" s="206"/>
    </row>
    <row r="2086" spans="3:5" x14ac:dyDescent="0.2">
      <c r="C2086" s="206"/>
      <c r="D2086" s="206"/>
      <c r="E2086" s="206"/>
    </row>
    <row r="2087" spans="3:5" x14ac:dyDescent="0.2">
      <c r="C2087" s="206"/>
      <c r="D2087" s="206"/>
      <c r="E2087" s="206"/>
    </row>
    <row r="2088" spans="3:5" x14ac:dyDescent="0.2">
      <c r="C2088" s="206"/>
      <c r="D2088" s="206"/>
      <c r="E2088" s="206"/>
    </row>
    <row r="2089" spans="3:5" x14ac:dyDescent="0.2">
      <c r="C2089" s="207"/>
      <c r="D2089" s="206"/>
      <c r="E2089" s="206"/>
    </row>
    <row r="2090" spans="3:5" x14ac:dyDescent="0.2">
      <c r="C2090" s="207"/>
      <c r="D2090" s="206"/>
      <c r="E2090" s="206"/>
    </row>
    <row r="2091" spans="3:5" x14ac:dyDescent="0.2">
      <c r="C2091" s="207"/>
      <c r="D2091" s="206"/>
      <c r="E2091" s="206"/>
    </row>
    <row r="2092" spans="3:5" x14ac:dyDescent="0.2">
      <c r="C2092" s="207"/>
      <c r="D2092" s="206"/>
      <c r="E2092" s="206"/>
    </row>
    <row r="2093" spans="3:5" x14ac:dyDescent="0.2">
      <c r="C2093" s="206"/>
      <c r="D2093" s="206"/>
      <c r="E2093" s="206"/>
    </row>
    <row r="2094" spans="3:5" x14ac:dyDescent="0.2">
      <c r="C2094" s="207"/>
      <c r="D2094" s="206"/>
      <c r="E2094" s="206"/>
    </row>
    <row r="2095" spans="3:5" x14ac:dyDescent="0.2">
      <c r="C2095" s="207"/>
      <c r="D2095" s="206"/>
      <c r="E2095" s="206"/>
    </row>
    <row r="2096" spans="3:5" x14ac:dyDescent="0.2">
      <c r="C2096" s="206"/>
      <c r="D2096" s="206"/>
      <c r="E2096" s="206"/>
    </row>
    <row r="2097" spans="3:5" x14ac:dyDescent="0.2">
      <c r="C2097" s="207"/>
      <c r="D2097" s="206"/>
      <c r="E2097" s="206"/>
    </row>
    <row r="2098" spans="3:5" x14ac:dyDescent="0.2">
      <c r="C2098" s="207"/>
      <c r="D2098" s="206"/>
      <c r="E2098" s="206"/>
    </row>
    <row r="2099" spans="3:5" x14ac:dyDescent="0.2">
      <c r="C2099" s="206"/>
      <c r="D2099" s="206"/>
      <c r="E2099" s="206"/>
    </row>
    <row r="2100" spans="3:5" x14ac:dyDescent="0.2">
      <c r="C2100" s="206"/>
      <c r="D2100" s="206"/>
      <c r="E2100" s="206"/>
    </row>
    <row r="2101" spans="3:5" x14ac:dyDescent="0.2">
      <c r="C2101" s="206"/>
      <c r="D2101" s="206"/>
      <c r="E2101" s="206"/>
    </row>
    <row r="2102" spans="3:5" x14ac:dyDescent="0.2">
      <c r="C2102" s="206"/>
      <c r="D2102" s="206"/>
      <c r="E2102" s="206"/>
    </row>
    <row r="2103" spans="3:5" x14ac:dyDescent="0.2">
      <c r="C2103" s="207"/>
      <c r="D2103" s="206"/>
      <c r="E2103" s="206"/>
    </row>
    <row r="2104" spans="3:5" x14ac:dyDescent="0.2">
      <c r="C2104" s="206"/>
      <c r="D2104" s="206"/>
      <c r="E2104" s="206"/>
    </row>
    <row r="2105" spans="3:5" x14ac:dyDescent="0.2">
      <c r="C2105" s="207"/>
      <c r="D2105" s="206"/>
      <c r="E2105" s="206"/>
    </row>
    <row r="2106" spans="3:5" x14ac:dyDescent="0.2">
      <c r="C2106" s="207"/>
      <c r="D2106" s="206"/>
      <c r="E2106" s="206"/>
    </row>
    <row r="2107" spans="3:5" x14ac:dyDescent="0.2">
      <c r="C2107" s="206"/>
      <c r="D2107" s="206"/>
      <c r="E2107" s="206"/>
    </row>
    <row r="2108" spans="3:5" x14ac:dyDescent="0.2">
      <c r="C2108" s="207"/>
      <c r="D2108" s="206"/>
      <c r="E2108" s="206"/>
    </row>
    <row r="2109" spans="3:5" x14ac:dyDescent="0.2">
      <c r="C2109" s="206"/>
      <c r="D2109" s="206"/>
      <c r="E2109" s="206"/>
    </row>
    <row r="2110" spans="3:5" x14ac:dyDescent="0.2">
      <c r="C2110" s="206"/>
      <c r="D2110" s="206"/>
      <c r="E2110" s="206"/>
    </row>
    <row r="2111" spans="3:5" x14ac:dyDescent="0.2">
      <c r="C2111" s="206"/>
      <c r="D2111" s="206"/>
      <c r="E2111" s="206"/>
    </row>
    <row r="2112" spans="3:5" x14ac:dyDescent="0.2">
      <c r="C2112" s="207"/>
      <c r="D2112" s="206"/>
      <c r="E2112" s="206"/>
    </row>
    <row r="2113" spans="3:5" x14ac:dyDescent="0.2">
      <c r="C2113" s="206"/>
      <c r="D2113" s="206"/>
      <c r="E2113" s="206"/>
    </row>
    <row r="2114" spans="3:5" x14ac:dyDescent="0.2">
      <c r="C2114" s="207"/>
      <c r="D2114" s="206"/>
      <c r="E2114" s="206"/>
    </row>
    <row r="2115" spans="3:5" x14ac:dyDescent="0.2">
      <c r="C2115" s="206"/>
      <c r="D2115" s="206"/>
      <c r="E2115" s="206"/>
    </row>
    <row r="2116" spans="3:5" x14ac:dyDescent="0.2">
      <c r="C2116" s="207"/>
      <c r="D2116" s="206"/>
      <c r="E2116" s="206"/>
    </row>
    <row r="2117" spans="3:5" x14ac:dyDescent="0.2">
      <c r="C2117" s="206"/>
      <c r="D2117" s="206"/>
      <c r="E2117" s="206"/>
    </row>
    <row r="2118" spans="3:5" x14ac:dyDescent="0.2">
      <c r="C2118" s="206"/>
      <c r="D2118" s="206"/>
      <c r="E2118" s="206"/>
    </row>
    <row r="2119" spans="3:5" x14ac:dyDescent="0.2">
      <c r="C2119" s="206"/>
      <c r="D2119" s="206"/>
      <c r="E2119" s="206"/>
    </row>
    <row r="2120" spans="3:5" x14ac:dyDescent="0.2">
      <c r="C2120" s="207"/>
      <c r="D2120" s="206"/>
      <c r="E2120" s="206"/>
    </row>
    <row r="2121" spans="3:5" x14ac:dyDescent="0.2">
      <c r="C2121" s="206"/>
      <c r="D2121" s="206"/>
      <c r="E2121" s="206"/>
    </row>
    <row r="2122" spans="3:5" x14ac:dyDescent="0.2">
      <c r="C2122" s="206"/>
      <c r="D2122" s="206"/>
      <c r="E2122" s="206"/>
    </row>
    <row r="2123" spans="3:5" x14ac:dyDescent="0.2">
      <c r="C2123" s="207"/>
      <c r="D2123" s="206"/>
      <c r="E2123" s="206"/>
    </row>
    <row r="2124" spans="3:5" x14ac:dyDescent="0.2">
      <c r="C2124" s="207"/>
      <c r="D2124" s="206"/>
      <c r="E2124" s="206"/>
    </row>
    <row r="2125" spans="3:5" x14ac:dyDescent="0.2">
      <c r="C2125" s="206"/>
      <c r="D2125" s="206"/>
      <c r="E2125" s="206"/>
    </row>
    <row r="2126" spans="3:5" x14ac:dyDescent="0.2">
      <c r="C2126" s="207"/>
      <c r="D2126" s="206"/>
      <c r="E2126" s="206"/>
    </row>
    <row r="2127" spans="3:5" x14ac:dyDescent="0.2">
      <c r="C2127" s="206"/>
      <c r="D2127" s="206"/>
      <c r="E2127" s="206"/>
    </row>
    <row r="2128" spans="3:5" x14ac:dyDescent="0.2">
      <c r="C2128" s="206"/>
      <c r="D2128" s="206"/>
      <c r="E2128" s="206"/>
    </row>
    <row r="2129" spans="3:5" x14ac:dyDescent="0.2">
      <c r="C2129" s="207"/>
      <c r="D2129" s="206"/>
      <c r="E2129" s="206"/>
    </row>
    <row r="2130" spans="3:5" x14ac:dyDescent="0.2">
      <c r="C2130" s="206"/>
      <c r="D2130" s="206"/>
      <c r="E2130" s="206"/>
    </row>
    <row r="2131" spans="3:5" x14ac:dyDescent="0.2">
      <c r="C2131" s="207"/>
      <c r="D2131" s="206"/>
      <c r="E2131" s="206"/>
    </row>
    <row r="2132" spans="3:5" x14ac:dyDescent="0.2">
      <c r="C2132" s="206"/>
      <c r="D2132" s="206"/>
      <c r="E2132" s="206"/>
    </row>
    <row r="2133" spans="3:5" x14ac:dyDescent="0.2">
      <c r="C2133" s="206"/>
      <c r="D2133" s="206"/>
      <c r="E2133" s="206"/>
    </row>
    <row r="2134" spans="3:5" x14ac:dyDescent="0.2">
      <c r="C2134" s="206"/>
      <c r="D2134" s="206"/>
      <c r="E2134" s="206"/>
    </row>
    <row r="2135" spans="3:5" x14ac:dyDescent="0.2">
      <c r="C2135" s="207"/>
      <c r="D2135" s="206"/>
      <c r="E2135" s="206"/>
    </row>
    <row r="2136" spans="3:5" x14ac:dyDescent="0.2">
      <c r="C2136" s="207"/>
      <c r="D2136" s="206"/>
      <c r="E2136" s="206"/>
    </row>
    <row r="2137" spans="3:5" x14ac:dyDescent="0.2">
      <c r="C2137" s="207"/>
      <c r="D2137" s="206"/>
      <c r="E2137" s="206"/>
    </row>
    <row r="2138" spans="3:5" x14ac:dyDescent="0.2">
      <c r="C2138" s="206"/>
      <c r="D2138" s="206"/>
      <c r="E2138" s="206"/>
    </row>
    <row r="2139" spans="3:5" x14ac:dyDescent="0.2">
      <c r="C2139" s="207"/>
      <c r="D2139" s="206"/>
      <c r="E2139" s="206"/>
    </row>
    <row r="2140" spans="3:5" x14ac:dyDescent="0.2">
      <c r="C2140" s="207"/>
      <c r="D2140" s="206"/>
      <c r="E2140" s="206"/>
    </row>
    <row r="2141" spans="3:5" x14ac:dyDescent="0.2">
      <c r="C2141" s="207"/>
      <c r="D2141" s="206"/>
      <c r="E2141" s="206"/>
    </row>
    <row r="2142" spans="3:5" x14ac:dyDescent="0.2">
      <c r="C2142" s="206"/>
      <c r="D2142" s="206"/>
      <c r="E2142" s="206"/>
    </row>
    <row r="2143" spans="3:5" x14ac:dyDescent="0.2">
      <c r="C2143" s="206"/>
      <c r="D2143" s="206"/>
      <c r="E2143" s="206"/>
    </row>
    <row r="2144" spans="3:5" x14ac:dyDescent="0.2">
      <c r="C2144" s="207"/>
      <c r="D2144" s="206"/>
      <c r="E2144" s="206"/>
    </row>
    <row r="2145" spans="3:5" x14ac:dyDescent="0.2">
      <c r="C2145" s="207"/>
      <c r="D2145" s="206"/>
      <c r="E2145" s="206"/>
    </row>
    <row r="2146" spans="3:5" x14ac:dyDescent="0.2">
      <c r="C2146" s="207"/>
      <c r="D2146" s="206"/>
      <c r="E2146" s="206"/>
    </row>
    <row r="2147" spans="3:5" x14ac:dyDescent="0.2">
      <c r="C2147" s="206"/>
      <c r="D2147" s="206"/>
      <c r="E2147" s="206"/>
    </row>
    <row r="2148" spans="3:5" x14ac:dyDescent="0.2">
      <c r="C2148" s="206"/>
      <c r="D2148" s="206"/>
      <c r="E2148" s="206"/>
    </row>
    <row r="2149" spans="3:5" x14ac:dyDescent="0.2">
      <c r="C2149" s="206"/>
      <c r="D2149" s="206"/>
      <c r="E2149" s="206"/>
    </row>
    <row r="2150" spans="3:5" x14ac:dyDescent="0.2">
      <c r="C2150" s="206"/>
      <c r="D2150" s="206"/>
      <c r="E2150" s="206"/>
    </row>
    <row r="2151" spans="3:5" x14ac:dyDescent="0.2">
      <c r="C2151" s="206"/>
      <c r="D2151" s="206"/>
      <c r="E2151" s="206"/>
    </row>
    <row r="2152" spans="3:5" x14ac:dyDescent="0.2">
      <c r="C2152" s="206"/>
      <c r="D2152" s="206"/>
      <c r="E2152" s="206"/>
    </row>
    <row r="2153" spans="3:5" x14ac:dyDescent="0.2">
      <c r="C2153" s="206"/>
      <c r="D2153" s="206"/>
      <c r="E2153" s="206"/>
    </row>
    <row r="2154" spans="3:5" x14ac:dyDescent="0.2">
      <c r="C2154" s="206"/>
      <c r="D2154" s="206"/>
      <c r="E2154" s="206"/>
    </row>
    <row r="2155" spans="3:5" x14ac:dyDescent="0.2">
      <c r="C2155" s="207"/>
      <c r="D2155" s="206"/>
      <c r="E2155" s="206"/>
    </row>
    <row r="2156" spans="3:5" x14ac:dyDescent="0.2">
      <c r="C2156" s="206"/>
      <c r="D2156" s="206"/>
      <c r="E2156" s="206"/>
    </row>
    <row r="2157" spans="3:5" x14ac:dyDescent="0.2">
      <c r="C2157" s="206"/>
      <c r="D2157" s="206"/>
      <c r="E2157" s="206"/>
    </row>
    <row r="2158" spans="3:5" x14ac:dyDescent="0.2">
      <c r="C2158" s="206"/>
      <c r="D2158" s="206"/>
      <c r="E2158" s="206"/>
    </row>
    <row r="2159" spans="3:5" x14ac:dyDescent="0.2">
      <c r="C2159" s="206"/>
      <c r="D2159" s="206"/>
      <c r="E2159" s="206"/>
    </row>
    <row r="2160" spans="3:5" x14ac:dyDescent="0.2">
      <c r="C2160" s="206"/>
      <c r="D2160" s="206"/>
      <c r="E2160" s="206"/>
    </row>
    <row r="2161" spans="3:5" x14ac:dyDescent="0.2">
      <c r="C2161" s="206"/>
      <c r="D2161" s="206"/>
      <c r="E2161" s="206"/>
    </row>
    <row r="2162" spans="3:5" x14ac:dyDescent="0.2">
      <c r="C2162" s="207"/>
      <c r="D2162" s="206"/>
      <c r="E2162" s="206"/>
    </row>
    <row r="2163" spans="3:5" x14ac:dyDescent="0.2">
      <c r="C2163" s="207"/>
      <c r="D2163" s="206"/>
      <c r="E2163" s="206"/>
    </row>
    <row r="2164" spans="3:5" x14ac:dyDescent="0.2">
      <c r="C2164" s="206"/>
      <c r="D2164" s="206"/>
      <c r="E2164" s="206"/>
    </row>
    <row r="2165" spans="3:5" x14ac:dyDescent="0.2">
      <c r="C2165" s="206"/>
      <c r="D2165" s="206"/>
      <c r="E2165" s="206"/>
    </row>
    <row r="2166" spans="3:5" x14ac:dyDescent="0.2">
      <c r="C2166" s="206"/>
      <c r="D2166" s="206"/>
      <c r="E2166" s="206"/>
    </row>
    <row r="2167" spans="3:5" x14ac:dyDescent="0.2">
      <c r="C2167" s="207"/>
      <c r="D2167" s="206"/>
      <c r="E2167" s="206"/>
    </row>
    <row r="2168" spans="3:5" x14ac:dyDescent="0.2">
      <c r="C2168" s="207"/>
      <c r="D2168" s="206"/>
      <c r="E2168" s="206"/>
    </row>
    <row r="2169" spans="3:5" x14ac:dyDescent="0.2">
      <c r="C2169" s="206"/>
      <c r="D2169" s="206"/>
      <c r="E2169" s="206"/>
    </row>
    <row r="2170" spans="3:5" x14ac:dyDescent="0.2">
      <c r="C2170" s="206"/>
      <c r="D2170" s="206"/>
      <c r="E2170" s="206"/>
    </row>
    <row r="2171" spans="3:5" x14ac:dyDescent="0.2">
      <c r="C2171" s="207"/>
      <c r="D2171" s="206"/>
      <c r="E2171" s="206"/>
    </row>
    <row r="2172" spans="3:5" x14ac:dyDescent="0.2">
      <c r="C2172" s="206"/>
      <c r="D2172" s="206"/>
      <c r="E2172" s="206"/>
    </row>
    <row r="2173" spans="3:5" x14ac:dyDescent="0.2">
      <c r="C2173" s="207"/>
      <c r="D2173" s="206"/>
      <c r="E2173" s="206"/>
    </row>
    <row r="2174" spans="3:5" x14ac:dyDescent="0.2">
      <c r="C2174" s="206"/>
      <c r="D2174" s="206"/>
      <c r="E2174" s="206"/>
    </row>
    <row r="2175" spans="3:5" x14ac:dyDescent="0.2">
      <c r="C2175" s="206"/>
      <c r="D2175" s="206"/>
      <c r="E2175" s="206"/>
    </row>
    <row r="2176" spans="3:5" x14ac:dyDescent="0.2">
      <c r="C2176" s="206"/>
      <c r="D2176" s="206"/>
      <c r="E2176" s="206"/>
    </row>
    <row r="2177" spans="3:5" x14ac:dyDescent="0.2">
      <c r="C2177" s="206"/>
      <c r="D2177" s="206"/>
      <c r="E2177" s="206"/>
    </row>
    <row r="2178" spans="3:5" x14ac:dyDescent="0.2">
      <c r="C2178" s="206"/>
      <c r="D2178" s="206"/>
      <c r="E2178" s="206"/>
    </row>
    <row r="2179" spans="3:5" x14ac:dyDescent="0.2">
      <c r="C2179" s="206"/>
      <c r="D2179" s="206"/>
      <c r="E2179" s="206"/>
    </row>
    <row r="2180" spans="3:5" x14ac:dyDescent="0.2">
      <c r="C2180" s="207"/>
      <c r="D2180" s="206"/>
      <c r="E2180" s="206"/>
    </row>
    <row r="2181" spans="3:5" x14ac:dyDescent="0.2">
      <c r="C2181" s="206"/>
      <c r="D2181" s="206"/>
      <c r="E2181" s="206"/>
    </row>
    <row r="2182" spans="3:5" x14ac:dyDescent="0.2">
      <c r="C2182" s="207"/>
      <c r="D2182" s="206"/>
      <c r="E2182" s="206"/>
    </row>
    <row r="2183" spans="3:5" x14ac:dyDescent="0.2">
      <c r="C2183" s="206"/>
      <c r="D2183" s="206"/>
      <c r="E2183" s="206"/>
    </row>
    <row r="2184" spans="3:5" x14ac:dyDescent="0.2">
      <c r="C2184" s="206"/>
      <c r="D2184" s="206"/>
      <c r="E2184" s="206"/>
    </row>
    <row r="2185" spans="3:5" x14ac:dyDescent="0.2">
      <c r="C2185" s="206"/>
      <c r="D2185" s="206"/>
      <c r="E2185" s="206"/>
    </row>
    <row r="2186" spans="3:5" x14ac:dyDescent="0.2">
      <c r="C2186" s="206"/>
      <c r="D2186" s="206"/>
      <c r="E2186" s="206"/>
    </row>
    <row r="2187" spans="3:5" x14ac:dyDescent="0.2">
      <c r="C2187" s="206"/>
      <c r="D2187" s="206"/>
      <c r="E2187" s="206"/>
    </row>
    <row r="2188" spans="3:5" x14ac:dyDescent="0.2">
      <c r="C2188" s="206"/>
      <c r="D2188" s="206"/>
      <c r="E2188" s="206"/>
    </row>
    <row r="2189" spans="3:5" x14ac:dyDescent="0.2">
      <c r="C2189" s="206"/>
      <c r="D2189" s="206"/>
      <c r="E2189" s="206"/>
    </row>
    <row r="2190" spans="3:5" x14ac:dyDescent="0.2">
      <c r="C2190" s="207"/>
      <c r="D2190" s="206"/>
      <c r="E2190" s="206"/>
    </row>
    <row r="2191" spans="3:5" x14ac:dyDescent="0.2">
      <c r="C2191" s="206"/>
      <c r="D2191" s="206"/>
      <c r="E2191" s="206"/>
    </row>
    <row r="2192" spans="3:5" x14ac:dyDescent="0.2">
      <c r="C2192" s="207"/>
      <c r="D2192" s="206"/>
      <c r="E2192" s="206"/>
    </row>
    <row r="2193" spans="3:5" x14ac:dyDescent="0.2">
      <c r="C2193" s="206"/>
      <c r="D2193" s="206"/>
      <c r="E2193" s="206"/>
    </row>
    <row r="2194" spans="3:5" x14ac:dyDescent="0.2">
      <c r="C2194" s="207"/>
      <c r="D2194" s="206"/>
      <c r="E2194" s="206"/>
    </row>
    <row r="2195" spans="3:5" x14ac:dyDescent="0.2">
      <c r="C2195" s="206"/>
      <c r="D2195" s="206"/>
      <c r="E2195" s="206"/>
    </row>
    <row r="2196" spans="3:5" x14ac:dyDescent="0.2">
      <c r="C2196" s="206"/>
      <c r="D2196" s="206"/>
      <c r="E2196" s="206"/>
    </row>
    <row r="2197" spans="3:5" x14ac:dyDescent="0.2">
      <c r="C2197" s="206"/>
      <c r="D2197" s="206"/>
      <c r="E2197" s="206"/>
    </row>
    <row r="2198" spans="3:5" x14ac:dyDescent="0.2">
      <c r="C2198" s="206"/>
      <c r="D2198" s="206"/>
      <c r="E2198" s="206"/>
    </row>
    <row r="2199" spans="3:5" x14ac:dyDescent="0.2">
      <c r="C2199" s="207"/>
      <c r="D2199" s="206"/>
      <c r="E2199" s="206"/>
    </row>
    <row r="2200" spans="3:5" x14ac:dyDescent="0.2">
      <c r="C2200" s="207"/>
      <c r="D2200" s="206"/>
      <c r="E2200" s="206"/>
    </row>
    <row r="2201" spans="3:5" x14ac:dyDescent="0.2">
      <c r="C2201" s="206"/>
      <c r="D2201" s="206"/>
      <c r="E2201" s="206"/>
    </row>
    <row r="2202" spans="3:5" x14ac:dyDescent="0.2">
      <c r="C2202" s="206"/>
      <c r="D2202" s="206"/>
      <c r="E2202" s="206"/>
    </row>
    <row r="2203" spans="3:5" x14ac:dyDescent="0.2">
      <c r="C2203" s="207"/>
      <c r="D2203" s="206"/>
      <c r="E2203" s="206"/>
    </row>
    <row r="2204" spans="3:5" x14ac:dyDescent="0.2">
      <c r="C2204" s="206"/>
      <c r="D2204" s="206"/>
      <c r="E2204" s="206"/>
    </row>
    <row r="2205" spans="3:5" x14ac:dyDescent="0.2">
      <c r="C2205" s="206"/>
      <c r="D2205" s="206"/>
      <c r="E2205" s="206"/>
    </row>
    <row r="2206" spans="3:5" x14ac:dyDescent="0.2">
      <c r="C2206" s="206"/>
      <c r="D2206" s="206"/>
      <c r="E2206" s="206"/>
    </row>
    <row r="2207" spans="3:5" x14ac:dyDescent="0.2">
      <c r="C2207" s="206"/>
      <c r="D2207" s="206"/>
      <c r="E2207" s="206"/>
    </row>
    <row r="2208" spans="3:5" x14ac:dyDescent="0.2">
      <c r="C2208" s="207"/>
      <c r="D2208" s="206"/>
      <c r="E2208" s="206"/>
    </row>
    <row r="2209" spans="3:5" x14ac:dyDescent="0.2">
      <c r="C2209" s="207"/>
      <c r="D2209" s="206"/>
      <c r="E2209" s="206"/>
    </row>
    <row r="2210" spans="3:5" x14ac:dyDescent="0.2">
      <c r="C2210" s="206"/>
      <c r="D2210" s="206"/>
      <c r="E2210" s="206"/>
    </row>
    <row r="2211" spans="3:5" x14ac:dyDescent="0.2">
      <c r="C2211" s="206"/>
      <c r="D2211" s="206"/>
      <c r="E2211" s="206"/>
    </row>
    <row r="2212" spans="3:5" x14ac:dyDescent="0.2">
      <c r="C2212" s="206"/>
      <c r="D2212" s="206"/>
      <c r="E2212" s="206"/>
    </row>
    <row r="2213" spans="3:5" x14ac:dyDescent="0.2">
      <c r="C2213" s="206"/>
      <c r="D2213" s="206"/>
      <c r="E2213" s="206"/>
    </row>
    <row r="2214" spans="3:5" x14ac:dyDescent="0.2">
      <c r="C2214" s="207"/>
      <c r="D2214" s="206"/>
      <c r="E2214" s="206"/>
    </row>
    <row r="2215" spans="3:5" x14ac:dyDescent="0.2">
      <c r="C2215" s="206"/>
      <c r="D2215" s="206"/>
      <c r="E2215" s="206"/>
    </row>
    <row r="2216" spans="3:5" x14ac:dyDescent="0.2">
      <c r="C2216" s="207"/>
      <c r="D2216" s="206"/>
      <c r="E2216" s="206"/>
    </row>
    <row r="2217" spans="3:5" x14ac:dyDescent="0.2">
      <c r="C2217" s="207"/>
      <c r="D2217" s="206"/>
      <c r="E2217" s="206"/>
    </row>
    <row r="2218" spans="3:5" x14ac:dyDescent="0.2">
      <c r="C2218" s="206"/>
      <c r="D2218" s="206"/>
      <c r="E2218" s="206"/>
    </row>
    <row r="2219" spans="3:5" x14ac:dyDescent="0.2">
      <c r="C2219" s="207"/>
      <c r="D2219" s="206"/>
      <c r="E2219" s="206"/>
    </row>
    <row r="2220" spans="3:5" x14ac:dyDescent="0.2">
      <c r="C2220" s="207"/>
      <c r="D2220" s="206"/>
      <c r="E2220" s="206"/>
    </row>
    <row r="2221" spans="3:5" x14ac:dyDescent="0.2">
      <c r="C2221" s="206"/>
      <c r="D2221" s="206"/>
      <c r="E2221" s="206"/>
    </row>
    <row r="2222" spans="3:5" x14ac:dyDescent="0.2">
      <c r="C2222" s="207"/>
      <c r="D2222" s="206"/>
      <c r="E2222" s="206"/>
    </row>
    <row r="2223" spans="3:5" x14ac:dyDescent="0.2">
      <c r="C2223" s="206"/>
      <c r="D2223" s="206"/>
      <c r="E2223" s="206"/>
    </row>
    <row r="2224" spans="3:5" x14ac:dyDescent="0.2">
      <c r="C2224" s="206"/>
      <c r="D2224" s="206"/>
      <c r="E2224" s="206"/>
    </row>
    <row r="2225" spans="3:5" x14ac:dyDescent="0.2">
      <c r="C2225" s="206"/>
      <c r="D2225" s="206"/>
      <c r="E2225" s="206"/>
    </row>
    <row r="2226" spans="3:5" x14ac:dyDescent="0.2">
      <c r="C2226" s="206"/>
      <c r="D2226" s="206"/>
      <c r="E2226" s="206"/>
    </row>
    <row r="2227" spans="3:5" x14ac:dyDescent="0.2">
      <c r="C2227" s="206"/>
      <c r="D2227" s="206"/>
      <c r="E2227" s="206"/>
    </row>
    <row r="2228" spans="3:5" x14ac:dyDescent="0.2">
      <c r="C2228" s="207"/>
      <c r="D2228" s="206"/>
      <c r="E2228" s="206"/>
    </row>
    <row r="2229" spans="3:5" x14ac:dyDescent="0.2">
      <c r="C2229" s="206"/>
      <c r="D2229" s="206"/>
      <c r="E2229" s="206"/>
    </row>
    <row r="2230" spans="3:5" x14ac:dyDescent="0.2">
      <c r="C2230" s="207"/>
      <c r="D2230" s="206"/>
      <c r="E2230" s="206"/>
    </row>
    <row r="2231" spans="3:5" x14ac:dyDescent="0.2">
      <c r="C2231" s="206"/>
      <c r="D2231" s="206"/>
      <c r="E2231" s="206"/>
    </row>
    <row r="2232" spans="3:5" x14ac:dyDescent="0.2">
      <c r="C2232" s="207"/>
      <c r="D2232" s="206"/>
      <c r="E2232" s="206"/>
    </row>
    <row r="2233" spans="3:5" x14ac:dyDescent="0.2">
      <c r="C2233" s="207"/>
      <c r="D2233" s="206"/>
      <c r="E2233" s="206"/>
    </row>
    <row r="2234" spans="3:5" x14ac:dyDescent="0.2">
      <c r="C2234" s="206"/>
      <c r="D2234" s="206"/>
      <c r="E2234" s="206"/>
    </row>
    <row r="2235" spans="3:5" x14ac:dyDescent="0.2">
      <c r="C2235" s="206"/>
      <c r="D2235" s="206"/>
      <c r="E2235" s="206"/>
    </row>
    <row r="2236" spans="3:5" x14ac:dyDescent="0.2">
      <c r="C2236" s="206"/>
      <c r="D2236" s="206"/>
      <c r="E2236" s="206"/>
    </row>
    <row r="2237" spans="3:5" x14ac:dyDescent="0.2">
      <c r="C2237" s="207"/>
      <c r="D2237" s="206"/>
      <c r="E2237" s="206"/>
    </row>
    <row r="2238" spans="3:5" x14ac:dyDescent="0.2">
      <c r="C2238" s="206"/>
      <c r="D2238" s="206"/>
      <c r="E2238" s="206"/>
    </row>
    <row r="2239" spans="3:5" x14ac:dyDescent="0.2">
      <c r="C2239" s="206"/>
      <c r="D2239" s="206"/>
      <c r="E2239" s="206"/>
    </row>
    <row r="2240" spans="3:5" x14ac:dyDescent="0.2">
      <c r="C2240" s="206"/>
      <c r="D2240" s="206"/>
      <c r="E2240" s="206"/>
    </row>
    <row r="2241" spans="3:5" x14ac:dyDescent="0.2">
      <c r="C2241" s="207"/>
      <c r="D2241" s="206"/>
      <c r="E2241" s="206"/>
    </row>
    <row r="2242" spans="3:5" x14ac:dyDescent="0.2">
      <c r="C2242" s="207"/>
      <c r="D2242" s="206"/>
      <c r="E2242" s="206"/>
    </row>
    <row r="2243" spans="3:5" x14ac:dyDescent="0.2">
      <c r="C2243" s="206"/>
      <c r="D2243" s="206"/>
      <c r="E2243" s="206"/>
    </row>
    <row r="2244" spans="3:5" x14ac:dyDescent="0.2">
      <c r="C2244" s="206"/>
      <c r="D2244" s="206"/>
      <c r="E2244" s="206"/>
    </row>
    <row r="2245" spans="3:5" x14ac:dyDescent="0.2">
      <c r="C2245" s="206"/>
      <c r="D2245" s="206"/>
      <c r="E2245" s="206"/>
    </row>
    <row r="2246" spans="3:5" x14ac:dyDescent="0.2">
      <c r="C2246" s="206"/>
      <c r="D2246" s="206"/>
      <c r="E2246" s="206"/>
    </row>
    <row r="2247" spans="3:5" x14ac:dyDescent="0.2">
      <c r="C2247" s="207"/>
      <c r="D2247" s="206"/>
      <c r="E2247" s="206"/>
    </row>
    <row r="2248" spans="3:5" x14ac:dyDescent="0.2">
      <c r="C2248" s="206"/>
      <c r="D2248" s="206"/>
      <c r="E2248" s="206"/>
    </row>
    <row r="2249" spans="3:5" x14ac:dyDescent="0.2">
      <c r="C2249" s="206"/>
      <c r="D2249" s="206"/>
      <c r="E2249" s="206"/>
    </row>
    <row r="2250" spans="3:5" x14ac:dyDescent="0.2">
      <c r="C2250" s="206"/>
      <c r="D2250" s="206"/>
      <c r="E2250" s="206"/>
    </row>
    <row r="2251" spans="3:5" x14ac:dyDescent="0.2">
      <c r="C2251" s="206"/>
      <c r="D2251" s="206"/>
      <c r="E2251" s="206"/>
    </row>
    <row r="2252" spans="3:5" x14ac:dyDescent="0.2">
      <c r="C2252" s="206"/>
      <c r="D2252" s="206"/>
      <c r="E2252" s="206"/>
    </row>
    <row r="2253" spans="3:5" x14ac:dyDescent="0.2">
      <c r="C2253" s="206"/>
      <c r="D2253" s="206"/>
      <c r="E2253" s="206"/>
    </row>
    <row r="2254" spans="3:5" x14ac:dyDescent="0.2">
      <c r="C2254" s="206"/>
      <c r="D2254" s="206"/>
      <c r="E2254" s="206"/>
    </row>
    <row r="2255" spans="3:5" x14ac:dyDescent="0.2">
      <c r="C2255" s="207"/>
      <c r="D2255" s="206"/>
      <c r="E2255" s="206"/>
    </row>
    <row r="2256" spans="3:5" x14ac:dyDescent="0.2">
      <c r="C2256" s="206"/>
      <c r="D2256" s="206"/>
      <c r="E2256" s="206"/>
    </row>
    <row r="2257" spans="3:5" x14ac:dyDescent="0.2">
      <c r="C2257" s="206"/>
      <c r="D2257" s="206"/>
      <c r="E2257" s="206"/>
    </row>
    <row r="2258" spans="3:5" x14ac:dyDescent="0.2">
      <c r="C2258" s="206"/>
      <c r="D2258" s="206"/>
      <c r="E2258" s="206"/>
    </row>
    <row r="2259" spans="3:5" x14ac:dyDescent="0.2">
      <c r="C2259" s="206"/>
      <c r="D2259" s="206"/>
      <c r="E2259" s="206"/>
    </row>
    <row r="2260" spans="3:5" x14ac:dyDescent="0.2">
      <c r="C2260" s="206"/>
      <c r="D2260" s="206"/>
      <c r="E2260" s="206"/>
    </row>
    <row r="2261" spans="3:5" x14ac:dyDescent="0.2">
      <c r="C2261" s="206"/>
      <c r="D2261" s="206"/>
      <c r="E2261" s="206"/>
    </row>
    <row r="2262" spans="3:5" x14ac:dyDescent="0.2">
      <c r="C2262" s="207"/>
      <c r="D2262" s="206"/>
      <c r="E2262" s="206"/>
    </row>
    <row r="2263" spans="3:5" x14ac:dyDescent="0.2">
      <c r="C2263" s="207"/>
      <c r="D2263" s="206"/>
      <c r="E2263" s="206"/>
    </row>
    <row r="2264" spans="3:5" x14ac:dyDescent="0.2">
      <c r="C2264" s="206"/>
      <c r="D2264" s="206"/>
      <c r="E2264" s="206"/>
    </row>
    <row r="2265" spans="3:5" x14ac:dyDescent="0.2">
      <c r="C2265" s="206"/>
      <c r="D2265" s="206"/>
      <c r="E2265" s="206"/>
    </row>
    <row r="2266" spans="3:5" x14ac:dyDescent="0.2">
      <c r="C2266" s="206"/>
      <c r="D2266" s="206"/>
      <c r="E2266" s="206"/>
    </row>
    <row r="2267" spans="3:5" x14ac:dyDescent="0.2">
      <c r="C2267" s="206"/>
      <c r="D2267" s="206"/>
      <c r="E2267" s="206"/>
    </row>
    <row r="2268" spans="3:5" x14ac:dyDescent="0.2">
      <c r="C2268" s="207"/>
      <c r="D2268" s="206"/>
      <c r="E2268" s="206"/>
    </row>
    <row r="2269" spans="3:5" x14ac:dyDescent="0.2">
      <c r="C2269" s="206"/>
      <c r="D2269" s="206"/>
      <c r="E2269" s="206"/>
    </row>
    <row r="2270" spans="3:5" x14ac:dyDescent="0.2">
      <c r="C2270" s="207"/>
      <c r="D2270" s="206"/>
      <c r="E2270" s="206"/>
    </row>
    <row r="2271" spans="3:5" x14ac:dyDescent="0.2">
      <c r="C2271" s="207"/>
      <c r="D2271" s="206"/>
      <c r="E2271" s="206"/>
    </row>
    <row r="2272" spans="3:5" x14ac:dyDescent="0.2">
      <c r="C2272" s="206"/>
      <c r="D2272" s="206"/>
      <c r="E2272" s="206"/>
    </row>
    <row r="2273" spans="3:5" x14ac:dyDescent="0.2">
      <c r="C2273" s="207"/>
      <c r="D2273" s="206"/>
      <c r="E2273" s="206"/>
    </row>
    <row r="2274" spans="3:5" x14ac:dyDescent="0.2">
      <c r="C2274" s="206"/>
      <c r="D2274" s="206"/>
      <c r="E2274" s="206"/>
    </row>
    <row r="2275" spans="3:5" x14ac:dyDescent="0.2">
      <c r="C2275" s="206"/>
      <c r="D2275" s="206"/>
      <c r="E2275" s="206"/>
    </row>
    <row r="2276" spans="3:5" x14ac:dyDescent="0.2">
      <c r="C2276" s="206"/>
      <c r="D2276" s="206"/>
      <c r="E2276" s="206"/>
    </row>
    <row r="2277" spans="3:5" x14ac:dyDescent="0.2">
      <c r="C2277" s="206"/>
      <c r="D2277" s="206"/>
      <c r="E2277" s="206"/>
    </row>
    <row r="2278" spans="3:5" x14ac:dyDescent="0.2">
      <c r="C2278" s="206"/>
      <c r="D2278" s="206"/>
      <c r="E2278" s="206"/>
    </row>
    <row r="2279" spans="3:5" x14ac:dyDescent="0.2">
      <c r="C2279" s="206"/>
      <c r="D2279" s="206"/>
      <c r="E2279" s="206"/>
    </row>
    <row r="2280" spans="3:5" x14ac:dyDescent="0.2">
      <c r="C2280" s="206"/>
      <c r="D2280" s="206"/>
      <c r="E2280" s="206"/>
    </row>
    <row r="2281" spans="3:5" x14ac:dyDescent="0.2">
      <c r="C2281" s="206"/>
      <c r="D2281" s="206"/>
      <c r="E2281" s="206"/>
    </row>
    <row r="2282" spans="3:5" x14ac:dyDescent="0.2">
      <c r="C2282" s="207"/>
      <c r="D2282" s="206"/>
      <c r="E2282" s="206"/>
    </row>
    <row r="2283" spans="3:5" x14ac:dyDescent="0.2">
      <c r="C2283" s="206"/>
      <c r="D2283" s="206"/>
      <c r="E2283" s="206"/>
    </row>
    <row r="2284" spans="3:5" x14ac:dyDescent="0.2">
      <c r="C2284" s="206"/>
      <c r="D2284" s="206"/>
      <c r="E2284" s="206"/>
    </row>
    <row r="2285" spans="3:5" x14ac:dyDescent="0.2">
      <c r="C2285" s="206"/>
      <c r="D2285" s="206"/>
      <c r="E2285" s="206"/>
    </row>
    <row r="2286" spans="3:5" x14ac:dyDescent="0.2">
      <c r="C2286" s="206"/>
      <c r="D2286" s="206"/>
      <c r="E2286" s="206"/>
    </row>
    <row r="2287" spans="3:5" x14ac:dyDescent="0.2">
      <c r="C2287" s="206"/>
      <c r="D2287" s="206"/>
      <c r="E2287" s="206"/>
    </row>
    <row r="2288" spans="3:5" x14ac:dyDescent="0.2">
      <c r="C2288" s="207"/>
      <c r="D2288" s="206"/>
      <c r="E2288" s="206"/>
    </row>
    <row r="2289" spans="3:5" x14ac:dyDescent="0.2">
      <c r="C2289" s="206"/>
      <c r="D2289" s="206"/>
      <c r="E2289" s="206"/>
    </row>
    <row r="2290" spans="3:5" x14ac:dyDescent="0.2">
      <c r="C2290" s="206"/>
      <c r="D2290" s="206"/>
      <c r="E2290" s="206"/>
    </row>
    <row r="2291" spans="3:5" x14ac:dyDescent="0.2">
      <c r="C2291" s="206"/>
      <c r="D2291" s="206"/>
      <c r="E2291" s="206"/>
    </row>
    <row r="2292" spans="3:5" x14ac:dyDescent="0.2">
      <c r="C2292" s="206"/>
      <c r="D2292" s="206"/>
      <c r="E2292" s="206"/>
    </row>
    <row r="2293" spans="3:5" x14ac:dyDescent="0.2">
      <c r="C2293" s="206"/>
      <c r="D2293" s="206"/>
      <c r="E2293" s="206"/>
    </row>
    <row r="2294" spans="3:5" x14ac:dyDescent="0.2">
      <c r="C2294" s="207"/>
      <c r="D2294" s="206"/>
      <c r="E2294" s="206"/>
    </row>
    <row r="2295" spans="3:5" x14ac:dyDescent="0.2">
      <c r="C2295" s="206"/>
      <c r="D2295" s="206"/>
      <c r="E2295" s="206"/>
    </row>
    <row r="2296" spans="3:5" x14ac:dyDescent="0.2">
      <c r="C2296" s="206"/>
      <c r="D2296" s="206"/>
      <c r="E2296" s="206"/>
    </row>
    <row r="2297" spans="3:5" x14ac:dyDescent="0.2">
      <c r="C2297" s="206"/>
      <c r="D2297" s="206"/>
      <c r="E2297" s="206"/>
    </row>
    <row r="2298" spans="3:5" x14ac:dyDescent="0.2">
      <c r="C2298" s="206"/>
      <c r="D2298" s="206"/>
      <c r="E2298" s="206"/>
    </row>
    <row r="2299" spans="3:5" x14ac:dyDescent="0.2">
      <c r="C2299" s="206"/>
      <c r="D2299" s="206"/>
      <c r="E2299" s="206"/>
    </row>
    <row r="2300" spans="3:5" x14ac:dyDescent="0.2">
      <c r="C2300" s="207"/>
      <c r="D2300" s="206"/>
      <c r="E2300" s="206"/>
    </row>
    <row r="2301" spans="3:5" x14ac:dyDescent="0.2">
      <c r="C2301" s="207"/>
      <c r="D2301" s="206"/>
      <c r="E2301" s="206"/>
    </row>
    <row r="2302" spans="3:5" x14ac:dyDescent="0.2">
      <c r="C2302" s="207"/>
      <c r="D2302" s="206"/>
      <c r="E2302" s="206"/>
    </row>
    <row r="2303" spans="3:5" x14ac:dyDescent="0.2">
      <c r="C2303" s="206"/>
      <c r="D2303" s="206"/>
      <c r="E2303" s="206"/>
    </row>
    <row r="2304" spans="3:5" x14ac:dyDescent="0.2">
      <c r="C2304" s="206"/>
      <c r="D2304" s="206"/>
      <c r="E2304" s="206"/>
    </row>
    <row r="2305" spans="3:5" x14ac:dyDescent="0.2">
      <c r="C2305" s="207"/>
      <c r="D2305" s="206"/>
      <c r="E2305" s="206"/>
    </row>
    <row r="2306" spans="3:5" x14ac:dyDescent="0.2">
      <c r="C2306" s="206"/>
      <c r="D2306" s="206"/>
      <c r="E2306" s="206"/>
    </row>
    <row r="2307" spans="3:5" x14ac:dyDescent="0.2">
      <c r="C2307" s="206"/>
      <c r="D2307" s="206"/>
      <c r="E2307" s="206"/>
    </row>
    <row r="2308" spans="3:5" x14ac:dyDescent="0.2">
      <c r="C2308" s="206"/>
      <c r="D2308" s="206"/>
      <c r="E2308" s="206"/>
    </row>
    <row r="2309" spans="3:5" x14ac:dyDescent="0.2">
      <c r="C2309" s="207"/>
      <c r="D2309" s="206"/>
      <c r="E2309" s="206"/>
    </row>
    <row r="2310" spans="3:5" x14ac:dyDescent="0.2">
      <c r="C2310" s="207"/>
      <c r="D2310" s="206"/>
      <c r="E2310" s="206"/>
    </row>
    <row r="2311" spans="3:5" x14ac:dyDescent="0.2">
      <c r="C2311" s="207"/>
      <c r="D2311" s="206"/>
      <c r="E2311" s="206"/>
    </row>
    <row r="2312" spans="3:5" x14ac:dyDescent="0.2">
      <c r="C2312" s="206"/>
      <c r="D2312" s="206"/>
      <c r="E2312" s="206"/>
    </row>
    <row r="2313" spans="3:5" x14ac:dyDescent="0.2">
      <c r="C2313" s="207"/>
      <c r="D2313" s="206"/>
      <c r="E2313" s="206"/>
    </row>
    <row r="2314" spans="3:5" x14ac:dyDescent="0.2">
      <c r="C2314" s="207"/>
      <c r="D2314" s="206"/>
      <c r="E2314" s="206"/>
    </row>
    <row r="2315" spans="3:5" x14ac:dyDescent="0.2">
      <c r="C2315" s="207"/>
      <c r="D2315" s="206"/>
      <c r="E2315" s="206"/>
    </row>
    <row r="2316" spans="3:5" x14ac:dyDescent="0.2">
      <c r="C2316" s="207"/>
      <c r="D2316" s="206"/>
      <c r="E2316" s="206"/>
    </row>
    <row r="2317" spans="3:5" x14ac:dyDescent="0.2">
      <c r="C2317" s="207"/>
      <c r="D2317" s="206"/>
      <c r="E2317" s="206"/>
    </row>
    <row r="2318" spans="3:5" x14ac:dyDescent="0.2">
      <c r="C2318" s="207"/>
      <c r="D2318" s="206"/>
      <c r="E2318" s="206"/>
    </row>
    <row r="2319" spans="3:5" x14ac:dyDescent="0.2">
      <c r="C2319" s="206"/>
      <c r="D2319" s="206"/>
      <c r="E2319" s="206"/>
    </row>
    <row r="2320" spans="3:5" x14ac:dyDescent="0.2">
      <c r="C2320" s="206"/>
      <c r="D2320" s="206"/>
      <c r="E2320" s="206"/>
    </row>
    <row r="2321" spans="3:5" x14ac:dyDescent="0.2">
      <c r="C2321" s="206"/>
      <c r="D2321" s="206"/>
      <c r="E2321" s="206"/>
    </row>
    <row r="2322" spans="3:5" x14ac:dyDescent="0.2">
      <c r="C2322" s="206"/>
      <c r="D2322" s="206"/>
      <c r="E2322" s="206"/>
    </row>
    <row r="2323" spans="3:5" x14ac:dyDescent="0.2">
      <c r="C2323" s="206"/>
      <c r="D2323" s="206"/>
      <c r="E2323" s="206"/>
    </row>
    <row r="2324" spans="3:5" x14ac:dyDescent="0.2">
      <c r="C2324" s="206"/>
      <c r="D2324" s="206"/>
      <c r="E2324" s="206"/>
    </row>
    <row r="2325" spans="3:5" x14ac:dyDescent="0.2">
      <c r="C2325" s="206"/>
      <c r="D2325" s="206"/>
      <c r="E2325" s="206"/>
    </row>
    <row r="2326" spans="3:5" x14ac:dyDescent="0.2">
      <c r="C2326" s="207"/>
      <c r="D2326" s="206"/>
      <c r="E2326" s="206"/>
    </row>
    <row r="2327" spans="3:5" x14ac:dyDescent="0.2">
      <c r="C2327" s="207"/>
      <c r="D2327" s="206"/>
      <c r="E2327" s="206"/>
    </row>
    <row r="2328" spans="3:5" x14ac:dyDescent="0.2">
      <c r="C2328" s="207"/>
      <c r="D2328" s="206"/>
      <c r="E2328" s="206"/>
    </row>
    <row r="2329" spans="3:5" x14ac:dyDescent="0.2">
      <c r="C2329" s="206"/>
      <c r="D2329" s="206"/>
      <c r="E2329" s="206"/>
    </row>
    <row r="2330" spans="3:5" x14ac:dyDescent="0.2">
      <c r="C2330" s="207"/>
      <c r="D2330" s="206"/>
      <c r="E2330" s="206"/>
    </row>
    <row r="2331" spans="3:5" x14ac:dyDescent="0.2">
      <c r="C2331" s="206"/>
      <c r="D2331" s="206"/>
      <c r="E2331" s="206"/>
    </row>
    <row r="2332" spans="3:5" x14ac:dyDescent="0.2">
      <c r="C2332" s="207"/>
      <c r="D2332" s="206"/>
      <c r="E2332" s="206"/>
    </row>
    <row r="2333" spans="3:5" x14ac:dyDescent="0.2">
      <c r="C2333" s="207"/>
      <c r="D2333" s="206"/>
      <c r="E2333" s="206"/>
    </row>
    <row r="2334" spans="3:5" x14ac:dyDescent="0.2">
      <c r="C2334" s="206"/>
      <c r="D2334" s="206"/>
      <c r="E2334" s="206"/>
    </row>
    <row r="2335" spans="3:5" x14ac:dyDescent="0.2">
      <c r="C2335" s="206"/>
      <c r="D2335" s="206"/>
      <c r="E2335" s="206"/>
    </row>
    <row r="2336" spans="3:5" x14ac:dyDescent="0.2">
      <c r="C2336" s="206"/>
      <c r="D2336" s="206"/>
      <c r="E2336" s="206"/>
    </row>
    <row r="2337" spans="3:5" x14ac:dyDescent="0.2">
      <c r="C2337" s="206"/>
      <c r="D2337" s="206"/>
      <c r="E2337" s="206"/>
    </row>
    <row r="2338" spans="3:5" x14ac:dyDescent="0.2">
      <c r="C2338" s="207"/>
      <c r="D2338" s="206"/>
      <c r="E2338" s="206"/>
    </row>
    <row r="2339" spans="3:5" x14ac:dyDescent="0.2">
      <c r="C2339" s="206"/>
      <c r="D2339" s="206"/>
      <c r="E2339" s="206"/>
    </row>
    <row r="2340" spans="3:5" x14ac:dyDescent="0.2">
      <c r="C2340" s="206"/>
      <c r="D2340" s="206"/>
      <c r="E2340" s="206"/>
    </row>
    <row r="2341" spans="3:5" x14ac:dyDescent="0.2">
      <c r="C2341" s="206"/>
      <c r="D2341" s="206"/>
      <c r="E2341" s="206"/>
    </row>
    <row r="2342" spans="3:5" x14ac:dyDescent="0.2">
      <c r="C2342" s="206"/>
      <c r="D2342" s="206"/>
      <c r="E2342" s="206"/>
    </row>
    <row r="2343" spans="3:5" x14ac:dyDescent="0.2">
      <c r="C2343" s="207"/>
      <c r="D2343" s="206"/>
      <c r="E2343" s="206"/>
    </row>
    <row r="2344" spans="3:5" x14ac:dyDescent="0.2">
      <c r="C2344" s="207"/>
      <c r="D2344" s="206"/>
      <c r="E2344" s="206"/>
    </row>
    <row r="2345" spans="3:5" x14ac:dyDescent="0.2">
      <c r="C2345" s="207"/>
      <c r="D2345" s="206"/>
      <c r="E2345" s="206"/>
    </row>
    <row r="2346" spans="3:5" x14ac:dyDescent="0.2">
      <c r="C2346" s="206"/>
      <c r="D2346" s="206"/>
      <c r="E2346" s="206"/>
    </row>
    <row r="2347" spans="3:5" x14ac:dyDescent="0.2">
      <c r="C2347" s="207"/>
      <c r="D2347" s="206"/>
      <c r="E2347" s="206"/>
    </row>
    <row r="2348" spans="3:5" x14ac:dyDescent="0.2">
      <c r="C2348" s="206"/>
      <c r="D2348" s="206"/>
      <c r="E2348" s="206"/>
    </row>
    <row r="2349" spans="3:5" x14ac:dyDescent="0.2">
      <c r="C2349" s="206"/>
      <c r="D2349" s="206"/>
      <c r="E2349" s="206"/>
    </row>
    <row r="2350" spans="3:5" x14ac:dyDescent="0.2">
      <c r="C2350" s="207"/>
      <c r="D2350" s="206"/>
      <c r="E2350" s="206"/>
    </row>
    <row r="2351" spans="3:5" x14ac:dyDescent="0.2">
      <c r="C2351" s="207"/>
      <c r="D2351" s="206"/>
      <c r="E2351" s="206"/>
    </row>
    <row r="2352" spans="3:5" x14ac:dyDescent="0.2">
      <c r="C2352" s="206"/>
      <c r="D2352" s="206"/>
      <c r="E2352" s="206"/>
    </row>
    <row r="2353" spans="3:5" x14ac:dyDescent="0.2">
      <c r="C2353" s="206"/>
      <c r="D2353" s="206"/>
      <c r="E2353" s="206"/>
    </row>
    <row r="2354" spans="3:5" x14ac:dyDescent="0.2">
      <c r="C2354" s="206"/>
      <c r="D2354" s="206"/>
      <c r="E2354" s="206"/>
    </row>
    <row r="2355" spans="3:5" x14ac:dyDescent="0.2">
      <c r="C2355" s="207"/>
      <c r="D2355" s="206"/>
      <c r="E2355" s="206"/>
    </row>
    <row r="2356" spans="3:5" x14ac:dyDescent="0.2">
      <c r="C2356" s="206"/>
      <c r="D2356" s="206"/>
      <c r="E2356" s="206"/>
    </row>
    <row r="2357" spans="3:5" x14ac:dyDescent="0.2">
      <c r="C2357" s="207"/>
      <c r="D2357" s="206"/>
      <c r="E2357" s="206"/>
    </row>
    <row r="2358" spans="3:5" x14ac:dyDescent="0.2">
      <c r="C2358" s="206"/>
      <c r="D2358" s="206"/>
      <c r="E2358" s="206"/>
    </row>
    <row r="2359" spans="3:5" x14ac:dyDescent="0.2">
      <c r="C2359" s="207"/>
      <c r="D2359" s="206"/>
      <c r="E2359" s="206"/>
    </row>
    <row r="2360" spans="3:5" x14ac:dyDescent="0.2">
      <c r="C2360" s="206"/>
      <c r="D2360" s="206"/>
      <c r="E2360" s="206"/>
    </row>
    <row r="2361" spans="3:5" x14ac:dyDescent="0.2">
      <c r="C2361" s="206"/>
      <c r="D2361" s="206"/>
      <c r="E2361" s="206"/>
    </row>
    <row r="2362" spans="3:5" x14ac:dyDescent="0.2">
      <c r="C2362" s="207"/>
      <c r="D2362" s="206"/>
      <c r="E2362" s="206"/>
    </row>
    <row r="2363" spans="3:5" x14ac:dyDescent="0.2">
      <c r="C2363" s="207"/>
      <c r="D2363" s="206"/>
      <c r="E2363" s="206"/>
    </row>
    <row r="2364" spans="3:5" x14ac:dyDescent="0.2">
      <c r="C2364" s="207"/>
      <c r="D2364" s="206"/>
      <c r="E2364" s="206"/>
    </row>
    <row r="2365" spans="3:5" x14ac:dyDescent="0.2">
      <c r="C2365" s="206"/>
      <c r="D2365" s="206"/>
      <c r="E2365" s="206"/>
    </row>
    <row r="2366" spans="3:5" x14ac:dyDescent="0.2">
      <c r="C2366" s="206"/>
      <c r="D2366" s="206"/>
      <c r="E2366" s="206"/>
    </row>
    <row r="2367" spans="3:5" x14ac:dyDescent="0.2">
      <c r="C2367" s="206"/>
      <c r="D2367" s="206"/>
      <c r="E2367" s="206"/>
    </row>
    <row r="2368" spans="3:5" x14ac:dyDescent="0.2">
      <c r="C2368" s="207"/>
      <c r="D2368" s="206"/>
      <c r="E2368" s="206"/>
    </row>
    <row r="2369" spans="3:5" x14ac:dyDescent="0.2">
      <c r="C2369" s="207"/>
      <c r="D2369" s="206"/>
      <c r="E2369" s="206"/>
    </row>
    <row r="2370" spans="3:5" x14ac:dyDescent="0.2">
      <c r="C2370" s="206"/>
      <c r="D2370" s="206"/>
      <c r="E2370" s="206"/>
    </row>
    <row r="2371" spans="3:5" x14ac:dyDescent="0.2">
      <c r="C2371" s="206"/>
      <c r="D2371" s="206"/>
      <c r="E2371" s="206"/>
    </row>
    <row r="2372" spans="3:5" x14ac:dyDescent="0.2">
      <c r="C2372" s="206"/>
      <c r="D2372" s="206"/>
      <c r="E2372" s="206"/>
    </row>
    <row r="2373" spans="3:5" x14ac:dyDescent="0.2">
      <c r="C2373" s="207"/>
      <c r="D2373" s="206"/>
      <c r="E2373" s="206"/>
    </row>
    <row r="2374" spans="3:5" x14ac:dyDescent="0.2">
      <c r="C2374" s="207"/>
      <c r="D2374" s="206"/>
      <c r="E2374" s="206"/>
    </row>
    <row r="2375" spans="3:5" x14ac:dyDescent="0.2">
      <c r="C2375" s="206"/>
      <c r="D2375" s="206"/>
      <c r="E2375" s="206"/>
    </row>
    <row r="2376" spans="3:5" x14ac:dyDescent="0.2">
      <c r="C2376" s="207"/>
      <c r="D2376" s="206"/>
      <c r="E2376" s="206"/>
    </row>
    <row r="2377" spans="3:5" x14ac:dyDescent="0.2">
      <c r="C2377" s="206"/>
      <c r="D2377" s="206"/>
      <c r="E2377" s="206"/>
    </row>
    <row r="2378" spans="3:5" x14ac:dyDescent="0.2">
      <c r="C2378" s="207"/>
      <c r="D2378" s="206"/>
      <c r="E2378" s="206"/>
    </row>
    <row r="2379" spans="3:5" x14ac:dyDescent="0.2">
      <c r="C2379" s="207"/>
      <c r="D2379" s="206"/>
      <c r="E2379" s="206"/>
    </row>
    <row r="2380" spans="3:5" x14ac:dyDescent="0.2">
      <c r="C2380" s="207"/>
      <c r="D2380" s="206"/>
      <c r="E2380" s="206"/>
    </row>
    <row r="2381" spans="3:5" x14ac:dyDescent="0.2">
      <c r="C2381" s="207"/>
      <c r="D2381" s="206"/>
      <c r="E2381" s="206"/>
    </row>
    <row r="2382" spans="3:5" x14ac:dyDescent="0.2">
      <c r="C2382" s="207"/>
      <c r="D2382" s="206"/>
      <c r="E2382" s="206"/>
    </row>
    <row r="2383" spans="3:5" x14ac:dyDescent="0.2">
      <c r="C2383" s="207"/>
      <c r="D2383" s="206"/>
      <c r="E2383" s="206"/>
    </row>
    <row r="2384" spans="3:5" x14ac:dyDescent="0.2">
      <c r="C2384" s="207"/>
      <c r="D2384" s="206"/>
      <c r="E2384" s="206"/>
    </row>
    <row r="2385" spans="3:5" x14ac:dyDescent="0.2">
      <c r="C2385" s="206"/>
      <c r="D2385" s="206"/>
      <c r="E2385" s="206"/>
    </row>
    <row r="2386" spans="3:5" x14ac:dyDescent="0.2">
      <c r="C2386" s="207"/>
      <c r="D2386" s="206"/>
      <c r="E2386" s="206"/>
    </row>
    <row r="2387" spans="3:5" x14ac:dyDescent="0.2">
      <c r="C2387" s="206"/>
      <c r="D2387" s="206"/>
      <c r="E2387" s="206"/>
    </row>
    <row r="2388" spans="3:5" x14ac:dyDescent="0.2">
      <c r="C2388" s="206"/>
      <c r="D2388" s="206"/>
      <c r="E2388" s="206"/>
    </row>
    <row r="2389" spans="3:5" x14ac:dyDescent="0.2">
      <c r="C2389" s="206"/>
      <c r="D2389" s="206"/>
      <c r="E2389" s="206"/>
    </row>
    <row r="2390" spans="3:5" x14ac:dyDescent="0.2">
      <c r="C2390" s="207"/>
      <c r="D2390" s="206"/>
      <c r="E2390" s="206"/>
    </row>
    <row r="2391" spans="3:5" x14ac:dyDescent="0.2">
      <c r="C2391" s="206"/>
      <c r="D2391" s="206"/>
      <c r="E2391" s="206"/>
    </row>
    <row r="2392" spans="3:5" x14ac:dyDescent="0.2">
      <c r="C2392" s="207"/>
      <c r="D2392" s="206"/>
      <c r="E2392" s="206"/>
    </row>
    <row r="2393" spans="3:5" x14ac:dyDescent="0.2">
      <c r="C2393" s="207"/>
      <c r="D2393" s="206"/>
      <c r="E2393" s="206"/>
    </row>
    <row r="2394" spans="3:5" x14ac:dyDescent="0.2">
      <c r="C2394" s="206"/>
      <c r="D2394" s="206"/>
      <c r="E2394" s="206"/>
    </row>
    <row r="2395" spans="3:5" x14ac:dyDescent="0.2">
      <c r="C2395" s="206"/>
      <c r="D2395" s="206"/>
      <c r="E2395" s="206"/>
    </row>
    <row r="2396" spans="3:5" x14ac:dyDescent="0.2">
      <c r="C2396" s="206"/>
      <c r="D2396" s="206"/>
      <c r="E2396" s="206"/>
    </row>
    <row r="2397" spans="3:5" x14ac:dyDescent="0.2">
      <c r="C2397" s="207"/>
      <c r="D2397" s="206"/>
      <c r="E2397" s="206"/>
    </row>
    <row r="2398" spans="3:5" x14ac:dyDescent="0.2">
      <c r="C2398" s="207"/>
      <c r="D2398" s="206"/>
      <c r="E2398" s="206"/>
    </row>
    <row r="2399" spans="3:5" x14ac:dyDescent="0.2">
      <c r="C2399" s="206"/>
      <c r="D2399" s="206"/>
      <c r="E2399" s="206"/>
    </row>
    <row r="2400" spans="3:5" x14ac:dyDescent="0.2">
      <c r="C2400" s="206"/>
      <c r="D2400" s="206"/>
      <c r="E2400" s="206"/>
    </row>
    <row r="2401" spans="3:5" x14ac:dyDescent="0.2">
      <c r="C2401" s="206"/>
      <c r="D2401" s="206"/>
      <c r="E2401" s="206"/>
    </row>
    <row r="2402" spans="3:5" x14ac:dyDescent="0.2">
      <c r="C2402" s="207"/>
      <c r="D2402" s="206"/>
      <c r="E2402" s="206"/>
    </row>
    <row r="2403" spans="3:5" x14ac:dyDescent="0.2">
      <c r="C2403" s="207"/>
      <c r="D2403" s="206"/>
      <c r="E2403" s="206"/>
    </row>
    <row r="2404" spans="3:5" x14ac:dyDescent="0.2">
      <c r="C2404" s="206"/>
      <c r="D2404" s="206"/>
      <c r="E2404" s="206"/>
    </row>
    <row r="2405" spans="3:5" x14ac:dyDescent="0.2">
      <c r="C2405" s="206"/>
      <c r="D2405" s="206"/>
      <c r="E2405" s="206"/>
    </row>
    <row r="2406" spans="3:5" x14ac:dyDescent="0.2">
      <c r="C2406" s="206"/>
      <c r="D2406" s="206"/>
      <c r="E2406" s="206"/>
    </row>
    <row r="2407" spans="3:5" x14ac:dyDescent="0.2">
      <c r="C2407" s="206"/>
      <c r="D2407" s="206"/>
      <c r="E2407" s="206"/>
    </row>
    <row r="2408" spans="3:5" x14ac:dyDescent="0.2">
      <c r="C2408" s="206"/>
      <c r="D2408" s="206"/>
      <c r="E2408" s="206"/>
    </row>
    <row r="2409" spans="3:5" x14ac:dyDescent="0.2">
      <c r="C2409" s="206"/>
      <c r="D2409" s="206"/>
      <c r="E2409" s="206"/>
    </row>
    <row r="2410" spans="3:5" x14ac:dyDescent="0.2">
      <c r="C2410" s="207"/>
      <c r="D2410" s="206"/>
      <c r="E2410" s="206"/>
    </row>
    <row r="2411" spans="3:5" x14ac:dyDescent="0.2">
      <c r="C2411" s="206"/>
      <c r="D2411" s="206"/>
      <c r="E2411" s="206"/>
    </row>
    <row r="2412" spans="3:5" x14ac:dyDescent="0.2">
      <c r="C2412" s="206"/>
      <c r="D2412" s="206"/>
      <c r="E2412" s="206"/>
    </row>
    <row r="2413" spans="3:5" x14ac:dyDescent="0.2">
      <c r="C2413" s="206"/>
      <c r="D2413" s="206"/>
      <c r="E2413" s="206"/>
    </row>
    <row r="2414" spans="3:5" x14ac:dyDescent="0.2">
      <c r="C2414" s="206"/>
      <c r="D2414" s="206"/>
      <c r="E2414" s="206"/>
    </row>
    <row r="2415" spans="3:5" x14ac:dyDescent="0.2">
      <c r="C2415" s="207"/>
      <c r="D2415" s="206"/>
      <c r="E2415" s="206"/>
    </row>
    <row r="2416" spans="3:5" x14ac:dyDescent="0.2">
      <c r="C2416" s="207"/>
      <c r="D2416" s="206"/>
      <c r="E2416" s="206"/>
    </row>
    <row r="2417" spans="3:5" x14ac:dyDescent="0.2">
      <c r="C2417" s="206"/>
      <c r="D2417" s="206"/>
      <c r="E2417" s="206"/>
    </row>
    <row r="2418" spans="3:5" x14ac:dyDescent="0.2">
      <c r="C2418" s="206"/>
      <c r="D2418" s="206"/>
      <c r="E2418" s="206"/>
    </row>
    <row r="2419" spans="3:5" x14ac:dyDescent="0.2">
      <c r="C2419" s="206"/>
      <c r="D2419" s="206"/>
      <c r="E2419" s="206"/>
    </row>
    <row r="2420" spans="3:5" x14ac:dyDescent="0.2">
      <c r="C2420" s="207"/>
      <c r="D2420" s="206"/>
      <c r="E2420" s="206"/>
    </row>
    <row r="2421" spans="3:5" x14ac:dyDescent="0.2">
      <c r="C2421" s="207"/>
      <c r="D2421" s="206"/>
      <c r="E2421" s="206"/>
    </row>
    <row r="2422" spans="3:5" x14ac:dyDescent="0.2">
      <c r="C2422" s="207"/>
      <c r="D2422" s="206"/>
      <c r="E2422" s="206"/>
    </row>
    <row r="2423" spans="3:5" x14ac:dyDescent="0.2">
      <c r="C2423" s="206"/>
      <c r="D2423" s="206"/>
      <c r="E2423" s="206"/>
    </row>
    <row r="2424" spans="3:5" x14ac:dyDescent="0.2">
      <c r="C2424" s="207"/>
      <c r="D2424" s="206"/>
      <c r="E2424" s="206"/>
    </row>
    <row r="2425" spans="3:5" x14ac:dyDescent="0.2">
      <c r="C2425" s="206"/>
      <c r="D2425" s="206"/>
      <c r="E2425" s="206"/>
    </row>
    <row r="2426" spans="3:5" x14ac:dyDescent="0.2">
      <c r="C2426" s="207"/>
      <c r="D2426" s="206"/>
      <c r="E2426" s="206"/>
    </row>
    <row r="2427" spans="3:5" x14ac:dyDescent="0.2">
      <c r="C2427" s="207"/>
      <c r="D2427" s="206"/>
      <c r="E2427" s="206"/>
    </row>
    <row r="2428" spans="3:5" x14ac:dyDescent="0.2">
      <c r="C2428" s="207"/>
      <c r="D2428" s="206"/>
      <c r="E2428" s="206"/>
    </row>
    <row r="2429" spans="3:5" x14ac:dyDescent="0.2">
      <c r="C2429" s="206"/>
      <c r="D2429" s="206"/>
      <c r="E2429" s="206"/>
    </row>
    <row r="2430" spans="3:5" x14ac:dyDescent="0.2">
      <c r="C2430" s="206"/>
      <c r="D2430" s="206"/>
      <c r="E2430" s="206"/>
    </row>
    <row r="2431" spans="3:5" x14ac:dyDescent="0.2">
      <c r="C2431" s="206"/>
      <c r="D2431" s="206"/>
      <c r="E2431" s="206"/>
    </row>
    <row r="2432" spans="3:5" x14ac:dyDescent="0.2">
      <c r="C2432" s="206"/>
      <c r="D2432" s="206"/>
      <c r="E2432" s="206"/>
    </row>
    <row r="2433" spans="3:5" x14ac:dyDescent="0.2">
      <c r="C2433" s="207"/>
      <c r="D2433" s="206"/>
      <c r="E2433" s="206"/>
    </row>
    <row r="2434" spans="3:5" x14ac:dyDescent="0.2">
      <c r="C2434" s="207"/>
      <c r="D2434" s="206"/>
      <c r="E2434" s="206"/>
    </row>
    <row r="2435" spans="3:5" x14ac:dyDescent="0.2">
      <c r="C2435" s="207"/>
      <c r="D2435" s="206"/>
      <c r="E2435" s="206"/>
    </row>
    <row r="2436" spans="3:5" x14ac:dyDescent="0.2">
      <c r="C2436" s="207"/>
      <c r="D2436" s="206"/>
      <c r="E2436" s="206"/>
    </row>
    <row r="2437" spans="3:5" x14ac:dyDescent="0.2">
      <c r="C2437" s="207"/>
      <c r="D2437" s="206"/>
      <c r="E2437" s="206"/>
    </row>
    <row r="2438" spans="3:5" x14ac:dyDescent="0.2">
      <c r="C2438" s="207"/>
      <c r="D2438" s="206"/>
      <c r="E2438" s="206"/>
    </row>
    <row r="2439" spans="3:5" x14ac:dyDescent="0.2">
      <c r="C2439" s="206"/>
      <c r="D2439" s="206"/>
      <c r="E2439" s="206"/>
    </row>
    <row r="2440" spans="3:5" x14ac:dyDescent="0.2">
      <c r="C2440" s="206"/>
      <c r="D2440" s="206"/>
      <c r="E2440" s="206"/>
    </row>
    <row r="2441" spans="3:5" x14ac:dyDescent="0.2">
      <c r="C2441" s="206"/>
      <c r="D2441" s="206"/>
      <c r="E2441" s="206"/>
    </row>
    <row r="2442" spans="3:5" x14ac:dyDescent="0.2">
      <c r="C2442" s="206"/>
      <c r="D2442" s="206"/>
      <c r="E2442" s="206"/>
    </row>
    <row r="2443" spans="3:5" x14ac:dyDescent="0.2">
      <c r="C2443" s="207"/>
      <c r="D2443" s="206"/>
      <c r="E2443" s="206"/>
    </row>
    <row r="2444" spans="3:5" x14ac:dyDescent="0.2">
      <c r="C2444" s="207"/>
      <c r="D2444" s="206"/>
      <c r="E2444" s="206"/>
    </row>
    <row r="2445" spans="3:5" x14ac:dyDescent="0.2">
      <c r="C2445" s="206"/>
      <c r="D2445" s="206"/>
      <c r="E2445" s="206"/>
    </row>
    <row r="2446" spans="3:5" x14ac:dyDescent="0.2">
      <c r="C2446" s="206"/>
      <c r="D2446" s="206"/>
      <c r="E2446" s="206"/>
    </row>
    <row r="2447" spans="3:5" x14ac:dyDescent="0.2">
      <c r="C2447" s="206"/>
      <c r="D2447" s="206"/>
      <c r="E2447" s="206"/>
    </row>
    <row r="2448" spans="3:5" x14ac:dyDescent="0.2">
      <c r="C2448" s="206"/>
      <c r="D2448" s="206"/>
      <c r="E2448" s="206"/>
    </row>
    <row r="2449" spans="3:5" x14ac:dyDescent="0.2">
      <c r="C2449" s="206"/>
      <c r="D2449" s="206"/>
      <c r="E2449" s="206"/>
    </row>
    <row r="2450" spans="3:5" x14ac:dyDescent="0.2">
      <c r="C2450" s="206"/>
      <c r="D2450" s="206"/>
      <c r="E2450" s="206"/>
    </row>
    <row r="2451" spans="3:5" x14ac:dyDescent="0.2">
      <c r="C2451" s="207"/>
      <c r="D2451" s="206"/>
      <c r="E2451" s="206"/>
    </row>
    <row r="2452" spans="3:5" x14ac:dyDescent="0.2">
      <c r="C2452" s="207"/>
      <c r="D2452" s="206"/>
      <c r="E2452" s="206"/>
    </row>
    <row r="2453" spans="3:5" x14ac:dyDescent="0.2">
      <c r="C2453" s="206"/>
      <c r="D2453" s="206"/>
      <c r="E2453" s="206"/>
    </row>
    <row r="2454" spans="3:5" x14ac:dyDescent="0.2">
      <c r="C2454" s="206"/>
      <c r="D2454" s="206"/>
      <c r="E2454" s="206"/>
    </row>
    <row r="2455" spans="3:5" x14ac:dyDescent="0.2">
      <c r="C2455" s="206"/>
      <c r="D2455" s="206"/>
      <c r="E2455" s="206"/>
    </row>
    <row r="2456" spans="3:5" x14ac:dyDescent="0.2">
      <c r="C2456" s="207"/>
      <c r="D2456" s="206"/>
      <c r="E2456" s="206"/>
    </row>
    <row r="2457" spans="3:5" x14ac:dyDescent="0.2">
      <c r="C2457" s="207"/>
      <c r="D2457" s="206"/>
      <c r="E2457" s="206"/>
    </row>
    <row r="2458" spans="3:5" x14ac:dyDescent="0.2">
      <c r="C2458" s="206"/>
      <c r="D2458" s="206"/>
      <c r="E2458" s="206"/>
    </row>
    <row r="2459" spans="3:5" x14ac:dyDescent="0.2">
      <c r="C2459" s="207"/>
      <c r="D2459" s="206"/>
      <c r="E2459" s="206"/>
    </row>
    <row r="2460" spans="3:5" x14ac:dyDescent="0.2">
      <c r="C2460" s="206"/>
      <c r="D2460" s="206"/>
      <c r="E2460" s="206"/>
    </row>
    <row r="2461" spans="3:5" x14ac:dyDescent="0.2">
      <c r="C2461" s="206"/>
      <c r="D2461" s="206"/>
      <c r="E2461" s="206"/>
    </row>
    <row r="2462" spans="3:5" x14ac:dyDescent="0.2">
      <c r="C2462" s="206"/>
      <c r="D2462" s="206"/>
      <c r="E2462" s="206"/>
    </row>
    <row r="2463" spans="3:5" x14ac:dyDescent="0.2">
      <c r="C2463" s="206"/>
      <c r="D2463" s="206"/>
      <c r="E2463" s="206"/>
    </row>
    <row r="2464" spans="3:5" x14ac:dyDescent="0.2">
      <c r="C2464" s="206"/>
      <c r="D2464" s="206"/>
      <c r="E2464" s="206"/>
    </row>
    <row r="2465" spans="3:5" x14ac:dyDescent="0.2">
      <c r="C2465" s="207"/>
      <c r="D2465" s="206"/>
      <c r="E2465" s="206"/>
    </row>
    <row r="2466" spans="3:5" x14ac:dyDescent="0.2">
      <c r="C2466" s="207"/>
      <c r="D2466" s="206"/>
      <c r="E2466" s="206"/>
    </row>
    <row r="2467" spans="3:5" x14ac:dyDescent="0.2">
      <c r="C2467" s="207"/>
      <c r="D2467" s="206"/>
      <c r="E2467" s="206"/>
    </row>
    <row r="2468" spans="3:5" x14ac:dyDescent="0.2">
      <c r="C2468" s="206"/>
      <c r="D2468" s="206"/>
      <c r="E2468" s="206"/>
    </row>
    <row r="2469" spans="3:5" x14ac:dyDescent="0.2">
      <c r="C2469" s="206"/>
      <c r="D2469" s="206"/>
      <c r="E2469" s="206"/>
    </row>
    <row r="2470" spans="3:5" x14ac:dyDescent="0.2">
      <c r="C2470" s="207"/>
      <c r="D2470" s="206"/>
      <c r="E2470" s="206"/>
    </row>
    <row r="2471" spans="3:5" x14ac:dyDescent="0.2">
      <c r="C2471" s="207"/>
      <c r="D2471" s="206"/>
      <c r="E2471" s="206"/>
    </row>
    <row r="2472" spans="3:5" x14ac:dyDescent="0.2">
      <c r="C2472" s="206"/>
      <c r="D2472" s="206"/>
      <c r="E2472" s="206"/>
    </row>
    <row r="2473" spans="3:5" x14ac:dyDescent="0.2">
      <c r="C2473" s="206"/>
      <c r="D2473" s="206"/>
      <c r="E2473" s="206"/>
    </row>
    <row r="2474" spans="3:5" x14ac:dyDescent="0.2">
      <c r="C2474" s="206"/>
      <c r="D2474" s="206"/>
      <c r="E2474" s="206"/>
    </row>
    <row r="2475" spans="3:5" x14ac:dyDescent="0.2">
      <c r="C2475" s="207"/>
      <c r="D2475" s="206"/>
      <c r="E2475" s="206"/>
    </row>
    <row r="2476" spans="3:5" x14ac:dyDescent="0.2">
      <c r="C2476" s="207"/>
      <c r="D2476" s="206"/>
      <c r="E2476" s="206"/>
    </row>
    <row r="2477" spans="3:5" x14ac:dyDescent="0.2">
      <c r="C2477" s="206"/>
      <c r="D2477" s="206"/>
      <c r="E2477" s="206"/>
    </row>
    <row r="2478" spans="3:5" x14ac:dyDescent="0.2">
      <c r="C2478" s="206"/>
      <c r="D2478" s="206"/>
      <c r="E2478" s="206"/>
    </row>
    <row r="2479" spans="3:5" x14ac:dyDescent="0.2">
      <c r="C2479" s="206"/>
      <c r="D2479" s="206"/>
      <c r="E2479" s="206"/>
    </row>
    <row r="2480" spans="3:5" x14ac:dyDescent="0.2">
      <c r="C2480" s="206"/>
      <c r="D2480" s="206"/>
      <c r="E2480" s="206"/>
    </row>
    <row r="2481" spans="3:5" x14ac:dyDescent="0.2">
      <c r="C2481" s="207"/>
      <c r="D2481" s="206"/>
      <c r="E2481" s="206"/>
    </row>
    <row r="2482" spans="3:5" x14ac:dyDescent="0.2">
      <c r="C2482" s="206"/>
      <c r="D2482" s="206"/>
      <c r="E2482" s="206"/>
    </row>
    <row r="2483" spans="3:5" x14ac:dyDescent="0.2">
      <c r="C2483" s="206"/>
      <c r="D2483" s="206"/>
      <c r="E2483" s="206"/>
    </row>
    <row r="2484" spans="3:5" x14ac:dyDescent="0.2">
      <c r="C2484" s="206"/>
      <c r="D2484" s="206"/>
      <c r="E2484" s="206"/>
    </row>
    <row r="2485" spans="3:5" x14ac:dyDescent="0.2">
      <c r="C2485" s="207"/>
      <c r="D2485" s="206"/>
      <c r="E2485" s="206"/>
    </row>
    <row r="2486" spans="3:5" x14ac:dyDescent="0.2">
      <c r="C2486" s="206"/>
      <c r="D2486" s="206"/>
      <c r="E2486" s="206"/>
    </row>
    <row r="2487" spans="3:5" x14ac:dyDescent="0.2">
      <c r="C2487" s="206"/>
      <c r="D2487" s="206"/>
      <c r="E2487" s="206"/>
    </row>
    <row r="2488" spans="3:5" x14ac:dyDescent="0.2">
      <c r="C2488" s="207"/>
      <c r="D2488" s="206"/>
      <c r="E2488" s="206"/>
    </row>
    <row r="2489" spans="3:5" x14ac:dyDescent="0.2">
      <c r="C2489" s="206"/>
      <c r="D2489" s="206"/>
      <c r="E2489" s="206"/>
    </row>
    <row r="2490" spans="3:5" x14ac:dyDescent="0.2">
      <c r="C2490" s="206"/>
      <c r="D2490" s="206"/>
      <c r="E2490" s="206"/>
    </row>
    <row r="2491" spans="3:5" x14ac:dyDescent="0.2">
      <c r="C2491" s="206"/>
      <c r="D2491" s="206"/>
      <c r="E2491" s="206"/>
    </row>
    <row r="2492" spans="3:5" x14ac:dyDescent="0.2">
      <c r="C2492" s="207"/>
      <c r="D2492" s="206"/>
      <c r="E2492" s="206"/>
    </row>
    <row r="2493" spans="3:5" x14ac:dyDescent="0.2">
      <c r="C2493" s="207"/>
      <c r="D2493" s="206"/>
      <c r="E2493" s="206"/>
    </row>
    <row r="2494" spans="3:5" x14ac:dyDescent="0.2">
      <c r="C2494" s="206"/>
      <c r="D2494" s="206"/>
      <c r="E2494" s="206"/>
    </row>
    <row r="2495" spans="3:5" x14ac:dyDescent="0.2">
      <c r="C2495" s="206"/>
      <c r="D2495" s="206"/>
      <c r="E2495" s="206"/>
    </row>
    <row r="2496" spans="3:5" x14ac:dyDescent="0.2">
      <c r="C2496" s="206"/>
      <c r="D2496" s="206"/>
      <c r="E2496" s="206"/>
    </row>
    <row r="2497" spans="3:5" x14ac:dyDescent="0.2">
      <c r="C2497" s="206"/>
      <c r="D2497" s="206"/>
      <c r="E2497" s="206"/>
    </row>
    <row r="2498" spans="3:5" x14ac:dyDescent="0.2">
      <c r="C2498" s="206"/>
      <c r="D2498" s="206"/>
      <c r="E2498" s="206"/>
    </row>
    <row r="2499" spans="3:5" x14ac:dyDescent="0.2">
      <c r="C2499" s="206"/>
      <c r="D2499" s="206"/>
      <c r="E2499" s="206"/>
    </row>
    <row r="2500" spans="3:5" x14ac:dyDescent="0.2">
      <c r="C2500" s="207"/>
      <c r="D2500" s="206"/>
      <c r="E2500" s="206"/>
    </row>
    <row r="2501" spans="3:5" x14ac:dyDescent="0.2">
      <c r="C2501" s="207"/>
      <c r="D2501" s="206"/>
      <c r="E2501" s="206"/>
    </row>
    <row r="2502" spans="3:5" x14ac:dyDescent="0.2">
      <c r="C2502" s="207"/>
      <c r="D2502" s="206"/>
      <c r="E2502" s="206"/>
    </row>
    <row r="2503" spans="3:5" x14ac:dyDescent="0.2">
      <c r="C2503" s="207"/>
      <c r="D2503" s="206"/>
      <c r="E2503" s="206"/>
    </row>
    <row r="2504" spans="3:5" x14ac:dyDescent="0.2">
      <c r="C2504" s="206"/>
      <c r="D2504" s="206"/>
      <c r="E2504" s="206"/>
    </row>
    <row r="2505" spans="3:5" x14ac:dyDescent="0.2">
      <c r="C2505" s="206"/>
      <c r="D2505" s="206"/>
      <c r="E2505" s="206"/>
    </row>
    <row r="2506" spans="3:5" x14ac:dyDescent="0.2">
      <c r="C2506" s="206"/>
      <c r="D2506" s="206"/>
      <c r="E2506" s="206"/>
    </row>
    <row r="2507" spans="3:5" x14ac:dyDescent="0.2">
      <c r="C2507" s="206"/>
      <c r="D2507" s="206"/>
      <c r="E2507" s="206"/>
    </row>
    <row r="2508" spans="3:5" x14ac:dyDescent="0.2">
      <c r="C2508" s="206"/>
      <c r="D2508" s="206"/>
      <c r="E2508" s="206"/>
    </row>
    <row r="2509" spans="3:5" x14ac:dyDescent="0.2">
      <c r="C2509" s="206"/>
      <c r="D2509" s="206"/>
      <c r="E2509" s="206"/>
    </row>
    <row r="2510" spans="3:5" x14ac:dyDescent="0.2">
      <c r="C2510" s="206"/>
      <c r="D2510" s="206"/>
      <c r="E2510" s="206"/>
    </row>
    <row r="2511" spans="3:5" x14ac:dyDescent="0.2">
      <c r="C2511" s="206"/>
      <c r="D2511" s="206"/>
      <c r="E2511" s="206"/>
    </row>
    <row r="2512" spans="3:5" x14ac:dyDescent="0.2">
      <c r="C2512" s="206"/>
      <c r="D2512" s="206"/>
      <c r="E2512" s="206"/>
    </row>
    <row r="2513" spans="3:5" x14ac:dyDescent="0.2">
      <c r="C2513" s="206"/>
      <c r="D2513" s="206"/>
      <c r="E2513" s="206"/>
    </row>
    <row r="2514" spans="3:5" x14ac:dyDescent="0.2">
      <c r="C2514" s="206"/>
      <c r="D2514" s="206"/>
      <c r="E2514" s="206"/>
    </row>
    <row r="2515" spans="3:5" x14ac:dyDescent="0.2">
      <c r="C2515" s="207"/>
      <c r="D2515" s="206"/>
      <c r="E2515" s="206"/>
    </row>
    <row r="2516" spans="3:5" x14ac:dyDescent="0.2">
      <c r="C2516" s="207"/>
      <c r="D2516" s="206"/>
      <c r="E2516" s="206"/>
    </row>
    <row r="2517" spans="3:5" x14ac:dyDescent="0.2">
      <c r="C2517" s="207"/>
      <c r="D2517" s="206"/>
      <c r="E2517" s="206"/>
    </row>
    <row r="2518" spans="3:5" x14ac:dyDescent="0.2">
      <c r="C2518" s="207"/>
      <c r="D2518" s="206"/>
      <c r="E2518" s="206"/>
    </row>
    <row r="2519" spans="3:5" x14ac:dyDescent="0.2">
      <c r="C2519" s="206"/>
      <c r="D2519" s="206"/>
      <c r="E2519" s="206"/>
    </row>
    <row r="2520" spans="3:5" x14ac:dyDescent="0.2">
      <c r="C2520" s="207"/>
      <c r="D2520" s="206"/>
      <c r="E2520" s="206"/>
    </row>
    <row r="2521" spans="3:5" x14ac:dyDescent="0.2">
      <c r="C2521" s="206"/>
      <c r="D2521" s="206"/>
      <c r="E2521" s="206"/>
    </row>
    <row r="2522" spans="3:5" x14ac:dyDescent="0.2">
      <c r="C2522" s="206"/>
      <c r="D2522" s="206"/>
      <c r="E2522" s="206"/>
    </row>
    <row r="2523" spans="3:5" x14ac:dyDescent="0.2">
      <c r="C2523" s="206"/>
      <c r="D2523" s="206"/>
      <c r="E2523" s="206"/>
    </row>
    <row r="2524" spans="3:5" x14ac:dyDescent="0.2">
      <c r="C2524" s="206"/>
      <c r="D2524" s="206"/>
      <c r="E2524" s="206"/>
    </row>
    <row r="2525" spans="3:5" x14ac:dyDescent="0.2">
      <c r="C2525" s="206"/>
      <c r="D2525" s="206"/>
      <c r="E2525" s="206"/>
    </row>
    <row r="2526" spans="3:5" x14ac:dyDescent="0.2">
      <c r="C2526" s="206"/>
      <c r="D2526" s="206"/>
      <c r="E2526" s="206"/>
    </row>
    <row r="2527" spans="3:5" x14ac:dyDescent="0.2">
      <c r="C2527" s="207"/>
      <c r="D2527" s="206"/>
      <c r="E2527" s="206"/>
    </row>
    <row r="2528" spans="3:5" x14ac:dyDescent="0.2">
      <c r="C2528" s="206"/>
      <c r="D2528" s="206"/>
      <c r="E2528" s="206"/>
    </row>
    <row r="2529" spans="3:5" x14ac:dyDescent="0.2">
      <c r="C2529" s="207"/>
      <c r="D2529" s="206"/>
      <c r="E2529" s="206"/>
    </row>
    <row r="2530" spans="3:5" x14ac:dyDescent="0.2">
      <c r="C2530" s="207"/>
      <c r="D2530" s="206"/>
      <c r="E2530" s="206"/>
    </row>
    <row r="2531" spans="3:5" x14ac:dyDescent="0.2">
      <c r="C2531" s="206"/>
      <c r="D2531" s="206"/>
      <c r="E2531" s="206"/>
    </row>
    <row r="2532" spans="3:5" x14ac:dyDescent="0.2">
      <c r="C2532" s="206"/>
      <c r="D2532" s="206"/>
      <c r="E2532" s="206"/>
    </row>
    <row r="2533" spans="3:5" x14ac:dyDescent="0.2">
      <c r="C2533" s="207"/>
      <c r="D2533" s="206"/>
      <c r="E2533" s="206"/>
    </row>
    <row r="2534" spans="3:5" x14ac:dyDescent="0.2">
      <c r="C2534" s="206"/>
      <c r="D2534" s="206"/>
      <c r="E2534" s="206"/>
    </row>
    <row r="2535" spans="3:5" x14ac:dyDescent="0.2">
      <c r="C2535" s="206"/>
      <c r="D2535" s="206"/>
      <c r="E2535" s="206"/>
    </row>
    <row r="2536" spans="3:5" x14ac:dyDescent="0.2">
      <c r="C2536" s="206"/>
      <c r="D2536" s="206"/>
      <c r="E2536" s="206"/>
    </row>
    <row r="2537" spans="3:5" x14ac:dyDescent="0.2">
      <c r="C2537" s="207"/>
      <c r="D2537" s="206"/>
      <c r="E2537" s="206"/>
    </row>
    <row r="2538" spans="3:5" x14ac:dyDescent="0.2">
      <c r="C2538" s="207"/>
      <c r="D2538" s="206"/>
      <c r="E2538" s="206"/>
    </row>
    <row r="2539" spans="3:5" x14ac:dyDescent="0.2">
      <c r="C2539" s="206"/>
      <c r="D2539" s="206"/>
      <c r="E2539" s="206"/>
    </row>
    <row r="2540" spans="3:5" x14ac:dyDescent="0.2">
      <c r="C2540" s="206"/>
      <c r="D2540" s="206"/>
      <c r="E2540" s="206"/>
    </row>
    <row r="2541" spans="3:5" x14ac:dyDescent="0.2">
      <c r="C2541" s="206"/>
      <c r="D2541" s="206"/>
      <c r="E2541" s="206"/>
    </row>
    <row r="2542" spans="3:5" x14ac:dyDescent="0.2">
      <c r="C2542" s="206"/>
      <c r="D2542" s="206"/>
      <c r="E2542" s="206"/>
    </row>
    <row r="2543" spans="3:5" x14ac:dyDescent="0.2">
      <c r="C2543" s="206"/>
      <c r="D2543" s="206"/>
      <c r="E2543" s="206"/>
    </row>
    <row r="2544" spans="3:5" x14ac:dyDescent="0.2">
      <c r="C2544" s="206"/>
      <c r="D2544" s="206"/>
      <c r="E2544" s="206"/>
    </row>
    <row r="2545" spans="3:5" x14ac:dyDescent="0.2">
      <c r="C2545" s="206"/>
      <c r="D2545" s="206"/>
      <c r="E2545" s="206"/>
    </row>
    <row r="2546" spans="3:5" x14ac:dyDescent="0.2">
      <c r="C2546" s="206"/>
      <c r="D2546" s="206"/>
      <c r="E2546" s="206"/>
    </row>
    <row r="2547" spans="3:5" x14ac:dyDescent="0.2">
      <c r="C2547" s="207"/>
      <c r="D2547" s="206"/>
      <c r="E2547" s="206"/>
    </row>
    <row r="2548" spans="3:5" x14ac:dyDescent="0.2">
      <c r="C2548" s="207"/>
      <c r="D2548" s="206"/>
      <c r="E2548" s="206"/>
    </row>
    <row r="2549" spans="3:5" x14ac:dyDescent="0.2">
      <c r="C2549" s="207"/>
      <c r="D2549" s="206"/>
      <c r="E2549" s="206"/>
    </row>
    <row r="2550" spans="3:5" x14ac:dyDescent="0.2">
      <c r="C2550" s="207"/>
      <c r="D2550" s="206"/>
      <c r="E2550" s="206"/>
    </row>
    <row r="2551" spans="3:5" x14ac:dyDescent="0.2">
      <c r="C2551" s="206"/>
      <c r="D2551" s="206"/>
      <c r="E2551" s="206"/>
    </row>
    <row r="2552" spans="3:5" x14ac:dyDescent="0.2">
      <c r="C2552" s="207"/>
      <c r="D2552" s="206"/>
      <c r="E2552" s="206"/>
    </row>
    <row r="2553" spans="3:5" x14ac:dyDescent="0.2">
      <c r="C2553" s="206"/>
      <c r="D2553" s="206"/>
      <c r="E2553" s="206"/>
    </row>
    <row r="2554" spans="3:5" x14ac:dyDescent="0.2">
      <c r="C2554" s="206"/>
      <c r="D2554" s="206"/>
      <c r="E2554" s="206"/>
    </row>
    <row r="2555" spans="3:5" x14ac:dyDescent="0.2">
      <c r="C2555" s="206"/>
      <c r="D2555" s="206"/>
      <c r="E2555" s="206"/>
    </row>
    <row r="2556" spans="3:5" x14ac:dyDescent="0.2">
      <c r="C2556" s="206"/>
      <c r="D2556" s="206"/>
      <c r="E2556" s="206"/>
    </row>
    <row r="2557" spans="3:5" x14ac:dyDescent="0.2">
      <c r="C2557" s="206"/>
      <c r="D2557" s="206"/>
      <c r="E2557" s="206"/>
    </row>
    <row r="2558" spans="3:5" x14ac:dyDescent="0.2">
      <c r="C2558" s="206"/>
      <c r="D2558" s="206"/>
      <c r="E2558" s="206"/>
    </row>
    <row r="2559" spans="3:5" x14ac:dyDescent="0.2">
      <c r="C2559" s="206"/>
      <c r="D2559" s="206"/>
      <c r="E2559" s="206"/>
    </row>
    <row r="2560" spans="3:5" x14ac:dyDescent="0.2">
      <c r="C2560" s="206"/>
      <c r="D2560" s="206"/>
      <c r="E2560" s="206"/>
    </row>
    <row r="2561" spans="3:5" x14ac:dyDescent="0.2">
      <c r="C2561" s="206"/>
      <c r="D2561" s="206"/>
      <c r="E2561" s="206"/>
    </row>
    <row r="2562" spans="3:5" x14ac:dyDescent="0.2">
      <c r="C2562" s="207"/>
      <c r="D2562" s="206"/>
      <c r="E2562" s="206"/>
    </row>
    <row r="2563" spans="3:5" x14ac:dyDescent="0.2">
      <c r="C2563" s="207"/>
      <c r="D2563" s="206"/>
      <c r="E2563" s="206"/>
    </row>
    <row r="2564" spans="3:5" x14ac:dyDescent="0.2">
      <c r="C2564" s="206"/>
      <c r="D2564" s="206"/>
      <c r="E2564" s="206"/>
    </row>
    <row r="2565" spans="3:5" x14ac:dyDescent="0.2">
      <c r="C2565" s="207"/>
      <c r="D2565" s="206"/>
      <c r="E2565" s="206"/>
    </row>
    <row r="2566" spans="3:5" x14ac:dyDescent="0.2">
      <c r="C2566" s="206"/>
      <c r="D2566" s="206"/>
      <c r="E2566" s="206"/>
    </row>
    <row r="2567" spans="3:5" x14ac:dyDescent="0.2">
      <c r="C2567" s="207"/>
      <c r="D2567" s="206"/>
      <c r="E2567" s="206"/>
    </row>
    <row r="2568" spans="3:5" x14ac:dyDescent="0.2">
      <c r="C2568" s="206"/>
      <c r="D2568" s="206"/>
      <c r="E2568" s="206"/>
    </row>
    <row r="2569" spans="3:5" x14ac:dyDescent="0.2">
      <c r="C2569" s="207"/>
      <c r="D2569" s="206"/>
      <c r="E2569" s="206"/>
    </row>
    <row r="2570" spans="3:5" x14ac:dyDescent="0.2">
      <c r="C2570" s="206"/>
      <c r="D2570" s="206"/>
      <c r="E2570" s="206"/>
    </row>
    <row r="2571" spans="3:5" x14ac:dyDescent="0.2">
      <c r="C2571" s="206"/>
      <c r="D2571" s="206"/>
      <c r="E2571" s="206"/>
    </row>
    <row r="2572" spans="3:5" x14ac:dyDescent="0.2">
      <c r="C2572" s="207"/>
      <c r="D2572" s="206"/>
      <c r="E2572" s="206"/>
    </row>
    <row r="2573" spans="3:5" x14ac:dyDescent="0.2">
      <c r="C2573" s="206"/>
      <c r="D2573" s="206"/>
      <c r="E2573" s="206"/>
    </row>
    <row r="2574" spans="3:5" x14ac:dyDescent="0.2">
      <c r="C2574" s="206"/>
      <c r="D2574" s="206"/>
      <c r="E2574" s="206"/>
    </row>
    <row r="2575" spans="3:5" x14ac:dyDescent="0.2">
      <c r="C2575" s="206"/>
      <c r="D2575" s="206"/>
      <c r="E2575" s="206"/>
    </row>
    <row r="2576" spans="3:5" x14ac:dyDescent="0.2">
      <c r="C2576" s="206"/>
      <c r="D2576" s="206"/>
      <c r="E2576" s="206"/>
    </row>
    <row r="2577" spans="3:5" x14ac:dyDescent="0.2">
      <c r="C2577" s="206"/>
      <c r="D2577" s="206"/>
      <c r="E2577" s="206"/>
    </row>
    <row r="2578" spans="3:5" x14ac:dyDescent="0.2">
      <c r="C2578" s="206"/>
      <c r="D2578" s="206"/>
      <c r="E2578" s="206"/>
    </row>
    <row r="2579" spans="3:5" x14ac:dyDescent="0.2">
      <c r="C2579" s="206"/>
      <c r="D2579" s="206"/>
      <c r="E2579" s="206"/>
    </row>
    <row r="2580" spans="3:5" x14ac:dyDescent="0.2">
      <c r="C2580" s="206"/>
      <c r="D2580" s="206"/>
      <c r="E2580" s="206"/>
    </row>
    <row r="2581" spans="3:5" x14ac:dyDescent="0.2">
      <c r="C2581" s="206"/>
      <c r="D2581" s="206"/>
      <c r="E2581" s="206"/>
    </row>
    <row r="2582" spans="3:5" x14ac:dyDescent="0.2">
      <c r="C2582" s="206"/>
      <c r="D2582" s="206"/>
      <c r="E2582" s="206"/>
    </row>
    <row r="2583" spans="3:5" x14ac:dyDescent="0.2">
      <c r="C2583" s="206"/>
      <c r="D2583" s="206"/>
      <c r="E2583" s="206"/>
    </row>
    <row r="2584" spans="3:5" x14ac:dyDescent="0.2">
      <c r="C2584" s="207"/>
      <c r="D2584" s="206"/>
      <c r="E2584" s="206"/>
    </row>
    <row r="2585" spans="3:5" x14ac:dyDescent="0.2">
      <c r="C2585" s="206"/>
      <c r="D2585" s="206"/>
      <c r="E2585" s="206"/>
    </row>
    <row r="2586" spans="3:5" x14ac:dyDescent="0.2">
      <c r="C2586" s="206"/>
      <c r="D2586" s="206"/>
      <c r="E2586" s="206"/>
    </row>
    <row r="2587" spans="3:5" x14ac:dyDescent="0.2">
      <c r="C2587" s="207"/>
      <c r="D2587" s="206"/>
      <c r="E2587" s="206"/>
    </row>
    <row r="2588" spans="3:5" x14ac:dyDescent="0.2">
      <c r="C2588" s="206"/>
      <c r="D2588" s="206"/>
      <c r="E2588" s="206"/>
    </row>
    <row r="2589" spans="3:5" x14ac:dyDescent="0.2">
      <c r="C2589" s="206"/>
      <c r="D2589" s="206"/>
      <c r="E2589" s="206"/>
    </row>
    <row r="2590" spans="3:5" x14ac:dyDescent="0.2">
      <c r="C2590" s="207"/>
      <c r="D2590" s="206"/>
      <c r="E2590" s="206"/>
    </row>
    <row r="2591" spans="3:5" x14ac:dyDescent="0.2">
      <c r="C2591" s="206"/>
      <c r="D2591" s="206"/>
      <c r="E2591" s="206"/>
    </row>
    <row r="2592" spans="3:5" x14ac:dyDescent="0.2">
      <c r="C2592" s="207"/>
      <c r="D2592" s="206"/>
      <c r="E2592" s="206"/>
    </row>
    <row r="2593" spans="3:5" x14ac:dyDescent="0.2">
      <c r="C2593" s="206"/>
      <c r="D2593" s="206"/>
      <c r="E2593" s="206"/>
    </row>
    <row r="2594" spans="3:5" x14ac:dyDescent="0.2">
      <c r="C2594" s="206"/>
      <c r="D2594" s="206"/>
      <c r="E2594" s="206"/>
    </row>
    <row r="2595" spans="3:5" x14ac:dyDescent="0.2">
      <c r="C2595" s="206"/>
      <c r="D2595" s="206"/>
      <c r="E2595" s="206"/>
    </row>
    <row r="2596" spans="3:5" x14ac:dyDescent="0.2">
      <c r="C2596" s="206"/>
      <c r="D2596" s="206"/>
      <c r="E2596" s="206"/>
    </row>
    <row r="2597" spans="3:5" x14ac:dyDescent="0.2">
      <c r="C2597" s="206"/>
      <c r="D2597" s="206"/>
      <c r="E2597" s="206"/>
    </row>
    <row r="2598" spans="3:5" x14ac:dyDescent="0.2">
      <c r="C2598" s="207"/>
      <c r="D2598" s="206"/>
      <c r="E2598" s="206"/>
    </row>
    <row r="2599" spans="3:5" x14ac:dyDescent="0.2">
      <c r="C2599" s="206"/>
      <c r="D2599" s="206"/>
      <c r="E2599" s="206"/>
    </row>
    <row r="2600" spans="3:5" x14ac:dyDescent="0.2">
      <c r="C2600" s="207"/>
      <c r="D2600" s="206"/>
      <c r="E2600" s="206"/>
    </row>
    <row r="2601" spans="3:5" x14ac:dyDescent="0.2">
      <c r="C2601" s="207"/>
      <c r="D2601" s="206"/>
      <c r="E2601" s="206"/>
    </row>
    <row r="2602" spans="3:5" x14ac:dyDescent="0.2">
      <c r="C2602" s="206"/>
      <c r="D2602" s="206"/>
      <c r="E2602" s="206"/>
    </row>
    <row r="2603" spans="3:5" x14ac:dyDescent="0.2">
      <c r="C2603" s="206"/>
      <c r="D2603" s="206"/>
      <c r="E2603" s="206"/>
    </row>
    <row r="2604" spans="3:5" x14ac:dyDescent="0.2">
      <c r="C2604" s="206"/>
      <c r="D2604" s="206"/>
      <c r="E2604" s="206"/>
    </row>
    <row r="2605" spans="3:5" x14ac:dyDescent="0.2">
      <c r="C2605" s="206"/>
      <c r="D2605" s="206"/>
      <c r="E2605" s="206"/>
    </row>
    <row r="2606" spans="3:5" x14ac:dyDescent="0.2">
      <c r="C2606" s="206"/>
      <c r="D2606" s="206"/>
      <c r="E2606" s="206"/>
    </row>
    <row r="2607" spans="3:5" x14ac:dyDescent="0.2">
      <c r="C2607" s="207"/>
      <c r="D2607" s="206"/>
      <c r="E2607" s="206"/>
    </row>
    <row r="2608" spans="3:5" x14ac:dyDescent="0.2">
      <c r="C2608" s="206"/>
      <c r="D2608" s="206"/>
      <c r="E2608" s="206"/>
    </row>
    <row r="2609" spans="3:5" x14ac:dyDescent="0.2">
      <c r="C2609" s="206"/>
      <c r="D2609" s="206"/>
      <c r="E2609" s="206"/>
    </row>
    <row r="2610" spans="3:5" x14ac:dyDescent="0.2">
      <c r="C2610" s="206"/>
      <c r="D2610" s="206"/>
      <c r="E2610" s="206"/>
    </row>
    <row r="2611" spans="3:5" x14ac:dyDescent="0.2">
      <c r="C2611" s="206"/>
      <c r="D2611" s="206"/>
      <c r="E2611" s="206"/>
    </row>
    <row r="2612" spans="3:5" x14ac:dyDescent="0.2">
      <c r="C2612" s="207"/>
      <c r="D2612" s="206"/>
      <c r="E2612" s="206"/>
    </row>
    <row r="2613" spans="3:5" x14ac:dyDescent="0.2">
      <c r="C2613" s="206"/>
      <c r="D2613" s="206"/>
      <c r="E2613" s="206"/>
    </row>
    <row r="2614" spans="3:5" x14ac:dyDescent="0.2">
      <c r="C2614" s="206"/>
      <c r="D2614" s="206"/>
      <c r="E2614" s="206"/>
    </row>
    <row r="2615" spans="3:5" x14ac:dyDescent="0.2">
      <c r="C2615" s="206"/>
      <c r="D2615" s="206"/>
      <c r="E2615" s="206"/>
    </row>
    <row r="2616" spans="3:5" x14ac:dyDescent="0.2">
      <c r="C2616" s="206"/>
      <c r="D2616" s="206"/>
      <c r="E2616" s="206"/>
    </row>
    <row r="2617" spans="3:5" x14ac:dyDescent="0.2">
      <c r="C2617" s="206"/>
      <c r="D2617" s="206"/>
      <c r="E2617" s="206"/>
    </row>
    <row r="2618" spans="3:5" x14ac:dyDescent="0.2">
      <c r="C2618" s="206"/>
      <c r="D2618" s="206"/>
      <c r="E2618" s="206"/>
    </row>
    <row r="2619" spans="3:5" x14ac:dyDescent="0.2">
      <c r="C2619" s="206"/>
      <c r="D2619" s="206"/>
      <c r="E2619" s="206"/>
    </row>
    <row r="2620" spans="3:5" x14ac:dyDescent="0.2">
      <c r="C2620" s="206"/>
      <c r="D2620" s="206"/>
      <c r="E2620" s="206"/>
    </row>
    <row r="2621" spans="3:5" x14ac:dyDescent="0.2">
      <c r="C2621" s="207"/>
      <c r="D2621" s="206"/>
      <c r="E2621" s="206"/>
    </row>
    <row r="2622" spans="3:5" x14ac:dyDescent="0.2">
      <c r="C2622" s="206"/>
      <c r="D2622" s="206"/>
      <c r="E2622" s="206"/>
    </row>
    <row r="2623" spans="3:5" x14ac:dyDescent="0.2">
      <c r="C2623" s="206"/>
      <c r="D2623" s="206"/>
      <c r="E2623" s="206"/>
    </row>
    <row r="2624" spans="3:5" x14ac:dyDescent="0.2">
      <c r="C2624" s="207"/>
      <c r="D2624" s="206"/>
      <c r="E2624" s="206"/>
    </row>
    <row r="2625" spans="3:5" x14ac:dyDescent="0.2">
      <c r="C2625" s="206"/>
      <c r="D2625" s="206"/>
      <c r="E2625" s="206"/>
    </row>
    <row r="2626" spans="3:5" x14ac:dyDescent="0.2">
      <c r="C2626" s="206"/>
      <c r="D2626" s="206"/>
      <c r="E2626" s="206"/>
    </row>
    <row r="2627" spans="3:5" x14ac:dyDescent="0.2">
      <c r="C2627" s="206"/>
      <c r="D2627" s="206"/>
      <c r="E2627" s="206"/>
    </row>
    <row r="2628" spans="3:5" x14ac:dyDescent="0.2">
      <c r="C2628" s="206"/>
      <c r="D2628" s="206"/>
      <c r="E2628" s="206"/>
    </row>
    <row r="2629" spans="3:5" x14ac:dyDescent="0.2">
      <c r="C2629" s="206"/>
      <c r="D2629" s="206"/>
      <c r="E2629" s="206"/>
    </row>
    <row r="2630" spans="3:5" x14ac:dyDescent="0.2">
      <c r="C2630" s="206"/>
      <c r="D2630" s="206"/>
      <c r="E2630" s="206"/>
    </row>
    <row r="2631" spans="3:5" x14ac:dyDescent="0.2">
      <c r="C2631" s="207"/>
      <c r="D2631" s="206"/>
      <c r="E2631" s="206"/>
    </row>
    <row r="2632" spans="3:5" x14ac:dyDescent="0.2">
      <c r="C2632" s="207"/>
      <c r="D2632" s="206"/>
      <c r="E2632" s="206"/>
    </row>
    <row r="2633" spans="3:5" x14ac:dyDescent="0.2">
      <c r="C2633" s="206"/>
      <c r="D2633" s="206"/>
      <c r="E2633" s="206"/>
    </row>
    <row r="2634" spans="3:5" x14ac:dyDescent="0.2">
      <c r="C2634" s="206"/>
      <c r="D2634" s="206"/>
      <c r="E2634" s="206"/>
    </row>
    <row r="2635" spans="3:5" x14ac:dyDescent="0.2">
      <c r="C2635" s="206"/>
      <c r="D2635" s="206"/>
      <c r="E2635" s="206"/>
    </row>
    <row r="2636" spans="3:5" x14ac:dyDescent="0.2">
      <c r="C2636" s="206"/>
      <c r="D2636" s="206"/>
      <c r="E2636" s="206"/>
    </row>
    <row r="2637" spans="3:5" x14ac:dyDescent="0.2">
      <c r="C2637" s="206"/>
      <c r="D2637" s="206"/>
      <c r="E2637" s="206"/>
    </row>
    <row r="2638" spans="3:5" x14ac:dyDescent="0.2">
      <c r="C2638" s="206"/>
      <c r="D2638" s="206"/>
      <c r="E2638" s="206"/>
    </row>
    <row r="2639" spans="3:5" x14ac:dyDescent="0.2">
      <c r="C2639" s="207"/>
      <c r="D2639" s="206"/>
      <c r="E2639" s="206"/>
    </row>
    <row r="2640" spans="3:5" x14ac:dyDescent="0.2">
      <c r="C2640" s="207"/>
      <c r="D2640" s="206"/>
      <c r="E2640" s="206"/>
    </row>
  </sheetData>
  <autoFilter ref="C1:C2640" xr:uid="{00000000-0009-0000-0000-00002B000000}"/>
  <conditionalFormatting sqref="G160:G161">
    <cfRule type="duplicateValues" dxfId="45" priority="46"/>
  </conditionalFormatting>
  <conditionalFormatting sqref="G162:G163">
    <cfRule type="duplicateValues" dxfId="44" priority="45"/>
  </conditionalFormatting>
  <conditionalFormatting sqref="G164">
    <cfRule type="duplicateValues" dxfId="43" priority="44"/>
  </conditionalFormatting>
  <conditionalFormatting sqref="G165">
    <cfRule type="duplicateValues" dxfId="42" priority="43"/>
  </conditionalFormatting>
  <conditionalFormatting sqref="G166">
    <cfRule type="duplicateValues" dxfId="41" priority="42"/>
  </conditionalFormatting>
  <conditionalFormatting sqref="G1116:G1118">
    <cfRule type="duplicateValues" dxfId="40" priority="40"/>
  </conditionalFormatting>
  <conditionalFormatting sqref="G1116:G1144">
    <cfRule type="duplicateValues" dxfId="39" priority="41"/>
  </conditionalFormatting>
  <conditionalFormatting sqref="G1119:G1127">
    <cfRule type="duplicateValues" dxfId="38" priority="39"/>
  </conditionalFormatting>
  <conditionalFormatting sqref="G1128:G1136">
    <cfRule type="duplicateValues" dxfId="37" priority="38"/>
  </conditionalFormatting>
  <conditionalFormatting sqref="G1137:G1140">
    <cfRule type="duplicateValues" dxfId="36" priority="37"/>
  </conditionalFormatting>
  <conditionalFormatting sqref="G1141:G1144">
    <cfRule type="duplicateValues" dxfId="35" priority="36"/>
    <cfRule type="duplicateValues" dxfId="34" priority="35"/>
  </conditionalFormatting>
  <conditionalFormatting sqref="G1566:G1567">
    <cfRule type="duplicateValues" dxfId="33" priority="34"/>
  </conditionalFormatting>
  <conditionalFormatting sqref="G1568">
    <cfRule type="duplicateValues" dxfId="32" priority="33"/>
  </conditionalFormatting>
  <conditionalFormatting sqref="G1569">
    <cfRule type="duplicateValues" dxfId="31" priority="32"/>
  </conditionalFormatting>
  <conditionalFormatting sqref="G1570">
    <cfRule type="duplicateValues" dxfId="30" priority="31"/>
  </conditionalFormatting>
  <conditionalFormatting sqref="G1571:G1575">
    <cfRule type="duplicateValues" dxfId="29" priority="30"/>
  </conditionalFormatting>
  <conditionalFormatting sqref="G1576">
    <cfRule type="duplicateValues" dxfId="28" priority="29"/>
  </conditionalFormatting>
  <conditionalFormatting sqref="G1577">
    <cfRule type="duplicateValues" dxfId="27" priority="28"/>
  </conditionalFormatting>
  <conditionalFormatting sqref="G1578:G1580">
    <cfRule type="duplicateValues" dxfId="26" priority="27"/>
  </conditionalFormatting>
  <conditionalFormatting sqref="G1581:G1584">
    <cfRule type="duplicateValues" dxfId="25" priority="26"/>
  </conditionalFormatting>
  <conditionalFormatting sqref="G1585">
    <cfRule type="duplicateValues" dxfId="24" priority="25"/>
  </conditionalFormatting>
  <conditionalFormatting sqref="G1586:G1587">
    <cfRule type="duplicateValues" dxfId="23" priority="24"/>
  </conditionalFormatting>
  <conditionalFormatting sqref="G1588">
    <cfRule type="duplicateValues" dxfId="22" priority="23"/>
  </conditionalFormatting>
  <conditionalFormatting sqref="G1589">
    <cfRule type="duplicateValues" dxfId="21" priority="22"/>
  </conditionalFormatting>
  <conditionalFormatting sqref="G1590">
    <cfRule type="duplicateValues" dxfId="20" priority="21"/>
  </conditionalFormatting>
  <conditionalFormatting sqref="G1591">
    <cfRule type="duplicateValues" dxfId="19" priority="20"/>
  </conditionalFormatting>
  <conditionalFormatting sqref="G1592:G1595">
    <cfRule type="duplicateValues" dxfId="18" priority="19"/>
  </conditionalFormatting>
  <conditionalFormatting sqref="G1596">
    <cfRule type="duplicateValues" dxfId="17" priority="18"/>
  </conditionalFormatting>
  <conditionalFormatting sqref="G1597:G1599">
    <cfRule type="duplicateValues" dxfId="16" priority="17"/>
  </conditionalFormatting>
  <conditionalFormatting sqref="G1600">
    <cfRule type="duplicateValues" dxfId="15" priority="16"/>
  </conditionalFormatting>
  <conditionalFormatting sqref="G1601:G1602">
    <cfRule type="duplicateValues" dxfId="14" priority="15"/>
  </conditionalFormatting>
  <conditionalFormatting sqref="G1604">
    <cfRule type="duplicateValues" dxfId="13" priority="14"/>
  </conditionalFormatting>
  <conditionalFormatting sqref="G1605">
    <cfRule type="duplicateValues" dxfId="12" priority="13"/>
  </conditionalFormatting>
  <conditionalFormatting sqref="G1606:G1612">
    <cfRule type="duplicateValues" dxfId="11" priority="12"/>
  </conditionalFormatting>
  <conditionalFormatting sqref="G1613">
    <cfRule type="duplicateValues" dxfId="10" priority="11"/>
  </conditionalFormatting>
  <conditionalFormatting sqref="G1614">
    <cfRule type="duplicateValues" dxfId="9" priority="10"/>
  </conditionalFormatting>
  <conditionalFormatting sqref="G1615:G1616">
    <cfRule type="duplicateValues" dxfId="8" priority="9"/>
  </conditionalFormatting>
  <conditionalFormatting sqref="G1617">
    <cfRule type="duplicateValues" dxfId="7" priority="8"/>
  </conditionalFormatting>
  <conditionalFormatting sqref="G1618:G1621">
    <cfRule type="duplicateValues" dxfId="6" priority="7"/>
  </conditionalFormatting>
  <conditionalFormatting sqref="G1622">
    <cfRule type="duplicateValues" dxfId="5" priority="6"/>
  </conditionalFormatting>
  <conditionalFormatting sqref="G1623:G1624">
    <cfRule type="duplicateValues" dxfId="4" priority="5"/>
  </conditionalFormatting>
  <conditionalFormatting sqref="G1625:G1626">
    <cfRule type="duplicateValues" dxfId="3" priority="4"/>
  </conditionalFormatting>
  <conditionalFormatting sqref="G1627:G1628">
    <cfRule type="duplicateValues" dxfId="2" priority="3"/>
  </conditionalFormatting>
  <conditionalFormatting sqref="G1629:G1630">
    <cfRule type="duplicateValues" dxfId="1" priority="2"/>
  </conditionalFormatting>
  <conditionalFormatting sqref="G1631:G1632">
    <cfRule type="duplicateValues" dxfId="0" priority="1"/>
  </conditionalFormatting>
  <pageMargins left="0.7" right="0.7" top="0.75" bottom="0.75" header="0.3" footer="0.3"/>
  <pageSetup orientation="portrait" r:id="rId1"/>
  <drawing r:id="rId2"/>
  <mc:AlternateContent xmlns:mc="http://schemas.openxmlformats.org/markup-compatibility/2006">
    <mc:Choice Requires="v">
      <legacyDrawing r:id="rId3"/>
    </mc:Choice>
  </mc:AlternateContent>
</worksheet>
</file>

<file path=xl/worksheets/sheet4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6"/>
  <dimension ref="B1:AA56"/>
  <sheetViews>
    <sheetView topLeftCell="A23" zoomScale="90" zoomScaleNormal="90" workbookViewId="0">
      <selection activeCell="C46" sqref="C46"/>
    </sheetView>
  </sheetViews>
  <sheetFormatPr baseColWidth="10" defaultColWidth="9.33203125" defaultRowHeight="13" x14ac:dyDescent="0.15"/>
  <cols>
    <col min="1" max="1" width="9.33203125" style="179"/>
    <col min="2" max="2" width="23.5" style="179" customWidth="1"/>
    <col min="3" max="3" width="26.5" style="179" customWidth="1"/>
    <col min="4" max="4" width="38" style="179" customWidth="1"/>
    <col min="5" max="5" width="32.5" style="179" customWidth="1"/>
    <col min="6" max="6" width="9.33203125" style="179"/>
    <col min="7" max="7" width="17.5" style="179" customWidth="1"/>
    <col min="8" max="8" width="17.6640625" style="179" customWidth="1"/>
    <col min="9" max="9" width="19" style="179" customWidth="1"/>
    <col min="10" max="10" width="19.5" style="179" customWidth="1"/>
    <col min="11" max="11" width="18.5" style="179" customWidth="1"/>
    <col min="12" max="12" width="15.5" style="179" customWidth="1"/>
    <col min="13" max="13" width="16.33203125" style="179" customWidth="1"/>
    <col min="14" max="14" width="22.33203125" style="179" customWidth="1"/>
    <col min="15" max="16" width="17.5" style="179" customWidth="1"/>
    <col min="17" max="18" width="16.5" style="179" customWidth="1"/>
    <col min="19" max="19" width="17" style="179" customWidth="1"/>
    <col min="20" max="20" width="17.5" style="179" customWidth="1"/>
    <col min="21" max="21" width="15.5" style="179" customWidth="1"/>
    <col min="22" max="22" width="12.5" style="179" customWidth="1"/>
    <col min="23" max="16384" width="9.33203125" style="179"/>
  </cols>
  <sheetData>
    <row r="1" spans="2:27" ht="14" thickBot="1" x14ac:dyDescent="0.2"/>
    <row r="2" spans="2:27" ht="14" thickBot="1" x14ac:dyDescent="0.2">
      <c r="B2" s="199" t="s">
        <v>3675</v>
      </c>
      <c r="C2" s="200"/>
      <c r="D2" s="201"/>
      <c r="E2" s="202"/>
      <c r="G2" s="180" t="s">
        <v>3676</v>
      </c>
      <c r="H2" s="181"/>
      <c r="I2" s="181"/>
      <c r="J2" s="181"/>
      <c r="K2" s="181"/>
      <c r="L2" s="181"/>
      <c r="M2" s="181"/>
      <c r="N2" s="181"/>
      <c r="O2" s="181"/>
      <c r="P2" s="181"/>
      <c r="Q2" s="181"/>
      <c r="R2" s="181"/>
      <c r="S2" s="181"/>
      <c r="T2" s="181"/>
      <c r="U2" s="181"/>
      <c r="V2" s="182"/>
    </row>
    <row r="3" spans="2:27" x14ac:dyDescent="0.15">
      <c r="B3" s="190" t="s">
        <v>3677</v>
      </c>
      <c r="C3" s="177" t="s">
        <v>3678</v>
      </c>
      <c r="D3" s="176" t="s">
        <v>1930</v>
      </c>
      <c r="E3" s="191" t="s">
        <v>3679</v>
      </c>
      <c r="G3" s="185" t="s">
        <v>1552</v>
      </c>
      <c r="H3" s="186" t="s">
        <v>1557</v>
      </c>
      <c r="I3" s="186" t="s">
        <v>1559</v>
      </c>
      <c r="J3" s="187" t="s">
        <v>1565</v>
      </c>
      <c r="K3" s="187" t="s">
        <v>1569</v>
      </c>
      <c r="L3" s="187" t="s">
        <v>1550</v>
      </c>
      <c r="M3" s="186" t="s">
        <v>1554</v>
      </c>
      <c r="N3" s="186" t="s">
        <v>1563</v>
      </c>
      <c r="O3" s="186" t="s">
        <v>1567</v>
      </c>
      <c r="P3" s="187" t="s">
        <v>1571</v>
      </c>
      <c r="Q3" s="187" t="s">
        <v>1555</v>
      </c>
      <c r="R3" s="187" t="s">
        <v>1346</v>
      </c>
      <c r="S3" s="187" t="s">
        <v>1343</v>
      </c>
      <c r="T3" s="185" t="s">
        <v>1349</v>
      </c>
      <c r="U3" s="186" t="s">
        <v>1333</v>
      </c>
      <c r="V3" s="186" t="s">
        <v>1547</v>
      </c>
      <c r="AA3" s="2761"/>
    </row>
    <row r="4" spans="2:27" ht="14" x14ac:dyDescent="0.15">
      <c r="B4" s="192" t="s">
        <v>995</v>
      </c>
      <c r="C4" s="7" t="s">
        <v>995</v>
      </c>
      <c r="D4" s="188" t="s">
        <v>57</v>
      </c>
      <c r="E4" s="193"/>
      <c r="F4" s="179">
        <v>1</v>
      </c>
      <c r="G4" s="2755" t="str">
        <f>D4</f>
        <v>Please select</v>
      </c>
      <c r="H4" s="2756" t="str">
        <f>D4</f>
        <v>Please select</v>
      </c>
      <c r="I4" s="2756" t="str">
        <f>D4</f>
        <v>Please select</v>
      </c>
      <c r="J4" s="2757" t="str">
        <f>D4</f>
        <v>Please select</v>
      </c>
      <c r="K4" s="2757" t="str">
        <f>D4</f>
        <v>Please select</v>
      </c>
      <c r="L4" s="2757" t="str">
        <f>D4</f>
        <v>Please select</v>
      </c>
      <c r="M4" s="2756" t="str">
        <f>D4</f>
        <v>Please select</v>
      </c>
      <c r="N4" s="2756" t="str">
        <f>D4</f>
        <v>Please select</v>
      </c>
      <c r="O4" s="2756" t="str">
        <f>D4</f>
        <v>Please select</v>
      </c>
      <c r="P4" s="2757" t="str">
        <f>D4</f>
        <v>Please select</v>
      </c>
      <c r="Q4" s="2757" t="str">
        <f>D4</f>
        <v>Please select</v>
      </c>
      <c r="R4" s="2757" t="str">
        <f>D4</f>
        <v>Please select</v>
      </c>
      <c r="S4" s="2757" t="str">
        <f>D4</f>
        <v>Please select</v>
      </c>
      <c r="T4" s="2755" t="str">
        <f>D4</f>
        <v>Please select</v>
      </c>
      <c r="U4" s="2756" t="str">
        <f>D4</f>
        <v>Please select</v>
      </c>
      <c r="V4" s="2756" t="str">
        <f>D4</f>
        <v>Please select</v>
      </c>
      <c r="AA4" s="2762"/>
    </row>
    <row r="5" spans="2:27" ht="29" x14ac:dyDescent="0.2">
      <c r="B5" s="192" t="s">
        <v>1552</v>
      </c>
      <c r="C5" s="7" t="s">
        <v>3680</v>
      </c>
      <c r="D5" s="188" t="s">
        <v>1552</v>
      </c>
      <c r="E5" s="194" t="s">
        <v>1317</v>
      </c>
      <c r="F5" s="179">
        <v>2</v>
      </c>
      <c r="G5" s="2758" t="s">
        <v>2710</v>
      </c>
      <c r="H5" s="2758" t="s">
        <v>2441</v>
      </c>
      <c r="I5" s="2754" t="s">
        <v>2677</v>
      </c>
      <c r="J5" s="2754" t="s">
        <v>2713</v>
      </c>
      <c r="K5" s="2759" t="s">
        <v>2455</v>
      </c>
      <c r="L5" s="2754" t="s">
        <v>2687</v>
      </c>
      <c r="M5" s="2754" t="s">
        <v>2467</v>
      </c>
      <c r="N5" s="2754" t="s">
        <v>2461</v>
      </c>
      <c r="O5" s="2754" t="s">
        <v>2708</v>
      </c>
      <c r="P5" s="2754" t="s">
        <v>2679</v>
      </c>
      <c r="Q5" s="2758" t="s">
        <v>2738</v>
      </c>
      <c r="R5" s="2758" t="s">
        <v>2611</v>
      </c>
      <c r="S5" s="2754" t="s">
        <v>2457</v>
      </c>
      <c r="T5" s="2754" t="s">
        <v>2652</v>
      </c>
      <c r="U5" s="2754" t="s">
        <v>2453</v>
      </c>
      <c r="V5" s="2754" t="s">
        <v>2651</v>
      </c>
      <c r="AA5" s="2762"/>
    </row>
    <row r="6" spans="2:27" ht="56" x14ac:dyDescent="0.15">
      <c r="B6" s="195" t="s">
        <v>1557</v>
      </c>
      <c r="C6" s="188" t="s">
        <v>3681</v>
      </c>
      <c r="D6" s="188" t="s">
        <v>1557</v>
      </c>
      <c r="E6" s="203"/>
      <c r="F6" s="179">
        <v>3</v>
      </c>
      <c r="G6" s="2758" t="s">
        <v>2715</v>
      </c>
      <c r="H6" s="2758" t="s">
        <v>2465</v>
      </c>
      <c r="I6" s="2754" t="s">
        <v>2489</v>
      </c>
      <c r="J6" s="2754" t="s">
        <v>2719</v>
      </c>
      <c r="K6" s="2754" t="s">
        <v>2714</v>
      </c>
      <c r="L6" s="2754" t="s">
        <v>2689</v>
      </c>
      <c r="M6" s="2754" t="s">
        <v>2615</v>
      </c>
      <c r="N6" s="2754" t="s">
        <v>2463</v>
      </c>
      <c r="O6" s="2754" t="s">
        <v>2449</v>
      </c>
      <c r="P6" s="2754" t="s">
        <v>2680</v>
      </c>
      <c r="Q6" s="2758" t="s">
        <v>2739</v>
      </c>
      <c r="R6" s="2758" t="s">
        <v>2445</v>
      </c>
      <c r="S6" s="2754" t="s">
        <v>2704</v>
      </c>
      <c r="T6" s="2754" t="s">
        <v>2654</v>
      </c>
      <c r="U6" s="2754" t="s">
        <v>2475</v>
      </c>
      <c r="V6" s="2754" t="s">
        <v>2443</v>
      </c>
      <c r="AA6" s="2763"/>
    </row>
    <row r="7" spans="2:27" ht="56" x14ac:dyDescent="0.15">
      <c r="B7" s="195" t="s">
        <v>1559</v>
      </c>
      <c r="C7" s="188" t="s">
        <v>3682</v>
      </c>
      <c r="D7" s="188" t="s">
        <v>1559</v>
      </c>
      <c r="E7" s="203"/>
      <c r="F7" s="179">
        <v>4</v>
      </c>
      <c r="G7" s="2758" t="s">
        <v>2471</v>
      </c>
      <c r="H7" s="2758" t="s">
        <v>2717</v>
      </c>
      <c r="I7" s="2754" t="s">
        <v>2691</v>
      </c>
      <c r="J7" s="2754" t="s">
        <v>2722</v>
      </c>
      <c r="K7" s="2754" t="s">
        <v>2716</v>
      </c>
      <c r="L7" s="2754" t="s">
        <v>2696</v>
      </c>
      <c r="M7" s="2754" t="s">
        <v>2616</v>
      </c>
      <c r="N7" s="2754" t="s">
        <v>2524</v>
      </c>
      <c r="O7" s="2754" t="s">
        <v>2709</v>
      </c>
      <c r="P7" s="2754" t="s">
        <v>2681</v>
      </c>
      <c r="Q7" s="2758" t="s">
        <v>2740</v>
      </c>
      <c r="R7" s="2758" t="s">
        <v>2617</v>
      </c>
      <c r="S7" s="2754" t="s">
        <v>2705</v>
      </c>
      <c r="T7" s="2754" t="s">
        <v>2656</v>
      </c>
      <c r="U7" s="2754" t="s">
        <v>2491</v>
      </c>
      <c r="V7" s="2754" t="s">
        <v>2653</v>
      </c>
      <c r="AA7" s="2763"/>
    </row>
    <row r="8" spans="2:27" ht="42" x14ac:dyDescent="0.15">
      <c r="B8" s="195" t="s">
        <v>1565</v>
      </c>
      <c r="C8" s="188" t="s">
        <v>3683</v>
      </c>
      <c r="D8" s="188" t="s">
        <v>1565</v>
      </c>
      <c r="E8" s="203"/>
      <c r="F8" s="179">
        <v>5</v>
      </c>
      <c r="G8" s="2758" t="s">
        <v>2483</v>
      </c>
      <c r="H8" s="2758" t="s">
        <v>2718</v>
      </c>
      <c r="I8" s="2754" t="s">
        <v>2546</v>
      </c>
      <c r="J8" s="2754" t="s">
        <v>2728</v>
      </c>
      <c r="K8" s="2754" t="s">
        <v>2477</v>
      </c>
      <c r="L8" s="2754" t="s">
        <v>2699</v>
      </c>
      <c r="M8" s="2754" t="s">
        <v>2620</v>
      </c>
      <c r="N8" s="2754" t="s">
        <v>2625</v>
      </c>
      <c r="O8" s="2754" t="s">
        <v>2522</v>
      </c>
      <c r="P8" s="2754" t="s">
        <v>2682</v>
      </c>
      <c r="Q8" s="2758" t="s">
        <v>2741</v>
      </c>
      <c r="R8" s="2758" t="s">
        <v>2618</v>
      </c>
      <c r="S8" s="2754" t="s">
        <v>2706</v>
      </c>
      <c r="T8" s="2754" t="s">
        <v>2459</v>
      </c>
      <c r="U8" s="2754" t="s">
        <v>2510</v>
      </c>
      <c r="V8" s="2754" t="s">
        <v>2447</v>
      </c>
      <c r="AA8" s="2763"/>
    </row>
    <row r="9" spans="2:27" ht="28" x14ac:dyDescent="0.15">
      <c r="B9" s="195" t="s">
        <v>1569</v>
      </c>
      <c r="C9" s="188" t="s">
        <v>3684</v>
      </c>
      <c r="D9" s="188" t="s">
        <v>1569</v>
      </c>
      <c r="E9" s="203"/>
      <c r="F9" s="179">
        <v>6</v>
      </c>
      <c r="G9" s="2758" t="s">
        <v>2495</v>
      </c>
      <c r="H9" s="2758" t="s">
        <v>2473</v>
      </c>
      <c r="I9" s="2754" t="s">
        <v>2596</v>
      </c>
      <c r="J9" s="2754" t="s">
        <v>2590</v>
      </c>
      <c r="K9" s="2754" t="s">
        <v>2503</v>
      </c>
      <c r="L9" s="2754" t="s">
        <v>2701</v>
      </c>
      <c r="M9" s="2754" t="s">
        <v>2530</v>
      </c>
      <c r="N9" s="2754" t="s">
        <v>2538</v>
      </c>
      <c r="O9" s="2754" t="s">
        <v>2526</v>
      </c>
      <c r="P9" s="2754" t="s">
        <v>2683</v>
      </c>
      <c r="Q9" s="2758" t="s">
        <v>2642</v>
      </c>
      <c r="R9" s="2758" t="s">
        <v>2619</v>
      </c>
      <c r="S9" s="2754" t="s">
        <v>2707</v>
      </c>
      <c r="T9" s="2754" t="s">
        <v>2659</v>
      </c>
      <c r="U9" s="2754" t="s">
        <v>2520</v>
      </c>
      <c r="V9" s="2754" t="s">
        <v>2451</v>
      </c>
      <c r="AA9" s="2762"/>
    </row>
    <row r="10" spans="2:27" ht="42" x14ac:dyDescent="0.15">
      <c r="B10" s="195" t="s">
        <v>1550</v>
      </c>
      <c r="C10" s="188" t="s">
        <v>3685</v>
      </c>
      <c r="D10" s="188" t="s">
        <v>1550</v>
      </c>
      <c r="E10" s="203"/>
      <c r="F10" s="179">
        <v>7</v>
      </c>
      <c r="G10" s="2758" t="s">
        <v>2720</v>
      </c>
      <c r="H10" s="2758" t="s">
        <v>2481</v>
      </c>
      <c r="I10" s="2754" t="s">
        <v>2697</v>
      </c>
      <c r="J10" s="2760"/>
      <c r="K10" s="2754" t="s">
        <v>2505</v>
      </c>
      <c r="L10" s="2754"/>
      <c r="M10" s="2754" t="s">
        <v>2627</v>
      </c>
      <c r="N10" s="2754" t="s">
        <v>2550</v>
      </c>
      <c r="O10" s="2754" t="s">
        <v>2540</v>
      </c>
      <c r="P10" s="2754" t="s">
        <v>2684</v>
      </c>
      <c r="Q10" s="2758" t="s">
        <v>2742</v>
      </c>
      <c r="R10" s="2758" t="s">
        <v>2497</v>
      </c>
      <c r="S10" s="2754"/>
      <c r="T10" s="2754" t="s">
        <v>2469</v>
      </c>
      <c r="U10" s="2754" t="s">
        <v>2542</v>
      </c>
      <c r="V10" s="2754" t="s">
        <v>2655</v>
      </c>
      <c r="AA10" s="2762"/>
    </row>
    <row r="11" spans="2:27" ht="29" x14ac:dyDescent="0.2">
      <c r="B11" s="195" t="s">
        <v>1554</v>
      </c>
      <c r="C11" s="188" t="s">
        <v>3686</v>
      </c>
      <c r="D11" s="188" t="s">
        <v>1554</v>
      </c>
      <c r="E11" s="194" t="s">
        <v>1321</v>
      </c>
      <c r="F11" s="179">
        <v>8</v>
      </c>
      <c r="G11" s="2758" t="s">
        <v>2721</v>
      </c>
      <c r="H11" s="2758" t="s">
        <v>2493</v>
      </c>
      <c r="I11" s="2754" t="s">
        <v>2702</v>
      </c>
      <c r="J11" s="2760"/>
      <c r="K11" s="2754" t="s">
        <v>2512</v>
      </c>
      <c r="L11" s="2754"/>
      <c r="M11" s="2754" t="s">
        <v>2632</v>
      </c>
      <c r="N11" s="2754" t="s">
        <v>2572</v>
      </c>
      <c r="O11" s="2754" t="s">
        <v>2711</v>
      </c>
      <c r="P11" s="2754" t="s">
        <v>2685</v>
      </c>
      <c r="Q11" s="2758" t="s">
        <v>2743</v>
      </c>
      <c r="R11" s="2758" t="s">
        <v>2621</v>
      </c>
      <c r="S11" s="2754"/>
      <c r="T11" s="2754" t="s">
        <v>2487</v>
      </c>
      <c r="U11" s="2754" t="s">
        <v>2556</v>
      </c>
      <c r="V11" s="2754" t="s">
        <v>2657</v>
      </c>
      <c r="AA11" s="2762"/>
    </row>
    <row r="12" spans="2:27" ht="29" x14ac:dyDescent="0.2">
      <c r="B12" s="195" t="s">
        <v>1563</v>
      </c>
      <c r="C12" s="188" t="s">
        <v>3687</v>
      </c>
      <c r="D12" s="188" t="s">
        <v>1563</v>
      </c>
      <c r="E12" s="196" t="s">
        <v>1329</v>
      </c>
      <c r="F12" s="179">
        <v>9</v>
      </c>
      <c r="G12" s="2758" t="s">
        <v>2532</v>
      </c>
      <c r="H12" s="2758" t="s">
        <v>2501</v>
      </c>
      <c r="I12" s="2760"/>
      <c r="J12" s="2760"/>
      <c r="K12" s="2754" t="s">
        <v>2514</v>
      </c>
      <c r="L12" s="2754"/>
      <c r="M12" s="2754"/>
      <c r="N12" s="2754" t="s">
        <v>2584</v>
      </c>
      <c r="O12" s="2754" t="s">
        <v>2562</v>
      </c>
      <c r="P12" s="2754" t="s">
        <v>2686</v>
      </c>
      <c r="Q12" s="2758" t="s">
        <v>2643</v>
      </c>
      <c r="R12" s="2758" t="s">
        <v>2622</v>
      </c>
      <c r="S12" s="2754"/>
      <c r="T12" s="2754" t="s">
        <v>2662</v>
      </c>
      <c r="U12" s="2754" t="s">
        <v>2566</v>
      </c>
      <c r="V12" s="2754" t="s">
        <v>2658</v>
      </c>
      <c r="AA12" s="2763"/>
    </row>
    <row r="13" spans="2:27" ht="29" x14ac:dyDescent="0.2">
      <c r="B13" s="195" t="s">
        <v>1567</v>
      </c>
      <c r="C13" s="188" t="s">
        <v>3688</v>
      </c>
      <c r="D13" s="188" t="s">
        <v>1567</v>
      </c>
      <c r="E13" s="194" t="s">
        <v>1986</v>
      </c>
      <c r="F13" s="179">
        <v>10</v>
      </c>
      <c r="G13" s="2758" t="s">
        <v>2536</v>
      </c>
      <c r="H13" s="2758" t="s">
        <v>2733</v>
      </c>
      <c r="I13" s="2760"/>
      <c r="J13" s="2760"/>
      <c r="K13" s="2754" t="s">
        <v>2534</v>
      </c>
      <c r="L13" s="2754"/>
      <c r="M13" s="2754"/>
      <c r="N13" s="2754" t="s">
        <v>2603</v>
      </c>
      <c r="O13" s="2754" t="s">
        <v>2592</v>
      </c>
      <c r="P13" s="2754" t="s">
        <v>2688</v>
      </c>
      <c r="Q13" s="2758" t="s">
        <v>2744</v>
      </c>
      <c r="R13" s="2758" t="s">
        <v>2623</v>
      </c>
      <c r="S13" s="2754"/>
      <c r="T13" s="2754" t="s">
        <v>2499</v>
      </c>
      <c r="U13" s="2754"/>
      <c r="V13" s="2754" t="s">
        <v>2479</v>
      </c>
      <c r="AA13" s="2763"/>
    </row>
    <row r="14" spans="2:27" ht="15" x14ac:dyDescent="0.2">
      <c r="B14" s="195" t="s">
        <v>1571</v>
      </c>
      <c r="C14" s="188" t="s">
        <v>3689</v>
      </c>
      <c r="D14" s="188" t="s">
        <v>1571</v>
      </c>
      <c r="E14" s="196" t="s">
        <v>1341</v>
      </c>
      <c r="F14" s="179">
        <v>11</v>
      </c>
      <c r="G14" s="2758" t="s">
        <v>2723</v>
      </c>
      <c r="H14" s="2760"/>
      <c r="I14" s="2760"/>
      <c r="J14" s="2760"/>
      <c r="K14" s="2754" t="s">
        <v>2724</v>
      </c>
      <c r="L14" s="2754"/>
      <c r="M14" s="2754"/>
      <c r="N14" s="2754" t="s">
        <v>2634</v>
      </c>
      <c r="O14" s="2754"/>
      <c r="P14" s="2754" t="s">
        <v>2690</v>
      </c>
      <c r="Q14" s="2758" t="s">
        <v>2644</v>
      </c>
      <c r="R14" s="2758" t="s">
        <v>2624</v>
      </c>
      <c r="S14" s="2754"/>
      <c r="T14" s="2754" t="s">
        <v>2516</v>
      </c>
      <c r="U14" s="2754"/>
      <c r="V14" s="2754" t="s">
        <v>2660</v>
      </c>
      <c r="AA14" s="2763"/>
    </row>
    <row r="15" spans="2:27" ht="14" x14ac:dyDescent="0.15">
      <c r="B15" s="195" t="s">
        <v>1555</v>
      </c>
      <c r="C15" s="188" t="s">
        <v>3690</v>
      </c>
      <c r="D15" s="188" t="s">
        <v>1555</v>
      </c>
      <c r="E15" s="203"/>
      <c r="F15" s="179">
        <v>12</v>
      </c>
      <c r="G15" s="2758" t="s">
        <v>2726</v>
      </c>
      <c r="H15" s="2760"/>
      <c r="I15" s="2760"/>
      <c r="J15" s="2760"/>
      <c r="K15" s="2754" t="s">
        <v>2725</v>
      </c>
      <c r="L15" s="2754"/>
      <c r="M15" s="2754"/>
      <c r="N15" s="2754" t="s">
        <v>2640</v>
      </c>
      <c r="O15" s="2754"/>
      <c r="P15" s="2754" t="s">
        <v>2560</v>
      </c>
      <c r="Q15" s="2758" t="s">
        <v>2745</v>
      </c>
      <c r="R15" s="2758" t="s">
        <v>2626</v>
      </c>
      <c r="S15" s="2754"/>
      <c r="T15" s="2754" t="s">
        <v>2665</v>
      </c>
      <c r="U15" s="2754"/>
      <c r="V15" s="2754" t="s">
        <v>2661</v>
      </c>
      <c r="AA15" s="2763"/>
    </row>
    <row r="16" spans="2:27" ht="43" x14ac:dyDescent="0.2">
      <c r="B16" s="195" t="s">
        <v>1346</v>
      </c>
      <c r="C16" s="188" t="s">
        <v>3691</v>
      </c>
      <c r="D16" s="188" t="s">
        <v>1346</v>
      </c>
      <c r="E16" s="196" t="s">
        <v>1346</v>
      </c>
      <c r="F16" s="179">
        <v>13</v>
      </c>
      <c r="G16" s="2758" t="s">
        <v>2727</v>
      </c>
      <c r="H16" s="2760"/>
      <c r="I16" s="2760"/>
      <c r="J16" s="2760"/>
      <c r="K16" s="2754" t="s">
        <v>2729</v>
      </c>
      <c r="L16" s="2754"/>
      <c r="M16" s="2754"/>
      <c r="N16" s="2754"/>
      <c r="O16" s="2754"/>
      <c r="P16" s="2754" t="s">
        <v>2692</v>
      </c>
      <c r="Q16" s="2758" t="s">
        <v>2746</v>
      </c>
      <c r="R16" s="2758" t="s">
        <v>2544</v>
      </c>
      <c r="S16" s="2754"/>
      <c r="T16" s="2754" t="s">
        <v>2570</v>
      </c>
      <c r="U16" s="2754"/>
      <c r="V16" s="2754" t="s">
        <v>2485</v>
      </c>
      <c r="AA16" s="2761"/>
    </row>
    <row r="17" spans="2:27" ht="43" x14ac:dyDescent="0.2">
      <c r="B17" s="195" t="s">
        <v>1343</v>
      </c>
      <c r="C17" s="188" t="s">
        <v>3692</v>
      </c>
      <c r="D17" s="188" t="s">
        <v>1343</v>
      </c>
      <c r="E17" s="196" t="s">
        <v>1343</v>
      </c>
      <c r="F17" s="179">
        <v>14</v>
      </c>
      <c r="G17" s="2758" t="s">
        <v>2548</v>
      </c>
      <c r="H17" s="2760"/>
      <c r="I17" s="2760"/>
      <c r="J17" s="2760"/>
      <c r="K17" s="2754" t="s">
        <v>2558</v>
      </c>
      <c r="L17" s="2754"/>
      <c r="M17" s="2754"/>
      <c r="N17" s="2754"/>
      <c r="O17" s="2754"/>
      <c r="P17" s="2754" t="s">
        <v>2576</v>
      </c>
      <c r="Q17" s="2758" t="s">
        <v>2747</v>
      </c>
      <c r="R17" s="2758" t="s">
        <v>2628</v>
      </c>
      <c r="S17" s="2754"/>
      <c r="T17" s="2754" t="s">
        <v>2671</v>
      </c>
      <c r="U17" s="2754"/>
      <c r="V17" s="2754" t="s">
        <v>2507</v>
      </c>
      <c r="AA17" s="2762"/>
    </row>
    <row r="18" spans="2:27" ht="15" x14ac:dyDescent="0.2">
      <c r="B18" s="195" t="s">
        <v>1349</v>
      </c>
      <c r="C18" s="188" t="s">
        <v>3693</v>
      </c>
      <c r="D18" s="188" t="s">
        <v>1349</v>
      </c>
      <c r="E18" s="196" t="s">
        <v>1349</v>
      </c>
      <c r="F18" s="179">
        <v>15</v>
      </c>
      <c r="G18" s="2758" t="s">
        <v>2730</v>
      </c>
      <c r="H18" s="2760"/>
      <c r="I18" s="2760"/>
      <c r="J18" s="2760"/>
      <c r="K18" s="2754" t="s">
        <v>2732</v>
      </c>
      <c r="L18" s="2754"/>
      <c r="M18" s="2754"/>
      <c r="N18" s="2754"/>
      <c r="O18" s="2754"/>
      <c r="P18" s="2754" t="s">
        <v>2694</v>
      </c>
      <c r="Q18" s="2758" t="s">
        <v>2748</v>
      </c>
      <c r="R18" s="2758" t="s">
        <v>2552</v>
      </c>
      <c r="S18" s="2754"/>
      <c r="T18" s="2754" t="s">
        <v>2598</v>
      </c>
      <c r="U18" s="2754"/>
      <c r="V18" s="2754" t="s">
        <v>2509</v>
      </c>
      <c r="AA18" s="2762"/>
    </row>
    <row r="19" spans="2:27" ht="15" x14ac:dyDescent="0.2">
      <c r="B19" s="195" t="s">
        <v>1333</v>
      </c>
      <c r="C19" s="188" t="s">
        <v>3694</v>
      </c>
      <c r="D19" s="188" t="s">
        <v>1333</v>
      </c>
      <c r="E19" s="194" t="s">
        <v>1333</v>
      </c>
      <c r="F19" s="179">
        <v>16</v>
      </c>
      <c r="G19" s="2758" t="s">
        <v>2731</v>
      </c>
      <c r="H19" s="2760"/>
      <c r="I19" s="2760"/>
      <c r="J19" s="2760"/>
      <c r="K19" s="2754" t="s">
        <v>2578</v>
      </c>
      <c r="L19" s="2754"/>
      <c r="M19" s="2754"/>
      <c r="N19" s="2754"/>
      <c r="O19" s="2754"/>
      <c r="P19" s="2754" t="s">
        <v>2695</v>
      </c>
      <c r="Q19" s="2758" t="s">
        <v>2749</v>
      </c>
      <c r="R19" s="2758" t="s">
        <v>2554</v>
      </c>
      <c r="S19" s="2754"/>
      <c r="T19" s="2754" t="s">
        <v>2675</v>
      </c>
      <c r="U19" s="2754"/>
      <c r="V19" s="2754" t="s">
        <v>2518</v>
      </c>
    </row>
    <row r="20" spans="2:27" ht="14" x14ac:dyDescent="0.15">
      <c r="B20" s="197" t="s">
        <v>1547</v>
      </c>
      <c r="C20" s="183" t="s">
        <v>3695</v>
      </c>
      <c r="D20" s="183" t="s">
        <v>1547</v>
      </c>
      <c r="E20" s="204"/>
      <c r="F20" s="179">
        <v>17</v>
      </c>
      <c r="G20" s="2758" t="s">
        <v>2580</v>
      </c>
      <c r="H20" s="2760"/>
      <c r="I20" s="2760"/>
      <c r="J20" s="2760"/>
      <c r="K20" s="2754" t="s">
        <v>2582</v>
      </c>
      <c r="L20" s="2754"/>
      <c r="M20" s="2754"/>
      <c r="N20" s="2754"/>
      <c r="O20" s="2754"/>
      <c r="P20" s="2754" t="s">
        <v>2698</v>
      </c>
      <c r="Q20" s="2758" t="s">
        <v>2750</v>
      </c>
      <c r="R20" s="2758" t="s">
        <v>2629</v>
      </c>
      <c r="S20" s="2754"/>
      <c r="T20" s="2754" t="s">
        <v>2676</v>
      </c>
      <c r="U20" s="2754"/>
      <c r="V20" s="2754" t="s">
        <v>2528</v>
      </c>
    </row>
    <row r="21" spans="2:27" ht="29" x14ac:dyDescent="0.2">
      <c r="B21" s="212"/>
      <c r="C21" s="203"/>
      <c r="D21" s="203"/>
      <c r="E21" s="196" t="s">
        <v>1337</v>
      </c>
      <c r="F21" s="179">
        <v>18</v>
      </c>
      <c r="G21" s="2758" t="s">
        <v>2588</v>
      </c>
      <c r="H21" s="2760"/>
      <c r="I21" s="2760"/>
      <c r="J21" s="2760"/>
      <c r="K21" s="2754" t="s">
        <v>2734</v>
      </c>
      <c r="L21" s="2754"/>
      <c r="M21" s="2754"/>
      <c r="N21" s="2754"/>
      <c r="O21" s="2754"/>
      <c r="P21" s="2754" t="s">
        <v>2700</v>
      </c>
      <c r="Q21" s="2758" t="s">
        <v>2751</v>
      </c>
      <c r="R21" s="2758" t="s">
        <v>2630</v>
      </c>
      <c r="S21" s="2754"/>
      <c r="T21" s="2754"/>
      <c r="U21" s="2754"/>
      <c r="V21" s="2754" t="s">
        <v>2663</v>
      </c>
    </row>
    <row r="22" spans="2:27" ht="30" thickBot="1" x14ac:dyDescent="0.25">
      <c r="B22" s="213"/>
      <c r="C22" s="214"/>
      <c r="D22" s="214"/>
      <c r="E22" s="198" t="s">
        <v>1351</v>
      </c>
      <c r="F22" s="179">
        <v>19</v>
      </c>
      <c r="G22" s="2758" t="s">
        <v>2693</v>
      </c>
      <c r="H22" s="2760"/>
      <c r="I22" s="2760"/>
      <c r="J22" s="2760"/>
      <c r="K22" s="2760"/>
      <c r="L22" s="2760"/>
      <c r="M22" s="2760"/>
      <c r="N22" s="2760"/>
      <c r="O22" s="2760"/>
      <c r="P22" s="2754" t="s">
        <v>2703</v>
      </c>
      <c r="Q22" s="2758" t="s">
        <v>2752</v>
      </c>
      <c r="R22" s="2758" t="s">
        <v>2631</v>
      </c>
      <c r="S22" s="2754"/>
      <c r="T22" s="2754"/>
      <c r="U22" s="2754"/>
      <c r="V22" s="2754" t="s">
        <v>2664</v>
      </c>
    </row>
    <row r="23" spans="2:27" ht="14" x14ac:dyDescent="0.15">
      <c r="B23" s="178"/>
      <c r="C23" s="178"/>
      <c r="D23" s="184"/>
      <c r="F23" s="179">
        <v>20</v>
      </c>
      <c r="G23" s="2758" t="s">
        <v>2735</v>
      </c>
      <c r="H23" s="2760"/>
      <c r="I23" s="2760"/>
      <c r="J23" s="2760"/>
      <c r="K23" s="2760"/>
      <c r="L23" s="2760"/>
      <c r="M23" s="2760"/>
      <c r="N23" s="2760"/>
      <c r="O23" s="2760"/>
      <c r="P23" s="2760"/>
      <c r="Q23" s="2758" t="s">
        <v>2753</v>
      </c>
      <c r="R23" s="2758" t="s">
        <v>2564</v>
      </c>
      <c r="S23" s="2754"/>
      <c r="T23" s="2754"/>
      <c r="U23" s="2754"/>
      <c r="V23" s="2754" t="s">
        <v>2574</v>
      </c>
    </row>
    <row r="24" spans="2:27" ht="28" x14ac:dyDescent="0.15">
      <c r="B24" s="178"/>
      <c r="C24" s="178"/>
      <c r="D24" s="184"/>
      <c r="E24" s="184"/>
      <c r="F24" s="179">
        <v>21</v>
      </c>
      <c r="G24" s="2758" t="s">
        <v>2601</v>
      </c>
      <c r="H24" s="2760"/>
      <c r="I24" s="2760"/>
      <c r="J24" s="2760"/>
      <c r="K24" s="2760"/>
      <c r="L24" s="2760"/>
      <c r="M24" s="2760"/>
      <c r="N24" s="2760"/>
      <c r="O24" s="2760"/>
      <c r="P24" s="2760"/>
      <c r="Q24" s="2758" t="s">
        <v>2754</v>
      </c>
      <c r="R24" s="2758" t="s">
        <v>2568</v>
      </c>
      <c r="S24" s="2754"/>
      <c r="T24" s="2754"/>
      <c r="U24" s="2754"/>
      <c r="V24" s="2754" t="s">
        <v>2666</v>
      </c>
    </row>
    <row r="25" spans="2:27" ht="30" thickBot="1" x14ac:dyDescent="0.25">
      <c r="B25" s="189"/>
      <c r="C25" s="189"/>
      <c r="D25" s="189"/>
      <c r="E25"/>
      <c r="F25" s="179">
        <v>22</v>
      </c>
      <c r="G25" s="2758" t="s">
        <v>2736</v>
      </c>
      <c r="H25" s="2760"/>
      <c r="I25" s="2760"/>
      <c r="J25" s="2760"/>
      <c r="K25" s="2760"/>
      <c r="L25" s="2760"/>
      <c r="M25" s="2760"/>
      <c r="N25" s="2760"/>
      <c r="O25" s="2760"/>
      <c r="P25" s="2760"/>
      <c r="Q25" s="2758" t="s">
        <v>2645</v>
      </c>
      <c r="R25" s="2758" t="s">
        <v>2712</v>
      </c>
      <c r="S25" s="2754"/>
      <c r="T25" s="2754"/>
      <c r="U25" s="2754"/>
      <c r="V25" s="2754" t="s">
        <v>2667</v>
      </c>
    </row>
    <row r="26" spans="2:27" ht="15" x14ac:dyDescent="0.2">
      <c r="B26" s="189"/>
      <c r="C26" s="216" t="s">
        <v>3696</v>
      </c>
      <c r="D26" s="217"/>
      <c r="E26" s="218"/>
      <c r="F26" s="179">
        <v>23</v>
      </c>
      <c r="G26" s="2758" t="s">
        <v>2737</v>
      </c>
      <c r="H26" s="2760"/>
      <c r="I26" s="2760"/>
      <c r="J26" s="2760"/>
      <c r="K26" s="2760"/>
      <c r="L26" s="2760"/>
      <c r="M26" s="2760"/>
      <c r="N26" s="2760"/>
      <c r="O26" s="2760"/>
      <c r="P26" s="2760"/>
      <c r="Q26" s="2758" t="s">
        <v>2755</v>
      </c>
      <c r="R26" s="2758" t="s">
        <v>2633</v>
      </c>
      <c r="S26" s="2754"/>
      <c r="T26" s="2754"/>
      <c r="U26" s="2754"/>
      <c r="V26" s="2754" t="s">
        <v>2668</v>
      </c>
    </row>
    <row r="27" spans="2:27" ht="29" x14ac:dyDescent="0.2">
      <c r="B27" s="189"/>
      <c r="C27" s="219" t="s">
        <v>3697</v>
      </c>
      <c r="D27" s="176" t="s">
        <v>3698</v>
      </c>
      <c r="E27" s="191" t="s">
        <v>3699</v>
      </c>
      <c r="F27" s="179">
        <v>24</v>
      </c>
      <c r="G27" s="2760"/>
      <c r="H27" s="2760"/>
      <c r="I27" s="2760"/>
      <c r="J27" s="2760"/>
      <c r="K27" s="2760"/>
      <c r="L27" s="2760"/>
      <c r="M27" s="2760"/>
      <c r="N27" s="2760"/>
      <c r="O27" s="2760"/>
      <c r="P27" s="2760"/>
      <c r="Q27" s="2758" t="s">
        <v>2756</v>
      </c>
      <c r="R27" s="2758" t="s">
        <v>2586</v>
      </c>
      <c r="S27" s="2754"/>
      <c r="T27" s="2754"/>
      <c r="U27" s="2754"/>
      <c r="V27" s="2754" t="s">
        <v>2669</v>
      </c>
    </row>
    <row r="28" spans="2:27" ht="43" x14ac:dyDescent="0.2">
      <c r="B28" s="189"/>
      <c r="C28" s="195" t="s">
        <v>65</v>
      </c>
      <c r="D28" s="6"/>
      <c r="E28" s="222" t="s">
        <v>65</v>
      </c>
      <c r="F28" s="179">
        <v>25</v>
      </c>
      <c r="G28" s="2760"/>
      <c r="H28" s="2760"/>
      <c r="I28" s="2760"/>
      <c r="J28" s="2760"/>
      <c r="K28" s="2760"/>
      <c r="L28" s="2760"/>
      <c r="M28" s="2760"/>
      <c r="N28" s="2760"/>
      <c r="O28" s="2760"/>
      <c r="P28" s="2760"/>
      <c r="Q28" s="2758" t="s">
        <v>2757</v>
      </c>
      <c r="R28" s="2758" t="s">
        <v>2635</v>
      </c>
      <c r="S28" s="2754"/>
      <c r="T28" s="2754"/>
      <c r="U28" s="2754"/>
      <c r="V28" s="2754" t="s">
        <v>2594</v>
      </c>
    </row>
    <row r="29" spans="2:27" ht="29" x14ac:dyDescent="0.2">
      <c r="B29" s="189"/>
      <c r="C29" s="195" t="s">
        <v>675</v>
      </c>
      <c r="D29" s="215" t="s">
        <v>676</v>
      </c>
      <c r="E29" s="209" t="s">
        <v>675</v>
      </c>
      <c r="F29" s="179">
        <v>26</v>
      </c>
      <c r="G29" s="2760"/>
      <c r="H29" s="2760"/>
      <c r="I29" s="2760"/>
      <c r="J29" s="2760"/>
      <c r="K29" s="2760"/>
      <c r="L29" s="2760"/>
      <c r="M29" s="2760"/>
      <c r="N29" s="2760"/>
      <c r="O29" s="2760"/>
      <c r="P29" s="2760"/>
      <c r="Q29" s="2758" t="s">
        <v>2758</v>
      </c>
      <c r="R29" s="2758" t="s">
        <v>2636</v>
      </c>
      <c r="S29" s="2754"/>
      <c r="T29" s="2754"/>
      <c r="U29" s="2754"/>
      <c r="V29" s="2754" t="s">
        <v>2670</v>
      </c>
    </row>
    <row r="30" spans="2:27" ht="29" x14ac:dyDescent="0.2">
      <c r="B30" s="189"/>
      <c r="C30" s="195" t="s">
        <v>1392</v>
      </c>
      <c r="D30" s="6" t="s">
        <v>1593</v>
      </c>
      <c r="E30" s="209" t="s">
        <v>1392</v>
      </c>
      <c r="F30" s="179">
        <v>27</v>
      </c>
      <c r="G30" s="2760"/>
      <c r="H30" s="2760"/>
      <c r="I30" s="2760"/>
      <c r="J30" s="2760"/>
      <c r="K30" s="2760"/>
      <c r="L30" s="2760"/>
      <c r="M30" s="2760"/>
      <c r="N30" s="2760"/>
      <c r="O30" s="2760"/>
      <c r="P30" s="2760"/>
      <c r="Q30" s="2758" t="s">
        <v>2759</v>
      </c>
      <c r="R30" s="2758" t="s">
        <v>2637</v>
      </c>
      <c r="S30" s="2754"/>
      <c r="T30" s="2754"/>
      <c r="U30" s="2754"/>
      <c r="V30" s="2754" t="s">
        <v>2672</v>
      </c>
    </row>
    <row r="31" spans="2:27" ht="29" x14ac:dyDescent="0.2">
      <c r="B31" s="189"/>
      <c r="C31" s="195" t="s">
        <v>1397</v>
      </c>
      <c r="D31" s="215" t="s">
        <v>1603</v>
      </c>
      <c r="E31" s="209" t="s">
        <v>1397</v>
      </c>
      <c r="F31" s="179">
        <v>28</v>
      </c>
      <c r="G31" s="2760"/>
      <c r="H31" s="2760"/>
      <c r="I31" s="2760"/>
      <c r="J31" s="2760"/>
      <c r="K31" s="2760"/>
      <c r="L31" s="2760"/>
      <c r="M31" s="2760"/>
      <c r="N31" s="2760"/>
      <c r="O31" s="2760"/>
      <c r="P31" s="2760"/>
      <c r="Q31" s="2758" t="s">
        <v>2760</v>
      </c>
      <c r="R31" s="2758" t="s">
        <v>2638</v>
      </c>
      <c r="S31" s="2754"/>
      <c r="T31" s="2754"/>
      <c r="U31" s="2754"/>
      <c r="V31" s="2754" t="s">
        <v>2673</v>
      </c>
    </row>
    <row r="32" spans="2:27" ht="29" x14ac:dyDescent="0.2">
      <c r="B32" s="189"/>
      <c r="C32" s="195" t="s">
        <v>1347</v>
      </c>
      <c r="D32" s="7" t="s">
        <v>1347</v>
      </c>
      <c r="E32" s="209" t="s">
        <v>1347</v>
      </c>
      <c r="F32" s="179">
        <v>29</v>
      </c>
      <c r="G32" s="2760"/>
      <c r="H32" s="2760"/>
      <c r="I32" s="2760"/>
      <c r="J32" s="2760"/>
      <c r="K32" s="2760"/>
      <c r="L32" s="2760"/>
      <c r="M32" s="2760"/>
      <c r="N32" s="2760"/>
      <c r="O32" s="2760"/>
      <c r="P32" s="2760"/>
      <c r="Q32" s="2758" t="s">
        <v>2761</v>
      </c>
      <c r="R32" s="2758" t="s">
        <v>2639</v>
      </c>
      <c r="S32" s="2754"/>
      <c r="T32" s="2754"/>
      <c r="U32" s="2754"/>
      <c r="V32" s="2754" t="s">
        <v>2674</v>
      </c>
    </row>
    <row r="33" spans="2:22" ht="29" x14ac:dyDescent="0.2">
      <c r="B33" s="189"/>
      <c r="C33" s="195" t="s">
        <v>491</v>
      </c>
      <c r="D33" s="7" t="s">
        <v>491</v>
      </c>
      <c r="E33" s="210" t="s">
        <v>491</v>
      </c>
      <c r="F33" s="179">
        <v>30</v>
      </c>
      <c r="G33" s="2760"/>
      <c r="H33" s="2760"/>
      <c r="I33" s="2760"/>
      <c r="J33" s="2760"/>
      <c r="K33" s="2760"/>
      <c r="L33" s="2760"/>
      <c r="M33" s="2760"/>
      <c r="N33" s="2760"/>
      <c r="O33" s="2760"/>
      <c r="P33" s="2760"/>
      <c r="Q33" s="2758" t="s">
        <v>2762</v>
      </c>
      <c r="R33" s="2758" t="s">
        <v>2641</v>
      </c>
      <c r="S33" s="2754"/>
      <c r="T33" s="2754"/>
      <c r="U33" s="2754"/>
      <c r="V33" s="2754"/>
    </row>
    <row r="34" spans="2:22" ht="15" x14ac:dyDescent="0.2">
      <c r="B34" s="189"/>
      <c r="C34" s="195" t="s">
        <v>1408</v>
      </c>
      <c r="D34" s="7" t="s">
        <v>1408</v>
      </c>
      <c r="E34" s="209" t="s">
        <v>1408</v>
      </c>
      <c r="F34" s="179">
        <v>31</v>
      </c>
      <c r="G34" s="2760"/>
      <c r="H34" s="2760"/>
      <c r="I34" s="2760"/>
      <c r="J34" s="2760"/>
      <c r="K34" s="2760"/>
      <c r="L34" s="2760"/>
      <c r="M34" s="2760"/>
      <c r="N34" s="2760"/>
      <c r="O34" s="2760"/>
      <c r="P34" s="2760"/>
      <c r="Q34" s="2758" t="s">
        <v>2763</v>
      </c>
      <c r="R34" s="2754"/>
      <c r="S34" s="2754"/>
      <c r="T34" s="2754"/>
      <c r="U34" s="2754"/>
      <c r="V34" s="2754"/>
    </row>
    <row r="35" spans="2:22" ht="15" x14ac:dyDescent="0.2">
      <c r="B35" s="189"/>
      <c r="C35" s="195" t="s">
        <v>1410</v>
      </c>
      <c r="D35" s="7" t="s">
        <v>1410</v>
      </c>
      <c r="E35" s="210" t="s">
        <v>1410</v>
      </c>
      <c r="F35" s="179">
        <v>32</v>
      </c>
      <c r="G35" s="2760"/>
      <c r="H35" s="2760"/>
      <c r="I35" s="2760"/>
      <c r="J35" s="2760"/>
      <c r="K35" s="2760"/>
      <c r="L35" s="2760"/>
      <c r="M35" s="2760"/>
      <c r="N35" s="2760"/>
      <c r="O35" s="2760"/>
      <c r="P35" s="2760"/>
      <c r="Q35" s="2758" t="s">
        <v>2764</v>
      </c>
      <c r="R35" s="2754"/>
      <c r="S35" s="2754"/>
      <c r="T35" s="2754"/>
      <c r="U35" s="2754"/>
      <c r="V35" s="2754"/>
    </row>
    <row r="36" spans="2:22" ht="15" x14ac:dyDescent="0.2">
      <c r="B36" s="189"/>
      <c r="C36" s="195" t="s">
        <v>1414</v>
      </c>
      <c r="D36" s="7" t="s">
        <v>1414</v>
      </c>
      <c r="E36" s="210" t="s">
        <v>1414</v>
      </c>
      <c r="F36" s="179">
        <v>33</v>
      </c>
      <c r="G36" s="2760"/>
      <c r="H36" s="2760"/>
      <c r="I36" s="2760"/>
      <c r="J36" s="2760"/>
      <c r="K36" s="2760"/>
      <c r="L36" s="2760"/>
      <c r="M36" s="2760"/>
      <c r="N36" s="2760"/>
      <c r="O36" s="2760"/>
      <c r="P36" s="2760"/>
      <c r="Q36" s="2758" t="s">
        <v>2765</v>
      </c>
      <c r="R36" s="2754"/>
      <c r="S36" s="2754"/>
      <c r="T36" s="2754"/>
      <c r="U36" s="2754"/>
      <c r="V36" s="2754"/>
    </row>
    <row r="37" spans="2:22" ht="15" x14ac:dyDescent="0.2">
      <c r="B37" s="189"/>
      <c r="C37" s="195" t="s">
        <v>1418</v>
      </c>
      <c r="D37" s="7" t="s">
        <v>1418</v>
      </c>
      <c r="E37" s="209" t="s">
        <v>1418</v>
      </c>
      <c r="F37" s="179">
        <v>34</v>
      </c>
      <c r="G37" s="2760"/>
      <c r="H37" s="2760"/>
      <c r="I37" s="2760"/>
      <c r="J37" s="2760"/>
      <c r="K37" s="2760"/>
      <c r="L37" s="2760"/>
      <c r="M37" s="2760"/>
      <c r="N37" s="2760"/>
      <c r="O37" s="2760"/>
      <c r="P37" s="2760"/>
      <c r="Q37" s="2758" t="s">
        <v>2766</v>
      </c>
      <c r="R37" s="2754"/>
      <c r="S37" s="2754"/>
      <c r="T37" s="2754"/>
      <c r="U37" s="2754"/>
      <c r="V37" s="2754"/>
    </row>
    <row r="38" spans="2:22" ht="15" x14ac:dyDescent="0.2">
      <c r="B38" s="189"/>
      <c r="C38" s="195" t="s">
        <v>530</v>
      </c>
      <c r="D38" s="7" t="s">
        <v>530</v>
      </c>
      <c r="E38" s="211" t="s">
        <v>530</v>
      </c>
      <c r="F38" s="179">
        <v>35</v>
      </c>
      <c r="G38" s="2760"/>
      <c r="H38" s="2760"/>
      <c r="I38" s="2760"/>
      <c r="J38" s="2760"/>
      <c r="K38" s="2760"/>
      <c r="L38" s="2760"/>
      <c r="M38" s="2760"/>
      <c r="N38" s="2760"/>
      <c r="O38" s="2760"/>
      <c r="P38" s="2760"/>
      <c r="Q38" s="2758" t="s">
        <v>2767</v>
      </c>
      <c r="R38" s="2754"/>
      <c r="S38" s="2754"/>
      <c r="T38" s="2754"/>
      <c r="U38" s="2754"/>
      <c r="V38" s="2754"/>
    </row>
    <row r="39" spans="2:22" ht="15" x14ac:dyDescent="0.2">
      <c r="B39" s="189"/>
      <c r="C39" s="195" t="s">
        <v>548</v>
      </c>
      <c r="D39" s="7" t="s">
        <v>548</v>
      </c>
      <c r="E39" s="211" t="s">
        <v>548</v>
      </c>
      <c r="F39" s="179">
        <v>36</v>
      </c>
      <c r="G39" s="2760"/>
      <c r="H39" s="2760"/>
      <c r="I39" s="2760"/>
      <c r="J39" s="2760"/>
      <c r="K39" s="2760"/>
      <c r="L39" s="2760"/>
      <c r="M39" s="2760"/>
      <c r="N39" s="2760"/>
      <c r="O39" s="2760"/>
      <c r="P39" s="2760"/>
      <c r="Q39" s="2758" t="s">
        <v>2768</v>
      </c>
      <c r="R39" s="2754"/>
      <c r="S39" s="2754"/>
      <c r="T39" s="2754"/>
      <c r="U39" s="2754"/>
      <c r="V39" s="2754"/>
    </row>
    <row r="40" spans="2:22" ht="15" x14ac:dyDescent="0.2">
      <c r="B40" s="189"/>
      <c r="C40" s="195" t="s">
        <v>546</v>
      </c>
      <c r="D40" s="7" t="s">
        <v>1601</v>
      </c>
      <c r="E40" s="211" t="s">
        <v>546</v>
      </c>
      <c r="F40" s="179">
        <v>37</v>
      </c>
      <c r="G40" s="2760"/>
      <c r="H40" s="2760"/>
      <c r="I40" s="2760"/>
      <c r="J40" s="2760"/>
      <c r="K40" s="2760"/>
      <c r="L40" s="2760"/>
      <c r="M40" s="2760"/>
      <c r="N40" s="2760"/>
      <c r="O40" s="2760"/>
      <c r="P40" s="2760"/>
      <c r="Q40" s="2758" t="s">
        <v>2769</v>
      </c>
      <c r="R40" s="2754"/>
      <c r="S40" s="2754"/>
      <c r="T40" s="2754"/>
      <c r="U40" s="2754"/>
      <c r="V40" s="2754"/>
    </row>
    <row r="41" spans="2:22" ht="15" x14ac:dyDescent="0.2">
      <c r="B41" s="189"/>
      <c r="C41" s="195" t="s">
        <v>1428</v>
      </c>
      <c r="D41" s="7" t="s">
        <v>1428</v>
      </c>
      <c r="E41" s="211" t="s">
        <v>1428</v>
      </c>
      <c r="F41" s="179">
        <v>38</v>
      </c>
      <c r="G41" s="2760"/>
      <c r="H41" s="2760"/>
      <c r="I41" s="2760"/>
      <c r="J41" s="2760"/>
      <c r="K41" s="2760"/>
      <c r="L41" s="2760"/>
      <c r="M41" s="2760"/>
      <c r="N41" s="2760"/>
      <c r="O41" s="2760"/>
      <c r="P41" s="2760"/>
      <c r="Q41" s="2758" t="s">
        <v>2646</v>
      </c>
      <c r="R41" s="2754"/>
      <c r="S41" s="2754"/>
      <c r="T41" s="2754"/>
      <c r="U41" s="2754"/>
      <c r="V41" s="2754"/>
    </row>
    <row r="42" spans="2:22" ht="15" x14ac:dyDescent="0.2">
      <c r="B42" s="189"/>
      <c r="C42" s="195" t="s">
        <v>1430</v>
      </c>
      <c r="D42" s="7" t="s">
        <v>1506</v>
      </c>
      <c r="E42" s="211" t="s">
        <v>501</v>
      </c>
      <c r="F42" s="179">
        <v>39</v>
      </c>
      <c r="G42" s="2760"/>
      <c r="H42" s="2760"/>
      <c r="I42" s="2760"/>
      <c r="J42" s="2760"/>
      <c r="K42" s="2760"/>
      <c r="L42" s="2760"/>
      <c r="M42" s="2760"/>
      <c r="N42" s="2760"/>
      <c r="O42" s="2760"/>
      <c r="P42" s="2760"/>
      <c r="Q42" s="2758" t="s">
        <v>2770</v>
      </c>
      <c r="R42" s="2754"/>
      <c r="S42" s="2754"/>
      <c r="T42" s="2754"/>
      <c r="U42" s="2754"/>
      <c r="V42" s="2754"/>
    </row>
    <row r="43" spans="2:22" ht="29" x14ac:dyDescent="0.2">
      <c r="B43" s="189"/>
      <c r="C43" s="195" t="s">
        <v>1431</v>
      </c>
      <c r="D43" s="7" t="s">
        <v>1370</v>
      </c>
      <c r="E43" s="211" t="s">
        <v>1431</v>
      </c>
      <c r="F43" s="179">
        <v>40</v>
      </c>
      <c r="G43" s="2760"/>
      <c r="H43" s="2760"/>
      <c r="I43" s="2760"/>
      <c r="J43" s="2760"/>
      <c r="K43" s="2760"/>
      <c r="L43" s="2760"/>
      <c r="M43" s="2760"/>
      <c r="N43" s="2760"/>
      <c r="O43" s="2760"/>
      <c r="P43" s="2760"/>
      <c r="Q43" s="2758" t="s">
        <v>2647</v>
      </c>
      <c r="R43" s="2754"/>
      <c r="S43" s="2754"/>
      <c r="T43" s="2754"/>
      <c r="U43" s="2754"/>
      <c r="V43" s="2754"/>
    </row>
    <row r="44" spans="2:22" ht="16" thickBot="1" x14ac:dyDescent="0.25">
      <c r="B44" s="189"/>
      <c r="C44" s="220" t="s">
        <v>1434</v>
      </c>
      <c r="D44" s="221" t="s">
        <v>1603</v>
      </c>
      <c r="E44" s="209" t="s">
        <v>1434</v>
      </c>
      <c r="F44" s="179">
        <v>41</v>
      </c>
      <c r="G44" s="2760"/>
      <c r="H44" s="2760"/>
      <c r="I44" s="2760"/>
      <c r="J44" s="2760"/>
      <c r="K44" s="2760"/>
      <c r="L44" s="2760"/>
      <c r="M44" s="2760"/>
      <c r="N44" s="2760"/>
      <c r="O44" s="2760"/>
      <c r="P44" s="2760"/>
      <c r="Q44" s="2758" t="s">
        <v>2648</v>
      </c>
      <c r="R44" s="2754"/>
      <c r="S44" s="2754"/>
      <c r="T44" s="2754"/>
      <c r="U44" s="2754"/>
      <c r="V44" s="2754"/>
    </row>
    <row r="45" spans="2:22" ht="15" x14ac:dyDescent="0.2">
      <c r="B45" s="189"/>
      <c r="C45" s="4405" t="s">
        <v>3713</v>
      </c>
      <c r="D45" s="4404" t="s">
        <v>3713</v>
      </c>
      <c r="E45" s="4404" t="s">
        <v>3713</v>
      </c>
      <c r="F45" s="179">
        <v>42</v>
      </c>
      <c r="G45" s="2760"/>
      <c r="H45" s="2760"/>
      <c r="I45" s="2760"/>
      <c r="J45" s="2760"/>
      <c r="K45" s="2760"/>
      <c r="L45" s="2760"/>
      <c r="M45" s="2760"/>
      <c r="N45" s="2760"/>
      <c r="O45" s="2760"/>
      <c r="P45" s="2760"/>
      <c r="Q45" s="2758" t="s">
        <v>2158</v>
      </c>
      <c r="R45" s="2754"/>
      <c r="S45" s="2754"/>
      <c r="T45" s="2754"/>
      <c r="U45" s="2754"/>
      <c r="V45" s="2754"/>
    </row>
    <row r="46" spans="2:22" ht="15" x14ac:dyDescent="0.2">
      <c r="B46"/>
      <c r="C46" s="4405" t="s">
        <v>3717</v>
      </c>
      <c r="D46" s="4405" t="s">
        <v>3717</v>
      </c>
      <c r="E46" s="4405" t="s">
        <v>3717</v>
      </c>
      <c r="F46" s="179">
        <v>43</v>
      </c>
      <c r="G46" s="2760"/>
      <c r="H46" s="2760"/>
      <c r="I46" s="2760"/>
      <c r="J46" s="2760"/>
      <c r="K46" s="2760"/>
      <c r="L46" s="2760"/>
      <c r="M46" s="2760"/>
      <c r="N46" s="2760"/>
      <c r="O46" s="2760"/>
      <c r="P46" s="2760"/>
      <c r="Q46" s="2758" t="s">
        <v>2771</v>
      </c>
      <c r="R46" s="2754"/>
      <c r="S46" s="2754"/>
      <c r="T46" s="2754"/>
      <c r="U46" s="2754"/>
      <c r="V46" s="2754"/>
    </row>
    <row r="47" spans="2:22" ht="15" x14ac:dyDescent="0.2">
      <c r="E47" s="17"/>
      <c r="F47" s="179">
        <v>44</v>
      </c>
      <c r="G47" s="2760"/>
      <c r="H47" s="2760"/>
      <c r="I47" s="2760"/>
      <c r="J47" s="2760"/>
      <c r="K47" s="2760"/>
      <c r="L47" s="2760"/>
      <c r="M47" s="2760"/>
      <c r="N47" s="2760"/>
      <c r="O47" s="2760"/>
      <c r="P47" s="2760"/>
      <c r="Q47" s="2758" t="s">
        <v>2772</v>
      </c>
      <c r="R47" s="2754"/>
      <c r="S47" s="2754"/>
      <c r="T47" s="2754"/>
      <c r="U47" s="2754"/>
      <c r="V47" s="2754"/>
    </row>
    <row r="48" spans="2:22" ht="14" x14ac:dyDescent="0.15">
      <c r="F48" s="179">
        <v>45</v>
      </c>
      <c r="G48" s="2760"/>
      <c r="H48" s="2760"/>
      <c r="I48" s="2760"/>
      <c r="J48" s="2760"/>
      <c r="K48" s="2760"/>
      <c r="L48" s="2760"/>
      <c r="M48" s="2760"/>
      <c r="N48" s="2760"/>
      <c r="O48" s="2760"/>
      <c r="P48" s="2760"/>
      <c r="Q48" s="2758" t="s">
        <v>2773</v>
      </c>
      <c r="R48" s="2754"/>
      <c r="S48" s="2754"/>
      <c r="T48" s="2754"/>
      <c r="U48" s="2754"/>
      <c r="V48" s="2754"/>
    </row>
    <row r="49" spans="6:22" ht="14" x14ac:dyDescent="0.15">
      <c r="F49" s="179">
        <v>46</v>
      </c>
      <c r="G49" s="2760"/>
      <c r="H49" s="2760"/>
      <c r="I49" s="2760"/>
      <c r="J49" s="2760"/>
      <c r="K49" s="2760"/>
      <c r="L49" s="2760"/>
      <c r="M49" s="2760"/>
      <c r="N49" s="2760"/>
      <c r="O49" s="2760"/>
      <c r="P49" s="2760"/>
      <c r="Q49" s="2758" t="s">
        <v>2649</v>
      </c>
      <c r="R49" s="2754"/>
      <c r="S49" s="2754"/>
      <c r="T49" s="2754"/>
      <c r="U49" s="2754"/>
      <c r="V49" s="2754"/>
    </row>
    <row r="50" spans="6:22" ht="14" x14ac:dyDescent="0.15">
      <c r="F50" s="179">
        <v>47</v>
      </c>
      <c r="G50" s="2760"/>
      <c r="H50" s="2760"/>
      <c r="I50" s="2760"/>
      <c r="J50" s="2760"/>
      <c r="K50" s="2760"/>
      <c r="L50" s="2760"/>
      <c r="M50" s="2760"/>
      <c r="N50" s="2760"/>
      <c r="O50" s="2760"/>
      <c r="P50" s="2760"/>
      <c r="Q50" s="2758" t="s">
        <v>2774</v>
      </c>
      <c r="R50" s="2754"/>
      <c r="S50" s="2754"/>
      <c r="T50" s="2754"/>
      <c r="U50" s="2754"/>
      <c r="V50" s="2754"/>
    </row>
    <row r="51" spans="6:22" ht="14" x14ac:dyDescent="0.15">
      <c r="F51" s="179">
        <v>48</v>
      </c>
      <c r="G51" s="2760"/>
      <c r="H51" s="2760"/>
      <c r="I51" s="2760"/>
      <c r="J51" s="2760"/>
      <c r="K51" s="2760"/>
      <c r="L51" s="2760"/>
      <c r="M51" s="2760"/>
      <c r="N51" s="2760"/>
      <c r="O51" s="2760"/>
      <c r="P51" s="2760"/>
      <c r="Q51" s="2758" t="s">
        <v>2775</v>
      </c>
      <c r="R51" s="2754"/>
      <c r="S51" s="2754"/>
      <c r="T51" s="2754"/>
      <c r="U51" s="2754"/>
      <c r="V51" s="2754"/>
    </row>
    <row r="52" spans="6:22" ht="28" x14ac:dyDescent="0.15">
      <c r="F52" s="179">
        <v>49</v>
      </c>
      <c r="G52" s="2760"/>
      <c r="H52" s="2760"/>
      <c r="I52" s="2760"/>
      <c r="J52" s="2760"/>
      <c r="K52" s="2760"/>
      <c r="L52" s="2760"/>
      <c r="M52" s="2760"/>
      <c r="N52" s="2760"/>
      <c r="O52" s="2760"/>
      <c r="P52" s="2760"/>
      <c r="Q52" s="2758" t="s">
        <v>2776</v>
      </c>
      <c r="R52" s="2754"/>
      <c r="S52" s="2754"/>
      <c r="T52" s="2754"/>
      <c r="U52" s="2754"/>
      <c r="V52" s="2754"/>
    </row>
    <row r="53" spans="6:22" ht="14" x14ac:dyDescent="0.15">
      <c r="F53" s="179">
        <v>50</v>
      </c>
      <c r="G53" s="2760"/>
      <c r="H53" s="2760"/>
      <c r="I53" s="2760"/>
      <c r="J53" s="2760"/>
      <c r="K53" s="2760"/>
      <c r="L53" s="2760"/>
      <c r="M53" s="2760"/>
      <c r="N53" s="2760"/>
      <c r="O53" s="2760"/>
      <c r="P53" s="2760"/>
      <c r="Q53" s="2758" t="s">
        <v>2777</v>
      </c>
      <c r="R53" s="2754"/>
      <c r="S53" s="2754"/>
      <c r="T53" s="2754"/>
      <c r="U53" s="2754"/>
      <c r="V53" s="2754"/>
    </row>
    <row r="54" spans="6:22" ht="14" x14ac:dyDescent="0.15">
      <c r="F54" s="179">
        <v>51</v>
      </c>
      <c r="G54" s="2760"/>
      <c r="H54" s="2760"/>
      <c r="I54" s="2760"/>
      <c r="J54" s="2760"/>
      <c r="K54" s="2760"/>
      <c r="L54" s="2760"/>
      <c r="M54" s="2760"/>
      <c r="N54" s="2760"/>
      <c r="O54" s="2760"/>
      <c r="P54" s="2760"/>
      <c r="Q54" s="2758" t="s">
        <v>2778</v>
      </c>
      <c r="R54" s="2754"/>
      <c r="S54" s="2754"/>
      <c r="T54" s="2754"/>
      <c r="U54" s="2754"/>
      <c r="V54" s="2754"/>
    </row>
    <row r="55" spans="6:22" ht="14" x14ac:dyDescent="0.15">
      <c r="F55" s="179">
        <v>52</v>
      </c>
      <c r="G55" s="2760"/>
      <c r="H55" s="2760"/>
      <c r="I55" s="2760"/>
      <c r="J55" s="2760"/>
      <c r="K55" s="2760"/>
      <c r="L55" s="2760"/>
      <c r="M55" s="2760"/>
      <c r="N55" s="2760"/>
      <c r="O55" s="2760"/>
      <c r="P55" s="2760"/>
      <c r="Q55" s="2758" t="s">
        <v>2650</v>
      </c>
      <c r="R55" s="2754"/>
      <c r="S55" s="2754"/>
      <c r="T55" s="2754"/>
      <c r="U55" s="2754"/>
      <c r="V55" s="2754"/>
    </row>
    <row r="56" spans="6:22" ht="42" x14ac:dyDescent="0.15">
      <c r="F56" s="179">
        <v>53</v>
      </c>
      <c r="G56" s="2760"/>
      <c r="H56" s="2760"/>
      <c r="I56" s="2760"/>
      <c r="J56" s="2760"/>
      <c r="K56" s="2760"/>
      <c r="L56" s="2760"/>
      <c r="M56" s="2760"/>
      <c r="N56" s="2760"/>
      <c r="O56" s="2760"/>
      <c r="P56" s="2760"/>
      <c r="Q56" s="2758" t="s">
        <v>2779</v>
      </c>
      <c r="R56" s="2754"/>
      <c r="S56" s="2754"/>
      <c r="T56" s="2754"/>
      <c r="U56" s="2754"/>
      <c r="V56" s="2754"/>
    </row>
  </sheetData>
  <pageMargins left="0.7" right="0.7" top="0.75" bottom="0.75" header="0.3" footer="0.3"/>
  <pageSetup paperSize="9" orientation="portrait" r:id="rId1"/>
  <drawing r:id="rId2"/>
  <mc:AlternateContent xmlns:mc="http://schemas.openxmlformats.org/markup-compatibility/2006">
    <mc:Choice Requires="v">
      <legacyDrawing r:id="rId3"/>
    </mc:Choice>
  </mc:AlternateContent>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_rels/item4.xml.rels><?xml version="1.0" encoding="UTF-8" standalone="yes"?>
<Relationships xmlns="http://schemas.openxmlformats.org/package/2006/relationships"><Relationship Id="rId1" Type="http://purl.oclc.org/ooxml/officeDocument/relationships/customXmlProps" Target="itemProps4.xml"/></Relationships>
</file>

<file path=customXml/_rels/item5.xml.rels><?xml version="1.0" encoding="UTF-8" standalone="yes"?>
<Relationships xmlns="http://schemas.openxmlformats.org/package/2006/relationships"><Relationship Id="rId1" Type="http://purl.oclc.org/ooxml/officeDocument/relationships/customXmlProps" Target="itemProps5.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1142B24F1CC9A34CB622AA3A9AFBC5FA" ma:contentTypeVersion="14" ma:contentTypeDescription="Creare un nuovo documento." ma:contentTypeScope="" ma:versionID="2fe67409262c440b48bde7c866cec07f">
  <xsd:schema xmlns:xsd="http://www.w3.org/2001/XMLSchema" xmlns:xs="http://www.w3.org/2001/XMLSchema" xmlns:p="http://schemas.microsoft.com/office/2006/metadata/properties" xmlns:ns3="e61e9af3-1720-428d-9cfa-5f42a445bcd7" xmlns:ns4="551ea054-b7db-49a8-ac44-69c437219065" targetNamespace="http://schemas.microsoft.com/office/2006/metadata/properties" ma:root="true" ma:fieldsID="f5e4c396b88e865cd726a4b39b403461" ns3:_="" ns4:_="">
    <xsd:import namespace="e61e9af3-1720-428d-9cfa-5f42a445bcd7"/>
    <xsd:import namespace="551ea054-b7db-49a8-ac44-69c43721906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1e9af3-1720-428d-9cfa-5f42a445bc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1ea054-b7db-49a8-ac44-69c437219065" elementFormDefault="qualified">
    <xsd:import namespace="http://schemas.microsoft.com/office/2006/documentManagement/types"/>
    <xsd:import namespace="http://schemas.microsoft.com/office/infopath/2007/PartnerControls"/>
    <xsd:element name="SharedWithUsers" ma:index="1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Condiviso con dettagli" ma:internalName="SharedWithDetails" ma:readOnly="true">
      <xsd:simpleType>
        <xsd:restriction base="dms:Note">
          <xsd:maxLength value="255"/>
        </xsd:restriction>
      </xsd:simpleType>
    </xsd:element>
    <xsd:element name="SharingHintHash" ma:index="20"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purl.oclc.org/ooxml/officeDocument/customXml" ds:itemID="{194C3406-A780-478F-ADFF-45C87E2AC279}">
  <ds:schemaRefs>
    <ds:schemaRef ds:uri="http://www.w3.org/2001/XMLSchema"/>
    <ds:schemaRef ds:uri="http://microsoft.data.visualization.engine.tours/1.0"/>
  </ds:schemaRefs>
</ds:datastoreItem>
</file>

<file path=customXml/itemProps2.xml><?xml version="1.0" encoding="utf-8"?>
<ds:datastoreItem xmlns:ds="http://purl.oclc.org/ooxml/officeDocument/customXml" ds:itemID="{D20B4D7A-72B3-4CA5-A572-FDEE92151AA0}">
  <ds:schemaRefs>
    <ds:schemaRef ds:uri="http://schemas.microsoft.com/sharepoint/v3/contenttype/forms"/>
  </ds:schemaRefs>
</ds:datastoreItem>
</file>

<file path=customXml/itemProps3.xml><?xml version="1.0" encoding="utf-8"?>
<ds:datastoreItem xmlns:ds="http://purl.oclc.org/ooxml/officeDocument/customXml" ds:itemID="{B6E9DA5E-8ABD-4A49-8D1A-CC55935185AF}">
  <ds:schemaRefs>
    <ds:schemaRef ds:uri="http://purl.org/dc/elements/1.1/"/>
    <ds:schemaRef ds:uri="e61e9af3-1720-428d-9cfa-5f42a445bcd7"/>
    <ds:schemaRef ds:uri="http://schemas.microsoft.com/office/2006/metadata/properties"/>
    <ds:schemaRef ds:uri="http://purl.org/dc/terms/"/>
    <ds:schemaRef ds:uri="551ea054-b7db-49a8-ac44-69c437219065"/>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4.xml><?xml version="1.0" encoding="utf-8"?>
<ds:datastoreItem xmlns:ds="http://purl.oclc.org/ooxml/officeDocument/customXml" ds:itemID="{1B2AD68D-D722-42D9-BE3E-B265510E8D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1e9af3-1720-428d-9cfa-5f42a445bcd7"/>
    <ds:schemaRef ds:uri="551ea054-b7db-49a8-ac44-69c437219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purl.oclc.org/ooxml/officeDocument/customXml" ds:itemID="{712B6506-B8F8-4CD6-9CF1-700911321EBB}">
  <ds:schemaRefs>
    <ds:schemaRef ds:uri="http://www.w3.org/2001/XMLSchema"/>
    <ds:schemaRef ds:uri="http://microsoft.data.visualization.Client.Excel/1.0"/>
  </ds:schemaRefs>
</ds:datastoreItem>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4" baseType="variant">
      <vt:variant>
        <vt:lpstr>Worksheets</vt:lpstr>
      </vt:variant>
      <vt:variant>
        <vt:i4>45</vt:i4>
      </vt:variant>
      <vt:variant>
        <vt:lpstr>Named Ranges</vt:lpstr>
      </vt:variant>
      <vt:variant>
        <vt:i4>75</vt:i4>
      </vt:variant>
    </vt:vector>
  </HeadingPairs>
  <TitlesOfParts>
    <vt:vector size="120" baseType="lpstr">
      <vt:lpstr>0.Start</vt:lpstr>
      <vt:lpstr>1.Description</vt:lpstr>
      <vt:lpstr>defo</vt:lpstr>
      <vt:lpstr>affo</vt:lpstr>
      <vt:lpstr>luc</vt:lpstr>
      <vt:lpstr>IPCC</vt:lpstr>
      <vt:lpstr>2.LUC</vt:lpstr>
      <vt:lpstr>3.Cropland</vt:lpstr>
      <vt:lpstr>crop H2O</vt:lpstr>
      <vt:lpstr>rice</vt:lpstr>
      <vt:lpstr>annual</vt:lpstr>
      <vt:lpstr>perennial</vt:lpstr>
      <vt:lpstr>4.Grassland</vt:lpstr>
      <vt:lpstr>grass</vt:lpstr>
      <vt:lpstr>Livestock</vt:lpstr>
      <vt:lpstr>5.Management</vt:lpstr>
      <vt:lpstr>6.Inland wetlands</vt:lpstr>
      <vt:lpstr>Inl. wetlands</vt:lpstr>
      <vt:lpstr>degradation</vt:lpstr>
      <vt:lpstr>Sheet1</vt:lpstr>
      <vt:lpstr>7.Coastal wetlands</vt:lpstr>
      <vt:lpstr>Coastal</vt:lpstr>
      <vt:lpstr>8. Fisheries and aquaculture</vt:lpstr>
      <vt:lpstr>Fish and aqua</vt:lpstr>
      <vt:lpstr>Database fish</vt:lpstr>
      <vt:lpstr>Atwood</vt:lpstr>
      <vt:lpstr>List countries GLEAM</vt:lpstr>
      <vt:lpstr>9.Inputs</vt:lpstr>
      <vt:lpstr>Inputs</vt:lpstr>
      <vt:lpstr>Energy DB</vt:lpstr>
      <vt:lpstr>BALANCE</vt:lpstr>
      <vt:lpstr>10.Results</vt:lpstr>
      <vt:lpstr>YEARLY</vt:lpstr>
      <vt:lpstr>Gross results</vt:lpstr>
      <vt:lpstr>Graph</vt:lpstr>
      <vt:lpstr>Elec</vt:lpstr>
      <vt:lpstr>Languages</vt:lpstr>
      <vt:lpstr>Matrix</vt:lpstr>
      <vt:lpstr>list</vt:lpstr>
      <vt:lpstr>Calculations</vt:lpstr>
      <vt:lpstr>Earth Map</vt:lpstr>
      <vt:lpstr>Definitions</vt:lpstr>
      <vt:lpstr>HELP</vt:lpstr>
      <vt:lpstr>Stats_yield_ton_per_ha</vt:lpstr>
      <vt:lpstr>list_region_country</vt:lpstr>
      <vt:lpstr>AMWS_Breeding_Swine_HP_titles</vt:lpstr>
      <vt:lpstr>AMWS_Chicken_broiler_LP_titles</vt:lpstr>
      <vt:lpstr>AMWS_Growing_Swine_HP_titles</vt:lpstr>
      <vt:lpstr>AWMS_Breeding_Swine_LP_titles</vt:lpstr>
      <vt:lpstr>AWMS_Chicken_broiler_HP_titles</vt:lpstr>
      <vt:lpstr>AWMS_Chicken_Layer_Default_titles</vt:lpstr>
      <vt:lpstr>AWMS_Dairy_Buffalo_titles</vt:lpstr>
      <vt:lpstr>AWMS_Dairy_Cattle_titles</vt:lpstr>
      <vt:lpstr>AWMS_Deer_titles</vt:lpstr>
      <vt:lpstr>AWMS_Goat_titles</vt:lpstr>
      <vt:lpstr>AWMS_Growing_Swine_LP_titles</vt:lpstr>
      <vt:lpstr>AWMS_Ostrich_titles</vt:lpstr>
      <vt:lpstr>AWMS_Other_Buffalo_titles</vt:lpstr>
      <vt:lpstr>AWMS_Other_Cattle_titles</vt:lpstr>
      <vt:lpstr>AWMS_Other_Grazing_titles</vt:lpstr>
      <vt:lpstr>AWMS_Other_Sheep_titles</vt:lpstr>
      <vt:lpstr>AWMS_Sheep_dairy_titles</vt:lpstr>
      <vt:lpstr>Boreal</vt:lpstr>
      <vt:lpstr>Boreal2</vt:lpstr>
      <vt:lpstr>CH4_man_Camel_HP_titles</vt:lpstr>
      <vt:lpstr>CH4_man_Camel_LP_titles</vt:lpstr>
      <vt:lpstr>CH4_man_Dairy_Cattle_HP_titles</vt:lpstr>
      <vt:lpstr>CH4_man_Dairy_Cattle_LP_titles</vt:lpstr>
      <vt:lpstr>CH4_man_Goat_HP_titles</vt:lpstr>
      <vt:lpstr>CH4_man_Goat_LP_titles</vt:lpstr>
      <vt:lpstr>CH4_man_Horse_HP_titles</vt:lpstr>
      <vt:lpstr>CH4_man_Horse_LP_titles</vt:lpstr>
      <vt:lpstr>CH4_man_Mule_HP_titles</vt:lpstr>
      <vt:lpstr>CH4_man_Mule_LP_titles</vt:lpstr>
      <vt:lpstr>CH4_man_Other_Cattle_HP_titles</vt:lpstr>
      <vt:lpstr>CH4_man_Other_Cattle_LP_titles</vt:lpstr>
      <vt:lpstr>CH4_man_Poultry_HP_titles</vt:lpstr>
      <vt:lpstr>CH4_man_Poultry_LP_titles</vt:lpstr>
      <vt:lpstr>CH4_man_Sheep_HP_titles</vt:lpstr>
      <vt:lpstr>CH4_man_Sheep_LP_titles</vt:lpstr>
      <vt:lpstr>CH4_man_Swine_HP_titles</vt:lpstr>
      <vt:lpstr>CH4_man_Swine_LP_titles</vt:lpstr>
      <vt:lpstr>clim_moist</vt:lpstr>
      <vt:lpstr>clim_moist_cont</vt:lpstr>
      <vt:lpstr>clim3</vt:lpstr>
      <vt:lpstr>climate</vt:lpstr>
      <vt:lpstr>climate2</vt:lpstr>
      <vt:lpstr>continent</vt:lpstr>
      <vt:lpstr>continent_selected</vt:lpstr>
      <vt:lpstr>CoolTemperate</vt:lpstr>
      <vt:lpstr>CoolTemperate2</vt:lpstr>
      <vt:lpstr>country_selected</vt:lpstr>
      <vt:lpstr>EF_DIRECT_N2O_manure_mngt_cattle_poultry_pigs_titles</vt:lpstr>
      <vt:lpstr>EF_DIRECT_N2O_manure_mngt_Sheeps_others_titles</vt:lpstr>
      <vt:lpstr>Error_Message</vt:lpstr>
      <vt:lpstr>Frac_leach_all_categories_titles</vt:lpstr>
      <vt:lpstr>Frac_vol_dairy_cow_titles</vt:lpstr>
      <vt:lpstr>Frac_vol_Other_Animal_titles</vt:lpstr>
      <vt:lpstr>Frac_vol_Other_Cattle_titles</vt:lpstr>
      <vt:lpstr>Frac_vol_swine_titles</vt:lpstr>
      <vt:lpstr>methane</vt:lpstr>
      <vt:lpstr>methanefossil</vt:lpstr>
      <vt:lpstr>moist_type</vt:lpstr>
      <vt:lpstr>N2O_N_conversion</vt:lpstr>
      <vt:lpstr>Nitrous</vt:lpstr>
      <vt:lpstr>SOCref</vt:lpstr>
      <vt:lpstr>soil</vt:lpstr>
      <vt:lpstr>soil_full</vt:lpstr>
      <vt:lpstr>till_?</vt:lpstr>
      <vt:lpstr>till_conv</vt:lpstr>
      <vt:lpstr>till_impr</vt:lpstr>
      <vt:lpstr>time</vt:lpstr>
      <vt:lpstr>time_cap</vt:lpstr>
      <vt:lpstr>time_tot</vt:lpstr>
      <vt:lpstr>Tropical</vt:lpstr>
      <vt:lpstr>Tropical2</vt:lpstr>
      <vt:lpstr>TropicalMontane</vt:lpstr>
      <vt:lpstr>TropicalMontane2</vt:lpstr>
      <vt:lpstr>WarmTemperate</vt:lpstr>
      <vt:lpstr>WarmTemperate2</vt:lpstr>
    </vt:vector>
  </TitlesOfParts>
  <Manager/>
  <Company>FAO of the UN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Lorenzo.Maestripieri@fao.org</dc:creator>
  <cp:keywords/>
  <dc:description/>
  <cp:lastModifiedBy>Lavacca, Claudio (CSI)</cp:lastModifiedBy>
  <cp:revision/>
  <dcterms:created xsi:type="dcterms:W3CDTF">2019-07-22T07:28:17Z</dcterms:created>
  <dcterms:modified xsi:type="dcterms:W3CDTF">2024-01-24T11:22:05Z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0x0101001142B24F1CC9A34CB622AA3A9AFBC5FA</vt:lpwstr>
  </property>
</Properties>
</file>